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2.xml" ContentType="application/vnd.openxmlformats-officedocument.spreadsheetml.comments+xml"/>
  <Override PartName="/xl/charts/chart11.xml" ContentType="application/vnd.openxmlformats-officedocument.drawingml.chart+xml"/>
  <Override PartName="/xl/drawings/drawing6.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34.xml" ContentType="application/vnd.ms-excel.controlproperties+xml"/>
  <Override PartName="/xl/ctrlProps/ctrlProp35.xml" ContentType="application/vnd.ms-excel.controlpropertie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trlProps/ctrlProp36.xml" ContentType="application/vnd.ms-excel.controlproperties+xml"/>
  <Override PartName="/xl/ctrlProps/ctrlProp37.xml" ContentType="application/vnd.ms-excel.controlproperties+xml"/>
  <Override PartName="/xl/drawings/drawing11.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4.xml" ContentType="application/vnd.openxmlformats-officedocument.spreadsheetml.comments+xml"/>
  <Override PartName="/xl/drawings/drawing12.xml" ContentType="application/vnd.openxmlformats-officedocument.drawing+xml"/>
  <Override PartName="/xl/ctrlProps/ctrlProp41.xml" ContentType="application/vnd.ms-excel.controlpropertie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3.xml" ContentType="application/vnd.openxmlformats-officedocument.drawing+xml"/>
  <Override PartName="/xl/comments5.xml" ContentType="application/vnd.openxmlformats-officedocument.spreadsheetml.comments+xml"/>
  <Override PartName="/xl/charts/chart33.xml" ContentType="application/vnd.openxmlformats-officedocument.drawingml.chart+xml"/>
  <Override PartName="/xl/drawings/drawing14.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411" lockStructure="1"/>
  <bookViews>
    <workbookView xWindow="0" yWindow="1005" windowWidth="13545" windowHeight="8820" tabRatio="877"/>
  </bookViews>
  <sheets>
    <sheet name="JOBS FC INFO" sheetId="10" r:id="rId1"/>
    <sheet name="COPYRIGHT" sheetId="46" r:id="rId2"/>
    <sheet name="Forklift INPUTS" sheetId="1" r:id="rId3"/>
    <sheet name="Forklift RESULTS-Charts" sheetId="36" r:id="rId4"/>
    <sheet name="Forklift RESULTS-Tables" sheetId="34" r:id="rId5"/>
    <sheet name="Backup INPUTS" sheetId="11" r:id="rId6"/>
    <sheet name="Backup RESULTS-Charts" sheetId="37" r:id="rId7"/>
    <sheet name="Backup RESULTS-Tables" sheetId="35" r:id="rId8"/>
    <sheet name="Prime INPUTS" sheetId="40" r:id="rId9"/>
    <sheet name="Prime RESULTS-Charts" sheetId="44" r:id="rId10"/>
    <sheet name="Prime RESULTS-Tables" sheetId="43" r:id="rId11"/>
    <sheet name="PEM Facility Const. INPUTS" sheetId="19" r:id="rId12"/>
    <sheet name="PEM Facility Const. RESULTS" sheetId="38" r:id="rId13"/>
    <sheet name="Market Forecasts" sheetId="39" r:id="rId14"/>
    <sheet name="Costs" sheetId="33" state="hidden" r:id="rId15"/>
    <sheet name="Cost Charts" sheetId="45" state="hidden" r:id="rId16"/>
    <sheet name="Markets" sheetId="22" state="hidden" r:id="rId17"/>
    <sheet name="Lists" sheetId="20" state="hidden" r:id="rId18"/>
    <sheet name="PEM sectors" sheetId="32" state="hidden" r:id="rId19"/>
    <sheet name="RIMS_lists" sheetId="23" state="hidden" r:id="rId20"/>
    <sheet name="Capital Cost" sheetId="18" state="hidden" r:id="rId21"/>
    <sheet name="Markets_MH" sheetId="17" state="hidden" r:id="rId22"/>
    <sheet name="Markets_BU" sheetId="21" state="hidden" r:id="rId23"/>
    <sheet name="RIMS_emp" sheetId="26" state="hidden" r:id="rId24"/>
    <sheet name="RIMS_earn" sheetId="25" state="hidden" r:id="rId25"/>
    <sheet name="RIMS_out" sheetId="24" state="hidden" r:id="rId26"/>
    <sheet name="CPI" sheetId="28" state="hidden" r:id="rId27"/>
  </sheets>
  <definedNames>
    <definedName name="annualusage">'Backup INPUTS'!$J$14</definedName>
    <definedName name="avgSize" localSheetId="5">'Backup INPUTS'!$J$11</definedName>
    <definedName name="avgSize" localSheetId="14">'Forklift INPUTS'!$J$11</definedName>
    <definedName name="avgSize" localSheetId="2">'Forklift INPUTS'!$J$11</definedName>
    <definedName name="avgSize" localSheetId="8">'Prime INPUTS'!$J$12</definedName>
    <definedName name="avgSize" localSheetId="10">'Backup INPUTS'!$J$11</definedName>
    <definedName name="avgSize_c3" localSheetId="14">'Forklift INPUTS'!$J$12</definedName>
    <definedName name="avgSize_c3" localSheetId="2">'Forklift INPUTS'!$J$12</definedName>
    <definedName name="BuP_disp_def">Lists!$F$12</definedName>
    <definedName name="cost_2015" localSheetId="5">'Backup INPUTS'!$J$43</definedName>
    <definedName name="cost_2015" localSheetId="2">'Forklift INPUTS'!$J$49</definedName>
    <definedName name="cost_2015_c3" localSheetId="2">'Forklift INPUTS'!$J$57</definedName>
    <definedName name="cost_2016" localSheetId="5">'Backup INPUTS'!$J$44</definedName>
    <definedName name="cost_2016" localSheetId="2">'Forklift INPUTS'!$J$50</definedName>
    <definedName name="cost_2016_c3" localSheetId="2">'Forklift INPUTS'!$J$58</definedName>
    <definedName name="cost_2017" localSheetId="5">'Backup INPUTS'!$J$45</definedName>
    <definedName name="cost_2017" localSheetId="2">'Forklift INPUTS'!$J$51</definedName>
    <definedName name="cost_2017_c3" localSheetId="2">'Forklift INPUTS'!$J$59</definedName>
    <definedName name="cost_2018" localSheetId="5">'Backup INPUTS'!$J$46</definedName>
    <definedName name="cost_2018" localSheetId="2">'Forklift INPUTS'!$J$52</definedName>
    <definedName name="cost_2018_c3" localSheetId="2">'Forklift INPUTS'!$J$60</definedName>
    <definedName name="cost_2019" localSheetId="5">'Backup INPUTS'!$J$47</definedName>
    <definedName name="cost_2019" localSheetId="2">'Forklift INPUTS'!$J$53</definedName>
    <definedName name="cost_2019_c3" localSheetId="2">'Forklift INPUTS'!$J$61</definedName>
    <definedName name="cost_2020" localSheetId="5">'Backup INPUTS'!$J$48</definedName>
    <definedName name="cost_2020" localSheetId="2">'Forklift INPUTS'!$J$54</definedName>
    <definedName name="cost_2020_c3" localSheetId="2">'Forklift INPUTS'!$J$62</definedName>
    <definedName name="costPerKwInitial" localSheetId="5">'Backup INPUTS'!$J$177</definedName>
    <definedName name="costPerKwInitial" localSheetId="2">'Forklift INPUTS'!$J$204</definedName>
    <definedName name="costPerKwInitial_c3" localSheetId="2">'Forklift INPUTS'!$J$205</definedName>
    <definedName name="existingCapacity" localSheetId="2">'Forklift INPUTS'!$E$660</definedName>
    <definedName name="existingCapacity_C3" localSheetId="2">'Forklift INPUTS'!$E$662</definedName>
    <definedName name="exp_2015" localSheetId="5">'Backup INPUTS'!$I$28</definedName>
    <definedName name="exp_2015" localSheetId="2">'Forklift INPUTS'!$I$25</definedName>
    <definedName name="exp_2015_c3" localSheetId="2">'Forklift INPUTS'!$I$34</definedName>
    <definedName name="exp_2016" localSheetId="5">'Backup INPUTS'!$I$29</definedName>
    <definedName name="exp_2016" localSheetId="2">'Forklift INPUTS'!$I$26</definedName>
    <definedName name="exp_2016_c3" localSheetId="2">'Forklift INPUTS'!$I$35</definedName>
    <definedName name="exp_2017" localSheetId="5">'Backup INPUTS'!$I$30</definedName>
    <definedName name="exp_2017" localSheetId="2">'Forklift INPUTS'!$I$27</definedName>
    <definedName name="exp_2017_c3" localSheetId="2">'Forklift INPUTS'!$I$36</definedName>
    <definedName name="exp_2018" localSheetId="5">'Backup INPUTS'!$I$31</definedName>
    <definedName name="exp_2018" localSheetId="2">'Forklift INPUTS'!$I$28</definedName>
    <definedName name="exp_2018_c3" localSheetId="2">'Forklift INPUTS'!$I$37</definedName>
    <definedName name="exp_2019" localSheetId="5">'Backup INPUTS'!$I$32</definedName>
    <definedName name="exp_2019" localSheetId="2">'Forklift INPUTS'!$I$29</definedName>
    <definedName name="exp_2019_c3" localSheetId="2">'Forklift INPUTS'!$I$38</definedName>
    <definedName name="exp_2020" localSheetId="5">'Backup INPUTS'!$I$33</definedName>
    <definedName name="exp_2020" localSheetId="2">'Forklift INPUTS'!$I$30</definedName>
    <definedName name="exp_2020_c3" localSheetId="2">'Forklift INPUTS'!$I$39</definedName>
    <definedName name="Facility">Lists!$B$18:$B$20</definedName>
    <definedName name="Fuel_backup_def">Lists!$E$13</definedName>
    <definedName name="FullScale">Costs!$B$38</definedName>
    <definedName name="imp_2015" localSheetId="5">'Backup INPUTS'!$J$28</definedName>
    <definedName name="imp_2015" localSheetId="2">'Forklift INPUTS'!$J$25</definedName>
    <definedName name="imp_2015_c3" localSheetId="2">'Forklift INPUTS'!$J$34</definedName>
    <definedName name="imp_2016" localSheetId="5">'Backup INPUTS'!$J$29</definedName>
    <definedName name="imp_2016" localSheetId="2">'Forklift INPUTS'!$J$26</definedName>
    <definedName name="imp_2016_c3" localSheetId="2">'Forklift INPUTS'!$J$35</definedName>
    <definedName name="imp_2017" localSheetId="5">'Backup INPUTS'!$J$30</definedName>
    <definedName name="imp_2017" localSheetId="2">'Forklift INPUTS'!$J$27</definedName>
    <definedName name="imp_2017_c3" localSheetId="2">'Forklift INPUTS'!$J$36</definedName>
    <definedName name="imp_2018" localSheetId="5">'Backup INPUTS'!$J$31</definedName>
    <definedName name="imp_2018" localSheetId="2">'Forklift INPUTS'!$J$28</definedName>
    <definedName name="imp_2018_c3" localSheetId="2">'Forklift INPUTS'!$J$37</definedName>
    <definedName name="imp_2019" localSheetId="5">'Backup INPUTS'!$J$32</definedName>
    <definedName name="imp_2019" localSheetId="2">'Forklift INPUTS'!$J$29</definedName>
    <definedName name="imp_2019_c3" localSheetId="2">'Forklift INPUTS'!$J$38</definedName>
    <definedName name="imp_2020" localSheetId="5">'Backup INPUTS'!$J$33</definedName>
    <definedName name="imp_2020" localSheetId="2">'Forklift INPUTS'!$J$30</definedName>
    <definedName name="imp_2020_c3" localSheetId="2">'Forklift INPUTS'!$J$39</definedName>
    <definedName name="Inf_forklift">Lists!$E$7:$E$9</definedName>
    <definedName name="Inf_forklift_def">Lists!$E$7</definedName>
    <definedName name="install_2015" localSheetId="2">'Forklift INPUTS'!$J$83</definedName>
    <definedName name="install_2016" localSheetId="2">'Forklift INPUTS'!$J$84</definedName>
    <definedName name="install_2017" localSheetId="2">'Forklift INPUTS'!$J$85</definedName>
    <definedName name="install_2018" localSheetId="2">'Forklift INPUTS'!$J$86</definedName>
    <definedName name="install_2019" localSheetId="2">'Forklift INPUTS'!$J$87</definedName>
    <definedName name="install_2020" localSheetId="2">'Forklift INPUTS'!$J$88</definedName>
    <definedName name="installationCostPerSite" localSheetId="2">'Forklift INPUTS'!$J$75</definedName>
    <definedName name="MaintCostPerUnit" localSheetId="5">'Backup INPUTS'!$J$127</definedName>
    <definedName name="MaintCostPerUnit" localSheetId="2">'Forklift INPUTS'!$J$110</definedName>
    <definedName name="MaintCostPerUnit_c3" localSheetId="2">'Forklift INPUTS'!$J$111</definedName>
    <definedName name="mfg_2015" localSheetId="5">'Backup INPUTS'!$H$28</definedName>
    <definedName name="mfg_2015" localSheetId="2">'Forklift INPUTS'!$H$25</definedName>
    <definedName name="mfg_2015_c3" localSheetId="2">'Forklift INPUTS'!$H$34</definedName>
    <definedName name="mfg_2016" localSheetId="5">'Backup INPUTS'!$H$29</definedName>
    <definedName name="mfg_2016" localSheetId="2">'Forklift INPUTS'!$H$26</definedName>
    <definedName name="mfg_2016_c3" localSheetId="2">'Forklift INPUTS'!$H$35</definedName>
    <definedName name="mfg_2017" localSheetId="5">'Backup INPUTS'!$H$30</definedName>
    <definedName name="mfg_2017" localSheetId="2">'Forklift INPUTS'!$H$27</definedName>
    <definedName name="mfg_2017_c3" localSheetId="2">'Forklift INPUTS'!$H$36</definedName>
    <definedName name="mfg_2018" localSheetId="5">'Backup INPUTS'!$H$31</definedName>
    <definedName name="mfg_2018" localSheetId="2">'Forklift INPUTS'!$H$28</definedName>
    <definedName name="mfg_2018_c3" localSheetId="2">'Forklift INPUTS'!$H$37</definedName>
    <definedName name="mfg_2019" localSheetId="5">'Backup INPUTS'!$H$32</definedName>
    <definedName name="mfg_2019" localSheetId="2">'Forklift INPUTS'!$H$29</definedName>
    <definedName name="mfg_2019_c3" localSheetId="2">'Forklift INPUTS'!$H$38</definedName>
    <definedName name="mfg_2020" localSheetId="5">'Backup INPUTS'!$H$33</definedName>
    <definedName name="mfg_2020" localSheetId="2">'Forklift INPUTS'!$H$30</definedName>
    <definedName name="mfg_2020_c3" localSheetId="2">'Forklift INPUTS'!$H$39</definedName>
    <definedName name="numOfLifts" localSheetId="2">'Forklift INPUTS'!$J$79</definedName>
    <definedName name="numOfLifts_c3" localSheetId="2">'Forklift INPUTS'!$J$80</definedName>
    <definedName name="Pal_Workbook_GUID" hidden="1">"7U8S84HSJGBHK6BS66FY75JS"</definedName>
    <definedName name="Please">Lists!$B$2</definedName>
    <definedName name="price_2015" localSheetId="5">'Backup INPUTS'!$I$43</definedName>
    <definedName name="price_2015" localSheetId="2">'Forklift INPUTS'!$I$49</definedName>
    <definedName name="price_2015_c3" localSheetId="2">'Forklift INPUTS'!$I$57</definedName>
    <definedName name="price_2016" localSheetId="5">'Backup INPUTS'!$I$44</definedName>
    <definedName name="price_2016" localSheetId="2">'Forklift INPUTS'!$I$50</definedName>
    <definedName name="price_2016_c3" localSheetId="2">'Forklift INPUTS'!$I$58</definedName>
    <definedName name="price_2017" localSheetId="5">'Backup INPUTS'!$I$45</definedName>
    <definedName name="price_2017" localSheetId="2">'Forklift INPUTS'!$I$51</definedName>
    <definedName name="price_2017_c3" localSheetId="2">'Forklift INPUTS'!$I$59</definedName>
    <definedName name="price_2018" localSheetId="5">'Backup INPUTS'!$I$46</definedName>
    <definedName name="price_2018" localSheetId="2">'Forklift INPUTS'!$I$52</definedName>
    <definedName name="price_2018_c3" localSheetId="2">'Forklift INPUTS'!$I$60</definedName>
    <definedName name="price_2019" localSheetId="5">'Backup INPUTS'!$I$47</definedName>
    <definedName name="price_2019" localSheetId="2">'Forklift INPUTS'!$I$53</definedName>
    <definedName name="price_2019_c3" localSheetId="2">'Forklift INPUTS'!$I$61</definedName>
    <definedName name="price_2020" localSheetId="5">'Backup INPUTS'!$I$48</definedName>
    <definedName name="price_2020" localSheetId="2">'Forklift INPUTS'!$I$54</definedName>
    <definedName name="price_2020_c3" localSheetId="2">'Forklift INPUTS'!$I$62</definedName>
    <definedName name="price_initial" localSheetId="5">'Backup INPUTS'!$I$177</definedName>
    <definedName name="price_initial" localSheetId="2">'Forklift INPUTS'!$I$204</definedName>
    <definedName name="price_initial_c3" localSheetId="2">'Forklift INPUTS'!$I$205</definedName>
    <definedName name="PriceCost">Lists!$F$2:$F$4</definedName>
    <definedName name="PriceCost_def">Lists!$F$2</definedName>
    <definedName name="Prime_operation_default">Lists!$E$23</definedName>
    <definedName name="Prime_type">Lists!$B$23:$B$25</definedName>
    <definedName name="_xlnm.Print_Area" localSheetId="5">'Backup INPUTS'!$A$2:$N$191</definedName>
    <definedName name="_xlnm.Print_Area" localSheetId="6">'Backup RESULTS-Charts'!$B$1:$I$25,'Backup RESULTS-Charts'!$B$29:$K$77,'Backup RESULTS-Charts'!$A$78:$K$126</definedName>
    <definedName name="_xlnm.Print_Area" localSheetId="7">'Backup RESULTS-Tables'!$A$59:$B$82</definedName>
    <definedName name="_xlnm.Print_Area" localSheetId="2">'Forklift INPUTS'!$B$2:$M$97</definedName>
    <definedName name="_xlnm.Print_Area" localSheetId="3">'Forklift RESULTS-Charts'!$B$1:$L$27,'Forklift RESULTS-Charts'!$B$32:$L$79,'Forklift RESULTS-Charts'!$B$81:$L$130</definedName>
    <definedName name="_xlnm.Print_Area" localSheetId="12">'PEM Facility Const. RESULTS'!$B$1:$N$23,'PEM Facility Const. RESULTS'!$B$25:$M$75</definedName>
    <definedName name="prodcosts_2015" localSheetId="2">'Forklift INPUTS'!$D$597</definedName>
    <definedName name="prodcosts_2015_c3" localSheetId="2">'Forklift INPUTS'!$E$597</definedName>
    <definedName name="prodcosts_2016" localSheetId="2">'Forklift INPUTS'!$D$598</definedName>
    <definedName name="prodcosts_2016_c3" localSheetId="2">'Forklift INPUTS'!$E$598</definedName>
    <definedName name="prodcosts_2017" localSheetId="2">'Forklift INPUTS'!$D$599</definedName>
    <definedName name="prodcosts_2017_c3" localSheetId="2">'Forklift INPUTS'!$E$599</definedName>
    <definedName name="prodcosts_2018" localSheetId="2">'Forklift INPUTS'!$D$600</definedName>
    <definedName name="prodcosts_2018_c3" localSheetId="2">'Forklift INPUTS'!$E$600</definedName>
    <definedName name="prodcosts_2019" localSheetId="2">'Forklift INPUTS'!$D$601</definedName>
    <definedName name="prodcosts_2019_c3" localSheetId="2">'Forklift INPUTS'!$E$601</definedName>
    <definedName name="prodcosts_2020" localSheetId="2">'Forklift INPUTS'!$D$602</definedName>
    <definedName name="prodcosts_2020_c3" localSheetId="2">'Forklift INPUTS'!$E$602</definedName>
    <definedName name="productionCostLevel">Costs!$B$37</definedName>
    <definedName name="progressRatio">Costs!$B$33</definedName>
    <definedName name="R_earn">RIMS_earn!$C$2:$BK$2</definedName>
    <definedName name="R_emp">RIMS_emp!$C$2:$BK$2</definedName>
    <definedName name="R_out">RIMS_out!$C$2:$BK$2</definedName>
    <definedName name="Reg_backup">Lists!$C$13</definedName>
    <definedName name="Reg_exports">Lists!$E$2:$E$4</definedName>
    <definedName name="Reg_forklifts">Lists!$C$7:$C$7</definedName>
    <definedName name="Reg_gross">Lists!$D$2</definedName>
    <definedName name="Regions">RIMS_lists!$B$1:$BJ$1</definedName>
    <definedName name="runtime">'Backup INPUTS'!$J$13</definedName>
    <definedName name="scaleElasticity">Costs!$B$40</definedName>
    <definedName name="State" localSheetId="5">'Backup INPUTS'!$E$6</definedName>
    <definedName name="State" localSheetId="2">'Forklift INPUTS'!$E$6</definedName>
    <definedName name="State" localSheetId="11">'PEM Facility Const. INPUTS'!$E$6</definedName>
    <definedName name="State" localSheetId="8">'Prime INPUTS'!$E$6</definedName>
    <definedName name="technologicalProgressRate">Costs!$B$43</definedName>
    <definedName name="tier_earn_code">RIMS_earn!$A$5:$A$410</definedName>
    <definedName name="tier_earn_mult">RIMS_earn!$C$5:$BK$410</definedName>
    <definedName name="tier_emp_code">RIMS_emp!$A$5:$A$410</definedName>
    <definedName name="tier_emp_mult">RIMS_emp!$C$5:$BK$410</definedName>
    <definedName name="tier_out_code">RIMS_out!$A$5:$A$410</definedName>
    <definedName name="tier_out_mult">RIMS_out!$C$5:$BK$410</definedName>
    <definedName name="TotalProdCosts_2015" localSheetId="5">'Backup INPUTS'!$F$582</definedName>
    <definedName name="TotalProdCosts_2015" localSheetId="2">'Forklift INPUTS'!$F$597</definedName>
    <definedName name="TotalProdCosts_2016" localSheetId="5">'Backup INPUTS'!$F$583</definedName>
    <definedName name="TotalProdCosts_2016" localSheetId="2">'Forklift INPUTS'!$F$598</definedName>
    <definedName name="TotalProdCosts_2017" localSheetId="5">'Backup INPUTS'!$F$584</definedName>
    <definedName name="TotalProdCosts_2017" localSheetId="2">'Forklift INPUTS'!$F$599</definedName>
    <definedName name="TotalProdCosts_2018" localSheetId="5">'Backup INPUTS'!$F$585</definedName>
    <definedName name="TotalProdCosts_2018" localSheetId="2">'Forklift INPUTS'!$F$600</definedName>
    <definedName name="TotalProdCosts_2019" localSheetId="5">'Backup INPUTS'!$F$586</definedName>
    <definedName name="TotalProdCosts_2019" localSheetId="2">'Forklift INPUTS'!$F$601</definedName>
    <definedName name="TotalProdCosts_2020" localSheetId="5">'Backup INPUTS'!$F$587</definedName>
    <definedName name="TotalProdCosts_2020" localSheetId="2">'Forklift INPUTS'!$F$602</definedName>
    <definedName name="typeI_earn_code">RIMS_earn!$A$416:$A$821</definedName>
    <definedName name="typeI_earn_mult">RIMS_earn!$C$416:$BK$821</definedName>
    <definedName name="typeI_emp_code">RIMS_emp!$A$416:$A$821</definedName>
    <definedName name="typeI_emp_mult">RIMS_emp!$C$416:$BK$821</definedName>
    <definedName name="typeI_out_code">RIMS_out!$A$416:$A$821</definedName>
    <definedName name="typeI_out_mult">RIMS_out!$C$416:$BK$821</definedName>
    <definedName name="typeII_earn_code">RIMS_earn!$A$827:$A$1232</definedName>
    <definedName name="typeII_earn_mult">RIMS_earn!$C$827:$BK$1232</definedName>
    <definedName name="typeII_emp_code">RIMS_emp!$A$827:$A$1232</definedName>
    <definedName name="typeII_emp_mult">RIMS_emp!$C$827:$BK$1232</definedName>
    <definedName name="typeII_out_code">RIMS_out!$A$827:$A$1232</definedName>
    <definedName name="typeII_out_mult">RIMS_out!$C$827:$BK$1232</definedName>
    <definedName name="USA_backup">Lists!$B$13:$B$15</definedName>
    <definedName name="USA_forklifts">Lists!$B$7:$B$9</definedName>
    <definedName name="USA_gross">Lists!$C$2:$C$4</definedName>
  </definedNames>
  <calcPr calcId="145621"/>
</workbook>
</file>

<file path=xl/calcChain.xml><?xml version="1.0" encoding="utf-8"?>
<calcChain xmlns="http://schemas.openxmlformats.org/spreadsheetml/2006/main">
  <c r="E10" i="19" l="1"/>
  <c r="E6" i="19"/>
  <c r="E20" i="40"/>
  <c r="E13" i="40"/>
  <c r="E8" i="40"/>
  <c r="E7" i="40"/>
  <c r="E6" i="40"/>
  <c r="E88" i="11"/>
  <c r="E23" i="11"/>
  <c r="E20" i="11"/>
  <c r="E7" i="11"/>
  <c r="E6" i="11"/>
  <c r="E77" i="1"/>
  <c r="E20" i="1"/>
  <c r="E17" i="1"/>
  <c r="E7" i="1"/>
  <c r="E6" i="1"/>
  <c r="G537" i="1" l="1"/>
  <c r="G523" i="1"/>
  <c r="G508" i="1"/>
  <c r="G360" i="1"/>
  <c r="G346" i="1"/>
  <c r="G330" i="1"/>
  <c r="G319" i="1"/>
  <c r="G284" i="1"/>
  <c r="G260" i="1"/>
  <c r="G236" i="1"/>
  <c r="G517" i="11"/>
  <c r="G500" i="11"/>
  <c r="G483" i="11"/>
  <c r="G457" i="11"/>
  <c r="G443" i="11"/>
  <c r="G425" i="11"/>
  <c r="G412" i="11"/>
  <c r="G400" i="11"/>
  <c r="G381" i="11"/>
  <c r="G332" i="11"/>
  <c r="G318" i="11"/>
  <c r="G302" i="11"/>
  <c r="G291" i="11"/>
  <c r="G256" i="11"/>
  <c r="G232" i="11"/>
  <c r="G208" i="11"/>
  <c r="G284" i="40"/>
  <c r="G272" i="40"/>
  <c r="G260" i="40"/>
  <c r="G242" i="40"/>
  <c r="G220" i="40"/>
  <c r="G207" i="40"/>
  <c r="G195" i="40"/>
  <c r="G185" i="40"/>
  <c r="G175" i="40"/>
  <c r="G150" i="40"/>
  <c r="E111" i="19" l="1"/>
  <c r="C593" i="1"/>
  <c r="C5" i="10" l="1"/>
  <c r="E81" i="40" l="1"/>
  <c r="J58" i="11"/>
  <c r="J60" i="11"/>
  <c r="J57" i="11"/>
  <c r="J11" i="1" l="1"/>
  <c r="B124" i="1"/>
  <c r="B64" i="1"/>
  <c r="K2" i="23" l="1"/>
  <c r="G16" i="1" l="1"/>
  <c r="F17" i="19"/>
  <c r="F21" i="33" l="1"/>
  <c r="H21" i="33"/>
  <c r="F37" i="33"/>
  <c r="J15" i="19" l="1"/>
  <c r="J17" i="19" s="1"/>
  <c r="G42" i="19" l="1"/>
  <c r="B13" i="19"/>
  <c r="B28" i="19" l="1"/>
  <c r="F352" i="40" l="1"/>
  <c r="C26" i="44" l="1"/>
  <c r="C25" i="44"/>
  <c r="C24" i="44"/>
  <c r="C23" i="44"/>
  <c r="C22" i="44"/>
  <c r="C21" i="44"/>
  <c r="C20" i="44"/>
  <c r="C19" i="44"/>
  <c r="C18" i="44"/>
  <c r="F20" i="37"/>
  <c r="E24" i="44"/>
  <c r="H26" i="37"/>
  <c r="G20" i="43"/>
  <c r="G21" i="43" s="1"/>
  <c r="G22" i="43" s="1"/>
  <c r="G23" i="43" s="1"/>
  <c r="G24" i="43" s="1"/>
  <c r="G25" i="43" s="1"/>
  <c r="G26" i="43" s="1"/>
  <c r="G19" i="43"/>
  <c r="F28" i="37" l="1"/>
  <c r="F27" i="37"/>
  <c r="F26" i="37"/>
  <c r="F25" i="37"/>
  <c r="F24" i="37"/>
  <c r="F23" i="37"/>
  <c r="F22" i="37"/>
  <c r="F21" i="37"/>
  <c r="F21" i="36"/>
  <c r="F30" i="36"/>
  <c r="F29" i="36"/>
  <c r="F28" i="36"/>
  <c r="F27" i="36"/>
  <c r="F26" i="36"/>
  <c r="F25" i="36"/>
  <c r="F24" i="36"/>
  <c r="J85" i="40" l="1"/>
  <c r="F23" i="36"/>
  <c r="F22" i="36"/>
  <c r="G11" i="34"/>
  <c r="B77" i="40"/>
  <c r="F12" i="40"/>
  <c r="B17" i="1"/>
  <c r="B14" i="1"/>
  <c r="J84" i="11" l="1"/>
  <c r="J76" i="11" l="1"/>
  <c r="J68" i="11"/>
  <c r="J15" i="11"/>
  <c r="J14" i="11"/>
  <c r="J13" i="11"/>
  <c r="J12" i="1"/>
  <c r="J11" i="11"/>
  <c r="J12" i="11" l="1"/>
  <c r="B69" i="1"/>
  <c r="B70" i="1"/>
  <c r="X38" i="17" l="1"/>
  <c r="X37" i="17"/>
  <c r="X36" i="17"/>
  <c r="X35" i="17"/>
  <c r="X34" i="17"/>
  <c r="X33" i="17"/>
  <c r="X32" i="17"/>
  <c r="X31" i="17"/>
  <c r="Z31" i="17"/>
  <c r="Z29" i="17"/>
  <c r="Z30" i="17"/>
  <c r="Z32" i="17"/>
  <c r="Z33" i="17"/>
  <c r="Z34" i="17"/>
  <c r="Z35" i="17"/>
  <c r="Z36" i="17"/>
  <c r="Z37" i="17"/>
  <c r="Z38" i="17"/>
  <c r="F21" i="34" l="1"/>
  <c r="B86" i="11" l="1"/>
  <c r="E566" i="11" l="1"/>
  <c r="G19" i="40"/>
  <c r="G19" i="1"/>
  <c r="G22" i="11"/>
  <c r="F38" i="33" l="1"/>
  <c r="B118" i="1" l="1"/>
  <c r="B20" i="1"/>
  <c r="F48" i="33"/>
  <c r="O27" i="22"/>
  <c r="O26" i="22"/>
  <c r="O25" i="22"/>
  <c r="M27" i="22"/>
  <c r="M26" i="22"/>
  <c r="M25" i="22"/>
  <c r="F49" i="33" l="1"/>
  <c r="F50" i="33"/>
  <c r="B50" i="11"/>
  <c r="B48" i="40" l="1"/>
  <c r="B46" i="40"/>
  <c r="B17" i="40"/>
  <c r="D638" i="11"/>
  <c r="F638" i="11" s="1"/>
  <c r="D637" i="11"/>
  <c r="F637" i="11" s="1"/>
  <c r="D634" i="11"/>
  <c r="F634" i="11" s="1"/>
  <c r="D630" i="11"/>
  <c r="F630" i="11" s="1"/>
  <c r="G309" i="40" l="1"/>
  <c r="E309" i="40" l="1"/>
  <c r="F22" i="45"/>
  <c r="F38" i="45" s="1"/>
  <c r="K10" i="33"/>
  <c r="K8" i="33"/>
  <c r="K7" i="33"/>
  <c r="K6" i="33"/>
  <c r="E311" i="40"/>
  <c r="E312" i="40"/>
  <c r="E313" i="40"/>
  <c r="E310" i="40"/>
  <c r="D40" i="45"/>
  <c r="D41" i="45"/>
  <c r="D42" i="45"/>
  <c r="D43" i="45"/>
  <c r="D44" i="45"/>
  <c r="D45" i="45"/>
  <c r="D46" i="45"/>
  <c r="D47" i="45"/>
  <c r="D48" i="45"/>
  <c r="D49" i="45"/>
  <c r="D39" i="45"/>
  <c r="G22" i="45" l="1"/>
  <c r="D25" i="45"/>
  <c r="D26" i="45"/>
  <c r="D27" i="45"/>
  <c r="D28" i="45"/>
  <c r="D29" i="45"/>
  <c r="D30" i="45"/>
  <c r="D31" i="45"/>
  <c r="D32" i="45"/>
  <c r="D33" i="45"/>
  <c r="D24" i="45"/>
  <c r="G310" i="40"/>
  <c r="C38" i="45"/>
  <c r="D38" i="45"/>
  <c r="E38" i="45"/>
  <c r="B38" i="45"/>
  <c r="B37" i="45"/>
  <c r="A38" i="45"/>
  <c r="C22" i="45"/>
  <c r="D22" i="45"/>
  <c r="E22" i="45"/>
  <c r="B22" i="45"/>
  <c r="B21" i="45"/>
  <c r="A22" i="45"/>
  <c r="E560" i="11"/>
  <c r="E561" i="11"/>
  <c r="E562" i="11"/>
  <c r="E563" i="11"/>
  <c r="E564" i="11"/>
  <c r="E559" i="11"/>
  <c r="E562" i="1"/>
  <c r="E563" i="1"/>
  <c r="E564" i="1"/>
  <c r="E561" i="1"/>
  <c r="E565" i="1"/>
  <c r="J27" i="22"/>
  <c r="J26" i="22"/>
  <c r="J25" i="22"/>
  <c r="G27" i="22"/>
  <c r="G26" i="22"/>
  <c r="G25" i="22"/>
  <c r="F560" i="1"/>
  <c r="C23" i="45" s="1"/>
  <c r="F554" i="11"/>
  <c r="C7" i="45" s="1"/>
  <c r="E556" i="11"/>
  <c r="E557" i="11"/>
  <c r="E558" i="11"/>
  <c r="E555" i="11"/>
  <c r="D17" i="45"/>
  <c r="D16" i="45"/>
  <c r="D15" i="45"/>
  <c r="D14" i="45"/>
  <c r="D13" i="45"/>
  <c r="D12" i="45"/>
  <c r="D11" i="45"/>
  <c r="D10" i="45"/>
  <c r="D9" i="45"/>
  <c r="D8" i="45"/>
  <c r="B91" i="11"/>
  <c r="B20" i="11"/>
  <c r="B17" i="11"/>
  <c r="E25" i="11"/>
  <c r="E22" i="1"/>
  <c r="E31" i="1"/>
  <c r="G311" i="40" l="1"/>
  <c r="B23" i="11"/>
  <c r="G19" i="11"/>
  <c r="G7" i="11"/>
  <c r="G312" i="40" l="1"/>
  <c r="E315" i="40"/>
  <c r="E316" i="40"/>
  <c r="E317" i="40"/>
  <c r="E318" i="40"/>
  <c r="E319" i="40"/>
  <c r="E314" i="40"/>
  <c r="G313" i="40" l="1"/>
  <c r="E566" i="1"/>
  <c r="E567" i="1"/>
  <c r="E568" i="1"/>
  <c r="E569" i="1"/>
  <c r="E570" i="1"/>
  <c r="D307" i="40" l="1"/>
  <c r="E32" i="33"/>
  <c r="E33" i="33"/>
  <c r="E34" i="33"/>
  <c r="E36" i="33"/>
  <c r="E37" i="33"/>
  <c r="E39" i="33"/>
  <c r="E40" i="33"/>
  <c r="E42" i="33"/>
  <c r="E43" i="33"/>
  <c r="E46" i="33"/>
  <c r="E31" i="33"/>
  <c r="F169" i="11"/>
  <c r="F197" i="1"/>
  <c r="F311" i="40" l="1"/>
  <c r="C41" i="45" s="1"/>
  <c r="F309" i="40"/>
  <c r="C39" i="45" s="1"/>
  <c r="F313" i="40"/>
  <c r="C43" i="45" s="1"/>
  <c r="F310" i="40"/>
  <c r="C40" i="45" s="1"/>
  <c r="F312" i="40"/>
  <c r="C42" i="45" s="1"/>
  <c r="H8" i="33"/>
  <c r="I6" i="33" s="1"/>
  <c r="F10" i="33"/>
  <c r="G10" i="33" s="1"/>
  <c r="I10" i="33"/>
  <c r="J10" i="33"/>
  <c r="J7" i="33" s="1"/>
  <c r="J8" i="33" s="1"/>
  <c r="G16" i="33" s="1"/>
  <c r="J169" i="11"/>
  <c r="F558" i="11" l="1"/>
  <c r="C11" i="45" s="1"/>
  <c r="F556" i="11"/>
  <c r="C9" i="45" s="1"/>
  <c r="F555" i="11"/>
  <c r="C8" i="45" s="1"/>
  <c r="F557" i="11"/>
  <c r="C10" i="45" s="1"/>
  <c r="F7" i="33"/>
  <c r="F8" i="33"/>
  <c r="G8" i="33" s="1"/>
  <c r="I7" i="33"/>
  <c r="I8" i="33"/>
  <c r="G14" i="33" l="1"/>
  <c r="G7" i="33"/>
  <c r="G6" i="33"/>
  <c r="D138" i="40"/>
  <c r="E138" i="40"/>
  <c r="E137" i="40"/>
  <c r="D137" i="40"/>
  <c r="H25" i="40"/>
  <c r="O169" i="35" l="1"/>
  <c r="O170" i="35"/>
  <c r="O171" i="35"/>
  <c r="O172" i="35"/>
  <c r="O173" i="35"/>
  <c r="O174" i="35"/>
  <c r="O175" i="35"/>
  <c r="P177" i="35"/>
  <c r="O179" i="35"/>
  <c r="O180" i="35"/>
  <c r="O181" i="35"/>
  <c r="O182" i="35"/>
  <c r="O183" i="35"/>
  <c r="O184" i="35"/>
  <c r="O185" i="35"/>
  <c r="P187" i="35"/>
  <c r="O189" i="35"/>
  <c r="O190" i="35"/>
  <c r="O191" i="35"/>
  <c r="O192" i="35"/>
  <c r="O193" i="35"/>
  <c r="O194" i="35"/>
  <c r="O195" i="35"/>
  <c r="P167" i="35"/>
  <c r="J168" i="35"/>
  <c r="I169" i="35"/>
  <c r="I170" i="35"/>
  <c r="I171" i="35"/>
  <c r="I172" i="35"/>
  <c r="I173" i="35"/>
  <c r="I174" i="35"/>
  <c r="I175" i="35"/>
  <c r="J177" i="35"/>
  <c r="J178" i="35"/>
  <c r="I179" i="35"/>
  <c r="I180" i="35"/>
  <c r="I181" i="35"/>
  <c r="I182" i="35"/>
  <c r="I183" i="35"/>
  <c r="I184" i="35"/>
  <c r="I185" i="35"/>
  <c r="J187" i="35"/>
  <c r="J188" i="35"/>
  <c r="I189" i="35"/>
  <c r="I190" i="35"/>
  <c r="I191" i="35"/>
  <c r="I192" i="35"/>
  <c r="I193" i="35"/>
  <c r="I194" i="35"/>
  <c r="I195" i="35"/>
  <c r="J167" i="35"/>
  <c r="C169" i="35"/>
  <c r="C170" i="35"/>
  <c r="C171" i="35"/>
  <c r="C172" i="35"/>
  <c r="C173" i="35"/>
  <c r="C174" i="35"/>
  <c r="C175" i="35"/>
  <c r="D177" i="35"/>
  <c r="C179" i="35"/>
  <c r="C180" i="35"/>
  <c r="C181" i="35"/>
  <c r="C182" i="35"/>
  <c r="C183" i="35"/>
  <c r="C184" i="35"/>
  <c r="C185" i="35"/>
  <c r="D187" i="35"/>
  <c r="C189" i="35"/>
  <c r="C190" i="35"/>
  <c r="C191" i="35"/>
  <c r="C192" i="35"/>
  <c r="C193" i="35"/>
  <c r="C194" i="35"/>
  <c r="C195" i="35"/>
  <c r="D167" i="35"/>
  <c r="P179" i="34"/>
  <c r="P180" i="34"/>
  <c r="P189" i="34"/>
  <c r="P190" i="34"/>
  <c r="P199" i="34"/>
  <c r="P200" i="34"/>
  <c r="O181" i="34"/>
  <c r="O182" i="34"/>
  <c r="O183" i="34"/>
  <c r="O184" i="34"/>
  <c r="O185" i="34"/>
  <c r="O186" i="34"/>
  <c r="O187" i="34"/>
  <c r="O191" i="34"/>
  <c r="O192" i="34"/>
  <c r="O193" i="34"/>
  <c r="O194" i="34"/>
  <c r="O195" i="34"/>
  <c r="O196" i="34"/>
  <c r="O197" i="34"/>
  <c r="O201" i="34"/>
  <c r="O202" i="34"/>
  <c r="O203" i="34"/>
  <c r="O204" i="34"/>
  <c r="O205" i="34"/>
  <c r="O206" i="34"/>
  <c r="O207" i="34"/>
  <c r="J180" i="34"/>
  <c r="I181" i="34"/>
  <c r="I182" i="34"/>
  <c r="I183" i="34"/>
  <c r="I184" i="34"/>
  <c r="I185" i="34"/>
  <c r="I186" i="34"/>
  <c r="I187" i="34"/>
  <c r="J189" i="34"/>
  <c r="J190" i="34"/>
  <c r="I191" i="34"/>
  <c r="I192" i="34"/>
  <c r="I193" i="34"/>
  <c r="I194" i="34"/>
  <c r="I195" i="34"/>
  <c r="I196" i="34"/>
  <c r="I197" i="34"/>
  <c r="J199" i="34"/>
  <c r="J200" i="34"/>
  <c r="I201" i="34"/>
  <c r="I202" i="34"/>
  <c r="I203" i="34"/>
  <c r="I204" i="34"/>
  <c r="I205" i="34"/>
  <c r="I206" i="34"/>
  <c r="I207" i="34"/>
  <c r="J179" i="34"/>
  <c r="C181" i="34"/>
  <c r="C182" i="34"/>
  <c r="C183" i="34"/>
  <c r="C184" i="34"/>
  <c r="C185" i="34"/>
  <c r="C186" i="34"/>
  <c r="C187" i="34"/>
  <c r="D189" i="34"/>
  <c r="C191" i="34"/>
  <c r="C192" i="34"/>
  <c r="C193" i="34"/>
  <c r="C194" i="34"/>
  <c r="C195" i="34"/>
  <c r="C196" i="34"/>
  <c r="C197" i="34"/>
  <c r="D199" i="34"/>
  <c r="C201" i="34"/>
  <c r="C202" i="34"/>
  <c r="C203" i="34"/>
  <c r="C204" i="34"/>
  <c r="C205" i="34"/>
  <c r="C206" i="34"/>
  <c r="C207" i="34"/>
  <c r="D179" i="34"/>
  <c r="F119" i="11" l="1"/>
  <c r="F120" i="11"/>
  <c r="B82" i="11" l="1"/>
  <c r="K59" i="35" l="1"/>
  <c r="K69" i="34"/>
  <c r="G347" i="11" l="1"/>
  <c r="G112" i="11" l="1"/>
  <c r="B50" i="40"/>
  <c r="J51" i="11"/>
  <c r="E41" i="11"/>
  <c r="J135" i="1"/>
  <c r="F135" i="1"/>
  <c r="E135" i="1"/>
  <c r="G375" i="1"/>
  <c r="K389" i="1"/>
  <c r="L389" i="1"/>
  <c r="M389" i="1"/>
  <c r="Q389" i="1"/>
  <c r="R389" i="1"/>
  <c r="S389" i="1"/>
  <c r="W389" i="1"/>
  <c r="X389" i="1"/>
  <c r="Y389" i="1"/>
  <c r="J65" i="1"/>
  <c r="F65" i="1"/>
  <c r="E65" i="1"/>
  <c r="G47" i="1"/>
  <c r="I34" i="1"/>
  <c r="H34" i="1"/>
  <c r="H25" i="1"/>
  <c r="E173" i="11" l="1"/>
  <c r="I25" i="1"/>
  <c r="J75" i="40" l="1"/>
  <c r="J79" i="40"/>
  <c r="J121" i="1"/>
  <c r="J120" i="1"/>
  <c r="J122" i="1"/>
  <c r="H35" i="1" l="1"/>
  <c r="H36" i="1"/>
  <c r="H37" i="1"/>
  <c r="H38" i="1"/>
  <c r="H39" i="1"/>
  <c r="J26" i="40" l="1"/>
  <c r="J27" i="40"/>
  <c r="J28" i="40"/>
  <c r="J29" i="40"/>
  <c r="J30" i="40"/>
  <c r="J25" i="40"/>
  <c r="G173" i="11" l="1"/>
  <c r="I26" i="40"/>
  <c r="I27" i="40"/>
  <c r="I28" i="40"/>
  <c r="I29" i="40"/>
  <c r="I30" i="40"/>
  <c r="I35" i="1"/>
  <c r="I36" i="1"/>
  <c r="I37" i="1"/>
  <c r="I38" i="1"/>
  <c r="I39" i="1"/>
  <c r="J29" i="11" l="1"/>
  <c r="J30" i="11"/>
  <c r="J31" i="11"/>
  <c r="J32" i="11"/>
  <c r="J33" i="11"/>
  <c r="J28" i="11"/>
  <c r="H29" i="11"/>
  <c r="I29" i="11" s="1"/>
  <c r="H30" i="11"/>
  <c r="I30" i="11" s="1"/>
  <c r="H31" i="11"/>
  <c r="I31" i="11" s="1"/>
  <c r="H32" i="11"/>
  <c r="I32" i="11" s="1"/>
  <c r="H33" i="11"/>
  <c r="I33" i="11" s="1"/>
  <c r="H28" i="11"/>
  <c r="I28" i="11" s="1"/>
  <c r="J35" i="1"/>
  <c r="J36" i="1"/>
  <c r="J37" i="1"/>
  <c r="J38" i="1"/>
  <c r="J39" i="1"/>
  <c r="J34" i="1"/>
  <c r="J26" i="1"/>
  <c r="J27" i="1"/>
  <c r="J28" i="1"/>
  <c r="J29" i="1"/>
  <c r="J30" i="1"/>
  <c r="J25" i="1"/>
  <c r="H26" i="1"/>
  <c r="I26" i="1" s="1"/>
  <c r="H27" i="1"/>
  <c r="I27" i="1" s="1"/>
  <c r="H28" i="1"/>
  <c r="I28" i="1" s="1"/>
  <c r="H29" i="1"/>
  <c r="I29" i="1" s="1"/>
  <c r="H30" i="1"/>
  <c r="I30" i="1" s="1"/>
  <c r="B127" i="1" l="1"/>
  <c r="B45" i="1"/>
  <c r="B39" i="11"/>
  <c r="B14" i="44"/>
  <c r="B94" i="11" l="1"/>
  <c r="B96" i="11"/>
  <c r="I29" i="34"/>
  <c r="F26" i="43" l="1"/>
  <c r="F25" i="43"/>
  <c r="F23" i="43"/>
  <c r="F22" i="43"/>
  <c r="F21" i="43"/>
  <c r="E189" i="43"/>
  <c r="F189" i="43" s="1"/>
  <c r="G189" i="43" s="1"/>
  <c r="H189" i="43" s="1"/>
  <c r="E186" i="43"/>
  <c r="F186" i="43" s="1"/>
  <c r="G186" i="43" s="1"/>
  <c r="H186" i="43" s="1"/>
  <c r="E184" i="43"/>
  <c r="E187" i="43" s="1"/>
  <c r="F184" i="43"/>
  <c r="F187" i="43" s="1"/>
  <c r="F190" i="43" s="1"/>
  <c r="G184" i="43"/>
  <c r="G187" i="43" s="1"/>
  <c r="G190" i="43" s="1"/>
  <c r="H184" i="43"/>
  <c r="H187" i="43" s="1"/>
  <c r="H190" i="43" s="1"/>
  <c r="D184" i="43"/>
  <c r="I195" i="43"/>
  <c r="C197" i="43"/>
  <c r="C198" i="43"/>
  <c r="C199" i="43"/>
  <c r="C200" i="43"/>
  <c r="C201" i="43"/>
  <c r="C202" i="43"/>
  <c r="C203" i="43"/>
  <c r="F24" i="43"/>
  <c r="F105" i="11"/>
  <c r="H152" i="43" l="1"/>
  <c r="H170" i="43" s="1"/>
  <c r="E190" i="43"/>
  <c r="E152" i="43" s="1"/>
  <c r="E122" i="43"/>
  <c r="H122" i="43"/>
  <c r="G152" i="43"/>
  <c r="D187" i="43"/>
  <c r="G122" i="43"/>
  <c r="F152" i="43"/>
  <c r="F122" i="43"/>
  <c r="F20" i="43"/>
  <c r="F19" i="43"/>
  <c r="F18" i="43"/>
  <c r="F6" i="43"/>
  <c r="F6" i="35"/>
  <c r="B59" i="35" s="1"/>
  <c r="D11" i="44"/>
  <c r="G11" i="43"/>
  <c r="B7" i="44"/>
  <c r="B6" i="44"/>
  <c r="B5" i="44"/>
  <c r="B13" i="44"/>
  <c r="B12" i="44"/>
  <c r="D12" i="44"/>
  <c r="F6" i="34"/>
  <c r="B69" i="34" s="1"/>
  <c r="B22" i="43" l="1"/>
  <c r="B119" i="43"/>
  <c r="B21" i="43"/>
  <c r="B56" i="43"/>
  <c r="B23" i="43"/>
  <c r="D156" i="35"/>
  <c r="AF166" i="34"/>
  <c r="D166" i="34"/>
  <c r="R166" i="34"/>
  <c r="Y166" i="34"/>
  <c r="K166" i="34"/>
  <c r="B79" i="35"/>
  <c r="B69" i="35"/>
  <c r="K156" i="35"/>
  <c r="Y156" i="35"/>
  <c r="R156" i="35"/>
  <c r="AF156" i="35"/>
  <c r="H161" i="43"/>
  <c r="B57" i="35"/>
  <c r="B90" i="35"/>
  <c r="B89" i="34"/>
  <c r="B100" i="34"/>
  <c r="B67" i="34"/>
  <c r="B133" i="34"/>
  <c r="B149" i="43"/>
  <c r="B123" i="35"/>
  <c r="E161" i="43"/>
  <c r="E170" i="43"/>
  <c r="F161" i="43"/>
  <c r="F170" i="43"/>
  <c r="H140" i="43"/>
  <c r="H131" i="43"/>
  <c r="G131" i="43"/>
  <c r="G140" i="43"/>
  <c r="G170" i="43"/>
  <c r="G161" i="43"/>
  <c r="E140" i="43"/>
  <c r="E131" i="43"/>
  <c r="F131" i="43"/>
  <c r="F140" i="43"/>
  <c r="D122" i="43"/>
  <c r="D190" i="43"/>
  <c r="D152" i="43" s="1"/>
  <c r="C6" i="44"/>
  <c r="B79" i="34"/>
  <c r="B13" i="43"/>
  <c r="B12" i="43"/>
  <c r="B16" i="37"/>
  <c r="G12" i="37"/>
  <c r="F154" i="1"/>
  <c r="D161" i="43" l="1"/>
  <c r="D170" i="43"/>
  <c r="D131" i="43"/>
  <c r="D140" i="43"/>
  <c r="F28" i="35"/>
  <c r="F27" i="35"/>
  <c r="B28" i="35"/>
  <c r="F26" i="35"/>
  <c r="F25" i="35"/>
  <c r="F24" i="35"/>
  <c r="F23" i="35"/>
  <c r="F22" i="35"/>
  <c r="F21" i="35"/>
  <c r="B21" i="35"/>
  <c r="B20" i="37" s="1"/>
  <c r="B21" i="34"/>
  <c r="B21" i="36" s="1"/>
  <c r="F29" i="34"/>
  <c r="F28" i="34"/>
  <c r="F27" i="34"/>
  <c r="F26" i="34"/>
  <c r="F25" i="34"/>
  <c r="F24" i="34"/>
  <c r="F23" i="34"/>
  <c r="F22" i="34"/>
  <c r="B17" i="36"/>
  <c r="G12" i="34"/>
  <c r="BM832" i="25" l="1"/>
  <c r="BM833" i="25"/>
  <c r="BM834" i="25"/>
  <c r="BM835" i="25"/>
  <c r="BM836" i="25"/>
  <c r="BM837" i="25"/>
  <c r="BM838" i="25"/>
  <c r="BM839" i="25"/>
  <c r="BM840" i="25"/>
  <c r="BM841" i="25"/>
  <c r="BM842" i="25"/>
  <c r="BM843" i="25"/>
  <c r="BM844" i="25"/>
  <c r="BM845" i="25"/>
  <c r="BM846" i="25"/>
  <c r="BM847" i="25"/>
  <c r="BM848" i="25"/>
  <c r="BM849" i="25"/>
  <c r="BM850" i="25"/>
  <c r="BM851" i="25"/>
  <c r="BM852" i="25"/>
  <c r="BM853" i="25"/>
  <c r="BM854" i="25"/>
  <c r="BM855" i="25"/>
  <c r="BM856" i="25"/>
  <c r="BM857" i="25"/>
  <c r="BM858" i="25"/>
  <c r="BM859" i="25"/>
  <c r="BM860" i="25"/>
  <c r="BM861" i="25"/>
  <c r="BM862" i="25"/>
  <c r="BM863" i="25"/>
  <c r="BM864" i="25"/>
  <c r="BM865" i="25"/>
  <c r="BM866" i="25"/>
  <c r="BM867" i="25"/>
  <c r="BM868" i="25"/>
  <c r="BM869" i="25"/>
  <c r="BM870" i="25"/>
  <c r="BM871" i="25"/>
  <c r="BM872" i="25"/>
  <c r="BM873" i="25"/>
  <c r="BM874" i="25"/>
  <c r="BM875" i="25"/>
  <c r="BM876" i="25"/>
  <c r="BM877" i="25"/>
  <c r="BM878" i="25"/>
  <c r="BM879" i="25"/>
  <c r="BM880" i="25"/>
  <c r="BM881" i="25"/>
  <c r="BM882" i="25"/>
  <c r="BM883" i="25"/>
  <c r="BM884" i="25"/>
  <c r="BM885" i="25"/>
  <c r="BM886" i="25"/>
  <c r="BM887" i="25"/>
  <c r="BM888" i="25"/>
  <c r="BM889" i="25"/>
  <c r="BM890" i="25"/>
  <c r="BM891" i="25"/>
  <c r="BM892" i="25"/>
  <c r="BM893" i="25"/>
  <c r="BM894" i="25"/>
  <c r="BM895" i="25"/>
  <c r="BM896" i="25"/>
  <c r="BM897" i="25"/>
  <c r="BM898" i="25"/>
  <c r="BM899" i="25"/>
  <c r="BM900" i="25"/>
  <c r="BM901" i="25"/>
  <c r="BM902" i="25"/>
  <c r="BM903" i="25"/>
  <c r="BM904" i="25"/>
  <c r="BM905" i="25"/>
  <c r="BM906" i="25"/>
  <c r="BM907" i="25"/>
  <c r="BM908" i="25"/>
  <c r="BM909" i="25"/>
  <c r="BM910" i="25"/>
  <c r="BM911" i="25"/>
  <c r="BM912" i="25"/>
  <c r="BM913" i="25"/>
  <c r="BM914" i="25"/>
  <c r="BM915" i="25"/>
  <c r="BM916" i="25"/>
  <c r="BM917" i="25"/>
  <c r="BM918" i="25"/>
  <c r="BM919" i="25"/>
  <c r="BM920" i="25"/>
  <c r="BM921" i="25"/>
  <c r="BM922" i="25"/>
  <c r="BM923" i="25"/>
  <c r="BM924" i="25"/>
  <c r="BM925" i="25"/>
  <c r="BM926" i="25"/>
  <c r="BM927" i="25"/>
  <c r="BM928" i="25"/>
  <c r="BM929" i="25"/>
  <c r="BM930" i="25"/>
  <c r="BM931" i="25"/>
  <c r="BM932" i="25"/>
  <c r="BM933" i="25"/>
  <c r="BM934" i="25"/>
  <c r="BM935" i="25"/>
  <c r="BM936" i="25"/>
  <c r="BM937" i="25"/>
  <c r="BM938" i="25"/>
  <c r="BM939" i="25"/>
  <c r="BM940" i="25"/>
  <c r="BM941" i="25"/>
  <c r="BM942" i="25"/>
  <c r="BM943" i="25"/>
  <c r="BM944" i="25"/>
  <c r="BM945" i="25"/>
  <c r="BM946" i="25"/>
  <c r="BM947" i="25"/>
  <c r="BM948" i="25"/>
  <c r="BM949" i="25"/>
  <c r="BM950" i="25"/>
  <c r="BM951" i="25"/>
  <c r="BM952" i="25"/>
  <c r="BM953" i="25"/>
  <c r="BM954" i="25"/>
  <c r="BM955" i="25"/>
  <c r="BM956" i="25"/>
  <c r="BM957" i="25"/>
  <c r="BM958" i="25"/>
  <c r="BM959" i="25"/>
  <c r="BM960" i="25"/>
  <c r="BM961" i="25"/>
  <c r="BM962" i="25"/>
  <c r="BM963" i="25"/>
  <c r="BM964" i="25"/>
  <c r="BM965" i="25"/>
  <c r="BM966" i="25"/>
  <c r="BM967" i="25"/>
  <c r="BM968" i="25"/>
  <c r="BM969" i="25"/>
  <c r="BM970" i="25"/>
  <c r="BM971" i="25"/>
  <c r="BM972" i="25"/>
  <c r="BM973" i="25"/>
  <c r="BM974" i="25"/>
  <c r="BM975" i="25"/>
  <c r="BM976" i="25"/>
  <c r="BM977" i="25"/>
  <c r="BM978" i="25"/>
  <c r="BM979" i="25"/>
  <c r="BM980" i="25"/>
  <c r="BM981" i="25"/>
  <c r="BM982" i="25"/>
  <c r="BM983" i="25"/>
  <c r="BM984" i="25"/>
  <c r="BM985" i="25"/>
  <c r="BM986" i="25"/>
  <c r="BM987" i="25"/>
  <c r="BM988" i="25"/>
  <c r="BM989" i="25"/>
  <c r="BM990" i="25"/>
  <c r="BM991" i="25"/>
  <c r="BM992" i="25"/>
  <c r="BM993" i="25"/>
  <c r="BM994" i="25"/>
  <c r="BM995" i="25"/>
  <c r="BM996" i="25"/>
  <c r="BM997" i="25"/>
  <c r="BM998" i="25"/>
  <c r="BM999" i="25"/>
  <c r="BM1000" i="25"/>
  <c r="BM1001" i="25"/>
  <c r="BM1002" i="25"/>
  <c r="BM1003" i="25"/>
  <c r="BM1004" i="25"/>
  <c r="BM1005" i="25"/>
  <c r="BM1006" i="25"/>
  <c r="BM1007" i="25"/>
  <c r="BM1008" i="25"/>
  <c r="BM1009" i="25"/>
  <c r="BM1010" i="25"/>
  <c r="BM1011" i="25"/>
  <c r="BM1012" i="25"/>
  <c r="BM1013" i="25"/>
  <c r="BM1014" i="25"/>
  <c r="BM1015" i="25"/>
  <c r="BM1016" i="25"/>
  <c r="BM1017" i="25"/>
  <c r="BM1018" i="25"/>
  <c r="BM1019" i="25"/>
  <c r="BM1020" i="25"/>
  <c r="BM1021" i="25"/>
  <c r="BM1022" i="25"/>
  <c r="BM1023" i="25"/>
  <c r="BM1024" i="25"/>
  <c r="BM1025" i="25"/>
  <c r="BM1026" i="25"/>
  <c r="BM1027" i="25"/>
  <c r="BM1028" i="25"/>
  <c r="BM1029" i="25"/>
  <c r="BM1030" i="25"/>
  <c r="BM1031" i="25"/>
  <c r="BM1032" i="25"/>
  <c r="BM1033" i="25"/>
  <c r="BM1034" i="25"/>
  <c r="BM1035" i="25"/>
  <c r="BM1036" i="25"/>
  <c r="BM1037" i="25"/>
  <c r="BM1038" i="25"/>
  <c r="BM1039" i="25"/>
  <c r="BM1040" i="25"/>
  <c r="BM1041" i="25"/>
  <c r="BM1042" i="25"/>
  <c r="BM1043" i="25"/>
  <c r="BM1044" i="25"/>
  <c r="BM1045" i="25"/>
  <c r="BM1046" i="25"/>
  <c r="BM1047" i="25"/>
  <c r="BM1048" i="25"/>
  <c r="BM1049" i="25"/>
  <c r="BM1050" i="25"/>
  <c r="BM1051" i="25"/>
  <c r="BM1052" i="25"/>
  <c r="BM1053" i="25"/>
  <c r="BM1054" i="25"/>
  <c r="BM1055" i="25"/>
  <c r="BM1056" i="25"/>
  <c r="BM1057" i="25"/>
  <c r="BM1058" i="25"/>
  <c r="BM1059" i="25"/>
  <c r="BM1060" i="25"/>
  <c r="BM1061" i="25"/>
  <c r="BM1062" i="25"/>
  <c r="BM1063" i="25"/>
  <c r="BM1064" i="25"/>
  <c r="BM1065" i="25"/>
  <c r="BM1066" i="25"/>
  <c r="BM1067" i="25"/>
  <c r="BM1068" i="25"/>
  <c r="BM1069" i="25"/>
  <c r="BM1070" i="25"/>
  <c r="BM1071" i="25"/>
  <c r="BM1072" i="25"/>
  <c r="BM1073" i="25"/>
  <c r="BM1074" i="25"/>
  <c r="BM1075" i="25"/>
  <c r="BM1076" i="25"/>
  <c r="BM1077" i="25"/>
  <c r="BM1078" i="25"/>
  <c r="BM1079" i="25"/>
  <c r="BM1080" i="25"/>
  <c r="BM1081" i="25"/>
  <c r="BM1082" i="25"/>
  <c r="BM1083" i="25"/>
  <c r="BM1084" i="25"/>
  <c r="BM1085" i="25"/>
  <c r="BM1086" i="25"/>
  <c r="BM1087" i="25"/>
  <c r="BM1088" i="25"/>
  <c r="BM1089" i="25"/>
  <c r="BM1090" i="25"/>
  <c r="BM1091" i="25"/>
  <c r="BM1092" i="25"/>
  <c r="BM1093" i="25"/>
  <c r="BM1094" i="25"/>
  <c r="BM1095" i="25"/>
  <c r="BM1096" i="25"/>
  <c r="BM1097" i="25"/>
  <c r="BM1098" i="25"/>
  <c r="BM1099" i="25"/>
  <c r="BM1100" i="25"/>
  <c r="BM1101" i="25"/>
  <c r="BM1102" i="25"/>
  <c r="BM1103" i="25"/>
  <c r="BM1104" i="25"/>
  <c r="BM1105" i="25"/>
  <c r="BM1106" i="25"/>
  <c r="BM1107" i="25"/>
  <c r="BM1108" i="25"/>
  <c r="BM1109" i="25"/>
  <c r="BM1110" i="25"/>
  <c r="BM1111" i="25"/>
  <c r="BM1112" i="25"/>
  <c r="BM1113" i="25"/>
  <c r="BM1114" i="25"/>
  <c r="BM1115" i="25"/>
  <c r="BM1116" i="25"/>
  <c r="BM1117" i="25"/>
  <c r="BM1118" i="25"/>
  <c r="BM1119" i="25"/>
  <c r="BM1120" i="25"/>
  <c r="BM1121" i="25"/>
  <c r="BM1122" i="25"/>
  <c r="BM1123" i="25"/>
  <c r="BM1124" i="25"/>
  <c r="BM1125" i="25"/>
  <c r="BM1126" i="25"/>
  <c r="BM1127" i="25"/>
  <c r="BM1128" i="25"/>
  <c r="BM1129" i="25"/>
  <c r="BM1130" i="25"/>
  <c r="BM1131" i="25"/>
  <c r="BM1132" i="25"/>
  <c r="BM1133" i="25"/>
  <c r="BM1134" i="25"/>
  <c r="BM1135" i="25"/>
  <c r="BM1136" i="25"/>
  <c r="BM1137" i="25"/>
  <c r="BM1138" i="25"/>
  <c r="BM1139" i="25"/>
  <c r="BM1140" i="25"/>
  <c r="BM1141" i="25"/>
  <c r="BM1142" i="25"/>
  <c r="BM1143" i="25"/>
  <c r="BM1144" i="25"/>
  <c r="BM1145" i="25"/>
  <c r="BM1146" i="25"/>
  <c r="BM1147" i="25"/>
  <c r="BM1148" i="25"/>
  <c r="BM1149" i="25"/>
  <c r="BM1150" i="25"/>
  <c r="BM1151" i="25"/>
  <c r="BM1152" i="25"/>
  <c r="BM1153" i="25"/>
  <c r="BM1154" i="25"/>
  <c r="BM1155" i="25"/>
  <c r="BM1156" i="25"/>
  <c r="BM1157" i="25"/>
  <c r="BM1158" i="25"/>
  <c r="BM1159" i="25"/>
  <c r="BM1160" i="25"/>
  <c r="BM1161" i="25"/>
  <c r="BM1162" i="25"/>
  <c r="BM1163" i="25"/>
  <c r="BM1164" i="25"/>
  <c r="BM1165" i="25"/>
  <c r="BM1166" i="25"/>
  <c r="BM1167" i="25"/>
  <c r="BM1168" i="25"/>
  <c r="BM1169" i="25"/>
  <c r="BM1170" i="25"/>
  <c r="BM1171" i="25"/>
  <c r="BM1172" i="25"/>
  <c r="BM1173" i="25"/>
  <c r="BM1174" i="25"/>
  <c r="BM1175" i="25"/>
  <c r="BM1176" i="25"/>
  <c r="BM1177" i="25"/>
  <c r="BM1178" i="25"/>
  <c r="BM1179" i="25"/>
  <c r="BM1180" i="25"/>
  <c r="BM1181" i="25"/>
  <c r="BM1182" i="25"/>
  <c r="BM1183" i="25"/>
  <c r="BM1184" i="25"/>
  <c r="BM1185" i="25"/>
  <c r="BM1186" i="25"/>
  <c r="BM1187" i="25"/>
  <c r="BM1188" i="25"/>
  <c r="BM1189" i="25"/>
  <c r="BM1190" i="25"/>
  <c r="BM1191" i="25"/>
  <c r="BM1192" i="25"/>
  <c r="BM1193" i="25"/>
  <c r="BM1194" i="25"/>
  <c r="BM1195" i="25"/>
  <c r="BM1196" i="25"/>
  <c r="BM1197" i="25"/>
  <c r="BM1198" i="25"/>
  <c r="BM1199" i="25"/>
  <c r="BM1200" i="25"/>
  <c r="BM1201" i="25"/>
  <c r="BM1202" i="25"/>
  <c r="BM1203" i="25"/>
  <c r="BM1204" i="25"/>
  <c r="BM1205" i="25"/>
  <c r="BM1206" i="25"/>
  <c r="BM1207" i="25"/>
  <c r="BM1208" i="25"/>
  <c r="BM1209" i="25"/>
  <c r="BM1210" i="25"/>
  <c r="BM1211" i="25"/>
  <c r="BM1212" i="25"/>
  <c r="BM1213" i="25"/>
  <c r="BM1214" i="25"/>
  <c r="BM1215" i="25"/>
  <c r="BM1216" i="25"/>
  <c r="BM1217" i="25"/>
  <c r="BM1218" i="25"/>
  <c r="BM1219" i="25"/>
  <c r="BM1220" i="25"/>
  <c r="BM1221" i="25"/>
  <c r="BM1222" i="25"/>
  <c r="BM1223" i="25"/>
  <c r="BM1224" i="25"/>
  <c r="BM1225" i="25"/>
  <c r="BM1226" i="25"/>
  <c r="BM1227" i="25"/>
  <c r="BM1228" i="25"/>
  <c r="BM1229" i="25"/>
  <c r="BM1230" i="25"/>
  <c r="BM1231" i="25"/>
  <c r="BM1232" i="25"/>
  <c r="BM828" i="25"/>
  <c r="BM829" i="25"/>
  <c r="BM830" i="25"/>
  <c r="BM831" i="25"/>
  <c r="BM827" i="25"/>
  <c r="B22" i="40" l="1"/>
  <c r="B90" i="1"/>
  <c r="J126" i="1" l="1"/>
  <c r="B51" i="40" l="1"/>
  <c r="B108" i="1"/>
  <c r="B172" i="11"/>
  <c r="H26" i="40" l="1"/>
  <c r="H27" i="40"/>
  <c r="H28" i="40"/>
  <c r="H29" i="40"/>
  <c r="H30" i="40"/>
  <c r="C13" i="20"/>
  <c r="C7" i="20"/>
  <c r="I25" i="40" l="1"/>
  <c r="B36" i="40"/>
  <c r="B167" i="11"/>
  <c r="B195" i="1"/>
  <c r="J353" i="40" l="1"/>
  <c r="J352" i="40"/>
  <c r="J129" i="1"/>
  <c r="F136" i="1" s="1"/>
  <c r="J136" i="1" s="1"/>
  <c r="S217" i="43"/>
  <c r="D169" i="43"/>
  <c r="S216" i="43" s="1"/>
  <c r="C167" i="43"/>
  <c r="C176" i="43" s="1"/>
  <c r="C166" i="43"/>
  <c r="C175" i="43" s="1"/>
  <c r="C165" i="43"/>
  <c r="C174" i="43" s="1"/>
  <c r="C164" i="43"/>
  <c r="C173" i="43" s="1"/>
  <c r="C163" i="43"/>
  <c r="C172" i="43" s="1"/>
  <c r="C162" i="43"/>
  <c r="C171" i="43" s="1"/>
  <c r="S207" i="43"/>
  <c r="C161" i="43"/>
  <c r="C170" i="43" s="1"/>
  <c r="D160" i="43"/>
  <c r="S206" i="43" s="1"/>
  <c r="S197" i="43"/>
  <c r="D151" i="43"/>
  <c r="S196" i="43" s="1"/>
  <c r="N217" i="43"/>
  <c r="D139" i="43"/>
  <c r="N216" i="43" s="1"/>
  <c r="C137" i="43"/>
  <c r="C146" i="43" s="1"/>
  <c r="C136" i="43"/>
  <c r="C145" i="43" s="1"/>
  <c r="C135" i="43"/>
  <c r="C144" i="43" s="1"/>
  <c r="C134" i="43"/>
  <c r="C143" i="43" s="1"/>
  <c r="C133" i="43"/>
  <c r="C142" i="43" s="1"/>
  <c r="C132" i="43"/>
  <c r="C141" i="43" s="1"/>
  <c r="N207" i="43"/>
  <c r="C131" i="43"/>
  <c r="C140" i="43" s="1"/>
  <c r="D130" i="43"/>
  <c r="N206" i="43" s="1"/>
  <c r="N197" i="43"/>
  <c r="D121" i="43"/>
  <c r="N196" i="43" s="1"/>
  <c r="C74" i="43"/>
  <c r="C73" i="43"/>
  <c r="C72" i="43"/>
  <c r="C71" i="43"/>
  <c r="C70" i="43"/>
  <c r="C69" i="43"/>
  <c r="C68" i="43"/>
  <c r="F83" i="40"/>
  <c r="B83" i="40"/>
  <c r="C78" i="43" l="1"/>
  <c r="C218" i="43" s="1"/>
  <c r="C208" i="43"/>
  <c r="C82" i="43"/>
  <c r="C222" i="43" s="1"/>
  <c r="C212" i="43"/>
  <c r="C79" i="43"/>
  <c r="C219" i="43" s="1"/>
  <c r="C209" i="43"/>
  <c r="C83" i="43"/>
  <c r="C223" i="43" s="1"/>
  <c r="C213" i="43"/>
  <c r="C81" i="43"/>
  <c r="C221" i="43" s="1"/>
  <c r="C211" i="43"/>
  <c r="C77" i="43"/>
  <c r="C217" i="43" s="1"/>
  <c r="C207" i="43"/>
  <c r="C80" i="43"/>
  <c r="C220" i="43" s="1"/>
  <c r="C210" i="43"/>
  <c r="B11" i="35" l="1"/>
  <c r="B11" i="37" s="1"/>
  <c r="B25" i="1" l="1"/>
  <c r="F95" i="1"/>
  <c r="F124" i="11"/>
  <c r="F108" i="11"/>
  <c r="F107" i="11"/>
  <c r="F75" i="11"/>
  <c r="J75" i="11" s="1"/>
  <c r="F125" i="11"/>
  <c r="F121" i="11"/>
  <c r="B121" i="11"/>
  <c r="F11" i="35"/>
  <c r="F11" i="37" s="1"/>
  <c r="D108" i="43"/>
  <c r="I215" i="43" s="1"/>
  <c r="D98" i="43"/>
  <c r="I205" i="43" s="1"/>
  <c r="B11" i="43"/>
  <c r="B11" i="44" s="1"/>
  <c r="B10" i="43"/>
  <c r="B10" i="44" s="1"/>
  <c r="B9" i="43"/>
  <c r="B9" i="44" s="1"/>
  <c r="B8" i="43"/>
  <c r="B8" i="44" s="1"/>
  <c r="F7" i="43"/>
  <c r="F5" i="43"/>
  <c r="C5" i="44" s="1"/>
  <c r="V181" i="43"/>
  <c r="AC181" i="43" s="1"/>
  <c r="AJ181" i="43" s="1"/>
  <c r="N181" i="43"/>
  <c r="U181" i="43" s="1"/>
  <c r="AB181" i="43" s="1"/>
  <c r="M181" i="43"/>
  <c r="T181" i="43" s="1"/>
  <c r="AA181" i="43" s="1"/>
  <c r="AH181" i="43" s="1"/>
  <c r="L181" i="43"/>
  <c r="S181" i="43" s="1"/>
  <c r="K181" i="43"/>
  <c r="R181" i="43" s="1"/>
  <c r="Y181" i="43" s="1"/>
  <c r="AF181" i="43" s="1"/>
  <c r="C106" i="43"/>
  <c r="C116" i="43" s="1"/>
  <c r="J116" i="43" s="1"/>
  <c r="Q116" i="43" s="1"/>
  <c r="X116" i="43" s="1"/>
  <c r="AE116" i="43" s="1"/>
  <c r="C105" i="43"/>
  <c r="C104" i="43"/>
  <c r="C103" i="43"/>
  <c r="C113" i="43" s="1"/>
  <c r="J113" i="43" s="1"/>
  <c r="Q113" i="43" s="1"/>
  <c r="X113" i="43" s="1"/>
  <c r="AE113" i="43" s="1"/>
  <c r="C102" i="43"/>
  <c r="C101" i="43"/>
  <c r="C100" i="43"/>
  <c r="C110" i="43" s="1"/>
  <c r="J110" i="43" s="1"/>
  <c r="Q110" i="43" s="1"/>
  <c r="X110" i="43" s="1"/>
  <c r="AE110" i="43" s="1"/>
  <c r="AF98" i="43"/>
  <c r="AF108" i="43" s="1"/>
  <c r="Y98" i="43"/>
  <c r="Y108" i="43" s="1"/>
  <c r="R98" i="43"/>
  <c r="R108" i="43" s="1"/>
  <c r="K98" i="43"/>
  <c r="K108" i="43" s="1"/>
  <c r="J96" i="43"/>
  <c r="Q96" i="43" s="1"/>
  <c r="X96" i="43" s="1"/>
  <c r="AE96" i="43" s="1"/>
  <c r="J95" i="43"/>
  <c r="Q95" i="43" s="1"/>
  <c r="X95" i="43" s="1"/>
  <c r="AE95" i="43" s="1"/>
  <c r="J94" i="43"/>
  <c r="Q94" i="43" s="1"/>
  <c r="X94" i="43" s="1"/>
  <c r="AE94" i="43" s="1"/>
  <c r="J93" i="43"/>
  <c r="Q93" i="43" s="1"/>
  <c r="X93" i="43" s="1"/>
  <c r="AE93" i="43" s="1"/>
  <c r="J92" i="43"/>
  <c r="Q92" i="43" s="1"/>
  <c r="X92" i="43" s="1"/>
  <c r="AE92" i="43" s="1"/>
  <c r="J91" i="43"/>
  <c r="Q91" i="43" s="1"/>
  <c r="X91" i="43" s="1"/>
  <c r="AE91" i="43" s="1"/>
  <c r="J90" i="43"/>
  <c r="Q90" i="43" s="1"/>
  <c r="X90" i="43" s="1"/>
  <c r="AE90" i="43" s="1"/>
  <c r="C45" i="43"/>
  <c r="C53" i="43" s="1"/>
  <c r="C44" i="43"/>
  <c r="C52" i="43" s="1"/>
  <c r="C43" i="43"/>
  <c r="C51" i="43" s="1"/>
  <c r="C42" i="43"/>
  <c r="C50" i="43" s="1"/>
  <c r="C41" i="43"/>
  <c r="C49" i="43" s="1"/>
  <c r="C40" i="43"/>
  <c r="C48" i="43" s="1"/>
  <c r="C39" i="43"/>
  <c r="C47" i="43" s="1"/>
  <c r="G12" i="43"/>
  <c r="AF180" i="43" l="1"/>
  <c r="AG180" i="43" s="1"/>
  <c r="AH180" i="43" s="1"/>
  <c r="AI180" i="43" s="1"/>
  <c r="AJ180" i="43" s="1"/>
  <c r="AJ110" i="43" s="1"/>
  <c r="Y180" i="43"/>
  <c r="Z180" i="43" s="1"/>
  <c r="AA180" i="43" s="1"/>
  <c r="AA110" i="43" s="1"/>
  <c r="R180" i="43"/>
  <c r="S180" i="43" s="1"/>
  <c r="T180" i="43" s="1"/>
  <c r="U180" i="43" s="1"/>
  <c r="K180" i="43"/>
  <c r="L180" i="43" s="1"/>
  <c r="L90" i="43" s="1"/>
  <c r="D183" i="43"/>
  <c r="D180" i="43" s="1"/>
  <c r="B98" i="43"/>
  <c r="B88" i="43"/>
  <c r="B108" i="43"/>
  <c r="E47" i="43"/>
  <c r="C7" i="44"/>
  <c r="D31" i="43"/>
  <c r="D47" i="43"/>
  <c r="K4" i="43" s="1"/>
  <c r="F4" i="44" s="1"/>
  <c r="E39" i="43"/>
  <c r="D39" i="43"/>
  <c r="H4" i="43" s="1"/>
  <c r="E4" i="44" s="1"/>
  <c r="O217" i="43"/>
  <c r="T197" i="43"/>
  <c r="T217" i="43"/>
  <c r="O207" i="43"/>
  <c r="O197" i="43"/>
  <c r="T207" i="43"/>
  <c r="J100" i="43"/>
  <c r="Q100" i="43" s="1"/>
  <c r="X100" i="43" s="1"/>
  <c r="AE100" i="43" s="1"/>
  <c r="J103" i="43"/>
  <c r="Q103" i="43" s="1"/>
  <c r="X103" i="43" s="1"/>
  <c r="AE103" i="43" s="1"/>
  <c r="J106" i="43"/>
  <c r="Q106" i="43" s="1"/>
  <c r="X106" i="43" s="1"/>
  <c r="AE106" i="43" s="1"/>
  <c r="C112" i="43"/>
  <c r="J112" i="43" s="1"/>
  <c r="Q112" i="43" s="1"/>
  <c r="X112" i="43" s="1"/>
  <c r="AE112" i="43" s="1"/>
  <c r="J102" i="43"/>
  <c r="Q102" i="43" s="1"/>
  <c r="X102" i="43" s="1"/>
  <c r="AE102" i="43" s="1"/>
  <c r="C111" i="43"/>
  <c r="J111" i="43" s="1"/>
  <c r="Q111" i="43" s="1"/>
  <c r="X111" i="43" s="1"/>
  <c r="AE111" i="43" s="1"/>
  <c r="J101" i="43"/>
  <c r="Q101" i="43" s="1"/>
  <c r="X101" i="43" s="1"/>
  <c r="AE101" i="43" s="1"/>
  <c r="C115" i="43"/>
  <c r="J115" i="43" s="1"/>
  <c r="Q115" i="43" s="1"/>
  <c r="X115" i="43" s="1"/>
  <c r="AE115" i="43" s="1"/>
  <c r="J105" i="43"/>
  <c r="Q105" i="43" s="1"/>
  <c r="X105" i="43" s="1"/>
  <c r="AE105" i="43" s="1"/>
  <c r="C114" i="43"/>
  <c r="J114" i="43" s="1"/>
  <c r="Q114" i="43" s="1"/>
  <c r="X114" i="43" s="1"/>
  <c r="AE114" i="43" s="1"/>
  <c r="J104" i="43"/>
  <c r="Q104" i="43" s="1"/>
  <c r="X104" i="43" s="1"/>
  <c r="AE104" i="43" s="1"/>
  <c r="AI181" i="43"/>
  <c r="Z181" i="43"/>
  <c r="AJ100" i="43" l="1"/>
  <c r="AA90" i="43"/>
  <c r="AA100" i="43"/>
  <c r="R100" i="43"/>
  <c r="T110" i="43"/>
  <c r="Y110" i="43"/>
  <c r="T100" i="43"/>
  <c r="Y90" i="43"/>
  <c r="AJ90" i="43"/>
  <c r="AH110" i="43"/>
  <c r="S100" i="43"/>
  <c r="AB180" i="43"/>
  <c r="AB110" i="43" s="1"/>
  <c r="Y100" i="43"/>
  <c r="AF100" i="43"/>
  <c r="AF110" i="43"/>
  <c r="AH100" i="43"/>
  <c r="M180" i="43"/>
  <c r="N180" i="43" s="1"/>
  <c r="AH90" i="43"/>
  <c r="AF90" i="43"/>
  <c r="L110" i="43"/>
  <c r="K110" i="43"/>
  <c r="S110" i="43"/>
  <c r="T90" i="43"/>
  <c r="L100" i="43"/>
  <c r="K100" i="43"/>
  <c r="K90" i="43"/>
  <c r="R90" i="43"/>
  <c r="S90" i="43"/>
  <c r="R110" i="43"/>
  <c r="B76" i="43"/>
  <c r="D76" i="43" s="1"/>
  <c r="D216" i="43" s="1"/>
  <c r="D109" i="43"/>
  <c r="B58" i="43"/>
  <c r="D58" i="43" s="1"/>
  <c r="D196" i="43" s="1"/>
  <c r="D89" i="43"/>
  <c r="B67" i="43"/>
  <c r="D67" i="43" s="1"/>
  <c r="D206" i="43" s="1"/>
  <c r="D99" i="43"/>
  <c r="E183" i="43"/>
  <c r="D90" i="43"/>
  <c r="V207" i="43"/>
  <c r="V197" i="43"/>
  <c r="Q217" i="43"/>
  <c r="V217" i="43"/>
  <c r="Q207" i="43"/>
  <c r="Q197" i="43"/>
  <c r="U217" i="43"/>
  <c r="P207" i="43"/>
  <c r="P197" i="43"/>
  <c r="U207" i="43"/>
  <c r="U197" i="43"/>
  <c r="P217" i="43"/>
  <c r="U110" i="43"/>
  <c r="U100" i="43"/>
  <c r="V180" i="43"/>
  <c r="U90" i="43"/>
  <c r="AI110" i="43"/>
  <c r="AI100" i="43"/>
  <c r="AI90" i="43"/>
  <c r="AG181" i="43"/>
  <c r="Z100" i="43"/>
  <c r="Z110" i="43"/>
  <c r="Z90" i="43"/>
  <c r="F126" i="11"/>
  <c r="AF59" i="35"/>
  <c r="Y59" i="35"/>
  <c r="R59" i="35"/>
  <c r="D146" i="35"/>
  <c r="P188" i="35" s="1"/>
  <c r="D136" i="35"/>
  <c r="P178" i="35" s="1"/>
  <c r="D126" i="35"/>
  <c r="P168" i="35" s="1"/>
  <c r="D113" i="35"/>
  <c r="D103" i="35"/>
  <c r="D93" i="35"/>
  <c r="D80" i="35"/>
  <c r="D188" i="35" s="1"/>
  <c r="D70" i="35"/>
  <c r="D178" i="35" s="1"/>
  <c r="D60" i="35"/>
  <c r="D168" i="35" s="1"/>
  <c r="D145" i="35"/>
  <c r="D135" i="35"/>
  <c r="D125" i="35"/>
  <c r="D112" i="35"/>
  <c r="D102" i="35"/>
  <c r="D92" i="35"/>
  <c r="D79" i="35"/>
  <c r="D69" i="35"/>
  <c r="B15" i="35"/>
  <c r="B15" i="37" s="1"/>
  <c r="G12" i="35"/>
  <c r="B12" i="35"/>
  <c r="B12" i="37" s="1"/>
  <c r="B8" i="35"/>
  <c r="B8" i="37" s="1"/>
  <c r="R69" i="34"/>
  <c r="AB90" i="43" l="1"/>
  <c r="AB100" i="43"/>
  <c r="AC180" i="43"/>
  <c r="AC110" i="43" s="1"/>
  <c r="M100" i="43"/>
  <c r="M90" i="43"/>
  <c r="M110" i="43"/>
  <c r="B34" i="1"/>
  <c r="F101" i="1"/>
  <c r="E90" i="43"/>
  <c r="F183" i="43"/>
  <c r="K89" i="43"/>
  <c r="R89" i="43" s="1"/>
  <c r="Y89" i="43" s="1"/>
  <c r="AF89" i="43" s="1"/>
  <c r="I196" i="43"/>
  <c r="D77" i="43"/>
  <c r="D217" i="43" s="1"/>
  <c r="D59" i="43"/>
  <c r="D197" i="43" s="1"/>
  <c r="D68" i="43"/>
  <c r="D207" i="43" s="1"/>
  <c r="E180" i="43"/>
  <c r="K99" i="43"/>
  <c r="R99" i="43" s="1"/>
  <c r="Y99" i="43" s="1"/>
  <c r="AF99" i="43" s="1"/>
  <c r="I206" i="43"/>
  <c r="I216" i="43"/>
  <c r="K109" i="43"/>
  <c r="R109" i="43" s="1"/>
  <c r="Y109" i="43" s="1"/>
  <c r="AF109" i="43" s="1"/>
  <c r="D100" i="43"/>
  <c r="I207" i="43" s="1"/>
  <c r="D110" i="43"/>
  <c r="I217" i="43" s="1"/>
  <c r="I197" i="43"/>
  <c r="R197" i="43"/>
  <c r="R217" i="43"/>
  <c r="W217" i="43"/>
  <c r="R207" i="43"/>
  <c r="W207" i="43"/>
  <c r="W197" i="43"/>
  <c r="O180" i="43"/>
  <c r="N90" i="43"/>
  <c r="N100" i="43"/>
  <c r="N110" i="43"/>
  <c r="V100" i="43"/>
  <c r="V110" i="43"/>
  <c r="V90" i="43"/>
  <c r="AG110" i="43"/>
  <c r="AG90" i="43"/>
  <c r="AG100" i="43"/>
  <c r="AF69" i="34"/>
  <c r="Y69" i="34"/>
  <c r="D70" i="34"/>
  <c r="D180" i="34" s="1"/>
  <c r="D156" i="34"/>
  <c r="D146" i="34"/>
  <c r="D136" i="34"/>
  <c r="D123" i="34"/>
  <c r="D113" i="34"/>
  <c r="D103" i="34"/>
  <c r="D90" i="34"/>
  <c r="D200" i="34" s="1"/>
  <c r="D80" i="34"/>
  <c r="D190" i="34" s="1"/>
  <c r="AC90" i="43" l="1"/>
  <c r="AC100" i="43"/>
  <c r="E68" i="43"/>
  <c r="E207" i="43" s="1"/>
  <c r="E59" i="43"/>
  <c r="E197" i="43" s="1"/>
  <c r="F180" i="43"/>
  <c r="E77" i="43"/>
  <c r="E217" i="43" s="1"/>
  <c r="G183" i="43"/>
  <c r="F90" i="43"/>
  <c r="E100" i="43"/>
  <c r="J207" i="43" s="1"/>
  <c r="E110" i="43"/>
  <c r="J217" i="43" s="1"/>
  <c r="J197" i="43"/>
  <c r="O90" i="43"/>
  <c r="O100" i="43"/>
  <c r="O110" i="43"/>
  <c r="K70" i="34"/>
  <c r="D155" i="34"/>
  <c r="D145" i="34"/>
  <c r="D135" i="34"/>
  <c r="D122" i="34"/>
  <c r="D112" i="34"/>
  <c r="D102" i="34"/>
  <c r="D89" i="34"/>
  <c r="D79" i="34"/>
  <c r="F110" i="43" l="1"/>
  <c r="K217" i="43" s="1"/>
  <c r="F100" i="43"/>
  <c r="K207" i="43" s="1"/>
  <c r="K197" i="43"/>
  <c r="G180" i="43"/>
  <c r="F59" i="43"/>
  <c r="F197" i="43" s="1"/>
  <c r="F77" i="43"/>
  <c r="F217" i="43" s="1"/>
  <c r="F68" i="43"/>
  <c r="F207" i="43" s="1"/>
  <c r="H183" i="43"/>
  <c r="H90" i="43" s="1"/>
  <c r="G90" i="43"/>
  <c r="J82" i="40"/>
  <c r="F82" i="40"/>
  <c r="E82" i="40"/>
  <c r="J78" i="40"/>
  <c r="F78" i="40"/>
  <c r="E78" i="40"/>
  <c r="J62" i="40"/>
  <c r="J83" i="40" s="1"/>
  <c r="G100" i="43" l="1"/>
  <c r="L207" i="43" s="1"/>
  <c r="G110" i="43"/>
  <c r="L217" i="43" s="1"/>
  <c r="L197" i="43"/>
  <c r="H110" i="43"/>
  <c r="M217" i="43" s="1"/>
  <c r="H100" i="43"/>
  <c r="M207" i="43" s="1"/>
  <c r="M197" i="43"/>
  <c r="G77" i="43"/>
  <c r="G217" i="43" s="1"/>
  <c r="H180" i="43"/>
  <c r="G68" i="43"/>
  <c r="G207" i="43" s="1"/>
  <c r="G59" i="43"/>
  <c r="G197" i="43" s="1"/>
  <c r="D636" i="11"/>
  <c r="F636" i="11" s="1"/>
  <c r="D633" i="11"/>
  <c r="F633" i="11" s="1"/>
  <c r="D635" i="11"/>
  <c r="F635" i="11" s="1"/>
  <c r="D632" i="11"/>
  <c r="F632" i="11" s="1"/>
  <c r="D631" i="11"/>
  <c r="F631" i="11" s="1"/>
  <c r="D629" i="11"/>
  <c r="F629" i="11" s="1"/>
  <c r="D628" i="11"/>
  <c r="F628" i="11" s="1"/>
  <c r="D627" i="11"/>
  <c r="F627" i="11" s="1"/>
  <c r="H59" i="43" l="1"/>
  <c r="H197" i="43" s="1"/>
  <c r="H77" i="43"/>
  <c r="H217" i="43" s="1"/>
  <c r="H68" i="43"/>
  <c r="H207" i="43" s="1"/>
  <c r="P4" i="22"/>
  <c r="O4" i="22"/>
  <c r="G209" i="40" l="1"/>
  <c r="G208" i="40"/>
  <c r="F210" i="40" l="1"/>
  <c r="C331" i="40" l="1"/>
  <c r="B331" i="40"/>
  <c r="B577" i="11"/>
  <c r="E292" i="11"/>
  <c r="D292" i="11"/>
  <c r="D186" i="11"/>
  <c r="E186" i="11"/>
  <c r="D187" i="11"/>
  <c r="E187" i="11"/>
  <c r="D188" i="11"/>
  <c r="E188" i="11"/>
  <c r="D189" i="11"/>
  <c r="E189" i="11"/>
  <c r="D190" i="11"/>
  <c r="E190" i="11"/>
  <c r="D191" i="11"/>
  <c r="E191" i="11"/>
  <c r="D192" i="11"/>
  <c r="E192" i="11"/>
  <c r="D193" i="11"/>
  <c r="E193" i="11"/>
  <c r="D194" i="11"/>
  <c r="E194" i="11"/>
  <c r="D195" i="11"/>
  <c r="E195" i="11"/>
  <c r="D196" i="11"/>
  <c r="E196" i="11"/>
  <c r="D197" i="11"/>
  <c r="E197" i="11"/>
  <c r="E185" i="11"/>
  <c r="E320" i="1"/>
  <c r="D185" i="11"/>
  <c r="D320" i="1"/>
  <c r="D214" i="1"/>
  <c r="E214" i="1"/>
  <c r="D215" i="1"/>
  <c r="E215" i="1"/>
  <c r="D216" i="1"/>
  <c r="E216" i="1"/>
  <c r="D217" i="1"/>
  <c r="E217" i="1"/>
  <c r="D218" i="1"/>
  <c r="E218" i="1"/>
  <c r="D219" i="1"/>
  <c r="E219" i="1"/>
  <c r="D220" i="1"/>
  <c r="E220" i="1"/>
  <c r="D221" i="1"/>
  <c r="E221" i="1"/>
  <c r="D222" i="1"/>
  <c r="E222" i="1"/>
  <c r="D223" i="1"/>
  <c r="E223" i="1"/>
  <c r="D224" i="1"/>
  <c r="E224" i="1"/>
  <c r="D225" i="1"/>
  <c r="E225" i="1"/>
  <c r="E213" i="1"/>
  <c r="D213" i="1"/>
  <c r="D44" i="43" l="1"/>
  <c r="D43" i="43"/>
  <c r="D40" i="43"/>
  <c r="D42" i="43"/>
  <c r="D45" i="43"/>
  <c r="D41" i="43"/>
  <c r="K126" i="35"/>
  <c r="R126" i="35" s="1"/>
  <c r="Y126" i="35" s="1"/>
  <c r="AF126" i="35" s="1"/>
  <c r="D127" i="35"/>
  <c r="P169" i="35" s="1"/>
  <c r="J127" i="35"/>
  <c r="Q127" i="35" s="1"/>
  <c r="X127" i="35" s="1"/>
  <c r="AE127" i="35" s="1"/>
  <c r="J128" i="35"/>
  <c r="Q128" i="35" s="1"/>
  <c r="X128" i="35" s="1"/>
  <c r="AE128" i="35" s="1"/>
  <c r="J129" i="35"/>
  <c r="Q129" i="35" s="1"/>
  <c r="X129" i="35" s="1"/>
  <c r="AE129" i="35" s="1"/>
  <c r="J130" i="35"/>
  <c r="Q130" i="35" s="1"/>
  <c r="X130" i="35" s="1"/>
  <c r="AE130" i="35" s="1"/>
  <c r="J131" i="35"/>
  <c r="Q131" i="35" s="1"/>
  <c r="X131" i="35" s="1"/>
  <c r="AE131" i="35" s="1"/>
  <c r="J132" i="35"/>
  <c r="Q132" i="35" s="1"/>
  <c r="X132" i="35" s="1"/>
  <c r="AE132" i="35" s="1"/>
  <c r="J133" i="35"/>
  <c r="Q133" i="35" s="1"/>
  <c r="X133" i="35" s="1"/>
  <c r="AE133" i="35" s="1"/>
  <c r="K135" i="35"/>
  <c r="K145" i="35" s="1"/>
  <c r="R135" i="35"/>
  <c r="R145" i="35" s="1"/>
  <c r="Y135" i="35"/>
  <c r="Y145" i="35" s="1"/>
  <c r="AF135" i="35"/>
  <c r="AF145" i="35" s="1"/>
  <c r="K136" i="35"/>
  <c r="R136" i="35" s="1"/>
  <c r="Y136" i="35" s="1"/>
  <c r="AF136" i="35" s="1"/>
  <c r="C137" i="35"/>
  <c r="D137" i="35"/>
  <c r="P179" i="35" s="1"/>
  <c r="C138" i="35"/>
  <c r="C148" i="35" s="1"/>
  <c r="J148" i="35" s="1"/>
  <c r="Q148" i="35" s="1"/>
  <c r="X148" i="35" s="1"/>
  <c r="AE148" i="35" s="1"/>
  <c r="C139" i="35"/>
  <c r="J139" i="35" s="1"/>
  <c r="Q139" i="35" s="1"/>
  <c r="X139" i="35" s="1"/>
  <c r="AE139" i="35" s="1"/>
  <c r="C140" i="35"/>
  <c r="C141" i="35"/>
  <c r="J141" i="35" s="1"/>
  <c r="Q141" i="35" s="1"/>
  <c r="X141" i="35" s="1"/>
  <c r="AE141" i="35" s="1"/>
  <c r="C142" i="35"/>
  <c r="C152" i="35" s="1"/>
  <c r="J152" i="35" s="1"/>
  <c r="Q152" i="35" s="1"/>
  <c r="X152" i="35" s="1"/>
  <c r="AE152" i="35" s="1"/>
  <c r="C143" i="35"/>
  <c r="J143" i="35" s="1"/>
  <c r="Q143" i="35" s="1"/>
  <c r="X143" i="35" s="1"/>
  <c r="AE143" i="35" s="1"/>
  <c r="K146" i="35"/>
  <c r="R146" i="35" s="1"/>
  <c r="Y146" i="35" s="1"/>
  <c r="AF146" i="35" s="1"/>
  <c r="D147" i="35"/>
  <c r="P189" i="35" s="1"/>
  <c r="E163" i="35"/>
  <c r="L163" i="35"/>
  <c r="S163" i="35"/>
  <c r="Z163" i="35"/>
  <c r="AG163" i="35"/>
  <c r="K164" i="35"/>
  <c r="K127" i="35" s="1"/>
  <c r="L164" i="35"/>
  <c r="S164" i="35" s="1"/>
  <c r="Z164" i="35" s="1"/>
  <c r="AG164" i="35" s="1"/>
  <c r="M164" i="35"/>
  <c r="T164" i="35" s="1"/>
  <c r="AA164" i="35" s="1"/>
  <c r="AH164" i="35" s="1"/>
  <c r="N164" i="35"/>
  <c r="U164" i="35" s="1"/>
  <c r="AB164" i="35" s="1"/>
  <c r="AI164" i="35" s="1"/>
  <c r="V164" i="35"/>
  <c r="AC164" i="35" s="1"/>
  <c r="AJ164" i="35" s="1"/>
  <c r="K93" i="35"/>
  <c r="R93" i="35" s="1"/>
  <c r="Y93" i="35" s="1"/>
  <c r="AF93" i="35" s="1"/>
  <c r="D94" i="35"/>
  <c r="J169" i="35" s="1"/>
  <c r="J94" i="35"/>
  <c r="Q94" i="35" s="1"/>
  <c r="X94" i="35" s="1"/>
  <c r="AE94" i="35" s="1"/>
  <c r="J95" i="35"/>
  <c r="Q95" i="35" s="1"/>
  <c r="X95" i="35" s="1"/>
  <c r="AE95" i="35" s="1"/>
  <c r="J96" i="35"/>
  <c r="Q96" i="35" s="1"/>
  <c r="X96" i="35" s="1"/>
  <c r="AE96" i="35" s="1"/>
  <c r="J97" i="35"/>
  <c r="Q97" i="35" s="1"/>
  <c r="X97" i="35" s="1"/>
  <c r="AE97" i="35" s="1"/>
  <c r="J98" i="35"/>
  <c r="Q98" i="35" s="1"/>
  <c r="X98" i="35" s="1"/>
  <c r="AE98" i="35" s="1"/>
  <c r="J99" i="35"/>
  <c r="Q99" i="35" s="1"/>
  <c r="X99" i="35" s="1"/>
  <c r="AE99" i="35" s="1"/>
  <c r="J100" i="35"/>
  <c r="Q100" i="35" s="1"/>
  <c r="X100" i="35" s="1"/>
  <c r="AE100" i="35" s="1"/>
  <c r="K102" i="35"/>
  <c r="K112" i="35" s="1"/>
  <c r="R102" i="35"/>
  <c r="R112" i="35" s="1"/>
  <c r="Y102" i="35"/>
  <c r="Y112" i="35" s="1"/>
  <c r="AF102" i="35"/>
  <c r="AF112" i="35" s="1"/>
  <c r="K103" i="35"/>
  <c r="R103" i="35" s="1"/>
  <c r="Y103" i="35" s="1"/>
  <c r="AF103" i="35" s="1"/>
  <c r="C104" i="35"/>
  <c r="J104" i="35" s="1"/>
  <c r="Q104" i="35" s="1"/>
  <c r="X104" i="35" s="1"/>
  <c r="AE104" i="35" s="1"/>
  <c r="D104" i="35"/>
  <c r="J179" i="35" s="1"/>
  <c r="C105" i="35"/>
  <c r="C106" i="35"/>
  <c r="C107" i="35"/>
  <c r="C108" i="35"/>
  <c r="C118" i="35" s="1"/>
  <c r="J118" i="35" s="1"/>
  <c r="Q118" i="35" s="1"/>
  <c r="X118" i="35" s="1"/>
  <c r="AE118" i="35" s="1"/>
  <c r="C109" i="35"/>
  <c r="J109" i="35" s="1"/>
  <c r="Q109" i="35" s="1"/>
  <c r="X109" i="35" s="1"/>
  <c r="AE109" i="35" s="1"/>
  <c r="C110" i="35"/>
  <c r="C120" i="35" s="1"/>
  <c r="J120" i="35" s="1"/>
  <c r="Q120" i="35" s="1"/>
  <c r="X120" i="35" s="1"/>
  <c r="AE120" i="35" s="1"/>
  <c r="K113" i="35"/>
  <c r="R113" i="35" s="1"/>
  <c r="Y113" i="35" s="1"/>
  <c r="AF113" i="35" s="1"/>
  <c r="D114" i="35"/>
  <c r="J189" i="35" s="1"/>
  <c r="E159" i="35"/>
  <c r="E94" i="35" s="1"/>
  <c r="K169" i="35" s="1"/>
  <c r="L159" i="35"/>
  <c r="M159" i="35" s="1"/>
  <c r="S159" i="35"/>
  <c r="T159" i="35" s="1"/>
  <c r="Z159" i="35"/>
  <c r="AA159" i="35" s="1"/>
  <c r="AG159" i="35"/>
  <c r="AH159" i="35" s="1"/>
  <c r="K160" i="35"/>
  <c r="K114" i="35" s="1"/>
  <c r="L160" i="35"/>
  <c r="S160" i="35" s="1"/>
  <c r="Z160" i="35" s="1"/>
  <c r="AG160" i="35" s="1"/>
  <c r="M160" i="35"/>
  <c r="T160" i="35" s="1"/>
  <c r="AA160" i="35" s="1"/>
  <c r="AH160" i="35" s="1"/>
  <c r="N160" i="35"/>
  <c r="U160" i="35" s="1"/>
  <c r="AB160" i="35" s="1"/>
  <c r="AI160" i="35" s="1"/>
  <c r="V160" i="35"/>
  <c r="AC160" i="35" s="1"/>
  <c r="AJ160" i="35" s="1"/>
  <c r="E40" i="43" l="1"/>
  <c r="C149" i="35"/>
  <c r="J149" i="35" s="1"/>
  <c r="Q149" i="35" s="1"/>
  <c r="X149" i="35" s="1"/>
  <c r="AE149" i="35" s="1"/>
  <c r="J142" i="35"/>
  <c r="Q142" i="35" s="1"/>
  <c r="X142" i="35" s="1"/>
  <c r="AE142" i="35" s="1"/>
  <c r="J110" i="35"/>
  <c r="Q110" i="35" s="1"/>
  <c r="X110" i="35" s="1"/>
  <c r="AE110" i="35" s="1"/>
  <c r="R164" i="35"/>
  <c r="R147" i="35" s="1"/>
  <c r="C119" i="35"/>
  <c r="J119" i="35" s="1"/>
  <c r="Q119" i="35" s="1"/>
  <c r="X119" i="35" s="1"/>
  <c r="AE119" i="35" s="1"/>
  <c r="R160" i="35"/>
  <c r="R104" i="35" s="1"/>
  <c r="M114" i="35"/>
  <c r="C114" i="35"/>
  <c r="J114" i="35" s="1"/>
  <c r="Q114" i="35" s="1"/>
  <c r="X114" i="35" s="1"/>
  <c r="AE114" i="35" s="1"/>
  <c r="C153" i="35"/>
  <c r="J153" i="35" s="1"/>
  <c r="Q153" i="35" s="1"/>
  <c r="X153" i="35" s="1"/>
  <c r="AE153" i="35" s="1"/>
  <c r="C151" i="35"/>
  <c r="J151" i="35" s="1"/>
  <c r="Q151" i="35" s="1"/>
  <c r="X151" i="35" s="1"/>
  <c r="AE151" i="35" s="1"/>
  <c r="J138" i="35"/>
  <c r="Q138" i="35" s="1"/>
  <c r="X138" i="35" s="1"/>
  <c r="AE138" i="35" s="1"/>
  <c r="J108" i="35"/>
  <c r="Q108" i="35" s="1"/>
  <c r="X108" i="35" s="1"/>
  <c r="AE108" i="35" s="1"/>
  <c r="C117" i="35"/>
  <c r="J117" i="35" s="1"/>
  <c r="Q117" i="35" s="1"/>
  <c r="X117" i="35" s="1"/>
  <c r="AE117" i="35" s="1"/>
  <c r="J107" i="35"/>
  <c r="Q107" i="35" s="1"/>
  <c r="X107" i="35" s="1"/>
  <c r="AE107" i="35" s="1"/>
  <c r="AA114" i="35"/>
  <c r="E114" i="35"/>
  <c r="K189" i="35" s="1"/>
  <c r="F159" i="35"/>
  <c r="F94" i="35" s="1"/>
  <c r="L169" i="35" s="1"/>
  <c r="AG94" i="35"/>
  <c r="K147" i="35"/>
  <c r="K137" i="35"/>
  <c r="Z147" i="35"/>
  <c r="Z127" i="35"/>
  <c r="AA163" i="35"/>
  <c r="L147" i="35"/>
  <c r="L127" i="35"/>
  <c r="M163" i="35"/>
  <c r="L137" i="35"/>
  <c r="J140" i="35"/>
  <c r="Q140" i="35" s="1"/>
  <c r="X140" i="35" s="1"/>
  <c r="AE140" i="35" s="1"/>
  <c r="C150" i="35"/>
  <c r="J150" i="35" s="1"/>
  <c r="Q150" i="35" s="1"/>
  <c r="X150" i="35" s="1"/>
  <c r="AE150" i="35" s="1"/>
  <c r="Z137" i="35"/>
  <c r="AG127" i="35"/>
  <c r="AG137" i="35"/>
  <c r="AG147" i="35"/>
  <c r="AH163" i="35"/>
  <c r="S127" i="35"/>
  <c r="S137" i="35"/>
  <c r="S147" i="35"/>
  <c r="T163" i="35"/>
  <c r="E127" i="35"/>
  <c r="Q169" i="35" s="1"/>
  <c r="E137" i="35"/>
  <c r="Q179" i="35" s="1"/>
  <c r="E147" i="35"/>
  <c r="Q189" i="35" s="1"/>
  <c r="F163" i="35"/>
  <c r="J137" i="35"/>
  <c r="Q137" i="35" s="1"/>
  <c r="X137" i="35" s="1"/>
  <c r="AE137" i="35" s="1"/>
  <c r="C147" i="35"/>
  <c r="J147" i="35" s="1"/>
  <c r="Q147" i="35" s="1"/>
  <c r="X147" i="35" s="1"/>
  <c r="AE147" i="35" s="1"/>
  <c r="AH94" i="35"/>
  <c r="AH104" i="35"/>
  <c r="T94" i="35"/>
  <c r="T104" i="35"/>
  <c r="K94" i="35"/>
  <c r="K104" i="35"/>
  <c r="AG114" i="35"/>
  <c r="Z94" i="35"/>
  <c r="Z104" i="35"/>
  <c r="S114" i="35"/>
  <c r="L94" i="35"/>
  <c r="L104" i="35"/>
  <c r="Z114" i="35"/>
  <c r="AA104" i="35"/>
  <c r="M94" i="35"/>
  <c r="S104" i="35"/>
  <c r="AH114" i="35"/>
  <c r="J106" i="35"/>
  <c r="Q106" i="35" s="1"/>
  <c r="X106" i="35" s="1"/>
  <c r="AE106" i="35" s="1"/>
  <c r="C116" i="35"/>
  <c r="J116" i="35" s="1"/>
  <c r="Q116" i="35" s="1"/>
  <c r="X116" i="35" s="1"/>
  <c r="AE116" i="35" s="1"/>
  <c r="AG104" i="35"/>
  <c r="E104" i="35"/>
  <c r="K179" i="35" s="1"/>
  <c r="S94" i="35"/>
  <c r="T114" i="35"/>
  <c r="J105" i="35"/>
  <c r="Q105" i="35" s="1"/>
  <c r="X105" i="35" s="1"/>
  <c r="AE105" i="35" s="1"/>
  <c r="C115" i="35"/>
  <c r="J115" i="35" s="1"/>
  <c r="Q115" i="35" s="1"/>
  <c r="X115" i="35" s="1"/>
  <c r="AE115" i="35" s="1"/>
  <c r="AI159" i="35"/>
  <c r="AB159" i="35"/>
  <c r="U159" i="35"/>
  <c r="N159" i="35"/>
  <c r="L114" i="35"/>
  <c r="M104" i="35"/>
  <c r="AA94" i="35"/>
  <c r="J142" i="1"/>
  <c r="F512" i="1" s="1"/>
  <c r="K136" i="34"/>
  <c r="R136" i="34" s="1"/>
  <c r="Y136" i="34" s="1"/>
  <c r="AF136" i="34" s="1"/>
  <c r="D137" i="34"/>
  <c r="P181" i="34" s="1"/>
  <c r="K145" i="34"/>
  <c r="K155" i="34" s="1"/>
  <c r="R145" i="34"/>
  <c r="R155" i="34" s="1"/>
  <c r="Y145" i="34"/>
  <c r="Y155" i="34" s="1"/>
  <c r="AF145" i="34"/>
  <c r="AF155" i="34" s="1"/>
  <c r="K146" i="34"/>
  <c r="R146" i="34" s="1"/>
  <c r="Y146" i="34" s="1"/>
  <c r="AF146" i="34" s="1"/>
  <c r="C147" i="34"/>
  <c r="C157" i="34" s="1"/>
  <c r="D147" i="34"/>
  <c r="P191" i="34" s="1"/>
  <c r="C148" i="34"/>
  <c r="C149" i="34"/>
  <c r="C150" i="34"/>
  <c r="C160" i="34" s="1"/>
  <c r="C151" i="34"/>
  <c r="C161" i="34" s="1"/>
  <c r="C152" i="34"/>
  <c r="C162" i="34" s="1"/>
  <c r="C153" i="34"/>
  <c r="C163" i="34" s="1"/>
  <c r="K156" i="34"/>
  <c r="R156" i="34" s="1"/>
  <c r="Y156" i="34" s="1"/>
  <c r="AF156" i="34" s="1"/>
  <c r="D157" i="34"/>
  <c r="P201" i="34" s="1"/>
  <c r="C158" i="34"/>
  <c r="C159" i="34"/>
  <c r="E172" i="34"/>
  <c r="L172" i="34"/>
  <c r="S172" i="34"/>
  <c r="Z172" i="34"/>
  <c r="AG172" i="34"/>
  <c r="K173" i="34"/>
  <c r="R173" i="34" s="1"/>
  <c r="L173" i="34"/>
  <c r="S173" i="34" s="1"/>
  <c r="Z173" i="34" s="1"/>
  <c r="AG173" i="34" s="1"/>
  <c r="M173" i="34"/>
  <c r="T173" i="34" s="1"/>
  <c r="AA173" i="34" s="1"/>
  <c r="AH173" i="34" s="1"/>
  <c r="N173" i="34"/>
  <c r="U173" i="34" s="1"/>
  <c r="AB173" i="34" s="1"/>
  <c r="AI173" i="34" s="1"/>
  <c r="V173" i="34"/>
  <c r="AC173" i="34" s="1"/>
  <c r="AJ173" i="34" s="1"/>
  <c r="K103" i="34"/>
  <c r="R103" i="34" s="1"/>
  <c r="Y103" i="34" s="1"/>
  <c r="AF103" i="34" s="1"/>
  <c r="D104" i="34"/>
  <c r="J181" i="34" s="1"/>
  <c r="K112" i="34"/>
  <c r="K122" i="34" s="1"/>
  <c r="R112" i="34"/>
  <c r="R122" i="34" s="1"/>
  <c r="Y112" i="34"/>
  <c r="AF112" i="34"/>
  <c r="AF122" i="34" s="1"/>
  <c r="K113" i="34"/>
  <c r="R113" i="34" s="1"/>
  <c r="Y113" i="34" s="1"/>
  <c r="AF113" i="34" s="1"/>
  <c r="C114" i="34"/>
  <c r="C124" i="34" s="1"/>
  <c r="D114" i="34"/>
  <c r="J191" i="34" s="1"/>
  <c r="C115" i="34"/>
  <c r="C125" i="34" s="1"/>
  <c r="C116" i="34"/>
  <c r="C126" i="34" s="1"/>
  <c r="C117" i="34"/>
  <c r="C127" i="34" s="1"/>
  <c r="C118" i="34"/>
  <c r="C128" i="34" s="1"/>
  <c r="C119" i="34"/>
  <c r="C129" i="34" s="1"/>
  <c r="C120" i="34"/>
  <c r="C130" i="34" s="1"/>
  <c r="Y122" i="34"/>
  <c r="K123" i="34"/>
  <c r="R123" i="34" s="1"/>
  <c r="Y123" i="34" s="1"/>
  <c r="AF123" i="34" s="1"/>
  <c r="D124" i="34"/>
  <c r="J201" i="34" s="1"/>
  <c r="E169" i="34"/>
  <c r="F169" i="34" s="1"/>
  <c r="L169" i="34"/>
  <c r="M169" i="34" s="1"/>
  <c r="S169" i="34"/>
  <c r="T169" i="34" s="1"/>
  <c r="Z169" i="34"/>
  <c r="AA169" i="34" s="1"/>
  <c r="AG169" i="34"/>
  <c r="AH169" i="34" s="1"/>
  <c r="K170" i="34"/>
  <c r="R170" i="34" s="1"/>
  <c r="R124" i="34" s="1"/>
  <c r="L170" i="34"/>
  <c r="M170" i="34"/>
  <c r="T170" i="34" s="1"/>
  <c r="AA170" i="34" s="1"/>
  <c r="AH170" i="34" s="1"/>
  <c r="N170" i="34"/>
  <c r="U170" i="34" s="1"/>
  <c r="AB170" i="34" s="1"/>
  <c r="AI170" i="34" s="1"/>
  <c r="V170" i="34"/>
  <c r="AC170" i="34" s="1"/>
  <c r="AJ170" i="34" s="1"/>
  <c r="J154" i="1"/>
  <c r="F540" i="1" s="1"/>
  <c r="J145" i="1"/>
  <c r="J141" i="1"/>
  <c r="F511" i="1" s="1"/>
  <c r="J140" i="1"/>
  <c r="F510" i="1" s="1"/>
  <c r="J139" i="1"/>
  <c r="J132" i="1"/>
  <c r="F137" i="1" s="1"/>
  <c r="J137" i="1" s="1"/>
  <c r="J128" i="1"/>
  <c r="F509" i="1" l="1"/>
  <c r="Y164" i="35"/>
  <c r="Y137" i="35" s="1"/>
  <c r="R137" i="35"/>
  <c r="Y160" i="35"/>
  <c r="Y104" i="35" s="1"/>
  <c r="F104" i="35"/>
  <c r="L179" i="35" s="1"/>
  <c r="R94" i="35"/>
  <c r="G159" i="35"/>
  <c r="G94" i="35" s="1"/>
  <c r="M169" i="35" s="1"/>
  <c r="R127" i="35"/>
  <c r="R114" i="35"/>
  <c r="F114" i="35"/>
  <c r="L189" i="35" s="1"/>
  <c r="Y170" i="34"/>
  <c r="Y114" i="34" s="1"/>
  <c r="L104" i="34"/>
  <c r="T124" i="34"/>
  <c r="T147" i="35"/>
  <c r="T137" i="35"/>
  <c r="T127" i="35"/>
  <c r="U163" i="35"/>
  <c r="M127" i="35"/>
  <c r="M137" i="35"/>
  <c r="M147" i="35"/>
  <c r="N163" i="35"/>
  <c r="Y147" i="35"/>
  <c r="F147" i="35"/>
  <c r="R189" i="35" s="1"/>
  <c r="F127" i="35"/>
  <c r="R169" i="35" s="1"/>
  <c r="F137" i="35"/>
  <c r="R179" i="35" s="1"/>
  <c r="G163" i="35"/>
  <c r="AH147" i="35"/>
  <c r="AH137" i="35"/>
  <c r="AH127" i="35"/>
  <c r="AI163" i="35"/>
  <c r="AA127" i="35"/>
  <c r="AA137" i="35"/>
  <c r="AA147" i="35"/>
  <c r="AB163" i="35"/>
  <c r="AI94" i="35"/>
  <c r="AI104" i="35"/>
  <c r="AJ159" i="35"/>
  <c r="AI114" i="35"/>
  <c r="AB114" i="35"/>
  <c r="AB104" i="35"/>
  <c r="AB94" i="35"/>
  <c r="AC159" i="35"/>
  <c r="N114" i="35"/>
  <c r="N104" i="35"/>
  <c r="O159" i="35"/>
  <c r="N94" i="35"/>
  <c r="U94" i="35"/>
  <c r="U104" i="35"/>
  <c r="U114" i="35"/>
  <c r="V159" i="35"/>
  <c r="T172" i="34"/>
  <c r="S157" i="34"/>
  <c r="S137" i="34"/>
  <c r="S147" i="34"/>
  <c r="R157" i="34"/>
  <c r="Y173" i="34"/>
  <c r="R137" i="34"/>
  <c r="R147" i="34"/>
  <c r="K137" i="34"/>
  <c r="K147" i="34"/>
  <c r="K157" i="34"/>
  <c r="L157" i="34"/>
  <c r="M172" i="34"/>
  <c r="L137" i="34"/>
  <c r="L147" i="34"/>
  <c r="AH172" i="34"/>
  <c r="AG137" i="34"/>
  <c r="AG147" i="34"/>
  <c r="AG157" i="34"/>
  <c r="F172" i="34"/>
  <c r="E137" i="34"/>
  <c r="Q181" i="34" s="1"/>
  <c r="E147" i="34"/>
  <c r="Q191" i="34" s="1"/>
  <c r="E157" i="34"/>
  <c r="Q201" i="34" s="1"/>
  <c r="Z137" i="34"/>
  <c r="Z147" i="34"/>
  <c r="AA172" i="34"/>
  <c r="Z157" i="34"/>
  <c r="AH104" i="34"/>
  <c r="S170" i="34"/>
  <c r="Z170" i="34" s="1"/>
  <c r="AG170" i="34" s="1"/>
  <c r="AG124" i="34" s="1"/>
  <c r="AA104" i="34"/>
  <c r="AA114" i="34"/>
  <c r="AB169" i="34"/>
  <c r="AA124" i="34"/>
  <c r="AH124" i="34"/>
  <c r="AI169" i="34"/>
  <c r="AH114" i="34"/>
  <c r="T104" i="34"/>
  <c r="T114" i="34"/>
  <c r="U169" i="34"/>
  <c r="F124" i="34"/>
  <c r="L201" i="34" s="1"/>
  <c r="F104" i="34"/>
  <c r="L181" i="34" s="1"/>
  <c r="F114" i="34"/>
  <c r="L191" i="34" s="1"/>
  <c r="G169" i="34"/>
  <c r="Y104" i="34"/>
  <c r="AF170" i="34"/>
  <c r="M124" i="34"/>
  <c r="M104" i="34"/>
  <c r="N169" i="34"/>
  <c r="M114" i="34"/>
  <c r="K104" i="34"/>
  <c r="K114" i="34"/>
  <c r="AG104" i="34"/>
  <c r="L124" i="34"/>
  <c r="E104" i="34"/>
  <c r="K181" i="34" s="1"/>
  <c r="E114" i="34"/>
  <c r="K191" i="34" s="1"/>
  <c r="E124" i="34"/>
  <c r="K201" i="34" s="1"/>
  <c r="L114" i="34"/>
  <c r="K124" i="34"/>
  <c r="R114" i="34"/>
  <c r="R104" i="34"/>
  <c r="Y124" i="34" l="1"/>
  <c r="AF164" i="35"/>
  <c r="AF127" i="35" s="1"/>
  <c r="Y127" i="35"/>
  <c r="Y114" i="35"/>
  <c r="Y94" i="35"/>
  <c r="H159" i="35"/>
  <c r="H94" i="35" s="1"/>
  <c r="N169" i="35" s="1"/>
  <c r="AF160" i="35"/>
  <c r="AF104" i="35" s="1"/>
  <c r="G114" i="35"/>
  <c r="M189" i="35" s="1"/>
  <c r="G104" i="35"/>
  <c r="M179" i="35" s="1"/>
  <c r="S104" i="34"/>
  <c r="S124" i="34"/>
  <c r="AG114" i="34"/>
  <c r="S114" i="34"/>
  <c r="Z114" i="34"/>
  <c r="Z124" i="34"/>
  <c r="Z104" i="34"/>
  <c r="AI147" i="35"/>
  <c r="AJ163" i="35"/>
  <c r="AI127" i="35"/>
  <c r="AI137" i="35"/>
  <c r="U147" i="35"/>
  <c r="U127" i="35"/>
  <c r="V163" i="35"/>
  <c r="U137" i="35"/>
  <c r="AB127" i="35"/>
  <c r="AB137" i="35"/>
  <c r="AC163" i="35"/>
  <c r="AB147" i="35"/>
  <c r="G147" i="35"/>
  <c r="S189" i="35" s="1"/>
  <c r="H163" i="35"/>
  <c r="G127" i="35"/>
  <c r="S169" i="35" s="1"/>
  <c r="G137" i="35"/>
  <c r="S179" i="35" s="1"/>
  <c r="AF137" i="35"/>
  <c r="AF147" i="35"/>
  <c r="N127" i="35"/>
  <c r="N137" i="35"/>
  <c r="N147" i="35"/>
  <c r="O163" i="35"/>
  <c r="AC94" i="35"/>
  <c r="AC104" i="35"/>
  <c r="AC114" i="35"/>
  <c r="V114" i="35"/>
  <c r="V104" i="35"/>
  <c r="V94" i="35"/>
  <c r="O94" i="35"/>
  <c r="O104" i="35"/>
  <c r="O114" i="35"/>
  <c r="AJ114" i="35"/>
  <c r="AJ94" i="35"/>
  <c r="AJ104" i="35"/>
  <c r="T137" i="34"/>
  <c r="T147" i="34"/>
  <c r="U172" i="34"/>
  <c r="T157" i="34"/>
  <c r="Y157" i="34"/>
  <c r="AF173" i="34"/>
  <c r="Y137" i="34"/>
  <c r="Y147" i="34"/>
  <c r="M157" i="34"/>
  <c r="N172" i="34"/>
  <c r="M137" i="34"/>
  <c r="M147" i="34"/>
  <c r="AA137" i="34"/>
  <c r="AA147" i="34"/>
  <c r="AB172" i="34"/>
  <c r="AA157" i="34"/>
  <c r="F157" i="34"/>
  <c r="R201" i="34" s="1"/>
  <c r="G172" i="34"/>
  <c r="F137" i="34"/>
  <c r="R181" i="34" s="1"/>
  <c r="F147" i="34"/>
  <c r="R191" i="34" s="1"/>
  <c r="AH157" i="34"/>
  <c r="AI172" i="34"/>
  <c r="AH137" i="34"/>
  <c r="AH147" i="34"/>
  <c r="AF104" i="34"/>
  <c r="AF114" i="34"/>
  <c r="AF124" i="34"/>
  <c r="N104" i="34"/>
  <c r="N114" i="34"/>
  <c r="N124" i="34"/>
  <c r="O169" i="34"/>
  <c r="G124" i="34"/>
  <c r="M201" i="34" s="1"/>
  <c r="G114" i="34"/>
  <c r="M191" i="34" s="1"/>
  <c r="H169" i="34"/>
  <c r="G104" i="34"/>
  <c r="M181" i="34" s="1"/>
  <c r="U104" i="34"/>
  <c r="U114" i="34"/>
  <c r="V169" i="34"/>
  <c r="U124" i="34"/>
  <c r="AI124" i="34"/>
  <c r="AJ169" i="34"/>
  <c r="AI104" i="34"/>
  <c r="AI114" i="34"/>
  <c r="AB124" i="34"/>
  <c r="AB104" i="34"/>
  <c r="AC169" i="34"/>
  <c r="AB114" i="34"/>
  <c r="B31" i="11"/>
  <c r="F22" i="40"/>
  <c r="F25" i="11"/>
  <c r="J12" i="40"/>
  <c r="F27" i="33" s="1"/>
  <c r="J14" i="40" l="1"/>
  <c r="F63" i="40" s="1"/>
  <c r="H104" i="35"/>
  <c r="N179" i="35" s="1"/>
  <c r="D329" i="40"/>
  <c r="D327" i="40"/>
  <c r="D324" i="40"/>
  <c r="D326" i="40"/>
  <c r="D325" i="40"/>
  <c r="D328" i="40"/>
  <c r="H114" i="35"/>
  <c r="N189" i="35" s="1"/>
  <c r="AF94" i="35"/>
  <c r="AF114" i="35"/>
  <c r="V127" i="35"/>
  <c r="V137" i="35"/>
  <c r="V147" i="35"/>
  <c r="AC147" i="35"/>
  <c r="AC137" i="35"/>
  <c r="AC127" i="35"/>
  <c r="AJ127" i="35"/>
  <c r="AJ137" i="35"/>
  <c r="AJ147" i="35"/>
  <c r="O147" i="35"/>
  <c r="O137" i="35"/>
  <c r="O127" i="35"/>
  <c r="H127" i="35"/>
  <c r="T169" i="35" s="1"/>
  <c r="H137" i="35"/>
  <c r="T179" i="35" s="1"/>
  <c r="H147" i="35"/>
  <c r="T189" i="35" s="1"/>
  <c r="AB157" i="34"/>
  <c r="AB137" i="34"/>
  <c r="AB147" i="34"/>
  <c r="AC172" i="34"/>
  <c r="U137" i="34"/>
  <c r="U147" i="34"/>
  <c r="U157" i="34"/>
  <c r="V172" i="34"/>
  <c r="AI157" i="34"/>
  <c r="AJ172" i="34"/>
  <c r="AI137" i="34"/>
  <c r="AI147" i="34"/>
  <c r="G157" i="34"/>
  <c r="S201" i="34" s="1"/>
  <c r="H172" i="34"/>
  <c r="G137" i="34"/>
  <c r="S181" i="34" s="1"/>
  <c r="G147" i="34"/>
  <c r="S191" i="34" s="1"/>
  <c r="N137" i="34"/>
  <c r="N147" i="34"/>
  <c r="N157" i="34"/>
  <c r="O172" i="34"/>
  <c r="AF137" i="34"/>
  <c r="AF147" i="34"/>
  <c r="AF157" i="34"/>
  <c r="V124" i="34"/>
  <c r="V114" i="34"/>
  <c r="V104" i="34"/>
  <c r="H104" i="34"/>
  <c r="N181" i="34" s="1"/>
  <c r="H114" i="34"/>
  <c r="N191" i="34" s="1"/>
  <c r="H124" i="34"/>
  <c r="N201" i="34" s="1"/>
  <c r="AJ104" i="34"/>
  <c r="AJ114" i="34"/>
  <c r="AJ124" i="34"/>
  <c r="AC124" i="34"/>
  <c r="AC114" i="34"/>
  <c r="AC104" i="34"/>
  <c r="O104" i="34"/>
  <c r="O114" i="34"/>
  <c r="O124" i="34"/>
  <c r="O137" i="34" l="1"/>
  <c r="O147" i="34"/>
  <c r="O157" i="34"/>
  <c r="V157" i="34"/>
  <c r="V137" i="34"/>
  <c r="V147" i="34"/>
  <c r="AC157" i="34"/>
  <c r="AC137" i="34"/>
  <c r="AC147" i="34"/>
  <c r="H137" i="34"/>
  <c r="T181" i="34" s="1"/>
  <c r="H147" i="34"/>
  <c r="T191" i="34" s="1"/>
  <c r="H157" i="34"/>
  <c r="T201" i="34" s="1"/>
  <c r="AJ137" i="34"/>
  <c r="AJ147" i="34"/>
  <c r="AJ157" i="34"/>
  <c r="B23" i="40"/>
  <c r="B39" i="40" s="1"/>
  <c r="J74" i="40"/>
  <c r="F74" i="40"/>
  <c r="E74" i="40"/>
  <c r="H323" i="40" l="1"/>
  <c r="E329" i="40"/>
  <c r="F329" i="40" s="1"/>
  <c r="D53" i="43"/>
  <c r="L10" i="43" s="1"/>
  <c r="E325" i="40"/>
  <c r="F325" i="40" s="1"/>
  <c r="D49" i="43"/>
  <c r="L6" i="43" s="1"/>
  <c r="E328" i="40"/>
  <c r="F328" i="40" s="1"/>
  <c r="D52" i="43"/>
  <c r="L9" i="43" s="1"/>
  <c r="E324" i="40"/>
  <c r="F324" i="40" s="1"/>
  <c r="D48" i="43"/>
  <c r="L5" i="43" s="1"/>
  <c r="E327" i="40"/>
  <c r="F327" i="40" s="1"/>
  <c r="D51" i="43"/>
  <c r="L8" i="43" s="1"/>
  <c r="E326" i="40"/>
  <c r="F326" i="40" s="1"/>
  <c r="D50" i="43"/>
  <c r="L7" i="43" s="1"/>
  <c r="B28" i="40"/>
  <c r="G24" i="40"/>
  <c r="F24" i="40"/>
  <c r="D26" i="40"/>
  <c r="D27" i="40" s="1"/>
  <c r="D28" i="40" s="1"/>
  <c r="D29" i="40" s="1"/>
  <c r="D30" i="40" s="1"/>
  <c r="H324" i="40" l="1"/>
  <c r="H325" i="40" s="1"/>
  <c r="G327" i="40"/>
  <c r="G328" i="40"/>
  <c r="G329" i="40"/>
  <c r="G324" i="40"/>
  <c r="G326" i="40"/>
  <c r="G325" i="40"/>
  <c r="F95" i="11"/>
  <c r="H326" i="40" l="1"/>
  <c r="F143" i="1"/>
  <c r="F111" i="11" l="1"/>
  <c r="B29" i="11"/>
  <c r="F8" i="35"/>
  <c r="F8" i="37" s="1"/>
  <c r="H327" i="40"/>
  <c r="F77" i="11"/>
  <c r="F427" i="11"/>
  <c r="F426" i="11"/>
  <c r="F112" i="11" l="1"/>
  <c r="H328" i="40"/>
  <c r="F428" i="11"/>
  <c r="J77" i="11"/>
  <c r="F15" i="35" s="1"/>
  <c r="H329" i="40" l="1"/>
  <c r="F104" i="11" l="1"/>
  <c r="F94" i="11"/>
  <c r="F93" i="11"/>
  <c r="B6" i="11"/>
  <c r="J110" i="11"/>
  <c r="J97" i="11"/>
  <c r="J92" i="11"/>
  <c r="J87" i="11"/>
  <c r="E128" i="1"/>
  <c r="E125" i="1"/>
  <c r="F128" i="1"/>
  <c r="J125" i="1" l="1"/>
  <c r="F125" i="1"/>
  <c r="J153" i="1" l="1"/>
  <c r="F153" i="1"/>
  <c r="E153" i="1"/>
  <c r="J150" i="1"/>
  <c r="F150" i="1"/>
  <c r="E150" i="1"/>
  <c r="J144" i="1"/>
  <c r="F144" i="1"/>
  <c r="E144" i="1"/>
  <c r="J138" i="1"/>
  <c r="F138" i="1"/>
  <c r="E138" i="1"/>
  <c r="B10" i="36" l="1"/>
  <c r="G4" i="38" l="1"/>
  <c r="G11" i="35"/>
  <c r="G11" i="37" s="1"/>
  <c r="F49" i="19"/>
  <c r="F39" i="19"/>
  <c r="B6" i="22"/>
  <c r="C6" i="22"/>
  <c r="B7" i="22"/>
  <c r="C7" i="22"/>
  <c r="B8" i="22"/>
  <c r="C8" i="22"/>
  <c r="B9" i="22"/>
  <c r="C9" i="22"/>
  <c r="B10" i="22"/>
  <c r="C10" i="22"/>
  <c r="B11" i="22"/>
  <c r="C11" i="22"/>
  <c r="C5" i="22"/>
  <c r="B5" i="22"/>
  <c r="F4" i="37"/>
  <c r="F4" i="36"/>
  <c r="E6" i="38"/>
  <c r="F48" i="19" l="1"/>
  <c r="F25" i="19"/>
  <c r="F26" i="19" s="1"/>
  <c r="F52" i="19"/>
  <c r="F53" i="19"/>
  <c r="F33" i="19"/>
  <c r="F46" i="19"/>
  <c r="F50" i="19"/>
  <c r="B44" i="19"/>
  <c r="F47" i="19"/>
  <c r="F51" i="19"/>
  <c r="F5" i="38"/>
  <c r="B23" i="35" l="1"/>
  <c r="B22" i="37" s="1"/>
  <c r="B22" i="35"/>
  <c r="B21" i="37" s="1"/>
  <c r="B11" i="36"/>
  <c r="E76" i="1" l="1"/>
  <c r="B24" i="34"/>
  <c r="B24" i="36" s="1"/>
  <c r="B23" i="34"/>
  <c r="B23" i="36" s="1"/>
  <c r="B22" i="34"/>
  <c r="B22" i="36" s="1"/>
  <c r="B3" i="36"/>
  <c r="C42" i="35"/>
  <c r="C50" i="35" s="1"/>
  <c r="C43" i="35"/>
  <c r="C51" i="35" s="1"/>
  <c r="C44" i="35"/>
  <c r="C52" i="35" s="1"/>
  <c r="C45" i="35"/>
  <c r="C53" i="35" s="1"/>
  <c r="C46" i="35"/>
  <c r="C54" i="35" s="1"/>
  <c r="C41" i="35"/>
  <c r="C49" i="35" s="1"/>
  <c r="C40" i="35"/>
  <c r="C48" i="35" s="1"/>
  <c r="C42" i="34"/>
  <c r="C50" i="34" s="1"/>
  <c r="C58" i="34" s="1"/>
  <c r="J63" i="35"/>
  <c r="Q63" i="35" s="1"/>
  <c r="X63" i="35" s="1"/>
  <c r="AE63" i="35" s="1"/>
  <c r="J64" i="35"/>
  <c r="Q64" i="35" s="1"/>
  <c r="X64" i="35" s="1"/>
  <c r="AE64" i="35" s="1"/>
  <c r="J65" i="35"/>
  <c r="Q65" i="35" s="1"/>
  <c r="X65" i="35" s="1"/>
  <c r="AE65" i="35" s="1"/>
  <c r="J66" i="35"/>
  <c r="Q66" i="35" s="1"/>
  <c r="X66" i="35" s="1"/>
  <c r="AE66" i="35" s="1"/>
  <c r="J67" i="35"/>
  <c r="Q67" i="35" s="1"/>
  <c r="X67" i="35" s="1"/>
  <c r="AE67" i="35" s="1"/>
  <c r="J62" i="35"/>
  <c r="Q62" i="35" s="1"/>
  <c r="X62" i="35" s="1"/>
  <c r="AE62" i="35" s="1"/>
  <c r="J61" i="35"/>
  <c r="Q61" i="35" s="1"/>
  <c r="X61" i="35" s="1"/>
  <c r="AE61" i="35" s="1"/>
  <c r="G434" i="1"/>
  <c r="Y364" i="11"/>
  <c r="X364" i="11"/>
  <c r="W364" i="11"/>
  <c r="S364" i="11"/>
  <c r="R364" i="11"/>
  <c r="Q364" i="11"/>
  <c r="M364" i="11"/>
  <c r="L364" i="11"/>
  <c r="K364" i="11"/>
  <c r="F336" i="11"/>
  <c r="G336" i="11" s="1"/>
  <c r="G334" i="11"/>
  <c r="G333" i="11"/>
  <c r="E320" i="11"/>
  <c r="D320" i="11"/>
  <c r="C320" i="11"/>
  <c r="B320" i="11"/>
  <c r="E319" i="11"/>
  <c r="D319" i="11"/>
  <c r="B319" i="11"/>
  <c r="E314" i="11"/>
  <c r="E328" i="11" s="1"/>
  <c r="E313" i="11"/>
  <c r="E327" i="11" s="1"/>
  <c r="E312" i="11"/>
  <c r="E326" i="11" s="1"/>
  <c r="E311" i="11"/>
  <c r="E325" i="11" s="1"/>
  <c r="E310" i="11"/>
  <c r="E324" i="11" s="1"/>
  <c r="E309" i="11"/>
  <c r="E323" i="11" s="1"/>
  <c r="E306" i="11"/>
  <c r="D306" i="11"/>
  <c r="B306" i="11"/>
  <c r="E305" i="11"/>
  <c r="D305" i="11"/>
  <c r="B305" i="11"/>
  <c r="E304" i="11"/>
  <c r="D304" i="11"/>
  <c r="B304" i="11"/>
  <c r="E303" i="11"/>
  <c r="D303" i="11"/>
  <c r="B303" i="11"/>
  <c r="B292" i="11"/>
  <c r="E278" i="11"/>
  <c r="D278" i="11"/>
  <c r="C278" i="11"/>
  <c r="B278" i="11"/>
  <c r="E277" i="11"/>
  <c r="D277" i="11"/>
  <c r="C277" i="11"/>
  <c r="B277" i="11"/>
  <c r="E276" i="11"/>
  <c r="D276" i="11"/>
  <c r="C276" i="11"/>
  <c r="B276" i="11"/>
  <c r="E275" i="11"/>
  <c r="D275" i="11"/>
  <c r="C275" i="11"/>
  <c r="B275" i="11"/>
  <c r="E274" i="11"/>
  <c r="D274" i="11"/>
  <c r="C274" i="11"/>
  <c r="B274" i="11"/>
  <c r="E273" i="11"/>
  <c r="D273" i="11"/>
  <c r="C273" i="11"/>
  <c r="B273" i="11"/>
  <c r="E272" i="11"/>
  <c r="D272" i="11"/>
  <c r="C272" i="11"/>
  <c r="B272" i="11"/>
  <c r="E271" i="11"/>
  <c r="D271" i="11"/>
  <c r="C271" i="11"/>
  <c r="B271" i="11"/>
  <c r="E270" i="11"/>
  <c r="D270" i="11"/>
  <c r="C270" i="11"/>
  <c r="B270" i="11"/>
  <c r="E269" i="11"/>
  <c r="D269" i="11"/>
  <c r="C269" i="11"/>
  <c r="B269" i="11"/>
  <c r="E268" i="11"/>
  <c r="D268" i="11"/>
  <c r="C268" i="11"/>
  <c r="B26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57" i="11"/>
  <c r="D257" i="11"/>
  <c r="C257" i="11"/>
  <c r="B257" i="11"/>
  <c r="C244" i="11"/>
  <c r="B244" i="11"/>
  <c r="C243" i="11"/>
  <c r="B243" i="11"/>
  <c r="C242" i="11"/>
  <c r="B242" i="11"/>
  <c r="C241" i="11"/>
  <c r="B241" i="11"/>
  <c r="C240" i="11"/>
  <c r="B240" i="11"/>
  <c r="C239" i="11"/>
  <c r="B239" i="11"/>
  <c r="C238" i="11"/>
  <c r="B238" i="11"/>
  <c r="C237" i="11"/>
  <c r="B237" i="11"/>
  <c r="C236" i="11"/>
  <c r="B236" i="11"/>
  <c r="C235" i="11"/>
  <c r="B235" i="11"/>
  <c r="C234" i="11"/>
  <c r="B234" i="11"/>
  <c r="C233" i="11"/>
  <c r="B233" i="11"/>
  <c r="E220" i="11"/>
  <c r="D220" i="11"/>
  <c r="C220" i="11"/>
  <c r="E219" i="11"/>
  <c r="D219" i="11"/>
  <c r="C219" i="11"/>
  <c r="E218" i="11"/>
  <c r="D218" i="11"/>
  <c r="C218" i="11"/>
  <c r="E217" i="11"/>
  <c r="D217" i="11"/>
  <c r="C217" i="11"/>
  <c r="E216" i="11"/>
  <c r="D216" i="11"/>
  <c r="C216" i="11"/>
  <c r="E215" i="11"/>
  <c r="D215" i="11"/>
  <c r="C215" i="11"/>
  <c r="E214" i="11"/>
  <c r="D214" i="11"/>
  <c r="C214" i="11"/>
  <c r="E213" i="11"/>
  <c r="D213" i="11"/>
  <c r="C213" i="11"/>
  <c r="E212" i="11"/>
  <c r="D212" i="11"/>
  <c r="C212" i="11"/>
  <c r="E211" i="11"/>
  <c r="D211" i="11"/>
  <c r="C211" i="11"/>
  <c r="E210" i="11"/>
  <c r="D210" i="11"/>
  <c r="C210" i="11"/>
  <c r="E209" i="11"/>
  <c r="D209" i="11"/>
  <c r="C209" i="11"/>
  <c r="E221" i="11"/>
  <c r="D221" i="11"/>
  <c r="C197" i="11"/>
  <c r="C221" i="11" s="1"/>
  <c r="C245" i="11" s="1"/>
  <c r="B197" i="11"/>
  <c r="B221" i="11" s="1"/>
  <c r="B245" i="11" s="1"/>
  <c r="C196" i="11"/>
  <c r="B196" i="11"/>
  <c r="B220" i="11" s="1"/>
  <c r="C195" i="11"/>
  <c r="B195" i="11"/>
  <c r="B219" i="11" s="1"/>
  <c r="C194" i="11"/>
  <c r="B194" i="11"/>
  <c r="B218" i="11" s="1"/>
  <c r="C193" i="11"/>
  <c r="B193" i="11"/>
  <c r="B217" i="11" s="1"/>
  <c r="C192" i="11"/>
  <c r="B192" i="11"/>
  <c r="B216" i="11" s="1"/>
  <c r="C191" i="11"/>
  <c r="B191" i="11"/>
  <c r="B215" i="11" s="1"/>
  <c r="C190" i="11"/>
  <c r="B190" i="11"/>
  <c r="B214" i="11" s="1"/>
  <c r="C189" i="11"/>
  <c r="B189" i="11"/>
  <c r="B213" i="11" s="1"/>
  <c r="C188" i="11"/>
  <c r="B188" i="11"/>
  <c r="B212" i="11" s="1"/>
  <c r="C187" i="11"/>
  <c r="B187" i="11"/>
  <c r="B211" i="11" s="1"/>
  <c r="C186" i="11"/>
  <c r="B186" i="11"/>
  <c r="B210" i="11" s="1"/>
  <c r="C185" i="11"/>
  <c r="B185" i="11"/>
  <c r="B209" i="11" s="1"/>
  <c r="J92" i="1" l="1"/>
  <c r="J93" i="1" s="1"/>
  <c r="J72" i="1"/>
  <c r="F401" i="1" s="1"/>
  <c r="J25" i="19" l="1"/>
  <c r="J26" i="19" s="1"/>
  <c r="C411" i="25"/>
  <c r="D112" i="19" l="1"/>
  <c r="J53" i="19"/>
  <c r="J51" i="19"/>
  <c r="J49" i="19"/>
  <c r="J47" i="19"/>
  <c r="F5" i="37"/>
  <c r="G5" i="37"/>
  <c r="G6" i="37"/>
  <c r="G7" i="37"/>
  <c r="G8" i="37"/>
  <c r="G9" i="37"/>
  <c r="G10" i="37"/>
  <c r="B6" i="37"/>
  <c r="B5" i="37"/>
  <c r="C77" i="35"/>
  <c r="C76" i="35"/>
  <c r="C75" i="35"/>
  <c r="C74" i="35"/>
  <c r="C73" i="35"/>
  <c r="C72" i="35"/>
  <c r="C71" i="35"/>
  <c r="J4" i="35"/>
  <c r="I4" i="37" s="1"/>
  <c r="H4" i="35"/>
  <c r="H4" i="37" s="1"/>
  <c r="B14" i="35"/>
  <c r="B14" i="37" s="1"/>
  <c r="B13" i="35"/>
  <c r="B13" i="37" s="1"/>
  <c r="B10" i="35"/>
  <c r="B10" i="37" s="1"/>
  <c r="B9" i="35"/>
  <c r="B9" i="37" s="1"/>
  <c r="B7" i="35"/>
  <c r="B7" i="37" s="1"/>
  <c r="F5" i="35"/>
  <c r="F6" i="37" l="1"/>
  <c r="H23" i="37" s="1"/>
  <c r="H25" i="36" s="1"/>
  <c r="B26" i="35"/>
  <c r="B25" i="37" s="1"/>
  <c r="B25" i="35"/>
  <c r="B24" i="37" s="1"/>
  <c r="B24" i="35"/>
  <c r="B23" i="37" s="1"/>
  <c r="C84" i="35"/>
  <c r="J84" i="35" s="1"/>
  <c r="Q84" i="35" s="1"/>
  <c r="X84" i="35" s="1"/>
  <c r="AE84" i="35" s="1"/>
  <c r="J74" i="35"/>
  <c r="Q74" i="35" s="1"/>
  <c r="X74" i="35" s="1"/>
  <c r="AE74" i="35" s="1"/>
  <c r="C81" i="35"/>
  <c r="J81" i="35" s="1"/>
  <c r="Q81" i="35" s="1"/>
  <c r="X81" i="35" s="1"/>
  <c r="AE81" i="35" s="1"/>
  <c r="J71" i="35"/>
  <c r="Q71" i="35" s="1"/>
  <c r="X71" i="35" s="1"/>
  <c r="AE71" i="35" s="1"/>
  <c r="C85" i="35"/>
  <c r="J85" i="35" s="1"/>
  <c r="Q85" i="35" s="1"/>
  <c r="X85" i="35" s="1"/>
  <c r="AE85" i="35" s="1"/>
  <c r="J75" i="35"/>
  <c r="Q75" i="35" s="1"/>
  <c r="X75" i="35" s="1"/>
  <c r="AE75" i="35" s="1"/>
  <c r="C83" i="35"/>
  <c r="J83" i="35" s="1"/>
  <c r="Q83" i="35" s="1"/>
  <c r="X83" i="35" s="1"/>
  <c r="AE83" i="35" s="1"/>
  <c r="J73" i="35"/>
  <c r="Q73" i="35" s="1"/>
  <c r="X73" i="35" s="1"/>
  <c r="AE73" i="35" s="1"/>
  <c r="C87" i="35"/>
  <c r="J87" i="35" s="1"/>
  <c r="Q87" i="35" s="1"/>
  <c r="X87" i="35" s="1"/>
  <c r="AE87" i="35" s="1"/>
  <c r="J77" i="35"/>
  <c r="Q77" i="35" s="1"/>
  <c r="X77" i="35" s="1"/>
  <c r="AE77" i="35" s="1"/>
  <c r="C82" i="35"/>
  <c r="J82" i="35" s="1"/>
  <c r="Q82" i="35" s="1"/>
  <c r="X82" i="35" s="1"/>
  <c r="AE82" i="35" s="1"/>
  <c r="J72" i="35"/>
  <c r="Q72" i="35" s="1"/>
  <c r="X72" i="35" s="1"/>
  <c r="AE72" i="35" s="1"/>
  <c r="C86" i="35"/>
  <c r="J86" i="35" s="1"/>
  <c r="Q86" i="35" s="1"/>
  <c r="X86" i="35" s="1"/>
  <c r="AE86" i="35" s="1"/>
  <c r="J76" i="35"/>
  <c r="Q76" i="35" s="1"/>
  <c r="X76" i="35" s="1"/>
  <c r="AE76" i="35" s="1"/>
  <c r="J73" i="1"/>
  <c r="F402" i="1" s="1"/>
  <c r="J74" i="1"/>
  <c r="G10" i="36"/>
  <c r="G9" i="36"/>
  <c r="G8" i="36"/>
  <c r="G7" i="36"/>
  <c r="G6" i="36"/>
  <c r="G5" i="36"/>
  <c r="B6" i="36"/>
  <c r="B5" i="36"/>
  <c r="H4" i="36"/>
  <c r="J4" i="36"/>
  <c r="I4" i="36"/>
  <c r="K4" i="36"/>
  <c r="L4" i="36"/>
  <c r="B16" i="34"/>
  <c r="B16" i="36" s="1"/>
  <c r="B15" i="34"/>
  <c r="B15" i="36" s="1"/>
  <c r="B14" i="34"/>
  <c r="B14" i="36" s="1"/>
  <c r="B13" i="34"/>
  <c r="B13" i="36" s="1"/>
  <c r="B12" i="34"/>
  <c r="B12" i="36" s="1"/>
  <c r="B9" i="34"/>
  <c r="B9" i="36" s="1"/>
  <c r="B8" i="34"/>
  <c r="B8" i="36" s="1"/>
  <c r="B7" i="34"/>
  <c r="B7" i="36" s="1"/>
  <c r="F5" i="34"/>
  <c r="F5" i="36" s="1"/>
  <c r="L4" i="34"/>
  <c r="K4" i="34"/>
  <c r="I4" i="34"/>
  <c r="J4" i="34"/>
  <c r="H4" i="34"/>
  <c r="B26" i="34" l="1"/>
  <c r="B26" i="36" s="1"/>
  <c r="B27" i="34"/>
  <c r="B27" i="36" s="1"/>
  <c r="B25" i="34"/>
  <c r="B25" i="36" s="1"/>
  <c r="F6" i="36"/>
  <c r="C348" i="1"/>
  <c r="D348" i="1"/>
  <c r="D197" i="40" s="1"/>
  <c r="E348" i="1"/>
  <c r="E197" i="40" s="1"/>
  <c r="B348" i="1"/>
  <c r="D347" i="1"/>
  <c r="D196" i="40" s="1"/>
  <c r="E347" i="1"/>
  <c r="E196" i="40" s="1"/>
  <c r="B347" i="1"/>
  <c r="B332" i="1"/>
  <c r="D332" i="1"/>
  <c r="E332" i="1"/>
  <c r="B333" i="1"/>
  <c r="D333" i="1"/>
  <c r="E333" i="1"/>
  <c r="B334" i="1"/>
  <c r="D334" i="1"/>
  <c r="E334" i="1"/>
  <c r="D331" i="1"/>
  <c r="E331" i="1"/>
  <c r="B331" i="1"/>
  <c r="B320" i="1"/>
  <c r="C238" i="1"/>
  <c r="C239" i="1"/>
  <c r="C240" i="1"/>
  <c r="C241" i="1"/>
  <c r="C242" i="1"/>
  <c r="C243" i="1"/>
  <c r="C244" i="1"/>
  <c r="C245" i="1"/>
  <c r="C246" i="1"/>
  <c r="C247" i="1"/>
  <c r="C248" i="1"/>
  <c r="C237" i="1"/>
  <c r="D237" i="1"/>
  <c r="E237" i="1"/>
  <c r="D238" i="1"/>
  <c r="E238" i="1"/>
  <c r="D239" i="1"/>
  <c r="E239" i="1"/>
  <c r="D240" i="1"/>
  <c r="E240" i="1"/>
  <c r="D241" i="1"/>
  <c r="E241" i="1"/>
  <c r="D242" i="1"/>
  <c r="E242" i="1"/>
  <c r="D243" i="1"/>
  <c r="E243" i="1"/>
  <c r="D244" i="1"/>
  <c r="E244" i="1"/>
  <c r="D245" i="1"/>
  <c r="E245" i="1"/>
  <c r="D246" i="1"/>
  <c r="E246" i="1"/>
  <c r="D247" i="1"/>
  <c r="E247" i="1"/>
  <c r="D248" i="1"/>
  <c r="E248" i="1"/>
  <c r="C225" i="1"/>
  <c r="C249" i="1" s="1"/>
  <c r="C273" i="1" s="1"/>
  <c r="D249" i="1"/>
  <c r="E249" i="1"/>
  <c r="B225" i="1"/>
  <c r="B249" i="1" s="1"/>
  <c r="B273" i="1" s="1"/>
  <c r="C285" i="1"/>
  <c r="D285" i="1"/>
  <c r="E285" i="1"/>
  <c r="C286" i="1"/>
  <c r="D286" i="1"/>
  <c r="E286" i="1"/>
  <c r="C287" i="1"/>
  <c r="D287" i="1"/>
  <c r="E287" i="1"/>
  <c r="C288" i="1"/>
  <c r="D288" i="1"/>
  <c r="E288" i="1"/>
  <c r="C289" i="1"/>
  <c r="D289" i="1"/>
  <c r="E289" i="1"/>
  <c r="C290" i="1"/>
  <c r="D290" i="1"/>
  <c r="E290" i="1"/>
  <c r="C291" i="1"/>
  <c r="D291" i="1"/>
  <c r="E291" i="1"/>
  <c r="C292" i="1"/>
  <c r="D292" i="1"/>
  <c r="E292" i="1"/>
  <c r="C293" i="1"/>
  <c r="D293" i="1"/>
  <c r="E293" i="1"/>
  <c r="C294" i="1"/>
  <c r="D294" i="1"/>
  <c r="E294" i="1"/>
  <c r="C295" i="1"/>
  <c r="D295" i="1"/>
  <c r="E295" i="1"/>
  <c r="C296" i="1"/>
  <c r="D296" i="1"/>
  <c r="E296" i="1"/>
  <c r="C297" i="1"/>
  <c r="D297" i="1"/>
  <c r="E297" i="1"/>
  <c r="C298" i="1"/>
  <c r="D298" i="1"/>
  <c r="E298" i="1"/>
  <c r="C299" i="1"/>
  <c r="D299" i="1"/>
  <c r="E299" i="1"/>
  <c r="C300" i="1"/>
  <c r="D300" i="1"/>
  <c r="E300" i="1"/>
  <c r="C301" i="1"/>
  <c r="D301" i="1"/>
  <c r="E301" i="1"/>
  <c r="C302" i="1"/>
  <c r="D302" i="1"/>
  <c r="E302" i="1"/>
  <c r="C303" i="1"/>
  <c r="D303" i="1"/>
  <c r="E303" i="1"/>
  <c r="C304" i="1"/>
  <c r="D304" i="1"/>
  <c r="E304" i="1"/>
  <c r="C305" i="1"/>
  <c r="D305" i="1"/>
  <c r="E305" i="1"/>
  <c r="C306" i="1"/>
  <c r="D306" i="1"/>
  <c r="E306" i="1"/>
  <c r="B304" i="1"/>
  <c r="B305" i="1"/>
  <c r="B306" i="1"/>
  <c r="B286" i="1"/>
  <c r="B287" i="1"/>
  <c r="B288" i="1"/>
  <c r="B289" i="1"/>
  <c r="B290" i="1"/>
  <c r="B291" i="1"/>
  <c r="B292" i="1"/>
  <c r="B293" i="1"/>
  <c r="B294" i="1"/>
  <c r="B295" i="1"/>
  <c r="B296" i="1"/>
  <c r="B297" i="1"/>
  <c r="B298" i="1"/>
  <c r="B299" i="1"/>
  <c r="B300" i="1"/>
  <c r="B301" i="1"/>
  <c r="B302" i="1"/>
  <c r="B303" i="1"/>
  <c r="B285" i="1"/>
  <c r="B214" i="1"/>
  <c r="B238" i="1" s="1"/>
  <c r="C214" i="1"/>
  <c r="B215" i="1"/>
  <c r="B239" i="1" s="1"/>
  <c r="C215" i="1"/>
  <c r="B216" i="1"/>
  <c r="B240" i="1" s="1"/>
  <c r="C216" i="1"/>
  <c r="B217" i="1"/>
  <c r="B241" i="1" s="1"/>
  <c r="C217" i="1"/>
  <c r="B218" i="1"/>
  <c r="B242" i="1" s="1"/>
  <c r="C218" i="1"/>
  <c r="B219" i="1"/>
  <c r="B243" i="1" s="1"/>
  <c r="C219" i="1"/>
  <c r="B220" i="1"/>
  <c r="B244" i="1" s="1"/>
  <c r="C220" i="1"/>
  <c r="B221" i="1"/>
  <c r="B245" i="1" s="1"/>
  <c r="C221" i="1"/>
  <c r="B222" i="1"/>
  <c r="B246" i="1" s="1"/>
  <c r="C222" i="1"/>
  <c r="B223" i="1"/>
  <c r="B247" i="1" s="1"/>
  <c r="C223" i="1"/>
  <c r="B224" i="1"/>
  <c r="B248" i="1" s="1"/>
  <c r="C224" i="1"/>
  <c r="C213" i="1"/>
  <c r="B213" i="1"/>
  <c r="B237" i="1" s="1"/>
  <c r="B22" i="32"/>
  <c r="C22" i="32"/>
  <c r="D22" i="32"/>
  <c r="E22" i="32"/>
  <c r="F22" i="32"/>
  <c r="G22" i="32"/>
  <c r="H22" i="32"/>
  <c r="I22" i="32"/>
  <c r="J22" i="32"/>
  <c r="A22" i="32"/>
  <c r="C261" i="1"/>
  <c r="C262" i="1"/>
  <c r="C263" i="1"/>
  <c r="C264" i="1"/>
  <c r="C265" i="1"/>
  <c r="C266" i="1"/>
  <c r="C267" i="1"/>
  <c r="C268" i="1"/>
  <c r="C269" i="1"/>
  <c r="C270" i="1"/>
  <c r="C271" i="1"/>
  <c r="C272" i="1"/>
  <c r="B262" i="1"/>
  <c r="B263" i="1"/>
  <c r="B264" i="1"/>
  <c r="B265" i="1"/>
  <c r="B266" i="1"/>
  <c r="B267" i="1"/>
  <c r="B268" i="1"/>
  <c r="B269" i="1"/>
  <c r="B270" i="1"/>
  <c r="B271" i="1"/>
  <c r="B272" i="1"/>
  <c r="B261" i="1"/>
  <c r="F403" i="1" l="1"/>
  <c r="F105" i="1" l="1"/>
  <c r="F104" i="1"/>
  <c r="H574" i="1" l="1"/>
  <c r="E575" i="1"/>
  <c r="E576" i="1"/>
  <c r="E577" i="1"/>
  <c r="E578" i="1"/>
  <c r="E579" i="1"/>
  <c r="E580" i="1"/>
  <c r="H584" i="1"/>
  <c r="E585" i="1"/>
  <c r="E586" i="1"/>
  <c r="E587" i="1"/>
  <c r="E588" i="1"/>
  <c r="E589" i="1"/>
  <c r="E590" i="1"/>
  <c r="J96" i="1"/>
  <c r="J97" i="1"/>
  <c r="F130" i="1" s="1"/>
  <c r="J102" i="1"/>
  <c r="J103" i="1"/>
  <c r="E19" i="11"/>
  <c r="E22" i="11" s="1"/>
  <c r="E19" i="1"/>
  <c r="B5" i="18"/>
  <c r="J33" i="19"/>
  <c r="F32" i="19"/>
  <c r="J32" i="19" s="1"/>
  <c r="C2" i="26"/>
  <c r="F40" i="19"/>
  <c r="J40" i="19" s="1"/>
  <c r="F42" i="19"/>
  <c r="J42" i="19" s="1"/>
  <c r="F41" i="19"/>
  <c r="J41" i="19" s="1"/>
  <c r="BP6" i="26"/>
  <c r="BP7" i="26"/>
  <c r="BP8" i="26"/>
  <c r="BP9" i="26"/>
  <c r="BP10" i="26"/>
  <c r="BP11" i="26"/>
  <c r="BP12" i="26"/>
  <c r="BP13" i="26"/>
  <c r="BP14" i="26"/>
  <c r="BP15" i="26"/>
  <c r="BP16" i="26"/>
  <c r="BP17" i="26"/>
  <c r="BP18" i="26"/>
  <c r="BP19" i="26"/>
  <c r="BP20" i="26"/>
  <c r="BP21" i="26"/>
  <c r="BP22" i="26"/>
  <c r="BP23" i="26"/>
  <c r="BP24" i="26"/>
  <c r="BP25" i="26"/>
  <c r="BP26" i="26"/>
  <c r="BP27" i="26"/>
  <c r="BP28" i="26"/>
  <c r="BP29" i="26"/>
  <c r="BP30" i="26"/>
  <c r="BP31" i="26"/>
  <c r="BP32" i="26"/>
  <c r="BP33" i="26"/>
  <c r="BP34" i="26"/>
  <c r="BP35" i="26"/>
  <c r="BP36" i="26"/>
  <c r="BP37" i="26"/>
  <c r="BP38" i="26"/>
  <c r="BP39" i="26"/>
  <c r="BP40" i="26"/>
  <c r="BP41" i="26"/>
  <c r="BP42" i="26"/>
  <c r="BP43" i="26"/>
  <c r="BP44" i="26"/>
  <c r="BP45" i="26"/>
  <c r="BP46" i="26"/>
  <c r="BP47" i="26"/>
  <c r="BP48" i="26"/>
  <c r="BP49" i="26"/>
  <c r="BP50" i="26"/>
  <c r="BP51" i="26"/>
  <c r="BP52" i="26"/>
  <c r="BP53" i="26"/>
  <c r="BP54" i="26"/>
  <c r="BP55" i="26"/>
  <c r="BP56" i="26"/>
  <c r="BP57" i="26"/>
  <c r="BP58" i="26"/>
  <c r="BP59" i="26"/>
  <c r="BP60" i="26"/>
  <c r="BP61" i="26"/>
  <c r="BP62" i="26"/>
  <c r="BP63" i="26"/>
  <c r="BP64" i="26"/>
  <c r="BP65" i="26"/>
  <c r="BP66" i="26"/>
  <c r="BP67" i="26"/>
  <c r="BP68" i="26"/>
  <c r="BP69" i="26"/>
  <c r="BP70" i="26"/>
  <c r="BP71" i="26"/>
  <c r="BP72" i="26"/>
  <c r="BP73" i="26"/>
  <c r="BP74" i="26"/>
  <c r="BP75" i="26"/>
  <c r="BP76" i="26"/>
  <c r="BP77" i="26"/>
  <c r="BP78" i="26"/>
  <c r="BP79" i="26"/>
  <c r="BP80" i="26"/>
  <c r="BP81" i="26"/>
  <c r="BP82" i="26"/>
  <c r="BP83" i="26"/>
  <c r="BP84" i="26"/>
  <c r="BP85" i="26"/>
  <c r="BP86" i="26"/>
  <c r="BP87" i="26"/>
  <c r="BP88" i="26"/>
  <c r="BP89" i="26"/>
  <c r="BP90" i="26"/>
  <c r="BP91" i="26"/>
  <c r="BP92" i="26"/>
  <c r="BP93" i="26"/>
  <c r="BP94" i="26"/>
  <c r="BP95" i="26"/>
  <c r="BP96" i="26"/>
  <c r="BP97" i="26"/>
  <c r="BP98" i="26"/>
  <c r="BP99" i="26"/>
  <c r="BP100" i="26"/>
  <c r="BP101" i="26"/>
  <c r="BP102" i="26"/>
  <c r="BP103" i="26"/>
  <c r="BP104" i="26"/>
  <c r="BP105" i="26"/>
  <c r="BP106" i="26"/>
  <c r="BP107" i="26"/>
  <c r="BP108" i="26"/>
  <c r="BP109" i="26"/>
  <c r="BP110" i="26"/>
  <c r="BP111" i="26"/>
  <c r="BP112" i="26"/>
  <c r="BP113" i="26"/>
  <c r="BP114" i="26"/>
  <c r="BP115" i="26"/>
  <c r="BP116" i="26"/>
  <c r="BP117" i="26"/>
  <c r="BP118" i="26"/>
  <c r="BP119" i="26"/>
  <c r="BP120" i="26"/>
  <c r="BP121" i="26"/>
  <c r="BP122" i="26"/>
  <c r="BP123" i="26"/>
  <c r="BP124" i="26"/>
  <c r="BP125" i="26"/>
  <c r="BP126" i="26"/>
  <c r="BP127" i="26"/>
  <c r="BP128" i="26"/>
  <c r="BP129" i="26"/>
  <c r="BP130" i="26"/>
  <c r="BP131" i="26"/>
  <c r="BP132" i="26"/>
  <c r="BP133" i="26"/>
  <c r="BP134" i="26"/>
  <c r="BP135" i="26"/>
  <c r="BP136" i="26"/>
  <c r="BP137" i="26"/>
  <c r="BP138" i="26"/>
  <c r="BP139" i="26"/>
  <c r="BP140" i="26"/>
  <c r="BP141" i="26"/>
  <c r="BP142" i="26"/>
  <c r="BP143" i="26"/>
  <c r="BP144" i="26"/>
  <c r="BP145" i="26"/>
  <c r="BP146" i="26"/>
  <c r="BP147" i="26"/>
  <c r="BP148" i="26"/>
  <c r="BP149" i="26"/>
  <c r="BP150" i="26"/>
  <c r="BP151" i="26"/>
  <c r="BP152" i="26"/>
  <c r="BP153" i="26"/>
  <c r="BP154" i="26"/>
  <c r="BP155" i="26"/>
  <c r="BP156" i="26"/>
  <c r="BP157" i="26"/>
  <c r="BP158" i="26"/>
  <c r="BP159" i="26"/>
  <c r="BP160" i="26"/>
  <c r="BP161" i="26"/>
  <c r="BP162" i="26"/>
  <c r="BP163" i="26"/>
  <c r="BP164" i="26"/>
  <c r="BP165" i="26"/>
  <c r="BP166" i="26"/>
  <c r="BP167" i="26"/>
  <c r="BP168" i="26"/>
  <c r="BP169" i="26"/>
  <c r="BP170" i="26"/>
  <c r="BP171" i="26"/>
  <c r="BP172" i="26"/>
  <c r="BP173" i="26"/>
  <c r="BP174" i="26"/>
  <c r="BP175" i="26"/>
  <c r="BP176" i="26"/>
  <c r="BP177" i="26"/>
  <c r="BP178" i="26"/>
  <c r="BP179" i="26"/>
  <c r="BP180" i="26"/>
  <c r="BP181" i="26"/>
  <c r="BP182" i="26"/>
  <c r="BP183" i="26"/>
  <c r="BP184" i="26"/>
  <c r="BP185" i="26"/>
  <c r="BP186" i="26"/>
  <c r="BP187" i="26"/>
  <c r="BP188" i="26"/>
  <c r="BP189" i="26"/>
  <c r="BP190" i="26"/>
  <c r="BP191" i="26"/>
  <c r="BP192" i="26"/>
  <c r="BP193" i="26"/>
  <c r="BP194" i="26"/>
  <c r="BP195" i="26"/>
  <c r="BP196" i="26"/>
  <c r="BP197" i="26"/>
  <c r="BP198" i="26"/>
  <c r="BP199" i="26"/>
  <c r="BP200" i="26"/>
  <c r="BP201" i="26"/>
  <c r="BP202" i="26"/>
  <c r="BP203" i="26"/>
  <c r="BP204" i="26"/>
  <c r="BP205" i="26"/>
  <c r="BP206" i="26"/>
  <c r="BP207" i="26"/>
  <c r="BP208" i="26"/>
  <c r="BP209" i="26"/>
  <c r="BP210" i="26"/>
  <c r="BP211" i="26"/>
  <c r="BP212" i="26"/>
  <c r="BP213" i="26"/>
  <c r="BP214" i="26"/>
  <c r="BP215" i="26"/>
  <c r="BP216" i="26"/>
  <c r="BP217" i="26"/>
  <c r="BP218" i="26"/>
  <c r="BP219" i="26"/>
  <c r="BP220" i="26"/>
  <c r="BP221" i="26"/>
  <c r="BP222" i="26"/>
  <c r="BP223" i="26"/>
  <c r="BP224" i="26"/>
  <c r="BP225" i="26"/>
  <c r="BP226" i="26"/>
  <c r="BP227" i="26"/>
  <c r="BP228" i="26"/>
  <c r="BP229" i="26"/>
  <c r="BP230" i="26"/>
  <c r="BP231" i="26"/>
  <c r="BP232" i="26"/>
  <c r="BP233" i="26"/>
  <c r="BP234" i="26"/>
  <c r="BP235" i="26"/>
  <c r="BP236" i="26"/>
  <c r="BP237" i="26"/>
  <c r="BP238" i="26"/>
  <c r="BP239" i="26"/>
  <c r="BP240" i="26"/>
  <c r="BP241" i="26"/>
  <c r="BP242" i="26"/>
  <c r="BP243" i="26"/>
  <c r="BP244" i="26"/>
  <c r="BP245" i="26"/>
  <c r="BP246" i="26"/>
  <c r="BP247" i="26"/>
  <c r="BP248" i="26"/>
  <c r="BP249" i="26"/>
  <c r="BP250" i="26"/>
  <c r="BP251" i="26"/>
  <c r="BP252" i="26"/>
  <c r="BP253" i="26"/>
  <c r="BP254" i="26"/>
  <c r="BP255" i="26"/>
  <c r="BP256" i="26"/>
  <c r="BP257" i="26"/>
  <c r="BP258" i="26"/>
  <c r="BP259" i="26"/>
  <c r="BP260" i="26"/>
  <c r="BP261" i="26"/>
  <c r="BP262" i="26"/>
  <c r="BP263" i="26"/>
  <c r="BP264" i="26"/>
  <c r="BP265" i="26"/>
  <c r="BP266" i="26"/>
  <c r="BP267" i="26"/>
  <c r="BP268" i="26"/>
  <c r="BP269" i="26"/>
  <c r="BP270" i="26"/>
  <c r="BP271" i="26"/>
  <c r="BP272" i="26"/>
  <c r="BP273" i="26"/>
  <c r="BP274" i="26"/>
  <c r="BP275" i="26"/>
  <c r="BP276" i="26"/>
  <c r="BP277" i="26"/>
  <c r="BP278" i="26"/>
  <c r="BP279" i="26"/>
  <c r="BP280" i="26"/>
  <c r="BP281" i="26"/>
  <c r="BP282" i="26"/>
  <c r="BP283" i="26"/>
  <c r="BP284" i="26"/>
  <c r="BP285" i="26"/>
  <c r="BP286" i="26"/>
  <c r="BP287" i="26"/>
  <c r="BP288" i="26"/>
  <c r="BP289" i="26"/>
  <c r="BP290" i="26"/>
  <c r="BP291" i="26"/>
  <c r="BP292" i="26"/>
  <c r="BP293" i="26"/>
  <c r="BP294" i="26"/>
  <c r="BP295" i="26"/>
  <c r="BP296" i="26"/>
  <c r="BP297" i="26"/>
  <c r="BP298" i="26"/>
  <c r="BP299" i="26"/>
  <c r="BP300" i="26"/>
  <c r="BP301" i="26"/>
  <c r="BP302" i="26"/>
  <c r="BP303" i="26"/>
  <c r="BP304" i="26"/>
  <c r="BP305" i="26"/>
  <c r="BP306" i="26"/>
  <c r="BP307" i="26"/>
  <c r="BP308" i="26"/>
  <c r="BP309" i="26"/>
  <c r="BP310" i="26"/>
  <c r="BP311" i="26"/>
  <c r="BP312" i="26"/>
  <c r="BP313" i="26"/>
  <c r="BP314" i="26"/>
  <c r="BP315" i="26"/>
  <c r="BP316" i="26"/>
  <c r="BP317" i="26"/>
  <c r="BP318" i="26"/>
  <c r="BP319" i="26"/>
  <c r="BP320" i="26"/>
  <c r="BP321" i="26"/>
  <c r="BP322" i="26"/>
  <c r="BP323" i="26"/>
  <c r="BP324" i="26"/>
  <c r="BP325" i="26"/>
  <c r="BP326" i="26"/>
  <c r="BP327" i="26"/>
  <c r="BP328" i="26"/>
  <c r="BP329" i="26"/>
  <c r="BP330" i="26"/>
  <c r="BP331" i="26"/>
  <c r="BP332" i="26"/>
  <c r="BP333" i="26"/>
  <c r="BP334" i="26"/>
  <c r="BP335" i="26"/>
  <c r="BP336" i="26"/>
  <c r="BP337" i="26"/>
  <c r="BP338" i="26"/>
  <c r="BP339" i="26"/>
  <c r="BP340" i="26"/>
  <c r="BP341" i="26"/>
  <c r="BP342" i="26"/>
  <c r="BP343" i="26"/>
  <c r="BP344" i="26"/>
  <c r="BP345" i="26"/>
  <c r="BP346" i="26"/>
  <c r="BP347" i="26"/>
  <c r="BP348" i="26"/>
  <c r="BP349" i="26"/>
  <c r="BP350" i="26"/>
  <c r="BP351" i="26"/>
  <c r="BP352" i="26"/>
  <c r="BP353" i="26"/>
  <c r="BP354" i="26"/>
  <c r="BP355" i="26"/>
  <c r="BP356" i="26"/>
  <c r="BP357" i="26"/>
  <c r="BP358" i="26"/>
  <c r="BP359" i="26"/>
  <c r="BP360" i="26"/>
  <c r="BP361" i="26"/>
  <c r="BP362" i="26"/>
  <c r="BP363" i="26"/>
  <c r="BP364" i="26"/>
  <c r="BP365" i="26"/>
  <c r="BP366" i="26"/>
  <c r="BP367" i="26"/>
  <c r="BP368" i="26"/>
  <c r="BP369" i="26"/>
  <c r="BP370" i="26"/>
  <c r="BP371" i="26"/>
  <c r="BP372" i="26"/>
  <c r="BP373" i="26"/>
  <c r="BP374" i="26"/>
  <c r="BP375" i="26"/>
  <c r="BP376" i="26"/>
  <c r="BP377" i="26"/>
  <c r="BP378" i="26"/>
  <c r="BP379" i="26"/>
  <c r="BP380" i="26"/>
  <c r="BP381" i="26"/>
  <c r="BP382" i="26"/>
  <c r="BP383" i="26"/>
  <c r="BP384" i="26"/>
  <c r="BP385" i="26"/>
  <c r="BP386" i="26"/>
  <c r="BP387" i="26"/>
  <c r="BP388" i="26"/>
  <c r="BP389" i="26"/>
  <c r="BP390" i="26"/>
  <c r="BP391" i="26"/>
  <c r="BP392" i="26"/>
  <c r="BP393" i="26"/>
  <c r="BP394" i="26"/>
  <c r="BP395" i="26"/>
  <c r="BP396" i="26"/>
  <c r="BP397" i="26"/>
  <c r="BP398" i="26"/>
  <c r="BP399" i="26"/>
  <c r="BP400" i="26"/>
  <c r="BP401" i="26"/>
  <c r="BP402" i="26"/>
  <c r="BP403" i="26"/>
  <c r="BP404" i="26"/>
  <c r="BP405" i="26"/>
  <c r="BP406" i="26"/>
  <c r="BP407" i="26"/>
  <c r="BP408" i="26"/>
  <c r="BP409" i="26"/>
  <c r="BP410" i="26"/>
  <c r="BP5" i="26"/>
  <c r="BM5" i="26"/>
  <c r="BM6" i="26"/>
  <c r="BN6" i="26"/>
  <c r="BO6" i="26" a="1"/>
  <c r="BO6" i="26" s="1"/>
  <c r="BM7" i="26"/>
  <c r="BN7" i="26"/>
  <c r="BO7" i="26" a="1"/>
  <c r="BO7" i="26" s="1"/>
  <c r="BM8" i="26"/>
  <c r="BN8" i="26"/>
  <c r="BO8" i="26" a="1"/>
  <c r="BO8" i="26" s="1"/>
  <c r="BM9" i="26"/>
  <c r="BN9" i="26"/>
  <c r="BO9" i="26" a="1"/>
  <c r="BO9" i="26" s="1"/>
  <c r="BM10" i="26"/>
  <c r="BN10" i="26"/>
  <c r="BO10" i="26" a="1"/>
  <c r="BO10" i="26" s="1"/>
  <c r="BM11" i="26"/>
  <c r="BN11" i="26"/>
  <c r="BO11" i="26" a="1"/>
  <c r="BO11" i="26" s="1"/>
  <c r="BM12" i="26"/>
  <c r="BN12" i="26"/>
  <c r="BO12" i="26" a="1"/>
  <c r="BO12" i="26" s="1"/>
  <c r="BM13" i="26"/>
  <c r="BN13" i="26"/>
  <c r="BO13" i="26" a="1"/>
  <c r="BO13" i="26" s="1"/>
  <c r="BM14" i="26"/>
  <c r="BN14" i="26"/>
  <c r="BO14" i="26" a="1"/>
  <c r="BO14" i="26" s="1"/>
  <c r="BM15" i="26"/>
  <c r="BN15" i="26"/>
  <c r="BO15" i="26" a="1"/>
  <c r="BO15" i="26" s="1"/>
  <c r="BM16" i="26"/>
  <c r="BN16" i="26"/>
  <c r="BO16" i="26" a="1"/>
  <c r="BO16" i="26" s="1"/>
  <c r="BM17" i="26"/>
  <c r="BN17" i="26"/>
  <c r="BO17" i="26" a="1"/>
  <c r="BO17" i="26" s="1"/>
  <c r="BM18" i="26"/>
  <c r="BN18" i="26"/>
  <c r="BO18" i="26" a="1"/>
  <c r="BO18" i="26" s="1"/>
  <c r="BM19" i="26"/>
  <c r="BN19" i="26"/>
  <c r="BO19" i="26" a="1"/>
  <c r="BO19" i="26" s="1"/>
  <c r="BM20" i="26"/>
  <c r="BN20" i="26"/>
  <c r="BO20" i="26" a="1"/>
  <c r="BO20" i="26" s="1"/>
  <c r="BM21" i="26"/>
  <c r="BN21" i="26"/>
  <c r="BO21" i="26" a="1"/>
  <c r="BO21" i="26" s="1"/>
  <c r="BM22" i="26"/>
  <c r="BN22" i="26"/>
  <c r="BO22" i="26" a="1"/>
  <c r="BO22" i="26" s="1"/>
  <c r="BM23" i="26"/>
  <c r="BN23" i="26"/>
  <c r="BO23" i="26" a="1"/>
  <c r="BO23" i="26" s="1"/>
  <c r="BM24" i="26"/>
  <c r="BN24" i="26"/>
  <c r="BO24" i="26" a="1"/>
  <c r="BO24" i="26" s="1"/>
  <c r="BM25" i="26"/>
  <c r="BN25" i="26"/>
  <c r="BO25" i="26" a="1"/>
  <c r="BO25" i="26" s="1"/>
  <c r="BM26" i="26"/>
  <c r="BN26" i="26"/>
  <c r="BO26" i="26" a="1"/>
  <c r="BO26" i="26" s="1"/>
  <c r="BM27" i="26"/>
  <c r="BN27" i="26"/>
  <c r="BO27" i="26" a="1"/>
  <c r="BO27" i="26" s="1"/>
  <c r="BM28" i="26"/>
  <c r="BN28" i="26"/>
  <c r="BO28" i="26" a="1"/>
  <c r="BO28" i="26" s="1"/>
  <c r="BM29" i="26"/>
  <c r="BN29" i="26"/>
  <c r="BO29" i="26" a="1"/>
  <c r="BO29" i="26" s="1"/>
  <c r="BM30" i="26"/>
  <c r="BN30" i="26"/>
  <c r="BO30" i="26" a="1"/>
  <c r="BO30" i="26" s="1"/>
  <c r="BM31" i="26"/>
  <c r="BN31" i="26"/>
  <c r="BO31" i="26" a="1"/>
  <c r="BO31" i="26" s="1"/>
  <c r="BM32" i="26"/>
  <c r="BN32" i="26"/>
  <c r="BO32" i="26" a="1"/>
  <c r="BO32" i="26" s="1"/>
  <c r="BM33" i="26"/>
  <c r="BN33" i="26"/>
  <c r="BO33" i="26" a="1"/>
  <c r="BO33" i="26" s="1"/>
  <c r="BM34" i="26"/>
  <c r="BN34" i="26"/>
  <c r="BO34" i="26" a="1"/>
  <c r="BO34" i="26" s="1"/>
  <c r="BM35" i="26"/>
  <c r="BN35" i="26"/>
  <c r="BO35" i="26" a="1"/>
  <c r="BO35" i="26" s="1"/>
  <c r="BM36" i="26"/>
  <c r="BN36" i="26"/>
  <c r="BO36" i="26" a="1"/>
  <c r="BO36" i="26" s="1"/>
  <c r="BM37" i="26"/>
  <c r="BN37" i="26"/>
  <c r="BO37" i="26" a="1"/>
  <c r="BO37" i="26" s="1"/>
  <c r="BM38" i="26"/>
  <c r="BN38" i="26"/>
  <c r="BO38" i="26" a="1"/>
  <c r="BO38" i="26" s="1"/>
  <c r="BM39" i="26"/>
  <c r="BN39" i="26"/>
  <c r="BO39" i="26" a="1"/>
  <c r="BO39" i="26" s="1"/>
  <c r="BM40" i="26"/>
  <c r="BN40" i="26"/>
  <c r="BO40" i="26" a="1"/>
  <c r="BO40" i="26" s="1"/>
  <c r="BM41" i="26"/>
  <c r="BN41" i="26"/>
  <c r="BO41" i="26" a="1"/>
  <c r="BO41" i="26" s="1"/>
  <c r="BM42" i="26"/>
  <c r="BN42" i="26"/>
  <c r="BO42" i="26" a="1"/>
  <c r="BO42" i="26" s="1"/>
  <c r="BM43" i="26"/>
  <c r="BN43" i="26"/>
  <c r="BO43" i="26" a="1"/>
  <c r="BO43" i="26" s="1"/>
  <c r="BM44" i="26"/>
  <c r="BN44" i="26"/>
  <c r="BO44" i="26" a="1"/>
  <c r="BO44" i="26" s="1"/>
  <c r="BM45" i="26"/>
  <c r="BN45" i="26"/>
  <c r="BO45" i="26" a="1"/>
  <c r="BO45" i="26" s="1"/>
  <c r="BM46" i="26"/>
  <c r="BN46" i="26"/>
  <c r="BO46" i="26" a="1"/>
  <c r="BO46" i="26" s="1"/>
  <c r="BM47" i="26"/>
  <c r="BN47" i="26"/>
  <c r="BO47" i="26" a="1"/>
  <c r="BO47" i="26" s="1"/>
  <c r="BM48" i="26"/>
  <c r="BN48" i="26"/>
  <c r="BO48" i="26" a="1"/>
  <c r="BO48" i="26" s="1"/>
  <c r="BM49" i="26"/>
  <c r="BN49" i="26"/>
  <c r="BO49" i="26" a="1"/>
  <c r="BO49" i="26" s="1"/>
  <c r="BM50" i="26"/>
  <c r="BN50" i="26"/>
  <c r="BO50" i="26" a="1"/>
  <c r="BO50" i="26" s="1"/>
  <c r="BM51" i="26"/>
  <c r="BN51" i="26"/>
  <c r="BO51" i="26" a="1"/>
  <c r="BO51" i="26" s="1"/>
  <c r="BM52" i="26"/>
  <c r="BN52" i="26"/>
  <c r="BO52" i="26" a="1"/>
  <c r="BO52" i="26" s="1"/>
  <c r="BM53" i="26"/>
  <c r="BN53" i="26"/>
  <c r="BO53" i="26" a="1"/>
  <c r="BO53" i="26" s="1"/>
  <c r="BM54" i="26"/>
  <c r="BN54" i="26"/>
  <c r="BO54" i="26" a="1"/>
  <c r="BO54" i="26" s="1"/>
  <c r="BM55" i="26"/>
  <c r="BN55" i="26"/>
  <c r="BO55" i="26" a="1"/>
  <c r="BO55" i="26" s="1"/>
  <c r="BM56" i="26"/>
  <c r="BN56" i="26"/>
  <c r="BO56" i="26" a="1"/>
  <c r="BO56" i="26" s="1"/>
  <c r="BM57" i="26"/>
  <c r="BN57" i="26"/>
  <c r="BO57" i="26" a="1"/>
  <c r="BO57" i="26" s="1"/>
  <c r="BM58" i="26"/>
  <c r="BN58" i="26"/>
  <c r="BO58" i="26" a="1"/>
  <c r="BO58" i="26" s="1"/>
  <c r="BM59" i="26"/>
  <c r="BN59" i="26"/>
  <c r="BO59" i="26" a="1"/>
  <c r="BO59" i="26" s="1"/>
  <c r="BM60" i="26"/>
  <c r="BN60" i="26"/>
  <c r="BO60" i="26" a="1"/>
  <c r="BO60" i="26" s="1"/>
  <c r="BM61" i="26"/>
  <c r="BN61" i="26"/>
  <c r="BO61" i="26" a="1"/>
  <c r="BO61" i="26" s="1"/>
  <c r="BM62" i="26"/>
  <c r="BN62" i="26"/>
  <c r="BO62" i="26" a="1"/>
  <c r="BO62" i="26" s="1"/>
  <c r="BM63" i="26"/>
  <c r="BN63" i="26"/>
  <c r="BO63" i="26" a="1"/>
  <c r="BO63" i="26" s="1"/>
  <c r="BM64" i="26"/>
  <c r="BN64" i="26"/>
  <c r="BO64" i="26" a="1"/>
  <c r="BO64" i="26" s="1"/>
  <c r="BM65" i="26"/>
  <c r="BN65" i="26"/>
  <c r="BO65" i="26" a="1"/>
  <c r="BO65" i="26" s="1"/>
  <c r="BM66" i="26"/>
  <c r="BN66" i="26"/>
  <c r="BO66" i="26" a="1"/>
  <c r="BO66" i="26" s="1"/>
  <c r="BM67" i="26"/>
  <c r="BN67" i="26"/>
  <c r="BO67" i="26" a="1"/>
  <c r="BO67" i="26" s="1"/>
  <c r="BM68" i="26"/>
  <c r="BN68" i="26"/>
  <c r="BO68" i="26" a="1"/>
  <c r="BO68" i="26" s="1"/>
  <c r="BM69" i="26"/>
  <c r="BN69" i="26"/>
  <c r="BO69" i="26" a="1"/>
  <c r="BO69" i="26" s="1"/>
  <c r="BM70" i="26"/>
  <c r="BN70" i="26"/>
  <c r="BO70" i="26" a="1"/>
  <c r="BO70" i="26" s="1"/>
  <c r="BM71" i="26"/>
  <c r="BN71" i="26"/>
  <c r="BO71" i="26" a="1"/>
  <c r="BO71" i="26" s="1"/>
  <c r="BM72" i="26"/>
  <c r="BN72" i="26"/>
  <c r="BO72" i="26" a="1"/>
  <c r="BO72" i="26" s="1"/>
  <c r="BM73" i="26"/>
  <c r="BN73" i="26"/>
  <c r="BO73" i="26" a="1"/>
  <c r="BO73" i="26" s="1"/>
  <c r="BM74" i="26"/>
  <c r="BN74" i="26"/>
  <c r="BO74" i="26" a="1"/>
  <c r="BO74" i="26" s="1"/>
  <c r="BM75" i="26"/>
  <c r="BN75" i="26"/>
  <c r="BO75" i="26" a="1"/>
  <c r="BO75" i="26" s="1"/>
  <c r="BM76" i="26"/>
  <c r="BN76" i="26"/>
  <c r="BO76" i="26" a="1"/>
  <c r="BO76" i="26" s="1"/>
  <c r="BM77" i="26"/>
  <c r="BN77" i="26"/>
  <c r="BO77" i="26" a="1"/>
  <c r="BO77" i="26" s="1"/>
  <c r="BM78" i="26"/>
  <c r="BN78" i="26"/>
  <c r="BO78" i="26" a="1"/>
  <c r="BO78" i="26" s="1"/>
  <c r="BM79" i="26"/>
  <c r="BN79" i="26"/>
  <c r="BO79" i="26" a="1"/>
  <c r="BO79" i="26" s="1"/>
  <c r="BM80" i="26"/>
  <c r="BN80" i="26"/>
  <c r="BO80" i="26" a="1"/>
  <c r="BO80" i="26" s="1"/>
  <c r="BM81" i="26"/>
  <c r="BN81" i="26"/>
  <c r="BO81" i="26" a="1"/>
  <c r="BO81" i="26" s="1"/>
  <c r="BM82" i="26"/>
  <c r="BN82" i="26"/>
  <c r="BO82" i="26" a="1"/>
  <c r="BO82" i="26" s="1"/>
  <c r="BM83" i="26"/>
  <c r="BN83" i="26"/>
  <c r="BO83" i="26" a="1"/>
  <c r="BO83" i="26" s="1"/>
  <c r="BM84" i="26"/>
  <c r="BN84" i="26"/>
  <c r="BO84" i="26" a="1"/>
  <c r="BO84" i="26" s="1"/>
  <c r="BM85" i="26"/>
  <c r="BN85" i="26"/>
  <c r="BO85" i="26" a="1"/>
  <c r="BO85" i="26" s="1"/>
  <c r="BM86" i="26"/>
  <c r="BN86" i="26"/>
  <c r="BO86" i="26" a="1"/>
  <c r="BO86" i="26" s="1"/>
  <c r="BM87" i="26"/>
  <c r="BN87" i="26"/>
  <c r="BO87" i="26" a="1"/>
  <c r="BO87" i="26" s="1"/>
  <c r="BM88" i="26"/>
  <c r="BN88" i="26"/>
  <c r="BO88" i="26" a="1"/>
  <c r="BO88" i="26" s="1"/>
  <c r="BM89" i="26"/>
  <c r="BN89" i="26"/>
  <c r="BO89" i="26" a="1"/>
  <c r="BO89" i="26" s="1"/>
  <c r="BM90" i="26"/>
  <c r="BN90" i="26"/>
  <c r="BO90" i="26" a="1"/>
  <c r="BO90" i="26" s="1"/>
  <c r="BM91" i="26"/>
  <c r="BN91" i="26"/>
  <c r="BO91" i="26" a="1"/>
  <c r="BO91" i="26" s="1"/>
  <c r="BM92" i="26"/>
  <c r="BN92" i="26"/>
  <c r="BO92" i="26" a="1"/>
  <c r="BO92" i="26" s="1"/>
  <c r="BM93" i="26"/>
  <c r="BN93" i="26"/>
  <c r="BO93" i="26" a="1"/>
  <c r="BO93" i="26" s="1"/>
  <c r="BM94" i="26"/>
  <c r="BN94" i="26"/>
  <c r="BO94" i="26" a="1"/>
  <c r="BO94" i="26" s="1"/>
  <c r="BM95" i="26"/>
  <c r="BN95" i="26"/>
  <c r="BO95" i="26" a="1"/>
  <c r="BO95" i="26" s="1"/>
  <c r="BM96" i="26"/>
  <c r="BN96" i="26"/>
  <c r="BO96" i="26" a="1"/>
  <c r="BO96" i="26" s="1"/>
  <c r="BM97" i="26"/>
  <c r="BN97" i="26"/>
  <c r="BO97" i="26" a="1"/>
  <c r="BO97" i="26" s="1"/>
  <c r="BM98" i="26"/>
  <c r="BN98" i="26"/>
  <c r="BO98" i="26" a="1"/>
  <c r="BO98" i="26" s="1"/>
  <c r="BM99" i="26"/>
  <c r="BN99" i="26"/>
  <c r="BO99" i="26" a="1"/>
  <c r="BO99" i="26" s="1"/>
  <c r="BM100" i="26"/>
  <c r="BN100" i="26"/>
  <c r="BO100" i="26" a="1"/>
  <c r="BO100" i="26" s="1"/>
  <c r="BM101" i="26"/>
  <c r="BN101" i="26"/>
  <c r="BO101" i="26" a="1"/>
  <c r="BO101" i="26" s="1"/>
  <c r="BM102" i="26"/>
  <c r="BN102" i="26"/>
  <c r="BO102" i="26" a="1"/>
  <c r="BO102" i="26" s="1"/>
  <c r="BM103" i="26"/>
  <c r="BN103" i="26"/>
  <c r="BO103" i="26" a="1"/>
  <c r="BO103" i="26" s="1"/>
  <c r="BM104" i="26"/>
  <c r="BN104" i="26"/>
  <c r="BO104" i="26" a="1"/>
  <c r="BO104" i="26" s="1"/>
  <c r="BM105" i="26"/>
  <c r="BN105" i="26"/>
  <c r="BO105" i="26" a="1"/>
  <c r="BO105" i="26" s="1"/>
  <c r="BM106" i="26"/>
  <c r="BN106" i="26"/>
  <c r="BO106" i="26" a="1"/>
  <c r="BO106" i="26" s="1"/>
  <c r="BM107" i="26"/>
  <c r="BN107" i="26"/>
  <c r="BO107" i="26" a="1"/>
  <c r="BO107" i="26" s="1"/>
  <c r="BM108" i="26"/>
  <c r="BN108" i="26"/>
  <c r="BO108" i="26" a="1"/>
  <c r="BO108" i="26" s="1"/>
  <c r="BM109" i="26"/>
  <c r="BN109" i="26"/>
  <c r="BO109" i="26" a="1"/>
  <c r="BO109" i="26" s="1"/>
  <c r="BM110" i="26"/>
  <c r="BN110" i="26"/>
  <c r="BO110" i="26" a="1"/>
  <c r="BO110" i="26" s="1"/>
  <c r="BM111" i="26"/>
  <c r="BN111" i="26"/>
  <c r="BO111" i="26" a="1"/>
  <c r="BO111" i="26" s="1"/>
  <c r="BM112" i="26"/>
  <c r="BN112" i="26"/>
  <c r="BO112" i="26" a="1"/>
  <c r="BO112" i="26" s="1"/>
  <c r="BM113" i="26"/>
  <c r="BN113" i="26"/>
  <c r="BO113" i="26" a="1"/>
  <c r="BO113" i="26" s="1"/>
  <c r="BM114" i="26"/>
  <c r="BN114" i="26"/>
  <c r="BO114" i="26" a="1"/>
  <c r="BO114" i="26" s="1"/>
  <c r="BM115" i="26"/>
  <c r="BN115" i="26"/>
  <c r="BO115" i="26" a="1"/>
  <c r="BO115" i="26" s="1"/>
  <c r="BM116" i="26"/>
  <c r="BN116" i="26"/>
  <c r="BO116" i="26" a="1"/>
  <c r="BO116" i="26" s="1"/>
  <c r="BM117" i="26"/>
  <c r="BN117" i="26"/>
  <c r="BO117" i="26" a="1"/>
  <c r="BO117" i="26" s="1"/>
  <c r="BM118" i="26"/>
  <c r="BN118" i="26"/>
  <c r="BO118" i="26" a="1"/>
  <c r="BO118" i="26" s="1"/>
  <c r="BM119" i="26"/>
  <c r="BN119" i="26"/>
  <c r="BO119" i="26" a="1"/>
  <c r="BO119" i="26" s="1"/>
  <c r="BM120" i="26"/>
  <c r="BN120" i="26"/>
  <c r="BO120" i="26" a="1"/>
  <c r="BO120" i="26" s="1"/>
  <c r="BM121" i="26"/>
  <c r="BN121" i="26"/>
  <c r="BO121" i="26" a="1"/>
  <c r="BO121" i="26" s="1"/>
  <c r="BM122" i="26"/>
  <c r="BN122" i="26"/>
  <c r="BO122" i="26" a="1"/>
  <c r="BO122" i="26" s="1"/>
  <c r="BM123" i="26"/>
  <c r="BN123" i="26"/>
  <c r="BO123" i="26" a="1"/>
  <c r="BO123" i="26" s="1"/>
  <c r="BM124" i="26"/>
  <c r="BN124" i="26"/>
  <c r="BO124" i="26" a="1"/>
  <c r="BO124" i="26" s="1"/>
  <c r="BM125" i="26"/>
  <c r="BN125" i="26"/>
  <c r="BO125" i="26" a="1"/>
  <c r="BO125" i="26" s="1"/>
  <c r="BM126" i="26"/>
  <c r="BN126" i="26"/>
  <c r="BO126" i="26" a="1"/>
  <c r="BO126" i="26" s="1"/>
  <c r="BM127" i="26"/>
  <c r="BN127" i="26"/>
  <c r="BO127" i="26" a="1"/>
  <c r="BO127" i="26" s="1"/>
  <c r="BM128" i="26"/>
  <c r="BN128" i="26"/>
  <c r="BO128" i="26" a="1"/>
  <c r="BO128" i="26" s="1"/>
  <c r="BM129" i="26"/>
  <c r="BN129" i="26"/>
  <c r="BO129" i="26" a="1"/>
  <c r="BO129" i="26" s="1"/>
  <c r="BM130" i="26"/>
  <c r="BN130" i="26"/>
  <c r="BO130" i="26" a="1"/>
  <c r="BO130" i="26" s="1"/>
  <c r="BM131" i="26"/>
  <c r="BN131" i="26"/>
  <c r="BO131" i="26" a="1"/>
  <c r="BO131" i="26" s="1"/>
  <c r="BM132" i="26"/>
  <c r="BN132" i="26"/>
  <c r="BO132" i="26" a="1"/>
  <c r="BO132" i="26" s="1"/>
  <c r="BM133" i="26"/>
  <c r="BN133" i="26"/>
  <c r="BO133" i="26" a="1"/>
  <c r="BO133" i="26" s="1"/>
  <c r="BM134" i="26"/>
  <c r="BN134" i="26"/>
  <c r="BO134" i="26" a="1"/>
  <c r="BO134" i="26" s="1"/>
  <c r="BM135" i="26"/>
  <c r="BN135" i="26"/>
  <c r="BO135" i="26" a="1"/>
  <c r="BO135" i="26" s="1"/>
  <c r="BM136" i="26"/>
  <c r="BN136" i="26"/>
  <c r="BO136" i="26" a="1"/>
  <c r="BO136" i="26" s="1"/>
  <c r="BM137" i="26"/>
  <c r="BN137" i="26"/>
  <c r="BO137" i="26" a="1"/>
  <c r="BO137" i="26" s="1"/>
  <c r="BM138" i="26"/>
  <c r="BN138" i="26"/>
  <c r="BO138" i="26" a="1"/>
  <c r="BO138" i="26" s="1"/>
  <c r="BM139" i="26"/>
  <c r="BN139" i="26"/>
  <c r="BO139" i="26" a="1"/>
  <c r="BO139" i="26" s="1"/>
  <c r="BM140" i="26"/>
  <c r="BN140" i="26"/>
  <c r="BO140" i="26" a="1"/>
  <c r="BO140" i="26" s="1"/>
  <c r="BM141" i="26"/>
  <c r="BN141" i="26"/>
  <c r="BO141" i="26" a="1"/>
  <c r="BO141" i="26" s="1"/>
  <c r="BM142" i="26"/>
  <c r="BN142" i="26"/>
  <c r="BO142" i="26" a="1"/>
  <c r="BO142" i="26" s="1"/>
  <c r="BM143" i="26"/>
  <c r="BN143" i="26"/>
  <c r="BO143" i="26" a="1"/>
  <c r="BO143" i="26" s="1"/>
  <c r="BM144" i="26"/>
  <c r="BN144" i="26"/>
  <c r="BO144" i="26" a="1"/>
  <c r="BO144" i="26" s="1"/>
  <c r="BM145" i="26"/>
  <c r="BN145" i="26"/>
  <c r="BO145" i="26" a="1"/>
  <c r="BO145" i="26" s="1"/>
  <c r="BM146" i="26"/>
  <c r="BN146" i="26"/>
  <c r="BO146" i="26" a="1"/>
  <c r="BO146" i="26" s="1"/>
  <c r="BM147" i="26"/>
  <c r="BN147" i="26"/>
  <c r="BO147" i="26" a="1"/>
  <c r="BO147" i="26" s="1"/>
  <c r="BM148" i="26"/>
  <c r="BN148" i="26"/>
  <c r="BO148" i="26" a="1"/>
  <c r="BO148" i="26" s="1"/>
  <c r="BM149" i="26"/>
  <c r="BN149" i="26"/>
  <c r="BO149" i="26" a="1"/>
  <c r="BO149" i="26" s="1"/>
  <c r="BM150" i="26"/>
  <c r="BN150" i="26"/>
  <c r="BO150" i="26" a="1"/>
  <c r="BO150" i="26" s="1"/>
  <c r="BM151" i="26"/>
  <c r="BN151" i="26"/>
  <c r="BO151" i="26" a="1"/>
  <c r="BO151" i="26" s="1"/>
  <c r="BM152" i="26"/>
  <c r="BN152" i="26"/>
  <c r="BO152" i="26" a="1"/>
  <c r="BO152" i="26" s="1"/>
  <c r="BM153" i="26"/>
  <c r="BN153" i="26"/>
  <c r="BO153" i="26" a="1"/>
  <c r="BO153" i="26" s="1"/>
  <c r="BM154" i="26"/>
  <c r="BN154" i="26"/>
  <c r="BO154" i="26" a="1"/>
  <c r="BO154" i="26" s="1"/>
  <c r="BM155" i="26"/>
  <c r="BN155" i="26"/>
  <c r="BO155" i="26" a="1"/>
  <c r="BO155" i="26" s="1"/>
  <c r="BM156" i="26"/>
  <c r="BN156" i="26"/>
  <c r="BO156" i="26" a="1"/>
  <c r="BO156" i="26" s="1"/>
  <c r="BM157" i="26"/>
  <c r="BN157" i="26"/>
  <c r="BO157" i="26" a="1"/>
  <c r="BO157" i="26" s="1"/>
  <c r="BM158" i="26"/>
  <c r="BN158" i="26"/>
  <c r="BO158" i="26" a="1"/>
  <c r="BO158" i="26" s="1"/>
  <c r="BM159" i="26"/>
  <c r="BN159" i="26"/>
  <c r="BO159" i="26" a="1"/>
  <c r="BO159" i="26" s="1"/>
  <c r="BM160" i="26"/>
  <c r="BN160" i="26"/>
  <c r="BO160" i="26" a="1"/>
  <c r="BO160" i="26" s="1"/>
  <c r="BM161" i="26"/>
  <c r="BN161" i="26"/>
  <c r="BO161" i="26" a="1"/>
  <c r="BO161" i="26" s="1"/>
  <c r="BM162" i="26"/>
  <c r="BN162" i="26"/>
  <c r="BO162" i="26" a="1"/>
  <c r="BO162" i="26" s="1"/>
  <c r="BM163" i="26"/>
  <c r="BN163" i="26"/>
  <c r="BO163" i="26" a="1"/>
  <c r="BO163" i="26" s="1"/>
  <c r="BM164" i="26"/>
  <c r="BN164" i="26"/>
  <c r="BO164" i="26" a="1"/>
  <c r="BO164" i="26" s="1"/>
  <c r="BM165" i="26"/>
  <c r="BN165" i="26"/>
  <c r="BO165" i="26" a="1"/>
  <c r="BO165" i="26" s="1"/>
  <c r="BM166" i="26"/>
  <c r="BN166" i="26"/>
  <c r="BO166" i="26" a="1"/>
  <c r="BO166" i="26" s="1"/>
  <c r="BM167" i="26"/>
  <c r="BN167" i="26"/>
  <c r="BO167" i="26" a="1"/>
  <c r="BO167" i="26" s="1"/>
  <c r="BM168" i="26"/>
  <c r="BN168" i="26"/>
  <c r="BO168" i="26" a="1"/>
  <c r="BO168" i="26" s="1"/>
  <c r="BM169" i="26"/>
  <c r="BN169" i="26"/>
  <c r="BO169" i="26" a="1"/>
  <c r="BO169" i="26" s="1"/>
  <c r="BM170" i="26"/>
  <c r="BN170" i="26"/>
  <c r="BO170" i="26" a="1"/>
  <c r="BO170" i="26" s="1"/>
  <c r="BM171" i="26"/>
  <c r="BN171" i="26"/>
  <c r="BO171" i="26" a="1"/>
  <c r="BO171" i="26" s="1"/>
  <c r="BM172" i="26"/>
  <c r="BN172" i="26"/>
  <c r="BO172" i="26" a="1"/>
  <c r="BO172" i="26" s="1"/>
  <c r="BM173" i="26"/>
  <c r="BN173" i="26"/>
  <c r="BO173" i="26" a="1"/>
  <c r="BO173" i="26" s="1"/>
  <c r="BM174" i="26"/>
  <c r="BN174" i="26"/>
  <c r="BO174" i="26" a="1"/>
  <c r="BO174" i="26" s="1"/>
  <c r="BM175" i="26"/>
  <c r="BN175" i="26"/>
  <c r="BO175" i="26" a="1"/>
  <c r="BO175" i="26" s="1"/>
  <c r="BM176" i="26"/>
  <c r="BN176" i="26"/>
  <c r="BO176" i="26" a="1"/>
  <c r="BO176" i="26"/>
  <c r="BM177" i="26"/>
  <c r="BN177" i="26"/>
  <c r="BO177" i="26" a="1"/>
  <c r="BO177" i="26"/>
  <c r="BM178" i="26"/>
  <c r="BN178" i="26"/>
  <c r="BO178" i="26" a="1"/>
  <c r="BO178" i="26"/>
  <c r="BM179" i="26"/>
  <c r="BN179" i="26"/>
  <c r="BO179" i="26" a="1"/>
  <c r="BO179" i="26"/>
  <c r="BM180" i="26"/>
  <c r="BN180" i="26"/>
  <c r="BO180" i="26" a="1"/>
  <c r="BO180" i="26"/>
  <c r="BM181" i="26"/>
  <c r="BN181" i="26"/>
  <c r="BO181" i="26" a="1"/>
  <c r="BO181" i="26"/>
  <c r="BM182" i="26"/>
  <c r="BN182" i="26"/>
  <c r="BO182" i="26" a="1"/>
  <c r="BO182" i="26"/>
  <c r="BM183" i="26"/>
  <c r="BN183" i="26"/>
  <c r="BO183" i="26" a="1"/>
  <c r="BO183" i="26"/>
  <c r="BM184" i="26"/>
  <c r="BN184" i="26"/>
  <c r="BO184" i="26" a="1"/>
  <c r="BO184" i="26"/>
  <c r="BM185" i="26"/>
  <c r="BN185" i="26"/>
  <c r="BO185" i="26" a="1"/>
  <c r="BO185" i="26"/>
  <c r="BM186" i="26"/>
  <c r="BN186" i="26"/>
  <c r="BO186" i="26" a="1"/>
  <c r="BO186" i="26"/>
  <c r="BM187" i="26"/>
  <c r="BN187" i="26"/>
  <c r="BO187" i="26" a="1"/>
  <c r="BO187" i="26"/>
  <c r="BM188" i="26"/>
  <c r="BN188" i="26"/>
  <c r="BO188" i="26" a="1"/>
  <c r="BO188" i="26"/>
  <c r="BM189" i="26"/>
  <c r="BN189" i="26"/>
  <c r="BO189" i="26" a="1"/>
  <c r="BO189" i="26"/>
  <c r="BM190" i="26"/>
  <c r="BN190" i="26"/>
  <c r="BO190" i="26" a="1"/>
  <c r="BO190" i="26"/>
  <c r="BM191" i="26"/>
  <c r="BN191" i="26"/>
  <c r="BO191" i="26" a="1"/>
  <c r="BO191" i="26"/>
  <c r="BM192" i="26"/>
  <c r="BN192" i="26"/>
  <c r="BO192" i="26" a="1"/>
  <c r="BO192" i="26"/>
  <c r="BM193" i="26"/>
  <c r="BN193" i="26"/>
  <c r="BO193" i="26" a="1"/>
  <c r="BO193" i="26"/>
  <c r="BM194" i="26"/>
  <c r="BN194" i="26"/>
  <c r="BO194" i="26" a="1"/>
  <c r="BO194" i="26"/>
  <c r="BM195" i="26"/>
  <c r="BN195" i="26"/>
  <c r="BO195" i="26" a="1"/>
  <c r="BO195" i="26"/>
  <c r="BM196" i="26"/>
  <c r="BN196" i="26"/>
  <c r="BO196" i="26" a="1"/>
  <c r="BO196" i="26"/>
  <c r="BM197" i="26"/>
  <c r="BN197" i="26"/>
  <c r="BO197" i="26" a="1"/>
  <c r="BO197" i="26"/>
  <c r="BM198" i="26"/>
  <c r="BN198" i="26"/>
  <c r="BO198" i="26" a="1"/>
  <c r="BO198" i="26"/>
  <c r="BM199" i="26"/>
  <c r="BN199" i="26"/>
  <c r="BO199" i="26" a="1"/>
  <c r="BO199" i="26"/>
  <c r="BM200" i="26"/>
  <c r="BN200" i="26"/>
  <c r="BO200" i="26" a="1"/>
  <c r="BO200" i="26"/>
  <c r="BM201" i="26"/>
  <c r="BN201" i="26"/>
  <c r="BO201" i="26" a="1"/>
  <c r="BO201" i="26"/>
  <c r="BM202" i="26"/>
  <c r="BN202" i="26"/>
  <c r="BO202" i="26" a="1"/>
  <c r="BO202" i="26"/>
  <c r="BM203" i="26"/>
  <c r="BN203" i="26"/>
  <c r="BO203" i="26" a="1"/>
  <c r="BO203" i="26"/>
  <c r="BM204" i="26"/>
  <c r="BN204" i="26"/>
  <c r="BO204" i="26" a="1"/>
  <c r="BO204" i="26"/>
  <c r="BM205" i="26"/>
  <c r="BN205" i="26"/>
  <c r="BO205" i="26" a="1"/>
  <c r="BO205" i="26"/>
  <c r="BM206" i="26"/>
  <c r="BN206" i="26"/>
  <c r="BO206" i="26" a="1"/>
  <c r="BO206" i="26"/>
  <c r="BM207" i="26"/>
  <c r="BN207" i="26"/>
  <c r="BO207" i="26" a="1"/>
  <c r="BO207" i="26"/>
  <c r="BM208" i="26"/>
  <c r="BN208" i="26"/>
  <c r="BO208" i="26" a="1"/>
  <c r="BO208" i="26"/>
  <c r="BM209" i="26"/>
  <c r="BN209" i="26"/>
  <c r="BO209" i="26" a="1"/>
  <c r="BO209" i="26"/>
  <c r="BM210" i="26"/>
  <c r="BN210" i="26"/>
  <c r="BO210" i="26" a="1"/>
  <c r="BO210" i="26"/>
  <c r="BM211" i="26"/>
  <c r="BN211" i="26"/>
  <c r="BO211" i="26" a="1"/>
  <c r="BO211" i="26"/>
  <c r="BM212" i="26"/>
  <c r="BN212" i="26"/>
  <c r="BO212" i="26" a="1"/>
  <c r="BO212" i="26"/>
  <c r="BM213" i="26"/>
  <c r="BN213" i="26"/>
  <c r="BO213" i="26" a="1"/>
  <c r="BO213" i="26"/>
  <c r="BM214" i="26"/>
  <c r="BN214" i="26"/>
  <c r="BO214" i="26" a="1"/>
  <c r="BO214" i="26"/>
  <c r="BM215" i="26"/>
  <c r="BN215" i="26"/>
  <c r="BO215" i="26" a="1"/>
  <c r="BO215" i="26"/>
  <c r="BM216" i="26"/>
  <c r="BN216" i="26"/>
  <c r="BO216" i="26" a="1"/>
  <c r="BO216" i="26"/>
  <c r="BM217" i="26"/>
  <c r="BN217" i="26"/>
  <c r="BO217" i="26" a="1"/>
  <c r="BO217" i="26"/>
  <c r="BM218" i="26"/>
  <c r="BN218" i="26"/>
  <c r="BO218" i="26" a="1"/>
  <c r="BO218" i="26"/>
  <c r="BM219" i="26"/>
  <c r="BN219" i="26"/>
  <c r="BO219" i="26" a="1"/>
  <c r="BO219" i="26"/>
  <c r="BM220" i="26"/>
  <c r="BN220" i="26"/>
  <c r="BO220" i="26" a="1"/>
  <c r="BO220" i="26"/>
  <c r="BM221" i="26"/>
  <c r="BN221" i="26"/>
  <c r="BO221" i="26" a="1"/>
  <c r="BO221" i="26"/>
  <c r="BM222" i="26"/>
  <c r="BN222" i="26"/>
  <c r="BO222" i="26" a="1"/>
  <c r="BO222" i="26"/>
  <c r="BM223" i="26"/>
  <c r="BN223" i="26"/>
  <c r="BO223" i="26" a="1"/>
  <c r="BO223" i="26"/>
  <c r="BM224" i="26"/>
  <c r="BN224" i="26"/>
  <c r="BO224" i="26" a="1"/>
  <c r="BO224" i="26"/>
  <c r="BM225" i="26"/>
  <c r="BN225" i="26"/>
  <c r="BO225" i="26" a="1"/>
  <c r="BO225" i="26"/>
  <c r="BM226" i="26"/>
  <c r="BN226" i="26"/>
  <c r="BO226" i="26" a="1"/>
  <c r="BO226" i="26"/>
  <c r="BM227" i="26"/>
  <c r="BN227" i="26"/>
  <c r="BO227" i="26" a="1"/>
  <c r="BO227" i="26"/>
  <c r="BM228" i="26"/>
  <c r="BN228" i="26"/>
  <c r="BO228" i="26" a="1"/>
  <c r="BO228" i="26"/>
  <c r="BM229" i="26"/>
  <c r="BN229" i="26"/>
  <c r="BO229" i="26" a="1"/>
  <c r="BO229" i="26"/>
  <c r="BM230" i="26"/>
  <c r="BN230" i="26"/>
  <c r="BO230" i="26" a="1"/>
  <c r="BO230" i="26"/>
  <c r="BM231" i="26"/>
  <c r="BN231" i="26"/>
  <c r="BO231" i="26" a="1"/>
  <c r="BO231" i="26"/>
  <c r="BM232" i="26"/>
  <c r="BN232" i="26"/>
  <c r="BO232" i="26" a="1"/>
  <c r="BO232" i="26"/>
  <c r="BM233" i="26"/>
  <c r="BN233" i="26"/>
  <c r="BO233" i="26" a="1"/>
  <c r="BO233" i="26"/>
  <c r="BM234" i="26"/>
  <c r="BN234" i="26"/>
  <c r="BO234" i="26" a="1"/>
  <c r="BO234" i="26"/>
  <c r="BM235" i="26"/>
  <c r="BN235" i="26"/>
  <c r="BO235" i="26" a="1"/>
  <c r="BO235" i="26"/>
  <c r="BM236" i="26"/>
  <c r="BN236" i="26"/>
  <c r="BO236" i="26" a="1"/>
  <c r="BO236" i="26"/>
  <c r="BM237" i="26"/>
  <c r="BN237" i="26"/>
  <c r="BO237" i="26" a="1"/>
  <c r="BO237" i="26"/>
  <c r="BM238" i="26"/>
  <c r="BN238" i="26"/>
  <c r="BO238" i="26" a="1"/>
  <c r="BO238" i="26"/>
  <c r="BM239" i="26"/>
  <c r="BN239" i="26"/>
  <c r="BO239" i="26" a="1"/>
  <c r="BO239" i="26"/>
  <c r="BM240" i="26"/>
  <c r="BN240" i="26"/>
  <c r="BO240" i="26" a="1"/>
  <c r="BO240" i="26"/>
  <c r="BM241" i="26"/>
  <c r="BN241" i="26"/>
  <c r="BO241" i="26" a="1"/>
  <c r="BO241" i="26"/>
  <c r="BM242" i="26"/>
  <c r="BN242" i="26"/>
  <c r="BO242" i="26" a="1"/>
  <c r="BO242" i="26"/>
  <c r="BM243" i="26"/>
  <c r="BN243" i="26"/>
  <c r="BO243" i="26" a="1"/>
  <c r="BO243" i="26"/>
  <c r="BM244" i="26"/>
  <c r="BN244" i="26"/>
  <c r="BO244" i="26" a="1"/>
  <c r="BO244" i="26"/>
  <c r="BM245" i="26"/>
  <c r="BN245" i="26"/>
  <c r="BO245" i="26" a="1"/>
  <c r="BO245" i="26"/>
  <c r="BM246" i="26"/>
  <c r="BN246" i="26"/>
  <c r="BO246" i="26" a="1"/>
  <c r="BO246" i="26"/>
  <c r="BM247" i="26"/>
  <c r="BN247" i="26"/>
  <c r="BO247" i="26" a="1"/>
  <c r="BO247" i="26"/>
  <c r="BM248" i="26"/>
  <c r="BN248" i="26"/>
  <c r="BO248" i="26" a="1"/>
  <c r="BO248" i="26"/>
  <c r="BM249" i="26"/>
  <c r="BN249" i="26"/>
  <c r="BO249" i="26" a="1"/>
  <c r="BO249" i="26"/>
  <c r="BM250" i="26"/>
  <c r="BN250" i="26"/>
  <c r="BO250" i="26" a="1"/>
  <c r="BO250" i="26"/>
  <c r="BM251" i="26"/>
  <c r="BN251" i="26"/>
  <c r="BO251" i="26" a="1"/>
  <c r="BO251" i="26"/>
  <c r="BM252" i="26"/>
  <c r="BN252" i="26"/>
  <c r="BO252" i="26" a="1"/>
  <c r="BO252" i="26"/>
  <c r="BM253" i="26"/>
  <c r="BN253" i="26"/>
  <c r="BO253" i="26" a="1"/>
  <c r="BO253" i="26"/>
  <c r="BM254" i="26"/>
  <c r="BN254" i="26"/>
  <c r="BO254" i="26" a="1"/>
  <c r="BO254" i="26"/>
  <c r="BM255" i="26"/>
  <c r="BN255" i="26"/>
  <c r="BO255" i="26" a="1"/>
  <c r="BO255" i="26"/>
  <c r="BM256" i="26"/>
  <c r="BN256" i="26"/>
  <c r="BO256" i="26" a="1"/>
  <c r="BO256" i="26"/>
  <c r="BM257" i="26"/>
  <c r="BN257" i="26"/>
  <c r="BO257" i="26" a="1"/>
  <c r="BO257" i="26"/>
  <c r="BM258" i="26"/>
  <c r="BN258" i="26"/>
  <c r="BO258" i="26" a="1"/>
  <c r="BO258" i="26"/>
  <c r="BM259" i="26"/>
  <c r="BN259" i="26"/>
  <c r="BO259" i="26" a="1"/>
  <c r="BO259" i="26"/>
  <c r="BM260" i="26"/>
  <c r="BN260" i="26"/>
  <c r="BO260" i="26" a="1"/>
  <c r="BO260" i="26"/>
  <c r="BM261" i="26"/>
  <c r="BN261" i="26"/>
  <c r="BO261" i="26" a="1"/>
  <c r="BO261" i="26"/>
  <c r="BM262" i="26"/>
  <c r="BN262" i="26"/>
  <c r="BO262" i="26" a="1"/>
  <c r="BO262" i="26"/>
  <c r="BM263" i="26"/>
  <c r="BN263" i="26"/>
  <c r="BO263" i="26" a="1"/>
  <c r="BO263" i="26"/>
  <c r="BM264" i="26"/>
  <c r="BN264" i="26"/>
  <c r="BO264" i="26" a="1"/>
  <c r="BO264" i="26"/>
  <c r="BM265" i="26"/>
  <c r="BN265" i="26"/>
  <c r="BO265" i="26" a="1"/>
  <c r="BO265" i="26"/>
  <c r="BM266" i="26"/>
  <c r="BN266" i="26"/>
  <c r="BO266" i="26" a="1"/>
  <c r="BO266" i="26"/>
  <c r="BM267" i="26"/>
  <c r="BN267" i="26"/>
  <c r="BO267" i="26" a="1"/>
  <c r="BO267" i="26"/>
  <c r="BM268" i="26"/>
  <c r="BN268" i="26"/>
  <c r="BO268" i="26" a="1"/>
  <c r="BO268" i="26"/>
  <c r="BM269" i="26"/>
  <c r="BN269" i="26"/>
  <c r="BO269" i="26" a="1"/>
  <c r="BO269" i="26"/>
  <c r="BM270" i="26"/>
  <c r="BN270" i="26"/>
  <c r="BO270" i="26" a="1"/>
  <c r="BO270" i="26"/>
  <c r="BM271" i="26"/>
  <c r="BN271" i="26"/>
  <c r="BO271" i="26" a="1"/>
  <c r="BO271" i="26"/>
  <c r="BM272" i="26"/>
  <c r="BN272" i="26"/>
  <c r="BO272" i="26" a="1"/>
  <c r="BO272" i="26"/>
  <c r="BM273" i="26"/>
  <c r="BN273" i="26"/>
  <c r="BO273" i="26" a="1"/>
  <c r="BO273" i="26"/>
  <c r="BM274" i="26"/>
  <c r="BN274" i="26"/>
  <c r="BO274" i="26" a="1"/>
  <c r="BO274" i="26"/>
  <c r="BM275" i="26"/>
  <c r="BN275" i="26"/>
  <c r="BO275" i="26" a="1"/>
  <c r="BO275" i="26"/>
  <c r="BM276" i="26"/>
  <c r="BN276" i="26"/>
  <c r="BO276" i="26" a="1"/>
  <c r="BO276" i="26"/>
  <c r="BM277" i="26"/>
  <c r="BN277" i="26"/>
  <c r="BO277" i="26" a="1"/>
  <c r="BO277" i="26"/>
  <c r="BM278" i="26"/>
  <c r="BN278" i="26"/>
  <c r="BO278" i="26" a="1"/>
  <c r="BO278" i="26"/>
  <c r="BM279" i="26"/>
  <c r="BN279" i="26"/>
  <c r="BO279" i="26" a="1"/>
  <c r="BO279" i="26"/>
  <c r="BM280" i="26"/>
  <c r="BN280" i="26"/>
  <c r="BO280" i="26" a="1"/>
  <c r="BO280" i="26"/>
  <c r="BM281" i="26"/>
  <c r="BN281" i="26"/>
  <c r="BO281" i="26" a="1"/>
  <c r="BO281" i="26"/>
  <c r="BM282" i="26"/>
  <c r="BN282" i="26"/>
  <c r="BO282" i="26" a="1"/>
  <c r="BO282" i="26"/>
  <c r="BM283" i="26"/>
  <c r="BN283" i="26"/>
  <c r="BO283" i="26" a="1"/>
  <c r="BO283" i="26"/>
  <c r="BM284" i="26"/>
  <c r="BN284" i="26"/>
  <c r="BO284" i="26" a="1"/>
  <c r="BO284" i="26"/>
  <c r="BM285" i="26"/>
  <c r="BN285" i="26"/>
  <c r="BO285" i="26" a="1"/>
  <c r="BO285" i="26"/>
  <c r="BM286" i="26"/>
  <c r="BN286" i="26"/>
  <c r="BO286" i="26" a="1"/>
  <c r="BO286" i="26"/>
  <c r="BM287" i="26"/>
  <c r="BN287" i="26"/>
  <c r="BO287" i="26" a="1"/>
  <c r="BO287" i="26"/>
  <c r="BM288" i="26"/>
  <c r="BN288" i="26"/>
  <c r="BO288" i="26" a="1"/>
  <c r="BO288" i="26"/>
  <c r="BM289" i="26"/>
  <c r="BN289" i="26"/>
  <c r="BO289" i="26" a="1"/>
  <c r="BO289" i="26"/>
  <c r="BM290" i="26"/>
  <c r="BN290" i="26"/>
  <c r="BO290" i="26" a="1"/>
  <c r="BO290" i="26"/>
  <c r="BM291" i="26"/>
  <c r="BN291" i="26"/>
  <c r="BO291" i="26" a="1"/>
  <c r="BO291" i="26"/>
  <c r="BM292" i="26"/>
  <c r="BN292" i="26"/>
  <c r="BO292" i="26" a="1"/>
  <c r="BO292" i="26"/>
  <c r="BM293" i="26"/>
  <c r="BN293" i="26"/>
  <c r="BO293" i="26" a="1"/>
  <c r="BO293" i="26"/>
  <c r="BM294" i="26"/>
  <c r="BN294" i="26"/>
  <c r="BO294" i="26" a="1"/>
  <c r="BO294" i="26"/>
  <c r="BM295" i="26"/>
  <c r="BN295" i="26"/>
  <c r="BO295" i="26" a="1"/>
  <c r="BO295" i="26"/>
  <c r="BM296" i="26"/>
  <c r="BN296" i="26"/>
  <c r="BO296" i="26" a="1"/>
  <c r="BO296" i="26"/>
  <c r="BM297" i="26"/>
  <c r="BN297" i="26"/>
  <c r="BO297" i="26" a="1"/>
  <c r="BO297" i="26"/>
  <c r="BM298" i="26"/>
  <c r="BN298" i="26"/>
  <c r="BO298" i="26" a="1"/>
  <c r="BO298" i="26"/>
  <c r="BM299" i="26"/>
  <c r="BN299" i="26"/>
  <c r="BO299" i="26" a="1"/>
  <c r="BO299" i="26"/>
  <c r="BM300" i="26"/>
  <c r="BN300" i="26"/>
  <c r="BO300" i="26" a="1"/>
  <c r="BO300" i="26"/>
  <c r="BM301" i="26"/>
  <c r="BN301" i="26"/>
  <c r="BO301" i="26" a="1"/>
  <c r="BO301" i="26"/>
  <c r="BM302" i="26"/>
  <c r="BN302" i="26"/>
  <c r="BO302" i="26" a="1"/>
  <c r="BO302" i="26"/>
  <c r="BM303" i="26"/>
  <c r="BN303" i="26"/>
  <c r="BO303" i="26" a="1"/>
  <c r="BO303" i="26"/>
  <c r="BM304" i="26"/>
  <c r="BN304" i="26"/>
  <c r="BO304" i="26" a="1"/>
  <c r="BO304" i="26"/>
  <c r="BM305" i="26"/>
  <c r="BN305" i="26"/>
  <c r="BO305" i="26" a="1"/>
  <c r="BO305" i="26"/>
  <c r="BM306" i="26"/>
  <c r="BN306" i="26"/>
  <c r="BO306" i="26" a="1"/>
  <c r="BO306" i="26"/>
  <c r="BM307" i="26"/>
  <c r="BN307" i="26"/>
  <c r="BO307" i="26" a="1"/>
  <c r="BO307" i="26"/>
  <c r="BM308" i="26"/>
  <c r="BN308" i="26"/>
  <c r="BO308" i="26" a="1"/>
  <c r="BO308" i="26"/>
  <c r="BM309" i="26"/>
  <c r="BN309" i="26"/>
  <c r="BO309" i="26" a="1"/>
  <c r="BO309" i="26"/>
  <c r="BM310" i="26"/>
  <c r="BN310" i="26"/>
  <c r="BO310" i="26" a="1"/>
  <c r="BO310" i="26"/>
  <c r="BM311" i="26"/>
  <c r="BN311" i="26"/>
  <c r="BO311" i="26" a="1"/>
  <c r="BO311" i="26"/>
  <c r="BM312" i="26"/>
  <c r="BN312" i="26"/>
  <c r="BO312" i="26" a="1"/>
  <c r="BO312" i="26"/>
  <c r="BM313" i="26"/>
  <c r="BN313" i="26"/>
  <c r="BO313" i="26" a="1"/>
  <c r="BO313" i="26"/>
  <c r="BM314" i="26"/>
  <c r="BN314" i="26"/>
  <c r="BO314" i="26" a="1"/>
  <c r="BO314" i="26"/>
  <c r="BM315" i="26"/>
  <c r="BN315" i="26"/>
  <c r="BO315" i="26" a="1"/>
  <c r="BO315" i="26"/>
  <c r="BM316" i="26"/>
  <c r="BN316" i="26"/>
  <c r="BO316" i="26" a="1"/>
  <c r="BO316" i="26"/>
  <c r="BM317" i="26"/>
  <c r="BN317" i="26"/>
  <c r="BO317" i="26" a="1"/>
  <c r="BO317" i="26"/>
  <c r="BM318" i="26"/>
  <c r="BN318" i="26"/>
  <c r="BO318" i="26" a="1"/>
  <c r="BO318" i="26"/>
  <c r="BM319" i="26"/>
  <c r="BN319" i="26"/>
  <c r="BO319" i="26" a="1"/>
  <c r="BO319" i="26"/>
  <c r="BM320" i="26"/>
  <c r="BN320" i="26"/>
  <c r="BO320" i="26" a="1"/>
  <c r="BO320" i="26"/>
  <c r="BM321" i="26"/>
  <c r="BN321" i="26"/>
  <c r="BO321" i="26" a="1"/>
  <c r="BO321" i="26"/>
  <c r="BM322" i="26"/>
  <c r="BN322" i="26"/>
  <c r="BO322" i="26" a="1"/>
  <c r="BO322" i="26"/>
  <c r="BM323" i="26"/>
  <c r="BN323" i="26"/>
  <c r="BO323" i="26" a="1"/>
  <c r="BO323" i="26"/>
  <c r="BM324" i="26"/>
  <c r="BN324" i="26"/>
  <c r="BO324" i="26" a="1"/>
  <c r="BO324" i="26"/>
  <c r="BM325" i="26"/>
  <c r="BN325" i="26"/>
  <c r="BO325" i="26" a="1"/>
  <c r="BO325" i="26"/>
  <c r="BM326" i="26"/>
  <c r="BN326" i="26"/>
  <c r="BO326" i="26" a="1"/>
  <c r="BO326" i="26"/>
  <c r="BM327" i="26"/>
  <c r="BN327" i="26"/>
  <c r="BO327" i="26" a="1"/>
  <c r="BO327" i="26"/>
  <c r="BM328" i="26"/>
  <c r="BN328" i="26"/>
  <c r="BO328" i="26" a="1"/>
  <c r="BO328" i="26"/>
  <c r="BM329" i="26"/>
  <c r="BN329" i="26"/>
  <c r="BO329" i="26" a="1"/>
  <c r="BO329" i="26"/>
  <c r="BM330" i="26"/>
  <c r="BN330" i="26"/>
  <c r="BO330" i="26" a="1"/>
  <c r="BO330" i="26"/>
  <c r="BM331" i="26"/>
  <c r="BN331" i="26"/>
  <c r="BO331" i="26" a="1"/>
  <c r="BO331" i="26"/>
  <c r="BM332" i="26"/>
  <c r="BN332" i="26"/>
  <c r="BO332" i="26" a="1"/>
  <c r="BO332" i="26"/>
  <c r="BM333" i="26"/>
  <c r="BN333" i="26"/>
  <c r="BO333" i="26" a="1"/>
  <c r="BO333" i="26"/>
  <c r="BM334" i="26"/>
  <c r="BN334" i="26"/>
  <c r="BO334" i="26" a="1"/>
  <c r="BO334" i="26"/>
  <c r="BM335" i="26"/>
  <c r="BN335" i="26"/>
  <c r="BO335" i="26" a="1"/>
  <c r="BO335" i="26"/>
  <c r="BM336" i="26"/>
  <c r="BN336" i="26"/>
  <c r="BO336" i="26" a="1"/>
  <c r="BO336" i="26"/>
  <c r="BM337" i="26"/>
  <c r="BN337" i="26"/>
  <c r="BO337" i="26" a="1"/>
  <c r="BO337" i="26"/>
  <c r="BM338" i="26"/>
  <c r="BN338" i="26"/>
  <c r="BO338" i="26" a="1"/>
  <c r="BO338" i="26"/>
  <c r="BM339" i="26"/>
  <c r="BN339" i="26"/>
  <c r="BO339" i="26" a="1"/>
  <c r="BO339" i="26"/>
  <c r="BM340" i="26"/>
  <c r="BN340" i="26"/>
  <c r="BO340" i="26" a="1"/>
  <c r="BO340" i="26"/>
  <c r="BM341" i="26"/>
  <c r="BN341" i="26"/>
  <c r="BO341" i="26" a="1"/>
  <c r="BO341" i="26"/>
  <c r="BM342" i="26"/>
  <c r="BN342" i="26"/>
  <c r="BO342" i="26" a="1"/>
  <c r="BO342" i="26"/>
  <c r="BM343" i="26"/>
  <c r="BN343" i="26"/>
  <c r="BO343" i="26" a="1"/>
  <c r="BO343" i="26"/>
  <c r="BM344" i="26"/>
  <c r="BN344" i="26"/>
  <c r="BO344" i="26" a="1"/>
  <c r="BO344" i="26"/>
  <c r="BM345" i="26"/>
  <c r="BN345" i="26"/>
  <c r="BO345" i="26" a="1"/>
  <c r="BO345" i="26"/>
  <c r="BM346" i="26"/>
  <c r="BN346" i="26"/>
  <c r="BO346" i="26" a="1"/>
  <c r="BO346" i="26"/>
  <c r="BM347" i="26"/>
  <c r="BN347" i="26"/>
  <c r="BO347" i="26" a="1"/>
  <c r="BO347" i="26"/>
  <c r="BM348" i="26"/>
  <c r="BN348" i="26"/>
  <c r="BO348" i="26" a="1"/>
  <c r="BO348" i="26"/>
  <c r="BM349" i="26"/>
  <c r="BN349" i="26"/>
  <c r="BO349" i="26" a="1"/>
  <c r="BO349" i="26"/>
  <c r="BM350" i="26"/>
  <c r="BN350" i="26"/>
  <c r="BO350" i="26" a="1"/>
  <c r="BO350" i="26"/>
  <c r="BM351" i="26"/>
  <c r="BN351" i="26"/>
  <c r="BO351" i="26" a="1"/>
  <c r="BO351" i="26"/>
  <c r="BM352" i="26"/>
  <c r="BN352" i="26"/>
  <c r="BO352" i="26" a="1"/>
  <c r="BO352" i="26"/>
  <c r="BM353" i="26"/>
  <c r="BN353" i="26"/>
  <c r="BO353" i="26" a="1"/>
  <c r="BO353" i="26"/>
  <c r="BM354" i="26"/>
  <c r="BN354" i="26"/>
  <c r="BO354" i="26" a="1"/>
  <c r="BO354" i="26"/>
  <c r="BM355" i="26"/>
  <c r="BN355" i="26"/>
  <c r="BO355" i="26" a="1"/>
  <c r="BO355" i="26"/>
  <c r="BM356" i="26"/>
  <c r="BN356" i="26"/>
  <c r="BO356" i="26" a="1"/>
  <c r="BO356" i="26"/>
  <c r="BM357" i="26"/>
  <c r="BN357" i="26"/>
  <c r="BO357" i="26" a="1"/>
  <c r="BO357" i="26"/>
  <c r="BM358" i="26"/>
  <c r="BN358" i="26"/>
  <c r="BO358" i="26" a="1"/>
  <c r="BO358" i="26"/>
  <c r="BM359" i="26"/>
  <c r="BN359" i="26"/>
  <c r="BO359" i="26" a="1"/>
  <c r="BO359" i="26"/>
  <c r="BM360" i="26"/>
  <c r="BN360" i="26"/>
  <c r="BO360" i="26" a="1"/>
  <c r="BO360" i="26"/>
  <c r="BM361" i="26"/>
  <c r="BN361" i="26"/>
  <c r="BO361" i="26" a="1"/>
  <c r="BO361" i="26"/>
  <c r="BM362" i="26"/>
  <c r="BN362" i="26"/>
  <c r="BO362" i="26" a="1"/>
  <c r="BO362" i="26"/>
  <c r="BM363" i="26"/>
  <c r="BN363" i="26"/>
  <c r="BO363" i="26" a="1"/>
  <c r="BO363" i="26"/>
  <c r="BM364" i="26"/>
  <c r="BN364" i="26"/>
  <c r="BO364" i="26" a="1"/>
  <c r="BO364" i="26"/>
  <c r="BM365" i="26"/>
  <c r="BN365" i="26"/>
  <c r="BO365" i="26" a="1"/>
  <c r="BO365" i="26"/>
  <c r="BM366" i="26"/>
  <c r="BN366" i="26"/>
  <c r="BO366" i="26" a="1"/>
  <c r="BO366" i="26"/>
  <c r="BM367" i="26"/>
  <c r="BN367" i="26"/>
  <c r="BO367" i="26" a="1"/>
  <c r="BO367" i="26"/>
  <c r="BM368" i="26"/>
  <c r="BN368" i="26"/>
  <c r="BO368" i="26" a="1"/>
  <c r="BO368" i="26"/>
  <c r="BM369" i="26"/>
  <c r="BN369" i="26"/>
  <c r="BO369" i="26" a="1"/>
  <c r="BO369" i="26"/>
  <c r="BM370" i="26"/>
  <c r="BN370" i="26"/>
  <c r="BO370" i="26" a="1"/>
  <c r="BO370" i="26"/>
  <c r="BM371" i="26"/>
  <c r="BN371" i="26"/>
  <c r="BO371" i="26" a="1"/>
  <c r="BO371" i="26"/>
  <c r="BM372" i="26"/>
  <c r="BN372" i="26"/>
  <c r="BO372" i="26" a="1"/>
  <c r="BO372" i="26"/>
  <c r="BM373" i="26"/>
  <c r="BN373" i="26"/>
  <c r="BO373" i="26" a="1"/>
  <c r="BO373" i="26"/>
  <c r="BM374" i="26"/>
  <c r="BN374" i="26"/>
  <c r="BO374" i="26" a="1"/>
  <c r="BO374" i="26"/>
  <c r="BM375" i="26"/>
  <c r="BN375" i="26"/>
  <c r="BO375" i="26" a="1"/>
  <c r="BO375" i="26"/>
  <c r="BM376" i="26"/>
  <c r="BN376" i="26"/>
  <c r="BO376" i="26" a="1"/>
  <c r="BO376" i="26"/>
  <c r="BM377" i="26"/>
  <c r="BN377" i="26"/>
  <c r="BO377" i="26" a="1"/>
  <c r="BO377" i="26"/>
  <c r="BM378" i="26"/>
  <c r="BN378" i="26"/>
  <c r="BO378" i="26" a="1"/>
  <c r="BO378" i="26"/>
  <c r="BM379" i="26"/>
  <c r="BN379" i="26"/>
  <c r="BO379" i="26" a="1"/>
  <c r="BO379" i="26"/>
  <c r="BM380" i="26"/>
  <c r="BN380" i="26"/>
  <c r="BO380" i="26" a="1"/>
  <c r="BO380" i="26"/>
  <c r="BM381" i="26"/>
  <c r="BN381" i="26"/>
  <c r="BO381" i="26" a="1"/>
  <c r="BO381" i="26"/>
  <c r="BM382" i="26"/>
  <c r="BN382" i="26"/>
  <c r="BO382" i="26" a="1"/>
  <c r="BO382" i="26"/>
  <c r="BM383" i="26"/>
  <c r="BN383" i="26"/>
  <c r="BO383" i="26" a="1"/>
  <c r="BO383" i="26"/>
  <c r="BM384" i="26"/>
  <c r="BN384" i="26"/>
  <c r="BO384" i="26" a="1"/>
  <c r="BO384" i="26"/>
  <c r="BM385" i="26"/>
  <c r="BN385" i="26"/>
  <c r="BO385" i="26" a="1"/>
  <c r="BO385" i="26"/>
  <c r="BM386" i="26"/>
  <c r="BN386" i="26"/>
  <c r="BO386" i="26" a="1"/>
  <c r="BO386" i="26"/>
  <c r="BM387" i="26"/>
  <c r="BN387" i="26"/>
  <c r="BO387" i="26" a="1"/>
  <c r="BO387" i="26"/>
  <c r="BM388" i="26"/>
  <c r="BN388" i="26"/>
  <c r="BO388" i="26" a="1"/>
  <c r="BO388" i="26"/>
  <c r="BM389" i="26"/>
  <c r="BN389" i="26"/>
  <c r="BO389" i="26" a="1"/>
  <c r="BO389" i="26"/>
  <c r="BM390" i="26"/>
  <c r="BN390" i="26"/>
  <c r="BO390" i="26" a="1"/>
  <c r="BO390" i="26"/>
  <c r="BM391" i="26"/>
  <c r="BN391" i="26"/>
  <c r="BO391" i="26" a="1"/>
  <c r="BO391" i="26"/>
  <c r="BM392" i="26"/>
  <c r="BN392" i="26"/>
  <c r="BO392" i="26" a="1"/>
  <c r="BO392" i="26"/>
  <c r="BM393" i="26"/>
  <c r="BN393" i="26"/>
  <c r="BO393" i="26" a="1"/>
  <c r="BO393" i="26"/>
  <c r="BM394" i="26"/>
  <c r="BN394" i="26"/>
  <c r="BO394" i="26" a="1"/>
  <c r="BO394" i="26"/>
  <c r="BM395" i="26"/>
  <c r="BN395" i="26"/>
  <c r="BO395" i="26" a="1"/>
  <c r="BO395" i="26"/>
  <c r="BM396" i="26"/>
  <c r="BN396" i="26"/>
  <c r="BO396" i="26" a="1"/>
  <c r="BO396" i="26"/>
  <c r="BM397" i="26"/>
  <c r="BN397" i="26"/>
  <c r="BO397" i="26" a="1"/>
  <c r="BO397" i="26"/>
  <c r="BM398" i="26"/>
  <c r="BN398" i="26"/>
  <c r="BO398" i="26" a="1"/>
  <c r="BO398" i="26"/>
  <c r="BM399" i="26"/>
  <c r="BN399" i="26"/>
  <c r="BO399" i="26" a="1"/>
  <c r="BO399" i="26"/>
  <c r="BM400" i="26"/>
  <c r="BN400" i="26"/>
  <c r="BO400" i="26" a="1"/>
  <c r="BO400" i="26"/>
  <c r="BM401" i="26"/>
  <c r="BN401" i="26"/>
  <c r="BO401" i="26" a="1"/>
  <c r="BO401" i="26"/>
  <c r="BM402" i="26"/>
  <c r="BN402" i="26"/>
  <c r="BO402" i="26" a="1"/>
  <c r="BO402" i="26"/>
  <c r="BM403" i="26"/>
  <c r="BN403" i="26"/>
  <c r="BO403" i="26" a="1"/>
  <c r="BO403" i="26"/>
  <c r="BM404" i="26"/>
  <c r="BN404" i="26"/>
  <c r="BO404" i="26" a="1"/>
  <c r="BO404" i="26"/>
  <c r="BM405" i="26"/>
  <c r="BN405" i="26"/>
  <c r="BO405" i="26" a="1"/>
  <c r="BO405" i="26"/>
  <c r="BM406" i="26"/>
  <c r="BN406" i="26"/>
  <c r="BO406" i="26" a="1"/>
  <c r="BO406" i="26"/>
  <c r="BM407" i="26"/>
  <c r="BN407" i="26"/>
  <c r="BO407" i="26" a="1"/>
  <c r="BO407" i="26"/>
  <c r="BM408" i="26"/>
  <c r="BN408" i="26"/>
  <c r="BO408" i="26" a="1"/>
  <c r="BO408" i="26"/>
  <c r="BM409" i="26"/>
  <c r="BN409" i="26"/>
  <c r="BO409" i="26" a="1"/>
  <c r="BO409" i="26"/>
  <c r="BM410" i="26"/>
  <c r="BN410" i="26"/>
  <c r="BO410" i="26" a="1"/>
  <c r="BO410" i="26"/>
  <c r="BO5" i="26" a="1"/>
  <c r="BO5" i="26"/>
  <c r="BN5" i="26"/>
  <c r="BL5" i="26"/>
  <c r="BL6" i="26"/>
  <c r="BL7" i="26"/>
  <c r="BL8" i="26"/>
  <c r="BL9" i="26"/>
  <c r="BL10" i="26"/>
  <c r="BL11" i="26"/>
  <c r="BL12" i="26"/>
  <c r="BL13" i="26"/>
  <c r="BL14" i="26"/>
  <c r="BL15" i="26"/>
  <c r="BL16" i="26"/>
  <c r="BL17" i="26"/>
  <c r="BL18" i="26"/>
  <c r="BL19" i="26"/>
  <c r="BL20" i="26"/>
  <c r="BL21" i="26"/>
  <c r="BL22" i="26"/>
  <c r="BL23" i="26"/>
  <c r="BL24" i="26"/>
  <c r="BL25" i="26"/>
  <c r="BL26" i="26"/>
  <c r="BL27" i="26"/>
  <c r="BL28" i="26"/>
  <c r="BL29" i="26"/>
  <c r="BL30" i="26"/>
  <c r="BL31" i="26"/>
  <c r="BL32" i="26"/>
  <c r="BL33" i="26"/>
  <c r="BL34" i="26"/>
  <c r="BL35" i="26"/>
  <c r="BL36" i="26"/>
  <c r="BL37" i="26"/>
  <c r="BL38" i="26"/>
  <c r="BL39" i="26"/>
  <c r="BL40" i="26"/>
  <c r="BL41" i="26"/>
  <c r="BL42" i="26"/>
  <c r="BL43" i="26"/>
  <c r="BL44" i="26"/>
  <c r="BL45" i="26"/>
  <c r="BL46" i="26"/>
  <c r="BL47" i="26"/>
  <c r="BL48" i="26"/>
  <c r="BL49" i="26"/>
  <c r="BL50" i="26"/>
  <c r="BL51" i="26"/>
  <c r="BL52" i="26"/>
  <c r="BL53" i="26"/>
  <c r="BL54" i="26"/>
  <c r="BL55" i="26"/>
  <c r="BL56" i="26"/>
  <c r="BL57" i="26"/>
  <c r="BL58" i="26"/>
  <c r="BL59" i="26"/>
  <c r="BL60" i="26"/>
  <c r="BL61" i="26"/>
  <c r="BL62" i="26"/>
  <c r="BL63" i="26"/>
  <c r="BL64" i="26"/>
  <c r="BL65" i="26"/>
  <c r="BL66" i="26"/>
  <c r="BL67" i="26"/>
  <c r="BL68" i="26"/>
  <c r="BL69" i="26"/>
  <c r="BL70" i="26"/>
  <c r="BL71" i="26"/>
  <c r="BL72" i="26"/>
  <c r="BL73" i="26"/>
  <c r="BL74" i="26"/>
  <c r="BL75" i="26"/>
  <c r="BL76" i="26"/>
  <c r="BL77" i="26"/>
  <c r="BL78" i="26"/>
  <c r="BL79" i="26"/>
  <c r="BL80" i="26"/>
  <c r="BL81" i="26"/>
  <c r="BL82" i="26"/>
  <c r="BL83" i="26"/>
  <c r="BL84" i="26"/>
  <c r="BL85" i="26"/>
  <c r="BL86" i="26"/>
  <c r="BL87" i="26"/>
  <c r="BL88" i="26"/>
  <c r="BL89" i="26"/>
  <c r="BL90" i="26"/>
  <c r="BL91" i="26"/>
  <c r="BL92" i="26"/>
  <c r="BL93" i="26"/>
  <c r="BL94" i="26"/>
  <c r="BL95" i="26"/>
  <c r="BL96" i="26"/>
  <c r="BL97" i="26"/>
  <c r="BL98" i="26"/>
  <c r="BL99" i="26"/>
  <c r="BL100" i="26"/>
  <c r="BL101" i="26"/>
  <c r="BL102" i="26"/>
  <c r="BL103" i="26"/>
  <c r="BL104" i="26"/>
  <c r="BL105" i="26"/>
  <c r="BL106" i="26"/>
  <c r="BL107" i="26"/>
  <c r="BL108" i="26"/>
  <c r="BL109" i="26"/>
  <c r="BL110" i="26"/>
  <c r="BL111" i="26"/>
  <c r="BL112" i="26"/>
  <c r="BL113" i="26"/>
  <c r="BL114" i="26"/>
  <c r="BL115" i="26"/>
  <c r="BL116" i="26"/>
  <c r="BL117" i="26"/>
  <c r="BL118" i="26"/>
  <c r="BL119" i="26"/>
  <c r="BL120" i="26"/>
  <c r="BL121" i="26"/>
  <c r="BL122" i="26"/>
  <c r="BL123" i="26"/>
  <c r="BL124" i="26"/>
  <c r="BL125" i="26"/>
  <c r="BL126" i="26"/>
  <c r="BL127" i="26"/>
  <c r="BL128" i="26"/>
  <c r="BL129" i="26"/>
  <c r="BL130" i="26"/>
  <c r="BL131" i="26"/>
  <c r="BL132" i="26"/>
  <c r="BL133" i="26"/>
  <c r="BL134" i="26"/>
  <c r="BL135" i="26"/>
  <c r="BL136" i="26"/>
  <c r="BL137" i="26"/>
  <c r="BL138" i="26"/>
  <c r="BL139" i="26"/>
  <c r="BL140" i="26"/>
  <c r="BL141" i="26"/>
  <c r="BL142" i="26"/>
  <c r="BL143" i="26"/>
  <c r="BL144" i="26"/>
  <c r="BL145" i="26"/>
  <c r="BL146" i="26"/>
  <c r="BL147" i="26"/>
  <c r="BL148" i="26"/>
  <c r="BL149" i="26"/>
  <c r="BL150" i="26"/>
  <c r="BL151" i="26"/>
  <c r="BL152" i="26"/>
  <c r="BL153" i="26"/>
  <c r="BL154" i="26"/>
  <c r="BL155" i="26"/>
  <c r="BL156" i="26"/>
  <c r="BL157" i="26"/>
  <c r="BL158" i="26"/>
  <c r="BL159" i="26"/>
  <c r="BL160" i="26"/>
  <c r="BL161" i="26"/>
  <c r="BL162" i="26"/>
  <c r="BL163" i="26"/>
  <c r="BL164" i="26"/>
  <c r="BL165" i="26"/>
  <c r="BL166" i="26"/>
  <c r="BL167" i="26"/>
  <c r="BL168" i="26"/>
  <c r="BL169" i="26"/>
  <c r="BL170" i="26"/>
  <c r="BL171" i="26"/>
  <c r="BL172" i="26"/>
  <c r="BL173" i="26"/>
  <c r="BL174" i="26"/>
  <c r="BL175" i="26"/>
  <c r="BL176" i="26"/>
  <c r="BL177" i="26"/>
  <c r="BL178" i="26"/>
  <c r="BL179" i="26"/>
  <c r="BL180" i="26"/>
  <c r="BL181" i="26"/>
  <c r="BL182" i="26"/>
  <c r="BL183" i="26"/>
  <c r="BL184" i="26"/>
  <c r="BL185" i="26"/>
  <c r="BL186" i="26"/>
  <c r="BL187" i="26"/>
  <c r="BL188" i="26"/>
  <c r="BL189" i="26"/>
  <c r="BL190" i="26"/>
  <c r="BL191" i="26"/>
  <c r="BL192" i="26"/>
  <c r="BL193" i="26"/>
  <c r="BL194" i="26"/>
  <c r="BL195" i="26"/>
  <c r="BL196" i="26"/>
  <c r="BL197" i="26"/>
  <c r="BL198" i="26"/>
  <c r="BL199" i="26"/>
  <c r="BL200" i="26"/>
  <c r="BL201" i="26"/>
  <c r="BL202" i="26"/>
  <c r="BL203" i="26"/>
  <c r="BL204" i="26"/>
  <c r="BL205" i="26"/>
  <c r="BL206" i="26"/>
  <c r="BL207" i="26"/>
  <c r="BL208" i="26"/>
  <c r="BL209" i="26"/>
  <c r="BL210" i="26"/>
  <c r="BL211" i="26"/>
  <c r="BL212" i="26"/>
  <c r="BL213" i="26"/>
  <c r="BL214" i="26"/>
  <c r="BL215" i="26"/>
  <c r="BL216" i="26"/>
  <c r="BL217" i="26"/>
  <c r="BL218" i="26"/>
  <c r="BL219" i="26"/>
  <c r="BL220" i="26"/>
  <c r="BL221" i="26"/>
  <c r="BL222" i="26"/>
  <c r="BL223" i="26"/>
  <c r="BL224" i="26"/>
  <c r="BL225" i="26"/>
  <c r="BL226" i="26"/>
  <c r="BL227" i="26"/>
  <c r="BL228" i="26"/>
  <c r="BL229" i="26"/>
  <c r="BL230" i="26"/>
  <c r="BL231" i="26"/>
  <c r="BL232" i="26"/>
  <c r="BL233" i="26"/>
  <c r="BL234" i="26"/>
  <c r="BL235" i="26"/>
  <c r="BL236" i="26"/>
  <c r="BL237" i="26"/>
  <c r="BL238" i="26"/>
  <c r="BL239" i="26"/>
  <c r="BL240" i="26"/>
  <c r="BL241" i="26"/>
  <c r="BL242" i="26"/>
  <c r="BL243" i="26"/>
  <c r="BL244" i="26"/>
  <c r="BL245" i="26"/>
  <c r="BL246" i="26"/>
  <c r="BL247" i="26"/>
  <c r="BL248" i="26"/>
  <c r="BL249" i="26"/>
  <c r="BL250" i="26"/>
  <c r="BL251" i="26"/>
  <c r="BL252" i="26"/>
  <c r="BL253" i="26"/>
  <c r="BL254" i="26"/>
  <c r="BL255" i="26"/>
  <c r="BL256" i="26"/>
  <c r="BL257" i="26"/>
  <c r="BL258" i="26"/>
  <c r="BL259" i="26"/>
  <c r="BL260" i="26"/>
  <c r="BL261" i="26"/>
  <c r="BL262" i="26"/>
  <c r="BL263" i="26"/>
  <c r="BL264" i="26"/>
  <c r="BL265" i="26"/>
  <c r="BL266" i="26"/>
  <c r="BL267" i="26"/>
  <c r="BL268" i="26"/>
  <c r="BL269" i="26"/>
  <c r="BL270" i="26"/>
  <c r="BL271" i="26"/>
  <c r="BL272" i="26"/>
  <c r="BL273" i="26"/>
  <c r="BL274" i="26"/>
  <c r="BL275" i="26"/>
  <c r="BL276" i="26"/>
  <c r="BL277" i="26"/>
  <c r="BL278" i="26"/>
  <c r="BL279" i="26"/>
  <c r="BL280" i="26"/>
  <c r="BL281" i="26"/>
  <c r="BL282" i="26"/>
  <c r="BL283" i="26"/>
  <c r="BL284" i="26"/>
  <c r="BL285" i="26"/>
  <c r="BL286" i="26"/>
  <c r="BL287" i="26"/>
  <c r="BL288" i="26"/>
  <c r="BL289" i="26"/>
  <c r="BL290" i="26"/>
  <c r="BL291" i="26"/>
  <c r="BL292" i="26"/>
  <c r="BL293" i="26"/>
  <c r="BL294" i="26"/>
  <c r="BL295" i="26"/>
  <c r="BL296" i="26"/>
  <c r="BL297" i="26"/>
  <c r="BL298" i="26"/>
  <c r="BL299" i="26"/>
  <c r="BL300" i="26"/>
  <c r="BL301" i="26"/>
  <c r="BL302" i="26"/>
  <c r="BL303" i="26"/>
  <c r="BL304" i="26"/>
  <c r="BL305" i="26"/>
  <c r="BL306" i="26"/>
  <c r="BL307" i="26"/>
  <c r="BL308" i="26"/>
  <c r="BL309" i="26"/>
  <c r="BL310" i="26"/>
  <c r="BL311" i="26"/>
  <c r="BL312" i="26"/>
  <c r="BL313" i="26"/>
  <c r="BL314" i="26"/>
  <c r="BL315" i="26"/>
  <c r="BL316" i="26"/>
  <c r="BL317" i="26"/>
  <c r="BL318" i="26"/>
  <c r="BL319" i="26"/>
  <c r="BL320" i="26"/>
  <c r="BL321" i="26"/>
  <c r="BL322" i="26"/>
  <c r="BL323" i="26"/>
  <c r="BL324" i="26"/>
  <c r="BL325" i="26"/>
  <c r="BL326" i="26"/>
  <c r="BL327" i="26"/>
  <c r="BL328" i="26"/>
  <c r="BL329" i="26"/>
  <c r="BL330" i="26"/>
  <c r="BL331" i="26"/>
  <c r="BL332" i="26"/>
  <c r="BL333" i="26"/>
  <c r="BL334" i="26"/>
  <c r="BL335" i="26"/>
  <c r="BL336" i="26"/>
  <c r="BL337" i="26"/>
  <c r="BL338" i="26"/>
  <c r="BL339" i="26"/>
  <c r="BL340" i="26"/>
  <c r="BL341" i="26"/>
  <c r="BL342" i="26"/>
  <c r="BL343" i="26"/>
  <c r="BL344" i="26"/>
  <c r="BL345" i="26"/>
  <c r="BL346" i="26"/>
  <c r="BL347" i="26"/>
  <c r="BL348" i="26"/>
  <c r="BL349" i="26"/>
  <c r="BL350" i="26"/>
  <c r="BL351" i="26"/>
  <c r="BL352" i="26"/>
  <c r="BL353" i="26"/>
  <c r="BL354" i="26"/>
  <c r="BL355" i="26"/>
  <c r="BL356" i="26"/>
  <c r="BL357" i="26"/>
  <c r="BL358" i="26"/>
  <c r="BL359" i="26"/>
  <c r="BL360" i="26"/>
  <c r="BL361" i="26"/>
  <c r="BL362" i="26"/>
  <c r="BL363" i="26"/>
  <c r="BL364" i="26"/>
  <c r="BL365" i="26"/>
  <c r="BL366" i="26"/>
  <c r="BL367" i="26"/>
  <c r="BL368" i="26"/>
  <c r="BL369" i="26"/>
  <c r="BL370" i="26"/>
  <c r="BL371" i="26"/>
  <c r="BL372" i="26"/>
  <c r="BL373" i="26"/>
  <c r="BL374" i="26"/>
  <c r="BL375" i="26"/>
  <c r="BL376" i="26"/>
  <c r="BL377" i="26"/>
  <c r="BL378" i="26"/>
  <c r="BL379" i="26"/>
  <c r="BL380" i="26"/>
  <c r="BL381" i="26"/>
  <c r="BL382" i="26"/>
  <c r="BL383" i="26"/>
  <c r="BL384" i="26"/>
  <c r="BL385" i="26"/>
  <c r="BL386" i="26"/>
  <c r="BL387" i="26"/>
  <c r="BL388" i="26"/>
  <c r="BL389" i="26"/>
  <c r="BL390" i="26"/>
  <c r="BL391" i="26"/>
  <c r="BL392" i="26"/>
  <c r="BL393" i="26"/>
  <c r="BL394" i="26"/>
  <c r="BL395" i="26"/>
  <c r="BL396" i="26"/>
  <c r="BL397" i="26"/>
  <c r="BL398" i="26"/>
  <c r="BL399" i="26"/>
  <c r="BL400" i="26"/>
  <c r="BL401" i="26"/>
  <c r="BL402" i="26"/>
  <c r="BL403" i="26"/>
  <c r="BL404" i="26"/>
  <c r="BL405" i="26"/>
  <c r="BL406" i="26"/>
  <c r="BL407" i="26"/>
  <c r="BL408" i="26"/>
  <c r="BL409" i="26"/>
  <c r="BL410" i="26"/>
  <c r="D34" i="18"/>
  <c r="E34" i="18" s="1"/>
  <c r="P49" i="32" s="1"/>
  <c r="Q49" i="32" s="1"/>
  <c r="G34" i="18"/>
  <c r="D35" i="18"/>
  <c r="F35" i="18" s="1"/>
  <c r="G35" i="18"/>
  <c r="D36" i="18"/>
  <c r="E36" i="18" s="1"/>
  <c r="P51" i="32" s="1"/>
  <c r="G36" i="18"/>
  <c r="D4" i="18"/>
  <c r="D6" i="18"/>
  <c r="D7" i="18"/>
  <c r="D8" i="18"/>
  <c r="G13" i="18"/>
  <c r="P13" i="18"/>
  <c r="G14" i="18"/>
  <c r="P14" i="18"/>
  <c r="P22" i="18" s="1"/>
  <c r="D42" i="18" s="1"/>
  <c r="G42" i="18" s="1"/>
  <c r="G15" i="18"/>
  <c r="P15" i="18"/>
  <c r="G16" i="18"/>
  <c r="P16" i="18"/>
  <c r="G17" i="18"/>
  <c r="P17" i="18"/>
  <c r="G18" i="18"/>
  <c r="P18" i="18"/>
  <c r="G19" i="18"/>
  <c r="P19" i="18"/>
  <c r="G20" i="18"/>
  <c r="B57" i="18" s="1"/>
  <c r="P20" i="18"/>
  <c r="G21" i="18"/>
  <c r="P21" i="18"/>
  <c r="G40" i="18"/>
  <c r="F34" i="18"/>
  <c r="F36" i="18"/>
  <c r="F13" i="18"/>
  <c r="O13" i="18"/>
  <c r="F14" i="18"/>
  <c r="O14" i="18" s="1"/>
  <c r="F15" i="18"/>
  <c r="O15" i="18"/>
  <c r="F16" i="18"/>
  <c r="O16" i="18" s="1"/>
  <c r="F17" i="18"/>
  <c r="O17" i="18"/>
  <c r="F18" i="18"/>
  <c r="O18" i="18" s="1"/>
  <c r="F19" i="18"/>
  <c r="O19" i="18"/>
  <c r="F20" i="18"/>
  <c r="O20" i="18" s="1"/>
  <c r="F21" i="18"/>
  <c r="O21" i="18"/>
  <c r="O22" i="18"/>
  <c r="C42" i="18" s="1"/>
  <c r="F42" i="18" s="1"/>
  <c r="F40" i="18"/>
  <c r="L156" i="35"/>
  <c r="M156" i="35" s="1"/>
  <c r="C2" i="24"/>
  <c r="C2" i="25"/>
  <c r="P19" i="32"/>
  <c r="Q10" i="32" s="1"/>
  <c r="P45" i="32"/>
  <c r="Q28" i="32" s="1"/>
  <c r="P16" i="32"/>
  <c r="P17" i="32" s="1"/>
  <c r="B35" i="19"/>
  <c r="B23" i="19"/>
  <c r="W127" i="19"/>
  <c r="V127" i="19"/>
  <c r="U127" i="19"/>
  <c r="Q127" i="19"/>
  <c r="P127" i="19"/>
  <c r="O127" i="19"/>
  <c r="J127" i="19"/>
  <c r="K127" i="19"/>
  <c r="I127" i="19"/>
  <c r="F10" i="11"/>
  <c r="B55" i="18"/>
  <c r="A55" i="18"/>
  <c r="B56" i="18"/>
  <c r="A56" i="18"/>
  <c r="B54" i="18"/>
  <c r="C137" i="19" s="1"/>
  <c r="A54" i="18"/>
  <c r="J16" i="19"/>
  <c r="B7" i="11"/>
  <c r="H568" i="11"/>
  <c r="K90" i="34"/>
  <c r="R90" i="34" s="1"/>
  <c r="Y90" i="34" s="1"/>
  <c r="AF90" i="34" s="1"/>
  <c r="K80" i="34"/>
  <c r="R80" i="34" s="1"/>
  <c r="Y80" i="34" s="1"/>
  <c r="AF80" i="34" s="1"/>
  <c r="K80" i="35"/>
  <c r="R80" i="35" s="1"/>
  <c r="Y80" i="35" s="1"/>
  <c r="AF80" i="35" s="1"/>
  <c r="K70" i="35"/>
  <c r="R70" i="35" s="1"/>
  <c r="Y70" i="35" s="1"/>
  <c r="AF70" i="35" s="1"/>
  <c r="K60" i="35"/>
  <c r="R60" i="35" s="1"/>
  <c r="Y60" i="35" s="1"/>
  <c r="AF60" i="35" s="1"/>
  <c r="V157" i="35"/>
  <c r="AC157" i="35" s="1"/>
  <c r="AJ157" i="35" s="1"/>
  <c r="N157" i="35"/>
  <c r="U157" i="35" s="1"/>
  <c r="AB157" i="35" s="1"/>
  <c r="AI157" i="35" s="1"/>
  <c r="M157" i="35"/>
  <c r="T157" i="35" s="1"/>
  <c r="AA157" i="35" s="1"/>
  <c r="AH157" i="35" s="1"/>
  <c r="L157" i="35"/>
  <c r="S157" i="35" s="1"/>
  <c r="K157" i="35"/>
  <c r="R157" i="35" s="1"/>
  <c r="AG156" i="35"/>
  <c r="AH156" i="35" s="1"/>
  <c r="AI156" i="35" s="1"/>
  <c r="Z156" i="35"/>
  <c r="AA156" i="35" s="1"/>
  <c r="S156" i="35"/>
  <c r="T156" i="35" s="1"/>
  <c r="E156" i="35"/>
  <c r="F156" i="35" s="1"/>
  <c r="D81" i="35"/>
  <c r="D189" i="35" s="1"/>
  <c r="D71" i="35"/>
  <c r="D179" i="35" s="1"/>
  <c r="AF69" i="35"/>
  <c r="AF79" i="35" s="1"/>
  <c r="Y69" i="35"/>
  <c r="Y79" i="35" s="1"/>
  <c r="R69" i="35"/>
  <c r="R79" i="35" s="1"/>
  <c r="K69" i="35"/>
  <c r="K79" i="35" s="1"/>
  <c r="D61" i="35"/>
  <c r="D169" i="35" s="1"/>
  <c r="J83" i="11"/>
  <c r="G362" i="1"/>
  <c r="F364" i="1"/>
  <c r="G364" i="1" s="1"/>
  <c r="B37" i="11"/>
  <c r="B21" i="19" s="1"/>
  <c r="G7" i="40"/>
  <c r="B23" i="1"/>
  <c r="B48" i="1" s="1"/>
  <c r="AG166" i="34"/>
  <c r="AH166" i="34" s="1"/>
  <c r="AI166" i="34" s="1"/>
  <c r="Z166" i="34"/>
  <c r="AA166" i="34" s="1"/>
  <c r="AB166" i="34" s="1"/>
  <c r="AC166" i="34" s="1"/>
  <c r="S166" i="34"/>
  <c r="T166" i="34" s="1"/>
  <c r="U166" i="34" s="1"/>
  <c r="L166" i="34"/>
  <c r="M166" i="34" s="1"/>
  <c r="E166" i="34"/>
  <c r="E71" i="34" s="1"/>
  <c r="E181" i="34" s="1"/>
  <c r="D91" i="34"/>
  <c r="D201" i="34" s="1"/>
  <c r="D81" i="34"/>
  <c r="D191" i="34" s="1"/>
  <c r="V167" i="34"/>
  <c r="AC167" i="34" s="1"/>
  <c r="AJ167" i="34" s="1"/>
  <c r="D71" i="34"/>
  <c r="D181" i="34" s="1"/>
  <c r="L167" i="34"/>
  <c r="S167" i="34" s="1"/>
  <c r="M167" i="34"/>
  <c r="T167" i="34" s="1"/>
  <c r="N167" i="34"/>
  <c r="U167" i="34" s="1"/>
  <c r="AB167" i="34" s="1"/>
  <c r="K167" i="34"/>
  <c r="K71" i="34" s="1"/>
  <c r="AF79" i="34"/>
  <c r="AF89" i="34" s="1"/>
  <c r="Y79" i="34"/>
  <c r="Y89" i="34" s="1"/>
  <c r="R79" i="34"/>
  <c r="R89" i="34" s="1"/>
  <c r="K79" i="34"/>
  <c r="K89" i="34" s="1"/>
  <c r="C82" i="34"/>
  <c r="C92" i="34" s="1"/>
  <c r="C83" i="34"/>
  <c r="C93" i="34" s="1"/>
  <c r="C84" i="34"/>
  <c r="C94" i="34" s="1"/>
  <c r="C85" i="34"/>
  <c r="C95" i="34" s="1"/>
  <c r="C86" i="34"/>
  <c r="C96" i="34" s="1"/>
  <c r="C87" i="34"/>
  <c r="C97" i="34" s="1"/>
  <c r="C81" i="34"/>
  <c r="C91" i="34" s="1"/>
  <c r="C584" i="1"/>
  <c r="G583" i="1"/>
  <c r="J119" i="1"/>
  <c r="F119" i="1"/>
  <c r="E119" i="1"/>
  <c r="J94" i="1"/>
  <c r="F94" i="1"/>
  <c r="E94" i="1"/>
  <c r="J82" i="1"/>
  <c r="J78" i="1"/>
  <c r="B81" i="1"/>
  <c r="B78" i="1"/>
  <c r="F78" i="1"/>
  <c r="E78" i="1"/>
  <c r="F82" i="1"/>
  <c r="E82" i="1"/>
  <c r="F71" i="1"/>
  <c r="F56" i="11" s="1"/>
  <c r="E71" i="1"/>
  <c r="E56" i="11" s="1"/>
  <c r="G361" i="1"/>
  <c r="F15" i="37"/>
  <c r="K6" i="22"/>
  <c r="K7" i="22"/>
  <c r="K8" i="22" s="1"/>
  <c r="K9" i="22" s="1"/>
  <c r="K10" i="22" s="1"/>
  <c r="K11" i="22" s="1"/>
  <c r="J197" i="1"/>
  <c r="F122" i="11"/>
  <c r="B34" i="33"/>
  <c r="H6" i="22"/>
  <c r="H7" i="22" s="1"/>
  <c r="H8" i="22" s="1"/>
  <c r="H9" i="22"/>
  <c r="H10" i="22"/>
  <c r="H11" i="22" s="1"/>
  <c r="K4" i="22"/>
  <c r="J4" i="22"/>
  <c r="D5" i="21"/>
  <c r="D6" i="22"/>
  <c r="D6" i="21"/>
  <c r="D7" i="21" s="1"/>
  <c r="D7" i="22"/>
  <c r="D8" i="21"/>
  <c r="D9" i="21" s="1"/>
  <c r="D9" i="22"/>
  <c r="D5" i="22"/>
  <c r="H29" i="17"/>
  <c r="C29" i="17" s="1"/>
  <c r="G29" i="17"/>
  <c r="B29" i="17"/>
  <c r="H30" i="17"/>
  <c r="C30" i="17" s="1"/>
  <c r="N30" i="17" s="1"/>
  <c r="E30" i="17"/>
  <c r="G30" i="17"/>
  <c r="H31" i="17"/>
  <c r="T31" i="17"/>
  <c r="E31" i="17" s="1"/>
  <c r="G31" i="17"/>
  <c r="H32" i="17"/>
  <c r="T32" i="17"/>
  <c r="G32" i="17"/>
  <c r="Q4" i="32"/>
  <c r="L16" i="32"/>
  <c r="L19" i="32" s="1"/>
  <c r="D57" i="1"/>
  <c r="D83" i="1" s="1"/>
  <c r="C332" i="40"/>
  <c r="L45" i="32"/>
  <c r="M37" i="32" s="1"/>
  <c r="E35" i="18"/>
  <c r="P50" i="32" s="1"/>
  <c r="Q50" i="32" s="1"/>
  <c r="E13" i="18"/>
  <c r="N13" i="18"/>
  <c r="E14" i="18"/>
  <c r="N14" i="18"/>
  <c r="E15" i="18"/>
  <c r="N15" i="18"/>
  <c r="E16" i="18"/>
  <c r="N16" i="18"/>
  <c r="E17" i="18"/>
  <c r="N17" i="18"/>
  <c r="E18" i="18"/>
  <c r="N18" i="18"/>
  <c r="E19" i="18"/>
  <c r="N19" i="18"/>
  <c r="E20" i="18"/>
  <c r="N20" i="18"/>
  <c r="E21" i="18"/>
  <c r="N21" i="18"/>
  <c r="E40" i="18"/>
  <c r="C49" i="18"/>
  <c r="J46" i="19"/>
  <c r="C50" i="18"/>
  <c r="J48" i="19"/>
  <c r="C51" i="18"/>
  <c r="J50" i="19"/>
  <c r="D117" i="19" s="1"/>
  <c r="C52" i="18"/>
  <c r="J52" i="19"/>
  <c r="C54" i="18"/>
  <c r="F58" i="19"/>
  <c r="J58" i="19" s="1"/>
  <c r="C55" i="18"/>
  <c r="F60" i="19"/>
  <c r="J60" i="19" s="1"/>
  <c r="C56" i="18"/>
  <c r="F62" i="19"/>
  <c r="J62" i="19" s="1"/>
  <c r="C57" i="18"/>
  <c r="F64" i="19"/>
  <c r="J64" i="19" s="1"/>
  <c r="B58" i="18"/>
  <c r="C58" i="18"/>
  <c r="F66" i="19"/>
  <c r="J66" i="19" s="1"/>
  <c r="D462" i="1"/>
  <c r="J112" i="1"/>
  <c r="F112" i="1"/>
  <c r="E112" i="1"/>
  <c r="G460" i="1"/>
  <c r="G484" i="1" s="1"/>
  <c r="B552" i="11"/>
  <c r="D553" i="11"/>
  <c r="G553" i="11"/>
  <c r="C559" i="11"/>
  <c r="C560" i="11"/>
  <c r="C561" i="11"/>
  <c r="C562" i="11"/>
  <c r="C563" i="11"/>
  <c r="C564" i="11"/>
  <c r="C577" i="11"/>
  <c r="D577" i="11"/>
  <c r="B580" i="11"/>
  <c r="B581" i="11"/>
  <c r="F581" i="11"/>
  <c r="G581" i="11"/>
  <c r="C582" i="11"/>
  <c r="C583" i="11"/>
  <c r="C584" i="11"/>
  <c r="C585" i="11"/>
  <c r="C586" i="11"/>
  <c r="C587" i="11"/>
  <c r="B589" i="11"/>
  <c r="B566" i="11"/>
  <c r="D566" i="11"/>
  <c r="F566" i="11"/>
  <c r="D567" i="11"/>
  <c r="E567" i="11"/>
  <c r="F567" i="11"/>
  <c r="C569" i="11"/>
  <c r="C570" i="11"/>
  <c r="C571" i="11"/>
  <c r="C572" i="11"/>
  <c r="C573" i="11"/>
  <c r="C574" i="11"/>
  <c r="G448" i="1"/>
  <c r="G472" i="1" s="1"/>
  <c r="G423" i="1"/>
  <c r="G400" i="1"/>
  <c r="E604" i="1"/>
  <c r="F604" i="1"/>
  <c r="F589" i="11" s="1"/>
  <c r="G604" i="1"/>
  <c r="G589" i="11" s="1"/>
  <c r="D604" i="1"/>
  <c r="C606" i="1"/>
  <c r="C591" i="11" s="1"/>
  <c r="C607" i="1"/>
  <c r="C592" i="11" s="1"/>
  <c r="C608" i="1"/>
  <c r="C593" i="11" s="1"/>
  <c r="C609" i="1"/>
  <c r="C594" i="11" s="1"/>
  <c r="C610" i="1"/>
  <c r="C595" i="11" s="1"/>
  <c r="C605" i="1"/>
  <c r="C590" i="11" s="1"/>
  <c r="D583" i="1"/>
  <c r="P57" i="32"/>
  <c r="L57" i="32"/>
  <c r="L46" i="32"/>
  <c r="E338" i="1"/>
  <c r="E352" i="1" s="1"/>
  <c r="E339" i="1"/>
  <c r="E353" i="1" s="1"/>
  <c r="E340" i="1"/>
  <c r="E354" i="1" s="1"/>
  <c r="E341" i="1"/>
  <c r="E355" i="1" s="1"/>
  <c r="E342" i="1"/>
  <c r="E356" i="1" s="1"/>
  <c r="E337" i="1"/>
  <c r="E351" i="1" s="1"/>
  <c r="P20" i="32"/>
  <c r="Q56" i="32"/>
  <c r="B52" i="32"/>
  <c r="B53" i="32"/>
  <c r="B50" i="32"/>
  <c r="B51" i="32"/>
  <c r="B49" i="32"/>
  <c r="R48" i="32"/>
  <c r="Q48" i="32"/>
  <c r="P48" i="32"/>
  <c r="E39" i="18"/>
  <c r="D37" i="18"/>
  <c r="C25" i="18"/>
  <c r="C40" i="18"/>
  <c r="D25" i="18"/>
  <c r="D40" i="18"/>
  <c r="B25" i="18"/>
  <c r="B40" i="18"/>
  <c r="N11" i="18"/>
  <c r="K11" i="18"/>
  <c r="A58" i="18"/>
  <c r="A57" i="18"/>
  <c r="A52" i="18"/>
  <c r="A51" i="18"/>
  <c r="A50" i="18"/>
  <c r="A49" i="18"/>
  <c r="M21" i="18"/>
  <c r="L21" i="18"/>
  <c r="K21" i="18"/>
  <c r="M20" i="18"/>
  <c r="L20" i="18"/>
  <c r="K20" i="18"/>
  <c r="M19" i="18"/>
  <c r="L19" i="18"/>
  <c r="K19" i="18"/>
  <c r="M18" i="18"/>
  <c r="L18" i="18"/>
  <c r="K18" i="18"/>
  <c r="M17" i="18"/>
  <c r="L17" i="18"/>
  <c r="K17" i="18"/>
  <c r="M16" i="18"/>
  <c r="L16" i="18"/>
  <c r="K16" i="18"/>
  <c r="B52" i="18"/>
  <c r="M15" i="18"/>
  <c r="L15" i="18"/>
  <c r="K15" i="18"/>
  <c r="B51" i="18"/>
  <c r="M14" i="18"/>
  <c r="L14" i="18"/>
  <c r="K14" i="18"/>
  <c r="M13" i="18"/>
  <c r="L13" i="18"/>
  <c r="L22" i="18" s="1"/>
  <c r="K13" i="18"/>
  <c r="B49" i="18"/>
  <c r="M12" i="18"/>
  <c r="L12" i="18"/>
  <c r="K12" i="18"/>
  <c r="G12" i="18"/>
  <c r="P12" i="18"/>
  <c r="F12" i="18"/>
  <c r="O12" i="18"/>
  <c r="E12" i="18"/>
  <c r="N12" i="18"/>
  <c r="B50" i="18"/>
  <c r="O61" i="32"/>
  <c r="R22" i="32"/>
  <c r="Q22" i="32"/>
  <c r="P22" i="32"/>
  <c r="R3" i="32"/>
  <c r="Q3" i="32"/>
  <c r="P3" i="32"/>
  <c r="M28" i="32"/>
  <c r="Q8" i="32"/>
  <c r="Q18" i="32"/>
  <c r="D26" i="1"/>
  <c r="D27" i="1" s="1"/>
  <c r="D28" i="1" s="1"/>
  <c r="D35" i="1"/>
  <c r="D58" i="1" s="1"/>
  <c r="D84" i="1" s="1"/>
  <c r="BK2" i="26"/>
  <c r="BJ2" i="26"/>
  <c r="BI2" i="26"/>
  <c r="BH2" i="26"/>
  <c r="BG2" i="26"/>
  <c r="BF2" i="26"/>
  <c r="BE2" i="26"/>
  <c r="BD2" i="26"/>
  <c r="BC2" i="26"/>
  <c r="BB2" i="26"/>
  <c r="BA2" i="26"/>
  <c r="AZ2" i="26"/>
  <c r="AY2" i="26"/>
  <c r="AX2" i="26"/>
  <c r="AW2" i="26"/>
  <c r="AV2" i="26"/>
  <c r="AU2" i="26"/>
  <c r="AT2" i="26"/>
  <c r="AS2" i="26"/>
  <c r="AR2" i="26"/>
  <c r="AQ2" i="26"/>
  <c r="AP2" i="26"/>
  <c r="AO2" i="26"/>
  <c r="AN2" i="26"/>
  <c r="AM2" i="26"/>
  <c r="AL2" i="26"/>
  <c r="AK2" i="26"/>
  <c r="AJ2" i="26"/>
  <c r="AI2" i="26"/>
  <c r="AH2" i="26"/>
  <c r="AG2" i="26"/>
  <c r="AF2" i="26"/>
  <c r="AE2" i="26"/>
  <c r="AD2" i="26"/>
  <c r="AC2" i="26"/>
  <c r="AB2" i="26"/>
  <c r="AA2" i="26"/>
  <c r="Z2" i="26"/>
  <c r="Y2" i="26"/>
  <c r="X2" i="26"/>
  <c r="W2" i="26"/>
  <c r="V2" i="26"/>
  <c r="U2" i="26"/>
  <c r="T2" i="26"/>
  <c r="S2" i="26"/>
  <c r="R2" i="26"/>
  <c r="Q2" i="26"/>
  <c r="P2" i="26"/>
  <c r="O2" i="26"/>
  <c r="N2" i="26"/>
  <c r="M2" i="26"/>
  <c r="L2" i="26"/>
  <c r="K2" i="26"/>
  <c r="J2" i="26"/>
  <c r="I2" i="26"/>
  <c r="H2" i="26"/>
  <c r="G2" i="26"/>
  <c r="F2" i="26"/>
  <c r="E2" i="26"/>
  <c r="D2" i="26"/>
  <c r="BK2" i="25"/>
  <c r="BJ2" i="25"/>
  <c r="BI2" i="25"/>
  <c r="BH2" i="25"/>
  <c r="BG2" i="25"/>
  <c r="BF2" i="25"/>
  <c r="BE2" i="25"/>
  <c r="BD2" i="25"/>
  <c r="BC2" i="25"/>
  <c r="BB2" i="25"/>
  <c r="BA2" i="25"/>
  <c r="AZ2" i="25"/>
  <c r="AY2" i="25"/>
  <c r="AX2" i="25"/>
  <c r="AW2" i="25"/>
  <c r="AV2" i="25"/>
  <c r="AU2" i="25"/>
  <c r="AT2" i="25"/>
  <c r="AS2" i="25"/>
  <c r="AR2" i="25"/>
  <c r="AQ2" i="25"/>
  <c r="AP2" i="25"/>
  <c r="AO2" i="25"/>
  <c r="AN2" i="25"/>
  <c r="AM2" i="25"/>
  <c r="AL2" i="25"/>
  <c r="AK2" i="25"/>
  <c r="AJ2" i="25"/>
  <c r="AI2" i="25"/>
  <c r="AH2" i="25"/>
  <c r="AG2" i="25"/>
  <c r="AF2" i="25"/>
  <c r="AE2" i="25"/>
  <c r="AD2" i="25"/>
  <c r="AC2" i="25"/>
  <c r="AB2" i="25"/>
  <c r="AA2" i="25"/>
  <c r="Z2" i="25"/>
  <c r="Y2" i="25"/>
  <c r="X2" i="25"/>
  <c r="W2" i="25"/>
  <c r="V2" i="25"/>
  <c r="U2" i="25"/>
  <c r="T2" i="25"/>
  <c r="S2" i="25"/>
  <c r="R2" i="25"/>
  <c r="Q2" i="25"/>
  <c r="P2" i="25"/>
  <c r="O2" i="25"/>
  <c r="N2" i="25"/>
  <c r="M2" i="25"/>
  <c r="L2" i="25"/>
  <c r="K2" i="25"/>
  <c r="J2" i="25"/>
  <c r="I2" i="25"/>
  <c r="H2" i="25"/>
  <c r="G2" i="25"/>
  <c r="F2" i="25"/>
  <c r="E2" i="25"/>
  <c r="D2" i="25"/>
  <c r="D2" i="24"/>
  <c r="E2" i="24"/>
  <c r="F2" i="24"/>
  <c r="G2" i="24"/>
  <c r="H2" i="24"/>
  <c r="I2" i="24"/>
  <c r="J2" i="24"/>
  <c r="K2" i="24"/>
  <c r="L2" i="24"/>
  <c r="M2" i="24"/>
  <c r="N2" i="24"/>
  <c r="O2" i="24"/>
  <c r="P2" i="24"/>
  <c r="Q2" i="24"/>
  <c r="R2" i="24"/>
  <c r="S2" i="24"/>
  <c r="T2" i="24"/>
  <c r="U2" i="24"/>
  <c r="V2" i="24"/>
  <c r="W2" i="24"/>
  <c r="X2" i="24"/>
  <c r="Y2" i="24"/>
  <c r="Z2" i="24"/>
  <c r="AA2" i="24"/>
  <c r="AB2" i="24"/>
  <c r="AC2" i="24"/>
  <c r="AD2" i="24"/>
  <c r="AE2" i="24"/>
  <c r="AF2" i="24"/>
  <c r="AG2" i="24"/>
  <c r="AH2" i="24"/>
  <c r="AI2" i="24"/>
  <c r="AJ2" i="24"/>
  <c r="AK2" i="24"/>
  <c r="AL2" i="24"/>
  <c r="AM2" i="24"/>
  <c r="AN2" i="24"/>
  <c r="AO2" i="24"/>
  <c r="AP2" i="24"/>
  <c r="AQ2" i="24"/>
  <c r="AR2" i="24"/>
  <c r="AS2" i="24"/>
  <c r="AT2" i="24"/>
  <c r="AU2" i="24"/>
  <c r="AV2" i="24"/>
  <c r="AW2" i="24"/>
  <c r="AX2" i="24"/>
  <c r="AY2" i="24"/>
  <c r="AZ2" i="24"/>
  <c r="BA2" i="24"/>
  <c r="BB2" i="24"/>
  <c r="BC2" i="24"/>
  <c r="BD2" i="24"/>
  <c r="BE2" i="24"/>
  <c r="BF2" i="24"/>
  <c r="BG2" i="24"/>
  <c r="BH2" i="24"/>
  <c r="BI2" i="24"/>
  <c r="BJ2" i="24"/>
  <c r="BK2" i="24"/>
  <c r="D2" i="23"/>
  <c r="E2" i="23" s="1"/>
  <c r="F2" i="23" s="1"/>
  <c r="G2" i="23" s="1"/>
  <c r="H2" i="23" s="1"/>
  <c r="I2" i="23" s="1"/>
  <c r="J2" i="23" s="1"/>
  <c r="L2" i="23" s="1"/>
  <c r="M2" i="23" s="1"/>
  <c r="N2" i="23" s="1"/>
  <c r="O2" i="23" s="1"/>
  <c r="P2" i="23" s="1"/>
  <c r="Q2" i="23" s="1"/>
  <c r="R2" i="23" s="1"/>
  <c r="S2" i="23" s="1"/>
  <c r="T2" i="23" s="1"/>
  <c r="U2" i="23" s="1"/>
  <c r="V2" i="23" s="1"/>
  <c r="W2" i="23" s="1"/>
  <c r="X2" i="23" s="1"/>
  <c r="Y2" i="23" s="1"/>
  <c r="Z2" i="23" s="1"/>
  <c r="AA2" i="23" s="1"/>
  <c r="AB2" i="23" s="1"/>
  <c r="AC2" i="23" s="1"/>
  <c r="AD2" i="23" s="1"/>
  <c r="AE2" i="23" s="1"/>
  <c r="AF2" i="23" s="1"/>
  <c r="AG2" i="23" s="1"/>
  <c r="AH2" i="23" s="1"/>
  <c r="AI2" i="23" s="1"/>
  <c r="AJ2" i="23" s="1"/>
  <c r="AK2" i="23" s="1"/>
  <c r="AL2" i="23" s="1"/>
  <c r="AM2" i="23" s="1"/>
  <c r="AN2" i="23" s="1"/>
  <c r="AO2" i="23" s="1"/>
  <c r="AP2" i="23" s="1"/>
  <c r="AQ2" i="23" s="1"/>
  <c r="AR2" i="23" s="1"/>
  <c r="AS2" i="23" s="1"/>
  <c r="AT2" i="23" s="1"/>
  <c r="AU2" i="23" s="1"/>
  <c r="AV2" i="23" s="1"/>
  <c r="AW2" i="23" s="1"/>
  <c r="AX2" i="23" s="1"/>
  <c r="AY2" i="23" s="1"/>
  <c r="AZ2" i="23" s="1"/>
  <c r="BA2" i="23" s="1"/>
  <c r="BB2" i="23" s="1"/>
  <c r="BC2" i="23" s="1"/>
  <c r="BD2" i="23" s="1"/>
  <c r="BE2" i="23" s="1"/>
  <c r="BF2" i="23" s="1"/>
  <c r="BG2" i="23" s="1"/>
  <c r="BH2" i="23" s="1"/>
  <c r="BI2" i="23" s="1"/>
  <c r="BJ2" i="23" s="1"/>
  <c r="E571" i="11"/>
  <c r="E572" i="11"/>
  <c r="E573" i="11"/>
  <c r="E574" i="11"/>
  <c r="E570" i="11"/>
  <c r="B28" i="1"/>
  <c r="B37" i="1" s="1"/>
  <c r="J71" i="1"/>
  <c r="J56" i="11" s="1"/>
  <c r="F22" i="1"/>
  <c r="F31" i="1" s="1"/>
  <c r="E91" i="1"/>
  <c r="E65" i="11" s="1"/>
  <c r="F91" i="1"/>
  <c r="F65" i="11" s="1"/>
  <c r="J91" i="1"/>
  <c r="J65" i="11" s="1"/>
  <c r="J98" i="1"/>
  <c r="J99" i="1"/>
  <c r="C101" i="1"/>
  <c r="C102" i="1"/>
  <c r="C103" i="1"/>
  <c r="C104" i="1"/>
  <c r="J104" i="1"/>
  <c r="C105" i="1"/>
  <c r="J105" i="1"/>
  <c r="E109" i="1"/>
  <c r="E74" i="11" s="1"/>
  <c r="F109" i="1"/>
  <c r="F74" i="11" s="1"/>
  <c r="G74" i="11"/>
  <c r="J109" i="1"/>
  <c r="J74" i="11" s="1"/>
  <c r="B67" i="11"/>
  <c r="B66" i="11"/>
  <c r="F66" i="11"/>
  <c r="J66" i="11" s="1"/>
  <c r="J67" i="11" s="1"/>
  <c r="D42" i="11"/>
  <c r="F41" i="11"/>
  <c r="I42" i="11"/>
  <c r="B175" i="11"/>
  <c r="E175" i="11"/>
  <c r="F175" i="11"/>
  <c r="G176" i="11"/>
  <c r="I176" i="11"/>
  <c r="B173" i="11"/>
  <c r="B35" i="11"/>
  <c r="B22" i="11"/>
  <c r="B19" i="11"/>
  <c r="E10" i="11"/>
  <c r="E569" i="11"/>
  <c r="A21" i="22"/>
  <c r="B11" i="39" s="1"/>
  <c r="A17" i="22"/>
  <c r="B7" i="39" s="1"/>
  <c r="A18" i="22"/>
  <c r="B8" i="39" s="1"/>
  <c r="A19" i="22"/>
  <c r="B9" i="39" s="1"/>
  <c r="A20" i="22"/>
  <c r="B10" i="39" s="1"/>
  <c r="A16" i="22"/>
  <c r="B6" i="39" s="1"/>
  <c r="C6" i="21"/>
  <c r="B6" i="21"/>
  <c r="B8" i="21"/>
  <c r="G27" i="11"/>
  <c r="F27" i="11"/>
  <c r="D29" i="11"/>
  <c r="D30" i="11" s="1"/>
  <c r="D31" i="11" s="1"/>
  <c r="D32" i="11" s="1"/>
  <c r="D33" i="11" s="1"/>
  <c r="B60" i="1"/>
  <c r="B56" i="1"/>
  <c r="D56" i="1"/>
  <c r="I56" i="1"/>
  <c r="H203" i="1"/>
  <c r="H176" i="11" s="1"/>
  <c r="H202" i="1"/>
  <c r="H175" i="11" s="1"/>
  <c r="G202" i="1"/>
  <c r="I202" i="1" s="1"/>
  <c r="I175" i="11" s="1"/>
  <c r="I47" i="1"/>
  <c r="I41" i="11" s="1"/>
  <c r="E203" i="1"/>
  <c r="F203" i="1" s="1"/>
  <c r="F176" i="11" s="1"/>
  <c r="B41" i="11"/>
  <c r="C38" i="19"/>
  <c r="E16" i="19"/>
  <c r="F16" i="19"/>
  <c r="E2" i="20"/>
  <c r="I55" i="1"/>
  <c r="H55" i="1"/>
  <c r="J55" i="1" s="1"/>
  <c r="D49" i="1"/>
  <c r="H47" i="1"/>
  <c r="H41" i="11" s="1"/>
  <c r="E48" i="1"/>
  <c r="E42" i="11" s="1"/>
  <c r="G24" i="1"/>
  <c r="G33" i="1" s="1"/>
  <c r="F24" i="1"/>
  <c r="F33" i="1" s="1"/>
  <c r="E33" i="1"/>
  <c r="G31" i="1"/>
  <c r="H31" i="1"/>
  <c r="I31" i="1"/>
  <c r="J31" i="1"/>
  <c r="T38" i="17"/>
  <c r="O38" i="17"/>
  <c r="L38" i="17"/>
  <c r="I38" i="17"/>
  <c r="H38" i="17"/>
  <c r="G38" i="17"/>
  <c r="T37" i="17"/>
  <c r="O37" i="17"/>
  <c r="L37" i="17"/>
  <c r="I37" i="17"/>
  <c r="H37" i="17"/>
  <c r="G37" i="17"/>
  <c r="T36" i="17"/>
  <c r="O36" i="17"/>
  <c r="L36" i="17"/>
  <c r="I36" i="17"/>
  <c r="H36" i="17"/>
  <c r="G36" i="17"/>
  <c r="T35" i="17"/>
  <c r="O35" i="17"/>
  <c r="L35" i="17"/>
  <c r="I35" i="17"/>
  <c r="H35" i="17"/>
  <c r="G35" i="17"/>
  <c r="T34" i="17"/>
  <c r="O34" i="17"/>
  <c r="L34" i="17"/>
  <c r="I34" i="17"/>
  <c r="H34" i="17"/>
  <c r="G34" i="17"/>
  <c r="T33" i="17"/>
  <c r="O33" i="17"/>
  <c r="L33" i="17"/>
  <c r="I33" i="17"/>
  <c r="H33" i="17"/>
  <c r="G33" i="17"/>
  <c r="O32" i="17"/>
  <c r="L32" i="17"/>
  <c r="I32" i="17"/>
  <c r="O31" i="17"/>
  <c r="L31" i="17"/>
  <c r="I31" i="17"/>
  <c r="O30" i="17"/>
  <c r="L30" i="17"/>
  <c r="I30" i="17"/>
  <c r="O29" i="17"/>
  <c r="L29" i="17"/>
  <c r="I29" i="17"/>
  <c r="S28" i="17"/>
  <c r="R28" i="17"/>
  <c r="Q28" i="17"/>
  <c r="O28" i="17"/>
  <c r="N28" i="17"/>
  <c r="L28" i="17"/>
  <c r="K28" i="17" s="1"/>
  <c r="F28" i="17"/>
  <c r="I28" i="17" s="1"/>
  <c r="F27" i="17"/>
  <c r="E28" i="17"/>
  <c r="E27" i="17"/>
  <c r="G27" i="17" s="1"/>
  <c r="T28" i="17"/>
  <c r="F26" i="17"/>
  <c r="U27" i="17" s="1"/>
  <c r="E26" i="17"/>
  <c r="H26" i="17" s="1"/>
  <c r="S27" i="17"/>
  <c r="R27" i="17"/>
  <c r="Q27" i="17"/>
  <c r="O27" i="17"/>
  <c r="N27" i="17"/>
  <c r="L27" i="17"/>
  <c r="K27" i="17" s="1"/>
  <c r="S26" i="17"/>
  <c r="R26" i="17"/>
  <c r="Q26" i="17"/>
  <c r="O26" i="17"/>
  <c r="N26" i="17"/>
  <c r="L26" i="17"/>
  <c r="K26" i="17" s="1"/>
  <c r="S25" i="17"/>
  <c r="R25" i="17"/>
  <c r="Q25" i="17"/>
  <c r="O25" i="17"/>
  <c r="N25" i="17" s="1"/>
  <c r="L25" i="17"/>
  <c r="K25" i="17"/>
  <c r="F25" i="17"/>
  <c r="E25" i="17"/>
  <c r="H25" i="17" s="1"/>
  <c r="S24" i="17"/>
  <c r="R24" i="17"/>
  <c r="Q24" i="17"/>
  <c r="O24" i="17"/>
  <c r="N24" i="17" s="1"/>
  <c r="L24" i="17"/>
  <c r="K24" i="17"/>
  <c r="F24" i="17"/>
  <c r="E24" i="17"/>
  <c r="S23" i="17"/>
  <c r="R23" i="17"/>
  <c r="Q23" i="17"/>
  <c r="O23" i="17"/>
  <c r="N23" i="17"/>
  <c r="L23" i="17"/>
  <c r="K23" i="17" s="1"/>
  <c r="F23" i="17"/>
  <c r="F22" i="17"/>
  <c r="U23" i="17"/>
  <c r="E23" i="17"/>
  <c r="S22" i="17"/>
  <c r="R22" i="17"/>
  <c r="Q22" i="17"/>
  <c r="O22" i="17"/>
  <c r="N22" i="17" s="1"/>
  <c r="L22" i="17"/>
  <c r="K22" i="17" s="1"/>
  <c r="E22" i="17"/>
  <c r="E21" i="17"/>
  <c r="E20" i="17"/>
  <c r="S21" i="17"/>
  <c r="R21" i="17"/>
  <c r="Q21" i="17"/>
  <c r="O21" i="17"/>
  <c r="N21" i="17"/>
  <c r="L21" i="17"/>
  <c r="K21" i="17" s="1"/>
  <c r="F21" i="17"/>
  <c r="S20" i="17"/>
  <c r="R20" i="17"/>
  <c r="Q20" i="17"/>
  <c r="O20" i="17"/>
  <c r="N20" i="17"/>
  <c r="L20" i="17"/>
  <c r="K20" i="17" s="1"/>
  <c r="F20" i="17"/>
  <c r="G20" i="17"/>
  <c r="E19" i="17"/>
  <c r="H19" i="17" s="1"/>
  <c r="S19" i="17"/>
  <c r="R19" i="17"/>
  <c r="Q19" i="17"/>
  <c r="O19" i="17"/>
  <c r="N19" i="17" s="1"/>
  <c r="L19" i="17"/>
  <c r="K19" i="17" s="1"/>
  <c r="F19" i="17"/>
  <c r="U19" i="17" s="1"/>
  <c r="S18" i="17"/>
  <c r="R18" i="17"/>
  <c r="Q18" i="17"/>
  <c r="O18" i="17"/>
  <c r="N18" i="17" s="1"/>
  <c r="L18" i="17"/>
  <c r="K18" i="17" s="1"/>
  <c r="E18" i="17"/>
  <c r="I18" i="17" s="1"/>
  <c r="F18" i="17"/>
  <c r="S17" i="17"/>
  <c r="R17" i="17"/>
  <c r="Q17" i="17"/>
  <c r="O17" i="17"/>
  <c r="N17" i="17" s="1"/>
  <c r="L17" i="17"/>
  <c r="K17" i="17" s="1"/>
  <c r="F17" i="17"/>
  <c r="U17" i="17" s="1"/>
  <c r="F16" i="17"/>
  <c r="E17" i="17"/>
  <c r="S16" i="17"/>
  <c r="R16" i="17"/>
  <c r="Q16" i="17"/>
  <c r="O16" i="17"/>
  <c r="N16" i="17" s="1"/>
  <c r="L16" i="17"/>
  <c r="K16" i="17" s="1"/>
  <c r="E16" i="17"/>
  <c r="F15" i="17"/>
  <c r="U16" i="17"/>
  <c r="S15" i="17"/>
  <c r="R15" i="17"/>
  <c r="Q15" i="17"/>
  <c r="O15" i="17"/>
  <c r="N15" i="17" s="1"/>
  <c r="L15" i="17"/>
  <c r="K15" i="17" s="1"/>
  <c r="F14" i="17"/>
  <c r="U14" i="17" s="1"/>
  <c r="E15" i="17"/>
  <c r="G15" i="17" s="1"/>
  <c r="S14" i="17"/>
  <c r="R14" i="17"/>
  <c r="Q14" i="17"/>
  <c r="O14" i="17"/>
  <c r="N14" i="17" s="1"/>
  <c r="L14" i="17"/>
  <c r="K14" i="17" s="1"/>
  <c r="E14" i="17"/>
  <c r="H14" i="17" s="1"/>
  <c r="S13" i="17"/>
  <c r="R13" i="17"/>
  <c r="Q13" i="17"/>
  <c r="O13" i="17"/>
  <c r="N13" i="17"/>
  <c r="L13" i="17"/>
  <c r="K13" i="17" s="1"/>
  <c r="F13" i="17"/>
  <c r="F12" i="17"/>
  <c r="U13" i="17"/>
  <c r="E13" i="17"/>
  <c r="S12" i="17"/>
  <c r="R12" i="17"/>
  <c r="Q12" i="17"/>
  <c r="O12" i="17"/>
  <c r="N12" i="17" s="1"/>
  <c r="L12" i="17"/>
  <c r="K12" i="17" s="1"/>
  <c r="E12" i="17"/>
  <c r="S11" i="17"/>
  <c r="R11" i="17"/>
  <c r="Q11" i="17"/>
  <c r="O11" i="17"/>
  <c r="N11" i="17" s="1"/>
  <c r="L11" i="17"/>
  <c r="K11" i="17"/>
  <c r="F11" i="17"/>
  <c r="E11" i="17"/>
  <c r="I11" i="17"/>
  <c r="E10" i="17"/>
  <c r="S10" i="17"/>
  <c r="R10" i="17"/>
  <c r="Q10" i="17"/>
  <c r="O10" i="17"/>
  <c r="N10" i="17" s="1"/>
  <c r="L10" i="17"/>
  <c r="K10" i="17" s="1"/>
  <c r="F10" i="17"/>
  <c r="I10" i="17" s="1"/>
  <c r="F9" i="17"/>
  <c r="S9" i="17"/>
  <c r="R9" i="17"/>
  <c r="Q9" i="17"/>
  <c r="O9" i="17"/>
  <c r="N9" i="17" s="1"/>
  <c r="L9" i="17"/>
  <c r="K9" i="17" s="1"/>
  <c r="F8" i="17"/>
  <c r="E9" i="17"/>
  <c r="S8" i="17"/>
  <c r="R8" i="17"/>
  <c r="Q8" i="17"/>
  <c r="O8" i="17"/>
  <c r="N8" i="17"/>
  <c r="L8" i="17"/>
  <c r="K8" i="17" s="1"/>
  <c r="E8" i="17"/>
  <c r="G8" i="17"/>
  <c r="F7" i="17"/>
  <c r="U8" i="17" s="1"/>
  <c r="H8" i="17"/>
  <c r="S7" i="17"/>
  <c r="R7" i="17"/>
  <c r="Q7" i="17"/>
  <c r="O7" i="17"/>
  <c r="N7" i="17"/>
  <c r="L7" i="17"/>
  <c r="K7" i="17" s="1"/>
  <c r="E7" i="17"/>
  <c r="O6" i="17"/>
  <c r="N6" i="17" s="1"/>
  <c r="L6" i="17"/>
  <c r="K6" i="17" s="1"/>
  <c r="E6" i="17"/>
  <c r="H6" i="17" s="1"/>
  <c r="F6" i="17"/>
  <c r="I6" i="17"/>
  <c r="I13" i="17"/>
  <c r="G17" i="17"/>
  <c r="G11" i="17"/>
  <c r="H11" i="17"/>
  <c r="I15" i="17"/>
  <c r="H27" i="17"/>
  <c r="G13" i="17"/>
  <c r="H13" i="17"/>
  <c r="G28" i="17"/>
  <c r="H28" i="17"/>
  <c r="I8" i="17"/>
  <c r="T25" i="17"/>
  <c r="T26" i="17"/>
  <c r="G25" i="17"/>
  <c r="H12" i="17"/>
  <c r="T12" i="17"/>
  <c r="G12" i="17"/>
  <c r="G24" i="17"/>
  <c r="H24" i="17"/>
  <c r="G9" i="17"/>
  <c r="T14" i="17"/>
  <c r="T15" i="17"/>
  <c r="T13" i="17"/>
  <c r="U21" i="17"/>
  <c r="U22" i="17"/>
  <c r="U11" i="17"/>
  <c r="Q6" i="32"/>
  <c r="Q5" i="32"/>
  <c r="Q9" i="32"/>
  <c r="M41" i="32"/>
  <c r="Q12" i="32"/>
  <c r="Q13" i="32"/>
  <c r="Q14" i="32"/>
  <c r="Q15" i="32"/>
  <c r="Q35" i="32"/>
  <c r="Q34" i="32"/>
  <c r="F7" i="38"/>
  <c r="M25" i="32" l="1"/>
  <c r="M26" i="32"/>
  <c r="M45" i="32"/>
  <c r="M36" i="32"/>
  <c r="M31" i="32"/>
  <c r="M39" i="32"/>
  <c r="M35" i="32"/>
  <c r="M32" i="32"/>
  <c r="K12" i="22"/>
  <c r="K13" i="22" s="1"/>
  <c r="K14" i="22" s="1"/>
  <c r="K15" i="22" s="1"/>
  <c r="B48" i="33"/>
  <c r="G554" i="11" s="1"/>
  <c r="G555" i="11" s="1"/>
  <c r="G556" i="11" s="1"/>
  <c r="G557" i="11" s="1"/>
  <c r="G558" i="11" s="1"/>
  <c r="B11" i="45" s="1"/>
  <c r="E11" i="45" s="1"/>
  <c r="H12" i="22"/>
  <c r="H13" i="22" s="1"/>
  <c r="H14" i="22" s="1"/>
  <c r="H15" i="22" s="1"/>
  <c r="H16" i="22" s="1"/>
  <c r="H17" i="22" s="1"/>
  <c r="H18" i="22" s="1"/>
  <c r="H19" i="22" s="1"/>
  <c r="H20" i="22" s="1"/>
  <c r="H21" i="22" s="1"/>
  <c r="U18" i="17"/>
  <c r="H15" i="17"/>
  <c r="U20" i="17"/>
  <c r="I17" i="17"/>
  <c r="T27" i="17"/>
  <c r="G18" i="17"/>
  <c r="U7" i="17"/>
  <c r="G19" i="17"/>
  <c r="H17" i="17"/>
  <c r="I24" i="17"/>
  <c r="I27" i="17"/>
  <c r="B30" i="17"/>
  <c r="B39" i="45"/>
  <c r="E39" i="45" s="1"/>
  <c r="B40" i="45"/>
  <c r="E40" i="45" s="1"/>
  <c r="B41" i="45"/>
  <c r="E41" i="45" s="1"/>
  <c r="B42" i="45"/>
  <c r="E42" i="45" s="1"/>
  <c r="B43" i="45"/>
  <c r="E43" i="45" s="1"/>
  <c r="F562" i="1"/>
  <c r="C25" i="45" s="1"/>
  <c r="F563" i="1"/>
  <c r="C26" i="45" s="1"/>
  <c r="F564" i="1"/>
  <c r="C27" i="45" s="1"/>
  <c r="F561" i="1"/>
  <c r="C24" i="45" s="1"/>
  <c r="F106" i="11"/>
  <c r="F123" i="11"/>
  <c r="E110" i="11"/>
  <c r="E51" i="11"/>
  <c r="F110" i="11"/>
  <c r="F51" i="11"/>
  <c r="F151" i="1"/>
  <c r="F152" i="1"/>
  <c r="F111" i="1"/>
  <c r="J133" i="1"/>
  <c r="F133" i="1"/>
  <c r="F134" i="1" s="1"/>
  <c r="F110" i="1"/>
  <c r="J152" i="1"/>
  <c r="F539" i="1" s="1"/>
  <c r="G539" i="1" s="1"/>
  <c r="J111" i="1"/>
  <c r="F15" i="34" s="1"/>
  <c r="F15" i="36" s="1"/>
  <c r="J151" i="1"/>
  <c r="F538" i="1" s="1"/>
  <c r="G538" i="1" s="1"/>
  <c r="J110" i="1"/>
  <c r="J130" i="1"/>
  <c r="E604" i="11"/>
  <c r="F98" i="11"/>
  <c r="K71" i="35"/>
  <c r="K81" i="35"/>
  <c r="K61" i="35"/>
  <c r="G509" i="1"/>
  <c r="G510" i="1"/>
  <c r="G512" i="1"/>
  <c r="G511" i="1"/>
  <c r="G401" i="1"/>
  <c r="V401" i="1" s="1"/>
  <c r="G540" i="1"/>
  <c r="F131" i="1"/>
  <c r="D578" i="11"/>
  <c r="F109" i="11"/>
  <c r="F88" i="11"/>
  <c r="J88" i="11" s="1"/>
  <c r="B45" i="11"/>
  <c r="F10" i="35"/>
  <c r="F10" i="37" s="1"/>
  <c r="F9" i="35"/>
  <c r="F9" i="37" s="1"/>
  <c r="F83" i="11"/>
  <c r="F92" i="11"/>
  <c r="F87" i="11"/>
  <c r="F97" i="11"/>
  <c r="E83" i="11"/>
  <c r="E92" i="11"/>
  <c r="E87" i="11"/>
  <c r="E97" i="11"/>
  <c r="F7" i="34"/>
  <c r="F7" i="36" s="1"/>
  <c r="B50" i="1"/>
  <c r="K16" i="22"/>
  <c r="K17" i="22" s="1"/>
  <c r="K18" i="22" s="1"/>
  <c r="K19" i="22" s="1"/>
  <c r="K20" i="22" s="1"/>
  <c r="K21" i="22" s="1"/>
  <c r="G16" i="17"/>
  <c r="T16" i="17"/>
  <c r="T21" i="17"/>
  <c r="I21" i="17"/>
  <c r="H21" i="17"/>
  <c r="H23" i="17"/>
  <c r="I23" i="17"/>
  <c r="T24" i="17"/>
  <c r="T23" i="17"/>
  <c r="U25" i="17"/>
  <c r="U26" i="17"/>
  <c r="I25" i="17"/>
  <c r="C12" i="22"/>
  <c r="R29" i="17"/>
  <c r="I16" i="17"/>
  <c r="H22" i="17"/>
  <c r="G22" i="17"/>
  <c r="M22" i="18"/>
  <c r="K22" i="18"/>
  <c r="C331" i="1"/>
  <c r="C303" i="11"/>
  <c r="N22" i="18"/>
  <c r="B42" i="18" s="1"/>
  <c r="E42" i="18" s="1"/>
  <c r="P52" i="32" s="1"/>
  <c r="Q52" i="32" s="1"/>
  <c r="C26" i="18"/>
  <c r="B26" i="18"/>
  <c r="I9" i="17"/>
  <c r="U9" i="17"/>
  <c r="C347" i="1"/>
  <c r="C319" i="11"/>
  <c r="F29" i="17"/>
  <c r="U29" i="17" s="1"/>
  <c r="G10" i="17"/>
  <c r="H10" i="17"/>
  <c r="H16" i="17"/>
  <c r="T19" i="17"/>
  <c r="I19" i="17"/>
  <c r="C334" i="1"/>
  <c r="C306" i="11"/>
  <c r="C9" i="21"/>
  <c r="D10" i="22"/>
  <c r="B9" i="21"/>
  <c r="D26" i="18"/>
  <c r="U24" i="17"/>
  <c r="T10" i="17"/>
  <c r="N29" i="17"/>
  <c r="G21" i="17"/>
  <c r="T17" i="17"/>
  <c r="G7" i="17"/>
  <c r="T7" i="17"/>
  <c r="H7" i="17"/>
  <c r="I7" i="17"/>
  <c r="T8" i="17"/>
  <c r="T9" i="17"/>
  <c r="U12" i="17"/>
  <c r="I12" i="17"/>
  <c r="I22" i="17"/>
  <c r="C13" i="22"/>
  <c r="R30" i="17"/>
  <c r="B12" i="22"/>
  <c r="D29" i="17"/>
  <c r="Q29" i="17"/>
  <c r="D10" i="21"/>
  <c r="Q26" i="32"/>
  <c r="Q37" i="32"/>
  <c r="Q31" i="32"/>
  <c r="Q33" i="32"/>
  <c r="Q44" i="32"/>
  <c r="Q40" i="32"/>
  <c r="Q16" i="32"/>
  <c r="Q32" i="32"/>
  <c r="F30" i="17"/>
  <c r="T18" i="17"/>
  <c r="G23" i="17"/>
  <c r="I14" i="17"/>
  <c r="H9" i="17"/>
  <c r="T22" i="17"/>
  <c r="G6" i="17"/>
  <c r="U10" i="17"/>
  <c r="T11" i="17"/>
  <c r="U15" i="17"/>
  <c r="H18" i="17"/>
  <c r="H20" i="17"/>
  <c r="T20" i="17"/>
  <c r="I20" i="17"/>
  <c r="G26" i="17"/>
  <c r="I26" i="17"/>
  <c r="U28" i="17"/>
  <c r="K29" i="17"/>
  <c r="C8" i="21"/>
  <c r="K30" i="17"/>
  <c r="B7" i="21"/>
  <c r="D8" i="22"/>
  <c r="C7" i="21"/>
  <c r="C333" i="1"/>
  <c r="C305" i="11"/>
  <c r="Q11" i="32"/>
  <c r="G14" i="17"/>
  <c r="M42" i="32"/>
  <c r="M33" i="32"/>
  <c r="C332" i="1"/>
  <c r="C304" i="11"/>
  <c r="O361" i="1"/>
  <c r="N362" i="1"/>
  <c r="Q362" i="1" s="1"/>
  <c r="I334" i="11"/>
  <c r="J333" i="11"/>
  <c r="I333" i="11"/>
  <c r="J334" i="11"/>
  <c r="H334" i="11"/>
  <c r="K334" i="11" s="1"/>
  <c r="H333" i="11"/>
  <c r="N334" i="11"/>
  <c r="Q334" i="11" s="1"/>
  <c r="O333" i="11"/>
  <c r="P334" i="11"/>
  <c r="N333" i="11"/>
  <c r="O334" i="11"/>
  <c r="P333" i="11"/>
  <c r="T334" i="11"/>
  <c r="W334" i="11" s="1"/>
  <c r="U334" i="11"/>
  <c r="U333" i="11"/>
  <c r="V333" i="11"/>
  <c r="V334" i="11"/>
  <c r="T333" i="11"/>
  <c r="E91" i="34"/>
  <c r="E201" i="34" s="1"/>
  <c r="E71" i="35"/>
  <c r="E179" i="35" s="1"/>
  <c r="E61" i="35"/>
  <c r="E169" i="35" s="1"/>
  <c r="G175" i="11"/>
  <c r="F10" i="34"/>
  <c r="F10" i="36" s="1"/>
  <c r="C35" i="34"/>
  <c r="C43" i="34" s="1"/>
  <c r="C51" i="34" s="1"/>
  <c r="C59" i="34" s="1"/>
  <c r="F67" i="19"/>
  <c r="J67" i="19" s="1"/>
  <c r="D123" i="19" s="1"/>
  <c r="E123" i="19" s="1"/>
  <c r="D118" i="19"/>
  <c r="E118" i="19" s="1"/>
  <c r="D116" i="19"/>
  <c r="E116" i="19" s="1"/>
  <c r="J54" i="19"/>
  <c r="D115" i="19"/>
  <c r="E115" i="19" s="1"/>
  <c r="F7" i="35"/>
  <c r="F7" i="37" s="1"/>
  <c r="F11" i="34"/>
  <c r="F11" i="36" s="1"/>
  <c r="L81" i="35"/>
  <c r="L61" i="35"/>
  <c r="L71" i="35"/>
  <c r="R167" i="34"/>
  <c r="R71" i="34" s="1"/>
  <c r="Y157" i="35"/>
  <c r="Y71" i="35" s="1"/>
  <c r="R81" i="35"/>
  <c r="R71" i="35"/>
  <c r="R61" i="35"/>
  <c r="S61" i="35"/>
  <c r="S71" i="35"/>
  <c r="Z157" i="35"/>
  <c r="Z71" i="35" s="1"/>
  <c r="S81" i="35"/>
  <c r="G156" i="35"/>
  <c r="F81" i="35"/>
  <c r="F189" i="35" s="1"/>
  <c r="F71" i="35"/>
  <c r="F179" i="35" s="1"/>
  <c r="F61" i="35"/>
  <c r="F169" i="35" s="1"/>
  <c r="AB156" i="35"/>
  <c r="AA71" i="35"/>
  <c r="AA81" i="35"/>
  <c r="AA61" i="35"/>
  <c r="U156" i="35"/>
  <c r="T61" i="35"/>
  <c r="T81" i="35"/>
  <c r="T71" i="35"/>
  <c r="AI71" i="35"/>
  <c r="AJ156" i="35"/>
  <c r="AI61" i="35"/>
  <c r="AI81" i="35"/>
  <c r="AH71" i="35"/>
  <c r="AH81" i="35"/>
  <c r="AH61" i="35"/>
  <c r="N156" i="35"/>
  <c r="M61" i="35"/>
  <c r="M71" i="35"/>
  <c r="M81" i="35"/>
  <c r="E81" i="35"/>
  <c r="E189" i="35" s="1"/>
  <c r="E32" i="17"/>
  <c r="C31" i="17"/>
  <c r="C14" i="22" s="1"/>
  <c r="B31" i="17"/>
  <c r="B58" i="1"/>
  <c r="F8" i="34"/>
  <c r="F8" i="36" s="1"/>
  <c r="M18" i="32"/>
  <c r="L20" i="32"/>
  <c r="M6" i="32"/>
  <c r="M19" i="32"/>
  <c r="M15" i="32"/>
  <c r="Q24" i="32"/>
  <c r="Q30" i="32"/>
  <c r="Q23" i="32"/>
  <c r="Q29" i="32"/>
  <c r="Q42" i="32"/>
  <c r="P46" i="32"/>
  <c r="M29" i="32"/>
  <c r="M27" i="32"/>
  <c r="M38" i="32"/>
  <c r="M24" i="32"/>
  <c r="M44" i="32"/>
  <c r="M5" i="32"/>
  <c r="M12" i="32"/>
  <c r="L61" i="32"/>
  <c r="N45" i="32" s="1"/>
  <c r="M7" i="32"/>
  <c r="M30" i="32"/>
  <c r="M43" i="32"/>
  <c r="M23" i="32"/>
  <c r="M34" i="32"/>
  <c r="M40" i="32"/>
  <c r="J47" i="1"/>
  <c r="J41" i="11" s="1"/>
  <c r="F48" i="1"/>
  <c r="F56" i="1" s="1"/>
  <c r="J202" i="1"/>
  <c r="J175" i="11" s="1"/>
  <c r="I361" i="1"/>
  <c r="U361" i="1"/>
  <c r="I362" i="1"/>
  <c r="N361" i="1"/>
  <c r="Q361" i="1" s="1"/>
  <c r="D36" i="1"/>
  <c r="D43" i="11"/>
  <c r="G41" i="11"/>
  <c r="P361" i="1"/>
  <c r="J362" i="1"/>
  <c r="E56" i="1"/>
  <c r="D50" i="1"/>
  <c r="N41" i="32"/>
  <c r="Q19" i="32"/>
  <c r="M13" i="32"/>
  <c r="M9" i="32"/>
  <c r="M16" i="32"/>
  <c r="M14" i="32"/>
  <c r="M11" i="32"/>
  <c r="M4" i="32"/>
  <c r="M8" i="32"/>
  <c r="P61" i="32"/>
  <c r="R49" i="32" s="1"/>
  <c r="M10" i="32"/>
  <c r="Q36" i="32"/>
  <c r="Q39" i="32"/>
  <c r="Q25" i="32"/>
  <c r="Q27" i="32"/>
  <c r="Q38" i="32"/>
  <c r="Q41" i="32"/>
  <c r="Q43" i="32"/>
  <c r="Q51" i="32"/>
  <c r="O362" i="1"/>
  <c r="V362" i="1"/>
  <c r="H362" i="1"/>
  <c r="K362" i="1" s="1"/>
  <c r="P362" i="1"/>
  <c r="U362" i="1"/>
  <c r="T362" i="1"/>
  <c r="W362" i="1" s="1"/>
  <c r="F30" i="19"/>
  <c r="C578" i="11"/>
  <c r="G402" i="1"/>
  <c r="P402" i="1" s="1"/>
  <c r="G403" i="1"/>
  <c r="D29" i="1"/>
  <c r="D52" i="1"/>
  <c r="E176" i="11"/>
  <c r="J361" i="1"/>
  <c r="V361" i="1"/>
  <c r="T361" i="1"/>
  <c r="W361" i="1" s="1"/>
  <c r="D51" i="1"/>
  <c r="H361" i="1"/>
  <c r="K361" i="1" s="1"/>
  <c r="E112" i="19"/>
  <c r="S91" i="34"/>
  <c r="AC91" i="34"/>
  <c r="S81" i="34"/>
  <c r="E81" i="34"/>
  <c r="E191" i="34" s="1"/>
  <c r="V166" i="34"/>
  <c r="V91" i="34" s="1"/>
  <c r="U71" i="34"/>
  <c r="AC71" i="34"/>
  <c r="K81" i="34"/>
  <c r="K91" i="34"/>
  <c r="L81" i="34"/>
  <c r="T91" i="34"/>
  <c r="T71" i="34"/>
  <c r="AA167" i="34"/>
  <c r="T81" i="34"/>
  <c r="M71" i="34"/>
  <c r="N166" i="34"/>
  <c r="M81" i="34"/>
  <c r="M91" i="34"/>
  <c r="AI167" i="34"/>
  <c r="AI81" i="34" s="1"/>
  <c r="AB81" i="34"/>
  <c r="AB91" i="34"/>
  <c r="AB71" i="34"/>
  <c r="Z167" i="34"/>
  <c r="U81" i="34"/>
  <c r="AJ166" i="34"/>
  <c r="S71" i="34"/>
  <c r="U91" i="34"/>
  <c r="AC81" i="34"/>
  <c r="L91" i="34"/>
  <c r="F166" i="34"/>
  <c r="L71" i="34"/>
  <c r="F37" i="19"/>
  <c r="J39" i="19"/>
  <c r="J37" i="19" s="1"/>
  <c r="D114" i="19" s="1"/>
  <c r="J30" i="19"/>
  <c r="E117" i="19"/>
  <c r="E603" i="11"/>
  <c r="B10" i="45" l="1"/>
  <c r="E10" i="45" s="1"/>
  <c r="B7" i="45"/>
  <c r="E7" i="45" s="1"/>
  <c r="J121" i="11"/>
  <c r="J115" i="11"/>
  <c r="F489" i="11" s="1"/>
  <c r="G489" i="11" s="1"/>
  <c r="J107" i="11"/>
  <c r="F518" i="11" s="1"/>
  <c r="G518" i="11" s="1"/>
  <c r="J100" i="11"/>
  <c r="J118" i="11"/>
  <c r="J119" i="11" s="1"/>
  <c r="J102" i="11"/>
  <c r="F486" i="11" s="1"/>
  <c r="G486" i="11" s="1"/>
  <c r="J124" i="11"/>
  <c r="F520" i="11" s="1"/>
  <c r="G520" i="11" s="1"/>
  <c r="J108" i="11"/>
  <c r="F519" i="11" s="1"/>
  <c r="G519" i="11" s="1"/>
  <c r="J120" i="11"/>
  <c r="J114" i="11"/>
  <c r="J104" i="11"/>
  <c r="J93" i="11"/>
  <c r="J125" i="11"/>
  <c r="F521" i="11" s="1"/>
  <c r="G521" i="11" s="1"/>
  <c r="J113" i="11"/>
  <c r="J95" i="11"/>
  <c r="J116" i="11"/>
  <c r="F490" i="11" s="1"/>
  <c r="G490" i="11" s="1"/>
  <c r="J101" i="11"/>
  <c r="F485" i="11" s="1"/>
  <c r="G485" i="11" s="1"/>
  <c r="J94" i="11"/>
  <c r="J96" i="11"/>
  <c r="J105" i="11"/>
  <c r="J111" i="11"/>
  <c r="F445" i="11" s="1"/>
  <c r="G445" i="11" s="1"/>
  <c r="J112" i="11"/>
  <c r="F459" i="11" s="1"/>
  <c r="G459" i="11" s="1"/>
  <c r="F99" i="11"/>
  <c r="J99" i="11" s="1"/>
  <c r="F458" i="11" s="1"/>
  <c r="J98" i="11"/>
  <c r="F444" i="11" s="1"/>
  <c r="B9" i="45"/>
  <c r="E9" i="45" s="1"/>
  <c r="B8" i="45"/>
  <c r="E8" i="45" s="1"/>
  <c r="D30" i="17"/>
  <c r="Q30" i="17"/>
  <c r="B13" i="22"/>
  <c r="G210" i="40"/>
  <c r="D606" i="11"/>
  <c r="F69" i="11" s="1"/>
  <c r="E606" i="11"/>
  <c r="J69" i="11" s="1"/>
  <c r="E607" i="11"/>
  <c r="J70" i="11" s="1"/>
  <c r="D607" i="11"/>
  <c r="J134" i="1"/>
  <c r="F474" i="1" s="1"/>
  <c r="G474" i="1" s="1"/>
  <c r="H474" i="1" s="1"/>
  <c r="F486" i="1"/>
  <c r="G486" i="1" s="1"/>
  <c r="J131" i="1"/>
  <c r="F473" i="1" s="1"/>
  <c r="G473" i="1" s="1"/>
  <c r="F485" i="1"/>
  <c r="F106" i="1"/>
  <c r="F100" i="1"/>
  <c r="N401" i="1"/>
  <c r="Q401" i="1" s="1"/>
  <c r="O401" i="1"/>
  <c r="P401" i="1"/>
  <c r="T401" i="1"/>
  <c r="W401" i="1" s="1"/>
  <c r="H401" i="1"/>
  <c r="K401" i="1" s="1"/>
  <c r="U401" i="1"/>
  <c r="Y401" i="1" s="1"/>
  <c r="E48" i="43"/>
  <c r="J8" i="43"/>
  <c r="E8" i="44" s="1"/>
  <c r="J10" i="43"/>
  <c r="E10" i="44" s="1"/>
  <c r="J9" i="43"/>
  <c r="E9" i="44" s="1"/>
  <c r="J7" i="43"/>
  <c r="E7" i="44" s="1"/>
  <c r="J91" i="11"/>
  <c r="H208" i="40"/>
  <c r="U208" i="40"/>
  <c r="O208" i="40"/>
  <c r="J208" i="40"/>
  <c r="P208" i="40"/>
  <c r="T208" i="40"/>
  <c r="I208" i="40"/>
  <c r="N208" i="40"/>
  <c r="V208" i="40"/>
  <c r="I401" i="1"/>
  <c r="N209" i="40"/>
  <c r="Q209" i="40" s="1"/>
  <c r="V209" i="40"/>
  <c r="T209" i="40"/>
  <c r="W209" i="40" s="1"/>
  <c r="H209" i="40"/>
  <c r="K209" i="40" s="1"/>
  <c r="P209" i="40"/>
  <c r="J209" i="40"/>
  <c r="I209" i="40"/>
  <c r="O209" i="40"/>
  <c r="U209" i="40"/>
  <c r="J401" i="1"/>
  <c r="V512" i="1"/>
  <c r="H512" i="1"/>
  <c r="K512" i="1" s="1"/>
  <c r="J512" i="1"/>
  <c r="N512" i="1"/>
  <c r="Q512" i="1" s="1"/>
  <c r="I512" i="1"/>
  <c r="P512" i="1"/>
  <c r="U512" i="1"/>
  <c r="O512" i="1"/>
  <c r="R512" i="1" s="1"/>
  <c r="T512" i="1"/>
  <c r="W512" i="1" s="1"/>
  <c r="H511" i="1"/>
  <c r="K511" i="1" s="1"/>
  <c r="I511" i="1"/>
  <c r="O511" i="1"/>
  <c r="U511" i="1"/>
  <c r="V511" i="1"/>
  <c r="T511" i="1"/>
  <c r="W511" i="1" s="1"/>
  <c r="N511" i="1"/>
  <c r="Q511" i="1" s="1"/>
  <c r="P511" i="1"/>
  <c r="J511" i="1"/>
  <c r="I510" i="1"/>
  <c r="H510" i="1"/>
  <c r="K510" i="1" s="1"/>
  <c r="P510" i="1"/>
  <c r="N510" i="1"/>
  <c r="Q510" i="1" s="1"/>
  <c r="T510" i="1"/>
  <c r="W510" i="1" s="1"/>
  <c r="J510" i="1"/>
  <c r="O510" i="1"/>
  <c r="V510" i="1"/>
  <c r="U510" i="1"/>
  <c r="U509" i="1"/>
  <c r="H509" i="1"/>
  <c r="N509" i="1"/>
  <c r="O509" i="1"/>
  <c r="P509" i="1"/>
  <c r="V509" i="1"/>
  <c r="T509" i="1"/>
  <c r="I509" i="1"/>
  <c r="J509" i="1"/>
  <c r="O539" i="1"/>
  <c r="I539" i="1"/>
  <c r="T539" i="1"/>
  <c r="W539" i="1" s="1"/>
  <c r="V539" i="1"/>
  <c r="H539" i="1"/>
  <c r="K539" i="1" s="1"/>
  <c r="N539" i="1"/>
  <c r="Q539" i="1" s="1"/>
  <c r="J539" i="1"/>
  <c r="U539" i="1"/>
  <c r="P539" i="1"/>
  <c r="S539" i="1" s="1"/>
  <c r="I538" i="1"/>
  <c r="O538" i="1"/>
  <c r="V538" i="1"/>
  <c r="P538" i="1"/>
  <c r="N538" i="1"/>
  <c r="Q538" i="1" s="1"/>
  <c r="U538" i="1"/>
  <c r="H538" i="1"/>
  <c r="K538" i="1" s="1"/>
  <c r="J538" i="1"/>
  <c r="T538" i="1"/>
  <c r="W538" i="1" s="1"/>
  <c r="N540" i="1"/>
  <c r="Q540" i="1" s="1"/>
  <c r="J540" i="1"/>
  <c r="U540" i="1"/>
  <c r="T540" i="1"/>
  <c r="W540" i="1" s="1"/>
  <c r="O540" i="1"/>
  <c r="I540" i="1"/>
  <c r="P540" i="1"/>
  <c r="H540" i="1"/>
  <c r="K540" i="1" s="1"/>
  <c r="V540" i="1"/>
  <c r="G426" i="11"/>
  <c r="G427" i="11"/>
  <c r="F113" i="11"/>
  <c r="F14" i="34"/>
  <c r="F14" i="36" s="1"/>
  <c r="D572" i="11"/>
  <c r="F572" i="11" s="1"/>
  <c r="D54" i="35"/>
  <c r="K10" i="35" s="1"/>
  <c r="D45" i="35"/>
  <c r="I9" i="35" s="1"/>
  <c r="H9" i="37" s="1"/>
  <c r="D43" i="35"/>
  <c r="I7" i="35" s="1"/>
  <c r="H7" i="37" s="1"/>
  <c r="D571" i="11"/>
  <c r="F571" i="11" s="1"/>
  <c r="D42" i="35"/>
  <c r="I6" i="35" s="1"/>
  <c r="H6" i="37" s="1"/>
  <c r="D49" i="35"/>
  <c r="D46" i="35"/>
  <c r="I10" i="35" s="1"/>
  <c r="H10" i="37" s="1"/>
  <c r="D44" i="35"/>
  <c r="I8" i="35" s="1"/>
  <c r="H8" i="37" s="1"/>
  <c r="X334" i="11"/>
  <c r="D41" i="35"/>
  <c r="F63" i="19"/>
  <c r="J63" i="19" s="1"/>
  <c r="D121" i="19" s="1"/>
  <c r="E121" i="19" s="1"/>
  <c r="M121" i="19" s="1"/>
  <c r="F65" i="19"/>
  <c r="J65" i="19" s="1"/>
  <c r="D122" i="19" s="1"/>
  <c r="E122" i="19" s="1"/>
  <c r="H122" i="19" s="1"/>
  <c r="R362" i="1"/>
  <c r="F331" i="1"/>
  <c r="G331" i="1" s="1"/>
  <c r="F303" i="11"/>
  <c r="F61" i="19"/>
  <c r="J61" i="19" s="1"/>
  <c r="D120" i="19" s="1"/>
  <c r="E120" i="19" s="1"/>
  <c r="F120" i="19" s="1"/>
  <c r="I120" i="19" s="1"/>
  <c r="Q364" i="1"/>
  <c r="D27" i="18"/>
  <c r="D29" i="18" s="1"/>
  <c r="D41" i="18" s="1"/>
  <c r="B29" i="18"/>
  <c r="B41" i="18" s="1"/>
  <c r="B27" i="18"/>
  <c r="D31" i="17"/>
  <c r="S31" i="17" s="1"/>
  <c r="B14" i="22"/>
  <c r="R334" i="11"/>
  <c r="U30" i="17"/>
  <c r="S29" i="17"/>
  <c r="S30" i="17"/>
  <c r="M334" i="11"/>
  <c r="D11" i="22"/>
  <c r="C10" i="21"/>
  <c r="D11" i="21"/>
  <c r="B10" i="21"/>
  <c r="C27" i="18"/>
  <c r="C29" i="18" s="1"/>
  <c r="C41" i="18" s="1"/>
  <c r="Y334" i="11"/>
  <c r="S333" i="11"/>
  <c r="P336" i="11"/>
  <c r="N336" i="11"/>
  <c r="Q333" i="11"/>
  <c r="Q336" i="11" s="1"/>
  <c r="S334" i="11"/>
  <c r="O336" i="11"/>
  <c r="R333" i="11"/>
  <c r="I336" i="11"/>
  <c r="L333" i="11"/>
  <c r="S361" i="1"/>
  <c r="X333" i="11"/>
  <c r="U336" i="11"/>
  <c r="W333" i="11"/>
  <c r="W336" i="11" s="1"/>
  <c r="T336" i="11"/>
  <c r="V336" i="11"/>
  <c r="Y333" i="11"/>
  <c r="H336" i="11"/>
  <c r="K333" i="11"/>
  <c r="K336" i="11" s="1"/>
  <c r="M333" i="11"/>
  <c r="J336" i="11"/>
  <c r="L334" i="11"/>
  <c r="F59" i="19"/>
  <c r="J59" i="19" s="1"/>
  <c r="D119" i="19" s="1"/>
  <c r="E119" i="19" s="1"/>
  <c r="L119" i="19" s="1"/>
  <c r="O119" i="19" s="1"/>
  <c r="F8" i="38"/>
  <c r="E114" i="19"/>
  <c r="M114" i="19" s="1"/>
  <c r="D113" i="19"/>
  <c r="E113" i="19" s="1"/>
  <c r="N113" i="19" s="1"/>
  <c r="F9" i="38"/>
  <c r="R91" i="34"/>
  <c r="AI71" i="34"/>
  <c r="Y167" i="34"/>
  <c r="AF167" i="34" s="1"/>
  <c r="R81" i="34"/>
  <c r="Y81" i="35"/>
  <c r="Y61" i="35"/>
  <c r="F382" i="11"/>
  <c r="F42" i="11"/>
  <c r="C36" i="34"/>
  <c r="C44" i="34" s="1"/>
  <c r="C52" i="34" s="1"/>
  <c r="C60" i="34" s="1"/>
  <c r="F116" i="19"/>
  <c r="I116" i="19" s="1"/>
  <c r="H116" i="19"/>
  <c r="R116" i="19"/>
  <c r="U116" i="19" s="1"/>
  <c r="N118" i="19"/>
  <c r="G118" i="19"/>
  <c r="T118" i="19"/>
  <c r="M118" i="19"/>
  <c r="L116" i="19"/>
  <c r="O116" i="19" s="1"/>
  <c r="G116" i="19"/>
  <c r="J116" i="19" s="1"/>
  <c r="F118" i="19"/>
  <c r="I118" i="19" s="1"/>
  <c r="L118" i="19"/>
  <c r="O118" i="19" s="1"/>
  <c r="H118" i="19"/>
  <c r="S118" i="19"/>
  <c r="N116" i="19"/>
  <c r="S116" i="19"/>
  <c r="V116" i="19" s="1"/>
  <c r="R118" i="19"/>
  <c r="U118" i="19" s="1"/>
  <c r="M116" i="19"/>
  <c r="T116" i="19"/>
  <c r="AI91" i="34"/>
  <c r="AF157" i="35"/>
  <c r="AF71" i="35" s="1"/>
  <c r="AG157" i="35"/>
  <c r="Z61" i="35"/>
  <c r="Z81" i="35"/>
  <c r="U61" i="35"/>
  <c r="V156" i="35"/>
  <c r="U71" i="35"/>
  <c r="U81" i="35"/>
  <c r="O156" i="35"/>
  <c r="N81" i="35"/>
  <c r="N71" i="35"/>
  <c r="N61" i="35"/>
  <c r="AJ81" i="35"/>
  <c r="AJ61" i="35"/>
  <c r="AJ71" i="35"/>
  <c r="AC156" i="35"/>
  <c r="AB61" i="35"/>
  <c r="AB81" i="35"/>
  <c r="AB71" i="35"/>
  <c r="G81" i="35"/>
  <c r="G189" i="35" s="1"/>
  <c r="G61" i="35"/>
  <c r="G169" i="35" s="1"/>
  <c r="H156" i="35"/>
  <c r="G71" i="35"/>
  <c r="G179" i="35" s="1"/>
  <c r="N31" i="17"/>
  <c r="R31" i="17"/>
  <c r="F31" i="17"/>
  <c r="U31" i="17" s="1"/>
  <c r="K31" i="17"/>
  <c r="Q31" i="17"/>
  <c r="C32" i="17"/>
  <c r="C15" i="22" s="1"/>
  <c r="B32" i="17"/>
  <c r="B15" i="22" s="1"/>
  <c r="E33" i="17"/>
  <c r="N33" i="32"/>
  <c r="N12" i="32"/>
  <c r="N59" i="32"/>
  <c r="N43" i="32"/>
  <c r="N40" i="32"/>
  <c r="N26" i="32"/>
  <c r="N15" i="32"/>
  <c r="N32" i="32"/>
  <c r="N56" i="32"/>
  <c r="N5" i="32"/>
  <c r="N16" i="32"/>
  <c r="N34" i="32"/>
  <c r="N19" i="32"/>
  <c r="N61" i="32" s="1"/>
  <c r="N37" i="32"/>
  <c r="N10" i="32"/>
  <c r="N39" i="32"/>
  <c r="N23" i="32"/>
  <c r="N30" i="32"/>
  <c r="N7" i="32"/>
  <c r="N6" i="32"/>
  <c r="N38" i="32"/>
  <c r="N36" i="32"/>
  <c r="N29" i="32"/>
  <c r="N9" i="32"/>
  <c r="N11" i="32"/>
  <c r="N28" i="32"/>
  <c r="N27" i="32"/>
  <c r="N44" i="32"/>
  <c r="N35" i="32"/>
  <c r="N13" i="32"/>
  <c r="N14" i="32"/>
  <c r="N4" i="32"/>
  <c r="N24" i="32"/>
  <c r="N18" i="32"/>
  <c r="L62" i="32"/>
  <c r="N42" i="32"/>
  <c r="N8" i="32"/>
  <c r="N25" i="32"/>
  <c r="N31" i="32"/>
  <c r="R51" i="32"/>
  <c r="Q45" i="32"/>
  <c r="R361" i="1"/>
  <c r="M362" i="1"/>
  <c r="P364" i="1"/>
  <c r="Y361" i="1"/>
  <c r="U364" i="1"/>
  <c r="N364" i="1"/>
  <c r="L362" i="1"/>
  <c r="D37" i="1"/>
  <c r="D59" i="1"/>
  <c r="D85" i="1" s="1"/>
  <c r="J364" i="1"/>
  <c r="D44" i="11"/>
  <c r="Y362" i="1"/>
  <c r="O364" i="1"/>
  <c r="S362" i="1"/>
  <c r="M361" i="1"/>
  <c r="X362" i="1"/>
  <c r="R34" i="32"/>
  <c r="R7" i="32"/>
  <c r="R32" i="32"/>
  <c r="R36" i="32"/>
  <c r="R6" i="32"/>
  <c r="R27" i="32"/>
  <c r="R59" i="32"/>
  <c r="R10" i="32"/>
  <c r="R16" i="32"/>
  <c r="R8" i="32"/>
  <c r="R25" i="32"/>
  <c r="P62" i="32"/>
  <c r="B8" i="33" s="1"/>
  <c r="R29" i="32"/>
  <c r="R44" i="32"/>
  <c r="R19" i="32"/>
  <c r="R23" i="32"/>
  <c r="R35" i="32"/>
  <c r="R39" i="32"/>
  <c r="R33" i="32"/>
  <c r="R5" i="32"/>
  <c r="R28" i="32"/>
  <c r="R43" i="32"/>
  <c r="R11" i="32"/>
  <c r="R30" i="32"/>
  <c r="R18" i="32"/>
  <c r="R38" i="32"/>
  <c r="R26" i="32"/>
  <c r="R4" i="32"/>
  <c r="R40" i="32"/>
  <c r="R52" i="32"/>
  <c r="R42" i="32"/>
  <c r="R41" i="32"/>
  <c r="R31" i="32"/>
  <c r="R50" i="32"/>
  <c r="R13" i="32"/>
  <c r="R24" i="32"/>
  <c r="R9" i="32"/>
  <c r="R45" i="32"/>
  <c r="R56" i="32"/>
  <c r="R14" i="32"/>
  <c r="R37" i="32"/>
  <c r="R12" i="32"/>
  <c r="R15" i="32"/>
  <c r="H364" i="1"/>
  <c r="O402" i="1"/>
  <c r="S402" i="1" s="1"/>
  <c r="F450" i="1"/>
  <c r="G450" i="1" s="1"/>
  <c r="U450" i="1" s="1"/>
  <c r="T402" i="1"/>
  <c r="W402" i="1" s="1"/>
  <c r="V364" i="1"/>
  <c r="W364" i="1"/>
  <c r="I364" i="1"/>
  <c r="I402" i="1"/>
  <c r="V402" i="1"/>
  <c r="U402" i="1"/>
  <c r="X361" i="1"/>
  <c r="J403" i="1"/>
  <c r="P403" i="1"/>
  <c r="T403" i="1"/>
  <c r="N403" i="1"/>
  <c r="I403" i="1"/>
  <c r="U403" i="1"/>
  <c r="V403" i="1"/>
  <c r="O403" i="1"/>
  <c r="H403" i="1"/>
  <c r="J402" i="1"/>
  <c r="H402" i="1"/>
  <c r="N402" i="1"/>
  <c r="Q402" i="1" s="1"/>
  <c r="C37" i="34"/>
  <c r="C45" i="34" s="1"/>
  <c r="C53" i="34" s="1"/>
  <c r="C61" i="34" s="1"/>
  <c r="D45" i="11"/>
  <c r="D30" i="1"/>
  <c r="D54" i="1" s="1"/>
  <c r="D53" i="1"/>
  <c r="L361" i="1"/>
  <c r="C38" i="34"/>
  <c r="C46" i="34" s="1"/>
  <c r="C54" i="34" s="1"/>
  <c r="C62" i="34" s="1"/>
  <c r="D46" i="11"/>
  <c r="T364" i="1"/>
  <c r="K364" i="1"/>
  <c r="J95" i="1"/>
  <c r="F146" i="1" s="1"/>
  <c r="F147" i="1" s="1"/>
  <c r="F449" i="1"/>
  <c r="G449" i="1" s="1"/>
  <c r="O449" i="1" s="1"/>
  <c r="J101" i="1"/>
  <c r="F148" i="1" s="1"/>
  <c r="F149" i="1" s="1"/>
  <c r="V71" i="34"/>
  <c r="V81" i="34"/>
  <c r="AH167" i="34"/>
  <c r="AA91" i="34"/>
  <c r="AA81" i="34"/>
  <c r="AA71" i="34"/>
  <c r="AG167" i="34"/>
  <c r="Z91" i="34"/>
  <c r="Z71" i="34"/>
  <c r="Z81" i="34"/>
  <c r="N81" i="34"/>
  <c r="O166" i="34"/>
  <c r="N91" i="34"/>
  <c r="N71" i="34"/>
  <c r="F81" i="34"/>
  <c r="F191" i="34" s="1"/>
  <c r="F71" i="34"/>
  <c r="F181" i="34" s="1"/>
  <c r="F91" i="34"/>
  <c r="F201" i="34" s="1"/>
  <c r="G166" i="34"/>
  <c r="AJ71" i="34"/>
  <c r="AJ91" i="34"/>
  <c r="AJ81" i="34"/>
  <c r="S123" i="19"/>
  <c r="R123" i="19"/>
  <c r="U123" i="19" s="1"/>
  <c r="N123" i="19"/>
  <c r="L123" i="19"/>
  <c r="O123" i="19" s="1"/>
  <c r="M123" i="19"/>
  <c r="F123" i="19"/>
  <c r="I123" i="19" s="1"/>
  <c r="G123" i="19"/>
  <c r="H123" i="19"/>
  <c r="T123" i="19"/>
  <c r="L115" i="19"/>
  <c r="O115" i="19" s="1"/>
  <c r="H115" i="19"/>
  <c r="F115" i="19"/>
  <c r="I115" i="19" s="1"/>
  <c r="M115" i="19"/>
  <c r="S115" i="19"/>
  <c r="R115" i="19"/>
  <c r="U115" i="19" s="1"/>
  <c r="G115" i="19"/>
  <c r="T115" i="19"/>
  <c r="N115" i="19"/>
  <c r="F117" i="19"/>
  <c r="I117" i="19" s="1"/>
  <c r="S117" i="19"/>
  <c r="M117" i="19"/>
  <c r="T117" i="19"/>
  <c r="N117" i="19"/>
  <c r="R117" i="19"/>
  <c r="U117" i="19" s="1"/>
  <c r="L117" i="19"/>
  <c r="O117" i="19" s="1"/>
  <c r="G117" i="19"/>
  <c r="H117" i="19"/>
  <c r="R112" i="19"/>
  <c r="N112" i="19"/>
  <c r="G112" i="19"/>
  <c r="L112" i="19"/>
  <c r="T112" i="19"/>
  <c r="M112" i="19"/>
  <c r="S112" i="19"/>
  <c r="F112" i="19"/>
  <c r="H112" i="19"/>
  <c r="E612" i="11"/>
  <c r="J115" i="19" l="1"/>
  <c r="E49" i="35"/>
  <c r="K5" i="35"/>
  <c r="J123" i="11"/>
  <c r="G444" i="11"/>
  <c r="T444" i="11" s="1"/>
  <c r="G458" i="11"/>
  <c r="H458" i="11" s="1"/>
  <c r="K458" i="11" s="1"/>
  <c r="J122" i="11"/>
  <c r="F59" i="11"/>
  <c r="J59" i="11" s="1"/>
  <c r="J117" i="11"/>
  <c r="F488" i="11"/>
  <c r="G488" i="11" s="1"/>
  <c r="V488" i="11" s="1"/>
  <c r="J103" i="11"/>
  <c r="F484" i="11"/>
  <c r="G484" i="11" s="1"/>
  <c r="N484" i="11" s="1"/>
  <c r="Q484" i="11" s="1"/>
  <c r="X510" i="1"/>
  <c r="T210" i="40"/>
  <c r="U210" i="40"/>
  <c r="N210" i="40"/>
  <c r="J210" i="40"/>
  <c r="I210" i="40"/>
  <c r="O210" i="40"/>
  <c r="V210" i="40"/>
  <c r="P210" i="40"/>
  <c r="H210" i="40"/>
  <c r="J109" i="11"/>
  <c r="G485" i="1"/>
  <c r="T485" i="1" s="1"/>
  <c r="W485" i="1" s="1"/>
  <c r="J459" i="11"/>
  <c r="P459" i="11"/>
  <c r="H459" i="11"/>
  <c r="K459" i="11" s="1"/>
  <c r="V459" i="11"/>
  <c r="I459" i="11"/>
  <c r="N459" i="11"/>
  <c r="Q459" i="11" s="1"/>
  <c r="T459" i="11"/>
  <c r="W459" i="11" s="1"/>
  <c r="O459" i="11"/>
  <c r="U459" i="11"/>
  <c r="J126" i="11"/>
  <c r="U486" i="1"/>
  <c r="P486" i="1"/>
  <c r="N486" i="1"/>
  <c r="Q486" i="1" s="1"/>
  <c r="O486" i="1"/>
  <c r="T486" i="1"/>
  <c r="W486" i="1" s="1"/>
  <c r="I486" i="1"/>
  <c r="H486" i="1"/>
  <c r="K486" i="1" s="1"/>
  <c r="J486" i="1"/>
  <c r="V486" i="1"/>
  <c r="Y486" i="1" s="1"/>
  <c r="R540" i="1"/>
  <c r="D50" i="35"/>
  <c r="J146" i="1"/>
  <c r="J147" i="1" s="1"/>
  <c r="F524" i="1" s="1"/>
  <c r="G524" i="1" s="1"/>
  <c r="J100" i="1"/>
  <c r="F12" i="34" s="1"/>
  <c r="F12" i="36" s="1"/>
  <c r="J148" i="1"/>
  <c r="J106" i="1"/>
  <c r="F13" i="34" s="1"/>
  <c r="F13" i="36" s="1"/>
  <c r="F70" i="11"/>
  <c r="F414" i="11"/>
  <c r="F402" i="11" s="1"/>
  <c r="G402" i="11" s="1"/>
  <c r="R401" i="1"/>
  <c r="X401" i="1"/>
  <c r="S401" i="1"/>
  <c r="L401" i="1"/>
  <c r="O474" i="1"/>
  <c r="U474" i="1"/>
  <c r="N474" i="1"/>
  <c r="Q474" i="1" s="1"/>
  <c r="P474" i="1"/>
  <c r="I5" i="35"/>
  <c r="H5" i="37" s="1"/>
  <c r="E41" i="35"/>
  <c r="M209" i="40"/>
  <c r="Y209" i="40"/>
  <c r="X209" i="40"/>
  <c r="R209" i="40"/>
  <c r="J6" i="43"/>
  <c r="E6" i="44" s="1"/>
  <c r="J5" i="43"/>
  <c r="E5" i="44" s="1"/>
  <c r="F5" i="44"/>
  <c r="E49" i="43"/>
  <c r="E50" i="43" s="1"/>
  <c r="E51" i="43" s="1"/>
  <c r="E52" i="43" s="1"/>
  <c r="E53" i="43" s="1"/>
  <c r="C439" i="11"/>
  <c r="W208" i="40"/>
  <c r="W210" i="40" s="1"/>
  <c r="T474" i="1"/>
  <c r="I474" i="1"/>
  <c r="L474" i="1" s="1"/>
  <c r="M401" i="1"/>
  <c r="L209" i="40"/>
  <c r="Y208" i="40"/>
  <c r="S208" i="40"/>
  <c r="X208" i="40"/>
  <c r="Q208" i="40"/>
  <c r="Q210" i="40" s="1"/>
  <c r="M208" i="40"/>
  <c r="K208" i="40"/>
  <c r="K210" i="40" s="1"/>
  <c r="V474" i="1"/>
  <c r="J474" i="1"/>
  <c r="S209" i="40"/>
  <c r="L208" i="40"/>
  <c r="R208" i="40"/>
  <c r="L511" i="1"/>
  <c r="K474" i="1"/>
  <c r="L512" i="1"/>
  <c r="I489" i="11"/>
  <c r="T489" i="11"/>
  <c r="W489" i="11" s="1"/>
  <c r="H489" i="11"/>
  <c r="K489" i="11" s="1"/>
  <c r="O489" i="11"/>
  <c r="P489" i="11"/>
  <c r="J489" i="11"/>
  <c r="V489" i="11"/>
  <c r="N489" i="11"/>
  <c r="Q489" i="11" s="1"/>
  <c r="U489" i="11"/>
  <c r="I485" i="11"/>
  <c r="H485" i="11"/>
  <c r="K485" i="11" s="1"/>
  <c r="P485" i="11"/>
  <c r="J485" i="11"/>
  <c r="T485" i="11"/>
  <c r="W485" i="11" s="1"/>
  <c r="V485" i="11"/>
  <c r="O485" i="11"/>
  <c r="N485" i="11"/>
  <c r="Q485" i="11" s="1"/>
  <c r="U485" i="11"/>
  <c r="J490" i="11"/>
  <c r="O490" i="11"/>
  <c r="P490" i="11"/>
  <c r="T490" i="11"/>
  <c r="W490" i="11" s="1"/>
  <c r="U490" i="11"/>
  <c r="H490" i="11"/>
  <c r="K490" i="11" s="1"/>
  <c r="I490" i="11"/>
  <c r="V490" i="11"/>
  <c r="N490" i="11"/>
  <c r="Q490" i="11" s="1"/>
  <c r="H486" i="11"/>
  <c r="K486" i="11" s="1"/>
  <c r="I486" i="11"/>
  <c r="U486" i="11"/>
  <c r="O486" i="11"/>
  <c r="V486" i="11"/>
  <c r="T486" i="11"/>
  <c r="W486" i="11" s="1"/>
  <c r="N486" i="11"/>
  <c r="Q486" i="11" s="1"/>
  <c r="P486" i="11"/>
  <c r="J486" i="11"/>
  <c r="F385" i="11"/>
  <c r="G385" i="11" s="1"/>
  <c r="X512" i="1"/>
  <c r="Y510" i="1"/>
  <c r="M511" i="1"/>
  <c r="Y511" i="1"/>
  <c r="Y538" i="1"/>
  <c r="X539" i="1"/>
  <c r="M510" i="1"/>
  <c r="M509" i="1"/>
  <c r="R511" i="1"/>
  <c r="L509" i="1"/>
  <c r="R509" i="1"/>
  <c r="L510" i="1"/>
  <c r="M512" i="1"/>
  <c r="X509" i="1"/>
  <c r="W509" i="1"/>
  <c r="Q509" i="1"/>
  <c r="S512" i="1"/>
  <c r="S509" i="1"/>
  <c r="Y509" i="1"/>
  <c r="K509" i="1"/>
  <c r="R510" i="1"/>
  <c r="S510" i="1"/>
  <c r="S511" i="1"/>
  <c r="X511" i="1"/>
  <c r="Y512" i="1"/>
  <c r="Y540" i="1"/>
  <c r="S540" i="1"/>
  <c r="S538" i="1"/>
  <c r="L540" i="1"/>
  <c r="M540" i="1"/>
  <c r="Y539" i="1"/>
  <c r="X538" i="1"/>
  <c r="R538" i="1"/>
  <c r="L538" i="1"/>
  <c r="M539" i="1"/>
  <c r="L539" i="1"/>
  <c r="X540" i="1"/>
  <c r="M538" i="1"/>
  <c r="R539" i="1"/>
  <c r="U473" i="1"/>
  <c r="P473" i="1"/>
  <c r="V473" i="1"/>
  <c r="T473" i="1"/>
  <c r="I473" i="1"/>
  <c r="O473" i="1"/>
  <c r="J473" i="1"/>
  <c r="H473" i="1"/>
  <c r="N473" i="1"/>
  <c r="V520" i="11"/>
  <c r="H520" i="11"/>
  <c r="P520" i="11"/>
  <c r="N520" i="11"/>
  <c r="O520" i="11"/>
  <c r="T520" i="11"/>
  <c r="U520" i="11"/>
  <c r="I520" i="11"/>
  <c r="J520" i="11"/>
  <c r="U518" i="11"/>
  <c r="H518" i="11"/>
  <c r="N518" i="11"/>
  <c r="J518" i="11"/>
  <c r="T518" i="11"/>
  <c r="O518" i="11"/>
  <c r="P518" i="11"/>
  <c r="V518" i="11"/>
  <c r="I518" i="11"/>
  <c r="U427" i="11"/>
  <c r="P427" i="11"/>
  <c r="V427" i="11"/>
  <c r="T427" i="11"/>
  <c r="W427" i="11" s="1"/>
  <c r="O427" i="11"/>
  <c r="J427" i="11"/>
  <c r="H427" i="11"/>
  <c r="K427" i="11" s="1"/>
  <c r="N427" i="11"/>
  <c r="Q427" i="11" s="1"/>
  <c r="I427" i="11"/>
  <c r="T519" i="11"/>
  <c r="W519" i="11" s="1"/>
  <c r="V519" i="11"/>
  <c r="N519" i="11"/>
  <c r="Q519" i="11" s="1"/>
  <c r="U519" i="11"/>
  <c r="H519" i="11"/>
  <c r="K519" i="11" s="1"/>
  <c r="J519" i="11"/>
  <c r="I519" i="11"/>
  <c r="O519" i="11"/>
  <c r="P519" i="11"/>
  <c r="U426" i="11"/>
  <c r="G428" i="11"/>
  <c r="P426" i="11"/>
  <c r="V426" i="11"/>
  <c r="T426" i="11"/>
  <c r="O426" i="11"/>
  <c r="J426" i="11"/>
  <c r="H426" i="11"/>
  <c r="N426" i="11"/>
  <c r="I426" i="11"/>
  <c r="I521" i="11"/>
  <c r="O521" i="11"/>
  <c r="P521" i="11"/>
  <c r="N521" i="11"/>
  <c r="Q521" i="11" s="1"/>
  <c r="U521" i="11"/>
  <c r="H521" i="11"/>
  <c r="K521" i="11" s="1"/>
  <c r="J521" i="11"/>
  <c r="T521" i="11"/>
  <c r="W521" i="11" s="1"/>
  <c r="V521" i="11"/>
  <c r="I445" i="11"/>
  <c r="O445" i="11"/>
  <c r="T445" i="11"/>
  <c r="W445" i="11" s="1"/>
  <c r="J445" i="11"/>
  <c r="P445" i="11"/>
  <c r="U445" i="11"/>
  <c r="V445" i="11"/>
  <c r="N445" i="11"/>
  <c r="Q445" i="11" s="1"/>
  <c r="H445" i="11"/>
  <c r="K445" i="11" s="1"/>
  <c r="G122" i="19"/>
  <c r="K122" i="19" s="1"/>
  <c r="J106" i="11"/>
  <c r="F114" i="19"/>
  <c r="I114" i="19" s="1"/>
  <c r="G114" i="19"/>
  <c r="D574" i="11"/>
  <c r="F574" i="11" s="1"/>
  <c r="W123" i="19"/>
  <c r="N119" i="19"/>
  <c r="D52" i="35"/>
  <c r="K8" i="35" s="1"/>
  <c r="D51" i="35"/>
  <c r="K7" i="35" s="1"/>
  <c r="D569" i="11"/>
  <c r="F569" i="11" s="1"/>
  <c r="D573" i="11"/>
  <c r="F573" i="11" s="1"/>
  <c r="D53" i="35"/>
  <c r="K9" i="35" s="1"/>
  <c r="D570" i="11"/>
  <c r="F570" i="11" s="1"/>
  <c r="S122" i="19"/>
  <c r="H120" i="19"/>
  <c r="T121" i="19"/>
  <c r="S121" i="19"/>
  <c r="F121" i="19"/>
  <c r="I121" i="19" s="1"/>
  <c r="N121" i="19"/>
  <c r="Q121" i="19" s="1"/>
  <c r="L121" i="19"/>
  <c r="O121" i="19" s="1"/>
  <c r="G121" i="19"/>
  <c r="H121" i="19"/>
  <c r="R121" i="19"/>
  <c r="U121" i="19" s="1"/>
  <c r="R336" i="11"/>
  <c r="R364" i="1"/>
  <c r="N122" i="19"/>
  <c r="T120" i="19"/>
  <c r="L122" i="19"/>
  <c r="O122" i="19" s="1"/>
  <c r="M122" i="19"/>
  <c r="T122" i="19"/>
  <c r="R122" i="19"/>
  <c r="U122" i="19" s="1"/>
  <c r="L120" i="19"/>
  <c r="O120" i="19" s="1"/>
  <c r="F122" i="19"/>
  <c r="I122" i="19" s="1"/>
  <c r="G120" i="19"/>
  <c r="J120" i="19" s="1"/>
  <c r="S113" i="19"/>
  <c r="J68" i="19"/>
  <c r="F119" i="19"/>
  <c r="I119" i="19" s="1"/>
  <c r="M119" i="19"/>
  <c r="P119" i="19" s="1"/>
  <c r="H119" i="19"/>
  <c r="T119" i="19"/>
  <c r="F41" i="18"/>
  <c r="C43" i="18"/>
  <c r="C45" i="18" s="1"/>
  <c r="G41" i="18"/>
  <c r="D43" i="18"/>
  <c r="D45" i="18" s="1"/>
  <c r="F332" i="1"/>
  <c r="G332" i="1" s="1"/>
  <c r="T332" i="1" s="1"/>
  <c r="W332" i="1" s="1"/>
  <c r="F304" i="11"/>
  <c r="G304" i="11" s="1"/>
  <c r="B11" i="21"/>
  <c r="D12" i="21"/>
  <c r="D12" i="22"/>
  <c r="C11" i="21"/>
  <c r="R120" i="19"/>
  <c r="U120" i="19" s="1"/>
  <c r="S120" i="19"/>
  <c r="S119" i="19"/>
  <c r="G119" i="19"/>
  <c r="N114" i="19"/>
  <c r="Q114" i="19" s="1"/>
  <c r="F334" i="1"/>
  <c r="G334" i="1" s="1"/>
  <c r="J334" i="1" s="1"/>
  <c r="F306" i="11"/>
  <c r="G306" i="11" s="1"/>
  <c r="L336" i="11"/>
  <c r="F10" i="38"/>
  <c r="F333" i="1"/>
  <c r="G333" i="1" s="1"/>
  <c r="N333" i="1" s="1"/>
  <c r="Q333" i="1" s="1"/>
  <c r="F305" i="11"/>
  <c r="G305" i="11" s="1"/>
  <c r="B43" i="18"/>
  <c r="B45" i="18" s="1"/>
  <c r="E41" i="18"/>
  <c r="P53" i="32" s="1"/>
  <c r="G303" i="11"/>
  <c r="M120" i="19"/>
  <c r="N120" i="19"/>
  <c r="R119" i="19"/>
  <c r="U119" i="19" s="1"/>
  <c r="T114" i="19"/>
  <c r="X336" i="11"/>
  <c r="S336" i="11"/>
  <c r="M336" i="11"/>
  <c r="Y336" i="11"/>
  <c r="S364" i="1"/>
  <c r="H113" i="19"/>
  <c r="R114" i="19"/>
  <c r="U114" i="19" s="1"/>
  <c r="L114" i="19"/>
  <c r="O114" i="19" s="1"/>
  <c r="S114" i="19"/>
  <c r="H114" i="19"/>
  <c r="R113" i="19"/>
  <c r="U113" i="19" s="1"/>
  <c r="U129" i="19" s="1"/>
  <c r="F113" i="19"/>
  <c r="I113" i="19" s="1"/>
  <c r="I129" i="19" s="1"/>
  <c r="T113" i="19"/>
  <c r="M113" i="19"/>
  <c r="L113" i="19"/>
  <c r="O113" i="19" s="1"/>
  <c r="O129" i="19" s="1"/>
  <c r="D124" i="19"/>
  <c r="E124" i="19" s="1"/>
  <c r="G113" i="19"/>
  <c r="Y91" i="34"/>
  <c r="Y81" i="34"/>
  <c r="Y71" i="34"/>
  <c r="AF61" i="35"/>
  <c r="AF81" i="35"/>
  <c r="F13" i="35"/>
  <c r="F13" i="37" s="1"/>
  <c r="F413" i="11"/>
  <c r="G382" i="11"/>
  <c r="K403" i="1"/>
  <c r="Q403" i="1"/>
  <c r="W403" i="1"/>
  <c r="K118" i="19"/>
  <c r="J118" i="19"/>
  <c r="Q118" i="19"/>
  <c r="P116" i="19"/>
  <c r="V118" i="19"/>
  <c r="K116" i="19"/>
  <c r="W118" i="19"/>
  <c r="Q116" i="19"/>
  <c r="P118" i="19"/>
  <c r="W116" i="19"/>
  <c r="J123" i="19"/>
  <c r="AG61" i="35"/>
  <c r="AG81" i="35"/>
  <c r="AG71" i="35"/>
  <c r="H81" i="35"/>
  <c r="H189" i="35" s="1"/>
  <c r="H61" i="35"/>
  <c r="H169" i="35" s="1"/>
  <c r="H71" i="35"/>
  <c r="H179" i="35" s="1"/>
  <c r="AC61" i="35"/>
  <c r="AC81" i="35"/>
  <c r="AC71" i="35"/>
  <c r="V71" i="35"/>
  <c r="V81" i="35"/>
  <c r="V61" i="35"/>
  <c r="O71" i="35"/>
  <c r="O61" i="35"/>
  <c r="O81" i="35"/>
  <c r="F32" i="17"/>
  <c r="U32" i="17" s="1"/>
  <c r="K32" i="17"/>
  <c r="Q32" i="17"/>
  <c r="N32" i="17"/>
  <c r="R32" i="17"/>
  <c r="E34" i="17"/>
  <c r="C33" i="17"/>
  <c r="B33" i="17"/>
  <c r="B16" i="22" s="1"/>
  <c r="D32" i="17"/>
  <c r="S32" i="17" s="1"/>
  <c r="N331" i="1"/>
  <c r="V331" i="1"/>
  <c r="H331" i="1"/>
  <c r="P331" i="1"/>
  <c r="U331" i="1"/>
  <c r="I331" i="1"/>
  <c r="O331" i="1"/>
  <c r="T331" i="1"/>
  <c r="J331" i="1"/>
  <c r="F18" i="32"/>
  <c r="G18" i="32"/>
  <c r="E18" i="32"/>
  <c r="G59" i="32"/>
  <c r="F59" i="32"/>
  <c r="E59" i="32"/>
  <c r="G14" i="32"/>
  <c r="F14" i="32"/>
  <c r="E14" i="32"/>
  <c r="G24" i="32"/>
  <c r="F24" i="32"/>
  <c r="E24" i="32"/>
  <c r="E41" i="32"/>
  <c r="G41" i="32"/>
  <c r="F41" i="32"/>
  <c r="G40" i="32"/>
  <c r="E40" i="32"/>
  <c r="F40" i="32"/>
  <c r="G28" i="32"/>
  <c r="E28" i="32"/>
  <c r="F28" i="32"/>
  <c r="E35" i="32"/>
  <c r="F35" i="32"/>
  <c r="G35" i="32"/>
  <c r="E29" i="32"/>
  <c r="G29" i="32"/>
  <c r="F29" i="32"/>
  <c r="E6" i="32"/>
  <c r="G6" i="32"/>
  <c r="F6" i="32"/>
  <c r="F34" i="32"/>
  <c r="G34" i="32"/>
  <c r="E34" i="32"/>
  <c r="F15" i="32"/>
  <c r="G15" i="32"/>
  <c r="E15" i="32"/>
  <c r="G13" i="32"/>
  <c r="F13" i="32"/>
  <c r="E13" i="32"/>
  <c r="G42" i="32"/>
  <c r="E42" i="32"/>
  <c r="F42" i="32"/>
  <c r="G4" i="32"/>
  <c r="F4" i="32"/>
  <c r="E4" i="32"/>
  <c r="E30" i="32"/>
  <c r="F30" i="32"/>
  <c r="G30" i="32"/>
  <c r="G5" i="32"/>
  <c r="E5" i="32"/>
  <c r="F5" i="32"/>
  <c r="F23" i="32"/>
  <c r="G23" i="32"/>
  <c r="E23" i="32"/>
  <c r="E10" i="32"/>
  <c r="G10" i="32"/>
  <c r="F10" i="32"/>
  <c r="G36" i="32"/>
  <c r="E36" i="32"/>
  <c r="F36" i="32"/>
  <c r="E37" i="32"/>
  <c r="G37" i="32"/>
  <c r="F37" i="32"/>
  <c r="G9" i="32"/>
  <c r="F9" i="32"/>
  <c r="E9" i="32"/>
  <c r="E31" i="32"/>
  <c r="F31" i="32"/>
  <c r="G31" i="32"/>
  <c r="G38" i="32"/>
  <c r="E38" i="32"/>
  <c r="F38" i="32"/>
  <c r="E43" i="32"/>
  <c r="F43" i="32"/>
  <c r="G43" i="32"/>
  <c r="E39" i="32"/>
  <c r="F39" i="32"/>
  <c r="G39" i="32"/>
  <c r="G44" i="32"/>
  <c r="E44" i="32"/>
  <c r="F44" i="32"/>
  <c r="E8" i="32"/>
  <c r="G8" i="32"/>
  <c r="F8" i="32"/>
  <c r="E27" i="32"/>
  <c r="F27" i="32"/>
  <c r="G27" i="32"/>
  <c r="G7" i="32"/>
  <c r="E7" i="32"/>
  <c r="F7" i="32"/>
  <c r="F12" i="32"/>
  <c r="G12" i="32"/>
  <c r="E12" i="32"/>
  <c r="G26" i="32"/>
  <c r="F26" i="32"/>
  <c r="E26" i="32"/>
  <c r="G11" i="32"/>
  <c r="E11" i="32"/>
  <c r="F11" i="32"/>
  <c r="E33" i="32"/>
  <c r="G33" i="32"/>
  <c r="F33" i="32"/>
  <c r="E25" i="32"/>
  <c r="G25" i="32"/>
  <c r="F25" i="32"/>
  <c r="G32" i="32"/>
  <c r="E32" i="32"/>
  <c r="F32" i="32"/>
  <c r="Y364" i="1"/>
  <c r="L364" i="1"/>
  <c r="D38" i="1"/>
  <c r="D60" i="1"/>
  <c r="D86" i="1" s="1"/>
  <c r="M364" i="1"/>
  <c r="B14" i="33"/>
  <c r="B21" i="33"/>
  <c r="B9" i="33"/>
  <c r="R61" i="32"/>
  <c r="T450" i="1"/>
  <c r="W450" i="1" s="1"/>
  <c r="V450" i="1"/>
  <c r="Y450" i="1" s="1"/>
  <c r="R403" i="1"/>
  <c r="H450" i="1"/>
  <c r="K450" i="1" s="1"/>
  <c r="O450" i="1"/>
  <c r="I450" i="1"/>
  <c r="J450" i="1"/>
  <c r="P450" i="1"/>
  <c r="N450" i="1"/>
  <c r="Q450" i="1" s="1"/>
  <c r="M402" i="1"/>
  <c r="S403" i="1"/>
  <c r="Y402" i="1"/>
  <c r="X364" i="1"/>
  <c r="X402" i="1"/>
  <c r="Y403" i="1"/>
  <c r="R402" i="1"/>
  <c r="X403" i="1"/>
  <c r="L403" i="1"/>
  <c r="M403" i="1"/>
  <c r="K402" i="1"/>
  <c r="L402" i="1"/>
  <c r="C39" i="34"/>
  <c r="C47" i="34" s="1"/>
  <c r="C55" i="34" s="1"/>
  <c r="C63" i="34" s="1"/>
  <c r="D47" i="11"/>
  <c r="C40" i="34"/>
  <c r="C48" i="34" s="1"/>
  <c r="C56" i="34" s="1"/>
  <c r="C64" i="34" s="1"/>
  <c r="D48" i="11"/>
  <c r="N449" i="1"/>
  <c r="Q449" i="1" s="1"/>
  <c r="J449" i="1"/>
  <c r="U449" i="1"/>
  <c r="I449" i="1"/>
  <c r="H449" i="1"/>
  <c r="K449" i="1" s="1"/>
  <c r="T449" i="1"/>
  <c r="W449" i="1" s="1"/>
  <c r="V449" i="1"/>
  <c r="P449" i="1"/>
  <c r="S449" i="1" s="1"/>
  <c r="AF71" i="34"/>
  <c r="AF81" i="34"/>
  <c r="AF91" i="34"/>
  <c r="O91" i="34"/>
  <c r="O81" i="34"/>
  <c r="O71" i="34"/>
  <c r="H166" i="34"/>
  <c r="G91" i="34"/>
  <c r="G201" i="34" s="1"/>
  <c r="G81" i="34"/>
  <c r="G191" i="34" s="1"/>
  <c r="G71" i="34"/>
  <c r="G181" i="34" s="1"/>
  <c r="AG91" i="34"/>
  <c r="AG71" i="34"/>
  <c r="AG81" i="34"/>
  <c r="AH81" i="34"/>
  <c r="AH91" i="34"/>
  <c r="AH71" i="34"/>
  <c r="Q123" i="19"/>
  <c r="K117" i="19"/>
  <c r="Q115" i="19"/>
  <c r="K123" i="19"/>
  <c r="P112" i="19"/>
  <c r="P128" i="19" s="1"/>
  <c r="W112" i="19"/>
  <c r="W128" i="19" s="1"/>
  <c r="V117" i="19"/>
  <c r="K115" i="19"/>
  <c r="V112" i="19"/>
  <c r="V128" i="19" s="1"/>
  <c r="J112" i="19"/>
  <c r="J128" i="19" s="1"/>
  <c r="J117" i="19"/>
  <c r="W117" i="19"/>
  <c r="W115" i="19"/>
  <c r="P115" i="19"/>
  <c r="P123" i="19"/>
  <c r="V123" i="19"/>
  <c r="Q112" i="19"/>
  <c r="Q128" i="19" s="1"/>
  <c r="P117" i="19"/>
  <c r="K112" i="19"/>
  <c r="K128" i="19" s="1"/>
  <c r="U112" i="19"/>
  <c r="U128" i="19" s="1"/>
  <c r="I112" i="19"/>
  <c r="I128" i="19" s="1"/>
  <c r="O112" i="19"/>
  <c r="O128" i="19" s="1"/>
  <c r="Q117" i="19"/>
  <c r="V115" i="19"/>
  <c r="I5" i="37" l="1"/>
  <c r="U444" i="11"/>
  <c r="X444" i="11" s="1"/>
  <c r="I444" i="11"/>
  <c r="N444" i="11"/>
  <c r="Q444" i="11" s="1"/>
  <c r="P444" i="11"/>
  <c r="V444" i="11"/>
  <c r="O444" i="11"/>
  <c r="J444" i="11"/>
  <c r="E50" i="35"/>
  <c r="E51" i="35" s="1"/>
  <c r="E52" i="35" s="1"/>
  <c r="E53" i="35" s="1"/>
  <c r="E54" i="35" s="1"/>
  <c r="K6" i="35"/>
  <c r="H444" i="11"/>
  <c r="L444" i="11" s="1"/>
  <c r="U458" i="11"/>
  <c r="F61" i="11"/>
  <c r="V458" i="11"/>
  <c r="T458" i="11"/>
  <c r="W458" i="11" s="1"/>
  <c r="O458" i="11"/>
  <c r="N458" i="11"/>
  <c r="Q458" i="11" s="1"/>
  <c r="P458" i="11"/>
  <c r="I458" i="11"/>
  <c r="J458" i="11"/>
  <c r="I488" i="11"/>
  <c r="H488" i="11"/>
  <c r="K488" i="11" s="1"/>
  <c r="N485" i="1"/>
  <c r="Q485" i="1" s="1"/>
  <c r="N488" i="11"/>
  <c r="Q488" i="11" s="1"/>
  <c r="J488" i="11"/>
  <c r="P488" i="11"/>
  <c r="T488" i="11"/>
  <c r="W488" i="11" s="1"/>
  <c r="U488" i="11"/>
  <c r="Y488" i="11" s="1"/>
  <c r="O488" i="11"/>
  <c r="T484" i="11"/>
  <c r="W484" i="11" s="1"/>
  <c r="U484" i="11"/>
  <c r="V484" i="11"/>
  <c r="J484" i="11"/>
  <c r="I484" i="11"/>
  <c r="O484" i="11"/>
  <c r="R484" i="11" s="1"/>
  <c r="P484" i="11"/>
  <c r="H484" i="11"/>
  <c r="K484" i="11" s="1"/>
  <c r="S486" i="11"/>
  <c r="F503" i="11"/>
  <c r="F504" i="11" s="1"/>
  <c r="G504" i="11" s="1"/>
  <c r="H504" i="11" s="1"/>
  <c r="K504" i="11" s="1"/>
  <c r="I485" i="1"/>
  <c r="P485" i="1"/>
  <c r="J485" i="1"/>
  <c r="F505" i="11"/>
  <c r="G505" i="11" s="1"/>
  <c r="H485" i="1"/>
  <c r="K485" i="1" s="1"/>
  <c r="O485" i="1"/>
  <c r="V485" i="1"/>
  <c r="U485" i="1"/>
  <c r="X485" i="1" s="1"/>
  <c r="R210" i="40"/>
  <c r="X210" i="40"/>
  <c r="L210" i="40"/>
  <c r="S210" i="40"/>
  <c r="M210" i="40"/>
  <c r="Y210" i="40"/>
  <c r="S459" i="11"/>
  <c r="C440" i="11"/>
  <c r="X459" i="11"/>
  <c r="L459" i="11"/>
  <c r="M459" i="11"/>
  <c r="R459" i="11"/>
  <c r="Y459" i="11"/>
  <c r="Y521" i="11"/>
  <c r="X485" i="11"/>
  <c r="M486" i="1"/>
  <c r="L486" i="1"/>
  <c r="S486" i="1"/>
  <c r="X486" i="1"/>
  <c r="R486" i="1"/>
  <c r="Y474" i="1"/>
  <c r="X474" i="1"/>
  <c r="S474" i="1"/>
  <c r="W474" i="1"/>
  <c r="R474" i="1"/>
  <c r="M474" i="1"/>
  <c r="E41" i="43"/>
  <c r="F14" i="35"/>
  <c r="F14" i="37" s="1"/>
  <c r="J114" i="19"/>
  <c r="K114" i="19"/>
  <c r="M489" i="11"/>
  <c r="R486" i="11"/>
  <c r="R485" i="11"/>
  <c r="M490" i="11"/>
  <c r="Y489" i="11"/>
  <c r="M486" i="11"/>
  <c r="X490" i="11"/>
  <c r="Y485" i="11"/>
  <c r="X486" i="11"/>
  <c r="M485" i="11"/>
  <c r="X489" i="11"/>
  <c r="R490" i="11"/>
  <c r="S485" i="11"/>
  <c r="R489" i="11"/>
  <c r="L486" i="11"/>
  <c r="Y490" i="11"/>
  <c r="L485" i="11"/>
  <c r="G569" i="11"/>
  <c r="Y486" i="11"/>
  <c r="L490" i="11"/>
  <c r="S490" i="11"/>
  <c r="S489" i="11"/>
  <c r="L489" i="11"/>
  <c r="J385" i="11"/>
  <c r="I385" i="11"/>
  <c r="O385" i="11"/>
  <c r="T385" i="11"/>
  <c r="W385" i="11" s="1"/>
  <c r="U385" i="11"/>
  <c r="P385" i="11"/>
  <c r="H385" i="11"/>
  <c r="K385" i="11" s="1"/>
  <c r="V385" i="11"/>
  <c r="N385" i="11"/>
  <c r="Q385" i="11" s="1"/>
  <c r="U524" i="1"/>
  <c r="O524" i="1"/>
  <c r="N524" i="1"/>
  <c r="Q524" i="1" s="1"/>
  <c r="H524" i="1"/>
  <c r="K524" i="1" s="1"/>
  <c r="T524" i="1"/>
  <c r="W524" i="1" s="1"/>
  <c r="J524" i="1"/>
  <c r="V524" i="1"/>
  <c r="I524" i="1"/>
  <c r="P524" i="1"/>
  <c r="Y445" i="11"/>
  <c r="L519" i="11"/>
  <c r="M521" i="11"/>
  <c r="Y427" i="11"/>
  <c r="J149" i="1"/>
  <c r="F525" i="1" s="1"/>
  <c r="G525" i="1" s="1"/>
  <c r="R473" i="1"/>
  <c r="S473" i="1"/>
  <c r="Q473" i="1"/>
  <c r="L473" i="1"/>
  <c r="K473" i="1"/>
  <c r="W473" i="1"/>
  <c r="M473" i="1"/>
  <c r="Y473" i="1"/>
  <c r="X473" i="1"/>
  <c r="Y519" i="11"/>
  <c r="S521" i="11"/>
  <c r="L521" i="11"/>
  <c r="X519" i="11"/>
  <c r="R518" i="11"/>
  <c r="K518" i="11"/>
  <c r="W426" i="11"/>
  <c r="W428" i="11" s="1"/>
  <c r="T428" i="11"/>
  <c r="U428" i="11"/>
  <c r="X426" i="11"/>
  <c r="W518" i="11"/>
  <c r="X520" i="11"/>
  <c r="S520" i="11"/>
  <c r="S445" i="11"/>
  <c r="R521" i="11"/>
  <c r="K426" i="11"/>
  <c r="K428" i="11" s="1"/>
  <c r="H428" i="11"/>
  <c r="Y426" i="11"/>
  <c r="V428" i="11"/>
  <c r="S519" i="11"/>
  <c r="M427" i="11"/>
  <c r="S427" i="11"/>
  <c r="Y518" i="11"/>
  <c r="M518" i="11"/>
  <c r="M520" i="11"/>
  <c r="W520" i="11"/>
  <c r="K520" i="11"/>
  <c r="L426" i="11"/>
  <c r="I428" i="11"/>
  <c r="R426" i="11"/>
  <c r="O428" i="11"/>
  <c r="Q520" i="11"/>
  <c r="Q426" i="11"/>
  <c r="Q428" i="11" s="1"/>
  <c r="N428" i="11"/>
  <c r="M519" i="11"/>
  <c r="L518" i="11"/>
  <c r="X518" i="11"/>
  <c r="X521" i="11"/>
  <c r="J428" i="11"/>
  <c r="M426" i="11"/>
  <c r="P428" i="11"/>
  <c r="S426" i="11"/>
  <c r="R519" i="11"/>
  <c r="L427" i="11"/>
  <c r="R427" i="11"/>
  <c r="X427" i="11"/>
  <c r="S518" i="11"/>
  <c r="Q518" i="11"/>
  <c r="L520" i="11"/>
  <c r="R520" i="11"/>
  <c r="Y520" i="11"/>
  <c r="W444" i="11"/>
  <c r="X445" i="11"/>
  <c r="R445" i="11"/>
  <c r="F383" i="11"/>
  <c r="G383" i="11" s="1"/>
  <c r="J61" i="11"/>
  <c r="F12" i="35" s="1"/>
  <c r="F12" i="37" s="1"/>
  <c r="L445" i="11"/>
  <c r="Y444" i="11"/>
  <c r="M445" i="11"/>
  <c r="F501" i="11"/>
  <c r="G501" i="11" s="1"/>
  <c r="U334" i="1"/>
  <c r="H334" i="1"/>
  <c r="K334" i="1" s="1"/>
  <c r="V332" i="1"/>
  <c r="U333" i="1"/>
  <c r="U332" i="1"/>
  <c r="X332" i="1" s="1"/>
  <c r="H333" i="1"/>
  <c r="K333" i="1" s="1"/>
  <c r="O333" i="1"/>
  <c r="R333" i="1" s="1"/>
  <c r="O332" i="1"/>
  <c r="I332" i="1"/>
  <c r="P333" i="1"/>
  <c r="J332" i="1"/>
  <c r="N332" i="1"/>
  <c r="Q332" i="1" s="1"/>
  <c r="T334" i="1"/>
  <c r="W334" i="1" s="1"/>
  <c r="T333" i="1"/>
  <c r="W333" i="1" s="1"/>
  <c r="P332" i="1"/>
  <c r="H332" i="1"/>
  <c r="K332" i="1" s="1"/>
  <c r="O334" i="1"/>
  <c r="I334" i="1"/>
  <c r="M334" i="1" s="1"/>
  <c r="V334" i="1"/>
  <c r="N334" i="1"/>
  <c r="Q334" i="1" s="1"/>
  <c r="P334" i="1"/>
  <c r="S334" i="1" s="1"/>
  <c r="G573" i="11"/>
  <c r="W122" i="19"/>
  <c r="G574" i="11"/>
  <c r="G570" i="11"/>
  <c r="H569" i="11"/>
  <c r="G572" i="11"/>
  <c r="G571" i="11"/>
  <c r="W121" i="19"/>
  <c r="E42" i="35"/>
  <c r="K120" i="19"/>
  <c r="V122" i="19"/>
  <c r="W113" i="19"/>
  <c r="W129" i="19" s="1"/>
  <c r="G16" i="38" s="1"/>
  <c r="I130" i="19"/>
  <c r="P121" i="19"/>
  <c r="Q122" i="19"/>
  <c r="P120" i="19"/>
  <c r="J121" i="19"/>
  <c r="V121" i="19"/>
  <c r="J122" i="19"/>
  <c r="N124" i="19"/>
  <c r="K121" i="19"/>
  <c r="W120" i="19"/>
  <c r="P122" i="19"/>
  <c r="O130" i="19"/>
  <c r="U130" i="19"/>
  <c r="Q120" i="19"/>
  <c r="W119" i="19"/>
  <c r="Q119" i="19"/>
  <c r="K119" i="19"/>
  <c r="F294" i="1"/>
  <c r="G294" i="1" s="1"/>
  <c r="N294" i="1" s="1"/>
  <c r="Q294" i="1" s="1"/>
  <c r="F266" i="11"/>
  <c r="G266" i="11" s="1"/>
  <c r="F269" i="1"/>
  <c r="G269" i="1" s="1"/>
  <c r="V269" i="1" s="1"/>
  <c r="F241" i="11"/>
  <c r="G241" i="11" s="1"/>
  <c r="F264" i="1"/>
  <c r="G264" i="1" s="1"/>
  <c r="V264" i="1" s="1"/>
  <c r="F236" i="11"/>
  <c r="G236" i="11" s="1"/>
  <c r="F300" i="1"/>
  <c r="G300" i="1" s="1"/>
  <c r="P300" i="1" s="1"/>
  <c r="F272" i="11"/>
  <c r="G272" i="11" s="1"/>
  <c r="F298" i="1"/>
  <c r="G298" i="1" s="1"/>
  <c r="H298" i="1" s="1"/>
  <c r="K298" i="1" s="1"/>
  <c r="F270" i="11"/>
  <c r="G270" i="11" s="1"/>
  <c r="F285" i="1"/>
  <c r="F257" i="11"/>
  <c r="F237" i="1"/>
  <c r="G237" i="1" s="1"/>
  <c r="F209" i="11"/>
  <c r="F224" i="1"/>
  <c r="G224" i="1" s="1"/>
  <c r="H224" i="1" s="1"/>
  <c r="K224" i="1" s="1"/>
  <c r="F196" i="11"/>
  <c r="G196" i="11" s="1"/>
  <c r="F215" i="1"/>
  <c r="G215" i="1" s="1"/>
  <c r="Y215" i="1" s="1"/>
  <c r="F187" i="11"/>
  <c r="G187" i="11" s="1"/>
  <c r="F295" i="1"/>
  <c r="G295" i="1" s="1"/>
  <c r="V295" i="1" s="1"/>
  <c r="F267" i="11"/>
  <c r="G267" i="11" s="1"/>
  <c r="F220" i="1"/>
  <c r="G220" i="1" s="1"/>
  <c r="H220" i="1" s="1"/>
  <c r="K220" i="1" s="1"/>
  <c r="F192" i="11"/>
  <c r="G192" i="11" s="1"/>
  <c r="F240" i="1"/>
  <c r="G240" i="1" s="1"/>
  <c r="O240" i="1" s="1"/>
  <c r="F212" i="11"/>
  <c r="G212" i="11" s="1"/>
  <c r="F289" i="1"/>
  <c r="G289" i="1" s="1"/>
  <c r="H289" i="1" s="1"/>
  <c r="K289" i="1" s="1"/>
  <c r="F261" i="11"/>
  <c r="G261" i="11" s="1"/>
  <c r="F217" i="1"/>
  <c r="G217" i="1" s="1"/>
  <c r="S217" i="1" s="1"/>
  <c r="F189" i="11"/>
  <c r="G189" i="11" s="1"/>
  <c r="F305" i="1"/>
  <c r="G305" i="1" s="1"/>
  <c r="J305" i="1" s="1"/>
  <c r="F277" i="11"/>
  <c r="G277" i="11" s="1"/>
  <c r="F218" i="1"/>
  <c r="G218" i="1" s="1"/>
  <c r="H218" i="1" s="1"/>
  <c r="K218" i="1" s="1"/>
  <c r="F190" i="11"/>
  <c r="G190" i="11" s="1"/>
  <c r="F214" i="1"/>
  <c r="G214" i="1" s="1"/>
  <c r="M214" i="1" s="1"/>
  <c r="F186" i="11"/>
  <c r="G186" i="11" s="1"/>
  <c r="F304" i="1"/>
  <c r="G304" i="1" s="1"/>
  <c r="V304" i="1" s="1"/>
  <c r="F276" i="11"/>
  <c r="G276" i="11" s="1"/>
  <c r="F246" i="1"/>
  <c r="G246" i="1" s="1"/>
  <c r="N246" i="1" s="1"/>
  <c r="Q246" i="1" s="1"/>
  <c r="F218" i="11"/>
  <c r="G218" i="11" s="1"/>
  <c r="F248" i="1"/>
  <c r="G248" i="1" s="1"/>
  <c r="T248" i="1" s="1"/>
  <c r="W248" i="1" s="1"/>
  <c r="F220" i="11"/>
  <c r="G220" i="11" s="1"/>
  <c r="F239" i="1"/>
  <c r="G239" i="1" s="1"/>
  <c r="U239" i="1" s="1"/>
  <c r="F211" i="11"/>
  <c r="G211" i="11" s="1"/>
  <c r="F302" i="1"/>
  <c r="G302" i="1" s="1"/>
  <c r="N302" i="1" s="1"/>
  <c r="Q302" i="1" s="1"/>
  <c r="F274" i="11"/>
  <c r="G274" i="11" s="1"/>
  <c r="F320" i="1"/>
  <c r="G320" i="1" s="1"/>
  <c r="H320" i="1" s="1"/>
  <c r="K320" i="1" s="1"/>
  <c r="F292" i="11"/>
  <c r="F245" i="11"/>
  <c r="G245" i="11" s="1"/>
  <c r="G221" i="11"/>
  <c r="C6" i="39"/>
  <c r="D13" i="22"/>
  <c r="C12" i="21"/>
  <c r="B12" i="21"/>
  <c r="D13" i="21"/>
  <c r="V120" i="19"/>
  <c r="F287" i="1"/>
  <c r="G287" i="1" s="1"/>
  <c r="I287" i="1" s="1"/>
  <c r="F259" i="11"/>
  <c r="G259" i="11" s="1"/>
  <c r="F268" i="1"/>
  <c r="G268" i="1" s="1"/>
  <c r="J268" i="1" s="1"/>
  <c r="F240" i="11"/>
  <c r="G240" i="11" s="1"/>
  <c r="F221" i="1"/>
  <c r="G221" i="1" s="1"/>
  <c r="S221" i="1" s="1"/>
  <c r="F193" i="11"/>
  <c r="G193" i="11" s="1"/>
  <c r="F216" i="1"/>
  <c r="G216" i="1" s="1"/>
  <c r="S216" i="1" s="1"/>
  <c r="F188" i="11"/>
  <c r="G188" i="11" s="1"/>
  <c r="F306" i="1"/>
  <c r="G306" i="1" s="1"/>
  <c r="O306" i="1" s="1"/>
  <c r="F278" i="11"/>
  <c r="G278" i="11" s="1"/>
  <c r="F301" i="1"/>
  <c r="G301" i="1" s="1"/>
  <c r="V301" i="1" s="1"/>
  <c r="F273" i="11"/>
  <c r="G273" i="11" s="1"/>
  <c r="F242" i="1"/>
  <c r="G242" i="1" s="1"/>
  <c r="T242" i="1" s="1"/>
  <c r="W242" i="1" s="1"/>
  <c r="F214" i="11"/>
  <c r="G214" i="11" s="1"/>
  <c r="F243" i="1"/>
  <c r="G243" i="1" s="1"/>
  <c r="P243" i="1" s="1"/>
  <c r="F215" i="11"/>
  <c r="G215" i="11" s="1"/>
  <c r="F262" i="1"/>
  <c r="G262" i="1" s="1"/>
  <c r="U262" i="1" s="1"/>
  <c r="F234" i="11"/>
  <c r="G234" i="11" s="1"/>
  <c r="F213" i="1"/>
  <c r="G213" i="1" s="1"/>
  <c r="F185" i="11"/>
  <c r="F270" i="1"/>
  <c r="G270" i="1" s="1"/>
  <c r="T270" i="1" s="1"/>
  <c r="W270" i="1" s="1"/>
  <c r="F242" i="11"/>
  <c r="G242" i="11" s="1"/>
  <c r="F263" i="1"/>
  <c r="G263" i="1" s="1"/>
  <c r="H263" i="1" s="1"/>
  <c r="K263" i="1" s="1"/>
  <c r="F235" i="11"/>
  <c r="G235" i="11" s="1"/>
  <c r="F290" i="1"/>
  <c r="G290" i="1" s="1"/>
  <c r="O290" i="1" s="1"/>
  <c r="F262" i="11"/>
  <c r="G262" i="11" s="1"/>
  <c r="F223" i="1"/>
  <c r="G223" i="1" s="1"/>
  <c r="S223" i="1" s="1"/>
  <c r="F195" i="11"/>
  <c r="G195" i="11" s="1"/>
  <c r="F249" i="1"/>
  <c r="F221" i="11"/>
  <c r="F335" i="1"/>
  <c r="J333" i="1"/>
  <c r="V333" i="1"/>
  <c r="D33" i="17"/>
  <c r="S33" i="17" s="1"/>
  <c r="C16" i="22"/>
  <c r="F307" i="11"/>
  <c r="P305" i="11"/>
  <c r="H305" i="11"/>
  <c r="K305" i="11" s="1"/>
  <c r="U305" i="11"/>
  <c r="N305" i="11"/>
  <c r="Q305" i="11" s="1"/>
  <c r="V305" i="11"/>
  <c r="I305" i="11"/>
  <c r="J305" i="11"/>
  <c r="O305" i="11"/>
  <c r="T305" i="11"/>
  <c r="W305" i="11" s="1"/>
  <c r="F241" i="1"/>
  <c r="G241" i="1" s="1"/>
  <c r="T241" i="1" s="1"/>
  <c r="W241" i="1" s="1"/>
  <c r="F213" i="11"/>
  <c r="G213" i="11" s="1"/>
  <c r="F293" i="1"/>
  <c r="G293" i="1" s="1"/>
  <c r="U293" i="1" s="1"/>
  <c r="F265" i="11"/>
  <c r="G265" i="11" s="1"/>
  <c r="F266" i="1"/>
  <c r="G266" i="1" s="1"/>
  <c r="N266" i="1" s="1"/>
  <c r="Q266" i="1" s="1"/>
  <c r="F238" i="11"/>
  <c r="G238" i="11" s="1"/>
  <c r="F267" i="1"/>
  <c r="G267" i="1" s="1"/>
  <c r="H267" i="1" s="1"/>
  <c r="K267" i="1" s="1"/>
  <c r="F239" i="11"/>
  <c r="G239" i="11" s="1"/>
  <c r="F247" i="1"/>
  <c r="G247" i="1" s="1"/>
  <c r="V247" i="1" s="1"/>
  <c r="F219" i="11"/>
  <c r="G219" i="11" s="1"/>
  <c r="O303" i="11"/>
  <c r="U303" i="11"/>
  <c r="P303" i="11"/>
  <c r="N303" i="11"/>
  <c r="I303" i="11"/>
  <c r="V303" i="11"/>
  <c r="J303" i="11"/>
  <c r="T303" i="11"/>
  <c r="H303" i="11"/>
  <c r="N306" i="11"/>
  <c r="Q306" i="11" s="1"/>
  <c r="H306" i="11"/>
  <c r="K306" i="11" s="1"/>
  <c r="J306" i="11"/>
  <c r="I306" i="11"/>
  <c r="P306" i="11"/>
  <c r="O306" i="11"/>
  <c r="U306" i="11"/>
  <c r="V306" i="11"/>
  <c r="T306" i="11"/>
  <c r="W306" i="11" s="1"/>
  <c r="V304" i="11"/>
  <c r="H304" i="11"/>
  <c r="K304" i="11" s="1"/>
  <c r="N304" i="11"/>
  <c r="Q304" i="11" s="1"/>
  <c r="J304" i="11"/>
  <c r="O304" i="11"/>
  <c r="P304" i="11"/>
  <c r="U304" i="11"/>
  <c r="T304" i="11"/>
  <c r="W304" i="11" s="1"/>
  <c r="I304" i="11"/>
  <c r="J119" i="19"/>
  <c r="V119" i="19"/>
  <c r="F244" i="1"/>
  <c r="G244" i="1" s="1"/>
  <c r="O244" i="1" s="1"/>
  <c r="F216" i="11"/>
  <c r="G216" i="11" s="1"/>
  <c r="F288" i="1"/>
  <c r="G288" i="1" s="1"/>
  <c r="O288" i="1" s="1"/>
  <c r="F260" i="11"/>
  <c r="G260" i="11" s="1"/>
  <c r="F245" i="1"/>
  <c r="G245" i="1" s="1"/>
  <c r="O245" i="1" s="1"/>
  <c r="F217" i="11"/>
  <c r="G217" i="11" s="1"/>
  <c r="F265" i="1"/>
  <c r="G265" i="1" s="1"/>
  <c r="H265" i="1" s="1"/>
  <c r="K265" i="1" s="1"/>
  <c r="F237" i="11"/>
  <c r="G237" i="11" s="1"/>
  <c r="F299" i="1"/>
  <c r="G299" i="1" s="1"/>
  <c r="H299" i="1" s="1"/>
  <c r="K299" i="1" s="1"/>
  <c r="F271" i="11"/>
  <c r="G271" i="11" s="1"/>
  <c r="F219" i="1"/>
  <c r="G219" i="1" s="1"/>
  <c r="M219" i="1" s="1"/>
  <c r="F191" i="11"/>
  <c r="G191" i="11" s="1"/>
  <c r="F238" i="1"/>
  <c r="G238" i="1" s="1"/>
  <c r="U238" i="1" s="1"/>
  <c r="F210" i="11"/>
  <c r="G210" i="11" s="1"/>
  <c r="F292" i="1"/>
  <c r="G292" i="1" s="1"/>
  <c r="U292" i="1" s="1"/>
  <c r="F264" i="11"/>
  <c r="G264" i="11" s="1"/>
  <c r="F261" i="1"/>
  <c r="G261" i="1" s="1"/>
  <c r="F233" i="11"/>
  <c r="F222" i="1"/>
  <c r="G222" i="1" s="1"/>
  <c r="H222" i="1" s="1"/>
  <c r="K222" i="1" s="1"/>
  <c r="F194" i="11"/>
  <c r="G194" i="11" s="1"/>
  <c r="F272" i="1"/>
  <c r="G272" i="1" s="1"/>
  <c r="N272" i="1" s="1"/>
  <c r="Q272" i="1" s="1"/>
  <c r="F244" i="11"/>
  <c r="G244" i="11" s="1"/>
  <c r="F296" i="1"/>
  <c r="G296" i="1" s="1"/>
  <c r="J296" i="1" s="1"/>
  <c r="F268" i="11"/>
  <c r="G268" i="11" s="1"/>
  <c r="F291" i="1"/>
  <c r="G291" i="1" s="1"/>
  <c r="N291" i="1" s="1"/>
  <c r="Q291" i="1" s="1"/>
  <c r="F263" i="11"/>
  <c r="G263" i="11" s="1"/>
  <c r="F297" i="1"/>
  <c r="G297" i="1" s="1"/>
  <c r="P297" i="1" s="1"/>
  <c r="F269" i="11"/>
  <c r="G269" i="11" s="1"/>
  <c r="F303" i="1"/>
  <c r="G303" i="1" s="1"/>
  <c r="T303" i="1" s="1"/>
  <c r="W303" i="1" s="1"/>
  <c r="F275" i="11"/>
  <c r="G275" i="11" s="1"/>
  <c r="F286" i="1"/>
  <c r="G286" i="1" s="1"/>
  <c r="H286" i="1" s="1"/>
  <c r="K286" i="1" s="1"/>
  <c r="F258" i="11"/>
  <c r="G258" i="11" s="1"/>
  <c r="F271" i="1"/>
  <c r="G271" i="1" s="1"/>
  <c r="H271" i="1" s="1"/>
  <c r="K271" i="1" s="1"/>
  <c r="F243" i="11"/>
  <c r="G243" i="11" s="1"/>
  <c r="F225" i="1"/>
  <c r="G225" i="1" s="1"/>
  <c r="M225" i="1" s="1"/>
  <c r="F197" i="11"/>
  <c r="G197" i="11" s="1"/>
  <c r="I333" i="1"/>
  <c r="Q53" i="32"/>
  <c r="P54" i="32"/>
  <c r="R53" i="32"/>
  <c r="F384" i="11"/>
  <c r="H124" i="19"/>
  <c r="P114" i="19"/>
  <c r="V113" i="19"/>
  <c r="V129" i="19" s="1"/>
  <c r="G15" i="38" s="1"/>
  <c r="V114" i="19"/>
  <c r="S124" i="19"/>
  <c r="W114" i="19"/>
  <c r="L124" i="19"/>
  <c r="O124" i="19" s="1"/>
  <c r="R124" i="19"/>
  <c r="U124" i="19" s="1"/>
  <c r="P113" i="19"/>
  <c r="P129" i="19" s="1"/>
  <c r="E15" i="38" s="1"/>
  <c r="F124" i="19"/>
  <c r="I124" i="19" s="1"/>
  <c r="J113" i="19"/>
  <c r="J129" i="19" s="1"/>
  <c r="C15" i="38" s="1"/>
  <c r="T124" i="19"/>
  <c r="Q113" i="19"/>
  <c r="Q129" i="19" s="1"/>
  <c r="E16" i="38" s="1"/>
  <c r="G124" i="19"/>
  <c r="M124" i="19"/>
  <c r="K113" i="19"/>
  <c r="K129" i="19" s="1"/>
  <c r="C16" i="38" s="1"/>
  <c r="H382" i="11"/>
  <c r="I382" i="11"/>
  <c r="T382" i="11"/>
  <c r="U382" i="11"/>
  <c r="V382" i="11"/>
  <c r="J382" i="11"/>
  <c r="O382" i="11"/>
  <c r="P382" i="11"/>
  <c r="N382" i="11"/>
  <c r="G414" i="11"/>
  <c r="G413" i="11"/>
  <c r="V402" i="11"/>
  <c r="T402" i="11"/>
  <c r="W402" i="11" s="1"/>
  <c r="H402" i="11"/>
  <c r="K402" i="11" s="1"/>
  <c r="U402" i="11"/>
  <c r="N402" i="11"/>
  <c r="Q402" i="11" s="1"/>
  <c r="O402" i="11"/>
  <c r="I402" i="11"/>
  <c r="P402" i="11"/>
  <c r="J402" i="11"/>
  <c r="F401" i="11"/>
  <c r="M128" i="19"/>
  <c r="L128" i="19"/>
  <c r="R33" i="17"/>
  <c r="N33" i="17"/>
  <c r="F33" i="17"/>
  <c r="U33" i="17" s="1"/>
  <c r="K33" i="17"/>
  <c r="Q33" i="17"/>
  <c r="C34" i="17"/>
  <c r="C17" i="22" s="1"/>
  <c r="B34" i="17"/>
  <c r="B17" i="22" s="1"/>
  <c r="E35" i="17"/>
  <c r="Y331" i="1"/>
  <c r="M331" i="1"/>
  <c r="X331" i="1"/>
  <c r="Q331" i="1"/>
  <c r="W331" i="1"/>
  <c r="S331" i="1"/>
  <c r="L331" i="1"/>
  <c r="R331" i="1"/>
  <c r="K331" i="1"/>
  <c r="F273" i="1"/>
  <c r="G273" i="1" s="1"/>
  <c r="G249" i="1"/>
  <c r="D61" i="1"/>
  <c r="D87" i="1" s="1"/>
  <c r="D39" i="1"/>
  <c r="D62" i="1" s="1"/>
  <c r="D88" i="1" s="1"/>
  <c r="X450" i="1"/>
  <c r="B15" i="33"/>
  <c r="B24" i="33"/>
  <c r="B10" i="33"/>
  <c r="R450" i="1"/>
  <c r="S450" i="1"/>
  <c r="M450" i="1"/>
  <c r="L450" i="1"/>
  <c r="M449" i="1"/>
  <c r="Y449" i="1"/>
  <c r="X449" i="1"/>
  <c r="R449" i="1"/>
  <c r="L449" i="1"/>
  <c r="H71" i="34"/>
  <c r="H181" i="34" s="1"/>
  <c r="H81" i="34"/>
  <c r="H191" i="34" s="1"/>
  <c r="H91" i="34"/>
  <c r="H201" i="34" s="1"/>
  <c r="R444" i="11" l="1"/>
  <c r="R451" i="11" s="1"/>
  <c r="I6" i="37"/>
  <c r="M444" i="11"/>
  <c r="M450" i="11" s="1"/>
  <c r="S444" i="11"/>
  <c r="S452" i="11" s="1"/>
  <c r="M488" i="11"/>
  <c r="S458" i="11"/>
  <c r="S467" i="11" s="1"/>
  <c r="Y458" i="11"/>
  <c r="Y463" i="11" s="1"/>
  <c r="K444" i="11"/>
  <c r="K451" i="11" s="1"/>
  <c r="K462" i="11"/>
  <c r="F451" i="11"/>
  <c r="F450" i="11"/>
  <c r="G450" i="11"/>
  <c r="G448" i="11"/>
  <c r="I448" i="11"/>
  <c r="U448" i="11"/>
  <c r="U452" i="11"/>
  <c r="O453" i="11"/>
  <c r="P452" i="11"/>
  <c r="P453" i="11"/>
  <c r="T450" i="11"/>
  <c r="T453" i="11"/>
  <c r="H450" i="11"/>
  <c r="J449" i="11"/>
  <c r="J453" i="11"/>
  <c r="V449" i="11"/>
  <c r="N452" i="11"/>
  <c r="N450" i="11"/>
  <c r="F453" i="11"/>
  <c r="G451" i="11"/>
  <c r="I453" i="11"/>
  <c r="U453" i="11"/>
  <c r="U450" i="11"/>
  <c r="O450" i="11"/>
  <c r="P448" i="11"/>
  <c r="P449" i="11"/>
  <c r="T451" i="11"/>
  <c r="T449" i="11"/>
  <c r="H451" i="11"/>
  <c r="J450" i="11"/>
  <c r="J451" i="11"/>
  <c r="V450" i="11"/>
  <c r="N448" i="11"/>
  <c r="N451" i="11"/>
  <c r="F449" i="11"/>
  <c r="G453" i="11"/>
  <c r="I451" i="11"/>
  <c r="I449" i="11"/>
  <c r="U449" i="11"/>
  <c r="O449" i="11"/>
  <c r="O452" i="11"/>
  <c r="P450" i="11"/>
  <c r="T452" i="11"/>
  <c r="H452" i="11"/>
  <c r="H453" i="11"/>
  <c r="J452" i="11"/>
  <c r="V452" i="11"/>
  <c r="V448" i="11"/>
  <c r="N453" i="11"/>
  <c r="F452" i="11"/>
  <c r="G449" i="11"/>
  <c r="G452" i="11"/>
  <c r="I452" i="11"/>
  <c r="I450" i="11"/>
  <c r="U451" i="11"/>
  <c r="O451" i="11"/>
  <c r="O448" i="11"/>
  <c r="P451" i="11"/>
  <c r="T448" i="11"/>
  <c r="H448" i="11"/>
  <c r="H449" i="11"/>
  <c r="J448" i="11"/>
  <c r="V453" i="11"/>
  <c r="V451" i="11"/>
  <c r="N449" i="11"/>
  <c r="F462" i="11"/>
  <c r="L488" i="11"/>
  <c r="X458" i="11"/>
  <c r="X467" i="11" s="1"/>
  <c r="R458" i="11"/>
  <c r="R462" i="11" s="1"/>
  <c r="M458" i="11"/>
  <c r="M467" i="11" s="1"/>
  <c r="W448" i="11"/>
  <c r="W452" i="11"/>
  <c r="W453" i="11"/>
  <c r="W451" i="11"/>
  <c r="W450" i="11"/>
  <c r="W449" i="11"/>
  <c r="L458" i="11"/>
  <c r="L466" i="11" s="1"/>
  <c r="Q450" i="11"/>
  <c r="Q449" i="11"/>
  <c r="Q453" i="11"/>
  <c r="Q448" i="11"/>
  <c r="Q452" i="11"/>
  <c r="Q451" i="11"/>
  <c r="L449" i="11"/>
  <c r="L453" i="11"/>
  <c r="L448" i="11"/>
  <c r="L452" i="11"/>
  <c r="L451" i="11"/>
  <c r="L450" i="11"/>
  <c r="Y450" i="11"/>
  <c r="Y449" i="11"/>
  <c r="Y453" i="11"/>
  <c r="Y448" i="11"/>
  <c r="Y452" i="11"/>
  <c r="Y451" i="11"/>
  <c r="X449" i="11"/>
  <c r="X453" i="11"/>
  <c r="X451" i="11"/>
  <c r="X450" i="11"/>
  <c r="X448" i="11"/>
  <c r="X452" i="11"/>
  <c r="R485" i="1"/>
  <c r="X484" i="11"/>
  <c r="X488" i="11"/>
  <c r="M484" i="11"/>
  <c r="S488" i="11"/>
  <c r="S484" i="11"/>
  <c r="Y484" i="11"/>
  <c r="Y497" i="11" s="1"/>
  <c r="R488" i="11"/>
  <c r="R496" i="11" s="1"/>
  <c r="L484" i="11"/>
  <c r="M485" i="1"/>
  <c r="F506" i="11"/>
  <c r="G506" i="11" s="1"/>
  <c r="N506" i="11" s="1"/>
  <c r="Q506" i="11" s="1"/>
  <c r="L485" i="1"/>
  <c r="J505" i="11"/>
  <c r="T505" i="11"/>
  <c r="W505" i="11" s="1"/>
  <c r="O505" i="11"/>
  <c r="H505" i="11"/>
  <c r="K505" i="11" s="1"/>
  <c r="P505" i="11"/>
  <c r="N505" i="11"/>
  <c r="Q505" i="11" s="1"/>
  <c r="I505" i="11"/>
  <c r="U505" i="11"/>
  <c r="V505" i="11"/>
  <c r="G503" i="11"/>
  <c r="G494" i="11"/>
  <c r="I496" i="11"/>
  <c r="K464" i="11"/>
  <c r="O497" i="11"/>
  <c r="S485" i="1"/>
  <c r="F7" i="45"/>
  <c r="F9" i="45"/>
  <c r="F8" i="45"/>
  <c r="F11" i="45"/>
  <c r="F10" i="45"/>
  <c r="P495" i="11"/>
  <c r="J493" i="11"/>
  <c r="O465" i="11"/>
  <c r="W492" i="11"/>
  <c r="R148" i="35" s="1"/>
  <c r="K494" i="11"/>
  <c r="R130" i="35" s="1"/>
  <c r="V495" i="11"/>
  <c r="W467" i="11"/>
  <c r="Y485" i="1"/>
  <c r="G307" i="11"/>
  <c r="G186" i="40"/>
  <c r="G292" i="11"/>
  <c r="U292" i="11" s="1"/>
  <c r="J497" i="11"/>
  <c r="G492" i="11"/>
  <c r="H496" i="11"/>
  <c r="U493" i="11"/>
  <c r="J466" i="11"/>
  <c r="N463" i="11"/>
  <c r="N466" i="11"/>
  <c r="U497" i="11"/>
  <c r="V492" i="11"/>
  <c r="W496" i="11"/>
  <c r="R152" i="35" s="1"/>
  <c r="Q493" i="11"/>
  <c r="R139" i="35" s="1"/>
  <c r="J462" i="11"/>
  <c r="F464" i="11"/>
  <c r="T467" i="11"/>
  <c r="O494" i="11"/>
  <c r="O495" i="11"/>
  <c r="Q492" i="11"/>
  <c r="R138" i="35" s="1"/>
  <c r="W495" i="11"/>
  <c r="R151" i="35" s="1"/>
  <c r="Q496" i="11"/>
  <c r="R142" i="35" s="1"/>
  <c r="K493" i="11"/>
  <c r="R129" i="35" s="1"/>
  <c r="F494" i="11"/>
  <c r="U466" i="11"/>
  <c r="I467" i="11"/>
  <c r="G462" i="11"/>
  <c r="V464" i="11"/>
  <c r="W463" i="11"/>
  <c r="O466" i="11"/>
  <c r="N494" i="11"/>
  <c r="N497" i="11"/>
  <c r="P497" i="11"/>
  <c r="N492" i="11"/>
  <c r="H492" i="11"/>
  <c r="G495" i="11"/>
  <c r="F496" i="11"/>
  <c r="V494" i="11"/>
  <c r="F493" i="11"/>
  <c r="H493" i="11"/>
  <c r="F448" i="11"/>
  <c r="K463" i="11"/>
  <c r="O464" i="11"/>
  <c r="I462" i="11"/>
  <c r="W465" i="11"/>
  <c r="H462" i="11"/>
  <c r="Q466" i="11"/>
  <c r="T463" i="11"/>
  <c r="F497" i="11"/>
  <c r="T497" i="11"/>
  <c r="I492" i="11"/>
  <c r="U496" i="11"/>
  <c r="G496" i="11"/>
  <c r="G493" i="11"/>
  <c r="P493" i="11"/>
  <c r="W494" i="11"/>
  <c r="R150" i="35" s="1"/>
  <c r="U465" i="11"/>
  <c r="T465" i="11"/>
  <c r="J463" i="11"/>
  <c r="T466" i="11"/>
  <c r="Q463" i="11"/>
  <c r="N462" i="11"/>
  <c r="N465" i="11"/>
  <c r="N464" i="11"/>
  <c r="I463" i="11"/>
  <c r="F466" i="11"/>
  <c r="Q465" i="11"/>
  <c r="O463" i="11"/>
  <c r="F463" i="11"/>
  <c r="I466" i="11"/>
  <c r="P467" i="11"/>
  <c r="K466" i="11"/>
  <c r="J465" i="11"/>
  <c r="H463" i="11"/>
  <c r="F524" i="11"/>
  <c r="Q494" i="11"/>
  <c r="R140" i="35" s="1"/>
  <c r="F495" i="11"/>
  <c r="W497" i="11"/>
  <c r="R153" i="35" s="1"/>
  <c r="K497" i="11"/>
  <c r="R133" i="35" s="1"/>
  <c r="I497" i="11"/>
  <c r="P494" i="11"/>
  <c r="J492" i="11"/>
  <c r="P492" i="11"/>
  <c r="K492" i="11"/>
  <c r="R128" i="35" s="1"/>
  <c r="U494" i="11"/>
  <c r="N495" i="11"/>
  <c r="T495" i="11"/>
  <c r="J496" i="11"/>
  <c r="N496" i="11"/>
  <c r="P496" i="11"/>
  <c r="K496" i="11"/>
  <c r="R132" i="35" s="1"/>
  <c r="H495" i="11"/>
  <c r="O493" i="11"/>
  <c r="N493" i="11"/>
  <c r="T493" i="11"/>
  <c r="J494" i="11"/>
  <c r="Q495" i="11"/>
  <c r="R141" i="35" s="1"/>
  <c r="I494" i="11"/>
  <c r="G467" i="11"/>
  <c r="H464" i="11"/>
  <c r="J467" i="11"/>
  <c r="W464" i="11"/>
  <c r="V463" i="11"/>
  <c r="Q462" i="11"/>
  <c r="Q467" i="11"/>
  <c r="H466" i="11"/>
  <c r="G465" i="11"/>
  <c r="U463" i="11"/>
  <c r="P462" i="11"/>
  <c r="V466" i="11"/>
  <c r="T464" i="11"/>
  <c r="V462" i="11"/>
  <c r="N467" i="11"/>
  <c r="F465" i="11"/>
  <c r="W466" i="11"/>
  <c r="V465" i="11"/>
  <c r="I464" i="11"/>
  <c r="O462" i="11"/>
  <c r="H494" i="11"/>
  <c r="J495" i="11"/>
  <c r="G497" i="11"/>
  <c r="V497" i="11"/>
  <c r="Q497" i="11"/>
  <c r="R143" i="35" s="1"/>
  <c r="H497" i="11"/>
  <c r="U495" i="11"/>
  <c r="U492" i="11"/>
  <c r="T492" i="11"/>
  <c r="O492" i="11"/>
  <c r="I495" i="11"/>
  <c r="V496" i="11"/>
  <c r="T496" i="11"/>
  <c r="O496" i="11"/>
  <c r="T494" i="11"/>
  <c r="W493" i="11"/>
  <c r="R149" i="35" s="1"/>
  <c r="V493" i="11"/>
  <c r="I493" i="11"/>
  <c r="F492" i="11"/>
  <c r="K495" i="11"/>
  <c r="R131" i="35" s="1"/>
  <c r="O467" i="11"/>
  <c r="P464" i="11"/>
  <c r="F467" i="11"/>
  <c r="H465" i="11"/>
  <c r="G464" i="11"/>
  <c r="U462" i="11"/>
  <c r="U467" i="11"/>
  <c r="P466" i="11"/>
  <c r="K465" i="11"/>
  <c r="J464" i="11"/>
  <c r="T462" i="11"/>
  <c r="K467" i="11"/>
  <c r="I465" i="11"/>
  <c r="G463" i="11"/>
  <c r="V467" i="11"/>
  <c r="P465" i="11"/>
  <c r="H467" i="11"/>
  <c r="G466" i="11"/>
  <c r="Q464" i="11"/>
  <c r="W462" i="11"/>
  <c r="U464" i="11"/>
  <c r="P463" i="11"/>
  <c r="O504" i="11"/>
  <c r="P504" i="11"/>
  <c r="U504" i="11"/>
  <c r="J504" i="11"/>
  <c r="T504" i="11"/>
  <c r="W504" i="11" s="1"/>
  <c r="V504" i="11"/>
  <c r="I504" i="11"/>
  <c r="L504" i="11" s="1"/>
  <c r="N504" i="11"/>
  <c r="Q504" i="11" s="1"/>
  <c r="L524" i="1"/>
  <c r="L333" i="1"/>
  <c r="F6" i="44"/>
  <c r="E42" i="43"/>
  <c r="G335" i="1"/>
  <c r="U501" i="11"/>
  <c r="H501" i="11"/>
  <c r="K501" i="11" s="1"/>
  <c r="J501" i="11"/>
  <c r="P501" i="11"/>
  <c r="I501" i="11"/>
  <c r="O501" i="11"/>
  <c r="N501" i="11"/>
  <c r="Q501" i="11" s="1"/>
  <c r="T501" i="11"/>
  <c r="W501" i="11" s="1"/>
  <c r="V501" i="11"/>
  <c r="G524" i="11"/>
  <c r="H524" i="11"/>
  <c r="L524" i="11"/>
  <c r="P524" i="11"/>
  <c r="T524" i="11"/>
  <c r="X524" i="11"/>
  <c r="K524" i="11"/>
  <c r="Q524" i="11"/>
  <c r="V524" i="11"/>
  <c r="I524" i="11"/>
  <c r="N524" i="11"/>
  <c r="S524" i="11"/>
  <c r="Y524" i="11"/>
  <c r="O524" i="11"/>
  <c r="J524" i="11"/>
  <c r="M524" i="11"/>
  <c r="R524" i="11"/>
  <c r="U524" i="11"/>
  <c r="W524" i="11"/>
  <c r="M385" i="11"/>
  <c r="Y385" i="11"/>
  <c r="F387" i="11"/>
  <c r="F392" i="11" s="1"/>
  <c r="R385" i="11"/>
  <c r="S385" i="11"/>
  <c r="L385" i="11"/>
  <c r="X385" i="11"/>
  <c r="Y524" i="1"/>
  <c r="G431" i="11"/>
  <c r="M524" i="1"/>
  <c r="R524" i="1"/>
  <c r="S524" i="1"/>
  <c r="X524" i="1"/>
  <c r="J525" i="1"/>
  <c r="U525" i="1"/>
  <c r="H525" i="1"/>
  <c r="K525" i="1" s="1"/>
  <c r="I525" i="1"/>
  <c r="O525" i="1"/>
  <c r="T525" i="1"/>
  <c r="W525" i="1" s="1"/>
  <c r="V525" i="1"/>
  <c r="P525" i="1"/>
  <c r="N525" i="1"/>
  <c r="Q525" i="1" s="1"/>
  <c r="H221" i="1"/>
  <c r="K221" i="1" s="1"/>
  <c r="Y428" i="11"/>
  <c r="Y431" i="11" s="1"/>
  <c r="V383" i="11"/>
  <c r="L428" i="11"/>
  <c r="L431" i="11" s="1"/>
  <c r="M428" i="11"/>
  <c r="M431" i="11" s="1"/>
  <c r="J383" i="11"/>
  <c r="H383" i="11"/>
  <c r="K383" i="11" s="1"/>
  <c r="I383" i="11"/>
  <c r="T383" i="11"/>
  <c r="W383" i="11" s="1"/>
  <c r="R428" i="11"/>
  <c r="R431" i="11" s="1"/>
  <c r="S428" i="11"/>
  <c r="S431" i="11" s="1"/>
  <c r="X428" i="11"/>
  <c r="X431" i="11" s="1"/>
  <c r="O383" i="11"/>
  <c r="U383" i="11"/>
  <c r="N383" i="11"/>
  <c r="Q383" i="11" s="1"/>
  <c r="P383" i="11"/>
  <c r="H301" i="1"/>
  <c r="K301" i="1" s="1"/>
  <c r="N263" i="1"/>
  <c r="Q263" i="1" s="1"/>
  <c r="Y334" i="1"/>
  <c r="T267" i="1"/>
  <c r="W267" i="1" s="1"/>
  <c r="I293" i="1"/>
  <c r="P299" i="1"/>
  <c r="Y218" i="1"/>
  <c r="U335" i="1"/>
  <c r="O262" i="1"/>
  <c r="P272" i="1"/>
  <c r="J306" i="1"/>
  <c r="O241" i="1"/>
  <c r="H302" i="1"/>
  <c r="K302" i="1" s="1"/>
  <c r="T245" i="1"/>
  <c r="W245" i="1" s="1"/>
  <c r="J269" i="1"/>
  <c r="J240" i="1"/>
  <c r="N295" i="1"/>
  <c r="Q295" i="1" s="1"/>
  <c r="U246" i="1"/>
  <c r="R332" i="1"/>
  <c r="I299" i="1"/>
  <c r="L299" i="1" s="1"/>
  <c r="Y332" i="1"/>
  <c r="V244" i="1"/>
  <c r="I303" i="1"/>
  <c r="P248" i="1"/>
  <c r="T264" i="1"/>
  <c r="W264" i="1" s="1"/>
  <c r="T335" i="1"/>
  <c r="W335" i="1" s="1"/>
  <c r="I239" i="1"/>
  <c r="H297" i="1"/>
  <c r="K297" i="1" s="1"/>
  <c r="O242" i="1"/>
  <c r="S333" i="1"/>
  <c r="M215" i="1"/>
  <c r="O296" i="1"/>
  <c r="U287" i="1"/>
  <c r="I286" i="1"/>
  <c r="L286" i="1" s="1"/>
  <c r="Y220" i="1"/>
  <c r="F307" i="1"/>
  <c r="G307" i="1" s="1"/>
  <c r="U302" i="1"/>
  <c r="I238" i="1"/>
  <c r="P244" i="1"/>
  <c r="S244" i="1" s="1"/>
  <c r="H245" i="1"/>
  <c r="K245" i="1" s="1"/>
  <c r="V286" i="1"/>
  <c r="G285" i="1"/>
  <c r="I285" i="1" s="1"/>
  <c r="H300" i="1"/>
  <c r="K300" i="1" s="1"/>
  <c r="P291" i="1"/>
  <c r="T272" i="1"/>
  <c r="W272" i="1" s="1"/>
  <c r="V288" i="1"/>
  <c r="L334" i="1"/>
  <c r="M224" i="1"/>
  <c r="S219" i="1"/>
  <c r="I244" i="1"/>
  <c r="V246" i="1"/>
  <c r="V271" i="1"/>
  <c r="N239" i="1"/>
  <c r="Q239" i="1" s="1"/>
  <c r="O299" i="1"/>
  <c r="S299" i="1" s="1"/>
  <c r="H240" i="1"/>
  <c r="K240" i="1" s="1"/>
  <c r="N248" i="1"/>
  <c r="Q248" i="1" s="1"/>
  <c r="I298" i="1"/>
  <c r="L298" i="1" s="1"/>
  <c r="O304" i="1"/>
  <c r="M217" i="1"/>
  <c r="Y333" i="1"/>
  <c r="S332" i="1"/>
  <c r="I290" i="1"/>
  <c r="P266" i="1"/>
  <c r="H241" i="1"/>
  <c r="K241" i="1" s="1"/>
  <c r="J262" i="1"/>
  <c r="H287" i="1"/>
  <c r="K287" i="1" s="1"/>
  <c r="M221" i="1"/>
  <c r="J335" i="1"/>
  <c r="N290" i="1"/>
  <c r="Q290" i="1" s="1"/>
  <c r="P238" i="1"/>
  <c r="O269" i="1"/>
  <c r="J265" i="1"/>
  <c r="J266" i="1"/>
  <c r="N245" i="1"/>
  <c r="Q245" i="1" s="1"/>
  <c r="O271" i="1"/>
  <c r="P303" i="1"/>
  <c r="J300" i="1"/>
  <c r="N247" i="1"/>
  <c r="Q247" i="1" s="1"/>
  <c r="O291" i="1"/>
  <c r="V270" i="1"/>
  <c r="I272" i="1"/>
  <c r="I304" i="1"/>
  <c r="T295" i="1"/>
  <c r="W295" i="1" s="1"/>
  <c r="X333" i="1"/>
  <c r="M332" i="1"/>
  <c r="V242" i="1"/>
  <c r="P306" i="1"/>
  <c r="S306" i="1" s="1"/>
  <c r="V266" i="1"/>
  <c r="I247" i="1"/>
  <c r="P270" i="1"/>
  <c r="O335" i="1"/>
  <c r="O293" i="1"/>
  <c r="N301" i="1"/>
  <c r="Q301" i="1" s="1"/>
  <c r="L332" i="1"/>
  <c r="I292" i="1"/>
  <c r="I305" i="1"/>
  <c r="M305" i="1" s="1"/>
  <c r="U265" i="1"/>
  <c r="V289" i="1"/>
  <c r="V294" i="1"/>
  <c r="N297" i="1"/>
  <c r="Q297" i="1" s="1"/>
  <c r="O298" i="1"/>
  <c r="J264" i="1"/>
  <c r="H288" i="1"/>
  <c r="K288" i="1" s="1"/>
  <c r="S214" i="1"/>
  <c r="S225" i="1"/>
  <c r="F226" i="1"/>
  <c r="V263" i="1"/>
  <c r="V292" i="1"/>
  <c r="Y292" i="1" s="1"/>
  <c r="P305" i="1"/>
  <c r="H246" i="1"/>
  <c r="K246" i="1" s="1"/>
  <c r="J289" i="1"/>
  <c r="U294" i="1"/>
  <c r="U297" i="1"/>
  <c r="P296" i="1"/>
  <c r="H264" i="1"/>
  <c r="K264" i="1" s="1"/>
  <c r="S320" i="1"/>
  <c r="H335" i="1"/>
  <c r="K335" i="1" s="1"/>
  <c r="X334" i="1"/>
  <c r="P335" i="1"/>
  <c r="S335" i="1" s="1"/>
  <c r="N335" i="1"/>
  <c r="Q335" i="1" s="1"/>
  <c r="S222" i="1"/>
  <c r="P292" i="1"/>
  <c r="T292" i="1"/>
  <c r="W292" i="1" s="1"/>
  <c r="H305" i="1"/>
  <c r="K305" i="1" s="1"/>
  <c r="O305" i="1"/>
  <c r="P286" i="1"/>
  <c r="T286" i="1"/>
  <c r="W286" i="1" s="1"/>
  <c r="O239" i="1"/>
  <c r="P294" i="1"/>
  <c r="J294" i="1"/>
  <c r="U296" i="1"/>
  <c r="H296" i="1"/>
  <c r="K296" i="1" s="1"/>
  <c r="I264" i="1"/>
  <c r="P288" i="1"/>
  <c r="S288" i="1" s="1"/>
  <c r="S215" i="1"/>
  <c r="T305" i="1"/>
  <c r="W305" i="1" s="1"/>
  <c r="N305" i="1"/>
  <c r="Q305" i="1" s="1"/>
  <c r="V306" i="1"/>
  <c r="I265" i="1"/>
  <c r="N265" i="1"/>
  <c r="Q265" i="1" s="1"/>
  <c r="T246" i="1"/>
  <c r="W246" i="1" s="1"/>
  <c r="I246" i="1"/>
  <c r="L246" i="1" s="1"/>
  <c r="U266" i="1"/>
  <c r="N241" i="1"/>
  <c r="Q241" i="1" s="1"/>
  <c r="J286" i="1"/>
  <c r="O286" i="1"/>
  <c r="H239" i="1"/>
  <c r="K239" i="1" s="1"/>
  <c r="V239" i="1"/>
  <c r="Y239" i="1" s="1"/>
  <c r="T239" i="1"/>
  <c r="W239" i="1" s="1"/>
  <c r="P289" i="1"/>
  <c r="I289" i="1"/>
  <c r="L289" i="1" s="1"/>
  <c r="H294" i="1"/>
  <c r="K294" i="1" s="1"/>
  <c r="T294" i="1"/>
  <c r="W294" i="1" s="1"/>
  <c r="I294" i="1"/>
  <c r="O247" i="1"/>
  <c r="T297" i="1"/>
  <c r="W297" i="1" s="1"/>
  <c r="I297" i="1"/>
  <c r="T296" i="1"/>
  <c r="W296" i="1" s="1"/>
  <c r="I296" i="1"/>
  <c r="M296" i="1" s="1"/>
  <c r="I270" i="1"/>
  <c r="I262" i="1"/>
  <c r="U298" i="1"/>
  <c r="N298" i="1"/>
  <c r="Q298" i="1" s="1"/>
  <c r="O287" i="1"/>
  <c r="P287" i="1"/>
  <c r="N264" i="1"/>
  <c r="Q264" i="1" s="1"/>
  <c r="P264" i="1"/>
  <c r="N288" i="1"/>
  <c r="Q288" i="1" s="1"/>
  <c r="I288" i="1"/>
  <c r="U320" i="1"/>
  <c r="Y320" i="1"/>
  <c r="R334" i="1"/>
  <c r="H215" i="1"/>
  <c r="K215" i="1" s="1"/>
  <c r="Y214" i="1"/>
  <c r="S220" i="1"/>
  <c r="Y225" i="1"/>
  <c r="M222" i="1"/>
  <c r="Y219" i="1"/>
  <c r="V265" i="1"/>
  <c r="T265" i="1"/>
  <c r="W265" i="1" s="1"/>
  <c r="J246" i="1"/>
  <c r="P246" i="1"/>
  <c r="J239" i="1"/>
  <c r="M239" i="1" s="1"/>
  <c r="N289" i="1"/>
  <c r="Q289" i="1" s="1"/>
  <c r="T289" i="1"/>
  <c r="W289" i="1" s="1"/>
  <c r="O297" i="1"/>
  <c r="S297" i="1" s="1"/>
  <c r="J297" i="1"/>
  <c r="V298" i="1"/>
  <c r="T298" i="1"/>
  <c r="W298" i="1" s="1"/>
  <c r="J298" i="1"/>
  <c r="O264" i="1"/>
  <c r="J288" i="1"/>
  <c r="U288" i="1"/>
  <c r="M320" i="1"/>
  <c r="H214" i="1"/>
  <c r="K214" i="1" s="1"/>
  <c r="M220" i="1"/>
  <c r="H225" i="1"/>
  <c r="K225" i="1" s="1"/>
  <c r="Y222" i="1"/>
  <c r="H219" i="1"/>
  <c r="K219" i="1" s="1"/>
  <c r="U290" i="1"/>
  <c r="T290" i="1"/>
  <c r="W290" i="1" s="1"/>
  <c r="H292" i="1"/>
  <c r="K292" i="1" s="1"/>
  <c r="N292" i="1"/>
  <c r="Q292" i="1" s="1"/>
  <c r="J292" i="1"/>
  <c r="I242" i="1"/>
  <c r="J290" i="1"/>
  <c r="O292" i="1"/>
  <c r="P242" i="1"/>
  <c r="V305" i="1"/>
  <c r="U305" i="1"/>
  <c r="U306" i="1"/>
  <c r="O265" i="1"/>
  <c r="R265" i="1" s="1"/>
  <c r="P265" i="1"/>
  <c r="O246" i="1"/>
  <c r="R246" i="1" s="1"/>
  <c r="O266" i="1"/>
  <c r="S266" i="1" s="1"/>
  <c r="U241" i="1"/>
  <c r="X241" i="1" s="1"/>
  <c r="N286" i="1"/>
  <c r="Q286" i="1" s="1"/>
  <c r="U286" i="1"/>
  <c r="P239" i="1"/>
  <c r="O289" i="1"/>
  <c r="U289" i="1"/>
  <c r="X289" i="1" s="1"/>
  <c r="O294" i="1"/>
  <c r="R294" i="1" s="1"/>
  <c r="H247" i="1"/>
  <c r="K247" i="1" s="1"/>
  <c r="J247" i="1"/>
  <c r="V297" i="1"/>
  <c r="V296" i="1"/>
  <c r="N296" i="1"/>
  <c r="Q296" i="1" s="1"/>
  <c r="H270" i="1"/>
  <c r="K270" i="1" s="1"/>
  <c r="H262" i="1"/>
  <c r="K262" i="1" s="1"/>
  <c r="P262" i="1"/>
  <c r="P298" i="1"/>
  <c r="J287" i="1"/>
  <c r="M287" i="1" s="1"/>
  <c r="U264" i="1"/>
  <c r="Y264" i="1" s="1"/>
  <c r="T288" i="1"/>
  <c r="W288" i="1" s="1"/>
  <c r="V320" i="1"/>
  <c r="E43" i="35"/>
  <c r="E44" i="35" s="1"/>
  <c r="N431" i="11"/>
  <c r="T431" i="11"/>
  <c r="K431" i="11"/>
  <c r="L305" i="11"/>
  <c r="Y305" i="11"/>
  <c r="V431" i="11"/>
  <c r="P431" i="11"/>
  <c r="F431" i="11"/>
  <c r="U431" i="11"/>
  <c r="I431" i="11"/>
  <c r="H431" i="11"/>
  <c r="F416" i="11"/>
  <c r="J431" i="11"/>
  <c r="T238" i="1"/>
  <c r="W238" i="1" s="1"/>
  <c r="J238" i="1"/>
  <c r="H269" i="1"/>
  <c r="K269" i="1" s="1"/>
  <c r="U269" i="1"/>
  <c r="Y269" i="1" s="1"/>
  <c r="U244" i="1"/>
  <c r="N244" i="1"/>
  <c r="Q244" i="1" s="1"/>
  <c r="S224" i="1"/>
  <c r="O302" i="1"/>
  <c r="R302" i="1" s="1"/>
  <c r="T302" i="1"/>
  <c r="W302" i="1" s="1"/>
  <c r="I302" i="1"/>
  <c r="V238" i="1"/>
  <c r="Y238" i="1" s="1"/>
  <c r="N238" i="1"/>
  <c r="Q238" i="1" s="1"/>
  <c r="T293" i="1"/>
  <c r="W293" i="1" s="1"/>
  <c r="P269" i="1"/>
  <c r="T269" i="1"/>
  <c r="W269" i="1" s="1"/>
  <c r="N269" i="1"/>
  <c r="Q269" i="1" s="1"/>
  <c r="J244" i="1"/>
  <c r="H244" i="1"/>
  <c r="K244" i="1" s="1"/>
  <c r="I245" i="1"/>
  <c r="P245" i="1"/>
  <c r="S245" i="1" s="1"/>
  <c r="T271" i="1"/>
  <c r="W271" i="1" s="1"/>
  <c r="I271" i="1"/>
  <c r="L271" i="1" s="1"/>
  <c r="V303" i="1"/>
  <c r="U303" i="1"/>
  <c r="X303" i="1" s="1"/>
  <c r="H303" i="1"/>
  <c r="K303" i="1" s="1"/>
  <c r="V299" i="1"/>
  <c r="T299" i="1"/>
  <c r="W299" i="1" s="1"/>
  <c r="V300" i="1"/>
  <c r="I300" i="1"/>
  <c r="I240" i="1"/>
  <c r="V240" i="1"/>
  <c r="P240" i="1"/>
  <c r="S240" i="1" s="1"/>
  <c r="U291" i="1"/>
  <c r="H291" i="1"/>
  <c r="K291" i="1" s="1"/>
  <c r="I291" i="1"/>
  <c r="U248" i="1"/>
  <c r="O248" i="1"/>
  <c r="J272" i="1"/>
  <c r="O272" i="1"/>
  <c r="R272" i="1" s="1"/>
  <c r="N304" i="1"/>
  <c r="Q304" i="1" s="1"/>
  <c r="H304" i="1"/>
  <c r="K304" i="1" s="1"/>
  <c r="O295" i="1"/>
  <c r="I295" i="1"/>
  <c r="Y224" i="1"/>
  <c r="S218" i="1"/>
  <c r="Y217" i="1"/>
  <c r="M223" i="1"/>
  <c r="J302" i="1"/>
  <c r="P302" i="1"/>
  <c r="J245" i="1"/>
  <c r="V245" i="1"/>
  <c r="J271" i="1"/>
  <c r="N271" i="1"/>
  <c r="Q271" i="1" s="1"/>
  <c r="P271" i="1"/>
  <c r="J303" i="1"/>
  <c r="O303" i="1"/>
  <c r="N299" i="1"/>
  <c r="Q299" i="1" s="1"/>
  <c r="U299" i="1"/>
  <c r="O300" i="1"/>
  <c r="U300" i="1"/>
  <c r="N300" i="1"/>
  <c r="Q300" i="1" s="1"/>
  <c r="T240" i="1"/>
  <c r="W240" i="1" s="1"/>
  <c r="U240" i="1"/>
  <c r="V291" i="1"/>
  <c r="T291" i="1"/>
  <c r="W291" i="1" s="1"/>
  <c r="H248" i="1"/>
  <c r="K248" i="1" s="1"/>
  <c r="J248" i="1"/>
  <c r="I248" i="1"/>
  <c r="V272" i="1"/>
  <c r="U272" i="1"/>
  <c r="T304" i="1"/>
  <c r="W304" i="1" s="1"/>
  <c r="P304" i="1"/>
  <c r="J304" i="1"/>
  <c r="H295" i="1"/>
  <c r="K295" i="1" s="1"/>
  <c r="U295" i="1"/>
  <c r="P295" i="1"/>
  <c r="M218" i="1"/>
  <c r="H217" i="1"/>
  <c r="K217" i="1" s="1"/>
  <c r="V302" i="1"/>
  <c r="O263" i="1"/>
  <c r="H238" i="1"/>
  <c r="K238" i="1" s="1"/>
  <c r="O238" i="1"/>
  <c r="N293" i="1"/>
  <c r="Q293" i="1" s="1"/>
  <c r="O301" i="1"/>
  <c r="I269" i="1"/>
  <c r="T244" i="1"/>
  <c r="W244" i="1" s="1"/>
  <c r="U245" i="1"/>
  <c r="U271" i="1"/>
  <c r="N303" i="1"/>
  <c r="Q303" i="1" s="1"/>
  <c r="J299" i="1"/>
  <c r="T300" i="1"/>
  <c r="W300" i="1" s="1"/>
  <c r="N240" i="1"/>
  <c r="Q240" i="1" s="1"/>
  <c r="J291" i="1"/>
  <c r="V248" i="1"/>
  <c r="P268" i="1"/>
  <c r="H272" i="1"/>
  <c r="K272" i="1" s="1"/>
  <c r="U304" i="1"/>
  <c r="Y304" i="1" s="1"/>
  <c r="N243" i="1"/>
  <c r="Q243" i="1" s="1"/>
  <c r="J295" i="1"/>
  <c r="M295" i="1" s="1"/>
  <c r="V267" i="1"/>
  <c r="U268" i="1"/>
  <c r="I243" i="1"/>
  <c r="H216" i="1"/>
  <c r="K216" i="1" s="1"/>
  <c r="O267" i="1"/>
  <c r="H268" i="1"/>
  <c r="K268" i="1" s="1"/>
  <c r="J243" i="1"/>
  <c r="H223" i="1"/>
  <c r="K223" i="1" s="1"/>
  <c r="J263" i="1"/>
  <c r="H293" i="1"/>
  <c r="K293" i="1" s="1"/>
  <c r="I301" i="1"/>
  <c r="J301" i="1"/>
  <c r="U267" i="1"/>
  <c r="I268" i="1"/>
  <c r="L268" i="1" s="1"/>
  <c r="U243" i="1"/>
  <c r="Y216" i="1"/>
  <c r="O431" i="11"/>
  <c r="W431" i="11"/>
  <c r="H570" i="11"/>
  <c r="Q431" i="11"/>
  <c r="R305" i="11"/>
  <c r="I335" i="1"/>
  <c r="P130" i="19"/>
  <c r="J130" i="19"/>
  <c r="L130" i="19" s="1"/>
  <c r="K130" i="19"/>
  <c r="M333" i="1"/>
  <c r="R304" i="11"/>
  <c r="L304" i="11"/>
  <c r="Y304" i="11"/>
  <c r="R306" i="11"/>
  <c r="S305" i="11"/>
  <c r="X304" i="11"/>
  <c r="Y306" i="11"/>
  <c r="M305" i="11"/>
  <c r="V130" i="19"/>
  <c r="Q130" i="19"/>
  <c r="W130" i="19"/>
  <c r="G384" i="11"/>
  <c r="V384" i="11" s="1"/>
  <c r="V335" i="1"/>
  <c r="P243" i="11"/>
  <c r="V243" i="11"/>
  <c r="U243" i="11"/>
  <c r="N243" i="11"/>
  <c r="Q243" i="11" s="1"/>
  <c r="J243" i="11"/>
  <c r="I243" i="11"/>
  <c r="H243" i="11"/>
  <c r="K243" i="11" s="1"/>
  <c r="O243" i="11"/>
  <c r="T243" i="11"/>
  <c r="W243" i="11" s="1"/>
  <c r="P275" i="11"/>
  <c r="O275" i="11"/>
  <c r="U275" i="11"/>
  <c r="I275" i="11"/>
  <c r="N275" i="11"/>
  <c r="Q275" i="11" s="1"/>
  <c r="T275" i="11"/>
  <c r="W275" i="11" s="1"/>
  <c r="J275" i="11"/>
  <c r="V275" i="11"/>
  <c r="H275" i="11"/>
  <c r="K275" i="11" s="1"/>
  <c r="I263" i="11"/>
  <c r="N263" i="11"/>
  <c r="Q263" i="11" s="1"/>
  <c r="V263" i="11"/>
  <c r="T263" i="11"/>
  <c r="W263" i="11" s="1"/>
  <c r="J263" i="11"/>
  <c r="H263" i="11"/>
  <c r="K263" i="11" s="1"/>
  <c r="O263" i="11"/>
  <c r="P263" i="11"/>
  <c r="U263" i="11"/>
  <c r="I244" i="11"/>
  <c r="H244" i="11"/>
  <c r="K244" i="11" s="1"/>
  <c r="P244" i="11"/>
  <c r="T244" i="11"/>
  <c r="W244" i="11" s="1"/>
  <c r="N244" i="11"/>
  <c r="Q244" i="11" s="1"/>
  <c r="J244" i="11"/>
  <c r="O244" i="11"/>
  <c r="V244" i="11"/>
  <c r="U244" i="11"/>
  <c r="G233" i="11"/>
  <c r="F246" i="11"/>
  <c r="I210" i="11"/>
  <c r="H210" i="11"/>
  <c r="K210" i="11" s="1"/>
  <c r="P210" i="11"/>
  <c r="T210" i="11"/>
  <c r="W210" i="11" s="1"/>
  <c r="J210" i="11"/>
  <c r="N210" i="11"/>
  <c r="Q210" i="11" s="1"/>
  <c r="U210" i="11"/>
  <c r="O210" i="11"/>
  <c r="V210" i="11"/>
  <c r="H271" i="11"/>
  <c r="K271" i="11" s="1"/>
  <c r="P271" i="11"/>
  <c r="V271" i="11"/>
  <c r="T271" i="11"/>
  <c r="W271" i="11" s="1"/>
  <c r="U271" i="11"/>
  <c r="J271" i="11"/>
  <c r="I271" i="11"/>
  <c r="O271" i="11"/>
  <c r="N271" i="11"/>
  <c r="Q271" i="11" s="1"/>
  <c r="H217" i="11"/>
  <c r="K217" i="11" s="1"/>
  <c r="I217" i="11"/>
  <c r="O217" i="11"/>
  <c r="P217" i="11"/>
  <c r="V217" i="11"/>
  <c r="N217" i="11"/>
  <c r="Q217" i="11" s="1"/>
  <c r="J217" i="11"/>
  <c r="T217" i="11"/>
  <c r="W217" i="11" s="1"/>
  <c r="U217" i="11"/>
  <c r="O216" i="11"/>
  <c r="H216" i="11"/>
  <c r="K216" i="11" s="1"/>
  <c r="N216" i="11"/>
  <c r="Q216" i="11" s="1"/>
  <c r="J216" i="11"/>
  <c r="U216" i="11"/>
  <c r="V216" i="11"/>
  <c r="T216" i="11"/>
  <c r="W216" i="11" s="1"/>
  <c r="I216" i="11"/>
  <c r="P216" i="11"/>
  <c r="J307" i="11"/>
  <c r="M303" i="11"/>
  <c r="P307" i="11"/>
  <c r="S303" i="11"/>
  <c r="I221" i="11"/>
  <c r="H221" i="11"/>
  <c r="K221" i="11" s="1"/>
  <c r="P221" i="11"/>
  <c r="V221" i="11"/>
  <c r="J221" i="11"/>
  <c r="M221" i="11" s="1"/>
  <c r="O221" i="11"/>
  <c r="T221" i="11"/>
  <c r="W221" i="11" s="1"/>
  <c r="N221" i="11"/>
  <c r="Q221" i="11" s="1"/>
  <c r="U221" i="11"/>
  <c r="I274" i="11"/>
  <c r="O274" i="11"/>
  <c r="H274" i="11"/>
  <c r="K274" i="11" s="1"/>
  <c r="N274" i="11"/>
  <c r="Q274" i="11" s="1"/>
  <c r="J274" i="11"/>
  <c r="P274" i="11"/>
  <c r="U274" i="11"/>
  <c r="V274" i="11"/>
  <c r="T274" i="11"/>
  <c r="W274" i="11" s="1"/>
  <c r="H220" i="11"/>
  <c r="K220" i="11" s="1"/>
  <c r="O220" i="11"/>
  <c r="P220" i="11"/>
  <c r="I220" i="11"/>
  <c r="U220" i="11"/>
  <c r="N220" i="11"/>
  <c r="Q220" i="11" s="1"/>
  <c r="T220" i="11"/>
  <c r="W220" i="11" s="1"/>
  <c r="J220" i="11"/>
  <c r="V220" i="11"/>
  <c r="Y220" i="11" s="1"/>
  <c r="J276" i="11"/>
  <c r="V276" i="11"/>
  <c r="H276" i="11"/>
  <c r="K276" i="11" s="1"/>
  <c r="O276" i="11"/>
  <c r="I276" i="11"/>
  <c r="U276" i="11"/>
  <c r="P276" i="11"/>
  <c r="N276" i="11"/>
  <c r="Q276" i="11" s="1"/>
  <c r="T276" i="11"/>
  <c r="W276" i="11" s="1"/>
  <c r="H190" i="11"/>
  <c r="K190" i="11" s="1"/>
  <c r="S190" i="11"/>
  <c r="Y190" i="11"/>
  <c r="M190" i="11"/>
  <c r="S189" i="11"/>
  <c r="M189" i="11"/>
  <c r="H189" i="11"/>
  <c r="K189" i="11" s="1"/>
  <c r="Y189" i="11"/>
  <c r="I212" i="11"/>
  <c r="P212" i="11"/>
  <c r="J212" i="11"/>
  <c r="O212" i="11"/>
  <c r="U212" i="11"/>
  <c r="V212" i="11"/>
  <c r="H212" i="11"/>
  <c r="K212" i="11" s="1"/>
  <c r="N212" i="11"/>
  <c r="Q212" i="11" s="1"/>
  <c r="T212" i="11"/>
  <c r="W212" i="11" s="1"/>
  <c r="H267" i="11"/>
  <c r="K267" i="11" s="1"/>
  <c r="V267" i="11"/>
  <c r="I267" i="11"/>
  <c r="O267" i="11"/>
  <c r="N267" i="11"/>
  <c r="Q267" i="11" s="1"/>
  <c r="P267" i="11"/>
  <c r="T267" i="11"/>
  <c r="W267" i="11" s="1"/>
  <c r="U267" i="11"/>
  <c r="J267" i="11"/>
  <c r="M196" i="11"/>
  <c r="S196" i="11"/>
  <c r="H196" i="11"/>
  <c r="K196" i="11" s="1"/>
  <c r="Y196" i="11"/>
  <c r="G257" i="11"/>
  <c r="F279" i="11"/>
  <c r="G279" i="11" s="1"/>
  <c r="J272" i="11"/>
  <c r="N272" i="11"/>
  <c r="Q272" i="11" s="1"/>
  <c r="P272" i="11"/>
  <c r="H272" i="11"/>
  <c r="K272" i="11" s="1"/>
  <c r="O272" i="11"/>
  <c r="T272" i="11"/>
  <c r="W272" i="11" s="1"/>
  <c r="U272" i="11"/>
  <c r="V272" i="11"/>
  <c r="I272" i="11"/>
  <c r="I241" i="11"/>
  <c r="P241" i="11"/>
  <c r="V241" i="11"/>
  <c r="J241" i="11"/>
  <c r="O241" i="11"/>
  <c r="U241" i="11"/>
  <c r="N241" i="11"/>
  <c r="Q241" i="11" s="1"/>
  <c r="T241" i="11"/>
  <c r="W241" i="11" s="1"/>
  <c r="H241" i="11"/>
  <c r="K241" i="11" s="1"/>
  <c r="H290" i="1"/>
  <c r="K290" i="1" s="1"/>
  <c r="P290" i="1"/>
  <c r="S290" i="1" s="1"/>
  <c r="I263" i="1"/>
  <c r="P263" i="1"/>
  <c r="N242" i="1"/>
  <c r="Q242" i="1" s="1"/>
  <c r="H242" i="1"/>
  <c r="K242" i="1" s="1"/>
  <c r="V293" i="1"/>
  <c r="Y293" i="1" s="1"/>
  <c r="P293" i="1"/>
  <c r="T301" i="1"/>
  <c r="W301" i="1" s="1"/>
  <c r="U301" i="1"/>
  <c r="Y301" i="1" s="1"/>
  <c r="I306" i="1"/>
  <c r="T306" i="1"/>
  <c r="W306" i="1" s="1"/>
  <c r="H266" i="1"/>
  <c r="K266" i="1" s="1"/>
  <c r="T266" i="1"/>
  <c r="W266" i="1" s="1"/>
  <c r="P241" i="1"/>
  <c r="I241" i="1"/>
  <c r="V241" i="1"/>
  <c r="P247" i="1"/>
  <c r="U247" i="1"/>
  <c r="Y247" i="1" s="1"/>
  <c r="N270" i="1"/>
  <c r="Q270" i="1" s="1"/>
  <c r="U270" i="1"/>
  <c r="O270" i="1"/>
  <c r="N262" i="1"/>
  <c r="Q262" i="1" s="1"/>
  <c r="T262" i="1"/>
  <c r="W262" i="1" s="1"/>
  <c r="N267" i="1"/>
  <c r="Q267" i="1" s="1"/>
  <c r="P267" i="1"/>
  <c r="I267" i="1"/>
  <c r="L267" i="1" s="1"/>
  <c r="N268" i="1"/>
  <c r="Q268" i="1" s="1"/>
  <c r="T268" i="1"/>
  <c r="W268" i="1" s="1"/>
  <c r="T287" i="1"/>
  <c r="W287" i="1" s="1"/>
  <c r="V287" i="1"/>
  <c r="O243" i="1"/>
  <c r="H243" i="1"/>
  <c r="K243" i="1" s="1"/>
  <c r="Y223" i="1"/>
  <c r="M216" i="1"/>
  <c r="Y221" i="1"/>
  <c r="C7" i="39"/>
  <c r="M304" i="11"/>
  <c r="S306" i="11"/>
  <c r="V307" i="11"/>
  <c r="Y303" i="11"/>
  <c r="U307" i="11"/>
  <c r="X303" i="11"/>
  <c r="P239" i="11"/>
  <c r="N239" i="11"/>
  <c r="Q239" i="11" s="1"/>
  <c r="I239" i="11"/>
  <c r="O239" i="11"/>
  <c r="J239" i="11"/>
  <c r="T239" i="11"/>
  <c r="W239" i="11" s="1"/>
  <c r="V239" i="11"/>
  <c r="U239" i="11"/>
  <c r="H239" i="11"/>
  <c r="K239" i="11" s="1"/>
  <c r="P265" i="11"/>
  <c r="H265" i="11"/>
  <c r="K265" i="11" s="1"/>
  <c r="J265" i="11"/>
  <c r="I265" i="11"/>
  <c r="N265" i="11"/>
  <c r="Q265" i="11" s="1"/>
  <c r="U265" i="11"/>
  <c r="O265" i="11"/>
  <c r="V265" i="11"/>
  <c r="T265" i="11"/>
  <c r="W265" i="11" s="1"/>
  <c r="H195" i="11"/>
  <c r="K195" i="11" s="1"/>
  <c r="M195" i="11"/>
  <c r="Y195" i="11"/>
  <c r="S195" i="11"/>
  <c r="H235" i="11"/>
  <c r="K235" i="11" s="1"/>
  <c r="N235" i="11"/>
  <c r="Q235" i="11" s="1"/>
  <c r="T235" i="11"/>
  <c r="W235" i="11" s="1"/>
  <c r="V235" i="11"/>
  <c r="J235" i="11"/>
  <c r="O235" i="11"/>
  <c r="I235" i="11"/>
  <c r="P235" i="11"/>
  <c r="U235" i="11"/>
  <c r="G185" i="11"/>
  <c r="F198" i="11"/>
  <c r="O215" i="11"/>
  <c r="T215" i="11"/>
  <c r="W215" i="11" s="1"/>
  <c r="U215" i="11"/>
  <c r="I215" i="11"/>
  <c r="J215" i="11"/>
  <c r="H215" i="11"/>
  <c r="K215" i="11" s="1"/>
  <c r="P215" i="11"/>
  <c r="V215" i="11"/>
  <c r="N215" i="11"/>
  <c r="Q215" i="11" s="1"/>
  <c r="J273" i="11"/>
  <c r="O273" i="11"/>
  <c r="P273" i="11"/>
  <c r="U273" i="11"/>
  <c r="I273" i="11"/>
  <c r="H273" i="11"/>
  <c r="K273" i="11" s="1"/>
  <c r="V273" i="11"/>
  <c r="N273" i="11"/>
  <c r="Q273" i="11" s="1"/>
  <c r="T273" i="11"/>
  <c r="W273" i="11" s="1"/>
  <c r="H188" i="11"/>
  <c r="K188" i="11" s="1"/>
  <c r="S188" i="11"/>
  <c r="M188" i="11"/>
  <c r="Y188" i="11"/>
  <c r="P240" i="11"/>
  <c r="H240" i="11"/>
  <c r="K240" i="11" s="1"/>
  <c r="J240" i="11"/>
  <c r="N240" i="11"/>
  <c r="Q240" i="11" s="1"/>
  <c r="V240" i="11"/>
  <c r="I240" i="11"/>
  <c r="L240" i="11" s="1"/>
  <c r="O240" i="11"/>
  <c r="T240" i="11"/>
  <c r="W240" i="11" s="1"/>
  <c r="U240" i="11"/>
  <c r="I245" i="11"/>
  <c r="P245" i="11"/>
  <c r="V245" i="11"/>
  <c r="J245" i="11"/>
  <c r="H245" i="11"/>
  <c r="K245" i="11" s="1"/>
  <c r="O245" i="11"/>
  <c r="U245" i="11"/>
  <c r="N245" i="11"/>
  <c r="Q245" i="11" s="1"/>
  <c r="T245" i="11"/>
  <c r="W245" i="11" s="1"/>
  <c r="D7" i="39"/>
  <c r="F347" i="1"/>
  <c r="F319" i="11"/>
  <c r="M197" i="11"/>
  <c r="Y197" i="11"/>
  <c r="H197" i="11"/>
  <c r="K197" i="11" s="1"/>
  <c r="S197" i="11"/>
  <c r="H258" i="11"/>
  <c r="K258" i="11" s="1"/>
  <c r="N258" i="11"/>
  <c r="Q258" i="11" s="1"/>
  <c r="P258" i="11"/>
  <c r="U258" i="11"/>
  <c r="V258" i="11"/>
  <c r="T258" i="11"/>
  <c r="W258" i="11" s="1"/>
  <c r="I258" i="11"/>
  <c r="O258" i="11"/>
  <c r="J258" i="11"/>
  <c r="H269" i="11"/>
  <c r="K269" i="11" s="1"/>
  <c r="J269" i="11"/>
  <c r="T269" i="11"/>
  <c r="W269" i="11" s="1"/>
  <c r="V269" i="11"/>
  <c r="P269" i="11"/>
  <c r="N269" i="11"/>
  <c r="Q269" i="11" s="1"/>
  <c r="I269" i="11"/>
  <c r="O269" i="11"/>
  <c r="U269" i="11"/>
  <c r="H268" i="11"/>
  <c r="K268" i="11" s="1"/>
  <c r="P268" i="11"/>
  <c r="U268" i="11"/>
  <c r="N268" i="11"/>
  <c r="Q268" i="11" s="1"/>
  <c r="I268" i="11"/>
  <c r="T268" i="11"/>
  <c r="W268" i="11" s="1"/>
  <c r="J268" i="11"/>
  <c r="O268" i="11"/>
  <c r="V268" i="11"/>
  <c r="Y194" i="11"/>
  <c r="M194" i="11"/>
  <c r="S194" i="11"/>
  <c r="H194" i="11"/>
  <c r="K194" i="11" s="1"/>
  <c r="H264" i="11"/>
  <c r="K264" i="11" s="1"/>
  <c r="O264" i="11"/>
  <c r="T264" i="11"/>
  <c r="W264" i="11" s="1"/>
  <c r="J264" i="11"/>
  <c r="I264" i="11"/>
  <c r="P264" i="11"/>
  <c r="S264" i="11" s="1"/>
  <c r="U264" i="11"/>
  <c r="N264" i="11"/>
  <c r="Q264" i="11" s="1"/>
  <c r="V264" i="11"/>
  <c r="M191" i="11"/>
  <c r="Y191" i="11"/>
  <c r="H191" i="11"/>
  <c r="K191" i="11" s="1"/>
  <c r="S191" i="11"/>
  <c r="H237" i="11"/>
  <c r="K237" i="11" s="1"/>
  <c r="O237" i="11"/>
  <c r="P237" i="11"/>
  <c r="T237" i="11"/>
  <c r="W237" i="11" s="1"/>
  <c r="I237" i="11"/>
  <c r="L237" i="11" s="1"/>
  <c r="U237" i="11"/>
  <c r="J237" i="11"/>
  <c r="V237" i="11"/>
  <c r="N237" i="11"/>
  <c r="Q237" i="11" s="1"/>
  <c r="H260" i="11"/>
  <c r="K260" i="11" s="1"/>
  <c r="P260" i="11"/>
  <c r="U260" i="11"/>
  <c r="N260" i="11"/>
  <c r="Q260" i="11" s="1"/>
  <c r="I260" i="11"/>
  <c r="L260" i="11" s="1"/>
  <c r="J260" i="11"/>
  <c r="T260" i="11"/>
  <c r="W260" i="11" s="1"/>
  <c r="O260" i="11"/>
  <c r="V260" i="11"/>
  <c r="L306" i="11"/>
  <c r="H307" i="11"/>
  <c r="K307" i="11" s="1"/>
  <c r="K303" i="11"/>
  <c r="I307" i="11"/>
  <c r="L303" i="11"/>
  <c r="O307" i="11"/>
  <c r="R303" i="11"/>
  <c r="X305" i="11"/>
  <c r="D6" i="39"/>
  <c r="D14" i="21"/>
  <c r="D14" i="22"/>
  <c r="B13" i="21"/>
  <c r="C13" i="21"/>
  <c r="P211" i="11"/>
  <c r="J211" i="11"/>
  <c r="O211" i="11"/>
  <c r="I211" i="11"/>
  <c r="T211" i="11"/>
  <c r="W211" i="11" s="1"/>
  <c r="U211" i="11"/>
  <c r="H211" i="11"/>
  <c r="K211" i="11" s="1"/>
  <c r="N211" i="11"/>
  <c r="Q211" i="11" s="1"/>
  <c r="V211" i="11"/>
  <c r="J218" i="11"/>
  <c r="I218" i="11"/>
  <c r="O218" i="11"/>
  <c r="P218" i="11"/>
  <c r="V218" i="11"/>
  <c r="N218" i="11"/>
  <c r="Q218" i="11" s="1"/>
  <c r="T218" i="11"/>
  <c r="W218" i="11" s="1"/>
  <c r="H218" i="11"/>
  <c r="K218" i="11" s="1"/>
  <c r="U218" i="11"/>
  <c r="H186" i="11"/>
  <c r="K186" i="11" s="1"/>
  <c r="Y186" i="11"/>
  <c r="S186" i="11"/>
  <c r="M186" i="11"/>
  <c r="V277" i="11"/>
  <c r="J277" i="11"/>
  <c r="U277" i="11"/>
  <c r="T277" i="11"/>
  <c r="W277" i="11" s="1"/>
  <c r="I277" i="11"/>
  <c r="N277" i="11"/>
  <c r="Q277" i="11" s="1"/>
  <c r="O277" i="11"/>
  <c r="P277" i="11"/>
  <c r="H277" i="11"/>
  <c r="K277" i="11" s="1"/>
  <c r="J261" i="11"/>
  <c r="H261" i="11"/>
  <c r="K261" i="11" s="1"/>
  <c r="O261" i="11"/>
  <c r="U261" i="11"/>
  <c r="N261" i="11"/>
  <c r="Q261" i="11" s="1"/>
  <c r="P261" i="11"/>
  <c r="T261" i="11"/>
  <c r="W261" i="11" s="1"/>
  <c r="V261" i="11"/>
  <c r="I261" i="11"/>
  <c r="S192" i="11"/>
  <c r="M192" i="11"/>
  <c r="H192" i="11"/>
  <c r="K192" i="11" s="1"/>
  <c r="Y192" i="11"/>
  <c r="M187" i="11"/>
  <c r="S187" i="11"/>
  <c r="Y187" i="11"/>
  <c r="H187" i="11"/>
  <c r="K187" i="11" s="1"/>
  <c r="G209" i="11"/>
  <c r="F222" i="11"/>
  <c r="N270" i="11"/>
  <c r="Q270" i="11" s="1"/>
  <c r="V270" i="11"/>
  <c r="I270" i="11"/>
  <c r="J270" i="11"/>
  <c r="O270" i="11"/>
  <c r="P270" i="11"/>
  <c r="H270" i="11"/>
  <c r="K270" i="11" s="1"/>
  <c r="U270" i="11"/>
  <c r="T270" i="11"/>
  <c r="W270" i="11" s="1"/>
  <c r="H236" i="11"/>
  <c r="K236" i="11" s="1"/>
  <c r="P236" i="11"/>
  <c r="O236" i="11"/>
  <c r="J236" i="11"/>
  <c r="N236" i="11"/>
  <c r="Q236" i="11" s="1"/>
  <c r="T236" i="11"/>
  <c r="W236" i="11" s="1"/>
  <c r="V236" i="11"/>
  <c r="I236" i="11"/>
  <c r="U236" i="11"/>
  <c r="H266" i="11"/>
  <c r="K266" i="11" s="1"/>
  <c r="P266" i="11"/>
  <c r="N266" i="11"/>
  <c r="Q266" i="11" s="1"/>
  <c r="U266" i="11"/>
  <c r="V266" i="11"/>
  <c r="T266" i="11"/>
  <c r="W266" i="11" s="1"/>
  <c r="O266" i="11"/>
  <c r="I266" i="11"/>
  <c r="J266" i="11"/>
  <c r="V290" i="1"/>
  <c r="T263" i="1"/>
  <c r="W263" i="1" s="1"/>
  <c r="U263" i="1"/>
  <c r="J242" i="1"/>
  <c r="U242" i="1"/>
  <c r="X242" i="1" s="1"/>
  <c r="J293" i="1"/>
  <c r="P301" i="1"/>
  <c r="H306" i="1"/>
  <c r="K306" i="1" s="1"/>
  <c r="N306" i="1"/>
  <c r="Q306" i="1" s="1"/>
  <c r="I266" i="1"/>
  <c r="J241" i="1"/>
  <c r="F250" i="1"/>
  <c r="T247" i="1"/>
  <c r="W247" i="1" s="1"/>
  <c r="J270" i="1"/>
  <c r="V262" i="1"/>
  <c r="Y262" i="1" s="1"/>
  <c r="J267" i="1"/>
  <c r="O268" i="1"/>
  <c r="V268" i="1"/>
  <c r="N287" i="1"/>
  <c r="Q287" i="1" s="1"/>
  <c r="T243" i="1"/>
  <c r="W243" i="1" s="1"/>
  <c r="V243" i="1"/>
  <c r="P55" i="32"/>
  <c r="Q54" i="32"/>
  <c r="R54" i="32"/>
  <c r="S304" i="11"/>
  <c r="X306" i="11"/>
  <c r="M306" i="11"/>
  <c r="W303" i="11"/>
  <c r="T307" i="11"/>
  <c r="W307" i="11" s="1"/>
  <c r="N307" i="11"/>
  <c r="Q307" i="11" s="1"/>
  <c r="Q303" i="11"/>
  <c r="H219" i="11"/>
  <c r="K219" i="11" s="1"/>
  <c r="P219" i="11"/>
  <c r="U219" i="11"/>
  <c r="O219" i="11"/>
  <c r="T219" i="11"/>
  <c r="W219" i="11" s="1"/>
  <c r="I219" i="11"/>
  <c r="J219" i="11"/>
  <c r="N219" i="11"/>
  <c r="Q219" i="11" s="1"/>
  <c r="V219" i="11"/>
  <c r="I238" i="11"/>
  <c r="J238" i="11"/>
  <c r="N238" i="11"/>
  <c r="Q238" i="11" s="1"/>
  <c r="H238" i="11"/>
  <c r="K238" i="11" s="1"/>
  <c r="O238" i="11"/>
  <c r="U238" i="11"/>
  <c r="T238" i="11"/>
  <c r="W238" i="11" s="1"/>
  <c r="V238" i="11"/>
  <c r="P238" i="11"/>
  <c r="I213" i="11"/>
  <c r="N213" i="11"/>
  <c r="Q213" i="11" s="1"/>
  <c r="H213" i="11"/>
  <c r="K213" i="11" s="1"/>
  <c r="J213" i="11"/>
  <c r="V213" i="11"/>
  <c r="T213" i="11"/>
  <c r="W213" i="11" s="1"/>
  <c r="U213" i="11"/>
  <c r="P213" i="11"/>
  <c r="O213" i="11"/>
  <c r="H262" i="11"/>
  <c r="K262" i="11" s="1"/>
  <c r="I262" i="11"/>
  <c r="O262" i="11"/>
  <c r="J262" i="11"/>
  <c r="N262" i="11"/>
  <c r="Q262" i="11" s="1"/>
  <c r="P262" i="11"/>
  <c r="V262" i="11"/>
  <c r="U262" i="11"/>
  <c r="T262" i="11"/>
  <c r="W262" i="11" s="1"/>
  <c r="T242" i="11"/>
  <c r="W242" i="11" s="1"/>
  <c r="H242" i="11"/>
  <c r="K242" i="11" s="1"/>
  <c r="J242" i="11"/>
  <c r="O242" i="11"/>
  <c r="N242" i="11"/>
  <c r="Q242" i="11" s="1"/>
  <c r="I242" i="11"/>
  <c r="P242" i="11"/>
  <c r="U242" i="11"/>
  <c r="V242" i="11"/>
  <c r="J234" i="11"/>
  <c r="O234" i="11"/>
  <c r="N234" i="11"/>
  <c r="Q234" i="11" s="1"/>
  <c r="H234" i="11"/>
  <c r="K234" i="11" s="1"/>
  <c r="V234" i="11"/>
  <c r="I234" i="11"/>
  <c r="T234" i="11"/>
  <c r="W234" i="11" s="1"/>
  <c r="P234" i="11"/>
  <c r="U234" i="11"/>
  <c r="J214" i="11"/>
  <c r="P214" i="11"/>
  <c r="U214" i="11"/>
  <c r="I214" i="11"/>
  <c r="O214" i="11"/>
  <c r="H214" i="11"/>
  <c r="K214" i="11" s="1"/>
  <c r="T214" i="11"/>
  <c r="W214" i="11" s="1"/>
  <c r="N214" i="11"/>
  <c r="Q214" i="11" s="1"/>
  <c r="V214" i="11"/>
  <c r="I278" i="11"/>
  <c r="V278" i="11"/>
  <c r="N278" i="11"/>
  <c r="Q278" i="11" s="1"/>
  <c r="P278" i="11"/>
  <c r="J278" i="11"/>
  <c r="O278" i="11"/>
  <c r="U278" i="11"/>
  <c r="T278" i="11"/>
  <c r="W278" i="11" s="1"/>
  <c r="H278" i="11"/>
  <c r="K278" i="11" s="1"/>
  <c r="Y193" i="11"/>
  <c r="H193" i="11"/>
  <c r="K193" i="11" s="1"/>
  <c r="M193" i="11"/>
  <c r="S193" i="11"/>
  <c r="I259" i="11"/>
  <c r="V259" i="11"/>
  <c r="O259" i="11"/>
  <c r="J259" i="11"/>
  <c r="H259" i="11"/>
  <c r="K259" i="11" s="1"/>
  <c r="T259" i="11"/>
  <c r="W259" i="11" s="1"/>
  <c r="U259" i="11"/>
  <c r="P259" i="11"/>
  <c r="N259" i="11"/>
  <c r="Q259" i="11" s="1"/>
  <c r="D51" i="34"/>
  <c r="D43" i="34"/>
  <c r="E43" i="34" s="1"/>
  <c r="K124" i="19"/>
  <c r="P124" i="19"/>
  <c r="W124" i="19"/>
  <c r="J124" i="19"/>
  <c r="V124" i="19"/>
  <c r="Q124" i="19"/>
  <c r="G17" i="38"/>
  <c r="E17" i="38"/>
  <c r="C17" i="38"/>
  <c r="G416" i="11"/>
  <c r="G401" i="11"/>
  <c r="H401" i="11" s="1"/>
  <c r="F404" i="11"/>
  <c r="L402" i="11"/>
  <c r="R402" i="11"/>
  <c r="S382" i="11"/>
  <c r="Y382" i="11"/>
  <c r="K382" i="11"/>
  <c r="M402" i="11"/>
  <c r="Y402" i="11"/>
  <c r="R382" i="11"/>
  <c r="X382" i="11"/>
  <c r="S402" i="11"/>
  <c r="X402" i="11"/>
  <c r="J414" i="11"/>
  <c r="V414" i="11"/>
  <c r="O414" i="11"/>
  <c r="T414" i="11"/>
  <c r="N414" i="11"/>
  <c r="H414" i="11"/>
  <c r="U414" i="11"/>
  <c r="I414" i="11"/>
  <c r="P414" i="11"/>
  <c r="W382" i="11"/>
  <c r="J413" i="11"/>
  <c r="V413" i="11"/>
  <c r="N413" i="11"/>
  <c r="P413" i="11"/>
  <c r="I413" i="11"/>
  <c r="O413" i="11"/>
  <c r="T413" i="11"/>
  <c r="H413" i="11"/>
  <c r="U413" i="11"/>
  <c r="Q382" i="11"/>
  <c r="M382" i="11"/>
  <c r="L382" i="11"/>
  <c r="M213" i="1"/>
  <c r="H213" i="1"/>
  <c r="M129" i="19"/>
  <c r="L129" i="19"/>
  <c r="C35" i="17"/>
  <c r="C18" i="22" s="1"/>
  <c r="E36" i="17"/>
  <c r="B35" i="17"/>
  <c r="B18" i="22" s="1"/>
  <c r="F34" i="17"/>
  <c r="U34" i="17" s="1"/>
  <c r="Q34" i="17"/>
  <c r="K34" i="17"/>
  <c r="D34" i="17"/>
  <c r="S34" i="17" s="1"/>
  <c r="R34" i="17"/>
  <c r="N34" i="17"/>
  <c r="G226" i="1"/>
  <c r="S213" i="1"/>
  <c r="Y213" i="1"/>
  <c r="H273" i="1"/>
  <c r="K273" i="1" s="1"/>
  <c r="T273" i="1"/>
  <c r="W273" i="1" s="1"/>
  <c r="N273" i="1"/>
  <c r="Q273" i="1" s="1"/>
  <c r="I273" i="1"/>
  <c r="P273" i="1"/>
  <c r="J273" i="1"/>
  <c r="V273" i="1"/>
  <c r="U273" i="1"/>
  <c r="O273" i="1"/>
  <c r="F274" i="1"/>
  <c r="T249" i="1"/>
  <c r="W249" i="1" s="1"/>
  <c r="U249" i="1"/>
  <c r="J249" i="1"/>
  <c r="I249" i="1"/>
  <c r="N249" i="1"/>
  <c r="Q249" i="1" s="1"/>
  <c r="H249" i="1"/>
  <c r="K249" i="1" s="1"/>
  <c r="P249" i="1"/>
  <c r="V249" i="1"/>
  <c r="O249" i="1"/>
  <c r="P261" i="1"/>
  <c r="O261" i="1"/>
  <c r="J261" i="1"/>
  <c r="V261" i="1"/>
  <c r="U261" i="1"/>
  <c r="N261" i="1"/>
  <c r="H261" i="1"/>
  <c r="G274" i="1"/>
  <c r="I261" i="1"/>
  <c r="T261" i="1"/>
  <c r="U237" i="1"/>
  <c r="H237" i="1"/>
  <c r="N237" i="1"/>
  <c r="I237" i="1"/>
  <c r="G250" i="1"/>
  <c r="P237" i="1"/>
  <c r="T237" i="1"/>
  <c r="V237" i="1"/>
  <c r="J237" i="1"/>
  <c r="O237" i="1"/>
  <c r="H177" i="11"/>
  <c r="B22" i="33"/>
  <c r="B17" i="33"/>
  <c r="B16" i="33"/>
  <c r="R450" i="11" l="1"/>
  <c r="R452" i="11"/>
  <c r="R448" i="11"/>
  <c r="R471" i="11" s="1"/>
  <c r="L138" i="35" s="1"/>
  <c r="R453" i="11"/>
  <c r="O474" i="11"/>
  <c r="R449" i="11"/>
  <c r="K449" i="11"/>
  <c r="K472" i="11" s="1"/>
  <c r="K129" i="35" s="1"/>
  <c r="M448" i="11"/>
  <c r="S448" i="11"/>
  <c r="K448" i="11"/>
  <c r="S450" i="11"/>
  <c r="M452" i="11"/>
  <c r="Y467" i="11"/>
  <c r="Y476" i="11" s="1"/>
  <c r="M153" i="35" s="1"/>
  <c r="K450" i="11"/>
  <c r="S449" i="11"/>
  <c r="K453" i="11"/>
  <c r="K476" i="11" s="1"/>
  <c r="K133" i="35" s="1"/>
  <c r="K452" i="11"/>
  <c r="K475" i="11" s="1"/>
  <c r="K132" i="35" s="1"/>
  <c r="S451" i="11"/>
  <c r="S453" i="11"/>
  <c r="S476" i="11" s="1"/>
  <c r="M143" i="35" s="1"/>
  <c r="M449" i="11"/>
  <c r="X465" i="11"/>
  <c r="X474" i="11" s="1"/>
  <c r="L151" i="35" s="1"/>
  <c r="M451" i="11"/>
  <c r="M494" i="11"/>
  <c r="T130" i="35" s="1"/>
  <c r="M453" i="11"/>
  <c r="M476" i="11" s="1"/>
  <c r="M133" i="35" s="1"/>
  <c r="X463" i="11"/>
  <c r="X472" i="11" s="1"/>
  <c r="L149" i="35" s="1"/>
  <c r="S465" i="11"/>
  <c r="S474" i="11" s="1"/>
  <c r="M141" i="35" s="1"/>
  <c r="S463" i="11"/>
  <c r="S464" i="11"/>
  <c r="P471" i="11"/>
  <c r="Y465" i="11"/>
  <c r="Y474" i="11" s="1"/>
  <c r="M151" i="35" s="1"/>
  <c r="Y462" i="11"/>
  <c r="Y464" i="11"/>
  <c r="Y473" i="11" s="1"/>
  <c r="M150" i="35" s="1"/>
  <c r="Y466" i="11"/>
  <c r="Y475" i="11" s="1"/>
  <c r="M152" i="35" s="1"/>
  <c r="S466" i="11"/>
  <c r="S475" i="11" s="1"/>
  <c r="M142" i="35" s="1"/>
  <c r="S462" i="11"/>
  <c r="X462" i="11"/>
  <c r="X471" i="11" s="1"/>
  <c r="L148" i="35" s="1"/>
  <c r="V471" i="11"/>
  <c r="K471" i="11"/>
  <c r="K128" i="35" s="1"/>
  <c r="M464" i="11"/>
  <c r="M473" i="11" s="1"/>
  <c r="M130" i="35" s="1"/>
  <c r="J474" i="11"/>
  <c r="U475" i="11"/>
  <c r="L492" i="11"/>
  <c r="S128" i="35" s="1"/>
  <c r="U128" i="35" s="1"/>
  <c r="L462" i="11"/>
  <c r="L471" i="11" s="1"/>
  <c r="L128" i="35" s="1"/>
  <c r="L463" i="11"/>
  <c r="L472" i="11" s="1"/>
  <c r="L129" i="35" s="1"/>
  <c r="G472" i="11"/>
  <c r="F473" i="11"/>
  <c r="F472" i="11"/>
  <c r="L464" i="11"/>
  <c r="L473" i="11" s="1"/>
  <c r="L130" i="35" s="1"/>
  <c r="L465" i="11"/>
  <c r="L474" i="11" s="1"/>
  <c r="L131" i="35" s="1"/>
  <c r="N474" i="11"/>
  <c r="M462" i="11"/>
  <c r="X466" i="11"/>
  <c r="X475" i="11" s="1"/>
  <c r="L152" i="35" s="1"/>
  <c r="X464" i="11"/>
  <c r="X473" i="11" s="1"/>
  <c r="L150" i="35" s="1"/>
  <c r="M463" i="11"/>
  <c r="M466" i="11"/>
  <c r="M465" i="11"/>
  <c r="X495" i="11"/>
  <c r="S151" i="35" s="1"/>
  <c r="U151" i="35" s="1"/>
  <c r="R465" i="11"/>
  <c r="R474" i="11" s="1"/>
  <c r="L141" i="35" s="1"/>
  <c r="R464" i="11"/>
  <c r="R463" i="11"/>
  <c r="R466" i="11"/>
  <c r="R467" i="11"/>
  <c r="Y492" i="11"/>
  <c r="T148" i="35" s="1"/>
  <c r="L467" i="11"/>
  <c r="L476" i="11" s="1"/>
  <c r="L133" i="35" s="1"/>
  <c r="X264" i="11"/>
  <c r="M497" i="11"/>
  <c r="T133" i="35" s="1"/>
  <c r="Y495" i="11"/>
  <c r="T151" i="35" s="1"/>
  <c r="Y496" i="11"/>
  <c r="T152" i="35" s="1"/>
  <c r="X494" i="11"/>
  <c r="S150" i="35" s="1"/>
  <c r="X492" i="11"/>
  <c r="S148" i="35" s="1"/>
  <c r="U148" i="35" s="1"/>
  <c r="Y494" i="11"/>
  <c r="T150" i="35" s="1"/>
  <c r="X496" i="11"/>
  <c r="S152" i="35" s="1"/>
  <c r="U152" i="35" s="1"/>
  <c r="X493" i="11"/>
  <c r="S149" i="35" s="1"/>
  <c r="Y493" i="11"/>
  <c r="T149" i="35" s="1"/>
  <c r="X497" i="11"/>
  <c r="S153" i="35" s="1"/>
  <c r="U153" i="35" s="1"/>
  <c r="S492" i="11"/>
  <c r="T138" i="35" s="1"/>
  <c r="R497" i="11"/>
  <c r="S143" i="35" s="1"/>
  <c r="U143" i="35" s="1"/>
  <c r="S493" i="11"/>
  <c r="T139" i="35" s="1"/>
  <c r="L494" i="11"/>
  <c r="S130" i="35" s="1"/>
  <c r="U130" i="35" s="1"/>
  <c r="L496" i="11"/>
  <c r="S132" i="35" s="1"/>
  <c r="U132" i="35" s="1"/>
  <c r="M496" i="11"/>
  <c r="T132" i="35" s="1"/>
  <c r="L497" i="11"/>
  <c r="S133" i="35" s="1"/>
  <c r="U133" i="35" s="1"/>
  <c r="M493" i="11"/>
  <c r="T129" i="35" s="1"/>
  <c r="L495" i="11"/>
  <c r="S131" i="35" s="1"/>
  <c r="U131" i="35" s="1"/>
  <c r="M290" i="1"/>
  <c r="S495" i="11"/>
  <c r="T141" i="35" s="1"/>
  <c r="L493" i="11"/>
  <c r="S129" i="35" s="1"/>
  <c r="S497" i="11"/>
  <c r="T143" i="35" s="1"/>
  <c r="R493" i="11"/>
  <c r="S139" i="35" s="1"/>
  <c r="U139" i="35" s="1"/>
  <c r="S496" i="11"/>
  <c r="T142" i="35" s="1"/>
  <c r="R492" i="11"/>
  <c r="S138" i="35" s="1"/>
  <c r="U138" i="35" s="1"/>
  <c r="M492" i="11"/>
  <c r="T128" i="35" s="1"/>
  <c r="M495" i="11"/>
  <c r="T131" i="35" s="1"/>
  <c r="R495" i="11"/>
  <c r="S141" i="35" s="1"/>
  <c r="S494" i="11"/>
  <c r="T140" i="35" s="1"/>
  <c r="R494" i="11"/>
  <c r="S140" i="35" s="1"/>
  <c r="Y501" i="11"/>
  <c r="O506" i="11"/>
  <c r="R506" i="11" s="1"/>
  <c r="V506" i="11"/>
  <c r="H506" i="11"/>
  <c r="K506" i="11" s="1"/>
  <c r="U506" i="11"/>
  <c r="F508" i="11"/>
  <c r="T506" i="11"/>
  <c r="W506" i="11" s="1"/>
  <c r="I506" i="11"/>
  <c r="G508" i="11"/>
  <c r="J506" i="11"/>
  <c r="P506" i="11"/>
  <c r="M505" i="11"/>
  <c r="S505" i="11"/>
  <c r="Y505" i="11"/>
  <c r="R505" i="11"/>
  <c r="X505" i="11"/>
  <c r="L505" i="11"/>
  <c r="J503" i="11"/>
  <c r="N503" i="11"/>
  <c r="Q503" i="11" s="1"/>
  <c r="Q508" i="11" s="1"/>
  <c r="Y138" i="35" s="1"/>
  <c r="H503" i="11"/>
  <c r="K503" i="11" s="1"/>
  <c r="O503" i="11"/>
  <c r="I503" i="11"/>
  <c r="T503" i="11"/>
  <c r="W503" i="11" s="1"/>
  <c r="W509" i="11" s="1"/>
  <c r="P503" i="11"/>
  <c r="U503" i="11"/>
  <c r="V503" i="11"/>
  <c r="H476" i="11"/>
  <c r="H292" i="11"/>
  <c r="K292" i="11" s="1"/>
  <c r="V292" i="11"/>
  <c r="K473" i="11"/>
  <c r="K130" i="35" s="1"/>
  <c r="G474" i="11"/>
  <c r="U471" i="11"/>
  <c r="H474" i="11"/>
  <c r="W476" i="11"/>
  <c r="K153" i="35" s="1"/>
  <c r="T474" i="11"/>
  <c r="M292" i="11"/>
  <c r="Y292" i="11"/>
  <c r="S292" i="11"/>
  <c r="Y471" i="11"/>
  <c r="M148" i="35" s="1"/>
  <c r="G176" i="40"/>
  <c r="U186" i="40"/>
  <c r="J186" i="40"/>
  <c r="P186" i="40"/>
  <c r="N186" i="40"/>
  <c r="Q186" i="40" s="1"/>
  <c r="T186" i="40"/>
  <c r="W186" i="40" s="1"/>
  <c r="I186" i="40"/>
  <c r="O186" i="40"/>
  <c r="H186" i="40"/>
  <c r="K186" i="40" s="1"/>
  <c r="V186" i="40"/>
  <c r="Y186" i="40" s="1"/>
  <c r="S216" i="11"/>
  <c r="G196" i="40"/>
  <c r="J471" i="11"/>
  <c r="N475" i="11"/>
  <c r="I472" i="11"/>
  <c r="G471" i="11"/>
  <c r="O471" i="11"/>
  <c r="N472" i="11"/>
  <c r="J472" i="11"/>
  <c r="T473" i="11"/>
  <c r="I476" i="11"/>
  <c r="P473" i="11"/>
  <c r="T476" i="11"/>
  <c r="H472" i="11"/>
  <c r="F475" i="11"/>
  <c r="J475" i="11"/>
  <c r="T471" i="11"/>
  <c r="G138" i="40"/>
  <c r="R266" i="11"/>
  <c r="T472" i="11"/>
  <c r="V473" i="11"/>
  <c r="Q475" i="11"/>
  <c r="K142" i="35" s="1"/>
  <c r="G475" i="11"/>
  <c r="O472" i="11"/>
  <c r="N473" i="11"/>
  <c r="I471" i="11"/>
  <c r="H475" i="11"/>
  <c r="O473" i="11"/>
  <c r="U473" i="11"/>
  <c r="H473" i="11"/>
  <c r="T475" i="11"/>
  <c r="V472" i="11"/>
  <c r="P474" i="11"/>
  <c r="N476" i="11"/>
  <c r="N471" i="11"/>
  <c r="V474" i="11"/>
  <c r="I474" i="11"/>
  <c r="P472" i="11"/>
  <c r="O476" i="11"/>
  <c r="J473" i="11"/>
  <c r="W475" i="11"/>
  <c r="K152" i="35" s="1"/>
  <c r="W471" i="11"/>
  <c r="K148" i="35" s="1"/>
  <c r="Q471" i="11"/>
  <c r="K138" i="35" s="1"/>
  <c r="H471" i="11"/>
  <c r="W472" i="11"/>
  <c r="K149" i="35" s="1"/>
  <c r="Y472" i="11"/>
  <c r="M149" i="35" s="1"/>
  <c r="I473" i="11"/>
  <c r="J476" i="11"/>
  <c r="G473" i="11"/>
  <c r="I475" i="11"/>
  <c r="Q472" i="11"/>
  <c r="K139" i="35" s="1"/>
  <c r="W474" i="11"/>
  <c r="K151" i="35" s="1"/>
  <c r="K474" i="11"/>
  <c r="K131" i="35" s="1"/>
  <c r="U476" i="11"/>
  <c r="F476" i="11"/>
  <c r="P475" i="11"/>
  <c r="O475" i="11"/>
  <c r="F474" i="11"/>
  <c r="V475" i="11"/>
  <c r="U472" i="11"/>
  <c r="U474" i="11"/>
  <c r="V476" i="11"/>
  <c r="P476" i="11"/>
  <c r="F471" i="11"/>
  <c r="W473" i="11"/>
  <c r="K150" i="35" s="1"/>
  <c r="Q476" i="11"/>
  <c r="K143" i="35" s="1"/>
  <c r="Q474" i="11"/>
  <c r="K141" i="35" s="1"/>
  <c r="Q473" i="11"/>
  <c r="K140" i="35" s="1"/>
  <c r="G476" i="11"/>
  <c r="L475" i="11"/>
  <c r="L132" i="35" s="1"/>
  <c r="X476" i="11"/>
  <c r="L153" i="35" s="1"/>
  <c r="R504" i="11"/>
  <c r="S504" i="11"/>
  <c r="M504" i="11"/>
  <c r="Y504" i="11"/>
  <c r="R260" i="11"/>
  <c r="X504" i="11"/>
  <c r="L264" i="11"/>
  <c r="M210" i="11"/>
  <c r="Y297" i="1"/>
  <c r="C19" i="38"/>
  <c r="C22" i="38" s="1"/>
  <c r="E19" i="38"/>
  <c r="E22" i="38" s="1"/>
  <c r="C18" i="38"/>
  <c r="G18" i="38"/>
  <c r="G19" i="38"/>
  <c r="G22" i="38" s="1"/>
  <c r="E18" i="38"/>
  <c r="E21" i="38" s="1"/>
  <c r="R268" i="1"/>
  <c r="M267" i="1"/>
  <c r="R292" i="1"/>
  <c r="AH95" i="35"/>
  <c r="AH148" i="35"/>
  <c r="S142" i="35"/>
  <c r="U142" i="35" s="1"/>
  <c r="AG115" i="35"/>
  <c r="AG95" i="35"/>
  <c r="AH128" i="35"/>
  <c r="AF138" i="35"/>
  <c r="AF95" i="35"/>
  <c r="AH105" i="35"/>
  <c r="AF148" i="35"/>
  <c r="AF128" i="35"/>
  <c r="AG128" i="35"/>
  <c r="E43" i="43"/>
  <c r="F7" i="44"/>
  <c r="AG138" i="35"/>
  <c r="AF105" i="35"/>
  <c r="AH138" i="35"/>
  <c r="AF115" i="35"/>
  <c r="AG105" i="35"/>
  <c r="AH115" i="35"/>
  <c r="AG148" i="35"/>
  <c r="T153" i="35"/>
  <c r="G347" i="1"/>
  <c r="I347" i="1" s="1"/>
  <c r="F394" i="11"/>
  <c r="F390" i="11"/>
  <c r="S274" i="11"/>
  <c r="F395" i="11"/>
  <c r="F391" i="11"/>
  <c r="L501" i="11"/>
  <c r="X501" i="11"/>
  <c r="R501" i="11"/>
  <c r="M278" i="11"/>
  <c r="S501" i="11"/>
  <c r="M501" i="11"/>
  <c r="M525" i="1"/>
  <c r="F509" i="11"/>
  <c r="G509" i="11"/>
  <c r="F393" i="11"/>
  <c r="F525" i="11"/>
  <c r="I525" i="11"/>
  <c r="M525" i="11"/>
  <c r="Q525" i="11"/>
  <c r="U525" i="11"/>
  <c r="Y525" i="11"/>
  <c r="H525" i="11"/>
  <c r="N525" i="11"/>
  <c r="S525" i="11"/>
  <c r="X525" i="11"/>
  <c r="K525" i="11"/>
  <c r="P525" i="11"/>
  <c r="V525" i="11"/>
  <c r="G525" i="11"/>
  <c r="R525" i="11"/>
  <c r="L525" i="11"/>
  <c r="O525" i="11"/>
  <c r="J525" i="11"/>
  <c r="T525" i="11"/>
  <c r="W525" i="11"/>
  <c r="G387" i="11"/>
  <c r="V387" i="11"/>
  <c r="V390" i="11" s="1"/>
  <c r="Y525" i="1"/>
  <c r="S383" i="11"/>
  <c r="R243" i="1"/>
  <c r="X525" i="1"/>
  <c r="R525" i="1"/>
  <c r="S525" i="1"/>
  <c r="L525" i="1"/>
  <c r="L301" i="1"/>
  <c r="X239" i="1"/>
  <c r="M266" i="1"/>
  <c r="M293" i="1"/>
  <c r="Y302" i="1"/>
  <c r="M383" i="11"/>
  <c r="M306" i="1"/>
  <c r="M269" i="1"/>
  <c r="L383" i="11"/>
  <c r="M299" i="1"/>
  <c r="R263" i="1"/>
  <c r="F417" i="11"/>
  <c r="R383" i="11"/>
  <c r="Y383" i="11"/>
  <c r="X383" i="11"/>
  <c r="R268" i="11"/>
  <c r="R243" i="11"/>
  <c r="Y261" i="11"/>
  <c r="R270" i="11"/>
  <c r="M274" i="11"/>
  <c r="L268" i="11"/>
  <c r="M263" i="11"/>
  <c r="S238" i="11"/>
  <c r="L242" i="11"/>
  <c r="R235" i="11"/>
  <c r="M220" i="11"/>
  <c r="X267" i="1"/>
  <c r="M243" i="1"/>
  <c r="Y335" i="1"/>
  <c r="S262" i="1"/>
  <c r="R305" i="1"/>
  <c r="M242" i="1"/>
  <c r="Y287" i="1"/>
  <c r="M300" i="1"/>
  <c r="S298" i="1"/>
  <c r="M297" i="1"/>
  <c r="Y265" i="1"/>
  <c r="X246" i="1"/>
  <c r="R295" i="1"/>
  <c r="L302" i="1"/>
  <c r="X264" i="1"/>
  <c r="T285" i="1"/>
  <c r="W285" i="1" s="1"/>
  <c r="S286" i="1"/>
  <c r="X245" i="1"/>
  <c r="M246" i="1"/>
  <c r="M286" i="1"/>
  <c r="S241" i="1"/>
  <c r="Y246" i="1"/>
  <c r="X305" i="1"/>
  <c r="S296" i="1"/>
  <c r="R248" i="1"/>
  <c r="M270" i="1"/>
  <c r="Y270" i="1"/>
  <c r="Y241" i="1"/>
  <c r="L245" i="1"/>
  <c r="M262" i="1"/>
  <c r="R290" i="1"/>
  <c r="X272" i="1"/>
  <c r="M272" i="1"/>
  <c r="S242" i="1"/>
  <c r="R239" i="1"/>
  <c r="Y286" i="1"/>
  <c r="M298" i="1"/>
  <c r="X298" i="1"/>
  <c r="R286" i="1"/>
  <c r="M264" i="1"/>
  <c r="Y289" i="1"/>
  <c r="Y288" i="1"/>
  <c r="Y244" i="1"/>
  <c r="M303" i="1"/>
  <c r="N285" i="1"/>
  <c r="N307" i="1" s="1"/>
  <c r="Q307" i="1" s="1"/>
  <c r="J285" i="1"/>
  <c r="J307" i="1" s="1"/>
  <c r="X335" i="1"/>
  <c r="Y298" i="1"/>
  <c r="V285" i="1"/>
  <c r="V307" i="1" s="1"/>
  <c r="L297" i="1"/>
  <c r="L241" i="1"/>
  <c r="S293" i="1"/>
  <c r="M335" i="1"/>
  <c r="S265" i="1"/>
  <c r="P285" i="1"/>
  <c r="P307" i="1" s="1"/>
  <c r="S304" i="1"/>
  <c r="S239" i="1"/>
  <c r="Y306" i="1"/>
  <c r="R264" i="1"/>
  <c r="S264" i="1"/>
  <c r="R247" i="1"/>
  <c r="Y266" i="1"/>
  <c r="M265" i="1"/>
  <c r="X296" i="1"/>
  <c r="Y294" i="1"/>
  <c r="L292" i="1"/>
  <c r="R335" i="1"/>
  <c r="S291" i="1"/>
  <c r="X295" i="1"/>
  <c r="U285" i="1"/>
  <c r="H285" i="1"/>
  <c r="K285" i="1" s="1"/>
  <c r="S238" i="1"/>
  <c r="L240" i="1"/>
  <c r="M238" i="1"/>
  <c r="L262" i="1"/>
  <c r="S305" i="1"/>
  <c r="O285" i="1"/>
  <c r="O307" i="1" s="1"/>
  <c r="M244" i="1"/>
  <c r="L288" i="1"/>
  <c r="R296" i="1"/>
  <c r="R291" i="1"/>
  <c r="S271" i="1"/>
  <c r="S269" i="1"/>
  <c r="M304" i="1"/>
  <c r="L287" i="1"/>
  <c r="R245" i="1"/>
  <c r="S270" i="1"/>
  <c r="R301" i="1"/>
  <c r="M247" i="1"/>
  <c r="X290" i="1"/>
  <c r="M288" i="1"/>
  <c r="S287" i="1"/>
  <c r="M289" i="1"/>
  <c r="S246" i="1"/>
  <c r="M294" i="1"/>
  <c r="R266" i="1"/>
  <c r="X286" i="1"/>
  <c r="R298" i="1"/>
  <c r="R297" i="1"/>
  <c r="L264" i="1"/>
  <c r="X288" i="1"/>
  <c r="Y263" i="1"/>
  <c r="S289" i="1"/>
  <c r="M292" i="1"/>
  <c r="L270" i="1"/>
  <c r="X294" i="1"/>
  <c r="S294" i="1"/>
  <c r="X265" i="1"/>
  <c r="Y290" i="1"/>
  <c r="R241" i="1"/>
  <c r="X292" i="1"/>
  <c r="X297" i="1"/>
  <c r="Y296" i="1"/>
  <c r="R288" i="1"/>
  <c r="L239" i="1"/>
  <c r="S292" i="1"/>
  <c r="S247" i="1"/>
  <c r="Y305" i="1"/>
  <c r="L294" i="1"/>
  <c r="L305" i="1"/>
  <c r="L247" i="1"/>
  <c r="R289" i="1"/>
  <c r="L265" i="1"/>
  <c r="L296" i="1"/>
  <c r="I7" i="37"/>
  <c r="M240" i="1"/>
  <c r="X240" i="1"/>
  <c r="S234" i="11"/>
  <c r="Y238" i="11"/>
  <c r="Y219" i="11"/>
  <c r="M266" i="11"/>
  <c r="Y266" i="11"/>
  <c r="R277" i="11"/>
  <c r="S218" i="11"/>
  <c r="L307" i="11"/>
  <c r="Y260" i="11"/>
  <c r="X237" i="11"/>
  <c r="X269" i="11"/>
  <c r="X235" i="11"/>
  <c r="L272" i="11"/>
  <c r="S220" i="11"/>
  <c r="Y274" i="11"/>
  <c r="X221" i="11"/>
  <c r="Y216" i="11"/>
  <c r="M217" i="11"/>
  <c r="Y210" i="11"/>
  <c r="X263" i="11"/>
  <c r="R267" i="1"/>
  <c r="S295" i="1"/>
  <c r="X300" i="1"/>
  <c r="M271" i="1"/>
  <c r="M302" i="1"/>
  <c r="R244" i="1"/>
  <c r="S226" i="1"/>
  <c r="U384" i="11"/>
  <c r="U387" i="11" s="1"/>
  <c r="S248" i="1"/>
  <c r="R271" i="1"/>
  <c r="Y299" i="1"/>
  <c r="X293" i="1"/>
  <c r="L238" i="1"/>
  <c r="L244" i="1"/>
  <c r="Y272" i="1"/>
  <c r="X291" i="1"/>
  <c r="L248" i="1"/>
  <c r="Y248" i="1"/>
  <c r="M301" i="1"/>
  <c r="S261" i="11"/>
  <c r="Y211" i="11"/>
  <c r="L271" i="11"/>
  <c r="R244" i="11"/>
  <c r="S236" i="11"/>
  <c r="X277" i="11"/>
  <c r="M238" i="11"/>
  <c r="M219" i="11"/>
  <c r="X217" i="11"/>
  <c r="M244" i="11"/>
  <c r="R263" i="11"/>
  <c r="Y275" i="11"/>
  <c r="X271" i="1"/>
  <c r="L293" i="1"/>
  <c r="L295" i="1"/>
  <c r="R432" i="11"/>
  <c r="W432" i="11"/>
  <c r="G432" i="11"/>
  <c r="O432" i="11"/>
  <c r="M432" i="11"/>
  <c r="I432" i="11"/>
  <c r="N432" i="11"/>
  <c r="K432" i="11"/>
  <c r="Q432" i="11"/>
  <c r="X432" i="11"/>
  <c r="G417" i="11"/>
  <c r="H571" i="11"/>
  <c r="U432" i="11"/>
  <c r="V432" i="11"/>
  <c r="H432" i="11"/>
  <c r="F432" i="11"/>
  <c r="L432" i="11"/>
  <c r="S432" i="11"/>
  <c r="F405" i="11"/>
  <c r="T432" i="11"/>
  <c r="J432" i="11"/>
  <c r="P432" i="11"/>
  <c r="Y432" i="11"/>
  <c r="X244" i="1"/>
  <c r="X302" i="1"/>
  <c r="X238" i="1"/>
  <c r="Y291" i="1"/>
  <c r="R303" i="1"/>
  <c r="S303" i="1"/>
  <c r="Y271" i="1"/>
  <c r="X269" i="1"/>
  <c r="L304" i="1"/>
  <c r="R299" i="1"/>
  <c r="M268" i="1"/>
  <c r="Y268" i="1"/>
  <c r="R300" i="1"/>
  <c r="M291" i="1"/>
  <c r="Y240" i="1"/>
  <c r="L291" i="1"/>
  <c r="L300" i="1"/>
  <c r="R293" i="1"/>
  <c r="L303" i="1"/>
  <c r="Y295" i="1"/>
  <c r="X299" i="1"/>
  <c r="X248" i="1"/>
  <c r="Y245" i="1"/>
  <c r="L272" i="1"/>
  <c r="Y267" i="1"/>
  <c r="Y300" i="1"/>
  <c r="R240" i="1"/>
  <c r="M248" i="1"/>
  <c r="M245" i="1"/>
  <c r="L269" i="1"/>
  <c r="Y303" i="1"/>
  <c r="S302" i="1"/>
  <c r="R304" i="1"/>
  <c r="M263" i="1"/>
  <c r="L243" i="1"/>
  <c r="L290" i="1"/>
  <c r="S263" i="1"/>
  <c r="R238" i="1"/>
  <c r="S272" i="1"/>
  <c r="S300" i="1"/>
  <c r="R269" i="1"/>
  <c r="X304" i="1"/>
  <c r="N384" i="11"/>
  <c r="S301" i="1"/>
  <c r="S267" i="1"/>
  <c r="Y243" i="1"/>
  <c r="L335" i="1"/>
  <c r="L263" i="1"/>
  <c r="X259" i="11"/>
  <c r="R278" i="11"/>
  <c r="Y278" i="11"/>
  <c r="R214" i="11"/>
  <c r="M214" i="11"/>
  <c r="Y242" i="11"/>
  <c r="M242" i="11"/>
  <c r="S262" i="11"/>
  <c r="L262" i="11"/>
  <c r="X213" i="11"/>
  <c r="X261" i="11"/>
  <c r="S211" i="11"/>
  <c r="R237" i="11"/>
  <c r="S269" i="11"/>
  <c r="X245" i="11"/>
  <c r="L273" i="11"/>
  <c r="M235" i="11"/>
  <c r="X265" i="11"/>
  <c r="Y239" i="11"/>
  <c r="L239" i="11"/>
  <c r="X307" i="11"/>
  <c r="M241" i="11"/>
  <c r="R272" i="11"/>
  <c r="X267" i="11"/>
  <c r="R267" i="11"/>
  <c r="L212" i="11"/>
  <c r="X276" i="11"/>
  <c r="L221" i="11"/>
  <c r="R217" i="11"/>
  <c r="R271" i="11"/>
  <c r="L210" i="11"/>
  <c r="Y244" i="11"/>
  <c r="L263" i="11"/>
  <c r="R275" i="11"/>
  <c r="X243" i="11"/>
  <c r="X266" i="11"/>
  <c r="M130" i="19"/>
  <c r="M241" i="1"/>
  <c r="X243" i="1"/>
  <c r="R270" i="1"/>
  <c r="Y270" i="11"/>
  <c r="R264" i="11"/>
  <c r="M268" i="11"/>
  <c r="R269" i="11"/>
  <c r="M258" i="11"/>
  <c r="R245" i="11"/>
  <c r="S235" i="11"/>
  <c r="L267" i="11"/>
  <c r="L276" i="11"/>
  <c r="R210" i="11"/>
  <c r="O384" i="11"/>
  <c r="O387" i="11" s="1"/>
  <c r="O394" i="11" s="1"/>
  <c r="J384" i="11"/>
  <c r="J387" i="11" s="1"/>
  <c r="S215" i="11"/>
  <c r="R265" i="11"/>
  <c r="X239" i="11"/>
  <c r="R239" i="11"/>
  <c r="R241" i="11"/>
  <c r="M267" i="11"/>
  <c r="R234" i="11"/>
  <c r="S242" i="11"/>
  <c r="X262" i="11"/>
  <c r="R213" i="11"/>
  <c r="X238" i="11"/>
  <c r="L236" i="11"/>
  <c r="R211" i="11"/>
  <c r="Y273" i="11"/>
  <c r="S273" i="11"/>
  <c r="Y215" i="11"/>
  <c r="S239" i="11"/>
  <c r="S241" i="11"/>
  <c r="X272" i="11"/>
  <c r="S221" i="11"/>
  <c r="M271" i="11"/>
  <c r="X210" i="11"/>
  <c r="S210" i="11"/>
  <c r="L275" i="11"/>
  <c r="M243" i="11"/>
  <c r="S243" i="11"/>
  <c r="X270" i="1"/>
  <c r="R242" i="1"/>
  <c r="M226" i="1"/>
  <c r="X301" i="1"/>
  <c r="R262" i="1"/>
  <c r="L266" i="1"/>
  <c r="X268" i="1"/>
  <c r="S268" i="1"/>
  <c r="X266" i="1"/>
  <c r="S243" i="1"/>
  <c r="X287" i="1"/>
  <c r="I384" i="11"/>
  <c r="I387" i="11" s="1"/>
  <c r="P384" i="11"/>
  <c r="P387" i="11" s="1"/>
  <c r="P392" i="11" s="1"/>
  <c r="H384" i="11"/>
  <c r="K384" i="11" s="1"/>
  <c r="K387" i="11" s="1"/>
  <c r="K390" i="11" s="1"/>
  <c r="T384" i="11"/>
  <c r="R306" i="1"/>
  <c r="R287" i="1"/>
  <c r="X306" i="1"/>
  <c r="D575" i="1"/>
  <c r="F575" i="1" s="1"/>
  <c r="X247" i="1"/>
  <c r="L306" i="1"/>
  <c r="Y242" i="1"/>
  <c r="X262" i="1"/>
  <c r="L242" i="1"/>
  <c r="Y226" i="1"/>
  <c r="R259" i="11"/>
  <c r="S278" i="11"/>
  <c r="Y214" i="11"/>
  <c r="L234" i="11"/>
  <c r="M262" i="11"/>
  <c r="Y213" i="11"/>
  <c r="L213" i="11"/>
  <c r="X219" i="11"/>
  <c r="Q55" i="32"/>
  <c r="R55" i="32"/>
  <c r="M236" i="11"/>
  <c r="L277" i="11"/>
  <c r="Y277" i="11"/>
  <c r="L218" i="11"/>
  <c r="C14" i="21"/>
  <c r="D15" i="22"/>
  <c r="B14" i="21"/>
  <c r="D15" i="21"/>
  <c r="R307" i="11"/>
  <c r="X260" i="11"/>
  <c r="Y237" i="11"/>
  <c r="Y264" i="11"/>
  <c r="S268" i="11"/>
  <c r="L269" i="11"/>
  <c r="R258" i="11"/>
  <c r="X258" i="11"/>
  <c r="G319" i="11"/>
  <c r="L245" i="11"/>
  <c r="L215" i="11"/>
  <c r="L235" i="11"/>
  <c r="Y265" i="11"/>
  <c r="L265" i="11"/>
  <c r="M239" i="11"/>
  <c r="Y307" i="11"/>
  <c r="X241" i="11"/>
  <c r="S272" i="11"/>
  <c r="I257" i="11"/>
  <c r="J257" i="11"/>
  <c r="N257" i="11"/>
  <c r="O257" i="11"/>
  <c r="U257" i="11"/>
  <c r="T257" i="11"/>
  <c r="H257" i="11"/>
  <c r="P257" i="11"/>
  <c r="V257" i="11"/>
  <c r="S267" i="11"/>
  <c r="Y267" i="11"/>
  <c r="M212" i="11"/>
  <c r="R276" i="11"/>
  <c r="X220" i="11"/>
  <c r="R274" i="11"/>
  <c r="S307" i="11"/>
  <c r="L216" i="11"/>
  <c r="M216" i="11"/>
  <c r="Y217" i="11"/>
  <c r="S271" i="11"/>
  <c r="G246" i="11"/>
  <c r="H233" i="11"/>
  <c r="J233" i="11"/>
  <c r="P233" i="11"/>
  <c r="I233" i="11"/>
  <c r="O233" i="11"/>
  <c r="U233" i="11"/>
  <c r="N233" i="11"/>
  <c r="V233" i="11"/>
  <c r="T233" i="11"/>
  <c r="Y263" i="11"/>
  <c r="X263" i="1"/>
  <c r="C8" i="39"/>
  <c r="Y259" i="11"/>
  <c r="X278" i="11"/>
  <c r="L214" i="11"/>
  <c r="X234" i="11"/>
  <c r="Y234" i="11"/>
  <c r="M234" i="11"/>
  <c r="Y262" i="11"/>
  <c r="R262" i="11"/>
  <c r="S213" i="11"/>
  <c r="M213" i="11"/>
  <c r="R238" i="11"/>
  <c r="L238" i="11"/>
  <c r="L219" i="11"/>
  <c r="S219" i="11"/>
  <c r="S266" i="11"/>
  <c r="Y236" i="11"/>
  <c r="R236" i="11"/>
  <c r="X270" i="11"/>
  <c r="M270" i="11"/>
  <c r="R261" i="11"/>
  <c r="S277" i="11"/>
  <c r="X218" i="11"/>
  <c r="Y218" i="11"/>
  <c r="M218" i="11"/>
  <c r="X211" i="11"/>
  <c r="M211" i="11"/>
  <c r="M260" i="11"/>
  <c r="S260" i="11"/>
  <c r="M237" i="11"/>
  <c r="S237" i="11"/>
  <c r="M264" i="11"/>
  <c r="Y268" i="11"/>
  <c r="M269" i="11"/>
  <c r="L258" i="11"/>
  <c r="S258" i="11"/>
  <c r="M245" i="11"/>
  <c r="X240" i="11"/>
  <c r="Y240" i="11"/>
  <c r="S240" i="11"/>
  <c r="R273" i="11"/>
  <c r="X215" i="11"/>
  <c r="G198" i="11"/>
  <c r="H185" i="11"/>
  <c r="M185" i="11"/>
  <c r="M198" i="11" s="1"/>
  <c r="S185" i="11"/>
  <c r="S198" i="11" s="1"/>
  <c r="Y185" i="11"/>
  <c r="Y198" i="11" s="1"/>
  <c r="M265" i="11"/>
  <c r="L241" i="11"/>
  <c r="Y212" i="11"/>
  <c r="S212" i="11"/>
  <c r="S276" i="11"/>
  <c r="L220" i="11"/>
  <c r="L274" i="11"/>
  <c r="R221" i="11"/>
  <c r="S217" i="11"/>
  <c r="X271" i="11"/>
  <c r="X244" i="11"/>
  <c r="L244" i="11"/>
  <c r="M275" i="11"/>
  <c r="X275" i="11"/>
  <c r="H5" i="34"/>
  <c r="H5" i="36" s="1"/>
  <c r="L259" i="11"/>
  <c r="X214" i="11"/>
  <c r="L270" i="11"/>
  <c r="G222" i="11"/>
  <c r="H209" i="11"/>
  <c r="O209" i="11"/>
  <c r="N209" i="11"/>
  <c r="I209" i="11"/>
  <c r="J209" i="11"/>
  <c r="P209" i="11"/>
  <c r="V209" i="11"/>
  <c r="T209" i="11"/>
  <c r="U209" i="11"/>
  <c r="F51" i="34"/>
  <c r="F43" i="34"/>
  <c r="G43" i="34" s="1"/>
  <c r="D585" i="1"/>
  <c r="F585" i="1" s="1"/>
  <c r="Y245" i="11"/>
  <c r="M273" i="11"/>
  <c r="M272" i="11"/>
  <c r="X212" i="11"/>
  <c r="Y276" i="11"/>
  <c r="M307" i="11"/>
  <c r="D8" i="39"/>
  <c r="J5" i="34"/>
  <c r="J5" i="36" s="1"/>
  <c r="E51" i="34"/>
  <c r="S259" i="11"/>
  <c r="M259" i="11"/>
  <c r="L278" i="11"/>
  <c r="S214" i="11"/>
  <c r="X242" i="11"/>
  <c r="R242" i="11"/>
  <c r="R219" i="11"/>
  <c r="L266" i="11"/>
  <c r="X236" i="11"/>
  <c r="S270" i="11"/>
  <c r="L261" i="11"/>
  <c r="M261" i="11"/>
  <c r="M277" i="11"/>
  <c r="R218" i="11"/>
  <c r="L211" i="11"/>
  <c r="X268" i="11"/>
  <c r="Y269" i="11"/>
  <c r="Y258" i="11"/>
  <c r="F52" i="34"/>
  <c r="F44" i="34"/>
  <c r="D586" i="1"/>
  <c r="F586" i="1" s="1"/>
  <c r="S245" i="11"/>
  <c r="R240" i="11"/>
  <c r="M240" i="11"/>
  <c r="X273" i="11"/>
  <c r="M215" i="11"/>
  <c r="R215" i="11"/>
  <c r="Y235" i="11"/>
  <c r="S265" i="11"/>
  <c r="D44" i="34"/>
  <c r="Y241" i="11"/>
  <c r="Y272" i="11"/>
  <c r="R212" i="11"/>
  <c r="M276" i="11"/>
  <c r="R220" i="11"/>
  <c r="X274" i="11"/>
  <c r="Y221" i="11"/>
  <c r="X216" i="11"/>
  <c r="R216" i="11"/>
  <c r="L217" i="11"/>
  <c r="Y271" i="11"/>
  <c r="S244" i="11"/>
  <c r="S263" i="11"/>
  <c r="S275" i="11"/>
  <c r="L243" i="11"/>
  <c r="Y243" i="11"/>
  <c r="R249" i="1"/>
  <c r="V401" i="11"/>
  <c r="O416" i="11"/>
  <c r="O417" i="11"/>
  <c r="V417" i="11"/>
  <c r="V416" i="11"/>
  <c r="U417" i="11"/>
  <c r="U416" i="11"/>
  <c r="I417" i="11"/>
  <c r="I416" i="11"/>
  <c r="J417" i="11"/>
  <c r="J416" i="11"/>
  <c r="H417" i="11"/>
  <c r="H416" i="11"/>
  <c r="P417" i="11"/>
  <c r="P416" i="11"/>
  <c r="T417" i="11"/>
  <c r="T416" i="11"/>
  <c r="N417" i="11"/>
  <c r="N416" i="11"/>
  <c r="J401" i="11"/>
  <c r="N401" i="11"/>
  <c r="U401" i="11"/>
  <c r="O401" i="11"/>
  <c r="I401" i="11"/>
  <c r="P401" i="11"/>
  <c r="P404" i="11" s="1"/>
  <c r="T401" i="11"/>
  <c r="T405" i="11" s="1"/>
  <c r="K401" i="11"/>
  <c r="H405" i="11"/>
  <c r="H404" i="11"/>
  <c r="G404" i="11"/>
  <c r="G405" i="11"/>
  <c r="R413" i="11"/>
  <c r="Q413" i="11"/>
  <c r="X414" i="11"/>
  <c r="R414" i="11"/>
  <c r="X413" i="11"/>
  <c r="L413" i="11"/>
  <c r="Y413" i="11"/>
  <c r="S414" i="11"/>
  <c r="K414" i="11"/>
  <c r="Y414" i="11"/>
  <c r="K413" i="11"/>
  <c r="M413" i="11"/>
  <c r="L414" i="11"/>
  <c r="Q414" i="11"/>
  <c r="M414" i="11"/>
  <c r="W413" i="11"/>
  <c r="S413" i="11"/>
  <c r="W414" i="11"/>
  <c r="E45" i="35"/>
  <c r="I8" i="37"/>
  <c r="C36" i="17"/>
  <c r="C19" i="22" s="1"/>
  <c r="B36" i="17"/>
  <c r="B19" i="22" s="1"/>
  <c r="E37" i="17"/>
  <c r="N35" i="17"/>
  <c r="R35" i="17"/>
  <c r="K35" i="17"/>
  <c r="F35" i="17"/>
  <c r="U35" i="17" s="1"/>
  <c r="Q35" i="17"/>
  <c r="D35" i="17"/>
  <c r="S35" i="17" s="1"/>
  <c r="H226" i="1"/>
  <c r="K226" i="1" s="1"/>
  <c r="K213" i="1"/>
  <c r="R273" i="1"/>
  <c r="Y249" i="1"/>
  <c r="L249" i="1"/>
  <c r="X273" i="1"/>
  <c r="S273" i="1"/>
  <c r="L273" i="1"/>
  <c r="P274" i="1"/>
  <c r="S249" i="1"/>
  <c r="M249" i="1"/>
  <c r="Y273" i="1"/>
  <c r="X249" i="1"/>
  <c r="M273" i="1"/>
  <c r="O250" i="1"/>
  <c r="R237" i="1"/>
  <c r="K237" i="1"/>
  <c r="H250" i="1"/>
  <c r="K250" i="1" s="1"/>
  <c r="I307" i="1"/>
  <c r="Q261" i="1"/>
  <c r="N274" i="1"/>
  <c r="J250" i="1"/>
  <c r="M237" i="1"/>
  <c r="U274" i="1"/>
  <c r="X261" i="1"/>
  <c r="T250" i="1"/>
  <c r="W250" i="1" s="1"/>
  <c r="W237" i="1"/>
  <c r="N250" i="1"/>
  <c r="Q250" i="1" s="1"/>
  <c r="Q237" i="1"/>
  <c r="K261" i="1"/>
  <c r="H274" i="1"/>
  <c r="J274" i="1"/>
  <c r="M261" i="1"/>
  <c r="S237" i="1"/>
  <c r="P250" i="1"/>
  <c r="W261" i="1"/>
  <c r="T274" i="1"/>
  <c r="S261" i="1"/>
  <c r="O274" i="1"/>
  <c r="R261" i="1"/>
  <c r="X237" i="1"/>
  <c r="U250" i="1"/>
  <c r="I274" i="1"/>
  <c r="L261" i="1"/>
  <c r="Y237" i="1"/>
  <c r="V250" i="1"/>
  <c r="L237" i="1"/>
  <c r="I250" i="1"/>
  <c r="Y261" i="1"/>
  <c r="V274" i="1"/>
  <c r="H204" i="1"/>
  <c r="J204" i="1" s="1"/>
  <c r="B25" i="33"/>
  <c r="C25" i="33" s="1"/>
  <c r="C22" i="33"/>
  <c r="H205" i="1"/>
  <c r="J205" i="1" s="1"/>
  <c r="B26" i="33"/>
  <c r="C26" i="33" s="1"/>
  <c r="B53" i="33" s="1"/>
  <c r="G560" i="1" s="1"/>
  <c r="J177" i="11"/>
  <c r="G177" i="11"/>
  <c r="R475" i="11" l="1"/>
  <c r="L142" i="35" s="1"/>
  <c r="N142" i="35" s="1"/>
  <c r="R473" i="11"/>
  <c r="L140" i="35" s="1"/>
  <c r="N140" i="35" s="1"/>
  <c r="R472" i="11"/>
  <c r="L139" i="35" s="1"/>
  <c r="N139" i="35" s="1"/>
  <c r="R476" i="11"/>
  <c r="L143" i="35" s="1"/>
  <c r="N143" i="35" s="1"/>
  <c r="M472" i="11"/>
  <c r="M129" i="35" s="1"/>
  <c r="O129" i="35" s="1"/>
  <c r="M475" i="11"/>
  <c r="M132" i="35" s="1"/>
  <c r="O132" i="35" s="1"/>
  <c r="M471" i="11"/>
  <c r="M128" i="35" s="1"/>
  <c r="O128" i="35" s="1"/>
  <c r="S472" i="11"/>
  <c r="M139" i="35" s="1"/>
  <c r="M474" i="11"/>
  <c r="M131" i="35" s="1"/>
  <c r="O131" i="35" s="1"/>
  <c r="S471" i="11"/>
  <c r="M138" i="35" s="1"/>
  <c r="O138" i="35" s="1"/>
  <c r="S473" i="11"/>
  <c r="M140" i="35" s="1"/>
  <c r="K508" i="11"/>
  <c r="Y128" i="35" s="1"/>
  <c r="L506" i="11"/>
  <c r="S506" i="11"/>
  <c r="J509" i="11"/>
  <c r="Y506" i="11"/>
  <c r="V509" i="11"/>
  <c r="G561" i="1"/>
  <c r="B23" i="45"/>
  <c r="E23" i="45" s="1"/>
  <c r="P509" i="11"/>
  <c r="M506" i="11"/>
  <c r="X506" i="11"/>
  <c r="I509" i="11"/>
  <c r="T509" i="11"/>
  <c r="T508" i="11"/>
  <c r="K509" i="11"/>
  <c r="Y129" i="35" s="1"/>
  <c r="J508" i="11"/>
  <c r="V508" i="11"/>
  <c r="W508" i="11"/>
  <c r="Y148" i="35" s="1"/>
  <c r="Q509" i="11"/>
  <c r="Y139" i="35" s="1"/>
  <c r="I508" i="11"/>
  <c r="N508" i="11"/>
  <c r="X503" i="11"/>
  <c r="R503" i="11"/>
  <c r="R508" i="11" s="1"/>
  <c r="Z138" i="35" s="1"/>
  <c r="N509" i="11"/>
  <c r="H509" i="11"/>
  <c r="H508" i="11"/>
  <c r="U509" i="11"/>
  <c r="U508" i="11"/>
  <c r="S503" i="11"/>
  <c r="O508" i="11"/>
  <c r="O509" i="11"/>
  <c r="P508" i="11"/>
  <c r="Y503" i="11"/>
  <c r="Y508" i="11" s="1"/>
  <c r="AA148" i="35" s="1"/>
  <c r="M503" i="11"/>
  <c r="M508" i="11" s="1"/>
  <c r="AA128" i="35" s="1"/>
  <c r="L503" i="11"/>
  <c r="R186" i="40"/>
  <c r="L186" i="40"/>
  <c r="M186" i="40"/>
  <c r="X186" i="40"/>
  <c r="H176" i="40"/>
  <c r="K176" i="40" s="1"/>
  <c r="O176" i="40"/>
  <c r="U176" i="40"/>
  <c r="T176" i="40"/>
  <c r="W176" i="40" s="1"/>
  <c r="J176" i="40"/>
  <c r="V176" i="40"/>
  <c r="N176" i="40"/>
  <c r="Q176" i="40" s="1"/>
  <c r="I176" i="40"/>
  <c r="P176" i="40"/>
  <c r="S186" i="40"/>
  <c r="M138" i="40"/>
  <c r="V138" i="40"/>
  <c r="H138" i="40"/>
  <c r="K138" i="40" s="1"/>
  <c r="Y138" i="40"/>
  <c r="U138" i="40"/>
  <c r="S138" i="40"/>
  <c r="I177" i="11"/>
  <c r="V141" i="35"/>
  <c r="P347" i="1"/>
  <c r="C20" i="38"/>
  <c r="C23" i="38" s="1"/>
  <c r="G20" i="38"/>
  <c r="G23" i="38" s="1"/>
  <c r="H20" i="38" s="1"/>
  <c r="E20" i="38"/>
  <c r="E23" i="38" s="1"/>
  <c r="F21" i="38" s="1"/>
  <c r="G21" i="38"/>
  <c r="N347" i="1"/>
  <c r="Q347" i="1" s="1"/>
  <c r="J347" i="1"/>
  <c r="M347" i="1" s="1"/>
  <c r="U347" i="1"/>
  <c r="O347" i="1"/>
  <c r="V347" i="1"/>
  <c r="T347" i="1"/>
  <c r="W347" i="1" s="1"/>
  <c r="H347" i="1"/>
  <c r="K347" i="1" s="1"/>
  <c r="V132" i="35"/>
  <c r="O153" i="35"/>
  <c r="O152" i="35"/>
  <c r="AG62" i="35"/>
  <c r="N138" i="35"/>
  <c r="V149" i="35"/>
  <c r="O150" i="35"/>
  <c r="N129" i="35"/>
  <c r="V140" i="35"/>
  <c r="N131" i="35"/>
  <c r="N148" i="35"/>
  <c r="AH82" i="35"/>
  <c r="AI138" i="35"/>
  <c r="AH62" i="35"/>
  <c r="V129" i="35"/>
  <c r="O141" i="35"/>
  <c r="AG82" i="35"/>
  <c r="AH72" i="35"/>
  <c r="N152" i="35"/>
  <c r="AI128" i="35"/>
  <c r="AF62" i="35"/>
  <c r="O130" i="35"/>
  <c r="N128" i="35"/>
  <c r="AJ138" i="35"/>
  <c r="V131" i="35"/>
  <c r="O148" i="35"/>
  <c r="AJ115" i="35"/>
  <c r="V152" i="35"/>
  <c r="V142" i="35"/>
  <c r="AJ128" i="35"/>
  <c r="AI115" i="35"/>
  <c r="U129" i="35"/>
  <c r="N130" i="35"/>
  <c r="AG72" i="35"/>
  <c r="O151" i="35"/>
  <c r="N133" i="35"/>
  <c r="N149" i="35"/>
  <c r="AI105" i="35"/>
  <c r="N141" i="35"/>
  <c r="N153" i="35"/>
  <c r="N151" i="35"/>
  <c r="V150" i="35"/>
  <c r="AF82" i="35"/>
  <c r="AJ95" i="35"/>
  <c r="U141" i="35"/>
  <c r="V133" i="35"/>
  <c r="AI148" i="35"/>
  <c r="AI95" i="35"/>
  <c r="AF96" i="35"/>
  <c r="AH149" i="35"/>
  <c r="N150" i="35"/>
  <c r="R95" i="35"/>
  <c r="R62" i="35" s="1"/>
  <c r="AH106" i="35"/>
  <c r="AG116" i="35"/>
  <c r="AF116" i="35"/>
  <c r="AF149" i="35"/>
  <c r="AG129" i="35"/>
  <c r="AF139" i="35"/>
  <c r="O149" i="35"/>
  <c r="O133" i="35"/>
  <c r="AJ105" i="35"/>
  <c r="U149" i="35"/>
  <c r="AF72" i="35"/>
  <c r="AG149" i="35"/>
  <c r="AH116" i="35"/>
  <c r="AH139" i="35"/>
  <c r="AF106" i="35"/>
  <c r="AH96" i="35"/>
  <c r="AG106" i="35"/>
  <c r="AJ148" i="35"/>
  <c r="N132" i="35"/>
  <c r="AG139" i="35"/>
  <c r="AF129" i="35"/>
  <c r="AH129" i="35"/>
  <c r="Y149" i="35"/>
  <c r="F8" i="44"/>
  <c r="E44" i="43"/>
  <c r="U140" i="35"/>
  <c r="V153" i="35"/>
  <c r="V148" i="35"/>
  <c r="V139" i="35"/>
  <c r="V138" i="35"/>
  <c r="V196" i="40"/>
  <c r="I196" i="40"/>
  <c r="J196" i="40"/>
  <c r="N196" i="40"/>
  <c r="H196" i="40"/>
  <c r="O196" i="40"/>
  <c r="P196" i="40"/>
  <c r="T196" i="40"/>
  <c r="U196" i="40"/>
  <c r="V143" i="35"/>
  <c r="V128" i="35"/>
  <c r="U150" i="35"/>
  <c r="V130" i="35"/>
  <c r="AG96" i="35"/>
  <c r="V151" i="35"/>
  <c r="G510" i="11"/>
  <c r="K510" i="11"/>
  <c r="O510" i="11"/>
  <c r="W510" i="11"/>
  <c r="H510" i="11"/>
  <c r="P510" i="11"/>
  <c r="T510" i="11"/>
  <c r="I510" i="11"/>
  <c r="Q510" i="11"/>
  <c r="U510" i="11"/>
  <c r="J510" i="11"/>
  <c r="N510" i="11"/>
  <c r="V510" i="11"/>
  <c r="F510" i="11"/>
  <c r="F526" i="11"/>
  <c r="J526" i="11"/>
  <c r="N526" i="11"/>
  <c r="R526" i="11"/>
  <c r="K526" i="11"/>
  <c r="P526" i="11"/>
  <c r="U526" i="11"/>
  <c r="Y526" i="11"/>
  <c r="H526" i="11"/>
  <c r="M526" i="11"/>
  <c r="S526" i="11"/>
  <c r="W526" i="11"/>
  <c r="I526" i="11"/>
  <c r="T526" i="11"/>
  <c r="O526" i="11"/>
  <c r="L526" i="11"/>
  <c r="V526" i="11"/>
  <c r="X526" i="11"/>
  <c r="G526" i="11"/>
  <c r="Q526" i="11"/>
  <c r="V395" i="11"/>
  <c r="H387" i="11"/>
  <c r="H392" i="11" s="1"/>
  <c r="V391" i="11"/>
  <c r="U391" i="11"/>
  <c r="U395" i="11"/>
  <c r="U390" i="11"/>
  <c r="U393" i="11"/>
  <c r="U392" i="11"/>
  <c r="V393" i="11"/>
  <c r="V394" i="11"/>
  <c r="V392" i="11"/>
  <c r="J395" i="11"/>
  <c r="J390" i="11"/>
  <c r="J391" i="11"/>
  <c r="J394" i="11"/>
  <c r="J393" i="11"/>
  <c r="J392" i="11"/>
  <c r="I392" i="11"/>
  <c r="I394" i="11"/>
  <c r="I393" i="11"/>
  <c r="I391" i="11"/>
  <c r="I395" i="11"/>
  <c r="I390" i="11"/>
  <c r="U394" i="11"/>
  <c r="G391" i="11"/>
  <c r="G392" i="11"/>
  <c r="G390" i="11"/>
  <c r="G393" i="11"/>
  <c r="G394" i="11"/>
  <c r="G395" i="11"/>
  <c r="N387" i="11"/>
  <c r="N392" i="11" s="1"/>
  <c r="T387" i="11"/>
  <c r="T394" i="11" s="1"/>
  <c r="K393" i="11"/>
  <c r="D52" i="34"/>
  <c r="J6" i="34" s="1"/>
  <c r="J6" i="36" s="1"/>
  <c r="D576" i="1"/>
  <c r="F576" i="1" s="1"/>
  <c r="K394" i="11"/>
  <c r="K395" i="11"/>
  <c r="I6" i="34"/>
  <c r="I6" i="36" s="1"/>
  <c r="K6" i="34"/>
  <c r="K6" i="36" s="1"/>
  <c r="H6" i="34"/>
  <c r="H6" i="36" s="1"/>
  <c r="K391" i="11"/>
  <c r="Q285" i="1"/>
  <c r="K392" i="11"/>
  <c r="O392" i="11"/>
  <c r="O390" i="11"/>
  <c r="L285" i="1"/>
  <c r="F418" i="11"/>
  <c r="P393" i="11"/>
  <c r="P391" i="11"/>
  <c r="P390" i="11"/>
  <c r="P394" i="11"/>
  <c r="P395" i="11"/>
  <c r="O391" i="11"/>
  <c r="O395" i="11"/>
  <c r="O393" i="11"/>
  <c r="R384" i="11"/>
  <c r="H575" i="1"/>
  <c r="T307" i="1"/>
  <c r="W307" i="1" s="1"/>
  <c r="X285" i="1"/>
  <c r="R285" i="1"/>
  <c r="S285" i="1"/>
  <c r="M285" i="1"/>
  <c r="U307" i="1"/>
  <c r="R307" i="1"/>
  <c r="Y285" i="1"/>
  <c r="H307" i="1"/>
  <c r="K307" i="1" s="1"/>
  <c r="Y384" i="11"/>
  <c r="H418" i="11"/>
  <c r="O433" i="11"/>
  <c r="P433" i="11"/>
  <c r="H433" i="11"/>
  <c r="G406" i="11"/>
  <c r="S433" i="11"/>
  <c r="F433" i="11"/>
  <c r="S384" i="11"/>
  <c r="S387" i="11" s="1"/>
  <c r="O406" i="11"/>
  <c r="U418" i="11"/>
  <c r="O418" i="11"/>
  <c r="H572" i="11"/>
  <c r="G433" i="11"/>
  <c r="N433" i="11"/>
  <c r="H406" i="11"/>
  <c r="U406" i="11"/>
  <c r="I418" i="11"/>
  <c r="W433" i="11"/>
  <c r="Q433" i="11"/>
  <c r="L433" i="11"/>
  <c r="Q384" i="11"/>
  <c r="N418" i="11"/>
  <c r="P418" i="11"/>
  <c r="J418" i="11"/>
  <c r="J433" i="11"/>
  <c r="K433" i="11"/>
  <c r="I433" i="11"/>
  <c r="M433" i="11"/>
  <c r="F406" i="11"/>
  <c r="U433" i="11"/>
  <c r="J406" i="11"/>
  <c r="T418" i="11"/>
  <c r="V418" i="11"/>
  <c r="R433" i="11"/>
  <c r="G418" i="11"/>
  <c r="X433" i="11"/>
  <c r="Y433" i="11"/>
  <c r="V433" i="11"/>
  <c r="T433" i="11"/>
  <c r="M384" i="11"/>
  <c r="C21" i="38"/>
  <c r="L384" i="11"/>
  <c r="W384" i="11"/>
  <c r="X384" i="11"/>
  <c r="G575" i="1"/>
  <c r="G586" i="1"/>
  <c r="F45" i="34"/>
  <c r="F53" i="34"/>
  <c r="D587" i="1"/>
  <c r="F587" i="1" s="1"/>
  <c r="G587" i="1" s="1"/>
  <c r="I5" i="34"/>
  <c r="I5" i="36" s="1"/>
  <c r="G44" i="34"/>
  <c r="V222" i="11"/>
  <c r="Y209" i="11"/>
  <c r="N222" i="11"/>
  <c r="Q222" i="11" s="1"/>
  <c r="Q209" i="11"/>
  <c r="U222" i="11"/>
  <c r="X209" i="11"/>
  <c r="M209" i="11"/>
  <c r="J222" i="11"/>
  <c r="K209" i="11"/>
  <c r="H222" i="11"/>
  <c r="K222" i="11" s="1"/>
  <c r="K185" i="11"/>
  <c r="H198" i="11"/>
  <c r="K198" i="11" s="1"/>
  <c r="Y233" i="11"/>
  <c r="V246" i="11"/>
  <c r="L233" i="11"/>
  <c r="I246" i="11"/>
  <c r="Y257" i="11"/>
  <c r="V279" i="11"/>
  <c r="X257" i="11"/>
  <c r="U279" i="11"/>
  <c r="I279" i="11"/>
  <c r="L257" i="11"/>
  <c r="H585" i="1"/>
  <c r="H586" i="1" s="1"/>
  <c r="G585" i="1"/>
  <c r="T222" i="11"/>
  <c r="W222" i="11" s="1"/>
  <c r="W209" i="11"/>
  <c r="L209" i="11"/>
  <c r="I222" i="11"/>
  <c r="E44" i="34"/>
  <c r="Q233" i="11"/>
  <c r="N246" i="11"/>
  <c r="Q246" i="11" s="1"/>
  <c r="S233" i="11"/>
  <c r="P246" i="11"/>
  <c r="P279" i="11"/>
  <c r="S257" i="11"/>
  <c r="R257" i="11"/>
  <c r="O279" i="11"/>
  <c r="C9" i="39"/>
  <c r="X233" i="11"/>
  <c r="U246" i="11"/>
  <c r="M233" i="11"/>
  <c r="J246" i="11"/>
  <c r="K257" i="11"/>
  <c r="H279" i="11"/>
  <c r="K279" i="11" s="1"/>
  <c r="N279" i="11"/>
  <c r="Q279" i="11" s="1"/>
  <c r="Q257" i="11"/>
  <c r="D16" i="22"/>
  <c r="E6" i="39" s="1"/>
  <c r="B15" i="21"/>
  <c r="D16" i="21"/>
  <c r="C15" i="21"/>
  <c r="F320" i="11"/>
  <c r="F348" i="1"/>
  <c r="D9" i="39"/>
  <c r="K5" i="34"/>
  <c r="K5" i="36" s="1"/>
  <c r="G51" i="34"/>
  <c r="G52" i="34" s="1"/>
  <c r="P222" i="11"/>
  <c r="S209" i="11"/>
  <c r="R209" i="11"/>
  <c r="O222" i="11"/>
  <c r="D45" i="34"/>
  <c r="W233" i="11"/>
  <c r="T246" i="11"/>
  <c r="W246" i="11" s="1"/>
  <c r="R233" i="11"/>
  <c r="O246" i="11"/>
  <c r="K233" i="11"/>
  <c r="H246" i="11"/>
  <c r="K246" i="11" s="1"/>
  <c r="W257" i="11"/>
  <c r="T279" i="11"/>
  <c r="W279" i="11" s="1"/>
  <c r="J279" i="11"/>
  <c r="M257" i="11"/>
  <c r="I319" i="11"/>
  <c r="H319" i="11"/>
  <c r="N319" i="11"/>
  <c r="T319" i="11"/>
  <c r="O319" i="11"/>
  <c r="U319" i="11"/>
  <c r="P319" i="11"/>
  <c r="V319" i="11"/>
  <c r="J319" i="11"/>
  <c r="M401" i="11"/>
  <c r="M404" i="11" s="1"/>
  <c r="V404" i="11"/>
  <c r="V406" i="11"/>
  <c r="V405" i="11"/>
  <c r="D36" i="17"/>
  <c r="S36" i="17" s="1"/>
  <c r="L401" i="11"/>
  <c r="L404" i="11" s="1"/>
  <c r="Q401" i="11"/>
  <c r="I404" i="11"/>
  <c r="J405" i="11"/>
  <c r="J404" i="11"/>
  <c r="I405" i="11"/>
  <c r="N405" i="11"/>
  <c r="P405" i="11"/>
  <c r="K416" i="11"/>
  <c r="K418" i="11"/>
  <c r="K417" i="11"/>
  <c r="S416" i="11"/>
  <c r="S418" i="11"/>
  <c r="S417" i="11"/>
  <c r="Y418" i="11"/>
  <c r="Y417" i="11"/>
  <c r="Y416" i="11"/>
  <c r="P406" i="11"/>
  <c r="W416" i="11"/>
  <c r="W418" i="11"/>
  <c r="W417" i="11"/>
  <c r="L417" i="11"/>
  <c r="L416" i="11"/>
  <c r="L418" i="11"/>
  <c r="Q418" i="11"/>
  <c r="Q417" i="11"/>
  <c r="Q416" i="11"/>
  <c r="M418" i="11"/>
  <c r="M417" i="11"/>
  <c r="M416" i="11"/>
  <c r="X417" i="11"/>
  <c r="X416" i="11"/>
  <c r="X418" i="11"/>
  <c r="R418" i="11"/>
  <c r="R417" i="11"/>
  <c r="R416" i="11"/>
  <c r="N406" i="11"/>
  <c r="R401" i="11"/>
  <c r="R406" i="11" s="1"/>
  <c r="S401" i="11"/>
  <c r="S406" i="11" s="1"/>
  <c r="X401" i="11"/>
  <c r="X404" i="11" s="1"/>
  <c r="O405" i="11"/>
  <c r="O404" i="11"/>
  <c r="T406" i="11"/>
  <c r="W401" i="11"/>
  <c r="Y401" i="11"/>
  <c r="Y404" i="11" s="1"/>
  <c r="I406" i="11"/>
  <c r="T404" i="11"/>
  <c r="U405" i="11"/>
  <c r="N404" i="11"/>
  <c r="U404" i="11"/>
  <c r="K404" i="11"/>
  <c r="K406" i="11"/>
  <c r="K405" i="11"/>
  <c r="E46" i="35"/>
  <c r="I10" i="37" s="1"/>
  <c r="I9" i="37"/>
  <c r="L250" i="1"/>
  <c r="N36" i="17"/>
  <c r="R36" i="17"/>
  <c r="C37" i="17"/>
  <c r="C20" i="22" s="1"/>
  <c r="B37" i="17"/>
  <c r="B20" i="22" s="1"/>
  <c r="E38" i="17"/>
  <c r="F36" i="17"/>
  <c r="U36" i="17" s="1"/>
  <c r="Q36" i="17"/>
  <c r="K36" i="17"/>
  <c r="S274" i="1"/>
  <c r="L274" i="1"/>
  <c r="R274" i="1"/>
  <c r="W274" i="1"/>
  <c r="K274" i="1"/>
  <c r="Q274" i="1"/>
  <c r="M307" i="1"/>
  <c r="X250" i="1"/>
  <c r="M274" i="1"/>
  <c r="X274" i="1"/>
  <c r="Y274" i="1"/>
  <c r="Y250" i="1"/>
  <c r="S250" i="1"/>
  <c r="S307" i="1"/>
  <c r="M250" i="1"/>
  <c r="R250" i="1"/>
  <c r="D561" i="11"/>
  <c r="F561" i="11" s="1"/>
  <c r="C14" i="45" s="1"/>
  <c r="D564" i="11"/>
  <c r="F564" i="11" s="1"/>
  <c r="C17" i="45" s="1"/>
  <c r="D560" i="11"/>
  <c r="F560" i="11" s="1"/>
  <c r="C13" i="45" s="1"/>
  <c r="D563" i="11"/>
  <c r="F563" i="11" s="1"/>
  <c r="C16" i="45" s="1"/>
  <c r="D559" i="11"/>
  <c r="D562" i="11"/>
  <c r="F562" i="11" s="1"/>
  <c r="C15" i="45" s="1"/>
  <c r="G204" i="1"/>
  <c r="G205" i="1"/>
  <c r="D566" i="1"/>
  <c r="F566" i="1" s="1"/>
  <c r="C29" i="45" s="1"/>
  <c r="D565" i="1"/>
  <c r="D567" i="1"/>
  <c r="F567" i="1" s="1"/>
  <c r="C30" i="45" s="1"/>
  <c r="O142" i="35" l="1"/>
  <c r="O140" i="35"/>
  <c r="O139" i="35"/>
  <c r="O143" i="35"/>
  <c r="L510" i="11"/>
  <c r="Z130" i="35" s="1"/>
  <c r="S509" i="11"/>
  <c r="AA139" i="35" s="1"/>
  <c r="F20" i="38"/>
  <c r="G23" i="45"/>
  <c r="F23" i="45"/>
  <c r="G562" i="1"/>
  <c r="B24" i="45"/>
  <c r="E24" i="45" s="1"/>
  <c r="X510" i="11"/>
  <c r="Z150" i="35" s="1"/>
  <c r="X508" i="11"/>
  <c r="Z148" i="35" s="1"/>
  <c r="L508" i="11"/>
  <c r="Z128" i="35" s="1"/>
  <c r="E128" i="35" s="1"/>
  <c r="Q170" i="35" s="1"/>
  <c r="R510" i="11"/>
  <c r="Z140" i="35" s="1"/>
  <c r="L509" i="11"/>
  <c r="Z129" i="35" s="1"/>
  <c r="R509" i="11"/>
  <c r="Z139" i="35" s="1"/>
  <c r="X509" i="11"/>
  <c r="Z149" i="35" s="1"/>
  <c r="M509" i="11"/>
  <c r="AA129" i="35" s="1"/>
  <c r="S510" i="11"/>
  <c r="AA140" i="35" s="1"/>
  <c r="Y510" i="11"/>
  <c r="AA150" i="35" s="1"/>
  <c r="S508" i="11"/>
  <c r="AA138" i="35" s="1"/>
  <c r="M510" i="11"/>
  <c r="AA130" i="35" s="1"/>
  <c r="Y509" i="11"/>
  <c r="AA149" i="35" s="1"/>
  <c r="F565" i="1"/>
  <c r="C28" i="45" s="1"/>
  <c r="F559" i="11"/>
  <c r="C12" i="45" s="1"/>
  <c r="G559" i="11"/>
  <c r="B12" i="45" s="1"/>
  <c r="L176" i="40"/>
  <c r="X176" i="40"/>
  <c r="Y176" i="40"/>
  <c r="R176" i="40"/>
  <c r="G197" i="40"/>
  <c r="F198" i="40"/>
  <c r="S176" i="40"/>
  <c r="M176" i="40"/>
  <c r="K196" i="40"/>
  <c r="W196" i="40"/>
  <c r="Q196" i="40"/>
  <c r="X347" i="1"/>
  <c r="F18" i="38"/>
  <c r="F16" i="38"/>
  <c r="F15" i="38"/>
  <c r="H16" i="38"/>
  <c r="H17" i="38"/>
  <c r="H19" i="38"/>
  <c r="H21" i="38"/>
  <c r="H18" i="38"/>
  <c r="H23" i="38"/>
  <c r="H22" i="38"/>
  <c r="H15" i="38"/>
  <c r="F19" i="38"/>
  <c r="F17" i="38"/>
  <c r="F22" i="38"/>
  <c r="F23" i="38"/>
  <c r="Y347" i="1"/>
  <c r="R347" i="1"/>
  <c r="S347" i="1"/>
  <c r="L347" i="1"/>
  <c r="AI62" i="35"/>
  <c r="R196" i="40"/>
  <c r="AI149" i="35"/>
  <c r="AH73" i="35"/>
  <c r="AG73" i="35"/>
  <c r="L196" i="40"/>
  <c r="AJ72" i="35"/>
  <c r="AJ82" i="35"/>
  <c r="AJ139" i="35"/>
  <c r="AF63" i="35"/>
  <c r="AJ62" i="35"/>
  <c r="AI82" i="35"/>
  <c r="AI106" i="35"/>
  <c r="AJ106" i="35"/>
  <c r="AI129" i="35"/>
  <c r="AH63" i="35"/>
  <c r="AI139" i="35"/>
  <c r="AF83" i="35"/>
  <c r="AG83" i="35"/>
  <c r="AJ116" i="35"/>
  <c r="AJ149" i="35"/>
  <c r="AJ129" i="35"/>
  <c r="AI96" i="35"/>
  <c r="AF73" i="35"/>
  <c r="R96" i="35"/>
  <c r="R63" i="35" s="1"/>
  <c r="R98" i="35"/>
  <c r="R65" i="35" s="1"/>
  <c r="F9" i="44"/>
  <c r="E45" i="43"/>
  <c r="F10" i="44" s="1"/>
  <c r="Z107" i="35"/>
  <c r="AG150" i="35"/>
  <c r="AH130" i="35"/>
  <c r="AH83" i="35"/>
  <c r="AA115" i="35"/>
  <c r="AA82" i="35" s="1"/>
  <c r="AF107" i="35"/>
  <c r="R97" i="35"/>
  <c r="R64" i="35" s="1"/>
  <c r="AI116" i="35"/>
  <c r="AF130" i="35"/>
  <c r="Y140" i="35"/>
  <c r="Y150" i="35"/>
  <c r="AI72" i="35"/>
  <c r="AH117" i="35"/>
  <c r="R100" i="35"/>
  <c r="R67" i="35" s="1"/>
  <c r="AH140" i="35"/>
  <c r="AG117" i="35"/>
  <c r="AH97" i="35"/>
  <c r="AG97" i="35"/>
  <c r="R99" i="35"/>
  <c r="R66" i="35" s="1"/>
  <c r="Y130" i="35"/>
  <c r="Z115" i="35"/>
  <c r="AG107" i="35"/>
  <c r="AF97" i="35"/>
  <c r="AF117" i="35"/>
  <c r="AH107" i="35"/>
  <c r="AF140" i="35"/>
  <c r="AG130" i="35"/>
  <c r="AF150" i="35"/>
  <c r="AH150" i="35"/>
  <c r="AG140" i="35"/>
  <c r="AG63" i="35"/>
  <c r="E52" i="34"/>
  <c r="AA95" i="35"/>
  <c r="AA62" i="35" s="1"/>
  <c r="Y95" i="35"/>
  <c r="Y62" i="35" s="1"/>
  <c r="AA107" i="35"/>
  <c r="Y97" i="35"/>
  <c r="S196" i="40"/>
  <c r="M196" i="40"/>
  <c r="X196" i="40"/>
  <c r="Y196" i="40"/>
  <c r="AJ96" i="35"/>
  <c r="Y96" i="35"/>
  <c r="Y63" i="35" s="1"/>
  <c r="Z95" i="35"/>
  <c r="G576" i="1"/>
  <c r="N393" i="11"/>
  <c r="H391" i="11"/>
  <c r="H394" i="11"/>
  <c r="H390" i="11"/>
  <c r="H393" i="11"/>
  <c r="H395" i="11"/>
  <c r="H511" i="11"/>
  <c r="L511" i="11"/>
  <c r="P511" i="11"/>
  <c r="T511" i="11"/>
  <c r="X511" i="11"/>
  <c r="I511" i="11"/>
  <c r="M511" i="11"/>
  <c r="Q511" i="11"/>
  <c r="U511" i="11"/>
  <c r="Y511" i="11"/>
  <c r="J511" i="11"/>
  <c r="N511" i="11"/>
  <c r="R511" i="11"/>
  <c r="V511" i="11"/>
  <c r="F511" i="11"/>
  <c r="G511" i="11"/>
  <c r="K511" i="11"/>
  <c r="O511" i="11"/>
  <c r="S511" i="11"/>
  <c r="W511" i="11"/>
  <c r="F527" i="11"/>
  <c r="J527" i="11"/>
  <c r="N527" i="11"/>
  <c r="R527" i="11"/>
  <c r="V527" i="11"/>
  <c r="H527" i="11"/>
  <c r="L527" i="11"/>
  <c r="P527" i="11"/>
  <c r="T527" i="11"/>
  <c r="X527" i="11"/>
  <c r="I527" i="11"/>
  <c r="Q527" i="11"/>
  <c r="Y527" i="11"/>
  <c r="M527" i="11"/>
  <c r="K527" i="11"/>
  <c r="S527" i="11"/>
  <c r="U527" i="11"/>
  <c r="O527" i="11"/>
  <c r="G527" i="11"/>
  <c r="W527" i="11"/>
  <c r="F148" i="35"/>
  <c r="R190" i="35" s="1"/>
  <c r="F128" i="35"/>
  <c r="R170" i="35" s="1"/>
  <c r="T391" i="11"/>
  <c r="S394" i="11"/>
  <c r="S390" i="11"/>
  <c r="S391" i="11"/>
  <c r="S395" i="11"/>
  <c r="N391" i="11"/>
  <c r="N395" i="11"/>
  <c r="N394" i="11"/>
  <c r="N390" i="11"/>
  <c r="R387" i="11"/>
  <c r="T390" i="11"/>
  <c r="T392" i="11"/>
  <c r="X387" i="11"/>
  <c r="S393" i="11"/>
  <c r="S392" i="11"/>
  <c r="W387" i="11"/>
  <c r="T393" i="11"/>
  <c r="M387" i="11"/>
  <c r="Y387" i="11"/>
  <c r="Q387" i="11"/>
  <c r="T395" i="11"/>
  <c r="L387" i="11"/>
  <c r="G528" i="1"/>
  <c r="K528" i="1"/>
  <c r="Y138" i="34" s="1"/>
  <c r="O528" i="1"/>
  <c r="S528" i="1"/>
  <c r="AA148" i="34" s="1"/>
  <c r="W528" i="1"/>
  <c r="Y158" i="34" s="1"/>
  <c r="F543" i="1"/>
  <c r="H528" i="1"/>
  <c r="L528" i="1"/>
  <c r="Z138" i="34" s="1"/>
  <c r="P528" i="1"/>
  <c r="T528" i="1"/>
  <c r="X528" i="1"/>
  <c r="Z158" i="34" s="1"/>
  <c r="I528" i="1"/>
  <c r="M528" i="1"/>
  <c r="AA138" i="34" s="1"/>
  <c r="Q528" i="1"/>
  <c r="Y148" i="34" s="1"/>
  <c r="U528" i="1"/>
  <c r="Y528" i="1"/>
  <c r="AA158" i="34" s="1"/>
  <c r="J528" i="1"/>
  <c r="N528" i="1"/>
  <c r="R528" i="1"/>
  <c r="Z148" i="34" s="1"/>
  <c r="V528" i="1"/>
  <c r="F528" i="1"/>
  <c r="D577" i="1"/>
  <c r="F577" i="1" s="1"/>
  <c r="H543" i="1"/>
  <c r="L543" i="1"/>
  <c r="AG138" i="34" s="1"/>
  <c r="P543" i="1"/>
  <c r="T543" i="1"/>
  <c r="X543" i="1"/>
  <c r="AG158" i="34" s="1"/>
  <c r="I543" i="1"/>
  <c r="M543" i="1"/>
  <c r="AH138" i="34" s="1"/>
  <c r="Q543" i="1"/>
  <c r="AF148" i="34" s="1"/>
  <c r="U543" i="1"/>
  <c r="Y543" i="1"/>
  <c r="AH158" i="34" s="1"/>
  <c r="K543" i="1"/>
  <c r="AF138" i="34" s="1"/>
  <c r="S543" i="1"/>
  <c r="AH148" i="34" s="1"/>
  <c r="N543" i="1"/>
  <c r="V543" i="1"/>
  <c r="G543" i="1"/>
  <c r="O543" i="1"/>
  <c r="W543" i="1"/>
  <c r="AF158" i="34" s="1"/>
  <c r="J543" i="1"/>
  <c r="R543" i="1"/>
  <c r="AG148" i="34" s="1"/>
  <c r="I7" i="34"/>
  <c r="I7" i="36" s="1"/>
  <c r="H7" i="34"/>
  <c r="H7" i="36" s="1"/>
  <c r="K7" i="34"/>
  <c r="K7" i="36" s="1"/>
  <c r="H576" i="1"/>
  <c r="F453" i="1" s="1"/>
  <c r="D53" i="34"/>
  <c r="F407" i="11"/>
  <c r="X307" i="1"/>
  <c r="Y307" i="1"/>
  <c r="L307" i="1"/>
  <c r="L434" i="11"/>
  <c r="N434" i="11"/>
  <c r="W419" i="11"/>
  <c r="Y419" i="11"/>
  <c r="H573" i="11"/>
  <c r="H419" i="11"/>
  <c r="G434" i="11"/>
  <c r="K407" i="11"/>
  <c r="T407" i="11"/>
  <c r="O407" i="11"/>
  <c r="U434" i="11"/>
  <c r="P434" i="11"/>
  <c r="V434" i="11"/>
  <c r="I419" i="11"/>
  <c r="U407" i="11"/>
  <c r="W407" i="11"/>
  <c r="R419" i="11"/>
  <c r="M419" i="11"/>
  <c r="P407" i="11"/>
  <c r="O419" i="11"/>
  <c r="P419" i="11"/>
  <c r="F434" i="11"/>
  <c r="T434" i="11"/>
  <c r="L419" i="11"/>
  <c r="K419" i="11"/>
  <c r="G407" i="11"/>
  <c r="F419" i="11"/>
  <c r="J434" i="11"/>
  <c r="V407" i="11"/>
  <c r="N419" i="11"/>
  <c r="M434" i="11"/>
  <c r="J419" i="11"/>
  <c r="Q419" i="11"/>
  <c r="S419" i="11"/>
  <c r="J407" i="11"/>
  <c r="N407" i="11"/>
  <c r="H434" i="11"/>
  <c r="H407" i="11"/>
  <c r="S434" i="11"/>
  <c r="W434" i="11"/>
  <c r="O434" i="11"/>
  <c r="G419" i="11"/>
  <c r="X419" i="11"/>
  <c r="I407" i="11"/>
  <c r="I434" i="11"/>
  <c r="Q434" i="11"/>
  <c r="T419" i="11"/>
  <c r="X434" i="11"/>
  <c r="U419" i="11"/>
  <c r="K434" i="11"/>
  <c r="Y434" i="11"/>
  <c r="R434" i="11"/>
  <c r="V419" i="11"/>
  <c r="M279" i="11"/>
  <c r="R246" i="11"/>
  <c r="R222" i="11"/>
  <c r="I452" i="1"/>
  <c r="S222" i="11"/>
  <c r="M246" i="11"/>
  <c r="R279" i="11"/>
  <c r="L222" i="11"/>
  <c r="L246" i="11"/>
  <c r="X222" i="11"/>
  <c r="H587" i="1"/>
  <c r="D568" i="1"/>
  <c r="F568" i="1" s="1"/>
  <c r="C31" i="45" s="1"/>
  <c r="J452" i="1"/>
  <c r="F452" i="1"/>
  <c r="P452" i="1"/>
  <c r="M405" i="11"/>
  <c r="N452" i="1"/>
  <c r="Q452" i="1" s="1"/>
  <c r="T452" i="1"/>
  <c r="W452" i="1" s="1"/>
  <c r="G53" i="34"/>
  <c r="L319" i="11"/>
  <c r="Y319" i="11"/>
  <c r="F54" i="34"/>
  <c r="F46" i="34"/>
  <c r="D588" i="1"/>
  <c r="F588" i="1" s="1"/>
  <c r="D10" i="39"/>
  <c r="S319" i="11"/>
  <c r="Q319" i="11"/>
  <c r="F349" i="1"/>
  <c r="G348" i="1"/>
  <c r="X246" i="11"/>
  <c r="O452" i="1"/>
  <c r="U452" i="1"/>
  <c r="G452" i="1"/>
  <c r="Y279" i="11"/>
  <c r="Y246" i="11"/>
  <c r="X319" i="11"/>
  <c r="K319" i="11"/>
  <c r="G320" i="11"/>
  <c r="F321" i="11"/>
  <c r="H452" i="1"/>
  <c r="K452" i="1" s="1"/>
  <c r="V452" i="1"/>
  <c r="D46" i="34"/>
  <c r="S279" i="11"/>
  <c r="E45" i="34"/>
  <c r="L279" i="11"/>
  <c r="M222" i="11"/>
  <c r="Y222" i="11"/>
  <c r="M319" i="11"/>
  <c r="R319" i="11"/>
  <c r="S246" i="11"/>
  <c r="X279" i="11"/>
  <c r="G45" i="34"/>
  <c r="C10" i="39"/>
  <c r="W319" i="11"/>
  <c r="D17" i="22"/>
  <c r="E7" i="39" s="1"/>
  <c r="C16" i="21"/>
  <c r="D17" i="21"/>
  <c r="B16" i="21"/>
  <c r="R404" i="11"/>
  <c r="M406" i="11"/>
  <c r="M407" i="11"/>
  <c r="L406" i="11"/>
  <c r="L407" i="11"/>
  <c r="L405" i="11"/>
  <c r="X405" i="11"/>
  <c r="Q404" i="11"/>
  <c r="Q405" i="11"/>
  <c r="Q407" i="11"/>
  <c r="Q406" i="11"/>
  <c r="X406" i="11"/>
  <c r="S405" i="11"/>
  <c r="R407" i="11"/>
  <c r="S404" i="11"/>
  <c r="S407" i="11"/>
  <c r="R405" i="11"/>
  <c r="W406" i="11"/>
  <c r="X407" i="11"/>
  <c r="Y406" i="11"/>
  <c r="Y407" i="11"/>
  <c r="Y405" i="11"/>
  <c r="W405" i="11"/>
  <c r="W404" i="11"/>
  <c r="D23" i="38"/>
  <c r="D16" i="38"/>
  <c r="D15" i="38"/>
  <c r="D17" i="38"/>
  <c r="D19" i="38"/>
  <c r="D22" i="38"/>
  <c r="D18" i="38"/>
  <c r="D21" i="38"/>
  <c r="D20" i="38"/>
  <c r="C38" i="17"/>
  <c r="C21" i="22" s="1"/>
  <c r="B38" i="17"/>
  <c r="B21" i="22" s="1"/>
  <c r="K37" i="17"/>
  <c r="Q37" i="17"/>
  <c r="F37" i="17"/>
  <c r="U37" i="17" s="1"/>
  <c r="D37" i="17"/>
  <c r="S37" i="17" s="1"/>
  <c r="R37" i="17"/>
  <c r="N37" i="17"/>
  <c r="I205" i="1"/>
  <c r="I204" i="1"/>
  <c r="G162" i="40" l="1"/>
  <c r="G158" i="40"/>
  <c r="G152" i="40"/>
  <c r="G161" i="40"/>
  <c r="G160" i="40"/>
  <c r="G156" i="40"/>
  <c r="G155" i="40"/>
  <c r="G153" i="40"/>
  <c r="G164" i="40"/>
  <c r="G159" i="40"/>
  <c r="G151" i="40"/>
  <c r="G154" i="40"/>
  <c r="G163" i="40"/>
  <c r="G563" i="1"/>
  <c r="B25" i="45"/>
  <c r="G24" i="45"/>
  <c r="F24" i="45"/>
  <c r="Z82" i="35"/>
  <c r="Z62" i="35"/>
  <c r="E12" i="45"/>
  <c r="F12" i="45" s="1"/>
  <c r="H43" i="11"/>
  <c r="J43" i="11" s="1"/>
  <c r="H197" i="40"/>
  <c r="N197" i="40"/>
  <c r="O197" i="40"/>
  <c r="P197" i="40"/>
  <c r="I197" i="40"/>
  <c r="J197" i="40"/>
  <c r="V197" i="40"/>
  <c r="T197" i="40"/>
  <c r="U197" i="40"/>
  <c r="G198" i="40"/>
  <c r="AF64" i="35"/>
  <c r="E140" i="35"/>
  <c r="Q182" i="35" s="1"/>
  <c r="AJ97" i="35"/>
  <c r="AI73" i="35"/>
  <c r="AH74" i="35"/>
  <c r="AF84" i="35"/>
  <c r="AJ83" i="35"/>
  <c r="AI63" i="35"/>
  <c r="AH84" i="35"/>
  <c r="AJ73" i="35"/>
  <c r="AI83" i="35"/>
  <c r="AI117" i="35"/>
  <c r="AJ117" i="35"/>
  <c r="F140" i="35"/>
  <c r="R182" i="35" s="1"/>
  <c r="AJ150" i="35"/>
  <c r="AJ140" i="35"/>
  <c r="AI97" i="35"/>
  <c r="AG84" i="35"/>
  <c r="AH64" i="35"/>
  <c r="Z74" i="35"/>
  <c r="AI150" i="35"/>
  <c r="AJ130" i="35"/>
  <c r="AI140" i="35"/>
  <c r="AG74" i="35"/>
  <c r="AA74" i="35"/>
  <c r="AJ107" i="35"/>
  <c r="AF74" i="35"/>
  <c r="AA116" i="35"/>
  <c r="AA83" i="35" s="1"/>
  <c r="Y117" i="35"/>
  <c r="Y84" i="35" s="1"/>
  <c r="AA97" i="35"/>
  <c r="AA64" i="35" s="1"/>
  <c r="AH118" i="35"/>
  <c r="AH98" i="35"/>
  <c r="Y131" i="35"/>
  <c r="Z106" i="35"/>
  <c r="Z73" i="35" s="1"/>
  <c r="AA106" i="35"/>
  <c r="AA73" i="35" s="1"/>
  <c r="Y106" i="35"/>
  <c r="Y73" i="35" s="1"/>
  <c r="Z105" i="35"/>
  <c r="Z72" i="35" s="1"/>
  <c r="AF98" i="35"/>
  <c r="AG151" i="35"/>
  <c r="Y151" i="35"/>
  <c r="Y115" i="35"/>
  <c r="Y82" i="35" s="1"/>
  <c r="AA117" i="35"/>
  <c r="AA84" i="35" s="1"/>
  <c r="Z117" i="35"/>
  <c r="Z84" i="35" s="1"/>
  <c r="Y105" i="35"/>
  <c r="Y72" i="35" s="1"/>
  <c r="Z97" i="35"/>
  <c r="Z64" i="35" s="1"/>
  <c r="AA96" i="35"/>
  <c r="AA63" i="35" s="1"/>
  <c r="AG98" i="35"/>
  <c r="AI130" i="35"/>
  <c r="AH151" i="35"/>
  <c r="AA141" i="35"/>
  <c r="AA131" i="35"/>
  <c r="Y64" i="35"/>
  <c r="AG64" i="35"/>
  <c r="Z96" i="35"/>
  <c r="Z63" i="35" s="1"/>
  <c r="AH108" i="35"/>
  <c r="AF131" i="35"/>
  <c r="AG131" i="35"/>
  <c r="Z141" i="35"/>
  <c r="Z151" i="35"/>
  <c r="AF108" i="35"/>
  <c r="AH131" i="35"/>
  <c r="Y141" i="35"/>
  <c r="Y116" i="35"/>
  <c r="Y83" i="35" s="1"/>
  <c r="AA105" i="35"/>
  <c r="AA72" i="35" s="1"/>
  <c r="Y107" i="35"/>
  <c r="Y74" i="35" s="1"/>
  <c r="Z116" i="35"/>
  <c r="Z83" i="35" s="1"/>
  <c r="AG108" i="35"/>
  <c r="AG118" i="35"/>
  <c r="AF118" i="35"/>
  <c r="AI107" i="35"/>
  <c r="AF151" i="35"/>
  <c r="AH141" i="35"/>
  <c r="AF141" i="35"/>
  <c r="AG141" i="35"/>
  <c r="AA151" i="35"/>
  <c r="Z131" i="35"/>
  <c r="Z118" i="35"/>
  <c r="Y118" i="35"/>
  <c r="E53" i="34"/>
  <c r="Y98" i="35"/>
  <c r="Z108" i="35"/>
  <c r="Y108" i="35"/>
  <c r="AJ63" i="35"/>
  <c r="AA108" i="35"/>
  <c r="T110" i="35"/>
  <c r="T77" i="35" s="1"/>
  <c r="AA98" i="35"/>
  <c r="G577" i="1"/>
  <c r="T106" i="35"/>
  <c r="T73" i="35" s="1"/>
  <c r="T107" i="35"/>
  <c r="T74" i="35" s="1"/>
  <c r="T105" i="35"/>
  <c r="T72" i="35" s="1"/>
  <c r="AA118" i="35"/>
  <c r="Z98" i="35"/>
  <c r="T108" i="35"/>
  <c r="T75" i="35" s="1"/>
  <c r="T109" i="35"/>
  <c r="T76" i="35" s="1"/>
  <c r="I512" i="11"/>
  <c r="M512" i="11"/>
  <c r="Q512" i="11"/>
  <c r="U512" i="11"/>
  <c r="Y512" i="11"/>
  <c r="J512" i="11"/>
  <c r="N512" i="11"/>
  <c r="R512" i="11"/>
  <c r="V512" i="11"/>
  <c r="G512" i="11"/>
  <c r="K512" i="11"/>
  <c r="O512" i="11"/>
  <c r="S512" i="11"/>
  <c r="W512" i="11"/>
  <c r="H512" i="11"/>
  <c r="L512" i="11"/>
  <c r="P512" i="11"/>
  <c r="T512" i="11"/>
  <c r="X512" i="11"/>
  <c r="F512" i="11"/>
  <c r="F149" i="35"/>
  <c r="R191" i="35" s="1"/>
  <c r="F130" i="35"/>
  <c r="R172" i="35" s="1"/>
  <c r="E139" i="35"/>
  <c r="Q181" i="35" s="1"/>
  <c r="F528" i="11"/>
  <c r="G528" i="11"/>
  <c r="K528" i="11"/>
  <c r="O528" i="11"/>
  <c r="S528" i="11"/>
  <c r="W528" i="11"/>
  <c r="I528" i="11"/>
  <c r="M528" i="11"/>
  <c r="Q528" i="11"/>
  <c r="U528" i="11"/>
  <c r="Y528" i="11"/>
  <c r="N528" i="11"/>
  <c r="V528" i="11"/>
  <c r="J528" i="11"/>
  <c r="H528" i="11"/>
  <c r="P528" i="11"/>
  <c r="X528" i="11"/>
  <c r="R528" i="11"/>
  <c r="L528" i="11"/>
  <c r="T528" i="11"/>
  <c r="D129" i="35"/>
  <c r="P171" i="35" s="1"/>
  <c r="F150" i="35"/>
  <c r="R192" i="35" s="1"/>
  <c r="E150" i="35"/>
  <c r="Q192" i="35" s="1"/>
  <c r="E130" i="35"/>
  <c r="Q172" i="35" s="1"/>
  <c r="AB95" i="35"/>
  <c r="AC95" i="35"/>
  <c r="E129" i="35"/>
  <c r="Q171" i="35" s="1"/>
  <c r="AB130" i="35"/>
  <c r="D130" i="35"/>
  <c r="P172" i="35" s="1"/>
  <c r="F139" i="35"/>
  <c r="R181" i="35" s="1"/>
  <c r="E138" i="35"/>
  <c r="Q180" i="35" s="1"/>
  <c r="E149" i="35"/>
  <c r="Q191" i="35" s="1"/>
  <c r="F129" i="35"/>
  <c r="R171" i="35" s="1"/>
  <c r="E148" i="35"/>
  <c r="Q190" i="35" s="1"/>
  <c r="AB128" i="35"/>
  <c r="AC128" i="35"/>
  <c r="AM128" i="35" s="1"/>
  <c r="D128" i="35"/>
  <c r="P170" i="35" s="1"/>
  <c r="Y395" i="11"/>
  <c r="Y390" i="11"/>
  <c r="Y391" i="11"/>
  <c r="Y392" i="11"/>
  <c r="Y394" i="11"/>
  <c r="Y393" i="11"/>
  <c r="M391" i="11"/>
  <c r="M392" i="11"/>
  <c r="M395" i="11"/>
  <c r="M394" i="11"/>
  <c r="M390" i="11"/>
  <c r="M393" i="11"/>
  <c r="W391" i="11"/>
  <c r="W392" i="11"/>
  <c r="W395" i="11"/>
  <c r="W394" i="11"/>
  <c r="W393" i="11"/>
  <c r="W390" i="11"/>
  <c r="R392" i="11"/>
  <c r="R393" i="11"/>
  <c r="R394" i="11"/>
  <c r="R395" i="11"/>
  <c r="R390" i="11"/>
  <c r="R391" i="11"/>
  <c r="Q392" i="11"/>
  <c r="Q395" i="11"/>
  <c r="Q393" i="11"/>
  <c r="Q390" i="11"/>
  <c r="Q394" i="11"/>
  <c r="Q391" i="11"/>
  <c r="X394" i="11"/>
  <c r="X390" i="11"/>
  <c r="X395" i="11"/>
  <c r="X392" i="11"/>
  <c r="X393" i="11"/>
  <c r="X391" i="11"/>
  <c r="L390" i="11"/>
  <c r="L391" i="11"/>
  <c r="L394" i="11"/>
  <c r="L395" i="11"/>
  <c r="L392" i="11"/>
  <c r="L393" i="11"/>
  <c r="I453" i="1"/>
  <c r="H529" i="1"/>
  <c r="L529" i="1"/>
  <c r="Z139" i="34" s="1"/>
  <c r="P529" i="1"/>
  <c r="T529" i="1"/>
  <c r="X529" i="1"/>
  <c r="Z159" i="34" s="1"/>
  <c r="I529" i="1"/>
  <c r="M529" i="1"/>
  <c r="AA139" i="34" s="1"/>
  <c r="Q529" i="1"/>
  <c r="Y149" i="34" s="1"/>
  <c r="U529" i="1"/>
  <c r="Y529" i="1"/>
  <c r="AA159" i="34" s="1"/>
  <c r="J529" i="1"/>
  <c r="N529" i="1"/>
  <c r="R529" i="1"/>
  <c r="Z149" i="34" s="1"/>
  <c r="V529" i="1"/>
  <c r="F529" i="1"/>
  <c r="G529" i="1"/>
  <c r="K529" i="1"/>
  <c r="Y139" i="34" s="1"/>
  <c r="O529" i="1"/>
  <c r="S529" i="1"/>
  <c r="AA149" i="34" s="1"/>
  <c r="W529" i="1"/>
  <c r="Y159" i="34" s="1"/>
  <c r="D578" i="1"/>
  <c r="F578" i="1" s="1"/>
  <c r="H453" i="1"/>
  <c r="K453" i="1" s="1"/>
  <c r="O453" i="1"/>
  <c r="T453" i="1"/>
  <c r="W453" i="1" s="1"/>
  <c r="U453" i="1"/>
  <c r="P453" i="1"/>
  <c r="AJ148" i="34"/>
  <c r="AI148" i="34"/>
  <c r="G453" i="1"/>
  <c r="V453" i="1"/>
  <c r="AI138" i="34"/>
  <c r="AJ138" i="34"/>
  <c r="I544" i="1"/>
  <c r="M544" i="1"/>
  <c r="AH139" i="34" s="1"/>
  <c r="Q544" i="1"/>
  <c r="AF149" i="34" s="1"/>
  <c r="U544" i="1"/>
  <c r="Y544" i="1"/>
  <c r="AH159" i="34" s="1"/>
  <c r="J544" i="1"/>
  <c r="N544" i="1"/>
  <c r="R544" i="1"/>
  <c r="AG149" i="34" s="1"/>
  <c r="V544" i="1"/>
  <c r="F544" i="1"/>
  <c r="H544" i="1"/>
  <c r="P544" i="1"/>
  <c r="X544" i="1"/>
  <c r="AG159" i="34" s="1"/>
  <c r="K544" i="1"/>
  <c r="AF139" i="34" s="1"/>
  <c r="S544" i="1"/>
  <c r="AH149" i="34" s="1"/>
  <c r="L544" i="1"/>
  <c r="AG139" i="34" s="1"/>
  <c r="T544" i="1"/>
  <c r="G544" i="1"/>
  <c r="O544" i="1"/>
  <c r="W544" i="1"/>
  <c r="AF159" i="34" s="1"/>
  <c r="J453" i="1"/>
  <c r="N453" i="1"/>
  <c r="Q453" i="1" s="1"/>
  <c r="H577" i="1"/>
  <c r="U454" i="1" s="1"/>
  <c r="AJ158" i="34"/>
  <c r="AI158" i="34"/>
  <c r="H8" i="34"/>
  <c r="H8" i="36" s="1"/>
  <c r="I8" i="34"/>
  <c r="I8" i="36" s="1"/>
  <c r="J7" i="34"/>
  <c r="J7" i="36" s="1"/>
  <c r="K8" i="34"/>
  <c r="K8" i="36" s="1"/>
  <c r="D54" i="34"/>
  <c r="I420" i="11"/>
  <c r="R435" i="11"/>
  <c r="N435" i="11"/>
  <c r="V408" i="11"/>
  <c r="M408" i="11"/>
  <c r="F408" i="11"/>
  <c r="X435" i="11"/>
  <c r="Q420" i="11"/>
  <c r="P420" i="11"/>
  <c r="L408" i="11"/>
  <c r="V420" i="11"/>
  <c r="X420" i="11"/>
  <c r="G408" i="11"/>
  <c r="Y435" i="11"/>
  <c r="H420" i="11"/>
  <c r="S420" i="11"/>
  <c r="X408" i="11"/>
  <c r="Y408" i="11"/>
  <c r="T420" i="11"/>
  <c r="P435" i="11"/>
  <c r="L420" i="11"/>
  <c r="H435" i="11"/>
  <c r="Q408" i="11"/>
  <c r="U420" i="11"/>
  <c r="H574" i="11"/>
  <c r="K435" i="11"/>
  <c r="Y420" i="11"/>
  <c r="O435" i="11"/>
  <c r="F435" i="11"/>
  <c r="J435" i="11"/>
  <c r="T435" i="11"/>
  <c r="W408" i="11"/>
  <c r="G420" i="11"/>
  <c r="O408" i="11"/>
  <c r="Q435" i="11"/>
  <c r="J408" i="11"/>
  <c r="N408" i="11"/>
  <c r="K408" i="11"/>
  <c r="W435" i="11"/>
  <c r="M420" i="11"/>
  <c r="G435" i="11"/>
  <c r="T408" i="11"/>
  <c r="K420" i="11"/>
  <c r="P408" i="11"/>
  <c r="F420" i="11"/>
  <c r="N420" i="11"/>
  <c r="S408" i="11"/>
  <c r="R408" i="11"/>
  <c r="W420" i="11"/>
  <c r="I408" i="11"/>
  <c r="U435" i="11"/>
  <c r="J420" i="11"/>
  <c r="R420" i="11"/>
  <c r="M435" i="11"/>
  <c r="V435" i="11"/>
  <c r="U408" i="11"/>
  <c r="H408" i="11"/>
  <c r="L435" i="11"/>
  <c r="O420" i="11"/>
  <c r="S435" i="11"/>
  <c r="I435" i="11"/>
  <c r="M452" i="1"/>
  <c r="R452" i="1"/>
  <c r="X452" i="1"/>
  <c r="H588" i="1"/>
  <c r="G46" i="34"/>
  <c r="Y452" i="1"/>
  <c r="C11" i="39"/>
  <c r="G54" i="34"/>
  <c r="D47" i="34"/>
  <c r="D569" i="1"/>
  <c r="F569" i="1" s="1"/>
  <c r="C32" i="45" s="1"/>
  <c r="S452" i="1"/>
  <c r="E46" i="34"/>
  <c r="N320" i="11"/>
  <c r="V320" i="11"/>
  <c r="H320" i="11"/>
  <c r="I320" i="11"/>
  <c r="O320" i="11"/>
  <c r="J320" i="11"/>
  <c r="U320" i="11"/>
  <c r="P320" i="11"/>
  <c r="T320" i="11"/>
  <c r="G321" i="11"/>
  <c r="P348" i="1"/>
  <c r="I348" i="1"/>
  <c r="H348" i="1"/>
  <c r="N348" i="1"/>
  <c r="V348" i="1"/>
  <c r="J348" i="1"/>
  <c r="G349" i="1"/>
  <c r="O348" i="1"/>
  <c r="U348" i="1"/>
  <c r="T348" i="1"/>
  <c r="G588" i="1"/>
  <c r="D18" i="21"/>
  <c r="B17" i="21"/>
  <c r="C17" i="21"/>
  <c r="D18" i="22"/>
  <c r="E8" i="39" s="1"/>
  <c r="L452" i="1"/>
  <c r="D11" i="39"/>
  <c r="F47" i="34"/>
  <c r="F55" i="34"/>
  <c r="D589" i="1"/>
  <c r="F589" i="1" s="1"/>
  <c r="F38" i="17"/>
  <c r="U38" i="17" s="1"/>
  <c r="Q38" i="17"/>
  <c r="K38" i="17"/>
  <c r="R38" i="17"/>
  <c r="N38" i="17"/>
  <c r="D38" i="17"/>
  <c r="S38" i="17" s="1"/>
  <c r="G560" i="11"/>
  <c r="I163" i="40" l="1"/>
  <c r="J163" i="40"/>
  <c r="T163" i="40"/>
  <c r="W163" i="40" s="1"/>
  <c r="P163" i="40"/>
  <c r="N163" i="40"/>
  <c r="Q163" i="40" s="1"/>
  <c r="V163" i="40"/>
  <c r="O163" i="40"/>
  <c r="H163" i="40"/>
  <c r="K163" i="40" s="1"/>
  <c r="U163" i="40"/>
  <c r="H156" i="40"/>
  <c r="K156" i="40" s="1"/>
  <c r="U156" i="40"/>
  <c r="I156" i="40"/>
  <c r="O156" i="40"/>
  <c r="N156" i="40"/>
  <c r="Q156" i="40" s="1"/>
  <c r="J156" i="40"/>
  <c r="T156" i="40"/>
  <c r="W156" i="40" s="1"/>
  <c r="V156" i="40"/>
  <c r="P156" i="40"/>
  <c r="J154" i="40"/>
  <c r="O154" i="40"/>
  <c r="P154" i="40"/>
  <c r="V154" i="40"/>
  <c r="U154" i="40"/>
  <c r="H154" i="40"/>
  <c r="K154" i="40" s="1"/>
  <c r="N154" i="40"/>
  <c r="Q154" i="40" s="1"/>
  <c r="I154" i="40"/>
  <c r="T154" i="40"/>
  <c r="W154" i="40" s="1"/>
  <c r="H164" i="40"/>
  <c r="K164" i="40" s="1"/>
  <c r="O164" i="40"/>
  <c r="U164" i="40"/>
  <c r="I164" i="40"/>
  <c r="N164" i="40"/>
  <c r="Q164" i="40" s="1"/>
  <c r="J164" i="40"/>
  <c r="T164" i="40"/>
  <c r="W164" i="40" s="1"/>
  <c r="V164" i="40"/>
  <c r="P164" i="40"/>
  <c r="H160" i="40"/>
  <c r="K160" i="40" s="1"/>
  <c r="O160" i="40"/>
  <c r="U160" i="40"/>
  <c r="I160" i="40"/>
  <c r="N160" i="40"/>
  <c r="Q160" i="40" s="1"/>
  <c r="T160" i="40"/>
  <c r="W160" i="40" s="1"/>
  <c r="J160" i="40"/>
  <c r="P160" i="40"/>
  <c r="V160" i="40"/>
  <c r="O158" i="40"/>
  <c r="N158" i="40"/>
  <c r="Q158" i="40" s="1"/>
  <c r="T158" i="40"/>
  <c r="W158" i="40" s="1"/>
  <c r="V158" i="40"/>
  <c r="I158" i="40"/>
  <c r="H158" i="40"/>
  <c r="K158" i="40" s="1"/>
  <c r="U158" i="40"/>
  <c r="X158" i="40" s="1"/>
  <c r="J158" i="40"/>
  <c r="P158" i="40"/>
  <c r="S158" i="40" s="1"/>
  <c r="I151" i="40"/>
  <c r="O151" i="40"/>
  <c r="N151" i="40"/>
  <c r="Q151" i="40" s="1"/>
  <c r="H151" i="40"/>
  <c r="K151" i="40" s="1"/>
  <c r="P151" i="40"/>
  <c r="J151" i="40"/>
  <c r="T151" i="40"/>
  <c r="W151" i="40" s="1"/>
  <c r="V151" i="40"/>
  <c r="U151" i="40"/>
  <c r="I155" i="40"/>
  <c r="O155" i="40"/>
  <c r="N155" i="40"/>
  <c r="Q155" i="40" s="1"/>
  <c r="H155" i="40"/>
  <c r="K155" i="40" s="1"/>
  <c r="P155" i="40"/>
  <c r="J155" i="40"/>
  <c r="T155" i="40"/>
  <c r="W155" i="40" s="1"/>
  <c r="V155" i="40"/>
  <c r="U155" i="40"/>
  <c r="H152" i="40"/>
  <c r="K152" i="40" s="1"/>
  <c r="U152" i="40"/>
  <c r="I152" i="40"/>
  <c r="O152" i="40"/>
  <c r="J152" i="40"/>
  <c r="V152" i="40"/>
  <c r="T152" i="40"/>
  <c r="W152" i="40" s="1"/>
  <c r="N152" i="40"/>
  <c r="Q152" i="40" s="1"/>
  <c r="P152" i="40"/>
  <c r="I159" i="40"/>
  <c r="J159" i="40"/>
  <c r="T159" i="40"/>
  <c r="W159" i="40" s="1"/>
  <c r="P159" i="40"/>
  <c r="N159" i="40"/>
  <c r="Q159" i="40" s="1"/>
  <c r="V159" i="40"/>
  <c r="O159" i="40"/>
  <c r="H159" i="40"/>
  <c r="K159" i="40" s="1"/>
  <c r="U159" i="40"/>
  <c r="N153" i="40"/>
  <c r="Q153" i="40" s="1"/>
  <c r="U153" i="40"/>
  <c r="T153" i="40"/>
  <c r="W153" i="40" s="1"/>
  <c r="H153" i="40"/>
  <c r="K153" i="40" s="1"/>
  <c r="O153" i="40"/>
  <c r="V153" i="40"/>
  <c r="I153" i="40"/>
  <c r="P153" i="40"/>
  <c r="J153" i="40"/>
  <c r="I161" i="40"/>
  <c r="P161" i="40"/>
  <c r="H161" i="40"/>
  <c r="K161" i="40" s="1"/>
  <c r="V161" i="40"/>
  <c r="J161" i="40"/>
  <c r="T161" i="40"/>
  <c r="W161" i="40" s="1"/>
  <c r="N161" i="40"/>
  <c r="Q161" i="40" s="1"/>
  <c r="U161" i="40"/>
  <c r="O161" i="40"/>
  <c r="O162" i="40"/>
  <c r="N162" i="40"/>
  <c r="Q162" i="40" s="1"/>
  <c r="T162" i="40"/>
  <c r="W162" i="40" s="1"/>
  <c r="V162" i="40"/>
  <c r="I162" i="40"/>
  <c r="H162" i="40"/>
  <c r="K162" i="40" s="1"/>
  <c r="U162" i="40"/>
  <c r="J162" i="40"/>
  <c r="P162" i="40"/>
  <c r="S162" i="40" s="1"/>
  <c r="E33" i="35"/>
  <c r="I43" i="11"/>
  <c r="D33" i="35" s="1"/>
  <c r="G564" i="1"/>
  <c r="B26" i="45"/>
  <c r="E141" i="35"/>
  <c r="Q183" i="35" s="1"/>
  <c r="H44" i="11"/>
  <c r="J44" i="11" s="1" a="1"/>
  <c r="J44" i="11" s="1"/>
  <c r="B13" i="45"/>
  <c r="E13" i="45" s="1"/>
  <c r="F13" i="45" s="1"/>
  <c r="F139" i="40"/>
  <c r="G137" i="40"/>
  <c r="M197" i="40"/>
  <c r="M198" i="40" s="1"/>
  <c r="J198" i="40"/>
  <c r="Q197" i="40"/>
  <c r="Q198" i="40" s="1"/>
  <c r="N198" i="40"/>
  <c r="R197" i="40"/>
  <c r="R198" i="40" s="1"/>
  <c r="O198" i="40"/>
  <c r="X197" i="40"/>
  <c r="X198" i="40" s="1"/>
  <c r="U198" i="40"/>
  <c r="L197" i="40"/>
  <c r="L198" i="40" s="1"/>
  <c r="I198" i="40"/>
  <c r="K197" i="40"/>
  <c r="K198" i="40" s="1"/>
  <c r="H198" i="40"/>
  <c r="F166" i="40"/>
  <c r="Y197" i="40"/>
  <c r="Y198" i="40" s="1"/>
  <c r="V198" i="40"/>
  <c r="W197" i="40"/>
  <c r="W198" i="40" s="1"/>
  <c r="T198" i="40"/>
  <c r="S197" i="40"/>
  <c r="S198" i="40" s="1"/>
  <c r="P198" i="40"/>
  <c r="E151" i="35"/>
  <c r="Q193" i="35" s="1"/>
  <c r="E54" i="34"/>
  <c r="Z75" i="35"/>
  <c r="Y65" i="35"/>
  <c r="AI64" i="35"/>
  <c r="AI84" i="35"/>
  <c r="Y85" i="35"/>
  <c r="AI74" i="35"/>
  <c r="AJ141" i="35"/>
  <c r="AA75" i="35"/>
  <c r="F141" i="35"/>
  <c r="R183" i="35" s="1"/>
  <c r="AI98" i="35"/>
  <c r="Z85" i="35"/>
  <c r="AH85" i="35"/>
  <c r="AG75" i="35"/>
  <c r="AI131" i="35"/>
  <c r="F131" i="35"/>
  <c r="R173" i="35" s="1"/>
  <c r="E131" i="35"/>
  <c r="Q173" i="35" s="1"/>
  <c r="AH65" i="35"/>
  <c r="AJ84" i="35"/>
  <c r="AF65" i="35"/>
  <c r="AJ118" i="35"/>
  <c r="AG85" i="35"/>
  <c r="AA65" i="35"/>
  <c r="AJ131" i="35"/>
  <c r="AJ74" i="35"/>
  <c r="AI108" i="35"/>
  <c r="AH75" i="35"/>
  <c r="AI118" i="35"/>
  <c r="Z65" i="35"/>
  <c r="AF85" i="35"/>
  <c r="AJ108" i="35"/>
  <c r="AJ64" i="35"/>
  <c r="Y75" i="35"/>
  <c r="F151" i="35"/>
  <c r="R193" i="35" s="1"/>
  <c r="AI141" i="35"/>
  <c r="AI151" i="35"/>
  <c r="AG99" i="35"/>
  <c r="AF99" i="35"/>
  <c r="AG109" i="35"/>
  <c r="S100" i="35"/>
  <c r="S67" i="35" s="1"/>
  <c r="R105" i="35"/>
  <c r="R72" i="35" s="1"/>
  <c r="R119" i="35"/>
  <c r="R86" i="35" s="1"/>
  <c r="AA132" i="35"/>
  <c r="S99" i="35"/>
  <c r="S66" i="35" s="1"/>
  <c r="S118" i="35"/>
  <c r="S85" i="35" s="1"/>
  <c r="R108" i="35"/>
  <c r="R75" i="35" s="1"/>
  <c r="AJ98" i="35"/>
  <c r="AG132" i="35"/>
  <c r="AH152" i="35"/>
  <c r="AF132" i="35"/>
  <c r="AH109" i="35"/>
  <c r="S98" i="35"/>
  <c r="S65" i="35" s="1"/>
  <c r="S96" i="35"/>
  <c r="S63" i="35" s="1"/>
  <c r="R106" i="35"/>
  <c r="R73" i="35" s="1"/>
  <c r="R110" i="35"/>
  <c r="R77" i="35" s="1"/>
  <c r="R115" i="35"/>
  <c r="R82" i="35" s="1"/>
  <c r="R117" i="35"/>
  <c r="R84" i="35" s="1"/>
  <c r="AJ151" i="35"/>
  <c r="AG142" i="35"/>
  <c r="AF152" i="35"/>
  <c r="Z132" i="35"/>
  <c r="Z142" i="35"/>
  <c r="AF75" i="35"/>
  <c r="AG65" i="35"/>
  <c r="AH99" i="35"/>
  <c r="AH119" i="35"/>
  <c r="AH132" i="35"/>
  <c r="Y152" i="35"/>
  <c r="R120" i="35"/>
  <c r="R87" i="35" s="1"/>
  <c r="AA142" i="35"/>
  <c r="AA152" i="35"/>
  <c r="AF119" i="35"/>
  <c r="AF109" i="35"/>
  <c r="AG119" i="35"/>
  <c r="S97" i="35"/>
  <c r="S64" i="35" s="1"/>
  <c r="S95" i="35"/>
  <c r="S62" i="35" s="1"/>
  <c r="R109" i="35"/>
  <c r="R76" i="35" s="1"/>
  <c r="R107" i="35"/>
  <c r="R74" i="35" s="1"/>
  <c r="R118" i="35"/>
  <c r="R85" i="35" s="1"/>
  <c r="R116" i="35"/>
  <c r="R83" i="35" s="1"/>
  <c r="AG152" i="35"/>
  <c r="AF142" i="35"/>
  <c r="AH142" i="35"/>
  <c r="Z152" i="35"/>
  <c r="Y132" i="35"/>
  <c r="Y142" i="35"/>
  <c r="AA85" i="35"/>
  <c r="AA109" i="35"/>
  <c r="Y109" i="35"/>
  <c r="Z119" i="35"/>
  <c r="AA99" i="35"/>
  <c r="G578" i="1"/>
  <c r="S120" i="35"/>
  <c r="S87" i="35" s="1"/>
  <c r="S109" i="35"/>
  <c r="T100" i="35"/>
  <c r="T67" i="35" s="1"/>
  <c r="T119" i="35"/>
  <c r="T86" i="35" s="1"/>
  <c r="T120" i="35"/>
  <c r="T87" i="35" s="1"/>
  <c r="Z109" i="35"/>
  <c r="Y119" i="35"/>
  <c r="S116" i="35"/>
  <c r="S115" i="35"/>
  <c r="S82" i="35" s="1"/>
  <c r="S106" i="35"/>
  <c r="S108" i="35"/>
  <c r="S75" i="35" s="1"/>
  <c r="T98" i="35"/>
  <c r="T97" i="35"/>
  <c r="T64" i="35" s="1"/>
  <c r="T117" i="35"/>
  <c r="T84" i="35" s="1"/>
  <c r="S119" i="35"/>
  <c r="S86" i="35" s="1"/>
  <c r="S105" i="35"/>
  <c r="S107" i="35"/>
  <c r="S74" i="35" s="1"/>
  <c r="T95" i="35"/>
  <c r="T62" i="35" s="1"/>
  <c r="T96" i="35"/>
  <c r="T63" i="35" s="1"/>
  <c r="T116" i="35"/>
  <c r="T83" i="35" s="1"/>
  <c r="Y99" i="35"/>
  <c r="AA119" i="35"/>
  <c r="Z99" i="35"/>
  <c r="S117" i="35"/>
  <c r="S84" i="35" s="1"/>
  <c r="S110" i="35"/>
  <c r="S77" i="35" s="1"/>
  <c r="T99" i="35"/>
  <c r="T118" i="35"/>
  <c r="T85" i="35" s="1"/>
  <c r="T115" i="35"/>
  <c r="T82" i="35" s="1"/>
  <c r="AC97" i="35"/>
  <c r="AC96" i="35"/>
  <c r="AB96" i="35"/>
  <c r="J513" i="11"/>
  <c r="N513" i="11"/>
  <c r="R513" i="11"/>
  <c r="V513" i="11"/>
  <c r="F513" i="11"/>
  <c r="G513" i="11"/>
  <c r="K513" i="11"/>
  <c r="O513" i="11"/>
  <c r="S513" i="11"/>
  <c r="H513" i="11"/>
  <c r="L513" i="11"/>
  <c r="P513" i="11"/>
  <c r="T513" i="11"/>
  <c r="X513" i="11"/>
  <c r="I513" i="11"/>
  <c r="M513" i="11"/>
  <c r="Q513" i="11"/>
  <c r="U513" i="11"/>
  <c r="W513" i="11"/>
  <c r="Y513" i="11"/>
  <c r="AB105" i="35"/>
  <c r="AC105" i="35"/>
  <c r="AB115" i="35"/>
  <c r="AC115" i="35"/>
  <c r="AB129" i="35"/>
  <c r="AC118" i="35"/>
  <c r="AB118" i="35"/>
  <c r="AC138" i="35"/>
  <c r="F138" i="35"/>
  <c r="R180" i="35" s="1"/>
  <c r="AB149" i="35"/>
  <c r="AC149" i="35"/>
  <c r="D149" i="35"/>
  <c r="P191" i="35" s="1"/>
  <c r="G130" i="35"/>
  <c r="S172" i="35" s="1"/>
  <c r="H130" i="35"/>
  <c r="T172" i="35" s="1"/>
  <c r="AB150" i="35"/>
  <c r="AC150" i="35"/>
  <c r="D150" i="35"/>
  <c r="P192" i="35" s="1"/>
  <c r="AB138" i="35"/>
  <c r="D138" i="35"/>
  <c r="P180" i="35" s="1"/>
  <c r="AB148" i="35"/>
  <c r="D148" i="35"/>
  <c r="P190" i="35" s="1"/>
  <c r="AB151" i="35"/>
  <c r="AC151" i="35"/>
  <c r="D151" i="35"/>
  <c r="P193" i="35" s="1"/>
  <c r="AC106" i="35"/>
  <c r="AB106" i="35"/>
  <c r="AB107" i="35"/>
  <c r="AC107" i="35"/>
  <c r="AC130" i="35"/>
  <c r="AB117" i="35"/>
  <c r="AC117" i="35"/>
  <c r="AB131" i="35"/>
  <c r="AC131" i="35"/>
  <c r="D131" i="35"/>
  <c r="P173" i="35" s="1"/>
  <c r="H129" i="35"/>
  <c r="T171" i="35" s="1"/>
  <c r="G129" i="35"/>
  <c r="S171" i="35" s="1"/>
  <c r="AB97" i="35"/>
  <c r="AB139" i="35"/>
  <c r="AC139" i="35"/>
  <c r="D139" i="35"/>
  <c r="P181" i="35" s="1"/>
  <c r="AC141" i="35"/>
  <c r="AB141" i="35"/>
  <c r="D141" i="35"/>
  <c r="P183" i="35" s="1"/>
  <c r="F529" i="11"/>
  <c r="H529" i="11"/>
  <c r="L529" i="11"/>
  <c r="P529" i="11"/>
  <c r="T529" i="11"/>
  <c r="X529" i="11"/>
  <c r="J529" i="11"/>
  <c r="N529" i="11"/>
  <c r="R529" i="11"/>
  <c r="V529" i="11"/>
  <c r="K529" i="11"/>
  <c r="S529" i="11"/>
  <c r="G529" i="11"/>
  <c r="M529" i="11"/>
  <c r="U529" i="11"/>
  <c r="O529" i="11"/>
  <c r="W529" i="11"/>
  <c r="I529" i="11"/>
  <c r="Q529" i="11"/>
  <c r="Y529" i="11"/>
  <c r="AB116" i="35"/>
  <c r="AC116" i="35"/>
  <c r="G128" i="35"/>
  <c r="S170" i="35" s="1"/>
  <c r="H128" i="35"/>
  <c r="T170" i="35" s="1"/>
  <c r="AC148" i="35"/>
  <c r="AC140" i="35"/>
  <c r="AB140" i="35"/>
  <c r="D140" i="35"/>
  <c r="P182" i="35" s="1"/>
  <c r="AB98" i="35"/>
  <c r="AC129" i="35"/>
  <c r="AC98" i="35"/>
  <c r="AC108" i="35"/>
  <c r="AB108" i="35"/>
  <c r="M453" i="1"/>
  <c r="D579" i="1"/>
  <c r="F579" i="1" s="1"/>
  <c r="R453" i="1"/>
  <c r="H578" i="1"/>
  <c r="O546" i="1" s="1"/>
  <c r="I530" i="1"/>
  <c r="M530" i="1"/>
  <c r="AA140" i="34" s="1"/>
  <c r="Q530" i="1"/>
  <c r="Y150" i="34" s="1"/>
  <c r="U530" i="1"/>
  <c r="Y530" i="1"/>
  <c r="AA160" i="34" s="1"/>
  <c r="J530" i="1"/>
  <c r="N530" i="1"/>
  <c r="R530" i="1"/>
  <c r="Z150" i="34" s="1"/>
  <c r="V530" i="1"/>
  <c r="G530" i="1"/>
  <c r="K530" i="1"/>
  <c r="Y140" i="34" s="1"/>
  <c r="O530" i="1"/>
  <c r="S530" i="1"/>
  <c r="AA150" i="34" s="1"/>
  <c r="W530" i="1"/>
  <c r="Y160" i="34" s="1"/>
  <c r="H530" i="1"/>
  <c r="L530" i="1"/>
  <c r="Z140" i="34" s="1"/>
  <c r="P530" i="1"/>
  <c r="T530" i="1"/>
  <c r="X530" i="1"/>
  <c r="Z160" i="34" s="1"/>
  <c r="F530" i="1"/>
  <c r="J454" i="1"/>
  <c r="L453" i="1"/>
  <c r="S453" i="1"/>
  <c r="G454" i="1"/>
  <c r="O454" i="1"/>
  <c r="X453" i="1"/>
  <c r="F454" i="1"/>
  <c r="N454" i="1"/>
  <c r="Q454" i="1" s="1"/>
  <c r="AJ159" i="34"/>
  <c r="Y453" i="1"/>
  <c r="AJ139" i="34"/>
  <c r="M546" i="1"/>
  <c r="AH141" i="34" s="1"/>
  <c r="P454" i="1"/>
  <c r="H454" i="1"/>
  <c r="K454" i="1" s="1"/>
  <c r="AI159" i="34"/>
  <c r="AI149" i="34"/>
  <c r="J545" i="1"/>
  <c r="N545" i="1"/>
  <c r="R545" i="1"/>
  <c r="AG150" i="34" s="1"/>
  <c r="V545" i="1"/>
  <c r="G545" i="1"/>
  <c r="K545" i="1"/>
  <c r="AF140" i="34" s="1"/>
  <c r="O545" i="1"/>
  <c r="S545" i="1"/>
  <c r="AH150" i="34" s="1"/>
  <c r="W545" i="1"/>
  <c r="AF160" i="34" s="1"/>
  <c r="M545" i="1"/>
  <c r="AH140" i="34" s="1"/>
  <c r="U545" i="1"/>
  <c r="H545" i="1"/>
  <c r="P545" i="1"/>
  <c r="X545" i="1"/>
  <c r="AG160" i="34" s="1"/>
  <c r="I545" i="1"/>
  <c r="Q545" i="1"/>
  <c r="AF150" i="34" s="1"/>
  <c r="Y545" i="1"/>
  <c r="AH160" i="34" s="1"/>
  <c r="L545" i="1"/>
  <c r="AG140" i="34" s="1"/>
  <c r="T545" i="1"/>
  <c r="F545" i="1"/>
  <c r="AJ149" i="34"/>
  <c r="V454" i="1"/>
  <c r="Y454" i="1" s="1"/>
  <c r="T454" i="1"/>
  <c r="W454" i="1" s="1"/>
  <c r="I454" i="1"/>
  <c r="D55" i="34"/>
  <c r="J9" i="34" s="1"/>
  <c r="J9" i="36" s="1"/>
  <c r="AI139" i="34"/>
  <c r="K9" i="34"/>
  <c r="K9" i="36" s="1"/>
  <c r="I9" i="34"/>
  <c r="I9" i="36" s="1"/>
  <c r="J8" i="34"/>
  <c r="J8" i="36" s="1"/>
  <c r="H9" i="34"/>
  <c r="H9" i="36" s="1"/>
  <c r="J127" i="1"/>
  <c r="F488" i="1" s="1"/>
  <c r="S421" i="11"/>
  <c r="R436" i="11"/>
  <c r="T436" i="11"/>
  <c r="R409" i="11"/>
  <c r="J421" i="11"/>
  <c r="I409" i="11"/>
  <c r="W409" i="11"/>
  <c r="Q436" i="11"/>
  <c r="J436" i="11"/>
  <c r="V436" i="11"/>
  <c r="G409" i="11"/>
  <c r="T409" i="11"/>
  <c r="T421" i="11"/>
  <c r="H436" i="11"/>
  <c r="Y436" i="11"/>
  <c r="W421" i="11"/>
  <c r="X421" i="11"/>
  <c r="I436" i="11"/>
  <c r="K409" i="11"/>
  <c r="M409" i="11"/>
  <c r="R421" i="11"/>
  <c r="V409" i="11"/>
  <c r="Y421" i="11"/>
  <c r="L409" i="11"/>
  <c r="F436" i="11"/>
  <c r="O409" i="11"/>
  <c r="P421" i="11"/>
  <c r="Y409" i="11"/>
  <c r="G436" i="11"/>
  <c r="O421" i="11"/>
  <c r="P409" i="11"/>
  <c r="S436" i="11"/>
  <c r="H421" i="11"/>
  <c r="U436" i="11"/>
  <c r="N421" i="11"/>
  <c r="W436" i="11"/>
  <c r="V421" i="11"/>
  <c r="K436" i="11"/>
  <c r="M436" i="11"/>
  <c r="X409" i="11"/>
  <c r="K421" i="11"/>
  <c r="X436" i="11"/>
  <c r="I421" i="11"/>
  <c r="U409" i="11"/>
  <c r="N409" i="11"/>
  <c r="U421" i="11"/>
  <c r="F421" i="11"/>
  <c r="H409" i="11"/>
  <c r="M421" i="11"/>
  <c r="J409" i="11"/>
  <c r="O436" i="11"/>
  <c r="Q421" i="11"/>
  <c r="P436" i="11"/>
  <c r="G421" i="11"/>
  <c r="L436" i="11"/>
  <c r="L421" i="11"/>
  <c r="Q409" i="11"/>
  <c r="F409" i="11"/>
  <c r="N436" i="11"/>
  <c r="S409" i="11"/>
  <c r="G47" i="34"/>
  <c r="O349" i="1"/>
  <c r="R348" i="1"/>
  <c r="R349" i="1" s="1"/>
  <c r="N349" i="1"/>
  <c r="Q348" i="1"/>
  <c r="Q349" i="1" s="1"/>
  <c r="M320" i="11"/>
  <c r="J321" i="11"/>
  <c r="Y320" i="11"/>
  <c r="Y321" i="11" s="1"/>
  <c r="V321" i="11"/>
  <c r="H589" i="1"/>
  <c r="D19" i="22"/>
  <c r="E9" i="39" s="1"/>
  <c r="C18" i="21"/>
  <c r="D19" i="21"/>
  <c r="B18" i="21"/>
  <c r="K348" i="1"/>
  <c r="H349" i="1"/>
  <c r="K349" i="1" s="1"/>
  <c r="W320" i="11"/>
  <c r="W321" i="11" s="1"/>
  <c r="T321" i="11"/>
  <c r="R320" i="11"/>
  <c r="R321" i="11" s="1"/>
  <c r="O321" i="11"/>
  <c r="Q320" i="11"/>
  <c r="Q321" i="11" s="1"/>
  <c r="N321" i="11"/>
  <c r="G589" i="1"/>
  <c r="W348" i="1"/>
  <c r="W349" i="1" s="1"/>
  <c r="T349" i="1"/>
  <c r="J349" i="1"/>
  <c r="M348" i="1"/>
  <c r="L348" i="1"/>
  <c r="I349" i="1"/>
  <c r="S320" i="11"/>
  <c r="S321" i="11" s="1"/>
  <c r="P321" i="11"/>
  <c r="L320" i="11"/>
  <c r="I321" i="11"/>
  <c r="G55" i="34"/>
  <c r="F48" i="34"/>
  <c r="D590" i="1"/>
  <c r="F590" i="1" s="1"/>
  <c r="G590" i="1" s="1"/>
  <c r="F56" i="34"/>
  <c r="U349" i="1"/>
  <c r="X348" i="1"/>
  <c r="X349" i="1" s="1"/>
  <c r="V349" i="1"/>
  <c r="Y348" i="1"/>
  <c r="Y349" i="1" s="1"/>
  <c r="P349" i="1"/>
  <c r="S348" i="1"/>
  <c r="S349" i="1" s="1"/>
  <c r="X320" i="11"/>
  <c r="X321" i="11" s="1"/>
  <c r="U321" i="11"/>
  <c r="K320" i="11"/>
  <c r="H321" i="11"/>
  <c r="K321" i="11" s="1"/>
  <c r="E47" i="34"/>
  <c r="D48" i="34"/>
  <c r="D570" i="1"/>
  <c r="F570" i="1" s="1"/>
  <c r="C33" i="45" s="1"/>
  <c r="G43" i="11"/>
  <c r="G561" i="11"/>
  <c r="M161" i="40" l="1"/>
  <c r="Y164" i="40"/>
  <c r="Y159" i="40"/>
  <c r="M159" i="40"/>
  <c r="L151" i="40"/>
  <c r="X160" i="40"/>
  <c r="M154" i="40"/>
  <c r="R153" i="40"/>
  <c r="Y153" i="40"/>
  <c r="Y152" i="40"/>
  <c r="S164" i="40"/>
  <c r="X161" i="40"/>
  <c r="M153" i="40"/>
  <c r="L152" i="40"/>
  <c r="X151" i="40"/>
  <c r="R163" i="40"/>
  <c r="X162" i="40"/>
  <c r="S156" i="40"/>
  <c r="M163" i="40"/>
  <c r="S151" i="40"/>
  <c r="M160" i="40"/>
  <c r="L164" i="40"/>
  <c r="M156" i="40"/>
  <c r="X159" i="40"/>
  <c r="L159" i="40"/>
  <c r="R160" i="40"/>
  <c r="L154" i="40"/>
  <c r="Y163" i="40"/>
  <c r="Y155" i="40"/>
  <c r="X156" i="40"/>
  <c r="S161" i="40"/>
  <c r="S159" i="40"/>
  <c r="S152" i="40"/>
  <c r="M155" i="40"/>
  <c r="Y158" i="40"/>
  <c r="R164" i="40"/>
  <c r="S154" i="40"/>
  <c r="X154" i="40"/>
  <c r="Y151" i="40"/>
  <c r="R158" i="40"/>
  <c r="X164" i="40"/>
  <c r="Y154" i="40"/>
  <c r="M162" i="40"/>
  <c r="Y162" i="40"/>
  <c r="R161" i="40"/>
  <c r="L161" i="40"/>
  <c r="X153" i="40"/>
  <c r="R159" i="40"/>
  <c r="R152" i="40"/>
  <c r="X155" i="40"/>
  <c r="S155" i="40"/>
  <c r="L155" i="40"/>
  <c r="M151" i="40"/>
  <c r="R151" i="40"/>
  <c r="S160" i="40"/>
  <c r="L160" i="40"/>
  <c r="R154" i="40"/>
  <c r="L156" i="40"/>
  <c r="S163" i="40"/>
  <c r="Y161" i="40"/>
  <c r="S153" i="40"/>
  <c r="X152" i="40"/>
  <c r="L158" i="40"/>
  <c r="L162" i="40"/>
  <c r="R162" i="40"/>
  <c r="L153" i="40"/>
  <c r="M152" i="40"/>
  <c r="R155" i="40"/>
  <c r="M158" i="40"/>
  <c r="Y160" i="40"/>
  <c r="M164" i="40"/>
  <c r="Y156" i="40"/>
  <c r="R156" i="40"/>
  <c r="X163" i="40"/>
  <c r="L163" i="40"/>
  <c r="E34" i="35"/>
  <c r="I44" i="11"/>
  <c r="D34" i="35" s="1"/>
  <c r="B27" i="45"/>
  <c r="G565" i="1"/>
  <c r="H49" i="1" s="1"/>
  <c r="H45" i="11"/>
  <c r="J45" i="11" s="1" a="1"/>
  <c r="J45" i="11" s="1"/>
  <c r="B14" i="45"/>
  <c r="E14" i="45" s="1"/>
  <c r="F14" i="45" s="1"/>
  <c r="G166" i="40"/>
  <c r="V137" i="40"/>
  <c r="V139" i="40" s="1"/>
  <c r="G139" i="40"/>
  <c r="S137" i="40"/>
  <c r="S139" i="40" s="1"/>
  <c r="M137" i="40"/>
  <c r="M139" i="40" s="1"/>
  <c r="Y137" i="40"/>
  <c r="Y139" i="40" s="1"/>
  <c r="U137" i="40"/>
  <c r="U139" i="40" s="1"/>
  <c r="H137" i="40"/>
  <c r="O491" i="1"/>
  <c r="F52" i="11"/>
  <c r="Q491" i="1"/>
  <c r="P491" i="1"/>
  <c r="I491" i="1"/>
  <c r="L491" i="1"/>
  <c r="F491" i="1"/>
  <c r="V491" i="1"/>
  <c r="S491" i="1"/>
  <c r="M491" i="1"/>
  <c r="N491" i="1"/>
  <c r="G480" i="1"/>
  <c r="H488" i="1"/>
  <c r="X488" i="1"/>
  <c r="U488" i="1"/>
  <c r="W488" i="1"/>
  <c r="V488" i="1"/>
  <c r="N488" i="1"/>
  <c r="M488" i="1"/>
  <c r="Q488" i="1"/>
  <c r="L488" i="1"/>
  <c r="I488" i="1"/>
  <c r="Y488" i="1"/>
  <c r="F477" i="1"/>
  <c r="J488" i="1"/>
  <c r="P488" i="1"/>
  <c r="G488" i="1"/>
  <c r="K488" i="1"/>
  <c r="R488" i="1"/>
  <c r="T488" i="1"/>
  <c r="O488" i="1"/>
  <c r="S488" i="1"/>
  <c r="I489" i="1"/>
  <c r="Y489" i="1"/>
  <c r="V489" i="1"/>
  <c r="H489" i="1"/>
  <c r="G489" i="1"/>
  <c r="N489" i="1"/>
  <c r="U489" i="1"/>
  <c r="F489" i="1"/>
  <c r="K489" i="1"/>
  <c r="S489" i="1"/>
  <c r="M489" i="1"/>
  <c r="J489" i="1"/>
  <c r="L489" i="1"/>
  <c r="P489" i="1"/>
  <c r="O489" i="1"/>
  <c r="Q489" i="1"/>
  <c r="T489" i="1"/>
  <c r="X489" i="1"/>
  <c r="W489" i="1"/>
  <c r="R489" i="1"/>
  <c r="J490" i="1"/>
  <c r="F490" i="1"/>
  <c r="S490" i="1"/>
  <c r="Y490" i="1"/>
  <c r="X490" i="1"/>
  <c r="R490" i="1"/>
  <c r="I490" i="1"/>
  <c r="U490" i="1"/>
  <c r="T490" i="1"/>
  <c r="N490" i="1"/>
  <c r="G490" i="1"/>
  <c r="W490" i="1"/>
  <c r="M490" i="1"/>
  <c r="L490" i="1"/>
  <c r="K490" i="1"/>
  <c r="V490" i="1"/>
  <c r="O490" i="1"/>
  <c r="Q490" i="1"/>
  <c r="H490" i="1"/>
  <c r="P490" i="1"/>
  <c r="R491" i="1"/>
  <c r="U491" i="1"/>
  <c r="X491" i="1"/>
  <c r="H491" i="1"/>
  <c r="K491" i="1"/>
  <c r="H492" i="1"/>
  <c r="L492" i="1"/>
  <c r="P492" i="1"/>
  <c r="T492" i="1"/>
  <c r="X492" i="1"/>
  <c r="I492" i="1"/>
  <c r="M492" i="1"/>
  <c r="Q492" i="1"/>
  <c r="U492" i="1"/>
  <c r="Y492" i="1"/>
  <c r="K492" i="1"/>
  <c r="S492" i="1"/>
  <c r="G492" i="1"/>
  <c r="O492" i="1"/>
  <c r="W492" i="1"/>
  <c r="F492" i="1"/>
  <c r="R492" i="1"/>
  <c r="N492" i="1"/>
  <c r="V492" i="1"/>
  <c r="J492" i="1"/>
  <c r="Y491" i="1"/>
  <c r="J491" i="1"/>
  <c r="T491" i="1"/>
  <c r="W491" i="1"/>
  <c r="G491" i="1"/>
  <c r="Y66" i="35"/>
  <c r="Z76" i="35"/>
  <c r="T480" i="1"/>
  <c r="R480" i="1"/>
  <c r="O480" i="1"/>
  <c r="L480" i="1"/>
  <c r="I477" i="1"/>
  <c r="P477" i="1"/>
  <c r="J477" i="1"/>
  <c r="M477" i="1"/>
  <c r="S477" i="1"/>
  <c r="G477" i="1"/>
  <c r="N477" i="1"/>
  <c r="R477" i="1"/>
  <c r="L477" i="1"/>
  <c r="O477" i="1"/>
  <c r="T477" i="1"/>
  <c r="W477" i="1"/>
  <c r="Q477" i="1"/>
  <c r="K477" i="1"/>
  <c r="U477" i="1"/>
  <c r="H477" i="1"/>
  <c r="V477" i="1"/>
  <c r="X477" i="1"/>
  <c r="Y477" i="1"/>
  <c r="N478" i="1"/>
  <c r="O478" i="1"/>
  <c r="R478" i="1"/>
  <c r="K478" i="1"/>
  <c r="S478" i="1"/>
  <c r="F478" i="1"/>
  <c r="J478" i="1"/>
  <c r="T478" i="1"/>
  <c r="L478" i="1"/>
  <c r="X478" i="1"/>
  <c r="H478" i="1"/>
  <c r="I478" i="1"/>
  <c r="G478" i="1"/>
  <c r="Q478" i="1"/>
  <c r="M478" i="1"/>
  <c r="U478" i="1"/>
  <c r="V478" i="1"/>
  <c r="P478" i="1"/>
  <c r="Y478" i="1"/>
  <c r="W478" i="1"/>
  <c r="H479" i="1"/>
  <c r="I479" i="1"/>
  <c r="Q479" i="1"/>
  <c r="Y479" i="1"/>
  <c r="K479" i="1"/>
  <c r="F479" i="1"/>
  <c r="P479" i="1"/>
  <c r="V479" i="1"/>
  <c r="L479" i="1"/>
  <c r="X479" i="1"/>
  <c r="T479" i="1"/>
  <c r="N479" i="1"/>
  <c r="J479" i="1"/>
  <c r="W479" i="1"/>
  <c r="M479" i="1"/>
  <c r="G479" i="1"/>
  <c r="O479" i="1"/>
  <c r="U479" i="1"/>
  <c r="R479" i="1"/>
  <c r="S479" i="1"/>
  <c r="K480" i="1"/>
  <c r="Y480" i="1"/>
  <c r="M480" i="1"/>
  <c r="W480" i="1"/>
  <c r="N480" i="1"/>
  <c r="V480" i="1"/>
  <c r="X480" i="1"/>
  <c r="J480" i="1"/>
  <c r="U480" i="1"/>
  <c r="P480" i="1"/>
  <c r="Q480" i="1"/>
  <c r="S480" i="1"/>
  <c r="I480" i="1"/>
  <c r="H480" i="1"/>
  <c r="F480" i="1"/>
  <c r="AJ119" i="35"/>
  <c r="AA86" i="35"/>
  <c r="Z86" i="35"/>
  <c r="AI152" i="35"/>
  <c r="F152" i="35"/>
  <c r="R194" i="35" s="1"/>
  <c r="AF86" i="35"/>
  <c r="AI75" i="35"/>
  <c r="AJ152" i="35"/>
  <c r="AI142" i="35"/>
  <c r="E152" i="35"/>
  <c r="Q194" i="35" s="1"/>
  <c r="F142" i="35"/>
  <c r="R184" i="35" s="1"/>
  <c r="AJ65" i="35"/>
  <c r="AI132" i="35"/>
  <c r="E132" i="35"/>
  <c r="Q174" i="35" s="1"/>
  <c r="AJ85" i="35"/>
  <c r="AI85" i="35"/>
  <c r="AI119" i="35"/>
  <c r="AG76" i="35"/>
  <c r="AG66" i="35"/>
  <c r="AI65" i="35"/>
  <c r="AH66" i="35"/>
  <c r="F132" i="35"/>
  <c r="R174" i="35" s="1"/>
  <c r="U96" i="35"/>
  <c r="U99" i="35"/>
  <c r="AG86" i="35"/>
  <c r="AJ109" i="35"/>
  <c r="AJ142" i="35"/>
  <c r="U98" i="35"/>
  <c r="AA76" i="35"/>
  <c r="AH76" i="35"/>
  <c r="AJ132" i="35"/>
  <c r="AH86" i="35"/>
  <c r="AI99" i="35"/>
  <c r="AJ75" i="35"/>
  <c r="Y76" i="35"/>
  <c r="U95" i="35"/>
  <c r="Y86" i="35"/>
  <c r="AA66" i="35"/>
  <c r="AF76" i="35"/>
  <c r="Y143" i="35"/>
  <c r="AA143" i="35"/>
  <c r="AF120" i="35"/>
  <c r="AH110" i="35"/>
  <c r="AH153" i="35"/>
  <c r="AH143" i="35"/>
  <c r="E142" i="35"/>
  <c r="Q184" i="35" s="1"/>
  <c r="AA153" i="35"/>
  <c r="AH100" i="35"/>
  <c r="AH120" i="35"/>
  <c r="AI109" i="35"/>
  <c r="AF143" i="35"/>
  <c r="AF133" i="35"/>
  <c r="AG133" i="35"/>
  <c r="AJ99" i="35"/>
  <c r="U118" i="35"/>
  <c r="Y153" i="35"/>
  <c r="Z133" i="35"/>
  <c r="Y133" i="35"/>
  <c r="Z143" i="35"/>
  <c r="AF66" i="35"/>
  <c r="AF153" i="35"/>
  <c r="AG143" i="35"/>
  <c r="AF110" i="35"/>
  <c r="U100" i="35"/>
  <c r="AA133" i="35"/>
  <c r="AG120" i="35"/>
  <c r="AF100" i="35"/>
  <c r="AG110" i="35"/>
  <c r="AH133" i="35"/>
  <c r="AG153" i="35"/>
  <c r="U97" i="35"/>
  <c r="Z153" i="35"/>
  <c r="Z66" i="35"/>
  <c r="U117" i="35"/>
  <c r="V99" i="35"/>
  <c r="T66" i="35"/>
  <c r="U105" i="35"/>
  <c r="S72" i="35"/>
  <c r="V98" i="35"/>
  <c r="T65" i="35"/>
  <c r="U116" i="35"/>
  <c r="S83" i="35"/>
  <c r="V106" i="35"/>
  <c r="S73" i="35"/>
  <c r="V109" i="35"/>
  <c r="S76" i="35"/>
  <c r="V118" i="35"/>
  <c r="U109" i="35"/>
  <c r="V95" i="35"/>
  <c r="U106" i="35"/>
  <c r="U110" i="35"/>
  <c r="V110" i="35"/>
  <c r="U119" i="35"/>
  <c r="V96" i="35"/>
  <c r="U107" i="35"/>
  <c r="V115" i="35"/>
  <c r="V108" i="35"/>
  <c r="V97" i="35"/>
  <c r="V117" i="35"/>
  <c r="Y100" i="35"/>
  <c r="V100" i="35"/>
  <c r="V105" i="35"/>
  <c r="V107" i="35"/>
  <c r="AA110" i="35"/>
  <c r="Z120" i="35"/>
  <c r="AA120" i="35"/>
  <c r="AA100" i="35"/>
  <c r="Z110" i="35"/>
  <c r="V119" i="35"/>
  <c r="V116" i="35"/>
  <c r="Y110" i="35"/>
  <c r="G579" i="1"/>
  <c r="F481" i="1"/>
  <c r="O481" i="1"/>
  <c r="P481" i="1"/>
  <c r="V481" i="1"/>
  <c r="J481" i="1"/>
  <c r="G481" i="1"/>
  <c r="H481" i="1"/>
  <c r="U481" i="1"/>
  <c r="N481" i="1"/>
  <c r="T481" i="1"/>
  <c r="I481" i="1"/>
  <c r="L481" i="1"/>
  <c r="Y481" i="1"/>
  <c r="X481" i="1"/>
  <c r="W481" i="1"/>
  <c r="S481" i="1"/>
  <c r="Q481" i="1"/>
  <c r="R481" i="1"/>
  <c r="K481" i="1"/>
  <c r="M481" i="1"/>
  <c r="U115" i="35"/>
  <c r="U120" i="35"/>
  <c r="Z100" i="35"/>
  <c r="AG100" i="35"/>
  <c r="Y120" i="35"/>
  <c r="V120" i="35"/>
  <c r="U108" i="35"/>
  <c r="V455" i="1"/>
  <c r="H546" i="1"/>
  <c r="J455" i="1"/>
  <c r="X546" i="1"/>
  <c r="AG161" i="34" s="1"/>
  <c r="O455" i="1"/>
  <c r="I546" i="1"/>
  <c r="K546" i="1"/>
  <c r="AF141" i="34" s="1"/>
  <c r="H140" i="35"/>
  <c r="T182" i="35" s="1"/>
  <c r="G140" i="35"/>
  <c r="S182" i="35" s="1"/>
  <c r="G139" i="35"/>
  <c r="S181" i="35" s="1"/>
  <c r="H139" i="35"/>
  <c r="T181" i="35" s="1"/>
  <c r="AB132" i="35"/>
  <c r="AC132" i="35"/>
  <c r="D132" i="35"/>
  <c r="P174" i="35" s="1"/>
  <c r="G151" i="35"/>
  <c r="S193" i="35" s="1"/>
  <c r="H151" i="35"/>
  <c r="T193" i="35" s="1"/>
  <c r="G138" i="35"/>
  <c r="S180" i="35" s="1"/>
  <c r="H138" i="35"/>
  <c r="T180" i="35" s="1"/>
  <c r="H149" i="35"/>
  <c r="T191" i="35" s="1"/>
  <c r="G149" i="35"/>
  <c r="S191" i="35" s="1"/>
  <c r="G141" i="35"/>
  <c r="S183" i="35" s="1"/>
  <c r="H141" i="35"/>
  <c r="T183" i="35" s="1"/>
  <c r="G131" i="35"/>
  <c r="S173" i="35" s="1"/>
  <c r="H131" i="35"/>
  <c r="T173" i="35" s="1"/>
  <c r="G148" i="35"/>
  <c r="S190" i="35" s="1"/>
  <c r="H148" i="35"/>
  <c r="T190" i="35" s="1"/>
  <c r="AB119" i="35"/>
  <c r="AC119" i="35"/>
  <c r="AB109" i="35"/>
  <c r="H150" i="35"/>
  <c r="T192" i="35" s="1"/>
  <c r="G150" i="35"/>
  <c r="S192" i="35" s="1"/>
  <c r="AB152" i="35"/>
  <c r="AC152" i="35"/>
  <c r="D152" i="35"/>
  <c r="P194" i="35" s="1"/>
  <c r="AB142" i="35"/>
  <c r="AC142" i="35"/>
  <c r="D142" i="35"/>
  <c r="P184" i="35" s="1"/>
  <c r="AC99" i="35"/>
  <c r="AB99" i="35"/>
  <c r="AC109" i="35"/>
  <c r="E55" i="34"/>
  <c r="M454" i="1"/>
  <c r="D580" i="1"/>
  <c r="F580" i="1" s="1"/>
  <c r="G455" i="1"/>
  <c r="U455" i="1"/>
  <c r="H579" i="1"/>
  <c r="G532" i="1" s="1"/>
  <c r="V546" i="1"/>
  <c r="F546" i="1"/>
  <c r="T546" i="1"/>
  <c r="W546" i="1"/>
  <c r="AF161" i="34" s="1"/>
  <c r="G546" i="1"/>
  <c r="R454" i="1"/>
  <c r="T455" i="1"/>
  <c r="W455" i="1" s="1"/>
  <c r="P455" i="1"/>
  <c r="F455" i="1"/>
  <c r="Y546" i="1"/>
  <c r="AH161" i="34" s="1"/>
  <c r="N546" i="1"/>
  <c r="R546" i="1"/>
  <c r="AG151" i="34" s="1"/>
  <c r="P546" i="1"/>
  <c r="S546" i="1"/>
  <c r="AH151" i="34" s="1"/>
  <c r="H455" i="1"/>
  <c r="K455" i="1" s="1"/>
  <c r="N455" i="1"/>
  <c r="Q455" i="1" s="1"/>
  <c r="I455" i="1"/>
  <c r="Q546" i="1"/>
  <c r="AF151" i="34" s="1"/>
  <c r="U546" i="1"/>
  <c r="J546" i="1"/>
  <c r="L546" i="1"/>
  <c r="AG141" i="34" s="1"/>
  <c r="J531" i="1"/>
  <c r="N531" i="1"/>
  <c r="R531" i="1"/>
  <c r="Z151" i="34" s="1"/>
  <c r="V531" i="1"/>
  <c r="F531" i="1"/>
  <c r="G531" i="1"/>
  <c r="K531" i="1"/>
  <c r="Y141" i="34" s="1"/>
  <c r="O531" i="1"/>
  <c r="S531" i="1"/>
  <c r="AA151" i="34" s="1"/>
  <c r="W531" i="1"/>
  <c r="Y161" i="34" s="1"/>
  <c r="H531" i="1"/>
  <c r="L531" i="1"/>
  <c r="Z141" i="34" s="1"/>
  <c r="P531" i="1"/>
  <c r="T531" i="1"/>
  <c r="X531" i="1"/>
  <c r="Z161" i="34" s="1"/>
  <c r="I531" i="1"/>
  <c r="M531" i="1"/>
  <c r="AA141" i="34" s="1"/>
  <c r="Q531" i="1"/>
  <c r="Y151" i="34" s="1"/>
  <c r="U531" i="1"/>
  <c r="Y531" i="1"/>
  <c r="AA161" i="34" s="1"/>
  <c r="S454" i="1"/>
  <c r="L454" i="1"/>
  <c r="X454" i="1"/>
  <c r="AI140" i="34"/>
  <c r="AJ140" i="34"/>
  <c r="AI160" i="34"/>
  <c r="AJ160" i="34"/>
  <c r="AI150" i="34"/>
  <c r="AJ150" i="34"/>
  <c r="D56" i="34"/>
  <c r="J10" i="34" s="1"/>
  <c r="J10" i="36" s="1"/>
  <c r="I10" i="34"/>
  <c r="I10" i="36" s="1"/>
  <c r="H10" i="34"/>
  <c r="H10" i="36" s="1"/>
  <c r="K10" i="34"/>
  <c r="K10" i="36" s="1"/>
  <c r="M349" i="1"/>
  <c r="L321" i="11"/>
  <c r="G56" i="34"/>
  <c r="E48" i="34"/>
  <c r="M321" i="11"/>
  <c r="H590" i="1"/>
  <c r="L349" i="1"/>
  <c r="D20" i="22"/>
  <c r="E10" i="39" s="1"/>
  <c r="B19" i="21"/>
  <c r="D20" i="21"/>
  <c r="C19" i="21"/>
  <c r="G48" i="34"/>
  <c r="G44" i="11"/>
  <c r="G562" i="11"/>
  <c r="F582" i="11"/>
  <c r="J52" i="11" l="1"/>
  <c r="F348" i="11" s="1"/>
  <c r="F355" i="11" s="1"/>
  <c r="I45" i="11"/>
  <c r="D35" i="35" s="1"/>
  <c r="E35" i="35"/>
  <c r="B28" i="45"/>
  <c r="H57" i="1"/>
  <c r="G566" i="1"/>
  <c r="H46" i="11"/>
  <c r="J46" i="11" s="1" a="1"/>
  <c r="J46" i="11" s="1"/>
  <c r="B15" i="45"/>
  <c r="E15" i="45" s="1"/>
  <c r="F15" i="45" s="1"/>
  <c r="I498" i="1"/>
  <c r="I500" i="1"/>
  <c r="O499" i="1"/>
  <c r="O497" i="1"/>
  <c r="T497" i="1"/>
  <c r="I497" i="1"/>
  <c r="J500" i="1"/>
  <c r="F500" i="1"/>
  <c r="I166" i="40"/>
  <c r="L166" i="40"/>
  <c r="J166" i="40"/>
  <c r="M166" i="40"/>
  <c r="Q166" i="40"/>
  <c r="N166" i="40"/>
  <c r="Y166" i="40"/>
  <c r="V166" i="40"/>
  <c r="P166" i="40"/>
  <c r="S166" i="40"/>
  <c r="T166" i="40"/>
  <c r="W166" i="40"/>
  <c r="R166" i="40"/>
  <c r="O166" i="40"/>
  <c r="K137" i="40"/>
  <c r="K139" i="40" s="1"/>
  <c r="H139" i="40"/>
  <c r="X166" i="40"/>
  <c r="U166" i="40"/>
  <c r="H166" i="40"/>
  <c r="K166" i="40"/>
  <c r="V500" i="1"/>
  <c r="U499" i="1"/>
  <c r="N497" i="1"/>
  <c r="G500" i="1"/>
  <c r="P498" i="1"/>
  <c r="H497" i="1"/>
  <c r="J497" i="1"/>
  <c r="T496" i="1"/>
  <c r="N496" i="1"/>
  <c r="V499" i="1"/>
  <c r="N499" i="1"/>
  <c r="P499" i="1"/>
  <c r="U500" i="1"/>
  <c r="F499" i="1"/>
  <c r="H500" i="1"/>
  <c r="F498" i="1"/>
  <c r="P497" i="1"/>
  <c r="N498" i="1"/>
  <c r="N500" i="1"/>
  <c r="J499" i="1"/>
  <c r="G498" i="1"/>
  <c r="V498" i="1"/>
  <c r="U497" i="1"/>
  <c r="J496" i="1"/>
  <c r="G499" i="1"/>
  <c r="Q500" i="1"/>
  <c r="K152" i="34" s="1"/>
  <c r="Y500" i="1"/>
  <c r="M162" i="34" s="1"/>
  <c r="S499" i="1"/>
  <c r="M151" i="34" s="1"/>
  <c r="W499" i="1"/>
  <c r="K161" i="34" s="1"/>
  <c r="S498" i="1"/>
  <c r="M150" i="34" s="1"/>
  <c r="Y498" i="1"/>
  <c r="M160" i="34" s="1"/>
  <c r="W497" i="1"/>
  <c r="K159" i="34" s="1"/>
  <c r="K497" i="1"/>
  <c r="K139" i="34" s="1"/>
  <c r="M500" i="1"/>
  <c r="M142" i="34" s="1"/>
  <c r="S500" i="1"/>
  <c r="M152" i="34" s="1"/>
  <c r="L500" i="1"/>
  <c r="L142" i="34" s="1"/>
  <c r="Q499" i="1"/>
  <c r="K151" i="34" s="1"/>
  <c r="X499" i="1"/>
  <c r="L161" i="34" s="1"/>
  <c r="M499" i="1"/>
  <c r="M141" i="34" s="1"/>
  <c r="R498" i="1"/>
  <c r="L150" i="34" s="1"/>
  <c r="M498" i="1"/>
  <c r="M140" i="34" s="1"/>
  <c r="T498" i="1"/>
  <c r="Q498" i="1"/>
  <c r="K150" i="34" s="1"/>
  <c r="Y497" i="1"/>
  <c r="M159" i="34" s="1"/>
  <c r="M497" i="1"/>
  <c r="M139" i="34" s="1"/>
  <c r="R497" i="1"/>
  <c r="L149" i="34" s="1"/>
  <c r="R499" i="1"/>
  <c r="L151" i="34" s="1"/>
  <c r="K500" i="1"/>
  <c r="K142" i="34" s="1"/>
  <c r="W500" i="1"/>
  <c r="K162" i="34" s="1"/>
  <c r="P500" i="1"/>
  <c r="H499" i="1"/>
  <c r="Y499" i="1"/>
  <c r="M161" i="34" s="1"/>
  <c r="U498" i="1"/>
  <c r="W498" i="1"/>
  <c r="K160" i="34" s="1"/>
  <c r="X498" i="1"/>
  <c r="L160" i="34" s="1"/>
  <c r="Q497" i="1"/>
  <c r="K149" i="34" s="1"/>
  <c r="X497" i="1"/>
  <c r="L159" i="34" s="1"/>
  <c r="F497" i="1"/>
  <c r="V496" i="1"/>
  <c r="T499" i="1"/>
  <c r="R500" i="1"/>
  <c r="L152" i="34" s="1"/>
  <c r="X500" i="1"/>
  <c r="L162" i="34" s="1"/>
  <c r="T500" i="1"/>
  <c r="O500" i="1"/>
  <c r="I499" i="1"/>
  <c r="K499" i="1"/>
  <c r="K141" i="34" s="1"/>
  <c r="O498" i="1"/>
  <c r="J498" i="1"/>
  <c r="L498" i="1"/>
  <c r="L140" i="34" s="1"/>
  <c r="K498" i="1"/>
  <c r="K140" i="34" s="1"/>
  <c r="H498" i="1"/>
  <c r="V497" i="1"/>
  <c r="G497" i="1"/>
  <c r="L497" i="1"/>
  <c r="L139" i="34" s="1"/>
  <c r="S497" i="1"/>
  <c r="M149" i="34" s="1"/>
  <c r="H496" i="1"/>
  <c r="L499" i="1"/>
  <c r="L141" i="34" s="1"/>
  <c r="P496" i="1"/>
  <c r="I496" i="1"/>
  <c r="M496" i="1"/>
  <c r="M138" i="34" s="1"/>
  <c r="Y496" i="1"/>
  <c r="M158" i="34" s="1"/>
  <c r="U496" i="1"/>
  <c r="R496" i="1"/>
  <c r="L148" i="34" s="1"/>
  <c r="X496" i="1"/>
  <c r="L158" i="34" s="1"/>
  <c r="K496" i="1"/>
  <c r="K138" i="34" s="1"/>
  <c r="O496" i="1"/>
  <c r="G496" i="1"/>
  <c r="W496" i="1"/>
  <c r="K158" i="34" s="1"/>
  <c r="Q496" i="1"/>
  <c r="K148" i="34" s="1"/>
  <c r="L496" i="1"/>
  <c r="L138" i="34" s="1"/>
  <c r="S496" i="1"/>
  <c r="M148" i="34" s="1"/>
  <c r="F496" i="1"/>
  <c r="I493" i="1"/>
  <c r="M493" i="1"/>
  <c r="Q493" i="1"/>
  <c r="U493" i="1"/>
  <c r="Y493" i="1"/>
  <c r="H493" i="1"/>
  <c r="N493" i="1"/>
  <c r="S493" i="1"/>
  <c r="X493" i="1"/>
  <c r="K493" i="1"/>
  <c r="P493" i="1"/>
  <c r="L493" i="1"/>
  <c r="W493" i="1"/>
  <c r="J493" i="1"/>
  <c r="O493" i="1"/>
  <c r="T493" i="1"/>
  <c r="F493" i="1"/>
  <c r="V493" i="1"/>
  <c r="G493" i="1"/>
  <c r="R493" i="1"/>
  <c r="F143" i="35"/>
  <c r="R185" i="35" s="1"/>
  <c r="AA77" i="35"/>
  <c r="AI86" i="35"/>
  <c r="AI76" i="35"/>
  <c r="AI66" i="35"/>
  <c r="E133" i="35"/>
  <c r="Q175" i="35" s="1"/>
  <c r="AJ153" i="35"/>
  <c r="F133" i="35"/>
  <c r="R175" i="35" s="1"/>
  <c r="AH87" i="35"/>
  <c r="F153" i="35"/>
  <c r="R195" i="35" s="1"/>
  <c r="AG87" i="35"/>
  <c r="AI143" i="35"/>
  <c r="AJ86" i="35"/>
  <c r="AJ76" i="35"/>
  <c r="AJ120" i="35"/>
  <c r="AH67" i="35"/>
  <c r="Y77" i="35"/>
  <c r="AA67" i="35"/>
  <c r="AG77" i="35"/>
  <c r="AJ66" i="35"/>
  <c r="Y87" i="35"/>
  <c r="AI110" i="35"/>
  <c r="AF87" i="35"/>
  <c r="AG67" i="35"/>
  <c r="AF77" i="35"/>
  <c r="AH77" i="35"/>
  <c r="Y67" i="35"/>
  <c r="E153" i="35"/>
  <c r="Q195" i="35" s="1"/>
  <c r="AI120" i="35"/>
  <c r="AJ143" i="35"/>
  <c r="E143" i="35"/>
  <c r="Q185" i="35" s="1"/>
  <c r="AF67" i="35"/>
  <c r="AI153" i="35"/>
  <c r="AA87" i="35"/>
  <c r="AJ110" i="35"/>
  <c r="AJ133" i="35"/>
  <c r="Z87" i="35"/>
  <c r="Z67" i="35"/>
  <c r="Z77" i="35"/>
  <c r="M455" i="1"/>
  <c r="AJ100" i="35"/>
  <c r="O547" i="1"/>
  <c r="AI100" i="35"/>
  <c r="AI141" i="34"/>
  <c r="Y455" i="1"/>
  <c r="G580" i="1"/>
  <c r="F482" i="1"/>
  <c r="I482" i="1"/>
  <c r="J482" i="1"/>
  <c r="H482" i="1"/>
  <c r="T482" i="1"/>
  <c r="V482" i="1"/>
  <c r="G482" i="1"/>
  <c r="U482" i="1"/>
  <c r="O482" i="1"/>
  <c r="P482" i="1"/>
  <c r="N482" i="1"/>
  <c r="X482" i="1"/>
  <c r="M482" i="1"/>
  <c r="K482" i="1"/>
  <c r="L482" i="1"/>
  <c r="Y482" i="1"/>
  <c r="S482" i="1"/>
  <c r="R482" i="1"/>
  <c r="W482" i="1"/>
  <c r="Q482" i="1"/>
  <c r="AI133" i="35"/>
  <c r="S455" i="1"/>
  <c r="O456" i="1"/>
  <c r="X547" i="1"/>
  <c r="AG162" i="34" s="1"/>
  <c r="I532" i="1"/>
  <c r="AJ151" i="34"/>
  <c r="G132" i="35"/>
  <c r="S174" i="35" s="1"/>
  <c r="H132" i="35"/>
  <c r="T174" i="35" s="1"/>
  <c r="AC100" i="35"/>
  <c r="AB100" i="35"/>
  <c r="AB133" i="35"/>
  <c r="AC133" i="35"/>
  <c r="D133" i="35"/>
  <c r="P175" i="35" s="1"/>
  <c r="H152" i="35"/>
  <c r="T194" i="35" s="1"/>
  <c r="G152" i="35"/>
  <c r="S194" i="35" s="1"/>
  <c r="AB153" i="35"/>
  <c r="AC153" i="35"/>
  <c r="D153" i="35"/>
  <c r="P195" i="35" s="1"/>
  <c r="AB110" i="35"/>
  <c r="AC110" i="35"/>
  <c r="H142" i="35"/>
  <c r="T184" i="35" s="1"/>
  <c r="G142" i="35"/>
  <c r="S184" i="35" s="1"/>
  <c r="AB120" i="35"/>
  <c r="AC120" i="35"/>
  <c r="AB143" i="35"/>
  <c r="AC143" i="35"/>
  <c r="D143" i="35"/>
  <c r="P185" i="35" s="1"/>
  <c r="U66" i="35"/>
  <c r="V66" i="35"/>
  <c r="U62" i="35"/>
  <c r="V62" i="35"/>
  <c r="U72" i="35"/>
  <c r="V72" i="35"/>
  <c r="U64" i="35"/>
  <c r="V64" i="35"/>
  <c r="V65" i="35"/>
  <c r="U65" i="35"/>
  <c r="U63" i="35"/>
  <c r="V63" i="35"/>
  <c r="U74" i="35"/>
  <c r="V74" i="35"/>
  <c r="U82" i="35"/>
  <c r="U67" i="35"/>
  <c r="V67" i="35"/>
  <c r="K547" i="1"/>
  <c r="AF142" i="34" s="1"/>
  <c r="H547" i="1"/>
  <c r="V532" i="1"/>
  <c r="G456" i="1"/>
  <c r="Q547" i="1"/>
  <c r="AF152" i="34" s="1"/>
  <c r="S532" i="1"/>
  <c r="AA152" i="34" s="1"/>
  <c r="Y532" i="1"/>
  <c r="AA162" i="34" s="1"/>
  <c r="P532" i="1"/>
  <c r="T456" i="1"/>
  <c r="W456" i="1" s="1"/>
  <c r="N547" i="1"/>
  <c r="Y547" i="1"/>
  <c r="AH162" i="34" s="1"/>
  <c r="P547" i="1"/>
  <c r="Q532" i="1"/>
  <c r="Y152" i="34" s="1"/>
  <c r="H532" i="1"/>
  <c r="V456" i="1"/>
  <c r="J456" i="1"/>
  <c r="J547" i="1"/>
  <c r="I547" i="1"/>
  <c r="N532" i="1"/>
  <c r="X532" i="1"/>
  <c r="Z162" i="34" s="1"/>
  <c r="K532" i="1"/>
  <c r="Y142" i="34" s="1"/>
  <c r="L455" i="1"/>
  <c r="F456" i="1"/>
  <c r="U456" i="1"/>
  <c r="P456" i="1"/>
  <c r="V547" i="1"/>
  <c r="R547" i="1"/>
  <c r="AG152" i="34" s="1"/>
  <c r="G547" i="1"/>
  <c r="M547" i="1"/>
  <c r="AH142" i="34" s="1"/>
  <c r="T547" i="1"/>
  <c r="R532" i="1"/>
  <c r="Z152" i="34" s="1"/>
  <c r="U532" i="1"/>
  <c r="F532" i="1"/>
  <c r="L532" i="1"/>
  <c r="Z142" i="34" s="1"/>
  <c r="O532" i="1"/>
  <c r="H580" i="1"/>
  <c r="I456" i="1"/>
  <c r="N456" i="1"/>
  <c r="Q456" i="1" s="1"/>
  <c r="H456" i="1"/>
  <c r="K456" i="1" s="1"/>
  <c r="S547" i="1"/>
  <c r="AH152" i="34" s="1"/>
  <c r="W547" i="1"/>
  <c r="AF162" i="34" s="1"/>
  <c r="U547" i="1"/>
  <c r="F547" i="1"/>
  <c r="L547" i="1"/>
  <c r="AG142" i="34" s="1"/>
  <c r="J532" i="1"/>
  <c r="M532" i="1"/>
  <c r="AA142" i="34" s="1"/>
  <c r="T532" i="1"/>
  <c r="W532" i="1"/>
  <c r="Y162" i="34" s="1"/>
  <c r="X455" i="1"/>
  <c r="AI151" i="34"/>
  <c r="AJ161" i="34"/>
  <c r="AI161" i="34"/>
  <c r="R455" i="1"/>
  <c r="E56" i="34"/>
  <c r="D21" i="22"/>
  <c r="E11" i="39" s="1"/>
  <c r="D21" i="21"/>
  <c r="C20" i="21"/>
  <c r="B20" i="21"/>
  <c r="F294" i="11"/>
  <c r="F224" i="11"/>
  <c r="F282" i="11"/>
  <c r="F309" i="11"/>
  <c r="F248" i="11"/>
  <c r="F323" i="11"/>
  <c r="F200" i="11"/>
  <c r="G582" i="11"/>
  <c r="E25" i="45" s="1"/>
  <c r="G563" i="11"/>
  <c r="G45" i="11"/>
  <c r="F590" i="11"/>
  <c r="F338" i="11" s="1"/>
  <c r="T501" i="1" l="1"/>
  <c r="G348" i="11"/>
  <c r="G350" i="11" s="1"/>
  <c r="I501" i="1"/>
  <c r="F350" i="11"/>
  <c r="F352" i="11"/>
  <c r="F354" i="11"/>
  <c r="F353" i="11"/>
  <c r="F351" i="11"/>
  <c r="E36" i="35"/>
  <c r="I46" i="11"/>
  <c r="D36" i="35" s="1"/>
  <c r="J57" i="1"/>
  <c r="G57" i="1"/>
  <c r="F67" i="1" s="1"/>
  <c r="J49" i="1"/>
  <c r="G49" i="1"/>
  <c r="F66" i="1" s="1"/>
  <c r="B29" i="45"/>
  <c r="H50" i="1"/>
  <c r="H58" i="1"/>
  <c r="G567" i="1"/>
  <c r="F25" i="45"/>
  <c r="G25" i="45"/>
  <c r="T533" i="1"/>
  <c r="F79" i="1"/>
  <c r="H47" i="11"/>
  <c r="J47" i="11" s="1" a="1"/>
  <c r="J47" i="11" s="1"/>
  <c r="B16" i="45"/>
  <c r="E16" i="45" s="1"/>
  <c r="F16" i="45" s="1"/>
  <c r="AI67" i="35"/>
  <c r="N152" i="34"/>
  <c r="N149" i="34"/>
  <c r="O142" i="34"/>
  <c r="N160" i="34"/>
  <c r="O140" i="34"/>
  <c r="N150" i="34"/>
  <c r="O161" i="34"/>
  <c r="R501" i="1"/>
  <c r="L153" i="34" s="1"/>
  <c r="O159" i="34"/>
  <c r="O151" i="34"/>
  <c r="O139" i="34"/>
  <c r="U501" i="1"/>
  <c r="O160" i="34"/>
  <c r="O162" i="34"/>
  <c r="O149" i="34"/>
  <c r="N142" i="34"/>
  <c r="J501" i="1"/>
  <c r="N162" i="34"/>
  <c r="O141" i="34"/>
  <c r="N159" i="34"/>
  <c r="O152" i="34"/>
  <c r="N151" i="34"/>
  <c r="H501" i="1"/>
  <c r="N139" i="34"/>
  <c r="Q501" i="1"/>
  <c r="K153" i="34" s="1"/>
  <c r="Y501" i="1"/>
  <c r="M163" i="34" s="1"/>
  <c r="X501" i="1"/>
  <c r="L163" i="34" s="1"/>
  <c r="W501" i="1"/>
  <c r="K163" i="34" s="1"/>
  <c r="L501" i="1"/>
  <c r="L143" i="34" s="1"/>
  <c r="N501" i="1"/>
  <c r="G501" i="1"/>
  <c r="N140" i="34"/>
  <c r="N141" i="34"/>
  <c r="K501" i="1"/>
  <c r="K143" i="34" s="1"/>
  <c r="P501" i="1"/>
  <c r="V501" i="1"/>
  <c r="O150" i="34"/>
  <c r="N161" i="34"/>
  <c r="S501" i="1"/>
  <c r="M153" i="34" s="1"/>
  <c r="M501" i="1"/>
  <c r="M143" i="34" s="1"/>
  <c r="O501" i="1"/>
  <c r="F501" i="1"/>
  <c r="N158" i="34"/>
  <c r="O138" i="34"/>
  <c r="N138" i="34"/>
  <c r="O148" i="34"/>
  <c r="O158" i="34"/>
  <c r="N148" i="34"/>
  <c r="AI87" i="35"/>
  <c r="S456" i="1"/>
  <c r="AJ87" i="35"/>
  <c r="AJ77" i="35"/>
  <c r="AI77" i="35"/>
  <c r="H533" i="1"/>
  <c r="K533" i="1"/>
  <c r="Y143" i="34" s="1"/>
  <c r="AJ141" i="34"/>
  <c r="G457" i="1"/>
  <c r="AJ162" i="34"/>
  <c r="AJ67" i="35"/>
  <c r="J548" i="1"/>
  <c r="AI152" i="34"/>
  <c r="Y456" i="1"/>
  <c r="AI142" i="34"/>
  <c r="X456" i="1"/>
  <c r="M456" i="1"/>
  <c r="O548" i="1"/>
  <c r="U533" i="1"/>
  <c r="X548" i="1"/>
  <c r="AG163" i="34" s="1"/>
  <c r="M548" i="1"/>
  <c r="AH143" i="34" s="1"/>
  <c r="R533" i="1"/>
  <c r="Z153" i="34" s="1"/>
  <c r="T457" i="1"/>
  <c r="W457" i="1" s="1"/>
  <c r="L456" i="1"/>
  <c r="F548" i="1"/>
  <c r="X533" i="1"/>
  <c r="Z163" i="34" s="1"/>
  <c r="H143" i="35"/>
  <c r="T185" i="35" s="1"/>
  <c r="G143" i="35"/>
  <c r="S185" i="35" s="1"/>
  <c r="H153" i="35"/>
  <c r="T195" i="35" s="1"/>
  <c r="G153" i="35"/>
  <c r="S195" i="35" s="1"/>
  <c r="G133" i="35"/>
  <c r="S175" i="35" s="1"/>
  <c r="H133" i="35"/>
  <c r="T175" i="35" s="1"/>
  <c r="V86" i="35"/>
  <c r="U84" i="35"/>
  <c r="V82" i="35"/>
  <c r="U85" i="35"/>
  <c r="V87" i="35"/>
  <c r="V83" i="35"/>
  <c r="U86" i="35"/>
  <c r="V84" i="35"/>
  <c r="U87" i="35"/>
  <c r="V85" i="35"/>
  <c r="U83" i="35"/>
  <c r="V76" i="35"/>
  <c r="U76" i="35"/>
  <c r="V73" i="35"/>
  <c r="U73" i="35"/>
  <c r="U77" i="35"/>
  <c r="V77" i="35"/>
  <c r="V75" i="35"/>
  <c r="U75" i="35"/>
  <c r="F457" i="1"/>
  <c r="O457" i="1"/>
  <c r="H548" i="1"/>
  <c r="R548" i="1"/>
  <c r="AG153" i="34" s="1"/>
  <c r="F533" i="1"/>
  <c r="M533" i="1"/>
  <c r="AA143" i="34" s="1"/>
  <c r="P457" i="1"/>
  <c r="S548" i="1"/>
  <c r="AH153" i="34" s="1"/>
  <c r="T548" i="1"/>
  <c r="U548" i="1"/>
  <c r="S533" i="1"/>
  <c r="AA153" i="34" s="1"/>
  <c r="J533" i="1"/>
  <c r="P533" i="1"/>
  <c r="U457" i="1"/>
  <c r="J457" i="1"/>
  <c r="N457" i="1"/>
  <c r="Q457" i="1" s="1"/>
  <c r="K548" i="1"/>
  <c r="AF143" i="34" s="1"/>
  <c r="W548" i="1"/>
  <c r="AF163" i="34" s="1"/>
  <c r="L548" i="1"/>
  <c r="AG143" i="34" s="1"/>
  <c r="N548" i="1"/>
  <c r="Q548" i="1"/>
  <c r="AF153" i="34" s="1"/>
  <c r="O533" i="1"/>
  <c r="V533" i="1"/>
  <c r="Y533" i="1"/>
  <c r="AA163" i="34" s="1"/>
  <c r="I533" i="1"/>
  <c r="L533" i="1"/>
  <c r="Z143" i="34" s="1"/>
  <c r="AJ142" i="34"/>
  <c r="I457" i="1"/>
  <c r="V457" i="1"/>
  <c r="H457" i="1"/>
  <c r="K457" i="1" s="1"/>
  <c r="R456" i="1"/>
  <c r="P548" i="1"/>
  <c r="G548" i="1"/>
  <c r="V548" i="1"/>
  <c r="Y548" i="1"/>
  <c r="AH163" i="34" s="1"/>
  <c r="I548" i="1"/>
  <c r="W533" i="1"/>
  <c r="Y163" i="34" s="1"/>
  <c r="G533" i="1"/>
  <c r="N533" i="1"/>
  <c r="Q533" i="1"/>
  <c r="Y153" i="34" s="1"/>
  <c r="AJ152" i="34"/>
  <c r="F583" i="11"/>
  <c r="F295" i="11" s="1"/>
  <c r="F591" i="11"/>
  <c r="F339" i="11" s="1"/>
  <c r="C21" i="21"/>
  <c r="B21" i="21"/>
  <c r="D22" i="21"/>
  <c r="G294" i="11"/>
  <c r="N294" i="11" s="1"/>
  <c r="Q294" i="11" s="1"/>
  <c r="T294" i="11" s="1"/>
  <c r="W294" i="11" s="1"/>
  <c r="S294" i="11"/>
  <c r="Y200" i="11"/>
  <c r="Y294" i="11"/>
  <c r="M294" i="11"/>
  <c r="S200" i="11"/>
  <c r="U309" i="11"/>
  <c r="G224" i="11"/>
  <c r="G200" i="11"/>
  <c r="N200" i="11" s="1"/>
  <c r="H294" i="11"/>
  <c r="K294" i="11" s="1"/>
  <c r="U282" i="11"/>
  <c r="H200" i="11"/>
  <c r="J224" i="11"/>
  <c r="T282" i="11"/>
  <c r="W282" i="11" s="1"/>
  <c r="V309" i="11"/>
  <c r="G323" i="11"/>
  <c r="J282" i="11"/>
  <c r="P282" i="11"/>
  <c r="O282" i="11"/>
  <c r="V282" i="11"/>
  <c r="J309" i="11"/>
  <c r="T309" i="11"/>
  <c r="W309" i="11" s="1"/>
  <c r="N309" i="11"/>
  <c r="Q309" i="11" s="1"/>
  <c r="H224" i="11"/>
  <c r="N282" i="11"/>
  <c r="Q282" i="11" s="1"/>
  <c r="I282" i="11"/>
  <c r="H309" i="11"/>
  <c r="K309" i="11" s="1"/>
  <c r="I224" i="11"/>
  <c r="G248" i="11"/>
  <c r="I309" i="11"/>
  <c r="U224" i="11"/>
  <c r="P309" i="11"/>
  <c r="V224" i="11"/>
  <c r="P224" i="11"/>
  <c r="T224" i="11"/>
  <c r="H282" i="11"/>
  <c r="K282" i="11" s="1"/>
  <c r="G282" i="11"/>
  <c r="M200" i="11"/>
  <c r="O248" i="11"/>
  <c r="J248" i="11"/>
  <c r="O309" i="11"/>
  <c r="G309" i="11"/>
  <c r="O224" i="11"/>
  <c r="N224" i="11"/>
  <c r="U323" i="11"/>
  <c r="X224" i="11"/>
  <c r="I323" i="11"/>
  <c r="M224" i="11"/>
  <c r="H323" i="11"/>
  <c r="K323" i="11" s="1"/>
  <c r="P248" i="11"/>
  <c r="N248" i="11"/>
  <c r="R248" i="11"/>
  <c r="T248" i="11"/>
  <c r="L224" i="11"/>
  <c r="V323" i="11"/>
  <c r="T323" i="11"/>
  <c r="W323" i="11" s="1"/>
  <c r="O323" i="11"/>
  <c r="P323" i="11"/>
  <c r="Y224" i="11"/>
  <c r="J323" i="11"/>
  <c r="U248" i="11"/>
  <c r="N323" i="11"/>
  <c r="Q323" i="11" s="1"/>
  <c r="I248" i="11"/>
  <c r="K200" i="11"/>
  <c r="K224" i="11"/>
  <c r="R224" i="11"/>
  <c r="Q224" i="11"/>
  <c r="H248" i="11"/>
  <c r="V248" i="11"/>
  <c r="S224" i="11"/>
  <c r="W224" i="11"/>
  <c r="S248" i="11"/>
  <c r="K248" i="11"/>
  <c r="X248" i="11"/>
  <c r="M248" i="11"/>
  <c r="Y248" i="11"/>
  <c r="Q248" i="11"/>
  <c r="L248" i="11"/>
  <c r="W248" i="11"/>
  <c r="G590" i="11"/>
  <c r="G46" i="11"/>
  <c r="G564" i="11"/>
  <c r="J67" i="1" l="1"/>
  <c r="F377" i="1" s="1"/>
  <c r="G377" i="1" s="1"/>
  <c r="J66" i="1"/>
  <c r="F376" i="1" s="1"/>
  <c r="G355" i="11"/>
  <c r="G351" i="11"/>
  <c r="V348" i="11"/>
  <c r="V352" i="11" s="1"/>
  <c r="I348" i="11"/>
  <c r="I355" i="11" s="1"/>
  <c r="T348" i="11"/>
  <c r="T351" i="11" s="1"/>
  <c r="J348" i="11"/>
  <c r="J354" i="11" s="1"/>
  <c r="G352" i="11"/>
  <c r="P348" i="11"/>
  <c r="P354" i="11" s="1"/>
  <c r="N348" i="11"/>
  <c r="Q348" i="11" s="1"/>
  <c r="H348" i="11"/>
  <c r="H351" i="11" s="1"/>
  <c r="G353" i="11"/>
  <c r="O348" i="11"/>
  <c r="O351" i="11" s="1"/>
  <c r="U348" i="11"/>
  <c r="U354" i="11" s="1"/>
  <c r="G354" i="11"/>
  <c r="B30" i="45"/>
  <c r="G568" i="1"/>
  <c r="H51" i="1"/>
  <c r="H59" i="1"/>
  <c r="J58" i="1" a="1"/>
  <c r="J58" i="1" s="1"/>
  <c r="G58" i="1"/>
  <c r="E35" i="34"/>
  <c r="I49" i="1"/>
  <c r="D597" i="1"/>
  <c r="G50" i="1"/>
  <c r="J50" i="1" a="1"/>
  <c r="J50" i="1" s="1"/>
  <c r="J51" i="1" s="1" a="1"/>
  <c r="J51" i="1" s="1"/>
  <c r="G35" i="34"/>
  <c r="I57" i="1"/>
  <c r="E597" i="1"/>
  <c r="G338" i="11"/>
  <c r="I338" i="11" s="1"/>
  <c r="H48" i="11"/>
  <c r="J48" i="11" s="1" a="1"/>
  <c r="J48" i="11" s="1"/>
  <c r="B17" i="45"/>
  <c r="E17" i="45" s="1"/>
  <c r="F17" i="45" s="1"/>
  <c r="O143" i="34"/>
  <c r="N163" i="34"/>
  <c r="N143" i="34"/>
  <c r="O153" i="34"/>
  <c r="O163" i="34"/>
  <c r="I47" i="11"/>
  <c r="J79" i="1" a="1"/>
  <c r="J79" i="1" s="1"/>
  <c r="N153" i="34"/>
  <c r="AI162" i="34"/>
  <c r="Y457" i="1"/>
  <c r="AI163" i="34"/>
  <c r="S457" i="1"/>
  <c r="AJ143" i="34"/>
  <c r="AI143" i="34"/>
  <c r="X457" i="1"/>
  <c r="R457" i="1"/>
  <c r="AJ163" i="34"/>
  <c r="M457" i="1"/>
  <c r="AJ153" i="34"/>
  <c r="AI153" i="34"/>
  <c r="L457" i="1"/>
  <c r="F249" i="11"/>
  <c r="G583" i="11"/>
  <c r="E26" i="45" s="1"/>
  <c r="F283" i="11"/>
  <c r="F201" i="11"/>
  <c r="F225" i="11"/>
  <c r="F324" i="11"/>
  <c r="F310" i="11"/>
  <c r="B22" i="21"/>
  <c r="D23" i="21"/>
  <c r="C22" i="21"/>
  <c r="S309" i="11"/>
  <c r="S323" i="11"/>
  <c r="L282" i="11"/>
  <c r="Y323" i="11"/>
  <c r="L323" i="11"/>
  <c r="R282" i="11"/>
  <c r="X282" i="11"/>
  <c r="X309" i="11"/>
  <c r="Y309" i="11"/>
  <c r="L309" i="11"/>
  <c r="S282" i="11"/>
  <c r="R323" i="11"/>
  <c r="X323" i="11"/>
  <c r="R309" i="11"/>
  <c r="M309" i="11"/>
  <c r="M282" i="11"/>
  <c r="W200" i="11"/>
  <c r="Q200" i="11"/>
  <c r="T200" i="11"/>
  <c r="M323" i="11"/>
  <c r="Y282" i="11"/>
  <c r="G591" i="11"/>
  <c r="G339" i="11" s="1"/>
  <c r="G47" i="11"/>
  <c r="F380" i="1" l="1"/>
  <c r="F385" i="1"/>
  <c r="F381" i="1"/>
  <c r="F384" i="1"/>
  <c r="F383" i="1"/>
  <c r="F382" i="1"/>
  <c r="G376" i="1"/>
  <c r="G381" i="1" s="1"/>
  <c r="I377" i="1"/>
  <c r="J377" i="1"/>
  <c r="H377" i="1"/>
  <c r="K377" i="1" s="1"/>
  <c r="P377" i="1"/>
  <c r="O377" i="1"/>
  <c r="T377" i="1"/>
  <c r="W377" i="1" s="1"/>
  <c r="N377" i="1"/>
  <c r="Q377" i="1" s="1"/>
  <c r="V377" i="1"/>
  <c r="U377" i="1"/>
  <c r="T353" i="11"/>
  <c r="N354" i="11"/>
  <c r="P352" i="11"/>
  <c r="I350" i="11"/>
  <c r="M348" i="11"/>
  <c r="M351" i="11" s="1"/>
  <c r="I353" i="11"/>
  <c r="I351" i="11"/>
  <c r="I354" i="11"/>
  <c r="I352" i="11"/>
  <c r="U355" i="11"/>
  <c r="J350" i="11"/>
  <c r="V353" i="11"/>
  <c r="V350" i="11"/>
  <c r="V351" i="11"/>
  <c r="V354" i="11"/>
  <c r="V355" i="11"/>
  <c r="K348" i="11"/>
  <c r="K351" i="11" s="1"/>
  <c r="H354" i="11"/>
  <c r="H353" i="11"/>
  <c r="J353" i="11"/>
  <c r="J351" i="11"/>
  <c r="H355" i="11"/>
  <c r="H350" i="11"/>
  <c r="J355" i="11"/>
  <c r="J352" i="11"/>
  <c r="L348" i="11"/>
  <c r="L352" i="11" s="1"/>
  <c r="H352" i="11"/>
  <c r="T354" i="11"/>
  <c r="O354" i="11"/>
  <c r="P351" i="11"/>
  <c r="O355" i="11"/>
  <c r="P350" i="11"/>
  <c r="O352" i="11"/>
  <c r="P355" i="11"/>
  <c r="Y348" i="11"/>
  <c r="Y354" i="11" s="1"/>
  <c r="U353" i="11"/>
  <c r="U350" i="11"/>
  <c r="T355" i="11"/>
  <c r="T350" i="11"/>
  <c r="N350" i="11"/>
  <c r="N355" i="11"/>
  <c r="X348" i="11"/>
  <c r="X353" i="11" s="1"/>
  <c r="U352" i="11"/>
  <c r="U351" i="11"/>
  <c r="T352" i="11"/>
  <c r="W348" i="11"/>
  <c r="W351" i="11" s="1"/>
  <c r="W366" i="11" s="1"/>
  <c r="O350" i="11"/>
  <c r="N351" i="11"/>
  <c r="N353" i="11"/>
  <c r="P353" i="11"/>
  <c r="S348" i="11"/>
  <c r="S352" i="11" s="1"/>
  <c r="R348" i="11"/>
  <c r="R352" i="11" s="1"/>
  <c r="O353" i="11"/>
  <c r="N352" i="11"/>
  <c r="F597" i="1"/>
  <c r="G597" i="1" s="1"/>
  <c r="J59" i="1" a="1"/>
  <c r="J59" i="1" s="1"/>
  <c r="G59" i="1"/>
  <c r="D35" i="34"/>
  <c r="D605" i="1"/>
  <c r="I50" i="1"/>
  <c r="E37" i="34"/>
  <c r="G51" i="1"/>
  <c r="D598" i="1"/>
  <c r="E36" i="34"/>
  <c r="B31" i="45"/>
  <c r="E31" i="45" s="1"/>
  <c r="H52" i="1"/>
  <c r="G569" i="1"/>
  <c r="H60" i="1"/>
  <c r="G36" i="34"/>
  <c r="E598" i="1"/>
  <c r="F35" i="34"/>
  <c r="I58" i="1"/>
  <c r="E605" i="1"/>
  <c r="G26" i="45"/>
  <c r="F26" i="45"/>
  <c r="U338" i="11"/>
  <c r="P338" i="11"/>
  <c r="V338" i="11"/>
  <c r="J338" i="11"/>
  <c r="M338" i="11" s="1"/>
  <c r="H338" i="11"/>
  <c r="K338" i="11" s="1"/>
  <c r="T338" i="11"/>
  <c r="W338" i="11" s="1"/>
  <c r="O338" i="11"/>
  <c r="N338" i="11"/>
  <c r="Q338" i="11" s="1"/>
  <c r="D37" i="35"/>
  <c r="E37" i="35"/>
  <c r="S201" i="11"/>
  <c r="Q354" i="11"/>
  <c r="Q352" i="11"/>
  <c r="Q355" i="11"/>
  <c r="Q351" i="11"/>
  <c r="Q350" i="11"/>
  <c r="Q353" i="11"/>
  <c r="I48" i="11"/>
  <c r="H225" i="11"/>
  <c r="I283" i="11"/>
  <c r="X249" i="11"/>
  <c r="G201" i="11"/>
  <c r="N201" i="11" s="1"/>
  <c r="T201" i="11" s="1"/>
  <c r="Q225" i="11"/>
  <c r="H324" i="11"/>
  <c r="K324" i="11" s="1"/>
  <c r="J283" i="11"/>
  <c r="U310" i="11"/>
  <c r="S225" i="11"/>
  <c r="I225" i="11"/>
  <c r="U324" i="11"/>
  <c r="V249" i="11"/>
  <c r="O283" i="11"/>
  <c r="P225" i="11"/>
  <c r="S295" i="11"/>
  <c r="L249" i="11"/>
  <c r="M225" i="11"/>
  <c r="I249" i="11"/>
  <c r="N283" i="11"/>
  <c r="Q283" i="11" s="1"/>
  <c r="V225" i="11"/>
  <c r="Y249" i="11"/>
  <c r="S249" i="11"/>
  <c r="T324" i="11"/>
  <c r="W324" i="11" s="1"/>
  <c r="W225" i="11"/>
  <c r="N249" i="11"/>
  <c r="K201" i="11"/>
  <c r="Y225" i="11"/>
  <c r="K225" i="11"/>
  <c r="H201" i="11"/>
  <c r="P283" i="11"/>
  <c r="I310" i="11"/>
  <c r="G249" i="11"/>
  <c r="V283" i="11"/>
  <c r="T283" i="11"/>
  <c r="W283" i="11" s="1"/>
  <c r="J225" i="11"/>
  <c r="J249" i="11"/>
  <c r="V310" i="11"/>
  <c r="Y295" i="11"/>
  <c r="H295" i="11"/>
  <c r="K295" i="11" s="1"/>
  <c r="Q249" i="11"/>
  <c r="K249" i="11"/>
  <c r="X225" i="11"/>
  <c r="U249" i="11"/>
  <c r="I324" i="11"/>
  <c r="N324" i="11"/>
  <c r="Q324" i="11" s="1"/>
  <c r="R225" i="11"/>
  <c r="V324" i="11"/>
  <c r="Y324" i="11" s="1"/>
  <c r="T249" i="11"/>
  <c r="T310" i="11"/>
  <c r="W310" i="11" s="1"/>
  <c r="U225" i="11"/>
  <c r="M201" i="11"/>
  <c r="P310" i="11"/>
  <c r="O225" i="11"/>
  <c r="G324" i="11"/>
  <c r="O249" i="11"/>
  <c r="H310" i="11"/>
  <c r="K310" i="11" s="1"/>
  <c r="M295" i="11"/>
  <c r="Y201" i="11"/>
  <c r="G295" i="11"/>
  <c r="N295" i="11" s="1"/>
  <c r="Q295" i="11" s="1"/>
  <c r="T295" i="11" s="1"/>
  <c r="W295" i="11" s="1"/>
  <c r="W249" i="11"/>
  <c r="M249" i="11"/>
  <c r="P249" i="11"/>
  <c r="J324" i="11"/>
  <c r="H249" i="11"/>
  <c r="R249" i="11"/>
  <c r="O324" i="11"/>
  <c r="P324" i="11"/>
  <c r="L225" i="11"/>
  <c r="H283" i="11"/>
  <c r="K283" i="11" s="1"/>
  <c r="G283" i="11"/>
  <c r="G310" i="11"/>
  <c r="J310" i="11"/>
  <c r="N225" i="11"/>
  <c r="U283" i="11"/>
  <c r="X283" i="11" s="1"/>
  <c r="T225" i="11"/>
  <c r="N310" i="11"/>
  <c r="Q310" i="11" s="1"/>
  <c r="O310" i="11"/>
  <c r="G225" i="11"/>
  <c r="F584" i="11"/>
  <c r="B23" i="21"/>
  <c r="C23" i="21"/>
  <c r="D24" i="21"/>
  <c r="I339" i="11"/>
  <c r="N339" i="11"/>
  <c r="Q339" i="11" s="1"/>
  <c r="H339" i="11"/>
  <c r="K339" i="11" s="1"/>
  <c r="U339" i="11"/>
  <c r="T339" i="11"/>
  <c r="W339" i="11" s="1"/>
  <c r="P339" i="11"/>
  <c r="O339" i="11"/>
  <c r="J339" i="11"/>
  <c r="V339" i="11"/>
  <c r="G48" i="11"/>
  <c r="M352" i="11" l="1"/>
  <c r="J376" i="1"/>
  <c r="J380" i="1" s="1"/>
  <c r="X377" i="1"/>
  <c r="G385" i="1"/>
  <c r="T376" i="1"/>
  <c r="T385" i="1" s="1"/>
  <c r="R377" i="1"/>
  <c r="L377" i="1"/>
  <c r="R355" i="11"/>
  <c r="G383" i="1"/>
  <c r="V376" i="1"/>
  <c r="V384" i="1" s="1"/>
  <c r="I376" i="1"/>
  <c r="I380" i="1" s="1"/>
  <c r="O376" i="1"/>
  <c r="O381" i="1" s="1"/>
  <c r="N376" i="1"/>
  <c r="N382" i="1" s="1"/>
  <c r="M377" i="1"/>
  <c r="P376" i="1"/>
  <c r="P382" i="1" s="1"/>
  <c r="G382" i="1"/>
  <c r="G384" i="1"/>
  <c r="Y377" i="1"/>
  <c r="U376" i="1"/>
  <c r="U382" i="1" s="1"/>
  <c r="H376" i="1"/>
  <c r="H383" i="1" s="1"/>
  <c r="G380" i="1"/>
  <c r="S377" i="1"/>
  <c r="M354" i="11"/>
  <c r="K353" i="11"/>
  <c r="M350" i="11"/>
  <c r="M365" i="11" s="1"/>
  <c r="M95" i="35" s="1"/>
  <c r="M62" i="35" s="1"/>
  <c r="M355" i="11"/>
  <c r="M353" i="11"/>
  <c r="S353" i="11"/>
  <c r="Y353" i="11"/>
  <c r="R350" i="11"/>
  <c r="K352" i="11"/>
  <c r="K355" i="11"/>
  <c r="R354" i="11"/>
  <c r="X354" i="11"/>
  <c r="L353" i="11"/>
  <c r="K350" i="11"/>
  <c r="K365" i="11" s="1"/>
  <c r="K95" i="35" s="1"/>
  <c r="K62" i="35" s="1"/>
  <c r="K354" i="11"/>
  <c r="R351" i="11"/>
  <c r="X355" i="11"/>
  <c r="L354" i="11"/>
  <c r="Y351" i="11"/>
  <c r="S354" i="11"/>
  <c r="W355" i="11"/>
  <c r="X352" i="11"/>
  <c r="L350" i="11"/>
  <c r="L355" i="11"/>
  <c r="W352" i="11"/>
  <c r="X351" i="11"/>
  <c r="L351" i="11"/>
  <c r="R353" i="11"/>
  <c r="Y352" i="11"/>
  <c r="Y350" i="11"/>
  <c r="S350" i="11"/>
  <c r="S355" i="11"/>
  <c r="Y355" i="11"/>
  <c r="S351" i="11"/>
  <c r="W353" i="11"/>
  <c r="W350" i="11"/>
  <c r="W365" i="11" s="1"/>
  <c r="K115" i="35" s="1"/>
  <c r="K82" i="35" s="1"/>
  <c r="X350" i="11"/>
  <c r="W354" i="11"/>
  <c r="F605" i="1"/>
  <c r="F598" i="1"/>
  <c r="F229" i="1" s="1"/>
  <c r="F228" i="1"/>
  <c r="F322" i="1"/>
  <c r="F337" i="1"/>
  <c r="F310" i="1"/>
  <c r="F351" i="1"/>
  <c r="F252" i="1"/>
  <c r="F276" i="1"/>
  <c r="J60" i="1" a="1"/>
  <c r="J60" i="1" s="1"/>
  <c r="G60" i="1"/>
  <c r="D599" i="1"/>
  <c r="H61" i="1"/>
  <c r="H53" i="1"/>
  <c r="G570" i="1"/>
  <c r="B32" i="45"/>
  <c r="E32" i="45" s="1"/>
  <c r="G37" i="34"/>
  <c r="E599" i="1"/>
  <c r="J276" i="1"/>
  <c r="N351" i="1"/>
  <c r="Q351" i="1" s="1"/>
  <c r="N337" i="1"/>
  <c r="Q337" i="1" s="1"/>
  <c r="G337" i="1"/>
  <c r="H337" i="1"/>
  <c r="K337" i="1" s="1"/>
  <c r="U310" i="1"/>
  <c r="K276" i="1"/>
  <c r="P351" i="1"/>
  <c r="M322" i="1"/>
  <c r="G310" i="1"/>
  <c r="J351" i="1"/>
  <c r="Y228" i="1"/>
  <c r="W276" i="1"/>
  <c r="G228" i="1"/>
  <c r="N228" i="1" s="1"/>
  <c r="N252" i="1"/>
  <c r="G276" i="1"/>
  <c r="T276" i="1"/>
  <c r="Q252" i="1"/>
  <c r="M276" i="1"/>
  <c r="N276" i="1"/>
  <c r="H310" i="1"/>
  <c r="K310" i="1" s="1"/>
  <c r="T337" i="1"/>
  <c r="W337" i="1" s="1"/>
  <c r="P252" i="1"/>
  <c r="J310" i="1"/>
  <c r="V351" i="1"/>
  <c r="K228" i="1"/>
  <c r="Y276" i="1"/>
  <c r="Q276" i="1"/>
  <c r="H252" i="1"/>
  <c r="S322" i="1"/>
  <c r="H322" i="1"/>
  <c r="K322" i="1" s="1"/>
  <c r="T310" i="1"/>
  <c r="W310" i="1" s="1"/>
  <c r="V310" i="1"/>
  <c r="H228" i="1"/>
  <c r="O276" i="1"/>
  <c r="N310" i="1"/>
  <c r="Q310" i="1" s="1"/>
  <c r="G322" i="1"/>
  <c r="N322" i="1" s="1"/>
  <c r="Q322" i="1" s="1"/>
  <c r="T322" i="1" s="1"/>
  <c r="W322" i="1" s="1"/>
  <c r="O337" i="1"/>
  <c r="P337" i="1"/>
  <c r="T252" i="1"/>
  <c r="V276" i="1"/>
  <c r="G252" i="1"/>
  <c r="J252" i="1"/>
  <c r="S276" i="1"/>
  <c r="U276" i="1"/>
  <c r="M252" i="1"/>
  <c r="L276" i="1"/>
  <c r="I276" i="1"/>
  <c r="J337" i="1"/>
  <c r="V337" i="1"/>
  <c r="I337" i="1"/>
  <c r="H351" i="1"/>
  <c r="K351" i="1" s="1"/>
  <c r="U337" i="1"/>
  <c r="U351" i="1"/>
  <c r="L252" i="1"/>
  <c r="V252" i="1"/>
  <c r="W252" i="1"/>
  <c r="Y252" i="1"/>
  <c r="I252" i="1"/>
  <c r="P276" i="1"/>
  <c r="O310" i="1"/>
  <c r="I310" i="1"/>
  <c r="S252" i="1"/>
  <c r="X276" i="1"/>
  <c r="I351" i="1"/>
  <c r="P310" i="1"/>
  <c r="G351" i="1"/>
  <c r="M228" i="1"/>
  <c r="U252" i="1"/>
  <c r="O351" i="1"/>
  <c r="R351" i="1" s="1"/>
  <c r="K252" i="1"/>
  <c r="T351" i="1"/>
  <c r="W351" i="1" s="1"/>
  <c r="R252" i="1"/>
  <c r="R276" i="1"/>
  <c r="X252" i="1"/>
  <c r="Y322" i="1"/>
  <c r="S228" i="1"/>
  <c r="O252" i="1"/>
  <c r="H276" i="1"/>
  <c r="F31" i="45"/>
  <c r="G31" i="45"/>
  <c r="F36" i="34"/>
  <c r="I59" i="1"/>
  <c r="E606" i="1"/>
  <c r="D36" i="34"/>
  <c r="I51" i="1"/>
  <c r="D606" i="1"/>
  <c r="G52" i="1"/>
  <c r="J52" i="1" a="1"/>
  <c r="J52" i="1" s="1"/>
  <c r="E38" i="34" s="1"/>
  <c r="Y338" i="11"/>
  <c r="L338" i="11"/>
  <c r="S338" i="11"/>
  <c r="X338" i="11"/>
  <c r="Q365" i="11"/>
  <c r="K105" i="35" s="1"/>
  <c r="K72" i="35" s="1"/>
  <c r="R338" i="11"/>
  <c r="D38" i="35"/>
  <c r="E38" i="35"/>
  <c r="K366" i="11"/>
  <c r="K96" i="35" s="1"/>
  <c r="K116" i="35"/>
  <c r="K83" i="35" s="1"/>
  <c r="M283" i="11"/>
  <c r="Q201" i="11"/>
  <c r="Q366" i="11" s="1"/>
  <c r="W201" i="11"/>
  <c r="R310" i="11"/>
  <c r="Y310" i="11"/>
  <c r="X310" i="11"/>
  <c r="L324" i="11"/>
  <c r="S324" i="11"/>
  <c r="M310" i="11"/>
  <c r="L283" i="11"/>
  <c r="S283" i="11"/>
  <c r="X324" i="11"/>
  <c r="R283" i="11"/>
  <c r="Y283" i="11"/>
  <c r="S310" i="11"/>
  <c r="M324" i="11"/>
  <c r="R324" i="11"/>
  <c r="L310" i="11"/>
  <c r="F226" i="11"/>
  <c r="F250" i="11"/>
  <c r="F202" i="11"/>
  <c r="F296" i="11"/>
  <c r="F325" i="11"/>
  <c r="F311" i="11"/>
  <c r="F284" i="11"/>
  <c r="G584" i="11"/>
  <c r="E27" i="45" s="1"/>
  <c r="F592" i="11"/>
  <c r="D25" i="21"/>
  <c r="C24" i="21"/>
  <c r="B24" i="21"/>
  <c r="R339" i="11"/>
  <c r="M339" i="11"/>
  <c r="X339" i="11"/>
  <c r="S339" i="11"/>
  <c r="Y339" i="11"/>
  <c r="L339" i="11"/>
  <c r="P381" i="1" l="1"/>
  <c r="J381" i="1"/>
  <c r="V385" i="1"/>
  <c r="V382" i="1"/>
  <c r="J382" i="1"/>
  <c r="V381" i="1"/>
  <c r="J384" i="1"/>
  <c r="V380" i="1"/>
  <c r="V383" i="1"/>
  <c r="J385" i="1"/>
  <c r="J383" i="1"/>
  <c r="I384" i="1"/>
  <c r="P385" i="1"/>
  <c r="X376" i="1"/>
  <c r="X385" i="1" s="1"/>
  <c r="I383" i="1"/>
  <c r="Y376" i="1"/>
  <c r="Y384" i="1" s="1"/>
  <c r="T382" i="1"/>
  <c r="T380" i="1"/>
  <c r="T384" i="1"/>
  <c r="T381" i="1"/>
  <c r="T383" i="1"/>
  <c r="W376" i="1"/>
  <c r="W382" i="1" s="1"/>
  <c r="O383" i="1"/>
  <c r="N380" i="1"/>
  <c r="U383" i="1"/>
  <c r="I381" i="1"/>
  <c r="P383" i="1"/>
  <c r="U384" i="1"/>
  <c r="I385" i="1"/>
  <c r="Q376" i="1"/>
  <c r="Q385" i="1" s="1"/>
  <c r="H384" i="1"/>
  <c r="U381" i="1"/>
  <c r="L376" i="1"/>
  <c r="L384" i="1" s="1"/>
  <c r="M376" i="1"/>
  <c r="M384" i="1" s="1"/>
  <c r="H385" i="1"/>
  <c r="P380" i="1"/>
  <c r="O384" i="1"/>
  <c r="O382" i="1"/>
  <c r="U380" i="1"/>
  <c r="U385" i="1"/>
  <c r="I382" i="1"/>
  <c r="P384" i="1"/>
  <c r="N384" i="1"/>
  <c r="N381" i="1"/>
  <c r="H380" i="1"/>
  <c r="N383" i="1"/>
  <c r="O380" i="1"/>
  <c r="R376" i="1"/>
  <c r="R384" i="1" s="1"/>
  <c r="N385" i="1"/>
  <c r="O385" i="1"/>
  <c r="H382" i="1"/>
  <c r="S376" i="1"/>
  <c r="S385" i="1" s="1"/>
  <c r="H381" i="1"/>
  <c r="K376" i="1"/>
  <c r="K385" i="1" s="1"/>
  <c r="R365" i="11"/>
  <c r="L105" i="35" s="1"/>
  <c r="L72" i="35" s="1"/>
  <c r="N72" i="35" s="1"/>
  <c r="W363" i="11"/>
  <c r="Y365" i="11"/>
  <c r="M115" i="35" s="1"/>
  <c r="M82" i="35" s="1"/>
  <c r="L365" i="11"/>
  <c r="L95" i="35" s="1"/>
  <c r="L62" i="35" s="1"/>
  <c r="N62" i="35" s="1"/>
  <c r="X365" i="11"/>
  <c r="L115" i="35" s="1"/>
  <c r="D115" i="35"/>
  <c r="J190" i="35" s="1"/>
  <c r="S365" i="11"/>
  <c r="M105" i="35" s="1"/>
  <c r="M72" i="35" s="1"/>
  <c r="F366" i="1"/>
  <c r="F253" i="1"/>
  <c r="G598" i="1"/>
  <c r="M277" i="1" s="1"/>
  <c r="G605" i="1"/>
  <c r="G366" i="1" s="1"/>
  <c r="N366" i="1" s="1"/>
  <c r="Q366" i="1" s="1"/>
  <c r="L351" i="1"/>
  <c r="R310" i="1"/>
  <c r="F323" i="1"/>
  <c r="F352" i="1"/>
  <c r="F311" i="1"/>
  <c r="F277" i="1"/>
  <c r="F338" i="1"/>
  <c r="L337" i="1"/>
  <c r="S337" i="1"/>
  <c r="M351" i="1"/>
  <c r="S310" i="1"/>
  <c r="L310" i="1"/>
  <c r="X351" i="1"/>
  <c r="Y337" i="1"/>
  <c r="X310" i="1"/>
  <c r="G38" i="34"/>
  <c r="E600" i="1"/>
  <c r="F37" i="34"/>
  <c r="I60" i="1"/>
  <c r="E607" i="1"/>
  <c r="R337" i="1"/>
  <c r="J61" i="1" a="1"/>
  <c r="J61" i="1" s="1"/>
  <c r="G61" i="1"/>
  <c r="F606" i="1"/>
  <c r="X337" i="1"/>
  <c r="M337" i="1"/>
  <c r="Y310" i="1"/>
  <c r="Y351" i="1"/>
  <c r="G32" i="45"/>
  <c r="F32" i="45"/>
  <c r="F599" i="1"/>
  <c r="G53" i="1"/>
  <c r="J53" i="1" a="1"/>
  <c r="J53" i="1" s="1"/>
  <c r="E39" i="34" s="1"/>
  <c r="Q228" i="1"/>
  <c r="W228" i="1"/>
  <c r="T228" i="1"/>
  <c r="D600" i="1"/>
  <c r="D37" i="34"/>
  <c r="I52" i="1"/>
  <c r="D607" i="1"/>
  <c r="M310" i="1"/>
  <c r="S351" i="1"/>
  <c r="B33" i="45"/>
  <c r="E33" i="45" s="1"/>
  <c r="H54" i="1"/>
  <c r="H62" i="1"/>
  <c r="D95" i="35"/>
  <c r="D62" i="35" s="1"/>
  <c r="D170" i="35" s="1"/>
  <c r="G27" i="45"/>
  <c r="F27" i="45"/>
  <c r="Y366" i="11"/>
  <c r="L366" i="11"/>
  <c r="L96" i="35" s="1"/>
  <c r="M366" i="11"/>
  <c r="M96" i="35" s="1"/>
  <c r="X366" i="11"/>
  <c r="R366" i="11"/>
  <c r="S366" i="11"/>
  <c r="D105" i="35"/>
  <c r="D116" i="35"/>
  <c r="K106" i="35"/>
  <c r="K73" i="35" s="1"/>
  <c r="F95" i="35"/>
  <c r="K63" i="35"/>
  <c r="F340" i="11"/>
  <c r="G592" i="11"/>
  <c r="W367" i="11" s="1"/>
  <c r="F585" i="11"/>
  <c r="F593" i="11"/>
  <c r="G296" i="11"/>
  <c r="N296" i="11" s="1"/>
  <c r="Q296" i="11" s="1"/>
  <c r="T296" i="11" s="1"/>
  <c r="W296" i="11" s="1"/>
  <c r="G226" i="11"/>
  <c r="H296" i="11"/>
  <c r="K296" i="11" s="1"/>
  <c r="G202" i="11"/>
  <c r="N202" i="11" s="1"/>
  <c r="S202" i="11"/>
  <c r="J226" i="11"/>
  <c r="I226" i="11"/>
  <c r="U226" i="11"/>
  <c r="H284" i="11"/>
  <c r="K284" i="11" s="1"/>
  <c r="H202" i="11"/>
  <c r="H311" i="11"/>
  <c r="K311" i="11" s="1"/>
  <c r="O284" i="11"/>
  <c r="T311" i="11"/>
  <c r="W311" i="11" s="1"/>
  <c r="G311" i="11"/>
  <c r="H226" i="11"/>
  <c r="N311" i="11"/>
  <c r="Q311" i="11" s="1"/>
  <c r="P226" i="11"/>
  <c r="V311" i="11"/>
  <c r="J284" i="11"/>
  <c r="J311" i="11"/>
  <c r="G325" i="11"/>
  <c r="P311" i="11"/>
  <c r="R226" i="11"/>
  <c r="U250" i="11"/>
  <c r="T325" i="11"/>
  <c r="W325" i="11" s="1"/>
  <c r="I250" i="11"/>
  <c r="K226" i="11"/>
  <c r="H250" i="11"/>
  <c r="S226" i="11"/>
  <c r="M226" i="11"/>
  <c r="P250" i="11"/>
  <c r="V325" i="11"/>
  <c r="W226" i="11"/>
  <c r="L226" i="11"/>
  <c r="P325" i="11"/>
  <c r="K250" i="11"/>
  <c r="Q250" i="11"/>
  <c r="W250" i="11"/>
  <c r="Y250" i="11"/>
  <c r="T250" i="11"/>
  <c r="X250" i="11"/>
  <c r="M250" i="11"/>
  <c r="S296" i="11"/>
  <c r="U311" i="11"/>
  <c r="M296" i="11"/>
  <c r="Y296" i="11"/>
  <c r="Y202" i="11"/>
  <c r="O226" i="11"/>
  <c r="T284" i="11"/>
  <c r="W284" i="11" s="1"/>
  <c r="G250" i="11"/>
  <c r="M202" i="11"/>
  <c r="U284" i="11"/>
  <c r="O311" i="11"/>
  <c r="G284" i="11"/>
  <c r="V284" i="11"/>
  <c r="V226" i="11"/>
  <c r="J250" i="11"/>
  <c r="T226" i="11"/>
  <c r="O250" i="11"/>
  <c r="P284" i="11"/>
  <c r="S284" i="11" s="1"/>
  <c r="I311" i="11"/>
  <c r="N226" i="11"/>
  <c r="N284" i="11"/>
  <c r="Q284" i="11" s="1"/>
  <c r="I284" i="11"/>
  <c r="R250" i="11"/>
  <c r="J325" i="11"/>
  <c r="N325" i="11"/>
  <c r="Q325" i="11" s="1"/>
  <c r="I325" i="11"/>
  <c r="K202" i="11"/>
  <c r="Q226" i="11"/>
  <c r="V250" i="11"/>
  <c r="X226" i="11"/>
  <c r="H325" i="11"/>
  <c r="K325" i="11" s="1"/>
  <c r="U325" i="11"/>
  <c r="O325" i="11"/>
  <c r="N250" i="11"/>
  <c r="Y226" i="11"/>
  <c r="L250" i="11"/>
  <c r="S250" i="11"/>
  <c r="B25" i="21"/>
  <c r="C25" i="21"/>
  <c r="R325" i="11" l="1"/>
  <c r="Q383" i="1"/>
  <c r="X380" i="1"/>
  <c r="X382" i="1"/>
  <c r="X383" i="1"/>
  <c r="W383" i="1"/>
  <c r="X381" i="1"/>
  <c r="X384" i="1"/>
  <c r="Y383" i="1"/>
  <c r="Y381" i="1"/>
  <c r="Y385" i="1"/>
  <c r="W381" i="1"/>
  <c r="Y382" i="1"/>
  <c r="W380" i="1"/>
  <c r="W390" i="1" s="1"/>
  <c r="K125" i="34" s="1"/>
  <c r="K92" i="34" s="1"/>
  <c r="Y380" i="1"/>
  <c r="M381" i="1"/>
  <c r="W384" i="1"/>
  <c r="Q380" i="1"/>
  <c r="Q390" i="1" s="1"/>
  <c r="K115" i="34" s="1"/>
  <c r="W385" i="1"/>
  <c r="Q381" i="1"/>
  <c r="S383" i="1"/>
  <c r="R380" i="1"/>
  <c r="S382" i="1"/>
  <c r="K380" i="1"/>
  <c r="M382" i="1"/>
  <c r="Q384" i="1"/>
  <c r="Q382" i="1"/>
  <c r="L383" i="1"/>
  <c r="R383" i="1"/>
  <c r="L380" i="1"/>
  <c r="S384" i="1"/>
  <c r="R385" i="1"/>
  <c r="K384" i="1"/>
  <c r="M383" i="1"/>
  <c r="L385" i="1"/>
  <c r="L382" i="1"/>
  <c r="M380" i="1"/>
  <c r="M385" i="1"/>
  <c r="L381" i="1"/>
  <c r="S381" i="1"/>
  <c r="K382" i="1"/>
  <c r="R382" i="1"/>
  <c r="S380" i="1"/>
  <c r="K381" i="1"/>
  <c r="R381" i="1"/>
  <c r="K383" i="1"/>
  <c r="N105" i="35"/>
  <c r="E105" i="35"/>
  <c r="E72" i="35" s="1"/>
  <c r="E180" i="35" s="1"/>
  <c r="D82" i="35"/>
  <c r="D190" i="35" s="1"/>
  <c r="O72" i="35"/>
  <c r="F115" i="35"/>
  <c r="L190" i="35" s="1"/>
  <c r="O115" i="35"/>
  <c r="E115" i="35"/>
  <c r="N95" i="35"/>
  <c r="O62" i="35"/>
  <c r="O95" i="35"/>
  <c r="AM95" i="35" s="1"/>
  <c r="E95" i="35"/>
  <c r="G95" i="35" s="1"/>
  <c r="M170" i="35" s="1"/>
  <c r="L82" i="35"/>
  <c r="N82" i="35" s="1"/>
  <c r="N115" i="35"/>
  <c r="F105" i="35"/>
  <c r="F72" i="35" s="1"/>
  <c r="F180" i="35" s="1"/>
  <c r="O105" i="35"/>
  <c r="K253" i="1"/>
  <c r="K229" i="1"/>
  <c r="N253" i="1"/>
  <c r="Q277" i="1"/>
  <c r="I277" i="1"/>
  <c r="H277" i="1"/>
  <c r="H323" i="1"/>
  <c r="K323" i="1" s="1"/>
  <c r="R253" i="1"/>
  <c r="H311" i="1"/>
  <c r="K311" i="1" s="1"/>
  <c r="V277" i="1"/>
  <c r="J277" i="1"/>
  <c r="X253" i="1"/>
  <c r="G253" i="1"/>
  <c r="Q253" i="1"/>
  <c r="Y277" i="1"/>
  <c r="S229" i="1"/>
  <c r="I352" i="1"/>
  <c r="S323" i="1"/>
  <c r="N352" i="1"/>
  <c r="Q352" i="1" s="1"/>
  <c r="G352" i="1"/>
  <c r="V352" i="1"/>
  <c r="S253" i="1"/>
  <c r="U277" i="1"/>
  <c r="T338" i="1"/>
  <c r="W338" i="1" s="1"/>
  <c r="U253" i="1"/>
  <c r="J338" i="1"/>
  <c r="U338" i="1"/>
  <c r="P311" i="1"/>
  <c r="G311" i="1"/>
  <c r="O311" i="1"/>
  <c r="W277" i="1"/>
  <c r="T253" i="1"/>
  <c r="O352" i="1"/>
  <c r="O338" i="1"/>
  <c r="H338" i="1"/>
  <c r="K338" i="1" s="1"/>
  <c r="U311" i="1"/>
  <c r="U352" i="1"/>
  <c r="G338" i="1"/>
  <c r="Y229" i="1"/>
  <c r="K277" i="1"/>
  <c r="I311" i="1"/>
  <c r="J311" i="1"/>
  <c r="G229" i="1"/>
  <c r="N229" i="1" s="1"/>
  <c r="T229" i="1" s="1"/>
  <c r="P338" i="1"/>
  <c r="P277" i="1"/>
  <c r="I338" i="1"/>
  <c r="Y323" i="1"/>
  <c r="N338" i="1"/>
  <c r="Q338" i="1" s="1"/>
  <c r="I253" i="1"/>
  <c r="L277" i="1"/>
  <c r="S277" i="1"/>
  <c r="R277" i="1"/>
  <c r="M229" i="1"/>
  <c r="N277" i="1"/>
  <c r="H352" i="1"/>
  <c r="K352" i="1" s="1"/>
  <c r="J352" i="1"/>
  <c r="P352" i="1"/>
  <c r="S352" i="1" s="1"/>
  <c r="J253" i="1"/>
  <c r="O277" i="1"/>
  <c r="G277" i="1"/>
  <c r="M323" i="1"/>
  <c r="N311" i="1"/>
  <c r="Q311" i="1" s="1"/>
  <c r="T352" i="1"/>
  <c r="W352" i="1" s="1"/>
  <c r="O253" i="1"/>
  <c r="G323" i="1"/>
  <c r="N323" i="1" s="1"/>
  <c r="Q323" i="1" s="1"/>
  <c r="T323" i="1" s="1"/>
  <c r="W323" i="1" s="1"/>
  <c r="V253" i="1"/>
  <c r="W253" i="1"/>
  <c r="Y253" i="1"/>
  <c r="T311" i="1"/>
  <c r="W311" i="1" s="1"/>
  <c r="V311" i="1"/>
  <c r="V338" i="1"/>
  <c r="Y338" i="1" s="1"/>
  <c r="H253" i="1"/>
  <c r="M253" i="1"/>
  <c r="X277" i="1"/>
  <c r="H229" i="1"/>
  <c r="L253" i="1"/>
  <c r="P253" i="1"/>
  <c r="T277" i="1"/>
  <c r="U366" i="1"/>
  <c r="H366" i="1"/>
  <c r="K366" i="1" s="1"/>
  <c r="O366" i="1"/>
  <c r="R366" i="1" s="1"/>
  <c r="R390" i="1" s="1"/>
  <c r="L115" i="34" s="1"/>
  <c r="L82" i="34" s="1"/>
  <c r="P366" i="1"/>
  <c r="V366" i="1"/>
  <c r="J366" i="1"/>
  <c r="T366" i="1"/>
  <c r="W366" i="1" s="1"/>
  <c r="I366" i="1"/>
  <c r="J62" i="1" a="1"/>
  <c r="J62" i="1" s="1"/>
  <c r="G62" i="1"/>
  <c r="D38" i="34"/>
  <c r="I53" i="1"/>
  <c r="D608" i="1"/>
  <c r="J54" i="1" a="1"/>
  <c r="J54" i="1" s="1"/>
  <c r="E40" i="34" s="1"/>
  <c r="G54" i="1"/>
  <c r="F33" i="45"/>
  <c r="G33" i="45"/>
  <c r="F600" i="1"/>
  <c r="F278" i="1"/>
  <c r="F230" i="1"/>
  <c r="F312" i="1"/>
  <c r="F254" i="1"/>
  <c r="G599" i="1"/>
  <c r="F324" i="1"/>
  <c r="F353" i="1"/>
  <c r="F339" i="1"/>
  <c r="F38" i="34"/>
  <c r="I61" i="1"/>
  <c r="E608" i="1"/>
  <c r="F607" i="1"/>
  <c r="F367" i="1"/>
  <c r="G606" i="1"/>
  <c r="G39" i="34"/>
  <c r="E601" i="1"/>
  <c r="J170" i="35"/>
  <c r="D83" i="35"/>
  <c r="D191" i="35" s="1"/>
  <c r="J191" i="35"/>
  <c r="F62" i="35"/>
  <c r="F170" i="35" s="1"/>
  <c r="L170" i="35"/>
  <c r="D72" i="35"/>
  <c r="D180" i="35" s="1"/>
  <c r="J180" i="35"/>
  <c r="D106" i="35"/>
  <c r="D96" i="35"/>
  <c r="M63" i="35"/>
  <c r="M106" i="35"/>
  <c r="M73" i="35" s="1"/>
  <c r="M116" i="35"/>
  <c r="M83" i="35" s="1"/>
  <c r="N96" i="35"/>
  <c r="L116" i="35"/>
  <c r="L83" i="35" s="1"/>
  <c r="L106" i="35"/>
  <c r="L311" i="11"/>
  <c r="X325" i="11"/>
  <c r="L284" i="11"/>
  <c r="X284" i="11"/>
  <c r="X311" i="11"/>
  <c r="R311" i="11"/>
  <c r="L325" i="11"/>
  <c r="Y284" i="11"/>
  <c r="S325" i="11"/>
  <c r="M284" i="11"/>
  <c r="F341" i="11"/>
  <c r="G593" i="11"/>
  <c r="G341" i="11" s="1"/>
  <c r="M325" i="11"/>
  <c r="Y325" i="11"/>
  <c r="S311" i="11"/>
  <c r="M311" i="11"/>
  <c r="Y311" i="11"/>
  <c r="R284" i="11"/>
  <c r="T202" i="11"/>
  <c r="W202" i="11"/>
  <c r="Q202" i="11"/>
  <c r="F586" i="11"/>
  <c r="F297" i="11"/>
  <c r="F326" i="11"/>
  <c r="F251" i="11"/>
  <c r="F203" i="11"/>
  <c r="G585" i="11"/>
  <c r="E28" i="45" s="1"/>
  <c r="F227" i="11"/>
  <c r="F312" i="11"/>
  <c r="F285" i="11"/>
  <c r="G340" i="11"/>
  <c r="D601" i="1"/>
  <c r="K390" i="1" l="1"/>
  <c r="K105" i="34" s="1"/>
  <c r="K72" i="34" s="1"/>
  <c r="G105" i="35"/>
  <c r="M180" i="35" s="1"/>
  <c r="K180" i="35"/>
  <c r="F82" i="35"/>
  <c r="F190" i="35" s="1"/>
  <c r="H115" i="35"/>
  <c r="N190" i="35" s="1"/>
  <c r="E62" i="35"/>
  <c r="E170" i="35" s="1"/>
  <c r="H95" i="35"/>
  <c r="N170" i="35" s="1"/>
  <c r="G115" i="35"/>
  <c r="M190" i="35" s="1"/>
  <c r="E82" i="35"/>
  <c r="E190" i="35" s="1"/>
  <c r="K190" i="35"/>
  <c r="K170" i="35"/>
  <c r="L180" i="35"/>
  <c r="O82" i="35"/>
  <c r="H105" i="35"/>
  <c r="N180" i="35" s="1"/>
  <c r="X338" i="1"/>
  <c r="M352" i="1"/>
  <c r="W229" i="1"/>
  <c r="L338" i="1"/>
  <c r="Q229" i="1"/>
  <c r="R352" i="1"/>
  <c r="S338" i="1"/>
  <c r="S311" i="1"/>
  <c r="L352" i="1"/>
  <c r="X311" i="1"/>
  <c r="Y311" i="1"/>
  <c r="M338" i="1"/>
  <c r="R338" i="1"/>
  <c r="R311" i="1"/>
  <c r="X352" i="1"/>
  <c r="L366" i="1"/>
  <c r="L390" i="1" s="1"/>
  <c r="L105" i="34" s="1"/>
  <c r="L72" i="34" s="1"/>
  <c r="M311" i="1"/>
  <c r="L311" i="1"/>
  <c r="Y352" i="1"/>
  <c r="Y366" i="1"/>
  <c r="Y390" i="1" s="1"/>
  <c r="M125" i="34" s="1"/>
  <c r="M92" i="34" s="1"/>
  <c r="M366" i="1"/>
  <c r="M390" i="1" s="1"/>
  <c r="M105" i="34" s="1"/>
  <c r="M72" i="34" s="1"/>
  <c r="S366" i="1"/>
  <c r="S390" i="1" s="1"/>
  <c r="M115" i="34" s="1"/>
  <c r="M82" i="34" s="1"/>
  <c r="X366" i="1"/>
  <c r="X390" i="1" s="1"/>
  <c r="L125" i="34" s="1"/>
  <c r="L92" i="34" s="1"/>
  <c r="N92" i="34" s="1"/>
  <c r="F601" i="1"/>
  <c r="F326" i="1" s="1"/>
  <c r="W391" i="1"/>
  <c r="K126" i="34" s="1"/>
  <c r="K93" i="34" s="1"/>
  <c r="G367" i="1"/>
  <c r="F39" i="34"/>
  <c r="I62" i="1"/>
  <c r="E609" i="1"/>
  <c r="F231" i="1"/>
  <c r="G600" i="1"/>
  <c r="F354" i="1"/>
  <c r="F255" i="1"/>
  <c r="F340" i="1"/>
  <c r="F325" i="1"/>
  <c r="F279" i="1"/>
  <c r="F313" i="1"/>
  <c r="G40" i="34"/>
  <c r="E602" i="1"/>
  <c r="K82" i="34"/>
  <c r="N115" i="34"/>
  <c r="D39" i="34"/>
  <c r="I54" i="1"/>
  <c r="D40" i="34" s="1"/>
  <c r="G607" i="1"/>
  <c r="G368" i="1" s="1"/>
  <c r="F368" i="1"/>
  <c r="P278" i="1"/>
  <c r="Y324" i="1"/>
  <c r="I353" i="1"/>
  <c r="M324" i="1"/>
  <c r="U278" i="1"/>
  <c r="O278" i="1"/>
  <c r="S230" i="1"/>
  <c r="Q254" i="1"/>
  <c r="X278" i="1"/>
  <c r="T312" i="1"/>
  <c r="W312" i="1" s="1"/>
  <c r="J353" i="1"/>
  <c r="H339" i="1"/>
  <c r="K339" i="1" s="1"/>
  <c r="Y254" i="1"/>
  <c r="S278" i="1"/>
  <c r="V353" i="1"/>
  <c r="N254" i="1"/>
  <c r="O353" i="1"/>
  <c r="L254" i="1"/>
  <c r="O254" i="1"/>
  <c r="J339" i="1"/>
  <c r="P339" i="1"/>
  <c r="T339" i="1"/>
  <c r="W339" i="1" s="1"/>
  <c r="H324" i="1"/>
  <c r="K324" i="1" s="1"/>
  <c r="W278" i="1"/>
  <c r="V254" i="1"/>
  <c r="P312" i="1"/>
  <c r="U312" i="1"/>
  <c r="G230" i="1"/>
  <c r="N230" i="1" s="1"/>
  <c r="M230" i="1"/>
  <c r="K278" i="1"/>
  <c r="G254" i="1"/>
  <c r="G324" i="1"/>
  <c r="N324" i="1" s="1"/>
  <c r="Q324" i="1" s="1"/>
  <c r="T324" i="1" s="1"/>
  <c r="W324" i="1" s="1"/>
  <c r="H230" i="1"/>
  <c r="J312" i="1"/>
  <c r="K254" i="1"/>
  <c r="T353" i="1"/>
  <c r="W353" i="1" s="1"/>
  <c r="O339" i="1"/>
  <c r="V312" i="1"/>
  <c r="N339" i="1"/>
  <c r="Q339" i="1" s="1"/>
  <c r="G278" i="1"/>
  <c r="X254" i="1"/>
  <c r="I312" i="1"/>
  <c r="M254" i="1"/>
  <c r="T254" i="1"/>
  <c r="N278" i="1"/>
  <c r="I339" i="1"/>
  <c r="N353" i="1"/>
  <c r="Q353" i="1" s="1"/>
  <c r="V339" i="1"/>
  <c r="K230" i="1"/>
  <c r="Q278" i="1"/>
  <c r="N312" i="1"/>
  <c r="Q312" i="1" s="1"/>
  <c r="H353" i="1"/>
  <c r="K353" i="1" s="1"/>
  <c r="H312" i="1"/>
  <c r="K312" i="1" s="1"/>
  <c r="V278" i="1"/>
  <c r="M278" i="1"/>
  <c r="J278" i="1"/>
  <c r="O312" i="1"/>
  <c r="T278" i="1"/>
  <c r="S254" i="1"/>
  <c r="I254" i="1"/>
  <c r="Y278" i="1"/>
  <c r="U353" i="1"/>
  <c r="I278" i="1"/>
  <c r="J254" i="1"/>
  <c r="U254" i="1"/>
  <c r="H278" i="1"/>
  <c r="G353" i="1"/>
  <c r="W254" i="1"/>
  <c r="G312" i="1"/>
  <c r="H254" i="1"/>
  <c r="L278" i="1"/>
  <c r="U339" i="1"/>
  <c r="R254" i="1"/>
  <c r="P353" i="1"/>
  <c r="P254" i="1"/>
  <c r="R278" i="1"/>
  <c r="G339" i="1"/>
  <c r="Y230" i="1"/>
  <c r="S324" i="1"/>
  <c r="F608" i="1"/>
  <c r="G28" i="45"/>
  <c r="F28" i="45"/>
  <c r="D73" i="35"/>
  <c r="D181" i="35" s="1"/>
  <c r="J181" i="35"/>
  <c r="D63" i="35"/>
  <c r="D171" i="35" s="1"/>
  <c r="J171" i="35"/>
  <c r="W368" i="11"/>
  <c r="F106" i="35"/>
  <c r="N116" i="35"/>
  <c r="L63" i="35"/>
  <c r="N63" i="35" s="1"/>
  <c r="O96" i="35"/>
  <c r="F116" i="35"/>
  <c r="E116" i="35"/>
  <c r="F96" i="35"/>
  <c r="O116" i="35"/>
  <c r="E96" i="35"/>
  <c r="K117" i="35"/>
  <c r="K84" i="35" s="1"/>
  <c r="N106" i="35"/>
  <c r="L73" i="35"/>
  <c r="N73" i="35" s="1"/>
  <c r="O83" i="35"/>
  <c r="E106" i="35"/>
  <c r="O106" i="35"/>
  <c r="N83" i="35"/>
  <c r="I340" i="11"/>
  <c r="U340" i="11"/>
  <c r="J340" i="11"/>
  <c r="O340" i="11"/>
  <c r="N340" i="11"/>
  <c r="Q340" i="11" s="1"/>
  <c r="Q367" i="11" s="1"/>
  <c r="P340" i="11"/>
  <c r="T340" i="11"/>
  <c r="W340" i="11" s="1"/>
  <c r="V340" i="11"/>
  <c r="H340" i="11"/>
  <c r="K340" i="11" s="1"/>
  <c r="F594" i="11"/>
  <c r="G297" i="11"/>
  <c r="N297" i="11" s="1"/>
  <c r="Q297" i="11" s="1"/>
  <c r="T297" i="11" s="1"/>
  <c r="W297" i="11" s="1"/>
  <c r="G227" i="11"/>
  <c r="H297" i="11"/>
  <c r="K297" i="11" s="1"/>
  <c r="Y203" i="11"/>
  <c r="U312" i="11"/>
  <c r="P227" i="11"/>
  <c r="I312" i="11"/>
  <c r="G285" i="11"/>
  <c r="J312" i="11"/>
  <c r="I285" i="11"/>
  <c r="O312" i="11"/>
  <c r="N227" i="11"/>
  <c r="O251" i="11"/>
  <c r="I227" i="11"/>
  <c r="M203" i="11"/>
  <c r="J251" i="11"/>
  <c r="J227" i="11"/>
  <c r="U227" i="11"/>
  <c r="H227" i="11"/>
  <c r="V227" i="11"/>
  <c r="T285" i="11"/>
  <c r="V285" i="11"/>
  <c r="T326" i="11"/>
  <c r="W326" i="11" s="1"/>
  <c r="O326" i="11"/>
  <c r="S227" i="11"/>
  <c r="X227" i="11"/>
  <c r="H326" i="11"/>
  <c r="K326" i="11" s="1"/>
  <c r="N251" i="11"/>
  <c r="U326" i="11"/>
  <c r="L227" i="11"/>
  <c r="I251" i="11"/>
  <c r="R227" i="11"/>
  <c r="J326" i="11"/>
  <c r="V251" i="11"/>
  <c r="W227" i="11"/>
  <c r="M251" i="11"/>
  <c r="L251" i="11"/>
  <c r="Q251" i="11"/>
  <c r="K251" i="11"/>
  <c r="S297" i="11"/>
  <c r="Y297" i="11"/>
  <c r="G203" i="11"/>
  <c r="N203" i="11" s="1"/>
  <c r="M297" i="11"/>
  <c r="S203" i="11"/>
  <c r="O227" i="11"/>
  <c r="T227" i="11"/>
  <c r="G326" i="11"/>
  <c r="O285" i="11"/>
  <c r="G312" i="11"/>
  <c r="H203" i="11"/>
  <c r="J285" i="11"/>
  <c r="N312" i="11"/>
  <c r="Q312" i="11" s="1"/>
  <c r="N285" i="11"/>
  <c r="V312" i="11"/>
  <c r="T312" i="11"/>
  <c r="W312" i="11" s="1"/>
  <c r="P312" i="11"/>
  <c r="H312" i="11"/>
  <c r="K312" i="11" s="1"/>
  <c r="P285" i="11"/>
  <c r="U285" i="11"/>
  <c r="H285" i="11"/>
  <c r="K285" i="11" s="1"/>
  <c r="G251" i="11"/>
  <c r="V326" i="11"/>
  <c r="Q227" i="11"/>
  <c r="H251" i="11"/>
  <c r="R251" i="11"/>
  <c r="M227" i="11"/>
  <c r="P251" i="11"/>
  <c r="T251" i="11"/>
  <c r="I326" i="11"/>
  <c r="K203" i="11"/>
  <c r="K227" i="11"/>
  <c r="P326" i="11"/>
  <c r="S326" i="11" s="1"/>
  <c r="Y227" i="11"/>
  <c r="N326" i="11"/>
  <c r="Q326" i="11" s="1"/>
  <c r="U251" i="11"/>
  <c r="Y251" i="11"/>
  <c r="W251" i="11"/>
  <c r="S251" i="11"/>
  <c r="X251" i="11"/>
  <c r="F298" i="11"/>
  <c r="F286" i="11"/>
  <c r="F313" i="11"/>
  <c r="F204" i="11"/>
  <c r="G586" i="11"/>
  <c r="E29" i="45" s="1"/>
  <c r="F228" i="11"/>
  <c r="F252" i="11"/>
  <c r="F327" i="11"/>
  <c r="N341" i="11"/>
  <c r="Q341" i="11" s="1"/>
  <c r="P341" i="11"/>
  <c r="V341" i="11"/>
  <c r="J341" i="11"/>
  <c r="O341" i="11"/>
  <c r="H341" i="11"/>
  <c r="K341" i="11" s="1"/>
  <c r="U341" i="11"/>
  <c r="I341" i="11"/>
  <c r="T341" i="11"/>
  <c r="W341" i="11" s="1"/>
  <c r="D609" i="1"/>
  <c r="N72" i="34" l="1"/>
  <c r="M353" i="1"/>
  <c r="O72" i="34"/>
  <c r="N105" i="34"/>
  <c r="O125" i="34"/>
  <c r="X312" i="1"/>
  <c r="O105" i="34"/>
  <c r="O92" i="34"/>
  <c r="N125" i="34"/>
  <c r="O115" i="34"/>
  <c r="F609" i="1"/>
  <c r="F370" i="1" s="1"/>
  <c r="F232" i="1"/>
  <c r="G601" i="1"/>
  <c r="P280" i="1" s="1"/>
  <c r="Y353" i="1"/>
  <c r="S353" i="1"/>
  <c r="F355" i="1"/>
  <c r="F256" i="1"/>
  <c r="L353" i="1"/>
  <c r="F341" i="1"/>
  <c r="F280" i="1"/>
  <c r="F314" i="1"/>
  <c r="X353" i="1"/>
  <c r="L339" i="1"/>
  <c r="L312" i="1"/>
  <c r="S312" i="1"/>
  <c r="V368" i="1"/>
  <c r="N368" i="1"/>
  <c r="Q368" i="1" s="1"/>
  <c r="T368" i="1"/>
  <c r="W368" i="1" s="1"/>
  <c r="J368" i="1"/>
  <c r="O368" i="1"/>
  <c r="P368" i="1"/>
  <c r="H368" i="1"/>
  <c r="K368" i="1" s="1"/>
  <c r="K392" i="1" s="1"/>
  <c r="K107" i="34" s="1"/>
  <c r="U368" i="1"/>
  <c r="I368" i="1"/>
  <c r="H279" i="1"/>
  <c r="X279" i="1"/>
  <c r="S279" i="1"/>
  <c r="U255" i="1"/>
  <c r="P255" i="1"/>
  <c r="Y231" i="1"/>
  <c r="O340" i="1"/>
  <c r="S325" i="1"/>
  <c r="U340" i="1"/>
  <c r="M325" i="1"/>
  <c r="G313" i="1"/>
  <c r="G354" i="1"/>
  <c r="O313" i="1"/>
  <c r="I279" i="1"/>
  <c r="M279" i="1"/>
  <c r="S255" i="1"/>
  <c r="N255" i="1"/>
  <c r="H231" i="1"/>
  <c r="T313" i="1"/>
  <c r="W313" i="1" s="1"/>
  <c r="T340" i="1"/>
  <c r="W340" i="1" s="1"/>
  <c r="U279" i="1"/>
  <c r="W279" i="1"/>
  <c r="I255" i="1"/>
  <c r="Y255" i="1"/>
  <c r="T255" i="1"/>
  <c r="S231" i="1"/>
  <c r="P313" i="1"/>
  <c r="H313" i="1"/>
  <c r="K313" i="1" s="1"/>
  <c r="V313" i="1"/>
  <c r="G325" i="1"/>
  <c r="N325" i="1" s="1"/>
  <c r="Q325" i="1" s="1"/>
  <c r="T325" i="1" s="1"/>
  <c r="W325" i="1" s="1"/>
  <c r="I340" i="1"/>
  <c r="I313" i="1"/>
  <c r="O279" i="1"/>
  <c r="N279" i="1"/>
  <c r="R279" i="1"/>
  <c r="W255" i="1"/>
  <c r="R255" i="1"/>
  <c r="G231" i="1"/>
  <c r="N231" i="1" s="1"/>
  <c r="J313" i="1"/>
  <c r="N313" i="1"/>
  <c r="Q313" i="1" s="1"/>
  <c r="V279" i="1"/>
  <c r="Y279" i="1"/>
  <c r="M255" i="1"/>
  <c r="H255" i="1"/>
  <c r="X255" i="1"/>
  <c r="I354" i="1"/>
  <c r="N340" i="1"/>
  <c r="Q340" i="1" s="1"/>
  <c r="P354" i="1"/>
  <c r="V354" i="1"/>
  <c r="G340" i="1"/>
  <c r="V340" i="1"/>
  <c r="J340" i="1"/>
  <c r="J279" i="1"/>
  <c r="K279" i="1"/>
  <c r="H340" i="1"/>
  <c r="K340" i="1" s="1"/>
  <c r="P340" i="1"/>
  <c r="Q279" i="1"/>
  <c r="G279" i="1"/>
  <c r="K231" i="1"/>
  <c r="H354" i="1"/>
  <c r="K354" i="1" s="1"/>
  <c r="Q255" i="1"/>
  <c r="U354" i="1"/>
  <c r="H325" i="1"/>
  <c r="K325" i="1" s="1"/>
  <c r="L279" i="1"/>
  <c r="J255" i="1"/>
  <c r="O354" i="1"/>
  <c r="L255" i="1"/>
  <c r="U313" i="1"/>
  <c r="Y325" i="1"/>
  <c r="K255" i="1"/>
  <c r="V255" i="1"/>
  <c r="J354" i="1"/>
  <c r="T279" i="1"/>
  <c r="G255" i="1"/>
  <c r="N354" i="1"/>
  <c r="Q354" i="1" s="1"/>
  <c r="P279" i="1"/>
  <c r="O255" i="1"/>
  <c r="M231" i="1"/>
  <c r="T354" i="1"/>
  <c r="W354" i="1" s="1"/>
  <c r="Y312" i="1"/>
  <c r="M312" i="1"/>
  <c r="O367" i="1"/>
  <c r="T367" i="1"/>
  <c r="W367" i="1" s="1"/>
  <c r="P367" i="1"/>
  <c r="U367" i="1"/>
  <c r="V367" i="1"/>
  <c r="H367" i="1"/>
  <c r="K367" i="1" s="1"/>
  <c r="K391" i="1" s="1"/>
  <c r="K106" i="34" s="1"/>
  <c r="K73" i="34" s="1"/>
  <c r="N367" i="1"/>
  <c r="Q367" i="1" s="1"/>
  <c r="Q391" i="1" s="1"/>
  <c r="K116" i="34" s="1"/>
  <c r="K83" i="34" s="1"/>
  <c r="J367" i="1"/>
  <c r="I367" i="1"/>
  <c r="G608" i="1"/>
  <c r="F369" i="1"/>
  <c r="R312" i="1"/>
  <c r="R339" i="1"/>
  <c r="S339" i="1"/>
  <c r="R353" i="1"/>
  <c r="N82" i="34"/>
  <c r="O82" i="34"/>
  <c r="W392" i="1"/>
  <c r="K127" i="34" s="1"/>
  <c r="K94" i="34" s="1"/>
  <c r="X339" i="1"/>
  <c r="Y339" i="1"/>
  <c r="W230" i="1"/>
  <c r="T230" i="1"/>
  <c r="Q230" i="1"/>
  <c r="M339" i="1"/>
  <c r="F40" i="34"/>
  <c r="E610" i="1"/>
  <c r="G29" i="45"/>
  <c r="F29" i="45"/>
  <c r="E63" i="35"/>
  <c r="E171" i="35" s="1"/>
  <c r="K171" i="35"/>
  <c r="F63" i="35"/>
  <c r="F171" i="35" s="1"/>
  <c r="L171" i="35"/>
  <c r="E73" i="35"/>
  <c r="E181" i="35" s="1"/>
  <c r="K181" i="35"/>
  <c r="E83" i="35"/>
  <c r="E191" i="35" s="1"/>
  <c r="K191" i="35"/>
  <c r="F83" i="35"/>
  <c r="F191" i="35" s="1"/>
  <c r="L191" i="35"/>
  <c r="F73" i="35"/>
  <c r="F181" i="35" s="1"/>
  <c r="L181" i="35"/>
  <c r="K368" i="11"/>
  <c r="K98" i="35" s="1"/>
  <c r="K367" i="11"/>
  <c r="K97" i="35" s="1"/>
  <c r="K64" i="35" s="1"/>
  <c r="R341" i="11"/>
  <c r="O63" i="35"/>
  <c r="G116" i="35"/>
  <c r="M191" i="35" s="1"/>
  <c r="H116" i="35"/>
  <c r="N191" i="35" s="1"/>
  <c r="O73" i="35"/>
  <c r="D117" i="35"/>
  <c r="K107" i="35"/>
  <c r="K74" i="35" s="1"/>
  <c r="H96" i="35"/>
  <c r="N171" i="35" s="1"/>
  <c r="G96" i="35"/>
  <c r="M171" i="35" s="1"/>
  <c r="K118" i="35"/>
  <c r="K85" i="35" s="1"/>
  <c r="G106" i="35"/>
  <c r="M181" i="35" s="1"/>
  <c r="H106" i="35"/>
  <c r="N181" i="35" s="1"/>
  <c r="M340" i="11"/>
  <c r="Y340" i="11"/>
  <c r="Y367" i="11" s="1"/>
  <c r="L341" i="11"/>
  <c r="L326" i="11"/>
  <c r="X326" i="11"/>
  <c r="M312" i="11"/>
  <c r="S340" i="11"/>
  <c r="S367" i="11" s="1"/>
  <c r="M285" i="11"/>
  <c r="Y326" i="11"/>
  <c r="S312" i="11"/>
  <c r="Y312" i="11"/>
  <c r="S341" i="11"/>
  <c r="R340" i="11"/>
  <c r="R367" i="11" s="1"/>
  <c r="M341" i="11"/>
  <c r="S285" i="11"/>
  <c r="R285" i="11"/>
  <c r="T203" i="11"/>
  <c r="W203" i="11"/>
  <c r="Q203" i="11"/>
  <c r="Q368" i="11" s="1"/>
  <c r="R326" i="11"/>
  <c r="Y285" i="11"/>
  <c r="L285" i="11"/>
  <c r="F342" i="11"/>
  <c r="G594" i="11"/>
  <c r="G342" i="11" s="1"/>
  <c r="X340" i="11"/>
  <c r="X367" i="11" s="1"/>
  <c r="X341" i="11"/>
  <c r="Y341" i="11"/>
  <c r="S298" i="11"/>
  <c r="Y204" i="11"/>
  <c r="G204" i="11"/>
  <c r="N204" i="11" s="1"/>
  <c r="M298" i="11"/>
  <c r="H298" i="11"/>
  <c r="K298" i="11" s="1"/>
  <c r="U286" i="11"/>
  <c r="H313" i="11"/>
  <c r="K313" i="11" s="1"/>
  <c r="P313" i="11"/>
  <c r="H228" i="11"/>
  <c r="G252" i="11"/>
  <c r="P286" i="11"/>
  <c r="V286" i="11"/>
  <c r="O228" i="11"/>
  <c r="T228" i="11"/>
  <c r="T286" i="11"/>
  <c r="G327" i="11"/>
  <c r="N313" i="11"/>
  <c r="Q313" i="11" s="1"/>
  <c r="H286" i="11"/>
  <c r="K286" i="11" s="1"/>
  <c r="O286" i="11"/>
  <c r="O252" i="11"/>
  <c r="J286" i="11"/>
  <c r="J252" i="11"/>
  <c r="X228" i="11"/>
  <c r="K204" i="11"/>
  <c r="P252" i="11"/>
  <c r="V327" i="11"/>
  <c r="U327" i="11"/>
  <c r="L228" i="11"/>
  <c r="R228" i="11"/>
  <c r="V252" i="11"/>
  <c r="U252" i="11"/>
  <c r="O327" i="11"/>
  <c r="J327" i="11"/>
  <c r="H327" i="11"/>
  <c r="K327" i="11" s="1"/>
  <c r="N327" i="11"/>
  <c r="Q327" i="11" s="1"/>
  <c r="H252" i="11"/>
  <c r="W252" i="11"/>
  <c r="S252" i="11"/>
  <c r="K252" i="11"/>
  <c r="Y252" i="11"/>
  <c r="G298" i="11"/>
  <c r="N298" i="11" s="1"/>
  <c r="Q298" i="11" s="1"/>
  <c r="T298" i="11" s="1"/>
  <c r="W298" i="11" s="1"/>
  <c r="Y298" i="11"/>
  <c r="G228" i="11"/>
  <c r="U313" i="11"/>
  <c r="S204" i="11"/>
  <c r="O313" i="11"/>
  <c r="N228" i="11"/>
  <c r="G313" i="11"/>
  <c r="I228" i="11"/>
  <c r="U228" i="11"/>
  <c r="M204" i="11"/>
  <c r="T313" i="11"/>
  <c r="W313" i="11" s="1"/>
  <c r="P228" i="11"/>
  <c r="J228" i="11"/>
  <c r="V313" i="11"/>
  <c r="G286" i="11"/>
  <c r="I286" i="11"/>
  <c r="H204" i="11"/>
  <c r="J313" i="11"/>
  <c r="I313" i="11"/>
  <c r="V228" i="11"/>
  <c r="N286" i="11"/>
  <c r="M228" i="11"/>
  <c r="K228" i="11"/>
  <c r="S228" i="11"/>
  <c r="T252" i="11"/>
  <c r="I327" i="11"/>
  <c r="T327" i="11"/>
  <c r="W327" i="11" s="1"/>
  <c r="W228" i="11"/>
  <c r="Y228" i="11"/>
  <c r="N252" i="11"/>
  <c r="R252" i="11"/>
  <c r="I252" i="11"/>
  <c r="P327" i="11"/>
  <c r="Q228" i="11"/>
  <c r="Q252" i="11"/>
  <c r="L252" i="11"/>
  <c r="M252" i="11"/>
  <c r="X252" i="11"/>
  <c r="X285" i="11"/>
  <c r="Q285" i="11"/>
  <c r="M326" i="11"/>
  <c r="W285" i="11"/>
  <c r="R312" i="11"/>
  <c r="L312" i="11"/>
  <c r="X312" i="11"/>
  <c r="F587" i="11"/>
  <c r="L340" i="11"/>
  <c r="AC75" i="35"/>
  <c r="AC76" i="35"/>
  <c r="AC77" i="35"/>
  <c r="AB67" i="35"/>
  <c r="AB66" i="35"/>
  <c r="AB65" i="35"/>
  <c r="AB76" i="35"/>
  <c r="AB75" i="35"/>
  <c r="AB77" i="35"/>
  <c r="AC62" i="35"/>
  <c r="AM62" i="35" s="1"/>
  <c r="D602" i="1"/>
  <c r="F602" i="1" s="1"/>
  <c r="L313" i="1" l="1"/>
  <c r="G609" i="1"/>
  <c r="G370" i="1" s="1"/>
  <c r="V370" i="1" s="1"/>
  <c r="U280" i="1"/>
  <c r="G341" i="1"/>
  <c r="U341" i="1"/>
  <c r="R256" i="1"/>
  <c r="I314" i="1"/>
  <c r="S280" i="1"/>
  <c r="J280" i="1"/>
  <c r="P256" i="1"/>
  <c r="Y326" i="1"/>
  <c r="N256" i="1"/>
  <c r="N355" i="1"/>
  <c r="Q355" i="1" s="1"/>
  <c r="I256" i="1"/>
  <c r="N341" i="1"/>
  <c r="Q341" i="1" s="1"/>
  <c r="M280" i="1"/>
  <c r="M326" i="1"/>
  <c r="T256" i="1"/>
  <c r="V280" i="1"/>
  <c r="H326" i="1"/>
  <c r="K326" i="1" s="1"/>
  <c r="R280" i="1"/>
  <c r="J314" i="1"/>
  <c r="G355" i="1"/>
  <c r="I355" i="1"/>
  <c r="Y256" i="1"/>
  <c r="W280" i="1"/>
  <c r="P314" i="1"/>
  <c r="V355" i="1"/>
  <c r="H232" i="1"/>
  <c r="W256" i="1"/>
  <c r="H280" i="1"/>
  <c r="V314" i="1"/>
  <c r="U355" i="1"/>
  <c r="Y232" i="1"/>
  <c r="U256" i="1"/>
  <c r="X280" i="1"/>
  <c r="I341" i="1"/>
  <c r="P341" i="1"/>
  <c r="S232" i="1"/>
  <c r="S256" i="1"/>
  <c r="N280" i="1"/>
  <c r="T341" i="1"/>
  <c r="W341" i="1" s="1"/>
  <c r="H314" i="1"/>
  <c r="K314" i="1" s="1"/>
  <c r="O341" i="1"/>
  <c r="O314" i="1"/>
  <c r="H341" i="1"/>
  <c r="K341" i="1" s="1"/>
  <c r="G256" i="1"/>
  <c r="L256" i="1"/>
  <c r="Q256" i="1"/>
  <c r="K280" i="1"/>
  <c r="O280" i="1"/>
  <c r="U314" i="1"/>
  <c r="Y314" i="1" s="1"/>
  <c r="P355" i="1"/>
  <c r="J341" i="1"/>
  <c r="S326" i="1"/>
  <c r="J355" i="1"/>
  <c r="M355" i="1" s="1"/>
  <c r="G232" i="1"/>
  <c r="N232" i="1" s="1"/>
  <c r="W232" i="1" s="1"/>
  <c r="J256" i="1"/>
  <c r="O256" i="1"/>
  <c r="L280" i="1"/>
  <c r="I280" i="1"/>
  <c r="G326" i="1"/>
  <c r="N326" i="1" s="1"/>
  <c r="Q326" i="1" s="1"/>
  <c r="T326" i="1" s="1"/>
  <c r="W326" i="1" s="1"/>
  <c r="O355" i="1"/>
  <c r="M232" i="1"/>
  <c r="H355" i="1"/>
  <c r="K355" i="1" s="1"/>
  <c r="T314" i="1"/>
  <c r="W314" i="1" s="1"/>
  <c r="X256" i="1"/>
  <c r="H256" i="1"/>
  <c r="M256" i="1"/>
  <c r="Y280" i="1"/>
  <c r="T280" i="1"/>
  <c r="V341" i="1"/>
  <c r="T355" i="1"/>
  <c r="W355" i="1" s="1"/>
  <c r="N314" i="1"/>
  <c r="Q314" i="1" s="1"/>
  <c r="G314" i="1"/>
  <c r="K232" i="1"/>
  <c r="V256" i="1"/>
  <c r="G280" i="1"/>
  <c r="K256" i="1"/>
  <c r="Q280" i="1"/>
  <c r="Y367" i="1"/>
  <c r="Y391" i="1" s="1"/>
  <c r="M126" i="34" s="1"/>
  <c r="M93" i="34" s="1"/>
  <c r="R367" i="1"/>
  <c r="R391" i="1" s="1"/>
  <c r="L116" i="34" s="1"/>
  <c r="L83" i="34" s="1"/>
  <c r="N83" i="34" s="1"/>
  <c r="L354" i="1"/>
  <c r="X354" i="1"/>
  <c r="X367" i="1"/>
  <c r="X391" i="1" s="1"/>
  <c r="L126" i="34" s="1"/>
  <c r="N126" i="34" s="1"/>
  <c r="Y313" i="1"/>
  <c r="R313" i="1"/>
  <c r="X340" i="1"/>
  <c r="S368" i="1"/>
  <c r="S392" i="1" s="1"/>
  <c r="M117" i="34" s="1"/>
  <c r="M84" i="34" s="1"/>
  <c r="L367" i="1"/>
  <c r="L391" i="1" s="1"/>
  <c r="L106" i="34" s="1"/>
  <c r="L73" i="34" s="1"/>
  <c r="N73" i="34" s="1"/>
  <c r="R354" i="1"/>
  <c r="X313" i="1"/>
  <c r="S340" i="1"/>
  <c r="M340" i="1"/>
  <c r="K74" i="34"/>
  <c r="T231" i="1"/>
  <c r="Q231" i="1"/>
  <c r="W231" i="1"/>
  <c r="M367" i="1"/>
  <c r="M391" i="1" s="1"/>
  <c r="M106" i="34" s="1"/>
  <c r="M73" i="34" s="1"/>
  <c r="Y354" i="1"/>
  <c r="S367" i="1"/>
  <c r="S391" i="1" s="1"/>
  <c r="M116" i="34" s="1"/>
  <c r="M83" i="34" s="1"/>
  <c r="M354" i="1"/>
  <c r="S354" i="1"/>
  <c r="L368" i="1"/>
  <c r="L392" i="1" s="1"/>
  <c r="L107" i="34" s="1"/>
  <c r="L74" i="34" s="1"/>
  <c r="R368" i="1"/>
  <c r="R392" i="1" s="1"/>
  <c r="L117" i="34" s="1"/>
  <c r="L84" i="34" s="1"/>
  <c r="Q392" i="1"/>
  <c r="K117" i="34" s="1"/>
  <c r="W393" i="1"/>
  <c r="K128" i="34" s="1"/>
  <c r="K95" i="34" s="1"/>
  <c r="G369" i="1"/>
  <c r="Y340" i="1"/>
  <c r="M313" i="1"/>
  <c r="L340" i="1"/>
  <c r="S313" i="1"/>
  <c r="R340" i="1"/>
  <c r="Y368" i="1"/>
  <c r="Y392" i="1" s="1"/>
  <c r="M127" i="34" s="1"/>
  <c r="M94" i="34" s="1"/>
  <c r="X368" i="1"/>
  <c r="X392" i="1" s="1"/>
  <c r="L127" i="34" s="1"/>
  <c r="M368" i="1"/>
  <c r="M392" i="1" s="1"/>
  <c r="M107" i="34" s="1"/>
  <c r="M74" i="34" s="1"/>
  <c r="D84" i="35"/>
  <c r="D192" i="35" s="1"/>
  <c r="J192" i="35"/>
  <c r="R368" i="11"/>
  <c r="Y368" i="11"/>
  <c r="S368" i="11"/>
  <c r="X368" i="11"/>
  <c r="L368" i="11"/>
  <c r="L98" i="35" s="1"/>
  <c r="M368" i="11"/>
  <c r="M98" i="35" s="1"/>
  <c r="W369" i="11"/>
  <c r="K119" i="35" s="1"/>
  <c r="K86" i="35" s="1"/>
  <c r="L367" i="11"/>
  <c r="L97" i="35" s="1"/>
  <c r="L64" i="35" s="1"/>
  <c r="M367" i="11"/>
  <c r="M97" i="35" s="1"/>
  <c r="M64" i="35" s="1"/>
  <c r="D118" i="35"/>
  <c r="D97" i="35"/>
  <c r="K65" i="35"/>
  <c r="D107" i="35"/>
  <c r="M107" i="35"/>
  <c r="M74" i="35" s="1"/>
  <c r="L117" i="35"/>
  <c r="L84" i="35" s="1"/>
  <c r="K108" i="35"/>
  <c r="K75" i="35" s="1"/>
  <c r="L107" i="35"/>
  <c r="L74" i="35" s="1"/>
  <c r="N74" i="35" s="1"/>
  <c r="M117" i="35"/>
  <c r="M84" i="35" s="1"/>
  <c r="S327" i="11"/>
  <c r="L313" i="11"/>
  <c r="R313" i="11"/>
  <c r="R327" i="11"/>
  <c r="Y327" i="11"/>
  <c r="F299" i="11"/>
  <c r="F205" i="11"/>
  <c r="F287" i="11"/>
  <c r="F314" i="11"/>
  <c r="G587" i="11"/>
  <c r="E30" i="45" s="1"/>
  <c r="F229" i="11"/>
  <c r="F328" i="11"/>
  <c r="F253" i="11"/>
  <c r="Q286" i="11"/>
  <c r="X313" i="11"/>
  <c r="Y286" i="11"/>
  <c r="S313" i="11"/>
  <c r="X286" i="11"/>
  <c r="F595" i="11"/>
  <c r="L327" i="11"/>
  <c r="M313" i="11"/>
  <c r="L286" i="11"/>
  <c r="Y313" i="11"/>
  <c r="M327" i="11"/>
  <c r="X327" i="11"/>
  <c r="M286" i="11"/>
  <c r="R286" i="11"/>
  <c r="W286" i="11"/>
  <c r="S286" i="11"/>
  <c r="W204" i="11"/>
  <c r="T204" i="11"/>
  <c r="Q204" i="11"/>
  <c r="P342" i="11"/>
  <c r="T342" i="11"/>
  <c r="W342" i="11" s="1"/>
  <c r="I342" i="11"/>
  <c r="O342" i="11"/>
  <c r="V342" i="11"/>
  <c r="U342" i="11"/>
  <c r="J342" i="11"/>
  <c r="N342" i="11"/>
  <c r="Q342" i="11" s="1"/>
  <c r="H342" i="11"/>
  <c r="K342" i="11" s="1"/>
  <c r="K369" i="11" s="1"/>
  <c r="AC73" i="35"/>
  <c r="AB64" i="35"/>
  <c r="AB72" i="35"/>
  <c r="AC67" i="35"/>
  <c r="AC72" i="35"/>
  <c r="AC66" i="35"/>
  <c r="AC63" i="35"/>
  <c r="AB62" i="35"/>
  <c r="AB63" i="35"/>
  <c r="AB73" i="35"/>
  <c r="AB74" i="35"/>
  <c r="AC74" i="35"/>
  <c r="H63" i="35"/>
  <c r="H171" i="35" s="1"/>
  <c r="G63" i="35"/>
  <c r="G171" i="35" s="1"/>
  <c r="AC83" i="35"/>
  <c r="AB83" i="35"/>
  <c r="AB86" i="35"/>
  <c r="AC86" i="35"/>
  <c r="AC64" i="35"/>
  <c r="H72" i="35"/>
  <c r="H180" i="35" s="1"/>
  <c r="G72" i="35"/>
  <c r="G180" i="35" s="1"/>
  <c r="H62" i="35"/>
  <c r="H170" i="35" s="1"/>
  <c r="G62" i="35"/>
  <c r="G170" i="35" s="1"/>
  <c r="AC65" i="35"/>
  <c r="AB85" i="35"/>
  <c r="AC85" i="35"/>
  <c r="H73" i="35"/>
  <c r="H181" i="35" s="1"/>
  <c r="G73" i="35"/>
  <c r="G181" i="35" s="1"/>
  <c r="AC87" i="35"/>
  <c r="AB87" i="35"/>
  <c r="AC84" i="35"/>
  <c r="AB84" i="35"/>
  <c r="AB82" i="35"/>
  <c r="AC82" i="35"/>
  <c r="D610" i="1"/>
  <c r="F610" i="1" s="1"/>
  <c r="F281" i="1"/>
  <c r="F233" i="1"/>
  <c r="F342" i="1"/>
  <c r="G602" i="1"/>
  <c r="F327" i="1"/>
  <c r="F315" i="1"/>
  <c r="F257" i="1"/>
  <c r="F356" i="1"/>
  <c r="L341" i="1" l="1"/>
  <c r="T370" i="1"/>
  <c r="W370" i="1" s="1"/>
  <c r="I370" i="1"/>
  <c r="P370" i="1"/>
  <c r="W394" i="1"/>
  <c r="K129" i="34" s="1"/>
  <c r="K96" i="34" s="1"/>
  <c r="H370" i="1"/>
  <c r="K370" i="1" s="1"/>
  <c r="K394" i="1" s="1"/>
  <c r="K109" i="34" s="1"/>
  <c r="K76" i="34" s="1"/>
  <c r="J370" i="1"/>
  <c r="M370" i="1" s="1"/>
  <c r="N370" i="1"/>
  <c r="Q370" i="1" s="1"/>
  <c r="U370" i="1"/>
  <c r="Y370" i="1" s="1"/>
  <c r="O370" i="1"/>
  <c r="Y341" i="1"/>
  <c r="M314" i="1"/>
  <c r="O83" i="34"/>
  <c r="R341" i="1"/>
  <c r="X341" i="1"/>
  <c r="N106" i="34"/>
  <c r="R314" i="1"/>
  <c r="M341" i="1"/>
  <c r="Q232" i="1"/>
  <c r="Y355" i="1"/>
  <c r="N116" i="34"/>
  <c r="R355" i="1"/>
  <c r="S355" i="1"/>
  <c r="L314" i="1"/>
  <c r="X355" i="1"/>
  <c r="O126" i="34"/>
  <c r="S341" i="1"/>
  <c r="S314" i="1"/>
  <c r="L93" i="34"/>
  <c r="N93" i="34" s="1"/>
  <c r="T232" i="1"/>
  <c r="X314" i="1"/>
  <c r="L355" i="1"/>
  <c r="O73" i="34"/>
  <c r="N74" i="34"/>
  <c r="L94" i="34"/>
  <c r="N127" i="34"/>
  <c r="K84" i="34"/>
  <c r="O117" i="34"/>
  <c r="N117" i="34"/>
  <c r="O106" i="34"/>
  <c r="O107" i="34"/>
  <c r="O74" i="34"/>
  <c r="O116" i="34"/>
  <c r="O127" i="34"/>
  <c r="N107" i="34"/>
  <c r="J369" i="1"/>
  <c r="I369" i="1"/>
  <c r="N369" i="1"/>
  <c r="Q369" i="1" s="1"/>
  <c r="Q393" i="1" s="1"/>
  <c r="K118" i="34" s="1"/>
  <c r="K85" i="34" s="1"/>
  <c r="U369" i="1"/>
  <c r="P369" i="1"/>
  <c r="H369" i="1"/>
  <c r="K369" i="1" s="1"/>
  <c r="K393" i="1" s="1"/>
  <c r="K108" i="34" s="1"/>
  <c r="K75" i="34" s="1"/>
  <c r="T369" i="1"/>
  <c r="W369" i="1" s="1"/>
  <c r="V369" i="1"/>
  <c r="O369" i="1"/>
  <c r="G30" i="45"/>
  <c r="F30" i="45"/>
  <c r="D64" i="35"/>
  <c r="D172" i="35" s="1"/>
  <c r="J172" i="35"/>
  <c r="D85" i="35"/>
  <c r="D193" i="35" s="1"/>
  <c r="J193" i="35"/>
  <c r="D74" i="35"/>
  <c r="D182" i="35" s="1"/>
  <c r="J182" i="35"/>
  <c r="Q369" i="11"/>
  <c r="K99" i="35"/>
  <c r="K66" i="35" s="1"/>
  <c r="X342" i="11"/>
  <c r="X369" i="11" s="1"/>
  <c r="O107" i="35"/>
  <c r="E107" i="35"/>
  <c r="D98" i="35"/>
  <c r="D108" i="35"/>
  <c r="F117" i="35"/>
  <c r="N107" i="35"/>
  <c r="F97" i="35"/>
  <c r="M65" i="35"/>
  <c r="M108" i="35"/>
  <c r="M75" i="35" s="1"/>
  <c r="F107" i="35"/>
  <c r="L118" i="35"/>
  <c r="L85" i="35" s="1"/>
  <c r="N85" i="35" s="1"/>
  <c r="M118" i="35"/>
  <c r="M85" i="35" s="1"/>
  <c r="D119" i="35"/>
  <c r="L108" i="35"/>
  <c r="O74" i="35"/>
  <c r="E117" i="35"/>
  <c r="O117" i="35"/>
  <c r="N117" i="35"/>
  <c r="E97" i="35"/>
  <c r="N97" i="35"/>
  <c r="O97" i="35"/>
  <c r="L65" i="35"/>
  <c r="M342" i="11"/>
  <c r="M369" i="11" s="1"/>
  <c r="Y342" i="11"/>
  <c r="Y369" i="11" s="1"/>
  <c r="S342" i="11"/>
  <c r="S369" i="11" s="1"/>
  <c r="L342" i="11"/>
  <c r="F343" i="11"/>
  <c r="G595" i="11"/>
  <c r="G343" i="11" s="1"/>
  <c r="R342" i="11"/>
  <c r="R369" i="11" s="1"/>
  <c r="G299" i="11"/>
  <c r="N299" i="11" s="1"/>
  <c r="Q299" i="11" s="1"/>
  <c r="T299" i="11" s="1"/>
  <c r="W299" i="11" s="1"/>
  <c r="U314" i="11"/>
  <c r="H299" i="11"/>
  <c r="K299" i="11" s="1"/>
  <c r="S205" i="11"/>
  <c r="G205" i="11"/>
  <c r="N205" i="11" s="1"/>
  <c r="J287" i="11"/>
  <c r="T314" i="11"/>
  <c r="W314" i="11" s="1"/>
  <c r="N287" i="11"/>
  <c r="P229" i="11"/>
  <c r="T287" i="11"/>
  <c r="G287" i="11"/>
  <c r="N229" i="11"/>
  <c r="J314" i="11"/>
  <c r="I287" i="11"/>
  <c r="U287" i="11"/>
  <c r="V314" i="11"/>
  <c r="G328" i="11"/>
  <c r="V229" i="11"/>
  <c r="H229" i="11"/>
  <c r="G253" i="11"/>
  <c r="N314" i="11"/>
  <c r="Q314" i="11" s="1"/>
  <c r="U229" i="11"/>
  <c r="U328" i="11"/>
  <c r="T328" i="11"/>
  <c r="W328" i="11" s="1"/>
  <c r="V253" i="11"/>
  <c r="Y229" i="11"/>
  <c r="N253" i="11"/>
  <c r="J328" i="11"/>
  <c r="I253" i="11"/>
  <c r="Q229" i="11"/>
  <c r="O328" i="11"/>
  <c r="X229" i="11"/>
  <c r="P253" i="11"/>
  <c r="U253" i="11"/>
  <c r="M229" i="11"/>
  <c r="M253" i="11"/>
  <c r="Y253" i="11"/>
  <c r="X253" i="11"/>
  <c r="S253" i="11"/>
  <c r="S299" i="11"/>
  <c r="Y205" i="11"/>
  <c r="Y299" i="11"/>
  <c r="M299" i="11"/>
  <c r="G229" i="11"/>
  <c r="H205" i="11"/>
  <c r="V287" i="11"/>
  <c r="O253" i="11"/>
  <c r="O229" i="11"/>
  <c r="T229" i="11"/>
  <c r="I314" i="11"/>
  <c r="P287" i="11"/>
  <c r="M205" i="11"/>
  <c r="J253" i="11"/>
  <c r="H287" i="11"/>
  <c r="K287" i="11" s="1"/>
  <c r="O314" i="11"/>
  <c r="H314" i="11"/>
  <c r="K314" i="11" s="1"/>
  <c r="O287" i="11"/>
  <c r="G314" i="11"/>
  <c r="I229" i="11"/>
  <c r="P314" i="11"/>
  <c r="J229" i="11"/>
  <c r="T253" i="11"/>
  <c r="L229" i="11"/>
  <c r="W229" i="11"/>
  <c r="P328" i="11"/>
  <c r="N328" i="11"/>
  <c r="Q328" i="11" s="1"/>
  <c r="R229" i="11"/>
  <c r="R253" i="11"/>
  <c r="H328" i="11"/>
  <c r="K328" i="11" s="1"/>
  <c r="V328" i="11"/>
  <c r="K205" i="11"/>
  <c r="I328" i="11"/>
  <c r="H253" i="11"/>
  <c r="S229" i="11"/>
  <c r="K229" i="11"/>
  <c r="Q253" i="11"/>
  <c r="K253" i="11"/>
  <c r="W253" i="11"/>
  <c r="L253" i="11"/>
  <c r="G82" i="35"/>
  <c r="G190" i="35" s="1"/>
  <c r="H82" i="35"/>
  <c r="H190" i="35" s="1"/>
  <c r="G83" i="35"/>
  <c r="G191" i="35" s="1"/>
  <c r="H83" i="35"/>
  <c r="H191" i="35" s="1"/>
  <c r="H281" i="1"/>
  <c r="V281" i="1"/>
  <c r="X281" i="1"/>
  <c r="Y281" i="1"/>
  <c r="S281" i="1"/>
  <c r="J257" i="1"/>
  <c r="R257" i="1"/>
  <c r="H233" i="1"/>
  <c r="M257" i="1"/>
  <c r="G233" i="1"/>
  <c r="N233" i="1" s="1"/>
  <c r="U342" i="1"/>
  <c r="T315" i="1"/>
  <c r="W315" i="1" s="1"/>
  <c r="T342" i="1"/>
  <c r="W342" i="1" s="1"/>
  <c r="J342" i="1"/>
  <c r="P356" i="1"/>
  <c r="O356" i="1"/>
  <c r="H327" i="1"/>
  <c r="K327" i="1" s="1"/>
  <c r="U315" i="1"/>
  <c r="O281" i="1"/>
  <c r="J281" i="1"/>
  <c r="P281" i="1"/>
  <c r="I281" i="1"/>
  <c r="N281" i="1"/>
  <c r="Q281" i="1"/>
  <c r="L281" i="1"/>
  <c r="M281" i="1"/>
  <c r="R281" i="1"/>
  <c r="H257" i="1"/>
  <c r="L257" i="1"/>
  <c r="P257" i="1"/>
  <c r="T257" i="1"/>
  <c r="X257" i="1"/>
  <c r="K257" i="1"/>
  <c r="S257" i="1"/>
  <c r="G257" i="1"/>
  <c r="I257" i="1"/>
  <c r="Q257" i="1"/>
  <c r="Y257" i="1"/>
  <c r="Y233" i="1"/>
  <c r="K233" i="1"/>
  <c r="Y327" i="1"/>
  <c r="H356" i="1"/>
  <c r="K356" i="1" s="1"/>
  <c r="N342" i="1"/>
  <c r="Q342" i="1" s="1"/>
  <c r="G315" i="1"/>
  <c r="H315" i="1"/>
  <c r="K315" i="1" s="1"/>
  <c r="V356" i="1"/>
  <c r="P315" i="1"/>
  <c r="I315" i="1"/>
  <c r="I356" i="1"/>
  <c r="T356" i="1"/>
  <c r="W356" i="1" s="1"/>
  <c r="H342" i="1"/>
  <c r="K342" i="1" s="1"/>
  <c r="G356" i="1"/>
  <c r="J315" i="1"/>
  <c r="N356" i="1"/>
  <c r="Q356" i="1" s="1"/>
  <c r="V342" i="1"/>
  <c r="Y342" i="1" s="1"/>
  <c r="G327" i="1"/>
  <c r="N327" i="1" s="1"/>
  <c r="Q327" i="1" s="1"/>
  <c r="T327" i="1" s="1"/>
  <c r="W327" i="1" s="1"/>
  <c r="O342" i="1"/>
  <c r="U281" i="1"/>
  <c r="T281" i="1"/>
  <c r="W281" i="1"/>
  <c r="K281" i="1"/>
  <c r="G281" i="1"/>
  <c r="N257" i="1"/>
  <c r="V257" i="1"/>
  <c r="O257" i="1"/>
  <c r="W257" i="1"/>
  <c r="S233" i="1"/>
  <c r="U257" i="1"/>
  <c r="M233" i="1"/>
  <c r="V315" i="1"/>
  <c r="Y315" i="1" s="1"/>
  <c r="G342" i="1"/>
  <c r="M327" i="1"/>
  <c r="S327" i="1"/>
  <c r="J356" i="1"/>
  <c r="U356" i="1"/>
  <c r="I342" i="1"/>
  <c r="P342" i="1"/>
  <c r="S342" i="1" s="1"/>
  <c r="N315" i="1"/>
  <c r="Q315" i="1" s="1"/>
  <c r="O315" i="1"/>
  <c r="F371" i="1"/>
  <c r="G610" i="1"/>
  <c r="G371" i="1" s="1"/>
  <c r="Y369" i="1" l="1"/>
  <c r="Y393" i="1" s="1"/>
  <c r="M128" i="34" s="1"/>
  <c r="M95" i="34" s="1"/>
  <c r="L370" i="1"/>
  <c r="L394" i="1" s="1"/>
  <c r="L109" i="34" s="1"/>
  <c r="R370" i="1"/>
  <c r="R394" i="1" s="1"/>
  <c r="L119" i="34" s="1"/>
  <c r="L86" i="34" s="1"/>
  <c r="S370" i="1"/>
  <c r="S394" i="1" s="1"/>
  <c r="M119" i="34" s="1"/>
  <c r="M86" i="34" s="1"/>
  <c r="X370" i="1"/>
  <c r="X394" i="1" s="1"/>
  <c r="L129" i="34" s="1"/>
  <c r="Q394" i="1"/>
  <c r="K119" i="34" s="1"/>
  <c r="K86" i="34" s="1"/>
  <c r="Y394" i="1"/>
  <c r="M129" i="34" s="1"/>
  <c r="M96" i="34" s="1"/>
  <c r="O93" i="34"/>
  <c r="L369" i="1"/>
  <c r="L393" i="1" s="1"/>
  <c r="L108" i="34" s="1"/>
  <c r="N84" i="34"/>
  <c r="O84" i="34"/>
  <c r="R369" i="1"/>
  <c r="R393" i="1" s="1"/>
  <c r="L118" i="34" s="1"/>
  <c r="L85" i="34" s="1"/>
  <c r="N85" i="34" s="1"/>
  <c r="S369" i="1"/>
  <c r="S393" i="1" s="1"/>
  <c r="M118" i="34" s="1"/>
  <c r="M85" i="34" s="1"/>
  <c r="M369" i="1"/>
  <c r="M393" i="1" s="1"/>
  <c r="M108" i="34" s="1"/>
  <c r="M75" i="34" s="1"/>
  <c r="X369" i="1"/>
  <c r="X393" i="1" s="1"/>
  <c r="L128" i="34" s="1"/>
  <c r="N94" i="34"/>
  <c r="O94" i="34"/>
  <c r="E64" i="35"/>
  <c r="E172" i="35" s="1"/>
  <c r="K172" i="35"/>
  <c r="D86" i="35"/>
  <c r="D194" i="35" s="1"/>
  <c r="J194" i="35"/>
  <c r="F64" i="35"/>
  <c r="F172" i="35" s="1"/>
  <c r="L172" i="35"/>
  <c r="D65" i="35"/>
  <c r="D173" i="35" s="1"/>
  <c r="J173" i="35"/>
  <c r="F84" i="35"/>
  <c r="F192" i="35" s="1"/>
  <c r="L192" i="35"/>
  <c r="D75" i="35"/>
  <c r="D183" i="35" s="1"/>
  <c r="J183" i="35"/>
  <c r="E84" i="35"/>
  <c r="E192" i="35" s="1"/>
  <c r="K192" i="35"/>
  <c r="F74" i="35"/>
  <c r="F182" i="35" s="1"/>
  <c r="L182" i="35"/>
  <c r="E74" i="35"/>
  <c r="K182" i="35"/>
  <c r="M99" i="35"/>
  <c r="M66" i="35" s="1"/>
  <c r="W370" i="11"/>
  <c r="L369" i="11"/>
  <c r="L99" i="35" s="1"/>
  <c r="L66" i="35" s="1"/>
  <c r="M394" i="1"/>
  <c r="M109" i="34" s="1"/>
  <c r="M76" i="34" s="1"/>
  <c r="G107" i="35"/>
  <c r="M182" i="35" s="1"/>
  <c r="E118" i="35"/>
  <c r="F108" i="35"/>
  <c r="F98" i="35"/>
  <c r="H107" i="35"/>
  <c r="N182" i="35" s="1"/>
  <c r="K109" i="35"/>
  <c r="K76" i="35" s="1"/>
  <c r="L109" i="35"/>
  <c r="L76" i="35" s="1"/>
  <c r="M119" i="35"/>
  <c r="M86" i="35" s="1"/>
  <c r="F118" i="35"/>
  <c r="N118" i="35"/>
  <c r="D99" i="35"/>
  <c r="M109" i="35"/>
  <c r="M76" i="35" s="1"/>
  <c r="L119" i="35"/>
  <c r="L86" i="35" s="1"/>
  <c r="N86" i="35" s="1"/>
  <c r="O118" i="35"/>
  <c r="N108" i="35"/>
  <c r="L75" i="35"/>
  <c r="N75" i="35" s="1"/>
  <c r="E108" i="35"/>
  <c r="K183" i="35" s="1"/>
  <c r="O108" i="35"/>
  <c r="O85" i="35"/>
  <c r="E98" i="35"/>
  <c r="N98" i="35"/>
  <c r="O98" i="35"/>
  <c r="G97" i="35"/>
  <c r="M172" i="35" s="1"/>
  <c r="H97" i="35"/>
  <c r="N172" i="35" s="1"/>
  <c r="N64" i="35"/>
  <c r="O64" i="35"/>
  <c r="G117" i="35"/>
  <c r="M192" i="35" s="1"/>
  <c r="H117" i="35"/>
  <c r="N192" i="35" s="1"/>
  <c r="O84" i="35"/>
  <c r="N84" i="35"/>
  <c r="Y314" i="11"/>
  <c r="R314" i="11"/>
  <c r="S328" i="11"/>
  <c r="Y328" i="11"/>
  <c r="L328" i="11"/>
  <c r="S314" i="11"/>
  <c r="X314" i="11"/>
  <c r="L314" i="11"/>
  <c r="Y287" i="11"/>
  <c r="M328" i="11"/>
  <c r="L287" i="11"/>
  <c r="W287" i="11"/>
  <c r="Q287" i="11"/>
  <c r="M287" i="11"/>
  <c r="R287" i="11"/>
  <c r="S287" i="11"/>
  <c r="R328" i="11"/>
  <c r="X328" i="11"/>
  <c r="X287" i="11"/>
  <c r="M314" i="11"/>
  <c r="W205" i="11"/>
  <c r="T205" i="11"/>
  <c r="Q205" i="11"/>
  <c r="N343" i="11"/>
  <c r="Q343" i="11" s="1"/>
  <c r="I343" i="11"/>
  <c r="P343" i="11"/>
  <c r="V343" i="11"/>
  <c r="O343" i="11"/>
  <c r="T343" i="11"/>
  <c r="W343" i="11" s="1"/>
  <c r="U343" i="11"/>
  <c r="J343" i="11"/>
  <c r="H343" i="11"/>
  <c r="K343" i="11" s="1"/>
  <c r="W395" i="1"/>
  <c r="K130" i="34" s="1"/>
  <c r="K97" i="34" s="1"/>
  <c r="R342" i="1"/>
  <c r="X315" i="1"/>
  <c r="L342" i="1"/>
  <c r="M356" i="1"/>
  <c r="X356" i="1"/>
  <c r="R315" i="1"/>
  <c r="M315" i="1"/>
  <c r="L356" i="1"/>
  <c r="S356" i="1"/>
  <c r="I371" i="1"/>
  <c r="N371" i="1"/>
  <c r="Q371" i="1" s="1"/>
  <c r="J371" i="1"/>
  <c r="V371" i="1"/>
  <c r="U371" i="1"/>
  <c r="O371" i="1"/>
  <c r="H371" i="1"/>
  <c r="K371" i="1" s="1"/>
  <c r="P371" i="1"/>
  <c r="T371" i="1"/>
  <c r="W371" i="1" s="1"/>
  <c r="L315" i="1"/>
  <c r="Y356" i="1"/>
  <c r="R356" i="1"/>
  <c r="M342" i="1"/>
  <c r="W233" i="1"/>
  <c r="Q233" i="1"/>
  <c r="T233" i="1"/>
  <c r="S315" i="1"/>
  <c r="X342" i="1"/>
  <c r="O129" i="34" l="1"/>
  <c r="O108" i="34"/>
  <c r="O119" i="34"/>
  <c r="N119" i="34"/>
  <c r="N108" i="34"/>
  <c r="N118" i="34"/>
  <c r="L75" i="34"/>
  <c r="O75" i="34" s="1"/>
  <c r="O118" i="34"/>
  <c r="L95" i="34"/>
  <c r="O128" i="34"/>
  <c r="N128" i="34"/>
  <c r="H74" i="35"/>
  <c r="H182" i="35" s="1"/>
  <c r="E65" i="35"/>
  <c r="E173" i="35" s="1"/>
  <c r="K173" i="35"/>
  <c r="E85" i="35"/>
  <c r="E193" i="35" s="1"/>
  <c r="K193" i="35"/>
  <c r="F65" i="35"/>
  <c r="F173" i="35" s="1"/>
  <c r="L173" i="35"/>
  <c r="D66" i="35"/>
  <c r="D174" i="35" s="1"/>
  <c r="J174" i="35"/>
  <c r="F75" i="35"/>
  <c r="F183" i="35" s="1"/>
  <c r="L183" i="35"/>
  <c r="F85" i="35"/>
  <c r="F193" i="35" s="1"/>
  <c r="L193" i="35"/>
  <c r="G74" i="35"/>
  <c r="G182" i="35" s="1"/>
  <c r="E182" i="35"/>
  <c r="D109" i="35"/>
  <c r="Q370" i="11"/>
  <c r="K370" i="11"/>
  <c r="K100" i="35" s="1"/>
  <c r="K67" i="35" s="1"/>
  <c r="L76" i="34"/>
  <c r="N76" i="34" s="1"/>
  <c r="N109" i="34"/>
  <c r="O109" i="34"/>
  <c r="K395" i="1"/>
  <c r="K110" i="34" s="1"/>
  <c r="K77" i="34" s="1"/>
  <c r="G118" i="35"/>
  <c r="M193" i="35" s="1"/>
  <c r="N99" i="35"/>
  <c r="F119" i="35"/>
  <c r="F109" i="35"/>
  <c r="E99" i="35"/>
  <c r="E119" i="35"/>
  <c r="O99" i="35"/>
  <c r="F99" i="35"/>
  <c r="N119" i="35"/>
  <c r="K120" i="35"/>
  <c r="K87" i="35" s="1"/>
  <c r="O109" i="35"/>
  <c r="N109" i="35"/>
  <c r="E109" i="35"/>
  <c r="H118" i="35"/>
  <c r="N193" i="35" s="1"/>
  <c r="O119" i="35"/>
  <c r="E75" i="35"/>
  <c r="G108" i="35"/>
  <c r="M183" i="35" s="1"/>
  <c r="H108" i="35"/>
  <c r="N183" i="35" s="1"/>
  <c r="O75" i="35"/>
  <c r="N129" i="34"/>
  <c r="L96" i="34"/>
  <c r="N96" i="34" s="1"/>
  <c r="O85" i="34"/>
  <c r="O76" i="35"/>
  <c r="O66" i="35"/>
  <c r="N76" i="35"/>
  <c r="N66" i="35"/>
  <c r="O86" i="35"/>
  <c r="H98" i="35"/>
  <c r="N173" i="35" s="1"/>
  <c r="G98" i="35"/>
  <c r="M173" i="35" s="1"/>
  <c r="H64" i="35"/>
  <c r="H172" i="35" s="1"/>
  <c r="G64" i="35"/>
  <c r="G172" i="35" s="1"/>
  <c r="O65" i="35"/>
  <c r="N65" i="35"/>
  <c r="G84" i="35"/>
  <c r="G192" i="35" s="1"/>
  <c r="H84" i="35"/>
  <c r="H192" i="35" s="1"/>
  <c r="M343" i="11"/>
  <c r="M370" i="11" s="1"/>
  <c r="X343" i="11"/>
  <c r="X370" i="11" s="1"/>
  <c r="R343" i="11"/>
  <c r="R370" i="11" s="1"/>
  <c r="S343" i="11"/>
  <c r="S370" i="11" s="1"/>
  <c r="Y343" i="11"/>
  <c r="Y370" i="11" s="1"/>
  <c r="L343" i="11"/>
  <c r="L370" i="11" s="1"/>
  <c r="R371" i="1"/>
  <c r="R395" i="1" s="1"/>
  <c r="L120" i="34" s="1"/>
  <c r="L87" i="34" s="1"/>
  <c r="Q395" i="1"/>
  <c r="K120" i="34" s="1"/>
  <c r="K87" i="34" s="1"/>
  <c r="S371" i="1"/>
  <c r="S395" i="1" s="1"/>
  <c r="M120" i="34" s="1"/>
  <c r="M87" i="34" s="1"/>
  <c r="M371" i="1"/>
  <c r="N86" i="34"/>
  <c r="O86" i="34"/>
  <c r="Y371" i="1"/>
  <c r="Y395" i="1" s="1"/>
  <c r="M130" i="34" s="1"/>
  <c r="M97" i="34" s="1"/>
  <c r="X371" i="1"/>
  <c r="X395" i="1" s="1"/>
  <c r="L371" i="1"/>
  <c r="N75" i="34" l="1"/>
  <c r="N95" i="34"/>
  <c r="O95" i="34"/>
  <c r="G85" i="35"/>
  <c r="G193" i="35" s="1"/>
  <c r="D76" i="35"/>
  <c r="D184" i="35" s="1"/>
  <c r="J184" i="35"/>
  <c r="H75" i="35"/>
  <c r="H183" i="35" s="1"/>
  <c r="E183" i="35"/>
  <c r="F66" i="35"/>
  <c r="F174" i="35" s="1"/>
  <c r="L174" i="35"/>
  <c r="F86" i="35"/>
  <c r="F194" i="35" s="1"/>
  <c r="L194" i="35"/>
  <c r="E86" i="35"/>
  <c r="K194" i="35"/>
  <c r="H85" i="35"/>
  <c r="H193" i="35" s="1"/>
  <c r="E76" i="35"/>
  <c r="E184" i="35" s="1"/>
  <c r="K184" i="35"/>
  <c r="E66" i="35"/>
  <c r="K174" i="35"/>
  <c r="F76" i="35"/>
  <c r="F184" i="35" s="1"/>
  <c r="L184" i="35"/>
  <c r="L100" i="35"/>
  <c r="L67" i="35" s="1"/>
  <c r="M100" i="35"/>
  <c r="M67" i="35" s="1"/>
  <c r="O76" i="34"/>
  <c r="L395" i="1"/>
  <c r="L110" i="34" s="1"/>
  <c r="M395" i="1"/>
  <c r="M110" i="34" s="1"/>
  <c r="M77" i="34" s="1"/>
  <c r="O96" i="34"/>
  <c r="G99" i="35"/>
  <c r="M174" i="35" s="1"/>
  <c r="D100" i="35"/>
  <c r="H99" i="35"/>
  <c r="N174" i="35" s="1"/>
  <c r="H109" i="35"/>
  <c r="N184" i="35" s="1"/>
  <c r="G109" i="35"/>
  <c r="M184" i="35" s="1"/>
  <c r="G119" i="35"/>
  <c r="M194" i="35" s="1"/>
  <c r="H119" i="35"/>
  <c r="N194" i="35" s="1"/>
  <c r="G75" i="35"/>
  <c r="G183" i="35" s="1"/>
  <c r="K110" i="35"/>
  <c r="K77" i="35" s="1"/>
  <c r="L110" i="35"/>
  <c r="L77" i="35" s="1"/>
  <c r="D120" i="35"/>
  <c r="M120" i="35"/>
  <c r="M87" i="35" s="1"/>
  <c r="M110" i="35"/>
  <c r="M77" i="35" s="1"/>
  <c r="L120" i="35"/>
  <c r="L87" i="35" s="1"/>
  <c r="L130" i="34"/>
  <c r="G65" i="35"/>
  <c r="G173" i="35" s="1"/>
  <c r="H65" i="35"/>
  <c r="H173" i="35" s="1"/>
  <c r="O120" i="34"/>
  <c r="N120" i="34"/>
  <c r="G76" i="35" l="1"/>
  <c r="G184" i="35" s="1"/>
  <c r="H76" i="35"/>
  <c r="H184" i="35" s="1"/>
  <c r="H86" i="35"/>
  <c r="H194" i="35" s="1"/>
  <c r="D87" i="35"/>
  <c r="D195" i="35" s="1"/>
  <c r="J195" i="35"/>
  <c r="D67" i="35"/>
  <c r="D175" i="35" s="1"/>
  <c r="J175" i="35"/>
  <c r="G66" i="35"/>
  <c r="G174" i="35" s="1"/>
  <c r="E174" i="35"/>
  <c r="H66" i="35"/>
  <c r="H174" i="35" s="1"/>
  <c r="G86" i="35"/>
  <c r="G194" i="35" s="1"/>
  <c r="E194" i="35"/>
  <c r="L77" i="34"/>
  <c r="O77" i="34" s="1"/>
  <c r="O110" i="34"/>
  <c r="N110" i="34"/>
  <c r="F110" i="35"/>
  <c r="D110" i="35"/>
  <c r="O110" i="35"/>
  <c r="F100" i="35"/>
  <c r="E110" i="35"/>
  <c r="F120" i="35"/>
  <c r="N110" i="35"/>
  <c r="N130" i="34"/>
  <c r="L97" i="34"/>
  <c r="O97" i="34" s="1"/>
  <c r="O130" i="34"/>
  <c r="N77" i="35"/>
  <c r="O77" i="35"/>
  <c r="E100" i="35"/>
  <c r="N100" i="35"/>
  <c r="O100" i="35"/>
  <c r="E120" i="35"/>
  <c r="N120" i="35"/>
  <c r="O120" i="35"/>
  <c r="N87" i="34"/>
  <c r="O87" i="34"/>
  <c r="F87" i="35" l="1"/>
  <c r="F195" i="35" s="1"/>
  <c r="L195" i="35"/>
  <c r="E67" i="35"/>
  <c r="E175" i="35" s="1"/>
  <c r="K175" i="35"/>
  <c r="E77" i="35"/>
  <c r="E185" i="35" s="1"/>
  <c r="K185" i="35"/>
  <c r="F77" i="35"/>
  <c r="F185" i="35" s="1"/>
  <c r="L185" i="35"/>
  <c r="D77" i="35"/>
  <c r="D185" i="35" s="1"/>
  <c r="J185" i="35"/>
  <c r="E87" i="35"/>
  <c r="E195" i="35" s="1"/>
  <c r="K195" i="35"/>
  <c r="F67" i="35"/>
  <c r="F175" i="35" s="1"/>
  <c r="L175" i="35"/>
  <c r="N77" i="34"/>
  <c r="H110" i="35"/>
  <c r="N185" i="35" s="1"/>
  <c r="G110" i="35"/>
  <c r="M185" i="35" s="1"/>
  <c r="N97" i="34"/>
  <c r="G120" i="35"/>
  <c r="M195" i="35" s="1"/>
  <c r="H100" i="35"/>
  <c r="N175" i="35" s="1"/>
  <c r="G100" i="35"/>
  <c r="M175" i="35" s="1"/>
  <c r="H120" i="35"/>
  <c r="N195" i="35" s="1"/>
  <c r="N67" i="35"/>
  <c r="AM67" i="35" s="1"/>
  <c r="O67" i="35"/>
  <c r="N87" i="35"/>
  <c r="O87" i="35"/>
  <c r="F436" i="1"/>
  <c r="F425" i="1" s="1"/>
  <c r="G425" i="1" s="1"/>
  <c r="F435" i="1"/>
  <c r="G77" i="35" l="1"/>
  <c r="G185" i="35" s="1"/>
  <c r="H77" i="35"/>
  <c r="H185" i="35" s="1"/>
  <c r="H67" i="35"/>
  <c r="H175" i="35" s="1"/>
  <c r="G67" i="35"/>
  <c r="G175" i="35" s="1"/>
  <c r="G87" i="35"/>
  <c r="G195" i="35" s="1"/>
  <c r="H87" i="35"/>
  <c r="H195" i="35" s="1"/>
  <c r="F439" i="1"/>
  <c r="F440" i="1"/>
  <c r="F441" i="1"/>
  <c r="F442" i="1"/>
  <c r="F443" i="1"/>
  <c r="F444" i="1"/>
  <c r="F424" i="1"/>
  <c r="G435" i="1"/>
  <c r="N425" i="1"/>
  <c r="Q425" i="1" s="1"/>
  <c r="U425" i="1"/>
  <c r="P425" i="1"/>
  <c r="O425" i="1"/>
  <c r="H425" i="1"/>
  <c r="K425" i="1" s="1"/>
  <c r="V425" i="1"/>
  <c r="T425" i="1"/>
  <c r="W425" i="1" s="1"/>
  <c r="I425" i="1"/>
  <c r="J425" i="1"/>
  <c r="G436" i="1"/>
  <c r="Y425" i="1" l="1"/>
  <c r="G439" i="1"/>
  <c r="G440" i="1"/>
  <c r="G441" i="1"/>
  <c r="G442" i="1"/>
  <c r="G443" i="1"/>
  <c r="G444" i="1"/>
  <c r="G424" i="1"/>
  <c r="U424" i="1" s="1"/>
  <c r="F428" i="1"/>
  <c r="F427" i="1"/>
  <c r="F429" i="1"/>
  <c r="F430" i="1"/>
  <c r="F431" i="1"/>
  <c r="F432" i="1"/>
  <c r="R425" i="1"/>
  <c r="M425" i="1"/>
  <c r="S425" i="1"/>
  <c r="V435" i="1"/>
  <c r="N435" i="1"/>
  <c r="O435" i="1"/>
  <c r="P435" i="1"/>
  <c r="H435" i="1"/>
  <c r="J435" i="1"/>
  <c r="I435" i="1"/>
  <c r="T435" i="1"/>
  <c r="U435" i="1"/>
  <c r="U436" i="1"/>
  <c r="P436" i="1"/>
  <c r="H436" i="1"/>
  <c r="K436" i="1" s="1"/>
  <c r="V436" i="1"/>
  <c r="I436" i="1"/>
  <c r="J436" i="1"/>
  <c r="N436" i="1"/>
  <c r="Q436" i="1" s="1"/>
  <c r="O436" i="1"/>
  <c r="T436" i="1"/>
  <c r="W436" i="1" s="1"/>
  <c r="X425" i="1"/>
  <c r="L425" i="1"/>
  <c r="N424" i="1" l="1"/>
  <c r="N428" i="1" s="1"/>
  <c r="H424" i="1"/>
  <c r="H428" i="1" s="1"/>
  <c r="J424" i="1"/>
  <c r="J430" i="1" s="1"/>
  <c r="O424" i="1"/>
  <c r="O429" i="1" s="1"/>
  <c r="V424" i="1"/>
  <c r="V432" i="1" s="1"/>
  <c r="T424" i="1"/>
  <c r="T428" i="1" s="1"/>
  <c r="P424" i="1"/>
  <c r="P428" i="1" s="1"/>
  <c r="I424" i="1"/>
  <c r="I427" i="1" s="1"/>
  <c r="T439" i="1"/>
  <c r="T440" i="1"/>
  <c r="T441" i="1"/>
  <c r="T442" i="1"/>
  <c r="T443" i="1"/>
  <c r="T444" i="1"/>
  <c r="P439" i="1"/>
  <c r="P440" i="1"/>
  <c r="P441" i="1"/>
  <c r="P442" i="1"/>
  <c r="P443" i="1"/>
  <c r="P444" i="1"/>
  <c r="I439" i="1"/>
  <c r="I440" i="1"/>
  <c r="I441" i="1"/>
  <c r="I442" i="1"/>
  <c r="I443" i="1"/>
  <c r="I444" i="1"/>
  <c r="O439" i="1"/>
  <c r="O440" i="1"/>
  <c r="O441" i="1"/>
  <c r="O442" i="1"/>
  <c r="O443" i="1"/>
  <c r="O444" i="1"/>
  <c r="J439" i="1"/>
  <c r="J440" i="1"/>
  <c r="J441" i="1"/>
  <c r="J442" i="1"/>
  <c r="J443" i="1"/>
  <c r="J444" i="1"/>
  <c r="N439" i="1"/>
  <c r="N440" i="1"/>
  <c r="N441" i="1"/>
  <c r="N442" i="1"/>
  <c r="N443" i="1"/>
  <c r="N444" i="1"/>
  <c r="U439" i="1"/>
  <c r="U440" i="1"/>
  <c r="U441" i="1"/>
  <c r="U442" i="1"/>
  <c r="U443" i="1"/>
  <c r="U444" i="1"/>
  <c r="H439" i="1"/>
  <c r="H440" i="1"/>
  <c r="H441" i="1"/>
  <c r="H442" i="1"/>
  <c r="H443" i="1"/>
  <c r="H444" i="1"/>
  <c r="V439" i="1"/>
  <c r="V440" i="1"/>
  <c r="V441" i="1"/>
  <c r="V442" i="1"/>
  <c r="V443" i="1"/>
  <c r="V444" i="1"/>
  <c r="U429" i="1"/>
  <c r="U428" i="1"/>
  <c r="U432" i="1"/>
  <c r="U427" i="1"/>
  <c r="U431" i="1"/>
  <c r="U430" i="1"/>
  <c r="G427" i="1"/>
  <c r="G431" i="1"/>
  <c r="G430" i="1"/>
  <c r="G429" i="1"/>
  <c r="G428" i="1"/>
  <c r="G432" i="1"/>
  <c r="R436" i="1"/>
  <c r="Y436" i="1"/>
  <c r="K435" i="1"/>
  <c r="S435" i="1"/>
  <c r="L436" i="1"/>
  <c r="X436" i="1"/>
  <c r="M435" i="1"/>
  <c r="X435" i="1"/>
  <c r="W435" i="1"/>
  <c r="R435" i="1"/>
  <c r="Y435" i="1"/>
  <c r="M436" i="1"/>
  <c r="S436" i="1"/>
  <c r="L435" i="1"/>
  <c r="Q435" i="1"/>
  <c r="J429" i="1" l="1"/>
  <c r="J431" i="1"/>
  <c r="N431" i="1"/>
  <c r="N429" i="1"/>
  <c r="H429" i="1"/>
  <c r="N427" i="1"/>
  <c r="N430" i="1"/>
  <c r="N432" i="1"/>
  <c r="Q424" i="1"/>
  <c r="Q429" i="1" s="1"/>
  <c r="H432" i="1"/>
  <c r="W424" i="1"/>
  <c r="W427" i="1" s="1"/>
  <c r="H431" i="1"/>
  <c r="T431" i="1"/>
  <c r="O428" i="1"/>
  <c r="K424" i="1"/>
  <c r="K429" i="1" s="1"/>
  <c r="H427" i="1"/>
  <c r="O427" i="1"/>
  <c r="L424" i="1"/>
  <c r="L427" i="1" s="1"/>
  <c r="H430" i="1"/>
  <c r="T427" i="1"/>
  <c r="O432" i="1"/>
  <c r="V428" i="1"/>
  <c r="I428" i="1"/>
  <c r="V430" i="1"/>
  <c r="O430" i="1"/>
  <c r="I429" i="1"/>
  <c r="V427" i="1"/>
  <c r="Y424" i="1"/>
  <c r="Y428" i="1" s="1"/>
  <c r="O431" i="1"/>
  <c r="J432" i="1"/>
  <c r="V431" i="1"/>
  <c r="V429" i="1"/>
  <c r="J428" i="1"/>
  <c r="J427" i="1"/>
  <c r="R424" i="1"/>
  <c r="R429" i="1" s="1"/>
  <c r="M424" i="1"/>
  <c r="M429" i="1" s="1"/>
  <c r="I430" i="1"/>
  <c r="P427" i="1"/>
  <c r="S424" i="1"/>
  <c r="S427" i="1" s="1"/>
  <c r="P429" i="1"/>
  <c r="P432" i="1"/>
  <c r="T429" i="1"/>
  <c r="T432" i="1"/>
  <c r="I432" i="1"/>
  <c r="P431" i="1"/>
  <c r="X424" i="1"/>
  <c r="X431" i="1" s="1"/>
  <c r="P430" i="1"/>
  <c r="T430" i="1"/>
  <c r="I431" i="1"/>
  <c r="Q439" i="1"/>
  <c r="Q440" i="1"/>
  <c r="Q441" i="1"/>
  <c r="Q442" i="1"/>
  <c r="Q443" i="1"/>
  <c r="Q444" i="1"/>
  <c r="X439" i="1"/>
  <c r="X440" i="1"/>
  <c r="X441" i="1"/>
  <c r="X442" i="1"/>
  <c r="X443" i="1"/>
  <c r="X444" i="1"/>
  <c r="K439" i="1"/>
  <c r="K440" i="1"/>
  <c r="K441" i="1"/>
  <c r="K442" i="1"/>
  <c r="K443" i="1"/>
  <c r="K444" i="1"/>
  <c r="R439" i="1"/>
  <c r="R440" i="1"/>
  <c r="R441" i="1"/>
  <c r="R442" i="1"/>
  <c r="R443" i="1"/>
  <c r="R444" i="1"/>
  <c r="S439" i="1"/>
  <c r="S440" i="1"/>
  <c r="S441" i="1"/>
  <c r="S442" i="1"/>
  <c r="S443" i="1"/>
  <c r="S444" i="1"/>
  <c r="W439" i="1"/>
  <c r="W440" i="1"/>
  <c r="W441" i="1"/>
  <c r="W442" i="1"/>
  <c r="W443" i="1"/>
  <c r="W444" i="1"/>
  <c r="L439" i="1"/>
  <c r="L440" i="1"/>
  <c r="L441" i="1"/>
  <c r="L442" i="1"/>
  <c r="L443" i="1"/>
  <c r="L444" i="1"/>
  <c r="Y439" i="1"/>
  <c r="Y440" i="1"/>
  <c r="Y441" i="1"/>
  <c r="Y442" i="1"/>
  <c r="Y443" i="1"/>
  <c r="Y444" i="1"/>
  <c r="M439" i="1"/>
  <c r="M440" i="1"/>
  <c r="M441" i="1"/>
  <c r="M442" i="1"/>
  <c r="M443" i="1"/>
  <c r="M444" i="1"/>
  <c r="M428" i="1"/>
  <c r="Q427" i="1"/>
  <c r="AA115" i="34" l="1"/>
  <c r="AA82" i="34" s="1"/>
  <c r="Z117" i="34"/>
  <c r="Z84" i="34" s="1"/>
  <c r="Y107" i="34"/>
  <c r="Y74" i="34" s="1"/>
  <c r="Y125" i="34"/>
  <c r="Y92" i="34" s="1"/>
  <c r="Z129" i="34"/>
  <c r="Z96" i="34" s="1"/>
  <c r="Y115" i="34"/>
  <c r="Y82" i="34" s="1"/>
  <c r="AA106" i="34"/>
  <c r="AA73" i="34" s="1"/>
  <c r="AA107" i="34"/>
  <c r="AA74" i="34" s="1"/>
  <c r="AA126" i="34"/>
  <c r="AA93" i="34" s="1"/>
  <c r="Z105" i="34"/>
  <c r="Z72" i="34" s="1"/>
  <c r="Y117" i="34"/>
  <c r="Y84" i="34" s="1"/>
  <c r="L428" i="1"/>
  <c r="Z106" i="34" s="1"/>
  <c r="Z73" i="34" s="1"/>
  <c r="Q432" i="1"/>
  <c r="Y120" i="34" s="1"/>
  <c r="Y87" i="34" s="1"/>
  <c r="L429" i="1"/>
  <c r="Z107" i="34" s="1"/>
  <c r="Z74" i="34" s="1"/>
  <c r="M430" i="1"/>
  <c r="AA108" i="34" s="1"/>
  <c r="AA75" i="34" s="1"/>
  <c r="L430" i="1"/>
  <c r="Z108" i="34" s="1"/>
  <c r="Z75" i="34" s="1"/>
  <c r="Q430" i="1"/>
  <c r="Y118" i="34" s="1"/>
  <c r="Y85" i="34" s="1"/>
  <c r="Q428" i="1"/>
  <c r="Y116" i="34" s="1"/>
  <c r="Y83" i="34" s="1"/>
  <c r="L431" i="1"/>
  <c r="Z109" i="34" s="1"/>
  <c r="Z76" i="34" s="1"/>
  <c r="Q431" i="1"/>
  <c r="Y119" i="34" s="1"/>
  <c r="Y86" i="34" s="1"/>
  <c r="L432" i="1"/>
  <c r="Z110" i="34" s="1"/>
  <c r="Z77" i="34" s="1"/>
  <c r="Y431" i="1"/>
  <c r="AA129" i="34" s="1"/>
  <c r="AA96" i="34" s="1"/>
  <c r="Y429" i="1"/>
  <c r="AA127" i="34" s="1"/>
  <c r="AA94" i="34" s="1"/>
  <c r="W429" i="1"/>
  <c r="Y127" i="34" s="1"/>
  <c r="Y94" i="34" s="1"/>
  <c r="W431" i="1"/>
  <c r="Y129" i="34" s="1"/>
  <c r="Y96" i="34" s="1"/>
  <c r="X427" i="1"/>
  <c r="Z125" i="34" s="1"/>
  <c r="Z92" i="34" s="1"/>
  <c r="W432" i="1"/>
  <c r="Y130" i="34" s="1"/>
  <c r="Y97" i="34" s="1"/>
  <c r="Y427" i="1"/>
  <c r="AA125" i="34" s="1"/>
  <c r="AA92" i="34" s="1"/>
  <c r="M427" i="1"/>
  <c r="AA105" i="34" s="1"/>
  <c r="AA72" i="34" s="1"/>
  <c r="Y432" i="1"/>
  <c r="AA130" i="34" s="1"/>
  <c r="AA97" i="34" s="1"/>
  <c r="M432" i="1"/>
  <c r="AA110" i="34" s="1"/>
  <c r="AA77" i="34" s="1"/>
  <c r="W430" i="1"/>
  <c r="Y128" i="34" s="1"/>
  <c r="Y95" i="34" s="1"/>
  <c r="K430" i="1"/>
  <c r="Y108" i="34" s="1"/>
  <c r="Y75" i="34" s="1"/>
  <c r="W428" i="1"/>
  <c r="Y126" i="34" s="1"/>
  <c r="Y93" i="34" s="1"/>
  <c r="K428" i="1"/>
  <c r="Y106" i="34" s="1"/>
  <c r="Y73" i="34" s="1"/>
  <c r="K427" i="1"/>
  <c r="Y105" i="34" s="1"/>
  <c r="Y72" i="34" s="1"/>
  <c r="Y430" i="1"/>
  <c r="AA128" i="34" s="1"/>
  <c r="AA95" i="34" s="1"/>
  <c r="R430" i="1"/>
  <c r="Z118" i="34" s="1"/>
  <c r="Z85" i="34" s="1"/>
  <c r="M431" i="1"/>
  <c r="AA109" i="34" s="1"/>
  <c r="AA76" i="34" s="1"/>
  <c r="K432" i="1"/>
  <c r="Y110" i="34" s="1"/>
  <c r="Y77" i="34" s="1"/>
  <c r="K431" i="1"/>
  <c r="Y109" i="34" s="1"/>
  <c r="Y76" i="34" s="1"/>
  <c r="S432" i="1"/>
  <c r="AA120" i="34" s="1"/>
  <c r="AA87" i="34" s="1"/>
  <c r="R427" i="1"/>
  <c r="Z115" i="34" s="1"/>
  <c r="Z82" i="34" s="1"/>
  <c r="S431" i="1"/>
  <c r="AA119" i="34" s="1"/>
  <c r="AA86" i="34" s="1"/>
  <c r="R428" i="1"/>
  <c r="Z116" i="34" s="1"/>
  <c r="Z83" i="34" s="1"/>
  <c r="R432" i="1"/>
  <c r="Z120" i="34" s="1"/>
  <c r="Z87" i="34" s="1"/>
  <c r="S430" i="1"/>
  <c r="AA118" i="34" s="1"/>
  <c r="AA85" i="34" s="1"/>
  <c r="R431" i="1"/>
  <c r="Z119" i="34" s="1"/>
  <c r="Z86" i="34" s="1"/>
  <c r="X429" i="1"/>
  <c r="Z127" i="34" s="1"/>
  <c r="Z94" i="34" s="1"/>
  <c r="X430" i="1"/>
  <c r="Z128" i="34" s="1"/>
  <c r="Z95" i="34" s="1"/>
  <c r="X428" i="1"/>
  <c r="Z126" i="34" s="1"/>
  <c r="Z93" i="34" s="1"/>
  <c r="X432" i="1"/>
  <c r="Z130" i="34" s="1"/>
  <c r="Z97" i="34" s="1"/>
  <c r="S429" i="1"/>
  <c r="AA117" i="34" s="1"/>
  <c r="AA84" i="34" s="1"/>
  <c r="S428" i="1"/>
  <c r="AA116" i="34" s="1"/>
  <c r="AA83" i="34" s="1"/>
  <c r="AC117" i="34" l="1"/>
  <c r="AC150" i="34"/>
  <c r="AC148" i="34"/>
  <c r="AB150" i="34"/>
  <c r="AB115" i="34"/>
  <c r="AB125" i="34"/>
  <c r="AB158" i="34"/>
  <c r="AB140" i="34"/>
  <c r="AB117" i="34"/>
  <c r="F80" i="1"/>
  <c r="AB84" i="34" l="1"/>
  <c r="AB148" i="34"/>
  <c r="AC84" i="34"/>
  <c r="AC158" i="34"/>
  <c r="AC120" i="34"/>
  <c r="AC152" i="34"/>
  <c r="AB152" i="34"/>
  <c r="AB129" i="34"/>
  <c r="AC139" i="34"/>
  <c r="AB139" i="34"/>
  <c r="AB120" i="34"/>
  <c r="AB74" i="34"/>
  <c r="AC140" i="34"/>
  <c r="AB162" i="34"/>
  <c r="AC162" i="34"/>
  <c r="AC161" i="34"/>
  <c r="AB161" i="34"/>
  <c r="AB153" i="34"/>
  <c r="AC153" i="34"/>
  <c r="AC129" i="34"/>
  <c r="AB116" i="34"/>
  <c r="AB159" i="34"/>
  <c r="AC159" i="34"/>
  <c r="AB128" i="34"/>
  <c r="AB151" i="34"/>
  <c r="AC151" i="34"/>
  <c r="AB141" i="34"/>
  <c r="AC141" i="34"/>
  <c r="AC127" i="34"/>
  <c r="AB127" i="34"/>
  <c r="AC143" i="34"/>
  <c r="AB143" i="34"/>
  <c r="AC116" i="34"/>
  <c r="AC105" i="34"/>
  <c r="AB109" i="34"/>
  <c r="AC109" i="34"/>
  <c r="AB163" i="34"/>
  <c r="AC163" i="34"/>
  <c r="AC128" i="34"/>
  <c r="AB142" i="34"/>
  <c r="AC142" i="34"/>
  <c r="AC107" i="34"/>
  <c r="AC149" i="34"/>
  <c r="AB149" i="34"/>
  <c r="AC125" i="34"/>
  <c r="AB126" i="34"/>
  <c r="AC126" i="34"/>
  <c r="AC119" i="34"/>
  <c r="AB119" i="34"/>
  <c r="AB138" i="34"/>
  <c r="AC138" i="34"/>
  <c r="AC130" i="34"/>
  <c r="AC115" i="34"/>
  <c r="AC118" i="34"/>
  <c r="AB118" i="34"/>
  <c r="AB108" i="34"/>
  <c r="AC108" i="34"/>
  <c r="AB130" i="34"/>
  <c r="AB106" i="34"/>
  <c r="AC106" i="34"/>
  <c r="AB107" i="34"/>
  <c r="AB160" i="34"/>
  <c r="AC160" i="34"/>
  <c r="AC110" i="34"/>
  <c r="AB110" i="34"/>
  <c r="AB105" i="34"/>
  <c r="F88" i="1"/>
  <c r="F84" i="1"/>
  <c r="F86" i="1"/>
  <c r="F87" i="1"/>
  <c r="F85" i="1"/>
  <c r="F83" i="1"/>
  <c r="J80" i="1" a="1"/>
  <c r="J80" i="1" s="1"/>
  <c r="J143" i="1" s="1"/>
  <c r="C620" i="1" l="1"/>
  <c r="C619" i="1"/>
  <c r="J75" i="1"/>
  <c r="F75" i="1"/>
  <c r="F76" i="1" s="1"/>
  <c r="F113" i="1"/>
  <c r="AC82" i="34"/>
  <c r="AB82" i="34"/>
  <c r="AB76" i="34"/>
  <c r="AC76" i="34"/>
  <c r="AC73" i="34"/>
  <c r="AB73" i="34"/>
  <c r="AC86" i="34"/>
  <c r="AB86" i="34"/>
  <c r="AB92" i="34"/>
  <c r="AC92" i="34"/>
  <c r="AC74" i="34"/>
  <c r="AB77" i="34"/>
  <c r="AC77" i="34"/>
  <c r="AB75" i="34"/>
  <c r="AC75" i="34"/>
  <c r="AB83" i="34"/>
  <c r="AC83" i="34"/>
  <c r="AB95" i="34"/>
  <c r="AC95" i="34"/>
  <c r="AC94" i="34"/>
  <c r="AB94" i="34"/>
  <c r="AB85" i="34"/>
  <c r="AC85" i="34"/>
  <c r="AB97" i="34"/>
  <c r="AC97" i="34"/>
  <c r="AB93" i="34"/>
  <c r="AC93" i="34"/>
  <c r="AC72" i="34"/>
  <c r="AB72" i="34"/>
  <c r="AC87" i="34"/>
  <c r="AB87" i="34"/>
  <c r="AB96" i="34"/>
  <c r="AC96" i="34"/>
  <c r="J83" i="1"/>
  <c r="J84" i="1"/>
  <c r="J85" i="1"/>
  <c r="J86" i="1"/>
  <c r="J87" i="1"/>
  <c r="J88" i="1"/>
  <c r="D64" i="34" l="1"/>
  <c r="L10" i="34" s="1"/>
  <c r="L10" i="36" s="1"/>
  <c r="F520" i="1"/>
  <c r="G520" i="1"/>
  <c r="J520" i="1"/>
  <c r="O520" i="1"/>
  <c r="I520" i="1"/>
  <c r="U520" i="1"/>
  <c r="T520" i="1"/>
  <c r="N520" i="1"/>
  <c r="V520" i="1"/>
  <c r="P520" i="1"/>
  <c r="H520" i="1"/>
  <c r="R520" i="1"/>
  <c r="S153" i="34" s="1"/>
  <c r="W520" i="1"/>
  <c r="R163" i="34" s="1"/>
  <c r="S520" i="1"/>
  <c r="T153" i="34" s="1"/>
  <c r="Q520" i="1"/>
  <c r="R153" i="34" s="1"/>
  <c r="Y520" i="1"/>
  <c r="T163" i="34" s="1"/>
  <c r="K520" i="1"/>
  <c r="R143" i="34" s="1"/>
  <c r="L520" i="1"/>
  <c r="S143" i="34" s="1"/>
  <c r="X520" i="1"/>
  <c r="S163" i="34" s="1"/>
  <c r="M520" i="1"/>
  <c r="T143" i="34" s="1"/>
  <c r="D63" i="34"/>
  <c r="L9" i="34" s="1"/>
  <c r="L9" i="36" s="1"/>
  <c r="F519" i="1"/>
  <c r="G519" i="1"/>
  <c r="I519" i="1"/>
  <c r="N519" i="1"/>
  <c r="P519" i="1"/>
  <c r="H519" i="1"/>
  <c r="J519" i="1"/>
  <c r="U519" i="1"/>
  <c r="T519" i="1"/>
  <c r="O519" i="1"/>
  <c r="V519" i="1"/>
  <c r="W519" i="1"/>
  <c r="R162" i="34" s="1"/>
  <c r="Y519" i="1"/>
  <c r="T162" i="34" s="1"/>
  <c r="X519" i="1"/>
  <c r="S162" i="34" s="1"/>
  <c r="M519" i="1"/>
  <c r="T142" i="34" s="1"/>
  <c r="S519" i="1"/>
  <c r="T152" i="34" s="1"/>
  <c r="K519" i="1"/>
  <c r="R142" i="34" s="1"/>
  <c r="L519" i="1"/>
  <c r="S142" i="34" s="1"/>
  <c r="Q519" i="1"/>
  <c r="R152" i="34" s="1"/>
  <c r="R519" i="1"/>
  <c r="S152" i="34" s="1"/>
  <c r="D59" i="34"/>
  <c r="L5" i="34" s="1"/>
  <c r="L5" i="36" s="1"/>
  <c r="F515" i="1"/>
  <c r="G515" i="1"/>
  <c r="O515" i="1"/>
  <c r="T515" i="1"/>
  <c r="N515" i="1"/>
  <c r="P515" i="1"/>
  <c r="I515" i="1"/>
  <c r="V515" i="1"/>
  <c r="J515" i="1"/>
  <c r="U515" i="1"/>
  <c r="H515" i="1"/>
  <c r="L515" i="1"/>
  <c r="S138" i="34" s="1"/>
  <c r="S515" i="1"/>
  <c r="T148" i="34" s="1"/>
  <c r="Q515" i="1"/>
  <c r="R148" i="34" s="1"/>
  <c r="Y515" i="1"/>
  <c r="T158" i="34" s="1"/>
  <c r="X515" i="1"/>
  <c r="S158" i="34" s="1"/>
  <c r="W515" i="1"/>
  <c r="R158" i="34" s="1"/>
  <c r="R515" i="1"/>
  <c r="S148" i="34" s="1"/>
  <c r="K515" i="1"/>
  <c r="R138" i="34" s="1"/>
  <c r="M515" i="1"/>
  <c r="T138" i="34" s="1"/>
  <c r="D61" i="34"/>
  <c r="L7" i="34" s="1"/>
  <c r="L7" i="36" s="1"/>
  <c r="F517" i="1"/>
  <c r="G517" i="1"/>
  <c r="J517" i="1"/>
  <c r="U517" i="1"/>
  <c r="V517" i="1"/>
  <c r="H517" i="1"/>
  <c r="I517" i="1"/>
  <c r="O517" i="1"/>
  <c r="T517" i="1"/>
  <c r="N517" i="1"/>
  <c r="P517" i="1"/>
  <c r="S517" i="1"/>
  <c r="T150" i="34" s="1"/>
  <c r="M517" i="1"/>
  <c r="T140" i="34" s="1"/>
  <c r="Y517" i="1"/>
  <c r="T160" i="34" s="1"/>
  <c r="L517" i="1"/>
  <c r="S140" i="34" s="1"/>
  <c r="W517" i="1"/>
  <c r="R160" i="34" s="1"/>
  <c r="X517" i="1"/>
  <c r="S160" i="34" s="1"/>
  <c r="R517" i="1"/>
  <c r="S150" i="34" s="1"/>
  <c r="Q517" i="1"/>
  <c r="R150" i="34" s="1"/>
  <c r="K517" i="1"/>
  <c r="R140" i="34" s="1"/>
  <c r="D60" i="34"/>
  <c r="L6" i="34" s="1"/>
  <c r="L6" i="36" s="1"/>
  <c r="F516" i="1"/>
  <c r="G516" i="1"/>
  <c r="O516" i="1"/>
  <c r="T516" i="1"/>
  <c r="I516" i="1"/>
  <c r="N516" i="1"/>
  <c r="P516" i="1"/>
  <c r="H516" i="1"/>
  <c r="J516" i="1"/>
  <c r="V516" i="1"/>
  <c r="U516" i="1"/>
  <c r="Y516" i="1"/>
  <c r="T159" i="34" s="1"/>
  <c r="X516" i="1"/>
  <c r="S159" i="34" s="1"/>
  <c r="W516" i="1"/>
  <c r="R159" i="34" s="1"/>
  <c r="K516" i="1"/>
  <c r="R139" i="34" s="1"/>
  <c r="R516" i="1"/>
  <c r="S149" i="34" s="1"/>
  <c r="M516" i="1"/>
  <c r="T139" i="34" s="1"/>
  <c r="S516" i="1"/>
  <c r="T149" i="34" s="1"/>
  <c r="L516" i="1"/>
  <c r="S139" i="34" s="1"/>
  <c r="Q516" i="1"/>
  <c r="R149" i="34" s="1"/>
  <c r="D62" i="34"/>
  <c r="L8" i="34" s="1"/>
  <c r="L8" i="36" s="1"/>
  <c r="F518" i="1"/>
  <c r="G518" i="1"/>
  <c r="O518" i="1"/>
  <c r="U518" i="1"/>
  <c r="T518" i="1"/>
  <c r="H518" i="1"/>
  <c r="I518" i="1"/>
  <c r="P518" i="1"/>
  <c r="J518" i="1"/>
  <c r="N518" i="1"/>
  <c r="V518" i="1"/>
  <c r="W518" i="1"/>
  <c r="R161" i="34" s="1"/>
  <c r="S518" i="1"/>
  <c r="T151" i="34" s="1"/>
  <c r="Q518" i="1"/>
  <c r="R151" i="34" s="1"/>
  <c r="K518" i="1"/>
  <c r="R141" i="34" s="1"/>
  <c r="L518" i="1"/>
  <c r="S141" i="34" s="1"/>
  <c r="Y518" i="1"/>
  <c r="T161" i="34" s="1"/>
  <c r="M518" i="1"/>
  <c r="T141" i="34" s="1"/>
  <c r="R518" i="1"/>
  <c r="S151" i="34" s="1"/>
  <c r="X518" i="1"/>
  <c r="S161" i="34" s="1"/>
  <c r="J113" i="1"/>
  <c r="F16" i="34" s="1"/>
  <c r="F16" i="36" s="1"/>
  <c r="F59" i="34" l="1"/>
  <c r="F60" i="34" s="1"/>
  <c r="F61" i="34" s="1"/>
  <c r="F62" i="34" s="1"/>
  <c r="F63" i="34" s="1"/>
  <c r="F64" i="34" s="1"/>
  <c r="F461" i="1"/>
  <c r="G461" i="1" s="1"/>
  <c r="F408" i="1"/>
  <c r="G408" i="1" s="1"/>
  <c r="O408" i="1" s="1"/>
  <c r="F407" i="1"/>
  <c r="G407" i="1" s="1"/>
  <c r="F406" i="1"/>
  <c r="G406" i="1" s="1"/>
  <c r="P406" i="1" s="1"/>
  <c r="F409" i="1"/>
  <c r="G409" i="1" s="1"/>
  <c r="T409" i="1" s="1"/>
  <c r="W409" i="1" s="1"/>
  <c r="F405" i="1"/>
  <c r="G405" i="1" s="1"/>
  <c r="H405" i="1" s="1"/>
  <c r="K405" i="1" s="1"/>
  <c r="F411" i="1"/>
  <c r="F404" i="1"/>
  <c r="G404" i="1" s="1"/>
  <c r="J76" i="1"/>
  <c r="F9" i="34" s="1"/>
  <c r="F9" i="36" s="1"/>
  <c r="F410" i="1"/>
  <c r="G410" i="1" s="1"/>
  <c r="V410" i="1" s="1"/>
  <c r="F464" i="1" l="1"/>
  <c r="F467" i="1"/>
  <c r="G411" i="1"/>
  <c r="P411" i="1" s="1"/>
  <c r="F412" i="1"/>
  <c r="F417" i="1" s="1"/>
  <c r="G467" i="1"/>
  <c r="G465" i="1"/>
  <c r="F468" i="1"/>
  <c r="G464" i="1"/>
  <c r="V461" i="1"/>
  <c r="V468" i="1" s="1"/>
  <c r="O461" i="1"/>
  <c r="O464" i="1" s="1"/>
  <c r="N461" i="1"/>
  <c r="Q461" i="1" s="1"/>
  <c r="H461" i="1"/>
  <c r="H465" i="1" s="1"/>
  <c r="K465" i="1" s="1"/>
  <c r="AF107" i="34" s="1"/>
  <c r="AF74" i="34" s="1"/>
  <c r="T461" i="1"/>
  <c r="W461" i="1" s="1"/>
  <c r="G466" i="1"/>
  <c r="P461" i="1"/>
  <c r="P468" i="1" s="1"/>
  <c r="I461" i="1"/>
  <c r="I464" i="1" s="1"/>
  <c r="G463" i="1"/>
  <c r="F465" i="1"/>
  <c r="G468" i="1"/>
  <c r="J461" i="1"/>
  <c r="J468" i="1" s="1"/>
  <c r="U461" i="1"/>
  <c r="U464" i="1" s="1"/>
  <c r="F466" i="1"/>
  <c r="F463" i="1"/>
  <c r="T408" i="1"/>
  <c r="W408" i="1" s="1"/>
  <c r="U408" i="1"/>
  <c r="H408" i="1"/>
  <c r="K408" i="1" s="1"/>
  <c r="N408" i="1"/>
  <c r="Q408" i="1" s="1"/>
  <c r="P408" i="1"/>
  <c r="S408" i="1" s="1"/>
  <c r="I408" i="1"/>
  <c r="V408" i="1"/>
  <c r="J408" i="1"/>
  <c r="N409" i="1"/>
  <c r="Q409" i="1" s="1"/>
  <c r="P409" i="1"/>
  <c r="H409" i="1"/>
  <c r="K409" i="1" s="1"/>
  <c r="O409" i="1"/>
  <c r="J409" i="1"/>
  <c r="U409" i="1"/>
  <c r="X409" i="1" s="1"/>
  <c r="V409" i="1"/>
  <c r="I409" i="1"/>
  <c r="U405" i="1"/>
  <c r="V405" i="1"/>
  <c r="N405" i="1"/>
  <c r="Q405" i="1" s="1"/>
  <c r="O405" i="1"/>
  <c r="T405" i="1"/>
  <c r="W405" i="1" s="1"/>
  <c r="I405" i="1"/>
  <c r="L405" i="1" s="1"/>
  <c r="P405" i="1"/>
  <c r="J405" i="1"/>
  <c r="I406" i="1"/>
  <c r="H410" i="1"/>
  <c r="K410" i="1" s="1"/>
  <c r="J410" i="1"/>
  <c r="O406" i="1"/>
  <c r="S406" i="1" s="1"/>
  <c r="N410" i="1"/>
  <c r="Q410" i="1" s="1"/>
  <c r="T410" i="1"/>
  <c r="W410" i="1" s="1"/>
  <c r="U406" i="1"/>
  <c r="P410" i="1"/>
  <c r="V406" i="1"/>
  <c r="I410" i="1"/>
  <c r="O410" i="1"/>
  <c r="H406" i="1"/>
  <c r="K406" i="1" s="1"/>
  <c r="N406" i="1"/>
  <c r="Q406" i="1" s="1"/>
  <c r="J406" i="1"/>
  <c r="U410" i="1"/>
  <c r="T406" i="1"/>
  <c r="W406" i="1" s="1"/>
  <c r="V404" i="1"/>
  <c r="U404" i="1"/>
  <c r="O404" i="1"/>
  <c r="T404" i="1"/>
  <c r="N404" i="1"/>
  <c r="I404" i="1"/>
  <c r="J404" i="1"/>
  <c r="P404" i="1"/>
  <c r="H404" i="1"/>
  <c r="P407" i="1"/>
  <c r="V407" i="1"/>
  <c r="T407" i="1"/>
  <c r="N407" i="1"/>
  <c r="I407" i="1"/>
  <c r="O407" i="1"/>
  <c r="U407" i="1"/>
  <c r="J407" i="1"/>
  <c r="H407" i="1"/>
  <c r="G412" i="1" l="1"/>
  <c r="G415" i="1" s="1"/>
  <c r="J411" i="1"/>
  <c r="J412" i="1" s="1"/>
  <c r="H411" i="1"/>
  <c r="K411" i="1" s="1"/>
  <c r="T411" i="1"/>
  <c r="W411" i="1" s="1"/>
  <c r="U411" i="1"/>
  <c r="U412" i="1" s="1"/>
  <c r="I411" i="1"/>
  <c r="V411" i="1"/>
  <c r="V412" i="1" s="1"/>
  <c r="M410" i="1"/>
  <c r="N411" i="1"/>
  <c r="Q411" i="1" s="1"/>
  <c r="O411" i="1"/>
  <c r="N464" i="1"/>
  <c r="Q464" i="1" s="1"/>
  <c r="AF116" i="34" s="1"/>
  <c r="AF83" i="34" s="1"/>
  <c r="N467" i="1"/>
  <c r="Q467" i="1" s="1"/>
  <c r="AF119" i="34" s="1"/>
  <c r="AF86" i="34" s="1"/>
  <c r="P463" i="1"/>
  <c r="P467" i="1"/>
  <c r="N466" i="1"/>
  <c r="Q466" i="1" s="1"/>
  <c r="AF118" i="34" s="1"/>
  <c r="AF85" i="34" s="1"/>
  <c r="P464" i="1"/>
  <c r="S464" i="1" s="1"/>
  <c r="AH116" i="34" s="1"/>
  <c r="AH83" i="34" s="1"/>
  <c r="P466" i="1"/>
  <c r="N468" i="1"/>
  <c r="Q468" i="1" s="1"/>
  <c r="AF120" i="34" s="1"/>
  <c r="AF87" i="34" s="1"/>
  <c r="M461" i="1"/>
  <c r="K461" i="1"/>
  <c r="H464" i="1"/>
  <c r="K464" i="1" s="1"/>
  <c r="AF106" i="34" s="1"/>
  <c r="AF73" i="34" s="1"/>
  <c r="I466" i="1"/>
  <c r="H468" i="1"/>
  <c r="K468" i="1" s="1"/>
  <c r="AF110" i="34" s="1"/>
  <c r="AF77" i="34" s="1"/>
  <c r="I467" i="1"/>
  <c r="L461" i="1"/>
  <c r="V465" i="1"/>
  <c r="O468" i="1"/>
  <c r="S468" i="1" s="1"/>
  <c r="AH120" i="34" s="1"/>
  <c r="AH87" i="34" s="1"/>
  <c r="Y461" i="1"/>
  <c r="V466" i="1"/>
  <c r="X461" i="1"/>
  <c r="V467" i="1"/>
  <c r="T467" i="1"/>
  <c r="W467" i="1" s="1"/>
  <c r="AF129" i="34" s="1"/>
  <c r="AF96" i="34" s="1"/>
  <c r="J463" i="1"/>
  <c r="I463" i="1"/>
  <c r="U467" i="1"/>
  <c r="I465" i="1"/>
  <c r="L465" i="1" s="1"/>
  <c r="AG107" i="34" s="1"/>
  <c r="AG74" i="34" s="1"/>
  <c r="H466" i="1"/>
  <c r="K466" i="1" s="1"/>
  <c r="AF108" i="34" s="1"/>
  <c r="AF75" i="34" s="1"/>
  <c r="J466" i="1"/>
  <c r="M466" i="1" s="1"/>
  <c r="AH108" i="34" s="1"/>
  <c r="AH75" i="34" s="1"/>
  <c r="V464" i="1"/>
  <c r="Y464" i="1" s="1"/>
  <c r="AH126" i="34" s="1"/>
  <c r="AH93" i="34" s="1"/>
  <c r="T465" i="1"/>
  <c r="W465" i="1" s="1"/>
  <c r="AF127" i="34" s="1"/>
  <c r="AF94" i="34" s="1"/>
  <c r="J465" i="1"/>
  <c r="J464" i="1"/>
  <c r="M464" i="1" s="1"/>
  <c r="AH106" i="34" s="1"/>
  <c r="AH73" i="34" s="1"/>
  <c r="P465" i="1"/>
  <c r="I468" i="1"/>
  <c r="J467" i="1"/>
  <c r="N463" i="1"/>
  <c r="Q463" i="1" s="1"/>
  <c r="AF115" i="34" s="1"/>
  <c r="AF82" i="34" s="1"/>
  <c r="H463" i="1"/>
  <c r="K463" i="1" s="1"/>
  <c r="AF105" i="34" s="1"/>
  <c r="AF72" i="34" s="1"/>
  <c r="N465" i="1"/>
  <c r="Q465" i="1" s="1"/>
  <c r="AF117" i="34" s="1"/>
  <c r="AF84" i="34" s="1"/>
  <c r="H467" i="1"/>
  <c r="K467" i="1" s="1"/>
  <c r="AF109" i="34" s="1"/>
  <c r="AF76" i="34" s="1"/>
  <c r="V463" i="1"/>
  <c r="T468" i="1"/>
  <c r="W468" i="1" s="1"/>
  <c r="AF130" i="34" s="1"/>
  <c r="AF97" i="34" s="1"/>
  <c r="U463" i="1"/>
  <c r="U468" i="1"/>
  <c r="Y468" i="1" s="1"/>
  <c r="AH130" i="34" s="1"/>
  <c r="AH97" i="34" s="1"/>
  <c r="O463" i="1"/>
  <c r="O465" i="1"/>
  <c r="S465" i="1" s="1"/>
  <c r="AH117" i="34" s="1"/>
  <c r="AH84" i="34" s="1"/>
  <c r="U465" i="1"/>
  <c r="T466" i="1"/>
  <c r="W466" i="1" s="1"/>
  <c r="AF128" i="34" s="1"/>
  <c r="AF95" i="34" s="1"/>
  <c r="O467" i="1"/>
  <c r="S467" i="1" s="1"/>
  <c r="AH119" i="34" s="1"/>
  <c r="AH86" i="34" s="1"/>
  <c r="R461" i="1"/>
  <c r="U466" i="1"/>
  <c r="S461" i="1"/>
  <c r="O466" i="1"/>
  <c r="T464" i="1"/>
  <c r="W464" i="1" s="1"/>
  <c r="AF126" i="34" s="1"/>
  <c r="AF93" i="34" s="1"/>
  <c r="T463" i="1"/>
  <c r="W463" i="1" s="1"/>
  <c r="AF125" i="34" s="1"/>
  <c r="AF92" i="34" s="1"/>
  <c r="L408" i="1"/>
  <c r="M408" i="1"/>
  <c r="Y408" i="1"/>
  <c r="R408" i="1"/>
  <c r="X408" i="1"/>
  <c r="R409" i="1"/>
  <c r="S409" i="1"/>
  <c r="L409" i="1"/>
  <c r="Y409" i="1"/>
  <c r="M409" i="1"/>
  <c r="Y405" i="1"/>
  <c r="R405" i="1"/>
  <c r="S405" i="1"/>
  <c r="X405" i="1"/>
  <c r="M405" i="1"/>
  <c r="F413" i="1"/>
  <c r="M406" i="1"/>
  <c r="R406" i="1"/>
  <c r="F416" i="1"/>
  <c r="F415" i="1"/>
  <c r="R410" i="1"/>
  <c r="S410" i="1"/>
  <c r="L406" i="1"/>
  <c r="F414" i="1"/>
  <c r="F418" i="1"/>
  <c r="X410" i="1"/>
  <c r="Y406" i="1"/>
  <c r="L410" i="1"/>
  <c r="Y410" i="1"/>
  <c r="X406" i="1"/>
  <c r="K407" i="1"/>
  <c r="X407" i="1"/>
  <c r="W407" i="1"/>
  <c r="L404" i="1"/>
  <c r="X404" i="1"/>
  <c r="R407" i="1"/>
  <c r="Y407" i="1"/>
  <c r="K404" i="1"/>
  <c r="Q404" i="1"/>
  <c r="Y404" i="1"/>
  <c r="L407" i="1"/>
  <c r="S407" i="1"/>
  <c r="P412" i="1"/>
  <c r="S404" i="1"/>
  <c r="W404" i="1"/>
  <c r="M407" i="1"/>
  <c r="Q407" i="1"/>
  <c r="M404" i="1"/>
  <c r="R404" i="1"/>
  <c r="R463" i="1" l="1"/>
  <c r="AG115" i="34" s="1"/>
  <c r="AG82" i="34" s="1"/>
  <c r="G417" i="1"/>
  <c r="G416" i="1"/>
  <c r="G418" i="1"/>
  <c r="G414" i="1"/>
  <c r="G413" i="1"/>
  <c r="T412" i="1"/>
  <c r="T413" i="1" s="1"/>
  <c r="H412" i="1"/>
  <c r="H414" i="1" s="1"/>
  <c r="L411" i="1"/>
  <c r="L412" i="1" s="1"/>
  <c r="L417" i="1" s="1"/>
  <c r="S109" i="34" s="1"/>
  <c r="S76" i="34" s="1"/>
  <c r="I412" i="1"/>
  <c r="I417" i="1" s="1"/>
  <c r="X411" i="1"/>
  <c r="X412" i="1" s="1"/>
  <c r="X416" i="1" s="1"/>
  <c r="S128" i="34" s="1"/>
  <c r="S95" i="34" s="1"/>
  <c r="Y411" i="1"/>
  <c r="Y412" i="1" s="1"/>
  <c r="Y415" i="1" s="1"/>
  <c r="T127" i="34" s="1"/>
  <c r="T94" i="34" s="1"/>
  <c r="M411" i="1"/>
  <c r="M412" i="1" s="1"/>
  <c r="M413" i="1" s="1"/>
  <c r="T105" i="34" s="1"/>
  <c r="T72" i="34" s="1"/>
  <c r="N412" i="1"/>
  <c r="N416" i="1" s="1"/>
  <c r="R411" i="1"/>
  <c r="R412" i="1" s="1"/>
  <c r="R415" i="1" s="1"/>
  <c r="S117" i="34" s="1"/>
  <c r="S84" i="34" s="1"/>
  <c r="O412" i="1"/>
  <c r="O415" i="1" s="1"/>
  <c r="S411" i="1"/>
  <c r="S412" i="1" s="1"/>
  <c r="S414" i="1" s="1"/>
  <c r="T116" i="34" s="1"/>
  <c r="T83" i="34" s="1"/>
  <c r="K412" i="1"/>
  <c r="K414" i="1" s="1"/>
  <c r="R106" i="34" s="1"/>
  <c r="R73" i="34" s="1"/>
  <c r="W412" i="1"/>
  <c r="W414" i="1" s="1"/>
  <c r="R126" i="34" s="1"/>
  <c r="R93" i="34" s="1"/>
  <c r="Q412" i="1"/>
  <c r="Q415" i="1" s="1"/>
  <c r="R117" i="34" s="1"/>
  <c r="R84" i="34" s="1"/>
  <c r="R464" i="1"/>
  <c r="S466" i="1"/>
  <c r="AH118" i="34" s="1"/>
  <c r="AH85" i="34" s="1"/>
  <c r="R468" i="1"/>
  <c r="L468" i="1"/>
  <c r="AG110" i="34" s="1"/>
  <c r="AG77" i="34" s="1"/>
  <c r="M468" i="1"/>
  <c r="AH110" i="34" s="1"/>
  <c r="AH77" i="34" s="1"/>
  <c r="M467" i="1"/>
  <c r="AH109" i="34" s="1"/>
  <c r="AH76" i="34" s="1"/>
  <c r="M465" i="1"/>
  <c r="AH107" i="34" s="1"/>
  <c r="AH74" i="34" s="1"/>
  <c r="M463" i="1"/>
  <c r="AH105" i="34" s="1"/>
  <c r="AH72" i="34" s="1"/>
  <c r="X467" i="1"/>
  <c r="AG129" i="34" s="1"/>
  <c r="AG96" i="34" s="1"/>
  <c r="L464" i="1"/>
  <c r="AG106" i="34" s="1"/>
  <c r="AG73" i="34" s="1"/>
  <c r="L467" i="1"/>
  <c r="AG109" i="34" s="1"/>
  <c r="AG76" i="34" s="1"/>
  <c r="X466" i="1"/>
  <c r="AG128" i="34" s="1"/>
  <c r="AG95" i="34" s="1"/>
  <c r="L463" i="1"/>
  <c r="AG105" i="34" s="1"/>
  <c r="AG72" i="34" s="1"/>
  <c r="Y466" i="1"/>
  <c r="AH128" i="34" s="1"/>
  <c r="AH95" i="34" s="1"/>
  <c r="Y465" i="1"/>
  <c r="AH127" i="34" s="1"/>
  <c r="AH94" i="34" s="1"/>
  <c r="Y467" i="1"/>
  <c r="AH129" i="34" s="1"/>
  <c r="AH96" i="34" s="1"/>
  <c r="R467" i="1"/>
  <c r="AG119" i="34" s="1"/>
  <c r="AG86" i="34" s="1"/>
  <c r="X468" i="1"/>
  <c r="AG130" i="34" s="1"/>
  <c r="AG97" i="34" s="1"/>
  <c r="R466" i="1"/>
  <c r="AG118" i="34" s="1"/>
  <c r="AG85" i="34" s="1"/>
  <c r="S463" i="1"/>
  <c r="AH115" i="34" s="1"/>
  <c r="AH82" i="34" s="1"/>
  <c r="L466" i="1"/>
  <c r="AG108" i="34" s="1"/>
  <c r="AG75" i="34" s="1"/>
  <c r="X463" i="1"/>
  <c r="AG125" i="34" s="1"/>
  <c r="AG92" i="34" s="1"/>
  <c r="X464" i="1"/>
  <c r="AG126" i="34" s="1"/>
  <c r="AG93" i="34" s="1"/>
  <c r="X465" i="1"/>
  <c r="AG127" i="34" s="1"/>
  <c r="AG94" i="34" s="1"/>
  <c r="R465" i="1"/>
  <c r="AG117" i="34" s="1"/>
  <c r="AG84" i="34" s="1"/>
  <c r="Y463" i="1"/>
  <c r="AH125" i="34" s="1"/>
  <c r="AH92" i="34" s="1"/>
  <c r="J417" i="1"/>
  <c r="J413" i="1"/>
  <c r="J416" i="1"/>
  <c r="J418" i="1"/>
  <c r="J414" i="1"/>
  <c r="J415" i="1"/>
  <c r="P417" i="1"/>
  <c r="P414" i="1"/>
  <c r="P413" i="1"/>
  <c r="P418" i="1"/>
  <c r="P415" i="1"/>
  <c r="P416" i="1"/>
  <c r="U413" i="1"/>
  <c r="U414" i="1"/>
  <c r="U415" i="1"/>
  <c r="U417" i="1"/>
  <c r="U416" i="1"/>
  <c r="U418" i="1"/>
  <c r="V415" i="1"/>
  <c r="V417" i="1"/>
  <c r="V418" i="1"/>
  <c r="V414" i="1"/>
  <c r="V416" i="1"/>
  <c r="V413" i="1"/>
  <c r="T417" i="1" l="1"/>
  <c r="T416" i="1"/>
  <c r="T415" i="1"/>
  <c r="T414" i="1"/>
  <c r="T418" i="1"/>
  <c r="H415" i="1"/>
  <c r="H418" i="1"/>
  <c r="H413" i="1"/>
  <c r="H417" i="1"/>
  <c r="H416" i="1"/>
  <c r="N417" i="1"/>
  <c r="I416" i="1"/>
  <c r="N413" i="1"/>
  <c r="I418" i="1"/>
  <c r="I414" i="1"/>
  <c r="I413" i="1"/>
  <c r="N418" i="1"/>
  <c r="I415" i="1"/>
  <c r="N414" i="1"/>
  <c r="N415" i="1"/>
  <c r="O418" i="1"/>
  <c r="O413" i="1"/>
  <c r="O416" i="1"/>
  <c r="O417" i="1"/>
  <c r="O414" i="1"/>
  <c r="K418" i="1"/>
  <c r="R110" i="34" s="1"/>
  <c r="R77" i="34" s="1"/>
  <c r="W416" i="1"/>
  <c r="R128" i="34" s="1"/>
  <c r="R95" i="34" s="1"/>
  <c r="AI82" i="34"/>
  <c r="K415" i="1"/>
  <c r="R107" i="34" s="1"/>
  <c r="R74" i="34" s="1"/>
  <c r="K416" i="1"/>
  <c r="R108" i="34" s="1"/>
  <c r="R75" i="34" s="1"/>
  <c r="K417" i="1"/>
  <c r="R109" i="34" s="1"/>
  <c r="R76" i="34" s="1"/>
  <c r="AG116" i="34"/>
  <c r="K413" i="1"/>
  <c r="R105" i="34" s="1"/>
  <c r="R72" i="34" s="1"/>
  <c r="AG120" i="34"/>
  <c r="AJ120" i="34" s="1"/>
  <c r="W418" i="1"/>
  <c r="R130" i="34" s="1"/>
  <c r="R97" i="34" s="1"/>
  <c r="W417" i="1"/>
  <c r="R129" i="34" s="1"/>
  <c r="R96" i="34" s="1"/>
  <c r="W415" i="1"/>
  <c r="R127" i="34" s="1"/>
  <c r="R94" i="34" s="1"/>
  <c r="W413" i="1"/>
  <c r="R125" i="34" s="1"/>
  <c r="R92" i="34" s="1"/>
  <c r="Q413" i="1"/>
  <c r="R115" i="34" s="1"/>
  <c r="R82" i="34" s="1"/>
  <c r="Q418" i="1"/>
  <c r="R120" i="34" s="1"/>
  <c r="R87" i="34" s="1"/>
  <c r="Q417" i="1"/>
  <c r="R119" i="34" s="1"/>
  <c r="R86" i="34" s="1"/>
  <c r="Q416" i="1"/>
  <c r="R118" i="34" s="1"/>
  <c r="R85" i="34" s="1"/>
  <c r="Q414" i="1"/>
  <c r="R116" i="34" s="1"/>
  <c r="R83" i="34" s="1"/>
  <c r="AI107" i="34"/>
  <c r="AI74" i="34"/>
  <c r="AI119" i="34"/>
  <c r="AI94" i="34"/>
  <c r="AI115" i="34"/>
  <c r="AI85" i="34"/>
  <c r="Y417" i="1"/>
  <c r="T129" i="34" s="1"/>
  <c r="T96" i="34" s="1"/>
  <c r="Y416" i="1"/>
  <c r="T128" i="34" s="1"/>
  <c r="T95" i="34" s="1"/>
  <c r="Y413" i="1"/>
  <c r="T125" i="34" s="1"/>
  <c r="T92" i="34" s="1"/>
  <c r="Y418" i="1"/>
  <c r="T130" i="34" s="1"/>
  <c r="T97" i="34" s="1"/>
  <c r="Y414" i="1"/>
  <c r="T126" i="34" s="1"/>
  <c r="T93" i="34" s="1"/>
  <c r="S418" i="1"/>
  <c r="T120" i="34" s="1"/>
  <c r="T87" i="34" s="1"/>
  <c r="S417" i="1"/>
  <c r="T119" i="34" s="1"/>
  <c r="T86" i="34" s="1"/>
  <c r="S415" i="1"/>
  <c r="T117" i="34" s="1"/>
  <c r="T84" i="34" s="1"/>
  <c r="S416" i="1"/>
  <c r="T118" i="34" s="1"/>
  <c r="T85" i="34" s="1"/>
  <c r="S413" i="1"/>
  <c r="T115" i="34" s="1"/>
  <c r="T82" i="34" s="1"/>
  <c r="M416" i="1"/>
  <c r="T108" i="34" s="1"/>
  <c r="T75" i="34" s="1"/>
  <c r="M415" i="1"/>
  <c r="T107" i="34" s="1"/>
  <c r="T74" i="34" s="1"/>
  <c r="M414" i="1"/>
  <c r="T106" i="34" s="1"/>
  <c r="T73" i="34" s="1"/>
  <c r="M417" i="1"/>
  <c r="T109" i="34" s="1"/>
  <c r="T76" i="34" s="1"/>
  <c r="L415" i="1"/>
  <c r="S107" i="34" s="1"/>
  <c r="S74" i="34" s="1"/>
  <c r="L416" i="1"/>
  <c r="S108" i="34" s="1"/>
  <c r="S75" i="34" s="1"/>
  <c r="M418" i="1"/>
  <c r="T110" i="34" s="1"/>
  <c r="T77" i="34" s="1"/>
  <c r="R416" i="1"/>
  <c r="S118" i="34" s="1"/>
  <c r="S85" i="34" s="1"/>
  <c r="R417" i="1"/>
  <c r="S119" i="34" s="1"/>
  <c r="S86" i="34" s="1"/>
  <c r="R413" i="1"/>
  <c r="S115" i="34" s="1"/>
  <c r="S82" i="34" s="1"/>
  <c r="X413" i="1"/>
  <c r="S125" i="34" s="1"/>
  <c r="S92" i="34" s="1"/>
  <c r="X415" i="1"/>
  <c r="S127" i="34" s="1"/>
  <c r="S94" i="34" s="1"/>
  <c r="R418" i="1"/>
  <c r="S120" i="34" s="1"/>
  <c r="S87" i="34" s="1"/>
  <c r="R414" i="1"/>
  <c r="S116" i="34" s="1"/>
  <c r="S83" i="34" s="1"/>
  <c r="X414" i="1"/>
  <c r="S126" i="34" s="1"/>
  <c r="S93" i="34" s="1"/>
  <c r="L414" i="1"/>
  <c r="S106" i="34" s="1"/>
  <c r="S73" i="34" s="1"/>
  <c r="L418" i="1"/>
  <c r="S110" i="34" s="1"/>
  <c r="S77" i="34" s="1"/>
  <c r="L413" i="1"/>
  <c r="S105" i="34" s="1"/>
  <c r="S72" i="34" s="1"/>
  <c r="X418" i="1"/>
  <c r="S130" i="34" s="1"/>
  <c r="S97" i="34" s="1"/>
  <c r="X417" i="1"/>
  <c r="S129" i="34" s="1"/>
  <c r="S96" i="34" s="1"/>
  <c r="AG83" i="34" l="1"/>
  <c r="AI83" i="34" s="1"/>
  <c r="AI120" i="34"/>
  <c r="AG87" i="34"/>
  <c r="AI87" i="34" s="1"/>
  <c r="AJ116" i="34"/>
  <c r="AI116" i="34"/>
  <c r="F138" i="34"/>
  <c r="R182" i="34" s="1"/>
  <c r="D129" i="34"/>
  <c r="J206" i="34" s="1"/>
  <c r="V109" i="34"/>
  <c r="AI125" i="34"/>
  <c r="AI92" i="34"/>
  <c r="AJ117" i="34"/>
  <c r="AJ84" i="34"/>
  <c r="AI129" i="34"/>
  <c r="AI96" i="34"/>
  <c r="AJ126" i="34"/>
  <c r="AJ93" i="34"/>
  <c r="AJ106" i="34"/>
  <c r="AI73" i="34"/>
  <c r="AJ115" i="34"/>
  <c r="AJ82" i="34"/>
  <c r="AJ119" i="34"/>
  <c r="AJ130" i="34"/>
  <c r="AI110" i="34"/>
  <c r="AI77" i="34"/>
  <c r="AI108" i="34"/>
  <c r="AI75" i="34"/>
  <c r="AJ109" i="34"/>
  <c r="AI109" i="34"/>
  <c r="AI76" i="34"/>
  <c r="AJ129" i="34"/>
  <c r="AJ96" i="34"/>
  <c r="AJ107" i="34"/>
  <c r="AJ74" i="34"/>
  <c r="AI105" i="34"/>
  <c r="AI72" i="34"/>
  <c r="AI128" i="34"/>
  <c r="AJ85" i="34"/>
  <c r="AJ77" i="34"/>
  <c r="AJ108" i="34"/>
  <c r="AI106" i="34"/>
  <c r="AI130" i="34"/>
  <c r="AJ118" i="34"/>
  <c r="AJ110" i="34"/>
  <c r="AJ125" i="34"/>
  <c r="AI126" i="34"/>
  <c r="AJ105" i="34"/>
  <c r="AJ127" i="34"/>
  <c r="E150" i="34"/>
  <c r="Q194" i="34" s="1"/>
  <c r="AJ128" i="34"/>
  <c r="E142" i="34"/>
  <c r="Q186" i="34" s="1"/>
  <c r="E109" i="34"/>
  <c r="K186" i="34" s="1"/>
  <c r="E139" i="34"/>
  <c r="Q183" i="34" s="1"/>
  <c r="U106" i="34"/>
  <c r="U118" i="34"/>
  <c r="E151" i="34"/>
  <c r="Q195" i="34" s="1"/>
  <c r="F148" i="34"/>
  <c r="R192" i="34" s="1"/>
  <c r="F161" i="34"/>
  <c r="R205" i="34" s="1"/>
  <c r="D118" i="34"/>
  <c r="J195" i="34" s="1"/>
  <c r="D141" i="34"/>
  <c r="P185" i="34" s="1"/>
  <c r="D126" i="34"/>
  <c r="J203" i="34" s="1"/>
  <c r="D116" i="34"/>
  <c r="J193" i="34" s="1"/>
  <c r="E163" i="34"/>
  <c r="Q207" i="34" s="1"/>
  <c r="E158" i="34"/>
  <c r="Q202" i="34" s="1"/>
  <c r="F139" i="34"/>
  <c r="R183" i="34" s="1"/>
  <c r="F151" i="34"/>
  <c r="R195" i="34" s="1"/>
  <c r="F162" i="34"/>
  <c r="R206" i="34" s="1"/>
  <c r="D151" i="34"/>
  <c r="P195" i="34" s="1"/>
  <c r="U109" i="34"/>
  <c r="D109" i="34"/>
  <c r="J186" i="34" s="1"/>
  <c r="D107" i="34"/>
  <c r="J184" i="34" s="1"/>
  <c r="D159" i="34"/>
  <c r="P203" i="34" s="1"/>
  <c r="D149" i="34"/>
  <c r="P193" i="34" s="1"/>
  <c r="E138" i="34"/>
  <c r="Q182" i="34" s="1"/>
  <c r="E149" i="34"/>
  <c r="Q193" i="34" s="1"/>
  <c r="E148" i="34"/>
  <c r="Q192" i="34" s="1"/>
  <c r="U108" i="34"/>
  <c r="E141" i="34"/>
  <c r="Q185" i="34" s="1"/>
  <c r="F140" i="34"/>
  <c r="R184" i="34" s="1"/>
  <c r="F150" i="34"/>
  <c r="R194" i="34" s="1"/>
  <c r="F163" i="34"/>
  <c r="R207" i="34" s="1"/>
  <c r="F149" i="34"/>
  <c r="R193" i="34" s="1"/>
  <c r="U138" i="34"/>
  <c r="D138" i="34"/>
  <c r="P182" i="34" s="1"/>
  <c r="D152" i="34"/>
  <c r="P196" i="34" s="1"/>
  <c r="D127" i="34"/>
  <c r="J204" i="34" s="1"/>
  <c r="D115" i="34"/>
  <c r="J192" i="34" s="1"/>
  <c r="AI127" i="34"/>
  <c r="D142" i="34"/>
  <c r="P186" i="34" s="1"/>
  <c r="U161" i="34"/>
  <c r="D161" i="34"/>
  <c r="P205" i="34" s="1"/>
  <c r="D153" i="34"/>
  <c r="P197" i="34" s="1"/>
  <c r="D110" i="34"/>
  <c r="J187" i="34" s="1"/>
  <c r="AI118" i="34"/>
  <c r="D117" i="34"/>
  <c r="J194" i="34" s="1"/>
  <c r="E162" i="34"/>
  <c r="Q206" i="34" s="1"/>
  <c r="E160" i="34"/>
  <c r="Q204" i="34" s="1"/>
  <c r="F142" i="34"/>
  <c r="R186" i="34" s="1"/>
  <c r="F153" i="34"/>
  <c r="R197" i="34" s="1"/>
  <c r="D106" i="34"/>
  <c r="J183" i="34" s="1"/>
  <c r="D125" i="34"/>
  <c r="J202" i="34" s="1"/>
  <c r="D163" i="34"/>
  <c r="P207" i="34" s="1"/>
  <c r="F160" i="34"/>
  <c r="R204" i="34" s="1"/>
  <c r="AI117" i="34"/>
  <c r="D140" i="34"/>
  <c r="P184" i="34" s="1"/>
  <c r="E159" i="34"/>
  <c r="Q203" i="34" s="1"/>
  <c r="F143" i="34"/>
  <c r="R187" i="34" s="1"/>
  <c r="F159" i="34"/>
  <c r="R203" i="34" s="1"/>
  <c r="D139" i="34"/>
  <c r="P183" i="34" s="1"/>
  <c r="D158" i="34"/>
  <c r="P202" i="34" s="1"/>
  <c r="D130" i="34"/>
  <c r="J207" i="34" s="1"/>
  <c r="D128" i="34"/>
  <c r="J205" i="34" s="1"/>
  <c r="E143" i="34"/>
  <c r="Q187" i="34" s="1"/>
  <c r="U120" i="34"/>
  <c r="E153" i="34"/>
  <c r="Q197" i="34" s="1"/>
  <c r="E152" i="34"/>
  <c r="Q196" i="34" s="1"/>
  <c r="U119" i="34"/>
  <c r="E140" i="34"/>
  <c r="Q184" i="34" s="1"/>
  <c r="F141" i="34"/>
  <c r="R185" i="34" s="1"/>
  <c r="F152" i="34"/>
  <c r="R196" i="34" s="1"/>
  <c r="F158" i="34"/>
  <c r="R202" i="34" s="1"/>
  <c r="AJ94" i="34"/>
  <c r="D105" i="34"/>
  <c r="J182" i="34" s="1"/>
  <c r="D119" i="34"/>
  <c r="J196" i="34" s="1"/>
  <c r="D160" i="34"/>
  <c r="P204" i="34" s="1"/>
  <c r="D148" i="34"/>
  <c r="P192" i="34" s="1"/>
  <c r="D108" i="34"/>
  <c r="J185" i="34" s="1"/>
  <c r="D120" i="34"/>
  <c r="D143" i="34"/>
  <c r="P187" i="34" s="1"/>
  <c r="D150" i="34"/>
  <c r="P194" i="34" s="1"/>
  <c r="D162" i="34"/>
  <c r="P206" i="34" s="1"/>
  <c r="D87" i="34" l="1"/>
  <c r="D197" i="34" s="1"/>
  <c r="J197" i="34"/>
  <c r="D97" i="34"/>
  <c r="D207" i="34" s="1"/>
  <c r="D86" i="34"/>
  <c r="D196" i="34" s="1"/>
  <c r="D84" i="34"/>
  <c r="D194" i="34" s="1"/>
  <c r="D82" i="34"/>
  <c r="D192" i="34" s="1"/>
  <c r="D74" i="34"/>
  <c r="D184" i="34" s="1"/>
  <c r="AJ83" i="34"/>
  <c r="D94" i="34"/>
  <c r="D204" i="34" s="1"/>
  <c r="D76" i="34"/>
  <c r="D186" i="34" s="1"/>
  <c r="D83" i="34"/>
  <c r="D193" i="34" s="1"/>
  <c r="D75" i="34"/>
  <c r="D185" i="34" s="1"/>
  <c r="D72" i="34"/>
  <c r="D182" i="34" s="1"/>
  <c r="D85" i="34"/>
  <c r="D195" i="34" s="1"/>
  <c r="D96" i="34"/>
  <c r="D206" i="34" s="1"/>
  <c r="D95" i="34"/>
  <c r="D205" i="34" s="1"/>
  <c r="D73" i="34"/>
  <c r="D183" i="34" s="1"/>
  <c r="E76" i="34"/>
  <c r="E186" i="34" s="1"/>
  <c r="D92" i="34"/>
  <c r="D202" i="34" s="1"/>
  <c r="D77" i="34"/>
  <c r="D187" i="34" s="1"/>
  <c r="D93" i="34"/>
  <c r="D203" i="34" s="1"/>
  <c r="AJ87" i="34"/>
  <c r="AJ73" i="34"/>
  <c r="U129" i="34"/>
  <c r="F129" i="34"/>
  <c r="F116" i="34"/>
  <c r="U94" i="34"/>
  <c r="F127" i="34"/>
  <c r="V126" i="34"/>
  <c r="U130" i="34"/>
  <c r="U125" i="34"/>
  <c r="AJ76" i="34"/>
  <c r="V106" i="34"/>
  <c r="AJ92" i="34"/>
  <c r="AI93" i="34"/>
  <c r="AJ72" i="34"/>
  <c r="AJ75" i="34"/>
  <c r="V105" i="34"/>
  <c r="AI86" i="34"/>
  <c r="AJ86" i="34"/>
  <c r="AI95" i="34"/>
  <c r="AJ95" i="34"/>
  <c r="AJ97" i="34"/>
  <c r="AI97" i="34"/>
  <c r="AI84" i="34"/>
  <c r="U84" i="34"/>
  <c r="U142" i="34"/>
  <c r="U150" i="34"/>
  <c r="U105" i="34"/>
  <c r="V107" i="34"/>
  <c r="U76" i="34"/>
  <c r="U148" i="34"/>
  <c r="V120" i="34"/>
  <c r="U160" i="34"/>
  <c r="V161" i="34"/>
  <c r="V148" i="34"/>
  <c r="U143" i="34"/>
  <c r="V110" i="34"/>
  <c r="V150" i="34"/>
  <c r="V108" i="34"/>
  <c r="U151" i="34"/>
  <c r="V143" i="34"/>
  <c r="V160" i="34"/>
  <c r="V149" i="34"/>
  <c r="H162" i="34"/>
  <c r="T206" i="34" s="1"/>
  <c r="G163" i="34"/>
  <c r="S207" i="34" s="1"/>
  <c r="G162" i="34"/>
  <c r="S206" i="34" s="1"/>
  <c r="H139" i="34"/>
  <c r="T183" i="34" s="1"/>
  <c r="U162" i="34"/>
  <c r="H143" i="34"/>
  <c r="T187" i="34" s="1"/>
  <c r="V139" i="34"/>
  <c r="U140" i="34"/>
  <c r="V141" i="34"/>
  <c r="G148" i="34"/>
  <c r="S192" i="34" s="1"/>
  <c r="H148" i="34"/>
  <c r="T192" i="34" s="1"/>
  <c r="G158" i="34"/>
  <c r="S202" i="34" s="1"/>
  <c r="H158" i="34"/>
  <c r="T202" i="34" s="1"/>
  <c r="F110" i="34"/>
  <c r="G140" i="34"/>
  <c r="S184" i="34" s="1"/>
  <c r="H140" i="34"/>
  <c r="T184" i="34" s="1"/>
  <c r="E127" i="34"/>
  <c r="H153" i="34"/>
  <c r="T197" i="34" s="1"/>
  <c r="G153" i="34"/>
  <c r="S197" i="34" s="1"/>
  <c r="F105" i="34"/>
  <c r="G142" i="34"/>
  <c r="S186" i="34" s="1"/>
  <c r="H142" i="34"/>
  <c r="T186" i="34" s="1"/>
  <c r="V152" i="34"/>
  <c r="E115" i="34"/>
  <c r="K192" i="34" s="1"/>
  <c r="G159" i="34"/>
  <c r="S203" i="34" s="1"/>
  <c r="H159" i="34"/>
  <c r="T203" i="34" s="1"/>
  <c r="U107" i="34"/>
  <c r="F106" i="34"/>
  <c r="H141" i="34"/>
  <c r="T185" i="34" s="1"/>
  <c r="G141" i="34"/>
  <c r="S185" i="34" s="1"/>
  <c r="U85" i="34"/>
  <c r="E118" i="34"/>
  <c r="V162" i="34"/>
  <c r="V119" i="34"/>
  <c r="F119" i="34"/>
  <c r="U87" i="34"/>
  <c r="E120" i="34"/>
  <c r="U158" i="34"/>
  <c r="U139" i="34"/>
  <c r="V140" i="34"/>
  <c r="H163" i="34"/>
  <c r="T207" i="34" s="1"/>
  <c r="V76" i="34"/>
  <c r="F109" i="34"/>
  <c r="V153" i="34"/>
  <c r="V115" i="34"/>
  <c r="U152" i="34"/>
  <c r="H149" i="34"/>
  <c r="T193" i="34" s="1"/>
  <c r="G149" i="34"/>
  <c r="S193" i="34" s="1"/>
  <c r="U159" i="34"/>
  <c r="V151" i="34"/>
  <c r="F118" i="34"/>
  <c r="U141" i="34"/>
  <c r="V118" i="34"/>
  <c r="F115" i="34"/>
  <c r="U73" i="34"/>
  <c r="E106" i="34"/>
  <c r="U74" i="34"/>
  <c r="E107" i="34"/>
  <c r="G150" i="34"/>
  <c r="S194" i="34" s="1"/>
  <c r="H150" i="34"/>
  <c r="T194" i="34" s="1"/>
  <c r="F108" i="34"/>
  <c r="E119" i="34"/>
  <c r="U77" i="34"/>
  <c r="E110" i="34"/>
  <c r="V158" i="34"/>
  <c r="V163" i="34"/>
  <c r="U96" i="34"/>
  <c r="E129" i="34"/>
  <c r="K206" i="34" s="1"/>
  <c r="U110" i="34"/>
  <c r="U153" i="34"/>
  <c r="V142" i="34"/>
  <c r="U115" i="34"/>
  <c r="H138" i="34"/>
  <c r="T182" i="34" s="1"/>
  <c r="G138" i="34"/>
  <c r="S182" i="34" s="1"/>
  <c r="F117" i="34"/>
  <c r="U75" i="34"/>
  <c r="E108" i="34"/>
  <c r="V116" i="34"/>
  <c r="U83" i="34"/>
  <c r="E116" i="34"/>
  <c r="V159" i="34"/>
  <c r="U116" i="34"/>
  <c r="G160" i="34"/>
  <c r="S204" i="34" s="1"/>
  <c r="H160" i="34"/>
  <c r="T204" i="34" s="1"/>
  <c r="G143" i="34"/>
  <c r="S187" i="34" s="1"/>
  <c r="G139" i="34"/>
  <c r="S183" i="34" s="1"/>
  <c r="U163" i="34"/>
  <c r="F120" i="34"/>
  <c r="H152" i="34"/>
  <c r="T196" i="34" s="1"/>
  <c r="G152" i="34"/>
  <c r="S196" i="34" s="1"/>
  <c r="V138" i="34"/>
  <c r="F107" i="34"/>
  <c r="U72" i="34"/>
  <c r="E105" i="34"/>
  <c r="U149" i="34"/>
  <c r="G109" i="34"/>
  <c r="M186" i="34" s="1"/>
  <c r="G151" i="34"/>
  <c r="S195" i="34" s="1"/>
  <c r="H151" i="34"/>
  <c r="T195" i="34" s="1"/>
  <c r="F87" i="34" l="1"/>
  <c r="F197" i="34" s="1"/>
  <c r="L197" i="34"/>
  <c r="E73" i="34"/>
  <c r="E183" i="34" s="1"/>
  <c r="K183" i="34"/>
  <c r="F73" i="34"/>
  <c r="F183" i="34" s="1"/>
  <c r="L183" i="34"/>
  <c r="F72" i="34"/>
  <c r="F182" i="34" s="1"/>
  <c r="L182" i="34"/>
  <c r="F85" i="34"/>
  <c r="F195" i="34" s="1"/>
  <c r="L195" i="34"/>
  <c r="F86" i="34"/>
  <c r="F196" i="34" s="1"/>
  <c r="L196" i="34"/>
  <c r="E72" i="34"/>
  <c r="E182" i="34" s="1"/>
  <c r="K182" i="34"/>
  <c r="E86" i="34"/>
  <c r="E196" i="34" s="1"/>
  <c r="K196" i="34"/>
  <c r="E74" i="34"/>
  <c r="E184" i="34" s="1"/>
  <c r="K184" i="34"/>
  <c r="F82" i="34"/>
  <c r="F192" i="34" s="1"/>
  <c r="L192" i="34"/>
  <c r="F77" i="34"/>
  <c r="F187" i="34" s="1"/>
  <c r="L187" i="34"/>
  <c r="F83" i="34"/>
  <c r="F193" i="34" s="1"/>
  <c r="L193" i="34"/>
  <c r="F74" i="34"/>
  <c r="F184" i="34" s="1"/>
  <c r="L184" i="34"/>
  <c r="E83" i="34"/>
  <c r="E193" i="34" s="1"/>
  <c r="K193" i="34"/>
  <c r="E77" i="34"/>
  <c r="E187" i="34" s="1"/>
  <c r="K187" i="34"/>
  <c r="E85" i="34"/>
  <c r="E195" i="34" s="1"/>
  <c r="K195" i="34"/>
  <c r="F94" i="34"/>
  <c r="F204" i="34" s="1"/>
  <c r="L204" i="34"/>
  <c r="F84" i="34"/>
  <c r="F194" i="34" s="1"/>
  <c r="L194" i="34"/>
  <c r="F76" i="34"/>
  <c r="F186" i="34" s="1"/>
  <c r="L186" i="34"/>
  <c r="E75" i="34"/>
  <c r="E185" i="34" s="1"/>
  <c r="K185" i="34"/>
  <c r="F75" i="34"/>
  <c r="F185" i="34" s="1"/>
  <c r="L185" i="34"/>
  <c r="E87" i="34"/>
  <c r="E197" i="34" s="1"/>
  <c r="K197" i="34"/>
  <c r="E94" i="34"/>
  <c r="E204" i="34" s="1"/>
  <c r="K204" i="34"/>
  <c r="F96" i="34"/>
  <c r="F206" i="34" s="1"/>
  <c r="L206" i="34"/>
  <c r="G129" i="34"/>
  <c r="M206" i="34" s="1"/>
  <c r="E96" i="34"/>
  <c r="E206" i="34" s="1"/>
  <c r="G115" i="34"/>
  <c r="M192" i="34" s="1"/>
  <c r="E82" i="34"/>
  <c r="H74" i="34"/>
  <c r="H184" i="34" s="1"/>
  <c r="V130" i="34"/>
  <c r="F128" i="34"/>
  <c r="U97" i="34"/>
  <c r="V129" i="34"/>
  <c r="E130" i="34"/>
  <c r="K207" i="34" s="1"/>
  <c r="V96" i="34"/>
  <c r="E117" i="34"/>
  <c r="K194" i="34" s="1"/>
  <c r="U117" i="34"/>
  <c r="F130" i="34"/>
  <c r="E126" i="34"/>
  <c r="K203" i="34" s="1"/>
  <c r="V127" i="34"/>
  <c r="V125" i="34"/>
  <c r="U127" i="34"/>
  <c r="V117" i="34"/>
  <c r="F126" i="34"/>
  <c r="F125" i="34"/>
  <c r="U126" i="34"/>
  <c r="U93" i="34"/>
  <c r="E125" i="34"/>
  <c r="K202" i="34" s="1"/>
  <c r="U92" i="34"/>
  <c r="E161" i="34"/>
  <c r="Q205" i="34" s="1"/>
  <c r="G76" i="34"/>
  <c r="G186" i="34" s="1"/>
  <c r="V84" i="34"/>
  <c r="H120" i="34"/>
  <c r="N197" i="34" s="1"/>
  <c r="V87" i="34"/>
  <c r="V72" i="34"/>
  <c r="V94" i="34"/>
  <c r="G120" i="34"/>
  <c r="M197" i="34" s="1"/>
  <c r="V85" i="34"/>
  <c r="H110" i="34"/>
  <c r="N187" i="34" s="1"/>
  <c r="G106" i="34"/>
  <c r="M183" i="34" s="1"/>
  <c r="V73" i="34"/>
  <c r="V77" i="34"/>
  <c r="H106" i="34"/>
  <c r="N183" i="34" s="1"/>
  <c r="V86" i="34"/>
  <c r="V74" i="34"/>
  <c r="G116" i="34"/>
  <c r="M193" i="34" s="1"/>
  <c r="H105" i="34"/>
  <c r="N182" i="34" s="1"/>
  <c r="V82" i="34"/>
  <c r="V75" i="34"/>
  <c r="G105" i="34"/>
  <c r="M182" i="34" s="1"/>
  <c r="H129" i="34"/>
  <c r="N206" i="34" s="1"/>
  <c r="G119" i="34"/>
  <c r="M196" i="34" s="1"/>
  <c r="H119" i="34"/>
  <c r="N196" i="34" s="1"/>
  <c r="V83" i="34"/>
  <c r="U82" i="34"/>
  <c r="U86" i="34"/>
  <c r="H118" i="34"/>
  <c r="N195" i="34" s="1"/>
  <c r="H107" i="34"/>
  <c r="N184" i="34" s="1"/>
  <c r="H108" i="34"/>
  <c r="N185" i="34" s="1"/>
  <c r="G110" i="34"/>
  <c r="M187" i="34" s="1"/>
  <c r="H115" i="34"/>
  <c r="N192" i="34" s="1"/>
  <c r="G127" i="34"/>
  <c r="M204" i="34" s="1"/>
  <c r="G118" i="34"/>
  <c r="M195" i="34" s="1"/>
  <c r="H109" i="34"/>
  <c r="N186" i="34" s="1"/>
  <c r="G107" i="34"/>
  <c r="M184" i="34" s="1"/>
  <c r="G108" i="34"/>
  <c r="M185" i="34" s="1"/>
  <c r="H116" i="34"/>
  <c r="N193" i="34" s="1"/>
  <c r="H127" i="34"/>
  <c r="N204" i="34" s="1"/>
  <c r="H86" i="34" l="1"/>
  <c r="H196" i="34" s="1"/>
  <c r="H76" i="34"/>
  <c r="H186" i="34" s="1"/>
  <c r="H87" i="34"/>
  <c r="H197" i="34" s="1"/>
  <c r="H85" i="34"/>
  <c r="H195" i="34" s="1"/>
  <c r="G77" i="34"/>
  <c r="G187" i="34" s="1"/>
  <c r="H94" i="34"/>
  <c r="H204" i="34" s="1"/>
  <c r="G72" i="34"/>
  <c r="G182" i="34" s="1"/>
  <c r="G74" i="34"/>
  <c r="G184" i="34" s="1"/>
  <c r="H75" i="34"/>
  <c r="H185" i="34" s="1"/>
  <c r="F95" i="34"/>
  <c r="F205" i="34" s="1"/>
  <c r="L205" i="34"/>
  <c r="F97" i="34"/>
  <c r="F207" i="34" s="1"/>
  <c r="L207" i="34"/>
  <c r="H72" i="34"/>
  <c r="H182" i="34" s="1"/>
  <c r="G87" i="34"/>
  <c r="G197" i="34" s="1"/>
  <c r="F92" i="34"/>
  <c r="F202" i="34" s="1"/>
  <c r="L202" i="34"/>
  <c r="G86" i="34"/>
  <c r="G196" i="34" s="1"/>
  <c r="G75" i="34"/>
  <c r="G185" i="34" s="1"/>
  <c r="G83" i="34"/>
  <c r="G193" i="34" s="1"/>
  <c r="H77" i="34"/>
  <c r="H187" i="34" s="1"/>
  <c r="F93" i="34"/>
  <c r="F203" i="34" s="1"/>
  <c r="L203" i="34"/>
  <c r="G82" i="34"/>
  <c r="G192" i="34" s="1"/>
  <c r="E192" i="34"/>
  <c r="G85" i="34"/>
  <c r="G195" i="34" s="1"/>
  <c r="H83" i="34"/>
  <c r="H193" i="34" s="1"/>
  <c r="H73" i="34"/>
  <c r="H183" i="34" s="1"/>
  <c r="G73" i="34"/>
  <c r="G183" i="34" s="1"/>
  <c r="G126" i="34"/>
  <c r="M203" i="34" s="1"/>
  <c r="E93" i="34"/>
  <c r="E92" i="34"/>
  <c r="H117" i="34"/>
  <c r="N194" i="34" s="1"/>
  <c r="E84" i="34"/>
  <c r="E194" i="34" s="1"/>
  <c r="G130" i="34"/>
  <c r="M207" i="34" s="1"/>
  <c r="E97" i="34"/>
  <c r="H125" i="34"/>
  <c r="N202" i="34" s="1"/>
  <c r="H130" i="34"/>
  <c r="N207" i="34" s="1"/>
  <c r="V93" i="34"/>
  <c r="V97" i="34"/>
  <c r="V92" i="34"/>
  <c r="G117" i="34"/>
  <c r="M194" i="34" s="1"/>
  <c r="G125" i="34"/>
  <c r="M202" i="34" s="1"/>
  <c r="H126" i="34"/>
  <c r="N203" i="34" s="1"/>
  <c r="G161" i="34"/>
  <c r="S205" i="34" s="1"/>
  <c r="H161" i="34"/>
  <c r="T205" i="34" s="1"/>
  <c r="U128" i="34"/>
  <c r="V128" i="34"/>
  <c r="E128" i="34"/>
  <c r="H82" i="34"/>
  <c r="H192" i="34" s="1"/>
  <c r="G94" i="34"/>
  <c r="G204" i="34" s="1"/>
  <c r="G96" i="34"/>
  <c r="G206" i="34" s="1"/>
  <c r="H96" i="34"/>
  <c r="H206" i="34" s="1"/>
  <c r="B73" i="40"/>
  <c r="G27" i="33" l="1"/>
  <c r="D318" i="40"/>
  <c r="F318" i="40" s="1"/>
  <c r="C48" i="45" s="1"/>
  <c r="D319" i="40"/>
  <c r="F319" i="40" s="1"/>
  <c r="C49" i="45" s="1"/>
  <c r="D314" i="40"/>
  <c r="D315" i="40"/>
  <c r="F315" i="40" s="1"/>
  <c r="C45" i="45" s="1"/>
  <c r="D316" i="40"/>
  <c r="F316" i="40" s="1"/>
  <c r="C46" i="45" s="1"/>
  <c r="D317" i="40"/>
  <c r="F317" i="40" s="1"/>
  <c r="C47" i="45" s="1"/>
  <c r="G92" i="34"/>
  <c r="G202" i="34" s="1"/>
  <c r="E202" i="34"/>
  <c r="H93" i="34"/>
  <c r="H203" i="34" s="1"/>
  <c r="E203" i="34"/>
  <c r="E95" i="34"/>
  <c r="E205" i="34" s="1"/>
  <c r="K205" i="34"/>
  <c r="G97" i="34"/>
  <c r="G207" i="34" s="1"/>
  <c r="E207" i="34"/>
  <c r="F15" i="40"/>
  <c r="J15" i="40" s="1"/>
  <c r="B75" i="40"/>
  <c r="B74" i="40"/>
  <c r="F8" i="43"/>
  <c r="H92" i="34"/>
  <c r="H202" i="34" s="1"/>
  <c r="B26" i="40"/>
  <c r="B42" i="40" s="1"/>
  <c r="G93" i="34"/>
  <c r="G203" i="34" s="1"/>
  <c r="H97" i="34"/>
  <c r="H207" i="34" s="1"/>
  <c r="G84" i="34"/>
  <c r="G194" i="34" s="1"/>
  <c r="H84" i="34"/>
  <c r="H194" i="34" s="1"/>
  <c r="U95" i="34"/>
  <c r="V95" i="34"/>
  <c r="H128" i="34"/>
  <c r="N205" i="34" s="1"/>
  <c r="G128" i="34"/>
  <c r="M205" i="34" s="1"/>
  <c r="J56" i="40"/>
  <c r="F246" i="40" s="1"/>
  <c r="G246" i="40" s="1"/>
  <c r="B31" i="43" l="1"/>
  <c r="B47" i="43"/>
  <c r="B20" i="43" s="1"/>
  <c r="B20" i="44" s="1"/>
  <c r="B39" i="43"/>
  <c r="B19" i="44" s="1"/>
  <c r="F42" i="45"/>
  <c r="F39" i="45"/>
  <c r="F41" i="45"/>
  <c r="F40" i="45"/>
  <c r="F43" i="45"/>
  <c r="F314" i="40"/>
  <c r="C44" i="45" s="1"/>
  <c r="G314" i="40"/>
  <c r="C8" i="44"/>
  <c r="T246" i="40"/>
  <c r="W246" i="40" s="1"/>
  <c r="V246" i="40"/>
  <c r="P246" i="40"/>
  <c r="N246" i="40"/>
  <c r="Q246" i="40" s="1"/>
  <c r="I246" i="40"/>
  <c r="H246" i="40"/>
  <c r="K246" i="40" s="1"/>
  <c r="J246" i="40"/>
  <c r="O246" i="40"/>
  <c r="U246" i="40"/>
  <c r="H95" i="34"/>
  <c r="H205" i="34" s="1"/>
  <c r="G95" i="34"/>
  <c r="G205" i="34" s="1"/>
  <c r="F39" i="40" l="1"/>
  <c r="F48" i="40" s="1"/>
  <c r="J48" i="40" s="1"/>
  <c r="F221" i="40" s="1"/>
  <c r="B44" i="45"/>
  <c r="E44" i="45" s="1"/>
  <c r="F44" i="45" s="1"/>
  <c r="G315" i="40"/>
  <c r="R246" i="40"/>
  <c r="B19" i="43"/>
  <c r="B18" i="43"/>
  <c r="B18" i="44"/>
  <c r="X246" i="40"/>
  <c r="M246" i="40"/>
  <c r="S246" i="40"/>
  <c r="Y246" i="40"/>
  <c r="L246" i="40"/>
  <c r="F40" i="40" l="1"/>
  <c r="B45" i="45"/>
  <c r="E45" i="45" s="1"/>
  <c r="F45" i="45" s="1"/>
  <c r="G316" i="40"/>
  <c r="J39" i="40"/>
  <c r="F226" i="40"/>
  <c r="G221" i="40"/>
  <c r="F228" i="40"/>
  <c r="F225" i="40"/>
  <c r="F227" i="40"/>
  <c r="F224" i="40"/>
  <c r="F223" i="40"/>
  <c r="F41" i="40" l="1"/>
  <c r="F57" i="40"/>
  <c r="F55" i="40" s="1"/>
  <c r="J55" i="40" s="1"/>
  <c r="F245" i="40" s="1"/>
  <c r="G245" i="40" s="1"/>
  <c r="V245" i="40" s="1"/>
  <c r="B46" i="45"/>
  <c r="E46" i="45" s="1"/>
  <c r="F46" i="45" s="1"/>
  <c r="G317" i="40"/>
  <c r="J40" i="40"/>
  <c r="D32" i="43"/>
  <c r="F336" i="40"/>
  <c r="G223" i="40"/>
  <c r="G227" i="40"/>
  <c r="G224" i="40"/>
  <c r="G228" i="40"/>
  <c r="G226" i="40"/>
  <c r="G225" i="40"/>
  <c r="T221" i="40"/>
  <c r="V221" i="40"/>
  <c r="I221" i="40"/>
  <c r="U221" i="40"/>
  <c r="P221" i="40"/>
  <c r="N221" i="40"/>
  <c r="H221" i="40"/>
  <c r="J221" i="40"/>
  <c r="O221" i="40"/>
  <c r="F42" i="40" l="1"/>
  <c r="J41" i="40"/>
  <c r="F338" i="40" s="1"/>
  <c r="F54" i="40"/>
  <c r="J54" i="40" s="1"/>
  <c r="F244" i="40" s="1"/>
  <c r="G244" i="40" s="1"/>
  <c r="I244" i="40" s="1"/>
  <c r="F53" i="40"/>
  <c r="J53" i="40" s="1"/>
  <c r="F243" i="40" s="1"/>
  <c r="G243" i="40" s="1"/>
  <c r="B47" i="45"/>
  <c r="E47" i="45" s="1"/>
  <c r="F47" i="45" s="1"/>
  <c r="G318" i="40"/>
  <c r="G336" i="40"/>
  <c r="F212" i="40"/>
  <c r="F168" i="40"/>
  <c r="F141" i="40"/>
  <c r="F188" i="40"/>
  <c r="F178" i="40"/>
  <c r="F200" i="40"/>
  <c r="D33" i="43"/>
  <c r="P245" i="40"/>
  <c r="F337" i="40"/>
  <c r="J245" i="40"/>
  <c r="O245" i="40"/>
  <c r="T245" i="40"/>
  <c r="W245" i="40" s="1"/>
  <c r="I245" i="40"/>
  <c r="U245" i="40"/>
  <c r="N245" i="40"/>
  <c r="Q245" i="40" s="1"/>
  <c r="H245" i="40"/>
  <c r="K245" i="40" s="1"/>
  <c r="Q221" i="40"/>
  <c r="N226" i="40"/>
  <c r="N228" i="40"/>
  <c r="N223" i="40"/>
  <c r="N227" i="40"/>
  <c r="N225" i="40"/>
  <c r="N224" i="40"/>
  <c r="V226" i="40"/>
  <c r="V228" i="40"/>
  <c r="V223" i="40"/>
  <c r="V227" i="40"/>
  <c r="V225" i="40"/>
  <c r="V224" i="40"/>
  <c r="Y221" i="40"/>
  <c r="R221" i="40"/>
  <c r="O223" i="40"/>
  <c r="O227" i="40"/>
  <c r="O224" i="40"/>
  <c r="O228" i="40"/>
  <c r="O226" i="40"/>
  <c r="O225" i="40"/>
  <c r="P224" i="40"/>
  <c r="P228" i="40"/>
  <c r="P225" i="40"/>
  <c r="P223" i="40"/>
  <c r="P227" i="40"/>
  <c r="P226" i="40"/>
  <c r="S221" i="40"/>
  <c r="W221" i="40"/>
  <c r="T224" i="40"/>
  <c r="T228" i="40"/>
  <c r="T226" i="40"/>
  <c r="T225" i="40"/>
  <c r="T223" i="40"/>
  <c r="T227" i="40"/>
  <c r="M221" i="40"/>
  <c r="J226" i="40"/>
  <c r="J223" i="40"/>
  <c r="J227" i="40"/>
  <c r="J225" i="40"/>
  <c r="J224" i="40"/>
  <c r="J228" i="40"/>
  <c r="X221" i="40"/>
  <c r="U225" i="40"/>
  <c r="U226" i="40"/>
  <c r="U224" i="40"/>
  <c r="U228" i="40"/>
  <c r="U223" i="40"/>
  <c r="U227" i="40"/>
  <c r="K221" i="40"/>
  <c r="H224" i="40"/>
  <c r="H228" i="40"/>
  <c r="H225" i="40"/>
  <c r="H223" i="40"/>
  <c r="H227" i="40"/>
  <c r="H226" i="40"/>
  <c r="I225" i="40"/>
  <c r="I227" i="40"/>
  <c r="I226" i="40"/>
  <c r="I224" i="40"/>
  <c r="I228" i="40"/>
  <c r="I223" i="40"/>
  <c r="L221" i="40"/>
  <c r="F43" i="40" l="1"/>
  <c r="J42" i="40"/>
  <c r="F339" i="40" s="1"/>
  <c r="D34" i="43"/>
  <c r="N244" i="40"/>
  <c r="Q244" i="40" s="1"/>
  <c r="T244" i="40"/>
  <c r="W244" i="40" s="1"/>
  <c r="J244" i="40"/>
  <c r="M244" i="40" s="1"/>
  <c r="O244" i="40"/>
  <c r="V244" i="40"/>
  <c r="U244" i="40"/>
  <c r="X244" i="40" s="1"/>
  <c r="H244" i="40"/>
  <c r="K244" i="40" s="1"/>
  <c r="P244" i="40"/>
  <c r="J57" i="40"/>
  <c r="F69" i="40" s="1"/>
  <c r="J69" i="40" s="1"/>
  <c r="F248" i="40"/>
  <c r="F254" i="40" s="1"/>
  <c r="B48" i="45"/>
  <c r="E48" i="45" s="1"/>
  <c r="F48" i="45" s="1"/>
  <c r="G319" i="40"/>
  <c r="G212" i="40"/>
  <c r="G178" i="40"/>
  <c r="U188" i="40"/>
  <c r="G188" i="40"/>
  <c r="J178" i="40"/>
  <c r="U178" i="40"/>
  <c r="V178" i="40"/>
  <c r="P188" i="40"/>
  <c r="N178" i="40"/>
  <c r="O178" i="40"/>
  <c r="P178" i="40"/>
  <c r="H178" i="40"/>
  <c r="N188" i="40"/>
  <c r="I188" i="40"/>
  <c r="V188" i="40"/>
  <c r="O188" i="40"/>
  <c r="J188" i="40"/>
  <c r="T178" i="40"/>
  <c r="T188" i="40"/>
  <c r="I178" i="40"/>
  <c r="H188" i="40"/>
  <c r="L178" i="40"/>
  <c r="S188" i="40"/>
  <c r="W188" i="40"/>
  <c r="M188" i="40"/>
  <c r="Y178" i="40"/>
  <c r="Q188" i="40"/>
  <c r="Y188" i="40"/>
  <c r="W178" i="40"/>
  <c r="L188" i="40"/>
  <c r="K178" i="40"/>
  <c r="R188" i="40"/>
  <c r="K188" i="40"/>
  <c r="Q178" i="40"/>
  <c r="R178" i="40"/>
  <c r="X188" i="40"/>
  <c r="M178" i="40"/>
  <c r="X178" i="40"/>
  <c r="S178" i="40"/>
  <c r="G141" i="40"/>
  <c r="S141" i="40"/>
  <c r="G168" i="40"/>
  <c r="M141" i="40"/>
  <c r="Y141" i="40"/>
  <c r="N168" i="40"/>
  <c r="H168" i="40"/>
  <c r="S168" i="40"/>
  <c r="K141" i="40"/>
  <c r="W168" i="40"/>
  <c r="J168" i="40"/>
  <c r="R168" i="40"/>
  <c r="K168" i="40"/>
  <c r="O168" i="40"/>
  <c r="M168" i="40"/>
  <c r="Q168" i="40"/>
  <c r="I168" i="40"/>
  <c r="Y168" i="40"/>
  <c r="U168" i="40"/>
  <c r="L168" i="40"/>
  <c r="V168" i="40"/>
  <c r="P168" i="40"/>
  <c r="X168" i="40"/>
  <c r="H141" i="40"/>
  <c r="T168" i="40"/>
  <c r="P212" i="40"/>
  <c r="U212" i="40"/>
  <c r="Q212" i="40"/>
  <c r="I212" i="40"/>
  <c r="O212" i="40"/>
  <c r="J212" i="40"/>
  <c r="V212" i="40"/>
  <c r="K212" i="40"/>
  <c r="H212" i="40"/>
  <c r="T212" i="40"/>
  <c r="W212" i="40"/>
  <c r="N212" i="40"/>
  <c r="Y212" i="40"/>
  <c r="L212" i="40"/>
  <c r="X212" i="40"/>
  <c r="M212" i="40"/>
  <c r="S212" i="40"/>
  <c r="R212" i="40"/>
  <c r="G200" i="40"/>
  <c r="P200" i="40"/>
  <c r="U200" i="40"/>
  <c r="I200" i="40"/>
  <c r="O200" i="40"/>
  <c r="V200" i="40"/>
  <c r="J200" i="40"/>
  <c r="X200" i="40"/>
  <c r="L200" i="40"/>
  <c r="M200" i="40"/>
  <c r="H200" i="40"/>
  <c r="Q200" i="40"/>
  <c r="N200" i="40"/>
  <c r="K200" i="40"/>
  <c r="R200" i="40"/>
  <c r="W200" i="40"/>
  <c r="S200" i="40"/>
  <c r="T200" i="40"/>
  <c r="Y200" i="40"/>
  <c r="G337" i="40"/>
  <c r="F213" i="40"/>
  <c r="F169" i="40"/>
  <c r="F142" i="40"/>
  <c r="F179" i="40"/>
  <c r="F189" i="40"/>
  <c r="F201" i="40"/>
  <c r="G338" i="40"/>
  <c r="F214" i="40"/>
  <c r="F170" i="40"/>
  <c r="F143" i="40"/>
  <c r="F190" i="40"/>
  <c r="F180" i="40"/>
  <c r="F202" i="40"/>
  <c r="M245" i="40"/>
  <c r="S245" i="40"/>
  <c r="X245" i="40"/>
  <c r="R245" i="40"/>
  <c r="Y245" i="40"/>
  <c r="L245" i="40"/>
  <c r="L224" i="40"/>
  <c r="L228" i="40"/>
  <c r="L225" i="40"/>
  <c r="L223" i="40"/>
  <c r="L227" i="40"/>
  <c r="L226" i="40"/>
  <c r="X224" i="40"/>
  <c r="X228" i="40"/>
  <c r="X225" i="40"/>
  <c r="X223" i="40"/>
  <c r="X227" i="40"/>
  <c r="X226" i="40"/>
  <c r="Y225" i="40"/>
  <c r="Y227" i="40"/>
  <c r="Y226" i="40"/>
  <c r="Y224" i="40"/>
  <c r="Y228" i="40"/>
  <c r="Y223" i="40"/>
  <c r="S223" i="40"/>
  <c r="S227" i="40"/>
  <c r="S224" i="40"/>
  <c r="S228" i="40"/>
  <c r="S226" i="40"/>
  <c r="S225" i="40"/>
  <c r="K223" i="40"/>
  <c r="K227" i="40"/>
  <c r="K224" i="40"/>
  <c r="K228" i="40"/>
  <c r="K226" i="40"/>
  <c r="K225" i="40"/>
  <c r="R226" i="40"/>
  <c r="R223" i="40"/>
  <c r="R227" i="40"/>
  <c r="R225" i="40"/>
  <c r="R224" i="40"/>
  <c r="R228" i="40"/>
  <c r="M225" i="40"/>
  <c r="M226" i="40"/>
  <c r="M224" i="40"/>
  <c r="M228" i="40"/>
  <c r="M223" i="40"/>
  <c r="M227" i="40"/>
  <c r="W223" i="40"/>
  <c r="W227" i="40"/>
  <c r="W225" i="40"/>
  <c r="W224" i="40"/>
  <c r="W228" i="40"/>
  <c r="W226" i="40"/>
  <c r="Q225" i="40"/>
  <c r="Q227" i="40"/>
  <c r="Q226" i="40"/>
  <c r="Q224" i="40"/>
  <c r="Q228" i="40"/>
  <c r="Q223" i="40"/>
  <c r="I243" i="40"/>
  <c r="J243" i="40"/>
  <c r="H243" i="40"/>
  <c r="T243" i="40"/>
  <c r="V243" i="40"/>
  <c r="G248" i="40"/>
  <c r="U243" i="40"/>
  <c r="P243" i="40"/>
  <c r="N243" i="40"/>
  <c r="O243" i="40"/>
  <c r="F44" i="40" l="1"/>
  <c r="D35" i="43"/>
  <c r="F171" i="40"/>
  <c r="G339" i="40"/>
  <c r="W234" i="40" s="1"/>
  <c r="K114" i="43" s="1"/>
  <c r="J43" i="40"/>
  <c r="D36" i="43" s="1"/>
  <c r="F9" i="43"/>
  <c r="C9" i="44" s="1"/>
  <c r="L244" i="40"/>
  <c r="R244" i="40"/>
  <c r="S244" i="40"/>
  <c r="F251" i="40"/>
  <c r="F256" i="40"/>
  <c r="Y244" i="40"/>
  <c r="F252" i="40"/>
  <c r="F255" i="40"/>
  <c r="F253" i="40"/>
  <c r="B49" i="45"/>
  <c r="E49" i="45" s="1"/>
  <c r="F49" i="45" s="1"/>
  <c r="W232" i="40"/>
  <c r="K112" i="43" s="1"/>
  <c r="F181" i="40"/>
  <c r="F215" i="40"/>
  <c r="F203" i="40"/>
  <c r="F191" i="40"/>
  <c r="F144" i="40"/>
  <c r="X231" i="40"/>
  <c r="L111" i="43" s="1"/>
  <c r="W233" i="40"/>
  <c r="K113" i="43" s="1"/>
  <c r="Y231" i="40"/>
  <c r="M111" i="43" s="1"/>
  <c r="W231" i="40"/>
  <c r="K111" i="43" s="1"/>
  <c r="S231" i="40"/>
  <c r="M101" i="43" s="1"/>
  <c r="R231" i="40"/>
  <c r="L101" i="43" s="1"/>
  <c r="K231" i="40"/>
  <c r="K91" i="43" s="1"/>
  <c r="M231" i="40"/>
  <c r="M91" i="43" s="1"/>
  <c r="L231" i="40"/>
  <c r="L91" i="43" s="1"/>
  <c r="G214" i="40"/>
  <c r="U190" i="40"/>
  <c r="G190" i="40"/>
  <c r="G180" i="40"/>
  <c r="J190" i="40"/>
  <c r="T190" i="40"/>
  <c r="U180" i="40"/>
  <c r="H190" i="40"/>
  <c r="P180" i="40"/>
  <c r="H180" i="40"/>
  <c r="J180" i="40"/>
  <c r="I180" i="40"/>
  <c r="I190" i="40"/>
  <c r="V180" i="40"/>
  <c r="N190" i="40"/>
  <c r="T180" i="40"/>
  <c r="P190" i="40"/>
  <c r="N180" i="40"/>
  <c r="O180" i="40"/>
  <c r="V190" i="40"/>
  <c r="O190" i="40"/>
  <c r="L180" i="40"/>
  <c r="W180" i="40"/>
  <c r="X180" i="40"/>
  <c r="L190" i="40"/>
  <c r="R190" i="40"/>
  <c r="M190" i="40"/>
  <c r="Q190" i="40"/>
  <c r="S190" i="40"/>
  <c r="Y190" i="40"/>
  <c r="W190" i="40"/>
  <c r="Y180" i="40"/>
  <c r="K190" i="40"/>
  <c r="M180" i="40"/>
  <c r="K180" i="40"/>
  <c r="Q180" i="40"/>
  <c r="R180" i="40"/>
  <c r="X190" i="40"/>
  <c r="S180" i="40"/>
  <c r="S143" i="40"/>
  <c r="M143" i="40"/>
  <c r="G143" i="40"/>
  <c r="Y143" i="40"/>
  <c r="G170" i="40"/>
  <c r="M170" i="40"/>
  <c r="I170" i="40"/>
  <c r="K143" i="40"/>
  <c r="L170" i="40"/>
  <c r="H143" i="40"/>
  <c r="K170" i="40"/>
  <c r="O170" i="40"/>
  <c r="V170" i="40"/>
  <c r="T170" i="40"/>
  <c r="N170" i="40"/>
  <c r="Q170" i="40"/>
  <c r="H170" i="40"/>
  <c r="S170" i="40"/>
  <c r="W170" i="40"/>
  <c r="Y170" i="40"/>
  <c r="X170" i="40"/>
  <c r="J170" i="40"/>
  <c r="R170" i="40"/>
  <c r="U170" i="40"/>
  <c r="P170" i="40"/>
  <c r="W214" i="40"/>
  <c r="N214" i="40"/>
  <c r="O214" i="40"/>
  <c r="U214" i="40"/>
  <c r="Q214" i="40"/>
  <c r="K214" i="40"/>
  <c r="I214" i="40"/>
  <c r="P214" i="40"/>
  <c r="J214" i="40"/>
  <c r="V214" i="40"/>
  <c r="H214" i="40"/>
  <c r="T214" i="40"/>
  <c r="Y214" i="40"/>
  <c r="M214" i="40"/>
  <c r="L214" i="40"/>
  <c r="X214" i="40"/>
  <c r="S214" i="40"/>
  <c r="R214" i="40"/>
  <c r="G202" i="40"/>
  <c r="U202" i="40"/>
  <c r="J202" i="40"/>
  <c r="O202" i="40"/>
  <c r="V202" i="40"/>
  <c r="I202" i="40"/>
  <c r="P202" i="40"/>
  <c r="S202" i="40"/>
  <c r="N202" i="40"/>
  <c r="M202" i="40"/>
  <c r="Q202" i="40"/>
  <c r="K202" i="40"/>
  <c r="R202" i="40"/>
  <c r="Y202" i="40"/>
  <c r="T202" i="40"/>
  <c r="X202" i="40"/>
  <c r="W202" i="40"/>
  <c r="L202" i="40"/>
  <c r="H202" i="40"/>
  <c r="W141" i="40"/>
  <c r="Q141" i="40"/>
  <c r="Q231" i="40" s="1"/>
  <c r="K101" i="43" s="1"/>
  <c r="T141" i="40"/>
  <c r="N141" i="40"/>
  <c r="G213" i="40"/>
  <c r="G189" i="40"/>
  <c r="G179" i="40"/>
  <c r="U189" i="40"/>
  <c r="J189" i="40"/>
  <c r="T179" i="40"/>
  <c r="J179" i="40"/>
  <c r="I179" i="40"/>
  <c r="P179" i="40"/>
  <c r="T189" i="40"/>
  <c r="H179" i="40"/>
  <c r="N189" i="40"/>
  <c r="H189" i="40"/>
  <c r="V179" i="40"/>
  <c r="P189" i="40"/>
  <c r="N179" i="40"/>
  <c r="U179" i="40"/>
  <c r="O179" i="40"/>
  <c r="O189" i="40"/>
  <c r="V189" i="40"/>
  <c r="I189" i="40"/>
  <c r="Y179" i="40"/>
  <c r="K189" i="40"/>
  <c r="X189" i="40"/>
  <c r="S189" i="40"/>
  <c r="W179" i="40"/>
  <c r="M179" i="40"/>
  <c r="L189" i="40"/>
  <c r="M189" i="40"/>
  <c r="S179" i="40"/>
  <c r="L179" i="40"/>
  <c r="Q189" i="40"/>
  <c r="Q179" i="40"/>
  <c r="R179" i="40"/>
  <c r="Y189" i="40"/>
  <c r="W189" i="40"/>
  <c r="K179" i="40"/>
  <c r="R189" i="40"/>
  <c r="X179" i="40"/>
  <c r="Y142" i="40"/>
  <c r="S142" i="40"/>
  <c r="G142" i="40"/>
  <c r="M142" i="40"/>
  <c r="G169" i="40"/>
  <c r="M169" i="40"/>
  <c r="H169" i="40"/>
  <c r="X169" i="40"/>
  <c r="L169" i="40"/>
  <c r="U169" i="40"/>
  <c r="V169" i="40"/>
  <c r="P169" i="40"/>
  <c r="T169" i="40"/>
  <c r="S169" i="40"/>
  <c r="W169" i="40"/>
  <c r="K169" i="40"/>
  <c r="Q169" i="40"/>
  <c r="I169" i="40"/>
  <c r="K142" i="40"/>
  <c r="Y169" i="40"/>
  <c r="J169" i="40"/>
  <c r="H142" i="40"/>
  <c r="R169" i="40"/>
  <c r="N169" i="40"/>
  <c r="O169" i="40"/>
  <c r="N213" i="40"/>
  <c r="U213" i="40"/>
  <c r="H213" i="40"/>
  <c r="T213" i="40"/>
  <c r="W213" i="40"/>
  <c r="O213" i="40"/>
  <c r="J213" i="40"/>
  <c r="Q213" i="40"/>
  <c r="V213" i="40"/>
  <c r="I213" i="40"/>
  <c r="P213" i="40"/>
  <c r="K213" i="40"/>
  <c r="S213" i="40"/>
  <c r="Y213" i="40"/>
  <c r="R213" i="40"/>
  <c r="M213" i="40"/>
  <c r="L213" i="40"/>
  <c r="X213" i="40"/>
  <c r="G201" i="40"/>
  <c r="J201" i="40"/>
  <c r="U201" i="40"/>
  <c r="V201" i="40"/>
  <c r="O201" i="40"/>
  <c r="P201" i="40"/>
  <c r="I201" i="40"/>
  <c r="W201" i="40"/>
  <c r="N201" i="40"/>
  <c r="R201" i="40"/>
  <c r="S201" i="40"/>
  <c r="X201" i="40"/>
  <c r="Y201" i="40"/>
  <c r="H201" i="40"/>
  <c r="T201" i="40"/>
  <c r="M201" i="40"/>
  <c r="K201" i="40"/>
  <c r="L201" i="40"/>
  <c r="Q201" i="40"/>
  <c r="F273" i="40"/>
  <c r="F276" i="40" s="1"/>
  <c r="F11" i="43"/>
  <c r="C11" i="44" s="1"/>
  <c r="S243" i="40"/>
  <c r="P248" i="40"/>
  <c r="T248" i="40"/>
  <c r="W243" i="40"/>
  <c r="W248" i="40" s="1"/>
  <c r="X243" i="40"/>
  <c r="X248" i="40" s="1"/>
  <c r="U248" i="40"/>
  <c r="K243" i="40"/>
  <c r="K248" i="40" s="1"/>
  <c r="K251" i="40" s="1"/>
  <c r="H248" i="40"/>
  <c r="R243" i="40"/>
  <c r="O248" i="40"/>
  <c r="G252" i="40"/>
  <c r="G256" i="40"/>
  <c r="G255" i="40"/>
  <c r="G251" i="40"/>
  <c r="G254" i="40"/>
  <c r="G253" i="40"/>
  <c r="J248" i="40"/>
  <c r="M243" i="40"/>
  <c r="M248" i="40" s="1"/>
  <c r="N248" i="40"/>
  <c r="Q243" i="40"/>
  <c r="Q248" i="40" s="1"/>
  <c r="V248" i="40"/>
  <c r="Y243" i="40"/>
  <c r="I248" i="40"/>
  <c r="L243" i="40"/>
  <c r="S203" i="40" l="1"/>
  <c r="X191" i="40"/>
  <c r="J181" i="40"/>
  <c r="R203" i="40"/>
  <c r="G144" i="40"/>
  <c r="Q144" i="40" s="1"/>
  <c r="O215" i="40"/>
  <c r="P215" i="40"/>
  <c r="J191" i="40"/>
  <c r="U203" i="40"/>
  <c r="H171" i="40"/>
  <c r="L181" i="40"/>
  <c r="G215" i="40"/>
  <c r="X215" i="40"/>
  <c r="T171" i="40"/>
  <c r="Q191" i="40"/>
  <c r="F340" i="40"/>
  <c r="F172" i="40" s="1"/>
  <c r="L203" i="40"/>
  <c r="S215" i="40"/>
  <c r="I171" i="40"/>
  <c r="V171" i="40"/>
  <c r="W191" i="40"/>
  <c r="N191" i="40"/>
  <c r="U181" i="40"/>
  <c r="N203" i="40"/>
  <c r="J203" i="40"/>
  <c r="Y215" i="40"/>
  <c r="H215" i="40"/>
  <c r="W215" i="40"/>
  <c r="R171" i="40"/>
  <c r="H144" i="40"/>
  <c r="N171" i="40"/>
  <c r="L191" i="40"/>
  <c r="R191" i="40"/>
  <c r="R181" i="40"/>
  <c r="N181" i="40"/>
  <c r="T181" i="40"/>
  <c r="U191" i="40"/>
  <c r="H203" i="40"/>
  <c r="P203" i="40"/>
  <c r="I215" i="40"/>
  <c r="M171" i="40"/>
  <c r="M144" i="40"/>
  <c r="K181" i="40"/>
  <c r="I191" i="40"/>
  <c r="Q203" i="40"/>
  <c r="V203" i="40"/>
  <c r="G203" i="40"/>
  <c r="V215" i="40"/>
  <c r="N215" i="40"/>
  <c r="K171" i="40"/>
  <c r="J171" i="40"/>
  <c r="O171" i="40"/>
  <c r="Y144" i="40"/>
  <c r="S191" i="40"/>
  <c r="Y191" i="40"/>
  <c r="H181" i="40"/>
  <c r="P191" i="40"/>
  <c r="G191" i="40"/>
  <c r="Y203" i="40"/>
  <c r="M203" i="40"/>
  <c r="W203" i="40"/>
  <c r="O203" i="40"/>
  <c r="R215" i="40"/>
  <c r="J215" i="40"/>
  <c r="U215" i="40"/>
  <c r="Y171" i="40"/>
  <c r="L171" i="40"/>
  <c r="U171" i="40"/>
  <c r="X171" i="40"/>
  <c r="G171" i="40"/>
  <c r="S181" i="40"/>
  <c r="M191" i="40"/>
  <c r="X181" i="40"/>
  <c r="H191" i="40"/>
  <c r="T191" i="40"/>
  <c r="V181" i="40"/>
  <c r="V191" i="40"/>
  <c r="J44" i="40"/>
  <c r="D37" i="43" s="1"/>
  <c r="K203" i="40"/>
  <c r="T203" i="40"/>
  <c r="X203" i="40"/>
  <c r="I203" i="40"/>
  <c r="M215" i="40"/>
  <c r="L215" i="40"/>
  <c r="T215" i="40"/>
  <c r="Q215" i="40"/>
  <c r="K215" i="40"/>
  <c r="Q171" i="40"/>
  <c r="K144" i="40"/>
  <c r="W171" i="40"/>
  <c r="P171" i="40"/>
  <c r="S171" i="40"/>
  <c r="S144" i="40"/>
  <c r="M181" i="40"/>
  <c r="Y181" i="40"/>
  <c r="Q181" i="40"/>
  <c r="W181" i="40"/>
  <c r="K191" i="40"/>
  <c r="O181" i="40"/>
  <c r="P181" i="40"/>
  <c r="I181" i="40"/>
  <c r="O191" i="40"/>
  <c r="G181" i="40"/>
  <c r="L248" i="40"/>
  <c r="L254" i="40" s="1"/>
  <c r="S94" i="43" s="1"/>
  <c r="R248" i="40"/>
  <c r="R255" i="40" s="1"/>
  <c r="S105" i="43" s="1"/>
  <c r="Y248" i="40"/>
  <c r="Y252" i="40" s="1"/>
  <c r="T112" i="43" s="1"/>
  <c r="S248" i="40"/>
  <c r="S256" i="40" s="1"/>
  <c r="T106" i="43" s="1"/>
  <c r="F216" i="40"/>
  <c r="O111" i="43"/>
  <c r="N111" i="43"/>
  <c r="Y232" i="40"/>
  <c r="M112" i="43" s="1"/>
  <c r="R232" i="40"/>
  <c r="L102" i="43" s="1"/>
  <c r="S233" i="40"/>
  <c r="M103" i="43" s="1"/>
  <c r="X232" i="40"/>
  <c r="L112" i="43" s="1"/>
  <c r="X233" i="40"/>
  <c r="L113" i="43" s="1"/>
  <c r="Y233" i="40"/>
  <c r="M113" i="43" s="1"/>
  <c r="O101" i="43"/>
  <c r="N91" i="43"/>
  <c r="N101" i="43"/>
  <c r="S232" i="40"/>
  <c r="M102" i="43" s="1"/>
  <c r="R233" i="40"/>
  <c r="L103" i="43" s="1"/>
  <c r="K233" i="40"/>
  <c r="K93" i="43" s="1"/>
  <c r="L233" i="40"/>
  <c r="L93" i="43" s="1"/>
  <c r="O91" i="43"/>
  <c r="K232" i="40"/>
  <c r="K92" i="43" s="1"/>
  <c r="L232" i="40"/>
  <c r="L92" i="43" s="1"/>
  <c r="M232" i="40"/>
  <c r="M92" i="43" s="1"/>
  <c r="M233" i="40"/>
  <c r="M93" i="43" s="1"/>
  <c r="T142" i="40"/>
  <c r="N142" i="40"/>
  <c r="Q142" i="40"/>
  <c r="Q232" i="40" s="1"/>
  <c r="K102" i="43" s="1"/>
  <c r="W142" i="40"/>
  <c r="T143" i="40"/>
  <c r="W143" i="40"/>
  <c r="Q143" i="40"/>
  <c r="Q233" i="40" s="1"/>
  <c r="K103" i="43" s="1"/>
  <c r="N143" i="40"/>
  <c r="N144" i="40"/>
  <c r="G273" i="40"/>
  <c r="I273" i="40" s="1"/>
  <c r="F277" i="40"/>
  <c r="F281" i="40"/>
  <c r="F279" i="40"/>
  <c r="F278" i="40"/>
  <c r="F280" i="40"/>
  <c r="J252" i="40"/>
  <c r="J253" i="40"/>
  <c r="J251" i="40"/>
  <c r="J254" i="40"/>
  <c r="J256" i="40"/>
  <c r="J255" i="40"/>
  <c r="X255" i="40"/>
  <c r="S115" i="43" s="1"/>
  <c r="X254" i="40"/>
  <c r="S114" i="43" s="1"/>
  <c r="X251" i="40"/>
  <c r="S111" i="43" s="1"/>
  <c r="X253" i="40"/>
  <c r="S113" i="43" s="1"/>
  <c r="X252" i="40"/>
  <c r="S112" i="43" s="1"/>
  <c r="X256" i="40"/>
  <c r="S116" i="43" s="1"/>
  <c r="W251" i="40"/>
  <c r="R111" i="43" s="1"/>
  <c r="W256" i="40"/>
  <c r="R116" i="43" s="1"/>
  <c r="W253" i="40"/>
  <c r="R113" i="43" s="1"/>
  <c r="W252" i="40"/>
  <c r="R112" i="43" s="1"/>
  <c r="W254" i="40"/>
  <c r="R114" i="43" s="1"/>
  <c r="W255" i="40"/>
  <c r="R115" i="43" s="1"/>
  <c r="Q256" i="40"/>
  <c r="R106" i="43" s="1"/>
  <c r="Q254" i="40"/>
  <c r="R104" i="43" s="1"/>
  <c r="Q251" i="40"/>
  <c r="R101" i="43" s="1"/>
  <c r="Q253" i="40"/>
  <c r="R103" i="43" s="1"/>
  <c r="Q255" i="40"/>
  <c r="R105" i="43" s="1"/>
  <c r="Q252" i="40"/>
  <c r="R102" i="43" s="1"/>
  <c r="H252" i="40"/>
  <c r="H253" i="40"/>
  <c r="H251" i="40"/>
  <c r="H256" i="40"/>
  <c r="H254" i="40"/>
  <c r="H255" i="40"/>
  <c r="T251" i="40"/>
  <c r="T253" i="40"/>
  <c r="T256" i="40"/>
  <c r="T252" i="40"/>
  <c r="T255" i="40"/>
  <c r="T254" i="40"/>
  <c r="V254" i="40"/>
  <c r="V252" i="40"/>
  <c r="V255" i="40"/>
  <c r="V253" i="40"/>
  <c r="V251" i="40"/>
  <c r="V256" i="40"/>
  <c r="I255" i="40"/>
  <c r="I252" i="40"/>
  <c r="I253" i="40"/>
  <c r="I251" i="40"/>
  <c r="I256" i="40"/>
  <c r="I254" i="40"/>
  <c r="N251" i="40"/>
  <c r="N253" i="40"/>
  <c r="N254" i="40"/>
  <c r="N256" i="40"/>
  <c r="N255" i="40"/>
  <c r="N252" i="40"/>
  <c r="R91" i="43"/>
  <c r="K254" i="40"/>
  <c r="R94" i="43" s="1"/>
  <c r="K253" i="40"/>
  <c r="R93" i="43" s="1"/>
  <c r="K252" i="40"/>
  <c r="R92" i="43" s="1"/>
  <c r="K255" i="40"/>
  <c r="R95" i="43" s="1"/>
  <c r="K256" i="40"/>
  <c r="R96" i="43" s="1"/>
  <c r="P251" i="40"/>
  <c r="P256" i="40"/>
  <c r="P254" i="40"/>
  <c r="P255" i="40"/>
  <c r="P253" i="40"/>
  <c r="P252" i="40"/>
  <c r="M251" i="40"/>
  <c r="T91" i="43" s="1"/>
  <c r="M256" i="40"/>
  <c r="T96" i="43" s="1"/>
  <c r="M254" i="40"/>
  <c r="T94" i="43" s="1"/>
  <c r="M252" i="40"/>
  <c r="T92" i="43" s="1"/>
  <c r="M255" i="40"/>
  <c r="T95" i="43" s="1"/>
  <c r="M253" i="40"/>
  <c r="T93" i="43" s="1"/>
  <c r="O253" i="40"/>
  <c r="O256" i="40"/>
  <c r="O252" i="40"/>
  <c r="O254" i="40"/>
  <c r="O255" i="40"/>
  <c r="O251" i="40"/>
  <c r="U254" i="40"/>
  <c r="U251" i="40"/>
  <c r="U256" i="40"/>
  <c r="U252" i="40"/>
  <c r="U255" i="40"/>
  <c r="U253" i="40"/>
  <c r="G340" i="40" l="1"/>
  <c r="W235" i="40" s="1"/>
  <c r="K115" i="43" s="1"/>
  <c r="W144" i="40"/>
  <c r="X234" i="40"/>
  <c r="L114" i="43" s="1"/>
  <c r="N114" i="43" s="1"/>
  <c r="T144" i="40"/>
  <c r="F182" i="40"/>
  <c r="F192" i="40"/>
  <c r="F204" i="40"/>
  <c r="F145" i="40"/>
  <c r="R234" i="40"/>
  <c r="L104" i="43" s="1"/>
  <c r="L234" i="40"/>
  <c r="L94" i="43" s="1"/>
  <c r="M234" i="40"/>
  <c r="M94" i="43" s="1"/>
  <c r="Y234" i="40"/>
  <c r="M114" i="43" s="1"/>
  <c r="S234" i="40"/>
  <c r="M104" i="43" s="1"/>
  <c r="K234" i="40"/>
  <c r="K94" i="43" s="1"/>
  <c r="Q234" i="40"/>
  <c r="K104" i="43" s="1"/>
  <c r="F341" i="40"/>
  <c r="F173" i="40" s="1"/>
  <c r="L256" i="40"/>
  <c r="S96" i="43" s="1"/>
  <c r="V96" i="43" s="1"/>
  <c r="L252" i="40"/>
  <c r="S92" i="43" s="1"/>
  <c r="V92" i="43" s="1"/>
  <c r="L251" i="40"/>
  <c r="S91" i="43" s="1"/>
  <c r="V91" i="43" s="1"/>
  <c r="L253" i="40"/>
  <c r="S93" i="43" s="1"/>
  <c r="V93" i="43" s="1"/>
  <c r="Y253" i="40"/>
  <c r="T113" i="43" s="1"/>
  <c r="V113" i="43" s="1"/>
  <c r="Y256" i="40"/>
  <c r="T116" i="43" s="1"/>
  <c r="V116" i="43" s="1"/>
  <c r="Y251" i="40"/>
  <c r="T111" i="43" s="1"/>
  <c r="V111" i="43" s="1"/>
  <c r="L255" i="40"/>
  <c r="S95" i="43" s="1"/>
  <c r="U95" i="43" s="1"/>
  <c r="R256" i="40"/>
  <c r="S106" i="43" s="1"/>
  <c r="U106" i="43" s="1"/>
  <c r="S255" i="40"/>
  <c r="T105" i="43" s="1"/>
  <c r="V105" i="43" s="1"/>
  <c r="R253" i="40"/>
  <c r="S103" i="43" s="1"/>
  <c r="U103" i="43" s="1"/>
  <c r="R251" i="40"/>
  <c r="S101" i="43" s="1"/>
  <c r="U101" i="43" s="1"/>
  <c r="S253" i="40"/>
  <c r="T103" i="43" s="1"/>
  <c r="R254" i="40"/>
  <c r="S104" i="43" s="1"/>
  <c r="U104" i="43" s="1"/>
  <c r="S251" i="40"/>
  <c r="T101" i="43" s="1"/>
  <c r="R252" i="40"/>
  <c r="S102" i="43" s="1"/>
  <c r="U102" i="43" s="1"/>
  <c r="Y255" i="40"/>
  <c r="T115" i="43" s="1"/>
  <c r="V115" i="43" s="1"/>
  <c r="Y254" i="40"/>
  <c r="T114" i="43" s="1"/>
  <c r="V114" i="43" s="1"/>
  <c r="S254" i="40"/>
  <c r="T104" i="43" s="1"/>
  <c r="S252" i="40"/>
  <c r="T102" i="43" s="1"/>
  <c r="O102" i="43"/>
  <c r="N102" i="43"/>
  <c r="N92" i="43"/>
  <c r="N112" i="43"/>
  <c r="O112" i="43"/>
  <c r="N103" i="43"/>
  <c r="O113" i="43"/>
  <c r="N93" i="43"/>
  <c r="N113" i="43"/>
  <c r="O93" i="43"/>
  <c r="O103" i="43"/>
  <c r="O92" i="43"/>
  <c r="O273" i="40"/>
  <c r="O280" i="40" s="1"/>
  <c r="J273" i="40"/>
  <c r="M273" i="40" s="1"/>
  <c r="G276" i="40"/>
  <c r="G281" i="40"/>
  <c r="G279" i="40"/>
  <c r="G278" i="40"/>
  <c r="N273" i="40"/>
  <c r="N278" i="40" s="1"/>
  <c r="T273" i="40"/>
  <c r="W273" i="40" s="1"/>
  <c r="G280" i="40"/>
  <c r="P273" i="40"/>
  <c r="P276" i="40" s="1"/>
  <c r="G277" i="40"/>
  <c r="V273" i="40"/>
  <c r="V278" i="40" s="1"/>
  <c r="U273" i="40"/>
  <c r="U276" i="40" s="1"/>
  <c r="H273" i="40"/>
  <c r="H280" i="40" s="1"/>
  <c r="V112" i="43"/>
  <c r="U112" i="43"/>
  <c r="U113" i="43"/>
  <c r="U94" i="43"/>
  <c r="V94" i="43"/>
  <c r="U115" i="43"/>
  <c r="U116" i="43"/>
  <c r="U105" i="43"/>
  <c r="U114" i="43"/>
  <c r="U111" i="43"/>
  <c r="I278" i="40"/>
  <c r="I277" i="40"/>
  <c r="I280" i="40"/>
  <c r="I279" i="40"/>
  <c r="I281" i="40"/>
  <c r="I276" i="40"/>
  <c r="K204" i="40" l="1"/>
  <c r="N94" i="43"/>
  <c r="J172" i="40"/>
  <c r="Q182" i="40"/>
  <c r="R172" i="40"/>
  <c r="P204" i="40"/>
  <c r="P172" i="40"/>
  <c r="M145" i="40"/>
  <c r="G192" i="40"/>
  <c r="N216" i="40"/>
  <c r="N204" i="40"/>
  <c r="R192" i="40"/>
  <c r="V172" i="40"/>
  <c r="H192" i="40"/>
  <c r="U204" i="40"/>
  <c r="K182" i="40"/>
  <c r="G145" i="40"/>
  <c r="W145" i="40" s="1"/>
  <c r="I182" i="40"/>
  <c r="K216" i="40"/>
  <c r="K192" i="40"/>
  <c r="V192" i="40"/>
  <c r="V204" i="40"/>
  <c r="T192" i="40"/>
  <c r="V182" i="40"/>
  <c r="X192" i="40"/>
  <c r="K172" i="40"/>
  <c r="H172" i="40"/>
  <c r="L216" i="40"/>
  <c r="Q204" i="40"/>
  <c r="N182" i="40"/>
  <c r="M192" i="40"/>
  <c r="R182" i="40"/>
  <c r="K145" i="40"/>
  <c r="W216" i="40"/>
  <c r="T204" i="40"/>
  <c r="Y192" i="40"/>
  <c r="T216" i="40"/>
  <c r="P192" i="40"/>
  <c r="I172" i="40"/>
  <c r="W204" i="40"/>
  <c r="Q216" i="40"/>
  <c r="N172" i="40"/>
  <c r="U216" i="40"/>
  <c r="Y216" i="40"/>
  <c r="G216" i="40"/>
  <c r="U182" i="40"/>
  <c r="W182" i="40"/>
  <c r="Y172" i="40"/>
  <c r="H216" i="40"/>
  <c r="S216" i="40"/>
  <c r="R204" i="40"/>
  <c r="J182" i="40"/>
  <c r="S182" i="40"/>
  <c r="Y145" i="40"/>
  <c r="H145" i="40"/>
  <c r="J216" i="40"/>
  <c r="M204" i="40"/>
  <c r="L192" i="40"/>
  <c r="O216" i="40"/>
  <c r="Y182" i="40"/>
  <c r="O172" i="40"/>
  <c r="G182" i="40"/>
  <c r="X204" i="40"/>
  <c r="V216" i="40"/>
  <c r="Q192" i="40"/>
  <c r="S192" i="40"/>
  <c r="T182" i="40"/>
  <c r="N192" i="40"/>
  <c r="M182" i="40"/>
  <c r="S172" i="40"/>
  <c r="I216" i="40"/>
  <c r="I204" i="40"/>
  <c r="S204" i="40"/>
  <c r="J192" i="40"/>
  <c r="L182" i="40"/>
  <c r="U172" i="40"/>
  <c r="T172" i="40"/>
  <c r="G204" i="40"/>
  <c r="U192" i="40"/>
  <c r="G172" i="40"/>
  <c r="H204" i="40"/>
  <c r="X182" i="40"/>
  <c r="P216" i="40"/>
  <c r="W192" i="40"/>
  <c r="I192" i="40"/>
  <c r="Y204" i="40"/>
  <c r="J204" i="40"/>
  <c r="L172" i="40"/>
  <c r="M216" i="40"/>
  <c r="L204" i="40"/>
  <c r="H182" i="40"/>
  <c r="M172" i="40"/>
  <c r="R216" i="40"/>
  <c r="P182" i="40"/>
  <c r="Q172" i="40"/>
  <c r="X216" i="40"/>
  <c r="O192" i="40"/>
  <c r="O204" i="40"/>
  <c r="S145" i="40"/>
  <c r="O182" i="40"/>
  <c r="X172" i="40"/>
  <c r="W172" i="40"/>
  <c r="O114" i="43"/>
  <c r="F146" i="40"/>
  <c r="U91" i="43"/>
  <c r="F183" i="40"/>
  <c r="F193" i="40"/>
  <c r="N104" i="43"/>
  <c r="O94" i="43"/>
  <c r="O104" i="43"/>
  <c r="U96" i="43"/>
  <c r="U93" i="43"/>
  <c r="F205" i="40"/>
  <c r="F217" i="40"/>
  <c r="G341" i="40"/>
  <c r="M205" i="40" s="1"/>
  <c r="U92" i="43"/>
  <c r="V103" i="43"/>
  <c r="V101" i="43"/>
  <c r="V106" i="43"/>
  <c r="V95" i="43"/>
  <c r="V102" i="43"/>
  <c r="V104" i="43"/>
  <c r="O277" i="40"/>
  <c r="O278" i="40"/>
  <c r="O279" i="40"/>
  <c r="O276" i="40"/>
  <c r="O281" i="40"/>
  <c r="J278" i="40"/>
  <c r="J281" i="40"/>
  <c r="J279" i="40"/>
  <c r="J280" i="40"/>
  <c r="T278" i="40"/>
  <c r="T280" i="40"/>
  <c r="J277" i="40"/>
  <c r="J276" i="40"/>
  <c r="U280" i="40"/>
  <c r="V281" i="40"/>
  <c r="P281" i="40"/>
  <c r="U277" i="40"/>
  <c r="P279" i="40"/>
  <c r="T276" i="40"/>
  <c r="V277" i="40"/>
  <c r="P278" i="40"/>
  <c r="H281" i="40"/>
  <c r="V280" i="40"/>
  <c r="P280" i="40"/>
  <c r="H277" i="40"/>
  <c r="P277" i="40"/>
  <c r="N277" i="40"/>
  <c r="N276" i="40"/>
  <c r="H279" i="40"/>
  <c r="K273" i="40"/>
  <c r="K279" i="40" s="1"/>
  <c r="AF94" i="43" s="1"/>
  <c r="V276" i="40"/>
  <c r="S273" i="40"/>
  <c r="S281" i="40" s="1"/>
  <c r="AH106" i="43" s="1"/>
  <c r="N281" i="40"/>
  <c r="H278" i="40"/>
  <c r="H276" i="40"/>
  <c r="N279" i="40"/>
  <c r="R273" i="40"/>
  <c r="R278" i="40" s="1"/>
  <c r="AG103" i="43" s="1"/>
  <c r="L273" i="40"/>
  <c r="L278" i="40" s="1"/>
  <c r="AG93" i="43" s="1"/>
  <c r="N280" i="40"/>
  <c r="Q273" i="40"/>
  <c r="Q277" i="40" s="1"/>
  <c r="AF102" i="43" s="1"/>
  <c r="U281" i="40"/>
  <c r="U278" i="40"/>
  <c r="U279" i="40"/>
  <c r="X273" i="40"/>
  <c r="X279" i="40" s="1"/>
  <c r="AG114" i="43" s="1"/>
  <c r="V279" i="40"/>
  <c r="T281" i="40"/>
  <c r="T279" i="40"/>
  <c r="Y273" i="40"/>
  <c r="Y279" i="40" s="1"/>
  <c r="AH114" i="43" s="1"/>
  <c r="T277" i="40"/>
  <c r="M277" i="40"/>
  <c r="AH92" i="43" s="1"/>
  <c r="M278" i="40"/>
  <c r="AH93" i="43" s="1"/>
  <c r="M276" i="40"/>
  <c r="AH91" i="43" s="1"/>
  <c r="M280" i="40"/>
  <c r="AH95" i="43" s="1"/>
  <c r="M281" i="40"/>
  <c r="AH96" i="43" s="1"/>
  <c r="M279" i="40"/>
  <c r="AH94" i="43" s="1"/>
  <c r="W276" i="40"/>
  <c r="AF111" i="43" s="1"/>
  <c r="W280" i="40"/>
  <c r="AF115" i="43" s="1"/>
  <c r="W277" i="40"/>
  <c r="AF112" i="43" s="1"/>
  <c r="W281" i="40"/>
  <c r="AF116" i="43" s="1"/>
  <c r="W278" i="40"/>
  <c r="AF113" i="43" s="1"/>
  <c r="W279" i="40"/>
  <c r="AF114" i="43" s="1"/>
  <c r="K193" i="40" l="1"/>
  <c r="N145" i="40"/>
  <c r="Q145" i="40"/>
  <c r="Q235" i="40" s="1"/>
  <c r="K105" i="43" s="1"/>
  <c r="T145" i="40"/>
  <c r="K235" i="40"/>
  <c r="K95" i="43" s="1"/>
  <c r="S235" i="40"/>
  <c r="M105" i="43" s="1"/>
  <c r="Y235" i="40"/>
  <c r="M115" i="43" s="1"/>
  <c r="R235" i="40"/>
  <c r="L105" i="43" s="1"/>
  <c r="X235" i="40"/>
  <c r="L115" i="43" s="1"/>
  <c r="N115" i="43" s="1"/>
  <c r="L235" i="40"/>
  <c r="L95" i="43" s="1"/>
  <c r="M235" i="40"/>
  <c r="M95" i="43" s="1"/>
  <c r="G146" i="40"/>
  <c r="T146" i="40" s="1"/>
  <c r="Q205" i="40"/>
  <c r="K146" i="40"/>
  <c r="N217" i="40"/>
  <c r="Q183" i="40"/>
  <c r="M217" i="40"/>
  <c r="W173" i="40"/>
  <c r="R217" i="40"/>
  <c r="K183" i="40"/>
  <c r="X205" i="40"/>
  <c r="U193" i="40"/>
  <c r="V217" i="40"/>
  <c r="U217" i="40"/>
  <c r="M173" i="40"/>
  <c r="O183" i="40"/>
  <c r="T217" i="40"/>
  <c r="M146" i="40"/>
  <c r="Q173" i="40"/>
  <c r="O193" i="40"/>
  <c r="V193" i="40"/>
  <c r="X217" i="40"/>
  <c r="P183" i="40"/>
  <c r="J173" i="40"/>
  <c r="J217" i="40"/>
  <c r="I183" i="40"/>
  <c r="Y173" i="40"/>
  <c r="N205" i="40"/>
  <c r="X173" i="40"/>
  <c r="T193" i="40"/>
  <c r="Y193" i="40"/>
  <c r="W217" i="40"/>
  <c r="J193" i="40"/>
  <c r="S173" i="40"/>
  <c r="S217" i="40"/>
  <c r="U183" i="40"/>
  <c r="U205" i="40"/>
  <c r="Q217" i="40"/>
  <c r="U173" i="40"/>
  <c r="Y205" i="40"/>
  <c r="J183" i="40"/>
  <c r="H183" i="40"/>
  <c r="S193" i="40"/>
  <c r="W183" i="40"/>
  <c r="N173" i="40"/>
  <c r="O217" i="40"/>
  <c r="I205" i="40"/>
  <c r="G193" i="40"/>
  <c r="R183" i="40"/>
  <c r="T173" i="40"/>
  <c r="H205" i="40"/>
  <c r="V183" i="40"/>
  <c r="S183" i="40"/>
  <c r="Y146" i="40"/>
  <c r="O173" i="40"/>
  <c r="H217" i="40"/>
  <c r="R205" i="40"/>
  <c r="M183" i="40"/>
  <c r="K173" i="40"/>
  <c r="J205" i="40"/>
  <c r="Q193" i="40"/>
  <c r="T205" i="40"/>
  <c r="L193" i="40"/>
  <c r="O205" i="40"/>
  <c r="W236" i="40"/>
  <c r="K116" i="43" s="1"/>
  <c r="G217" i="40"/>
  <c r="G183" i="40"/>
  <c r="M193" i="40"/>
  <c r="P217" i="40"/>
  <c r="G205" i="40"/>
  <c r="P193" i="40"/>
  <c r="V205" i="40"/>
  <c r="R193" i="40"/>
  <c r="H146" i="40"/>
  <c r="P205" i="40"/>
  <c r="I193" i="40"/>
  <c r="H193" i="40"/>
  <c r="Y183" i="40"/>
  <c r="S146" i="40"/>
  <c r="P173" i="40"/>
  <c r="I217" i="40"/>
  <c r="S205" i="40"/>
  <c r="N193" i="40"/>
  <c r="X183" i="40"/>
  <c r="K217" i="40"/>
  <c r="W205" i="40"/>
  <c r="N183" i="40"/>
  <c r="X193" i="40"/>
  <c r="R173" i="40"/>
  <c r="H173" i="40"/>
  <c r="L217" i="40"/>
  <c r="K205" i="40"/>
  <c r="L183" i="40"/>
  <c r="V173" i="40"/>
  <c r="L205" i="40"/>
  <c r="L173" i="40"/>
  <c r="W193" i="40"/>
  <c r="G173" i="40"/>
  <c r="T183" i="40"/>
  <c r="I173" i="40"/>
  <c r="Y217" i="40"/>
  <c r="Q146" i="40"/>
  <c r="Q278" i="40"/>
  <c r="AF103" i="43" s="1"/>
  <c r="AI103" i="43" s="1"/>
  <c r="K278" i="40"/>
  <c r="AF93" i="43" s="1"/>
  <c r="AJ93" i="43" s="1"/>
  <c r="R276" i="40"/>
  <c r="AG101" i="43" s="1"/>
  <c r="L279" i="40"/>
  <c r="AG94" i="43" s="1"/>
  <c r="S280" i="40"/>
  <c r="AH105" i="43" s="1"/>
  <c r="R280" i="40"/>
  <c r="AG105" i="43" s="1"/>
  <c r="Q279" i="40"/>
  <c r="AF104" i="43" s="1"/>
  <c r="K280" i="40"/>
  <c r="AF95" i="43" s="1"/>
  <c r="K281" i="40"/>
  <c r="AF96" i="43" s="1"/>
  <c r="L280" i="40"/>
  <c r="AG95" i="43" s="1"/>
  <c r="K276" i="40"/>
  <c r="AF91" i="43" s="1"/>
  <c r="K277" i="40"/>
  <c r="AF92" i="43" s="1"/>
  <c r="L281" i="40"/>
  <c r="AG96" i="43" s="1"/>
  <c r="L277" i="40"/>
  <c r="AG92" i="43" s="1"/>
  <c r="L276" i="40"/>
  <c r="AG91" i="43" s="1"/>
  <c r="Q281" i="40"/>
  <c r="AF106" i="43" s="1"/>
  <c r="S276" i="40"/>
  <c r="AH101" i="43" s="1"/>
  <c r="X278" i="40"/>
  <c r="AG113" i="43" s="1"/>
  <c r="Q276" i="40"/>
  <c r="AF101" i="43" s="1"/>
  <c r="S279" i="40"/>
  <c r="AH104" i="43" s="1"/>
  <c r="Q280" i="40"/>
  <c r="AF105" i="43" s="1"/>
  <c r="S277" i="40"/>
  <c r="AH102" i="43" s="1"/>
  <c r="R277" i="40"/>
  <c r="AG102" i="43" s="1"/>
  <c r="R279" i="40"/>
  <c r="AG104" i="43" s="1"/>
  <c r="R281" i="40"/>
  <c r="AG106" i="43" s="1"/>
  <c r="S278" i="40"/>
  <c r="AH103" i="43" s="1"/>
  <c r="Y280" i="40"/>
  <c r="AH115" i="43" s="1"/>
  <c r="X276" i="40"/>
  <c r="AG111" i="43" s="1"/>
  <c r="Y277" i="40"/>
  <c r="AH112" i="43" s="1"/>
  <c r="X280" i="40"/>
  <c r="AG115" i="43" s="1"/>
  <c r="X277" i="40"/>
  <c r="AG112" i="43" s="1"/>
  <c r="Y278" i="40"/>
  <c r="AH113" i="43" s="1"/>
  <c r="Y276" i="40"/>
  <c r="AH111" i="43" s="1"/>
  <c r="X281" i="40"/>
  <c r="AG116" i="43" s="1"/>
  <c r="Y281" i="40"/>
  <c r="AH116" i="43" s="1"/>
  <c r="AJ114" i="43"/>
  <c r="AI114" i="43"/>
  <c r="R70" i="34"/>
  <c r="Y70" i="34" s="1"/>
  <c r="AF70" i="34" s="1"/>
  <c r="N95" i="43" l="1"/>
  <c r="O105" i="43"/>
  <c r="O115" i="43"/>
  <c r="O95" i="43"/>
  <c r="N105" i="43"/>
  <c r="N146" i="40"/>
  <c r="W146" i="40"/>
  <c r="K236" i="40"/>
  <c r="K96" i="43" s="1"/>
  <c r="M236" i="40"/>
  <c r="M96" i="43" s="1"/>
  <c r="S236" i="40"/>
  <c r="M106" i="43" s="1"/>
  <c r="Y236" i="40"/>
  <c r="M116" i="43" s="1"/>
  <c r="R236" i="40"/>
  <c r="L106" i="43" s="1"/>
  <c r="X236" i="40"/>
  <c r="L116" i="43" s="1"/>
  <c r="N116" i="43" s="1"/>
  <c r="L236" i="40"/>
  <c r="L96" i="43" s="1"/>
  <c r="Q236" i="40"/>
  <c r="K106" i="43" s="1"/>
  <c r="AI93" i="43"/>
  <c r="AJ106" i="43"/>
  <c r="AI96" i="43"/>
  <c r="AJ94" i="43"/>
  <c r="AJ91" i="43"/>
  <c r="AI104" i="43"/>
  <c r="AI94" i="43"/>
  <c r="AI91" i="43"/>
  <c r="AI105" i="43"/>
  <c r="AJ96" i="43"/>
  <c r="AI92" i="43"/>
  <c r="AJ111" i="43"/>
  <c r="AI111" i="43"/>
  <c r="AJ105" i="43"/>
  <c r="AI106" i="43"/>
  <c r="AJ101" i="43"/>
  <c r="AJ102" i="43"/>
  <c r="AI95" i="43"/>
  <c r="AJ113" i="43"/>
  <c r="AJ104" i="43"/>
  <c r="AJ92" i="43"/>
  <c r="AJ95" i="43"/>
  <c r="AI113" i="43"/>
  <c r="AI112" i="43"/>
  <c r="AI116" i="43"/>
  <c r="AI101" i="43"/>
  <c r="AJ112" i="43"/>
  <c r="AI102" i="43"/>
  <c r="AJ103" i="43"/>
  <c r="AI115" i="43"/>
  <c r="AJ115" i="43"/>
  <c r="AJ116" i="43"/>
  <c r="O96" i="43" l="1"/>
  <c r="O116" i="43"/>
  <c r="O106" i="43"/>
  <c r="N96" i="43"/>
  <c r="N106" i="43"/>
  <c r="F80" i="40"/>
  <c r="J80" i="40" s="1"/>
  <c r="J81" i="40" s="1"/>
  <c r="F64" i="40" l="1"/>
  <c r="J63" i="40"/>
  <c r="F81" i="40"/>
  <c r="F84" i="40" l="1"/>
  <c r="F86" i="40"/>
  <c r="J64" i="40"/>
  <c r="J84" i="40"/>
  <c r="J86" i="40" s="1"/>
  <c r="F13" i="43" l="1"/>
  <c r="C13" i="44" s="1"/>
  <c r="F286" i="40"/>
  <c r="F10" i="43"/>
  <c r="C10" i="44" s="1"/>
  <c r="F261" i="40"/>
  <c r="F12" i="43"/>
  <c r="C12" i="44" s="1"/>
  <c r="F285" i="40"/>
  <c r="F300" i="40" l="1"/>
  <c r="F297" i="40"/>
  <c r="F298" i="40"/>
  <c r="F296" i="40"/>
  <c r="F299" i="40"/>
  <c r="F295" i="40"/>
  <c r="G286" i="40"/>
  <c r="F267" i="40"/>
  <c r="F265" i="40"/>
  <c r="F264" i="40"/>
  <c r="F266" i="40"/>
  <c r="F269" i="40"/>
  <c r="F268" i="40"/>
  <c r="G261" i="40"/>
  <c r="F290" i="40"/>
  <c r="F288" i="40"/>
  <c r="F292" i="40"/>
  <c r="F289" i="40"/>
  <c r="F291" i="40"/>
  <c r="F293" i="40"/>
  <c r="G285" i="40"/>
  <c r="G265" i="40" l="1"/>
  <c r="G269" i="40"/>
  <c r="G268" i="40"/>
  <c r="G264" i="40"/>
  <c r="G266" i="40"/>
  <c r="O261" i="40"/>
  <c r="I261" i="40"/>
  <c r="G267" i="40"/>
  <c r="U261" i="40"/>
  <c r="J261" i="40"/>
  <c r="P261" i="40"/>
  <c r="N261" i="40"/>
  <c r="H261" i="40"/>
  <c r="T261" i="40"/>
  <c r="V261" i="40"/>
  <c r="G300" i="40"/>
  <c r="G296" i="40"/>
  <c r="G298" i="40"/>
  <c r="G295" i="40"/>
  <c r="G299" i="40"/>
  <c r="J286" i="40"/>
  <c r="H286" i="40"/>
  <c r="U286" i="40"/>
  <c r="N286" i="40"/>
  <c r="T286" i="40"/>
  <c r="O286" i="40"/>
  <c r="G297" i="40"/>
  <c r="P286" i="40"/>
  <c r="I286" i="40"/>
  <c r="V286" i="40"/>
  <c r="G291" i="40"/>
  <c r="G293" i="40"/>
  <c r="G288" i="40"/>
  <c r="G292" i="40"/>
  <c r="G290" i="40"/>
  <c r="O285" i="40"/>
  <c r="N285" i="40"/>
  <c r="T285" i="40"/>
  <c r="U285" i="40"/>
  <c r="V285" i="40"/>
  <c r="J285" i="40"/>
  <c r="G289" i="40"/>
  <c r="H285" i="40"/>
  <c r="I285" i="40"/>
  <c r="P285" i="40"/>
  <c r="I291" i="40" l="1"/>
  <c r="I292" i="40"/>
  <c r="I288" i="40"/>
  <c r="I289" i="40"/>
  <c r="I290" i="40"/>
  <c r="I293" i="40"/>
  <c r="L285" i="40"/>
  <c r="O289" i="40"/>
  <c r="O288" i="40"/>
  <c r="O291" i="40"/>
  <c r="O292" i="40"/>
  <c r="O290" i="40"/>
  <c r="O293" i="40"/>
  <c r="R285" i="40"/>
  <c r="N298" i="40"/>
  <c r="N297" i="40"/>
  <c r="N296" i="40"/>
  <c r="N299" i="40"/>
  <c r="N300" i="40"/>
  <c r="N295" i="40"/>
  <c r="Q286" i="40"/>
  <c r="U293" i="40"/>
  <c r="U292" i="40"/>
  <c r="U288" i="40"/>
  <c r="U291" i="40"/>
  <c r="U289" i="40"/>
  <c r="X285" i="40"/>
  <c r="U290" i="40"/>
  <c r="V265" i="40"/>
  <c r="V268" i="40"/>
  <c r="V264" i="40"/>
  <c r="V269" i="40"/>
  <c r="V266" i="40"/>
  <c r="V267" i="40"/>
  <c r="Y261" i="40"/>
  <c r="P268" i="40"/>
  <c r="P264" i="40"/>
  <c r="P266" i="40"/>
  <c r="P269" i="40"/>
  <c r="P265" i="40"/>
  <c r="P267" i="40"/>
  <c r="S261" i="40"/>
  <c r="I266" i="40"/>
  <c r="I268" i="40"/>
  <c r="I269" i="40"/>
  <c r="I264" i="40"/>
  <c r="I267" i="40"/>
  <c r="I265" i="40"/>
  <c r="L261" i="40"/>
  <c r="T291" i="40"/>
  <c r="T290" i="40"/>
  <c r="T289" i="40"/>
  <c r="T293" i="40"/>
  <c r="T292" i="40"/>
  <c r="T288" i="40"/>
  <c r="W285" i="40"/>
  <c r="V297" i="40"/>
  <c r="V299" i="40"/>
  <c r="V300" i="40"/>
  <c r="V296" i="40"/>
  <c r="V298" i="40"/>
  <c r="V295" i="40"/>
  <c r="Y286" i="40"/>
  <c r="O299" i="40"/>
  <c r="O296" i="40"/>
  <c r="O298" i="40"/>
  <c r="O295" i="40"/>
  <c r="O297" i="40"/>
  <c r="O300" i="40"/>
  <c r="R286" i="40"/>
  <c r="H300" i="40"/>
  <c r="H296" i="40"/>
  <c r="H295" i="40"/>
  <c r="H299" i="40"/>
  <c r="H298" i="40"/>
  <c r="H297" i="40"/>
  <c r="K286" i="40"/>
  <c r="T264" i="40"/>
  <c r="T268" i="40"/>
  <c r="T266" i="40"/>
  <c r="T267" i="40"/>
  <c r="T265" i="40"/>
  <c r="T269" i="40"/>
  <c r="W261" i="40"/>
  <c r="J267" i="40"/>
  <c r="J268" i="40"/>
  <c r="J269" i="40"/>
  <c r="J264" i="40"/>
  <c r="J265" i="40"/>
  <c r="J266" i="40"/>
  <c r="M261" i="40"/>
  <c r="O265" i="40"/>
  <c r="O269" i="40"/>
  <c r="O267" i="40"/>
  <c r="O266" i="40"/>
  <c r="O264" i="40"/>
  <c r="O268" i="40"/>
  <c r="R261" i="40"/>
  <c r="V290" i="40"/>
  <c r="V292" i="40"/>
  <c r="V288" i="40"/>
  <c r="V291" i="40"/>
  <c r="V293" i="40"/>
  <c r="V289" i="40"/>
  <c r="Y285" i="40"/>
  <c r="P295" i="40"/>
  <c r="P297" i="40"/>
  <c r="P296" i="40"/>
  <c r="P300" i="40"/>
  <c r="P299" i="40"/>
  <c r="P298" i="40"/>
  <c r="S286" i="40"/>
  <c r="N268" i="40"/>
  <c r="N269" i="40"/>
  <c r="N267" i="40"/>
  <c r="N264" i="40"/>
  <c r="N266" i="40"/>
  <c r="Q261" i="40"/>
  <c r="N265" i="40"/>
  <c r="H289" i="40"/>
  <c r="H290" i="40"/>
  <c r="H291" i="40"/>
  <c r="H292" i="40"/>
  <c r="H293" i="40"/>
  <c r="H288" i="40"/>
  <c r="K285" i="40"/>
  <c r="U297" i="40"/>
  <c r="U299" i="40"/>
  <c r="U296" i="40"/>
  <c r="U298" i="40"/>
  <c r="U295" i="40"/>
  <c r="X286" i="40"/>
  <c r="U300" i="40"/>
  <c r="P293" i="40"/>
  <c r="P292" i="40"/>
  <c r="P290" i="40"/>
  <c r="P291" i="40"/>
  <c r="P289" i="40"/>
  <c r="P288" i="40"/>
  <c r="S285" i="40"/>
  <c r="J290" i="40"/>
  <c r="J289" i="40"/>
  <c r="J293" i="40"/>
  <c r="J288" i="40"/>
  <c r="J291" i="40"/>
  <c r="M285" i="40"/>
  <c r="J292" i="40"/>
  <c r="N290" i="40"/>
  <c r="N289" i="40"/>
  <c r="N292" i="40"/>
  <c r="N291" i="40"/>
  <c r="N288" i="40"/>
  <c r="N293" i="40"/>
  <c r="Q285" i="40"/>
  <c r="I298" i="40"/>
  <c r="I295" i="40"/>
  <c r="I300" i="40"/>
  <c r="I297" i="40"/>
  <c r="I299" i="40"/>
  <c r="I296" i="40"/>
  <c r="L286" i="40"/>
  <c r="T300" i="40"/>
  <c r="T295" i="40"/>
  <c r="T298" i="40"/>
  <c r="T299" i="40"/>
  <c r="T297" i="40"/>
  <c r="T296" i="40"/>
  <c r="W286" i="40"/>
  <c r="J299" i="40"/>
  <c r="J296" i="40"/>
  <c r="J297" i="40"/>
  <c r="J295" i="40"/>
  <c r="J300" i="40"/>
  <c r="J298" i="40"/>
  <c r="M286" i="40"/>
  <c r="H267" i="40"/>
  <c r="H265" i="40"/>
  <c r="H264" i="40"/>
  <c r="H268" i="40"/>
  <c r="H269" i="40"/>
  <c r="H266" i="40"/>
  <c r="K261" i="40"/>
  <c r="U266" i="40"/>
  <c r="U264" i="40"/>
  <c r="U268" i="40"/>
  <c r="U265" i="40"/>
  <c r="U269" i="40"/>
  <c r="U267" i="40"/>
  <c r="X261" i="40"/>
  <c r="M265" i="40" l="1"/>
  <c r="AA92" i="43" s="1"/>
  <c r="F92" i="43" s="1"/>
  <c r="M267" i="40"/>
  <c r="AA94" i="43" s="1"/>
  <c r="F94" i="43" s="1"/>
  <c r="M269" i="40"/>
  <c r="AA96" i="43" s="1"/>
  <c r="F96" i="43" s="1"/>
  <c r="M268" i="40"/>
  <c r="AA95" i="43" s="1"/>
  <c r="F95" i="43" s="1"/>
  <c r="M264" i="40"/>
  <c r="AA91" i="43" s="1"/>
  <c r="F91" i="43" s="1"/>
  <c r="M266" i="40"/>
  <c r="AA93" i="43" s="1"/>
  <c r="F93" i="43" s="1"/>
  <c r="Y296" i="40"/>
  <c r="F172" i="43" s="1"/>
  <c r="U219" i="43" s="1"/>
  <c r="Y299" i="40"/>
  <c r="F175" i="43" s="1"/>
  <c r="U222" i="43" s="1"/>
  <c r="Y300" i="40"/>
  <c r="F176" i="43" s="1"/>
  <c r="U223" i="43" s="1"/>
  <c r="Y295" i="40"/>
  <c r="F171" i="43" s="1"/>
  <c r="U218" i="43" s="1"/>
  <c r="Y298" i="40"/>
  <c r="F174" i="43" s="1"/>
  <c r="U221" i="43" s="1"/>
  <c r="Y297" i="40"/>
  <c r="F173" i="43" s="1"/>
  <c r="U220" i="43" s="1"/>
  <c r="Q290" i="40"/>
  <c r="D134" i="43" s="1"/>
  <c r="Q293" i="40"/>
  <c r="D137" i="43" s="1"/>
  <c r="Q291" i="40"/>
  <c r="D135" i="43" s="1"/>
  <c r="Q289" i="40"/>
  <c r="D133" i="43" s="1"/>
  <c r="Q292" i="40"/>
  <c r="D136" i="43" s="1"/>
  <c r="Q288" i="40"/>
  <c r="D132" i="43" s="1"/>
  <c r="M293" i="40"/>
  <c r="F128" i="43" s="1"/>
  <c r="P203" i="43" s="1"/>
  <c r="M289" i="40"/>
  <c r="F124" i="43" s="1"/>
  <c r="P199" i="43" s="1"/>
  <c r="M291" i="40"/>
  <c r="F126" i="43" s="1"/>
  <c r="P201" i="43" s="1"/>
  <c r="M292" i="40"/>
  <c r="F127" i="43" s="1"/>
  <c r="P202" i="43" s="1"/>
  <c r="M288" i="40"/>
  <c r="F123" i="43" s="1"/>
  <c r="P198" i="43" s="1"/>
  <c r="M290" i="40"/>
  <c r="F125" i="43" s="1"/>
  <c r="P200" i="43" s="1"/>
  <c r="R295" i="40"/>
  <c r="E162" i="43" s="1"/>
  <c r="T208" i="43" s="1"/>
  <c r="R299" i="40"/>
  <c r="E166" i="43" s="1"/>
  <c r="T212" i="43" s="1"/>
  <c r="R297" i="40"/>
  <c r="E164" i="43" s="1"/>
  <c r="T210" i="43" s="1"/>
  <c r="R300" i="40"/>
  <c r="E167" i="43" s="1"/>
  <c r="T213" i="43" s="1"/>
  <c r="R296" i="40"/>
  <c r="E163" i="43" s="1"/>
  <c r="T209" i="43" s="1"/>
  <c r="R298" i="40"/>
  <c r="E165" i="43" s="1"/>
  <c r="T211" i="43" s="1"/>
  <c r="S266" i="40"/>
  <c r="AA103" i="43" s="1"/>
  <c r="F103" i="43" s="1"/>
  <c r="S265" i="40"/>
  <c r="AA102" i="43" s="1"/>
  <c r="F102" i="43" s="1"/>
  <c r="S267" i="40"/>
  <c r="AA104" i="43" s="1"/>
  <c r="F104" i="43" s="1"/>
  <c r="S264" i="40"/>
  <c r="AA101" i="43" s="1"/>
  <c r="F101" i="43" s="1"/>
  <c r="S269" i="40"/>
  <c r="AA106" i="43" s="1"/>
  <c r="F106" i="43" s="1"/>
  <c r="S268" i="40"/>
  <c r="AA105" i="43" s="1"/>
  <c r="F105" i="43" s="1"/>
  <c r="W299" i="40"/>
  <c r="D175" i="43" s="1"/>
  <c r="W296" i="40"/>
  <c r="D172" i="43" s="1"/>
  <c r="W297" i="40"/>
  <c r="D173" i="43" s="1"/>
  <c r="W295" i="40"/>
  <c r="D171" i="43" s="1"/>
  <c r="W298" i="40"/>
  <c r="D174" i="43" s="1"/>
  <c r="W300" i="40"/>
  <c r="D176" i="43" s="1"/>
  <c r="S292" i="40"/>
  <c r="F136" i="43" s="1"/>
  <c r="P212" i="43" s="1"/>
  <c r="S291" i="40"/>
  <c r="F135" i="43" s="1"/>
  <c r="P211" i="43" s="1"/>
  <c r="S290" i="40"/>
  <c r="F134" i="43" s="1"/>
  <c r="P210" i="43" s="1"/>
  <c r="S289" i="40"/>
  <c r="F133" i="43" s="1"/>
  <c r="P209" i="43" s="1"/>
  <c r="S288" i="40"/>
  <c r="F132" i="43" s="1"/>
  <c r="P208" i="43" s="1"/>
  <c r="S293" i="40"/>
  <c r="F137" i="43" s="1"/>
  <c r="P213" i="43" s="1"/>
  <c r="X297" i="40"/>
  <c r="E173" i="43" s="1"/>
  <c r="T220" i="43" s="1"/>
  <c r="X295" i="40"/>
  <c r="E171" i="43" s="1"/>
  <c r="T218" i="43" s="1"/>
  <c r="X298" i="40"/>
  <c r="E174" i="43" s="1"/>
  <c r="T221" i="43" s="1"/>
  <c r="X296" i="40"/>
  <c r="E172" i="43" s="1"/>
  <c r="T219" i="43" s="1"/>
  <c r="X299" i="40"/>
  <c r="E175" i="43" s="1"/>
  <c r="T222" i="43" s="1"/>
  <c r="X300" i="40"/>
  <c r="E176" i="43" s="1"/>
  <c r="T223" i="43" s="1"/>
  <c r="S300" i="40"/>
  <c r="F167" i="43" s="1"/>
  <c r="U213" i="43" s="1"/>
  <c r="S296" i="40"/>
  <c r="F163" i="43" s="1"/>
  <c r="U209" i="43" s="1"/>
  <c r="S297" i="40"/>
  <c r="F164" i="43" s="1"/>
  <c r="U210" i="43" s="1"/>
  <c r="S299" i="40"/>
  <c r="F166" i="43" s="1"/>
  <c r="U212" i="43" s="1"/>
  <c r="S295" i="40"/>
  <c r="F162" i="43" s="1"/>
  <c r="U208" i="43" s="1"/>
  <c r="S298" i="40"/>
  <c r="F165" i="43" s="1"/>
  <c r="U211" i="43" s="1"/>
  <c r="W268" i="40"/>
  <c r="Y115" i="43" s="1"/>
  <c r="W269" i="40"/>
  <c r="Y116" i="43" s="1"/>
  <c r="W264" i="40"/>
  <c r="Y111" i="43" s="1"/>
  <c r="W267" i="40"/>
  <c r="Y114" i="43" s="1"/>
  <c r="W265" i="40"/>
  <c r="Y112" i="43" s="1"/>
  <c r="W266" i="40"/>
  <c r="Y113" i="43" s="1"/>
  <c r="W291" i="40"/>
  <c r="D144" i="43" s="1"/>
  <c r="W292" i="40"/>
  <c r="D145" i="43" s="1"/>
  <c r="W289" i="40"/>
  <c r="D142" i="43" s="1"/>
  <c r="W290" i="40"/>
  <c r="D143" i="43" s="1"/>
  <c r="W293" i="40"/>
  <c r="D146" i="43" s="1"/>
  <c r="W288" i="40"/>
  <c r="D141" i="43" s="1"/>
  <c r="M300" i="40"/>
  <c r="F158" i="43" s="1"/>
  <c r="U203" i="43" s="1"/>
  <c r="M296" i="40"/>
  <c r="F154" i="43" s="1"/>
  <c r="U199" i="43" s="1"/>
  <c r="M295" i="40"/>
  <c r="F153" i="43" s="1"/>
  <c r="U198" i="43" s="1"/>
  <c r="M297" i="40"/>
  <c r="F155" i="43" s="1"/>
  <c r="U200" i="43" s="1"/>
  <c r="M299" i="40"/>
  <c r="F157" i="43" s="1"/>
  <c r="U202" i="43" s="1"/>
  <c r="M298" i="40"/>
  <c r="F156" i="43" s="1"/>
  <c r="U201" i="43" s="1"/>
  <c r="Y266" i="40"/>
  <c r="AA113" i="43" s="1"/>
  <c r="F113" i="43" s="1"/>
  <c r="Y264" i="40"/>
  <c r="AA111" i="43" s="1"/>
  <c r="F111" i="43" s="1"/>
  <c r="Y268" i="40"/>
  <c r="AA115" i="43" s="1"/>
  <c r="F115" i="43" s="1"/>
  <c r="Y267" i="40"/>
  <c r="AA114" i="43" s="1"/>
  <c r="F114" i="43" s="1"/>
  <c r="Y269" i="40"/>
  <c r="AA116" i="43" s="1"/>
  <c r="F116" i="43" s="1"/>
  <c r="Y265" i="40"/>
  <c r="AA112" i="43" s="1"/>
  <c r="F112" i="43" s="1"/>
  <c r="X291" i="40"/>
  <c r="E144" i="43" s="1"/>
  <c r="O221" i="43" s="1"/>
  <c r="X289" i="40"/>
  <c r="E142" i="43" s="1"/>
  <c r="O219" i="43" s="1"/>
  <c r="X290" i="40"/>
  <c r="E143" i="43" s="1"/>
  <c r="O220" i="43" s="1"/>
  <c r="X292" i="40"/>
  <c r="E145" i="43" s="1"/>
  <c r="O222" i="43" s="1"/>
  <c r="X293" i="40"/>
  <c r="E146" i="43" s="1"/>
  <c r="O223" i="43" s="1"/>
  <c r="X288" i="40"/>
  <c r="E141" i="43" s="1"/>
  <c r="O218" i="43" s="1"/>
  <c r="L289" i="40"/>
  <c r="E124" i="43" s="1"/>
  <c r="O199" i="43" s="1"/>
  <c r="L293" i="40"/>
  <c r="E128" i="43" s="1"/>
  <c r="O203" i="43" s="1"/>
  <c r="L290" i="40"/>
  <c r="E125" i="43" s="1"/>
  <c r="O200" i="43" s="1"/>
  <c r="L291" i="40"/>
  <c r="E126" i="43" s="1"/>
  <c r="O201" i="43" s="1"/>
  <c r="L292" i="40"/>
  <c r="E127" i="43" s="1"/>
  <c r="O202" i="43" s="1"/>
  <c r="L288" i="40"/>
  <c r="E123" i="43" s="1"/>
  <c r="O198" i="43" s="1"/>
  <c r="K265" i="40"/>
  <c r="Y92" i="43" s="1"/>
  <c r="K268" i="40"/>
  <c r="Y95" i="43" s="1"/>
  <c r="K267" i="40"/>
  <c r="Y94" i="43" s="1"/>
  <c r="K266" i="40"/>
  <c r="Y93" i="43" s="1"/>
  <c r="K269" i="40"/>
  <c r="Y96" i="43" s="1"/>
  <c r="K264" i="40"/>
  <c r="Y91" i="43" s="1"/>
  <c r="K293" i="40"/>
  <c r="D128" i="43" s="1"/>
  <c r="K290" i="40"/>
  <c r="D125" i="43" s="1"/>
  <c r="K289" i="40"/>
  <c r="D124" i="43" s="1"/>
  <c r="K291" i="40"/>
  <c r="D126" i="43" s="1"/>
  <c r="K292" i="40"/>
  <c r="D127" i="43" s="1"/>
  <c r="K288" i="40"/>
  <c r="D123" i="43" s="1"/>
  <c r="Q265" i="40"/>
  <c r="Y102" i="43" s="1"/>
  <c r="Q267" i="40"/>
  <c r="Y104" i="43" s="1"/>
  <c r="Q268" i="40"/>
  <c r="Y105" i="43" s="1"/>
  <c r="Q269" i="40"/>
  <c r="Y106" i="43" s="1"/>
  <c r="Q266" i="40"/>
  <c r="Y103" i="43" s="1"/>
  <c r="Q264" i="40"/>
  <c r="Y101" i="43" s="1"/>
  <c r="R266" i="40"/>
  <c r="Z103" i="43" s="1"/>
  <c r="E103" i="43" s="1"/>
  <c r="R269" i="40"/>
  <c r="Z106" i="43" s="1"/>
  <c r="E106" i="43" s="1"/>
  <c r="R264" i="40"/>
  <c r="Z101" i="43" s="1"/>
  <c r="E101" i="43" s="1"/>
  <c r="R268" i="40"/>
  <c r="Z105" i="43" s="1"/>
  <c r="E105" i="43" s="1"/>
  <c r="R265" i="40"/>
  <c r="Z102" i="43" s="1"/>
  <c r="E102" i="43" s="1"/>
  <c r="R267" i="40"/>
  <c r="Z104" i="43" s="1"/>
  <c r="E104" i="43" s="1"/>
  <c r="R289" i="40"/>
  <c r="E133" i="43" s="1"/>
  <c r="O209" i="43" s="1"/>
  <c r="R293" i="40"/>
  <c r="E137" i="43" s="1"/>
  <c r="O213" i="43" s="1"/>
  <c r="R290" i="40"/>
  <c r="E134" i="43" s="1"/>
  <c r="O210" i="43" s="1"/>
  <c r="R291" i="40"/>
  <c r="E135" i="43" s="1"/>
  <c r="O211" i="43" s="1"/>
  <c r="R292" i="40"/>
  <c r="E136" i="43" s="1"/>
  <c r="O212" i="43" s="1"/>
  <c r="R288" i="40"/>
  <c r="E132" i="43" s="1"/>
  <c r="O208" i="43" s="1"/>
  <c r="X268" i="40"/>
  <c r="Z115" i="43" s="1"/>
  <c r="E115" i="43" s="1"/>
  <c r="X265" i="40"/>
  <c r="Z112" i="43" s="1"/>
  <c r="E112" i="43" s="1"/>
  <c r="X269" i="40"/>
  <c r="Z116" i="43" s="1"/>
  <c r="E116" i="43" s="1"/>
  <c r="X266" i="40"/>
  <c r="Z113" i="43" s="1"/>
  <c r="E113" i="43" s="1"/>
  <c r="X267" i="40"/>
  <c r="Z114" i="43" s="1"/>
  <c r="E114" i="43" s="1"/>
  <c r="X264" i="40"/>
  <c r="Z111" i="43" s="1"/>
  <c r="E111" i="43" s="1"/>
  <c r="L297" i="40"/>
  <c r="E155" i="43" s="1"/>
  <c r="T200" i="43" s="1"/>
  <c r="L298" i="40"/>
  <c r="E156" i="43" s="1"/>
  <c r="T201" i="43" s="1"/>
  <c r="L299" i="40"/>
  <c r="E157" i="43" s="1"/>
  <c r="T202" i="43" s="1"/>
  <c r="L295" i="40"/>
  <c r="E153" i="43" s="1"/>
  <c r="T198" i="43" s="1"/>
  <c r="L300" i="40"/>
  <c r="E158" i="43" s="1"/>
  <c r="T203" i="43" s="1"/>
  <c r="L296" i="40"/>
  <c r="E154" i="43" s="1"/>
  <c r="T199" i="43" s="1"/>
  <c r="Y289" i="40"/>
  <c r="F142" i="43" s="1"/>
  <c r="P219" i="43" s="1"/>
  <c r="Y293" i="40"/>
  <c r="F146" i="43" s="1"/>
  <c r="P223" i="43" s="1"/>
  <c r="Y291" i="40"/>
  <c r="F144" i="43" s="1"/>
  <c r="P221" i="43" s="1"/>
  <c r="Y288" i="40"/>
  <c r="F141" i="43" s="1"/>
  <c r="P218" i="43" s="1"/>
  <c r="Y290" i="40"/>
  <c r="F143" i="43" s="1"/>
  <c r="P220" i="43" s="1"/>
  <c r="Y292" i="40"/>
  <c r="F145" i="43" s="1"/>
  <c r="P222" i="43" s="1"/>
  <c r="K300" i="40"/>
  <c r="D158" i="43" s="1"/>
  <c r="K299" i="40"/>
  <c r="D157" i="43" s="1"/>
  <c r="K297" i="40"/>
  <c r="D155" i="43" s="1"/>
  <c r="K296" i="40"/>
  <c r="D154" i="43" s="1"/>
  <c r="K298" i="40"/>
  <c r="D156" i="43" s="1"/>
  <c r="K295" i="40"/>
  <c r="D153" i="43" s="1"/>
  <c r="L264" i="40"/>
  <c r="Z91" i="43" s="1"/>
  <c r="E91" i="43" s="1"/>
  <c r="L268" i="40"/>
  <c r="Z95" i="43" s="1"/>
  <c r="E95" i="43" s="1"/>
  <c r="L269" i="40"/>
  <c r="Z96" i="43" s="1"/>
  <c r="E96" i="43" s="1"/>
  <c r="L266" i="40"/>
  <c r="Z93" i="43" s="1"/>
  <c r="E93" i="43" s="1"/>
  <c r="L267" i="40"/>
  <c r="Z94" i="43" s="1"/>
  <c r="E94" i="43" s="1"/>
  <c r="L265" i="40"/>
  <c r="Z92" i="43" s="1"/>
  <c r="E92" i="43" s="1"/>
  <c r="Q298" i="40"/>
  <c r="D165" i="43" s="1"/>
  <c r="Q296" i="40"/>
  <c r="D163" i="43" s="1"/>
  <c r="Q299" i="40"/>
  <c r="D166" i="43" s="1"/>
  <c r="Q297" i="40"/>
  <c r="D164" i="43" s="1"/>
  <c r="Q300" i="40"/>
  <c r="D167" i="43" s="1"/>
  <c r="Q295" i="40"/>
  <c r="D162" i="43" s="1"/>
  <c r="J199" i="43" l="1"/>
  <c r="E61" i="43"/>
  <c r="E199" i="43" s="1"/>
  <c r="S199" i="43"/>
  <c r="G154" i="43"/>
  <c r="V199" i="43" s="1"/>
  <c r="H154" i="43"/>
  <c r="W199" i="43" s="1"/>
  <c r="J219" i="43"/>
  <c r="E79" i="43"/>
  <c r="E219" i="43" s="1"/>
  <c r="J211" i="43"/>
  <c r="E72" i="43"/>
  <c r="E211" i="43" s="1"/>
  <c r="AC106" i="43"/>
  <c r="AB106" i="43"/>
  <c r="D106" i="43"/>
  <c r="H125" i="43"/>
  <c r="R200" i="43" s="1"/>
  <c r="G125" i="43"/>
  <c r="Q200" i="43" s="1"/>
  <c r="N200" i="43"/>
  <c r="AB93" i="43"/>
  <c r="AC93" i="43"/>
  <c r="D93" i="43"/>
  <c r="K219" i="43"/>
  <c r="F79" i="43"/>
  <c r="F219" i="43" s="1"/>
  <c r="N222" i="43"/>
  <c r="G145" i="43"/>
  <c r="Q222" i="43" s="1"/>
  <c r="H145" i="43"/>
  <c r="R222" i="43" s="1"/>
  <c r="K212" i="43"/>
  <c r="F73" i="43"/>
  <c r="F212" i="43" s="1"/>
  <c r="N209" i="43"/>
  <c r="G133" i="43"/>
  <c r="Q209" i="43" s="1"/>
  <c r="H133" i="43"/>
  <c r="R209" i="43" s="1"/>
  <c r="K202" i="43"/>
  <c r="F64" i="43"/>
  <c r="F202" i="43" s="1"/>
  <c r="J201" i="43"/>
  <c r="E63" i="43"/>
  <c r="E201" i="43" s="1"/>
  <c r="G155" i="43"/>
  <c r="V200" i="43" s="1"/>
  <c r="H155" i="43"/>
  <c r="W200" i="43" s="1"/>
  <c r="S200" i="43"/>
  <c r="E81" i="43"/>
  <c r="E221" i="43" s="1"/>
  <c r="J221" i="43"/>
  <c r="E71" i="43"/>
  <c r="E210" i="43" s="1"/>
  <c r="J210" i="43"/>
  <c r="H127" i="43"/>
  <c r="R202" i="43" s="1"/>
  <c r="G127" i="43"/>
  <c r="Q202" i="43" s="1"/>
  <c r="N202" i="43"/>
  <c r="H128" i="43"/>
  <c r="R203" i="43" s="1"/>
  <c r="N203" i="43"/>
  <c r="G128" i="43"/>
  <c r="Q203" i="43" s="1"/>
  <c r="K220" i="43"/>
  <c r="F80" i="43"/>
  <c r="F220" i="43" s="1"/>
  <c r="H146" i="43"/>
  <c r="R223" i="43" s="1"/>
  <c r="N223" i="43"/>
  <c r="G146" i="43"/>
  <c r="Q223" i="43" s="1"/>
  <c r="AB111" i="43"/>
  <c r="AC111" i="43"/>
  <c r="D111" i="43"/>
  <c r="G173" i="43"/>
  <c r="V220" i="43" s="1"/>
  <c r="H173" i="43"/>
  <c r="W220" i="43" s="1"/>
  <c r="S220" i="43"/>
  <c r="F74" i="43"/>
  <c r="F213" i="43" s="1"/>
  <c r="K213" i="43"/>
  <c r="K210" i="43"/>
  <c r="F71" i="43"/>
  <c r="F210" i="43" s="1"/>
  <c r="N211" i="43"/>
  <c r="G135" i="43"/>
  <c r="Q211" i="43" s="1"/>
  <c r="H135" i="43"/>
  <c r="R211" i="43" s="1"/>
  <c r="F65" i="43"/>
  <c r="F203" i="43" s="1"/>
  <c r="K203" i="43"/>
  <c r="S208" i="43"/>
  <c r="G162" i="43"/>
  <c r="V208" i="43" s="1"/>
  <c r="H162" i="43"/>
  <c r="W208" i="43" s="1"/>
  <c r="S209" i="43"/>
  <c r="H163" i="43"/>
  <c r="W209" i="43" s="1"/>
  <c r="G163" i="43"/>
  <c r="V209" i="43" s="1"/>
  <c r="E62" i="43"/>
  <c r="E200" i="43" s="1"/>
  <c r="J200" i="43"/>
  <c r="S198" i="43"/>
  <c r="G153" i="43"/>
  <c r="V198" i="43" s="1"/>
  <c r="H153" i="43"/>
  <c r="W198" i="43" s="1"/>
  <c r="H157" i="43"/>
  <c r="W202" i="43" s="1"/>
  <c r="S202" i="43"/>
  <c r="G157" i="43"/>
  <c r="V202" i="43" s="1"/>
  <c r="E80" i="43"/>
  <c r="E220" i="43" s="1"/>
  <c r="J220" i="43"/>
  <c r="J212" i="43"/>
  <c r="E73" i="43"/>
  <c r="E212" i="43" s="1"/>
  <c r="AB101" i="43"/>
  <c r="AC101" i="43"/>
  <c r="D101" i="43"/>
  <c r="AC104" i="43"/>
  <c r="AB104" i="43"/>
  <c r="D104" i="43"/>
  <c r="H126" i="43"/>
  <c r="R201" i="43" s="1"/>
  <c r="N201" i="43"/>
  <c r="G126" i="43"/>
  <c r="Q201" i="43" s="1"/>
  <c r="AB91" i="43"/>
  <c r="AC91" i="43"/>
  <c r="D91" i="43"/>
  <c r="AC95" i="43"/>
  <c r="AB95" i="43"/>
  <c r="D95" i="43"/>
  <c r="K221" i="43"/>
  <c r="F81" i="43"/>
  <c r="F221" i="43" s="1"/>
  <c r="N220" i="43"/>
  <c r="H143" i="43"/>
  <c r="R220" i="43" s="1"/>
  <c r="G143" i="43"/>
  <c r="Q220" i="43" s="1"/>
  <c r="AC113" i="43"/>
  <c r="AB113" i="43"/>
  <c r="D113" i="43"/>
  <c r="AC116" i="43"/>
  <c r="AB116" i="43"/>
  <c r="D116" i="43"/>
  <c r="S223" i="43"/>
  <c r="G176" i="43"/>
  <c r="V223" i="43" s="1"/>
  <c r="H176" i="43"/>
  <c r="W223" i="43" s="1"/>
  <c r="S219" i="43"/>
  <c r="H172" i="43"/>
  <c r="W219" i="43" s="1"/>
  <c r="G172" i="43"/>
  <c r="V219" i="43" s="1"/>
  <c r="F69" i="43"/>
  <c r="F208" i="43" s="1"/>
  <c r="K208" i="43"/>
  <c r="N208" i="43"/>
  <c r="G132" i="43"/>
  <c r="Q208" i="43" s="1"/>
  <c r="H132" i="43"/>
  <c r="R208" i="43" s="1"/>
  <c r="N213" i="43"/>
  <c r="H137" i="43"/>
  <c r="R213" i="43" s="1"/>
  <c r="G137" i="43"/>
  <c r="Q213" i="43" s="1"/>
  <c r="F62" i="43"/>
  <c r="F200" i="43" s="1"/>
  <c r="K200" i="43"/>
  <c r="K201" i="43"/>
  <c r="F63" i="43"/>
  <c r="F201" i="43" s="1"/>
  <c r="G164" i="43"/>
  <c r="V210" i="43" s="1"/>
  <c r="S210" i="43"/>
  <c r="H164" i="43"/>
  <c r="W210" i="43" s="1"/>
  <c r="J202" i="43"/>
  <c r="E64" i="43"/>
  <c r="E202" i="43" s="1"/>
  <c r="J218" i="43"/>
  <c r="E78" i="43"/>
  <c r="E218" i="43" s="1"/>
  <c r="J213" i="43"/>
  <c r="E74" i="43"/>
  <c r="E213" i="43" s="1"/>
  <c r="N198" i="43"/>
  <c r="G123" i="43"/>
  <c r="Q198" i="43" s="1"/>
  <c r="H123" i="43"/>
  <c r="R198" i="43" s="1"/>
  <c r="K218" i="43"/>
  <c r="F78" i="43"/>
  <c r="F218" i="43" s="1"/>
  <c r="H141" i="43"/>
  <c r="R218" i="43" s="1"/>
  <c r="G141" i="43"/>
  <c r="Q218" i="43" s="1"/>
  <c r="N218" i="43"/>
  <c r="AC114" i="43"/>
  <c r="AB114" i="43"/>
  <c r="D114" i="43"/>
  <c r="H171" i="43"/>
  <c r="W218" i="43" s="1"/>
  <c r="S218" i="43"/>
  <c r="G171" i="43"/>
  <c r="V218" i="43" s="1"/>
  <c r="K209" i="43"/>
  <c r="F70" i="43"/>
  <c r="F209" i="43" s="1"/>
  <c r="S212" i="43"/>
  <c r="H166" i="43"/>
  <c r="W212" i="43" s="1"/>
  <c r="G166" i="43"/>
  <c r="V212" i="43" s="1"/>
  <c r="E60" i="43"/>
  <c r="E198" i="43" s="1"/>
  <c r="J198" i="43"/>
  <c r="J222" i="43"/>
  <c r="E82" i="43"/>
  <c r="E222" i="43" s="1"/>
  <c r="J209" i="43"/>
  <c r="E70" i="43"/>
  <c r="E209" i="43" s="1"/>
  <c r="AC105" i="43"/>
  <c r="D105" i="43"/>
  <c r="AB105" i="43"/>
  <c r="AC94" i="43"/>
  <c r="AB94" i="43"/>
  <c r="D94" i="43"/>
  <c r="K223" i="43"/>
  <c r="F83" i="43"/>
  <c r="F223" i="43" s="1"/>
  <c r="N221" i="43"/>
  <c r="G144" i="43"/>
  <c r="Q221" i="43" s="1"/>
  <c r="H144" i="43"/>
  <c r="R221" i="43" s="1"/>
  <c r="H167" i="43"/>
  <c r="W213" i="43" s="1"/>
  <c r="G167" i="43"/>
  <c r="V213" i="43" s="1"/>
  <c r="S213" i="43"/>
  <c r="G165" i="43"/>
  <c r="V211" i="43" s="1"/>
  <c r="S211" i="43"/>
  <c r="H165" i="43"/>
  <c r="W211" i="43" s="1"/>
  <c r="E65" i="43"/>
  <c r="E203" i="43" s="1"/>
  <c r="J203" i="43"/>
  <c r="S201" i="43"/>
  <c r="G156" i="43"/>
  <c r="V201" i="43" s="1"/>
  <c r="H156" i="43"/>
  <c r="W201" i="43" s="1"/>
  <c r="S203" i="43"/>
  <c r="G158" i="43"/>
  <c r="V203" i="43" s="1"/>
  <c r="H158" i="43"/>
  <c r="W203" i="43" s="1"/>
  <c r="E83" i="43"/>
  <c r="E223" i="43" s="1"/>
  <c r="J223" i="43"/>
  <c r="J208" i="43"/>
  <c r="E69" i="43"/>
  <c r="E208" i="43" s="1"/>
  <c r="AC103" i="43"/>
  <c r="D103" i="43"/>
  <c r="AB103" i="43"/>
  <c r="AB102" i="43"/>
  <c r="AC102" i="43"/>
  <c r="D102" i="43"/>
  <c r="H124" i="43"/>
  <c r="R199" i="43" s="1"/>
  <c r="G124" i="43"/>
  <c r="Q199" i="43" s="1"/>
  <c r="N199" i="43"/>
  <c r="AB96" i="43"/>
  <c r="AC96" i="43"/>
  <c r="D96" i="43"/>
  <c r="AB92" i="43"/>
  <c r="AC92" i="43"/>
  <c r="D92" i="43"/>
  <c r="F82" i="43"/>
  <c r="F222" i="43" s="1"/>
  <c r="K222" i="43"/>
  <c r="N219" i="43"/>
  <c r="H142" i="43"/>
  <c r="R219" i="43" s="1"/>
  <c r="G142" i="43"/>
  <c r="Q219" i="43" s="1"/>
  <c r="AB112" i="43"/>
  <c r="AC112" i="43"/>
  <c r="D112" i="43"/>
  <c r="AB115" i="43"/>
  <c r="D115" i="43"/>
  <c r="AC115" i="43"/>
  <c r="S221" i="43"/>
  <c r="H174" i="43"/>
  <c r="W221" i="43" s="1"/>
  <c r="G174" i="43"/>
  <c r="V221" i="43" s="1"/>
  <c r="S222" i="43"/>
  <c r="H175" i="43"/>
  <c r="W222" i="43" s="1"/>
  <c r="G175" i="43"/>
  <c r="V222" i="43" s="1"/>
  <c r="F72" i="43"/>
  <c r="F211" i="43" s="1"/>
  <c r="K211" i="43"/>
  <c r="G136" i="43"/>
  <c r="Q212" i="43" s="1"/>
  <c r="H136" i="43"/>
  <c r="R212" i="43" s="1"/>
  <c r="N212" i="43"/>
  <c r="N210" i="43"/>
  <c r="G134" i="43"/>
  <c r="Q210" i="43" s="1"/>
  <c r="H134" i="43"/>
  <c r="R210" i="43" s="1"/>
  <c r="K198" i="43"/>
  <c r="F60" i="43"/>
  <c r="F198" i="43" s="1"/>
  <c r="K199" i="43"/>
  <c r="F61" i="43"/>
  <c r="F199" i="43" s="1"/>
  <c r="I201" i="43" l="1"/>
  <c r="G94" i="43"/>
  <c r="L201" i="43" s="1"/>
  <c r="H94" i="43"/>
  <c r="M201" i="43" s="1"/>
  <c r="D63" i="43"/>
  <c r="I221" i="43"/>
  <c r="G114" i="43"/>
  <c r="L221" i="43" s="1"/>
  <c r="H114" i="43"/>
  <c r="M221" i="43" s="1"/>
  <c r="D81" i="43"/>
  <c r="D60" i="43"/>
  <c r="I198" i="43"/>
  <c r="H91" i="43"/>
  <c r="M198" i="43" s="1"/>
  <c r="G91" i="43"/>
  <c r="L198" i="43" s="1"/>
  <c r="I203" i="43"/>
  <c r="H96" i="43"/>
  <c r="M203" i="43" s="1"/>
  <c r="G96" i="43"/>
  <c r="L203" i="43" s="1"/>
  <c r="D65" i="43"/>
  <c r="I208" i="43"/>
  <c r="G101" i="43"/>
  <c r="L208" i="43" s="1"/>
  <c r="D69" i="43"/>
  <c r="H101" i="43"/>
  <c r="M208" i="43" s="1"/>
  <c r="H102" i="43"/>
  <c r="M209" i="43" s="1"/>
  <c r="G102" i="43"/>
  <c r="L209" i="43" s="1"/>
  <c r="I209" i="43"/>
  <c r="D70" i="43"/>
  <c r="I210" i="43"/>
  <c r="G103" i="43"/>
  <c r="L210" i="43" s="1"/>
  <c r="H103" i="43"/>
  <c r="M210" i="43" s="1"/>
  <c r="D71" i="43"/>
  <c r="I213" i="43"/>
  <c r="G106" i="43"/>
  <c r="L213" i="43" s="1"/>
  <c r="D74" i="43"/>
  <c r="H106" i="43"/>
  <c r="M213" i="43" s="1"/>
  <c r="H115" i="43"/>
  <c r="M222" i="43" s="1"/>
  <c r="D82" i="43"/>
  <c r="G115" i="43"/>
  <c r="L222" i="43" s="1"/>
  <c r="I222" i="43"/>
  <c r="H105" i="43"/>
  <c r="M212" i="43" s="1"/>
  <c r="D73" i="43"/>
  <c r="G105" i="43"/>
  <c r="L212" i="43" s="1"/>
  <c r="I212" i="43"/>
  <c r="I220" i="43"/>
  <c r="H113" i="43"/>
  <c r="M220" i="43" s="1"/>
  <c r="D80" i="43"/>
  <c r="G113" i="43"/>
  <c r="L220" i="43" s="1"/>
  <c r="I202" i="43"/>
  <c r="G95" i="43"/>
  <c r="L202" i="43" s="1"/>
  <c r="D64" i="43"/>
  <c r="H95" i="43"/>
  <c r="M202" i="43" s="1"/>
  <c r="I200" i="43"/>
  <c r="H93" i="43"/>
  <c r="M200" i="43" s="1"/>
  <c r="G93" i="43"/>
  <c r="L200" i="43" s="1"/>
  <c r="D62" i="43"/>
  <c r="H112" i="43"/>
  <c r="M219" i="43" s="1"/>
  <c r="D79" i="43"/>
  <c r="I219" i="43"/>
  <c r="G112" i="43"/>
  <c r="L219" i="43" s="1"/>
  <c r="I199" i="43"/>
  <c r="G92" i="43"/>
  <c r="L199" i="43" s="1"/>
  <c r="D61" i="43"/>
  <c r="H92" i="43"/>
  <c r="M199" i="43" s="1"/>
  <c r="I223" i="43"/>
  <c r="D83" i="43"/>
  <c r="G116" i="43"/>
  <c r="L223" i="43" s="1"/>
  <c r="H116" i="43"/>
  <c r="M223" i="43" s="1"/>
  <c r="I211" i="43"/>
  <c r="G104" i="43"/>
  <c r="L211" i="43" s="1"/>
  <c r="H104" i="43"/>
  <c r="M211" i="43" s="1"/>
  <c r="D72" i="43"/>
  <c r="I218" i="43"/>
  <c r="G111" i="43"/>
  <c r="L218" i="43" s="1"/>
  <c r="D78" i="43"/>
  <c r="H111" i="43"/>
  <c r="M218" i="43" s="1"/>
  <c r="H72" i="43" l="1"/>
  <c r="H211" i="43" s="1"/>
  <c r="D211" i="43"/>
  <c r="G72" i="43"/>
  <c r="G211" i="43" s="1"/>
  <c r="G62" i="43"/>
  <c r="G200" i="43" s="1"/>
  <c r="H62" i="43"/>
  <c r="H200" i="43" s="1"/>
  <c r="D200" i="43"/>
  <c r="D210" i="43"/>
  <c r="H71" i="43"/>
  <c r="H210" i="43" s="1"/>
  <c r="G71" i="43"/>
  <c r="G210" i="43" s="1"/>
  <c r="H81" i="43"/>
  <c r="H221" i="43" s="1"/>
  <c r="D221" i="43"/>
  <c r="G81" i="43"/>
  <c r="G221" i="43" s="1"/>
  <c r="G78" i="43"/>
  <c r="G218" i="43" s="1"/>
  <c r="D218" i="43"/>
  <c r="H78" i="43"/>
  <c r="H218" i="43" s="1"/>
  <c r="D220" i="43"/>
  <c r="G80" i="43"/>
  <c r="G220" i="43" s="1"/>
  <c r="H80" i="43"/>
  <c r="H220" i="43" s="1"/>
  <c r="H74" i="43"/>
  <c r="H213" i="43" s="1"/>
  <c r="G74" i="43"/>
  <c r="G213" i="43" s="1"/>
  <c r="D213" i="43"/>
  <c r="H69" i="43"/>
  <c r="H208" i="43" s="1"/>
  <c r="D208" i="43"/>
  <c r="G69" i="43"/>
  <c r="G208" i="43" s="1"/>
  <c r="G83" i="43"/>
  <c r="G223" i="43" s="1"/>
  <c r="H83" i="43"/>
  <c r="H223" i="43" s="1"/>
  <c r="D223" i="43"/>
  <c r="H79" i="43"/>
  <c r="H219" i="43" s="1"/>
  <c r="D219" i="43"/>
  <c r="G79" i="43"/>
  <c r="G219" i="43" s="1"/>
  <c r="G73" i="43"/>
  <c r="G212" i="43" s="1"/>
  <c r="H73" i="43"/>
  <c r="H212" i="43" s="1"/>
  <c r="D212" i="43"/>
  <c r="D222" i="43"/>
  <c r="H82" i="43"/>
  <c r="H222" i="43" s="1"/>
  <c r="G82" i="43"/>
  <c r="G222" i="43" s="1"/>
  <c r="D209" i="43"/>
  <c r="H70" i="43"/>
  <c r="H209" i="43" s="1"/>
  <c r="G70" i="43"/>
  <c r="G209" i="43" s="1"/>
  <c r="D203" i="43"/>
  <c r="G65" i="43"/>
  <c r="G203" i="43" s="1"/>
  <c r="H65" i="43"/>
  <c r="H203" i="43" s="1"/>
  <c r="H63" i="43"/>
  <c r="H201" i="43" s="1"/>
  <c r="D201" i="43"/>
  <c r="G63" i="43"/>
  <c r="G201" i="43" s="1"/>
  <c r="G61" i="43"/>
  <c r="G199" i="43" s="1"/>
  <c r="H61" i="43"/>
  <c r="H199" i="43" s="1"/>
  <c r="D199" i="43"/>
  <c r="D202" i="43"/>
  <c r="H64" i="43"/>
  <c r="H202" i="43" s="1"/>
  <c r="G64" i="43"/>
  <c r="G202" i="43" s="1"/>
  <c r="D198" i="43"/>
  <c r="G60" i="43"/>
  <c r="G198" i="43" s="1"/>
  <c r="H60" i="43"/>
  <c r="H198" i="43" s="1"/>
</calcChain>
</file>

<file path=xl/comments1.xml><?xml version="1.0" encoding="utf-8"?>
<comments xmlns="http://schemas.openxmlformats.org/spreadsheetml/2006/main">
  <authors>
    <author>Venantius</author>
    <author>Eric Stewart</author>
    <author>David Jarvis</author>
  </authors>
  <commentList>
    <comment ref="E6" authorId="0">
      <text>
        <r>
          <rPr>
            <sz val="8"/>
            <color indexed="81"/>
            <rFont val="Tahoma"/>
            <family val="2"/>
          </rPr>
          <t>Census Division 1: CT, MA, ME, NH, RI, VT
Census Division 2: NJ, NY, PA
Census Division 3: IL, IN, MI, OH, Wi
Census Division 4: IA, KS, MI, MO, ND, NE, SD
Census Division 5: DC, DE, FL, GA, MD, NC, SC, VA, WV
Census Division 6: AL, KY, MS, TN
Census Division 7: AR, LA, OK, TX
Census Division 8: AZ, CO, ID, NM, MT, UT, NV, WY
Census Division 9: AK, CA, HI, OR, WA</t>
        </r>
      </text>
    </comment>
    <comment ref="E361" authorId="1">
      <text>
        <r>
          <rPr>
            <b/>
            <sz val="9"/>
            <color indexed="81"/>
            <rFont val="Tahoma"/>
            <family val="2"/>
          </rPr>
          <t>Eric Stewart:</t>
        </r>
        <r>
          <rPr>
            <sz val="9"/>
            <color indexed="81"/>
            <rFont val="Tahoma"/>
            <family val="2"/>
          </rPr>
          <t xml:space="preserve">
R&amp;D</t>
        </r>
      </text>
    </comment>
    <comment ref="E362" authorId="1">
      <text>
        <r>
          <rPr>
            <b/>
            <sz val="9"/>
            <color indexed="81"/>
            <rFont val="Tahoma"/>
            <family val="2"/>
          </rPr>
          <t>Eric Stewart:</t>
        </r>
        <r>
          <rPr>
            <sz val="9"/>
            <color indexed="81"/>
            <rFont val="Tahoma"/>
            <family val="2"/>
          </rPr>
          <t xml:space="preserve">
G&amp;A</t>
        </r>
      </text>
    </comment>
    <comment ref="AB362" authorId="2">
      <text>
        <r>
          <rPr>
            <b/>
            <sz val="8"/>
            <color indexed="81"/>
            <rFont val="Tahoma"/>
            <family val="2"/>
          </rPr>
          <t>David Jarvis:</t>
        </r>
        <r>
          <rPr>
            <sz val="8"/>
            <color indexed="81"/>
            <rFont val="Tahoma"/>
            <family val="2"/>
          </rPr>
          <t xml:space="preserve">
System assembly, testing, conditioning
(direct labor)</t>
        </r>
      </text>
    </comment>
    <comment ref="E435" authorId="1">
      <text>
        <r>
          <rPr>
            <b/>
            <sz val="9"/>
            <color indexed="81"/>
            <rFont val="Tahoma"/>
            <family val="2"/>
          </rPr>
          <t>Eric Stewart:</t>
        </r>
        <r>
          <rPr>
            <sz val="9"/>
            <color indexed="81"/>
            <rFont val="Tahoma"/>
            <family val="2"/>
          </rPr>
          <t xml:space="preserve">
C I/II</t>
        </r>
      </text>
    </comment>
    <comment ref="AB435" authorId="1">
      <text>
        <r>
          <rPr>
            <b/>
            <sz val="9"/>
            <color indexed="81"/>
            <rFont val="Tahoma"/>
            <family val="2"/>
          </rPr>
          <t>Eric Stewart:</t>
        </r>
        <r>
          <rPr>
            <sz val="9"/>
            <color indexed="81"/>
            <rFont val="Tahoma"/>
            <family val="2"/>
          </rPr>
          <t xml:space="preserve">
C I/II</t>
        </r>
      </text>
    </comment>
    <comment ref="E436" authorId="1">
      <text>
        <r>
          <rPr>
            <b/>
            <sz val="9"/>
            <color indexed="81"/>
            <rFont val="Tahoma"/>
            <family val="2"/>
          </rPr>
          <t>Eric Stewart:</t>
        </r>
        <r>
          <rPr>
            <sz val="9"/>
            <color indexed="81"/>
            <rFont val="Tahoma"/>
            <family val="2"/>
          </rPr>
          <t xml:space="preserve">
C  III
</t>
        </r>
      </text>
    </comment>
    <comment ref="AB436" authorId="1">
      <text>
        <r>
          <rPr>
            <b/>
            <sz val="9"/>
            <color indexed="81"/>
            <rFont val="Tahoma"/>
            <family val="2"/>
          </rPr>
          <t>Eric Stewart:</t>
        </r>
        <r>
          <rPr>
            <sz val="9"/>
            <color indexed="81"/>
            <rFont val="Tahoma"/>
            <family val="2"/>
          </rPr>
          <t xml:space="preserve">
C  III
</t>
        </r>
      </text>
    </comment>
    <comment ref="E449" authorId="1">
      <text>
        <r>
          <rPr>
            <b/>
            <sz val="9"/>
            <color indexed="81"/>
            <rFont val="Tahoma"/>
            <family val="2"/>
          </rPr>
          <t>Eric Stewart:</t>
        </r>
        <r>
          <rPr>
            <sz val="9"/>
            <color indexed="81"/>
            <rFont val="Tahoma"/>
            <family val="2"/>
          </rPr>
          <t xml:space="preserve">
C I/II</t>
        </r>
      </text>
    </comment>
    <comment ref="AB449" authorId="1">
      <text>
        <r>
          <rPr>
            <b/>
            <sz val="9"/>
            <color indexed="81"/>
            <rFont val="Tahoma"/>
            <family val="2"/>
          </rPr>
          <t>Eric Stewart:</t>
        </r>
        <r>
          <rPr>
            <sz val="9"/>
            <color indexed="81"/>
            <rFont val="Tahoma"/>
            <family val="2"/>
          </rPr>
          <t xml:space="preserve">
C I/II</t>
        </r>
      </text>
    </comment>
    <comment ref="E450" authorId="1">
      <text>
        <r>
          <rPr>
            <b/>
            <sz val="9"/>
            <color indexed="81"/>
            <rFont val="Tahoma"/>
            <family val="2"/>
          </rPr>
          <t>Eric Stewart:</t>
        </r>
        <r>
          <rPr>
            <sz val="9"/>
            <color indexed="81"/>
            <rFont val="Tahoma"/>
            <family val="2"/>
          </rPr>
          <t xml:space="preserve">
C III
</t>
        </r>
      </text>
    </comment>
    <comment ref="AB450" authorId="1">
      <text>
        <r>
          <rPr>
            <b/>
            <sz val="9"/>
            <color indexed="81"/>
            <rFont val="Tahoma"/>
            <family val="2"/>
          </rPr>
          <t>Eric Stewart:</t>
        </r>
        <r>
          <rPr>
            <sz val="9"/>
            <color indexed="81"/>
            <rFont val="Tahoma"/>
            <family val="2"/>
          </rPr>
          <t xml:space="preserve">
C III
</t>
        </r>
      </text>
    </comment>
  </commentList>
</comments>
</file>

<file path=xl/comments2.xml><?xml version="1.0" encoding="utf-8"?>
<comments xmlns="http://schemas.openxmlformats.org/spreadsheetml/2006/main">
  <authors>
    <author>Venantius</author>
    <author>Eric Stewart</author>
    <author>David Jarvis</author>
  </authors>
  <commentList>
    <comment ref="E6" authorId="0">
      <text>
        <r>
          <rPr>
            <sz val="8"/>
            <color indexed="81"/>
            <rFont val="Tahoma"/>
            <family val="2"/>
          </rPr>
          <t>Census Division 1: CT, MA, ME, NH, RI, VT
Census Division 2: NJ, NY, PA
Census Division 3: IL, IN, MI, OH, Wi
Census Division 4: IA, KS, MI, MO, ND, NE, SD
Census Division 5: DC, DE, FL, GA, MD, NC, SC, VA, WV
Census Division 6: AL, KY, MS, TN
Census Division 7: AR, LA, OK, TX
Census Division 8: AZ, CO, ID, NM, MT, UT, NV, WY
Census Division 9: AK, CA, HI, OR, WA</t>
        </r>
      </text>
    </comment>
    <comment ref="F111" authorId="1">
      <text>
        <r>
          <rPr>
            <b/>
            <sz val="9"/>
            <color indexed="81"/>
            <rFont val="Tahoma"/>
            <family val="2"/>
          </rPr>
          <t>Eric Stewart:</t>
        </r>
        <r>
          <rPr>
            <sz val="9"/>
            <color indexed="81"/>
            <rFont val="Tahoma"/>
            <family val="2"/>
          </rPr>
          <t xml:space="preserve">
Battelle $20,000=20kW diesel=$1000/kW
$10000=5kW=2000/kW</t>
        </r>
      </text>
    </comment>
    <comment ref="E181" authorId="1">
      <text>
        <r>
          <rPr>
            <b/>
            <sz val="9"/>
            <color indexed="81"/>
            <rFont val="Tahoma"/>
            <family val="2"/>
          </rPr>
          <t>Eric Stewart:</t>
        </r>
        <r>
          <rPr>
            <sz val="9"/>
            <color indexed="81"/>
            <rFont val="Tahoma"/>
            <family val="2"/>
          </rPr>
          <t xml:space="preserve">
Tie rods
</t>
        </r>
      </text>
    </comment>
    <comment ref="Z239" authorId="2">
      <text>
        <r>
          <rPr>
            <b/>
            <sz val="8"/>
            <color indexed="81"/>
            <rFont val="Tahoma"/>
            <family val="2"/>
          </rPr>
          <t>David Jarvis:</t>
        </r>
        <r>
          <rPr>
            <sz val="8"/>
            <color indexed="81"/>
            <rFont val="Tahoma"/>
            <family val="2"/>
          </rPr>
          <t xml:space="preserve">
System assembly, testing, conditioning
(direct labor)</t>
        </r>
      </text>
    </comment>
    <comment ref="Z240" authorId="2">
      <text>
        <r>
          <rPr>
            <b/>
            <sz val="8"/>
            <color indexed="81"/>
            <rFont val="Tahoma"/>
            <family val="2"/>
          </rPr>
          <t>David Jarvis:</t>
        </r>
        <r>
          <rPr>
            <sz val="8"/>
            <color indexed="81"/>
            <rFont val="Tahoma"/>
            <family val="2"/>
          </rPr>
          <t xml:space="preserve">
Stack labor costs (direct labor)</t>
        </r>
      </text>
    </comment>
    <comment ref="Z278" authorId="2">
      <text>
        <r>
          <rPr>
            <b/>
            <sz val="8"/>
            <color indexed="81"/>
            <rFont val="Tahoma"/>
            <family val="2"/>
          </rPr>
          <t>David Jarvis:</t>
        </r>
        <r>
          <rPr>
            <sz val="8"/>
            <color indexed="81"/>
            <rFont val="Tahoma"/>
            <family val="2"/>
          </rPr>
          <t xml:space="preserve">
System assembly, testing, conditioning
(direct labor)</t>
        </r>
      </text>
    </comment>
    <comment ref="E333" authorId="1">
      <text>
        <r>
          <rPr>
            <b/>
            <sz val="9"/>
            <color indexed="81"/>
            <rFont val="Tahoma"/>
            <family val="2"/>
          </rPr>
          <t>Eric Stewart:</t>
        </r>
        <r>
          <rPr>
            <sz val="9"/>
            <color indexed="81"/>
            <rFont val="Tahoma"/>
            <family val="2"/>
          </rPr>
          <t xml:space="preserve">
R&amp;D</t>
        </r>
      </text>
    </comment>
    <comment ref="E334" authorId="1">
      <text>
        <r>
          <rPr>
            <b/>
            <sz val="9"/>
            <color indexed="81"/>
            <rFont val="Tahoma"/>
            <family val="2"/>
          </rPr>
          <t>Eric Stewart:</t>
        </r>
        <r>
          <rPr>
            <sz val="9"/>
            <color indexed="81"/>
            <rFont val="Tahoma"/>
            <family val="2"/>
          </rPr>
          <t xml:space="preserve">
G&amp;A</t>
        </r>
      </text>
    </comment>
  </commentList>
</comments>
</file>

<file path=xl/comments3.xml><?xml version="1.0" encoding="utf-8"?>
<comments xmlns="http://schemas.openxmlformats.org/spreadsheetml/2006/main">
  <authors>
    <author>Venantius</author>
    <author>Eric Stewart</author>
  </authors>
  <commentList>
    <comment ref="E6" authorId="0">
      <text>
        <r>
          <rPr>
            <sz val="8"/>
            <color indexed="81"/>
            <rFont val="Tahoma"/>
            <family val="2"/>
          </rPr>
          <t>Census Division 1: CT, MA, ME, NH, RI, VT
Census Division 2: NJ, NY, PA
Census Division 3: IL, IN, MI, OH, Wi
Census Division 4: IA, KS, MI, MO, ND, NE, SD
Census Division 5: DC, DE, FL, GA, MD, NC, SC, VA, WV
Census Division 6: AL, KY, MS, TN
Census Division 7: AR, LA, OK, TX
Census Division 8: AZ, CO, ID, NM, MT, UT, NV, WY
Census Division 9: AK, CA, HI, OR, WA</t>
        </r>
      </text>
    </comment>
    <comment ref="E208" authorId="1">
      <text>
        <r>
          <rPr>
            <b/>
            <sz val="9"/>
            <color indexed="81"/>
            <rFont val="Tahoma"/>
            <family val="2"/>
          </rPr>
          <t>Eric Stewart:</t>
        </r>
        <r>
          <rPr>
            <sz val="9"/>
            <color indexed="81"/>
            <rFont val="Tahoma"/>
            <family val="2"/>
          </rPr>
          <t xml:space="preserve">
R&amp;D</t>
        </r>
      </text>
    </comment>
    <comment ref="E209" authorId="1">
      <text>
        <r>
          <rPr>
            <b/>
            <sz val="9"/>
            <color indexed="81"/>
            <rFont val="Tahoma"/>
            <family val="2"/>
          </rPr>
          <t>Eric Stewart:</t>
        </r>
        <r>
          <rPr>
            <sz val="9"/>
            <color indexed="81"/>
            <rFont val="Tahoma"/>
            <family val="2"/>
          </rPr>
          <t xml:space="preserve">
G&amp;A</t>
        </r>
      </text>
    </comment>
  </commentList>
</comments>
</file>

<file path=xl/comments4.xml><?xml version="1.0" encoding="utf-8"?>
<comments xmlns="http://schemas.openxmlformats.org/spreadsheetml/2006/main">
  <authors>
    <author>Venantius</author>
  </authors>
  <commentList>
    <comment ref="E6" authorId="0">
      <text>
        <r>
          <rPr>
            <sz val="8"/>
            <color indexed="81"/>
            <rFont val="Tahoma"/>
            <family val="2"/>
          </rPr>
          <t>Census Division 1: CT, MA, ME, NH, RI, VT
Census Division 2: NJ, NY, PA
Census Division 3: IL, IN, MI, OH, Wi
Census Division 4: IA, KS, MI, MO, ND, NE, SD
Census Division 5: DC, DE, FL, GA, MD, NC, SC, VA, WV
Census Division 6: AL, KY, MS, TN
Census Division 7: AR, LA, OK, TX
Census Division 8: AZ, CO, ID, NM, MT, UT, NV, WY
Census Division 9: AK, CA, HI, OR, WA</t>
        </r>
      </text>
    </comment>
  </commentList>
</comments>
</file>

<file path=xl/comments5.xml><?xml version="1.0" encoding="utf-8"?>
<comments xmlns="http://schemas.openxmlformats.org/spreadsheetml/2006/main">
  <authors>
    <author>Dan Plechaty</author>
  </authors>
  <commentList>
    <comment ref="F6" authorId="0">
      <text>
        <r>
          <rPr>
            <b/>
            <sz val="9"/>
            <color indexed="81"/>
            <rFont val="Tahoma"/>
            <family val="2"/>
          </rPr>
          <t>Dan Plechaty:</t>
        </r>
        <r>
          <rPr>
            <sz val="9"/>
            <color indexed="81"/>
            <rFont val="Tahoma"/>
            <family val="2"/>
          </rPr>
          <t xml:space="preserve">
Gap analysis, page 9</t>
        </r>
      </text>
    </comment>
    <comment ref="H6" authorId="0">
      <text>
        <r>
          <rPr>
            <b/>
            <sz val="9"/>
            <color indexed="81"/>
            <rFont val="Tahoma"/>
            <family val="2"/>
          </rPr>
          <t>Dan Plechaty:</t>
        </r>
        <r>
          <rPr>
            <sz val="9"/>
            <color indexed="81"/>
            <rFont val="Tahoma"/>
            <family val="2"/>
          </rPr>
          <t xml:space="preserve">
Gap analysis, page 9</t>
        </r>
      </text>
    </comment>
    <comment ref="J6" authorId="0">
      <text>
        <r>
          <rPr>
            <b/>
            <sz val="9"/>
            <color indexed="81"/>
            <rFont val="Tahoma"/>
            <family val="2"/>
          </rPr>
          <t>Dan Plechaty:</t>
        </r>
        <r>
          <rPr>
            <sz val="9"/>
            <color indexed="81"/>
            <rFont val="Tahoma"/>
            <family val="2"/>
          </rPr>
          <t xml:space="preserve">
Gap analysis, page 9</t>
        </r>
      </text>
    </comment>
    <comment ref="H10" authorId="0">
      <text>
        <r>
          <rPr>
            <b/>
            <sz val="9"/>
            <color indexed="81"/>
            <rFont val="Tahoma"/>
            <family val="2"/>
          </rPr>
          <t>Dan Plechaty:</t>
        </r>
        <r>
          <rPr>
            <sz val="9"/>
            <color indexed="81"/>
            <rFont val="Tahoma"/>
            <family val="2"/>
          </rPr>
          <t xml:space="preserve">
Gap analysis, page 9</t>
        </r>
      </text>
    </comment>
    <comment ref="F11" authorId="0">
      <text>
        <r>
          <rPr>
            <b/>
            <sz val="9"/>
            <color indexed="81"/>
            <rFont val="Tahoma"/>
            <family val="2"/>
          </rPr>
          <t>Dan Plechaty:</t>
        </r>
        <r>
          <rPr>
            <sz val="9"/>
            <color indexed="81"/>
            <rFont val="Tahoma"/>
            <family val="2"/>
          </rPr>
          <t xml:space="preserve">
Gap analysis, page 12</t>
        </r>
      </text>
    </comment>
    <comment ref="H11" authorId="0">
      <text>
        <r>
          <rPr>
            <b/>
            <sz val="9"/>
            <color indexed="81"/>
            <rFont val="Tahoma"/>
            <family val="2"/>
          </rPr>
          <t>Dan Plechaty:</t>
        </r>
        <r>
          <rPr>
            <sz val="9"/>
            <color indexed="81"/>
            <rFont val="Tahoma"/>
            <family val="2"/>
          </rPr>
          <t xml:space="preserve">
Gap analysis, page 12
</t>
        </r>
      </text>
    </comment>
    <comment ref="J11" authorId="0">
      <text>
        <r>
          <rPr>
            <b/>
            <sz val="9"/>
            <color indexed="81"/>
            <rFont val="Tahoma"/>
            <family val="2"/>
          </rPr>
          <t>Dan Plechaty:</t>
        </r>
        <r>
          <rPr>
            <sz val="9"/>
            <color indexed="81"/>
            <rFont val="Tahoma"/>
            <family val="2"/>
          </rPr>
          <t xml:space="preserve">
Gap analysis, page 12</t>
        </r>
      </text>
    </comment>
  </commentList>
</comments>
</file>

<file path=xl/sharedStrings.xml><?xml version="1.0" encoding="utf-8"?>
<sst xmlns="http://schemas.openxmlformats.org/spreadsheetml/2006/main" count="8030" uniqueCount="2254">
  <si>
    <t>Carbon and graphite product manufacturing</t>
  </si>
  <si>
    <t>Gasket, packing, and sealing device manufacturing</t>
  </si>
  <si>
    <t>Plastics material and resin manufacturing</t>
  </si>
  <si>
    <t>All other miscellaneous electrical equipment and component manufacturing</t>
  </si>
  <si>
    <t>Electricity and signal testing instruments manufacturing</t>
  </si>
  <si>
    <t>Heating equipment (except warm air furnaces) manufacturing</t>
  </si>
  <si>
    <t>Industrial process variable instruments manufacturing</t>
  </si>
  <si>
    <t>Other fabricated metal manufacturing</t>
  </si>
  <si>
    <t>Plumbing fixture fitting and trim manufacturing</t>
  </si>
  <si>
    <t>Relay and industrial control manufacturing</t>
  </si>
  <si>
    <t>Description</t>
  </si>
  <si>
    <t>Vegetable and melon farming</t>
  </si>
  <si>
    <t>Greenhouse, nursery, and floriculture production</t>
  </si>
  <si>
    <t>Tobacco farming</t>
  </si>
  <si>
    <t>Cotton farming</t>
  </si>
  <si>
    <t>Cattle ranching and farming</t>
  </si>
  <si>
    <t>Dairy cattle and milk production</t>
  </si>
  <si>
    <t>Poultry and egg production</t>
  </si>
  <si>
    <t>Animal production, except cattle and poultry and eggs</t>
  </si>
  <si>
    <t>Support activities for agriculture and forestry</t>
  </si>
  <si>
    <t>Drilling oil and gas wells</t>
  </si>
  <si>
    <t>Support activities for oil and gas operations</t>
  </si>
  <si>
    <t>Support activities for other mining</t>
  </si>
  <si>
    <t>Electric power generation, transmission, and distribution</t>
  </si>
  <si>
    <t>Natural gas distribution</t>
  </si>
  <si>
    <t>Dog and cat food manufacturing</t>
  </si>
  <si>
    <t>Other animal food manufacturing</t>
  </si>
  <si>
    <t>Flour milling and malt manufacturing</t>
  </si>
  <si>
    <t>Wet corn milling</t>
  </si>
  <si>
    <t>Soybean and other oilseed processing</t>
  </si>
  <si>
    <t>Fats and oils refining and blending</t>
  </si>
  <si>
    <t>Breakfast cereal manufacturing</t>
  </si>
  <si>
    <t>Sugar cane mills and refining</t>
  </si>
  <si>
    <t>Beet sugar manufacturing</t>
  </si>
  <si>
    <t>Chocolate and confectionery manufacturing from cacao beans</t>
  </si>
  <si>
    <t>Confectionery manufacturing from purchased chocolate</t>
  </si>
  <si>
    <t>Nonchocolate confectionery manufacturing</t>
  </si>
  <si>
    <t>Frozen food manufacturing</t>
  </si>
  <si>
    <t>Fruit and vegetable canning, pickling, and drying</t>
  </si>
  <si>
    <t>Fluid milk and butter manufacturing</t>
  </si>
  <si>
    <t>Cheese manufacturing</t>
  </si>
  <si>
    <t>Dry, condensed, and evaporated dairy product manufacturing</t>
  </si>
  <si>
    <t>Ice cream and frozen dessert manufacturing</t>
  </si>
  <si>
    <t>Animal (except poultry) slaughtering, rendering, and processing</t>
  </si>
  <si>
    <t>Poultry processing</t>
  </si>
  <si>
    <t>Seafood product preparation and packaging</t>
  </si>
  <si>
    <t>Bread and bakery product manufacturing</t>
  </si>
  <si>
    <t>Cookie, cracker, and pasta manufacturing</t>
  </si>
  <si>
    <t>Tortilla manufacturing</t>
  </si>
  <si>
    <t>Snack food manufacturing</t>
  </si>
  <si>
    <t>Coffee and tea manufacturing</t>
  </si>
  <si>
    <t>Flavoring syrup and concentrate manufacturing</t>
  </si>
  <si>
    <t>Seasoning and dressing manufacturing</t>
  </si>
  <si>
    <t>All other food manufacturing</t>
  </si>
  <si>
    <t>Soft drink and ice manufacturing</t>
  </si>
  <si>
    <t>Breweries</t>
  </si>
  <si>
    <t>Wineries</t>
  </si>
  <si>
    <t>Distilleries</t>
  </si>
  <si>
    <t>Tobacco product manufacturing</t>
  </si>
  <si>
    <t>Fiber, yarn, and thread mills</t>
  </si>
  <si>
    <t>Broadwoven fabric mills</t>
  </si>
  <si>
    <t>Narrow fabric mills and schiffli machine embroidery</t>
  </si>
  <si>
    <t>Nonwoven fabric mills</t>
  </si>
  <si>
    <t>Knit fabric mills</t>
  </si>
  <si>
    <t>Textile and fabric finishing mills</t>
  </si>
  <si>
    <t>Fabric coating mills</t>
  </si>
  <si>
    <t>Carpet and rug mills</t>
  </si>
  <si>
    <t>Curtain and linen mills</t>
  </si>
  <si>
    <t>Textile bag and canvas mills</t>
  </si>
  <si>
    <t>All other textile product mills</t>
  </si>
  <si>
    <t>Apparel knitting mills</t>
  </si>
  <si>
    <t>Cut and sew apparel contractors</t>
  </si>
  <si>
    <t>Men's and boys' cut and sew apparel manufacturing</t>
  </si>
  <si>
    <t>Women's and girls' cut and sew apparel manufacturing</t>
  </si>
  <si>
    <t>Other cut and sew apparel manufacturing</t>
  </si>
  <si>
    <t>Apparel accessories and other apparel manufacturing</t>
  </si>
  <si>
    <t>Leather and hide tanning and finishing</t>
  </si>
  <si>
    <t>Footwear manufacturing</t>
  </si>
  <si>
    <t>Other leather and allied product manufacturing</t>
  </si>
  <si>
    <t>Sawmills and wood preservation</t>
  </si>
  <si>
    <t>Veneer and plywood manufacturing</t>
  </si>
  <si>
    <t>Engineered wood member and truss manufacturing</t>
  </si>
  <si>
    <t>Reconstituted wood product manufacturing</t>
  </si>
  <si>
    <t>Wood container and pallet manufacturing</t>
  </si>
  <si>
    <t>Manufactured home (mobile home) manufacturing</t>
  </si>
  <si>
    <t>Prefabricated wood building manufacturing</t>
  </si>
  <si>
    <t>All other miscellaneous wood product manufacturing</t>
  </si>
  <si>
    <t>Pulp mills</t>
  </si>
  <si>
    <t>Paper mills</t>
  </si>
  <si>
    <t>Paperboard container manufacturing</t>
  </si>
  <si>
    <t>Coated and laminated paper, packaging paper and plastics film manufacturing</t>
  </si>
  <si>
    <t>All other paper bag and coated and treated paper manufacturing</t>
  </si>
  <si>
    <t>Stationery product manufacturing</t>
  </si>
  <si>
    <t>Sanitary paper product manufacturing</t>
  </si>
  <si>
    <t>All other converted paper product manufacturing</t>
  </si>
  <si>
    <t>Printing</t>
  </si>
  <si>
    <t>Support activities for printing</t>
  </si>
  <si>
    <t>Petroleum refineries</t>
  </si>
  <si>
    <t>Asphalt paving mixture and block manufacturing</t>
  </si>
  <si>
    <t>Asphalt shingle and coating materials manufacturing</t>
  </si>
  <si>
    <t>Petroleum lubricating oil and grease manufacturing</t>
  </si>
  <si>
    <t>All other petroleum and coal products manufacturing</t>
  </si>
  <si>
    <t>Petrochemical manufacturing</t>
  </si>
  <si>
    <t>Industrial gas manufacturing</t>
  </si>
  <si>
    <t>Synthetic dye and pigment manufacturing</t>
  </si>
  <si>
    <t>Alkalies and chlorine manufacturing</t>
  </si>
  <si>
    <t>Carbon black manufacturing</t>
  </si>
  <si>
    <t>All other basic inorganic chemical manufacturing</t>
  </si>
  <si>
    <t>Other basic organic chemical manufacturing</t>
  </si>
  <si>
    <t>Synthetic rubber manufacturing</t>
  </si>
  <si>
    <t>Artificial and synthetic fibers and filaments manufacturing</t>
  </si>
  <si>
    <t>Fertilizer manufacturing</t>
  </si>
  <si>
    <t>Pesticide and other agricultural chemical manufacturing</t>
  </si>
  <si>
    <t>Medicinal and botanical manufacturing</t>
  </si>
  <si>
    <t>Pharmaceutical preparation manufacturing</t>
  </si>
  <si>
    <t>In-vitro diagnostic substance manufacturing</t>
  </si>
  <si>
    <t>Biological product (except diagnostic) manufacturing</t>
  </si>
  <si>
    <t>Paint and coating manufacturing</t>
  </si>
  <si>
    <t>Adhesive manufacturing</t>
  </si>
  <si>
    <t>Soap and cleaning compound manufacturing</t>
  </si>
  <si>
    <t>Toilet preparation manufacturing</t>
  </si>
  <si>
    <t>Printing ink manufacturing</t>
  </si>
  <si>
    <t>All other chemical product and preparation manufacturing</t>
  </si>
  <si>
    <t>Plastics packaging materials and unlaminated film and sheet manufacturing</t>
  </si>
  <si>
    <t>Unlaminated plastics profile shape manufacturing</t>
  </si>
  <si>
    <t>Plastics pipe and pipe fitting manufacturing</t>
  </si>
  <si>
    <t>Laminated plastics plate, sheet (except packaging), and shape manufacturing</t>
  </si>
  <si>
    <t>Polystyrene foam product manufacturing</t>
  </si>
  <si>
    <t>Urethane and other foam product (except polystyrene) manufacturing</t>
  </si>
  <si>
    <t>Plastics bottle manufacturing</t>
  </si>
  <si>
    <t>Other plastics product manufacturing</t>
  </si>
  <si>
    <t>Tire manufacturing</t>
  </si>
  <si>
    <t>Rubber and plastics hoses and belting manufacturing</t>
  </si>
  <si>
    <t>Other rubber product manufacturing</t>
  </si>
  <si>
    <t>Pottery, ceramics, and plumbing fixture manufacturing</t>
  </si>
  <si>
    <t>Brick, tile, and other structural clay product manufacturing</t>
  </si>
  <si>
    <t>Clay and nonclay refractory manufacturing</t>
  </si>
  <si>
    <t>Flat glass manufacturing</t>
  </si>
  <si>
    <t>Other pressed and blown glass and glassware manufacturing</t>
  </si>
  <si>
    <t>Glass container manufacturing</t>
  </si>
  <si>
    <t>Glass product manufacturing made of purchased glass</t>
  </si>
  <si>
    <t>Cement manufacturing</t>
  </si>
  <si>
    <t>Ready-mix concrete manufacturing</t>
  </si>
  <si>
    <t>Concrete pipe, brick, and block manufacturing</t>
  </si>
  <si>
    <t>Other concrete product manufacturing</t>
  </si>
  <si>
    <t>Lime and gypsum product manufacturing</t>
  </si>
  <si>
    <t>Abrasive product manufacturing</t>
  </si>
  <si>
    <t>Cut stone and stone product manufacturing</t>
  </si>
  <si>
    <t>Ground or treated mineral and earth manufacturing</t>
  </si>
  <si>
    <t>Mineral wool manufacturing</t>
  </si>
  <si>
    <t>Iron and steel mills and ferroalloy manufacturing</t>
  </si>
  <si>
    <t>Steel product manufacturing from purchased steel</t>
  </si>
  <si>
    <t>Alumina refining and primary aluminum production</t>
  </si>
  <si>
    <t>Secondary smelting and alloying of aluminum</t>
  </si>
  <si>
    <t>Aluminum product manufacturing from purchased aluminum</t>
  </si>
  <si>
    <t>Primary smelting and refining of copper</t>
  </si>
  <si>
    <t>Primary smelting and refining of nonferrous metal (except copper and aluminum)</t>
  </si>
  <si>
    <t>Copper rolling, drawing, extruding and alloying</t>
  </si>
  <si>
    <t>Nonferrous metal (except copper and aluminum) rolling, drawing, extruding and alloying</t>
  </si>
  <si>
    <t>Ferrous metal foundries</t>
  </si>
  <si>
    <t>Nonferrous metal foundries</t>
  </si>
  <si>
    <t>All other forging, stamping, and sintering</t>
  </si>
  <si>
    <t>Custom roll forming</t>
  </si>
  <si>
    <t>Crown and closure manufacturing and metal stamping</t>
  </si>
  <si>
    <t>Cutlery, utensil, pot, and pan manufacturing</t>
  </si>
  <si>
    <t>Handtool manufacturing</t>
  </si>
  <si>
    <t>Plate work and fabricated structural product manufacturing</t>
  </si>
  <si>
    <t>Ornamental and architectural metal products manufacturing</t>
  </si>
  <si>
    <t>Power boiler and heat exchanger manufacturing</t>
  </si>
  <si>
    <t>Metal tank (heavy gauge) manufacturing</t>
  </si>
  <si>
    <t>Metal can, box, and other metal container (light gauge) manufacturing</t>
  </si>
  <si>
    <t>Ammunition manufacturing</t>
  </si>
  <si>
    <t>Arms, ordnance, and accessories manufacturing</t>
  </si>
  <si>
    <t>Hardware manufacturing</t>
  </si>
  <si>
    <t>Spring and wire product manufacturing</t>
  </si>
  <si>
    <t>Machine shops</t>
  </si>
  <si>
    <t>Turned product and screw, nut, and bolt manufacturing</t>
  </si>
  <si>
    <t>Coating, engraving, heat treating and allied activities</t>
  </si>
  <si>
    <t>Ball and roller bearing manufacturing</t>
  </si>
  <si>
    <t>Fabricated pipe and pipe fitting manufacturing</t>
  </si>
  <si>
    <t>Farm machinery and equipment manufacturing</t>
  </si>
  <si>
    <t>Lawn and garden equipment manufacturing</t>
  </si>
  <si>
    <t>Construction machinery manufacturing</t>
  </si>
  <si>
    <t>Mining and oil and gas field machinery manufacturing</t>
  </si>
  <si>
    <t>Other industrial machinery manufacturing</t>
  </si>
  <si>
    <t>Plastics and rubber industry machinery manufacturing</t>
  </si>
  <si>
    <t>Semiconductor machinery manufacturing</t>
  </si>
  <si>
    <t>Vending, commercial, industrial, and office machinery manufacturing</t>
  </si>
  <si>
    <t>Optical instrument and lens manufacturing</t>
  </si>
  <si>
    <t>Photographic and photocopying equipment manufacturing</t>
  </si>
  <si>
    <t>Other commercial and service industry machinery manufacturing</t>
  </si>
  <si>
    <t>Air purification and ventilation equipment manufacturing</t>
  </si>
  <si>
    <t>Air conditioning, refrigeration, and warm air heating equipment manufacturing</t>
  </si>
  <si>
    <t>Industrial mold manufacturing</t>
  </si>
  <si>
    <t>Metal cutting and forming machine tool manufacturing</t>
  </si>
  <si>
    <t>Special tool, die, jig, and fixture manufacturing</t>
  </si>
  <si>
    <t>Cutting tool and machine tool accessory manufacturing</t>
  </si>
  <si>
    <t>Rolling mill and other metalworking machinery manufacturing</t>
  </si>
  <si>
    <t>Turbine and turbine generator set units manufacturing</t>
  </si>
  <si>
    <t>Speed changer, industrial high-speed drive, and gear manufacturing</t>
  </si>
  <si>
    <t>Mechanical power transmission equipment manufacturing</t>
  </si>
  <si>
    <t>Other engine equipment manufacturing</t>
  </si>
  <si>
    <t>Pump and pumping equipment manufacturing</t>
  </si>
  <si>
    <t>Air and gas compressor manufacturing</t>
  </si>
  <si>
    <t>Material handling equipment manufacturing</t>
  </si>
  <si>
    <t>Power-driven handtool manufacturing</t>
  </si>
  <si>
    <t>Other general purpose machinery manufacturing</t>
  </si>
  <si>
    <t>Packaging machinery manufacturing</t>
  </si>
  <si>
    <t>Industrial process furnace and oven manufacturing</t>
  </si>
  <si>
    <t>Electronic computer manufacturing</t>
  </si>
  <si>
    <t>Computer storage device manufacturing</t>
  </si>
  <si>
    <t>Computer terminals and other computer peripheral equipment manufacturing</t>
  </si>
  <si>
    <t>Telephone apparatus manufacturing</t>
  </si>
  <si>
    <t>Other communications equipment manufacturing</t>
  </si>
  <si>
    <t>Audio and video equipment manufacturing</t>
  </si>
  <si>
    <t>Electron tube manufacturing</t>
  </si>
  <si>
    <t>Bare printed circuit board manufacturing</t>
  </si>
  <si>
    <t>Semiconductor and related device manufacturing</t>
  </si>
  <si>
    <t>Electronic capacitor, resistor, coil, transformer, and other inductor manufacturing</t>
  </si>
  <si>
    <t>Electronic connector manufacturing</t>
  </si>
  <si>
    <t>Printed circuit assembly (electronic assembly) manufacturing</t>
  </si>
  <si>
    <t>Other electronic component manufacturing</t>
  </si>
  <si>
    <t>Electromedical and electrotherapeutic apparatus manufacturing</t>
  </si>
  <si>
    <t>Search, detection, and navigation instruments manufacturing</t>
  </si>
  <si>
    <t>Automatic environmental control manufacturing</t>
  </si>
  <si>
    <t>Totalizing fluid meters and counting devices manufacturing</t>
  </si>
  <si>
    <t>Analytical laboratory instrument manufacturing</t>
  </si>
  <si>
    <t>Irradiation apparatus manufacturing</t>
  </si>
  <si>
    <t>Watch, clock, and other measuring and controlling device manufacturing</t>
  </si>
  <si>
    <t>Magnetic and optical recording media manufacturing</t>
  </si>
  <si>
    <t>Electric lamp bulb and part manufacturing</t>
  </si>
  <si>
    <t>Lighting fixture manufacturing</t>
  </si>
  <si>
    <t>Small electrical appliance manufacturing</t>
  </si>
  <si>
    <t>Household cooking appliance manufacturing</t>
  </si>
  <si>
    <t>Household refrigerator and home freezer manufacturing</t>
  </si>
  <si>
    <t>Household laundry equipment manufacturing</t>
  </si>
  <si>
    <t>Other major household appliance manufacturing</t>
  </si>
  <si>
    <t>Power, distribution, and specialty transformer manufacturing</t>
  </si>
  <si>
    <t>Motor and generator manufacturing</t>
  </si>
  <si>
    <t>Switchgear and switchboard apparatus manufacturing</t>
  </si>
  <si>
    <t>Storage battery manufacturing</t>
  </si>
  <si>
    <t>Primary battery manufacturing</t>
  </si>
  <si>
    <t>Communication and energy wire and cable manufacturing</t>
  </si>
  <si>
    <t>Wiring device manufacturing</t>
  </si>
  <si>
    <t>Automobile manufacturing</t>
  </si>
  <si>
    <t>Light truck and utility vehicle manufacturing</t>
  </si>
  <si>
    <t>Heavy duty truck manufacturing</t>
  </si>
  <si>
    <t>Motor vehicle body manufacturing</t>
  </si>
  <si>
    <t>Truck trailer manufacturing</t>
  </si>
  <si>
    <t>Motor home manufacturing</t>
  </si>
  <si>
    <t>Travel trailer and camper manufacturing</t>
  </si>
  <si>
    <t>Motor vehicle parts manufacturing</t>
  </si>
  <si>
    <t>Aircraft manufacturing</t>
  </si>
  <si>
    <t>Aircraft engine and engine parts manufacturing</t>
  </si>
  <si>
    <t>Other aircraft parts and auxiliary equipment manufacturing</t>
  </si>
  <si>
    <t>Guided missile and space vehicle manufacturing</t>
  </si>
  <si>
    <t>Railroad rolling stock manufacturing</t>
  </si>
  <si>
    <t>Ship building and repairing</t>
  </si>
  <si>
    <t>Boat building</t>
  </si>
  <si>
    <t>Motorcycle, bicycle, and parts manufacturing</t>
  </si>
  <si>
    <t>Military armored vehicle, tank, and tank component manufacturing</t>
  </si>
  <si>
    <t>All other transportation equipment manufacturing</t>
  </si>
  <si>
    <t>Wood kitchen cabinet and countertop manufacturing</t>
  </si>
  <si>
    <t>Upholstered household furniture manufacturing</t>
  </si>
  <si>
    <t>Nonupholstered wood household furniture manufacturing</t>
  </si>
  <si>
    <t>Metal and other household furniture (except wood) manufacturing</t>
  </si>
  <si>
    <t>Institutional furniture manufacturing</t>
  </si>
  <si>
    <t>Wood television, radio, and sewing machine cabinet manufacturing</t>
  </si>
  <si>
    <t>Office furniture and custom architectural woodwork and millwork manufacturing</t>
  </si>
  <si>
    <t>Showcase, partition, shelving, and locker manufacturing</t>
  </si>
  <si>
    <t>Mattress manufacturing</t>
  </si>
  <si>
    <t>Blind and shade manufacturing</t>
  </si>
  <si>
    <t>Dental equipment and supplies manufacturing</t>
  </si>
  <si>
    <t>Ophthalmic goods manufacturing</t>
  </si>
  <si>
    <t>Jewelry and silverware manufacturing</t>
  </si>
  <si>
    <t>Sporting and athletic goods manufacturing</t>
  </si>
  <si>
    <t>Doll, toy, and game manufacturing</t>
  </si>
  <si>
    <t>Office supplies (except paper) manufacturing</t>
  </si>
  <si>
    <t>Sign manufacturing</t>
  </si>
  <si>
    <t>Musical instrument manufacturing</t>
  </si>
  <si>
    <t>All other miscellaneous manufacturing</t>
  </si>
  <si>
    <t>Broom, brush, and mop manufacturing</t>
  </si>
  <si>
    <t>Transit and ground passenger transportation</t>
  </si>
  <si>
    <t>Scenic and sightseeing transportation and support activities for transportation</t>
  </si>
  <si>
    <t>Couriers and messengers</t>
  </si>
  <si>
    <t>Warehousing and storage</t>
  </si>
  <si>
    <t>Newspaper publishers</t>
  </si>
  <si>
    <t>Periodical publishers</t>
  </si>
  <si>
    <t>Book publishers</t>
  </si>
  <si>
    <t>Directory, mailing list, and other publishers</t>
  </si>
  <si>
    <t>Software publishers</t>
  </si>
  <si>
    <t>Motion picture and video industries</t>
  </si>
  <si>
    <t>Sound recording industries</t>
  </si>
  <si>
    <t>Radio and television broadcasting</t>
  </si>
  <si>
    <t>Cable and other subscription programming</t>
  </si>
  <si>
    <t>Telecommunications</t>
  </si>
  <si>
    <t>Nondepository credit intermediation and related activities</t>
  </si>
  <si>
    <t>Securities, commodity contracts, investments, and related activities</t>
  </si>
  <si>
    <t>Insurance carriers</t>
  </si>
  <si>
    <t>Insurance agencies, brokerages, and related activities</t>
  </si>
  <si>
    <t>Funds, trusts, and other financial vehicles</t>
  </si>
  <si>
    <t>Automotive equipment rental and leasing</t>
  </si>
  <si>
    <t>General and consumer goods rental except video tapes and discs</t>
  </si>
  <si>
    <t>Video tape and disc rental</t>
  </si>
  <si>
    <t>Commercial and industrial machinery and equipment rental and leasing</t>
  </si>
  <si>
    <t>Lessors of nonfinancial intangible assets</t>
  </si>
  <si>
    <t>Legal services</t>
  </si>
  <si>
    <t>Accounting, tax preparation, bookkeeping, and payroll services</t>
  </si>
  <si>
    <t>Architectural, engineering, and related services</t>
  </si>
  <si>
    <t>Specialized design services</t>
  </si>
  <si>
    <t>Custom computer programming services</t>
  </si>
  <si>
    <t>Computer systems design services</t>
  </si>
  <si>
    <t>Other computer related services, including facilities management</t>
  </si>
  <si>
    <t>Management, scientific, and technical consulting services</t>
  </si>
  <si>
    <t>Environmental and other technical consulting services</t>
  </si>
  <si>
    <t>Scientific research and development services</t>
  </si>
  <si>
    <t>Advertising and related services</t>
  </si>
  <si>
    <t>Photographic services</t>
  </si>
  <si>
    <t>Veterinary services</t>
  </si>
  <si>
    <t>All other miscellaneous professional, scientific, and technical services</t>
  </si>
  <si>
    <t>Management of companies and enterprises</t>
  </si>
  <si>
    <t>Employment services</t>
  </si>
  <si>
    <t>Travel arrangement and reservation services</t>
  </si>
  <si>
    <t>Office administrative services</t>
  </si>
  <si>
    <t>Facilities support services</t>
  </si>
  <si>
    <t>Business support services</t>
  </si>
  <si>
    <t>Investigation and security services</t>
  </si>
  <si>
    <t>Services to buildings and dwellings</t>
  </si>
  <si>
    <t>Other support services</t>
  </si>
  <si>
    <t>Waste management and remediation services</t>
  </si>
  <si>
    <t>Offices of physicians, dentists, and other health practitioners</t>
  </si>
  <si>
    <t>Home health care services</t>
  </si>
  <si>
    <t>Medical and diagnostic labs and outpatient and other ambulatory care services</t>
  </si>
  <si>
    <t>Nursing and residential care facilities</t>
  </si>
  <si>
    <t>Child day care services</t>
  </si>
  <si>
    <t>Individual and family services</t>
  </si>
  <si>
    <t>Community food, housing, and other relief services, including rehabilitation services</t>
  </si>
  <si>
    <t>Performing arts companies</t>
  </si>
  <si>
    <t>Promoters of performing arts and sports and agents for public figures</t>
  </si>
  <si>
    <t>Independent artists, writers, and performers</t>
  </si>
  <si>
    <t>Museums, historical sites, zoos, and parks</t>
  </si>
  <si>
    <t>Fitness and recreational sports centers</t>
  </si>
  <si>
    <t>Bowling centers</t>
  </si>
  <si>
    <t>Amusement parks, arcades, and gambling industries</t>
  </si>
  <si>
    <t>Other amusement and recreation industries</t>
  </si>
  <si>
    <t>Hotels and motels, including casino hotels</t>
  </si>
  <si>
    <t>Other accommodations</t>
  </si>
  <si>
    <t>Food services and drinking places</t>
  </si>
  <si>
    <t>Automotive repair and maintenance, except car washes</t>
  </si>
  <si>
    <t>Car washes</t>
  </si>
  <si>
    <t>Electronic and precision equipment repair and maintenance</t>
  </si>
  <si>
    <t>Commercial and industrial machinery and equipment repair and maintenance</t>
  </si>
  <si>
    <t>Personal and household goods repair and maintenance</t>
  </si>
  <si>
    <t>Personal care services</t>
  </si>
  <si>
    <t>Death care services</t>
  </si>
  <si>
    <t>Dry-cleaning and laundry services</t>
  </si>
  <si>
    <t>Other personal services</t>
  </si>
  <si>
    <t>Religious organizations</t>
  </si>
  <si>
    <t>Grantmaking, giving, and social advocacy organizations</t>
  </si>
  <si>
    <t>Civic, social, professional, and similar organizations</t>
  </si>
  <si>
    <t>IL</t>
  </si>
  <si>
    <t>PA</t>
  </si>
  <si>
    <t>AL</t>
  </si>
  <si>
    <t>AZ</t>
  </si>
  <si>
    <t>AR</t>
  </si>
  <si>
    <t>AK</t>
  </si>
  <si>
    <t>CA</t>
  </si>
  <si>
    <t>CO</t>
  </si>
  <si>
    <t>CT</t>
  </si>
  <si>
    <t>DE</t>
  </si>
  <si>
    <t>FL</t>
  </si>
  <si>
    <t>GA</t>
  </si>
  <si>
    <t>HI</t>
  </si>
  <si>
    <t>ID</t>
  </si>
  <si>
    <t>IN</t>
  </si>
  <si>
    <t>IA</t>
  </si>
  <si>
    <t>KS</t>
  </si>
  <si>
    <t>KY</t>
  </si>
  <si>
    <t>LA</t>
  </si>
  <si>
    <t>ME</t>
  </si>
  <si>
    <t>MA</t>
  </si>
  <si>
    <t>MD</t>
  </si>
  <si>
    <t>MI</t>
  </si>
  <si>
    <t>MS</t>
  </si>
  <si>
    <t>MO</t>
  </si>
  <si>
    <t>MN</t>
  </si>
  <si>
    <t>MT</t>
  </si>
  <si>
    <t>NE</t>
  </si>
  <si>
    <t>NV</t>
  </si>
  <si>
    <t>NH</t>
  </si>
  <si>
    <t>NJ</t>
  </si>
  <si>
    <t>NM</t>
  </si>
  <si>
    <t>NY</t>
  </si>
  <si>
    <t>NC</t>
  </si>
  <si>
    <t>ND</t>
  </si>
  <si>
    <t>OH</t>
  </si>
  <si>
    <t>OK</t>
  </si>
  <si>
    <t>OR</t>
  </si>
  <si>
    <t>RI</t>
  </si>
  <si>
    <t>SC</t>
  </si>
  <si>
    <t>SD</t>
  </si>
  <si>
    <t>TN</t>
  </si>
  <si>
    <t>TX</t>
  </si>
  <si>
    <t>UT</t>
  </si>
  <si>
    <t>VT</t>
  </si>
  <si>
    <t>VA</t>
  </si>
  <si>
    <t>WA</t>
  </si>
  <si>
    <t>WV</t>
  </si>
  <si>
    <t>WI</t>
  </si>
  <si>
    <t>WY</t>
  </si>
  <si>
    <t>Direct</t>
  </si>
  <si>
    <t>Indirect</t>
  </si>
  <si>
    <t>Sector</t>
  </si>
  <si>
    <t>Indirect Employment</t>
  </si>
  <si>
    <t>Induced Employment</t>
  </si>
  <si>
    <t>Progress Ratio</t>
  </si>
  <si>
    <t>Real estate</t>
  </si>
  <si>
    <t>Employment</t>
  </si>
  <si>
    <t>Induced</t>
  </si>
  <si>
    <t>Scale Elasticity</t>
  </si>
  <si>
    <t>Annual Rate of Technological Progress</t>
  </si>
  <si>
    <t>USA-National</t>
  </si>
  <si>
    <t>REQUIRED USER INPUT FIELDS</t>
  </si>
  <si>
    <t>BALANCE-OF-PLANT TOTAL:</t>
  </si>
  <si>
    <t>DO NOT CHANGE FIGURES BELOW THIS LINE</t>
  </si>
  <si>
    <t>Wholesale trade</t>
  </si>
  <si>
    <t>Construction</t>
  </si>
  <si>
    <t>Days per week</t>
  </si>
  <si>
    <t>Cost</t>
  </si>
  <si>
    <t>User-specified value</t>
  </si>
  <si>
    <t>Default value</t>
  </si>
  <si>
    <t>Weeks per year</t>
  </si>
  <si>
    <t>Imported</t>
  </si>
  <si>
    <t>Year</t>
  </si>
  <si>
    <t>Net</t>
  </si>
  <si>
    <t>Gross</t>
  </si>
  <si>
    <t>SUBSTITUTE TECHNOLOGY IMPACTS</t>
  </si>
  <si>
    <t>Net Annual</t>
  </si>
  <si>
    <t>Cumulative</t>
  </si>
  <si>
    <t>Annual</t>
  </si>
  <si>
    <t>Class I/II</t>
  </si>
  <si>
    <t>Class III</t>
  </si>
  <si>
    <t>TOTAL</t>
  </si>
  <si>
    <t>Electricity</t>
  </si>
  <si>
    <t>Source</t>
  </si>
  <si>
    <t>Stack</t>
  </si>
  <si>
    <t>System cost</t>
  </si>
  <si>
    <t>Class 3</t>
  </si>
  <si>
    <t>Total</t>
  </si>
  <si>
    <t>BOP scenerio specific</t>
  </si>
  <si>
    <t>$/kW * kW/unit * units/year</t>
  </si>
  <si>
    <t>Notes</t>
  </si>
  <si>
    <t>Value</t>
  </si>
  <si>
    <t>Shifts per day</t>
  </si>
  <si>
    <t>Forklift market</t>
  </si>
  <si>
    <t>Potential Fuel cell market</t>
  </si>
  <si>
    <t>Growth rates</t>
  </si>
  <si>
    <t>Economic Data</t>
  </si>
  <si>
    <t>Class 1-2</t>
  </si>
  <si>
    <t>Class 1-2 (Electric Rider)</t>
  </si>
  <si>
    <t>Class 3 (Motorized Hand)</t>
  </si>
  <si>
    <t>Class 4-5 (ICE)</t>
  </si>
  <si>
    <t>Total Forklift shipments</t>
  </si>
  <si>
    <t>Total electric shipments</t>
  </si>
  <si>
    <t>Class 1-2 / Total</t>
  </si>
  <si>
    <t>Class 3 / Total</t>
  </si>
  <si>
    <t>Electric/ Total</t>
  </si>
  <si>
    <t>Pot. Class 1-2 FC market</t>
  </si>
  <si>
    <t>Class 1-2 potential %</t>
  </si>
  <si>
    <t>Pot. Class 3 FC market</t>
  </si>
  <si>
    <t>"Riding" / Class 3</t>
  </si>
  <si>
    <t>GDP % change</t>
  </si>
  <si>
    <t>real invs. % change</t>
  </si>
  <si>
    <t>Source URL</t>
  </si>
  <si>
    <t>ITA data</t>
  </si>
  <si>
    <t>https://www.indtrk.org/marketing.asp</t>
  </si>
  <si>
    <t>ITA forecast</t>
  </si>
  <si>
    <t>IUV magazine</t>
  </si>
  <si>
    <t>http://www.iuvmag.com/articles/2011_01-03.html</t>
  </si>
  <si>
    <t>Choose overall forklift market growth</t>
  </si>
  <si>
    <t>I</t>
  </si>
  <si>
    <t>Choose Class 1-2 potential market %</t>
  </si>
  <si>
    <t>U</t>
  </si>
  <si>
    <t>Choose Class 3 potential market %</t>
  </si>
  <si>
    <t>G = GDP</t>
  </si>
  <si>
    <t>G</t>
  </si>
  <si>
    <t>U = Upper bound (30%)</t>
  </si>
  <si>
    <t>I = real investment</t>
  </si>
  <si>
    <t>L = Lower bound (15%)</t>
  </si>
  <si>
    <t>L</t>
  </si>
  <si>
    <t>M =Middle (15%)</t>
  </si>
  <si>
    <t>M</t>
  </si>
  <si>
    <t>N = No growth (0%)</t>
  </si>
  <si>
    <t>N</t>
  </si>
  <si>
    <t>F = Full market (100%)</t>
  </si>
  <si>
    <t>F</t>
  </si>
  <si>
    <t>L = Lower bound (10%)</t>
  </si>
  <si>
    <t>RCF assumption.</t>
  </si>
  <si>
    <t>Based on historical data and recent trends.</t>
  </si>
  <si>
    <t>He estimated 30% of class 1-2 forklifts were used in multishift operations.</t>
  </si>
  <si>
    <t>He quoted an ITA numbers and proprietary numbers.</t>
  </si>
  <si>
    <t>Of 44,000 class 3, 13,000 were "riders" the only kind where FCs were viable.</t>
  </si>
  <si>
    <t>That works out to about 30%.</t>
  </si>
  <si>
    <t>Of those 13,000 between 33% and 50% were candiates for FCs.</t>
  </si>
  <si>
    <t>Default</t>
  </si>
  <si>
    <t>Units used in model calculations</t>
  </si>
  <si>
    <t>Manufactured in region (units)</t>
  </si>
  <si>
    <t>Exported out of region (units)</t>
  </si>
  <si>
    <t>Imported into region (units)</t>
  </si>
  <si>
    <t>Value used in model</t>
  </si>
  <si>
    <t>Imported into region (units only)</t>
  </si>
  <si>
    <t>Cost function parameters</t>
  </si>
  <si>
    <t>Units</t>
  </si>
  <si>
    <t>Unit cost</t>
  </si>
  <si>
    <t>Total cost</t>
  </si>
  <si>
    <t>Cranes</t>
  </si>
  <si>
    <t>Forklifts used at factory</t>
  </si>
  <si>
    <t>Cranes used at factory</t>
  </si>
  <si>
    <t>Cost per crane ($/crane)</t>
  </si>
  <si>
    <t>Cost per forklift ($/forklift)</t>
  </si>
  <si>
    <t>Cost per testing station ($/testing station)</t>
  </si>
  <si>
    <t>Cost per bipolar plate press ($/BPP)</t>
  </si>
  <si>
    <t>Cost per assembly station ($/testing station)</t>
  </si>
  <si>
    <t>Retail Price ($/kW)</t>
  </si>
  <si>
    <t>Mfg. Cost ($/kW)</t>
  </si>
  <si>
    <t>Values used in model calculations</t>
  </si>
  <si>
    <t>OPTIONAL USER INPUT FIELDS</t>
  </si>
  <si>
    <t>&lt;Please select&gt;</t>
  </si>
  <si>
    <t>rPlease</t>
  </si>
  <si>
    <t>gUSA_gross</t>
  </si>
  <si>
    <t>rUSA_forklifts</t>
  </si>
  <si>
    <t>rReg_forklifts</t>
  </si>
  <si>
    <t>gReg_gross</t>
  </si>
  <si>
    <t>rReg_exports</t>
  </si>
  <si>
    <t>DIRECT LABOR -- scenario-specific</t>
  </si>
  <si>
    <t>NON-MANUFACTURING FUEL CELL COSTS (BACK OFFICE, LEGAL ETC.) -- constants</t>
  </si>
  <si>
    <t>NON-MANUFACTURING FUEL CELL COSTS (BACK OFFICE, LEGAL ETC.) -- scenario specific</t>
  </si>
  <si>
    <t>rFacility</t>
  </si>
  <si>
    <t>Total materials handling costs ($)</t>
  </si>
  <si>
    <t>OPTIONAL PEM MANUFACTURING FACILITY INPUT FIELDS</t>
  </si>
  <si>
    <t>Assumed fixed at all production levels.</t>
  </si>
  <si>
    <t>r_PriceCost</t>
  </si>
  <si>
    <t>rReference</t>
  </si>
  <si>
    <t>Class I/II - Initial Retail Price and Mfg. Cost ($/kW)</t>
  </si>
  <si>
    <t>Class III - Initial Retail Price and Mfg. Cost ($/kW)</t>
  </si>
  <si>
    <t>Year-by-year Retail Price and Manufacturing Cost</t>
  </si>
  <si>
    <t>Will this be a New production facility or will an existing production facility be Expanded?</t>
  </si>
  <si>
    <t>rUSA_backup</t>
  </si>
  <si>
    <t>rReg_backup</t>
  </si>
  <si>
    <t>Backup power - telecommunications</t>
  </si>
  <si>
    <t>Telecom tower stock</t>
  </si>
  <si>
    <t>Annual market growth (%)</t>
  </si>
  <si>
    <t>Total Annual Sales</t>
  </si>
  <si>
    <t>Choose growth</t>
  </si>
  <si>
    <t>y</t>
  </si>
  <si>
    <t>Y = Greene 2% growth</t>
  </si>
  <si>
    <t>Y</t>
  </si>
  <si>
    <t>N = Greene (no)</t>
  </si>
  <si>
    <t>Enter stock</t>
  </si>
  <si>
    <t>Greene (2010) = 300,000</t>
  </si>
  <si>
    <t>Enter life cycle</t>
  </si>
  <si>
    <t>L = Greene (long=20)</t>
  </si>
  <si>
    <t>S = Greene (short=15)</t>
  </si>
  <si>
    <t>S</t>
  </si>
  <si>
    <t>Source:</t>
  </si>
  <si>
    <t>Greene, 2011</t>
  </si>
  <si>
    <t>Backup</t>
  </si>
  <si>
    <t>Backup Power</t>
  </si>
  <si>
    <t>Greene</t>
  </si>
  <si>
    <t>rInf</t>
  </si>
  <si>
    <t>Census Division 1-New England</t>
  </si>
  <si>
    <t>Census Division 2-Middle Atlantic</t>
  </si>
  <si>
    <t>Census Division 3-East North Central</t>
  </si>
  <si>
    <t>Census Division 4-West North Central</t>
  </si>
  <si>
    <t>Census Division 5-South Atlantic</t>
  </si>
  <si>
    <t>Census Division 6-East South Central</t>
  </si>
  <si>
    <t>Census Division 7-West South Central</t>
  </si>
  <si>
    <t>Census Division 8-Mountain</t>
  </si>
  <si>
    <t>Census Division 9-Pacific</t>
  </si>
  <si>
    <t>Catalyst application</t>
  </si>
  <si>
    <t>Membrane slit</t>
  </si>
  <si>
    <t>GDL slit</t>
  </si>
  <si>
    <t>Code</t>
  </si>
  <si>
    <t>Tier employment</t>
  </si>
  <si>
    <t>Type I employment</t>
  </si>
  <si>
    <t>Type II employment</t>
  </si>
  <si>
    <t>Direct employment</t>
  </si>
  <si>
    <t>Type I earnings</t>
  </si>
  <si>
    <t>Type II earnings</t>
  </si>
  <si>
    <t>Direct earnings</t>
  </si>
  <si>
    <t>Indirect earnings</t>
  </si>
  <si>
    <t>Induced earnings</t>
  </si>
  <si>
    <t>Tier earnings</t>
  </si>
  <si>
    <t>Tier output</t>
  </si>
  <si>
    <t>Type I output</t>
  </si>
  <si>
    <t>Type II output</t>
  </si>
  <si>
    <t>Direct output</t>
  </si>
  <si>
    <t>Indirect output</t>
  </si>
  <si>
    <t>Induced output</t>
  </si>
  <si>
    <t>33341A</t>
  </si>
  <si>
    <t>33299C</t>
  </si>
  <si>
    <t>33291A</t>
  </si>
  <si>
    <t>2211A0</t>
  </si>
  <si>
    <t xml:space="preserve">Carbon and graphite product manufacturing </t>
  </si>
  <si>
    <t xml:space="preserve">Gasket, packing, and sealing device manufacturing </t>
  </si>
  <si>
    <t xml:space="preserve">Nonferrous metal (except copper and aluminum) rolling, drawing, extruding and alloying </t>
  </si>
  <si>
    <t xml:space="preserve">Plastics material and resin manufacturing </t>
  </si>
  <si>
    <t xml:space="preserve">Steel product manufacturing from purchased steel </t>
  </si>
  <si>
    <t xml:space="preserve">Air purification and ventilation equipment manufacturing </t>
  </si>
  <si>
    <t xml:space="preserve">All other miscellaneous electrical equipment and component manufacturing </t>
  </si>
  <si>
    <t xml:space="preserve">Electricity and signal testing instruments manufacturing </t>
  </si>
  <si>
    <t xml:space="preserve">Heating equipment (except warm air furnaces) manufacturing </t>
  </si>
  <si>
    <t>Valve and fittings other than plumbing</t>
  </si>
  <si>
    <t xml:space="preserve">Metal tank (heavy gauge) manufacturing </t>
  </si>
  <si>
    <t xml:space="preserve">Air and gas compressor manufacturing </t>
  </si>
  <si>
    <t xml:space="preserve">Pump and pumping equipment manufacturing </t>
  </si>
  <si>
    <t xml:space="preserve">Truck transportation </t>
  </si>
  <si>
    <t>code</t>
  </si>
  <si>
    <t>sector</t>
  </si>
  <si>
    <t>tier_emp_I_USA_National</t>
  </si>
  <si>
    <t>tier_emp_I_AK</t>
  </si>
  <si>
    <t>tier_emp_I_AL</t>
  </si>
  <si>
    <t>tier_emp_I_AR</t>
  </si>
  <si>
    <t>tier_emp_I_AZ</t>
  </si>
  <si>
    <t>tier_emp_I_CA</t>
  </si>
  <si>
    <t>tier_emp_I_CO</t>
  </si>
  <si>
    <t>tier_emp_I_CT</t>
  </si>
  <si>
    <t>tier_emp_I_DC</t>
  </si>
  <si>
    <t>tier_emp_I_DE</t>
  </si>
  <si>
    <t>tier_emp_I_FL</t>
  </si>
  <si>
    <t>tier_emp_I_GA</t>
  </si>
  <si>
    <t>tier_emp_I_HI</t>
  </si>
  <si>
    <t>tier_emp_I_IA</t>
  </si>
  <si>
    <t>tier_emp_I_ID</t>
  </si>
  <si>
    <t>tier_emp_I_IL</t>
  </si>
  <si>
    <t>tier_emp_I_IN</t>
  </si>
  <si>
    <t>tier_emp_I_KS</t>
  </si>
  <si>
    <t>tier_emp_I_KY</t>
  </si>
  <si>
    <t>tier_emp_I_LA</t>
  </si>
  <si>
    <t>tier_emp_I_MA</t>
  </si>
  <si>
    <t>tier_emp_I_MD</t>
  </si>
  <si>
    <t>tier_emp_I_ME</t>
  </si>
  <si>
    <t>tier_emp_I_MI</t>
  </si>
  <si>
    <t>tier_emp_I_MN</t>
  </si>
  <si>
    <t>tier_emp_I_MO</t>
  </si>
  <si>
    <t>tier_emp_I_MS</t>
  </si>
  <si>
    <t>tier_emp_I_MT</t>
  </si>
  <si>
    <t>tier_emp_I_NC</t>
  </si>
  <si>
    <t>tier_emp_I_ND</t>
  </si>
  <si>
    <t>tier_emp_I_NE</t>
  </si>
  <si>
    <t>tier_emp_I_NH</t>
  </si>
  <si>
    <t>tier_emp_I_NJ</t>
  </si>
  <si>
    <t>tier_emp_I_NM</t>
  </si>
  <si>
    <t>tier_emp_I_NV</t>
  </si>
  <si>
    <t>tier_emp_I_NY</t>
  </si>
  <si>
    <t>tier_emp_I_OH</t>
  </si>
  <si>
    <t>tier_emp_I_OK</t>
  </si>
  <si>
    <t>tier_emp_I_OR</t>
  </si>
  <si>
    <t>tier_emp_I_PA</t>
  </si>
  <si>
    <t>tier_emp_I_RI</t>
  </si>
  <si>
    <t>tier_emp_I_SC</t>
  </si>
  <si>
    <t>tier_emp_I_SD</t>
  </si>
  <si>
    <t>tier_emp_I_TN</t>
  </si>
  <si>
    <t>tier_emp_I_TX</t>
  </si>
  <si>
    <t>tier_emp_I_UT</t>
  </si>
  <si>
    <t>tier_emp_I_VA</t>
  </si>
  <si>
    <t>tier_emp_I_VT</t>
  </si>
  <si>
    <t>tier_emp_I_WA</t>
  </si>
  <si>
    <t>tier_emp_I_WI</t>
  </si>
  <si>
    <t>tier_emp_I_WV</t>
  </si>
  <si>
    <t>tier_emp_I_WY</t>
  </si>
  <si>
    <t>tier_emp_I_CD_1_New_England</t>
  </si>
  <si>
    <t>tier_emp_I_CD_2_Mid_Atlantic</t>
  </si>
  <si>
    <t>tier_emp_I_CD_3_E_N_Central</t>
  </si>
  <si>
    <t>tier_emp_I_CD_4_W_N_Central</t>
  </si>
  <si>
    <t>tier_emp_I_CD_5_S_Atlantic</t>
  </si>
  <si>
    <t>tier_emp_I_CD_6_E_S_Central</t>
  </si>
  <si>
    <t>tier_emp_I_CD_7_W_S_Central</t>
  </si>
  <si>
    <t>tier_emp_I_CD_8_Mountain</t>
  </si>
  <si>
    <t>tier_emp_I_CD_9_Pacific</t>
  </si>
  <si>
    <t>1111C0</t>
  </si>
  <si>
    <t>Oilseed and grain farming</t>
  </si>
  <si>
    <t>1113B0</t>
  </si>
  <si>
    <t>Fruit and tree nut farming</t>
  </si>
  <si>
    <t>1119C0</t>
  </si>
  <si>
    <t>All other crop farming, including sugarcane and sugar beet farming</t>
  </si>
  <si>
    <t>1121A0</t>
  </si>
  <si>
    <t>112A00</t>
  </si>
  <si>
    <t>Logging</t>
  </si>
  <si>
    <t>113A00</t>
  </si>
  <si>
    <t>Forest nurseries, forest products, and timber tracts</t>
  </si>
  <si>
    <t>Fishing</t>
  </si>
  <si>
    <t>Hunting and trapping</t>
  </si>
  <si>
    <t>Oil and gas extraction</t>
  </si>
  <si>
    <t>Coal mining</t>
  </si>
  <si>
    <t>Iron ore mining</t>
  </si>
  <si>
    <t>Copper, nickel, lead, and zinc mining</t>
  </si>
  <si>
    <t>2122A0</t>
  </si>
  <si>
    <t>Gold, silver, and other metal ore mining</t>
  </si>
  <si>
    <t>Stone mining and quarrying</t>
  </si>
  <si>
    <t>Sand, gravel, clay, and ceramic and refractory minerals mining and quarrying</t>
  </si>
  <si>
    <t>Other nonmetallic mineral mining and quarrying</t>
  </si>
  <si>
    <t>21311A</t>
  </si>
  <si>
    <t>Water, sewage and other systems</t>
  </si>
  <si>
    <t>31122A</t>
  </si>
  <si>
    <t>31131A</t>
  </si>
  <si>
    <t>31151A</t>
  </si>
  <si>
    <t>31161A</t>
  </si>
  <si>
    <t>3122A0</t>
  </si>
  <si>
    <t>32121A</t>
  </si>
  <si>
    <t>32121B</t>
  </si>
  <si>
    <t>Wood windows and doors and millwork</t>
  </si>
  <si>
    <t>Paperboard mills</t>
  </si>
  <si>
    <t>32222A</t>
  </si>
  <si>
    <t>32222B</t>
  </si>
  <si>
    <t>3259A0</t>
  </si>
  <si>
    <t>32619A</t>
  </si>
  <si>
    <t>32711A</t>
  </si>
  <si>
    <t>32712A</t>
  </si>
  <si>
    <t>32712B</t>
  </si>
  <si>
    <t>3274A0</t>
  </si>
  <si>
    <t>Miscellaneous nonmetallic mineral products</t>
  </si>
  <si>
    <t>33131A</t>
  </si>
  <si>
    <t>33131B</t>
  </si>
  <si>
    <t>33211A</t>
  </si>
  <si>
    <t>33211B</t>
  </si>
  <si>
    <t>33221A</t>
  </si>
  <si>
    <t>33221B</t>
  </si>
  <si>
    <t>33299A</t>
  </si>
  <si>
    <t>33299B</t>
  </si>
  <si>
    <t>33329A</t>
  </si>
  <si>
    <t>33331A</t>
  </si>
  <si>
    <t>33351A</t>
  </si>
  <si>
    <t>33351B</t>
  </si>
  <si>
    <t>33399A</t>
  </si>
  <si>
    <t>33399B</t>
  </si>
  <si>
    <t>Fluid power process machinery</t>
  </si>
  <si>
    <t>33411A</t>
  </si>
  <si>
    <t>Broadcast and wireless communications equipment</t>
  </si>
  <si>
    <t>33441A</t>
  </si>
  <si>
    <t>33451A</t>
  </si>
  <si>
    <t>33461A</t>
  </si>
  <si>
    <t>Software, audio, and video media reproducing</t>
  </si>
  <si>
    <t>33641A</t>
  </si>
  <si>
    <t>Propulsion units and parts for space vehicles and guided missiles</t>
  </si>
  <si>
    <t>33712A</t>
  </si>
  <si>
    <t>33721A</t>
  </si>
  <si>
    <t>Surgical and medical instrument manufacturing</t>
  </si>
  <si>
    <t>Dental laboratories</t>
  </si>
  <si>
    <t>33911A</t>
  </si>
  <si>
    <t>Laboratory apparatus and surgical appliance and supplies manufacturing</t>
  </si>
  <si>
    <t>33999A</t>
  </si>
  <si>
    <t>Air transportation</t>
  </si>
  <si>
    <t>Rail transportation</t>
  </si>
  <si>
    <t>Water transportation</t>
  </si>
  <si>
    <t>Truck transportation</t>
  </si>
  <si>
    <t>485A00</t>
  </si>
  <si>
    <t>Pipeline transportation</t>
  </si>
  <si>
    <t>48A000</t>
  </si>
  <si>
    <t>Postal service</t>
  </si>
  <si>
    <t>4A0000</t>
  </si>
  <si>
    <t>Retail trade</t>
  </si>
  <si>
    <t>5111A0</t>
  </si>
  <si>
    <t>51A000</t>
  </si>
  <si>
    <t>Internet and other information services</t>
  </si>
  <si>
    <t>522A00</t>
  </si>
  <si>
    <t>52A000</t>
  </si>
  <si>
    <t>Monetary authorities and depository credit intermediation</t>
  </si>
  <si>
    <t>532A00</t>
  </si>
  <si>
    <t>54151A</t>
  </si>
  <si>
    <t>5416A0</t>
  </si>
  <si>
    <t>5419A0</t>
  </si>
  <si>
    <t>Elementary and secondary schools</t>
  </si>
  <si>
    <t>611A00</t>
  </si>
  <si>
    <t>Junior colleges, colleges, universities, and professional schools</t>
  </si>
  <si>
    <t>611B00</t>
  </si>
  <si>
    <t>Other educational services</t>
  </si>
  <si>
    <t>621A00</t>
  </si>
  <si>
    <t>621B00</t>
  </si>
  <si>
    <t>Hospitals</t>
  </si>
  <si>
    <t>624A00</t>
  </si>
  <si>
    <t>Spectator sports</t>
  </si>
  <si>
    <t>711A00</t>
  </si>
  <si>
    <t>713A00</t>
  </si>
  <si>
    <t>713B00</t>
  </si>
  <si>
    <t>7211A0</t>
  </si>
  <si>
    <t>721A00</t>
  </si>
  <si>
    <t>8111A0</t>
  </si>
  <si>
    <t>813A00</t>
  </si>
  <si>
    <t>813B00</t>
  </si>
  <si>
    <t>H00000</t>
  </si>
  <si>
    <t>Households</t>
  </si>
  <si>
    <t>S00800</t>
  </si>
  <si>
    <t>Owner-occupied dwellings</t>
  </si>
  <si>
    <t>S00A00</t>
  </si>
  <si>
    <t>Other government enterprises</t>
  </si>
  <si>
    <t>Tier employment multipliers</t>
  </si>
  <si>
    <t>Type I employment multipliers</t>
  </si>
  <si>
    <t>FD_emp_I_USA_National</t>
  </si>
  <si>
    <t>FD_emp_I_AK</t>
  </si>
  <si>
    <t>FD_emp_I_AL</t>
  </si>
  <si>
    <t>FD_emp_I_AR</t>
  </si>
  <si>
    <t>FD_emp_I_AZ</t>
  </si>
  <si>
    <t>FD_emp_I_CA</t>
  </si>
  <si>
    <t>FD_emp_I_CO</t>
  </si>
  <si>
    <t>FD_emp_I_CT</t>
  </si>
  <si>
    <t>FD_emp_I_DC</t>
  </si>
  <si>
    <t>FD_emp_I_DE</t>
  </si>
  <si>
    <t>FD_emp_I_FL</t>
  </si>
  <si>
    <t>FD_emp_I_GA</t>
  </si>
  <si>
    <t>FD_emp_I_HI</t>
  </si>
  <si>
    <t>FD_emp_I_IA</t>
  </si>
  <si>
    <t>FD_emp_I_ID</t>
  </si>
  <si>
    <t>FD_emp_I_IL</t>
  </si>
  <si>
    <t>FD_emp_I_IN</t>
  </si>
  <si>
    <t>FD_emp_I_KS</t>
  </si>
  <si>
    <t>FD_emp_I_KY</t>
  </si>
  <si>
    <t>FD_emp_I_LA</t>
  </si>
  <si>
    <t>FD_emp_I_MA</t>
  </si>
  <si>
    <t>FD_emp_I_MD</t>
  </si>
  <si>
    <t>FD_emp_I_ME</t>
  </si>
  <si>
    <t>FD_emp_I_MI</t>
  </si>
  <si>
    <t>FD_emp_I_MN</t>
  </si>
  <si>
    <t>FD_emp_I_MO</t>
  </si>
  <si>
    <t>FD_emp_I_MS</t>
  </si>
  <si>
    <t>FD_emp_I_MT</t>
  </si>
  <si>
    <t>FD_emp_I_NC</t>
  </si>
  <si>
    <t>FD_emp_I_ND</t>
  </si>
  <si>
    <t>FD_emp_I_NE</t>
  </si>
  <si>
    <t>FD_emp_I_NH</t>
  </si>
  <si>
    <t>FD_emp_I_NJ</t>
  </si>
  <si>
    <t>FD_emp_I_NM</t>
  </si>
  <si>
    <t>FD_emp_I_NV</t>
  </si>
  <si>
    <t>FD_emp_I_NY</t>
  </si>
  <si>
    <t>FD_emp_I_OH</t>
  </si>
  <si>
    <t>FD_emp_I_OK</t>
  </si>
  <si>
    <t>FD_emp_I_OR</t>
  </si>
  <si>
    <t>FD_emp_I_PA</t>
  </si>
  <si>
    <t>FD_emp_I_RI</t>
  </si>
  <si>
    <t>FD_emp_I_SC</t>
  </si>
  <si>
    <t>FD_emp_I_SD</t>
  </si>
  <si>
    <t>FD_emp_I_TN</t>
  </si>
  <si>
    <t>FD_emp_I_TX</t>
  </si>
  <si>
    <t>FD_emp_I_UT</t>
  </si>
  <si>
    <t>FD_emp_I_VA</t>
  </si>
  <si>
    <t>FD_emp_I_VT</t>
  </si>
  <si>
    <t>FD_emp_I_WA</t>
  </si>
  <si>
    <t>FD_emp_I_WI</t>
  </si>
  <si>
    <t>FD_emp_I_WV</t>
  </si>
  <si>
    <t>FD_emp_I_WY</t>
  </si>
  <si>
    <t>FD_emp_I_CD_1_New_England</t>
  </si>
  <si>
    <t>FD_emp_I_CD_2_Mid_Atlantic</t>
  </si>
  <si>
    <t>FD_emp_I_CD_3_E_N_Central</t>
  </si>
  <si>
    <t>FD_emp_I_CD_4_W_N_Central</t>
  </si>
  <si>
    <t>FD_emp_I_CD_5_S_Atlantic</t>
  </si>
  <si>
    <t>FD_emp_I_CD_6_E_S_Central</t>
  </si>
  <si>
    <t>FD_emp_I_CD_7_W_S_Central</t>
  </si>
  <si>
    <t>FD_emp_I_CD_8_Mountain</t>
  </si>
  <si>
    <t>FD_emp_I_CD_9_Pacific</t>
  </si>
  <si>
    <t>Type II employment multipliers</t>
  </si>
  <si>
    <t>FD_emp_II_USA_National</t>
  </si>
  <si>
    <t>FD_emp_II_AK</t>
  </si>
  <si>
    <t>FD_emp_II_AL</t>
  </si>
  <si>
    <t>FD_emp_II_AR</t>
  </si>
  <si>
    <t>FD_emp_II_AZ</t>
  </si>
  <si>
    <t>FD_emp_II_CA</t>
  </si>
  <si>
    <t>FD_emp_II_CO</t>
  </si>
  <si>
    <t>FD_emp_II_CT</t>
  </si>
  <si>
    <t>FD_emp_II_DC</t>
  </si>
  <si>
    <t>FD_emp_II_DE</t>
  </si>
  <si>
    <t>FD_emp_II_FL</t>
  </si>
  <si>
    <t>FD_emp_II_GA</t>
  </si>
  <si>
    <t>FD_emp_II_HI</t>
  </si>
  <si>
    <t>FD_emp_II_IA</t>
  </si>
  <si>
    <t>FD_emp_II_ID</t>
  </si>
  <si>
    <t>FD_emp_II_IL</t>
  </si>
  <si>
    <t>FD_emp_II_IN</t>
  </si>
  <si>
    <t>FD_emp_II_KS</t>
  </si>
  <si>
    <t>FD_emp_II_KY</t>
  </si>
  <si>
    <t>FD_emp_II_LA</t>
  </si>
  <si>
    <t>FD_emp_II_MA</t>
  </si>
  <si>
    <t>FD_emp_II_MD</t>
  </si>
  <si>
    <t>FD_emp_II_ME</t>
  </si>
  <si>
    <t>FD_emp_II_MI</t>
  </si>
  <si>
    <t>FD_emp_II_MN</t>
  </si>
  <si>
    <t>FD_emp_II_MO</t>
  </si>
  <si>
    <t>FD_emp_II_MS</t>
  </si>
  <si>
    <t>FD_emp_II_MT</t>
  </si>
  <si>
    <t>FD_emp_II_NC</t>
  </si>
  <si>
    <t>FD_emp_II_ND</t>
  </si>
  <si>
    <t>FD_emp_II_NE</t>
  </si>
  <si>
    <t>FD_emp_II_NH</t>
  </si>
  <si>
    <t>FD_emp_II_NJ</t>
  </si>
  <si>
    <t>FD_emp_II_NM</t>
  </si>
  <si>
    <t>FD_emp_II_NV</t>
  </si>
  <si>
    <t>FD_emp_II_NY</t>
  </si>
  <si>
    <t>FD_emp_II_OH</t>
  </si>
  <si>
    <t>FD_emp_II_OK</t>
  </si>
  <si>
    <t>FD_emp_II_OR</t>
  </si>
  <si>
    <t>FD_emp_II_PA</t>
  </si>
  <si>
    <t>FD_emp_II_RI</t>
  </si>
  <si>
    <t>FD_emp_II_SC</t>
  </si>
  <si>
    <t>FD_emp_II_SD</t>
  </si>
  <si>
    <t>FD_emp_II_TN</t>
  </si>
  <si>
    <t>FD_emp_II_TX</t>
  </si>
  <si>
    <t>FD_emp_II_UT</t>
  </si>
  <si>
    <t>FD_emp_II_VA</t>
  </si>
  <si>
    <t>FD_emp_II_VT</t>
  </si>
  <si>
    <t>FD_emp_II_WA</t>
  </si>
  <si>
    <t>FD_emp_II_WI</t>
  </si>
  <si>
    <t>FD_emp_II_WV</t>
  </si>
  <si>
    <t>FD_emp_II_WY</t>
  </si>
  <si>
    <t>FD_emp_II_CD_1_New_England</t>
  </si>
  <si>
    <t>FD_emp_II_CD_2_Mid_Atlantic</t>
  </si>
  <si>
    <t>FD_emp_II_CD_3_E_N_Central</t>
  </si>
  <si>
    <t>FD_emp_II_CD_4_W_N_Central</t>
  </si>
  <si>
    <t>FD_emp_II_CD_5_S_Atlantic</t>
  </si>
  <si>
    <t>FD_emp_II_CD_6_E_S_Central</t>
  </si>
  <si>
    <t>FD_emp_II_CD_7_W_S_Central</t>
  </si>
  <si>
    <t>FD_emp_II_CD_8_Mountain</t>
  </si>
  <si>
    <t>FD_emp_II_CD_9_Pacific</t>
  </si>
  <si>
    <t>Consumer Price Index - All Urban Consumers</t>
  </si>
  <si>
    <t>Original Data Value</t>
  </si>
  <si>
    <t>Series Id:</t>
  </si>
  <si>
    <t>CUUR0000SA0</t>
  </si>
  <si>
    <t>Not Seasonally Adjusted</t>
  </si>
  <si>
    <t>Area:</t>
  </si>
  <si>
    <t>U.S. city average</t>
  </si>
  <si>
    <t>Item:</t>
  </si>
  <si>
    <t>All items</t>
  </si>
  <si>
    <t>Base Period:</t>
  </si>
  <si>
    <t>1982-84=100</t>
  </si>
  <si>
    <t>Years:</t>
  </si>
  <si>
    <t>2001 to 2011</t>
  </si>
  <si>
    <t>Jan</t>
  </si>
  <si>
    <t>Feb</t>
  </si>
  <si>
    <t>Mar</t>
  </si>
  <si>
    <t>Apr</t>
  </si>
  <si>
    <t>May</t>
  </si>
  <si>
    <t>Jun</t>
  </si>
  <si>
    <t>Jul</t>
  </si>
  <si>
    <t>Aug</t>
  </si>
  <si>
    <t>Sep</t>
  </si>
  <si>
    <t>Oct</t>
  </si>
  <si>
    <t>Nov</t>
  </si>
  <si>
    <t>Dec</t>
  </si>
  <si>
    <t>HALF1</t>
  </si>
  <si>
    <t>HALF2</t>
  </si>
  <si>
    <t>Downloaded Oct 20, 2011 from</t>
  </si>
  <si>
    <t>http://data.bls.gov/cgi-bin/surveymost</t>
  </si>
  <si>
    <t>Median</t>
  </si>
  <si>
    <t>Max</t>
  </si>
  <si>
    <t>Average</t>
  </si>
  <si>
    <t>Cost per MEA mfg (hot press) ($/MEA mfg)</t>
  </si>
  <si>
    <t>Cost per MEA slit and cut ($/MEA slit and cut)</t>
  </si>
  <si>
    <t>2010 (old)</t>
  </si>
  <si>
    <t>2010 (new, 2k units)</t>
  </si>
  <si>
    <t>Category</t>
  </si>
  <si>
    <t>Sub-category</t>
  </si>
  <si>
    <t>Cost ($/FC)</t>
  </si>
  <si>
    <t>% of total</t>
  </si>
  <si>
    <t>RIMS-II</t>
  </si>
  <si>
    <t>RIMS-II Description</t>
  </si>
  <si>
    <t>Cathode side gasket</t>
  </si>
  <si>
    <t>Anode side gasket</t>
  </si>
  <si>
    <t>Cooling gasket</t>
  </si>
  <si>
    <t>End gaskets</t>
  </si>
  <si>
    <t>Tie rods and hardware</t>
  </si>
  <si>
    <t>End plates</t>
  </si>
  <si>
    <t xml:space="preserve">Bipolar plates </t>
  </si>
  <si>
    <t>Stack (MEA)</t>
  </si>
  <si>
    <t>Carbon Cloth</t>
  </si>
  <si>
    <t>PFSA (Nafion)</t>
  </si>
  <si>
    <t>Platinum</t>
  </si>
  <si>
    <t>Stack (MEA) total</t>
  </si>
  <si>
    <t>Stack total</t>
  </si>
  <si>
    <t>BoP</t>
  </si>
  <si>
    <t>Air Filter (Cooling Air)</t>
  </si>
  <si>
    <t>Air Filter (Cathode Air)</t>
  </si>
  <si>
    <t>Blower (Cooling Air)</t>
  </si>
  <si>
    <t>Blower (Cathode Air)</t>
  </si>
  <si>
    <t>Fan (Cooling Air)</t>
  </si>
  <si>
    <t>DC/DC Converter</t>
  </si>
  <si>
    <t>Stack Current Sensor</t>
  </si>
  <si>
    <t>Stack Voltage Sensor</t>
  </si>
  <si>
    <t>Enclosure Heater</t>
  </si>
  <si>
    <t>Enclosure Heater Relay</t>
  </si>
  <si>
    <t>Flow Meter (Cathode Air)</t>
  </si>
  <si>
    <t>Stack Temperature Sensor(s)</t>
  </si>
  <si>
    <t>H2 Sensor</t>
  </si>
  <si>
    <t>Assembly Hardware</t>
  </si>
  <si>
    <t>Frame</t>
  </si>
  <si>
    <t>Assorted Plumbing/Fittings</t>
  </si>
  <si>
    <t>Fuel Cell ECU</t>
  </si>
  <si>
    <t>Relief Valve</t>
  </si>
  <si>
    <t>Anode Purge Valve</t>
  </si>
  <si>
    <t>H2 Shutoff Valve</t>
  </si>
  <si>
    <t>Buss Bar</t>
  </si>
  <si>
    <t>Wiring and Connectors</t>
  </si>
  <si>
    <t>BoP total</t>
  </si>
  <si>
    <t>System assembly, testing conditioning</t>
  </si>
  <si>
    <t>Total system cost</t>
  </si>
  <si>
    <t>% of stack</t>
  </si>
  <si>
    <t>Capital costs</t>
  </si>
  <si>
    <t>Incremental</t>
  </si>
  <si>
    <t>2,000 units</t>
  </si>
  <si>
    <t>10,000 units</t>
  </si>
  <si>
    <t>100,000 units</t>
  </si>
  <si>
    <t>$/item</t>
  </si>
  <si>
    <t>GDL mfg</t>
  </si>
  <si>
    <t>MEA mfg (hot press)</t>
  </si>
  <si>
    <t>MEA slit and cut</t>
  </si>
  <si>
    <t>Bipolar plates mfg</t>
  </si>
  <si>
    <t>Units/item</t>
  </si>
  <si>
    <t>Real estate (acres)</t>
  </si>
  <si>
    <t>Factory total construction cost (sq ft)</t>
  </si>
  <si>
    <t>Forklifts</t>
  </si>
  <si>
    <t>Fixed capital costs</t>
  </si>
  <si>
    <t>Capital cost (subtotal)</t>
  </si>
  <si>
    <t>10% Contingency</t>
  </si>
  <si>
    <t>Total capital cost</t>
  </si>
  <si>
    <t>Fixed CC</t>
  </si>
  <si>
    <t>Battelle assumptions</t>
  </si>
  <si>
    <t>Assumes 1 acre of vacant land, zoned industrial Columbus, OH</t>
  </si>
  <si>
    <t>Capital O&amp;M costs</t>
  </si>
  <si>
    <t>Forklift maintenance and battery recharge</t>
  </si>
  <si>
    <t>Crane maintenance</t>
  </si>
  <si>
    <t>Fixed Capital O&amp;M</t>
  </si>
  <si>
    <t>Fixed C O&amp;M</t>
  </si>
  <si>
    <t>Variable Capital O&amp;M</t>
  </si>
  <si>
    <t>Insurance &amp; property tax</t>
  </si>
  <si>
    <t>Variable capital costs (line CC)</t>
  </si>
  <si>
    <t>Average line O&amp;M</t>
  </si>
  <si>
    <t>Total Capital O&amp;M</t>
  </si>
  <si>
    <t>Variable C O&amp;M</t>
  </si>
  <si>
    <t>$/unit</t>
  </si>
  <si>
    <t>Capital O&amp;M</t>
  </si>
  <si>
    <t>Capital O&amp;M total</t>
  </si>
  <si>
    <t>% of Capital</t>
  </si>
  <si>
    <t>Capital (amt)</t>
  </si>
  <si>
    <t>Amortized capital</t>
  </si>
  <si>
    <t>CC total</t>
  </si>
  <si>
    <t>Stack assembly</t>
  </si>
  <si>
    <t>% of BoP</t>
  </si>
  <si>
    <t>FUEL CELL MANUFACTURING SUPPLY CHAIN CALCULATIONS</t>
  </si>
  <si>
    <t>BALANCE OF PLANT (constants)</t>
  </si>
  <si>
    <t>Stack $/kW</t>
  </si>
  <si>
    <t>BoP $/kW</t>
  </si>
  <si>
    <t>CC $/kW</t>
  </si>
  <si>
    <t>FC $/kW</t>
  </si>
  <si>
    <t>Non-mfg total</t>
  </si>
  <si>
    <t>Schoots exponent</t>
  </si>
  <si>
    <t>Installations</t>
  </si>
  <si>
    <t>Domestic (net)</t>
  </si>
  <si>
    <t>Determining 5 kW unit equivalents ratios</t>
  </si>
  <si>
    <t>Greene p 17</t>
  </si>
  <si>
    <t>See PEM sectors</t>
  </si>
  <si>
    <t>Total mfg costs ($/year)</t>
  </si>
  <si>
    <t>Total non mfg costs ($/year)</t>
  </si>
  <si>
    <t>Deflator</t>
  </si>
  <si>
    <t>Cost (per unit)</t>
  </si>
  <si>
    <t>Tier earnings multipliers</t>
  </si>
  <si>
    <t>Type I earnings multipliers</t>
  </si>
  <si>
    <t>Type II earnings multipliers</t>
  </si>
  <si>
    <t>Tier output multipliers</t>
  </si>
  <si>
    <t>Type I output multipliers</t>
  </si>
  <si>
    <t>Type II output multipliers</t>
  </si>
  <si>
    <t>Battelle 5kW backup cost ($/kW)</t>
  </si>
  <si>
    <t>5 kW backup system cost</t>
  </si>
  <si>
    <t>5 kW backup equivalents</t>
  </si>
  <si>
    <t>5 kW MH cost ($/kW)</t>
  </si>
  <si>
    <t>5 kW MH system cost</t>
  </si>
  <si>
    <t>5 kW MH equivalents</t>
  </si>
  <si>
    <t>Used in cost function</t>
  </si>
  <si>
    <t>FUEL CELL MAINTENANCE COSTS (total)</t>
  </si>
  <si>
    <t>* * * PEM MANUFACTURING FACILITY CONSTRUCTION/EXPANSION MODULE * * *</t>
  </si>
  <si>
    <t>tier_earn_I_USA_National</t>
  </si>
  <si>
    <t>tier_earn_I_AK</t>
  </si>
  <si>
    <t>tier_earn_I_AL</t>
  </si>
  <si>
    <t>tier_earn_I_AR</t>
  </si>
  <si>
    <t>tier_earn_I_AZ</t>
  </si>
  <si>
    <t>tier_earn_I_CA</t>
  </si>
  <si>
    <t>tier_earn_I_CO</t>
  </si>
  <si>
    <t>tier_earn_I_CT</t>
  </si>
  <si>
    <t>tier_earn_I_DC</t>
  </si>
  <si>
    <t>tier_earn_I_DE</t>
  </si>
  <si>
    <t>tier_earn_I_FL</t>
  </si>
  <si>
    <t>tier_earn_I_GA</t>
  </si>
  <si>
    <t>tier_earn_I_HI</t>
  </si>
  <si>
    <t>tier_earn_I_IA</t>
  </si>
  <si>
    <t>tier_earn_I_ID</t>
  </si>
  <si>
    <t>tier_earn_I_IL</t>
  </si>
  <si>
    <t>tier_earn_I_IN</t>
  </si>
  <si>
    <t>tier_earn_I_KS</t>
  </si>
  <si>
    <t>tier_earn_I_KY</t>
  </si>
  <si>
    <t>tier_earn_I_LA</t>
  </si>
  <si>
    <t>tier_earn_I_MA</t>
  </si>
  <si>
    <t>tier_earn_I_MD</t>
  </si>
  <si>
    <t>tier_earn_I_ME</t>
  </si>
  <si>
    <t>tier_earn_I_MI</t>
  </si>
  <si>
    <t>tier_earn_I_MN</t>
  </si>
  <si>
    <t>tier_earn_I_MO</t>
  </si>
  <si>
    <t>tier_earn_I_MS</t>
  </si>
  <si>
    <t>tier_earn_I_MT</t>
  </si>
  <si>
    <t>tier_earn_I_NC</t>
  </si>
  <si>
    <t>tier_earn_I_ND</t>
  </si>
  <si>
    <t>tier_earn_I_NE</t>
  </si>
  <si>
    <t>tier_earn_I_NH</t>
  </si>
  <si>
    <t>tier_earn_I_NJ</t>
  </si>
  <si>
    <t>tier_earn_I_NM</t>
  </si>
  <si>
    <t>tier_earn_I_NV</t>
  </si>
  <si>
    <t>tier_earn_I_NY</t>
  </si>
  <si>
    <t>tier_earn_I_OH</t>
  </si>
  <si>
    <t>tier_earn_I_OK</t>
  </si>
  <si>
    <t>tier_earn_I_OR</t>
  </si>
  <si>
    <t>tier_earn_I_PA</t>
  </si>
  <si>
    <t>tier_earn_I_RI</t>
  </si>
  <si>
    <t>tier_earn_I_SC</t>
  </si>
  <si>
    <t>tier_earn_I_SD</t>
  </si>
  <si>
    <t>tier_earn_I_TN</t>
  </si>
  <si>
    <t>tier_earn_I_TX</t>
  </si>
  <si>
    <t>tier_earn_I_UT</t>
  </si>
  <si>
    <t>tier_earn_I_VA</t>
  </si>
  <si>
    <t>tier_earn_I_VT</t>
  </si>
  <si>
    <t>tier_earn_I_WA</t>
  </si>
  <si>
    <t>tier_earn_I_WI</t>
  </si>
  <si>
    <t>tier_earn_I_WV</t>
  </si>
  <si>
    <t>tier_earn_I_WY</t>
  </si>
  <si>
    <t>tier_earn_I_CD_1_New_England</t>
  </si>
  <si>
    <t>tier_earn_I_CD_2_Mid_Atlantic</t>
  </si>
  <si>
    <t>tier_earn_I_CD_3_E_N_Central</t>
  </si>
  <si>
    <t>tier_earn_I_CD_4_W_N_Central</t>
  </si>
  <si>
    <t>tier_earn_I_CD_5_S_Atlantic</t>
  </si>
  <si>
    <t>tier_earn_I_CD_6_E_S_Central</t>
  </si>
  <si>
    <t>tier_earn_I_CD_7_W_S_Central</t>
  </si>
  <si>
    <t>tier_earn_I_CD_8_Mountain</t>
  </si>
  <si>
    <t>tier_earn_I_CD_9_Pacific</t>
  </si>
  <si>
    <t>FD_earn_I_USA_National</t>
  </si>
  <si>
    <t>FD_earn_I_AK</t>
  </si>
  <si>
    <t>FD_earn_I_AL</t>
  </si>
  <si>
    <t>FD_earn_I_AR</t>
  </si>
  <si>
    <t>FD_earn_I_AZ</t>
  </si>
  <si>
    <t>FD_earn_I_CA</t>
  </si>
  <si>
    <t>FD_earn_I_CO</t>
  </si>
  <si>
    <t>FD_earn_I_CT</t>
  </si>
  <si>
    <t>FD_earn_I_DC</t>
  </si>
  <si>
    <t>FD_earn_I_DE</t>
  </si>
  <si>
    <t>FD_earn_I_FL</t>
  </si>
  <si>
    <t>FD_earn_I_GA</t>
  </si>
  <si>
    <t>FD_earn_I_HI</t>
  </si>
  <si>
    <t>FD_earn_I_IA</t>
  </si>
  <si>
    <t>FD_earn_I_ID</t>
  </si>
  <si>
    <t>FD_earn_I_IL</t>
  </si>
  <si>
    <t>FD_earn_I_IN</t>
  </si>
  <si>
    <t>FD_earn_I_KS</t>
  </si>
  <si>
    <t>FD_earn_I_KY</t>
  </si>
  <si>
    <t>FD_earn_I_LA</t>
  </si>
  <si>
    <t>FD_earn_I_MA</t>
  </si>
  <si>
    <t>FD_earn_I_MD</t>
  </si>
  <si>
    <t>FD_earn_I_ME</t>
  </si>
  <si>
    <t>FD_earn_I_MI</t>
  </si>
  <si>
    <t>FD_earn_I_MN</t>
  </si>
  <si>
    <t>FD_earn_I_MO</t>
  </si>
  <si>
    <t>FD_earn_I_MS</t>
  </si>
  <si>
    <t>FD_earn_I_MT</t>
  </si>
  <si>
    <t>FD_earn_I_NC</t>
  </si>
  <si>
    <t>FD_earn_I_ND</t>
  </si>
  <si>
    <t>FD_earn_I_NE</t>
  </si>
  <si>
    <t>FD_earn_I_NH</t>
  </si>
  <si>
    <t>FD_earn_I_NJ</t>
  </si>
  <si>
    <t>FD_earn_I_NM</t>
  </si>
  <si>
    <t>FD_earn_I_NV</t>
  </si>
  <si>
    <t>FD_earn_I_NY</t>
  </si>
  <si>
    <t>FD_earn_I_OH</t>
  </si>
  <si>
    <t>FD_earn_I_OK</t>
  </si>
  <si>
    <t>FD_earn_I_OR</t>
  </si>
  <si>
    <t>FD_earn_I_PA</t>
  </si>
  <si>
    <t>FD_earn_I_RI</t>
  </si>
  <si>
    <t>FD_earn_I_SC</t>
  </si>
  <si>
    <t>FD_earn_I_SD</t>
  </si>
  <si>
    <t>FD_earn_I_TN</t>
  </si>
  <si>
    <t>FD_earn_I_TX</t>
  </si>
  <si>
    <t>FD_earn_I_UT</t>
  </si>
  <si>
    <t>FD_earn_I_VA</t>
  </si>
  <si>
    <t>FD_earn_I_VT</t>
  </si>
  <si>
    <t>FD_earn_I_WA</t>
  </si>
  <si>
    <t>FD_earn_I_WI</t>
  </si>
  <si>
    <t>FD_earn_I_WV</t>
  </si>
  <si>
    <t>FD_earn_I_WY</t>
  </si>
  <si>
    <t>FD_earn_I_CD_1_New_England</t>
  </si>
  <si>
    <t>FD_earn_I_CD_2_Mid_Atlantic</t>
  </si>
  <si>
    <t>FD_earn_I_CD_3_E_N_Central</t>
  </si>
  <si>
    <t>FD_earn_I_CD_4_W_N_Central</t>
  </si>
  <si>
    <t>FD_earn_I_CD_5_S_Atlantic</t>
  </si>
  <si>
    <t>FD_earn_I_CD_6_E_S_Central</t>
  </si>
  <si>
    <t>FD_earn_I_CD_7_W_S_Central</t>
  </si>
  <si>
    <t>FD_earn_I_CD_8_Mountain</t>
  </si>
  <si>
    <t>FD_earn_I_CD_9_Pacific</t>
  </si>
  <si>
    <t>FD_earn_II_USA_National</t>
  </si>
  <si>
    <t>FD_earn_II_AK</t>
  </si>
  <si>
    <t>FD_earn_II_AL</t>
  </si>
  <si>
    <t>FD_earn_II_AR</t>
  </si>
  <si>
    <t>FD_earn_II_AZ</t>
  </si>
  <si>
    <t>FD_earn_II_CA</t>
  </si>
  <si>
    <t>FD_earn_II_CO</t>
  </si>
  <si>
    <t>FD_earn_II_CT</t>
  </si>
  <si>
    <t>FD_earn_II_DC</t>
  </si>
  <si>
    <t>FD_earn_II_DE</t>
  </si>
  <si>
    <t>FD_earn_II_FL</t>
  </si>
  <si>
    <t>FD_earn_II_GA</t>
  </si>
  <si>
    <t>FD_earn_II_HI</t>
  </si>
  <si>
    <t>FD_earn_II_IA</t>
  </si>
  <si>
    <t>FD_earn_II_ID</t>
  </si>
  <si>
    <t>FD_earn_II_IL</t>
  </si>
  <si>
    <t>FD_earn_II_IN</t>
  </si>
  <si>
    <t>FD_earn_II_KS</t>
  </si>
  <si>
    <t>FD_earn_II_KY</t>
  </si>
  <si>
    <t>FD_earn_II_LA</t>
  </si>
  <si>
    <t>FD_earn_II_MA</t>
  </si>
  <si>
    <t>FD_earn_II_MD</t>
  </si>
  <si>
    <t>FD_earn_II_ME</t>
  </si>
  <si>
    <t>FD_earn_II_MI</t>
  </si>
  <si>
    <t>FD_earn_II_MN</t>
  </si>
  <si>
    <t>FD_earn_II_MO</t>
  </si>
  <si>
    <t>FD_earn_II_MS</t>
  </si>
  <si>
    <t>FD_earn_II_MT</t>
  </si>
  <si>
    <t>FD_earn_II_NC</t>
  </si>
  <si>
    <t>FD_earn_II_ND</t>
  </si>
  <si>
    <t>FD_earn_II_NE</t>
  </si>
  <si>
    <t>FD_earn_II_NH</t>
  </si>
  <si>
    <t>FD_earn_II_NJ</t>
  </si>
  <si>
    <t>FD_earn_II_NM</t>
  </si>
  <si>
    <t>FD_earn_II_NV</t>
  </si>
  <si>
    <t>FD_earn_II_NY</t>
  </si>
  <si>
    <t>FD_earn_II_OH</t>
  </si>
  <si>
    <t>FD_earn_II_OK</t>
  </si>
  <si>
    <t>FD_earn_II_OR</t>
  </si>
  <si>
    <t>FD_earn_II_PA</t>
  </si>
  <si>
    <t>FD_earn_II_RI</t>
  </si>
  <si>
    <t>FD_earn_II_SC</t>
  </si>
  <si>
    <t>FD_earn_II_SD</t>
  </si>
  <si>
    <t>FD_earn_II_TN</t>
  </si>
  <si>
    <t>FD_earn_II_TX</t>
  </si>
  <si>
    <t>FD_earn_II_UT</t>
  </si>
  <si>
    <t>FD_earn_II_VA</t>
  </si>
  <si>
    <t>FD_earn_II_VT</t>
  </si>
  <si>
    <t>FD_earn_II_WA</t>
  </si>
  <si>
    <t>FD_earn_II_WI</t>
  </si>
  <si>
    <t>FD_earn_II_WV</t>
  </si>
  <si>
    <t>FD_earn_II_WY</t>
  </si>
  <si>
    <t>FD_earn_II_CD_1_New_England</t>
  </si>
  <si>
    <t>FD_earn_II_CD_2_Mid_Atlantic</t>
  </si>
  <si>
    <t>FD_earn_II_CD_3_E_N_Central</t>
  </si>
  <si>
    <t>FD_earn_II_CD_4_W_N_Central</t>
  </si>
  <si>
    <t>FD_earn_II_CD_5_S_Atlantic</t>
  </si>
  <si>
    <t>FD_earn_II_CD_6_E_S_Central</t>
  </si>
  <si>
    <t>FD_earn_II_CD_7_W_S_Central</t>
  </si>
  <si>
    <t>FD_earn_II_CD_8_Mountain</t>
  </si>
  <si>
    <t>FD_earn_II_CD_9_Pacific</t>
  </si>
  <si>
    <t>tier_out_I_USA_National</t>
  </si>
  <si>
    <t>tier_out_I_AK</t>
  </si>
  <si>
    <t>tier_out_I_AL</t>
  </si>
  <si>
    <t>tier_out_I_AR</t>
  </si>
  <si>
    <t>tier_out_I_AZ</t>
  </si>
  <si>
    <t>tier_out_I_CA</t>
  </si>
  <si>
    <t>tier_out_I_CO</t>
  </si>
  <si>
    <t>tier_out_I_CT</t>
  </si>
  <si>
    <t>tier_out_I_DC</t>
  </si>
  <si>
    <t>tier_out_I_DE</t>
  </si>
  <si>
    <t>tier_out_I_FL</t>
  </si>
  <si>
    <t>tier_out_I_GA</t>
  </si>
  <si>
    <t>tier_out_I_HI</t>
  </si>
  <si>
    <t>tier_out_I_IA</t>
  </si>
  <si>
    <t>tier_out_I_ID</t>
  </si>
  <si>
    <t>tier_out_I_IL</t>
  </si>
  <si>
    <t>tier_out_I_IN</t>
  </si>
  <si>
    <t>tier_out_I_KS</t>
  </si>
  <si>
    <t>tier_out_I_KY</t>
  </si>
  <si>
    <t>tier_out_I_LA</t>
  </si>
  <si>
    <t>tier_out_I_MA</t>
  </si>
  <si>
    <t>tier_out_I_MD</t>
  </si>
  <si>
    <t>tier_out_I_ME</t>
  </si>
  <si>
    <t>tier_out_I_MI</t>
  </si>
  <si>
    <t>tier_out_I_MN</t>
  </si>
  <si>
    <t>tier_out_I_MO</t>
  </si>
  <si>
    <t>tier_out_I_MS</t>
  </si>
  <si>
    <t>tier_out_I_MT</t>
  </si>
  <si>
    <t>tier_out_I_NC</t>
  </si>
  <si>
    <t>tier_out_I_ND</t>
  </si>
  <si>
    <t>tier_out_I_NE</t>
  </si>
  <si>
    <t>tier_out_I_NH</t>
  </si>
  <si>
    <t>tier_out_I_NJ</t>
  </si>
  <si>
    <t>tier_out_I_NM</t>
  </si>
  <si>
    <t>tier_out_I_NV</t>
  </si>
  <si>
    <t>tier_out_I_NY</t>
  </si>
  <si>
    <t>tier_out_I_OH</t>
  </si>
  <si>
    <t>tier_out_I_OK</t>
  </si>
  <si>
    <t>tier_out_I_OR</t>
  </si>
  <si>
    <t>tier_out_I_PA</t>
  </si>
  <si>
    <t>tier_out_I_RI</t>
  </si>
  <si>
    <t>tier_out_I_SC</t>
  </si>
  <si>
    <t>tier_out_I_SD</t>
  </si>
  <si>
    <t>tier_out_I_TN</t>
  </si>
  <si>
    <t>tier_out_I_TX</t>
  </si>
  <si>
    <t>tier_out_I_UT</t>
  </si>
  <si>
    <t>tier_out_I_VA</t>
  </si>
  <si>
    <t>tier_out_I_VT</t>
  </si>
  <si>
    <t>tier_out_I_WA</t>
  </si>
  <si>
    <t>tier_out_I_WI</t>
  </si>
  <si>
    <t>tier_out_I_WV</t>
  </si>
  <si>
    <t>tier_out_I_WY</t>
  </si>
  <si>
    <t>tier_out_I_CD_1_New_England</t>
  </si>
  <si>
    <t>tier_out_I_CD_2_Mid_Atlantic</t>
  </si>
  <si>
    <t>tier_out_I_CD_3_E_N_Central</t>
  </si>
  <si>
    <t>tier_out_I_CD_4_W_N_Central</t>
  </si>
  <si>
    <t>tier_out_I_CD_5_S_Atlantic</t>
  </si>
  <si>
    <t>tier_out_I_CD_6_E_S_Central</t>
  </si>
  <si>
    <t>tier_out_I_CD_7_W_S_Central</t>
  </si>
  <si>
    <t>tier_out_I_CD_8_Mountain</t>
  </si>
  <si>
    <t>tier_out_I_CD_9_Pacific</t>
  </si>
  <si>
    <t>FD_out_I_USA_National</t>
  </si>
  <si>
    <t>FD_out_I_AK</t>
  </si>
  <si>
    <t>FD_out_I_AL</t>
  </si>
  <si>
    <t>FD_out_I_AR</t>
  </si>
  <si>
    <t>FD_out_I_AZ</t>
  </si>
  <si>
    <t>FD_out_I_CA</t>
  </si>
  <si>
    <t>FD_out_I_CO</t>
  </si>
  <si>
    <t>FD_out_I_CT</t>
  </si>
  <si>
    <t>FD_out_I_DC</t>
  </si>
  <si>
    <t>FD_out_I_DE</t>
  </si>
  <si>
    <t>FD_out_I_FL</t>
  </si>
  <si>
    <t>FD_out_I_GA</t>
  </si>
  <si>
    <t>FD_out_I_HI</t>
  </si>
  <si>
    <t>FD_out_I_IA</t>
  </si>
  <si>
    <t>FD_out_I_ID</t>
  </si>
  <si>
    <t>FD_out_I_IL</t>
  </si>
  <si>
    <t>FD_out_I_IN</t>
  </si>
  <si>
    <t>FD_out_I_KS</t>
  </si>
  <si>
    <t>FD_out_I_KY</t>
  </si>
  <si>
    <t>FD_out_I_LA</t>
  </si>
  <si>
    <t>FD_out_I_MA</t>
  </si>
  <si>
    <t>FD_out_I_MD</t>
  </si>
  <si>
    <t>FD_out_I_ME</t>
  </si>
  <si>
    <t>FD_out_I_MI</t>
  </si>
  <si>
    <t>FD_out_I_MN</t>
  </si>
  <si>
    <t>FD_out_I_MO</t>
  </si>
  <si>
    <t>FD_out_I_MS</t>
  </si>
  <si>
    <t>FD_out_I_MT</t>
  </si>
  <si>
    <t>FD_out_I_NC</t>
  </si>
  <si>
    <t>FD_out_I_ND</t>
  </si>
  <si>
    <t>FD_out_I_NE</t>
  </si>
  <si>
    <t>FD_out_I_NH</t>
  </si>
  <si>
    <t>FD_out_I_NJ</t>
  </si>
  <si>
    <t>FD_out_I_NM</t>
  </si>
  <si>
    <t>FD_out_I_NV</t>
  </si>
  <si>
    <t>FD_out_I_NY</t>
  </si>
  <si>
    <t>FD_out_I_OH</t>
  </si>
  <si>
    <t>FD_out_I_OK</t>
  </si>
  <si>
    <t>FD_out_I_OR</t>
  </si>
  <si>
    <t>FD_out_I_PA</t>
  </si>
  <si>
    <t>FD_out_I_RI</t>
  </si>
  <si>
    <t>FD_out_I_SC</t>
  </si>
  <si>
    <t>FD_out_I_SD</t>
  </si>
  <si>
    <t>FD_out_I_TN</t>
  </si>
  <si>
    <t>FD_out_I_TX</t>
  </si>
  <si>
    <t>FD_out_I_UT</t>
  </si>
  <si>
    <t>FD_out_I_VA</t>
  </si>
  <si>
    <t>FD_out_I_VT</t>
  </si>
  <si>
    <t>FD_out_I_WA</t>
  </si>
  <si>
    <t>FD_out_I_WI</t>
  </si>
  <si>
    <t>FD_out_I_WV</t>
  </si>
  <si>
    <t>FD_out_I_WY</t>
  </si>
  <si>
    <t>FD_out_I_CD_1_New_England</t>
  </si>
  <si>
    <t>FD_out_I_CD_2_Mid_Atlantic</t>
  </si>
  <si>
    <t>FD_out_I_CD_3_E_N_Central</t>
  </si>
  <si>
    <t>FD_out_I_CD_4_W_N_Central</t>
  </si>
  <si>
    <t>FD_out_I_CD_5_S_Atlantic</t>
  </si>
  <si>
    <t>FD_out_I_CD_6_E_S_Central</t>
  </si>
  <si>
    <t>FD_out_I_CD_7_W_S_Central</t>
  </si>
  <si>
    <t>FD_out_I_CD_8_Mountain</t>
  </si>
  <si>
    <t>FD_out_I_CD_9_Pacific</t>
  </si>
  <si>
    <t>FD_out_II_USA_National</t>
  </si>
  <si>
    <t>FD_out_II_AK</t>
  </si>
  <si>
    <t>FD_out_II_AL</t>
  </si>
  <si>
    <t>FD_out_II_AR</t>
  </si>
  <si>
    <t>FD_out_II_AZ</t>
  </si>
  <si>
    <t>FD_out_II_CA</t>
  </si>
  <si>
    <t>FD_out_II_CO</t>
  </si>
  <si>
    <t>FD_out_II_CT</t>
  </si>
  <si>
    <t>FD_out_II_DC</t>
  </si>
  <si>
    <t>FD_out_II_DE</t>
  </si>
  <si>
    <t>FD_out_II_FL</t>
  </si>
  <si>
    <t>FD_out_II_GA</t>
  </si>
  <si>
    <t>FD_out_II_HI</t>
  </si>
  <si>
    <t>FD_out_II_IA</t>
  </si>
  <si>
    <t>FD_out_II_ID</t>
  </si>
  <si>
    <t>FD_out_II_IL</t>
  </si>
  <si>
    <t>FD_out_II_IN</t>
  </si>
  <si>
    <t>FD_out_II_KS</t>
  </si>
  <si>
    <t>FD_out_II_KY</t>
  </si>
  <si>
    <t>FD_out_II_LA</t>
  </si>
  <si>
    <t>FD_out_II_MA</t>
  </si>
  <si>
    <t>FD_out_II_MD</t>
  </si>
  <si>
    <t>FD_out_II_ME</t>
  </si>
  <si>
    <t>FD_out_II_MI</t>
  </si>
  <si>
    <t>FD_out_II_MN</t>
  </si>
  <si>
    <t>FD_out_II_MO</t>
  </si>
  <si>
    <t>FD_out_II_MS</t>
  </si>
  <si>
    <t>FD_out_II_MT</t>
  </si>
  <si>
    <t>FD_out_II_NC</t>
  </si>
  <si>
    <t>FD_out_II_ND</t>
  </si>
  <si>
    <t>FD_out_II_NE</t>
  </si>
  <si>
    <t>FD_out_II_NH</t>
  </si>
  <si>
    <t>FD_out_II_NJ</t>
  </si>
  <si>
    <t>FD_out_II_NM</t>
  </si>
  <si>
    <t>FD_out_II_NV</t>
  </si>
  <si>
    <t>FD_out_II_NY</t>
  </si>
  <si>
    <t>FD_out_II_OH</t>
  </si>
  <si>
    <t>FD_out_II_OK</t>
  </si>
  <si>
    <t>FD_out_II_OR</t>
  </si>
  <si>
    <t>FD_out_II_PA</t>
  </si>
  <si>
    <t>FD_out_II_RI</t>
  </si>
  <si>
    <t>FD_out_II_SC</t>
  </si>
  <si>
    <t>FD_out_II_SD</t>
  </si>
  <si>
    <t>FD_out_II_TN</t>
  </si>
  <si>
    <t>FD_out_II_TX</t>
  </si>
  <si>
    <t>FD_out_II_UT</t>
  </si>
  <si>
    <t>FD_out_II_VA</t>
  </si>
  <si>
    <t>FD_out_II_VT</t>
  </si>
  <si>
    <t>FD_out_II_WA</t>
  </si>
  <si>
    <t>FD_out_II_WI</t>
  </si>
  <si>
    <t>FD_out_II_WV</t>
  </si>
  <si>
    <t>FD_out_II_WY</t>
  </si>
  <si>
    <t>FD_out_II_CD_1_New_England</t>
  </si>
  <si>
    <t>FD_out_II_CD_2_Mid_Atlantic</t>
  </si>
  <si>
    <t>FD_out_II_CD_3_E_N_Central</t>
  </si>
  <si>
    <t>FD_out_II_CD_4_W_N_Central</t>
  </si>
  <si>
    <t>FD_out_II_CD_5_S_Atlantic</t>
  </si>
  <si>
    <t>FD_out_II_CD_6_E_S_Central</t>
  </si>
  <si>
    <t>FD_out_II_CD_7_W_S_Central</t>
  </si>
  <si>
    <t>FD_out_II_CD_8_Mountain</t>
  </si>
  <si>
    <t>FD_out_II_CD_9_Pacific</t>
  </si>
  <si>
    <t>Supply Chain</t>
  </si>
  <si>
    <t>Cost (2010$)</t>
  </si>
  <si>
    <t>kWh/cylinder</t>
  </si>
  <si>
    <t>kg/year</t>
  </si>
  <si>
    <t>Cost per hydrogen cylinder ($/cylinder)</t>
  </si>
  <si>
    <t>Number of installed cylinders (cylinders/installation)</t>
  </si>
  <si>
    <t>Concrete/moon pad ($/installation)</t>
  </si>
  <si>
    <t>Outdoor enclosure ($/installation)</t>
  </si>
  <si>
    <t>kg of Hydrogen per cylinder (kg/cylinder)</t>
  </si>
  <si>
    <t>Greene sales (baseline)</t>
  </si>
  <si>
    <t>Greene (cumulative)</t>
  </si>
  <si>
    <t>Potential market size</t>
  </si>
  <si>
    <t>Forklift</t>
  </si>
  <si>
    <t>Annual sales</t>
  </si>
  <si>
    <t>Learning exponent</t>
  </si>
  <si>
    <t>Number of forklift fuel cell manufacturers in region</t>
  </si>
  <si>
    <t>User-specified</t>
  </si>
  <si>
    <t>National units</t>
  </si>
  <si>
    <t>Units/firm</t>
  </si>
  <si>
    <t>Cumulative 5kW units</t>
  </si>
  <si>
    <t>Required Runtime (kWh)</t>
  </si>
  <si>
    <t>Annual Usage (kWh)</t>
  </si>
  <si>
    <t>Enter Number of manufacturers</t>
  </si>
  <si>
    <t>Installation</t>
  </si>
  <si>
    <t>Maintenance</t>
  </si>
  <si>
    <t>Enter Initial Retail Prices and Manufacturing Costs</t>
  </si>
  <si>
    <t>Enter Average Fuel Cell Forklifts per site</t>
  </si>
  <si>
    <t>Class I/II Operations</t>
  </si>
  <si>
    <t>Class III Operations</t>
  </si>
  <si>
    <t>Step 7a - Enter Hydrogen Fuel Price and Cost</t>
  </si>
  <si>
    <t>FUEL COSTS ($/unit/year)</t>
  </si>
  <si>
    <t>FUEL COSTS SCENARIO</t>
  </si>
  <si>
    <t>FUEL CELL MAINTENANCE COSTS ($/unit/year)</t>
  </si>
  <si>
    <t>INFRASTRUCTURE MAINTENANCE COSTS ($/site/year)</t>
  </si>
  <si>
    <t>Cumulative 2015 - t</t>
  </si>
  <si>
    <t>Total Operational Units</t>
  </si>
  <si>
    <t xml:space="preserve">new hydrogen infrastructure sites will be installed in this region in </t>
  </si>
  <si>
    <t>Pre existing</t>
  </si>
  <si>
    <t>CAPITAL (O&amp;M)</t>
  </si>
  <si>
    <t>OTHER CAPITAL - Insurance and Amortized capital</t>
  </si>
  <si>
    <t>Forklift Markup</t>
  </si>
  <si>
    <t>Backup Power Markup</t>
  </si>
  <si>
    <t>Please enter a different value</t>
  </si>
  <si>
    <t>If entering a percentage, please enter a decimal between 0 and 1.</t>
  </si>
  <si>
    <t>If you would like to enter values in Units, please return to Step 3a and choose the 'Units' option.</t>
  </si>
  <si>
    <t>Negative numbers may not be entered.</t>
  </si>
  <si>
    <t>Hydrogen Fueling Infrastructure Installations</t>
  </si>
  <si>
    <t>Hydrogen Fuel Production and Delivery</t>
  </si>
  <si>
    <t>Fuel Cell and Infrastructure Maintenance</t>
  </si>
  <si>
    <t>All dollar values are in 2010$. All user-specified entries must be entered in 2010$.</t>
  </si>
  <si>
    <t>ADVANCED USER INPUT FIELDS</t>
  </si>
  <si>
    <t>$/site (or $/unit)</t>
  </si>
  <si>
    <t>Total Operation Units</t>
  </si>
  <si>
    <t>Backup Power Fuel Cell and Site Maintenance</t>
  </si>
  <si>
    <t>BuP FC Retail Price</t>
  </si>
  <si>
    <t>BuP FC Mfg. Cost</t>
  </si>
  <si>
    <t>Technical reference table. Not planning on this being visible</t>
  </si>
  <si>
    <t>Enter per kg Hydrogen Fuel Prices and Costs</t>
  </si>
  <si>
    <t>kg intial</t>
  </si>
  <si>
    <t>Initial</t>
  </si>
  <si>
    <t>rFuel</t>
  </si>
  <si>
    <t>Number of BuP fuel cell manufacturers in region</t>
  </si>
  <si>
    <t>BuP unit - Initial Price and Mfg. Cost ($/kW)</t>
  </si>
  <si>
    <t>Step 2 - Manufacturing Facility Construction or Expansion</t>
  </si>
  <si>
    <t>Step 3 - Annual Manufacturing Capacity</t>
  </si>
  <si>
    <t>Step 1a - Select State or Region</t>
  </si>
  <si>
    <t>Step 1b - Gross or Net Analysis</t>
  </si>
  <si>
    <t>Step 3a - Enter Needed Annual Capacity</t>
  </si>
  <si>
    <t>Step 3b - Enter Current Annual Capacity</t>
  </si>
  <si>
    <t>Expand existing manufacturing facility</t>
  </si>
  <si>
    <t>Build new manufacturing facility</t>
  </si>
  <si>
    <t>Assembly station</t>
  </si>
  <si>
    <t>Testing station</t>
  </si>
  <si>
    <t>r Steps</t>
  </si>
  <si>
    <t>(Only enter costs associated with facility EXPANSION)</t>
  </si>
  <si>
    <t>Teflon</t>
  </si>
  <si>
    <t>MEA mfg</t>
  </si>
  <si>
    <t>Indirect effects only</t>
  </si>
  <si>
    <t>Regional manufacturing is assumed to be split evenly among the companies.</t>
  </si>
  <si>
    <t>Number missing</t>
  </si>
  <si>
    <t>Min</t>
  </si>
  <si>
    <t>Total Fixed Production Line Costs</t>
  </si>
  <si>
    <t>Total Variable Production Line Costs</t>
  </si>
  <si>
    <t>Enter Additional Regional Infr. sites by year</t>
  </si>
  <si>
    <r>
      <rPr>
        <b/>
        <sz val="12"/>
        <color indexed="8"/>
        <rFont val="Garamond"/>
        <family val="1"/>
      </rPr>
      <t>Class I/II</t>
    </r>
    <r>
      <rPr>
        <sz val="12"/>
        <color indexed="8"/>
        <rFont val="Garamond"/>
        <family val="1"/>
      </rPr>
      <t>: Average number of fuel cell powered units/site</t>
    </r>
  </si>
  <si>
    <r>
      <rPr>
        <b/>
        <sz val="12"/>
        <color indexed="8"/>
        <rFont val="Garamond"/>
        <family val="1"/>
      </rPr>
      <t>Class III</t>
    </r>
    <r>
      <rPr>
        <sz val="12"/>
        <color indexed="8"/>
        <rFont val="Garamond"/>
        <family val="1"/>
      </rPr>
      <t>: Average number of fuel cell powered units/site</t>
    </r>
  </si>
  <si>
    <t>Enter Number of manufacturers in region</t>
  </si>
  <si>
    <t>Selection will impact entries in Step 3c</t>
  </si>
  <si>
    <t>Model:</t>
  </si>
  <si>
    <t>Project Team:</t>
  </si>
  <si>
    <t>Available Modules:</t>
  </si>
  <si>
    <t>Regional Input-Output Modeling System (RIMS II), Regional Product Division, Bureau of Economic Analysis</t>
  </si>
  <si>
    <t>Available Regions:</t>
  </si>
  <si>
    <t>USA (contiguous 48 states) and all 9 Census Regions</t>
  </si>
  <si>
    <t>Available States:</t>
  </si>
  <si>
    <t>Version:</t>
  </si>
  <si>
    <t>Dollar years:</t>
  </si>
  <si>
    <t>Contact:</t>
  </si>
  <si>
    <t>Marianne Mintz</t>
  </si>
  <si>
    <t>Center for Transportation Research</t>
  </si>
  <si>
    <t>Argonne National Laboratory</t>
  </si>
  <si>
    <t>9700 S Cass Avenue</t>
  </si>
  <si>
    <t>Argonne, IL 60439</t>
  </si>
  <si>
    <t>630/252-5627 (voice)</t>
  </si>
  <si>
    <t>630/252-3443 (fax)</t>
  </si>
  <si>
    <t>mmintz@anl.gov</t>
  </si>
  <si>
    <t>Reference Tables</t>
  </si>
  <si>
    <t>Operating hours per shift</t>
  </si>
  <si>
    <t>Region</t>
  </si>
  <si>
    <t>Key Scenario Assumptions</t>
  </si>
  <si>
    <t>Analysis Type</t>
  </si>
  <si>
    <t>Class I/II Retail price</t>
  </si>
  <si>
    <t>Class III Retail price</t>
  </si>
  <si>
    <t>Class I/II Mfg. Cost</t>
  </si>
  <si>
    <t>Class III Mfg. Cost</t>
  </si>
  <si>
    <t>Calculated value</t>
  </si>
  <si>
    <t>Construction (average $/site)</t>
  </si>
  <si>
    <t>Labor % of line item</t>
  </si>
  <si>
    <t>Materials % of line item</t>
  </si>
  <si>
    <t>Weighted Labor %</t>
  </si>
  <si>
    <t>Weighted Materials %</t>
  </si>
  <si>
    <t>Weighted Tooling %</t>
  </si>
  <si>
    <t>Tooling % of line item</t>
  </si>
  <si>
    <t>Labor (direct only)</t>
  </si>
  <si>
    <t>Materials (indirect only)</t>
  </si>
  <si>
    <t>Tooling (indirect only)</t>
  </si>
  <si>
    <t>Materials only (indirect only)</t>
  </si>
  <si>
    <t>Fuel Cell Assembly</t>
  </si>
  <si>
    <t>Normal I/O</t>
  </si>
  <si>
    <t>STACK labor</t>
  </si>
  <si>
    <t>STACK materials</t>
  </si>
  <si>
    <t>STACK tooling</t>
  </si>
  <si>
    <t>Cost per Catalyst application ($/CA)</t>
  </si>
  <si>
    <t>GDL manufacturing ($/GDL mfg)</t>
  </si>
  <si>
    <t>Membrane slit ($/membrane slit)</t>
  </si>
  <si>
    <t>GDL slit ($/GDL slit)</t>
  </si>
  <si>
    <t>Equipment</t>
  </si>
  <si>
    <t>Factory Equipment - Supply Chain</t>
  </si>
  <si>
    <t>Factory Equipment - Induced</t>
  </si>
  <si>
    <t>Factory Equipment - Total</t>
  </si>
  <si>
    <t>PEM Facility - Total</t>
  </si>
  <si>
    <t>% of Total</t>
  </si>
  <si>
    <t>Hydrogen used per kWh of run-time (kg/kWh)</t>
  </si>
  <si>
    <t>HYDROGEN DELIVERY INFRASTRUCTURE INSTALLATION COSTS</t>
  </si>
  <si>
    <r>
      <t xml:space="preserve">Default of 60 total units/site. Default of 33% Class I/II and 67% Class III. Default values adjust according to </t>
    </r>
    <r>
      <rPr>
        <b/>
        <i/>
        <sz val="11"/>
        <rFont val="Garamond"/>
        <family val="1"/>
      </rPr>
      <t>ratio of cumulative installed units (Step 3c)</t>
    </r>
    <r>
      <rPr>
        <sz val="11"/>
        <rFont val="Garamond"/>
        <family val="1"/>
      </rPr>
      <t xml:space="preserve">. </t>
    </r>
  </si>
  <si>
    <t>Delivery</t>
  </si>
  <si>
    <t>Fuel Delivery</t>
  </si>
  <si>
    <t>Fuel Production</t>
  </si>
  <si>
    <t>Production</t>
  </si>
  <si>
    <t>BuP Annual Units Mfg.</t>
  </si>
  <si>
    <t>BuP Cum. Units Mfg.</t>
  </si>
  <si>
    <t>BuP Annual Units Installed</t>
  </si>
  <si>
    <t>* * * FORKLIFT FUEL CELLS (PEM) INPUTS * * *</t>
  </si>
  <si>
    <t>List of Charts</t>
  </si>
  <si>
    <t>Annual Forklift Fueling Site Installations</t>
  </si>
  <si>
    <t xml:space="preserve">5% goes to trucking </t>
  </si>
  <si>
    <t>15% goes to skilled labor like electricians, pipefitters, etc., basically the same types of folks who perform maintenance</t>
  </si>
  <si>
    <t>25% for compression eqpt (2 compressors integrated into the cascade system + a recovery compressor)</t>
  </si>
  <si>
    <t xml:space="preserve">15% for a pump &amp; 2 dispensers (which are running $40-50k apiece now) </t>
  </si>
  <si>
    <t>10% for controls/safety/instruments</t>
  </si>
  <si>
    <t xml:space="preserve">5% for air exchange eqpt (i.e., the evaporator) </t>
  </si>
  <si>
    <t>* * * BACKUP POWER FUEL CELLS (PEM) INPUTS * * *</t>
  </si>
  <si>
    <t>15% for project management/coordination/integration/engineering</t>
  </si>
  <si>
    <t>10% for the 2-3 cascade tanks</t>
  </si>
  <si>
    <t>* * * PEM MANUFACTURING FACILITY RESULTS * * *</t>
  </si>
  <si>
    <t>New facility Construction or Expansion of existing facility?</t>
  </si>
  <si>
    <t>Total current capacity (5 kW, Backup power unit equivalents)</t>
  </si>
  <si>
    <t>Land cost ($)</t>
  </si>
  <si>
    <t>Total capacity needed (5 kW, Backup power unit equivalents)</t>
  </si>
  <si>
    <t>Closing costs (real estate, legal, etc.) ($)</t>
  </si>
  <si>
    <t>PEM Facility - Total Supply Chain</t>
  </si>
  <si>
    <t>PEM Facility - Total Induced</t>
  </si>
  <si>
    <t>Earnings (2010$)</t>
  </si>
  <si>
    <t>Thousands</t>
  </si>
  <si>
    <t>Output (2010$)</t>
  </si>
  <si>
    <t xml:space="preserve"> ($/unit in 2010$)</t>
  </si>
  <si>
    <t>Value (dollar values are in 2010$)</t>
  </si>
  <si>
    <t>Employment*, Earnings, Output</t>
  </si>
  <si>
    <t>System requirements:</t>
  </si>
  <si>
    <t>Excel 2010 (or later)</t>
  </si>
  <si>
    <t>Economic impacts:</t>
  </si>
  <si>
    <t>Construction and Closing costs - Supply Chain</t>
  </si>
  <si>
    <t>Construction and Closing costs - Induced</t>
  </si>
  <si>
    <t>Construction and Closing costs - Total</t>
  </si>
  <si>
    <t>* * * BACKUP POWER FUEL CELLS (PEM) RESULTS - CHARTS * * *</t>
  </si>
  <si>
    <t>* * * FORKLIFT FUEL CELLS (PEM) RESULTS - CHARTS * * *</t>
  </si>
  <si>
    <r>
      <rPr>
        <b/>
        <sz val="12"/>
        <color theme="1"/>
        <rFont val="Garamond"/>
        <family val="1"/>
      </rPr>
      <t>Land cost</t>
    </r>
    <r>
      <rPr>
        <sz val="12"/>
        <color theme="1"/>
        <rFont val="Garamond"/>
        <family val="1"/>
      </rPr>
      <t xml:space="preserve"> is used to estimate </t>
    </r>
    <r>
      <rPr>
        <b/>
        <sz val="12"/>
        <color theme="1"/>
        <rFont val="Garamond"/>
        <family val="1"/>
      </rPr>
      <t>Closing costs</t>
    </r>
    <r>
      <rPr>
        <sz val="12"/>
        <color theme="1"/>
        <rFont val="Garamond"/>
        <family val="1"/>
      </rPr>
      <t xml:space="preserve"> but does not impact output or other results. </t>
    </r>
    <r>
      <rPr>
        <b/>
        <sz val="12"/>
        <color theme="1"/>
        <rFont val="Garamond"/>
        <family val="1"/>
      </rPr>
      <t xml:space="preserve">Closing costs </t>
    </r>
    <r>
      <rPr>
        <sz val="12"/>
        <color theme="1"/>
        <rFont val="Garamond"/>
        <family val="1"/>
      </rPr>
      <t xml:space="preserve">are assumed to be 6% of </t>
    </r>
    <r>
      <rPr>
        <b/>
        <sz val="12"/>
        <color theme="1"/>
        <rFont val="Garamond"/>
        <family val="1"/>
      </rPr>
      <t>Land costs.</t>
    </r>
  </si>
  <si>
    <t>https://www.bea.gov/regional/rims/rimsii/illustrativetables.aspx</t>
  </si>
  <si>
    <t>https://www.bea.gov/regional/rims/rimsii/help.aspx</t>
  </si>
  <si>
    <t>*Employment changes include both full and part-time jobs.</t>
  </si>
  <si>
    <t>Class I/II Forklifts</t>
  </si>
  <si>
    <t>Class III Forklifts</t>
  </si>
  <si>
    <t>Backup Power for Telecommunications</t>
  </si>
  <si>
    <t>Notes about market sizes</t>
  </si>
  <si>
    <t>rRegions</t>
  </si>
  <si>
    <t>This tool is best viewed and used at 90% zoom on a 1280 pixel-width screen (minimum).</t>
  </si>
  <si>
    <t>Not used</t>
  </si>
  <si>
    <t>Input-Output Model:</t>
  </si>
  <si>
    <r>
      <rPr>
        <b/>
        <sz val="12"/>
        <color theme="1"/>
        <rFont val="Garamond"/>
        <family val="1"/>
      </rPr>
      <t>Backup</t>
    </r>
    <r>
      <rPr>
        <sz val="12"/>
        <color theme="1"/>
        <rFont val="Garamond"/>
        <family val="1"/>
      </rPr>
      <t xml:space="preserve"> (PEM Fuel Cells for Telecommunications applications)</t>
    </r>
  </si>
  <si>
    <r>
      <t xml:space="preserve">PEM Facility Const. </t>
    </r>
    <r>
      <rPr>
        <sz val="12"/>
        <color theme="1"/>
        <rFont val="Garamond"/>
        <family val="1"/>
      </rPr>
      <t>(Construction or Expansion of a PEM fuel cell manufacturing facility)</t>
    </r>
  </si>
  <si>
    <t>Cell color coding:</t>
  </si>
  <si>
    <t>Step 2 (example)</t>
  </si>
  <si>
    <t>$200 (example)</t>
  </si>
  <si>
    <t>5 (example)</t>
  </si>
  <si>
    <t>6 (example)</t>
  </si>
  <si>
    <r>
      <t xml:space="preserve">Cells showing the step number and highlighted in </t>
    </r>
    <r>
      <rPr>
        <b/>
        <sz val="12"/>
        <color theme="1"/>
        <rFont val="Garamond"/>
        <family val="1"/>
      </rPr>
      <t>yellow</t>
    </r>
    <r>
      <rPr>
        <sz val="12"/>
        <color theme="1"/>
        <rFont val="Garamond"/>
        <family val="1"/>
      </rPr>
      <t xml:space="preserve"> indicate the user has not yet entered values in all of the step's fields.</t>
    </r>
  </si>
  <si>
    <r>
      <t xml:space="preserve">Cells highlighted in </t>
    </r>
    <r>
      <rPr>
        <b/>
        <sz val="12"/>
        <color theme="1"/>
        <rFont val="Garamond"/>
        <family val="1"/>
      </rPr>
      <t>grey</t>
    </r>
    <r>
      <rPr>
        <sz val="12"/>
        <color theme="1"/>
        <rFont val="Garamond"/>
        <family val="1"/>
      </rPr>
      <t xml:space="preserve"> (usually column J) show the tool is using the default values (usually in column F) for tool calculations.</t>
    </r>
  </si>
  <si>
    <r>
      <t>Grey cells (usually column J) turn to</t>
    </r>
    <r>
      <rPr>
        <b/>
        <sz val="12"/>
        <color theme="1"/>
        <rFont val="Garamond"/>
        <family val="1"/>
      </rPr>
      <t xml:space="preserve"> light yellow</t>
    </r>
    <r>
      <rPr>
        <sz val="12"/>
        <color theme="1"/>
        <rFont val="Garamond"/>
        <family val="1"/>
      </rPr>
      <t xml:space="preserve"> when the user has specified a value different from the default value.</t>
    </r>
  </si>
  <si>
    <r>
      <t xml:space="preserve">Cells highlighted in </t>
    </r>
    <r>
      <rPr>
        <b/>
        <sz val="12"/>
        <color theme="1"/>
        <rFont val="Garamond"/>
        <family val="1"/>
      </rPr>
      <t>white</t>
    </r>
    <r>
      <rPr>
        <sz val="12"/>
        <color theme="1"/>
        <rFont val="Garamond"/>
        <family val="1"/>
      </rPr>
      <t xml:space="preserve"> indicate a field in which the user can enter a value or choose from a dropdown menu*</t>
    </r>
  </si>
  <si>
    <t>http://www.bls.gov/data/inflation_calculator.htm</t>
  </si>
  <si>
    <t xml:space="preserve">A helpful tool for converting to 2010 dollars is provided by the U.S. Department of Labor, Bureau of Labor Statistics: </t>
  </si>
  <si>
    <t>For more information about RIMS II multipliers and assumptions, please visit their website or help pages.</t>
  </si>
  <si>
    <t># of catalyst applications needed for stated capacity</t>
  </si>
  <si>
    <t># of GDL mfg. needed for stated capacity</t>
  </si>
  <si>
    <t># of membrane slits needed for stated capacity</t>
  </si>
  <si>
    <t># of GDL slits needed for stated capacity</t>
  </si>
  <si>
    <t># of MEA mfg (hot press) needed for stated capacity</t>
  </si>
  <si>
    <t># of MEA slit and cuts needed for stated capacity</t>
  </si>
  <si>
    <t># of Bipolar plate presses needed for the stated capacity</t>
  </si>
  <si>
    <t># of assembly stations needed for the stated capacity</t>
  </si>
  <si>
    <t># of testing stations needed for the stated capacity</t>
  </si>
  <si>
    <t>MCFC (MW)</t>
  </si>
  <si>
    <t>Class I/II: Retail price per battery ($/battery)</t>
  </si>
  <si>
    <t>Class I/II: Batteries needed per forklift</t>
  </si>
  <si>
    <t>Class III: Retail price per battery ($/battery)</t>
  </si>
  <si>
    <t>Class III: Batteries needed per forklift</t>
  </si>
  <si>
    <t>Step 2 - Forklift Fuel Cell Unit Sizes</t>
  </si>
  <si>
    <t>Choose Forklift Fuel Cell Retail Price and Manufacturing Cost method</t>
  </si>
  <si>
    <t>If only analyzing installations, please skip to Step 3c and enter number of installed fuel cell units in the Imported section (column G). Then proceed to Step 6.</t>
  </si>
  <si>
    <t>Use default Retail Prices and Manufacturing Costs</t>
  </si>
  <si>
    <t>Enter Retail Price and Mfg. Cost for each year</t>
  </si>
  <si>
    <t>Define initial Retail Price and Mfg. Cost (tool calculates yearly values)</t>
  </si>
  <si>
    <t>H2 per operating hour (kg/hour/FC unit)</t>
  </si>
  <si>
    <t>Site design, engineering, permitting ($/battery infr. site)</t>
  </si>
  <si>
    <t>Battery infrastructure equipment ($/battery infr. site)</t>
  </si>
  <si>
    <t>Construction ($/battery infrastructure site)</t>
  </si>
  <si>
    <r>
      <rPr>
        <b/>
        <sz val="12"/>
        <color theme="1"/>
        <rFont val="Garamond"/>
        <family val="1"/>
      </rPr>
      <t xml:space="preserve">Class I/II: </t>
    </r>
    <r>
      <rPr>
        <sz val="12"/>
        <color theme="1"/>
        <rFont val="Garamond"/>
        <family val="1"/>
      </rPr>
      <t>Battery maintenance ($/forklift/year)</t>
    </r>
  </si>
  <si>
    <r>
      <rPr>
        <b/>
        <sz val="12"/>
        <color theme="1"/>
        <rFont val="Garamond"/>
        <family val="1"/>
      </rPr>
      <t>Class III:</t>
    </r>
    <r>
      <rPr>
        <sz val="12"/>
        <color theme="1"/>
        <rFont val="Garamond"/>
        <family val="1"/>
      </rPr>
      <t xml:space="preserve"> Battery maintenance ($/forklift/year)</t>
    </r>
  </si>
  <si>
    <t>-</t>
  </si>
  <si>
    <t>Class I/II: Grid electricity req. per operating hour (kWh/h)</t>
  </si>
  <si>
    <t>Electricity required per hour of operation (kWh/h)</t>
  </si>
  <si>
    <t>Price of delivered diesel ($/gallon)</t>
  </si>
  <si>
    <t>Total Battery-related installation costs per site</t>
  </si>
  <si>
    <t>Construction ($/battery system)</t>
  </si>
  <si>
    <t>Construction ($/genset sytem)</t>
  </si>
  <si>
    <t>Cost of diesel production ($/gallon)</t>
  </si>
  <si>
    <t>* * * PRIME POWER FUEL CELLS INPUTS * * *</t>
  </si>
  <si>
    <t>Step 3a - Select Exports Value Type</t>
  </si>
  <si>
    <t>PAFC</t>
  </si>
  <si>
    <t>MCFC</t>
  </si>
  <si>
    <t>Use default alternative technology</t>
  </si>
  <si>
    <t>rPrime_type</t>
  </si>
  <si>
    <t>Price</t>
  </si>
  <si>
    <t>MCFC=Molten carbonate fuel cell; PAFC = Phosphoric acid fuel cell</t>
  </si>
  <si>
    <t>Price of delivered natural gas ($/mcf)</t>
  </si>
  <si>
    <t>% Batteries</t>
  </si>
  <si>
    <t>% Gensets</t>
  </si>
  <si>
    <t>Alternative mfg costs ($/unit)</t>
  </si>
  <si>
    <t>Battery-only systems are displaced</t>
  </si>
  <si>
    <t>Some of each system type (batteries and gensets) are displaced</t>
  </si>
  <si>
    <t>Battey</t>
  </si>
  <si>
    <t>Genset</t>
  </si>
  <si>
    <t>Alternative mfg costs</t>
  </si>
  <si>
    <t>Battery and Battery-related Infrastructure Maintenance</t>
  </si>
  <si>
    <t>Gross fuel cell</t>
  </si>
  <si>
    <r>
      <t xml:space="preserve">Retail price </t>
    </r>
    <r>
      <rPr>
        <b/>
        <sz val="12"/>
        <color theme="1"/>
        <rFont val="Garamond"/>
        <family val="1"/>
      </rPr>
      <t>per</t>
    </r>
    <r>
      <rPr>
        <sz val="12"/>
        <color theme="1"/>
        <rFont val="Garamond"/>
        <family val="1"/>
      </rPr>
      <t xml:space="preserve"> battery charger ($/charger)</t>
    </r>
  </si>
  <si>
    <t>Alternative installation costs</t>
  </si>
  <si>
    <t>Battery Charging and Infrastructure Installations</t>
  </si>
  <si>
    <t>Alternative fueling costs</t>
  </si>
  <si>
    <t>Displaced battery</t>
  </si>
  <si>
    <t>Electricity Production and Delivery</t>
  </si>
  <si>
    <t>Normal I/O now</t>
  </si>
  <si>
    <t>$/lift!</t>
  </si>
  <si>
    <t>Maintenance ($/lift)</t>
  </si>
  <si>
    <t>$/site!</t>
  </si>
  <si>
    <t>Displaced Domestic Alternative BuP Unit and Site Maintenance</t>
  </si>
  <si>
    <t>Site design, engineering, permitting ($/battery system)</t>
  </si>
  <si>
    <t>Installation costs ($/unit)</t>
  </si>
  <si>
    <t>Displaced Domestic Alternative BuP Installations</t>
  </si>
  <si>
    <t>Displaced Fuel Production and Delivery</t>
  </si>
  <si>
    <t>Fuel costs ($/unit)</t>
  </si>
  <si>
    <t>Fuel</t>
  </si>
  <si>
    <t>DFC 300</t>
  </si>
  <si>
    <t>DFC 1500</t>
  </si>
  <si>
    <t>DFC 3000</t>
  </si>
  <si>
    <t>FC total</t>
  </si>
  <si>
    <t>values offered by Gap</t>
  </si>
  <si>
    <t>Size</t>
  </si>
  <si>
    <t>$/kW</t>
  </si>
  <si>
    <r>
      <t>14282x</t>
    </r>
    <r>
      <rPr>
        <vertAlign val="superscript"/>
        <sz val="11"/>
        <color theme="1"/>
        <rFont val="Garamond"/>
        <family val="2"/>
      </rPr>
      <t>-0.198</t>
    </r>
  </si>
  <si>
    <t>400 kW PAFC (Greene)</t>
  </si>
  <si>
    <t>Entries below not used</t>
  </si>
  <si>
    <t>Size (kW)</t>
  </si>
  <si>
    <t>% Load</t>
  </si>
  <si>
    <t>Required kW</t>
  </si>
  <si>
    <t>gal/hour</t>
  </si>
  <si>
    <t>gal/kW(load)-hour</t>
  </si>
  <si>
    <t>PAFC size</t>
  </si>
  <si>
    <t>MCFC size</t>
  </si>
  <si>
    <t xml:space="preserve">Enter Fuel Price and Usage </t>
  </si>
  <si>
    <t>Price of delivered electricity ($/kWh)</t>
  </si>
  <si>
    <t>Displaced</t>
  </si>
  <si>
    <r>
      <t>What percentage of forklift batteries</t>
    </r>
    <r>
      <rPr>
        <b/>
        <sz val="12"/>
        <rFont val="Garamond"/>
        <family val="1"/>
      </rPr>
      <t xml:space="preserve"> installed in the United States</t>
    </r>
    <r>
      <rPr>
        <sz val="12"/>
        <rFont val="Garamond"/>
        <family val="1"/>
      </rPr>
      <t xml:space="preserve"> are manufactured in the United States ?</t>
    </r>
  </si>
  <si>
    <r>
      <t xml:space="preserve">What percentage of </t>
    </r>
    <r>
      <rPr>
        <b/>
        <sz val="12"/>
        <color theme="8" tint="-0.499984740745262"/>
        <rFont val="Garamond"/>
        <family val="1"/>
      </rPr>
      <t>Batteries for backup power</t>
    </r>
    <r>
      <rPr>
        <sz val="12"/>
        <color theme="8" tint="-0.499984740745262"/>
        <rFont val="Garamond"/>
        <family val="1"/>
      </rPr>
      <t xml:space="preserve"> installed in the United States are manufactured in the United States ?</t>
    </r>
  </si>
  <si>
    <r>
      <t xml:space="preserve">What percentage of </t>
    </r>
    <r>
      <rPr>
        <b/>
        <sz val="12"/>
        <color theme="2" tint="-0.749992370372631"/>
        <rFont val="Garamond"/>
        <family val="1"/>
      </rPr>
      <t>Gensets for backup power</t>
    </r>
    <r>
      <rPr>
        <sz val="12"/>
        <color theme="2" tint="-0.749992370372631"/>
        <rFont val="Garamond"/>
        <family val="1"/>
      </rPr>
      <t xml:space="preserve"> installed in the United States are manufactured in the United States ?</t>
    </r>
  </si>
  <si>
    <t>Hours of required run-time from on-site storage (hours)</t>
  </si>
  <si>
    <t>Assumes $0.17/w-h. Watt-hours det. by power load and req. run-time</t>
  </si>
  <si>
    <t>Total (Manufacturing, Installation, Fuel, and Maintenance)</t>
  </si>
  <si>
    <t>Gross Forklift Fuel Cell-related Employment (Job-years)</t>
  </si>
  <si>
    <t>Gross Forklift Fuel Cell-related Earnings (Thousands of 2010$)</t>
  </si>
  <si>
    <t>Class III Annual Installations</t>
  </si>
  <si>
    <t>Class I/II Annual Installations</t>
  </si>
  <si>
    <t>Gross Forklift Fuel Cell-related Output (Thousands of 2010$)</t>
  </si>
  <si>
    <t>Displaced Domestic Forklift Battery-related Employment (Job-years)</t>
  </si>
  <si>
    <t>Displaced Domestic Forklift Battery-related Earnings (Thousands of 2010$)</t>
  </si>
  <si>
    <t>Displaced Domestic Forklift Battery-related Earnings (Output of 2010$)</t>
  </si>
  <si>
    <t>Forklift Fuel Cell Hydrogen Fueling Site Installations in Region</t>
  </si>
  <si>
    <t>Gross Backup Power Fuel Cell-related Employment (Job-years)</t>
  </si>
  <si>
    <t>Gross Backup Power Fuel Cell Earnings (Thousands of 2010$)</t>
  </si>
  <si>
    <t>Gross Backup Power Fuel Cell Output (Thousands of 2010$)</t>
  </si>
  <si>
    <t>Backup Power Fuel Cell Installation and Fuel Storage</t>
  </si>
  <si>
    <t>Fuel Cell Type</t>
  </si>
  <si>
    <t>Prime Power Fuel Cell Installation and Fuel Storage</t>
  </si>
  <si>
    <t xml:space="preserve"> Fuel Production and Delivery</t>
  </si>
  <si>
    <t>Prime Power Fuel Cell Maintenance</t>
  </si>
  <si>
    <t>Backup run-time includes all outage-related usage in one year.</t>
  </si>
  <si>
    <t>Overall efficiency</t>
  </si>
  <si>
    <t>Natural gas consumed per year (mcf/year)</t>
  </si>
  <si>
    <t>Natural gas</t>
  </si>
  <si>
    <t>Displaced Electricity-related Employment (Job-years)</t>
  </si>
  <si>
    <t>Displaced Electricity-related Earnings (Thousands of 2010$)</t>
  </si>
  <si>
    <t>Displaced Electricity-related Output (Thousands of 2010$)</t>
  </si>
  <si>
    <t>Displaced Natural Gas for Heating-related Employment (Job-years)</t>
  </si>
  <si>
    <t>Displaced Natural Gas for Heating-related Earnings (Thousands of 2010$)</t>
  </si>
  <si>
    <t>Displaced Natural Gas for Heating-related Output (Thousands of 2010$)</t>
  </si>
  <si>
    <t>Heat recovery equipment ($/installed fuel cell)</t>
  </si>
  <si>
    <t>External gas cleanup equipment ($/installed fuel cell)</t>
  </si>
  <si>
    <t>Charger and battery-related infrastructure maintenance expense ($/forklift/year)</t>
  </si>
  <si>
    <t>Step 8a - Fuel Cell Maintenance Expenses</t>
  </si>
  <si>
    <r>
      <rPr>
        <b/>
        <sz val="12"/>
        <color indexed="8"/>
        <rFont val="Garamond"/>
        <family val="2"/>
      </rPr>
      <t xml:space="preserve">Class I/II: </t>
    </r>
    <r>
      <rPr>
        <sz val="12"/>
        <color indexed="8"/>
        <rFont val="Garamond"/>
        <family val="1"/>
      </rPr>
      <t>Fuel cell m</t>
    </r>
    <r>
      <rPr>
        <sz val="12"/>
        <color theme="1"/>
        <rFont val="Garamond"/>
        <family val="2"/>
      </rPr>
      <t>aintenance expense ($/FC unit/year)</t>
    </r>
  </si>
  <si>
    <r>
      <rPr>
        <b/>
        <sz val="12"/>
        <color indexed="8"/>
        <rFont val="Garamond"/>
        <family val="2"/>
      </rPr>
      <t xml:space="preserve">Class III: </t>
    </r>
    <r>
      <rPr>
        <sz val="12"/>
        <color indexed="8"/>
        <rFont val="Garamond"/>
        <family val="1"/>
      </rPr>
      <t>Fuel cell m</t>
    </r>
    <r>
      <rPr>
        <sz val="12"/>
        <color theme="1"/>
        <rFont val="Garamond"/>
        <family val="2"/>
      </rPr>
      <t>aintenance expense ($/FC unit/year)</t>
    </r>
  </si>
  <si>
    <t>Site design and engineering (average $/site)</t>
  </si>
  <si>
    <t>Use default Regional Infr. Site Installations</t>
  </si>
  <si>
    <t>Only enter Additional forklift fuel cell fueling infrastructure installations that take place within a given year.</t>
  </si>
  <si>
    <t>Additional Forklift Fuel Cell Hydrogen Fueling Site Installations in Region by Year</t>
  </si>
  <si>
    <t>Site design and engineering ($/installed fuel cell)</t>
  </si>
  <si>
    <t>Construction ($/installed fuel cell)</t>
  </si>
  <si>
    <t>Enter Installation and H2 Storage Expenses</t>
  </si>
  <si>
    <t>Use default Hydrogen Fuel Expenses</t>
  </si>
  <si>
    <t>Enter Initial and Annual Hydrogen Expenses</t>
  </si>
  <si>
    <t>Travel (labor and expenses) ($/genset system/year)</t>
  </si>
  <si>
    <t>On-site maintenance (labor and expenses) ($/genset/year)</t>
  </si>
  <si>
    <t xml:space="preserve">Initial (stored) diesel expense ($/genset sytem) </t>
  </si>
  <si>
    <t>Annual diesel expense ($/genset sytem/year)</t>
  </si>
  <si>
    <t>Other installation equipment ($/battery system)</t>
  </si>
  <si>
    <t>Travel (labor and expenses) ($/battery system/year)</t>
  </si>
  <si>
    <t>On-site maintenance (labor and expenses) ($/batt. sys./year)</t>
  </si>
  <si>
    <t>The diesel genset reference case includes sites where gensets had previously been operated. Please specify the genset-related installation expenses if the scenario (i.e. greenfield site) being analyzed requires any.  See Step 3 for number of installed units and 10a for genset % of displaced market.</t>
  </si>
  <si>
    <t>Fuel storage and other equipment ($/genset sytem)</t>
  </si>
  <si>
    <t>Total installation expense ($/battery system)</t>
  </si>
  <si>
    <t>Total annual diesel genset system maintenance expense per year ($/genset system/year)</t>
  </si>
  <si>
    <t>Enter Existing Forklift Sites and Fuel Cells</t>
  </si>
  <si>
    <t>Average power load during operation (average kW)</t>
  </si>
  <si>
    <t>Annual backup run-time (total hours/year)</t>
  </si>
  <si>
    <t>Fuel cell maintenance expenses should be entered on a per fuel cell basis even if there are more than one fuel cell units per site.</t>
  </si>
  <si>
    <t>Fuel expenses should be entered on a per fuel cell basis even if there are more than one fuel cell units per site.</t>
  </si>
  <si>
    <t>Enter Fuel Cell Maintenance Expenses</t>
  </si>
  <si>
    <t>Enter Installation Expenses</t>
  </si>
  <si>
    <t>Assumes maintenance expense is about 7.5% of installed cost in 2015.</t>
  </si>
  <si>
    <t>Genset initial</t>
  </si>
  <si>
    <t>Genset annual</t>
  </si>
  <si>
    <t>Site design, engineering, permitting ($/genset system)</t>
  </si>
  <si>
    <t>Backup power fuel cell unit size (average kW/unit)</t>
  </si>
  <si>
    <t>Electrical efficiency</t>
  </si>
  <si>
    <t>Please review Step 10 of the 'Forklift INPUTS' sheet for assumptions regarding batteries for forklifts which impact the net analysis</t>
  </si>
  <si>
    <t>Table name</t>
  </si>
  <si>
    <t>Retail Price and Manufacturing Cost (Forklift Fuel Cells)</t>
  </si>
  <si>
    <t>Units Manufactured in Region (Forklift Fuel Cells)</t>
  </si>
  <si>
    <t>Units Installed in Region (Forklift Fuel Cells)</t>
  </si>
  <si>
    <t>Gross Economic Impacts (Employment, Earnings, Output)</t>
  </si>
  <si>
    <t>Displaced Economic Impacts (Employment, Earnings, Output)</t>
  </si>
  <si>
    <t>Please review Step 10 of the 'Backup INPUTS' sheet for assumptions regarding batteries and/or gensets for backup power which impact the net analysis</t>
  </si>
  <si>
    <t>Units Manufactured in Region (Backup Power Fuel Cells)</t>
  </si>
  <si>
    <t>Units Installed in Region (Backup Power Fuel Cells)</t>
  </si>
  <si>
    <t>List of Tables</t>
  </si>
  <si>
    <t>Displaced Electricity Expense-related Economic Impacts</t>
  </si>
  <si>
    <t>Enter Land and Real Estate Expenses</t>
  </si>
  <si>
    <t>Enter Facility Materials Handling Expenses</t>
  </si>
  <si>
    <t>Step 4 - Land and Real Estate Expenses</t>
  </si>
  <si>
    <t>Step 6 - Facility Materials Handling Expenses</t>
  </si>
  <si>
    <t>Step 7 - Fixed Production Line Equipment Expenses</t>
  </si>
  <si>
    <t>Enter Fixed Production Line Equip. Expenses</t>
  </si>
  <si>
    <t>Enter Variable Prod. Line Equip. Expenses</t>
  </si>
  <si>
    <t>Step 1 - Choose Region</t>
  </si>
  <si>
    <t>Select State or Region</t>
  </si>
  <si>
    <t>Chart</t>
  </si>
  <si>
    <t>Table</t>
  </si>
  <si>
    <t>Charts</t>
  </si>
  <si>
    <t>Chart Location</t>
  </si>
  <si>
    <t>Table Location</t>
  </si>
  <si>
    <t>Table location</t>
  </si>
  <si>
    <t>Prime RESULTS-Charts</t>
  </si>
  <si>
    <t>* * * PRIME POWER FUEL CELLS RESULTS - CHARTS * * *</t>
  </si>
  <si>
    <t>Gross Employment Impacts</t>
  </si>
  <si>
    <t>Gross Earnings Impacts</t>
  </si>
  <si>
    <t>Gross Economic Output Impacts</t>
  </si>
  <si>
    <t>Forklift RESULTS-Tables</t>
  </si>
  <si>
    <t>Forklift RESULTS-Charts</t>
  </si>
  <si>
    <t>Backup RESULTS-Tables</t>
  </si>
  <si>
    <t>Backup RESULTS-Charts</t>
  </si>
  <si>
    <t>Detailed Employment, Earnings, and Output results by category (Manufacturing, Fueling Infrastructure Installation, Fuel, and Maintenance) are available in columns A:AJ.</t>
  </si>
  <si>
    <t>Detailed Employment, Earnings, and Output results by category (Manufacturing, Installation, Fuel, and Maintenance) are available in columns A:AJ.</t>
  </si>
  <si>
    <t>Prime RESULTS-Tables</t>
  </si>
  <si>
    <t>All states</t>
  </si>
  <si>
    <t>User specified values</t>
  </si>
  <si>
    <t>Total Construction and Closing Expenses</t>
  </si>
  <si>
    <t>Total Factory Equipment Expenses</t>
  </si>
  <si>
    <t>rBuP_disp_def</t>
  </si>
  <si>
    <t>Displaced Economic Impact tables are only relevant for a "Net" analysis.</t>
  </si>
  <si>
    <t>Detailed Gross Prime Power Fuel Cell-related Economic Impacts</t>
  </si>
  <si>
    <t>Gross Economic Impact charts contain detailed Employment, Earnings, and Output results by category (Manufacturing, Installation, Fuel, and Maintenance).</t>
  </si>
  <si>
    <t>Detailed Gross Economic Impacts</t>
  </si>
  <si>
    <t>Retail Price, Manufacturing Cost, Units Manufactured, and Units Installed</t>
  </si>
  <si>
    <t>Retail Price, Units Manufactured in Region, and Units Installed in Region</t>
  </si>
  <si>
    <t>Retail Price, Manufacturing Cost, Units Manufactured, Units Installed, and Site Installations</t>
  </si>
  <si>
    <t>Average annual kWh generated divided by potential annual kWh.</t>
  </si>
  <si>
    <t>Sites and/or fuel cell units entered in Step 9 are assumed to require maintenance and fueling (fuel cell units only) for each year of the tool's timeframe (2015-2020).  Sites/units are assumed to have the same annual maintenance and fuel costs as those specified in Steps 7 and 8.</t>
  </si>
  <si>
    <t>Units entered in Step 9 are assumed to require the same annual maintenance and fuel expenses for each year of the tool's timeframe (2015-2020) as those expenses specified in Steps 7 and 8.</t>
  </si>
  <si>
    <t>Class III: Grid electricity req. per operating hour (kWh/h)</t>
  </si>
  <si>
    <t>Installation expenses should be entered on a per fuel cell basis even if there is more than one fuel cell unit per site.</t>
  </si>
  <si>
    <t>Hydrogen fuel expenses should be entered on a per fuel cell basis even if there is more than one fuel cell unit per site.</t>
  </si>
  <si>
    <t>Fuel cell maintenance expenses should be entered on a per fuel cell basis even if there is more than one fuel cell unit per site.</t>
  </si>
  <si>
    <t>Fuel cell unit size (kW/unit)</t>
  </si>
  <si>
    <t>Step 2 - Fuel Cell Unit Size and Operations Variables (entries should be made on a per fuel cell unit basis)</t>
  </si>
  <si>
    <r>
      <rPr>
        <b/>
        <sz val="12"/>
        <color theme="1"/>
        <rFont val="Garamond"/>
        <family val="1"/>
      </rPr>
      <t>Retail Price</t>
    </r>
    <r>
      <rPr>
        <sz val="12"/>
        <color theme="1"/>
        <rFont val="Garamond"/>
        <family val="1"/>
      </rPr>
      <t xml:space="preserve"> = </t>
    </r>
    <r>
      <rPr>
        <b/>
        <sz val="12"/>
        <color theme="1"/>
        <rFont val="Garamond"/>
        <family val="1"/>
      </rPr>
      <t xml:space="preserve">Mfg. Cost </t>
    </r>
    <r>
      <rPr>
        <sz val="12"/>
        <color theme="1"/>
        <rFont val="Garamond"/>
        <family val="1"/>
      </rPr>
      <t>+ 50% unless the user specifies both price and cost. Manufacturing Cost cannont exceed Retail Price. Please see user guide for price and cost methodology.</t>
    </r>
  </si>
  <si>
    <t>Available heat energy generated by fuel cell (MMBtu/year)</t>
  </si>
  <si>
    <t>Percentage of available heat energy utilized (%)</t>
  </si>
  <si>
    <t>Displaced Heat Energy (Natural Gas) Expense-related Economic Impacts</t>
  </si>
  <si>
    <t>Displaced Natural Gas</t>
  </si>
  <si>
    <t>Displaced Electricity</t>
  </si>
  <si>
    <t>Users should not paste or fill into cells due to cell specific value restrictions and formatting. Please type entries into cells.</t>
  </si>
  <si>
    <t xml:space="preserve">All default values and outputs are in 2010 dollars. All user entries should be in 2010 dollars. </t>
  </si>
  <si>
    <t>Step 10b - Forklift Battery Retail Prices</t>
  </si>
  <si>
    <t>Step 10c - Battery System for Backup Power</t>
  </si>
  <si>
    <t>The battery system reference case includes sites where batteries had previously been operated. Please specify the battery-related installation expenses if the scenario (i.e. greenfield site) being analyzed requires any. See Step 6b for # of installed units and 10a for battery % of displaced market.</t>
  </si>
  <si>
    <t>Step 1c - Fuel Cell Type</t>
  </si>
  <si>
    <r>
      <rPr>
        <b/>
        <sz val="12"/>
        <color indexed="8"/>
        <rFont val="Garamond"/>
        <family val="2"/>
      </rPr>
      <t xml:space="preserve">Class I/II: </t>
    </r>
    <r>
      <rPr>
        <sz val="12"/>
        <color indexed="8"/>
        <rFont val="Garamond"/>
        <family val="1"/>
      </rPr>
      <t>Fuel cell shipping</t>
    </r>
    <r>
      <rPr>
        <sz val="12"/>
        <color theme="1"/>
        <rFont val="Garamond"/>
        <family val="2"/>
      </rPr>
      <t xml:space="preserve"> expense ($/FC unit)</t>
    </r>
  </si>
  <si>
    <r>
      <rPr>
        <b/>
        <sz val="12"/>
        <color indexed="8"/>
        <rFont val="Garamond"/>
        <family val="2"/>
      </rPr>
      <t xml:space="preserve">Class III: </t>
    </r>
    <r>
      <rPr>
        <sz val="12"/>
        <color indexed="8"/>
        <rFont val="Garamond"/>
        <family val="1"/>
      </rPr>
      <t>Fuel cell shipping</t>
    </r>
    <r>
      <rPr>
        <sz val="12"/>
        <color theme="1"/>
        <rFont val="Garamond"/>
        <family val="2"/>
      </rPr>
      <t xml:space="preserve"> expense ($/FC unit)</t>
    </r>
  </si>
  <si>
    <t>Enter Fuel Cell Shipping Expenses</t>
  </si>
  <si>
    <r>
      <t xml:space="preserve">Default </t>
    </r>
    <r>
      <rPr>
        <b/>
        <sz val="11"/>
        <color theme="1"/>
        <rFont val="Garamond"/>
        <family val="1"/>
      </rPr>
      <t>Site Installations</t>
    </r>
    <r>
      <rPr>
        <sz val="11"/>
        <color theme="1"/>
        <rFont val="Garamond"/>
        <family val="1"/>
      </rPr>
      <t xml:space="preserve"> are calculated by dividing the number of </t>
    </r>
    <r>
      <rPr>
        <b/>
        <sz val="11"/>
        <color theme="1"/>
        <rFont val="Garamond"/>
        <family val="1"/>
      </rPr>
      <t>annually installed units</t>
    </r>
    <r>
      <rPr>
        <sz val="11"/>
        <color theme="1"/>
        <rFont val="Garamond"/>
        <family val="1"/>
      </rPr>
      <t xml:space="preserve"> (Step 3c) by </t>
    </r>
    <r>
      <rPr>
        <b/>
        <sz val="11"/>
        <color theme="1"/>
        <rFont val="Garamond"/>
        <family val="1"/>
      </rPr>
      <t>total units/site</t>
    </r>
    <r>
      <rPr>
        <sz val="11"/>
        <color theme="1"/>
        <rFont val="Garamond"/>
        <family val="1"/>
      </rPr>
      <t xml:space="preserve"> (Step 6b). </t>
    </r>
    <r>
      <rPr>
        <b/>
        <sz val="11"/>
        <color theme="1"/>
        <rFont val="Garamond"/>
        <family val="1"/>
      </rPr>
      <t xml:space="preserve">Site Installations </t>
    </r>
    <r>
      <rPr>
        <sz val="11"/>
        <color theme="1"/>
        <rFont val="Garamond"/>
        <family val="1"/>
      </rPr>
      <t xml:space="preserve">are rounded down to the nearest whole number. If </t>
    </r>
    <r>
      <rPr>
        <b/>
        <sz val="11"/>
        <color theme="1"/>
        <rFont val="Garamond"/>
        <family val="1"/>
      </rPr>
      <t xml:space="preserve">annually installed units </t>
    </r>
    <r>
      <rPr>
        <sz val="11"/>
        <color theme="1"/>
        <rFont val="Garamond"/>
        <family val="1"/>
      </rPr>
      <t xml:space="preserve">are less than </t>
    </r>
    <r>
      <rPr>
        <b/>
        <sz val="11"/>
        <color theme="1"/>
        <rFont val="Garamond"/>
        <family val="1"/>
      </rPr>
      <t xml:space="preserve">total units/site, Site Installations </t>
    </r>
    <r>
      <rPr>
        <sz val="11"/>
        <color theme="1"/>
        <rFont val="Garamond"/>
        <family val="1"/>
      </rPr>
      <t xml:space="preserve">= 1.  If the user specifies </t>
    </r>
    <r>
      <rPr>
        <b/>
        <sz val="11"/>
        <color theme="1"/>
        <rFont val="Garamond"/>
        <family val="1"/>
      </rPr>
      <t xml:space="preserve">Site Installations, units/site </t>
    </r>
    <r>
      <rPr>
        <sz val="11"/>
        <color theme="1"/>
        <rFont val="Garamond"/>
        <family val="1"/>
      </rPr>
      <t xml:space="preserve">adjusts which impacts default </t>
    </r>
    <r>
      <rPr>
        <b/>
        <sz val="11"/>
        <color theme="1"/>
        <rFont val="Garamond"/>
        <family val="1"/>
      </rPr>
      <t>Hydrogen Fueling Infrastructure costs</t>
    </r>
    <r>
      <rPr>
        <sz val="11"/>
        <color theme="1"/>
        <rFont val="Garamond"/>
        <family val="1"/>
      </rPr>
      <t xml:space="preserve"> (see Step 6a). </t>
    </r>
  </si>
  <si>
    <r>
      <rPr>
        <b/>
        <sz val="11"/>
        <rFont val="Garamond"/>
        <family val="1"/>
      </rPr>
      <t>Default fuel cell maintenance costs</t>
    </r>
    <r>
      <rPr>
        <sz val="11"/>
        <rFont val="Garamond"/>
        <family val="1"/>
      </rPr>
      <t xml:space="preserve"> are determined by annual operating hours from Step 7b and estimated hourly maintenance expenses.</t>
    </r>
  </si>
  <si>
    <r>
      <rPr>
        <sz val="11"/>
        <color theme="1"/>
        <rFont val="Garamond"/>
        <family val="1"/>
      </rPr>
      <t xml:space="preserve">Default </t>
    </r>
    <r>
      <rPr>
        <b/>
        <sz val="11"/>
        <color theme="1"/>
        <rFont val="Garamond"/>
        <family val="1"/>
      </rPr>
      <t>Charger and battery infrastructure maintenance cost</t>
    </r>
    <r>
      <rPr>
        <sz val="11"/>
        <color theme="1"/>
        <rFont val="Garamond"/>
        <family val="1"/>
      </rPr>
      <t xml:space="preserve"> is assumed to be constant at $400/forklift/year.</t>
    </r>
  </si>
  <si>
    <t>Step 7b - Enter Operations Parameters</t>
  </si>
  <si>
    <t>Step 6b - Choose Method for Determining Number of H2 Infrastructure Site Installations</t>
  </si>
  <si>
    <t>SHIPPING</t>
  </si>
  <si>
    <t>Total Manufacturing Development, Sales, Shipping</t>
  </si>
  <si>
    <t>Step 10d - Battery Infrastructure Installation Expenses</t>
  </si>
  <si>
    <t>Step 10e - Battery Charging (Electricity) Expenses</t>
  </si>
  <si>
    <t>Step 10f - Battery Maintenance Expenses</t>
  </si>
  <si>
    <t>Step 10g - Charger and Battery Infrastructure Maintenance</t>
  </si>
  <si>
    <r>
      <rPr>
        <b/>
        <sz val="12"/>
        <color theme="1"/>
        <rFont val="Garamond"/>
        <family val="1"/>
      </rPr>
      <t>Class I/II</t>
    </r>
    <r>
      <rPr>
        <sz val="12"/>
        <color theme="1"/>
        <rFont val="Garamond"/>
        <family val="1"/>
      </rPr>
      <t>: Shipping expense per battery ($/battery)</t>
    </r>
  </si>
  <si>
    <r>
      <rPr>
        <b/>
        <sz val="12"/>
        <color theme="1"/>
        <rFont val="Garamond"/>
        <family val="1"/>
      </rPr>
      <t>Class III</t>
    </r>
    <r>
      <rPr>
        <sz val="12"/>
        <color theme="1"/>
        <rFont val="Garamond"/>
        <family val="1"/>
      </rPr>
      <t>: Shipping expense per battery ($/battery)</t>
    </r>
  </si>
  <si>
    <t>Shipping</t>
  </si>
  <si>
    <t>% in region of installation</t>
  </si>
  <si>
    <t>% in region of mfg</t>
  </si>
  <si>
    <t>Alternative shipping</t>
  </si>
  <si>
    <t>Shipping impacts</t>
  </si>
  <si>
    <r>
      <rPr>
        <sz val="12"/>
        <color indexed="8"/>
        <rFont val="Garamond"/>
        <family val="1"/>
      </rPr>
      <t>Backup power fuel cell shipping</t>
    </r>
    <r>
      <rPr>
        <sz val="12"/>
        <color theme="1"/>
        <rFont val="Garamond"/>
        <family val="2"/>
      </rPr>
      <t xml:space="preserve"> expense ($/FC unit)</t>
    </r>
  </si>
  <si>
    <r>
      <rPr>
        <b/>
        <sz val="11"/>
        <color theme="1"/>
        <rFont val="Garamond"/>
        <family val="1"/>
      </rPr>
      <t>Electricity required per operating hour</t>
    </r>
    <r>
      <rPr>
        <sz val="11"/>
        <color theme="1"/>
        <rFont val="Garamond"/>
        <family val="1"/>
      </rPr>
      <t xml:space="preserve"> is the average amount of electricity that must be purchased from a utility per hour of operation (battery powered). See Step 2 for annual operating hours.</t>
    </r>
  </si>
  <si>
    <t>Step 10b - Displaced Battery Systems or Diesel Gensets Manufactured in the United States</t>
  </si>
  <si>
    <t>Step 10a - Displaced Forklift Batteries Manufactured in the United States</t>
  </si>
  <si>
    <t>Total electricity expense per year ($/batt. sys./year)</t>
  </si>
  <si>
    <t>Step 7 - Fuel Expenses ($/Fuel Cell)</t>
  </si>
  <si>
    <r>
      <t xml:space="preserve">For </t>
    </r>
    <r>
      <rPr>
        <b/>
        <sz val="11"/>
        <color theme="1"/>
        <rFont val="Garamond"/>
        <family val="1"/>
      </rPr>
      <t>Net analysis</t>
    </r>
    <r>
      <rPr>
        <sz val="11"/>
        <color theme="1"/>
        <rFont val="Garamond"/>
        <family val="1"/>
      </rPr>
      <t xml:space="preserve"> only, the reference case assumes that all electricity generated by the fuel cell is used and displaces grid-based electricity (on-site or otherwise). See Step 2 for the default </t>
    </r>
    <r>
      <rPr>
        <b/>
        <sz val="11"/>
        <color theme="1"/>
        <rFont val="Garamond"/>
        <family val="1"/>
      </rPr>
      <t>total electricity generated</t>
    </r>
    <r>
      <rPr>
        <sz val="11"/>
        <color theme="1"/>
        <rFont val="Garamond"/>
        <family val="1"/>
      </rPr>
      <t>. A percentage of</t>
    </r>
    <r>
      <rPr>
        <b/>
        <sz val="11"/>
        <color theme="1"/>
        <rFont val="Garamond"/>
        <family val="1"/>
      </rPr>
      <t xml:space="preserve"> heat energy generated</t>
    </r>
    <r>
      <rPr>
        <sz val="11"/>
        <color theme="1"/>
        <rFont val="Garamond"/>
        <family val="1"/>
      </rPr>
      <t xml:space="preserve"> by the fuel cell  is assumed to displace heat energy normally provided by purchased natural gas. Assumed</t>
    </r>
    <r>
      <rPr>
        <b/>
        <sz val="11"/>
        <color theme="1"/>
        <rFont val="Garamond"/>
        <family val="1"/>
      </rPr>
      <t xml:space="preserve"> efficiency</t>
    </r>
    <r>
      <rPr>
        <sz val="11"/>
        <color theme="1"/>
        <rFont val="Garamond"/>
        <family val="1"/>
      </rPr>
      <t xml:space="preserve"> values and the</t>
    </r>
    <r>
      <rPr>
        <b/>
        <sz val="11"/>
        <color theme="1"/>
        <rFont val="Garamond"/>
        <family val="1"/>
      </rPr>
      <t xml:space="preserve"> quantity of natural gas consumed</t>
    </r>
    <r>
      <rPr>
        <sz val="11"/>
        <color theme="1"/>
        <rFont val="Garamond"/>
        <family val="1"/>
      </rPr>
      <t xml:space="preserve"> per year (see Step 6), determine the default</t>
    </r>
    <r>
      <rPr>
        <b/>
        <sz val="11"/>
        <color theme="1"/>
        <rFont val="Garamond"/>
        <family val="1"/>
      </rPr>
      <t xml:space="preserve"> heat energy generated</t>
    </r>
    <r>
      <rPr>
        <sz val="11"/>
        <color theme="1"/>
        <rFont val="Garamond"/>
        <family val="1"/>
      </rPr>
      <t>.</t>
    </r>
  </si>
  <si>
    <t>Manufacturing and sales</t>
  </si>
  <si>
    <t>Fuel Cell Manufacturing, Development, Sales, and Shipping</t>
  </si>
  <si>
    <t>Total shipping expense for battery system ($/batt. sys.)</t>
  </si>
  <si>
    <t>Total retail price of battery(ies) ($/batt. sys.)</t>
  </si>
  <si>
    <t>Shipping expense</t>
  </si>
  <si>
    <t>Step 10b - Displaced Natural Gas Expense</t>
  </si>
  <si>
    <t>Step 10a - Displaced Grid Electricity Expense</t>
  </si>
  <si>
    <t>Backup Power Fuel Cell Manufacturing, Development, Sales, and Shipping</t>
  </si>
  <si>
    <t>Forklift Fuel Cell Manufacturing, Development, Sales, and Shipping (Class I/II and III combined)</t>
  </si>
  <si>
    <t>Displaced Forklift Battery Mfg., Development, Sales, and Shipping (Class I/II and III combined)</t>
  </si>
  <si>
    <t>Displaced Alternative BuP Manufacturing, Development, Sales, and Shipping</t>
  </si>
  <si>
    <t>Step 10d - Diesel Genset System for Backup Power</t>
  </si>
  <si>
    <t>Gallons of diesel used per kWh (gallons/kWh)</t>
  </si>
  <si>
    <r>
      <rPr>
        <b/>
        <sz val="11"/>
        <rFont val="Garamond"/>
        <family val="1"/>
      </rPr>
      <t xml:space="preserve">Cost of H2 </t>
    </r>
    <r>
      <rPr>
        <sz val="11"/>
        <rFont val="Garamond"/>
        <family val="1"/>
      </rPr>
      <t>cannot exceed</t>
    </r>
    <r>
      <rPr>
        <b/>
        <sz val="11"/>
        <rFont val="Garamond"/>
        <family val="1"/>
      </rPr>
      <t xml:space="preserve"> Price of delivered H2. Price of delivered H2 ($/kg) = Cost of H2 Production </t>
    </r>
    <r>
      <rPr>
        <sz val="11"/>
        <rFont val="Garamond"/>
        <family val="1"/>
      </rPr>
      <t>($/kg)</t>
    </r>
    <r>
      <rPr>
        <b/>
        <sz val="11"/>
        <rFont val="Garamond"/>
        <family val="1"/>
      </rPr>
      <t xml:space="preserve"> </t>
    </r>
    <r>
      <rPr>
        <sz val="11"/>
        <rFont val="Garamond"/>
        <family val="1"/>
      </rPr>
      <t>+ $27/kg</t>
    </r>
    <r>
      <rPr>
        <b/>
        <sz val="11"/>
        <rFont val="Garamond"/>
        <family val="1"/>
      </rPr>
      <t>. Price of delivered H2</t>
    </r>
    <r>
      <rPr>
        <sz val="11"/>
        <rFont val="Garamond"/>
        <family val="1"/>
      </rPr>
      <t xml:space="preserve"> does not include H2 storage equipment costs (Step 6).</t>
    </r>
    <r>
      <rPr>
        <b/>
        <sz val="11"/>
        <rFont val="Garamond"/>
        <family val="1"/>
      </rPr>
      <t xml:space="preserve"> </t>
    </r>
    <r>
      <rPr>
        <sz val="11"/>
        <rFont val="Garamond"/>
        <family val="1"/>
      </rPr>
      <t xml:space="preserve">Default </t>
    </r>
    <r>
      <rPr>
        <b/>
        <sz val="11"/>
        <rFont val="Garamond"/>
        <family val="1"/>
      </rPr>
      <t xml:space="preserve">Initial H2 fuel expense </t>
    </r>
    <r>
      <rPr>
        <sz val="11"/>
        <rFont val="Garamond"/>
        <family val="1"/>
      </rPr>
      <t xml:space="preserve">determined by H2 price, H2 consumption per kWh, fuel cell system size and hours of req. run-time. Default </t>
    </r>
    <r>
      <rPr>
        <b/>
        <sz val="11"/>
        <rFont val="Garamond"/>
        <family val="1"/>
      </rPr>
      <t>Annual H2 fuel expense</t>
    </r>
    <r>
      <rPr>
        <sz val="11"/>
        <rFont val="Garamond"/>
        <family val="1"/>
      </rPr>
      <t xml:space="preserve"> determined by H2 price, H2 consumption, avg. power load, and total annual run-time. See Step 2 for power and run-time variables.</t>
    </r>
  </si>
  <si>
    <t>Enter Hydrogen Fuel Expenses</t>
  </si>
  <si>
    <t>PEM</t>
  </si>
  <si>
    <t>Prime</t>
  </si>
  <si>
    <t>Cumulative MW</t>
  </si>
  <si>
    <t>MW</t>
  </si>
  <si>
    <t>MW/firm</t>
  </si>
  <si>
    <t># of manufacturers</t>
  </si>
  <si>
    <t>Starting year</t>
  </si>
  <si>
    <t>Learning effects</t>
  </si>
  <si>
    <t>Scale effects</t>
  </si>
  <si>
    <t>Technological progress</t>
  </si>
  <si>
    <t>Number of manufacturers</t>
  </si>
  <si>
    <t>Full Scale Production Level</t>
  </si>
  <si>
    <t>MWs manufactured for scale and learning</t>
  </si>
  <si>
    <t>Hydrogen storage and fueling equipment ($/installed FC)</t>
  </si>
  <si>
    <t>Assumes 5% of retail price. See user guide for additional information.</t>
  </si>
  <si>
    <t>Total shipping expense per genset ($/gen. sys.)</t>
  </si>
  <si>
    <t>Total retail price per diesel genset ($/gen. sys.)</t>
  </si>
  <si>
    <t>Total installation expense per genset ($/gen. sys.)</t>
  </si>
  <si>
    <t>Class I/II: Total battery costs per forklift ($/lift)</t>
  </si>
  <si>
    <t>Class III: Total battery costs per forklift ($/lift)</t>
  </si>
  <si>
    <t>Default of $12,500 if fuel cell size is &lt;= 10 kW; otherwise, $20,000</t>
  </si>
  <si>
    <t>Through 2010</t>
  </si>
  <si>
    <t>Cumulative production at end of 2010 (BuP)</t>
  </si>
  <si>
    <t>Cumulative production at end of 2010 (Forklift)</t>
  </si>
  <si>
    <t>ANL-RCF assumption</t>
  </si>
  <si>
    <t>Minimum annual production 2015-2020 (MW)</t>
  </si>
  <si>
    <t>Gross analysis available for all regions.  Net analysis available only for national analysis.</t>
  </si>
  <si>
    <t>Determines default installation costs and amount of stored H2</t>
  </si>
  <si>
    <t>Step 3a - Units or Market Penetration Approach</t>
  </si>
  <si>
    <t>Step 3b - Export Units or Percentage</t>
  </si>
  <si>
    <t>Annual testing run-time (total hours/year)</t>
  </si>
  <si>
    <t>Testing run-time includes all periodic testing-related usage.</t>
  </si>
  <si>
    <t>Step 3c - Enter Backup Power Fuel Cells</t>
  </si>
  <si>
    <t>Enter Retail Prices and Manfacturing Costs for Each Year (2015-2020)</t>
  </si>
  <si>
    <t>Step 1 - Choose Region and Analysis Type</t>
  </si>
  <si>
    <t>Step 2 - Backup Power Fuel Cell Size and Usage Requirements</t>
  </si>
  <si>
    <t>Enter Fuel Cell Size and Usage Requirements</t>
  </si>
  <si>
    <t>Cost of hydrogen production ($/kg)</t>
  </si>
  <si>
    <t>Price of delivered hydrogen ($/kg)</t>
  </si>
  <si>
    <t>Initial (stored) H2 fuel expense ($/installed FC unit)</t>
  </si>
  <si>
    <t>Step 6 - Backup Power Fuel Cell Installation and Hydrogen Storage Equipment Expenses ($/Installed Fuel Cell Unit)</t>
  </si>
  <si>
    <t>Step 7 - Initial and Annual Hydrogen Fuel Expenses ($/Fuel Cell Unit)</t>
  </si>
  <si>
    <t>Step 8 - Backup Power Fuel Cell Maintenance Expenses ($/Fuel Cell Unit)</t>
  </si>
  <si>
    <t>Enter Existing Operational Fuel Cells</t>
  </si>
  <si>
    <t>Total existing operational backup power fuel cell units (beginning of 2015)</t>
  </si>
  <si>
    <t>Step 10a - Displaced Technologies</t>
  </si>
  <si>
    <t>Diesel genset systems are displaced</t>
  </si>
  <si>
    <t>For this scenario, which backup power technology(ies) would be used instead of fuel cells?  A Battery-only sytem, a Diesel genset system, or some of each technology?</t>
  </si>
  <si>
    <t>Total annual battery system maintenance expense ($/battery system/year)</t>
  </si>
  <si>
    <r>
      <rPr>
        <b/>
        <sz val="11"/>
        <color theme="1"/>
        <rFont val="Garamond"/>
        <family val="1"/>
      </rPr>
      <t>Site design</t>
    </r>
    <r>
      <rPr>
        <sz val="11"/>
        <color theme="1"/>
        <rFont val="Garamond"/>
        <family val="1"/>
      </rPr>
      <t xml:space="preserve"> (constant) also includes, permitting, engineering, etc. </t>
    </r>
    <r>
      <rPr>
        <b/>
        <sz val="11"/>
        <color theme="1"/>
        <rFont val="Garamond"/>
        <family val="1"/>
      </rPr>
      <t>Construction</t>
    </r>
    <r>
      <rPr>
        <sz val="11"/>
        <color theme="1"/>
        <rFont val="Garamond"/>
        <family val="1"/>
      </rPr>
      <t xml:space="preserve"> (constant) includes concrete, enclosure, site prep., electrical. </t>
    </r>
    <r>
      <rPr>
        <b/>
        <sz val="11"/>
        <color theme="1"/>
        <rFont val="Garamond"/>
        <family val="1"/>
      </rPr>
      <t>H2 storage equip.</t>
    </r>
    <r>
      <rPr>
        <sz val="11"/>
        <color theme="1"/>
        <rFont val="Garamond"/>
        <family val="1"/>
      </rPr>
      <t xml:space="preserve"> assumes $1,000/kg of H2. H2 (kg) is determined by req. run-time and avg. power load (Step 2) and H2 used per kWh (Step 7). No </t>
    </r>
    <r>
      <rPr>
        <b/>
        <sz val="11"/>
        <color theme="1"/>
        <rFont val="Garamond"/>
        <family val="1"/>
      </rPr>
      <t>bridge battery</t>
    </r>
    <r>
      <rPr>
        <sz val="11"/>
        <color theme="1"/>
        <rFont val="Garamond"/>
        <family val="1"/>
      </rPr>
      <t xml:space="preserve"> is assumed be required specifically for fuel cell use.</t>
    </r>
  </si>
  <si>
    <t>No bridge battery is assumed to be required specifically for genset use.</t>
  </si>
  <si>
    <r>
      <rPr>
        <b/>
        <sz val="11"/>
        <color theme="1"/>
        <rFont val="Garamond"/>
        <family val="1"/>
      </rPr>
      <t xml:space="preserve">Diesel required per kWh </t>
    </r>
    <r>
      <rPr>
        <sz val="11"/>
        <color theme="1"/>
        <rFont val="Garamond"/>
        <family val="1"/>
      </rPr>
      <t xml:space="preserve">is the average amount of diesel needed to generate a kWh of power. </t>
    </r>
    <r>
      <rPr>
        <b/>
        <sz val="11"/>
        <color theme="1"/>
        <rFont val="Garamond"/>
        <family val="1"/>
      </rPr>
      <t>Initial (stored) fuel expense</t>
    </r>
    <r>
      <rPr>
        <sz val="11"/>
        <color theme="1"/>
        <rFont val="Garamond"/>
        <family val="1"/>
      </rPr>
      <t xml:space="preserve"> is determined by required run-time. </t>
    </r>
    <r>
      <rPr>
        <b/>
        <sz val="11"/>
        <color theme="1"/>
        <rFont val="Garamond"/>
        <family val="1"/>
      </rPr>
      <t>Annual fuel expense</t>
    </r>
    <r>
      <rPr>
        <sz val="11"/>
        <color theme="1"/>
        <rFont val="Garamond"/>
        <family val="1"/>
      </rPr>
      <t xml:space="preserve"> is determined by the sum of backup run-time and genset testing run-time. See Step 2 for required and backup run-time. </t>
    </r>
  </si>
  <si>
    <t>Bridge battery ($/installed genset system)</t>
  </si>
  <si>
    <t>Bridge battery ($/installed fuel cell)</t>
  </si>
  <si>
    <t>Assumes 4 maintenance trips per year, 4 hours of travel time per trip, 3 hours of on-site maintenance per trip (average), and $90/hour expense.</t>
  </si>
  <si>
    <t>Assumes 4 maintenance trips per year, 4 hours of travel time per trip, 1/2 hour of on-site maintenance per trip and $90/hour expense.</t>
  </si>
  <si>
    <t>Assumes 1 maintenance trip per year, 4 hours of travel per trip, 1 hour of on-site maintenance per trip, and $90/hour expense.</t>
  </si>
  <si>
    <t>Enter Fuel Cell Unit Size(s)</t>
  </si>
  <si>
    <t>Step 3c - Enter Class I/II Forklift Fuel Cells</t>
  </si>
  <si>
    <t>Step 3c - Enter Class III Forklift Fuel Cells</t>
  </si>
  <si>
    <t>Step 6a - Enter H2 Fueling Infrastructure Site Installation Expenses</t>
  </si>
  <si>
    <t>H2 fueling infrastructure equip. and installation ($/site)</t>
  </si>
  <si>
    <t>Travel-related (labor and expenses) ($/FC unit/year)</t>
  </si>
  <si>
    <t>On-site maintenance (labor and expenses) ($/FC unit/year)</t>
  </si>
  <si>
    <t>Total existing operational hydrogen fueling sites for forklift fuel cells in region (beginning of 2015)</t>
  </si>
  <si>
    <t>Class I/II: Total existing operational forklift fuel cell units in region (beginning of 2015)</t>
  </si>
  <si>
    <t>Class III: Total existing operational forklift fuel cell units in region (beginning of 2015)</t>
  </si>
  <si>
    <r>
      <t xml:space="preserve">For </t>
    </r>
    <r>
      <rPr>
        <b/>
        <sz val="11"/>
        <color theme="1"/>
        <rFont val="Garamond"/>
        <family val="1"/>
      </rPr>
      <t>Net analysis only</t>
    </r>
    <r>
      <rPr>
        <sz val="11"/>
        <color theme="1"/>
        <rFont val="Garamond"/>
        <family val="1"/>
      </rPr>
      <t xml:space="preserve">, the reference case is assumed to be a site with a pre-existing backup power solution (either a battery system or diesel genset) where the operator is choosing between replacing a battery system (one or more batteries) or a diesel genset with a system of the same kind or with a hydrogen fuel cell unit.                                    </t>
    </r>
    <r>
      <rPr>
        <b/>
        <sz val="11"/>
        <color theme="1"/>
        <rFont val="Garamond"/>
        <family val="1"/>
      </rPr>
      <t>Battery systems</t>
    </r>
    <r>
      <rPr>
        <sz val="11"/>
        <color theme="1"/>
        <rFont val="Garamond"/>
        <family val="1"/>
      </rPr>
      <t xml:space="preserve"> are assumed to be the displaced technology if required run-time (Step 2) is less than or equal to 8 hours.                                                                                 </t>
    </r>
    <r>
      <rPr>
        <b/>
        <sz val="11"/>
        <color theme="1"/>
        <rFont val="Garamond"/>
        <family val="1"/>
      </rPr>
      <t>Diesel gensets</t>
    </r>
    <r>
      <rPr>
        <sz val="11"/>
        <color theme="1"/>
        <rFont val="Garamond"/>
        <family val="1"/>
      </rPr>
      <t xml:space="preserve"> are assumed to be displaced if required run-time is greater than 8 hours.                                                                                                                             The number of installed and/or exported fuel cell units specified in Step 3 and the values from Step 10 determine the displaced economic impacts associated with US-based battery- and/or genset-related manufacturing and sales due to fuel cell adoption. </t>
    </r>
    <r>
      <rPr>
        <b/>
        <sz val="12"/>
        <color theme="1"/>
        <rFont val="Garamond"/>
        <family val="1"/>
      </rPr>
      <t/>
    </r>
  </si>
  <si>
    <t>Users may choose to specify the average number of fuel cell power forklifts per site or the specific number of new site installations.</t>
  </si>
  <si>
    <t>Hydrogen fueling infrastructure maintenance ($/site/year)</t>
  </si>
  <si>
    <t>Step 8b - Hydrogen Fueling Infrastructure Site Maintenance Expenses</t>
  </si>
  <si>
    <t>Combined effect</t>
  </si>
  <si>
    <t>Percentage of Base Manufacturing Cost</t>
  </si>
  <si>
    <t>Backup power</t>
  </si>
  <si>
    <t>avg 2015-2020</t>
  </si>
  <si>
    <t>avg 2011-2020</t>
  </si>
  <si>
    <t>avg 2011-2014</t>
  </si>
  <si>
    <t>Assumed annual production assumed 2011-2014</t>
  </si>
  <si>
    <t>Minimum annual production assumed 2015-2020</t>
  </si>
  <si>
    <t>"Constant" (backup) (for Schoots function)</t>
  </si>
  <si>
    <t>"Constant" MH</t>
  </si>
  <si>
    <t>Constant</t>
  </si>
  <si>
    <t>Cumulative production at end of 2010 (MW)</t>
  </si>
  <si>
    <t>Annual maintenance expense per fuel cell ($/fuel cell/year)</t>
  </si>
  <si>
    <t>% Change Due to Learning</t>
  </si>
  <si>
    <t>% Change Due to Scale</t>
  </si>
  <si>
    <t>% Change Due to Technology</t>
  </si>
  <si>
    <t>Step i-Use Gap analysis to stablish $/kW at different sizes</t>
  </si>
  <si>
    <t>Step ii-Use Size, $/kW info to derive a Schoots-like exponent</t>
  </si>
  <si>
    <t>Greene 12.5k-15k for BU mfg cost per system; 27-29k for MH mfg cost per system. Forklift/BuP ratio is appx 2.</t>
  </si>
  <si>
    <t>Step 2 - use exponent, constant, and fuel cell size from inputs to derive base manufacturing cost</t>
  </si>
  <si>
    <t>Step 2 - Use Schoots exponent, constant, and fuel cell size from user inputs to calculate base mfg cost</t>
  </si>
  <si>
    <t>Exponent</t>
  </si>
  <si>
    <t>see PEM</t>
  </si>
  <si>
    <t>Mfg. Cost</t>
  </si>
  <si>
    <t>Backup: Base mfg cost (2010) $/kW</t>
  </si>
  <si>
    <t>Class I/II base mfg cost (2010) $/kW</t>
  </si>
  <si>
    <t>Class III base mfg cost (2010) $/kW</t>
  </si>
  <si>
    <t>Base retail price (2010) $/kW</t>
  </si>
  <si>
    <t>Step 1 - Choose Region and Fuel Cell Type</t>
  </si>
  <si>
    <t>Annual fuel expense per fuel cell ($/fuel cell/year)</t>
  </si>
  <si>
    <t>Total installation expense ($/installed fuel cell)</t>
  </si>
  <si>
    <t>Annual displaced electricity expense ($/FC/year)</t>
  </si>
  <si>
    <t>Annual displaced natural gas expense ($/FC/year)</t>
  </si>
  <si>
    <t>Enter Fuel Cell Shipping Expense</t>
  </si>
  <si>
    <t>See Step 7</t>
  </si>
  <si>
    <t>Assumed annual production 2011-2014 (MW)</t>
  </si>
  <si>
    <r>
      <rPr>
        <sz val="11"/>
        <rFont val="Garamond"/>
        <family val="1"/>
      </rPr>
      <t>Default</t>
    </r>
    <r>
      <rPr>
        <b/>
        <sz val="11"/>
        <rFont val="Garamond"/>
        <family val="1"/>
      </rPr>
      <t xml:space="preserve"> Site design, Construction, </t>
    </r>
    <r>
      <rPr>
        <sz val="11"/>
        <rFont val="Garamond"/>
        <family val="1"/>
      </rPr>
      <t xml:space="preserve">and </t>
    </r>
    <r>
      <rPr>
        <b/>
        <sz val="11"/>
        <rFont val="Garamond"/>
        <family val="1"/>
      </rPr>
      <t xml:space="preserve">Storage tank </t>
    </r>
    <r>
      <rPr>
        <sz val="11"/>
        <rFont val="Garamond"/>
        <family val="1"/>
      </rPr>
      <t>expenses</t>
    </r>
    <r>
      <rPr>
        <b/>
        <sz val="11"/>
        <rFont val="Garamond"/>
        <family val="1"/>
      </rPr>
      <t xml:space="preserve"> </t>
    </r>
    <r>
      <rPr>
        <sz val="11"/>
        <rFont val="Garamond"/>
        <family val="1"/>
      </rPr>
      <t xml:space="preserve">are assumed to be constant. Default </t>
    </r>
    <r>
      <rPr>
        <b/>
        <sz val="11"/>
        <rFont val="Garamond"/>
        <family val="1"/>
      </rPr>
      <t xml:space="preserve">H2 Fueling Infrastructure expense </t>
    </r>
    <r>
      <rPr>
        <sz val="11"/>
        <rFont val="Garamond"/>
        <family val="1"/>
      </rPr>
      <t>is</t>
    </r>
    <r>
      <rPr>
        <b/>
        <sz val="11"/>
        <rFont val="Garamond"/>
        <family val="1"/>
      </rPr>
      <t xml:space="preserve"> </t>
    </r>
    <r>
      <rPr>
        <sz val="11"/>
        <rFont val="Garamond"/>
        <family val="1"/>
      </rPr>
      <t xml:space="preserve">determined by </t>
    </r>
    <r>
      <rPr>
        <b/>
        <i/>
        <sz val="11"/>
        <rFont val="Garamond"/>
        <family val="1"/>
      </rPr>
      <t>kg/day/site</t>
    </r>
    <r>
      <rPr>
        <sz val="11"/>
        <rFont val="Garamond"/>
        <family val="1"/>
      </rPr>
      <t xml:space="preserve"> from entries in</t>
    </r>
    <r>
      <rPr>
        <b/>
        <i/>
        <sz val="11"/>
        <rFont val="Garamond"/>
        <family val="1"/>
      </rPr>
      <t xml:space="preserve"> 6b</t>
    </r>
    <r>
      <rPr>
        <sz val="11"/>
        <rFont val="Garamond"/>
        <family val="1"/>
      </rPr>
      <t xml:space="preserve"> and </t>
    </r>
    <r>
      <rPr>
        <b/>
        <i/>
        <sz val="11"/>
        <rFont val="Garamond"/>
        <family val="1"/>
      </rPr>
      <t>7b</t>
    </r>
    <r>
      <rPr>
        <sz val="11"/>
        <rFont val="Garamond"/>
        <family val="1"/>
      </rPr>
      <t xml:space="preserve">. </t>
    </r>
    <r>
      <rPr>
        <b/>
        <sz val="11"/>
        <rFont val="Garamond"/>
        <family val="1"/>
      </rPr>
      <t>H2 Fueling</t>
    </r>
    <r>
      <rPr>
        <sz val="11"/>
        <rFont val="Garamond"/>
        <family val="1"/>
      </rPr>
      <t xml:space="preserve"> </t>
    </r>
    <r>
      <rPr>
        <b/>
        <sz val="11"/>
        <rFont val="Garamond"/>
        <family val="1"/>
      </rPr>
      <t>Infrastructure expenses</t>
    </r>
    <r>
      <rPr>
        <sz val="11"/>
        <rFont val="Garamond"/>
        <family val="1"/>
      </rPr>
      <t xml:space="preserve"> include design, delivery, installation and equipment (compressors, cascade tanks, pumps, dispensers, and instrumentation). </t>
    </r>
  </si>
  <si>
    <r>
      <rPr>
        <b/>
        <sz val="11"/>
        <rFont val="Garamond"/>
        <family val="1"/>
      </rPr>
      <t>Delivered Price ($/kg)</t>
    </r>
    <r>
      <rPr>
        <sz val="11"/>
        <rFont val="Garamond"/>
        <family val="1"/>
      </rPr>
      <t>=</t>
    </r>
    <r>
      <rPr>
        <b/>
        <sz val="11"/>
        <rFont val="Garamond"/>
        <family val="1"/>
      </rPr>
      <t xml:space="preserve">Cost </t>
    </r>
    <r>
      <rPr>
        <sz val="11"/>
        <rFont val="Garamond"/>
        <family val="1"/>
      </rPr>
      <t xml:space="preserve">($/kg)+delivery expense. </t>
    </r>
    <r>
      <rPr>
        <b/>
        <sz val="11"/>
        <rFont val="Garamond"/>
        <family val="1"/>
      </rPr>
      <t xml:space="preserve">Price </t>
    </r>
    <r>
      <rPr>
        <sz val="11"/>
        <rFont val="Garamond"/>
        <family val="1"/>
      </rPr>
      <t>does not include fueling infr. and storage costs (Step 6a). Cost cannot exceed price.</t>
    </r>
  </si>
  <si>
    <t>Assumes 5 operating hours per fill, 1 infrastructure maintenance hour per 100 fills, and $90/hour maintenance expense. See Step 6 for number of forklifts per site and Step 7 for operations variables.</t>
  </si>
  <si>
    <r>
      <t xml:space="preserve">For </t>
    </r>
    <r>
      <rPr>
        <b/>
        <sz val="11"/>
        <color theme="1"/>
        <rFont val="Garamond"/>
        <family val="1"/>
      </rPr>
      <t>Net analysis only</t>
    </r>
    <r>
      <rPr>
        <sz val="11"/>
        <color theme="1"/>
        <rFont val="Garamond"/>
        <family val="1"/>
      </rPr>
      <t xml:space="preserve">, the reference case is assumed to be a site with existing battery-related infrastructure (incl. chargers). Please specify the battery-related installation costs if the scenario (i.e. greenfield site) being analyzed requires any. See Step 3 for number of installed units and Step 6 for number of units per site and regional site installations.  </t>
    </r>
  </si>
  <si>
    <r>
      <t xml:space="preserve">Default </t>
    </r>
    <r>
      <rPr>
        <b/>
        <sz val="11"/>
        <color theme="1"/>
        <rFont val="Garamond"/>
        <family val="1"/>
      </rPr>
      <t>Shipping expenses</t>
    </r>
    <r>
      <rPr>
        <sz val="11"/>
        <color theme="1"/>
        <rFont val="Garamond"/>
        <family val="1"/>
      </rPr>
      <t xml:space="preserve"> are assumed to be 3.5% of the default retail price. 50% of the economic impact associated with the shipping expense is assumed to occur in the region of manufacturing and 50% in the region of installation.</t>
    </r>
  </si>
  <si>
    <r>
      <rPr>
        <b/>
        <sz val="11"/>
        <color theme="1"/>
        <rFont val="Garamond"/>
        <family val="1"/>
      </rPr>
      <t xml:space="preserve">Grid electricity required per operating hour </t>
    </r>
    <r>
      <rPr>
        <sz val="11"/>
        <color theme="1"/>
        <rFont val="Garamond"/>
        <family val="1"/>
      </rPr>
      <t xml:space="preserve">is the average amount of electricity that must be purchased per hour of forklift operation (battery powered). Default assumes 24kWh of grid electricity = 1 kg of hydrogen. See Step 7b for operations variables. </t>
    </r>
  </si>
  <si>
    <t>Class I/II: Electricity expense ($/forklift/year)</t>
  </si>
  <si>
    <t>Class III: Electricity expense ($/forklift/year)</t>
  </si>
  <si>
    <r>
      <t xml:space="preserve">Battery maintenance expenses </t>
    </r>
    <r>
      <rPr>
        <sz val="11"/>
        <color theme="1"/>
        <rFont val="Garamond"/>
        <family val="1"/>
      </rPr>
      <t>include all batteries for one forklift. Default determined by annual operating hours per forklift (Step 7b) and assumes $1/hour expense for both classes.</t>
    </r>
  </si>
  <si>
    <t>Enter Exports in 3b as . . . Fuel cell units exported out of region or Percentage of fuel cell units manufactured in region which are exported out of region.</t>
  </si>
  <si>
    <r>
      <rPr>
        <b/>
        <sz val="12"/>
        <color theme="1"/>
        <rFont val="Garamond"/>
        <family val="1"/>
      </rPr>
      <t>Retail Price = Manufacturing Cost + 50%</t>
    </r>
    <r>
      <rPr>
        <sz val="12"/>
        <color theme="1"/>
        <rFont val="Garamond"/>
        <family val="1"/>
      </rPr>
      <t xml:space="preserve"> unless the user specifies both price and cost. </t>
    </r>
    <r>
      <rPr>
        <b/>
        <sz val="12"/>
        <color theme="1"/>
        <rFont val="Garamond"/>
        <family val="1"/>
      </rPr>
      <t>Manufacturing Cost</t>
    </r>
    <r>
      <rPr>
        <sz val="12"/>
        <color theme="1"/>
        <rFont val="Garamond"/>
        <family val="1"/>
      </rPr>
      <t xml:space="preserve"> cannont exceed </t>
    </r>
    <r>
      <rPr>
        <b/>
        <sz val="12"/>
        <color theme="1"/>
        <rFont val="Garamond"/>
        <family val="1"/>
      </rPr>
      <t>Retail Price</t>
    </r>
    <r>
      <rPr>
        <sz val="12"/>
        <color theme="1"/>
        <rFont val="Garamond"/>
        <family val="1"/>
      </rPr>
      <t xml:space="preserve">. Please see user guide for </t>
    </r>
    <r>
      <rPr>
        <b/>
        <sz val="12"/>
        <color theme="1"/>
        <rFont val="Garamond"/>
        <family val="1"/>
      </rPr>
      <t>Manufacturing Cost methodology</t>
    </r>
    <r>
      <rPr>
        <sz val="12"/>
        <color theme="1"/>
        <rFont val="Garamond"/>
        <family val="1"/>
      </rPr>
      <t>. Retail prices should NOT include any taxes, subsidies, tax credits, shipping, or installation expenses.</t>
    </r>
  </si>
  <si>
    <t>Enter Prices for Each Year</t>
  </si>
  <si>
    <r>
      <rPr>
        <b/>
        <sz val="11"/>
        <color theme="1"/>
        <rFont val="Garamond"/>
        <family val="1"/>
      </rPr>
      <t>Total Fuel Cell Installation</t>
    </r>
    <r>
      <rPr>
        <sz val="11"/>
        <color theme="1"/>
        <rFont val="Garamond"/>
        <family val="1"/>
      </rPr>
      <t xml:space="preserve"> expense is assumed to be 30% of the fuel cell retail price in 2015.</t>
    </r>
    <r>
      <rPr>
        <b/>
        <sz val="11"/>
        <color theme="1"/>
        <rFont val="Garamond"/>
        <family val="1"/>
      </rPr>
      <t xml:space="preserve"> Site design, engineering, permitting, etc.</t>
    </r>
    <r>
      <rPr>
        <sz val="11"/>
        <color theme="1"/>
        <rFont val="Garamond"/>
        <family val="1"/>
      </rPr>
      <t xml:space="preserve"> are assumed to be 20% of total installation cost. </t>
    </r>
    <r>
      <rPr>
        <b/>
        <sz val="11"/>
        <color theme="1"/>
        <rFont val="Garamond"/>
        <family val="1"/>
      </rPr>
      <t>Construction</t>
    </r>
    <r>
      <rPr>
        <sz val="11"/>
        <color theme="1"/>
        <rFont val="Garamond"/>
        <family val="1"/>
      </rPr>
      <t xml:space="preserve"> is assumed to be 50%.</t>
    </r>
    <r>
      <rPr>
        <b/>
        <sz val="11"/>
        <color theme="1"/>
        <rFont val="Garamond"/>
        <family val="1"/>
      </rPr>
      <t xml:space="preserve"> Heat recovery equipment</t>
    </r>
    <r>
      <rPr>
        <sz val="11"/>
        <color theme="1"/>
        <rFont val="Garamond"/>
        <family val="1"/>
      </rPr>
      <t xml:space="preserve"> (CHP) is assumed to be 30%. The default scenario assumes an external gas cleanup system is not needed. </t>
    </r>
  </si>
  <si>
    <r>
      <t xml:space="preserve">Default </t>
    </r>
    <r>
      <rPr>
        <b/>
        <sz val="11"/>
        <rFont val="Garamond"/>
        <family val="1"/>
      </rPr>
      <t xml:space="preserve">Shipping expense </t>
    </r>
    <r>
      <rPr>
        <sz val="11"/>
        <rFont val="Garamond"/>
        <family val="1"/>
      </rPr>
      <t>is assumed to be 2% of the default 2015 retail price. 50% of the shipping expense is assumed to occur in the region of manufacturing and 50% in the region of installation.</t>
    </r>
  </si>
  <si>
    <r>
      <t xml:space="preserve">Default </t>
    </r>
    <r>
      <rPr>
        <b/>
        <sz val="11"/>
        <rFont val="Garamond"/>
        <family val="1"/>
      </rPr>
      <t>Shipping expenses</t>
    </r>
    <r>
      <rPr>
        <sz val="11"/>
        <rFont val="Garamond"/>
        <family val="1"/>
      </rPr>
      <t xml:space="preserve"> are assume to be 5% of the default 2015 retail price. 50% of the shipping expense is assumed to occur in the region of manufacturing and 50% in the region of installation.</t>
    </r>
  </si>
  <si>
    <r>
      <t xml:space="preserve">Default </t>
    </r>
    <r>
      <rPr>
        <b/>
        <sz val="11"/>
        <rFont val="Garamond"/>
        <family val="1"/>
      </rPr>
      <t>Shipping expenses</t>
    </r>
    <r>
      <rPr>
        <sz val="11"/>
        <rFont val="Garamond"/>
        <family val="1"/>
      </rPr>
      <t xml:space="preserve"> are assumed to be 3.5% of the default 2015 retail price. 50% of the shipping expense is assumed to occur in the region of manufacturing and 50% in the region of installation.</t>
    </r>
  </si>
  <si>
    <t>Units entered in Step 8 are assumed to require the same annual maintenance and fuel expenses for each year of the tool's timeframe (2015-2020) as those expenses specified in Steps 7 and 8.</t>
  </si>
  <si>
    <t>Step 2a - Enter Fuel Cell Unit Size</t>
  </si>
  <si>
    <t>Specify capacity factor</t>
  </si>
  <si>
    <t>Use default operations variables</t>
  </si>
  <si>
    <t>Annual kWh generated per fuel cell (kWh/year)</t>
  </si>
  <si>
    <t>Capacity factor (kWh generated/potential kWh)</t>
  </si>
  <si>
    <t>Greene p. 80</t>
  </si>
  <si>
    <t>PAFC "35" from p. 18 montany</t>
  </si>
  <si>
    <t>PAFC: 80 MW/year/manufacturer</t>
  </si>
  <si>
    <t>PAFC: "200", 400kW units/year/manufacturer</t>
  </si>
  <si>
    <t>PAFC same 2011/2010 ratio as MCFC</t>
  </si>
  <si>
    <t>Total fuel cell installation expense ($/installed FC)</t>
  </si>
  <si>
    <t>Total FC maintenance expense ($/FC/year)</t>
  </si>
  <si>
    <t>Class I/II: Total annual operating hours (hours/unit/year)</t>
  </si>
  <si>
    <t>Class III: Total annual operating hours (hours/unit/year)</t>
  </si>
  <si>
    <r>
      <rPr>
        <b/>
        <sz val="12"/>
        <rFont val="Garamond"/>
        <family val="1"/>
      </rPr>
      <t>Class I/II</t>
    </r>
    <r>
      <rPr>
        <sz val="12"/>
        <rFont val="Garamond"/>
        <family val="1"/>
      </rPr>
      <t>: Forklift fuel cell unit size (average kW/unit)</t>
    </r>
  </si>
  <si>
    <r>
      <rPr>
        <b/>
        <sz val="12"/>
        <rFont val="Garamond"/>
        <family val="1"/>
      </rPr>
      <t>Class III:</t>
    </r>
    <r>
      <rPr>
        <sz val="12"/>
        <rFont val="Garamond"/>
        <family val="1"/>
      </rPr>
      <t xml:space="preserve"> Forklift fuel cell unit size (average kW/unit)</t>
    </r>
  </si>
  <si>
    <t>Class III: Annual H2 expense ($/FC unit/year)</t>
  </si>
  <si>
    <t>Class I/II: Annual H2 expense ($/FC unit/year)</t>
  </si>
  <si>
    <t>MH factor</t>
  </si>
  <si>
    <t>Exports are units manufactured in the USA but installed in a region outside of the USA. Imports are units manufactured outside the USA but installed in the USA. Installed units = Manufactured units - Exported units + Imported Units (see Results sheets).</t>
  </si>
  <si>
    <t>Units in Operation</t>
  </si>
  <si>
    <t>Installed units (annual)</t>
  </si>
  <si>
    <t>Cumulative Forklift H2 Fueling Sites in Operation</t>
  </si>
  <si>
    <t>Class I/II Units in Operation</t>
  </si>
  <si>
    <t>Class III Units in Operation</t>
  </si>
  <si>
    <t>Class I/II Annual Units Mfg.</t>
  </si>
  <si>
    <t>Class I/II Cum. Units Mfg.</t>
  </si>
  <si>
    <t>Class III Annual Units Mfg.</t>
  </si>
  <si>
    <t>Class III Cum. Units Mfg.</t>
  </si>
  <si>
    <t>BuP Cum. Units in Operation</t>
  </si>
  <si>
    <t xml:space="preserve"> (2010$)</t>
  </si>
  <si>
    <t>Annual H2 fuel expense ($/operating FC unit/year)</t>
  </si>
  <si>
    <r>
      <rPr>
        <b/>
        <sz val="11"/>
        <rFont val="Garamond"/>
        <family val="1"/>
      </rPr>
      <t>Operations</t>
    </r>
    <r>
      <rPr>
        <sz val="11"/>
        <rFont val="Garamond"/>
        <family val="1"/>
      </rPr>
      <t xml:space="preserve"> entries in Step 7b determine the annual hydrogen fuel expense but also impact default </t>
    </r>
    <r>
      <rPr>
        <b/>
        <sz val="11"/>
        <rFont val="Garamond"/>
        <family val="1"/>
      </rPr>
      <t>Infrastructure expenses</t>
    </r>
    <r>
      <rPr>
        <sz val="11"/>
        <rFont val="Garamond"/>
        <family val="1"/>
      </rPr>
      <t xml:space="preserve"> (Step 6a) and </t>
    </r>
    <r>
      <rPr>
        <b/>
        <sz val="11"/>
        <rFont val="Garamond"/>
        <family val="1"/>
      </rPr>
      <t>Maintenance expenses</t>
    </r>
    <r>
      <rPr>
        <sz val="11"/>
        <rFont val="Garamond"/>
        <family val="1"/>
      </rPr>
      <t xml:space="preserve"> (Step 8). </t>
    </r>
    <r>
      <rPr>
        <b/>
        <sz val="11"/>
        <rFont val="Garamond"/>
        <family val="1"/>
      </rPr>
      <t xml:space="preserve">H2 kg/operating hour </t>
    </r>
    <r>
      <rPr>
        <sz val="11"/>
        <rFont val="Garamond"/>
        <family val="1"/>
      </rPr>
      <t xml:space="preserve">is the average amount of hydrogen consumed per operating hour. Default </t>
    </r>
    <r>
      <rPr>
        <b/>
        <sz val="11"/>
        <rFont val="Garamond"/>
        <family val="1"/>
      </rPr>
      <t>kg per kW (fuel cell size) per hour</t>
    </r>
    <r>
      <rPr>
        <sz val="11"/>
        <rFont val="Garamond"/>
        <family val="1"/>
      </rPr>
      <t xml:space="preserve"> is 0.025 for Class I/II and ~0.012 for Class III.  </t>
    </r>
    <r>
      <rPr>
        <b/>
        <sz val="11"/>
        <rFont val="Garamond"/>
        <family val="1"/>
      </rPr>
      <t xml:space="preserve">Operating hours </t>
    </r>
    <r>
      <rPr>
        <sz val="11"/>
        <rFont val="Garamond"/>
        <family val="1"/>
      </rPr>
      <t xml:space="preserve">are defined as hours in which the fuel cell is consuming hydrogen. </t>
    </r>
  </si>
  <si>
    <t>Gross BuP Fuel Cell</t>
  </si>
  <si>
    <t>Gross BuP FC Installation</t>
  </si>
  <si>
    <t>Displaced BuP Installation</t>
  </si>
  <si>
    <t>Gross BuP FC Fuel</t>
  </si>
  <si>
    <t>Displaced BuP Fuel</t>
  </si>
  <si>
    <t>Gross BuP FC Maintenance</t>
  </si>
  <si>
    <t>Displaced BuP Maintenance</t>
  </si>
  <si>
    <t>Displaced Domestic Alternative Backup Power-related Employment (Job-years)</t>
  </si>
  <si>
    <t>Displaced Domestic Alternative Backup Power-related Earnings (Thousands of 2010$)</t>
  </si>
  <si>
    <t>Displaced Domestic Alternative Backup Power-related Output (Thousands of 2010$)</t>
  </si>
  <si>
    <t>Displaced BuP Technology</t>
  </si>
  <si>
    <t>Gross Forklift Fuel Cell</t>
  </si>
  <si>
    <t>Displaced Forklift Battery</t>
  </si>
  <si>
    <t>Gross On-site H2 Infr.</t>
  </si>
  <si>
    <t>Gross Hydrogen Fuel</t>
  </si>
  <si>
    <t>Gross BuP FC-related</t>
  </si>
  <si>
    <t>Displaced BuP-related</t>
  </si>
  <si>
    <t>Gross Forklift Fuel Cell-related</t>
  </si>
  <si>
    <t>Displaced Forklift Battery-related</t>
  </si>
  <si>
    <t>Displaced On-site Battery Infrastructure</t>
  </si>
  <si>
    <t>Gross FC and Infr. Maint.</t>
  </si>
  <si>
    <t>Displaced Battery and Infr. Maint.</t>
  </si>
  <si>
    <t>Total H2 fueling infr. installation expense ($/site)</t>
  </si>
  <si>
    <t>Values below used to generate titles</t>
  </si>
  <si>
    <t>Tables below used to generate Gross/Net/Displaced comparison charts</t>
  </si>
  <si>
    <t>Forklift (Class I/II only)</t>
  </si>
  <si>
    <t>PAFC (400 kW units)</t>
  </si>
  <si>
    <t>MCFC "22" from p. 11 FCE earnings</t>
  </si>
  <si>
    <t>MCFC "182" from p. 4 2012 company update. Assume "56" (p. 15 company update; p. 11 earnings) associated w/2011</t>
  </si>
  <si>
    <t>PAFC p. 18 of Montany "270" 200 kW units, assume "35" 400 kW from 2010</t>
  </si>
  <si>
    <t>MCFC 56 rounded to 60 from p. 11 FCE earnings</t>
  </si>
  <si>
    <t>Step 1 - use exponent and 2010 "base" of given size to derive constant for equation</t>
  </si>
  <si>
    <t>Report</t>
  </si>
  <si>
    <t>Annual Energy Outlook 2012 Early Release</t>
  </si>
  <si>
    <t>Scenario</t>
  </si>
  <si>
    <t>ref2012</t>
  </si>
  <si>
    <t>Reference case</t>
  </si>
  <si>
    <t>Datekey</t>
  </si>
  <si>
    <t>d121011b</t>
  </si>
  <si>
    <t>Release Date</t>
  </si>
  <si>
    <t xml:space="preserve"> January 2012</t>
  </si>
  <si>
    <t>20. Macroeconomic Indicators</t>
  </si>
  <si>
    <t>(billion 2005 chain-weighted dollars, unless otherwise noted)</t>
  </si>
  <si>
    <t/>
  </si>
  <si>
    <t xml:space="preserve"> Indicators</t>
  </si>
  <si>
    <t xml:space="preserve">  Real Investment</t>
  </si>
  <si>
    <t>Hydrogen storage tank (average $/site)</t>
  </si>
  <si>
    <t>Please enter a value between 4 kW and 20 kW</t>
  </si>
  <si>
    <t>If only analyzing installations (i.e. no manufacturing considered), skip to Step 3c, enter number of installed forklift fuel cells in the Imported section (column G), then proceed to Step 6.</t>
  </si>
  <si>
    <t>NUMBER of forklift fuel cell units manufactured in region</t>
  </si>
  <si>
    <t>PERCENTAGE of annual forklift shipments</t>
  </si>
  <si>
    <t>NUMBER of backup power fuel cell units manufactured in region</t>
  </si>
  <si>
    <t>PERCENTAGE of annual backup power shipments</t>
  </si>
  <si>
    <t>NUMBER of fuel cell units exported out of region</t>
  </si>
  <si>
    <t>PERCENTAGE of fuel cell units manufactured in region exported out of region</t>
  </si>
  <si>
    <t>Enter annual kWh generated per fuel cell</t>
  </si>
  <si>
    <t>Step 8 - Fuel Cell Maintenance Expenses ($/Fuel Cell Unit)</t>
  </si>
  <si>
    <t>* * * FORKLIFT FUEL CELL (PEM) RESULTS - TABLES * * *</t>
  </si>
  <si>
    <t>* * * BACKUP POWER FUEL CELL (PEM) RESULTS - TABLES * * *</t>
  </si>
  <si>
    <t>* * * PRIME POWER FUEL CELL RESULTS - TABLES * * *</t>
  </si>
  <si>
    <t>Net, Gross, and Displaced Employment Impacts</t>
  </si>
  <si>
    <t>Net, Gross, and Displaced Earnings Impacts</t>
  </si>
  <si>
    <t>Net, Gross, and Displaced Output Impacts</t>
  </si>
  <si>
    <t>For each kW of nominal capacity, default natural gas consumption in cubic feet per minute is assumed to be ~0.13 for MCFCs and ~0.179 for PAFCs. The capacity factor from Step 2 is used to calculate default annual consumption.</t>
  </si>
  <si>
    <t>JOBS_FC_1.0</t>
  </si>
  <si>
    <t>For a "Gross" analysis, these tables are repetititve of the ones listed above.</t>
  </si>
  <si>
    <t>Please enter a value between 1 kW and 4 kW</t>
  </si>
  <si>
    <t>Please enter a value between 0.5 kW and 15 kW</t>
  </si>
  <si>
    <t>Please enter a value less than the the fuel cell unit size.</t>
  </si>
  <si>
    <t>Please enter a value between 100 kW and 3000 kW.</t>
  </si>
  <si>
    <t>Step 2b - Select Operations Input Option</t>
  </si>
  <si>
    <t>Retail Price and Manufacturing Cost (Backup Power Fuel Cell Unit)</t>
  </si>
  <si>
    <t>Net, Gross, and Displaced Economic Impact charts are only relevant for a "Net" analysis.</t>
  </si>
  <si>
    <t xml:space="preserve">(1) All dollar values are in 2010$. (2) Economic impacts are assumed to occur in the same year that expenditures occur.  For each year's expenditures, the economic impacts include direct, indirect, and induced effects for employment, earnings, and output. (3) Total economic impacts = Direct + Indirect + Induced; Supply chain impacts = Direct + Indirect. (4) Employment includes both full and part-time jobs. (5) Earnings and Output results are in thousands of 2010$. </t>
  </si>
  <si>
    <t xml:space="preserve"> (1) All dollar values are in 2010$. (2) All facility-related expenditures are assumed to be incurred in the same calendar year. (3) All economic impacts are assumed to occur in the same year that expenditures occur.  Economic impacts include direct, indirect, and induced effects for employment, earnings, and output. (4) Total economic impacts = Direct + Indirect + Induced; Supply Chain effects = Direct effects + Indirect effects. (5) Raw cost of land does not impact Employment, Earnings, or Output. (6) Employment changes include both full and part-time jobs. (7) Earnings and Output results are in thousands of 2010$.  </t>
  </si>
  <si>
    <t>Step 1 - Use Schoots exponent and Battelle manufacturing cost to derive a "constant"</t>
  </si>
  <si>
    <t>Full Scale Production Level (units/firm/year)</t>
  </si>
  <si>
    <t>Battelle</t>
  </si>
  <si>
    <t>Production Volume for Initial Cost (units/firm/year)</t>
  </si>
  <si>
    <t>Greene; See Markets tab</t>
  </si>
  <si>
    <t>Greene, ANL-RCF assumption; See Markets tab for Class 1, plus 5kW equivalents for Class 3</t>
  </si>
  <si>
    <t>NREL (MCFC); Greene (PAFC)</t>
  </si>
  <si>
    <t>1400 kW MCFC (NREL GAP)</t>
  </si>
  <si>
    <t>pdf page 17: stack + BoP = $3,500</t>
  </si>
  <si>
    <t>Determining base cost</t>
  </si>
  <si>
    <t>Backup base (2010) manufacturing cost</t>
  </si>
  <si>
    <t>Class I/II base (2010) manufacturing cost</t>
  </si>
  <si>
    <t>Class III base (2010) manufacturing cost</t>
  </si>
  <si>
    <t>RCF/ITA/IUV/EIA</t>
  </si>
  <si>
    <t>Greene Fuel cell sales (baseline scenario) for reference and/or use in cost model</t>
  </si>
  <si>
    <t>http://www.generatorjoe.net/html/fueluse.html</t>
  </si>
  <si>
    <t>Sections below not intended for user interface</t>
  </si>
  <si>
    <t>FC size * req run-time</t>
  </si>
  <si>
    <t>Avg power load * annual run-time</t>
  </si>
  <si>
    <t>required kWh*kg/kWh (see row 68)</t>
  </si>
  <si>
    <t>annual kWh * kg/kWh</t>
  </si>
  <si>
    <t>Implied kg/day/site</t>
  </si>
  <si>
    <t>Implied kg/mo/site</t>
  </si>
  <si>
    <t>MCFC: .13 scfm/kW ~= 181scfm/1400kW: FCE 1500 Product Design-lo-rez FINAL</t>
  </si>
  <si>
    <t>PAFC: scfm/kW ~= (3.99(MMBtu/hr)*(1000000(MMBtu/Btu))/(60(m/h))/930(Btu/scf)/400(kW) = 0.179 scf per kW per minute</t>
  </si>
  <si>
    <t>MCFC: 47% FCE 1500 Product Design-lo-rez FINAL; 90% 2012_FCE_Company Update</t>
  </si>
  <si>
    <t>PAFC: 38% 10 yr average DS0112_PureCell_400; 90% 2011_Montany_Commercialization of Fuel Cells</t>
  </si>
  <si>
    <t>Efficiency and consumption assumptions</t>
  </si>
  <si>
    <t>This is still "functional"</t>
  </si>
  <si>
    <t>5 kW unit equivalents for scale and learning</t>
  </si>
  <si>
    <t>For Scale</t>
  </si>
  <si>
    <t>For learning</t>
  </si>
  <si>
    <t>For scale</t>
  </si>
  <si>
    <t>User-specified MW</t>
  </si>
  <si>
    <t>Assumed national MW</t>
  </si>
  <si>
    <t>Source: Industry communication, 2011-07-07</t>
  </si>
  <si>
    <t>EIA projection 2012</t>
  </si>
  <si>
    <t>Choose Option</t>
  </si>
  <si>
    <t>Step 5 - Building Construction Expenses</t>
  </si>
  <si>
    <t>Enter Building Construction Expenses</t>
  </si>
  <si>
    <t>Total building construction cost ($)</t>
  </si>
  <si>
    <t>Building construction cost ($/sq. ft)</t>
  </si>
  <si>
    <t>Building area (sq. ft)</t>
  </si>
  <si>
    <t>Capital capacity requirements are based off of a 5 kW PEM backup power fuel manufacturing facility as outlined in Battelle (2011). Values should be entered in 5 kW BuP unit equivalents.</t>
  </si>
  <si>
    <t>Assumed fixed at all production levels. Only enter expenses associated with NEW construction.</t>
  </si>
  <si>
    <t>Assumed fixed at all production levels. Only enter expenses associated with NEW equipment.</t>
  </si>
  <si>
    <t>Only enter expenses associated with NEW equipment.</t>
  </si>
  <si>
    <t>If only analyzing installations, please skip to Step 3b and enter number of installed fuel cell units in the Imported section (column G). Then proceed to Step 6.</t>
  </si>
  <si>
    <t>Selection will impact entries in Step 3b</t>
  </si>
  <si>
    <r>
      <t xml:space="preserve">Retail prices should </t>
    </r>
    <r>
      <rPr>
        <b/>
        <sz val="12"/>
        <color theme="1"/>
        <rFont val="Garamond"/>
        <family val="1"/>
      </rPr>
      <t>NOT</t>
    </r>
    <r>
      <rPr>
        <sz val="12"/>
        <color theme="1"/>
        <rFont val="Garamond"/>
        <family val="1"/>
      </rPr>
      <t xml:space="preserve"> include any taxes, subsidies, tax credits, shipping, or installation expenses.</t>
    </r>
  </si>
  <si>
    <t>Needed annual production (number of 5 kW BuP unit equivalents)</t>
  </si>
  <si>
    <t>Current annual production (number of 5 kW BuP unit equivalents)</t>
  </si>
  <si>
    <t>Step 8 -Variable Production Line Equipment Expenses</t>
  </si>
  <si>
    <t>Estimated Annual United States Shipments</t>
  </si>
  <si>
    <t>Market Forecasts for JOBS FC 1.0 (values cannot be changed by user)</t>
  </si>
  <si>
    <t>Please see Market Forecasts sheet for estimated US Forklift shipments by class and year.</t>
  </si>
  <si>
    <t>Please see Market Forecasts sheet for estimated US Backup power shipments for telecommunications applications.</t>
  </si>
  <si>
    <t xml:space="preserve">(1) PEM fuel cells may used in other applications which are not captured here. (2) The estimated market sizes are not intended to be a definitive forecast but rather an approximation of the magnitude of the market. (3) The market sizes here are to be used in assisting with scenario development and analysis within JOBS FC only. (4) Forklift and Backup power market sizes include units which may or may not be ideal for fuel cell usage. Approximately 15-30%  of the Class I/II forklift market and 10-30% of the Class III forklift market may be used in multi-shift operations.  </t>
  </si>
  <si>
    <t>Please see Market Forecasts sheet for estimated potential Backup power shipments by class and year (National).</t>
  </si>
  <si>
    <t>This is not a forecast of fuel cell sales.</t>
  </si>
  <si>
    <t>Copyright © 2012 , UChicago Argonne, LLC</t>
  </si>
  <si>
    <t>All Rights Reserved</t>
  </si>
  <si>
    <t>JOBS FC, Version 1.0</t>
  </si>
  <si>
    <t>OPEN SOURCE LICENSE</t>
  </si>
  <si>
    <t>Redistribution and use in source and binary forms, with or without modification, are permitted provided that the following conditions are met:</t>
  </si>
  <si>
    <t>1. Redistributions of source code must retain the above copyright notice, this list of conditions and the following disclaimer.  Software changes, modifications, or derivative works, should be noted with comments and the author and organization’s name.</t>
  </si>
  <si>
    <t>2. Redistributions in binary form must reproduce the above copyright notice, this list of conditions and the following disclaimer in the documentation and/or other materials provided with the distribution.</t>
  </si>
  <si>
    <t>3. Neither the names of UChicago Argonne, LLC or the Department of Energy nor the names of its contributors may be used to endorse or promote products derived from this software without specific prior written permission.</t>
  </si>
  <si>
    <t>4. The software and the end-user documentation included with the redistribution, if any, must include the following acknowledgment:</t>
  </si>
  <si>
    <t>   "This product includes software produced by UChicago Argonne, LLC under Contract No. DE-AC02-06CH11357 with the Department of Energy.”</t>
  </si>
  <si>
    <t>DISCLAIMER</t>
  </si>
  <si>
    <t>THE SOFTWARE IS SUPPLIED "AS IS" WITHOUT WARRANTY OF ANY KIND.</t>
  </si>
  <si>
    <t>NEITHER THE UNITED STATES GOVERNMENT, NOR THE UNITED STATES DEPARTMENT OF ENERGY, NOR UCHICAGO ARGONNE, LLC, NOR RCF ECONOMIC AND FINANCIAL CONSULTING, INC., NOR ANY OF THEIR EMPLOYEES, MAKES ANY WARRANTY, EXPRESS OR IMPLIED, OR ASSUMES ANY LEGAL LIABILITY OR RESPONSIBILITY FOR THE ACCURACY, COMPLETENESS, OR USEFULNESS OF ANY INFORMATION, DATA, APPARATUS, PRODUCT, OR PROCESS DISCLOSED, OR REPRESENTS THAT ITS USE WOULD NOT INFRINGE PRIVATELY OWNED RIGHTS.</t>
  </si>
  <si>
    <t>+++++++++++++++++++++++++++++++++++++++++++++++++++++++++++++++++++++++++++++++++++++++++</t>
  </si>
  <si>
    <t>*************************************************************************************************************************************</t>
  </si>
  <si>
    <t>Utilized electricity generated by fuel cell (kWh/FC/year)</t>
  </si>
  <si>
    <t>Step 10c - Forklift Battery Shipping Expenses</t>
  </si>
  <si>
    <r>
      <t xml:space="preserve">For </t>
    </r>
    <r>
      <rPr>
        <b/>
        <sz val="11"/>
        <color theme="1"/>
        <rFont val="Garamond"/>
        <family val="1"/>
      </rPr>
      <t>Net analysis only</t>
    </r>
    <r>
      <rPr>
        <sz val="11"/>
        <color theme="1"/>
        <rFont val="Garamond"/>
        <family val="1"/>
      </rPr>
      <t xml:space="preserve">, the reference case is assumed to be a site with an existing forklift operation where the operator is choosing between replacing a battery system (one or more batteries) with a new battery system or with a hydrogen fuel cell unit.  The number of units to be installed and/or exported specified in Step 3 and the values from Step 10 determine the estimated economic impacts associated with displacing US-based battery-related manufacturing and sales due to fuel cell adoption. Retail price includes all expenditures by an end-user (except shipping) to purchase one battery. The default assumption is one battery is needed per shift. See Step 7b for shift-related assumptions. </t>
    </r>
    <r>
      <rPr>
        <b/>
        <sz val="12"/>
        <color theme="1"/>
        <rFont val="Garamond"/>
        <family val="1"/>
      </rPr>
      <t/>
    </r>
  </si>
  <si>
    <t>Job-years</t>
  </si>
  <si>
    <t>The displaced electricity and heating expenses are only relevant for a "Net" analysis. Please review the assumptions in Step 10 of the 'Prime INPUTS' sheet if conducting a "Net" analysis.</t>
  </si>
  <si>
    <t>JOBS FC (JOBS and economic impacts of Fuel Cells)</t>
  </si>
  <si>
    <t>Argonne National Laboratory and RCF Economic &amp; Financial Consulting, Inc.</t>
  </si>
  <si>
    <t xml:space="preserve">Results obtained from JOBS FC should be considered estimates only, and are not intended to replace a full economic impact study.  The purpose of JOBS FC is to educate and inform users of potential economic benefits resulting from increased fuel cell manufacturing and use. No financial decisions should ever be made solely on the basis of information obtained or developed through the use of JOBS FC 1.0. </t>
  </si>
  <si>
    <t>JOBS FC is a spreadsheet tool to help users estimate the economic impacts of the manufacturing and use of selected types of hydrogen fuel cells in the United States.  It has been developed by Argonne National Lab with funding from the United States Department of Energy's Office of Energy Efficiency and Renewable Energy, Fuel Cell Technologies Program, with assistance from RCF Economic &amp; Financial Consulting, Inc.  JOBS FC uses input-output analysis to estimate the economic impacts associated with changes in industry expenditures and calculates the ripple effects of those changes throughout the economy.  The tool has been designed to be as flexible as possible, and to allow users with diverse interests to perform economic impact estimates. JOBS FC has been developed using information on the application of hydrogen fuel cells to the following markets:  forklifts, telecommunications back-up power, and prime power replacement.  Default values, where provided, are based on information derived from published sources, from industry sources and from other researchers for the above-noted fuel cell applications.  Note that JOBS FC may be used for estimating the impacts of similar fuel cell applications (using the same type of fuel cell) by specifying customized inputs in place of default values, provided that the user has a thorough understanding of the implications of using the tool for the intended customized fuel cell application. JOBS FC provides results at state, regional, and national levels in the 2015-2020 time period. This is the time period defined as applicable to the selected emerging fuel cell markets.  Results include impacts of fuel cell production, installation and maintenance of the fuel cell and associated fueling infrastructure, fuel (primarily hydrogen) use, and the construction and operation of new fuel cell manufacturing capacity.  JOBS FC contains many default input values to assist users, but users can override defaults and provide their own data for any input value.  JOBS FC is not an econometric model of fuel cell supply and demand, and does not forecast market development.  Rather, JOBS FC provides users with the ability to calculate economic impacts based on user-specified scenarios.   For more information contact Marianne Mintz at the contact information listed below.</t>
  </si>
  <si>
    <r>
      <t xml:space="preserve">Prime </t>
    </r>
    <r>
      <rPr>
        <sz val="12"/>
        <color theme="1"/>
        <rFont val="Garamond"/>
        <family val="1"/>
      </rPr>
      <t xml:space="preserve">(Molten Carbonate (MCFC) or Phosphoric Acid (PAFC) Fuel Cells for Prime power or Combined heat and power applications) </t>
    </r>
  </si>
  <si>
    <r>
      <rPr>
        <b/>
        <sz val="12"/>
        <color theme="1"/>
        <rFont val="Garamond"/>
        <family val="1"/>
      </rPr>
      <t>Forklift</t>
    </r>
    <r>
      <rPr>
        <sz val="12"/>
        <color theme="1"/>
        <rFont val="Garamond"/>
        <family val="1"/>
      </rPr>
      <t xml:space="preserve"> (Polymer electrolyte membrane (PEM) Fuel Cells for Forklift and Materials handling operations)</t>
    </r>
  </si>
  <si>
    <t>Multipliers are based on the 2002 Benchmark Input-Output Table for the Nation and 2008 regional data</t>
  </si>
  <si>
    <t>RIMS (2008)</t>
  </si>
  <si>
    <t>2008 dollars</t>
  </si>
  <si>
    <t>2008 Dollars</t>
  </si>
  <si>
    <t>Cost in 2008 dollars</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</si>
</sst>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_);_(&quot;$&quot;* \(#,##0.0\);_(&quot;$&quot;* &quot;-&quot;??_);_(@_)"/>
    <numFmt numFmtId="165" formatCode="0.0%"/>
    <numFmt numFmtId="166" formatCode="_(&quot;$&quot;* #,##0_);_(&quot;$&quot;* \(#,##0\);_(&quot;$&quot;* &quot;-&quot;??_);_(@_)"/>
    <numFmt numFmtId="167" formatCode="&quot;$&quot;#,##0"/>
    <numFmt numFmtId="168" formatCode="_(* #,##0_);_(* \(#,##0\);_(* &quot;-&quot;??_);_(@_)"/>
    <numFmt numFmtId="169" formatCode="&quot;$&quot;#,##0.00"/>
    <numFmt numFmtId="170" formatCode="_(* #,##0.0_);_(* \(#,##0.0\);_(* &quot;-&quot;??_);_(@_)"/>
    <numFmt numFmtId="171" formatCode="#,##0.000"/>
    <numFmt numFmtId="172" formatCode="_(* #,##0.000_);_(* \(#,##0.000\);_(* &quot;-&quot;??_);_(@_)"/>
    <numFmt numFmtId="173" formatCode="_(* #,##0.0000_);_(* \(#,##0.0000\);_(* &quot;-&quot;??_);_(@_)"/>
    <numFmt numFmtId="174" formatCode="#0.0"/>
    <numFmt numFmtId="175" formatCode="#0.000"/>
    <numFmt numFmtId="176" formatCode="_(&quot;$&quot;* #,##0_);_(&quot;$&quot;* \(#,##0\);_(&quot;$&quot;* &quot;-&quot;?_);_(@_)"/>
    <numFmt numFmtId="177" formatCode="_(* #,##0.0000000_);_(* \(#,##0.0000000\);_(* &quot;-&quot;??_);_(@_)"/>
    <numFmt numFmtId="178" formatCode="_(* #,##0.00000000_);_(* \(#,##0.00000000\);_(* &quot;-&quot;??_);_(@_)"/>
    <numFmt numFmtId="179" formatCode="_(* #,##0.000000000_);_(* \(#,##0.000000000\);_(* &quot;-&quot;??_);_(@_)"/>
    <numFmt numFmtId="180" formatCode="0.0000"/>
    <numFmt numFmtId="181" formatCode="0.000"/>
    <numFmt numFmtId="182" formatCode="_(* #,##0.00000_);_(* \(#,##0.00000\);_(* &quot;-&quot;??_);_(@_)"/>
    <numFmt numFmtId="183" formatCode="0.0"/>
    <numFmt numFmtId="184" formatCode="#,##0.0"/>
    <numFmt numFmtId="185" formatCode="0.000%"/>
    <numFmt numFmtId="186" formatCode="0.000000000000000%"/>
    <numFmt numFmtId="187" formatCode="&quot;$&quot;#,##0.000"/>
    <numFmt numFmtId="188" formatCode="0.0000000000000%"/>
  </numFmts>
  <fonts count="133" x14ac:knownFonts="1">
    <font>
      <sz val="11"/>
      <color theme="1"/>
      <name val="Garamond"/>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8"/>
      <color indexed="81"/>
      <name val="Tahoma"/>
      <family val="2"/>
    </font>
    <font>
      <b/>
      <sz val="8"/>
      <color indexed="81"/>
      <name val="Tahoma"/>
      <family val="2"/>
    </font>
    <font>
      <sz val="11"/>
      <name val="Garamond"/>
      <family val="1"/>
    </font>
    <font>
      <sz val="11"/>
      <name val="Garamond"/>
      <family val="2"/>
    </font>
    <font>
      <b/>
      <sz val="11"/>
      <name val="Garamond"/>
      <family val="2"/>
    </font>
    <font>
      <b/>
      <i/>
      <sz val="11"/>
      <name val="Garamond"/>
      <family val="1"/>
    </font>
    <font>
      <sz val="10"/>
      <name val="Arial"/>
      <family val="2"/>
    </font>
    <font>
      <b/>
      <sz val="9"/>
      <color indexed="81"/>
      <name val="Tahoma"/>
      <family val="2"/>
    </font>
    <font>
      <sz val="9"/>
      <color indexed="81"/>
      <name val="Tahoma"/>
      <family val="2"/>
    </font>
    <font>
      <b/>
      <sz val="11"/>
      <name val="Garamond"/>
      <family val="1"/>
    </font>
    <font>
      <b/>
      <sz val="12"/>
      <name val="Garamond"/>
      <family val="1"/>
    </font>
    <font>
      <b/>
      <sz val="10"/>
      <name val="Arial"/>
      <family val="2"/>
    </font>
    <font>
      <b/>
      <sz val="10"/>
      <color indexed="12"/>
      <name val="Arial"/>
      <family val="2"/>
    </font>
    <font>
      <b/>
      <sz val="10"/>
      <color indexed="9"/>
      <name val="Arial"/>
      <family val="2"/>
    </font>
    <font>
      <b/>
      <sz val="12"/>
      <name val="Garamond"/>
      <family val="2"/>
    </font>
    <font>
      <sz val="11"/>
      <color theme="1"/>
      <name val="Garamond"/>
      <family val="2"/>
    </font>
    <font>
      <b/>
      <sz val="11"/>
      <color theme="0"/>
      <name val="Garamond"/>
      <family val="2"/>
    </font>
    <font>
      <sz val="11"/>
      <color rgb="FF006100"/>
      <name val="Garamond"/>
      <family val="2"/>
    </font>
    <font>
      <b/>
      <u/>
      <sz val="11"/>
      <color theme="0"/>
      <name val="Garamond"/>
      <family val="1"/>
    </font>
    <font>
      <sz val="11"/>
      <color theme="1"/>
      <name val="Garamond"/>
      <family val="1"/>
    </font>
    <font>
      <b/>
      <sz val="11"/>
      <color theme="1"/>
      <name val="Garamond"/>
      <family val="1"/>
    </font>
    <font>
      <b/>
      <sz val="11"/>
      <color theme="0"/>
      <name val="Garamond"/>
      <family val="1"/>
    </font>
    <font>
      <b/>
      <sz val="11"/>
      <color rgb="FFFF0000"/>
      <name val="Garamond"/>
      <family val="1"/>
    </font>
    <font>
      <sz val="11"/>
      <color rgb="FFFF0000"/>
      <name val="Garamond"/>
      <family val="1"/>
    </font>
    <font>
      <sz val="10"/>
      <color rgb="FFFF0000"/>
      <name val="Arial"/>
      <family val="2"/>
    </font>
    <font>
      <b/>
      <i/>
      <sz val="11"/>
      <color theme="1"/>
      <name val="Garamond"/>
      <family val="1"/>
    </font>
    <font>
      <sz val="11"/>
      <color theme="4" tint="0.79998168889431442"/>
      <name val="Garamond"/>
      <family val="2"/>
    </font>
    <font>
      <b/>
      <sz val="14"/>
      <color theme="0"/>
      <name val="Garamond"/>
      <family val="1"/>
    </font>
    <font>
      <b/>
      <sz val="12"/>
      <color theme="0"/>
      <name val="Garamond"/>
      <family val="1"/>
    </font>
    <font>
      <sz val="11"/>
      <color theme="6" tint="0.79998168889431442"/>
      <name val="Garamond"/>
      <family val="2"/>
    </font>
    <font>
      <b/>
      <sz val="22"/>
      <color theme="0"/>
      <name val="Garamond"/>
      <family val="1"/>
    </font>
    <font>
      <sz val="12"/>
      <color theme="2" tint="-9.9978637043366805E-2"/>
      <name val="Garamond"/>
      <family val="2"/>
    </font>
    <font>
      <b/>
      <sz val="12"/>
      <color theme="1"/>
      <name val="Garamond"/>
      <family val="1"/>
    </font>
    <font>
      <sz val="12"/>
      <color theme="1"/>
      <name val="Garamond"/>
      <family val="1"/>
    </font>
    <font>
      <b/>
      <i/>
      <sz val="12"/>
      <name val="Garamond"/>
      <family val="1"/>
    </font>
    <font>
      <sz val="12"/>
      <name val="Garamond"/>
      <family val="1"/>
    </font>
    <font>
      <b/>
      <sz val="13"/>
      <color theme="1"/>
      <name val="Garamond"/>
      <family val="1"/>
    </font>
    <font>
      <b/>
      <sz val="13"/>
      <name val="Garamond"/>
      <family val="1"/>
    </font>
    <font>
      <b/>
      <sz val="15"/>
      <color theme="0"/>
      <name val="Garamond"/>
      <family val="1"/>
    </font>
    <font>
      <b/>
      <i/>
      <sz val="12"/>
      <color theme="1" tint="4.9989318521683403E-2"/>
      <name val="Garamond"/>
      <family val="1"/>
    </font>
    <font>
      <sz val="13"/>
      <color theme="1"/>
      <name val="Garamond"/>
      <family val="1"/>
    </font>
    <font>
      <sz val="13"/>
      <name val="Garamond"/>
      <family val="1"/>
    </font>
    <font>
      <i/>
      <sz val="12"/>
      <color theme="1"/>
      <name val="Garamond"/>
      <family val="1"/>
    </font>
    <font>
      <sz val="12"/>
      <color theme="1"/>
      <name val="Garamond"/>
      <family val="2"/>
    </font>
    <font>
      <b/>
      <sz val="12"/>
      <color theme="1"/>
      <name val="Garamond"/>
      <family val="2"/>
    </font>
    <font>
      <sz val="12"/>
      <name val="Garamond"/>
      <family val="2"/>
    </font>
    <font>
      <b/>
      <sz val="12"/>
      <color indexed="8"/>
      <name val="Garamond"/>
      <family val="1"/>
    </font>
    <font>
      <sz val="12"/>
      <color indexed="8"/>
      <name val="Garamond"/>
      <family val="1"/>
    </font>
    <font>
      <b/>
      <i/>
      <sz val="12"/>
      <name val="Garamond"/>
      <family val="2"/>
    </font>
    <font>
      <b/>
      <sz val="12"/>
      <color indexed="8"/>
      <name val="Garamond"/>
      <family val="2"/>
    </font>
    <font>
      <b/>
      <i/>
      <sz val="12"/>
      <color theme="1"/>
      <name val="Garamond"/>
      <family val="1"/>
    </font>
    <font>
      <sz val="13"/>
      <color theme="1"/>
      <name val="Garamond"/>
      <family val="2"/>
    </font>
    <font>
      <i/>
      <sz val="12"/>
      <name val="Garamond"/>
      <family val="1"/>
    </font>
    <font>
      <b/>
      <sz val="12"/>
      <color theme="0"/>
      <name val="Garamond"/>
      <family val="2"/>
    </font>
    <font>
      <b/>
      <i/>
      <sz val="12"/>
      <color theme="1"/>
      <name val="Garamond"/>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6100"/>
      <name val="Calibri"/>
      <family val="2"/>
      <scheme val="minor"/>
    </font>
    <font>
      <b/>
      <sz val="12"/>
      <color indexed="8"/>
      <name val="Arial"/>
      <family val="2"/>
    </font>
    <font>
      <b/>
      <sz val="10"/>
      <color indexed="8"/>
      <name val="Arial"/>
      <family val="2"/>
    </font>
    <font>
      <i/>
      <sz val="11"/>
      <color theme="7" tint="0.39997558519241921"/>
      <name val="Garamond"/>
      <family val="1"/>
    </font>
    <font>
      <sz val="11"/>
      <color theme="7" tint="0.39997558519241921"/>
      <name val="Garamond"/>
      <family val="1"/>
    </font>
    <font>
      <b/>
      <i/>
      <sz val="11"/>
      <color theme="7" tint="0.39997558519241921"/>
      <name val="Garamond"/>
      <family val="1"/>
    </font>
    <font>
      <b/>
      <sz val="12"/>
      <color theme="6" tint="0.79998168889431442"/>
      <name val="Garamond"/>
      <family val="2"/>
    </font>
    <font>
      <b/>
      <sz val="13"/>
      <color theme="1"/>
      <name val="Garamond"/>
      <family val="2"/>
    </font>
    <font>
      <b/>
      <sz val="22"/>
      <color theme="0"/>
      <name val="Garamond"/>
      <family val="2"/>
    </font>
    <font>
      <b/>
      <sz val="14"/>
      <color rgb="FFFF0000"/>
      <name val="Garamond"/>
      <family val="1"/>
    </font>
    <font>
      <b/>
      <i/>
      <sz val="13"/>
      <color theme="1"/>
      <name val="Garamond"/>
      <family val="1"/>
    </font>
    <font>
      <b/>
      <sz val="13"/>
      <color theme="0"/>
      <name val="Garamond"/>
      <family val="1"/>
    </font>
    <font>
      <b/>
      <sz val="16"/>
      <color theme="0"/>
      <name val="Garamond"/>
      <family val="1"/>
    </font>
    <font>
      <b/>
      <sz val="14"/>
      <name val="Garamond"/>
      <family val="2"/>
    </font>
    <font>
      <sz val="11"/>
      <color rgb="FFFF0000"/>
      <name val="Garamond"/>
      <family val="2"/>
    </font>
    <font>
      <b/>
      <sz val="12"/>
      <color rgb="FFFF0000"/>
      <name val="Garamond"/>
      <family val="1"/>
    </font>
    <font>
      <sz val="12"/>
      <color rgb="FFFF0000"/>
      <name val="Garamond"/>
      <family val="1"/>
    </font>
    <font>
      <b/>
      <sz val="12"/>
      <color rgb="FFFF0000"/>
      <name val="Garamond"/>
      <family val="2"/>
    </font>
    <font>
      <sz val="12"/>
      <color rgb="FFFF0000"/>
      <name val="Garamond"/>
      <family val="2"/>
    </font>
    <font>
      <b/>
      <sz val="13"/>
      <color theme="0"/>
      <name val="Garamond"/>
      <family val="2"/>
    </font>
    <font>
      <sz val="11"/>
      <color theme="0"/>
      <name val="Garamond"/>
      <family val="2"/>
    </font>
    <font>
      <sz val="13"/>
      <color theme="0"/>
      <name val="Garamond"/>
      <family val="2"/>
    </font>
    <font>
      <b/>
      <i/>
      <sz val="13"/>
      <name val="Garamond"/>
      <family val="1"/>
    </font>
    <font>
      <u/>
      <sz val="11"/>
      <color theme="10"/>
      <name val="Garamond"/>
      <family val="2"/>
    </font>
    <font>
      <sz val="11"/>
      <color theme="0"/>
      <name val="Garamond"/>
      <family val="1"/>
    </font>
    <font>
      <b/>
      <u/>
      <sz val="12"/>
      <color rgb="FF0000FF"/>
      <name val="Garamond"/>
      <family val="1"/>
    </font>
    <font>
      <b/>
      <sz val="12"/>
      <color rgb="FF0000FF"/>
      <name val="Garamond"/>
      <family val="1"/>
    </font>
    <font>
      <b/>
      <u/>
      <sz val="14"/>
      <color rgb="FF0000FF"/>
      <name val="Garamond"/>
      <family val="1"/>
    </font>
    <font>
      <b/>
      <sz val="16"/>
      <color theme="1"/>
      <name val="Garamond"/>
      <family val="2"/>
    </font>
    <font>
      <sz val="12"/>
      <color theme="7" tint="-0.249977111117893"/>
      <name val="Garamond"/>
      <family val="2"/>
    </font>
    <font>
      <sz val="12"/>
      <color rgb="FF7030A0"/>
      <name val="Garamond"/>
      <family val="2"/>
    </font>
    <font>
      <b/>
      <sz val="12"/>
      <color rgb="FF7030A0"/>
      <name val="Garamond"/>
      <family val="1"/>
    </font>
    <font>
      <b/>
      <sz val="16"/>
      <color theme="1"/>
      <name val="Garamond"/>
      <family val="1"/>
    </font>
    <font>
      <u/>
      <sz val="12"/>
      <color theme="10"/>
      <name val="Garamond"/>
      <family val="1"/>
    </font>
    <font>
      <sz val="12"/>
      <color rgb="FFFFFF00"/>
      <name val="Garamond"/>
      <family val="1"/>
    </font>
    <font>
      <u/>
      <sz val="12"/>
      <color theme="10"/>
      <name val="Garamond"/>
      <family val="2"/>
    </font>
    <font>
      <b/>
      <sz val="12"/>
      <color theme="2" tint="-0.749992370372631"/>
      <name val="Garamond"/>
      <family val="1"/>
    </font>
    <font>
      <sz val="12"/>
      <color theme="2" tint="-0.749992370372631"/>
      <name val="Garamond"/>
      <family val="1"/>
    </font>
    <font>
      <b/>
      <sz val="13"/>
      <color theme="8" tint="-0.499984740745262"/>
      <name val="Garamond"/>
      <family val="1"/>
    </font>
    <font>
      <b/>
      <sz val="13"/>
      <color theme="2" tint="-0.749992370372631"/>
      <name val="Garamond"/>
      <family val="1"/>
    </font>
    <font>
      <sz val="12"/>
      <color theme="8" tint="-0.499984740745262"/>
      <name val="Garamond"/>
      <family val="1"/>
    </font>
    <font>
      <b/>
      <sz val="12"/>
      <color theme="8" tint="-0.499984740745262"/>
      <name val="Garamond"/>
      <family val="1"/>
    </font>
    <font>
      <sz val="16"/>
      <color theme="0"/>
      <name val="Garamond"/>
      <family val="2"/>
    </font>
    <font>
      <vertAlign val="superscript"/>
      <sz val="11"/>
      <color theme="1"/>
      <name val="Garamond"/>
      <family val="2"/>
    </font>
    <font>
      <b/>
      <sz val="12"/>
      <color theme="9" tint="-0.249977111117893"/>
      <name val="Garamond"/>
      <family val="1"/>
    </font>
    <font>
      <b/>
      <sz val="13"/>
      <color rgb="FFFF0000"/>
      <name val="Garamond"/>
      <family val="1"/>
    </font>
    <font>
      <b/>
      <sz val="16"/>
      <name val="Garamond"/>
      <family val="1"/>
    </font>
    <font>
      <b/>
      <sz val="12"/>
      <color rgb="FFFFFF00"/>
      <name val="Garamond"/>
      <family val="2"/>
    </font>
    <font>
      <b/>
      <sz val="12"/>
      <color rgb="FFFFFF00"/>
      <name val="Garamond"/>
      <family val="1"/>
    </font>
    <font>
      <b/>
      <sz val="12"/>
      <name val="Arial"/>
      <family val="2"/>
    </font>
    <font>
      <i/>
      <sz val="10"/>
      <name val="Arial"/>
      <family val="2"/>
    </font>
    <font>
      <sz val="12"/>
      <color theme="1"/>
      <name val="Times New Roman"/>
      <family val="1"/>
    </font>
    <font>
      <b/>
      <sz val="12"/>
      <color theme="1"/>
      <name val="Arial"/>
      <family val="2"/>
    </font>
    <font>
      <b/>
      <sz val="14"/>
      <color theme="1"/>
      <name val="Arial"/>
      <family val="2"/>
    </font>
    <font>
      <b/>
      <sz val="12"/>
      <color rgb="FFFF0000"/>
      <name val="Arial"/>
      <family val="2"/>
    </font>
    <font>
      <sz val="12"/>
      <color theme="1"/>
      <name val="Arial"/>
      <family val="2"/>
    </font>
    <font>
      <b/>
      <sz val="24"/>
      <color theme="0"/>
      <name val="Garamond"/>
      <family val="1"/>
    </font>
  </fonts>
  <fills count="85">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theme="6" tint="0.79998168889431442"/>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5" tint="0.39997558519241921"/>
        <bgColor indexed="65"/>
      </patternFill>
    </fill>
    <fill>
      <patternFill patternType="solid">
        <fgColor theme="6"/>
        <bgColor indexed="64"/>
      </patternFill>
    </fill>
    <fill>
      <patternFill patternType="solid">
        <fgColor theme="3"/>
        <bgColor indexed="64"/>
      </patternFill>
    </fill>
    <fill>
      <patternFill patternType="solid">
        <fgColor theme="5"/>
      </patternFill>
    </fill>
    <fill>
      <patternFill patternType="solid">
        <fgColor theme="6" tint="-0.499984740745262"/>
        <bgColor indexed="64"/>
      </patternFill>
    </fill>
    <fill>
      <patternFill patternType="solid">
        <fgColor theme="8" tint="0.39994506668294322"/>
        <bgColor indexed="64"/>
      </patternFill>
    </fill>
    <fill>
      <patternFill patternType="solid">
        <fgColor theme="5"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rgb="FFFFFF66"/>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6197D9"/>
        <bgColor indexed="64"/>
      </patternFill>
    </fill>
    <fill>
      <patternFill patternType="solid">
        <fgColor theme="7"/>
        <bgColor indexed="64"/>
      </patternFill>
    </fill>
    <fill>
      <patternFill patternType="solid">
        <fgColor theme="2" tint="-0.249977111117893"/>
        <bgColor indexed="64"/>
      </patternFill>
    </fill>
    <fill>
      <patternFill patternType="solid">
        <fgColor theme="6" tint="-0.249977111117893"/>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patternFill>
    </fill>
    <fill>
      <patternFill patternType="solid">
        <fgColor theme="4"/>
      </patternFill>
    </fill>
    <fill>
      <patternFill patternType="solid">
        <fgColor theme="6"/>
      </patternFill>
    </fill>
    <fill>
      <patternFill patternType="solid">
        <fgColor theme="6" tint="0.39997558519241921"/>
        <bgColor indexed="65"/>
      </patternFill>
    </fill>
    <fill>
      <patternFill patternType="solid">
        <fgColor theme="9"/>
        <bgColor indexed="64"/>
      </patternFill>
    </fill>
    <fill>
      <patternFill patternType="solid">
        <fgColor rgb="FF92D050"/>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99"/>
        <bgColor indexed="64"/>
      </patternFill>
    </fill>
    <fill>
      <patternFill patternType="solid">
        <fgColor theme="2"/>
        <bgColor indexed="64"/>
      </patternFill>
    </fill>
    <fill>
      <patternFill patternType="solid">
        <fgColor theme="4"/>
        <bgColor indexed="64"/>
      </patternFill>
    </fill>
    <fill>
      <patternFill patternType="solid">
        <fgColor theme="8" tint="0.59999389629810485"/>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bgColor indexed="64"/>
      </patternFill>
    </fill>
  </fills>
  <borders count="146">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top/>
      <bottom style="thin">
        <color theme="0" tint="-0.249977111117893"/>
      </bottom>
      <diagonal/>
    </border>
    <border>
      <left style="thin">
        <color theme="0" tint="-0.249977111117893"/>
      </left>
      <right style="thin">
        <color theme="0" tint="-0.249977111117893"/>
      </right>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theme="0" tint="-0.249977111117893"/>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8"/>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77111117893"/>
      </top>
      <bottom/>
      <diagonal/>
    </border>
    <border>
      <left/>
      <right style="thin">
        <color theme="0" tint="-0.24994659260841701"/>
      </right>
      <top style="thin">
        <color theme="0" tint="-0.249977111117893"/>
      </top>
      <bottom/>
      <diagonal/>
    </border>
    <border>
      <left/>
      <right style="thin">
        <color theme="0" tint="-0.249977111117893"/>
      </right>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77111117893"/>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style="thin">
        <color theme="0" tint="-0.24994659260841701"/>
      </left>
      <right style="thin">
        <color theme="0" tint="-0.24994659260841701"/>
      </right>
      <top style="thin">
        <color theme="0" tint="-0.249977111117893"/>
      </top>
      <bottom/>
      <diagonal/>
    </border>
    <border>
      <left style="thin">
        <color theme="0" tint="-0.24994659260841701"/>
      </left>
      <right/>
      <top style="thin">
        <color theme="0" tint="-0.249977111117893"/>
      </top>
      <bottom style="thin">
        <color theme="0" tint="-0.249977111117893"/>
      </bottom>
      <diagonal/>
    </border>
    <border>
      <left style="thin">
        <color theme="0" tint="-0.24994659260841701"/>
      </left>
      <right/>
      <top/>
      <bottom style="thin">
        <color theme="0" tint="-0.249977111117893"/>
      </bottom>
      <diagonal/>
    </border>
    <border>
      <left/>
      <right style="thin">
        <color theme="0" tint="-0.24994659260841701"/>
      </right>
      <top/>
      <bottom style="thin">
        <color theme="0" tint="-0.249977111117893"/>
      </bottom>
      <diagonal/>
    </border>
    <border>
      <left style="thin">
        <color theme="0" tint="-0.249977111117893"/>
      </left>
      <right/>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4659260841701"/>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4659260841701"/>
      </bottom>
      <diagonal/>
    </border>
    <border>
      <left/>
      <right style="thin">
        <color theme="0" tint="-0.24994659260841701"/>
      </right>
      <top style="thin">
        <color theme="0" tint="-0.249977111117893"/>
      </top>
      <bottom style="thin">
        <color theme="0" tint="-0.249977111117893"/>
      </bottom>
      <diagonal/>
    </border>
    <border>
      <left/>
      <right style="thin">
        <color theme="0" tint="-0.249977111117893"/>
      </right>
      <top style="thin">
        <color theme="0" tint="-0.24994659260841701"/>
      </top>
      <bottom/>
      <diagonal/>
    </border>
    <border>
      <left/>
      <right style="thin">
        <color theme="0" tint="-0.249977111117893"/>
      </right>
      <top style="thin">
        <color theme="0" tint="-0.24994659260841701"/>
      </top>
      <bottom style="thin">
        <color theme="0" tint="-0.24994659260841701"/>
      </bottom>
      <diagonal/>
    </border>
    <border>
      <left style="thin">
        <color theme="0" tint="-0.249977111117893"/>
      </left>
      <right/>
      <top style="thin">
        <color theme="0" tint="-0.24994659260841701"/>
      </top>
      <bottom style="thin">
        <color theme="0" tint="-0.24994659260841701"/>
      </bottom>
      <diagonal/>
    </border>
    <border>
      <left style="thin">
        <color theme="0" tint="-0.24994659260841701"/>
      </left>
      <right/>
      <top/>
      <bottom style="thin">
        <color indexed="64"/>
      </bottom>
      <diagonal/>
    </border>
    <border>
      <left/>
      <right style="thin">
        <color theme="0" tint="-0.24994659260841701"/>
      </right>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tint="-0.249977111117893"/>
      </left>
      <right style="thin">
        <color indexed="64"/>
      </right>
      <top style="thin">
        <color theme="0" tint="-0.249977111117893"/>
      </top>
      <bottom style="thin">
        <color indexed="64"/>
      </bottom>
      <diagonal/>
    </border>
    <border>
      <left style="thin">
        <color indexed="64"/>
      </left>
      <right/>
      <top style="thin">
        <color theme="0" tint="-0.24994659260841701"/>
      </top>
      <bottom/>
      <diagonal/>
    </border>
    <border>
      <left/>
      <right style="thin">
        <color indexed="64"/>
      </right>
      <top style="thin">
        <color theme="0" tint="-0.24994659260841701"/>
      </top>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indexed="64"/>
      </left>
      <right/>
      <top style="thin">
        <color theme="0" tint="-0.249977111117893"/>
      </top>
      <bottom style="thin">
        <color theme="0" tint="-0.249977111117893"/>
      </bottom>
      <diagonal/>
    </border>
    <border>
      <left/>
      <right style="thin">
        <color indexed="64"/>
      </right>
      <top style="thin">
        <color theme="0" tint="-0.249977111117893"/>
      </top>
      <bottom style="thin">
        <color theme="0" tint="-0.249977111117893"/>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top style="thin">
        <color theme="0" tint="-0.249977111117893"/>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theme="0" tint="-0.249977111117893"/>
      </left>
      <right style="thin">
        <color indexed="64"/>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right style="thin">
        <color indexed="64"/>
      </right>
      <top style="thin">
        <color theme="0" tint="-0.249977111117893"/>
      </top>
      <bottom/>
      <diagonal/>
    </border>
    <border>
      <left/>
      <right style="thin">
        <color indexed="64"/>
      </right>
      <top/>
      <bottom style="thin">
        <color theme="0" tint="-0.249977111117893"/>
      </bottom>
      <diagonal/>
    </border>
    <border>
      <left style="thin">
        <color indexed="64"/>
      </left>
      <right/>
      <top style="thin">
        <color theme="0" tint="-0.249977111117893"/>
      </top>
      <bottom/>
      <diagonal/>
    </border>
    <border>
      <left style="thin">
        <color indexed="64"/>
      </left>
      <right/>
      <top/>
      <bottom style="thin">
        <color theme="0" tint="-0.249977111117893"/>
      </bottom>
      <diagonal/>
    </border>
    <border>
      <left style="thin">
        <color indexed="64"/>
      </left>
      <right/>
      <top style="thin">
        <color theme="0" tint="-0.24994659260841701"/>
      </top>
      <bottom style="thin">
        <color theme="0" tint="-0.249977111117893"/>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right style="thin">
        <color indexed="64"/>
      </right>
      <top style="thin">
        <color theme="0" tint="-0.249977111117893"/>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indexed="64"/>
      </left>
      <right/>
      <top style="thin">
        <color theme="0" tint="-0.249977111117893"/>
      </top>
      <bottom style="thin">
        <color indexed="64"/>
      </bottom>
      <diagonal/>
    </border>
    <border>
      <left/>
      <right/>
      <top style="thin">
        <color theme="0" tint="-0.249977111117893"/>
      </top>
      <bottom style="thin">
        <color indexed="64"/>
      </bottom>
      <diagonal/>
    </border>
    <border>
      <left/>
      <right style="thin">
        <color theme="0" tint="-0.24994659260841701"/>
      </right>
      <top style="thin">
        <color theme="0" tint="-0.249977111117893"/>
      </top>
      <bottom style="thin">
        <color indexed="64"/>
      </bottom>
      <diagonal/>
    </border>
    <border>
      <left style="thin">
        <color indexed="64"/>
      </left>
      <right/>
      <top style="thin">
        <color theme="0" tint="-0.24994659260841701"/>
      </top>
      <bottom style="thin">
        <color theme="0" tint="-0.34998626667073579"/>
      </bottom>
      <diagonal/>
    </border>
    <border>
      <left/>
      <right/>
      <top style="thin">
        <color theme="0" tint="-0.24994659260841701"/>
      </top>
      <bottom style="thin">
        <color theme="0" tint="-0.34998626667073579"/>
      </bottom>
      <diagonal/>
    </border>
    <border>
      <left/>
      <right style="thin">
        <color indexed="64"/>
      </right>
      <top style="thin">
        <color theme="0" tint="-0.24994659260841701"/>
      </top>
      <bottom style="thin">
        <color theme="0" tint="-0.34998626667073579"/>
      </bottom>
      <diagonal/>
    </border>
    <border>
      <left style="thin">
        <color theme="0" tint="-0.24994659260841701"/>
      </left>
      <right style="thin">
        <color indexed="64"/>
      </right>
      <top/>
      <bottom style="thin">
        <color theme="0" tint="-0.24994659260841701"/>
      </bottom>
      <diagonal/>
    </border>
    <border>
      <left style="thin">
        <color theme="0" tint="-0.249977111117893"/>
      </left>
      <right/>
      <top/>
      <bottom style="thin">
        <color indexed="64"/>
      </bottom>
      <diagonal/>
    </border>
    <border>
      <left/>
      <right style="thin">
        <color theme="0" tint="-0.249977111117893"/>
      </right>
      <top/>
      <bottom style="thin">
        <color indexed="64"/>
      </bottom>
      <diagonal/>
    </border>
    <border>
      <left style="thin">
        <color indexed="64"/>
      </left>
      <right/>
      <top style="thin">
        <color theme="0" tint="-0.24994659260841701"/>
      </top>
      <bottom style="thin">
        <color indexed="64"/>
      </bottom>
      <diagonal/>
    </border>
    <border>
      <left style="thin">
        <color theme="0" tint="-0.24994659260841701"/>
      </left>
      <right style="thin">
        <color indexed="64"/>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77111117893"/>
      </top>
      <bottom/>
      <diagonal/>
    </border>
    <border>
      <left style="thin">
        <color indexed="64"/>
      </left>
      <right style="thin">
        <color theme="0" tint="-0.24994659260841701"/>
      </right>
      <top/>
      <bottom/>
      <diagonal/>
    </border>
    <border>
      <left style="thin">
        <color indexed="64"/>
      </left>
      <right style="thin">
        <color theme="0" tint="-0.24994659260841701"/>
      </right>
      <top/>
      <bottom style="thin">
        <color theme="0" tint="-0.24994659260841701"/>
      </bottom>
      <diagonal/>
    </border>
    <border>
      <left/>
      <right/>
      <top style="thin">
        <color theme="0" tint="-0.24994659260841701"/>
      </top>
      <bottom style="thin">
        <color indexed="64"/>
      </bottom>
      <diagonal/>
    </border>
    <border>
      <left/>
      <right style="thin">
        <color theme="0" tint="-0.249977111117893"/>
      </right>
      <top style="thin">
        <color theme="0" tint="-0.24994659260841701"/>
      </top>
      <bottom style="thin">
        <color indexed="64"/>
      </bottom>
      <diagonal/>
    </border>
    <border>
      <left style="thin">
        <color theme="0" tint="-0.249977111117893"/>
      </left>
      <right/>
      <top style="thin">
        <color theme="0" tint="-0.24994659260841701"/>
      </top>
      <bottom style="thin">
        <color theme="0" tint="-0.249977111117893"/>
      </bottom>
      <diagonal/>
    </border>
    <border>
      <left/>
      <right style="thin">
        <color theme="0" tint="-0.249977111117893"/>
      </right>
      <top style="thin">
        <color theme="0" tint="-0.24994659260841701"/>
      </top>
      <bottom style="thin">
        <color theme="0" tint="-0.249977111117893"/>
      </bottom>
      <diagonal/>
    </border>
    <border>
      <left style="thin">
        <color indexed="64"/>
      </left>
      <right/>
      <top style="thin">
        <color theme="0" tint="-0.249977111117893"/>
      </top>
      <bottom style="thin">
        <color theme="0" tint="-0.34998626667073579"/>
      </bottom>
      <diagonal/>
    </border>
    <border>
      <left/>
      <right/>
      <top style="thin">
        <color theme="0" tint="-0.249977111117893"/>
      </top>
      <bottom style="thin">
        <color theme="0" tint="-0.34998626667073579"/>
      </bottom>
      <diagonal/>
    </border>
    <border>
      <left/>
      <right style="thin">
        <color theme="0" tint="-0.24994659260841701"/>
      </right>
      <top style="thin">
        <color theme="0" tint="-0.249977111117893"/>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34998626667073579"/>
      </bottom>
      <diagonal/>
    </border>
    <border>
      <left/>
      <right/>
      <top/>
      <bottom style="thin">
        <color theme="0" tint="-0.34998626667073579"/>
      </bottom>
      <diagonal/>
    </border>
    <border>
      <left/>
      <right style="thin">
        <color theme="0" tint="-0.24994659260841701"/>
      </right>
      <top/>
      <bottom style="thin">
        <color theme="0" tint="-0.34998626667073579"/>
      </bottom>
      <diagonal/>
    </border>
    <border>
      <left style="thin">
        <color theme="0" tint="-0.24994659260841701"/>
      </left>
      <right style="thin">
        <color indexed="64"/>
      </right>
      <top style="thin">
        <color theme="0" tint="-0.24994659260841701"/>
      </top>
      <bottom style="thin">
        <color theme="0" tint="-0.34998626667073579"/>
      </bottom>
      <diagonal/>
    </border>
    <border>
      <left/>
      <right style="thin">
        <color indexed="64"/>
      </right>
      <top style="thin">
        <color theme="0" tint="-0.24994659260841701"/>
      </top>
      <bottom style="thin">
        <color indexed="64"/>
      </bottom>
      <diagonal/>
    </border>
  </borders>
  <cellStyleXfs count="72">
    <xf numFmtId="0" fontId="0" fillId="0" borderId="0"/>
    <xf numFmtId="0" fontId="21" fillId="4"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3" fillId="12" borderId="0" applyNumberFormat="0" applyBorder="0" applyAlignment="0" applyProtection="0"/>
    <xf numFmtId="0" fontId="12" fillId="0" borderId="0"/>
    <xf numFmtId="9" fontId="21" fillId="0" borderId="0" applyFont="0" applyFill="0" applyBorder="0" applyAlignment="0" applyProtection="0"/>
    <xf numFmtId="0" fontId="24" fillId="13" borderId="1" applyBorder="0">
      <alignment horizontal="center"/>
    </xf>
    <xf numFmtId="0" fontId="61" fillId="0" borderId="0" applyNumberFormat="0" applyFill="0" applyBorder="0" applyAlignment="0" applyProtection="0"/>
    <xf numFmtId="0" fontId="62" fillId="0" borderId="50" applyNumberFormat="0" applyFill="0" applyAlignment="0" applyProtection="0"/>
    <xf numFmtId="0" fontId="63" fillId="0" borderId="51" applyNumberFormat="0" applyFill="0" applyAlignment="0" applyProtection="0"/>
    <xf numFmtId="0" fontId="64" fillId="0" borderId="52" applyNumberFormat="0" applyFill="0" applyAlignment="0" applyProtection="0"/>
    <xf numFmtId="0" fontId="64" fillId="0" borderId="0" applyNumberFormat="0" applyFill="0" applyBorder="0" applyAlignment="0" applyProtection="0"/>
    <xf numFmtId="0" fontId="65" fillId="47" borderId="0" applyNumberFormat="0" applyBorder="0" applyAlignment="0" applyProtection="0"/>
    <xf numFmtId="0" fontId="66" fillId="48" borderId="0" applyNumberFormat="0" applyBorder="0" applyAlignment="0" applyProtection="0"/>
    <xf numFmtId="0" fontId="67" fillId="49" borderId="53" applyNumberFormat="0" applyAlignment="0" applyProtection="0"/>
    <xf numFmtId="0" fontId="68" fillId="50" borderId="54" applyNumberFormat="0" applyAlignment="0" applyProtection="0"/>
    <xf numFmtId="0" fontId="69" fillId="50" borderId="53" applyNumberFormat="0" applyAlignment="0" applyProtection="0"/>
    <xf numFmtId="0" fontId="70" fillId="0" borderId="55" applyNumberFormat="0" applyFill="0" applyAlignment="0" applyProtection="0"/>
    <xf numFmtId="0" fontId="71" fillId="51" borderId="56"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58" applyNumberFormat="0" applyFill="0" applyAlignment="0" applyProtection="0"/>
    <xf numFmtId="0" fontId="4" fillId="53" borderId="0" applyNumberFormat="0" applyBorder="0" applyAlignment="0" applyProtection="0"/>
    <xf numFmtId="0" fontId="4" fillId="54" borderId="0" applyNumberFormat="0" applyBorder="0" applyAlignment="0" applyProtection="0"/>
    <xf numFmtId="0" fontId="75" fillId="55" borderId="0" applyNumberFormat="0" applyBorder="0" applyAlignment="0" applyProtection="0"/>
    <xf numFmtId="0" fontId="4" fillId="56" borderId="0" applyNumberFormat="0" applyBorder="0" applyAlignment="0" applyProtection="0"/>
    <xf numFmtId="0" fontId="75"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75" fillId="60" borderId="0" applyNumberFormat="0" applyBorder="0" applyAlignment="0" applyProtection="0"/>
    <xf numFmtId="0" fontId="75"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75" fillId="64" borderId="0" applyNumberFormat="0" applyBorder="0" applyAlignment="0" applyProtection="0"/>
    <xf numFmtId="0" fontId="75"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75" fillId="68" borderId="0" applyNumberFormat="0" applyBorder="0" applyAlignment="0" applyProtection="0"/>
    <xf numFmtId="0" fontId="4" fillId="0" borderId="0"/>
    <xf numFmtId="0" fontId="76" fillId="69" borderId="0" applyNumberFormat="0" applyBorder="0" applyAlignment="0" applyProtection="0"/>
    <xf numFmtId="0" fontId="4" fillId="52" borderId="57" applyNumberFormat="0" applyFont="0" applyAlignment="0" applyProtection="0"/>
    <xf numFmtId="0" fontId="75" fillId="70" borderId="0" applyNumberFormat="0" applyBorder="0" applyAlignment="0" applyProtection="0"/>
    <xf numFmtId="0" fontId="75" fillId="10" borderId="0" applyNumberFormat="0" applyBorder="0" applyAlignment="0" applyProtection="0"/>
    <xf numFmtId="0" fontId="4" fillId="5" borderId="0" applyNumberFormat="0" applyBorder="0" applyAlignment="0" applyProtection="0"/>
    <xf numFmtId="0" fontId="75" fillId="7" borderId="0" applyNumberFormat="0" applyBorder="0" applyAlignment="0" applyProtection="0"/>
    <xf numFmtId="0" fontId="75" fillId="71"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75" fillId="72" borderId="0" applyNumberFormat="0" applyBorder="0" applyAlignment="0" applyProtection="0"/>
    <xf numFmtId="0" fontId="3" fillId="0" borderId="0"/>
    <xf numFmtId="9" fontId="3" fillId="0" borderId="0" applyFont="0" applyFill="0" applyBorder="0" applyAlignment="0" applyProtection="0"/>
    <xf numFmtId="0" fontId="2" fillId="0" borderId="0"/>
    <xf numFmtId="0" fontId="2" fillId="52" borderId="57" applyNumberFormat="0" applyFont="0" applyAlignment="0" applyProtection="0"/>
    <xf numFmtId="0" fontId="2" fillId="53" borderId="0" applyNumberFormat="0" applyBorder="0" applyAlignment="0" applyProtection="0"/>
    <xf numFmtId="0" fontId="2" fillId="54" borderId="0" applyNumberFormat="0" applyBorder="0" applyAlignment="0" applyProtection="0"/>
    <xf numFmtId="0" fontId="2" fillId="56"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99" fillId="0" borderId="0" applyNumberFormat="0" applyFill="0" applyBorder="0" applyAlignment="0" applyProtection="0"/>
  </cellStyleXfs>
  <cellXfs count="2837">
    <xf numFmtId="0" fontId="0" fillId="0" borderId="0" xfId="0"/>
    <xf numFmtId="0" fontId="0" fillId="0" borderId="0" xfId="0" applyFill="1" applyBorder="1"/>
    <xf numFmtId="0" fontId="26" fillId="0" borderId="0" xfId="0" applyFont="1"/>
    <xf numFmtId="0" fontId="0" fillId="15" borderId="26" xfId="0" applyFill="1" applyBorder="1" applyProtection="1"/>
    <xf numFmtId="0" fontId="0" fillId="15" borderId="29" xfId="0" applyFill="1" applyBorder="1" applyProtection="1"/>
    <xf numFmtId="0" fontId="0" fillId="15" borderId="30" xfId="0" applyFill="1" applyBorder="1" applyProtection="1"/>
    <xf numFmtId="167" fontId="21" fillId="4" borderId="26" xfId="1" applyNumberFormat="1" applyBorder="1" applyProtection="1"/>
    <xf numFmtId="0" fontId="0" fillId="15" borderId="29" xfId="0" applyFill="1" applyBorder="1" applyAlignment="1" applyProtection="1">
      <alignment horizontal="center" vertical="center"/>
    </xf>
    <xf numFmtId="0" fontId="0" fillId="15" borderId="26" xfId="0" applyFill="1" applyBorder="1" applyAlignment="1" applyProtection="1">
      <alignment horizontal="center" vertical="center"/>
    </xf>
    <xf numFmtId="44" fontId="0" fillId="15" borderId="26" xfId="0" applyNumberFormat="1" applyFill="1" applyBorder="1" applyProtection="1"/>
    <xf numFmtId="0" fontId="0" fillId="15" borderId="31" xfId="0" applyFill="1" applyBorder="1" applyProtection="1"/>
    <xf numFmtId="0" fontId="0" fillId="0" borderId="0" xfId="0" applyAlignment="1">
      <alignment wrapText="1"/>
    </xf>
    <xf numFmtId="0" fontId="21" fillId="4" borderId="29" xfId="1" applyBorder="1" applyProtection="1"/>
    <xf numFmtId="0" fontId="21" fillId="4" borderId="26" xfId="1" applyBorder="1" applyProtection="1"/>
    <xf numFmtId="0" fontId="21" fillId="4" borderId="30" xfId="1" applyBorder="1" applyProtection="1"/>
    <xf numFmtId="0" fontId="21" fillId="4" borderId="32" xfId="1" applyBorder="1" applyProtection="1"/>
    <xf numFmtId="0" fontId="25" fillId="0" borderId="0" xfId="0" applyFont="1"/>
    <xf numFmtId="0" fontId="26" fillId="0" borderId="0" xfId="0" applyFont="1" applyFill="1"/>
    <xf numFmtId="168" fontId="0" fillId="15" borderId="30" xfId="0" applyNumberFormat="1" applyFill="1" applyBorder="1" applyProtection="1"/>
    <xf numFmtId="8" fontId="0" fillId="15" borderId="26" xfId="0" applyNumberFormat="1" applyFill="1" applyBorder="1" applyProtection="1"/>
    <xf numFmtId="43" fontId="0" fillId="15" borderId="26" xfId="0" applyNumberFormat="1" applyFill="1" applyBorder="1" applyProtection="1"/>
    <xf numFmtId="9" fontId="21" fillId="15" borderId="26" xfId="11" applyFont="1" applyFill="1" applyBorder="1" applyProtection="1"/>
    <xf numFmtId="0" fontId="0" fillId="0" borderId="26" xfId="0" applyFill="1" applyBorder="1" applyProtection="1"/>
    <xf numFmtId="0" fontId="0" fillId="15" borderId="0" xfId="0" applyFill="1" applyBorder="1" applyProtection="1"/>
    <xf numFmtId="0" fontId="0" fillId="0" borderId="32" xfId="0" applyFill="1" applyBorder="1" applyProtection="1"/>
    <xf numFmtId="0" fontId="9" fillId="15" borderId="26" xfId="0" applyFont="1" applyFill="1" applyBorder="1" applyProtection="1"/>
    <xf numFmtId="41" fontId="9" fillId="15" borderId="29" xfId="0" applyNumberFormat="1" applyFont="1" applyFill="1" applyBorder="1" applyProtection="1"/>
    <xf numFmtId="1" fontId="9" fillId="15" borderId="29" xfId="0" applyNumberFormat="1" applyFont="1" applyFill="1" applyBorder="1" applyProtection="1"/>
    <xf numFmtId="0" fontId="0" fillId="15" borderId="26" xfId="0" applyFill="1" applyBorder="1" applyAlignment="1" applyProtection="1"/>
    <xf numFmtId="0" fontId="0" fillId="15" borderId="29" xfId="0" applyFill="1" applyBorder="1" applyAlignment="1" applyProtection="1"/>
    <xf numFmtId="0" fontId="9" fillId="15" borderId="26" xfId="0" applyFont="1" applyFill="1" applyBorder="1" applyAlignment="1" applyProtection="1"/>
    <xf numFmtId="41" fontId="9" fillId="15" borderId="29" xfId="0" applyNumberFormat="1" applyFont="1" applyFill="1" applyBorder="1" applyAlignment="1" applyProtection="1"/>
    <xf numFmtId="1" fontId="9" fillId="15" borderId="29" xfId="0" applyNumberFormat="1" applyFont="1" applyFill="1" applyBorder="1" applyAlignment="1" applyProtection="1"/>
    <xf numFmtId="0" fontId="17" fillId="0" borderId="0" xfId="0" applyFont="1"/>
    <xf numFmtId="0" fontId="12" fillId="0" borderId="0" xfId="0" applyFont="1"/>
    <xf numFmtId="0" fontId="17" fillId="0" borderId="5" xfId="0" applyFont="1" applyFill="1" applyBorder="1" applyAlignment="1">
      <alignment wrapText="1"/>
    </xf>
    <xf numFmtId="0" fontId="17" fillId="0" borderId="10" xfId="0" applyFont="1" applyFill="1" applyBorder="1" applyAlignment="1">
      <alignment wrapText="1"/>
    </xf>
    <xf numFmtId="0" fontId="0" fillId="0" borderId="10" xfId="0" applyBorder="1"/>
    <xf numFmtId="0" fontId="17" fillId="0" borderId="6" xfId="0" applyFont="1" applyFill="1" applyBorder="1" applyAlignment="1">
      <alignment wrapText="1"/>
    </xf>
    <xf numFmtId="0" fontId="17" fillId="0" borderId="11" xfId="0" applyFont="1" applyFill="1" applyBorder="1" applyAlignment="1">
      <alignment wrapText="1"/>
    </xf>
    <xf numFmtId="0" fontId="5" fillId="0" borderId="12" xfId="0" applyFont="1" applyFill="1" applyBorder="1" applyAlignment="1">
      <alignment horizontal="center" wrapText="1"/>
    </xf>
    <xf numFmtId="168" fontId="21" fillId="29" borderId="4" xfId="7" applyNumberFormat="1" applyFont="1" applyFill="1" applyBorder="1"/>
    <xf numFmtId="10" fontId="21" fillId="29" borderId="4" xfId="11" applyNumberFormat="1" applyFont="1" applyFill="1" applyBorder="1"/>
    <xf numFmtId="0" fontId="0" fillId="0" borderId="4" xfId="0" applyBorder="1"/>
    <xf numFmtId="168" fontId="0" fillId="0" borderId="4" xfId="0" applyNumberFormat="1" applyBorder="1"/>
    <xf numFmtId="9" fontId="21" fillId="21" borderId="4" xfId="11" applyFont="1" applyFill="1" applyBorder="1"/>
    <xf numFmtId="0" fontId="12" fillId="0" borderId="4" xfId="0" applyFont="1" applyFill="1" applyBorder="1" applyAlignment="1">
      <alignment wrapText="1"/>
    </xf>
    <xf numFmtId="0" fontId="12" fillId="0" borderId="13" xfId="0" applyFont="1" applyFill="1" applyBorder="1" applyAlignment="1">
      <alignment wrapText="1"/>
    </xf>
    <xf numFmtId="0" fontId="5" fillId="0" borderId="14" xfId="0" applyFont="1" applyFill="1" applyBorder="1" applyAlignment="1">
      <alignment horizontal="center" wrapText="1"/>
    </xf>
    <xf numFmtId="168" fontId="21" fillId="29" borderId="2" xfId="7" applyNumberFormat="1" applyFont="1" applyFill="1" applyBorder="1"/>
    <xf numFmtId="10" fontId="21" fillId="29" borderId="2" xfId="11" applyNumberFormat="1" applyFont="1" applyFill="1" applyBorder="1"/>
    <xf numFmtId="0" fontId="0" fillId="0" borderId="2" xfId="0" applyBorder="1"/>
    <xf numFmtId="168" fontId="0" fillId="0" borderId="2" xfId="0" applyNumberFormat="1" applyBorder="1"/>
    <xf numFmtId="9" fontId="21" fillId="21" borderId="2" xfId="11" applyFont="1" applyFill="1" applyBorder="1"/>
    <xf numFmtId="0" fontId="0" fillId="0" borderId="2" xfId="0" applyFill="1" applyBorder="1"/>
    <xf numFmtId="0" fontId="0" fillId="0" borderId="15" xfId="0" applyFill="1" applyBorder="1"/>
    <xf numFmtId="0" fontId="12" fillId="29" borderId="0" xfId="0" applyFont="1" applyFill="1"/>
    <xf numFmtId="0" fontId="12" fillId="0" borderId="2" xfId="0" applyFont="1" applyFill="1" applyBorder="1" applyAlignment="1"/>
    <xf numFmtId="0" fontId="12" fillId="0" borderId="15" xfId="0" applyFont="1" applyFill="1" applyBorder="1" applyAlignment="1"/>
    <xf numFmtId="10" fontId="21" fillId="34" borderId="2" xfId="11" applyNumberFormat="1" applyFont="1" applyFill="1" applyBorder="1"/>
    <xf numFmtId="10" fontId="21" fillId="34" borderId="15" xfId="11" applyNumberFormat="1" applyFont="1" applyFill="1" applyBorder="1"/>
    <xf numFmtId="168" fontId="21" fillId="35" borderId="2" xfId="7" applyNumberFormat="1" applyFont="1" applyFill="1" applyBorder="1"/>
    <xf numFmtId="10" fontId="21" fillId="35" borderId="2" xfId="11" applyNumberFormat="1" applyFont="1" applyFill="1" applyBorder="1"/>
    <xf numFmtId="0" fontId="12" fillId="35" borderId="0" xfId="0" applyFont="1" applyFill="1"/>
    <xf numFmtId="168" fontId="21" fillId="0" borderId="2" xfId="7" applyNumberFormat="1" applyFont="1" applyBorder="1"/>
    <xf numFmtId="168" fontId="21" fillId="26" borderId="2" xfId="7" applyNumberFormat="1" applyFont="1" applyFill="1" applyBorder="1"/>
    <xf numFmtId="168" fontId="21" fillId="0" borderId="2" xfId="7" applyNumberFormat="1" applyFont="1" applyFill="1" applyBorder="1"/>
    <xf numFmtId="10" fontId="21" fillId="36" borderId="2" xfId="11" applyNumberFormat="1" applyFont="1" applyFill="1" applyBorder="1"/>
    <xf numFmtId="10" fontId="21" fillId="0" borderId="2" xfId="11" applyNumberFormat="1" applyFont="1" applyBorder="1"/>
    <xf numFmtId="10" fontId="21" fillId="26" borderId="2" xfId="11" applyNumberFormat="1" applyFont="1" applyFill="1" applyBorder="1"/>
    <xf numFmtId="0" fontId="12" fillId="26" borderId="0" xfId="0" applyFont="1" applyFill="1"/>
    <xf numFmtId="10" fontId="21" fillId="37" borderId="15" xfId="11" applyNumberFormat="1" applyFont="1" applyFill="1" applyBorder="1"/>
    <xf numFmtId="0" fontId="12" fillId="37" borderId="0" xfId="0" applyFont="1" applyFill="1"/>
    <xf numFmtId="0" fontId="5" fillId="0" borderId="16" xfId="0" applyFont="1" applyFill="1" applyBorder="1" applyAlignment="1">
      <alignment horizontal="center" wrapText="1"/>
    </xf>
    <xf numFmtId="168" fontId="21" fillId="0" borderId="17" xfId="7" applyNumberFormat="1" applyFont="1" applyBorder="1"/>
    <xf numFmtId="168" fontId="21" fillId="0" borderId="17" xfId="7" applyNumberFormat="1" applyFont="1" applyFill="1" applyBorder="1"/>
    <xf numFmtId="10" fontId="21" fillId="36" borderId="17" xfId="11" applyNumberFormat="1" applyFont="1" applyFill="1" applyBorder="1"/>
    <xf numFmtId="0" fontId="0" fillId="0" borderId="17" xfId="0" applyBorder="1"/>
    <xf numFmtId="168" fontId="0" fillId="0" borderId="17" xfId="0" applyNumberFormat="1" applyBorder="1"/>
    <xf numFmtId="9" fontId="21" fillId="21" borderId="17" xfId="11" applyFont="1" applyFill="1" applyBorder="1"/>
    <xf numFmtId="10" fontId="21" fillId="0" borderId="17" xfId="11" applyNumberFormat="1" applyFont="1" applyBorder="1"/>
    <xf numFmtId="0" fontId="0" fillId="0" borderId="0" xfId="0" applyBorder="1"/>
    <xf numFmtId="0" fontId="19" fillId="3" borderId="18" xfId="0" applyFont="1" applyFill="1" applyBorder="1"/>
    <xf numFmtId="0" fontId="19" fillId="3" borderId="19" xfId="0" applyFont="1" applyFill="1" applyBorder="1"/>
    <xf numFmtId="0" fontId="0" fillId="0" borderId="0" xfId="0" applyBorder="1" applyAlignment="1">
      <alignment horizontal="left"/>
    </xf>
    <xf numFmtId="0" fontId="0" fillId="0" borderId="20" xfId="0" applyBorder="1" applyAlignment="1">
      <alignment horizontal="left"/>
    </xf>
    <xf numFmtId="0" fontId="0" fillId="0" borderId="21" xfId="0" applyBorder="1"/>
    <xf numFmtId="0" fontId="12" fillId="0" borderId="20" xfId="0" applyFont="1" applyBorder="1" applyAlignment="1">
      <alignment horizontal="left"/>
    </xf>
    <xf numFmtId="0" fontId="12" fillId="0" borderId="0" xfId="0" applyFont="1" applyBorder="1"/>
    <xf numFmtId="0" fontId="12" fillId="0" borderId="21" xfId="0" applyFont="1" applyBorder="1"/>
    <xf numFmtId="0" fontId="0" fillId="0" borderId="0" xfId="0" applyBorder="1" applyAlignment="1">
      <alignment horizontal="center"/>
    </xf>
    <xf numFmtId="0" fontId="12" fillId="0" borderId="22" xfId="0" applyFont="1" applyBorder="1" applyAlignment="1">
      <alignment horizontal="left"/>
    </xf>
    <xf numFmtId="0" fontId="0" fillId="0" borderId="23" xfId="0" applyBorder="1" applyAlignment="1">
      <alignment horizontal="left"/>
    </xf>
    <xf numFmtId="0" fontId="0" fillId="0" borderId="24" xfId="0" applyFont="1" applyFill="1" applyBorder="1"/>
    <xf numFmtId="0" fontId="12" fillId="0" borderId="23" xfId="0" applyFont="1" applyFill="1" applyBorder="1"/>
    <xf numFmtId="0" fontId="12" fillId="0" borderId="20" xfId="0" applyFont="1" applyBorder="1"/>
    <xf numFmtId="0" fontId="12" fillId="0" borderId="21" xfId="0" applyFont="1" applyFill="1" applyBorder="1"/>
    <xf numFmtId="0" fontId="12" fillId="0" borderId="24" xfId="0" applyFont="1" applyFill="1" applyBorder="1"/>
    <xf numFmtId="0" fontId="12" fillId="36" borderId="0" xfId="0" applyFont="1" applyFill="1"/>
    <xf numFmtId="0" fontId="0" fillId="36" borderId="0" xfId="0" applyFill="1"/>
    <xf numFmtId="0" fontId="12" fillId="21" borderId="0" xfId="0" applyFont="1" applyFill="1"/>
    <xf numFmtId="0" fontId="0" fillId="21" borderId="0" xfId="0" applyFill="1"/>
    <xf numFmtId="0" fontId="30" fillId="21" borderId="0" xfId="0" applyFont="1" applyFill="1"/>
    <xf numFmtId="0" fontId="0" fillId="18" borderId="26" xfId="0" applyFill="1" applyBorder="1" applyProtection="1"/>
    <xf numFmtId="0" fontId="26" fillId="0" borderId="26" xfId="0" applyFont="1" applyFill="1" applyBorder="1" applyProtection="1"/>
    <xf numFmtId="0" fontId="17" fillId="0" borderId="0" xfId="0" applyFont="1" applyAlignment="1">
      <alignment wrapText="1"/>
    </xf>
    <xf numFmtId="0" fontId="17" fillId="0" borderId="2" xfId="0" applyFont="1" applyFill="1" applyBorder="1" applyAlignment="1">
      <alignment wrapText="1"/>
    </xf>
    <xf numFmtId="168" fontId="21" fillId="2" borderId="2" xfId="7" applyNumberFormat="1" applyFont="1" applyFill="1" applyBorder="1"/>
    <xf numFmtId="165" fontId="17" fillId="0" borderId="2" xfId="11" applyNumberFormat="1" applyFont="1" applyFill="1" applyBorder="1" applyAlignment="1">
      <alignment wrapText="1"/>
    </xf>
    <xf numFmtId="168" fontId="12" fillId="0" borderId="2" xfId="0" applyNumberFormat="1" applyFont="1" applyFill="1" applyBorder="1" applyAlignment="1">
      <alignment wrapText="1"/>
    </xf>
    <xf numFmtId="165" fontId="12" fillId="0" borderId="2" xfId="11" applyNumberFormat="1" applyFont="1" applyFill="1" applyBorder="1" applyAlignment="1">
      <alignment wrapText="1"/>
    </xf>
    <xf numFmtId="0" fontId="18" fillId="0" borderId="2" xfId="0" applyFont="1" applyBorder="1" applyAlignment="1">
      <alignment wrapText="1"/>
    </xf>
    <xf numFmtId="0" fontId="19" fillId="3" borderId="2" xfId="0" applyFont="1" applyFill="1" applyBorder="1"/>
    <xf numFmtId="9" fontId="0" fillId="0" borderId="2" xfId="0" applyNumberFormat="1" applyBorder="1" applyAlignment="1"/>
    <xf numFmtId="9" fontId="0" fillId="0" borderId="2" xfId="0" applyNumberFormat="1" applyBorder="1"/>
    <xf numFmtId="0" fontId="17" fillId="0" borderId="0" xfId="0" applyFont="1" applyFill="1" applyBorder="1"/>
    <xf numFmtId="0" fontId="18" fillId="0" borderId="2" xfId="0" applyFont="1" applyBorder="1"/>
    <xf numFmtId="3" fontId="0" fillId="0" borderId="2" xfId="0" applyNumberFormat="1" applyFill="1" applyBorder="1"/>
    <xf numFmtId="168" fontId="21" fillId="0" borderId="0" xfId="7" applyNumberFormat="1" applyFont="1" applyFill="1" applyBorder="1"/>
    <xf numFmtId="0" fontId="0" fillId="0" borderId="2" xfId="0" applyBorder="1" applyAlignment="1">
      <alignment horizontal="left"/>
    </xf>
    <xf numFmtId="168" fontId="21" fillId="0" borderId="0" xfId="7" applyNumberFormat="1" applyFont="1"/>
    <xf numFmtId="0" fontId="21" fillId="4" borderId="31" xfId="1" applyBorder="1" applyProtection="1"/>
    <xf numFmtId="168" fontId="16" fillId="29" borderId="41" xfId="7" applyNumberFormat="1" applyFont="1" applyFill="1" applyBorder="1" applyProtection="1"/>
    <xf numFmtId="0" fontId="49" fillId="15" borderId="26" xfId="0" applyFont="1" applyFill="1" applyBorder="1" applyProtection="1"/>
    <xf numFmtId="0" fontId="49" fillId="17" borderId="26" xfId="0" applyFont="1" applyFill="1" applyBorder="1" applyProtection="1"/>
    <xf numFmtId="0" fontId="49" fillId="26" borderId="0" xfId="0" applyFont="1" applyFill="1" applyBorder="1" applyAlignment="1" applyProtection="1">
      <alignment horizontal="center"/>
    </xf>
    <xf numFmtId="0" fontId="49" fillId="26" borderId="30" xfId="0" applyFont="1" applyFill="1" applyBorder="1" applyProtection="1"/>
    <xf numFmtId="0" fontId="49" fillId="26" borderId="26" xfId="0" applyFont="1" applyFill="1" applyBorder="1" applyProtection="1"/>
    <xf numFmtId="0" fontId="49" fillId="26" borderId="0" xfId="0" applyFont="1" applyFill="1" applyBorder="1" applyProtection="1"/>
    <xf numFmtId="0" fontId="59" fillId="26" borderId="0" xfId="4" applyFont="1" applyFill="1" applyBorder="1" applyAlignment="1" applyProtection="1">
      <alignment horizontal="center"/>
    </xf>
    <xf numFmtId="0" fontId="49" fillId="15" borderId="0" xfId="0" applyFont="1" applyFill="1" applyBorder="1" applyProtection="1"/>
    <xf numFmtId="0" fontId="49" fillId="26" borderId="40" xfId="0" applyFont="1" applyFill="1" applyBorder="1" applyAlignment="1" applyProtection="1">
      <alignment horizontal="center"/>
    </xf>
    <xf numFmtId="0" fontId="0" fillId="0" borderId="0" xfId="0" applyAlignment="1">
      <alignment horizontal="right"/>
    </xf>
    <xf numFmtId="0" fontId="26" fillId="0" borderId="0" xfId="0" applyFont="1" applyAlignment="1">
      <alignment horizontal="left"/>
    </xf>
    <xf numFmtId="0" fontId="0" fillId="0" borderId="0" xfId="0" applyAlignment="1">
      <alignment horizontal="right" wrapText="1"/>
    </xf>
    <xf numFmtId="0" fontId="0" fillId="20" borderId="0" xfId="0" applyFill="1"/>
    <xf numFmtId="0" fontId="0" fillId="20" borderId="0" xfId="0" applyFill="1" applyAlignment="1">
      <alignment horizontal="right"/>
    </xf>
    <xf numFmtId="0" fontId="12" fillId="0" borderId="0" xfId="10"/>
    <xf numFmtId="0" fontId="78" fillId="0" borderId="59" xfId="10" applyFont="1" applyBorder="1" applyAlignment="1">
      <alignment horizontal="center" wrapText="1"/>
    </xf>
    <xf numFmtId="0" fontId="78" fillId="0" borderId="0" xfId="10" applyFont="1" applyAlignment="1">
      <alignment horizontal="left"/>
    </xf>
    <xf numFmtId="174" fontId="5" fillId="0" borderId="0" xfId="10" applyNumberFormat="1" applyFont="1" applyAlignment="1">
      <alignment horizontal="right"/>
    </xf>
    <xf numFmtId="175" fontId="5" fillId="0" borderId="0" xfId="10" applyNumberFormat="1" applyFont="1" applyAlignment="1">
      <alignment horizontal="right"/>
    </xf>
    <xf numFmtId="0" fontId="78" fillId="0" borderId="0" xfId="10" applyFont="1" applyAlignment="1">
      <alignment horizontal="left" vertical="top" wrapText="1"/>
    </xf>
    <xf numFmtId="0" fontId="26" fillId="38" borderId="2" xfId="0" applyFont="1" applyFill="1" applyBorder="1" applyAlignment="1">
      <alignment wrapText="1"/>
    </xf>
    <xf numFmtId="166" fontId="26" fillId="38" borderId="2" xfId="8" applyNumberFormat="1" applyFont="1" applyFill="1" applyBorder="1" applyAlignment="1">
      <alignment horizontal="center" wrapText="1"/>
    </xf>
    <xf numFmtId="0" fontId="26" fillId="38" borderId="2" xfId="0" applyFont="1" applyFill="1" applyBorder="1" applyAlignment="1">
      <alignment horizontal="center" wrapText="1"/>
    </xf>
    <xf numFmtId="0" fontId="26" fillId="0" borderId="2" xfId="0" applyFont="1" applyFill="1" applyBorder="1" applyAlignment="1">
      <alignment horizontal="center" wrapText="1"/>
    </xf>
    <xf numFmtId="165" fontId="26" fillId="38" borderId="2" xfId="11" applyNumberFormat="1" applyFont="1" applyFill="1" applyBorder="1" applyAlignment="1">
      <alignment horizontal="center" wrapText="1"/>
    </xf>
    <xf numFmtId="165" fontId="25" fillId="0" borderId="2" xfId="11" applyNumberFormat="1" applyFont="1" applyFill="1" applyBorder="1"/>
    <xf numFmtId="0" fontId="25" fillId="28" borderId="2" xfId="0" applyFont="1" applyFill="1" applyBorder="1"/>
    <xf numFmtId="166" fontId="25" fillId="28" borderId="2" xfId="8" applyNumberFormat="1" applyFont="1" applyFill="1" applyBorder="1"/>
    <xf numFmtId="165" fontId="25" fillId="28" borderId="2" xfId="11" applyNumberFormat="1" applyFont="1" applyFill="1" applyBorder="1"/>
    <xf numFmtId="0" fontId="25" fillId="8" borderId="2" xfId="0" applyFont="1" applyFill="1" applyBorder="1"/>
    <xf numFmtId="0" fontId="31" fillId="8" borderId="2" xfId="0" applyFont="1" applyFill="1" applyBorder="1" applyAlignment="1">
      <alignment horizontal="right"/>
    </xf>
    <xf numFmtId="166" fontId="25" fillId="8" borderId="2" xfId="8" applyNumberFormat="1" applyFont="1" applyFill="1" applyBorder="1"/>
    <xf numFmtId="165" fontId="25" fillId="8" borderId="2" xfId="11" applyNumberFormat="1" applyFont="1" applyFill="1" applyBorder="1"/>
    <xf numFmtId="166" fontId="26" fillId="8" borderId="2" xfId="8" applyNumberFormat="1" applyFont="1" applyFill="1" applyBorder="1"/>
    <xf numFmtId="165" fontId="26" fillId="0" borderId="2" xfId="11" applyNumberFormat="1" applyFont="1" applyFill="1" applyBorder="1"/>
    <xf numFmtId="166" fontId="26" fillId="0" borderId="2" xfId="8" applyNumberFormat="1" applyFont="1" applyFill="1" applyBorder="1"/>
    <xf numFmtId="0" fontId="25" fillId="0" borderId="2" xfId="0" applyFont="1" applyFill="1" applyBorder="1"/>
    <xf numFmtId="165" fontId="29" fillId="0" borderId="2" xfId="11" applyNumberFormat="1" applyFont="1" applyFill="1" applyBorder="1"/>
    <xf numFmtId="0" fontId="25" fillId="22" borderId="2" xfId="0" applyFont="1" applyFill="1" applyBorder="1"/>
    <xf numFmtId="166" fontId="0" fillId="0" borderId="0" xfId="8" applyNumberFormat="1" applyFont="1"/>
    <xf numFmtId="168" fontId="0" fillId="0" borderId="0" xfId="7" applyNumberFormat="1" applyFont="1"/>
    <xf numFmtId="166" fontId="0" fillId="0" borderId="0" xfId="0" applyNumberFormat="1"/>
    <xf numFmtId="176" fontId="0" fillId="0" borderId="0" xfId="0" applyNumberFormat="1"/>
    <xf numFmtId="0" fontId="25" fillId="0" borderId="2" xfId="0" applyFont="1" applyBorder="1"/>
    <xf numFmtId="166" fontId="26" fillId="45" borderId="2" xfId="8" applyNumberFormat="1" applyFont="1" applyFill="1" applyBorder="1"/>
    <xf numFmtId="0" fontId="25" fillId="45" borderId="2" xfId="0" applyFont="1" applyFill="1" applyBorder="1"/>
    <xf numFmtId="166" fontId="26" fillId="31" borderId="2" xfId="8" applyNumberFormat="1" applyFont="1" applyFill="1" applyBorder="1"/>
    <xf numFmtId="165" fontId="26" fillId="31" borderId="2" xfId="11" applyNumberFormat="1" applyFont="1" applyFill="1" applyBorder="1"/>
    <xf numFmtId="0" fontId="25" fillId="0" borderId="2" xfId="0" applyFont="1" applyBorder="1" applyAlignment="1">
      <alignment wrapText="1"/>
    </xf>
    <xf numFmtId="0" fontId="26" fillId="0" borderId="2" xfId="0" applyFont="1" applyFill="1" applyBorder="1" applyAlignment="1">
      <alignment horizontal="right"/>
    </xf>
    <xf numFmtId="166" fontId="25" fillId="0" borderId="2" xfId="8" applyNumberFormat="1" applyFont="1" applyBorder="1"/>
    <xf numFmtId="165" fontId="25" fillId="0" borderId="2" xfId="11" applyNumberFormat="1" applyFont="1" applyBorder="1"/>
    <xf numFmtId="0" fontId="25" fillId="23" borderId="2" xfId="0" applyFont="1" applyFill="1" applyBorder="1"/>
    <xf numFmtId="166" fontId="25" fillId="23" borderId="2" xfId="8" applyNumberFormat="1" applyFont="1" applyFill="1" applyBorder="1"/>
    <xf numFmtId="165" fontId="25" fillId="23" borderId="2" xfId="11" applyNumberFormat="1" applyFont="1" applyFill="1" applyBorder="1"/>
    <xf numFmtId="0" fontId="28" fillId="0" borderId="2" xfId="0" applyFont="1" applyFill="1" applyBorder="1" applyAlignment="1">
      <alignment horizontal="left"/>
    </xf>
    <xf numFmtId="166" fontId="28" fillId="0" borderId="2" xfId="8" applyNumberFormat="1" applyFont="1" applyFill="1" applyBorder="1"/>
    <xf numFmtId="166" fontId="29" fillId="0" borderId="2" xfId="8" applyNumberFormat="1" applyFont="1" applyFill="1" applyBorder="1"/>
    <xf numFmtId="0" fontId="29" fillId="0" borderId="2" xfId="0" applyFont="1" applyFill="1" applyBorder="1"/>
    <xf numFmtId="166" fontId="79" fillId="23" borderId="2" xfId="8" applyNumberFormat="1" applyFont="1" applyFill="1" applyBorder="1"/>
    <xf numFmtId="165" fontId="79" fillId="23" borderId="2" xfId="11" applyNumberFormat="1" applyFont="1" applyFill="1" applyBorder="1"/>
    <xf numFmtId="165" fontId="80" fillId="23" borderId="2" xfId="11" applyNumberFormat="1" applyFont="1" applyFill="1" applyBorder="1"/>
    <xf numFmtId="0" fontId="26" fillId="42" borderId="2" xfId="0" applyFont="1" applyFill="1" applyBorder="1" applyAlignment="1">
      <alignment horizontal="right"/>
    </xf>
    <xf numFmtId="166" fontId="26" fillId="42" borderId="2" xfId="8" applyNumberFormat="1" applyFont="1" applyFill="1" applyBorder="1"/>
    <xf numFmtId="165" fontId="25" fillId="42" borderId="2" xfId="11" applyNumberFormat="1" applyFont="1" applyFill="1" applyBorder="1"/>
    <xf numFmtId="165" fontId="26" fillId="42" borderId="2" xfId="11" applyNumberFormat="1" applyFont="1" applyFill="1" applyBorder="1"/>
    <xf numFmtId="0" fontId="25" fillId="42" borderId="2" xfId="0" applyFont="1" applyFill="1" applyBorder="1"/>
    <xf numFmtId="0" fontId="8" fillId="8" borderId="2" xfId="0" applyFont="1" applyFill="1" applyBorder="1"/>
    <xf numFmtId="0" fontId="15" fillId="8" borderId="2" xfId="0" applyFont="1" applyFill="1" applyBorder="1" applyAlignment="1">
      <alignment horizontal="right"/>
    </xf>
    <xf numFmtId="166" fontId="8" fillId="8" borderId="2" xfId="8" applyNumberFormat="1" applyFont="1" applyFill="1" applyBorder="1"/>
    <xf numFmtId="165" fontId="8" fillId="8" borderId="2" xfId="11" applyNumberFormat="1" applyFont="1" applyFill="1" applyBorder="1"/>
    <xf numFmtId="0" fontId="15" fillId="42" borderId="3" xfId="0" applyFont="1" applyFill="1" applyBorder="1" applyAlignment="1">
      <alignment horizontal="right"/>
    </xf>
    <xf numFmtId="166" fontId="15" fillId="42" borderId="2" xfId="8" applyNumberFormat="1" applyFont="1" applyFill="1" applyBorder="1"/>
    <xf numFmtId="165" fontId="8" fillId="42" borderId="2" xfId="11" applyNumberFormat="1" applyFont="1" applyFill="1" applyBorder="1"/>
    <xf numFmtId="0" fontId="8" fillId="42" borderId="2" xfId="0" applyFont="1" applyFill="1" applyBorder="1"/>
    <xf numFmtId="166" fontId="25" fillId="42" borderId="2" xfId="8" applyNumberFormat="1" applyFont="1" applyFill="1" applyBorder="1"/>
    <xf numFmtId="0" fontId="15" fillId="42" borderId="8" xfId="0" applyFont="1" applyFill="1" applyBorder="1" applyAlignment="1">
      <alignment horizontal="right"/>
    </xf>
    <xf numFmtId="0" fontId="8" fillId="23" borderId="2" xfId="0" applyFont="1" applyFill="1" applyBorder="1"/>
    <xf numFmtId="0" fontId="27" fillId="20" borderId="2" xfId="0" applyFont="1" applyFill="1" applyBorder="1"/>
    <xf numFmtId="166" fontId="27" fillId="20" borderId="2" xfId="8" applyNumberFormat="1" applyFont="1" applyFill="1" applyBorder="1"/>
    <xf numFmtId="9" fontId="27" fillId="20" borderId="2" xfId="11" applyFont="1" applyFill="1" applyBorder="1"/>
    <xf numFmtId="0" fontId="11" fillId="23" borderId="2" xfId="0" applyFont="1" applyFill="1" applyBorder="1"/>
    <xf numFmtId="0" fontId="79" fillId="23" borderId="2" xfId="0" applyFont="1" applyFill="1" applyBorder="1"/>
    <xf numFmtId="0" fontId="80" fillId="23" borderId="2" xfId="0" applyFont="1" applyFill="1" applyBorder="1"/>
    <xf numFmtId="166" fontId="80" fillId="23" borderId="2" xfId="8" applyNumberFormat="1" applyFont="1" applyFill="1" applyBorder="1"/>
    <xf numFmtId="0" fontId="81" fillId="23" borderId="2" xfId="0" applyFont="1" applyFill="1" applyBorder="1"/>
    <xf numFmtId="167" fontId="0" fillId="0" borderId="26" xfId="0" applyNumberFormat="1" applyFill="1" applyBorder="1" applyProtection="1"/>
    <xf numFmtId="166" fontId="0" fillId="0" borderId="26" xfId="8" applyNumberFormat="1" applyFont="1" applyFill="1" applyBorder="1" applyProtection="1"/>
    <xf numFmtId="0" fontId="15" fillId="0" borderId="26" xfId="0" applyFont="1" applyFill="1" applyBorder="1" applyProtection="1"/>
    <xf numFmtId="43" fontId="25" fillId="0" borderId="26" xfId="7" applyFont="1" applyFill="1" applyBorder="1" applyAlignment="1" applyProtection="1">
      <alignment horizontal="right"/>
      <protection locked="0"/>
    </xf>
    <xf numFmtId="168" fontId="25" fillId="0" borderId="26" xfId="7" applyNumberFormat="1" applyFont="1" applyFill="1" applyBorder="1" applyAlignment="1" applyProtection="1">
      <alignment horizontal="right"/>
      <protection locked="0"/>
    </xf>
    <xf numFmtId="9" fontId="25" fillId="0" borderId="26" xfId="11" applyFont="1" applyFill="1" applyBorder="1" applyAlignment="1" applyProtection="1">
      <alignment horizontal="right"/>
      <protection locked="0"/>
    </xf>
    <xf numFmtId="0" fontId="0" fillId="0" borderId="0" xfId="0" applyFill="1"/>
    <xf numFmtId="0" fontId="26" fillId="0" borderId="32" xfId="0" applyFont="1" applyFill="1" applyBorder="1" applyProtection="1"/>
    <xf numFmtId="0" fontId="59" fillId="20" borderId="30" xfId="0" applyFont="1" applyFill="1" applyBorder="1" applyAlignment="1" applyProtection="1">
      <alignment horizontal="center"/>
    </xf>
    <xf numFmtId="0" fontId="49" fillId="15" borderId="30" xfId="0" applyFont="1" applyFill="1" applyBorder="1" applyProtection="1"/>
    <xf numFmtId="0" fontId="49" fillId="15" borderId="28" xfId="0" applyFont="1" applyFill="1" applyBorder="1" applyProtection="1"/>
    <xf numFmtId="0" fontId="49" fillId="15" borderId="37" xfId="0" applyFont="1" applyFill="1" applyBorder="1" applyProtection="1"/>
    <xf numFmtId="0" fontId="49" fillId="15" borderId="38" xfId="0" applyFont="1" applyFill="1" applyBorder="1" applyProtection="1"/>
    <xf numFmtId="0" fontId="49" fillId="15" borderId="2" xfId="0" applyFont="1" applyFill="1" applyBorder="1" applyProtection="1"/>
    <xf numFmtId="0" fontId="49" fillId="23" borderId="2" xfId="0" applyFont="1" applyFill="1" applyBorder="1" applyProtection="1"/>
    <xf numFmtId="0" fontId="50" fillId="23" borderId="2" xfId="0" applyFont="1" applyFill="1" applyBorder="1" applyProtection="1"/>
    <xf numFmtId="10" fontId="49" fillId="23" borderId="2" xfId="11" applyNumberFormat="1" applyFont="1" applyFill="1" applyBorder="1" applyProtection="1"/>
    <xf numFmtId="170" fontId="49" fillId="23" borderId="2" xfId="7" applyNumberFormat="1" applyFont="1" applyFill="1" applyBorder="1" applyProtection="1"/>
    <xf numFmtId="39" fontId="49" fillId="23" borderId="2" xfId="8" applyNumberFormat="1" applyFont="1" applyFill="1" applyBorder="1" applyProtection="1"/>
    <xf numFmtId="0" fontId="49" fillId="39" borderId="2" xfId="0" applyFont="1" applyFill="1" applyBorder="1" applyProtection="1"/>
    <xf numFmtId="0" fontId="50" fillId="39" borderId="2" xfId="0" applyFont="1" applyFill="1" applyBorder="1" applyProtection="1"/>
    <xf numFmtId="0" fontId="49" fillId="15" borderId="29" xfId="0" applyFont="1" applyFill="1" applyBorder="1" applyProtection="1"/>
    <xf numFmtId="0" fontId="49" fillId="74" borderId="2" xfId="0" applyFont="1" applyFill="1" applyBorder="1" applyProtection="1"/>
    <xf numFmtId="0" fontId="50" fillId="25" borderId="2" xfId="0" applyFont="1" applyFill="1" applyBorder="1" applyProtection="1"/>
    <xf numFmtId="0" fontId="49" fillId="25" borderId="2" xfId="0" applyFont="1" applyFill="1" applyBorder="1" applyProtection="1"/>
    <xf numFmtId="166" fontId="51" fillId="25" borderId="2" xfId="8" applyNumberFormat="1" applyFont="1" applyFill="1" applyBorder="1" applyProtection="1"/>
    <xf numFmtId="166" fontId="49" fillId="25" borderId="2" xfId="0" applyNumberFormat="1" applyFont="1" applyFill="1" applyBorder="1" applyProtection="1"/>
    <xf numFmtId="43" fontId="49" fillId="25" borderId="2" xfId="7" applyFont="1" applyFill="1" applyBorder="1" applyProtection="1"/>
    <xf numFmtId="0" fontId="49" fillId="17" borderId="2" xfId="0" applyFont="1" applyFill="1" applyBorder="1" applyProtection="1"/>
    <xf numFmtId="0" fontId="49" fillId="15" borderId="32" xfId="0" applyFont="1" applyFill="1" applyBorder="1" applyProtection="1"/>
    <xf numFmtId="0" fontId="50" fillId="38" borderId="8" xfId="1" applyFont="1" applyFill="1" applyBorder="1" applyAlignment="1" applyProtection="1"/>
    <xf numFmtId="0" fontId="49" fillId="20" borderId="0" xfId="0" applyFont="1" applyFill="1" applyBorder="1" applyProtection="1"/>
    <xf numFmtId="0" fontId="49" fillId="15" borderId="36" xfId="0" applyFont="1" applyFill="1" applyBorder="1" applyProtection="1"/>
    <xf numFmtId="0" fontId="49" fillId="0" borderId="26" xfId="0" applyFont="1" applyFill="1" applyBorder="1" applyProtection="1"/>
    <xf numFmtId="0" fontId="50" fillId="0" borderId="26" xfId="0" applyFont="1" applyFill="1" applyBorder="1" applyAlignment="1" applyProtection="1">
      <alignment horizontal="center"/>
    </xf>
    <xf numFmtId="0" fontId="50" fillId="0" borderId="26" xfId="0" applyFont="1" applyFill="1" applyBorder="1" applyProtection="1"/>
    <xf numFmtId="3" fontId="49" fillId="14" borderId="26" xfId="0" applyNumberFormat="1" applyFont="1" applyFill="1" applyBorder="1" applyProtection="1"/>
    <xf numFmtId="0" fontId="50" fillId="0" borderId="26" xfId="0" applyFont="1" applyFill="1" applyBorder="1" applyAlignment="1" applyProtection="1">
      <alignment horizontal="center" vertical="center"/>
    </xf>
    <xf numFmtId="0" fontId="20" fillId="0" borderId="26" xfId="0" applyFont="1" applyFill="1" applyBorder="1" applyAlignment="1" applyProtection="1">
      <alignment horizontal="right"/>
    </xf>
    <xf numFmtId="166" fontId="49" fillId="0" borderId="26" xfId="8" applyNumberFormat="1" applyFont="1" applyFill="1" applyBorder="1" applyProtection="1"/>
    <xf numFmtId="166" fontId="49" fillId="14" borderId="26" xfId="8" applyNumberFormat="1" applyFont="1" applyFill="1" applyBorder="1" applyProtection="1"/>
    <xf numFmtId="0" fontId="20" fillId="31" borderId="26" xfId="0" applyFont="1" applyFill="1" applyBorder="1" applyAlignment="1" applyProtection="1">
      <alignment horizontal="right"/>
    </xf>
    <xf numFmtId="166" fontId="50" fillId="0" borderId="26" xfId="8" applyNumberFormat="1" applyFont="1" applyFill="1" applyBorder="1" applyProtection="1"/>
    <xf numFmtId="0" fontId="49" fillId="15" borderId="29" xfId="0" applyFont="1" applyFill="1" applyBorder="1" applyAlignment="1" applyProtection="1"/>
    <xf numFmtId="0" fontId="50" fillId="17" borderId="26" xfId="0" applyFont="1" applyFill="1" applyBorder="1" applyAlignment="1" applyProtection="1"/>
    <xf numFmtId="0" fontId="49" fillId="15" borderId="26" xfId="0" applyFont="1" applyFill="1" applyBorder="1" applyAlignment="1" applyProtection="1"/>
    <xf numFmtId="0" fontId="50" fillId="17" borderId="26" xfId="0" applyFont="1" applyFill="1" applyBorder="1" applyAlignment="1" applyProtection="1">
      <alignment horizontal="center"/>
    </xf>
    <xf numFmtId="0" fontId="50" fillId="17" borderId="26" xfId="0" applyFont="1" applyFill="1" applyBorder="1" applyProtection="1"/>
    <xf numFmtId="0" fontId="50" fillId="15" borderId="26" xfId="0" applyFont="1" applyFill="1" applyBorder="1" applyProtection="1"/>
    <xf numFmtId="0" fontId="50" fillId="15" borderId="29" xfId="0" applyFont="1" applyFill="1" applyBorder="1" applyProtection="1"/>
    <xf numFmtId="0" fontId="50" fillId="15" borderId="26" xfId="0" applyFont="1" applyFill="1" applyBorder="1" applyAlignment="1" applyProtection="1"/>
    <xf numFmtId="0" fontId="50" fillId="15" borderId="29" xfId="0" applyFont="1" applyFill="1" applyBorder="1" applyAlignment="1" applyProtection="1"/>
    <xf numFmtId="0" fontId="50" fillId="14" borderId="26" xfId="0" applyFont="1" applyFill="1" applyBorder="1" applyProtection="1"/>
    <xf numFmtId="166" fontId="49" fillId="15" borderId="26" xfId="0" applyNumberFormat="1" applyFont="1" applyFill="1" applyBorder="1" applyProtection="1"/>
    <xf numFmtId="0" fontId="49" fillId="15" borderId="27" xfId="1" applyFont="1" applyFill="1" applyBorder="1" applyProtection="1"/>
    <xf numFmtId="0" fontId="49" fillId="15" borderId="39" xfId="1" applyFont="1" applyFill="1" applyBorder="1" applyProtection="1"/>
    <xf numFmtId="0" fontId="49" fillId="15" borderId="33" xfId="0" applyFont="1" applyFill="1" applyBorder="1" applyProtection="1"/>
    <xf numFmtId="0" fontId="49" fillId="15" borderId="27" xfId="0" applyFont="1" applyFill="1" applyBorder="1" applyProtection="1"/>
    <xf numFmtId="0" fontId="50" fillId="74" borderId="2" xfId="0" applyFont="1" applyFill="1" applyBorder="1" applyProtection="1"/>
    <xf numFmtId="0" fontId="49" fillId="45" borderId="2" xfId="0" applyFont="1" applyFill="1" applyBorder="1" applyProtection="1"/>
    <xf numFmtId="0" fontId="50" fillId="38" borderId="2" xfId="1" applyFont="1" applyFill="1" applyBorder="1" applyAlignment="1" applyProtection="1"/>
    <xf numFmtId="170" fontId="49" fillId="25" borderId="2" xfId="0" applyNumberFormat="1" applyFont="1" applyFill="1" applyBorder="1" applyProtection="1"/>
    <xf numFmtId="39" fontId="49" fillId="25" borderId="2" xfId="0" applyNumberFormat="1" applyFont="1" applyFill="1" applyBorder="1" applyProtection="1"/>
    <xf numFmtId="0" fontId="49" fillId="15" borderId="8" xfId="0" applyFont="1" applyFill="1" applyBorder="1" applyProtection="1"/>
    <xf numFmtId="0" fontId="50" fillId="31" borderId="30" xfId="0" applyFont="1" applyFill="1" applyBorder="1" applyAlignment="1" applyProtection="1">
      <alignment horizontal="left" vertical="center"/>
    </xf>
    <xf numFmtId="0" fontId="49" fillId="0" borderId="30" xfId="0" applyFont="1" applyFill="1" applyBorder="1" applyProtection="1"/>
    <xf numFmtId="0" fontId="50" fillId="31" borderId="30" xfId="0" applyFont="1" applyFill="1" applyBorder="1" applyAlignment="1" applyProtection="1">
      <alignment horizontal="left"/>
    </xf>
    <xf numFmtId="0" fontId="50" fillId="31" borderId="30" xfId="0" applyFont="1" applyFill="1" applyBorder="1" applyProtection="1"/>
    <xf numFmtId="0" fontId="50" fillId="0" borderId="30" xfId="0" applyFont="1" applyFill="1" applyBorder="1" applyAlignment="1" applyProtection="1">
      <alignment horizontal="left" vertical="center"/>
    </xf>
    <xf numFmtId="0" fontId="0" fillId="15" borderId="0" xfId="0" applyFill="1" applyBorder="1" applyAlignment="1" applyProtection="1"/>
    <xf numFmtId="0" fontId="0" fillId="15" borderId="0" xfId="0" applyFill="1" applyBorder="1" applyAlignment="1" applyProtection="1">
      <alignment horizontal="center" vertical="center"/>
    </xf>
    <xf numFmtId="0" fontId="49" fillId="15" borderId="0" xfId="0" applyFont="1" applyFill="1" applyBorder="1" applyAlignment="1" applyProtection="1"/>
    <xf numFmtId="42" fontId="49" fillId="23" borderId="2" xfId="8" applyNumberFormat="1" applyFont="1" applyFill="1" applyBorder="1" applyProtection="1"/>
    <xf numFmtId="42" fontId="49" fillId="15" borderId="2" xfId="0" applyNumberFormat="1" applyFont="1" applyFill="1" applyBorder="1" applyProtection="1"/>
    <xf numFmtId="42" fontId="49" fillId="25" borderId="2" xfId="0" applyNumberFormat="1" applyFont="1" applyFill="1" applyBorder="1" applyProtection="1"/>
    <xf numFmtId="0" fontId="39" fillId="39" borderId="26" xfId="1" applyFont="1" applyFill="1" applyBorder="1" applyProtection="1"/>
    <xf numFmtId="169" fontId="39" fillId="39" borderId="26" xfId="1" applyNumberFormat="1" applyFont="1" applyFill="1" applyBorder="1" applyProtection="1"/>
    <xf numFmtId="0" fontId="49" fillId="0" borderId="26" xfId="8" applyNumberFormat="1" applyFont="1" applyFill="1" applyBorder="1" applyProtection="1"/>
    <xf numFmtId="0" fontId="0" fillId="0" borderId="0" xfId="0" applyFill="1" applyBorder="1" applyProtection="1"/>
    <xf numFmtId="167" fontId="0" fillId="0" borderId="0" xfId="0" applyNumberFormat="1" applyFill="1" applyBorder="1" applyProtection="1"/>
    <xf numFmtId="43" fontId="0" fillId="0" borderId="0" xfId="7" applyFont="1" applyFill="1" applyBorder="1" applyProtection="1"/>
    <xf numFmtId="0" fontId="31" fillId="0" borderId="26" xfId="0" applyFont="1" applyFill="1" applyBorder="1" applyProtection="1"/>
    <xf numFmtId="0" fontId="49" fillId="36" borderId="41" xfId="0" applyFont="1" applyFill="1" applyBorder="1" applyProtection="1"/>
    <xf numFmtId="6" fontId="51" fillId="36" borderId="41" xfId="0" applyNumberFormat="1" applyFont="1" applyFill="1" applyBorder="1" applyProtection="1"/>
    <xf numFmtId="0" fontId="49" fillId="32" borderId="41" xfId="0" applyFont="1" applyFill="1" applyBorder="1" applyProtection="1"/>
    <xf numFmtId="6" fontId="49" fillId="32" borderId="41" xfId="0" applyNumberFormat="1" applyFont="1" applyFill="1" applyBorder="1" applyProtection="1"/>
    <xf numFmtId="0" fontId="49" fillId="18" borderId="41" xfId="0" applyFont="1" applyFill="1" applyBorder="1" applyProtection="1"/>
    <xf numFmtId="0" fontId="50" fillId="27" borderId="8" xfId="0" applyFont="1" applyFill="1" applyBorder="1" applyAlignment="1" applyProtection="1"/>
    <xf numFmtId="0" fontId="50" fillId="27" borderId="2" xfId="0" applyFont="1" applyFill="1" applyBorder="1" applyAlignment="1" applyProtection="1"/>
    <xf numFmtId="0" fontId="49" fillId="27" borderId="2" xfId="0" applyFont="1" applyFill="1" applyBorder="1" applyProtection="1"/>
    <xf numFmtId="0" fontId="50" fillId="27" borderId="2" xfId="0" applyFont="1" applyFill="1" applyBorder="1" applyProtection="1"/>
    <xf numFmtId="0" fontId="49" fillId="27" borderId="8" xfId="0" applyFont="1" applyFill="1" applyBorder="1" applyProtection="1"/>
    <xf numFmtId="170" fontId="49" fillId="27" borderId="2" xfId="0" applyNumberFormat="1" applyFont="1" applyFill="1" applyBorder="1" applyProtection="1"/>
    <xf numFmtId="39" fontId="49" fillId="27" borderId="2" xfId="0" applyNumberFormat="1" applyFont="1" applyFill="1" applyBorder="1" applyProtection="1"/>
    <xf numFmtId="42" fontId="49" fillId="27" borderId="2" xfId="0" applyNumberFormat="1" applyFont="1" applyFill="1" applyBorder="1" applyProtection="1"/>
    <xf numFmtId="166" fontId="49" fillId="27" borderId="2" xfId="0" applyNumberFormat="1" applyFont="1" applyFill="1" applyBorder="1" applyProtection="1"/>
    <xf numFmtId="43" fontId="49" fillId="27" borderId="2" xfId="7" applyFont="1" applyFill="1" applyBorder="1" applyProtection="1"/>
    <xf numFmtId="0" fontId="2" fillId="0" borderId="0" xfId="57" applyAlignment="1">
      <alignment horizontal="right"/>
    </xf>
    <xf numFmtId="0" fontId="2" fillId="0" borderId="0" xfId="57"/>
    <xf numFmtId="0" fontId="2" fillId="0" borderId="0" xfId="57"/>
    <xf numFmtId="0" fontId="2" fillId="0" borderId="0" xfId="57"/>
    <xf numFmtId="0" fontId="2" fillId="0" borderId="0" xfId="57"/>
    <xf numFmtId="0" fontId="2" fillId="0" borderId="0" xfId="57"/>
    <xf numFmtId="0" fontId="2" fillId="0" borderId="0" xfId="57"/>
    <xf numFmtId="0" fontId="2" fillId="0" borderId="0" xfId="57"/>
    <xf numFmtId="0" fontId="2" fillId="0" borderId="0" xfId="57"/>
    <xf numFmtId="0" fontId="2" fillId="0" borderId="0" xfId="57"/>
    <xf numFmtId="178" fontId="49" fillId="23" borderId="2" xfId="7" applyNumberFormat="1" applyFont="1" applyFill="1" applyBorder="1" applyProtection="1"/>
    <xf numFmtId="0" fontId="38" fillId="26" borderId="40" xfId="0" applyFont="1" applyFill="1" applyBorder="1" applyAlignment="1" applyProtection="1">
      <alignment horizontal="center"/>
    </xf>
    <xf numFmtId="167" fontId="39" fillId="39" borderId="26" xfId="1" applyNumberFormat="1" applyFont="1" applyFill="1" applyBorder="1" applyProtection="1"/>
    <xf numFmtId="0" fontId="17" fillId="0" borderId="0" xfId="0" applyFont="1" applyFill="1" applyBorder="1" applyAlignment="1">
      <alignment wrapText="1"/>
    </xf>
    <xf numFmtId="168" fontId="12" fillId="0" borderId="0" xfId="7" applyNumberFormat="1" applyFont="1" applyFill="1" applyBorder="1" applyAlignment="1">
      <alignment wrapText="1"/>
    </xf>
    <xf numFmtId="0" fontId="38" fillId="0" borderId="26" xfId="0" applyFont="1" applyFill="1" applyBorder="1" applyProtection="1"/>
    <xf numFmtId="168" fontId="39" fillId="14" borderId="26" xfId="7" applyNumberFormat="1" applyFont="1" applyFill="1" applyBorder="1" applyProtection="1"/>
    <xf numFmtId="168" fontId="39" fillId="0" borderId="26" xfId="7" applyNumberFormat="1" applyFont="1" applyFill="1" applyBorder="1" applyAlignment="1" applyProtection="1">
      <alignment horizontal="center"/>
    </xf>
    <xf numFmtId="168" fontId="39" fillId="0" borderId="26" xfId="7" applyNumberFormat="1" applyFont="1" applyFill="1" applyBorder="1" applyProtection="1"/>
    <xf numFmtId="179" fontId="25" fillId="0" borderId="26" xfId="7" applyNumberFormat="1" applyFont="1" applyFill="1" applyBorder="1" applyAlignment="1" applyProtection="1">
      <alignment horizontal="right"/>
      <protection locked="0"/>
    </xf>
    <xf numFmtId="0" fontId="9" fillId="15" borderId="29" xfId="0" applyFont="1" applyFill="1" applyBorder="1" applyAlignment="1" applyProtection="1"/>
    <xf numFmtId="0" fontId="39" fillId="18" borderId="41" xfId="0" applyFont="1" applyFill="1" applyBorder="1" applyProtection="1"/>
    <xf numFmtId="0" fontId="39" fillId="36" borderId="41" xfId="0" applyFont="1" applyFill="1" applyBorder="1" applyProtection="1"/>
    <xf numFmtId="0" fontId="39" fillId="32" borderId="41" xfId="0" applyFont="1" applyFill="1" applyBorder="1" applyProtection="1"/>
    <xf numFmtId="0" fontId="40" fillId="17" borderId="41" xfId="0" applyFont="1" applyFill="1" applyBorder="1" applyAlignment="1" applyProtection="1"/>
    <xf numFmtId="167" fontId="41" fillId="18" borderId="41" xfId="0" quotePrefix="1" applyNumberFormat="1" applyFont="1" applyFill="1" applyBorder="1" applyProtection="1"/>
    <xf numFmtId="0" fontId="38" fillId="17" borderId="41" xfId="0" applyFont="1" applyFill="1" applyBorder="1" applyAlignment="1" applyProtection="1">
      <alignment horizontal="center" vertical="center"/>
    </xf>
    <xf numFmtId="167" fontId="49" fillId="18" borderId="41" xfId="0" applyNumberFormat="1" applyFont="1" applyFill="1" applyBorder="1" applyProtection="1"/>
    <xf numFmtId="172" fontId="51" fillId="36" borderId="41" xfId="0" applyNumberFormat="1" applyFont="1" applyFill="1" applyBorder="1" applyAlignment="1" applyProtection="1">
      <alignment horizontal="right"/>
    </xf>
    <xf numFmtId="3" fontId="51" fillId="32" borderId="41" xfId="0" applyNumberFormat="1" applyFont="1" applyFill="1" applyBorder="1" applyProtection="1"/>
    <xf numFmtId="0" fontId="38" fillId="18" borderId="41" xfId="0" applyFont="1" applyFill="1" applyBorder="1" applyAlignment="1" applyProtection="1">
      <alignment horizontal="center"/>
    </xf>
    <xf numFmtId="0" fontId="16" fillId="17" borderId="64" xfId="0" applyFont="1" applyFill="1" applyBorder="1" applyAlignment="1" applyProtection="1">
      <alignment horizontal="center"/>
    </xf>
    <xf numFmtId="0" fontId="16" fillId="17" borderId="42" xfId="0" applyFont="1" applyFill="1" applyBorder="1" applyAlignment="1" applyProtection="1">
      <alignment horizontal="center"/>
    </xf>
    <xf numFmtId="0" fontId="20" fillId="17" borderId="61" xfId="0" applyFont="1" applyFill="1" applyBorder="1" applyAlignment="1" applyProtection="1"/>
    <xf numFmtId="0" fontId="38" fillId="17" borderId="49" xfId="0" applyFont="1" applyFill="1" applyBorder="1" applyAlignment="1" applyProtection="1">
      <alignment vertical="center"/>
    </xf>
    <xf numFmtId="0" fontId="41" fillId="39" borderId="26" xfId="0" applyFont="1" applyFill="1" applyBorder="1" applyAlignment="1" applyProtection="1">
      <alignment horizontal="center"/>
    </xf>
    <xf numFmtId="168" fontId="16" fillId="29" borderId="26" xfId="7" applyNumberFormat="1" applyFont="1" applyFill="1" applyBorder="1" applyProtection="1"/>
    <xf numFmtId="0" fontId="38" fillId="46" borderId="26" xfId="1" applyFont="1" applyFill="1" applyBorder="1" applyProtection="1"/>
    <xf numFmtId="0" fontId="40" fillId="46" borderId="41" xfId="0" applyFont="1" applyFill="1" applyBorder="1" applyAlignment="1" applyProtection="1"/>
    <xf numFmtId="0" fontId="16" fillId="39" borderId="64" xfId="0" applyFont="1" applyFill="1" applyBorder="1" applyAlignment="1" applyProtection="1">
      <alignment horizontal="center"/>
    </xf>
    <xf numFmtId="0" fontId="16" fillId="39" borderId="42" xfId="0" applyFont="1" applyFill="1" applyBorder="1" applyAlignment="1" applyProtection="1">
      <alignment horizontal="center"/>
    </xf>
    <xf numFmtId="0" fontId="39" fillId="8" borderId="26" xfId="1" applyFont="1" applyFill="1" applyBorder="1" applyProtection="1"/>
    <xf numFmtId="0" fontId="48" fillId="8" borderId="26" xfId="1" applyFont="1" applyFill="1" applyBorder="1" applyProtection="1"/>
    <xf numFmtId="0" fontId="38" fillId="8" borderId="26" xfId="1" applyFont="1" applyFill="1" applyBorder="1" applyProtection="1"/>
    <xf numFmtId="0" fontId="49" fillId="4" borderId="26" xfId="1" applyFont="1" applyBorder="1" applyProtection="1"/>
    <xf numFmtId="0" fontId="16" fillId="17" borderId="60" xfId="0" applyFont="1" applyFill="1" applyBorder="1" applyAlignment="1" applyProtection="1">
      <alignment vertical="center"/>
    </xf>
    <xf numFmtId="0" fontId="16" fillId="17" borderId="61" xfId="0" applyFont="1" applyFill="1" applyBorder="1" applyAlignment="1" applyProtection="1">
      <alignment vertical="center"/>
    </xf>
    <xf numFmtId="0" fontId="38" fillId="36" borderId="46" xfId="0" applyFont="1" applyFill="1" applyBorder="1" applyAlignment="1" applyProtection="1">
      <alignment horizontal="center" vertical="center"/>
    </xf>
    <xf numFmtId="0" fontId="38" fillId="32" borderId="46" xfId="0" applyFont="1" applyFill="1" applyBorder="1" applyAlignment="1" applyProtection="1">
      <alignment horizontal="center" vertical="center"/>
    </xf>
    <xf numFmtId="0" fontId="41" fillId="36" borderId="26" xfId="0" applyFont="1" applyFill="1" applyBorder="1" applyAlignment="1" applyProtection="1">
      <alignment horizontal="center"/>
    </xf>
    <xf numFmtId="0" fontId="41" fillId="32" borderId="26" xfId="0" applyFont="1" applyFill="1" applyBorder="1" applyAlignment="1" applyProtection="1">
      <alignment horizontal="center"/>
    </xf>
    <xf numFmtId="0" fontId="0" fillId="17" borderId="26" xfId="0" applyFill="1" applyBorder="1" applyProtection="1"/>
    <xf numFmtId="3" fontId="49" fillId="0" borderId="26" xfId="0" applyNumberFormat="1" applyFont="1" applyFill="1" applyBorder="1" applyProtection="1"/>
    <xf numFmtId="168" fontId="49" fillId="0" borderId="26" xfId="7" applyNumberFormat="1" applyFont="1" applyFill="1" applyBorder="1" applyProtection="1"/>
    <xf numFmtId="0" fontId="16" fillId="17" borderId="26" xfId="0" applyFont="1" applyFill="1" applyBorder="1" applyAlignment="1" applyProtection="1">
      <alignment horizontal="center"/>
    </xf>
    <xf numFmtId="169" fontId="51" fillId="18" borderId="41" xfId="0" applyNumberFormat="1" applyFont="1" applyFill="1" applyBorder="1" applyProtection="1"/>
    <xf numFmtId="0" fontId="39" fillId="17" borderId="60" xfId="0" applyFont="1" applyFill="1" applyBorder="1" applyProtection="1"/>
    <xf numFmtId="168" fontId="51" fillId="36" borderId="41" xfId="7" applyNumberFormat="1" applyFont="1" applyFill="1" applyBorder="1" applyProtection="1"/>
    <xf numFmtId="168" fontId="49" fillId="32" borderId="41" xfId="7" applyNumberFormat="1" applyFont="1" applyFill="1" applyBorder="1" applyProtection="1"/>
    <xf numFmtId="3" fontId="39" fillId="0" borderId="26" xfId="0" applyNumberFormat="1" applyFont="1" applyFill="1" applyBorder="1" applyProtection="1"/>
    <xf numFmtId="168" fontId="50" fillId="0" borderId="26" xfId="0" applyNumberFormat="1" applyFont="1" applyFill="1" applyBorder="1" applyProtection="1"/>
    <xf numFmtId="168" fontId="49" fillId="14" borderId="26" xfId="0" applyNumberFormat="1" applyFont="1" applyFill="1" applyBorder="1" applyProtection="1"/>
    <xf numFmtId="0" fontId="38" fillId="0" borderId="26" xfId="0" applyFont="1" applyFill="1" applyBorder="1" applyAlignment="1" applyProtection="1">
      <alignment horizontal="center"/>
    </xf>
    <xf numFmtId="0" fontId="50" fillId="28" borderId="2" xfId="0" applyFont="1" applyFill="1" applyBorder="1" applyProtection="1"/>
    <xf numFmtId="0" fontId="49" fillId="28" borderId="2" xfId="0" applyFont="1" applyFill="1" applyBorder="1" applyProtection="1"/>
    <xf numFmtId="168" fontId="39" fillId="39" borderId="26" xfId="7" applyNumberFormat="1" applyFont="1" applyFill="1" applyBorder="1" applyProtection="1"/>
    <xf numFmtId="168" fontId="49" fillId="0" borderId="30" xfId="0" applyNumberFormat="1" applyFont="1" applyFill="1" applyBorder="1" applyProtection="1"/>
    <xf numFmtId="3" fontId="49" fillId="0" borderId="30" xfId="0" applyNumberFormat="1" applyFont="1" applyFill="1" applyBorder="1" applyProtection="1"/>
    <xf numFmtId="0" fontId="0" fillId="76" borderId="0" xfId="0" applyFill="1"/>
    <xf numFmtId="0" fontId="0" fillId="28" borderId="0" xfId="0" applyFill="1"/>
    <xf numFmtId="0" fontId="0" fillId="24" borderId="0" xfId="0" applyFill="1"/>
    <xf numFmtId="0" fontId="0" fillId="45" borderId="0" xfId="0" applyFill="1"/>
    <xf numFmtId="0" fontId="0" fillId="45" borderId="41" xfId="0" applyFill="1" applyBorder="1"/>
    <xf numFmtId="0" fontId="2" fillId="23" borderId="0" xfId="57" applyFill="1" applyAlignment="1">
      <alignment horizontal="right"/>
    </xf>
    <xf numFmtId="0" fontId="2" fillId="23" borderId="0" xfId="57" applyFill="1"/>
    <xf numFmtId="0" fontId="0" fillId="23" borderId="0" xfId="0" applyFill="1"/>
    <xf numFmtId="0" fontId="2" fillId="28" borderId="0" xfId="57" applyFill="1" applyAlignment="1">
      <alignment horizontal="right"/>
    </xf>
    <xf numFmtId="0" fontId="2" fillId="28" borderId="0" xfId="57" applyFill="1"/>
    <xf numFmtId="0" fontId="0" fillId="15" borderId="43" xfId="0" applyFill="1" applyBorder="1" applyProtection="1"/>
    <xf numFmtId="0" fontId="0" fillId="31" borderId="0" xfId="0" applyFill="1"/>
    <xf numFmtId="0" fontId="28" fillId="31" borderId="0" xfId="0" applyFont="1" applyFill="1"/>
    <xf numFmtId="0" fontId="34" fillId="20" borderId="0" xfId="0" applyFont="1" applyFill="1" applyBorder="1" applyProtection="1"/>
    <xf numFmtId="172" fontId="39" fillId="39" borderId="26" xfId="7" applyNumberFormat="1" applyFont="1" applyFill="1" applyBorder="1" applyProtection="1"/>
    <xf numFmtId="172" fontId="51" fillId="32" borderId="41" xfId="0" applyNumberFormat="1" applyFont="1" applyFill="1" applyBorder="1" applyProtection="1"/>
    <xf numFmtId="0" fontId="26" fillId="15" borderId="29" xfId="0" applyFont="1" applyFill="1" applyBorder="1" applyAlignment="1" applyProtection="1"/>
    <xf numFmtId="0" fontId="39" fillId="18" borderId="60" xfId="0" applyFont="1" applyFill="1" applyBorder="1" applyProtection="1"/>
    <xf numFmtId="0" fontId="39" fillId="18" borderId="61" xfId="0" applyFont="1" applyFill="1" applyBorder="1" applyProtection="1"/>
    <xf numFmtId="0" fontId="48" fillId="32" borderId="41" xfId="0" applyFont="1" applyFill="1" applyBorder="1" applyAlignment="1" applyProtection="1">
      <alignment horizontal="right"/>
    </xf>
    <xf numFmtId="0" fontId="48" fillId="36" borderId="41" xfId="0" applyFont="1" applyFill="1" applyBorder="1" applyAlignment="1" applyProtection="1">
      <alignment horizontal="right"/>
    </xf>
    <xf numFmtId="167" fontId="58" fillId="18" borderId="42" xfId="0" quotePrefix="1" applyNumberFormat="1" applyFont="1" applyFill="1" applyBorder="1" applyAlignment="1" applyProtection="1">
      <alignment horizontal="right"/>
    </xf>
    <xf numFmtId="9" fontId="25" fillId="0" borderId="2" xfId="11" applyFont="1" applyBorder="1"/>
    <xf numFmtId="9" fontId="26" fillId="38" borderId="2" xfId="11" applyFont="1" applyFill="1" applyBorder="1" applyAlignment="1">
      <alignment wrapText="1"/>
    </xf>
    <xf numFmtId="9" fontId="25" fillId="23" borderId="2" xfId="11" applyFont="1" applyFill="1" applyBorder="1"/>
    <xf numFmtId="9" fontId="25" fillId="28" borderId="2" xfId="11" applyFont="1" applyFill="1" applyBorder="1"/>
    <xf numFmtId="9" fontId="80" fillId="23" borderId="2" xfId="11" applyFont="1" applyFill="1" applyBorder="1"/>
    <xf numFmtId="9" fontId="25" fillId="8" borderId="2" xfId="11" applyFont="1" applyFill="1" applyBorder="1"/>
    <xf numFmtId="9" fontId="25" fillId="42" borderId="2" xfId="11" applyFont="1" applyFill="1" applyBorder="1"/>
    <xf numFmtId="9" fontId="25" fillId="0" borderId="2" xfId="11" applyFont="1" applyFill="1" applyBorder="1"/>
    <xf numFmtId="9" fontId="8" fillId="42" borderId="2" xfId="11" applyFont="1" applyFill="1" applyBorder="1"/>
    <xf numFmtId="165" fontId="8" fillId="23" borderId="2" xfId="11" applyNumberFormat="1" applyFont="1" applyFill="1" applyBorder="1"/>
    <xf numFmtId="9" fontId="8" fillId="23" borderId="2" xfId="11" applyFont="1" applyFill="1" applyBorder="1"/>
    <xf numFmtId="166" fontId="8" fillId="23" borderId="2" xfId="8" applyNumberFormat="1" applyFont="1" applyFill="1" applyBorder="1"/>
    <xf numFmtId="0" fontId="31" fillId="42" borderId="3" xfId="0" applyFont="1" applyFill="1" applyBorder="1" applyAlignment="1"/>
    <xf numFmtId="0" fontId="31" fillId="42" borderId="8" xfId="0" applyFont="1" applyFill="1" applyBorder="1" applyAlignment="1"/>
    <xf numFmtId="0" fontId="49" fillId="18" borderId="0" xfId="0" applyFont="1" applyFill="1" applyBorder="1" applyProtection="1"/>
    <xf numFmtId="0" fontId="50" fillId="18" borderId="8" xfId="0" applyFont="1" applyFill="1" applyBorder="1" applyAlignment="1" applyProtection="1"/>
    <xf numFmtId="0" fontId="50" fillId="18" borderId="2" xfId="0" applyFont="1" applyFill="1" applyBorder="1" applyAlignment="1" applyProtection="1"/>
    <xf numFmtId="0" fontId="0" fillId="18" borderId="0" xfId="0" applyFill="1" applyBorder="1" applyProtection="1"/>
    <xf numFmtId="0" fontId="49" fillId="18" borderId="28" xfId="0" applyFont="1" applyFill="1" applyBorder="1" applyProtection="1"/>
    <xf numFmtId="0" fontId="49" fillId="18" borderId="2" xfId="0" applyFont="1" applyFill="1" applyBorder="1" applyProtection="1"/>
    <xf numFmtId="0" fontId="50" fillId="18" borderId="0" xfId="0" applyFont="1" applyFill="1" applyBorder="1" applyProtection="1"/>
    <xf numFmtId="0" fontId="50" fillId="18" borderId="2" xfId="0" applyFont="1" applyFill="1" applyBorder="1" applyProtection="1"/>
    <xf numFmtId="0" fontId="50" fillId="18" borderId="8" xfId="0" applyFont="1" applyFill="1" applyBorder="1" applyAlignment="1" applyProtection="1">
      <alignment horizontal="center" vertical="center"/>
    </xf>
    <xf numFmtId="0" fontId="50" fillId="18" borderId="2" xfId="0" applyFont="1" applyFill="1" applyBorder="1" applyAlignment="1" applyProtection="1">
      <alignment horizontal="center" vertical="center"/>
    </xf>
    <xf numFmtId="10" fontId="49" fillId="18" borderId="2" xfId="11" applyNumberFormat="1" applyFont="1" applyFill="1" applyBorder="1" applyProtection="1"/>
    <xf numFmtId="178" fontId="49" fillId="18" borderId="2" xfId="0" applyNumberFormat="1" applyFont="1" applyFill="1" applyBorder="1" applyProtection="1"/>
    <xf numFmtId="170" fontId="49" fillId="18" borderId="2" xfId="0" applyNumberFormat="1" applyFont="1" applyFill="1" applyBorder="1" applyProtection="1"/>
    <xf numFmtId="39" fontId="49" fillId="18" borderId="2" xfId="0" applyNumberFormat="1" applyFont="1" applyFill="1" applyBorder="1" applyProtection="1"/>
    <xf numFmtId="170" fontId="39" fillId="18" borderId="2" xfId="0" applyNumberFormat="1" applyFont="1" applyFill="1" applyBorder="1" applyProtection="1"/>
    <xf numFmtId="170" fontId="50" fillId="18" borderId="2" xfId="0" applyNumberFormat="1" applyFont="1" applyFill="1" applyBorder="1" applyProtection="1"/>
    <xf numFmtId="42" fontId="50" fillId="18" borderId="2" xfId="0" applyNumberFormat="1" applyFont="1" applyFill="1" applyBorder="1" applyProtection="1"/>
    <xf numFmtId="42" fontId="39" fillId="18" borderId="2" xfId="0" applyNumberFormat="1" applyFont="1" applyFill="1" applyBorder="1" applyProtection="1"/>
    <xf numFmtId="10" fontId="38" fillId="18" borderId="2" xfId="11" applyNumberFormat="1" applyFont="1" applyFill="1" applyBorder="1" applyProtection="1"/>
    <xf numFmtId="10" fontId="50" fillId="18" borderId="2" xfId="0" applyNumberFormat="1" applyFont="1" applyFill="1" applyBorder="1" applyAlignment="1" applyProtection="1"/>
    <xf numFmtId="178" fontId="39" fillId="18" borderId="2" xfId="0" applyNumberFormat="1" applyFont="1" applyFill="1" applyBorder="1" applyAlignment="1" applyProtection="1"/>
    <xf numFmtId="166" fontId="39" fillId="18" borderId="2" xfId="0" applyNumberFormat="1" applyFont="1" applyFill="1" applyBorder="1" applyAlignment="1" applyProtection="1"/>
    <xf numFmtId="43" fontId="39" fillId="18" borderId="2" xfId="7" applyFont="1" applyFill="1" applyBorder="1" applyAlignment="1" applyProtection="1"/>
    <xf numFmtId="0" fontId="49" fillId="18" borderId="8" xfId="0" applyFont="1" applyFill="1" applyBorder="1" applyProtection="1"/>
    <xf numFmtId="10" fontId="39" fillId="18" borderId="2" xfId="11" applyNumberFormat="1" applyFont="1" applyFill="1" applyBorder="1" applyAlignment="1" applyProtection="1"/>
    <xf numFmtId="178" fontId="49" fillId="18" borderId="2" xfId="7" applyNumberFormat="1" applyFont="1" applyFill="1" applyBorder="1" applyProtection="1"/>
    <xf numFmtId="170" fontId="49" fillId="18" borderId="2" xfId="7" applyNumberFormat="1" applyFont="1" applyFill="1" applyBorder="1" applyProtection="1"/>
    <xf numFmtId="39" fontId="49" fillId="18" borderId="2" xfId="8" applyNumberFormat="1" applyFont="1" applyFill="1" applyBorder="1" applyProtection="1"/>
    <xf numFmtId="42" fontId="49" fillId="18" borderId="2" xfId="8" applyNumberFormat="1" applyFont="1" applyFill="1" applyBorder="1" applyProtection="1"/>
    <xf numFmtId="166" fontId="39" fillId="18" borderId="2" xfId="8" applyNumberFormat="1" applyFont="1" applyFill="1" applyBorder="1" applyAlignment="1" applyProtection="1"/>
    <xf numFmtId="0" fontId="39" fillId="18" borderId="2" xfId="0" applyFont="1" applyFill="1" applyBorder="1" applyProtection="1"/>
    <xf numFmtId="165" fontId="39" fillId="18" borderId="2" xfId="11" applyNumberFormat="1" applyFont="1" applyFill="1" applyBorder="1" applyAlignment="1" applyProtection="1">
      <alignment horizontal="center" vertical="center"/>
    </xf>
    <xf numFmtId="0" fontId="39" fillId="18" borderId="8" xfId="0" applyFont="1" applyFill="1" applyBorder="1" applyProtection="1"/>
    <xf numFmtId="166" fontId="39" fillId="18" borderId="2" xfId="8" applyNumberFormat="1" applyFont="1" applyFill="1" applyBorder="1" applyAlignment="1" applyProtection="1">
      <alignment horizontal="center" vertical="center"/>
    </xf>
    <xf numFmtId="43" fontId="39" fillId="18" borderId="2" xfId="7" applyFont="1" applyFill="1" applyBorder="1" applyAlignment="1" applyProtection="1">
      <alignment horizontal="center" vertical="center"/>
    </xf>
    <xf numFmtId="0" fontId="49" fillId="18" borderId="8" xfId="0" quotePrefix="1" applyFont="1" applyFill="1" applyBorder="1" applyProtection="1"/>
    <xf numFmtId="166" fontId="50" fillId="18" borderId="2" xfId="8" applyNumberFormat="1" applyFont="1" applyFill="1" applyBorder="1" applyProtection="1"/>
    <xf numFmtId="42" fontId="49" fillId="18" borderId="2" xfId="0" applyNumberFormat="1" applyFont="1" applyFill="1" applyBorder="1" applyProtection="1"/>
    <xf numFmtId="0" fontId="50" fillId="18" borderId="2" xfId="0" applyFont="1" applyFill="1" applyBorder="1" applyAlignment="1" applyProtection="1">
      <alignment horizontal="left" vertical="center"/>
    </xf>
    <xf numFmtId="0" fontId="93" fillId="18" borderId="2" xfId="0" applyFont="1" applyFill="1" applyBorder="1" applyAlignment="1" applyProtection="1">
      <alignment vertical="center"/>
    </xf>
    <xf numFmtId="0" fontId="50" fillId="18" borderId="2" xfId="0" applyFont="1" applyFill="1" applyBorder="1" applyAlignment="1" applyProtection="1">
      <alignment vertical="center"/>
    </xf>
    <xf numFmtId="0" fontId="50" fillId="18" borderId="8" xfId="0" applyFont="1" applyFill="1" applyBorder="1" applyProtection="1"/>
    <xf numFmtId="10" fontId="50" fillId="18" borderId="2" xfId="11" applyNumberFormat="1" applyFont="1" applyFill="1" applyBorder="1" applyProtection="1"/>
    <xf numFmtId="0" fontId="82" fillId="18" borderId="8" xfId="0" applyFont="1" applyFill="1" applyBorder="1" applyAlignment="1" applyProtection="1"/>
    <xf numFmtId="0" fontId="82" fillId="18" borderId="2" xfId="0" applyFont="1" applyFill="1" applyBorder="1" applyAlignment="1" applyProtection="1"/>
    <xf numFmtId="0" fontId="50" fillId="18" borderId="2" xfId="0" applyFont="1" applyFill="1" applyBorder="1" applyAlignment="1" applyProtection="1">
      <alignment horizontal="center"/>
    </xf>
    <xf numFmtId="166" fontId="49" fillId="18" borderId="2" xfId="8" applyNumberFormat="1" applyFont="1" applyFill="1" applyBorder="1" applyProtection="1"/>
    <xf numFmtId="43" fontId="49" fillId="18" borderId="2" xfId="7" applyFont="1" applyFill="1" applyBorder="1" applyProtection="1"/>
    <xf numFmtId="44" fontId="49" fillId="18" borderId="2" xfId="8" applyNumberFormat="1" applyFont="1" applyFill="1" applyBorder="1" applyProtection="1"/>
    <xf numFmtId="0" fontId="20" fillId="18" borderId="2" xfId="0" applyFont="1" applyFill="1" applyBorder="1" applyAlignment="1" applyProtection="1"/>
    <xf numFmtId="42" fontId="38" fillId="18" borderId="2" xfId="0" applyNumberFormat="1" applyFont="1" applyFill="1" applyBorder="1" applyProtection="1"/>
    <xf numFmtId="10" fontId="49" fillId="18" borderId="2" xfId="11" applyNumberFormat="1" applyFont="1" applyFill="1" applyBorder="1" applyAlignment="1" applyProtection="1">
      <alignment horizontal="right" vertical="center"/>
    </xf>
    <xf numFmtId="10" fontId="39" fillId="18" borderId="2" xfId="11" applyNumberFormat="1" applyFont="1" applyFill="1" applyBorder="1" applyProtection="1"/>
    <xf numFmtId="43" fontId="49" fillId="18" borderId="2" xfId="0" applyNumberFormat="1" applyFont="1" applyFill="1" applyBorder="1" applyProtection="1"/>
    <xf numFmtId="0" fontId="49" fillId="18" borderId="8" xfId="0" applyFont="1" applyFill="1" applyBorder="1" applyAlignment="1" applyProtection="1">
      <alignment horizontal="right"/>
    </xf>
    <xf numFmtId="0" fontId="38" fillId="18" borderId="8" xfId="0" applyFont="1" applyFill="1" applyBorder="1" applyAlignment="1" applyProtection="1">
      <alignment horizontal="left"/>
    </xf>
    <xf numFmtId="10" fontId="49" fillId="18" borderId="2" xfId="0" applyNumberFormat="1" applyFont="1" applyFill="1" applyBorder="1" applyProtection="1"/>
    <xf numFmtId="166" fontId="49" fillId="18" borderId="2" xfId="0" applyNumberFormat="1" applyFont="1" applyFill="1" applyBorder="1" applyProtection="1"/>
    <xf numFmtId="0" fontId="49" fillId="18" borderId="2" xfId="0" applyFont="1" applyFill="1" applyBorder="1" applyAlignment="1" applyProtection="1">
      <alignment horizontal="right"/>
    </xf>
    <xf numFmtId="0" fontId="39" fillId="18" borderId="0" xfId="0" applyFont="1" applyFill="1" applyBorder="1" applyAlignment="1" applyProtection="1">
      <alignment horizontal="right"/>
    </xf>
    <xf numFmtId="0" fontId="39" fillId="18" borderId="2" xfId="0" applyFont="1" applyFill="1" applyBorder="1" applyAlignment="1" applyProtection="1">
      <alignment horizontal="right"/>
    </xf>
    <xf numFmtId="0" fontId="39" fillId="18" borderId="8" xfId="0" applyFont="1" applyFill="1" applyBorder="1" applyAlignment="1" applyProtection="1">
      <alignment horizontal="right" vertical="center"/>
    </xf>
    <xf numFmtId="0" fontId="39" fillId="18" borderId="2" xfId="0" applyFont="1" applyFill="1" applyBorder="1" applyAlignment="1" applyProtection="1">
      <alignment horizontal="left" vertical="center"/>
    </xf>
    <xf numFmtId="9" fontId="39" fillId="18" borderId="2" xfId="11" applyFont="1" applyFill="1" applyBorder="1" applyAlignment="1" applyProtection="1">
      <alignment horizontal="right" vertical="center"/>
    </xf>
    <xf numFmtId="9" fontId="49" fillId="18" borderId="2" xfId="11" applyFont="1" applyFill="1" applyBorder="1" applyProtection="1"/>
    <xf numFmtId="177" fontId="49" fillId="18" borderId="2" xfId="7" applyNumberFormat="1" applyFont="1" applyFill="1" applyBorder="1" applyProtection="1"/>
    <xf numFmtId="39" fontId="49" fillId="18" borderId="2" xfId="7" applyNumberFormat="1" applyFont="1" applyFill="1" applyBorder="1" applyProtection="1"/>
    <xf numFmtId="42" fontId="49" fillId="18" borderId="2" xfId="7" applyNumberFormat="1" applyFont="1" applyFill="1" applyBorder="1" applyProtection="1"/>
    <xf numFmtId="0" fontId="49" fillId="45" borderId="0" xfId="0" applyFont="1" applyFill="1" applyBorder="1" applyProtection="1"/>
    <xf numFmtId="0" fontId="50" fillId="45" borderId="8" xfId="0" applyFont="1" applyFill="1" applyBorder="1" applyAlignment="1" applyProtection="1"/>
    <xf numFmtId="0" fontId="50" fillId="45" borderId="2" xfId="0" applyFont="1" applyFill="1" applyBorder="1" applyAlignment="1" applyProtection="1"/>
    <xf numFmtId="42" fontId="49" fillId="45" borderId="2" xfId="0" applyNumberFormat="1" applyFont="1" applyFill="1" applyBorder="1" applyProtection="1"/>
    <xf numFmtId="0" fontId="0" fillId="45" borderId="26" xfId="0" applyFill="1" applyBorder="1" applyProtection="1"/>
    <xf numFmtId="0" fontId="50" fillId="45" borderId="0" xfId="0" applyFont="1" applyFill="1" applyBorder="1" applyProtection="1"/>
    <xf numFmtId="0" fontId="50" fillId="45" borderId="2" xfId="0" applyFont="1" applyFill="1" applyBorder="1" applyProtection="1"/>
    <xf numFmtId="0" fontId="50" fillId="45" borderId="8" xfId="0" applyFont="1" applyFill="1" applyBorder="1" applyAlignment="1" applyProtection="1">
      <alignment horizontal="center" vertical="center"/>
    </xf>
    <xf numFmtId="0" fontId="50" fillId="45" borderId="2" xfId="0" applyFont="1" applyFill="1" applyBorder="1" applyAlignment="1" applyProtection="1">
      <alignment horizontal="center" vertical="center"/>
    </xf>
    <xf numFmtId="42" fontId="50" fillId="45" borderId="2" xfId="0" applyNumberFormat="1" applyFont="1" applyFill="1" applyBorder="1" applyProtection="1"/>
    <xf numFmtId="0" fontId="49" fillId="45" borderId="8" xfId="0" applyFont="1" applyFill="1" applyBorder="1" applyProtection="1"/>
    <xf numFmtId="168" fontId="51" fillId="45" borderId="2" xfId="7" applyNumberFormat="1" applyFont="1" applyFill="1" applyBorder="1" applyProtection="1"/>
    <xf numFmtId="170" fontId="49" fillId="45" borderId="2" xfId="0" applyNumberFormat="1" applyFont="1" applyFill="1" applyBorder="1" applyProtection="1"/>
    <xf numFmtId="39" fontId="49" fillId="45" borderId="2" xfId="0" applyNumberFormat="1" applyFont="1" applyFill="1" applyBorder="1" applyProtection="1"/>
    <xf numFmtId="166" fontId="49" fillId="45" borderId="2" xfId="8" applyNumberFormat="1" applyFont="1" applyFill="1" applyBorder="1" applyProtection="1"/>
    <xf numFmtId="0" fontId="49" fillId="27" borderId="0" xfId="0" applyFont="1" applyFill="1" applyBorder="1" applyProtection="1"/>
    <xf numFmtId="0" fontId="0" fillId="27" borderId="26" xfId="0" applyFill="1" applyBorder="1" applyProtection="1"/>
    <xf numFmtId="0" fontId="50" fillId="27" borderId="0" xfId="0" applyFont="1" applyFill="1" applyBorder="1" applyProtection="1"/>
    <xf numFmtId="0" fontId="50" fillId="27" borderId="8" xfId="0" applyFont="1" applyFill="1" applyBorder="1" applyAlignment="1" applyProtection="1">
      <alignment horizontal="center" vertical="center"/>
    </xf>
    <xf numFmtId="0" fontId="50" fillId="27" borderId="2" xfId="0" applyFont="1" applyFill="1" applyBorder="1" applyAlignment="1" applyProtection="1">
      <alignment horizontal="center" vertical="center"/>
    </xf>
    <xf numFmtId="42" fontId="50" fillId="27" borderId="2" xfId="0" applyNumberFormat="1" applyFont="1" applyFill="1" applyBorder="1" applyProtection="1"/>
    <xf numFmtId="166" fontId="51" fillId="27" borderId="2" xfId="8" applyNumberFormat="1" applyFont="1" applyFill="1" applyBorder="1" applyProtection="1"/>
    <xf numFmtId="44" fontId="51" fillId="27" borderId="2" xfId="8" applyNumberFormat="1" applyFont="1" applyFill="1" applyBorder="1" applyProtection="1"/>
    <xf numFmtId="0" fontId="49" fillId="41" borderId="0" xfId="0" applyFont="1" applyFill="1" applyBorder="1" applyProtection="1"/>
    <xf numFmtId="0" fontId="49" fillId="41" borderId="2" xfId="0" applyFont="1" applyFill="1" applyBorder="1" applyProtection="1"/>
    <xf numFmtId="0" fontId="50" fillId="41" borderId="8" xfId="0" applyFont="1" applyFill="1" applyBorder="1" applyAlignment="1" applyProtection="1"/>
    <xf numFmtId="0" fontId="50" fillId="41" borderId="2" xfId="0" applyFont="1" applyFill="1" applyBorder="1" applyAlignment="1" applyProtection="1"/>
    <xf numFmtId="0" fontId="0" fillId="41" borderId="26" xfId="0" applyFill="1" applyBorder="1" applyProtection="1"/>
    <xf numFmtId="0" fontId="50" fillId="41" borderId="0" xfId="0" applyFont="1" applyFill="1" applyBorder="1" applyProtection="1"/>
    <xf numFmtId="0" fontId="50" fillId="41" borderId="2" xfId="0" applyFont="1" applyFill="1" applyBorder="1" applyProtection="1"/>
    <xf numFmtId="0" fontId="49" fillId="41" borderId="8" xfId="0" applyFont="1" applyFill="1" applyBorder="1" applyProtection="1"/>
    <xf numFmtId="166" fontId="51" fillId="41" borderId="2" xfId="8" applyNumberFormat="1" applyFont="1" applyFill="1" applyBorder="1" applyProtection="1"/>
    <xf numFmtId="170" fontId="49" fillId="41" borderId="2" xfId="0" applyNumberFormat="1" applyFont="1" applyFill="1" applyBorder="1" applyProtection="1"/>
    <xf numFmtId="39" fontId="49" fillId="41" borderId="2" xfId="0" applyNumberFormat="1" applyFont="1" applyFill="1" applyBorder="1" applyProtection="1"/>
    <xf numFmtId="42" fontId="49" fillId="41" borderId="2" xfId="0" applyNumberFormat="1" applyFont="1" applyFill="1" applyBorder="1" applyProtection="1"/>
    <xf numFmtId="166" fontId="49" fillId="41" borderId="2" xfId="0" applyNumberFormat="1" applyFont="1" applyFill="1" applyBorder="1" applyProtection="1"/>
    <xf numFmtId="43" fontId="49" fillId="41" borderId="2" xfId="7" applyFont="1" applyFill="1" applyBorder="1" applyProtection="1"/>
    <xf numFmtId="166" fontId="49" fillId="41" borderId="2" xfId="8" applyNumberFormat="1" applyFont="1" applyFill="1" applyBorder="1" applyProtection="1"/>
    <xf numFmtId="167" fontId="51" fillId="41" borderId="2" xfId="11" applyNumberFormat="1" applyFont="1" applyFill="1" applyBorder="1" applyProtection="1"/>
    <xf numFmtId="0" fontId="50" fillId="25" borderId="2" xfId="0" applyFont="1" applyFill="1" applyBorder="1" applyAlignment="1" applyProtection="1"/>
    <xf numFmtId="0" fontId="38" fillId="45" borderId="2" xfId="0" applyFont="1" applyFill="1" applyBorder="1" applyProtection="1"/>
    <xf numFmtId="0" fontId="59" fillId="20" borderId="38" xfId="0" applyFont="1" applyFill="1" applyBorder="1" applyAlignment="1" applyProtection="1">
      <alignment horizontal="center"/>
    </xf>
    <xf numFmtId="0" fontId="0" fillId="15" borderId="28" xfId="0" applyFill="1" applyBorder="1" applyProtection="1"/>
    <xf numFmtId="0" fontId="21" fillId="4" borderId="2" xfId="1" applyBorder="1" applyProtection="1"/>
    <xf numFmtId="0" fontId="49" fillId="18" borderId="2" xfId="0" quotePrefix="1" applyFont="1" applyFill="1" applyBorder="1" applyProtection="1"/>
    <xf numFmtId="166" fontId="39" fillId="27" borderId="2" xfId="0" applyNumberFormat="1" applyFont="1" applyFill="1" applyBorder="1" applyAlignment="1" applyProtection="1">
      <alignment horizontal="center" vertical="center"/>
    </xf>
    <xf numFmtId="43" fontId="39" fillId="27" borderId="2" xfId="7" applyFont="1" applyFill="1" applyBorder="1" applyAlignment="1" applyProtection="1">
      <alignment horizontal="center" vertical="center"/>
    </xf>
    <xf numFmtId="0" fontId="39" fillId="27" borderId="2" xfId="0" applyFont="1" applyFill="1" applyBorder="1" applyProtection="1"/>
    <xf numFmtId="0" fontId="49" fillId="79" borderId="2" xfId="0" applyFont="1" applyFill="1" applyBorder="1" applyProtection="1"/>
    <xf numFmtId="0" fontId="91" fillId="37" borderId="2" xfId="0" applyFont="1" applyFill="1" applyBorder="1" applyProtection="1"/>
    <xf numFmtId="0" fontId="91" fillId="37" borderId="2" xfId="0" applyFont="1" applyFill="1" applyBorder="1" applyAlignment="1" applyProtection="1">
      <alignment vertical="center"/>
    </xf>
    <xf numFmtId="9" fontId="49" fillId="26" borderId="2" xfId="0" applyNumberFormat="1" applyFont="1" applyFill="1" applyBorder="1" applyProtection="1"/>
    <xf numFmtId="0" fontId="49" fillId="26" borderId="2" xfId="0" applyFont="1" applyFill="1" applyBorder="1" applyProtection="1"/>
    <xf numFmtId="0" fontId="49" fillId="26" borderId="8" xfId="0" applyFont="1" applyFill="1" applyBorder="1" applyProtection="1"/>
    <xf numFmtId="168" fontId="51" fillId="26" borderId="2" xfId="7" applyNumberFormat="1" applyFont="1" applyFill="1" applyBorder="1" applyProtection="1"/>
    <xf numFmtId="170" fontId="49" fillId="26" borderId="2" xfId="0" applyNumberFormat="1" applyFont="1" applyFill="1" applyBorder="1" applyProtection="1"/>
    <xf numFmtId="39" fontId="49" fillId="26" borderId="2" xfId="0" applyNumberFormat="1" applyFont="1" applyFill="1" applyBorder="1" applyProtection="1"/>
    <xf numFmtId="42" fontId="49" fillId="26" borderId="2" xfId="0" applyNumberFormat="1" applyFont="1" applyFill="1" applyBorder="1" applyProtection="1"/>
    <xf numFmtId="0" fontId="0" fillId="26" borderId="26" xfId="0" applyFill="1" applyBorder="1" applyProtection="1"/>
    <xf numFmtId="0" fontId="49" fillId="79" borderId="0" xfId="0" applyFont="1" applyFill="1" applyBorder="1" applyProtection="1"/>
    <xf numFmtId="9" fontId="49" fillId="79" borderId="2" xfId="0" applyNumberFormat="1" applyFont="1" applyFill="1" applyBorder="1" applyProtection="1"/>
    <xf numFmtId="0" fontId="49" fillId="79" borderId="8" xfId="0" applyFont="1" applyFill="1" applyBorder="1" applyProtection="1"/>
    <xf numFmtId="168" fontId="51" fillId="79" borderId="2" xfId="7" applyNumberFormat="1" applyFont="1" applyFill="1" applyBorder="1" applyProtection="1"/>
    <xf numFmtId="170" fontId="49" fillId="79" borderId="2" xfId="0" applyNumberFormat="1" applyFont="1" applyFill="1" applyBorder="1" applyProtection="1"/>
    <xf numFmtId="39" fontId="49" fillId="79" borderId="2" xfId="0" applyNumberFormat="1" applyFont="1" applyFill="1" applyBorder="1" applyProtection="1"/>
    <xf numFmtId="42" fontId="49" fillId="79" borderId="2" xfId="0" applyNumberFormat="1" applyFont="1" applyFill="1" applyBorder="1" applyProtection="1"/>
    <xf numFmtId="0" fontId="0" fillId="79" borderId="26" xfId="0" applyFill="1" applyBorder="1" applyProtection="1"/>
    <xf numFmtId="41" fontId="51" fillId="36" borderId="41" xfId="0" applyNumberFormat="1" applyFont="1" applyFill="1" applyBorder="1" applyAlignment="1" applyProtection="1">
      <alignment horizontal="right"/>
    </xf>
    <xf numFmtId="41" fontId="51" fillId="32" borderId="41" xfId="0" applyNumberFormat="1" applyFont="1" applyFill="1" applyBorder="1" applyProtection="1"/>
    <xf numFmtId="0" fontId="38" fillId="24" borderId="41" xfId="0" applyFont="1" applyFill="1" applyBorder="1" applyAlignment="1" applyProtection="1">
      <alignment horizontal="center"/>
    </xf>
    <xf numFmtId="0" fontId="38" fillId="19" borderId="41" xfId="0" applyFont="1" applyFill="1" applyBorder="1" applyAlignment="1" applyProtection="1">
      <alignment horizontal="center"/>
    </xf>
    <xf numFmtId="41" fontId="49" fillId="18" borderId="41" xfId="0" applyNumberFormat="1" applyFont="1" applyFill="1" applyBorder="1" applyAlignment="1" applyProtection="1"/>
    <xf numFmtId="1" fontId="41" fillId="36" borderId="41" xfId="0" quotePrefix="1" applyNumberFormat="1" applyFont="1" applyFill="1" applyBorder="1" applyAlignment="1" applyProtection="1">
      <alignment horizontal="right"/>
    </xf>
    <xf numFmtId="1" fontId="39" fillId="32" borderId="41" xfId="0" applyNumberFormat="1" applyFont="1" applyFill="1" applyBorder="1" applyAlignment="1" applyProtection="1">
      <alignment horizontal="right"/>
    </xf>
    <xf numFmtId="0" fontId="99" fillId="0" borderId="0" xfId="71"/>
    <xf numFmtId="0" fontId="39" fillId="15" borderId="87" xfId="0" applyFont="1" applyFill="1" applyBorder="1"/>
    <xf numFmtId="0" fontId="38" fillId="15" borderId="11" xfId="0" applyFont="1" applyFill="1" applyBorder="1"/>
    <xf numFmtId="0" fontId="39" fillId="15" borderId="11" xfId="0" applyFont="1" applyFill="1" applyBorder="1"/>
    <xf numFmtId="0" fontId="38" fillId="15" borderId="4" xfId="0" applyFont="1" applyFill="1" applyBorder="1"/>
    <xf numFmtId="0" fontId="39" fillId="15" borderId="4" xfId="0" applyFont="1" applyFill="1" applyBorder="1"/>
    <xf numFmtId="0" fontId="38" fillId="15" borderId="11" xfId="0" applyFont="1" applyFill="1" applyBorder="1" applyAlignment="1">
      <alignment vertical="center"/>
    </xf>
    <xf numFmtId="0" fontId="39" fillId="15" borderId="2" xfId="0" applyFont="1" applyFill="1" applyBorder="1" applyAlignment="1">
      <alignment vertical="center"/>
    </xf>
    <xf numFmtId="0" fontId="38" fillId="15" borderId="87" xfId="0" applyFont="1" applyFill="1" applyBorder="1"/>
    <xf numFmtId="0" fontId="41" fillId="15" borderId="4" xfId="0" applyFont="1" applyFill="1" applyBorder="1"/>
    <xf numFmtId="0" fontId="41" fillId="15" borderId="87" xfId="0" applyFont="1" applyFill="1" applyBorder="1"/>
    <xf numFmtId="0" fontId="109" fillId="15" borderId="11" xfId="71" applyFont="1" applyFill="1" applyBorder="1"/>
    <xf numFmtId="0" fontId="39" fillId="15" borderId="11" xfId="0" applyFont="1" applyFill="1" applyBorder="1" applyAlignment="1">
      <alignment vertical="center"/>
    </xf>
    <xf numFmtId="0" fontId="109" fillId="15" borderId="4" xfId="71" applyFont="1" applyFill="1" applyBorder="1" applyAlignment="1">
      <alignment vertical="center"/>
    </xf>
    <xf numFmtId="0" fontId="41" fillId="37" borderId="11" xfId="0" applyFont="1" applyFill="1" applyBorder="1" applyAlignment="1">
      <alignment horizontal="center"/>
    </xf>
    <xf numFmtId="6" fontId="39" fillId="14" borderId="11" xfId="0" applyNumberFormat="1" applyFont="1" applyFill="1" applyBorder="1" applyAlignment="1">
      <alignment horizontal="right"/>
    </xf>
    <xf numFmtId="0" fontId="39" fillId="38" borderId="11" xfId="0" applyFont="1" applyFill="1" applyBorder="1" applyAlignment="1">
      <alignment horizontal="right"/>
    </xf>
    <xf numFmtId="0" fontId="39" fillId="78" borderId="11" xfId="0" applyFont="1" applyFill="1" applyBorder="1" applyAlignment="1">
      <alignment horizontal="right"/>
    </xf>
    <xf numFmtId="0" fontId="110" fillId="15" borderId="87" xfId="0" applyFont="1" applyFill="1" applyBorder="1" applyAlignment="1">
      <alignment vertical="center"/>
    </xf>
    <xf numFmtId="0" fontId="39" fillId="15" borderId="11" xfId="0" applyFont="1" applyFill="1" applyBorder="1" applyAlignment="1">
      <alignment horizontal="left"/>
    </xf>
    <xf numFmtId="0" fontId="111" fillId="15" borderId="11" xfId="71" applyFont="1" applyFill="1" applyBorder="1"/>
    <xf numFmtId="168" fontId="16" fillId="29" borderId="41" xfId="0" applyNumberFormat="1" applyFont="1" applyFill="1" applyBorder="1" applyAlignment="1" applyProtection="1">
      <alignment horizontal="right"/>
    </xf>
    <xf numFmtId="168" fontId="16" fillId="29" borderId="26" xfId="0" applyNumberFormat="1" applyFont="1" applyFill="1" applyBorder="1" applyAlignment="1" applyProtection="1">
      <alignment horizontal="right"/>
    </xf>
    <xf numFmtId="167" fontId="51" fillId="45" borderId="41" xfId="7" applyNumberFormat="1" applyFont="1" applyFill="1" applyBorder="1" applyAlignment="1" applyProtection="1">
      <alignment horizontal="right"/>
    </xf>
    <xf numFmtId="0" fontId="49" fillId="45" borderId="41" xfId="0" applyFont="1" applyFill="1" applyBorder="1" applyProtection="1"/>
    <xf numFmtId="168" fontId="51" fillId="45" borderId="41" xfId="7" applyNumberFormat="1" applyFont="1" applyFill="1" applyBorder="1" applyAlignment="1" applyProtection="1">
      <alignment horizontal="right"/>
    </xf>
    <xf numFmtId="41" fontId="49" fillId="45" borderId="41" xfId="0" applyNumberFormat="1" applyFont="1" applyFill="1" applyBorder="1" applyProtection="1"/>
    <xf numFmtId="0" fontId="25" fillId="73" borderId="2" xfId="0" applyFont="1" applyFill="1" applyBorder="1"/>
    <xf numFmtId="0" fontId="2" fillId="31" borderId="0" xfId="57" applyFill="1" applyAlignment="1">
      <alignment horizontal="right"/>
    </xf>
    <xf numFmtId="0" fontId="2" fillId="31" borderId="0" xfId="57" applyFill="1"/>
    <xf numFmtId="0" fontId="39" fillId="32" borderId="26" xfId="0" applyFont="1" applyFill="1" applyBorder="1" applyProtection="1"/>
    <xf numFmtId="0" fontId="39" fillId="36" borderId="26" xfId="0" applyFont="1" applyFill="1" applyBorder="1" applyProtection="1"/>
    <xf numFmtId="167" fontId="39" fillId="36" borderId="26" xfId="0" applyNumberFormat="1" applyFont="1" applyFill="1" applyBorder="1" applyProtection="1"/>
    <xf numFmtId="0" fontId="39" fillId="18" borderId="26" xfId="0" applyFont="1" applyFill="1" applyBorder="1" applyProtection="1"/>
    <xf numFmtId="3" fontId="39" fillId="36" borderId="26" xfId="0" applyNumberFormat="1" applyFont="1" applyFill="1" applyBorder="1" applyProtection="1"/>
    <xf numFmtId="167" fontId="39" fillId="32" borderId="26" xfId="0" applyNumberFormat="1" applyFont="1" applyFill="1" applyBorder="1" applyProtection="1"/>
    <xf numFmtId="3" fontId="39" fillId="32" borderId="26" xfId="0" applyNumberFormat="1" applyFont="1" applyFill="1" applyBorder="1" applyProtection="1"/>
    <xf numFmtId="0" fontId="33" fillId="9" borderId="72" xfId="0" applyFont="1" applyFill="1" applyBorder="1" applyAlignment="1" applyProtection="1">
      <alignment vertical="center"/>
    </xf>
    <xf numFmtId="0" fontId="0" fillId="15" borderId="0" xfId="0" applyFill="1" applyBorder="1" applyAlignment="1" applyProtection="1">
      <alignment wrapText="1"/>
    </xf>
    <xf numFmtId="168" fontId="51" fillId="18" borderId="41" xfId="7" applyNumberFormat="1" applyFont="1" applyFill="1" applyBorder="1" applyAlignment="1" applyProtection="1">
      <alignment wrapText="1"/>
    </xf>
    <xf numFmtId="0" fontId="0" fillId="15" borderId="26" xfId="0" applyFill="1" applyBorder="1" applyAlignment="1" applyProtection="1">
      <alignment wrapText="1"/>
    </xf>
    <xf numFmtId="0" fontId="0" fillId="15" borderId="29" xfId="0" applyFill="1" applyBorder="1" applyAlignment="1" applyProtection="1">
      <alignment wrapText="1"/>
    </xf>
    <xf numFmtId="0" fontId="0" fillId="15" borderId="30" xfId="0" applyFill="1" applyBorder="1" applyAlignment="1" applyProtection="1">
      <alignment wrapText="1"/>
    </xf>
    <xf numFmtId="165" fontId="41" fillId="17" borderId="41" xfId="11" applyNumberFormat="1" applyFont="1" applyFill="1" applyBorder="1" applyAlignment="1" applyProtection="1">
      <alignment horizontal="right"/>
    </xf>
    <xf numFmtId="0" fontId="41" fillId="39" borderId="41" xfId="0" applyFont="1" applyFill="1" applyBorder="1" applyAlignment="1" applyProtection="1"/>
    <xf numFmtId="0" fontId="16" fillId="46" borderId="41" xfId="0" applyFont="1" applyFill="1" applyBorder="1" applyAlignment="1" applyProtection="1">
      <alignment horizontal="left"/>
    </xf>
    <xf numFmtId="0" fontId="41" fillId="18" borderId="41" xfId="0" applyFont="1" applyFill="1" applyBorder="1" applyAlignment="1" applyProtection="1">
      <alignment horizontal="right"/>
    </xf>
    <xf numFmtId="0" fontId="16" fillId="17" borderId="41" xfId="0" applyFont="1" applyFill="1" applyBorder="1" applyAlignment="1" applyProtection="1">
      <alignment horizontal="left"/>
    </xf>
    <xf numFmtId="0" fontId="16" fillId="46" borderId="29" xfId="0" applyFont="1" applyFill="1" applyBorder="1" applyAlignment="1" applyProtection="1">
      <alignment horizontal="center"/>
    </xf>
    <xf numFmtId="0" fontId="49" fillId="39" borderId="26" xfId="1" applyFont="1" applyFill="1" applyBorder="1" applyAlignment="1" applyProtection="1">
      <alignment horizontal="right"/>
    </xf>
    <xf numFmtId="0" fontId="48" fillId="39" borderId="41" xfId="0" applyFont="1" applyFill="1" applyBorder="1" applyAlignment="1" applyProtection="1">
      <alignment horizontal="right"/>
    </xf>
    <xf numFmtId="41" fontId="49" fillId="39" borderId="26" xfId="1" applyNumberFormat="1" applyFont="1" applyFill="1" applyBorder="1" applyAlignment="1" applyProtection="1">
      <alignment horizontal="right"/>
    </xf>
    <xf numFmtId="165" fontId="49" fillId="39" borderId="26" xfId="1" applyNumberFormat="1" applyFont="1" applyFill="1" applyBorder="1" applyProtection="1"/>
    <xf numFmtId="167" fontId="49" fillId="39" borderId="26" xfId="1" applyNumberFormat="1" applyFont="1" applyFill="1" applyBorder="1" applyProtection="1"/>
    <xf numFmtId="0" fontId="2" fillId="0" borderId="0" xfId="57" applyFill="1" applyAlignment="1">
      <alignment horizontal="right"/>
    </xf>
    <xf numFmtId="0" fontId="2" fillId="0" borderId="0" xfId="57" applyFill="1"/>
    <xf numFmtId="167" fontId="41" fillId="39" borderId="26" xfId="1" applyNumberFormat="1" applyFont="1" applyFill="1" applyBorder="1" applyProtection="1"/>
    <xf numFmtId="170" fontId="51" fillId="39" borderId="26" xfId="7" applyNumberFormat="1" applyFont="1" applyFill="1" applyBorder="1" applyProtection="1"/>
    <xf numFmtId="5" fontId="39" fillId="39" borderId="26" xfId="7" applyNumberFormat="1" applyFont="1" applyFill="1" applyBorder="1" applyProtection="1"/>
    <xf numFmtId="165" fontId="49" fillId="39" borderId="26" xfId="11" applyNumberFormat="1" applyFont="1" applyFill="1" applyBorder="1" applyProtection="1"/>
    <xf numFmtId="0" fontId="39" fillId="42" borderId="26" xfId="1" applyFont="1" applyFill="1" applyBorder="1" applyProtection="1"/>
    <xf numFmtId="167" fontId="41" fillId="42" borderId="26" xfId="1" applyNumberFormat="1" applyFont="1" applyFill="1" applyBorder="1" applyProtection="1"/>
    <xf numFmtId="0" fontId="39" fillId="81" borderId="26" xfId="1" applyFont="1" applyFill="1" applyBorder="1" applyProtection="1"/>
    <xf numFmtId="167" fontId="39" fillId="42" borderId="26" xfId="1" applyNumberFormat="1" applyFont="1" applyFill="1" applyBorder="1" applyProtection="1"/>
    <xf numFmtId="0" fontId="0" fillId="81" borderId="0" xfId="0" applyFill="1" applyBorder="1"/>
    <xf numFmtId="41" fontId="39" fillId="42" borderId="26" xfId="1" applyNumberFormat="1" applyFont="1" applyFill="1" applyBorder="1" applyProtection="1"/>
    <xf numFmtId="0" fontId="50" fillId="29" borderId="2" xfId="0" applyFont="1" applyFill="1" applyBorder="1" applyAlignment="1" applyProtection="1"/>
    <xf numFmtId="0" fontId="49" fillId="29" borderId="2" xfId="0" applyFont="1" applyFill="1" applyBorder="1" applyProtection="1"/>
    <xf numFmtId="0" fontId="50" fillId="29" borderId="2" xfId="0" applyFont="1" applyFill="1" applyBorder="1" applyProtection="1"/>
    <xf numFmtId="166" fontId="51" fillId="29" borderId="2" xfId="8" applyNumberFormat="1" applyFont="1" applyFill="1" applyBorder="1" applyProtection="1"/>
    <xf numFmtId="170" fontId="49" fillId="29" borderId="2" xfId="0" applyNumberFormat="1" applyFont="1" applyFill="1" applyBorder="1" applyProtection="1"/>
    <xf numFmtId="39" fontId="49" fillId="29" borderId="2" xfId="0" applyNumberFormat="1" applyFont="1" applyFill="1" applyBorder="1" applyProtection="1"/>
    <xf numFmtId="42" fontId="49" fillId="29" borderId="2" xfId="0" applyNumberFormat="1" applyFont="1" applyFill="1" applyBorder="1" applyProtection="1"/>
    <xf numFmtId="0" fontId="93" fillId="29" borderId="2" xfId="0" applyFont="1" applyFill="1" applyBorder="1" applyAlignment="1" applyProtection="1"/>
    <xf numFmtId="0" fontId="0" fillId="28" borderId="0" xfId="0" applyFill="1" applyBorder="1"/>
    <xf numFmtId="0" fontId="0" fillId="28" borderId="0" xfId="1" applyFont="1" applyFill="1" applyBorder="1" applyProtection="1"/>
    <xf numFmtId="0" fontId="50" fillId="38" borderId="2" xfId="0" applyFont="1" applyFill="1" applyBorder="1" applyAlignment="1" applyProtection="1"/>
    <xf numFmtId="0" fontId="50" fillId="38" borderId="2" xfId="0" applyFont="1" applyFill="1" applyBorder="1" applyProtection="1"/>
    <xf numFmtId="166" fontId="51" fillId="38" borderId="2" xfId="8" applyNumberFormat="1" applyFont="1" applyFill="1" applyBorder="1" applyProtection="1"/>
    <xf numFmtId="170" fontId="49" fillId="38" borderId="2" xfId="0" applyNumberFormat="1" applyFont="1" applyFill="1" applyBorder="1" applyProtection="1"/>
    <xf numFmtId="39" fontId="49" fillId="38" borderId="2" xfId="0" applyNumberFormat="1" applyFont="1" applyFill="1" applyBorder="1" applyProtection="1"/>
    <xf numFmtId="42" fontId="49" fillId="38" borderId="2" xfId="0" applyNumberFormat="1" applyFont="1" applyFill="1" applyBorder="1" applyProtection="1"/>
    <xf numFmtId="0" fontId="49" fillId="38" borderId="2" xfId="0" applyFont="1" applyFill="1" applyBorder="1" applyAlignment="1" applyProtection="1"/>
    <xf numFmtId="5" fontId="49" fillId="38" borderId="2" xfId="0" applyNumberFormat="1" applyFont="1" applyFill="1" applyBorder="1" applyAlignment="1" applyProtection="1"/>
    <xf numFmtId="0" fontId="49" fillId="29" borderId="2" xfId="1" applyFont="1" applyFill="1" applyBorder="1" applyProtection="1"/>
    <xf numFmtId="167" fontId="49" fillId="29" borderId="2" xfId="1" applyNumberFormat="1" applyFont="1" applyFill="1" applyBorder="1" applyProtection="1"/>
    <xf numFmtId="5" fontId="49" fillId="29" borderId="2" xfId="1" applyNumberFormat="1" applyFont="1" applyFill="1" applyBorder="1" applyProtection="1"/>
    <xf numFmtId="43" fontId="49" fillId="29" borderId="2" xfId="7" applyFont="1" applyFill="1" applyBorder="1" applyProtection="1"/>
    <xf numFmtId="0" fontId="49" fillId="4" borderId="2" xfId="1" applyFont="1" applyBorder="1" applyProtection="1"/>
    <xf numFmtId="0" fontId="49" fillId="38" borderId="2" xfId="1" applyFont="1" applyFill="1" applyBorder="1" applyProtection="1"/>
    <xf numFmtId="0" fontId="94" fillId="38" borderId="2" xfId="1" applyFont="1" applyFill="1" applyBorder="1" applyProtection="1"/>
    <xf numFmtId="166" fontId="49" fillId="38" borderId="2" xfId="8" applyNumberFormat="1" applyFont="1" applyFill="1" applyBorder="1" applyProtection="1"/>
    <xf numFmtId="0" fontId="49" fillId="29" borderId="0" xfId="0" applyFont="1" applyFill="1" applyBorder="1" applyProtection="1"/>
    <xf numFmtId="0" fontId="50" fillId="29" borderId="8" xfId="1" applyFont="1" applyFill="1" applyBorder="1" applyAlignment="1" applyProtection="1"/>
    <xf numFmtId="0" fontId="50" fillId="29" borderId="2" xfId="1" applyFont="1" applyFill="1" applyBorder="1" applyAlignment="1" applyProtection="1"/>
    <xf numFmtId="0" fontId="0" fillId="29" borderId="26" xfId="0" applyFill="1" applyBorder="1" applyProtection="1"/>
    <xf numFmtId="0" fontId="49" fillId="29" borderId="8" xfId="1" applyFont="1" applyFill="1" applyBorder="1" applyAlignment="1" applyProtection="1">
      <alignment horizontal="right"/>
    </xf>
    <xf numFmtId="166" fontId="49" fillId="29" borderId="2" xfId="1" applyNumberFormat="1" applyFont="1" applyFill="1" applyBorder="1" applyProtection="1"/>
    <xf numFmtId="0" fontId="51" fillId="29" borderId="8" xfId="1" applyFont="1" applyFill="1" applyBorder="1" applyProtection="1"/>
    <xf numFmtId="0" fontId="51" fillId="29" borderId="2" xfId="1" applyFont="1" applyFill="1" applyBorder="1" applyProtection="1"/>
    <xf numFmtId="166" fontId="51" fillId="29" borderId="2" xfId="1" applyNumberFormat="1" applyFont="1" applyFill="1" applyBorder="1" applyProtection="1"/>
    <xf numFmtId="0" fontId="38" fillId="29" borderId="0" xfId="0" applyFont="1" applyFill="1" applyBorder="1" applyProtection="1"/>
    <xf numFmtId="0" fontId="38" fillId="29" borderId="2" xfId="0" applyFont="1" applyFill="1" applyBorder="1" applyProtection="1"/>
    <xf numFmtId="0" fontId="38" fillId="29" borderId="8" xfId="1" applyFont="1" applyFill="1" applyBorder="1" applyAlignment="1" applyProtection="1"/>
    <xf numFmtId="0" fontId="38" fillId="29" borderId="2" xfId="1" applyFont="1" applyFill="1" applyBorder="1" applyAlignment="1" applyProtection="1"/>
    <xf numFmtId="0" fontId="26" fillId="29" borderId="26" xfId="0" applyFont="1" applyFill="1" applyBorder="1" applyProtection="1"/>
    <xf numFmtId="0" fontId="93" fillId="29" borderId="8" xfId="1" applyFont="1" applyFill="1" applyBorder="1" applyAlignment="1" applyProtection="1"/>
    <xf numFmtId="0" fontId="49" fillId="38" borderId="0" xfId="0" applyFont="1" applyFill="1" applyBorder="1" applyProtection="1"/>
    <xf numFmtId="0" fontId="49" fillId="38" borderId="2" xfId="0" applyFont="1" applyFill="1" applyBorder="1" applyProtection="1"/>
    <xf numFmtId="0" fontId="93" fillId="38" borderId="8" xfId="1" applyFont="1" applyFill="1" applyBorder="1" applyAlignment="1" applyProtection="1"/>
    <xf numFmtId="0" fontId="0" fillId="38" borderId="26" xfId="0" applyFill="1" applyBorder="1" applyProtection="1"/>
    <xf numFmtId="0" fontId="38" fillId="38" borderId="0" xfId="0" applyFont="1" applyFill="1" applyBorder="1" applyProtection="1"/>
    <xf numFmtId="0" fontId="38" fillId="38" borderId="2" xfId="0" applyFont="1" applyFill="1" applyBorder="1" applyProtection="1"/>
    <xf numFmtId="0" fontId="38" fillId="38" borderId="8" xfId="1" applyFont="1" applyFill="1" applyBorder="1" applyAlignment="1" applyProtection="1"/>
    <xf numFmtId="0" fontId="38" fillId="38" borderId="2" xfId="1" applyFont="1" applyFill="1" applyBorder="1" applyAlignment="1" applyProtection="1"/>
    <xf numFmtId="0" fontId="26" fillId="38" borderId="26" xfId="0" applyFont="1" applyFill="1" applyBorder="1" applyProtection="1"/>
    <xf numFmtId="0" fontId="49" fillId="38" borderId="8" xfId="0" applyFont="1" applyFill="1" applyBorder="1" applyProtection="1"/>
    <xf numFmtId="166" fontId="49" fillId="38" borderId="2" xfId="0" applyNumberFormat="1" applyFont="1" applyFill="1" applyBorder="1" applyProtection="1"/>
    <xf numFmtId="0" fontId="51" fillId="38" borderId="8" xfId="1" applyFont="1" applyFill="1" applyBorder="1" applyProtection="1"/>
    <xf numFmtId="0" fontId="51" fillId="38" borderId="2" xfId="1" applyFont="1" applyFill="1" applyBorder="1" applyProtection="1"/>
    <xf numFmtId="43" fontId="49" fillId="38" borderId="2" xfId="7" applyFont="1" applyFill="1" applyBorder="1" applyProtection="1"/>
    <xf numFmtId="43" fontId="51" fillId="29" borderId="2" xfId="7" applyFont="1" applyFill="1" applyBorder="1" applyProtection="1"/>
    <xf numFmtId="167" fontId="49" fillId="29" borderId="2" xfId="0" applyNumberFormat="1" applyFont="1" applyFill="1" applyBorder="1" applyProtection="1"/>
    <xf numFmtId="0" fontId="49" fillId="29" borderId="8" xfId="0" applyFont="1" applyFill="1" applyBorder="1" applyProtection="1"/>
    <xf numFmtId="167" fontId="49" fillId="38" borderId="2" xfId="0" applyNumberFormat="1" applyFont="1" applyFill="1" applyBorder="1" applyProtection="1"/>
    <xf numFmtId="166" fontId="49" fillId="38" borderId="2" xfId="1" applyNumberFormat="1" applyFont="1" applyFill="1" applyBorder="1" applyProtection="1"/>
    <xf numFmtId="0" fontId="49" fillId="38" borderId="26" xfId="0" applyFont="1" applyFill="1" applyBorder="1" applyProtection="1"/>
    <xf numFmtId="0" fontId="38" fillId="25" borderId="2" xfId="0" applyFont="1" applyFill="1" applyBorder="1" applyProtection="1"/>
    <xf numFmtId="0" fontId="49" fillId="31" borderId="2" xfId="1" applyFont="1" applyFill="1" applyBorder="1" applyProtection="1"/>
    <xf numFmtId="178" fontId="49" fillId="18" borderId="2" xfId="0" applyNumberFormat="1" applyFont="1" applyFill="1" applyBorder="1" applyAlignment="1" applyProtection="1"/>
    <xf numFmtId="166" fontId="49" fillId="18" borderId="2" xfId="0" applyNumberFormat="1" applyFont="1" applyFill="1" applyBorder="1" applyAlignment="1" applyProtection="1"/>
    <xf numFmtId="43" fontId="49" fillId="18" borderId="2" xfId="7" applyFont="1" applyFill="1" applyBorder="1" applyAlignment="1" applyProtection="1"/>
    <xf numFmtId="10" fontId="49" fillId="18" borderId="2" xfId="11" applyNumberFormat="1" applyFont="1" applyFill="1" applyBorder="1" applyAlignment="1" applyProtection="1"/>
    <xf numFmtId="166" fontId="49" fillId="18" borderId="2" xfId="8" applyNumberFormat="1" applyFont="1" applyFill="1" applyBorder="1" applyAlignment="1" applyProtection="1"/>
    <xf numFmtId="165" fontId="49" fillId="18" borderId="2" xfId="11" applyNumberFormat="1" applyFont="1" applyFill="1" applyBorder="1" applyAlignment="1" applyProtection="1">
      <alignment horizontal="center" vertical="center"/>
    </xf>
    <xf numFmtId="166" fontId="49" fillId="18" borderId="2" xfId="8" applyNumberFormat="1" applyFont="1" applyFill="1" applyBorder="1" applyAlignment="1" applyProtection="1">
      <alignment horizontal="center" vertical="center"/>
    </xf>
    <xf numFmtId="43" fontId="49" fillId="18" borderId="2" xfId="7" applyFont="1" applyFill="1" applyBorder="1" applyAlignment="1" applyProtection="1">
      <alignment horizontal="center" vertical="center"/>
    </xf>
    <xf numFmtId="0" fontId="49" fillId="23" borderId="2" xfId="0" applyFont="1" applyFill="1" applyBorder="1" applyAlignment="1" applyProtection="1">
      <alignment horizontal="right"/>
    </xf>
    <xf numFmtId="0" fontId="50" fillId="18" borderId="2" xfId="0" applyFont="1" applyFill="1" applyBorder="1" applyAlignment="1" applyProtection="1">
      <alignment horizontal="left"/>
    </xf>
    <xf numFmtId="0" fontId="93" fillId="37" borderId="2" xfId="0" applyFont="1" applyFill="1" applyBorder="1" applyProtection="1"/>
    <xf numFmtId="0" fontId="49" fillId="18" borderId="2" xfId="0" applyFont="1" applyFill="1" applyBorder="1" applyAlignment="1" applyProtection="1">
      <alignment horizontal="right" vertical="center"/>
    </xf>
    <xf numFmtId="0" fontId="49" fillId="18" borderId="2" xfId="0" applyFont="1" applyFill="1" applyBorder="1" applyAlignment="1" applyProtection="1">
      <alignment horizontal="left" vertical="center"/>
    </xf>
    <xf numFmtId="9" fontId="49" fillId="18" borderId="2" xfId="11" applyFont="1" applyFill="1" applyBorder="1" applyAlignment="1" applyProtection="1">
      <alignment horizontal="right" vertical="center"/>
    </xf>
    <xf numFmtId="0" fontId="49" fillId="45" borderId="2" xfId="1" applyFont="1" applyFill="1" applyBorder="1" applyProtection="1"/>
    <xf numFmtId="0" fontId="50" fillId="45" borderId="2" xfId="1" applyFont="1" applyFill="1" applyBorder="1" applyProtection="1"/>
    <xf numFmtId="42" fontId="50" fillId="45" borderId="2" xfId="1" applyNumberFormat="1" applyFont="1" applyFill="1" applyBorder="1" applyProtection="1"/>
    <xf numFmtId="167" fontId="49" fillId="45" borderId="2" xfId="1" applyNumberFormat="1" applyFont="1" applyFill="1" applyBorder="1" applyProtection="1"/>
    <xf numFmtId="178" fontId="49" fillId="45" borderId="2" xfId="1" applyNumberFormat="1" applyFont="1" applyFill="1" applyBorder="1" applyProtection="1"/>
    <xf numFmtId="170" fontId="49" fillId="45" borderId="2" xfId="1" applyNumberFormat="1" applyFont="1" applyFill="1" applyBorder="1" applyProtection="1"/>
    <xf numFmtId="39" fontId="49" fillId="45" borderId="2" xfId="1" applyNumberFormat="1" applyFont="1" applyFill="1" applyBorder="1" applyProtection="1"/>
    <xf numFmtId="43" fontId="49" fillId="45" borderId="2" xfId="7" applyFont="1" applyFill="1" applyBorder="1" applyProtection="1"/>
    <xf numFmtId="43" fontId="49" fillId="4" borderId="2" xfId="7" applyFont="1" applyFill="1" applyBorder="1" applyProtection="1"/>
    <xf numFmtId="0" fontId="49" fillId="22" borderId="2" xfId="1" applyFont="1" applyFill="1" applyBorder="1" applyProtection="1"/>
    <xf numFmtId="0" fontId="50" fillId="22" borderId="2" xfId="1" applyFont="1" applyFill="1" applyBorder="1" applyProtection="1"/>
    <xf numFmtId="42" fontId="50" fillId="22" borderId="2" xfId="1" applyNumberFormat="1" applyFont="1" applyFill="1" applyBorder="1" applyProtection="1"/>
    <xf numFmtId="167" fontId="49" fillId="22" borderId="2" xfId="1" applyNumberFormat="1" applyFont="1" applyFill="1" applyBorder="1" applyProtection="1"/>
    <xf numFmtId="178" fontId="49" fillId="22" borderId="2" xfId="1" applyNumberFormat="1" applyFont="1" applyFill="1" applyBorder="1" applyProtection="1"/>
    <xf numFmtId="170" fontId="49" fillId="22" borderId="2" xfId="1" applyNumberFormat="1" applyFont="1" applyFill="1" applyBorder="1" applyProtection="1"/>
    <xf numFmtId="39" fontId="49" fillId="22" borderId="2" xfId="1" applyNumberFormat="1" applyFont="1" applyFill="1" applyBorder="1" applyProtection="1"/>
    <xf numFmtId="166" fontId="49" fillId="22" borderId="2" xfId="8" applyNumberFormat="1" applyFont="1" applyFill="1" applyBorder="1" applyProtection="1"/>
    <xf numFmtId="182" fontId="49" fillId="22" borderId="2" xfId="7" applyNumberFormat="1" applyFont="1" applyFill="1" applyBorder="1" applyProtection="1"/>
    <xf numFmtId="173" fontId="49" fillId="22" borderId="2" xfId="7" applyNumberFormat="1" applyFont="1" applyFill="1" applyBorder="1" applyProtection="1"/>
    <xf numFmtId="0" fontId="49" fillId="25" borderId="2" xfId="1" applyFont="1" applyFill="1" applyBorder="1" applyProtection="1"/>
    <xf numFmtId="0" fontId="49" fillId="25" borderId="2" xfId="0" applyFont="1" applyFill="1" applyBorder="1" applyAlignment="1" applyProtection="1"/>
    <xf numFmtId="5" fontId="49" fillId="25" borderId="2" xfId="0" applyNumberFormat="1" applyFont="1" applyFill="1" applyBorder="1" applyAlignment="1" applyProtection="1"/>
    <xf numFmtId="0" fontId="49" fillId="4" borderId="32" xfId="1" applyFont="1" applyBorder="1" applyProtection="1"/>
    <xf numFmtId="0" fontId="49" fillId="4" borderId="33" xfId="1" applyFont="1" applyBorder="1" applyProtection="1"/>
    <xf numFmtId="0" fontId="49" fillId="4" borderId="27" xfId="1" applyFont="1" applyBorder="1" applyProtection="1"/>
    <xf numFmtId="0" fontId="49" fillId="4" borderId="28" xfId="1" applyFont="1" applyBorder="1" applyProtection="1"/>
    <xf numFmtId="0" fontId="49" fillId="4" borderId="37" xfId="1" applyFont="1" applyBorder="1" applyProtection="1"/>
    <xf numFmtId="0" fontId="49" fillId="4" borderId="38" xfId="1" applyFont="1" applyBorder="1" applyProtection="1"/>
    <xf numFmtId="0" fontId="93" fillId="14" borderId="2" xfId="1" applyFont="1" applyFill="1" applyBorder="1" applyProtection="1"/>
    <xf numFmtId="0" fontId="49" fillId="4" borderId="29" xfId="1" applyFont="1" applyBorder="1" applyProtection="1"/>
    <xf numFmtId="0" fontId="49" fillId="4" borderId="30" xfId="1" applyFont="1" applyBorder="1" applyProtection="1"/>
    <xf numFmtId="0" fontId="59" fillId="20" borderId="0" xfId="0" applyFont="1" applyFill="1" applyBorder="1" applyProtection="1"/>
    <xf numFmtId="0" fontId="50" fillId="0" borderId="26" xfId="1" applyFont="1" applyFill="1" applyBorder="1" applyProtection="1"/>
    <xf numFmtId="168" fontId="49" fillId="0" borderId="26" xfId="1" applyNumberFormat="1" applyFont="1" applyFill="1" applyBorder="1" applyProtection="1"/>
    <xf numFmtId="0" fontId="93" fillId="38" borderId="2" xfId="0" applyFont="1" applyFill="1" applyBorder="1" applyAlignment="1" applyProtection="1"/>
    <xf numFmtId="167" fontId="49" fillId="38" borderId="2" xfId="1" applyNumberFormat="1" applyFont="1" applyFill="1" applyBorder="1" applyProtection="1"/>
    <xf numFmtId="5" fontId="49" fillId="38" borderId="2" xfId="1" applyNumberFormat="1" applyFont="1" applyFill="1" applyBorder="1" applyProtection="1"/>
    <xf numFmtId="44" fontId="49" fillId="38" borderId="2" xfId="8" applyFont="1" applyFill="1" applyBorder="1" applyProtection="1"/>
    <xf numFmtId="169" fontId="49" fillId="29" borderId="2" xfId="1" applyNumberFormat="1" applyFont="1" applyFill="1" applyBorder="1" applyProtection="1"/>
    <xf numFmtId="0" fontId="1" fillId="31" borderId="0" xfId="57" applyFont="1" applyFill="1"/>
    <xf numFmtId="0" fontId="49" fillId="14" borderId="30" xfId="0" applyFont="1" applyFill="1" applyBorder="1" applyProtection="1"/>
    <xf numFmtId="0" fontId="20" fillId="14" borderId="26" xfId="0" applyFont="1" applyFill="1" applyBorder="1" applyAlignment="1" applyProtection="1">
      <alignment horizontal="right"/>
    </xf>
    <xf numFmtId="0" fontId="50" fillId="41" borderId="2" xfId="1" applyFont="1" applyFill="1" applyBorder="1" applyProtection="1"/>
    <xf numFmtId="0" fontId="49" fillId="41" borderId="2" xfId="1" applyFont="1" applyFill="1" applyBorder="1" applyProtection="1"/>
    <xf numFmtId="42" fontId="50" fillId="41" borderId="2" xfId="1" applyNumberFormat="1" applyFont="1" applyFill="1" applyBorder="1" applyProtection="1"/>
    <xf numFmtId="167" fontId="49" fillId="41" borderId="2" xfId="1" applyNumberFormat="1" applyFont="1" applyFill="1" applyBorder="1" applyProtection="1"/>
    <xf numFmtId="178" fontId="49" fillId="41" borderId="2" xfId="1" applyNumberFormat="1" applyFont="1" applyFill="1" applyBorder="1" applyProtection="1"/>
    <xf numFmtId="170" fontId="49" fillId="41" borderId="2" xfId="1" applyNumberFormat="1" applyFont="1" applyFill="1" applyBorder="1" applyProtection="1"/>
    <xf numFmtId="39" fontId="49" fillId="41" borderId="2" xfId="1" applyNumberFormat="1" applyFont="1" applyFill="1" applyBorder="1" applyProtection="1"/>
    <xf numFmtId="9" fontId="0" fillId="0" borderId="0" xfId="11" applyFont="1"/>
    <xf numFmtId="0" fontId="50" fillId="24" borderId="2" xfId="1" applyFont="1" applyFill="1" applyBorder="1" applyProtection="1"/>
    <xf numFmtId="42" fontId="50" fillId="24" borderId="2" xfId="1" applyNumberFormat="1" applyFont="1" applyFill="1" applyBorder="1" applyProtection="1"/>
    <xf numFmtId="0" fontId="39" fillId="24" borderId="2" xfId="0" applyFont="1" applyFill="1" applyBorder="1" applyAlignment="1" applyProtection="1">
      <alignment horizontal="right" vertical="center"/>
    </xf>
    <xf numFmtId="0" fontId="39" fillId="24" borderId="2" xfId="0" applyFont="1" applyFill="1" applyBorder="1" applyAlignment="1" applyProtection="1">
      <alignment horizontal="left" vertical="center"/>
    </xf>
    <xf numFmtId="10" fontId="39" fillId="24" borderId="2" xfId="11" applyNumberFormat="1" applyFont="1" applyFill="1" applyBorder="1" applyAlignment="1" applyProtection="1">
      <alignment horizontal="right" vertical="center"/>
    </xf>
    <xf numFmtId="10" fontId="49" fillId="24" borderId="2" xfId="11" applyNumberFormat="1" applyFont="1" applyFill="1" applyBorder="1" applyProtection="1"/>
    <xf numFmtId="178" fontId="49" fillId="24" borderId="2" xfId="1" applyNumberFormat="1" applyFont="1" applyFill="1" applyBorder="1" applyProtection="1"/>
    <xf numFmtId="170" fontId="49" fillId="24" borderId="2" xfId="1" applyNumberFormat="1" applyFont="1" applyFill="1" applyBorder="1" applyProtection="1"/>
    <xf numFmtId="39" fontId="49" fillId="24" borderId="2" xfId="1" applyNumberFormat="1" applyFont="1" applyFill="1" applyBorder="1" applyProtection="1"/>
    <xf numFmtId="166" fontId="49" fillId="24" borderId="2" xfId="8" applyNumberFormat="1" applyFont="1" applyFill="1" applyBorder="1" applyProtection="1"/>
    <xf numFmtId="0" fontId="49" fillId="24" borderId="2" xfId="0" quotePrefix="1" applyFont="1" applyFill="1" applyBorder="1" applyProtection="1"/>
    <xf numFmtId="0" fontId="49" fillId="24" borderId="2" xfId="0" applyFont="1" applyFill="1" applyBorder="1" applyProtection="1"/>
    <xf numFmtId="0" fontId="49" fillId="24" borderId="2" xfId="1" applyFont="1" applyFill="1" applyBorder="1" applyProtection="1"/>
    <xf numFmtId="0" fontId="0" fillId="81" borderId="0" xfId="0" applyFill="1"/>
    <xf numFmtId="169" fontId="41" fillId="42" borderId="26" xfId="1" applyNumberFormat="1" applyFont="1" applyFill="1" applyBorder="1" applyProtection="1"/>
    <xf numFmtId="168" fontId="41" fillId="42" borderId="26" xfId="7" applyNumberFormat="1" applyFont="1" applyFill="1" applyBorder="1" applyAlignment="1" applyProtection="1">
      <alignment horizontal="right"/>
    </xf>
    <xf numFmtId="169" fontId="39" fillId="42" borderId="26" xfId="1" applyNumberFormat="1" applyFont="1" applyFill="1" applyBorder="1" applyProtection="1"/>
    <xf numFmtId="0" fontId="93" fillId="29" borderId="2" xfId="0" applyFont="1" applyFill="1" applyBorder="1" applyProtection="1"/>
    <xf numFmtId="0" fontId="50" fillId="29" borderId="2" xfId="1" applyFont="1" applyFill="1" applyBorder="1" applyProtection="1"/>
    <xf numFmtId="42" fontId="50" fillId="29" borderId="2" xfId="1" applyNumberFormat="1" applyFont="1" applyFill="1" applyBorder="1" applyProtection="1"/>
    <xf numFmtId="178" fontId="49" fillId="29" borderId="2" xfId="1" applyNumberFormat="1" applyFont="1" applyFill="1" applyBorder="1" applyProtection="1"/>
    <xf numFmtId="170" fontId="49" fillId="29" borderId="2" xfId="1" applyNumberFormat="1" applyFont="1" applyFill="1" applyBorder="1" applyProtection="1"/>
    <xf numFmtId="39" fontId="49" fillId="29" borderId="2" xfId="1" applyNumberFormat="1" applyFont="1" applyFill="1" applyBorder="1" applyProtection="1"/>
    <xf numFmtId="166" fontId="49" fillId="29" borderId="2" xfId="8" applyNumberFormat="1" applyFont="1" applyFill="1" applyBorder="1" applyProtection="1"/>
    <xf numFmtId="0" fontId="49" fillId="29" borderId="2" xfId="1" applyFont="1" applyFill="1" applyBorder="1" applyAlignment="1" applyProtection="1">
      <alignment horizontal="right"/>
    </xf>
    <xf numFmtId="169" fontId="51" fillId="39" borderId="26" xfId="1" applyNumberFormat="1" applyFont="1" applyFill="1" applyBorder="1" applyProtection="1"/>
    <xf numFmtId="168" fontId="51" fillId="39" borderId="26" xfId="1" applyNumberFormat="1" applyFont="1" applyFill="1" applyBorder="1" applyProtection="1"/>
    <xf numFmtId="4" fontId="39" fillId="32" borderId="26" xfId="0" applyNumberFormat="1" applyFont="1" applyFill="1" applyBorder="1" applyProtection="1"/>
    <xf numFmtId="0" fontId="39" fillId="42" borderId="34" xfId="1" applyFont="1" applyFill="1" applyBorder="1" applyAlignment="1" applyProtection="1">
      <alignment horizontal="left"/>
    </xf>
    <xf numFmtId="168" fontId="39" fillId="42" borderId="26" xfId="7" applyNumberFormat="1" applyFont="1" applyFill="1" applyBorder="1" applyProtection="1"/>
    <xf numFmtId="9" fontId="39" fillId="42" borderId="26" xfId="11" applyFont="1" applyFill="1" applyBorder="1" applyProtection="1"/>
    <xf numFmtId="9" fontId="51" fillId="29" borderId="41" xfId="11" applyFont="1" applyFill="1" applyBorder="1" applyAlignment="1" applyProtection="1">
      <alignment horizontal="right"/>
    </xf>
    <xf numFmtId="168" fontId="39" fillId="42" borderId="26" xfId="7" applyNumberFormat="1" applyFont="1" applyFill="1" applyBorder="1" applyAlignment="1" applyProtection="1"/>
    <xf numFmtId="0" fontId="39" fillId="81" borderId="0" xfId="1" applyFont="1" applyFill="1" applyBorder="1" applyAlignment="1" applyProtection="1">
      <alignment vertical="center" wrapText="1"/>
    </xf>
    <xf numFmtId="0" fontId="39" fillId="81" borderId="62" xfId="1" applyFont="1" applyFill="1" applyBorder="1" applyAlignment="1" applyProtection="1">
      <alignment vertical="center" wrapText="1"/>
    </xf>
    <xf numFmtId="0" fontId="98" fillId="17" borderId="60" xfId="0" applyFont="1" applyFill="1" applyBorder="1" applyProtection="1"/>
    <xf numFmtId="0" fontId="87" fillId="46" borderId="0" xfId="0" applyFont="1" applyFill="1" applyBorder="1" applyAlignment="1" applyProtection="1">
      <alignment horizontal="left" vertical="center"/>
    </xf>
    <xf numFmtId="0" fontId="87" fillId="46" borderId="60" xfId="0" applyFont="1" applyFill="1" applyBorder="1" applyAlignment="1" applyProtection="1">
      <alignment horizontal="left" vertical="center"/>
    </xf>
    <xf numFmtId="0" fontId="87" fillId="83" borderId="0" xfId="0" applyFont="1" applyFill="1" applyBorder="1" applyAlignment="1" applyProtection="1">
      <alignment horizontal="left" vertical="center"/>
    </xf>
    <xf numFmtId="9" fontId="39" fillId="42" borderId="26" xfId="11" applyFont="1" applyFill="1" applyBorder="1" applyAlignment="1" applyProtection="1"/>
    <xf numFmtId="0" fontId="16" fillId="35" borderId="108" xfId="0" applyFont="1" applyFill="1" applyBorder="1" applyAlignment="1" applyProtection="1"/>
    <xf numFmtId="0" fontId="38" fillId="29" borderId="108" xfId="0" applyFont="1" applyFill="1" applyBorder="1" applyAlignment="1" applyProtection="1"/>
    <xf numFmtId="168" fontId="16" fillId="29" borderId="108" xfId="7" applyNumberFormat="1" applyFont="1" applyFill="1" applyBorder="1" applyProtection="1"/>
    <xf numFmtId="0" fontId="16" fillId="35" borderId="104" xfId="0" applyFont="1" applyFill="1" applyBorder="1" applyAlignment="1" applyProtection="1"/>
    <xf numFmtId="167" fontId="51" fillId="29" borderId="104" xfId="7" applyNumberFormat="1" applyFont="1" applyFill="1" applyBorder="1" applyAlignment="1" applyProtection="1">
      <alignment horizontal="right"/>
    </xf>
    <xf numFmtId="0" fontId="43" fillId="83" borderId="83" xfId="0" applyFont="1" applyFill="1" applyBorder="1" applyAlignment="1" applyProtection="1">
      <alignment horizontal="left" vertical="center"/>
    </xf>
    <xf numFmtId="0" fontId="87" fillId="83" borderId="84" xfId="0" applyFont="1" applyFill="1" applyBorder="1" applyAlignment="1" applyProtection="1">
      <alignment horizontal="left" vertical="center"/>
    </xf>
    <xf numFmtId="0" fontId="39" fillId="42" borderId="109" xfId="1" applyFont="1" applyFill="1" applyBorder="1" applyProtection="1"/>
    <xf numFmtId="169" fontId="51" fillId="29" borderId="104" xfId="7" applyNumberFormat="1" applyFont="1" applyFill="1" applyBorder="1" applyAlignment="1" applyProtection="1">
      <alignment horizontal="right"/>
    </xf>
    <xf numFmtId="168" fontId="51" fillId="29" borderId="104" xfId="7" applyNumberFormat="1" applyFont="1" applyFill="1" applyBorder="1" applyAlignment="1" applyProtection="1">
      <alignment horizontal="right"/>
    </xf>
    <xf numFmtId="0" fontId="20" fillId="35" borderId="104" xfId="0" applyFont="1" applyFill="1" applyBorder="1" applyProtection="1"/>
    <xf numFmtId="41" fontId="51" fillId="29" borderId="104" xfId="7" applyNumberFormat="1" applyFont="1" applyFill="1" applyBorder="1" applyAlignment="1" applyProtection="1">
      <alignment horizontal="right"/>
    </xf>
    <xf numFmtId="0" fontId="39" fillId="42" borderId="113" xfId="1" applyFont="1" applyFill="1" applyBorder="1" applyAlignment="1" applyProtection="1">
      <alignment horizontal="left"/>
    </xf>
    <xf numFmtId="9" fontId="51" fillId="29" borderId="104" xfId="11" applyFont="1" applyFill="1" applyBorder="1" applyAlignment="1" applyProtection="1">
      <alignment horizontal="right"/>
    </xf>
    <xf numFmtId="0" fontId="49" fillId="45" borderId="11" xfId="1" applyFont="1" applyFill="1" applyBorder="1" applyProtection="1"/>
    <xf numFmtId="0" fontId="50" fillId="45" borderId="11" xfId="1" applyFont="1" applyFill="1" applyBorder="1" applyProtection="1"/>
    <xf numFmtId="0" fontId="39" fillId="42" borderId="102" xfId="1" applyFont="1" applyFill="1" applyBorder="1" applyProtection="1"/>
    <xf numFmtId="0" fontId="39" fillId="42" borderId="31" xfId="1" applyFont="1" applyFill="1" applyBorder="1" applyProtection="1"/>
    <xf numFmtId="0" fontId="39" fillId="42" borderId="30" xfId="1" applyFont="1" applyFill="1" applyBorder="1" applyProtection="1"/>
    <xf numFmtId="0" fontId="38" fillId="42" borderId="102" xfId="1" applyFont="1" applyFill="1" applyBorder="1" applyProtection="1"/>
    <xf numFmtId="0" fontId="39" fillId="42" borderId="114" xfId="1" applyFont="1" applyFill="1" applyBorder="1" applyProtection="1"/>
    <xf numFmtId="0" fontId="39" fillId="42" borderId="69" xfId="1" applyFont="1" applyFill="1" applyBorder="1" applyProtection="1"/>
    <xf numFmtId="0" fontId="39" fillId="42" borderId="70" xfId="1" applyFont="1" applyFill="1" applyBorder="1" applyProtection="1"/>
    <xf numFmtId="0" fontId="39" fillId="42" borderId="90" xfId="1" applyFont="1" applyFill="1" applyBorder="1" applyProtection="1"/>
    <xf numFmtId="0" fontId="39" fillId="42" borderId="114" xfId="1" applyFont="1" applyFill="1" applyBorder="1" applyAlignment="1" applyProtection="1">
      <alignment horizontal="left"/>
    </xf>
    <xf numFmtId="0" fontId="39" fillId="42" borderId="69" xfId="1" applyFont="1" applyFill="1" applyBorder="1" applyAlignment="1" applyProtection="1">
      <alignment horizontal="left"/>
    </xf>
    <xf numFmtId="0" fontId="39" fillId="42" borderId="70" xfId="1" applyFont="1" applyFill="1" applyBorder="1" applyAlignment="1" applyProtection="1">
      <alignment horizontal="left"/>
    </xf>
    <xf numFmtId="0" fontId="39" fillId="42" borderId="78" xfId="1" applyFont="1" applyFill="1" applyBorder="1" applyAlignment="1" applyProtection="1">
      <alignment horizontal="left"/>
    </xf>
    <xf numFmtId="0" fontId="20" fillId="35" borderId="125" xfId="0" applyFont="1" applyFill="1" applyBorder="1" applyProtection="1"/>
    <xf numFmtId="0" fontId="21" fillId="4" borderId="34" xfId="1" applyBorder="1" applyProtection="1"/>
    <xf numFmtId="0" fontId="39" fillId="4" borderId="31" xfId="1" applyFont="1" applyBorder="1" applyProtection="1"/>
    <xf numFmtId="0" fontId="21" fillId="4" borderId="37" xfId="1" applyBorder="1" applyProtection="1"/>
    <xf numFmtId="0" fontId="21" fillId="4" borderId="36" xfId="1" applyBorder="1" applyProtection="1"/>
    <xf numFmtId="0" fontId="21" fillId="4" borderId="40" xfId="1" applyBorder="1" applyProtection="1"/>
    <xf numFmtId="0" fontId="21" fillId="4" borderId="0" xfId="1" applyBorder="1" applyProtection="1"/>
    <xf numFmtId="0" fontId="39" fillId="4" borderId="34" xfId="1" applyFont="1" applyBorder="1" applyProtection="1"/>
    <xf numFmtId="0" fontId="21" fillId="4" borderId="38" xfId="1" applyBorder="1" applyProtection="1"/>
    <xf numFmtId="0" fontId="21" fillId="4" borderId="39" xfId="1" applyBorder="1" applyProtection="1"/>
    <xf numFmtId="167" fontId="21" fillId="4" borderId="0" xfId="1" applyNumberFormat="1" applyBorder="1" applyProtection="1"/>
    <xf numFmtId="164" fontId="21" fillId="4" borderId="0" xfId="1" applyNumberFormat="1" applyBorder="1" applyProtection="1"/>
    <xf numFmtId="0" fontId="35" fillId="4" borderId="34" xfId="1" applyFont="1" applyBorder="1" applyProtection="1"/>
    <xf numFmtId="0" fontId="21" fillId="4" borderId="83" xfId="1" applyBorder="1" applyProtection="1"/>
    <xf numFmtId="0" fontId="21" fillId="4" borderId="84" xfId="1" applyBorder="1" applyProtection="1"/>
    <xf numFmtId="0" fontId="35" fillId="4" borderId="113" xfId="1" applyFont="1" applyBorder="1" applyProtection="1"/>
    <xf numFmtId="0" fontId="21" fillId="4" borderId="111" xfId="1" applyBorder="1" applyProtection="1"/>
    <xf numFmtId="0" fontId="39" fillId="4" borderId="102" xfId="1" applyFont="1" applyBorder="1" applyProtection="1"/>
    <xf numFmtId="0" fontId="39" fillId="4" borderId="103" xfId="1" applyFont="1" applyBorder="1" applyProtection="1"/>
    <xf numFmtId="41" fontId="39" fillId="29" borderId="108" xfId="1" applyNumberFormat="1" applyFont="1" applyFill="1" applyBorder="1" applyAlignment="1" applyProtection="1">
      <alignment horizontal="right"/>
    </xf>
    <xf numFmtId="0" fontId="21" fillId="4" borderId="113" xfId="1" applyBorder="1" applyProtection="1"/>
    <xf numFmtId="0" fontId="16" fillId="39" borderId="106" xfId="0" applyFont="1" applyFill="1" applyBorder="1" applyAlignment="1" applyProtection="1">
      <alignment horizontal="left"/>
    </xf>
    <xf numFmtId="0" fontId="21" fillId="4" borderId="102" xfId="1" applyBorder="1" applyProtection="1"/>
    <xf numFmtId="0" fontId="21" fillId="4" borderId="103" xfId="1" applyBorder="1" applyProtection="1"/>
    <xf numFmtId="0" fontId="38" fillId="39" borderId="108" xfId="1" applyFont="1" applyFill="1" applyBorder="1" applyProtection="1"/>
    <xf numFmtId="0" fontId="38" fillId="8" borderId="109" xfId="1" applyFont="1" applyFill="1" applyBorder="1" applyProtection="1"/>
    <xf numFmtId="0" fontId="39" fillId="4" borderId="113" xfId="1" applyFont="1" applyBorder="1" applyProtection="1"/>
    <xf numFmtId="0" fontId="39" fillId="4" borderId="111" xfId="1" applyFont="1" applyBorder="1" applyProtection="1"/>
    <xf numFmtId="0" fontId="43" fillId="46" borderId="83" xfId="0" applyFont="1" applyFill="1" applyBorder="1" applyAlignment="1" applyProtection="1">
      <alignment horizontal="left" vertical="center"/>
    </xf>
    <xf numFmtId="0" fontId="87" fillId="46" borderId="84" xfId="0" applyFont="1" applyFill="1" applyBorder="1" applyAlignment="1" applyProtection="1">
      <alignment horizontal="left" vertical="center"/>
    </xf>
    <xf numFmtId="0" fontId="38" fillId="35" borderId="108" xfId="1" applyFont="1" applyFill="1" applyBorder="1" applyProtection="1"/>
    <xf numFmtId="172" fontId="51" fillId="29" borderId="104" xfId="7" applyNumberFormat="1" applyFont="1" applyFill="1" applyBorder="1" applyAlignment="1" applyProtection="1">
      <alignment horizontal="right"/>
    </xf>
    <xf numFmtId="5" fontId="39" fillId="29" borderId="108" xfId="7" applyNumberFormat="1" applyFont="1" applyFill="1" applyBorder="1" applyProtection="1"/>
    <xf numFmtId="0" fontId="49" fillId="29" borderId="108" xfId="1" applyFont="1" applyFill="1" applyBorder="1" applyAlignment="1" applyProtection="1">
      <alignment horizontal="center" vertical="center" wrapText="1"/>
    </xf>
    <xf numFmtId="165" fontId="49" fillId="29" borderId="108" xfId="11" applyNumberFormat="1" applyFont="1" applyFill="1" applyBorder="1" applyProtection="1"/>
    <xf numFmtId="5" fontId="49" fillId="29" borderId="108" xfId="1" applyNumberFormat="1" applyFont="1" applyFill="1" applyBorder="1" applyProtection="1"/>
    <xf numFmtId="169" fontId="49" fillId="29" borderId="108" xfId="1" applyNumberFormat="1" applyFont="1" applyFill="1" applyBorder="1" applyProtection="1"/>
    <xf numFmtId="170" fontId="49" fillId="29" borderId="108" xfId="7" applyNumberFormat="1" applyFont="1" applyFill="1" applyBorder="1" applyProtection="1"/>
    <xf numFmtId="43" fontId="49" fillId="29" borderId="108" xfId="7" applyNumberFormat="1" applyFont="1" applyFill="1" applyBorder="1" applyProtection="1"/>
    <xf numFmtId="168" fontId="49" fillId="29" borderId="108" xfId="7" applyNumberFormat="1" applyFont="1" applyFill="1" applyBorder="1" applyProtection="1"/>
    <xf numFmtId="0" fontId="48" fillId="39" borderId="115" xfId="0" applyFont="1" applyFill="1" applyBorder="1" applyAlignment="1" applyProtection="1">
      <alignment horizontal="right"/>
    </xf>
    <xf numFmtId="0" fontId="39" fillId="28" borderId="29" xfId="1" applyFont="1" applyFill="1" applyBorder="1" applyProtection="1"/>
    <xf numFmtId="0" fontId="39" fillId="28" borderId="31" xfId="1" applyFont="1" applyFill="1" applyBorder="1" applyProtection="1"/>
    <xf numFmtId="0" fontId="39" fillId="28" borderId="103" xfId="1" applyFont="1" applyFill="1" applyBorder="1" applyProtection="1"/>
    <xf numFmtId="0" fontId="16" fillId="28" borderId="76" xfId="0" applyFont="1" applyFill="1" applyBorder="1" applyAlignment="1" applyProtection="1">
      <alignment horizontal="center"/>
    </xf>
    <xf numFmtId="0" fontId="16" fillId="28" borderId="31" xfId="0" applyFont="1" applyFill="1" applyBorder="1" applyAlignment="1" applyProtection="1">
      <alignment horizontal="center"/>
    </xf>
    <xf numFmtId="0" fontId="16" fillId="28" borderId="90" xfId="0" applyFont="1" applyFill="1" applyBorder="1" applyAlignment="1" applyProtection="1">
      <alignment horizontal="center"/>
    </xf>
    <xf numFmtId="0" fontId="117" fillId="39" borderId="102" xfId="1" applyFont="1" applyFill="1" applyBorder="1" applyProtection="1"/>
    <xf numFmtId="0" fontId="116" fillId="39" borderId="31" xfId="1" applyFont="1" applyFill="1" applyBorder="1" applyProtection="1"/>
    <xf numFmtId="0" fontId="116" fillId="39" borderId="30" xfId="1" applyFont="1" applyFill="1" applyBorder="1" applyProtection="1"/>
    <xf numFmtId="0" fontId="116" fillId="39" borderId="102" xfId="1" applyFont="1" applyFill="1" applyBorder="1" applyProtection="1"/>
    <xf numFmtId="0" fontId="112" fillId="39" borderId="102" xfId="1" applyFont="1" applyFill="1" applyBorder="1" applyProtection="1"/>
    <xf numFmtId="0" fontId="113" fillId="39" borderId="31" xfId="1" applyFont="1" applyFill="1" applyBorder="1" applyProtection="1"/>
    <xf numFmtId="0" fontId="113" fillId="39" borderId="30" xfId="1" applyFont="1" applyFill="1" applyBorder="1" applyProtection="1"/>
    <xf numFmtId="0" fontId="113" fillId="39" borderId="102" xfId="1" applyFont="1" applyFill="1" applyBorder="1" applyProtection="1"/>
    <xf numFmtId="0" fontId="39" fillId="39" borderId="102" xfId="1" applyFont="1" applyFill="1" applyBorder="1" applyProtection="1"/>
    <xf numFmtId="0" fontId="39" fillId="39" borderId="31" xfId="1" applyFont="1" applyFill="1" applyBorder="1" applyProtection="1"/>
    <xf numFmtId="0" fontId="39" fillId="39" borderId="30" xfId="1" applyFont="1" applyFill="1" applyBorder="1" applyProtection="1"/>
    <xf numFmtId="0" fontId="38" fillId="39" borderId="102" xfId="1" applyFont="1" applyFill="1" applyBorder="1" applyProtection="1"/>
    <xf numFmtId="0" fontId="49" fillId="4" borderId="0" xfId="1" applyFont="1" applyBorder="1" applyProtection="1"/>
    <xf numFmtId="43" fontId="49" fillId="18" borderId="29" xfId="7" applyFont="1" applyFill="1" applyBorder="1" applyProtection="1"/>
    <xf numFmtId="0" fontId="0" fillId="18" borderId="31" xfId="0" applyFill="1" applyBorder="1" applyAlignment="1" applyProtection="1">
      <alignment horizontal="center"/>
    </xf>
    <xf numFmtId="0" fontId="0" fillId="18" borderId="31" xfId="0" applyFill="1" applyBorder="1" applyProtection="1"/>
    <xf numFmtId="0" fontId="38" fillId="17" borderId="29" xfId="0" applyFont="1" applyFill="1" applyBorder="1" applyAlignment="1" applyProtection="1">
      <alignment horizontal="left"/>
    </xf>
    <xf numFmtId="0" fontId="16" fillId="17" borderId="31" xfId="0" applyFont="1" applyFill="1" applyBorder="1" applyAlignment="1" applyProtection="1">
      <alignment horizontal="center"/>
    </xf>
    <xf numFmtId="0" fontId="38" fillId="17" borderId="30" xfId="0" applyFont="1" applyFill="1" applyBorder="1" applyAlignment="1" applyProtection="1">
      <alignment horizontal="center"/>
    </xf>
    <xf numFmtId="49" fontId="41" fillId="18" borderId="31" xfId="0" applyNumberFormat="1" applyFont="1" applyFill="1" applyBorder="1" applyAlignment="1" applyProtection="1">
      <alignment horizontal="left"/>
    </xf>
    <xf numFmtId="49" fontId="41" fillId="18" borderId="30" xfId="0" applyNumberFormat="1" applyFont="1" applyFill="1" applyBorder="1" applyAlignment="1" applyProtection="1">
      <alignment horizontal="left"/>
    </xf>
    <xf numFmtId="0" fontId="38" fillId="17" borderId="48" xfId="0" applyFont="1" applyFill="1" applyBorder="1" applyAlignment="1" applyProtection="1">
      <alignment horizontal="left"/>
    </xf>
    <xf numFmtId="0" fontId="38" fillId="17" borderId="42" xfId="0" applyFont="1" applyFill="1" applyBorder="1" applyAlignment="1" applyProtection="1">
      <alignment horizontal="center"/>
    </xf>
    <xf numFmtId="0" fontId="41" fillId="18" borderId="48" xfId="0" applyFont="1" applyFill="1" applyBorder="1" applyAlignment="1" applyProtection="1">
      <alignment horizontal="left"/>
    </xf>
    <xf numFmtId="0" fontId="16" fillId="18" borderId="64" xfId="0" applyFont="1" applyFill="1" applyBorder="1" applyAlignment="1" applyProtection="1">
      <alignment horizontal="center"/>
    </xf>
    <xf numFmtId="0" fontId="16" fillId="18" borderId="42" xfId="0" applyFont="1" applyFill="1" applyBorder="1" applyAlignment="1" applyProtection="1">
      <alignment horizontal="center"/>
    </xf>
    <xf numFmtId="0" fontId="49" fillId="17" borderId="64" xfId="0" applyFont="1" applyFill="1" applyBorder="1" applyProtection="1"/>
    <xf numFmtId="0" fontId="49" fillId="17" borderId="42" xfId="0" applyFont="1" applyFill="1" applyBorder="1" applyProtection="1"/>
    <xf numFmtId="0" fontId="20" fillId="17" borderId="60" xfId="0" applyFont="1" applyFill="1" applyBorder="1" applyAlignment="1" applyProtection="1"/>
    <xf numFmtId="0" fontId="20" fillId="17" borderId="64" xfId="0" applyFont="1" applyFill="1" applyBorder="1" applyAlignment="1" applyProtection="1">
      <alignment horizontal="center"/>
    </xf>
    <xf numFmtId="0" fontId="20" fillId="17" borderId="42" xfId="0" applyFont="1" applyFill="1" applyBorder="1" applyAlignment="1" applyProtection="1">
      <alignment horizontal="center"/>
    </xf>
    <xf numFmtId="0" fontId="38" fillId="17" borderId="48" xfId="0" applyFont="1" applyFill="1" applyBorder="1" applyAlignment="1" applyProtection="1">
      <alignment vertical="center"/>
    </xf>
    <xf numFmtId="0" fontId="49" fillId="36" borderId="48" xfId="0" applyFont="1" applyFill="1" applyBorder="1" applyProtection="1"/>
    <xf numFmtId="0" fontId="49" fillId="36" borderId="42" xfId="0" applyFont="1" applyFill="1" applyBorder="1" applyProtection="1"/>
    <xf numFmtId="0" fontId="49" fillId="36" borderId="42" xfId="0" applyFont="1" applyFill="1" applyBorder="1" applyAlignment="1" applyProtection="1">
      <alignment horizontal="center" vertical="center"/>
    </xf>
    <xf numFmtId="0" fontId="49" fillId="32" borderId="48" xfId="0" applyFont="1" applyFill="1" applyBorder="1" applyProtection="1"/>
    <xf numFmtId="0" fontId="49" fillId="32" borderId="42" xfId="0" applyFont="1" applyFill="1" applyBorder="1" applyProtection="1"/>
    <xf numFmtId="0" fontId="0" fillId="32" borderId="71" xfId="0" applyFill="1" applyBorder="1" applyProtection="1"/>
    <xf numFmtId="0" fontId="32" fillId="15" borderId="34" xfId="0" applyFont="1" applyFill="1" applyBorder="1" applyProtection="1"/>
    <xf numFmtId="0" fontId="0" fillId="15" borderId="34" xfId="0" applyFill="1" applyBorder="1" applyProtection="1"/>
    <xf numFmtId="0" fontId="8" fillId="15" borderId="31" xfId="0" applyFont="1" applyFill="1" applyBorder="1" applyProtection="1"/>
    <xf numFmtId="0" fontId="0" fillId="15" borderId="36" xfId="0" applyFill="1" applyBorder="1" applyProtection="1"/>
    <xf numFmtId="1" fontId="9" fillId="15" borderId="0" xfId="0" applyNumberFormat="1" applyFont="1" applyFill="1" applyBorder="1" applyProtection="1"/>
    <xf numFmtId="0" fontId="9" fillId="15" borderId="0" xfId="0" applyFont="1" applyFill="1" applyBorder="1" applyProtection="1"/>
    <xf numFmtId="41" fontId="9" fillId="15" borderId="0" xfId="0" applyNumberFormat="1" applyFont="1" applyFill="1" applyBorder="1" applyProtection="1"/>
    <xf numFmtId="0" fontId="9" fillId="15" borderId="34" xfId="0" applyFont="1" applyFill="1" applyBorder="1" applyProtection="1"/>
    <xf numFmtId="1" fontId="9" fillId="15" borderId="31" xfId="0" applyNumberFormat="1" applyFont="1" applyFill="1" applyBorder="1" applyAlignment="1" applyProtection="1"/>
    <xf numFmtId="0" fontId="9" fillId="15" borderId="31" xfId="0" applyFont="1" applyFill="1" applyBorder="1" applyAlignment="1" applyProtection="1"/>
    <xf numFmtId="41" fontId="9" fillId="15" borderId="31" xfId="0" applyNumberFormat="1" applyFont="1" applyFill="1" applyBorder="1" applyAlignment="1" applyProtection="1"/>
    <xf numFmtId="0" fontId="9" fillId="15" borderId="31" xfId="0" applyFont="1" applyFill="1" applyBorder="1" applyProtection="1"/>
    <xf numFmtId="180" fontId="0" fillId="15" borderId="43" xfId="0" applyNumberFormat="1" applyFill="1" applyBorder="1" applyProtection="1"/>
    <xf numFmtId="0" fontId="49" fillId="15" borderId="43" xfId="0" applyFont="1" applyFill="1" applyBorder="1" applyProtection="1"/>
    <xf numFmtId="44" fontId="0" fillId="15" borderId="34" xfId="0" applyNumberFormat="1" applyFill="1" applyBorder="1" applyProtection="1"/>
    <xf numFmtId="0" fontId="26" fillId="15" borderId="0" xfId="0" applyFont="1" applyFill="1" applyBorder="1" applyAlignment="1" applyProtection="1"/>
    <xf numFmtId="2" fontId="0" fillId="15" borderId="0" xfId="0" applyNumberFormat="1" applyFill="1" applyBorder="1" applyProtection="1"/>
    <xf numFmtId="0" fontId="0" fillId="15" borderId="39" xfId="0" applyFill="1" applyBorder="1" applyProtection="1"/>
    <xf numFmtId="167" fontId="0" fillId="15" borderId="0" xfId="0" applyNumberFormat="1" applyFill="1" applyBorder="1" applyProtection="1"/>
    <xf numFmtId="0" fontId="0" fillId="15" borderId="39" xfId="0" applyFill="1" applyBorder="1" applyAlignment="1" applyProtection="1">
      <alignment horizontal="center" vertical="center"/>
    </xf>
    <xf numFmtId="166" fontId="21" fillId="15" borderId="0" xfId="8" applyNumberFormat="1" applyFont="1" applyFill="1" applyBorder="1" applyProtection="1"/>
    <xf numFmtId="0" fontId="0" fillId="15" borderId="39" xfId="0" applyFill="1" applyBorder="1" applyAlignment="1" applyProtection="1">
      <alignment wrapText="1"/>
    </xf>
    <xf numFmtId="0" fontId="49" fillId="15" borderId="39" xfId="0" applyFont="1" applyFill="1" applyBorder="1" applyProtection="1"/>
    <xf numFmtId="0" fontId="0" fillId="15" borderId="83" xfId="0" applyFill="1" applyBorder="1" applyProtection="1"/>
    <xf numFmtId="0" fontId="0" fillId="15" borderId="84" xfId="0" applyFill="1" applyBorder="1" applyProtection="1"/>
    <xf numFmtId="0" fontId="32" fillId="15" borderId="113" xfId="0" applyFont="1" applyFill="1" applyBorder="1" applyProtection="1"/>
    <xf numFmtId="0" fontId="0" fillId="15" borderId="111" xfId="0" applyFill="1" applyBorder="1" applyProtection="1"/>
    <xf numFmtId="0" fontId="0" fillId="18" borderId="103" xfId="0" applyFill="1" applyBorder="1" applyProtection="1"/>
    <xf numFmtId="0" fontId="26" fillId="15" borderId="102" xfId="0" applyFont="1" applyFill="1" applyBorder="1" applyProtection="1"/>
    <xf numFmtId="0" fontId="0" fillId="15" borderId="103" xfId="0" applyFill="1" applyBorder="1" applyProtection="1"/>
    <xf numFmtId="0" fontId="8" fillId="15" borderId="102" xfId="0" applyFont="1" applyFill="1" applyBorder="1" applyProtection="1"/>
    <xf numFmtId="168" fontId="41" fillId="29" borderId="104" xfId="0" applyNumberFormat="1" applyFont="1" applyFill="1" applyBorder="1" applyAlignment="1" applyProtection="1">
      <alignment horizontal="right"/>
    </xf>
    <xf numFmtId="0" fontId="0" fillId="15" borderId="100" xfId="0" applyFill="1" applyBorder="1" applyProtection="1"/>
    <xf numFmtId="0" fontId="0" fillId="15" borderId="101" xfId="0" applyFill="1" applyBorder="1" applyProtection="1"/>
    <xf numFmtId="0" fontId="16" fillId="17" borderId="106" xfId="0" applyFont="1" applyFill="1" applyBorder="1" applyAlignment="1" applyProtection="1">
      <alignment horizontal="left"/>
    </xf>
    <xf numFmtId="0" fontId="38" fillId="36" borderId="130" xfId="0" applyFont="1" applyFill="1" applyBorder="1" applyProtection="1"/>
    <xf numFmtId="0" fontId="38" fillId="32" borderId="130" xfId="0" applyFont="1" applyFill="1" applyBorder="1" applyProtection="1"/>
    <xf numFmtId="0" fontId="43" fillId="17" borderId="109" xfId="0" applyFont="1" applyFill="1" applyBorder="1" applyProtection="1"/>
    <xf numFmtId="0" fontId="0" fillId="17" borderId="108" xfId="0" applyFill="1" applyBorder="1" applyProtection="1"/>
    <xf numFmtId="0" fontId="16" fillId="35" borderId="129" xfId="0" applyFont="1" applyFill="1" applyBorder="1" applyAlignment="1" applyProtection="1"/>
    <xf numFmtId="0" fontId="39" fillId="18" borderId="98" xfId="0" applyFont="1" applyFill="1" applyBorder="1" applyProtection="1"/>
    <xf numFmtId="167" fontId="41" fillId="29" borderId="104" xfId="7" applyNumberFormat="1" applyFont="1" applyFill="1" applyBorder="1" applyAlignment="1" applyProtection="1">
      <alignment horizontal="right"/>
    </xf>
    <xf numFmtId="0" fontId="39" fillId="18" borderId="130" xfId="0" applyFont="1" applyFill="1" applyBorder="1" applyProtection="1"/>
    <xf numFmtId="0" fontId="38" fillId="18" borderId="98" xfId="0" applyFont="1" applyFill="1" applyBorder="1" applyProtection="1"/>
    <xf numFmtId="0" fontId="8" fillId="18" borderId="99" xfId="0" applyFont="1" applyFill="1" applyBorder="1" applyProtection="1"/>
    <xf numFmtId="0" fontId="53" fillId="36" borderId="130" xfId="0" applyFont="1" applyFill="1" applyBorder="1" applyProtection="1"/>
    <xf numFmtId="168" fontId="41" fillId="29" borderId="104" xfId="7" applyNumberFormat="1" applyFont="1" applyFill="1" applyBorder="1" applyAlignment="1" applyProtection="1">
      <alignment horizontal="right"/>
    </xf>
    <xf numFmtId="0" fontId="53" fillId="32" borderId="130" xfId="0" applyFont="1" applyFill="1" applyBorder="1" applyProtection="1"/>
    <xf numFmtId="0" fontId="39" fillId="17" borderId="99" xfId="0" applyFont="1" applyFill="1" applyBorder="1" applyProtection="1"/>
    <xf numFmtId="0" fontId="49" fillId="15" borderId="100" xfId="0" applyFont="1" applyFill="1" applyBorder="1" applyProtection="1"/>
    <xf numFmtId="0" fontId="49" fillId="15" borderId="101" xfId="0" applyFont="1" applyFill="1" applyBorder="1" applyProtection="1"/>
    <xf numFmtId="0" fontId="20" fillId="35" borderId="129" xfId="0" applyFont="1" applyFill="1" applyBorder="1" applyAlignment="1" applyProtection="1"/>
    <xf numFmtId="0" fontId="49" fillId="18" borderId="130" xfId="0" applyFont="1" applyFill="1" applyBorder="1" applyProtection="1"/>
    <xf numFmtId="171" fontId="51" fillId="29" borderId="104" xfId="7" applyNumberFormat="1" applyFont="1" applyFill="1" applyBorder="1" applyAlignment="1" applyProtection="1">
      <alignment horizontal="right"/>
    </xf>
    <xf numFmtId="0" fontId="50" fillId="36" borderId="106" xfId="0" applyFont="1" applyFill="1" applyBorder="1" applyAlignment="1" applyProtection="1"/>
    <xf numFmtId="0" fontId="50" fillId="32" borderId="106" xfId="0" applyFont="1" applyFill="1" applyBorder="1" applyAlignment="1" applyProtection="1"/>
    <xf numFmtId="0" fontId="49" fillId="36" borderId="130" xfId="0" applyFont="1" applyFill="1" applyBorder="1" applyProtection="1"/>
    <xf numFmtId="0" fontId="49" fillId="32" borderId="130" xfId="0" applyFont="1" applyFill="1" applyBorder="1" applyProtection="1"/>
    <xf numFmtId="167" fontId="49" fillId="29" borderId="104" xfId="7" applyNumberFormat="1" applyFont="1" applyFill="1" applyBorder="1" applyAlignment="1" applyProtection="1">
      <alignment horizontal="right"/>
    </xf>
    <xf numFmtId="0" fontId="0" fillId="15" borderId="113" xfId="0" applyFill="1" applyBorder="1" applyProtection="1"/>
    <xf numFmtId="0" fontId="33" fillId="9" borderId="105" xfId="0" applyFont="1" applyFill="1" applyBorder="1" applyAlignment="1" applyProtection="1">
      <alignment vertical="center"/>
    </xf>
    <xf numFmtId="0" fontId="33" fillId="9" borderId="117" xfId="0" applyFont="1" applyFill="1" applyBorder="1" applyAlignment="1" applyProtection="1">
      <alignment vertical="center"/>
    </xf>
    <xf numFmtId="168" fontId="51" fillId="29" borderId="104" xfId="7" applyNumberFormat="1" applyFont="1" applyFill="1" applyBorder="1" applyAlignment="1" applyProtection="1">
      <alignment horizontal="right" wrapText="1"/>
    </xf>
    <xf numFmtId="0" fontId="0" fillId="15" borderId="102" xfId="0" applyFill="1" applyBorder="1" applyProtection="1"/>
    <xf numFmtId="165" fontId="41" fillId="29" borderId="104" xfId="11" applyNumberFormat="1" applyFont="1" applyFill="1" applyBorder="1" applyAlignment="1" applyProtection="1">
      <alignment horizontal="right"/>
    </xf>
    <xf numFmtId="0" fontId="39" fillId="36" borderId="109" xfId="0" applyFont="1" applyFill="1" applyBorder="1" applyProtection="1"/>
    <xf numFmtId="0" fontId="38" fillId="36" borderId="109" xfId="0" applyFont="1" applyFill="1" applyBorder="1" applyProtection="1"/>
    <xf numFmtId="0" fontId="39" fillId="32" borderId="109" xfId="0" applyFont="1" applyFill="1" applyBorder="1" applyProtection="1"/>
    <xf numFmtId="0" fontId="38" fillId="32" borderId="109" xfId="0" applyFont="1" applyFill="1" applyBorder="1" applyProtection="1"/>
    <xf numFmtId="0" fontId="39" fillId="18" borderId="109" xfId="0" applyFont="1" applyFill="1" applyBorder="1" applyProtection="1"/>
    <xf numFmtId="167" fontId="39" fillId="29" borderId="108" xfId="0" applyNumberFormat="1" applyFont="1" applyFill="1" applyBorder="1" applyProtection="1"/>
    <xf numFmtId="0" fontId="38" fillId="18" borderId="109" xfId="0" applyFont="1" applyFill="1" applyBorder="1" applyProtection="1"/>
    <xf numFmtId="7" fontId="51" fillId="29" borderId="104" xfId="7" applyNumberFormat="1" applyFont="1" applyFill="1" applyBorder="1" applyAlignment="1" applyProtection="1">
      <alignment horizontal="right"/>
    </xf>
    <xf numFmtId="170" fontId="51" fillId="29" borderId="104" xfId="7" applyNumberFormat="1" applyFont="1" applyFill="1" applyBorder="1" applyAlignment="1" applyProtection="1">
      <alignment horizontal="right"/>
    </xf>
    <xf numFmtId="5" fontId="39" fillId="18" borderId="96" xfId="0" applyNumberFormat="1" applyFont="1" applyFill="1" applyBorder="1" applyProtection="1"/>
    <xf numFmtId="167" fontId="41" fillId="29" borderId="116" xfId="7" applyNumberFormat="1" applyFont="1" applyFill="1" applyBorder="1" applyAlignment="1" applyProtection="1">
      <alignment horizontal="right"/>
    </xf>
    <xf numFmtId="0" fontId="0" fillId="14" borderId="0" xfId="0" applyFill="1"/>
    <xf numFmtId="0" fontId="38" fillId="17" borderId="49" xfId="0" applyFont="1" applyFill="1" applyBorder="1" applyAlignment="1" applyProtection="1">
      <alignment horizontal="left" vertical="center"/>
    </xf>
    <xf numFmtId="0" fontId="49" fillId="28" borderId="36" xfId="1" applyFont="1" applyFill="1" applyBorder="1" applyAlignment="1" applyProtection="1">
      <alignment horizontal="left"/>
    </xf>
    <xf numFmtId="0" fontId="49" fillId="28" borderId="38" xfId="1" applyFont="1" applyFill="1" applyBorder="1" applyAlignment="1" applyProtection="1">
      <alignment horizontal="left"/>
    </xf>
    <xf numFmtId="0" fontId="38" fillId="15" borderId="2" xfId="0" applyFont="1" applyFill="1" applyBorder="1" applyAlignment="1">
      <alignment horizontal="left" vertical="center"/>
    </xf>
    <xf numFmtId="0" fontId="121" fillId="15" borderId="4" xfId="0" applyFont="1" applyFill="1" applyBorder="1" applyAlignment="1">
      <alignment vertical="center"/>
    </xf>
    <xf numFmtId="49" fontId="8" fillId="81" borderId="69" xfId="0" applyNumberFormat="1" applyFont="1" applyFill="1" applyBorder="1" applyAlignment="1" applyProtection="1">
      <alignment horizontal="left"/>
    </xf>
    <xf numFmtId="49" fontId="8" fillId="81" borderId="137" xfId="0" applyNumberFormat="1" applyFont="1" applyFill="1" applyBorder="1" applyAlignment="1" applyProtection="1">
      <alignment horizontal="left"/>
    </xf>
    <xf numFmtId="168" fontId="41" fillId="42" borderId="26" xfId="7" applyNumberFormat="1" applyFont="1" applyFill="1" applyBorder="1" applyAlignment="1" applyProtection="1">
      <alignment vertical="center"/>
    </xf>
    <xf numFmtId="0" fontId="41" fillId="42" borderId="26" xfId="0" applyFont="1" applyFill="1" applyBorder="1" applyAlignment="1" applyProtection="1">
      <alignment horizontal="right"/>
    </xf>
    <xf numFmtId="49" fontId="8" fillId="81" borderId="34" xfId="0" applyNumberFormat="1" applyFont="1" applyFill="1" applyBorder="1" applyAlignment="1" applyProtection="1">
      <alignment horizontal="left"/>
    </xf>
    <xf numFmtId="49" fontId="8" fillId="81" borderId="27" xfId="0" applyNumberFormat="1" applyFont="1" applyFill="1" applyBorder="1" applyAlignment="1" applyProtection="1">
      <alignment horizontal="left"/>
    </xf>
    <xf numFmtId="0" fontId="49" fillId="26" borderId="36" xfId="0" applyFont="1" applyFill="1" applyBorder="1" applyProtection="1"/>
    <xf numFmtId="0" fontId="49" fillId="26" borderId="31" xfId="0" applyFont="1" applyFill="1" applyBorder="1" applyProtection="1"/>
    <xf numFmtId="0" fontId="49" fillId="15" borderId="31" xfId="0" applyFont="1" applyFill="1" applyBorder="1" applyProtection="1"/>
    <xf numFmtId="0" fontId="38" fillId="42" borderId="138" xfId="1" applyFont="1" applyFill="1" applyBorder="1" applyProtection="1"/>
    <xf numFmtId="0" fontId="39" fillId="42" borderId="139" xfId="1" applyFont="1" applyFill="1" applyBorder="1" applyProtection="1"/>
    <xf numFmtId="0" fontId="39" fillId="42" borderId="140" xfId="1" applyFont="1" applyFill="1" applyBorder="1" applyProtection="1"/>
    <xf numFmtId="0" fontId="49" fillId="26" borderId="83" xfId="0" applyFont="1" applyFill="1" applyBorder="1" applyProtection="1"/>
    <xf numFmtId="0" fontId="49" fillId="26" borderId="84" xfId="0" applyFont="1" applyFill="1" applyBorder="1" applyProtection="1"/>
    <xf numFmtId="0" fontId="20" fillId="38" borderId="104" xfId="0" applyFont="1" applyFill="1" applyBorder="1" applyAlignment="1" applyProtection="1">
      <alignment vertical="center"/>
    </xf>
    <xf numFmtId="0" fontId="49" fillId="45" borderId="104" xfId="0" applyFont="1" applyFill="1" applyBorder="1" applyAlignment="1" applyProtection="1">
      <alignment horizontal="right"/>
    </xf>
    <xf numFmtId="168" fontId="49" fillId="29" borderId="104" xfId="7" applyNumberFormat="1" applyFont="1" applyFill="1" applyBorder="1" applyAlignment="1" applyProtection="1">
      <alignment horizontal="right"/>
    </xf>
    <xf numFmtId="0" fontId="49" fillId="29" borderId="104" xfId="0" applyFont="1" applyFill="1" applyBorder="1" applyAlignment="1" applyProtection="1">
      <alignment horizontal="right"/>
    </xf>
    <xf numFmtId="167" fontId="51" fillId="35" borderId="107" xfId="7" applyNumberFormat="1" applyFont="1" applyFill="1" applyBorder="1" applyAlignment="1" applyProtection="1">
      <alignment horizontal="right"/>
    </xf>
    <xf numFmtId="41" fontId="49" fillId="29" borderId="104" xfId="0" applyNumberFormat="1" applyFont="1" applyFill="1" applyBorder="1" applyAlignment="1" applyProtection="1">
      <alignment horizontal="right"/>
    </xf>
    <xf numFmtId="167" fontId="41" fillId="42" borderId="26" xfId="0" applyNumberFormat="1" applyFont="1" applyFill="1" applyBorder="1" applyAlignment="1" applyProtection="1">
      <alignment horizontal="right"/>
    </xf>
    <xf numFmtId="167" fontId="39" fillId="39" borderId="26" xfId="1" applyNumberFormat="1" applyFont="1" applyFill="1" applyBorder="1" applyAlignment="1" applyProtection="1">
      <alignment horizontal="right"/>
    </xf>
    <xf numFmtId="167" fontId="51" fillId="29" borderId="41" xfId="7" applyNumberFormat="1" applyFont="1" applyFill="1" applyBorder="1" applyAlignment="1" applyProtection="1">
      <alignment horizontal="right"/>
    </xf>
    <xf numFmtId="167" fontId="38" fillId="39" borderId="26" xfId="1" applyNumberFormat="1" applyFont="1" applyFill="1" applyBorder="1" applyAlignment="1" applyProtection="1">
      <alignment horizontal="right"/>
    </xf>
    <xf numFmtId="167" fontId="38" fillId="28" borderId="26" xfId="1" applyNumberFormat="1" applyFont="1" applyFill="1" applyBorder="1" applyAlignment="1" applyProtection="1">
      <alignment horizontal="right"/>
    </xf>
    <xf numFmtId="167" fontId="41" fillId="29" borderId="26" xfId="7" applyNumberFormat="1" applyFont="1" applyFill="1" applyBorder="1" applyAlignment="1" applyProtection="1">
      <alignment horizontal="right"/>
    </xf>
    <xf numFmtId="167" fontId="50" fillId="43" borderId="41" xfId="0" applyNumberFormat="1" applyFont="1" applyFill="1" applyBorder="1" applyAlignment="1" applyProtection="1">
      <alignment horizontal="right" wrapText="1"/>
    </xf>
    <xf numFmtId="167" fontId="20" fillId="36" borderId="41" xfId="0" applyNumberFormat="1" applyFont="1" applyFill="1" applyBorder="1" applyAlignment="1" applyProtection="1">
      <alignment horizontal="right"/>
    </xf>
    <xf numFmtId="167" fontId="20" fillId="30" borderId="41" xfId="0" applyNumberFormat="1" applyFont="1" applyFill="1" applyBorder="1" applyAlignment="1" applyProtection="1">
      <alignment horizontal="right" vertical="center"/>
    </xf>
    <xf numFmtId="167" fontId="20" fillId="32" borderId="41" xfId="0" applyNumberFormat="1" applyFont="1" applyFill="1" applyBorder="1" applyAlignment="1" applyProtection="1">
      <alignment horizontal="right" vertical="center"/>
    </xf>
    <xf numFmtId="167" fontId="51" fillId="24" borderId="41" xfId="0" applyNumberFormat="1" applyFont="1" applyFill="1" applyBorder="1" applyAlignment="1" applyProtection="1">
      <alignment horizontal="right" wrapText="1"/>
    </xf>
    <xf numFmtId="167" fontId="51" fillId="24" borderId="41" xfId="0" applyNumberFormat="1" applyFont="1" applyFill="1" applyBorder="1" applyAlignment="1" applyProtection="1">
      <alignment horizontal="right"/>
    </xf>
    <xf numFmtId="167" fontId="51" fillId="19" borderId="41" xfId="0" applyNumberFormat="1" applyFont="1" applyFill="1" applyBorder="1" applyAlignment="1" applyProtection="1">
      <alignment horizontal="right" wrapText="1"/>
    </xf>
    <xf numFmtId="167" fontId="51" fillId="19" borderId="41" xfId="0" applyNumberFormat="1" applyFont="1" applyFill="1" applyBorder="1" applyAlignment="1" applyProtection="1">
      <alignment horizontal="right"/>
    </xf>
    <xf numFmtId="0" fontId="39" fillId="17" borderId="41" xfId="0" applyFont="1" applyFill="1" applyBorder="1" applyAlignment="1" applyProtection="1">
      <alignment horizontal="left" wrapText="1"/>
    </xf>
    <xf numFmtId="0" fontId="41" fillId="17" borderId="41" xfId="0" applyFont="1" applyFill="1" applyBorder="1" applyAlignment="1" applyProtection="1">
      <alignment horizontal="left" vertical="center"/>
    </xf>
    <xf numFmtId="0" fontId="34" fillId="16" borderId="41" xfId="0" applyFont="1" applyFill="1" applyBorder="1" applyAlignment="1" applyProtection="1">
      <alignment horizontal="left" wrapText="1"/>
    </xf>
    <xf numFmtId="0" fontId="34" fillId="16" borderId="41" xfId="0" applyFont="1" applyFill="1" applyBorder="1" applyAlignment="1" applyProtection="1">
      <alignment horizontal="left" vertical="center"/>
    </xf>
    <xf numFmtId="0" fontId="48" fillId="17" borderId="41" xfId="0" applyFont="1" applyFill="1" applyBorder="1" applyAlignment="1" applyProtection="1">
      <alignment horizontal="left" wrapText="1"/>
    </xf>
    <xf numFmtId="0" fontId="48" fillId="17" borderId="41" xfId="0" applyFont="1" applyFill="1" applyBorder="1" applyAlignment="1" applyProtection="1">
      <alignment horizontal="left"/>
    </xf>
    <xf numFmtId="0" fontId="34" fillId="16" borderId="41" xfId="0" applyFont="1" applyFill="1" applyBorder="1" applyAlignment="1" applyProtection="1">
      <alignment horizontal="left"/>
    </xf>
    <xf numFmtId="0" fontId="38" fillId="17" borderId="41" xfId="0" applyFont="1" applyFill="1" applyBorder="1" applyAlignment="1" applyProtection="1">
      <alignment horizontal="left" wrapText="1"/>
    </xf>
    <xf numFmtId="0" fontId="16" fillId="17" borderId="104" xfId="0" applyFont="1" applyFill="1" applyBorder="1" applyAlignment="1" applyProtection="1">
      <alignment horizontal="left" vertical="center"/>
    </xf>
    <xf numFmtId="0" fontId="49" fillId="21" borderId="49" xfId="0" applyFont="1" applyFill="1" applyBorder="1" applyProtection="1"/>
    <xf numFmtId="0" fontId="49" fillId="21" borderId="60" xfId="0" applyFont="1" applyFill="1" applyBorder="1" applyProtection="1"/>
    <xf numFmtId="0" fontId="49" fillId="21" borderId="61" xfId="0" applyFont="1" applyFill="1" applyBorder="1" applyProtection="1"/>
    <xf numFmtId="0" fontId="49" fillId="21" borderId="41" xfId="0" applyFont="1" applyFill="1" applyBorder="1" applyProtection="1"/>
    <xf numFmtId="0" fontId="49" fillId="21" borderId="68" xfId="0" applyFont="1" applyFill="1" applyBorder="1" applyProtection="1"/>
    <xf numFmtId="0" fontId="49" fillId="21" borderId="83" xfId="0" applyFont="1" applyFill="1" applyBorder="1" applyProtection="1"/>
    <xf numFmtId="0" fontId="49" fillId="21" borderId="0" xfId="0" applyFont="1" applyFill="1" applyBorder="1" applyProtection="1"/>
    <xf numFmtId="0" fontId="49" fillId="21" borderId="84" xfId="0" applyFont="1" applyFill="1" applyBorder="1" applyProtection="1"/>
    <xf numFmtId="0" fontId="49" fillId="21" borderId="43" xfId="0" applyFont="1" applyFill="1" applyBorder="1" applyProtection="1"/>
    <xf numFmtId="0" fontId="49" fillId="21" borderId="62" xfId="0" applyFont="1" applyFill="1" applyBorder="1" applyProtection="1"/>
    <xf numFmtId="0" fontId="49" fillId="21" borderId="100" xfId="0" applyFont="1" applyFill="1" applyBorder="1" applyProtection="1"/>
    <xf numFmtId="0" fontId="49" fillId="21" borderId="101" xfId="0" applyFont="1" applyFill="1" applyBorder="1" applyProtection="1"/>
    <xf numFmtId="0" fontId="49" fillId="21" borderId="64" xfId="0" applyFont="1" applyFill="1" applyBorder="1" applyProtection="1"/>
    <xf numFmtId="0" fontId="49" fillId="81" borderId="88" xfId="0" applyFont="1" applyFill="1" applyBorder="1" applyProtection="1"/>
    <xf numFmtId="0" fontId="49" fillId="81" borderId="72" xfId="0" applyFont="1" applyFill="1" applyBorder="1" applyProtection="1"/>
    <xf numFmtId="0" fontId="49" fillId="81" borderId="117" xfId="0" applyFont="1" applyFill="1" applyBorder="1" applyProtection="1"/>
    <xf numFmtId="0" fontId="49" fillId="81" borderId="64" xfId="0" applyFont="1" applyFill="1" applyBorder="1" applyProtection="1"/>
    <xf numFmtId="0" fontId="49" fillId="81" borderId="107" xfId="0" applyFont="1" applyFill="1" applyBorder="1" applyProtection="1"/>
    <xf numFmtId="0" fontId="49" fillId="21" borderId="106" xfId="0" applyFont="1" applyFill="1" applyBorder="1" applyProtection="1"/>
    <xf numFmtId="0" fontId="49" fillId="21" borderId="107" xfId="0" applyFont="1" applyFill="1" applyBorder="1" applyProtection="1"/>
    <xf numFmtId="0" fontId="49" fillId="81" borderId="37" xfId="0" applyFont="1" applyFill="1" applyBorder="1" applyProtection="1"/>
    <xf numFmtId="0" fontId="49" fillId="81" borderId="36" xfId="0" applyFont="1" applyFill="1" applyBorder="1" applyProtection="1"/>
    <xf numFmtId="0" fontId="49" fillId="81" borderId="66" xfId="0" applyFont="1" applyFill="1" applyBorder="1" applyProtection="1"/>
    <xf numFmtId="0" fontId="49" fillId="81" borderId="40" xfId="0" applyFont="1" applyFill="1" applyBorder="1" applyProtection="1"/>
    <xf numFmtId="0" fontId="49" fillId="81" borderId="0" xfId="0" applyFont="1" applyFill="1" applyBorder="1" applyProtection="1"/>
    <xf numFmtId="0" fontId="49" fillId="81" borderId="62" xfId="0" applyFont="1" applyFill="1" applyBorder="1" applyProtection="1"/>
    <xf numFmtId="0" fontId="49" fillId="81" borderId="79" xfId="0" applyFont="1" applyFill="1" applyBorder="1" applyProtection="1"/>
    <xf numFmtId="0" fontId="49" fillId="81" borderId="43" xfId="0" applyFont="1" applyFill="1" applyBorder="1" applyProtection="1"/>
    <xf numFmtId="0" fontId="49" fillId="81" borderId="63" xfId="0" applyFont="1" applyFill="1" applyBorder="1" applyProtection="1"/>
    <xf numFmtId="0" fontId="48" fillId="42" borderId="41" xfId="0" applyFont="1" applyFill="1" applyBorder="1" applyAlignment="1" applyProtection="1">
      <alignment horizontal="right"/>
    </xf>
    <xf numFmtId="0" fontId="49" fillId="21" borderId="98" xfId="0" applyFont="1" applyFill="1" applyBorder="1" applyProtection="1"/>
    <xf numFmtId="0" fontId="49" fillId="21" borderId="99" xfId="0" applyFont="1" applyFill="1" applyBorder="1" applyProtection="1"/>
    <xf numFmtId="0" fontId="49" fillId="21" borderId="46" xfId="0" applyFont="1" applyFill="1" applyBorder="1" applyProtection="1"/>
    <xf numFmtId="0" fontId="49" fillId="21" borderId="68" xfId="0" applyFont="1" applyFill="1" applyBorder="1" applyAlignment="1" applyProtection="1"/>
    <xf numFmtId="0" fontId="49" fillId="21" borderId="0" xfId="0" applyFont="1" applyFill="1" applyBorder="1" applyAlignment="1" applyProtection="1"/>
    <xf numFmtId="0" fontId="49" fillId="21" borderId="62" xfId="0" applyFont="1" applyFill="1" applyBorder="1" applyAlignment="1" applyProtection="1"/>
    <xf numFmtId="0" fontId="49" fillId="21" borderId="46" xfId="0" applyFont="1" applyFill="1" applyBorder="1" applyAlignment="1" applyProtection="1"/>
    <xf numFmtId="0" fontId="49" fillId="21" borderId="7" xfId="0" applyFont="1" applyFill="1" applyBorder="1" applyProtection="1"/>
    <xf numFmtId="0" fontId="49" fillId="21" borderId="85" xfId="0" applyFont="1" applyFill="1" applyBorder="1" applyProtection="1"/>
    <xf numFmtId="0" fontId="49" fillId="21" borderId="86" xfId="0" applyFont="1" applyFill="1" applyBorder="1" applyProtection="1"/>
    <xf numFmtId="0" fontId="49" fillId="21" borderId="45" xfId="0" applyFont="1" applyFill="1" applyBorder="1" applyProtection="1"/>
    <xf numFmtId="165" fontId="51" fillId="0" borderId="41" xfId="0" applyNumberFormat="1" applyFont="1" applyFill="1" applyBorder="1" applyProtection="1"/>
    <xf numFmtId="0" fontId="49" fillId="21" borderId="94" xfId="0" applyFont="1" applyFill="1" applyBorder="1" applyProtection="1"/>
    <xf numFmtId="0" fontId="49" fillId="21" borderId="95" xfId="0" applyFont="1" applyFill="1" applyBorder="1" applyProtection="1"/>
    <xf numFmtId="0" fontId="49" fillId="24" borderId="11" xfId="0" applyFont="1" applyFill="1" applyBorder="1" applyProtection="1"/>
    <xf numFmtId="0" fontId="94" fillId="31" borderId="2" xfId="0" applyFont="1" applyFill="1" applyBorder="1" applyProtection="1"/>
    <xf numFmtId="43" fontId="49" fillId="24" borderId="2" xfId="7" applyFont="1" applyFill="1" applyBorder="1" applyProtection="1"/>
    <xf numFmtId="0" fontId="49" fillId="21" borderId="44" xfId="0" applyFont="1" applyFill="1" applyBorder="1" applyProtection="1"/>
    <xf numFmtId="0" fontId="49" fillId="21" borderId="11" xfId="0" applyFont="1" applyFill="1" applyBorder="1" applyProtection="1"/>
    <xf numFmtId="0" fontId="49" fillId="21" borderId="2" xfId="0" applyFont="1" applyFill="1" applyBorder="1" applyProtection="1"/>
    <xf numFmtId="0" fontId="49" fillId="22" borderId="11" xfId="0" applyFont="1" applyFill="1" applyBorder="1" applyProtection="1"/>
    <xf numFmtId="0" fontId="49" fillId="22" borderId="2" xfId="0" applyFont="1" applyFill="1" applyBorder="1" applyProtection="1"/>
    <xf numFmtId="167" fontId="49" fillId="22" borderId="2" xfId="0" applyNumberFormat="1" applyFont="1" applyFill="1" applyBorder="1" applyProtection="1"/>
    <xf numFmtId="43" fontId="49" fillId="22" borderId="2" xfId="7" applyFont="1" applyFill="1" applyBorder="1" applyProtection="1"/>
    <xf numFmtId="0" fontId="49" fillId="41" borderId="11" xfId="0" applyFont="1" applyFill="1" applyBorder="1" applyProtection="1"/>
    <xf numFmtId="167" fontId="49" fillId="41" borderId="2" xfId="0" applyNumberFormat="1" applyFont="1" applyFill="1" applyBorder="1" applyProtection="1"/>
    <xf numFmtId="0" fontId="49" fillId="29" borderId="11" xfId="0" applyFont="1" applyFill="1" applyBorder="1" applyProtection="1"/>
    <xf numFmtId="0" fontId="120" fillId="29" borderId="2" xfId="0" applyFont="1" applyFill="1" applyBorder="1" applyProtection="1"/>
    <xf numFmtId="0" fontId="49" fillId="29" borderId="45" xfId="0" applyFont="1" applyFill="1" applyBorder="1" applyProtection="1"/>
    <xf numFmtId="0" fontId="49" fillId="29" borderId="44" xfId="0" applyFont="1" applyFill="1" applyBorder="1" applyProtection="1"/>
    <xf numFmtId="169" fontId="49" fillId="29" borderId="2" xfId="0" applyNumberFormat="1" applyFont="1" applyFill="1" applyBorder="1" applyProtection="1"/>
    <xf numFmtId="43" fontId="49" fillId="29" borderId="44" xfId="7" applyFont="1" applyFill="1" applyBorder="1" applyProtection="1"/>
    <xf numFmtId="0" fontId="49" fillId="14" borderId="41" xfId="0" applyFont="1" applyFill="1" applyBorder="1" applyProtection="1"/>
    <xf numFmtId="0" fontId="38" fillId="14" borderId="41" xfId="0" applyFont="1" applyFill="1" applyBorder="1" applyProtection="1"/>
    <xf numFmtId="166" fontId="49" fillId="14" borderId="41" xfId="8" applyNumberFormat="1" applyFont="1" applyFill="1" applyBorder="1" applyProtection="1"/>
    <xf numFmtId="0" fontId="49" fillId="26" borderId="60" xfId="0" applyFont="1" applyFill="1" applyBorder="1" applyProtection="1"/>
    <xf numFmtId="0" fontId="37" fillId="26" borderId="100" xfId="0" applyFont="1" applyFill="1" applyBorder="1" applyProtection="1"/>
    <xf numFmtId="0" fontId="49" fillId="26" borderId="43" xfId="0" applyFont="1" applyFill="1" applyBorder="1" applyProtection="1"/>
    <xf numFmtId="0" fontId="49" fillId="26" borderId="101" xfId="0" applyFont="1" applyFill="1" applyBorder="1" applyProtection="1"/>
    <xf numFmtId="0" fontId="49" fillId="26" borderId="64" xfId="0" applyFont="1" applyFill="1" applyBorder="1" applyProtection="1"/>
    <xf numFmtId="0" fontId="49" fillId="26" borderId="62" xfId="0" applyFont="1" applyFill="1" applyBorder="1" applyProtection="1"/>
    <xf numFmtId="0" fontId="49" fillId="26" borderId="41" xfId="0" applyFont="1" applyFill="1" applyBorder="1" applyProtection="1"/>
    <xf numFmtId="0" fontId="49" fillId="45" borderId="104" xfId="0" applyFont="1" applyFill="1" applyBorder="1" applyProtection="1"/>
    <xf numFmtId="0" fontId="49" fillId="26" borderId="106" xfId="0" applyFont="1" applyFill="1" applyBorder="1" applyProtection="1"/>
    <xf numFmtId="0" fontId="49" fillId="26" borderId="107" xfId="0" applyFont="1" applyFill="1" applyBorder="1" applyProtection="1"/>
    <xf numFmtId="0" fontId="49" fillId="35" borderId="106" xfId="0" applyFont="1" applyFill="1" applyBorder="1" applyProtection="1"/>
    <xf numFmtId="0" fontId="49" fillId="35" borderId="64" xfId="0" applyFont="1" applyFill="1" applyBorder="1" applyProtection="1"/>
    <xf numFmtId="0" fontId="50" fillId="35" borderId="64" xfId="0" applyFont="1" applyFill="1" applyBorder="1" applyProtection="1"/>
    <xf numFmtId="0" fontId="38" fillId="38" borderId="104" xfId="0" applyFont="1" applyFill="1" applyBorder="1" applyProtection="1"/>
    <xf numFmtId="0" fontId="49" fillId="26" borderId="98" xfId="0" applyFont="1" applyFill="1" applyBorder="1" applyProtection="1"/>
    <xf numFmtId="0" fontId="49" fillId="26" borderId="99" xfId="0" applyFont="1" applyFill="1" applyBorder="1" applyProtection="1"/>
    <xf numFmtId="0" fontId="49" fillId="26" borderId="100" xfId="0" applyFont="1" applyFill="1" applyBorder="1" applyProtection="1"/>
    <xf numFmtId="0" fontId="49" fillId="45" borderId="106" xfId="0" applyFont="1" applyFill="1" applyBorder="1" applyProtection="1"/>
    <xf numFmtId="0" fontId="49" fillId="45" borderId="64" xfId="0" applyFont="1" applyFill="1" applyBorder="1" applyProtection="1"/>
    <xf numFmtId="0" fontId="49" fillId="45" borderId="42" xfId="0" applyFont="1" applyFill="1" applyBorder="1" applyProtection="1"/>
    <xf numFmtId="0" fontId="50" fillId="45" borderId="64" xfId="0" applyFont="1" applyFill="1" applyBorder="1" applyProtection="1"/>
    <xf numFmtId="0" fontId="49" fillId="45" borderId="48" xfId="0" applyFont="1" applyFill="1" applyBorder="1" applyProtection="1"/>
    <xf numFmtId="168" fontId="49" fillId="45" borderId="48" xfId="7" applyNumberFormat="1" applyFont="1" applyFill="1" applyBorder="1" applyProtection="1"/>
    <xf numFmtId="0" fontId="49" fillId="26" borderId="128" xfId="0" applyFont="1" applyFill="1" applyBorder="1" applyProtection="1"/>
    <xf numFmtId="0" fontId="49" fillId="26" borderId="134" xfId="0" applyFont="1" applyFill="1" applyBorder="1" applyProtection="1"/>
    <xf numFmtId="167" fontId="49" fillId="26" borderId="145" xfId="0" applyNumberFormat="1" applyFont="1" applyFill="1" applyBorder="1" applyProtection="1"/>
    <xf numFmtId="167" fontId="49" fillId="26" borderId="0" xfId="0" applyNumberFormat="1" applyFont="1" applyFill="1" applyBorder="1" applyProtection="1"/>
    <xf numFmtId="0" fontId="38" fillId="38" borderId="41" xfId="0" applyFont="1" applyFill="1" applyBorder="1" applyProtection="1"/>
    <xf numFmtId="0" fontId="38" fillId="26" borderId="41" xfId="0" applyFont="1" applyFill="1" applyBorder="1" applyProtection="1"/>
    <xf numFmtId="0" fontId="56" fillId="26" borderId="41" xfId="0" applyFont="1" applyFill="1" applyBorder="1" applyProtection="1"/>
    <xf numFmtId="0" fontId="49" fillId="29" borderId="41" xfId="0" applyFont="1" applyFill="1" applyBorder="1" applyAlignment="1" applyProtection="1">
      <alignment horizontal="right"/>
    </xf>
    <xf numFmtId="0" fontId="49" fillId="29" borderId="41" xfId="0" applyFont="1" applyFill="1" applyBorder="1" applyProtection="1"/>
    <xf numFmtId="167" fontId="49" fillId="29" borderId="41" xfId="0" applyNumberFormat="1" applyFont="1" applyFill="1" applyBorder="1" applyProtection="1"/>
    <xf numFmtId="43" fontId="49" fillId="29" borderId="41" xfId="7" applyFont="1" applyFill="1" applyBorder="1" applyProtection="1"/>
    <xf numFmtId="166" fontId="49" fillId="29" borderId="41" xfId="8" applyNumberFormat="1" applyFont="1" applyFill="1" applyBorder="1" applyProtection="1"/>
    <xf numFmtId="0" fontId="39" fillId="29" borderId="41" xfId="0" applyFont="1" applyFill="1" applyBorder="1" applyProtection="1"/>
    <xf numFmtId="0" fontId="38" fillId="29" borderId="41" xfId="0" applyFont="1" applyFill="1" applyBorder="1" applyProtection="1"/>
    <xf numFmtId="167" fontId="38" fillId="29" borderId="41" xfId="0" applyNumberFormat="1" applyFont="1" applyFill="1" applyBorder="1" applyProtection="1"/>
    <xf numFmtId="43" fontId="49" fillId="29" borderId="41" xfId="0" applyNumberFormat="1" applyFont="1" applyFill="1" applyBorder="1" applyProtection="1"/>
    <xf numFmtId="43" fontId="38" fillId="29" borderId="41" xfId="0" applyNumberFormat="1" applyFont="1" applyFill="1" applyBorder="1" applyProtection="1"/>
    <xf numFmtId="166" fontId="38" fillId="29" borderId="41" xfId="8" applyNumberFormat="1" applyFont="1" applyFill="1" applyBorder="1" applyProtection="1"/>
    <xf numFmtId="43" fontId="39" fillId="29" borderId="41" xfId="0" applyNumberFormat="1" applyFont="1" applyFill="1" applyBorder="1" applyProtection="1"/>
    <xf numFmtId="168" fontId="49" fillId="29" borderId="41" xfId="7" applyNumberFormat="1" applyFont="1" applyFill="1" applyBorder="1" applyProtection="1"/>
    <xf numFmtId="182" fontId="49" fillId="29" borderId="41" xfId="0" applyNumberFormat="1" applyFont="1" applyFill="1" applyBorder="1" applyProtection="1"/>
    <xf numFmtId="168" fontId="49" fillId="29" borderId="41" xfId="0" applyNumberFormat="1" applyFont="1" applyFill="1" applyBorder="1" applyProtection="1"/>
    <xf numFmtId="0" fontId="38" fillId="45" borderId="106" xfId="0" applyFont="1" applyFill="1" applyBorder="1" applyProtection="1"/>
    <xf numFmtId="184" fontId="39" fillId="36" borderId="26" xfId="0" applyNumberFormat="1" applyFont="1" applyFill="1" applyBorder="1" applyProtection="1"/>
    <xf numFmtId="180" fontId="0" fillId="15" borderId="0" xfId="0" applyNumberFormat="1" applyFill="1" applyBorder="1" applyProtection="1"/>
    <xf numFmtId="0" fontId="25" fillId="18" borderId="29" xfId="0" applyFont="1" applyFill="1" applyBorder="1" applyProtection="1"/>
    <xf numFmtId="9" fontId="25" fillId="18" borderId="31" xfId="11" applyFont="1" applyFill="1" applyBorder="1" applyProtection="1"/>
    <xf numFmtId="49" fontId="8" fillId="18" borderId="29" xfId="0" applyNumberFormat="1" applyFont="1" applyFill="1" applyBorder="1" applyAlignment="1" applyProtection="1">
      <alignment horizontal="left"/>
    </xf>
    <xf numFmtId="0" fontId="123" fillId="18" borderId="2" xfId="0" applyFont="1" applyFill="1" applyBorder="1" applyProtection="1"/>
    <xf numFmtId="0" fontId="123" fillId="18" borderId="8" xfId="0" applyFont="1" applyFill="1" applyBorder="1" applyAlignment="1" applyProtection="1"/>
    <xf numFmtId="0" fontId="123" fillId="18" borderId="2" xfId="0" applyFont="1" applyFill="1" applyBorder="1" applyAlignment="1" applyProtection="1"/>
    <xf numFmtId="0" fontId="123" fillId="18" borderId="2" xfId="0" applyFont="1" applyFill="1" applyBorder="1" applyAlignment="1" applyProtection="1">
      <alignment horizontal="left" vertical="center"/>
    </xf>
    <xf numFmtId="167" fontId="39" fillId="18" borderId="2" xfId="11" applyNumberFormat="1" applyFont="1" applyFill="1" applyBorder="1" applyAlignment="1" applyProtection="1">
      <alignment horizontal="right" vertical="center"/>
    </xf>
    <xf numFmtId="0" fontId="94" fillId="37" borderId="2" xfId="0" applyFont="1" applyFill="1" applyBorder="1" applyProtection="1"/>
    <xf numFmtId="0" fontId="50" fillId="37" borderId="2" xfId="0" applyFont="1" applyFill="1" applyBorder="1" applyProtection="1"/>
    <xf numFmtId="0" fontId="50" fillId="37" borderId="8" xfId="0" applyFont="1" applyFill="1" applyBorder="1" applyProtection="1"/>
    <xf numFmtId="0" fontId="49" fillId="37" borderId="2" xfId="0" applyFont="1" applyFill="1" applyBorder="1" applyProtection="1"/>
    <xf numFmtId="0" fontId="49" fillId="37" borderId="8" xfId="0" applyFont="1" applyFill="1" applyBorder="1" applyProtection="1"/>
    <xf numFmtId="0" fontId="90" fillId="15" borderId="0" xfId="0" applyFont="1" applyFill="1" applyBorder="1" applyProtection="1"/>
    <xf numFmtId="0" fontId="39" fillId="4" borderId="83" xfId="1" applyFont="1" applyBorder="1" applyProtection="1"/>
    <xf numFmtId="0" fontId="39" fillId="4" borderId="0" xfId="1" applyFont="1" applyBorder="1" applyProtection="1"/>
    <xf numFmtId="0" fontId="39" fillId="4" borderId="84" xfId="1" applyFont="1" applyBorder="1" applyProtection="1"/>
    <xf numFmtId="0" fontId="38" fillId="46" borderId="49" xfId="0" applyFont="1" applyFill="1" applyBorder="1" applyAlignment="1" applyProtection="1">
      <alignment vertical="center"/>
    </xf>
    <xf numFmtId="0" fontId="20" fillId="46" borderId="64" xfId="0" applyFont="1" applyFill="1" applyBorder="1" applyAlignment="1" applyProtection="1">
      <alignment horizontal="center"/>
    </xf>
    <xf numFmtId="0" fontId="20" fillId="46" borderId="42" xfId="0" applyFont="1" applyFill="1" applyBorder="1" applyAlignment="1" applyProtection="1">
      <alignment horizontal="center"/>
    </xf>
    <xf numFmtId="0" fontId="20" fillId="46" borderId="104" xfId="0" applyFont="1" applyFill="1" applyBorder="1" applyProtection="1"/>
    <xf numFmtId="6" fontId="51" fillId="39" borderId="41" xfId="0" applyNumberFormat="1" applyFont="1" applyFill="1" applyBorder="1" applyProtection="1"/>
    <xf numFmtId="0" fontId="49" fillId="39" borderId="41" xfId="0" applyFont="1" applyFill="1" applyBorder="1" applyProtection="1"/>
    <xf numFmtId="0" fontId="39" fillId="39" borderId="130" xfId="0" applyFont="1" applyFill="1" applyBorder="1" applyAlignment="1" applyProtection="1">
      <alignment vertical="center"/>
    </xf>
    <xf numFmtId="0" fontId="25" fillId="28" borderId="29" xfId="1" applyFont="1" applyFill="1" applyBorder="1" applyProtection="1"/>
    <xf numFmtId="49" fontId="8" fillId="28" borderId="29" xfId="0" applyNumberFormat="1" applyFont="1" applyFill="1" applyBorder="1" applyAlignment="1" applyProtection="1">
      <alignment horizontal="left"/>
    </xf>
    <xf numFmtId="49" fontId="8" fillId="28" borderId="31" xfId="0" applyNumberFormat="1" applyFont="1" applyFill="1" applyBorder="1" applyAlignment="1" applyProtection="1">
      <alignment horizontal="left"/>
    </xf>
    <xf numFmtId="49" fontId="8" fillId="28" borderId="30" xfId="0" applyNumberFormat="1" applyFont="1" applyFill="1" applyBorder="1" applyAlignment="1" applyProtection="1">
      <alignment horizontal="left"/>
    </xf>
    <xf numFmtId="0" fontId="25" fillId="28" borderId="37" xfId="1" applyFont="1" applyFill="1" applyBorder="1" applyAlignment="1" applyProtection="1">
      <alignment horizontal="left"/>
    </xf>
    <xf numFmtId="0" fontId="20" fillId="35" borderId="104" xfId="0" applyFont="1" applyFill="1" applyBorder="1" applyAlignment="1" applyProtection="1">
      <alignment vertical="center"/>
    </xf>
    <xf numFmtId="0" fontId="20" fillId="17" borderId="64" xfId="0" applyFont="1" applyFill="1" applyBorder="1" applyAlignment="1" applyProtection="1">
      <alignment horizontal="center" vertical="center"/>
    </xf>
    <xf numFmtId="0" fontId="20" fillId="17" borderId="42" xfId="0" applyFont="1" applyFill="1" applyBorder="1" applyAlignment="1" applyProtection="1">
      <alignment horizontal="center" vertical="center"/>
    </xf>
    <xf numFmtId="0" fontId="16" fillId="17" borderId="64" xfId="0" applyFont="1" applyFill="1" applyBorder="1" applyAlignment="1" applyProtection="1">
      <alignment horizontal="left" vertical="center"/>
    </xf>
    <xf numFmtId="0" fontId="16" fillId="17" borderId="42" xfId="0" applyFont="1" applyFill="1" applyBorder="1" applyAlignment="1" applyProtection="1">
      <alignment horizontal="left" vertical="center"/>
    </xf>
    <xf numFmtId="0" fontId="16" fillId="35" borderId="104" xfId="0" applyFont="1" applyFill="1" applyBorder="1" applyAlignment="1" applyProtection="1">
      <alignment vertical="center"/>
    </xf>
    <xf numFmtId="0" fontId="25" fillId="81" borderId="26" xfId="1" applyFont="1" applyFill="1" applyBorder="1" applyProtection="1"/>
    <xf numFmtId="0" fontId="25" fillId="81" borderId="48" xfId="0" applyFont="1" applyFill="1" applyBorder="1" applyProtection="1"/>
    <xf numFmtId="49" fontId="8" fillId="81" borderId="136" xfId="0" applyNumberFormat="1" applyFont="1" applyFill="1" applyBorder="1" applyAlignment="1" applyProtection="1">
      <alignment horizontal="left"/>
    </xf>
    <xf numFmtId="49" fontId="8" fillId="81" borderId="33" xfId="0" applyNumberFormat="1" applyFont="1" applyFill="1" applyBorder="1" applyAlignment="1" applyProtection="1">
      <alignment horizontal="left"/>
    </xf>
    <xf numFmtId="0" fontId="38" fillId="46" borderId="28" xfId="1" applyFont="1" applyFill="1" applyBorder="1" applyAlignment="1" applyProtection="1">
      <alignment horizontal="center" vertical="center"/>
    </xf>
    <xf numFmtId="0" fontId="38" fillId="28" borderId="26" xfId="0" applyFont="1" applyFill="1" applyBorder="1" applyAlignment="1" applyProtection="1">
      <alignment horizontal="center"/>
    </xf>
    <xf numFmtId="0" fontId="38" fillId="39" borderId="26" xfId="1" applyFont="1" applyFill="1" applyBorder="1" applyAlignment="1" applyProtection="1">
      <alignment horizontal="center"/>
    </xf>
    <xf numFmtId="0" fontId="38" fillId="81" borderId="26" xfId="0" applyFont="1" applyFill="1" applyBorder="1" applyAlignment="1" applyProtection="1">
      <alignment horizontal="center"/>
    </xf>
    <xf numFmtId="0" fontId="38" fillId="83" borderId="28" xfId="1" applyFont="1" applyFill="1" applyBorder="1" applyAlignment="1" applyProtection="1">
      <alignment horizontal="center" vertical="center"/>
    </xf>
    <xf numFmtId="0" fontId="38" fillId="42" borderId="26" xfId="1" applyFont="1" applyFill="1" applyBorder="1" applyAlignment="1" applyProtection="1">
      <alignment horizontal="center"/>
    </xf>
    <xf numFmtId="0" fontId="39" fillId="81" borderId="130" xfId="0" applyFont="1" applyFill="1" applyBorder="1" applyAlignment="1" applyProtection="1">
      <alignment vertical="center"/>
    </xf>
    <xf numFmtId="0" fontId="49" fillId="81" borderId="41" xfId="0" applyFont="1" applyFill="1" applyBorder="1" applyProtection="1"/>
    <xf numFmtId="6" fontId="51" fillId="81" borderId="41" xfId="0" applyNumberFormat="1" applyFont="1" applyFill="1" applyBorder="1" applyProtection="1"/>
    <xf numFmtId="0" fontId="49" fillId="24" borderId="87" xfId="1" applyFont="1" applyFill="1" applyBorder="1" applyProtection="1"/>
    <xf numFmtId="0" fontId="124" fillId="24" borderId="2" xfId="0" applyFont="1" applyFill="1" applyBorder="1" applyProtection="1"/>
    <xf numFmtId="167" fontId="39" fillId="24" borderId="2" xfId="11" applyNumberFormat="1" applyFont="1" applyFill="1" applyBorder="1" applyAlignment="1" applyProtection="1">
      <alignment horizontal="right" vertical="center"/>
    </xf>
    <xf numFmtId="0" fontId="91" fillId="31" borderId="2" xfId="0" applyFont="1" applyFill="1" applyBorder="1" applyProtection="1"/>
    <xf numFmtId="0" fontId="49" fillId="31" borderId="2" xfId="0" applyFont="1" applyFill="1" applyBorder="1" applyProtection="1"/>
    <xf numFmtId="0" fontId="91" fillId="31" borderId="2" xfId="0" applyFont="1" applyFill="1" applyBorder="1" applyAlignment="1" applyProtection="1">
      <alignment vertical="center"/>
    </xf>
    <xf numFmtId="0" fontId="38" fillId="31" borderId="2" xfId="0" applyFont="1" applyFill="1" applyBorder="1" applyProtection="1"/>
    <xf numFmtId="0" fontId="38" fillId="18" borderId="2" xfId="0" applyFont="1" applyFill="1" applyBorder="1" applyProtection="1"/>
    <xf numFmtId="44" fontId="49" fillId="18" borderId="2" xfId="8" applyFont="1" applyFill="1" applyBorder="1" applyProtection="1"/>
    <xf numFmtId="167" fontId="49" fillId="18" borderId="2" xfId="8" applyNumberFormat="1" applyFont="1" applyFill="1" applyBorder="1" applyAlignment="1" applyProtection="1">
      <alignment horizontal="right" vertical="center"/>
    </xf>
    <xf numFmtId="167" fontId="49" fillId="18" borderId="2" xfId="0" applyNumberFormat="1" applyFont="1" applyFill="1" applyBorder="1" applyProtection="1"/>
    <xf numFmtId="0" fontId="39" fillId="39" borderId="102" xfId="1" applyFont="1" applyFill="1" applyBorder="1" applyAlignment="1" applyProtection="1">
      <alignment vertical="center"/>
    </xf>
    <xf numFmtId="0" fontId="39" fillId="39" borderId="31" xfId="1" applyFont="1" applyFill="1" applyBorder="1" applyAlignment="1" applyProtection="1">
      <alignment vertical="center"/>
    </xf>
    <xf numFmtId="0" fontId="39" fillId="39" borderId="30" xfId="1" applyFont="1" applyFill="1" applyBorder="1" applyAlignment="1" applyProtection="1">
      <alignment vertical="center"/>
    </xf>
    <xf numFmtId="0" fontId="49" fillId="0" borderId="41" xfId="0" applyFont="1" applyFill="1" applyBorder="1" applyProtection="1"/>
    <xf numFmtId="184" fontId="49" fillId="0" borderId="26" xfId="0" applyNumberFormat="1" applyFont="1" applyFill="1" applyBorder="1" applyProtection="1"/>
    <xf numFmtId="0" fontId="26" fillId="31" borderId="0" xfId="0" applyFont="1" applyFill="1"/>
    <xf numFmtId="0" fontId="90" fillId="0" borderId="26" xfId="0" applyFont="1" applyFill="1" applyBorder="1" applyProtection="1"/>
    <xf numFmtId="0" fontId="39" fillId="24" borderId="2" xfId="1" applyFont="1" applyFill="1" applyBorder="1" applyProtection="1"/>
    <xf numFmtId="9" fontId="39" fillId="24" borderId="2" xfId="11" applyFont="1" applyFill="1" applyBorder="1" applyProtection="1"/>
    <xf numFmtId="0" fontId="38" fillId="24" borderId="2" xfId="1" applyFont="1" applyFill="1" applyBorder="1" applyProtection="1"/>
    <xf numFmtId="9" fontId="39" fillId="24" borderId="2" xfId="1" applyNumberFormat="1" applyFont="1" applyFill="1" applyBorder="1" applyProtection="1"/>
    <xf numFmtId="42" fontId="39" fillId="24" borderId="2" xfId="1" applyNumberFormat="1" applyFont="1" applyFill="1" applyBorder="1" applyProtection="1"/>
    <xf numFmtId="43" fontId="39" fillId="24" borderId="2" xfId="7" applyFont="1" applyFill="1" applyBorder="1" applyProtection="1"/>
    <xf numFmtId="44" fontId="39" fillId="24" borderId="2" xfId="8" applyFont="1" applyFill="1" applyBorder="1" applyProtection="1"/>
    <xf numFmtId="185" fontId="39" fillId="24" borderId="2" xfId="11" applyNumberFormat="1" applyFont="1" applyFill="1" applyBorder="1" applyProtection="1"/>
    <xf numFmtId="10" fontId="39" fillId="24" borderId="2" xfId="1" applyNumberFormat="1" applyFont="1" applyFill="1" applyBorder="1" applyProtection="1"/>
    <xf numFmtId="0" fontId="38" fillId="24" borderId="2" xfId="0" applyFont="1" applyFill="1" applyBorder="1" applyProtection="1"/>
    <xf numFmtId="166" fontId="39" fillId="24" borderId="2" xfId="1" applyNumberFormat="1" applyFont="1" applyFill="1" applyBorder="1" applyProtection="1"/>
    <xf numFmtId="9" fontId="49" fillId="24" borderId="2" xfId="0" applyNumberFormat="1" applyFont="1" applyFill="1" applyBorder="1" applyProtection="1"/>
    <xf numFmtId="186" fontId="49" fillId="24" borderId="2" xfId="0" applyNumberFormat="1" applyFont="1" applyFill="1" applyBorder="1" applyProtection="1"/>
    <xf numFmtId="10" fontId="39" fillId="24" borderId="2" xfId="11" applyNumberFormat="1" applyFont="1" applyFill="1" applyBorder="1" applyProtection="1"/>
    <xf numFmtId="44" fontId="49" fillId="18" borderId="2" xfId="0" applyNumberFormat="1" applyFont="1" applyFill="1" applyBorder="1" applyProtection="1"/>
    <xf numFmtId="0" fontId="21" fillId="0" borderId="26" xfId="1" applyFill="1" applyBorder="1" applyProtection="1"/>
    <xf numFmtId="0" fontId="0" fillId="0" borderId="26" xfId="1" applyFont="1" applyFill="1" applyBorder="1" applyProtection="1"/>
    <xf numFmtId="0" fontId="90" fillId="20" borderId="0" xfId="0" applyFont="1" applyFill="1"/>
    <xf numFmtId="0" fontId="0" fillId="20" borderId="32" xfId="0" applyFill="1" applyBorder="1" applyProtection="1"/>
    <xf numFmtId="0" fontId="0" fillId="20" borderId="0" xfId="0" applyFill="1" applyBorder="1" applyProtection="1"/>
    <xf numFmtId="0" fontId="90" fillId="20" borderId="0" xfId="0" applyFont="1" applyFill="1" applyBorder="1" applyProtection="1"/>
    <xf numFmtId="0" fontId="31" fillId="20" borderId="0" xfId="0" applyFont="1" applyFill="1" applyBorder="1" applyProtection="1"/>
    <xf numFmtId="0" fontId="0" fillId="0" borderId="35" xfId="0" applyFill="1" applyBorder="1" applyProtection="1"/>
    <xf numFmtId="0" fontId="0" fillId="0" borderId="35" xfId="0" applyFont="1" applyFill="1" applyBorder="1" applyProtection="1"/>
    <xf numFmtId="1" fontId="0" fillId="0" borderId="0" xfId="0" applyNumberFormat="1" applyFill="1"/>
    <xf numFmtId="6" fontId="0" fillId="0" borderId="0" xfId="0" applyNumberFormat="1"/>
    <xf numFmtId="0" fontId="15" fillId="0" borderId="0" xfId="0" applyFont="1" applyFill="1" applyBorder="1" applyProtection="1"/>
    <xf numFmtId="9" fontId="25" fillId="0" borderId="0" xfId="11" applyFont="1" applyFill="1" applyBorder="1" applyAlignment="1" applyProtection="1">
      <alignment horizontal="right"/>
      <protection locked="0"/>
    </xf>
    <xf numFmtId="0" fontId="8" fillId="0" borderId="26" xfId="0" applyFont="1" applyFill="1" applyBorder="1" applyProtection="1"/>
    <xf numFmtId="0" fontId="50" fillId="14" borderId="30" xfId="0" applyFont="1" applyFill="1" applyBorder="1" applyAlignment="1" applyProtection="1">
      <alignment horizontal="left"/>
    </xf>
    <xf numFmtId="0" fontId="93" fillId="14" borderId="30" xfId="0" applyFont="1" applyFill="1" applyBorder="1" applyAlignment="1" applyProtection="1">
      <alignment horizontal="left"/>
    </xf>
    <xf numFmtId="0" fontId="49" fillId="31" borderId="41" xfId="0" applyFont="1" applyFill="1" applyBorder="1" applyProtection="1"/>
    <xf numFmtId="0" fontId="0" fillId="0" borderId="0" xfId="0" applyFont="1" applyFill="1" applyBorder="1" applyProtection="1"/>
    <xf numFmtId="168" fontId="49" fillId="0" borderId="26" xfId="0" applyNumberFormat="1" applyFont="1" applyFill="1" applyBorder="1" applyProtection="1"/>
    <xf numFmtId="0" fontId="38" fillId="0" borderId="26" xfId="0" applyFont="1" applyFill="1" applyBorder="1" applyAlignment="1" applyProtection="1">
      <alignment horizontal="right"/>
    </xf>
    <xf numFmtId="0" fontId="16" fillId="8" borderId="28" xfId="1" applyFont="1" applyFill="1" applyBorder="1" applyAlignment="1" applyProtection="1">
      <alignment horizontal="center" vertical="center"/>
    </xf>
    <xf numFmtId="0" fontId="40" fillId="46" borderId="26" xfId="0" applyFont="1" applyFill="1" applyBorder="1" applyAlignment="1" applyProtection="1">
      <alignment horizontal="center"/>
    </xf>
    <xf numFmtId="0" fontId="40" fillId="39" borderId="28" xfId="1" applyFont="1" applyFill="1" applyBorder="1" applyAlignment="1" applyProtection="1">
      <alignment horizontal="center" vertical="center"/>
    </xf>
    <xf numFmtId="0" fontId="38" fillId="39" borderId="33" xfId="1" applyFont="1" applyFill="1" applyBorder="1" applyAlignment="1" applyProtection="1">
      <alignment horizontal="center" vertical="center" wrapText="1"/>
    </xf>
    <xf numFmtId="0" fontId="38" fillId="39" borderId="27" xfId="1" applyFont="1" applyFill="1" applyBorder="1" applyAlignment="1" applyProtection="1">
      <alignment horizontal="center" vertical="center" wrapText="1"/>
    </xf>
    <xf numFmtId="0" fontId="54" fillId="46" borderId="41" xfId="0" applyFont="1" applyFill="1" applyBorder="1" applyAlignment="1" applyProtection="1">
      <alignment horizontal="center"/>
    </xf>
    <xf numFmtId="0" fontId="20" fillId="46" borderId="41" xfId="0" applyFont="1" applyFill="1" applyBorder="1" applyAlignment="1" applyProtection="1">
      <alignment horizontal="center"/>
    </xf>
    <xf numFmtId="0" fontId="54" fillId="46" borderId="41" xfId="0" applyFont="1" applyFill="1" applyBorder="1" applyAlignment="1" applyProtection="1">
      <alignment horizontal="center" vertical="center"/>
    </xf>
    <xf numFmtId="0" fontId="20" fillId="46" borderId="41" xfId="0" applyFont="1" applyFill="1" applyBorder="1" applyAlignment="1" applyProtection="1">
      <alignment horizontal="center" vertical="center"/>
    </xf>
    <xf numFmtId="0" fontId="56" fillId="46" borderId="26" xfId="1" applyFont="1" applyFill="1" applyBorder="1" applyAlignment="1" applyProtection="1">
      <alignment horizontal="center"/>
    </xf>
    <xf numFmtId="0" fontId="38" fillId="46" borderId="26" xfId="1" applyFont="1" applyFill="1" applyBorder="1" applyAlignment="1" applyProtection="1">
      <alignment horizontal="center"/>
    </xf>
    <xf numFmtId="167" fontId="38" fillId="39" borderId="26" xfId="1" applyNumberFormat="1" applyFont="1" applyFill="1" applyBorder="1" applyProtection="1"/>
    <xf numFmtId="167" fontId="16" fillId="38" borderId="84" xfId="7" applyNumberFormat="1" applyFont="1" applyFill="1" applyBorder="1" applyAlignment="1" applyProtection="1">
      <alignment horizontal="right"/>
    </xf>
    <xf numFmtId="167" fontId="16" fillId="29" borderId="104" xfId="7" applyNumberFormat="1" applyFont="1" applyFill="1" applyBorder="1" applyAlignment="1" applyProtection="1">
      <alignment horizontal="right"/>
    </xf>
    <xf numFmtId="5" fontId="38" fillId="39" borderId="26" xfId="7" applyNumberFormat="1" applyFont="1" applyFill="1" applyBorder="1" applyProtection="1"/>
    <xf numFmtId="5" fontId="38" fillId="38" borderId="108" xfId="7" applyNumberFormat="1" applyFont="1" applyFill="1" applyBorder="1" applyProtection="1"/>
    <xf numFmtId="41" fontId="38" fillId="39" borderId="26" xfId="1" applyNumberFormat="1" applyFont="1" applyFill="1" applyBorder="1" applyAlignment="1" applyProtection="1">
      <alignment horizontal="right"/>
    </xf>
    <xf numFmtId="5" fontId="38" fillId="38" borderId="108" xfId="1" applyNumberFormat="1" applyFont="1" applyFill="1" applyBorder="1" applyProtection="1"/>
    <xf numFmtId="167" fontId="38" fillId="38" borderId="108" xfId="1" applyNumberFormat="1" applyFont="1" applyFill="1" applyBorder="1" applyProtection="1"/>
    <xf numFmtId="5" fontId="38" fillId="38" borderId="108" xfId="1" applyNumberFormat="1" applyFont="1" applyFill="1" applyBorder="1" applyAlignment="1" applyProtection="1">
      <alignment horizontal="right"/>
    </xf>
    <xf numFmtId="167" fontId="38" fillId="39" borderId="96" xfId="1" applyNumberFormat="1" applyFont="1" applyFill="1" applyBorder="1" applyProtection="1"/>
    <xf numFmtId="5" fontId="38" fillId="38" borderId="97" xfId="1" applyNumberFormat="1" applyFont="1" applyFill="1" applyBorder="1" applyProtection="1"/>
    <xf numFmtId="43" fontId="51" fillId="39" borderId="26" xfId="1" applyNumberFormat="1" applyFont="1" applyFill="1" applyBorder="1" applyProtection="1"/>
    <xf numFmtId="0" fontId="40" fillId="17" borderId="26" xfId="0" applyFont="1" applyFill="1" applyBorder="1" applyAlignment="1" applyProtection="1">
      <alignment horizontal="center"/>
    </xf>
    <xf numFmtId="0" fontId="38" fillId="43" borderId="65" xfId="0" applyFont="1" applyFill="1" applyBorder="1" applyAlignment="1" applyProtection="1">
      <alignment horizontal="center" vertical="center" wrapText="1"/>
    </xf>
    <xf numFmtId="0" fontId="16" fillId="36" borderId="36" xfId="0" applyFont="1" applyFill="1" applyBorder="1" applyAlignment="1" applyProtection="1">
      <alignment horizontal="center" vertical="center"/>
    </xf>
    <xf numFmtId="0" fontId="38" fillId="43" borderId="36" xfId="0" applyFont="1" applyFill="1" applyBorder="1" applyAlignment="1" applyProtection="1">
      <alignment horizontal="center" vertical="center" wrapText="1"/>
    </xf>
    <xf numFmtId="167" fontId="16" fillId="36" borderId="36" xfId="0" applyNumberFormat="1" applyFont="1" applyFill="1" applyBorder="1" applyAlignment="1" applyProtection="1">
      <alignment horizontal="center" vertical="center"/>
    </xf>
    <xf numFmtId="0" fontId="56" fillId="36" borderId="46" xfId="0" applyFont="1" applyFill="1" applyBorder="1" applyAlignment="1" applyProtection="1">
      <alignment horizontal="center" vertical="center" wrapText="1"/>
    </xf>
    <xf numFmtId="0" fontId="56" fillId="36" borderId="46" xfId="0" applyFont="1" applyFill="1" applyBorder="1" applyAlignment="1" applyProtection="1">
      <alignment horizontal="center" vertical="center"/>
    </xf>
    <xf numFmtId="167" fontId="38" fillId="36" borderId="46" xfId="0" applyNumberFormat="1" applyFont="1" applyFill="1" applyBorder="1" applyAlignment="1" applyProtection="1">
      <alignment horizontal="center" vertical="center" wrapText="1"/>
    </xf>
    <xf numFmtId="0" fontId="38" fillId="30" borderId="49" xfId="0" applyFont="1" applyFill="1" applyBorder="1" applyAlignment="1" applyProtection="1">
      <alignment horizontal="center" vertical="center" wrapText="1"/>
    </xf>
    <xf numFmtId="0" fontId="16" fillId="32" borderId="60" xfId="0" applyFont="1" applyFill="1" applyBorder="1" applyAlignment="1" applyProtection="1">
      <alignment horizontal="center" vertical="center"/>
    </xf>
    <xf numFmtId="0" fontId="38" fillId="30" borderId="60" xfId="0" applyFont="1" applyFill="1" applyBorder="1" applyAlignment="1" applyProtection="1">
      <alignment horizontal="center" vertical="center" wrapText="1"/>
    </xf>
    <xf numFmtId="0" fontId="56" fillId="32" borderId="46" xfId="0" applyFont="1" applyFill="1" applyBorder="1" applyAlignment="1" applyProtection="1">
      <alignment horizontal="center" vertical="center"/>
    </xf>
    <xf numFmtId="0" fontId="38" fillId="32" borderId="46" xfId="0" applyFont="1" applyFill="1" applyBorder="1" applyAlignment="1" applyProtection="1">
      <alignment horizontal="center" vertical="center" wrapText="1"/>
    </xf>
    <xf numFmtId="0" fontId="54" fillId="17" borderId="41" xfId="0" applyFont="1" applyFill="1" applyBorder="1" applyAlignment="1" applyProtection="1">
      <alignment horizontal="center"/>
    </xf>
    <xf numFmtId="0" fontId="20" fillId="17" borderId="41" xfId="0" applyFont="1" applyFill="1" applyBorder="1" applyAlignment="1" applyProtection="1">
      <alignment horizontal="center"/>
    </xf>
    <xf numFmtId="0" fontId="54" fillId="17" borderId="46" xfId="0" applyFont="1" applyFill="1" applyBorder="1" applyAlignment="1" applyProtection="1">
      <alignment horizontal="center"/>
    </xf>
    <xf numFmtId="0" fontId="20" fillId="17" borderId="61" xfId="0" applyFont="1" applyFill="1" applyBorder="1" applyAlignment="1" applyProtection="1">
      <alignment horizontal="center"/>
    </xf>
    <xf numFmtId="0" fontId="54" fillId="17" borderId="46" xfId="0" applyFont="1" applyFill="1" applyBorder="1" applyAlignment="1" applyProtection="1">
      <alignment horizontal="center" vertical="center"/>
    </xf>
    <xf numFmtId="0" fontId="20" fillId="17" borderId="61" xfId="0" applyFont="1" applyFill="1" applyBorder="1" applyAlignment="1" applyProtection="1">
      <alignment horizontal="center" vertical="center"/>
    </xf>
    <xf numFmtId="0" fontId="16" fillId="35" borderId="129" xfId="0" applyFont="1" applyFill="1" applyBorder="1" applyAlignment="1" applyProtection="1">
      <alignment vertical="center"/>
    </xf>
    <xf numFmtId="0" fontId="54" fillId="17" borderId="41" xfId="0" applyFont="1" applyFill="1" applyBorder="1" applyAlignment="1" applyProtection="1">
      <alignment horizontal="center" vertical="center"/>
    </xf>
    <xf numFmtId="0" fontId="20" fillId="17" borderId="41" xfId="0" applyFont="1" applyFill="1" applyBorder="1" applyAlignment="1" applyProtection="1">
      <alignment horizontal="center" vertical="center"/>
    </xf>
    <xf numFmtId="0" fontId="40" fillId="17" borderId="41" xfId="0" applyFont="1" applyFill="1" applyBorder="1" applyAlignment="1" applyProtection="1">
      <alignment horizontal="center" vertical="center"/>
    </xf>
    <xf numFmtId="0" fontId="16" fillId="17" borderId="41" xfId="0" applyFont="1" applyFill="1" applyBorder="1" applyAlignment="1" applyProtection="1">
      <alignment horizontal="center" vertical="center"/>
    </xf>
    <xf numFmtId="167" fontId="38" fillId="32" borderId="26" xfId="0" applyNumberFormat="1" applyFont="1" applyFill="1" applyBorder="1" applyProtection="1"/>
    <xf numFmtId="167" fontId="38" fillId="36" borderId="26" xfId="0" applyNumberFormat="1" applyFont="1" applyFill="1" applyBorder="1" applyProtection="1"/>
    <xf numFmtId="167" fontId="38" fillId="38" borderId="108" xfId="0" applyNumberFormat="1" applyFont="1" applyFill="1" applyBorder="1" applyProtection="1"/>
    <xf numFmtId="5" fontId="16" fillId="38" borderId="104" xfId="11" applyNumberFormat="1" applyFont="1" applyFill="1" applyBorder="1" applyAlignment="1" applyProtection="1">
      <alignment horizontal="right"/>
    </xf>
    <xf numFmtId="5" fontId="38" fillId="36" borderId="41" xfId="0" applyNumberFormat="1" applyFont="1" applyFill="1" applyBorder="1" applyProtection="1"/>
    <xf numFmtId="5" fontId="38" fillId="32" borderId="41" xfId="0" applyNumberFormat="1" applyFont="1" applyFill="1" applyBorder="1" applyProtection="1"/>
    <xf numFmtId="5" fontId="38" fillId="38" borderId="104" xfId="0" applyNumberFormat="1" applyFont="1" applyFill="1" applyBorder="1" applyProtection="1"/>
    <xf numFmtId="167" fontId="16" fillId="18" borderId="42" xfId="0" quotePrefix="1" applyNumberFormat="1" applyFont="1" applyFill="1" applyBorder="1" applyProtection="1"/>
    <xf numFmtId="167" fontId="16" fillId="38" borderId="104" xfId="7" applyNumberFormat="1" applyFont="1" applyFill="1" applyBorder="1" applyAlignment="1" applyProtection="1">
      <alignment horizontal="right"/>
    </xf>
    <xf numFmtId="0" fontId="40" fillId="83" borderId="26" xfId="0" applyFont="1" applyFill="1" applyBorder="1" applyAlignment="1" applyProtection="1">
      <alignment horizontal="center"/>
    </xf>
    <xf numFmtId="0" fontId="16" fillId="83" borderId="29" xfId="0" applyFont="1" applyFill="1" applyBorder="1" applyAlignment="1" applyProtection="1">
      <alignment horizontal="center"/>
    </xf>
    <xf numFmtId="0" fontId="40" fillId="83" borderId="41" xfId="0" applyFont="1" applyFill="1" applyBorder="1" applyAlignment="1" applyProtection="1">
      <alignment horizontal="center"/>
    </xf>
    <xf numFmtId="0" fontId="16" fillId="83" borderId="41" xfId="0" applyFont="1" applyFill="1" applyBorder="1" applyAlignment="1" applyProtection="1">
      <alignment horizontal="center"/>
    </xf>
    <xf numFmtId="0" fontId="40" fillId="83" borderId="41" xfId="0" applyFont="1" applyFill="1" applyBorder="1" applyAlignment="1" applyProtection="1">
      <alignment horizontal="center" vertical="center"/>
    </xf>
    <xf numFmtId="0" fontId="16" fillId="83" borderId="41" xfId="0" applyFont="1" applyFill="1" applyBorder="1" applyAlignment="1" applyProtection="1">
      <alignment horizontal="center" vertical="center"/>
    </xf>
    <xf numFmtId="0" fontId="54" fillId="83" borderId="41" xfId="0" applyFont="1" applyFill="1" applyBorder="1" applyAlignment="1" applyProtection="1">
      <alignment horizontal="center"/>
    </xf>
    <xf numFmtId="0" fontId="20" fillId="83" borderId="41" xfId="0" applyFont="1" applyFill="1" applyBorder="1" applyAlignment="1" applyProtection="1">
      <alignment horizontal="center"/>
    </xf>
    <xf numFmtId="0" fontId="54" fillId="83" borderId="44" xfId="0" applyFont="1" applyFill="1" applyBorder="1" applyAlignment="1" applyProtection="1">
      <alignment horizontal="center"/>
    </xf>
    <xf numFmtId="0" fontId="20" fillId="83" borderId="44" xfId="0" applyFont="1" applyFill="1" applyBorder="1" applyAlignment="1" applyProtection="1">
      <alignment horizontal="center"/>
    </xf>
    <xf numFmtId="0" fontId="26" fillId="0" borderId="0" xfId="0" applyFont="1" applyAlignment="1">
      <alignment wrapText="1"/>
    </xf>
    <xf numFmtId="0" fontId="0" fillId="0" borderId="0" xfId="0" applyAlignment="1"/>
    <xf numFmtId="0" fontId="26" fillId="0" borderId="0" xfId="0" applyFont="1" applyAlignment="1"/>
    <xf numFmtId="0" fontId="39" fillId="0" borderId="26" xfId="0" applyFont="1" applyFill="1" applyBorder="1" applyProtection="1"/>
    <xf numFmtId="0" fontId="26" fillId="8" borderId="0" xfId="0" applyFont="1" applyFill="1"/>
    <xf numFmtId="0" fontId="0" fillId="8" borderId="0" xfId="0" applyFill="1"/>
    <xf numFmtId="0" fontId="0" fillId="80" borderId="0" xfId="0" applyFill="1"/>
    <xf numFmtId="0" fontId="26" fillId="80" borderId="0" xfId="0" applyFont="1" applyFill="1"/>
    <xf numFmtId="168" fontId="0" fillId="0" borderId="0" xfId="0" applyNumberFormat="1"/>
    <xf numFmtId="0" fontId="8" fillId="0" borderId="35" xfId="0" applyFont="1" applyFill="1" applyBorder="1" applyProtection="1"/>
    <xf numFmtId="165" fontId="0" fillId="0" borderId="0" xfId="11" applyNumberFormat="1" applyFont="1"/>
    <xf numFmtId="1" fontId="0" fillId="0" borderId="26" xfId="0" applyNumberFormat="1" applyFill="1" applyBorder="1" applyProtection="1"/>
    <xf numFmtId="0" fontId="90" fillId="84" borderId="0" xfId="0" applyFont="1" applyFill="1"/>
    <xf numFmtId="0" fontId="15" fillId="84" borderId="0" xfId="0" applyFont="1" applyFill="1"/>
    <xf numFmtId="0" fontId="15" fillId="31" borderId="0" xfId="0" applyFont="1" applyFill="1"/>
    <xf numFmtId="1" fontId="0" fillId="0" borderId="0" xfId="0" applyNumberFormat="1"/>
    <xf numFmtId="1" fontId="25" fillId="0" borderId="0" xfId="0" applyNumberFormat="1" applyFont="1"/>
    <xf numFmtId="42" fontId="0" fillId="0" borderId="0" xfId="8" applyNumberFormat="1" applyFont="1"/>
    <xf numFmtId="167" fontId="38" fillId="38" borderId="104" xfId="0" applyNumberFormat="1" applyFont="1" applyFill="1" applyBorder="1" applyProtection="1"/>
    <xf numFmtId="167" fontId="16" fillId="42" borderId="0" xfId="1" applyNumberFormat="1" applyFont="1" applyFill="1" applyBorder="1" applyProtection="1"/>
    <xf numFmtId="0" fontId="45" fillId="43" borderId="41" xfId="0" applyFont="1" applyFill="1" applyBorder="1" applyAlignment="1" applyProtection="1">
      <alignment horizontal="center"/>
    </xf>
    <xf numFmtId="0" fontId="40" fillId="30" borderId="41" xfId="0" applyFont="1" applyFill="1" applyBorder="1" applyAlignment="1" applyProtection="1">
      <alignment horizontal="center"/>
    </xf>
    <xf numFmtId="0" fontId="40" fillId="32" borderId="41" xfId="0" applyFont="1" applyFill="1" applyBorder="1" applyAlignment="1" applyProtection="1">
      <alignment horizontal="center"/>
    </xf>
    <xf numFmtId="0" fontId="40" fillId="36" borderId="41" xfId="0" applyFont="1" applyFill="1" applyBorder="1" applyAlignment="1" applyProtection="1">
      <alignment horizontal="center"/>
    </xf>
    <xf numFmtId="0" fontId="40" fillId="24" borderId="41" xfId="0" applyFont="1" applyFill="1" applyBorder="1" applyAlignment="1" applyProtection="1">
      <alignment horizontal="center"/>
    </xf>
    <xf numFmtId="0" fontId="40" fillId="19" borderId="41" xfId="0" applyFont="1" applyFill="1" applyBorder="1" applyAlignment="1" applyProtection="1">
      <alignment horizontal="center"/>
    </xf>
    <xf numFmtId="0" fontId="39" fillId="36" borderId="109" xfId="0" applyFont="1" applyFill="1" applyBorder="1" applyAlignment="1" applyProtection="1">
      <alignment vertical="center"/>
    </xf>
    <xf numFmtId="0" fontId="39" fillId="36" borderId="26" xfId="0" applyFont="1" applyFill="1" applyBorder="1" applyAlignment="1" applyProtection="1">
      <alignment vertical="center"/>
    </xf>
    <xf numFmtId="0" fontId="39" fillId="32" borderId="109" xfId="0" applyFont="1" applyFill="1" applyBorder="1" applyAlignment="1" applyProtection="1">
      <alignment vertical="center"/>
    </xf>
    <xf numFmtId="0" fontId="39" fillId="32" borderId="0" xfId="0" applyFont="1" applyFill="1" applyBorder="1" applyAlignment="1" applyProtection="1">
      <alignment vertical="center"/>
    </xf>
    <xf numFmtId="5" fontId="39" fillId="18" borderId="26" xfId="0" applyNumberFormat="1" applyFont="1" applyFill="1" applyBorder="1" applyProtection="1"/>
    <xf numFmtId="5" fontId="38" fillId="18" borderId="26" xfId="0" applyNumberFormat="1" applyFont="1" applyFill="1" applyBorder="1" applyProtection="1"/>
    <xf numFmtId="5" fontId="49" fillId="39" borderId="26" xfId="1" applyNumberFormat="1" applyFont="1" applyFill="1" applyBorder="1" applyAlignment="1" applyProtection="1">
      <alignment horizontal="right"/>
    </xf>
    <xf numFmtId="5" fontId="38" fillId="39" borderId="26" xfId="1" applyNumberFormat="1" applyFont="1" applyFill="1" applyBorder="1" applyAlignment="1" applyProtection="1">
      <alignment horizontal="right"/>
    </xf>
    <xf numFmtId="0" fontId="39" fillId="32" borderId="26" xfId="0" applyFont="1" applyFill="1" applyBorder="1" applyAlignment="1" applyProtection="1">
      <alignment vertical="center"/>
    </xf>
    <xf numFmtId="0" fontId="39" fillId="29" borderId="108" xfId="0" applyFont="1" applyFill="1" applyBorder="1" applyAlignment="1" applyProtection="1"/>
    <xf numFmtId="168" fontId="39" fillId="29" borderId="108" xfId="7" applyNumberFormat="1" applyFont="1" applyFill="1" applyBorder="1" applyAlignment="1" applyProtection="1"/>
    <xf numFmtId="167" fontId="38" fillId="42" borderId="26" xfId="1" applyNumberFormat="1" applyFont="1" applyFill="1" applyBorder="1" applyProtection="1"/>
    <xf numFmtId="167" fontId="16" fillId="29" borderId="144" xfId="7" applyNumberFormat="1" applyFont="1" applyFill="1" applyBorder="1" applyAlignment="1" applyProtection="1">
      <alignment horizontal="right"/>
    </xf>
    <xf numFmtId="167" fontId="38" fillId="42" borderId="141" xfId="1" applyNumberFormat="1" applyFont="1" applyFill="1" applyBorder="1" applyProtection="1"/>
    <xf numFmtId="0" fontId="45" fillId="46" borderId="26" xfId="0" applyFont="1" applyFill="1" applyBorder="1" applyAlignment="1" applyProtection="1">
      <alignment horizontal="center"/>
    </xf>
    <xf numFmtId="0" fontId="40" fillId="8" borderId="26" xfId="0" applyFont="1" applyFill="1" applyBorder="1" applyAlignment="1" applyProtection="1">
      <alignment horizontal="center"/>
    </xf>
    <xf numFmtId="0" fontId="40" fillId="39" borderId="26" xfId="0" applyFont="1" applyFill="1" applyBorder="1" applyAlignment="1" applyProtection="1">
      <alignment horizontal="center"/>
    </xf>
    <xf numFmtId="0" fontId="45" fillId="84" borderId="26" xfId="0" applyFont="1" applyFill="1" applyBorder="1" applyAlignment="1" applyProtection="1">
      <alignment horizontal="center"/>
    </xf>
    <xf numFmtId="0" fontId="40" fillId="42" borderId="26" xfId="0" applyFont="1" applyFill="1" applyBorder="1" applyAlignment="1" applyProtection="1">
      <alignment horizontal="center"/>
    </xf>
    <xf numFmtId="10" fontId="0" fillId="0" borderId="0" xfId="11" applyNumberFormat="1" applyFont="1"/>
    <xf numFmtId="0" fontId="125" fillId="0" borderId="0" xfId="0" applyFont="1"/>
    <xf numFmtId="0" fontId="0" fillId="0" borderId="0" xfId="0" applyAlignment="1" applyProtection="1">
      <alignment horizontal="left"/>
    </xf>
    <xf numFmtId="0" fontId="17" fillId="0" borderId="0" xfId="0" applyFont="1" applyAlignment="1">
      <alignment horizontal="right"/>
    </xf>
    <xf numFmtId="0" fontId="126" fillId="0" borderId="0" xfId="0" applyFont="1"/>
    <xf numFmtId="1" fontId="17" fillId="0" borderId="0" xfId="0" applyNumberFormat="1" applyFont="1"/>
    <xf numFmtId="1" fontId="0" fillId="31" borderId="0" xfId="0" applyNumberFormat="1" applyFill="1"/>
    <xf numFmtId="0" fontId="54" fillId="40" borderId="41" xfId="0" applyFont="1" applyFill="1" applyBorder="1" applyAlignment="1" applyProtection="1">
      <alignment horizontal="center" vertical="center"/>
    </xf>
    <xf numFmtId="0" fontId="60" fillId="40" borderId="46" xfId="0" applyFont="1" applyFill="1" applyBorder="1" applyAlignment="1" applyProtection="1">
      <alignment horizontal="center" vertical="center"/>
    </xf>
    <xf numFmtId="0" fontId="20" fillId="40" borderId="41" xfId="0" applyFont="1" applyFill="1" applyBorder="1" applyAlignment="1" applyProtection="1">
      <alignment horizontal="center" vertical="center"/>
    </xf>
    <xf numFmtId="187" fontId="39" fillId="18" borderId="26" xfId="0" applyNumberFormat="1" applyFont="1" applyFill="1" applyBorder="1" applyProtection="1"/>
    <xf numFmtId="187" fontId="49" fillId="39" borderId="26" xfId="1" applyNumberFormat="1" applyFont="1" applyFill="1" applyBorder="1" applyProtection="1"/>
    <xf numFmtId="187" fontId="39" fillId="42" borderId="26" xfId="1" applyNumberFormat="1" applyFont="1" applyFill="1" applyBorder="1" applyProtection="1"/>
    <xf numFmtId="168" fontId="16" fillId="29" borderId="41" xfId="7" applyNumberFormat="1" applyFont="1" applyFill="1" applyBorder="1" applyAlignment="1" applyProtection="1">
      <alignment horizontal="center"/>
    </xf>
    <xf numFmtId="168" fontId="16" fillId="29" borderId="41" xfId="0" applyNumberFormat="1" applyFont="1" applyFill="1" applyBorder="1" applyAlignment="1" applyProtection="1">
      <alignment horizontal="center"/>
    </xf>
    <xf numFmtId="168" fontId="41" fillId="29" borderId="104" xfId="0" applyNumberFormat="1" applyFont="1" applyFill="1" applyBorder="1" applyAlignment="1" applyProtection="1">
      <alignment horizontal="center"/>
    </xf>
    <xf numFmtId="0" fontId="38" fillId="29" borderId="108" xfId="0" applyFont="1" applyFill="1" applyBorder="1" applyAlignment="1" applyProtection="1">
      <alignment horizontal="right"/>
    </xf>
    <xf numFmtId="0" fontId="49" fillId="24" borderId="2" xfId="0" applyFont="1" applyFill="1" applyBorder="1" applyAlignment="1" applyProtection="1">
      <alignment horizontal="right"/>
    </xf>
    <xf numFmtId="165" fontId="41" fillId="42" borderId="26" xfId="11" applyNumberFormat="1" applyFont="1" applyFill="1" applyBorder="1" applyAlignment="1" applyProtection="1">
      <alignment horizontal="right"/>
    </xf>
    <xf numFmtId="165" fontId="39" fillId="29" borderId="108" xfId="11" applyNumberFormat="1" applyFont="1" applyFill="1" applyBorder="1" applyAlignment="1" applyProtection="1"/>
    <xf numFmtId="187" fontId="51" fillId="29" borderId="104" xfId="7" applyNumberFormat="1" applyFont="1" applyFill="1" applyBorder="1" applyAlignment="1" applyProtection="1">
      <alignment horizontal="right"/>
    </xf>
    <xf numFmtId="0" fontId="8" fillId="81" borderId="29" xfId="0" applyNumberFormat="1" applyFont="1" applyFill="1" applyBorder="1" applyAlignment="1" applyProtection="1">
      <alignment horizontal="left"/>
    </xf>
    <xf numFmtId="0" fontId="8" fillId="81" borderId="31" xfId="0" applyNumberFormat="1" applyFont="1" applyFill="1" applyBorder="1" applyAlignment="1" applyProtection="1">
      <alignment horizontal="left"/>
    </xf>
    <xf numFmtId="0" fontId="8" fillId="81" borderId="30" xfId="0" applyNumberFormat="1" applyFont="1" applyFill="1" applyBorder="1" applyAlignment="1" applyProtection="1">
      <alignment horizontal="left"/>
    </xf>
    <xf numFmtId="0" fontId="49" fillId="14" borderId="0" xfId="0" applyFont="1" applyFill="1" applyProtection="1">
      <protection hidden="1"/>
    </xf>
    <xf numFmtId="0" fontId="49" fillId="0" borderId="0" xfId="0" applyFont="1" applyProtection="1">
      <protection hidden="1"/>
    </xf>
    <xf numFmtId="0" fontId="49" fillId="14" borderId="3" xfId="0" applyFont="1" applyFill="1" applyBorder="1" applyProtection="1">
      <protection hidden="1"/>
    </xf>
    <xf numFmtId="0" fontId="49" fillId="14" borderId="25" xfId="0" applyFont="1" applyFill="1" applyBorder="1" applyProtection="1">
      <protection hidden="1"/>
    </xf>
    <xf numFmtId="0" fontId="49" fillId="14" borderId="8" xfId="0" applyFont="1" applyFill="1" applyBorder="1" applyProtection="1">
      <protection hidden="1"/>
    </xf>
    <xf numFmtId="0" fontId="49" fillId="14" borderId="0" xfId="0" applyFont="1" applyFill="1" applyAlignment="1" applyProtection="1">
      <alignment wrapText="1"/>
      <protection hidden="1"/>
    </xf>
    <xf numFmtId="0" fontId="38" fillId="29" borderId="2" xfId="0" applyFont="1" applyFill="1" applyBorder="1" applyAlignment="1" applyProtection="1">
      <alignment horizontal="right" wrapText="1"/>
      <protection hidden="1"/>
    </xf>
    <xf numFmtId="0" fontId="38" fillId="29" borderId="8" xfId="0" applyFont="1" applyFill="1" applyBorder="1" applyAlignment="1" applyProtection="1">
      <alignment horizontal="right" wrapText="1"/>
      <protection hidden="1"/>
    </xf>
    <xf numFmtId="3" fontId="38" fillId="29" borderId="2" xfId="0" applyNumberFormat="1" applyFont="1" applyFill="1" applyBorder="1" applyAlignment="1" applyProtection="1">
      <alignment horizontal="center" wrapText="1"/>
      <protection hidden="1"/>
    </xf>
    <xf numFmtId="0" fontId="49" fillId="0" borderId="0" xfId="0" applyFont="1" applyAlignment="1" applyProtection="1">
      <alignment wrapText="1"/>
      <protection hidden="1"/>
    </xf>
    <xf numFmtId="0" fontId="49" fillId="14" borderId="83" xfId="0" applyFont="1" applyFill="1" applyBorder="1" applyProtection="1">
      <protection hidden="1"/>
    </xf>
    <xf numFmtId="0" fontId="49" fillId="14" borderId="0" xfId="0" applyFont="1" applyFill="1" applyBorder="1" applyProtection="1">
      <protection hidden="1"/>
    </xf>
    <xf numFmtId="0" fontId="49" fillId="14" borderId="84" xfId="0" applyFont="1" applyFill="1" applyBorder="1" applyProtection="1">
      <protection hidden="1"/>
    </xf>
    <xf numFmtId="0" fontId="49" fillId="14" borderId="11" xfId="0" applyFont="1" applyFill="1" applyBorder="1" applyAlignment="1" applyProtection="1">
      <alignment horizontal="right"/>
      <protection hidden="1"/>
    </xf>
    <xf numFmtId="41" fontId="49" fillId="14" borderId="87" xfId="0" applyNumberFormat="1" applyFont="1" applyFill="1" applyBorder="1" applyProtection="1">
      <protection hidden="1"/>
    </xf>
    <xf numFmtId="41" fontId="49" fillId="14" borderId="11" xfId="0" applyNumberFormat="1" applyFont="1" applyFill="1" applyBorder="1" applyProtection="1">
      <protection hidden="1"/>
    </xf>
    <xf numFmtId="0" fontId="49" fillId="14" borderId="11" xfId="0" applyFont="1" applyFill="1" applyBorder="1" applyProtection="1">
      <protection hidden="1"/>
    </xf>
    <xf numFmtId="167" fontId="49" fillId="14" borderId="11" xfId="0" applyNumberFormat="1" applyFont="1" applyFill="1" applyBorder="1" applyProtection="1">
      <protection hidden="1"/>
    </xf>
    <xf numFmtId="0" fontId="49" fillId="14" borderId="86" xfId="0" applyFont="1" applyFill="1" applyBorder="1" applyProtection="1">
      <protection hidden="1"/>
    </xf>
    <xf numFmtId="41" fontId="49" fillId="14" borderId="4" xfId="0" applyNumberFormat="1" applyFont="1" applyFill="1" applyBorder="1" applyProtection="1">
      <protection hidden="1"/>
    </xf>
    <xf numFmtId="0" fontId="38" fillId="29" borderId="3" xfId="0" applyFont="1" applyFill="1" applyBorder="1" applyAlignment="1" applyProtection="1">
      <protection hidden="1"/>
    </xf>
    <xf numFmtId="0" fontId="38" fillId="29" borderId="25" xfId="0" applyFont="1" applyFill="1" applyBorder="1" applyAlignment="1" applyProtection="1">
      <protection hidden="1"/>
    </xf>
    <xf numFmtId="0" fontId="38" fillId="29" borderId="2" xfId="0" applyFont="1" applyFill="1" applyBorder="1" applyAlignment="1" applyProtection="1">
      <protection hidden="1"/>
    </xf>
    <xf numFmtId="0" fontId="38" fillId="29" borderId="8" xfId="0" applyFont="1" applyFill="1" applyBorder="1" applyAlignment="1" applyProtection="1">
      <protection hidden="1"/>
    </xf>
    <xf numFmtId="0" fontId="49" fillId="0" borderId="87" xfId="0" quotePrefix="1" applyFont="1" applyBorder="1" applyProtection="1">
      <protection hidden="1"/>
    </xf>
    <xf numFmtId="0" fontId="49" fillId="14" borderId="80" xfId="0" applyFont="1" applyFill="1" applyBorder="1" applyProtection="1">
      <protection hidden="1"/>
    </xf>
    <xf numFmtId="0" fontId="49" fillId="14" borderId="81" xfId="0" applyFont="1" applyFill="1" applyBorder="1" applyProtection="1">
      <protection hidden="1"/>
    </xf>
    <xf numFmtId="0" fontId="39" fillId="14" borderId="87" xfId="0" applyFont="1" applyFill="1" applyBorder="1" applyAlignment="1" applyProtection="1">
      <protection hidden="1"/>
    </xf>
    <xf numFmtId="0" fontId="49" fillId="14" borderId="87" xfId="0" applyFont="1" applyFill="1" applyBorder="1" applyProtection="1">
      <protection hidden="1"/>
    </xf>
    <xf numFmtId="0" fontId="39" fillId="14" borderId="11" xfId="0" applyFont="1" applyFill="1" applyBorder="1" applyAlignment="1" applyProtection="1">
      <protection hidden="1"/>
    </xf>
    <xf numFmtId="0" fontId="49" fillId="14" borderId="7" xfId="0" applyFont="1" applyFill="1" applyBorder="1" applyProtection="1">
      <protection hidden="1"/>
    </xf>
    <xf numFmtId="0" fontId="49" fillId="14" borderId="85" xfId="0" applyFont="1" applyFill="1" applyBorder="1" applyProtection="1">
      <protection hidden="1"/>
    </xf>
    <xf numFmtId="0" fontId="39" fillId="14" borderId="4" xfId="0" applyFont="1" applyFill="1" applyBorder="1" applyAlignment="1" applyProtection="1">
      <protection hidden="1"/>
    </xf>
    <xf numFmtId="0" fontId="49" fillId="14" borderId="4" xfId="0" applyFont="1" applyFill="1" applyBorder="1" applyProtection="1">
      <protection hidden="1"/>
    </xf>
    <xf numFmtId="0" fontId="99" fillId="14" borderId="0" xfId="71" quotePrefix="1" applyFill="1" applyProtection="1">
      <protection hidden="1"/>
    </xf>
    <xf numFmtId="0" fontId="0" fillId="14" borderId="0" xfId="0" applyFill="1" applyBorder="1" applyProtection="1">
      <protection hidden="1"/>
    </xf>
    <xf numFmtId="0" fontId="0" fillId="0" borderId="0" xfId="0" applyFill="1" applyBorder="1" applyProtection="1">
      <protection hidden="1"/>
    </xf>
    <xf numFmtId="0" fontId="0" fillId="14" borderId="7" xfId="0" applyFill="1" applyBorder="1" applyProtection="1">
      <protection hidden="1"/>
    </xf>
    <xf numFmtId="0" fontId="0" fillId="14" borderId="85" xfId="0" applyFill="1" applyBorder="1" applyProtection="1">
      <protection hidden="1"/>
    </xf>
    <xf numFmtId="0" fontId="0" fillId="14" borderId="86" xfId="0" applyFill="1" applyBorder="1" applyProtection="1">
      <protection hidden="1"/>
    </xf>
    <xf numFmtId="0" fontId="38" fillId="29" borderId="4" xfId="0" applyFont="1" applyFill="1" applyBorder="1" applyAlignment="1" applyProtection="1">
      <alignment horizontal="center" wrapText="1"/>
      <protection hidden="1"/>
    </xf>
    <xf numFmtId="0" fontId="38" fillId="29" borderId="7" xfId="0" applyFont="1" applyFill="1" applyBorder="1" applyAlignment="1" applyProtection="1">
      <alignment horizontal="right" wrapText="1"/>
      <protection hidden="1"/>
    </xf>
    <xf numFmtId="3" fontId="38" fillId="29" borderId="4" xfId="0" applyNumberFormat="1" applyFont="1" applyFill="1" applyBorder="1" applyAlignment="1" applyProtection="1">
      <alignment horizontal="center" wrapText="1"/>
      <protection hidden="1"/>
    </xf>
    <xf numFmtId="3" fontId="38" fillId="14" borderId="0" xfId="0" applyNumberFormat="1" applyFont="1" applyFill="1" applyBorder="1" applyAlignment="1" applyProtection="1">
      <alignment horizontal="center" vertical="center" wrapText="1"/>
      <protection hidden="1"/>
    </xf>
    <xf numFmtId="0" fontId="49" fillId="14" borderId="82" xfId="0" applyFont="1" applyFill="1" applyBorder="1" applyProtection="1">
      <protection hidden="1"/>
    </xf>
    <xf numFmtId="0" fontId="49" fillId="14" borderId="87" xfId="0" applyFont="1" applyFill="1" applyBorder="1" applyAlignment="1" applyProtection="1">
      <alignment horizontal="right"/>
      <protection hidden="1"/>
    </xf>
    <xf numFmtId="0" fontId="49" fillId="14" borderId="80" xfId="0" applyFont="1" applyFill="1" applyBorder="1" applyAlignment="1" applyProtection="1">
      <protection hidden="1"/>
    </xf>
    <xf numFmtId="41" fontId="49" fillId="14" borderId="87" xfId="0" applyNumberFormat="1" applyFont="1" applyFill="1" applyBorder="1" applyAlignment="1" applyProtection="1">
      <protection hidden="1"/>
    </xf>
    <xf numFmtId="41" fontId="49" fillId="14" borderId="0" xfId="0" applyNumberFormat="1" applyFont="1" applyFill="1" applyBorder="1" applyProtection="1">
      <protection hidden="1"/>
    </xf>
    <xf numFmtId="0" fontId="49" fillId="14" borderId="83" xfId="0" applyFont="1" applyFill="1" applyBorder="1" applyAlignment="1" applyProtection="1">
      <protection hidden="1"/>
    </xf>
    <xf numFmtId="41" fontId="49" fillId="14" borderId="11" xfId="0" applyNumberFormat="1" applyFont="1" applyFill="1" applyBorder="1" applyAlignment="1" applyProtection="1">
      <protection hidden="1"/>
    </xf>
    <xf numFmtId="168" fontId="49" fillId="14" borderId="11" xfId="7" applyNumberFormat="1" applyFont="1" applyFill="1" applyBorder="1" applyProtection="1">
      <protection hidden="1"/>
    </xf>
    <xf numFmtId="0" fontId="49" fillId="14" borderId="7" xfId="0" applyFont="1" applyFill="1" applyBorder="1" applyAlignment="1" applyProtection="1">
      <protection hidden="1"/>
    </xf>
    <xf numFmtId="41" fontId="49" fillId="14" borderId="4" xfId="0" applyNumberFormat="1" applyFont="1" applyFill="1" applyBorder="1" applyAlignment="1" applyProtection="1">
      <protection hidden="1"/>
    </xf>
    <xf numFmtId="167" fontId="49" fillId="14" borderId="83" xfId="0" applyNumberFormat="1" applyFont="1" applyFill="1" applyBorder="1" applyProtection="1">
      <protection hidden="1"/>
    </xf>
    <xf numFmtId="167" fontId="49" fillId="14" borderId="7" xfId="0" applyNumberFormat="1" applyFont="1" applyFill="1" applyBorder="1" applyProtection="1">
      <protection hidden="1"/>
    </xf>
    <xf numFmtId="0" fontId="39" fillId="14" borderId="0" xfId="0" applyFont="1" applyFill="1" applyBorder="1" applyProtection="1">
      <protection hidden="1"/>
    </xf>
    <xf numFmtId="167" fontId="49" fillId="14" borderId="0" xfId="0" applyNumberFormat="1" applyFont="1" applyFill="1" applyBorder="1" applyProtection="1">
      <protection hidden="1"/>
    </xf>
    <xf numFmtId="0" fontId="39" fillId="29" borderId="8" xfId="0" applyFont="1" applyFill="1" applyBorder="1" applyProtection="1">
      <protection hidden="1"/>
    </xf>
    <xf numFmtId="0" fontId="38" fillId="29" borderId="25" xfId="0" applyFont="1" applyFill="1" applyBorder="1" applyProtection="1">
      <protection hidden="1"/>
    </xf>
    <xf numFmtId="0" fontId="39" fillId="29" borderId="25" xfId="0" applyFont="1" applyFill="1" applyBorder="1" applyProtection="1">
      <protection hidden="1"/>
    </xf>
    <xf numFmtId="0" fontId="39" fillId="14" borderId="80" xfId="0" applyFont="1" applyFill="1" applyBorder="1" applyProtection="1">
      <protection hidden="1"/>
    </xf>
    <xf numFmtId="167" fontId="39" fillId="14" borderId="81" xfId="0" applyNumberFormat="1" applyFont="1" applyFill="1" applyBorder="1" applyProtection="1">
      <protection hidden="1"/>
    </xf>
    <xf numFmtId="0" fontId="39" fillId="14" borderId="81" xfId="0" applyFont="1" applyFill="1" applyBorder="1" applyProtection="1">
      <protection hidden="1"/>
    </xf>
    <xf numFmtId="0" fontId="39" fillId="14" borderId="87" xfId="0" applyFont="1" applyFill="1" applyBorder="1" applyProtection="1">
      <protection hidden="1"/>
    </xf>
    <xf numFmtId="0" fontId="39" fillId="14" borderId="82" xfId="0" applyFont="1" applyFill="1" applyBorder="1" applyProtection="1">
      <protection hidden="1"/>
    </xf>
    <xf numFmtId="0" fontId="39" fillId="14" borderId="80" xfId="0" applyFont="1" applyFill="1" applyBorder="1" applyAlignment="1" applyProtection="1">
      <alignment vertical="center" wrapText="1"/>
      <protection hidden="1"/>
    </xf>
    <xf numFmtId="0" fontId="39" fillId="14" borderId="81" xfId="0" applyFont="1" applyFill="1" applyBorder="1" applyAlignment="1" applyProtection="1">
      <alignment vertical="center" wrapText="1"/>
      <protection hidden="1"/>
    </xf>
    <xf numFmtId="0" fontId="39" fillId="14" borderId="82" xfId="0" applyFont="1" applyFill="1" applyBorder="1" applyAlignment="1" applyProtection="1">
      <alignment vertical="center" wrapText="1"/>
      <protection hidden="1"/>
    </xf>
    <xf numFmtId="0" fontId="39" fillId="14" borderId="83" xfId="0" applyFont="1" applyFill="1" applyBorder="1" applyProtection="1">
      <protection hidden="1"/>
    </xf>
    <xf numFmtId="167" fontId="39" fillId="14" borderId="0" xfId="0" applyNumberFormat="1" applyFont="1" applyFill="1" applyBorder="1" applyProtection="1">
      <protection hidden="1"/>
    </xf>
    <xf numFmtId="0" fontId="39" fillId="14" borderId="11" xfId="0" applyFont="1" applyFill="1" applyBorder="1" applyProtection="1">
      <protection hidden="1"/>
    </xf>
    <xf numFmtId="0" fontId="39" fillId="14" borderId="84" xfId="0" applyFont="1" applyFill="1" applyBorder="1" applyProtection="1">
      <protection hidden="1"/>
    </xf>
    <xf numFmtId="0" fontId="39" fillId="14" borderId="83" xfId="0" applyFont="1" applyFill="1" applyBorder="1" applyAlignment="1" applyProtection="1">
      <alignment vertical="center" wrapText="1"/>
      <protection hidden="1"/>
    </xf>
    <xf numFmtId="0" fontId="39" fillId="14" borderId="0" xfId="0" applyFont="1" applyFill="1" applyBorder="1" applyAlignment="1" applyProtection="1">
      <alignment vertical="center" wrapText="1"/>
      <protection hidden="1"/>
    </xf>
    <xf numFmtId="0" fontId="39" fillId="14" borderId="84" xfId="0" applyFont="1" applyFill="1" applyBorder="1" applyAlignment="1" applyProtection="1">
      <alignment vertical="center" wrapText="1"/>
      <protection hidden="1"/>
    </xf>
    <xf numFmtId="0" fontId="39" fillId="14" borderId="7" xfId="0" applyFont="1" applyFill="1" applyBorder="1" applyProtection="1">
      <protection hidden="1"/>
    </xf>
    <xf numFmtId="167" fontId="39" fillId="14" borderId="85" xfId="0" applyNumberFormat="1" applyFont="1" applyFill="1" applyBorder="1" applyProtection="1">
      <protection hidden="1"/>
    </xf>
    <xf numFmtId="0" fontId="39" fillId="14" borderId="85" xfId="0" applyFont="1" applyFill="1" applyBorder="1" applyProtection="1">
      <protection hidden="1"/>
    </xf>
    <xf numFmtId="0" fontId="39" fillId="14" borderId="4" xfId="0" applyFont="1" applyFill="1" applyBorder="1" applyProtection="1">
      <protection hidden="1"/>
    </xf>
    <xf numFmtId="0" fontId="39" fillId="14" borderId="86" xfId="0" applyFont="1" applyFill="1" applyBorder="1" applyProtection="1">
      <protection hidden="1"/>
    </xf>
    <xf numFmtId="0" fontId="39" fillId="14" borderId="7" xfId="0" applyFont="1" applyFill="1" applyBorder="1" applyAlignment="1" applyProtection="1">
      <alignment vertical="center" wrapText="1"/>
      <protection hidden="1"/>
    </xf>
    <xf numFmtId="0" fontId="39" fillId="14" borderId="85" xfId="0" applyFont="1" applyFill="1" applyBorder="1" applyAlignment="1" applyProtection="1">
      <alignment vertical="center" wrapText="1"/>
      <protection hidden="1"/>
    </xf>
    <xf numFmtId="0" fontId="39" fillId="14" borderId="86" xfId="0" applyFont="1" applyFill="1" applyBorder="1" applyAlignment="1" applyProtection="1">
      <alignment vertical="center" wrapText="1"/>
      <protection hidden="1"/>
    </xf>
    <xf numFmtId="0" fontId="39" fillId="14" borderId="3" xfId="0" applyFont="1" applyFill="1" applyBorder="1" applyAlignment="1" applyProtection="1">
      <alignment vertical="center"/>
      <protection hidden="1"/>
    </xf>
    <xf numFmtId="0" fontId="39" fillId="14" borderId="25" xfId="0" applyFont="1" applyFill="1" applyBorder="1" applyAlignment="1" applyProtection="1">
      <alignment vertical="center"/>
      <protection hidden="1"/>
    </xf>
    <xf numFmtId="0" fontId="39" fillId="14" borderId="2" xfId="0" applyFont="1" applyFill="1" applyBorder="1" applyAlignment="1" applyProtection="1">
      <alignment vertical="center"/>
      <protection hidden="1"/>
    </xf>
    <xf numFmtId="0" fontId="39" fillId="14" borderId="80" xfId="0" applyFont="1" applyFill="1" applyBorder="1" applyAlignment="1" applyProtection="1">
      <alignment vertical="center"/>
      <protection hidden="1"/>
    </xf>
    <xf numFmtId="0" fontId="0" fillId="14" borderId="0" xfId="0" applyFill="1" applyBorder="1" applyAlignment="1" applyProtection="1">
      <alignment vertical="center"/>
      <protection hidden="1"/>
    </xf>
    <xf numFmtId="0" fontId="39" fillId="14" borderId="7" xfId="0" applyFont="1" applyFill="1" applyBorder="1" applyAlignment="1" applyProtection="1">
      <alignment vertical="center"/>
      <protection hidden="1"/>
    </xf>
    <xf numFmtId="0" fontId="39" fillId="14" borderId="85" xfId="0" applyFont="1" applyFill="1" applyBorder="1" applyAlignment="1" applyProtection="1">
      <alignment vertical="center"/>
      <protection hidden="1"/>
    </xf>
    <xf numFmtId="0" fontId="39" fillId="14" borderId="4" xfId="0" applyFont="1" applyFill="1" applyBorder="1" applyAlignment="1" applyProtection="1">
      <alignment vertical="center"/>
      <protection hidden="1"/>
    </xf>
    <xf numFmtId="0" fontId="39" fillId="14" borderId="8" xfId="0" applyFont="1" applyFill="1" applyBorder="1" applyAlignment="1" applyProtection="1">
      <alignment vertical="center" wrapText="1"/>
      <protection hidden="1"/>
    </xf>
    <xf numFmtId="0" fontId="0" fillId="0" borderId="0" xfId="0" applyFill="1" applyBorder="1" applyAlignment="1" applyProtection="1">
      <alignment vertical="center"/>
      <protection hidden="1"/>
    </xf>
    <xf numFmtId="0" fontId="88" fillId="77" borderId="80" xfId="0" applyFont="1" applyFill="1" applyBorder="1" applyProtection="1">
      <protection hidden="1"/>
    </xf>
    <xf numFmtId="0" fontId="49" fillId="77" borderId="81" xfId="0" applyFont="1" applyFill="1" applyBorder="1" applyProtection="1">
      <protection hidden="1"/>
    </xf>
    <xf numFmtId="0" fontId="38" fillId="77" borderId="81" xfId="0" applyFont="1" applyFill="1" applyBorder="1" applyAlignment="1" applyProtection="1">
      <protection hidden="1"/>
    </xf>
    <xf numFmtId="167" fontId="49" fillId="77" borderId="81" xfId="0" applyNumberFormat="1" applyFont="1" applyFill="1" applyBorder="1" applyProtection="1">
      <protection hidden="1"/>
    </xf>
    <xf numFmtId="41" fontId="49" fillId="77" borderId="81" xfId="0" applyNumberFormat="1" applyFont="1" applyFill="1" applyBorder="1" applyProtection="1">
      <protection hidden="1"/>
    </xf>
    <xf numFmtId="42" fontId="49" fillId="77" borderId="81" xfId="0" applyNumberFormat="1" applyFont="1" applyFill="1" applyBorder="1" applyProtection="1">
      <protection hidden="1"/>
    </xf>
    <xf numFmtId="42" fontId="49" fillId="77" borderId="82" xfId="0" applyNumberFormat="1" applyFont="1" applyFill="1" applyBorder="1" applyProtection="1">
      <protection hidden="1"/>
    </xf>
    <xf numFmtId="0" fontId="0" fillId="14" borderId="84" xfId="0" applyFill="1" applyBorder="1" applyProtection="1">
      <protection hidden="1"/>
    </xf>
    <xf numFmtId="0" fontId="50" fillId="35" borderId="2" xfId="0" applyFont="1" applyFill="1" applyBorder="1" applyAlignment="1" applyProtection="1">
      <alignment horizontal="center" vertical="center" wrapText="1"/>
      <protection hidden="1"/>
    </xf>
    <xf numFmtId="0" fontId="50" fillId="33" borderId="2" xfId="0" applyFont="1" applyFill="1" applyBorder="1" applyAlignment="1" applyProtection="1">
      <alignment horizontal="center" vertical="center" wrapText="1"/>
      <protection hidden="1"/>
    </xf>
    <xf numFmtId="0" fontId="50" fillId="30" borderId="2" xfId="0" applyFont="1" applyFill="1" applyBorder="1" applyAlignment="1" applyProtection="1">
      <alignment horizontal="center" vertical="center" wrapText="1"/>
      <protection hidden="1"/>
    </xf>
    <xf numFmtId="0" fontId="49" fillId="35" borderId="2" xfId="0" applyFont="1" applyFill="1" applyBorder="1" applyAlignment="1" applyProtection="1">
      <alignment horizontal="center"/>
      <protection hidden="1"/>
    </xf>
    <xf numFmtId="168" fontId="49" fillId="36" borderId="2" xfId="7" applyNumberFormat="1" applyFont="1" applyFill="1" applyBorder="1" applyAlignment="1" applyProtection="1">
      <alignment horizontal="center"/>
      <protection hidden="1"/>
    </xf>
    <xf numFmtId="168" fontId="49" fillId="36" borderId="2" xfId="7" applyNumberFormat="1" applyFont="1" applyFill="1" applyBorder="1" applyProtection="1">
      <protection hidden="1"/>
    </xf>
    <xf numFmtId="168" fontId="49" fillId="32" borderId="2" xfId="7" applyNumberFormat="1" applyFont="1" applyFill="1" applyBorder="1" applyAlignment="1" applyProtection="1">
      <alignment horizontal="center"/>
      <protection hidden="1"/>
    </xf>
    <xf numFmtId="168" fontId="49" fillId="32" borderId="2" xfId="7" applyNumberFormat="1" applyFont="1" applyFill="1" applyBorder="1" applyProtection="1">
      <protection hidden="1"/>
    </xf>
    <xf numFmtId="0" fontId="49" fillId="14" borderId="0" xfId="0" applyFont="1" applyFill="1" applyBorder="1" applyAlignment="1" applyProtection="1">
      <alignment vertical="center" wrapText="1"/>
      <protection hidden="1"/>
    </xf>
    <xf numFmtId="0" fontId="50" fillId="36" borderId="2" xfId="0" applyFont="1" applyFill="1" applyBorder="1" applyAlignment="1" applyProtection="1">
      <alignment horizontal="center" vertical="center" wrapText="1"/>
      <protection hidden="1"/>
    </xf>
    <xf numFmtId="0" fontId="50" fillId="32" borderId="2" xfId="0" applyFont="1" applyFill="1" applyBorder="1" applyAlignment="1" applyProtection="1">
      <alignment horizontal="center" vertical="center" wrapText="1"/>
      <protection hidden="1"/>
    </xf>
    <xf numFmtId="41" fontId="49" fillId="36" borderId="2" xfId="0" applyNumberFormat="1" applyFont="1" applyFill="1" applyBorder="1" applyProtection="1">
      <protection hidden="1"/>
    </xf>
    <xf numFmtId="41" fontId="49" fillId="32" borderId="2" xfId="0" applyNumberFormat="1" applyFont="1" applyFill="1" applyBorder="1" applyProtection="1">
      <protection hidden="1"/>
    </xf>
    <xf numFmtId="41" fontId="0" fillId="14" borderId="0" xfId="0" applyNumberFormat="1" applyFill="1" applyBorder="1" applyProtection="1">
      <protection hidden="1"/>
    </xf>
    <xf numFmtId="42" fontId="0" fillId="14" borderId="0" xfId="0" applyNumberFormat="1" applyFill="1" applyBorder="1" applyProtection="1">
      <protection hidden="1"/>
    </xf>
    <xf numFmtId="0" fontId="49" fillId="14" borderId="84" xfId="0" applyFont="1" applyFill="1" applyBorder="1" applyAlignment="1" applyProtection="1">
      <alignment vertical="center" wrapText="1"/>
      <protection hidden="1"/>
    </xf>
    <xf numFmtId="42" fontId="49" fillId="14" borderId="0" xfId="0" applyNumberFormat="1" applyFont="1" applyFill="1" applyBorder="1" applyAlignment="1" applyProtection="1">
      <alignment vertical="center" wrapText="1"/>
      <protection hidden="1"/>
    </xf>
    <xf numFmtId="0" fontId="49" fillId="0" borderId="0" xfId="0" applyFont="1" applyFill="1" applyBorder="1" applyAlignment="1" applyProtection="1">
      <alignment vertical="center" wrapText="1"/>
      <protection hidden="1"/>
    </xf>
    <xf numFmtId="0" fontId="49" fillId="14" borderId="83" xfId="0" applyFont="1" applyFill="1" applyBorder="1" applyAlignment="1" applyProtection="1">
      <alignment vertical="center" wrapText="1"/>
      <protection hidden="1"/>
    </xf>
    <xf numFmtId="42" fontId="49" fillId="14" borderId="0" xfId="0" applyNumberFormat="1" applyFont="1" applyFill="1" applyBorder="1" applyProtection="1">
      <protection hidden="1"/>
    </xf>
    <xf numFmtId="0" fontId="49" fillId="0" borderId="0" xfId="0" applyFont="1" applyFill="1" applyBorder="1" applyProtection="1">
      <protection hidden="1"/>
    </xf>
    <xf numFmtId="41" fontId="49" fillId="15" borderId="3" xfId="0" applyNumberFormat="1" applyFont="1" applyFill="1" applyBorder="1" applyProtection="1">
      <protection hidden="1"/>
    </xf>
    <xf numFmtId="41" fontId="49" fillId="15" borderId="8" xfId="0" applyNumberFormat="1" applyFont="1" applyFill="1" applyBorder="1" applyProtection="1">
      <protection hidden="1"/>
    </xf>
    <xf numFmtId="0" fontId="25" fillId="0" borderId="0" xfId="0" applyFont="1" applyFill="1" applyBorder="1" applyProtection="1">
      <protection hidden="1"/>
    </xf>
    <xf numFmtId="0" fontId="25" fillId="14" borderId="0" xfId="0" applyFont="1" applyFill="1" applyBorder="1" applyProtection="1">
      <protection hidden="1"/>
    </xf>
    <xf numFmtId="0" fontId="88" fillId="77" borderId="0" xfId="0" applyFont="1" applyFill="1" applyBorder="1" applyProtection="1">
      <protection hidden="1"/>
    </xf>
    <xf numFmtId="0" fontId="0" fillId="77" borderId="0" xfId="0" applyFill="1" applyBorder="1" applyProtection="1">
      <protection hidden="1"/>
    </xf>
    <xf numFmtId="41" fontId="0" fillId="77" borderId="0" xfId="0" applyNumberFormat="1" applyFill="1" applyBorder="1" applyProtection="1">
      <protection hidden="1"/>
    </xf>
    <xf numFmtId="42" fontId="0" fillId="77" borderId="0" xfId="0" applyNumberFormat="1" applyFill="1" applyBorder="1" applyProtection="1">
      <protection hidden="1"/>
    </xf>
    <xf numFmtId="0" fontId="25" fillId="77" borderId="0" xfId="0" applyFont="1" applyFill="1" applyBorder="1" applyProtection="1">
      <protection hidden="1"/>
    </xf>
    <xf numFmtId="0" fontId="57" fillId="14" borderId="0" xfId="0" applyNumberFormat="1" applyFont="1" applyFill="1" applyBorder="1" applyProtection="1">
      <protection hidden="1"/>
    </xf>
    <xf numFmtId="0" fontId="49" fillId="35" borderId="2" xfId="0" applyNumberFormat="1" applyFont="1" applyFill="1" applyBorder="1" applyProtection="1">
      <protection hidden="1"/>
    </xf>
    <xf numFmtId="0" fontId="50" fillId="29" borderId="2" xfId="0" applyNumberFormat="1" applyFont="1" applyFill="1" applyBorder="1" applyAlignment="1" applyProtection="1">
      <alignment horizontal="left"/>
      <protection hidden="1"/>
    </xf>
    <xf numFmtId="0" fontId="49" fillId="29" borderId="2" xfId="0" applyNumberFormat="1" applyFont="1" applyFill="1" applyBorder="1" applyProtection="1">
      <protection hidden="1"/>
    </xf>
    <xf numFmtId="0" fontId="49" fillId="14" borderId="0" xfId="0" applyNumberFormat="1" applyFont="1" applyFill="1" applyBorder="1" applyProtection="1">
      <protection hidden="1"/>
    </xf>
    <xf numFmtId="0" fontId="50" fillId="18" borderId="2" xfId="0" applyNumberFormat="1" applyFont="1" applyFill="1" applyBorder="1" applyAlignment="1" applyProtection="1">
      <protection hidden="1"/>
    </xf>
    <xf numFmtId="0" fontId="49" fillId="18" borderId="2" xfId="0" applyNumberFormat="1" applyFont="1" applyFill="1" applyBorder="1" applyProtection="1">
      <protection hidden="1"/>
    </xf>
    <xf numFmtId="0" fontId="49" fillId="0" borderId="0" xfId="0" applyNumberFormat="1" applyFont="1" applyFill="1" applyBorder="1" applyProtection="1">
      <protection hidden="1"/>
    </xf>
    <xf numFmtId="0" fontId="50" fillId="26" borderId="2" xfId="0" applyNumberFormat="1" applyFont="1" applyFill="1" applyBorder="1" applyAlignment="1" applyProtection="1">
      <protection hidden="1"/>
    </xf>
    <xf numFmtId="0" fontId="49" fillId="26" borderId="2" xfId="0" applyNumberFormat="1" applyFont="1" applyFill="1" applyBorder="1" applyProtection="1">
      <protection hidden="1"/>
    </xf>
    <xf numFmtId="0" fontId="50" fillId="22" borderId="2" xfId="0" applyNumberFormat="1" applyFont="1" applyFill="1" applyBorder="1" applyAlignment="1" applyProtection="1">
      <protection hidden="1"/>
    </xf>
    <xf numFmtId="0" fontId="49" fillId="22" borderId="2" xfId="0" applyNumberFormat="1" applyFont="1" applyFill="1" applyBorder="1" applyProtection="1">
      <protection hidden="1"/>
    </xf>
    <xf numFmtId="0" fontId="50" fillId="25" borderId="2" xfId="0" applyNumberFormat="1" applyFont="1" applyFill="1" applyBorder="1" applyAlignment="1" applyProtection="1">
      <protection hidden="1"/>
    </xf>
    <xf numFmtId="0" fontId="49" fillId="25" borderId="2" xfId="0" applyNumberFormat="1" applyFont="1" applyFill="1" applyBorder="1" applyProtection="1">
      <protection hidden="1"/>
    </xf>
    <xf numFmtId="0" fontId="50" fillId="25" borderId="2" xfId="0" applyNumberFormat="1" applyFont="1" applyFill="1" applyBorder="1" applyProtection="1">
      <protection hidden="1"/>
    </xf>
    <xf numFmtId="0" fontId="46" fillId="0" borderId="0" xfId="0" applyNumberFormat="1" applyFont="1" applyFill="1" applyBorder="1" applyProtection="1">
      <protection hidden="1"/>
    </xf>
    <xf numFmtId="0" fontId="57" fillId="0" borderId="0" xfId="0" applyNumberFormat="1" applyFont="1" applyFill="1" applyBorder="1" applyProtection="1">
      <protection hidden="1"/>
    </xf>
    <xf numFmtId="0" fontId="50" fillId="35" borderId="2" xfId="0" applyNumberFormat="1" applyFont="1" applyFill="1" applyBorder="1" applyProtection="1">
      <protection hidden="1"/>
    </xf>
    <xf numFmtId="0" fontId="49" fillId="18" borderId="2" xfId="0" applyNumberFormat="1" applyFont="1" applyFill="1" applyBorder="1" applyAlignment="1" applyProtection="1">
      <alignment horizontal="left"/>
      <protection hidden="1"/>
    </xf>
    <xf numFmtId="0" fontId="49" fillId="26" borderId="2" xfId="0" applyNumberFormat="1" applyFont="1" applyFill="1" applyBorder="1" applyAlignment="1" applyProtection="1">
      <alignment horizontal="left"/>
      <protection hidden="1"/>
    </xf>
    <xf numFmtId="0" fontId="49" fillId="22" borderId="2" xfId="0" applyNumberFormat="1" applyFont="1" applyFill="1" applyBorder="1" applyAlignment="1" applyProtection="1">
      <alignment horizontal="left"/>
      <protection hidden="1"/>
    </xf>
    <xf numFmtId="0" fontId="49" fillId="25" borderId="2" xfId="0" applyNumberFormat="1" applyFont="1" applyFill="1" applyBorder="1" applyAlignment="1" applyProtection="1">
      <alignment horizontal="left"/>
      <protection hidden="1"/>
    </xf>
    <xf numFmtId="0" fontId="0" fillId="14" borderId="0" xfId="0" applyNumberFormat="1" applyFill="1" applyBorder="1" applyAlignment="1" applyProtection="1">
      <alignment horizontal="center" vertical="center" wrapText="1"/>
      <protection hidden="1"/>
    </xf>
    <xf numFmtId="0" fontId="50" fillId="35" borderId="2" xfId="0" applyNumberFormat="1" applyFont="1" applyFill="1" applyBorder="1" applyAlignment="1" applyProtection="1">
      <alignment horizontal="center" vertical="center" wrapText="1"/>
      <protection hidden="1"/>
    </xf>
    <xf numFmtId="0" fontId="49" fillId="29" borderId="2" xfId="0" applyNumberFormat="1" applyFont="1" applyFill="1" applyBorder="1" applyAlignment="1" applyProtection="1">
      <alignment horizontal="center" vertical="center" wrapText="1"/>
      <protection hidden="1"/>
    </xf>
    <xf numFmtId="0" fontId="50" fillId="29" borderId="2" xfId="0" applyNumberFormat="1" applyFont="1" applyFill="1" applyBorder="1" applyAlignment="1" applyProtection="1">
      <alignment horizontal="center" vertical="center" wrapText="1"/>
      <protection hidden="1"/>
    </xf>
    <xf numFmtId="0" fontId="50" fillId="14" borderId="0" xfId="0" applyNumberFormat="1" applyFont="1" applyFill="1" applyBorder="1" applyAlignment="1" applyProtection="1">
      <alignment horizontal="center" vertical="center" wrapText="1"/>
      <protection hidden="1"/>
    </xf>
    <xf numFmtId="0" fontId="49" fillId="18" borderId="2" xfId="0" applyNumberFormat="1" applyFont="1" applyFill="1" applyBorder="1" applyAlignment="1" applyProtection="1">
      <alignment horizontal="center" vertical="center" wrapText="1"/>
      <protection hidden="1"/>
    </xf>
    <xf numFmtId="0" fontId="50" fillId="18" borderId="2" xfId="0" applyNumberFormat="1" applyFont="1" applyFill="1" applyBorder="1" applyAlignment="1" applyProtection="1">
      <alignment horizontal="center" vertical="center" wrapText="1"/>
      <protection hidden="1"/>
    </xf>
    <xf numFmtId="0" fontId="50" fillId="0" borderId="0" xfId="0" applyNumberFormat="1" applyFont="1" applyFill="1" applyBorder="1" applyAlignment="1" applyProtection="1">
      <alignment horizontal="center" vertical="center" wrapText="1"/>
      <protection hidden="1"/>
    </xf>
    <xf numFmtId="0" fontId="49" fillId="26" borderId="2" xfId="0" applyNumberFormat="1" applyFont="1" applyFill="1" applyBorder="1" applyAlignment="1" applyProtection="1">
      <alignment horizontal="center" vertical="center" wrapText="1"/>
      <protection hidden="1"/>
    </xf>
    <xf numFmtId="0" fontId="50" fillId="26" borderId="2" xfId="0" applyNumberFormat="1" applyFont="1" applyFill="1" applyBorder="1" applyAlignment="1" applyProtection="1">
      <alignment horizontal="center" vertical="center" wrapText="1"/>
      <protection hidden="1"/>
    </xf>
    <xf numFmtId="0" fontId="49" fillId="22" borderId="2" xfId="0" applyNumberFormat="1" applyFont="1" applyFill="1" applyBorder="1" applyAlignment="1" applyProtection="1">
      <alignment horizontal="center" vertical="center" wrapText="1"/>
      <protection hidden="1"/>
    </xf>
    <xf numFmtId="0" fontId="50" fillId="22" borderId="2" xfId="0" applyNumberFormat="1" applyFont="1" applyFill="1" applyBorder="1" applyAlignment="1" applyProtection="1">
      <alignment horizontal="center" vertical="center" wrapText="1"/>
      <protection hidden="1"/>
    </xf>
    <xf numFmtId="0" fontId="49" fillId="25" borderId="2" xfId="0" applyNumberFormat="1" applyFont="1" applyFill="1" applyBorder="1" applyAlignment="1" applyProtection="1">
      <alignment horizontal="center" vertical="center" wrapText="1"/>
      <protection hidden="1"/>
    </xf>
    <xf numFmtId="0" fontId="50" fillId="25" borderId="2" xfId="0" applyNumberFormat="1" applyFont="1" applyFill="1" applyBorder="1" applyAlignment="1" applyProtection="1">
      <alignment horizontal="center" vertical="center" wrapText="1"/>
      <protection hidden="1"/>
    </xf>
    <xf numFmtId="0" fontId="25" fillId="0" borderId="0" xfId="0" applyNumberFormat="1" applyFont="1" applyFill="1" applyBorder="1" applyAlignment="1" applyProtection="1">
      <alignment horizontal="center" vertical="center" wrapText="1"/>
      <protection hidden="1"/>
    </xf>
    <xf numFmtId="0" fontId="25" fillId="0" borderId="0" xfId="0" applyNumberFormat="1" applyFont="1" applyFill="1" applyBorder="1" applyAlignment="1" applyProtection="1">
      <alignment horizontal="center" vertical="center"/>
      <protection hidden="1"/>
    </xf>
    <xf numFmtId="0" fontId="26" fillId="0" borderId="0" xfId="0" applyNumberFormat="1" applyFont="1" applyFill="1" applyBorder="1" applyAlignment="1" applyProtection="1">
      <alignment horizontal="center" vertical="center" wrapText="1"/>
      <protection hidden="1"/>
    </xf>
    <xf numFmtId="0" fontId="0" fillId="0" borderId="0" xfId="0" applyNumberFormat="1" applyFill="1" applyBorder="1" applyAlignment="1" applyProtection="1">
      <alignment horizontal="center" vertical="center" wrapText="1"/>
      <protection hidden="1"/>
    </xf>
    <xf numFmtId="0" fontId="96" fillId="0" borderId="0" xfId="0" applyNumberFormat="1" applyFont="1" applyFill="1" applyBorder="1" applyAlignment="1" applyProtection="1">
      <alignment horizontal="center" vertical="center" wrapText="1"/>
      <protection hidden="1"/>
    </xf>
    <xf numFmtId="0" fontId="0" fillId="14" borderId="0" xfId="0" applyFill="1" applyBorder="1" applyAlignment="1" applyProtection="1">
      <alignment horizontal="center" vertical="center"/>
      <protection hidden="1"/>
    </xf>
    <xf numFmtId="0" fontId="49" fillId="35" borderId="2" xfId="0" applyFont="1" applyFill="1" applyBorder="1" applyAlignment="1" applyProtection="1">
      <alignment horizontal="center" vertical="center"/>
      <protection hidden="1"/>
    </xf>
    <xf numFmtId="41" fontId="49" fillId="29" borderId="2" xfId="0" applyNumberFormat="1" applyFont="1" applyFill="1" applyBorder="1" applyAlignment="1" applyProtection="1">
      <alignment horizontal="center" vertical="center"/>
      <protection hidden="1"/>
    </xf>
    <xf numFmtId="41" fontId="50" fillId="29" borderId="2" xfId="0" applyNumberFormat="1" applyFont="1" applyFill="1" applyBorder="1" applyAlignment="1" applyProtection="1">
      <alignment horizontal="center" vertical="center"/>
      <protection hidden="1"/>
    </xf>
    <xf numFmtId="41" fontId="50" fillId="14" borderId="0" xfId="0" applyNumberFormat="1" applyFont="1" applyFill="1" applyBorder="1" applyAlignment="1" applyProtection="1">
      <alignment horizontal="center" vertical="center"/>
      <protection hidden="1"/>
    </xf>
    <xf numFmtId="41" fontId="49" fillId="18" borderId="2" xfId="0" applyNumberFormat="1" applyFont="1" applyFill="1" applyBorder="1" applyAlignment="1" applyProtection="1">
      <alignment horizontal="center" vertical="center"/>
      <protection hidden="1"/>
    </xf>
    <xf numFmtId="41" fontId="50" fillId="18" borderId="2" xfId="0" applyNumberFormat="1" applyFont="1" applyFill="1" applyBorder="1" applyAlignment="1" applyProtection="1">
      <alignment horizontal="center" vertical="center"/>
      <protection hidden="1"/>
    </xf>
    <xf numFmtId="41" fontId="50" fillId="0" borderId="0" xfId="0" applyNumberFormat="1" applyFont="1" applyFill="1" applyBorder="1" applyAlignment="1" applyProtection="1">
      <alignment horizontal="center" vertical="center"/>
      <protection hidden="1"/>
    </xf>
    <xf numFmtId="41" fontId="49" fillId="26" borderId="2" xfId="0" applyNumberFormat="1" applyFont="1" applyFill="1" applyBorder="1" applyAlignment="1" applyProtection="1">
      <alignment horizontal="center" vertical="center"/>
      <protection hidden="1"/>
    </xf>
    <xf numFmtId="41" fontId="50" fillId="26" borderId="2" xfId="0" applyNumberFormat="1" applyFont="1" applyFill="1" applyBorder="1" applyAlignment="1" applyProtection="1">
      <alignment horizontal="center" vertical="center"/>
      <protection hidden="1"/>
    </xf>
    <xf numFmtId="41" fontId="49" fillId="22" borderId="2" xfId="0" applyNumberFormat="1" applyFont="1" applyFill="1" applyBorder="1" applyAlignment="1" applyProtection="1">
      <alignment horizontal="center" vertical="center"/>
      <protection hidden="1"/>
    </xf>
    <xf numFmtId="41" fontId="50" fillId="22" borderId="2" xfId="0" applyNumberFormat="1" applyFont="1" applyFill="1" applyBorder="1" applyAlignment="1" applyProtection="1">
      <alignment horizontal="center" vertical="center"/>
      <protection hidden="1"/>
    </xf>
    <xf numFmtId="41" fontId="49" fillId="25" borderId="2" xfId="0" applyNumberFormat="1" applyFont="1" applyFill="1" applyBorder="1" applyAlignment="1" applyProtection="1">
      <alignment horizontal="center" vertical="center"/>
      <protection hidden="1"/>
    </xf>
    <xf numFmtId="41" fontId="50" fillId="25" borderId="2" xfId="0" applyNumberFormat="1" applyFont="1" applyFill="1" applyBorder="1" applyAlignment="1" applyProtection="1">
      <alignment horizontal="center" vertical="center"/>
      <protection hidden="1"/>
    </xf>
    <xf numFmtId="0" fontId="25" fillId="0" borderId="0" xfId="0" applyFont="1" applyFill="1" applyBorder="1" applyAlignment="1" applyProtection="1">
      <alignment horizontal="center" vertical="center"/>
      <protection hidden="1"/>
    </xf>
    <xf numFmtId="168" fontId="25" fillId="0" borderId="0" xfId="0" applyNumberFormat="1" applyFont="1" applyFill="1" applyBorder="1" applyAlignment="1" applyProtection="1">
      <alignment horizontal="center" vertical="center"/>
      <protection hidden="1"/>
    </xf>
    <xf numFmtId="168"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96" fillId="0" borderId="0" xfId="0" applyFont="1" applyFill="1" applyBorder="1" applyAlignment="1" applyProtection="1">
      <alignment horizontal="center" vertical="center"/>
      <protection hidden="1"/>
    </xf>
    <xf numFmtId="0" fontId="100" fillId="14" borderId="0" xfId="0" applyFont="1" applyFill="1" applyBorder="1" applyAlignment="1" applyProtection="1">
      <alignment vertical="center" wrapText="1"/>
      <protection hidden="1"/>
    </xf>
    <xf numFmtId="0" fontId="49" fillId="14" borderId="0" xfId="0" applyFont="1" applyFill="1" applyBorder="1" applyAlignment="1" applyProtection="1">
      <alignment horizontal="center" vertical="center"/>
      <protection hidden="1"/>
    </xf>
    <xf numFmtId="41" fontId="49" fillId="14" borderId="0" xfId="0" applyNumberFormat="1" applyFont="1" applyFill="1" applyBorder="1" applyAlignment="1" applyProtection="1">
      <alignment horizontal="center" vertical="center"/>
      <protection hidden="1"/>
    </xf>
    <xf numFmtId="42" fontId="49" fillId="14" borderId="0" xfId="0" applyNumberFormat="1" applyFont="1" applyFill="1" applyBorder="1" applyAlignment="1" applyProtection="1">
      <alignment horizontal="center" vertical="center"/>
      <protection hidden="1"/>
    </xf>
    <xf numFmtId="0" fontId="25" fillId="14" borderId="0" xfId="0" applyFont="1" applyFill="1" applyBorder="1" applyAlignment="1" applyProtection="1">
      <alignment horizontal="center" vertical="center"/>
      <protection hidden="1"/>
    </xf>
    <xf numFmtId="0" fontId="57" fillId="14" borderId="0" xfId="0" applyNumberFormat="1" applyFont="1" applyFill="1" applyBorder="1" applyAlignment="1" applyProtection="1">
      <alignment horizontal="center" vertical="center"/>
      <protection hidden="1"/>
    </xf>
    <xf numFmtId="0" fontId="49" fillId="35" borderId="2" xfId="0" applyNumberFormat="1" applyFont="1" applyFill="1" applyBorder="1" applyAlignment="1" applyProtection="1">
      <alignment horizontal="center" vertical="center"/>
      <protection hidden="1"/>
    </xf>
    <xf numFmtId="0" fontId="50" fillId="29" borderId="2" xfId="0" applyNumberFormat="1" applyFont="1" applyFill="1" applyBorder="1" applyAlignment="1" applyProtection="1">
      <alignment horizontal="left" vertical="center"/>
      <protection hidden="1"/>
    </xf>
    <xf numFmtId="0" fontId="49" fillId="29" borderId="2" xfId="0" applyNumberFormat="1" applyFont="1" applyFill="1" applyBorder="1" applyAlignment="1" applyProtection="1">
      <alignment horizontal="center" vertical="center"/>
      <protection hidden="1"/>
    </xf>
    <xf numFmtId="0" fontId="49" fillId="14" borderId="0" xfId="0" applyNumberFormat="1" applyFont="1" applyFill="1" applyBorder="1" applyAlignment="1" applyProtection="1">
      <alignment horizontal="center" vertical="center"/>
      <protection hidden="1"/>
    </xf>
    <xf numFmtId="0" fontId="50" fillId="18" borderId="2" xfId="0" applyNumberFormat="1" applyFont="1" applyFill="1" applyBorder="1" applyAlignment="1" applyProtection="1">
      <alignment horizontal="left" vertical="center"/>
      <protection hidden="1"/>
    </xf>
    <xf numFmtId="0" fontId="49" fillId="18" borderId="2" xfId="0" applyNumberFormat="1" applyFont="1" applyFill="1" applyBorder="1" applyAlignment="1" applyProtection="1">
      <alignment horizontal="center" vertical="center"/>
      <protection hidden="1"/>
    </xf>
    <xf numFmtId="0" fontId="49" fillId="0" borderId="0" xfId="0" applyNumberFormat="1" applyFont="1" applyFill="1" applyBorder="1" applyAlignment="1" applyProtection="1">
      <alignment horizontal="center" vertical="center"/>
      <protection hidden="1"/>
    </xf>
    <xf numFmtId="0" fontId="50" fillId="26" borderId="2" xfId="0" applyNumberFormat="1" applyFont="1" applyFill="1" applyBorder="1" applyAlignment="1" applyProtection="1">
      <alignment horizontal="left" vertical="center"/>
      <protection hidden="1"/>
    </xf>
    <xf numFmtId="0" fontId="49" fillId="26" borderId="2" xfId="0" applyNumberFormat="1" applyFont="1" applyFill="1" applyBorder="1" applyAlignment="1" applyProtection="1">
      <alignment horizontal="center" vertical="center"/>
      <protection hidden="1"/>
    </xf>
    <xf numFmtId="0" fontId="50" fillId="22" borderId="2" xfId="0" applyNumberFormat="1" applyFont="1" applyFill="1" applyBorder="1" applyAlignment="1" applyProtection="1">
      <alignment horizontal="left" vertical="center"/>
      <protection hidden="1"/>
    </xf>
    <xf numFmtId="0" fontId="49" fillId="22" borderId="2" xfId="0" applyNumberFormat="1" applyFont="1" applyFill="1" applyBorder="1" applyAlignment="1" applyProtection="1">
      <alignment horizontal="center" vertical="center"/>
      <protection hidden="1"/>
    </xf>
    <xf numFmtId="0" fontId="50" fillId="25" borderId="2" xfId="0" applyNumberFormat="1" applyFont="1" applyFill="1" applyBorder="1" applyAlignment="1" applyProtection="1">
      <alignment horizontal="left" vertical="center"/>
      <protection hidden="1"/>
    </xf>
    <xf numFmtId="0" fontId="49" fillId="25" borderId="2" xfId="0" applyNumberFormat="1" applyFont="1" applyFill="1" applyBorder="1" applyAlignment="1" applyProtection="1">
      <alignment horizontal="center" vertical="center"/>
      <protection hidden="1"/>
    </xf>
    <xf numFmtId="0" fontId="46" fillId="0" borderId="0" xfId="0" applyNumberFormat="1" applyFont="1" applyFill="1" applyBorder="1" applyAlignment="1" applyProtection="1">
      <alignment horizontal="center" vertical="center"/>
      <protection hidden="1"/>
    </xf>
    <xf numFmtId="0" fontId="57" fillId="0" borderId="0" xfId="0" applyNumberFormat="1" applyFont="1" applyFill="1" applyBorder="1" applyAlignment="1" applyProtection="1">
      <alignment horizontal="center" vertical="center"/>
      <protection hidden="1"/>
    </xf>
    <xf numFmtId="0" fontId="50" fillId="35" borderId="2" xfId="0" applyNumberFormat="1" applyFont="1" applyFill="1" applyBorder="1" applyAlignment="1" applyProtection="1">
      <alignment horizontal="center" vertical="center"/>
      <protection hidden="1"/>
    </xf>
    <xf numFmtId="0" fontId="49" fillId="29" borderId="2" xfId="0" applyNumberFormat="1" applyFont="1" applyFill="1" applyBorder="1" applyAlignment="1" applyProtection="1">
      <alignment horizontal="left" vertical="center"/>
      <protection hidden="1"/>
    </xf>
    <xf numFmtId="0" fontId="49" fillId="18" borderId="2" xfId="0" applyNumberFormat="1" applyFont="1" applyFill="1" applyBorder="1" applyAlignment="1" applyProtection="1">
      <alignment horizontal="left" vertical="center"/>
      <protection hidden="1"/>
    </xf>
    <xf numFmtId="0" fontId="49" fillId="26" borderId="2" xfId="0" applyNumberFormat="1" applyFont="1" applyFill="1" applyBorder="1" applyAlignment="1" applyProtection="1">
      <alignment horizontal="left" vertical="center"/>
      <protection hidden="1"/>
    </xf>
    <xf numFmtId="0" fontId="0" fillId="14" borderId="0" xfId="0" applyNumberFormat="1" applyFill="1" applyBorder="1" applyAlignment="1" applyProtection="1">
      <alignment horizontal="center" vertical="center"/>
      <protection hidden="1"/>
    </xf>
    <xf numFmtId="0" fontId="0" fillId="0" borderId="0" xfId="0" applyNumberFormat="1" applyFill="1" applyBorder="1" applyAlignment="1" applyProtection="1">
      <alignment horizontal="center" vertical="center"/>
      <protection hidden="1"/>
    </xf>
    <xf numFmtId="42" fontId="49" fillId="29" borderId="2" xfId="0" applyNumberFormat="1" applyFont="1" applyFill="1" applyBorder="1" applyAlignment="1" applyProtection="1">
      <alignment horizontal="center" vertical="center"/>
      <protection hidden="1"/>
    </xf>
    <xf numFmtId="42" fontId="50" fillId="29" borderId="2" xfId="0" applyNumberFormat="1" applyFont="1" applyFill="1" applyBorder="1" applyAlignment="1" applyProtection="1">
      <alignment horizontal="center" vertical="center"/>
      <protection hidden="1"/>
    </xf>
    <xf numFmtId="42" fontId="50" fillId="14" borderId="0" xfId="0" applyNumberFormat="1" applyFont="1" applyFill="1" applyBorder="1" applyAlignment="1" applyProtection="1">
      <alignment horizontal="center" vertical="center"/>
      <protection hidden="1"/>
    </xf>
    <xf numFmtId="42" fontId="49" fillId="18" borderId="2" xfId="0" applyNumberFormat="1" applyFont="1" applyFill="1" applyBorder="1" applyAlignment="1" applyProtection="1">
      <alignment horizontal="center" vertical="center"/>
      <protection hidden="1"/>
    </xf>
    <xf numFmtId="42" fontId="50" fillId="18" borderId="2" xfId="0" applyNumberFormat="1" applyFont="1" applyFill="1" applyBorder="1" applyAlignment="1" applyProtection="1">
      <alignment horizontal="center" vertical="center"/>
      <protection hidden="1"/>
    </xf>
    <xf numFmtId="42" fontId="50" fillId="0" borderId="0" xfId="0" applyNumberFormat="1" applyFont="1" applyFill="1" applyBorder="1" applyAlignment="1" applyProtection="1">
      <alignment horizontal="center" vertical="center"/>
      <protection hidden="1"/>
    </xf>
    <xf numFmtId="42" fontId="49" fillId="26" borderId="2" xfId="0" applyNumberFormat="1" applyFont="1" applyFill="1" applyBorder="1" applyAlignment="1" applyProtection="1">
      <alignment horizontal="center" vertical="center"/>
      <protection hidden="1"/>
    </xf>
    <xf numFmtId="42" fontId="50" fillId="26" borderId="2" xfId="0" applyNumberFormat="1" applyFont="1" applyFill="1" applyBorder="1" applyAlignment="1" applyProtection="1">
      <alignment horizontal="center" vertical="center"/>
      <protection hidden="1"/>
    </xf>
    <xf numFmtId="42" fontId="49" fillId="22" borderId="2" xfId="0" applyNumberFormat="1" applyFont="1" applyFill="1" applyBorder="1" applyAlignment="1" applyProtection="1">
      <alignment horizontal="center" vertical="center"/>
      <protection hidden="1"/>
    </xf>
    <xf numFmtId="42" fontId="50" fillId="22" borderId="2" xfId="0" applyNumberFormat="1" applyFont="1" applyFill="1" applyBorder="1" applyAlignment="1" applyProtection="1">
      <alignment horizontal="center" vertical="center"/>
      <protection hidden="1"/>
    </xf>
    <xf numFmtId="42" fontId="49" fillId="25" borderId="2" xfId="0" applyNumberFormat="1" applyFont="1" applyFill="1" applyBorder="1" applyAlignment="1" applyProtection="1">
      <alignment horizontal="center" vertical="center"/>
      <protection hidden="1"/>
    </xf>
    <xf numFmtId="42" fontId="50" fillId="25" borderId="2" xfId="0" applyNumberFormat="1" applyFont="1" applyFill="1" applyBorder="1" applyAlignment="1" applyProtection="1">
      <alignment horizontal="center" vertical="center"/>
      <protection hidden="1"/>
    </xf>
    <xf numFmtId="165" fontId="25" fillId="0" borderId="0" xfId="11" applyNumberFormat="1" applyFont="1" applyFill="1" applyBorder="1" applyAlignment="1" applyProtection="1">
      <alignment horizontal="center" vertical="center"/>
      <protection hidden="1"/>
    </xf>
    <xf numFmtId="165" fontId="0" fillId="0" borderId="0" xfId="11" applyNumberFormat="1" applyFont="1" applyFill="1" applyBorder="1" applyAlignment="1" applyProtection="1">
      <alignment horizontal="center" vertical="center"/>
      <protection hidden="1"/>
    </xf>
    <xf numFmtId="0" fontId="9" fillId="14" borderId="0" xfId="0" applyFont="1" applyFill="1" applyBorder="1" applyProtection="1">
      <protection hidden="1"/>
    </xf>
    <xf numFmtId="41" fontId="9" fillId="14" borderId="0" xfId="0" applyNumberFormat="1" applyFont="1" applyFill="1" applyBorder="1" applyProtection="1">
      <protection hidden="1"/>
    </xf>
    <xf numFmtId="42" fontId="9" fillId="14" borderId="0" xfId="0" applyNumberFormat="1" applyFont="1" applyFill="1" applyBorder="1" applyProtection="1">
      <protection hidden="1"/>
    </xf>
    <xf numFmtId="42" fontId="10" fillId="14" borderId="0" xfId="0" applyNumberFormat="1" applyFont="1" applyFill="1" applyBorder="1" applyProtection="1">
      <protection hidden="1"/>
    </xf>
    <xf numFmtId="41" fontId="26" fillId="14" borderId="0" xfId="0" applyNumberFormat="1" applyFont="1" applyFill="1" applyBorder="1" applyProtection="1">
      <protection hidden="1"/>
    </xf>
    <xf numFmtId="42" fontId="26" fillId="14" borderId="0" xfId="0" applyNumberFormat="1" applyFont="1" applyFill="1" applyBorder="1" applyProtection="1">
      <protection hidden="1"/>
    </xf>
    <xf numFmtId="0" fontId="0" fillId="0" borderId="0" xfId="0" applyFill="1" applyBorder="1" applyAlignment="1" applyProtection="1">
      <alignment wrapText="1"/>
      <protection hidden="1"/>
    </xf>
    <xf numFmtId="0" fontId="9" fillId="0" borderId="0" xfId="0" applyFont="1" applyFill="1" applyBorder="1" applyProtection="1">
      <protection hidden="1"/>
    </xf>
    <xf numFmtId="41" fontId="9" fillId="0" borderId="0" xfId="0" applyNumberFormat="1" applyFont="1" applyFill="1" applyBorder="1" applyProtection="1">
      <protection hidden="1"/>
    </xf>
    <xf numFmtId="42" fontId="9" fillId="0" borderId="0" xfId="0" applyNumberFormat="1" applyFont="1" applyFill="1" applyBorder="1" applyProtection="1">
      <protection hidden="1"/>
    </xf>
    <xf numFmtId="42" fontId="10" fillId="0" borderId="0" xfId="0" applyNumberFormat="1" applyFont="1" applyFill="1" applyBorder="1" applyProtection="1">
      <protection hidden="1"/>
    </xf>
    <xf numFmtId="41" fontId="0" fillId="0" borderId="0" xfId="0" applyNumberFormat="1" applyFill="1" applyBorder="1" applyProtection="1">
      <protection hidden="1"/>
    </xf>
    <xf numFmtId="42" fontId="0" fillId="0" borderId="0" xfId="0" applyNumberFormat="1" applyFill="1" applyBorder="1" applyProtection="1">
      <protection hidden="1"/>
    </xf>
    <xf numFmtId="41" fontId="49" fillId="14" borderId="25" xfId="0" applyNumberFormat="1" applyFont="1" applyFill="1" applyBorder="1" applyProtection="1">
      <protection hidden="1"/>
    </xf>
    <xf numFmtId="42" fontId="49" fillId="14" borderId="25" xfId="0" applyNumberFormat="1" applyFont="1" applyFill="1" applyBorder="1" applyProtection="1">
      <protection hidden="1"/>
    </xf>
    <xf numFmtId="42" fontId="49" fillId="14" borderId="8" xfId="0" applyNumberFormat="1" applyFont="1" applyFill="1" applyBorder="1" applyProtection="1">
      <protection hidden="1"/>
    </xf>
    <xf numFmtId="0" fontId="38" fillId="29" borderId="2" xfId="0" applyFont="1" applyFill="1" applyBorder="1" applyAlignment="1" applyProtection="1">
      <alignment horizontal="center" wrapText="1"/>
      <protection hidden="1"/>
    </xf>
    <xf numFmtId="0" fontId="50" fillId="29" borderId="86" xfId="0" applyFont="1" applyFill="1" applyBorder="1" applyAlignment="1" applyProtection="1">
      <alignment horizontal="right" wrapText="1"/>
      <protection hidden="1"/>
    </xf>
    <xf numFmtId="42" fontId="38" fillId="29" borderId="4" xfId="0" applyNumberFormat="1" applyFont="1" applyFill="1" applyBorder="1" applyAlignment="1" applyProtection="1">
      <alignment horizontal="center" wrapText="1"/>
      <protection hidden="1"/>
    </xf>
    <xf numFmtId="42" fontId="38" fillId="29" borderId="86" xfId="0" applyNumberFormat="1" applyFont="1" applyFill="1" applyBorder="1" applyAlignment="1" applyProtection="1">
      <alignment horizontal="center" wrapText="1"/>
      <protection hidden="1"/>
    </xf>
    <xf numFmtId="41" fontId="49" fillId="14" borderId="84" xfId="0" applyNumberFormat="1" applyFont="1" applyFill="1" applyBorder="1" applyProtection="1">
      <protection hidden="1"/>
    </xf>
    <xf numFmtId="167" fontId="49" fillId="14" borderId="4" xfId="0" applyNumberFormat="1" applyFont="1" applyFill="1" applyBorder="1" applyProtection="1">
      <protection hidden="1"/>
    </xf>
    <xf numFmtId="0" fontId="38" fillId="29" borderId="3" xfId="0" applyFont="1" applyFill="1" applyBorder="1" applyAlignment="1" applyProtection="1">
      <alignment horizontal="left"/>
      <protection hidden="1"/>
    </xf>
    <xf numFmtId="0" fontId="38" fillId="29" borderId="25" xfId="0" applyFont="1" applyFill="1" applyBorder="1" applyAlignment="1" applyProtection="1">
      <alignment horizontal="left"/>
      <protection hidden="1"/>
    </xf>
    <xf numFmtId="0" fontId="49" fillId="29" borderId="8" xfId="0" applyFont="1" applyFill="1" applyBorder="1" applyAlignment="1" applyProtection="1">
      <alignment horizontal="left"/>
      <protection hidden="1"/>
    </xf>
    <xf numFmtId="0" fontId="38" fillId="29" borderId="2" xfId="0" applyFont="1" applyFill="1" applyBorder="1" applyAlignment="1" applyProtection="1">
      <alignment horizontal="left"/>
      <protection hidden="1"/>
    </xf>
    <xf numFmtId="0" fontId="38" fillId="29" borderId="3" xfId="0" applyFont="1" applyFill="1" applyBorder="1" applyProtection="1">
      <protection hidden="1"/>
    </xf>
    <xf numFmtId="0" fontId="49" fillId="29" borderId="8" xfId="0" applyFont="1" applyFill="1" applyBorder="1" applyProtection="1">
      <protection hidden="1"/>
    </xf>
    <xf numFmtId="41" fontId="49" fillId="14" borderId="8" xfId="0" applyNumberFormat="1" applyFont="1" applyFill="1" applyBorder="1" applyProtection="1">
      <protection hidden="1"/>
    </xf>
    <xf numFmtId="0" fontId="38" fillId="29" borderId="7" xfId="0" applyFont="1" applyFill="1" applyBorder="1" applyAlignment="1" applyProtection="1">
      <alignment horizontal="center" wrapText="1"/>
      <protection hidden="1"/>
    </xf>
    <xf numFmtId="0" fontId="50" fillId="29" borderId="4" xfId="0" applyFont="1" applyFill="1" applyBorder="1" applyAlignment="1" applyProtection="1">
      <alignment horizontal="center" wrapText="1"/>
      <protection hidden="1"/>
    </xf>
    <xf numFmtId="0" fontId="49" fillId="14" borderId="0" xfId="0" applyFont="1" applyFill="1" applyBorder="1" applyAlignment="1" applyProtection="1">
      <alignment horizontal="right"/>
      <protection hidden="1"/>
    </xf>
    <xf numFmtId="41" fontId="49" fillId="14" borderId="82" xfId="0" applyNumberFormat="1" applyFont="1" applyFill="1" applyBorder="1" applyProtection="1">
      <protection hidden="1"/>
    </xf>
    <xf numFmtId="0" fontId="49" fillId="29" borderId="25" xfId="0" applyFont="1" applyFill="1" applyBorder="1" applyProtection="1">
      <protection hidden="1"/>
    </xf>
    <xf numFmtId="0" fontId="39" fillId="14" borderId="83" xfId="0" applyFont="1" applyFill="1" applyBorder="1" applyAlignment="1" applyProtection="1">
      <protection hidden="1"/>
    </xf>
    <xf numFmtId="0" fontId="49" fillId="14" borderId="80" xfId="0" applyFont="1" applyFill="1" applyBorder="1" applyAlignment="1" applyProtection="1">
      <alignment vertical="center" wrapText="1"/>
      <protection hidden="1"/>
    </xf>
    <xf numFmtId="0" fontId="49" fillId="14" borderId="81" xfId="0" applyFont="1" applyFill="1" applyBorder="1" applyAlignment="1" applyProtection="1">
      <alignment vertical="center" wrapText="1"/>
      <protection hidden="1"/>
    </xf>
    <xf numFmtId="0" fontId="49" fillId="14" borderId="82" xfId="0" applyFont="1" applyFill="1" applyBorder="1" applyAlignment="1" applyProtection="1">
      <alignment vertical="center" wrapText="1"/>
      <protection hidden="1"/>
    </xf>
    <xf numFmtId="0" fontId="39" fillId="14" borderId="80" xfId="0" applyFont="1" applyFill="1" applyBorder="1" applyAlignment="1" applyProtection="1">
      <protection hidden="1"/>
    </xf>
    <xf numFmtId="0" fontId="49" fillId="14" borderId="8" xfId="0" applyFont="1" applyFill="1" applyBorder="1" applyAlignment="1" applyProtection="1">
      <alignment vertical="center"/>
      <protection hidden="1"/>
    </xf>
    <xf numFmtId="0" fontId="49" fillId="14" borderId="86" xfId="0" applyFont="1" applyFill="1" applyBorder="1" applyAlignment="1" applyProtection="1">
      <alignment vertical="center"/>
      <protection hidden="1"/>
    </xf>
    <xf numFmtId="0" fontId="38" fillId="14" borderId="0" xfId="0" applyFont="1" applyFill="1" applyBorder="1" applyAlignment="1" applyProtection="1">
      <protection hidden="1"/>
    </xf>
    <xf numFmtId="0" fontId="49" fillId="77" borderId="0" xfId="0" applyFont="1" applyFill="1" applyBorder="1" applyProtection="1">
      <protection hidden="1"/>
    </xf>
    <xf numFmtId="42" fontId="49" fillId="14" borderId="84" xfId="0" applyNumberFormat="1" applyFont="1" applyFill="1" applyBorder="1" applyProtection="1">
      <protection hidden="1"/>
    </xf>
    <xf numFmtId="0" fontId="50" fillId="46" borderId="2" xfId="0" applyFont="1" applyFill="1" applyBorder="1" applyAlignment="1" applyProtection="1">
      <alignment horizontal="center" wrapText="1"/>
      <protection hidden="1"/>
    </xf>
    <xf numFmtId="0" fontId="50" fillId="46" borderId="2" xfId="0" applyFont="1" applyFill="1" applyBorder="1" applyAlignment="1" applyProtection="1">
      <alignment horizontal="center" vertical="center" wrapText="1"/>
      <protection hidden="1"/>
    </xf>
    <xf numFmtId="168" fontId="49" fillId="39" borderId="2" xfId="7" applyNumberFormat="1" applyFont="1" applyFill="1" applyBorder="1" applyAlignment="1" applyProtection="1">
      <alignment horizontal="center"/>
      <protection hidden="1"/>
    </xf>
    <xf numFmtId="168" fontId="49" fillId="39" borderId="2" xfId="7" applyNumberFormat="1" applyFont="1" applyFill="1" applyBorder="1" applyProtection="1">
      <protection hidden="1"/>
    </xf>
    <xf numFmtId="0" fontId="49" fillId="14" borderId="0" xfId="0" applyFont="1" applyFill="1" applyBorder="1" applyAlignment="1" applyProtection="1">
      <alignment wrapText="1"/>
      <protection hidden="1"/>
    </xf>
    <xf numFmtId="0" fontId="49" fillId="14" borderId="84" xfId="0" applyFont="1" applyFill="1" applyBorder="1" applyAlignment="1" applyProtection="1">
      <alignment wrapText="1"/>
      <protection hidden="1"/>
    </xf>
    <xf numFmtId="0" fontId="50" fillId="14" borderId="0" xfId="0" applyFont="1" applyFill="1" applyBorder="1" applyAlignment="1" applyProtection="1">
      <alignment wrapText="1"/>
      <protection hidden="1"/>
    </xf>
    <xf numFmtId="42" fontId="49" fillId="14" borderId="0" xfId="0" applyNumberFormat="1" applyFont="1" applyFill="1" applyBorder="1" applyAlignment="1" applyProtection="1">
      <alignment wrapText="1"/>
      <protection hidden="1"/>
    </xf>
    <xf numFmtId="0" fontId="49" fillId="0" borderId="0" xfId="0" applyFont="1" applyFill="1" applyBorder="1" applyAlignment="1" applyProtection="1">
      <alignment wrapText="1"/>
      <protection hidden="1"/>
    </xf>
    <xf numFmtId="41" fontId="49" fillId="39" borderId="2" xfId="0" applyNumberFormat="1" applyFont="1" applyFill="1" applyBorder="1" applyProtection="1">
      <protection hidden="1"/>
    </xf>
    <xf numFmtId="0" fontId="49" fillId="14" borderId="0" xfId="0" applyFont="1" applyFill="1" applyBorder="1" applyAlignment="1" applyProtection="1">
      <alignment horizontal="center"/>
      <protection hidden="1"/>
    </xf>
    <xf numFmtId="41" fontId="49" fillId="77" borderId="0" xfId="0" applyNumberFormat="1" applyFont="1" applyFill="1" applyBorder="1" applyProtection="1">
      <protection hidden="1"/>
    </xf>
    <xf numFmtId="42" fontId="49" fillId="77" borderId="0" xfId="0" applyNumberFormat="1" applyFont="1" applyFill="1" applyBorder="1" applyProtection="1">
      <protection hidden="1"/>
    </xf>
    <xf numFmtId="0" fontId="50" fillId="28" borderId="2" xfId="0" applyNumberFormat="1" applyFont="1" applyFill="1" applyBorder="1" applyAlignment="1" applyProtection="1">
      <protection hidden="1"/>
    </xf>
    <xf numFmtId="0" fontId="49" fillId="28" borderId="2" xfId="0" applyNumberFormat="1" applyFont="1" applyFill="1" applyBorder="1" applyProtection="1">
      <protection hidden="1"/>
    </xf>
    <xf numFmtId="0" fontId="57" fillId="14" borderId="0" xfId="0" applyNumberFormat="1" applyFont="1" applyFill="1" applyBorder="1" applyAlignment="1" applyProtection="1">
      <alignment horizontal="left"/>
      <protection hidden="1"/>
    </xf>
    <xf numFmtId="0" fontId="50" fillId="35" borderId="2" xfId="0" applyNumberFormat="1" applyFont="1" applyFill="1" applyBorder="1" applyAlignment="1" applyProtection="1">
      <alignment horizontal="left"/>
      <protection hidden="1"/>
    </xf>
    <xf numFmtId="0" fontId="49" fillId="29" borderId="2" xfId="0" applyNumberFormat="1" applyFont="1" applyFill="1" applyBorder="1" applyAlignment="1" applyProtection="1">
      <alignment horizontal="left"/>
      <protection hidden="1"/>
    </xf>
    <xf numFmtId="0" fontId="49" fillId="14" borderId="0" xfId="0" applyNumberFormat="1" applyFont="1" applyFill="1" applyBorder="1" applyAlignment="1" applyProtection="1">
      <alignment horizontal="left"/>
      <protection hidden="1"/>
    </xf>
    <xf numFmtId="0" fontId="50" fillId="28" borderId="2" xfId="0" applyNumberFormat="1" applyFont="1" applyFill="1" applyBorder="1" applyAlignment="1" applyProtection="1">
      <alignment horizontal="left"/>
      <protection hidden="1"/>
    </xf>
    <xf numFmtId="0" fontId="49" fillId="28" borderId="2" xfId="0" applyNumberFormat="1" applyFont="1" applyFill="1" applyBorder="1" applyAlignment="1" applyProtection="1">
      <alignment horizontal="left"/>
      <protection hidden="1"/>
    </xf>
    <xf numFmtId="0" fontId="49" fillId="0" borderId="0" xfId="0" applyNumberFormat="1" applyFont="1" applyFill="1" applyBorder="1" applyAlignment="1" applyProtection="1">
      <alignment horizontal="left"/>
      <protection hidden="1"/>
    </xf>
    <xf numFmtId="0" fontId="50" fillId="26" borderId="2" xfId="0" applyNumberFormat="1" applyFont="1" applyFill="1" applyBorder="1" applyAlignment="1" applyProtection="1">
      <alignment horizontal="left"/>
      <protection hidden="1"/>
    </xf>
    <xf numFmtId="0" fontId="50" fillId="22" borderId="2" xfId="0" applyNumberFormat="1" applyFont="1" applyFill="1" applyBorder="1" applyAlignment="1" applyProtection="1">
      <alignment horizontal="left"/>
      <protection hidden="1"/>
    </xf>
    <xf numFmtId="0" fontId="50" fillId="25" borderId="2" xfId="0" applyNumberFormat="1" applyFont="1" applyFill="1" applyBorder="1" applyAlignment="1" applyProtection="1">
      <alignment horizontal="left"/>
      <protection hidden="1"/>
    </xf>
    <xf numFmtId="0" fontId="57" fillId="0" borderId="0" xfId="0" applyNumberFormat="1" applyFont="1" applyFill="1" applyBorder="1" applyAlignment="1" applyProtection="1">
      <alignment horizontal="left"/>
      <protection hidden="1"/>
    </xf>
    <xf numFmtId="0" fontId="97" fillId="0" borderId="0" xfId="0" applyNumberFormat="1" applyFont="1" applyFill="1" applyBorder="1" applyAlignment="1" applyProtection="1">
      <alignment horizontal="left"/>
      <protection hidden="1"/>
    </xf>
    <xf numFmtId="0" fontId="49" fillId="28" borderId="2" xfId="0" applyNumberFormat="1" applyFont="1" applyFill="1" applyBorder="1" applyAlignment="1" applyProtection="1">
      <alignment horizontal="center" vertical="center" wrapText="1"/>
      <protection hidden="1"/>
    </xf>
    <xf numFmtId="0" fontId="50" fillId="28" borderId="2" xfId="0" applyNumberFormat="1" applyFont="1" applyFill="1" applyBorder="1" applyAlignment="1" applyProtection="1">
      <alignment horizontal="center" vertical="center" wrapText="1"/>
      <protection hidden="1"/>
    </xf>
    <xf numFmtId="0" fontId="97" fillId="0" borderId="0" xfId="0" applyNumberFormat="1" applyFont="1" applyFill="1" applyBorder="1" applyProtection="1">
      <protection hidden="1"/>
    </xf>
    <xf numFmtId="41" fontId="49" fillId="28" borderId="2" xfId="0" applyNumberFormat="1" applyFont="1" applyFill="1" applyBorder="1" applyAlignment="1" applyProtection="1">
      <alignment horizontal="center" vertical="center"/>
      <protection hidden="1"/>
    </xf>
    <xf numFmtId="41" fontId="50" fillId="28" borderId="2" xfId="0" applyNumberFormat="1" applyFont="1" applyFill="1" applyBorder="1" applyAlignment="1" applyProtection="1">
      <alignment horizontal="center" vertical="center"/>
      <protection hidden="1"/>
    </xf>
    <xf numFmtId="0" fontId="57" fillId="0" borderId="0" xfId="0" applyFont="1" applyFill="1" applyBorder="1" applyProtection="1">
      <protection hidden="1"/>
    </xf>
    <xf numFmtId="41" fontId="57" fillId="0" borderId="0" xfId="0" applyNumberFormat="1" applyFont="1" applyFill="1" applyBorder="1" applyProtection="1">
      <protection hidden="1"/>
    </xf>
    <xf numFmtId="0" fontId="97" fillId="0" borderId="0" xfId="0" applyFont="1" applyFill="1" applyBorder="1" applyProtection="1">
      <protection hidden="1"/>
    </xf>
    <xf numFmtId="0" fontId="57" fillId="14" borderId="0" xfId="0" applyFont="1" applyFill="1" applyBorder="1" applyProtection="1">
      <protection hidden="1"/>
    </xf>
    <xf numFmtId="0" fontId="97" fillId="14" borderId="0" xfId="0" applyFont="1" applyFill="1" applyBorder="1" applyProtection="1">
      <protection hidden="1"/>
    </xf>
    <xf numFmtId="0" fontId="50" fillId="28" borderId="2" xfId="0" applyNumberFormat="1" applyFont="1" applyFill="1" applyBorder="1" applyAlignment="1" applyProtection="1">
      <alignment horizontal="left" vertical="center"/>
      <protection hidden="1"/>
    </xf>
    <xf numFmtId="0" fontId="49" fillId="28" borderId="2" xfId="0" applyNumberFormat="1" applyFont="1" applyFill="1" applyBorder="1" applyAlignment="1" applyProtection="1">
      <alignment horizontal="center" vertical="center"/>
      <protection hidden="1"/>
    </xf>
    <xf numFmtId="0" fontId="57" fillId="14" borderId="0" xfId="0" applyNumberFormat="1" applyFont="1" applyFill="1" applyBorder="1" applyAlignment="1" applyProtection="1">
      <alignment horizontal="left" vertical="center"/>
      <protection hidden="1"/>
    </xf>
    <xf numFmtId="0" fontId="50" fillId="35" borderId="2" xfId="0" applyNumberFormat="1" applyFont="1" applyFill="1" applyBorder="1" applyAlignment="1" applyProtection="1">
      <alignment horizontal="left" vertical="center"/>
      <protection hidden="1"/>
    </xf>
    <xf numFmtId="0" fontId="49" fillId="14" borderId="0" xfId="0" applyNumberFormat="1" applyFont="1" applyFill="1" applyBorder="1" applyAlignment="1" applyProtection="1">
      <alignment horizontal="left" vertical="center"/>
      <protection hidden="1"/>
    </xf>
    <xf numFmtId="0" fontId="49" fillId="28" borderId="2" xfId="0" applyNumberFormat="1" applyFont="1" applyFill="1" applyBorder="1" applyAlignment="1" applyProtection="1">
      <alignment horizontal="left" vertical="center"/>
      <protection hidden="1"/>
    </xf>
    <xf numFmtId="0" fontId="49" fillId="0" borderId="0" xfId="0" applyNumberFormat="1" applyFont="1" applyFill="1" applyBorder="1" applyAlignment="1" applyProtection="1">
      <alignment horizontal="left" vertical="center"/>
      <protection hidden="1"/>
    </xf>
    <xf numFmtId="0" fontId="49" fillId="22" borderId="2" xfId="0" applyNumberFormat="1" applyFont="1" applyFill="1" applyBorder="1" applyAlignment="1" applyProtection="1">
      <alignment horizontal="left" vertical="center"/>
      <protection hidden="1"/>
    </xf>
    <xf numFmtId="0" fontId="49" fillId="25" borderId="2" xfId="0" applyNumberFormat="1" applyFont="1" applyFill="1" applyBorder="1" applyAlignment="1" applyProtection="1">
      <alignment horizontal="left" vertical="center"/>
      <protection hidden="1"/>
    </xf>
    <xf numFmtId="0" fontId="57" fillId="0" borderId="0" xfId="0" applyNumberFormat="1" applyFont="1" applyFill="1" applyBorder="1" applyAlignment="1" applyProtection="1">
      <alignment horizontal="left" vertical="center"/>
      <protection hidden="1"/>
    </xf>
    <xf numFmtId="166" fontId="49" fillId="28" borderId="2" xfId="0" applyNumberFormat="1" applyFont="1" applyFill="1" applyBorder="1" applyAlignment="1" applyProtection="1">
      <alignment horizontal="center" vertical="center"/>
      <protection hidden="1"/>
    </xf>
    <xf numFmtId="42" fontId="49" fillId="28" borderId="2" xfId="0" applyNumberFormat="1" applyFont="1" applyFill="1" applyBorder="1" applyAlignment="1" applyProtection="1">
      <alignment horizontal="center" vertical="center"/>
      <protection hidden="1"/>
    </xf>
    <xf numFmtId="42" fontId="50" fillId="28" borderId="2" xfId="0" applyNumberFormat="1" applyFont="1" applyFill="1" applyBorder="1" applyAlignment="1" applyProtection="1">
      <alignment horizontal="center" vertical="center"/>
      <protection hidden="1"/>
    </xf>
    <xf numFmtId="0" fontId="49" fillId="35" borderId="81" xfId="0" applyNumberFormat="1" applyFont="1" applyFill="1" applyBorder="1" applyAlignment="1" applyProtection="1">
      <alignment horizontal="center" vertical="center"/>
      <protection hidden="1"/>
    </xf>
    <xf numFmtId="0" fontId="49" fillId="29" borderId="81" xfId="0" applyNumberFormat="1" applyFont="1" applyFill="1" applyBorder="1" applyAlignment="1" applyProtection="1">
      <alignment horizontal="center" vertical="center"/>
      <protection hidden="1"/>
    </xf>
    <xf numFmtId="0" fontId="49" fillId="29" borderId="82" xfId="0" applyNumberFormat="1" applyFont="1" applyFill="1" applyBorder="1" applyAlignment="1" applyProtection="1">
      <alignment horizontal="center" vertical="center"/>
      <protection hidden="1"/>
    </xf>
    <xf numFmtId="42" fontId="50" fillId="14" borderId="0" xfId="0" applyNumberFormat="1" applyFont="1" applyFill="1" applyBorder="1" applyProtection="1">
      <protection hidden="1"/>
    </xf>
    <xf numFmtId="41" fontId="50" fillId="14" borderId="0" xfId="0" applyNumberFormat="1" applyFont="1" applyFill="1" applyBorder="1" applyProtection="1">
      <protection hidden="1"/>
    </xf>
    <xf numFmtId="0" fontId="9" fillId="14" borderId="0" xfId="0" applyFont="1" applyFill="1" applyBorder="1" applyAlignment="1" applyProtection="1">
      <alignment wrapText="1"/>
      <protection hidden="1"/>
    </xf>
    <xf numFmtId="0" fontId="38" fillId="29" borderId="3" xfId="0" applyFont="1" applyFill="1" applyBorder="1" applyAlignment="1" applyProtection="1">
      <alignment horizontal="right"/>
      <protection hidden="1"/>
    </xf>
    <xf numFmtId="0" fontId="50" fillId="29" borderId="2" xfId="0" applyFont="1" applyFill="1" applyBorder="1" applyAlignment="1" applyProtection="1">
      <alignment horizontal="right"/>
      <protection hidden="1"/>
    </xf>
    <xf numFmtId="42" fontId="38" fillId="29" borderId="2" xfId="0" applyNumberFormat="1" applyFont="1" applyFill="1" applyBorder="1" applyAlignment="1" applyProtection="1">
      <alignment horizontal="center"/>
      <protection hidden="1"/>
    </xf>
    <xf numFmtId="42" fontId="49" fillId="14" borderId="0" xfId="0" applyNumberFormat="1" applyFont="1" applyFill="1" applyBorder="1" applyAlignment="1" applyProtection="1">
      <protection hidden="1"/>
    </xf>
    <xf numFmtId="0" fontId="49" fillId="14" borderId="0" xfId="0" applyFont="1" applyFill="1" applyBorder="1" applyAlignment="1" applyProtection="1">
      <protection hidden="1"/>
    </xf>
    <xf numFmtId="0" fontId="49" fillId="14" borderId="83" xfId="0" applyFont="1" applyFill="1" applyBorder="1" applyAlignment="1" applyProtection="1">
      <alignment horizontal="right"/>
      <protection hidden="1"/>
    </xf>
    <xf numFmtId="167" fontId="49" fillId="14" borderId="87" xfId="0" applyNumberFormat="1" applyFont="1" applyFill="1" applyBorder="1" applyProtection="1">
      <protection hidden="1"/>
    </xf>
    <xf numFmtId="0" fontId="50" fillId="29" borderId="3" xfId="0" applyFont="1" applyFill="1" applyBorder="1" applyAlignment="1" applyProtection="1">
      <alignment horizontal="left"/>
      <protection hidden="1"/>
    </xf>
    <xf numFmtId="0" fontId="50" fillId="29" borderId="2" xfId="0" applyFont="1" applyFill="1" applyBorder="1" applyAlignment="1" applyProtection="1">
      <alignment horizontal="left"/>
      <protection hidden="1"/>
    </xf>
    <xf numFmtId="0" fontId="50" fillId="29" borderId="25" xfId="0" applyFont="1" applyFill="1" applyBorder="1" applyAlignment="1" applyProtection="1">
      <alignment horizontal="left"/>
      <protection hidden="1"/>
    </xf>
    <xf numFmtId="0" fontId="50" fillId="29" borderId="8" xfId="0" applyFont="1" applyFill="1" applyBorder="1" applyAlignment="1" applyProtection="1">
      <alignment horizontal="center"/>
      <protection hidden="1"/>
    </xf>
    <xf numFmtId="0" fontId="49" fillId="14" borderId="83" xfId="0" applyFont="1" applyFill="1" applyBorder="1" applyAlignment="1" applyProtection="1">
      <alignment horizontal="left"/>
      <protection hidden="1"/>
    </xf>
    <xf numFmtId="167" fontId="49" fillId="14" borderId="0" xfId="0" applyNumberFormat="1" applyFont="1" applyFill="1" applyProtection="1">
      <protection hidden="1"/>
    </xf>
    <xf numFmtId="0" fontId="97" fillId="14" borderId="0" xfId="0" applyNumberFormat="1" applyFont="1" applyFill="1" applyBorder="1" applyAlignment="1" applyProtection="1">
      <alignment horizontal="left"/>
      <protection hidden="1"/>
    </xf>
    <xf numFmtId="0" fontId="97" fillId="14" borderId="0" xfId="0" applyNumberFormat="1" applyFont="1" applyFill="1" applyBorder="1" applyProtection="1">
      <protection hidden="1"/>
    </xf>
    <xf numFmtId="0" fontId="50" fillId="29" borderId="25" xfId="0" applyFont="1" applyFill="1" applyBorder="1" applyAlignment="1" applyProtection="1">
      <alignment horizontal="right" wrapText="1"/>
      <protection hidden="1"/>
    </xf>
    <xf numFmtId="0" fontId="39" fillId="14" borderId="87" xfId="0" quotePrefix="1" applyFont="1" applyFill="1" applyBorder="1" applyAlignment="1" applyProtection="1">
      <protection hidden="1"/>
    </xf>
    <xf numFmtId="0" fontId="39" fillId="14" borderId="11" xfId="0" quotePrefix="1" applyFont="1" applyFill="1" applyBorder="1" applyAlignment="1" applyProtection="1">
      <protection hidden="1"/>
    </xf>
    <xf numFmtId="0" fontId="39" fillId="14" borderId="8" xfId="0" applyFont="1" applyFill="1" applyBorder="1" applyAlignment="1" applyProtection="1">
      <alignment vertical="center"/>
      <protection hidden="1"/>
    </xf>
    <xf numFmtId="0" fontId="39" fillId="14" borderId="2" xfId="0" quotePrefix="1" applyFont="1" applyFill="1" applyBorder="1" applyAlignment="1" applyProtection="1">
      <alignment vertical="center"/>
      <protection hidden="1"/>
    </xf>
    <xf numFmtId="0" fontId="39" fillId="14" borderId="4" xfId="0" quotePrefix="1" applyFont="1" applyFill="1" applyBorder="1" applyAlignment="1" applyProtection="1">
      <protection hidden="1"/>
    </xf>
    <xf numFmtId="0" fontId="50" fillId="83" borderId="2" xfId="0" applyFont="1" applyFill="1" applyBorder="1" applyAlignment="1" applyProtection="1">
      <alignment horizontal="center" vertical="center" wrapText="1"/>
      <protection hidden="1"/>
    </xf>
    <xf numFmtId="168" fontId="49" fillId="42" borderId="2" xfId="7" applyNumberFormat="1" applyFont="1" applyFill="1" applyBorder="1" applyAlignment="1" applyProtection="1">
      <alignment horizontal="center"/>
      <protection hidden="1"/>
    </xf>
    <xf numFmtId="168" fontId="49" fillId="42" borderId="2" xfId="7" applyNumberFormat="1" applyFont="1" applyFill="1" applyBorder="1" applyProtection="1">
      <protection hidden="1"/>
    </xf>
    <xf numFmtId="41" fontId="49" fillId="42" borderId="2" xfId="0" applyNumberFormat="1" applyFont="1" applyFill="1" applyBorder="1" applyProtection="1">
      <protection hidden="1"/>
    </xf>
    <xf numFmtId="0" fontId="0" fillId="14" borderId="83" xfId="0" applyFill="1" applyBorder="1" applyProtection="1">
      <protection hidden="1"/>
    </xf>
    <xf numFmtId="41" fontId="0" fillId="14" borderId="85" xfId="0" applyNumberFormat="1" applyFill="1" applyBorder="1" applyProtection="1">
      <protection hidden="1"/>
    </xf>
    <xf numFmtId="0" fontId="83" fillId="35" borderId="2" xfId="0" applyNumberFormat="1" applyFont="1" applyFill="1" applyBorder="1" applyAlignment="1" applyProtection="1">
      <alignment horizontal="left"/>
      <protection hidden="1"/>
    </xf>
    <xf numFmtId="0" fontId="83" fillId="29" borderId="2" xfId="0" applyNumberFormat="1" applyFont="1" applyFill="1" applyBorder="1" applyAlignment="1" applyProtection="1">
      <alignment horizontal="left"/>
      <protection hidden="1"/>
    </xf>
    <xf numFmtId="0" fontId="57" fillId="29" borderId="2" xfId="0" applyNumberFormat="1" applyFont="1" applyFill="1" applyBorder="1" applyAlignment="1" applyProtection="1">
      <alignment horizontal="left"/>
      <protection hidden="1"/>
    </xf>
    <xf numFmtId="0" fontId="57" fillId="29" borderId="2" xfId="0" applyNumberFormat="1" applyFont="1" applyFill="1" applyBorder="1" applyAlignment="1" applyProtection="1">
      <alignment horizontal="left" vertical="center"/>
      <protection hidden="1"/>
    </xf>
    <xf numFmtId="0" fontId="57" fillId="35" borderId="2" xfId="0" applyNumberFormat="1" applyFont="1" applyFill="1" applyBorder="1" applyProtection="1">
      <protection hidden="1"/>
    </xf>
    <xf numFmtId="0" fontId="57" fillId="29" borderId="2" xfId="0" applyNumberFormat="1" applyFont="1" applyFill="1" applyBorder="1" applyProtection="1">
      <protection hidden="1"/>
    </xf>
    <xf numFmtId="0" fontId="83" fillId="81" borderId="2" xfId="0" applyNumberFormat="1" applyFont="1" applyFill="1" applyBorder="1" applyAlignment="1" applyProtection="1">
      <protection hidden="1"/>
    </xf>
    <xf numFmtId="0" fontId="57" fillId="81" borderId="2" xfId="0" applyNumberFormat="1" applyFont="1" applyFill="1" applyBorder="1" applyProtection="1">
      <protection hidden="1"/>
    </xf>
    <xf numFmtId="0" fontId="83" fillId="26" borderId="2" xfId="0" applyNumberFormat="1" applyFont="1" applyFill="1" applyBorder="1" applyAlignment="1" applyProtection="1">
      <protection hidden="1"/>
    </xf>
    <xf numFmtId="0" fontId="57" fillId="26" borderId="2" xfId="0" applyNumberFormat="1" applyFont="1" applyFill="1" applyBorder="1" applyProtection="1">
      <protection hidden="1"/>
    </xf>
    <xf numFmtId="0" fontId="83" fillId="22" borderId="2" xfId="0" applyNumberFormat="1" applyFont="1" applyFill="1" applyBorder="1" applyAlignment="1" applyProtection="1">
      <protection hidden="1"/>
    </xf>
    <xf numFmtId="0" fontId="57" fillId="22" borderId="2" xfId="0" applyNumberFormat="1" applyFont="1" applyFill="1" applyBorder="1" applyProtection="1">
      <protection hidden="1"/>
    </xf>
    <xf numFmtId="0" fontId="83" fillId="25" borderId="2" xfId="0" applyNumberFormat="1" applyFont="1" applyFill="1" applyBorder="1" applyAlignment="1" applyProtection="1">
      <protection hidden="1"/>
    </xf>
    <xf numFmtId="0" fontId="57" fillId="25" borderId="2" xfId="0" applyNumberFormat="1" applyFont="1" applyFill="1" applyBorder="1" applyProtection="1">
      <protection hidden="1"/>
    </xf>
    <xf numFmtId="0" fontId="83" fillId="25" borderId="2" xfId="0" applyNumberFormat="1" applyFont="1" applyFill="1" applyBorder="1" applyProtection="1">
      <protection hidden="1"/>
    </xf>
    <xf numFmtId="0" fontId="83" fillId="81" borderId="2" xfId="0" applyNumberFormat="1" applyFont="1" applyFill="1" applyBorder="1" applyAlignment="1" applyProtection="1">
      <alignment horizontal="left"/>
      <protection hidden="1"/>
    </xf>
    <xf numFmtId="0" fontId="57" fillId="81" borderId="2" xfId="0" applyNumberFormat="1" applyFont="1" applyFill="1" applyBorder="1" applyAlignment="1" applyProtection="1">
      <alignment horizontal="left"/>
      <protection hidden="1"/>
    </xf>
    <xf numFmtId="0" fontId="83" fillId="26" borderId="2" xfId="0" applyNumberFormat="1" applyFont="1" applyFill="1" applyBorder="1" applyAlignment="1" applyProtection="1">
      <alignment horizontal="left"/>
      <protection hidden="1"/>
    </xf>
    <xf numFmtId="0" fontId="57" fillId="26" borderId="2" xfId="0" applyNumberFormat="1" applyFont="1" applyFill="1" applyBorder="1" applyAlignment="1" applyProtection="1">
      <alignment horizontal="left"/>
      <protection hidden="1"/>
    </xf>
    <xf numFmtId="0" fontId="83" fillId="22" borderId="2" xfId="0" applyNumberFormat="1" applyFont="1" applyFill="1" applyBorder="1" applyAlignment="1" applyProtection="1">
      <alignment horizontal="left"/>
      <protection hidden="1"/>
    </xf>
    <xf numFmtId="0" fontId="57" fillId="22" borderId="2" xfId="0" applyNumberFormat="1" applyFont="1" applyFill="1" applyBorder="1" applyAlignment="1" applyProtection="1">
      <alignment horizontal="left"/>
      <protection hidden="1"/>
    </xf>
    <xf numFmtId="0" fontId="83" fillId="25" borderId="2" xfId="0" applyNumberFormat="1" applyFont="1" applyFill="1" applyBorder="1" applyAlignment="1" applyProtection="1">
      <alignment horizontal="left"/>
      <protection hidden="1"/>
    </xf>
    <xf numFmtId="0" fontId="57" fillId="25" borderId="2" xfId="0" applyNumberFormat="1" applyFont="1" applyFill="1" applyBorder="1" applyAlignment="1" applyProtection="1">
      <alignment horizontal="left"/>
      <protection hidden="1"/>
    </xf>
    <xf numFmtId="0" fontId="38" fillId="29" borderId="2" xfId="0" applyNumberFormat="1" applyFont="1" applyFill="1" applyBorder="1" applyAlignment="1" applyProtection="1">
      <alignment horizontal="center" vertical="center" wrapText="1"/>
      <protection hidden="1"/>
    </xf>
    <xf numFmtId="0" fontId="49" fillId="81" borderId="2" xfId="0" applyNumberFormat="1" applyFont="1" applyFill="1" applyBorder="1" applyAlignment="1" applyProtection="1">
      <alignment horizontal="center" vertical="center" wrapText="1"/>
      <protection hidden="1"/>
    </xf>
    <xf numFmtId="0" fontId="50" fillId="81" borderId="2" xfId="0" applyNumberFormat="1" applyFont="1" applyFill="1" applyBorder="1" applyAlignment="1" applyProtection="1">
      <alignment horizontal="center" vertical="center" wrapText="1"/>
      <protection hidden="1"/>
    </xf>
    <xf numFmtId="41" fontId="49" fillId="81" borderId="2" xfId="0" applyNumberFormat="1" applyFont="1" applyFill="1" applyBorder="1" applyAlignment="1" applyProtection="1">
      <alignment horizontal="center" vertical="center"/>
      <protection hidden="1"/>
    </xf>
    <xf numFmtId="41" fontId="50" fillId="81" borderId="2" xfId="0" applyNumberFormat="1" applyFont="1" applyFill="1" applyBorder="1" applyAlignment="1" applyProtection="1">
      <alignment horizontal="center" vertical="center"/>
      <protection hidden="1"/>
    </xf>
    <xf numFmtId="0" fontId="83" fillId="29" borderId="2" xfId="0" applyNumberFormat="1" applyFont="1" applyFill="1" applyBorder="1" applyAlignment="1" applyProtection="1">
      <alignment horizontal="left" vertical="center"/>
      <protection hidden="1"/>
    </xf>
    <xf numFmtId="0" fontId="57" fillId="29" borderId="2" xfId="0" applyNumberFormat="1" applyFont="1" applyFill="1" applyBorder="1" applyAlignment="1" applyProtection="1">
      <alignment horizontal="center" vertical="center"/>
      <protection hidden="1"/>
    </xf>
    <xf numFmtId="0" fontId="57" fillId="35" borderId="2" xfId="0" applyNumberFormat="1" applyFont="1" applyFill="1" applyBorder="1" applyAlignment="1" applyProtection="1">
      <alignment horizontal="center" vertical="center"/>
      <protection hidden="1"/>
    </xf>
    <xf numFmtId="0" fontId="83" fillId="81" borderId="2" xfId="0" applyNumberFormat="1" applyFont="1" applyFill="1" applyBorder="1" applyAlignment="1" applyProtection="1">
      <alignment horizontal="left" vertical="center"/>
      <protection hidden="1"/>
    </xf>
    <xf numFmtId="0" fontId="57" fillId="81" borderId="2" xfId="0" applyNumberFormat="1" applyFont="1" applyFill="1" applyBorder="1" applyAlignment="1" applyProtection="1">
      <alignment horizontal="center" vertical="center"/>
      <protection hidden="1"/>
    </xf>
    <xf numFmtId="0" fontId="83" fillId="26" borderId="2" xfId="0" applyNumberFormat="1" applyFont="1" applyFill="1" applyBorder="1" applyAlignment="1" applyProtection="1">
      <alignment horizontal="left" vertical="center"/>
      <protection hidden="1"/>
    </xf>
    <xf numFmtId="0" fontId="57" fillId="26" borderId="2" xfId="0" applyNumberFormat="1" applyFont="1" applyFill="1" applyBorder="1" applyAlignment="1" applyProtection="1">
      <alignment horizontal="center" vertical="center"/>
      <protection hidden="1"/>
    </xf>
    <xf numFmtId="0" fontId="83" fillId="22" borderId="2" xfId="0" applyNumberFormat="1" applyFont="1" applyFill="1" applyBorder="1" applyAlignment="1" applyProtection="1">
      <alignment horizontal="left" vertical="center"/>
      <protection hidden="1"/>
    </xf>
    <xf numFmtId="0" fontId="57" fillId="22" borderId="2" xfId="0" applyNumberFormat="1" applyFont="1" applyFill="1" applyBorder="1" applyAlignment="1" applyProtection="1">
      <alignment horizontal="center" vertical="center"/>
      <protection hidden="1"/>
    </xf>
    <xf numFmtId="0" fontId="83" fillId="25" borderId="2" xfId="0" applyNumberFormat="1" applyFont="1" applyFill="1" applyBorder="1" applyAlignment="1" applyProtection="1">
      <alignment horizontal="left" vertical="center"/>
      <protection hidden="1"/>
    </xf>
    <xf numFmtId="0" fontId="57" fillId="25" borderId="2" xfId="0" applyNumberFormat="1" applyFont="1" applyFill="1" applyBorder="1" applyAlignment="1" applyProtection="1">
      <alignment horizontal="center" vertical="center"/>
      <protection hidden="1"/>
    </xf>
    <xf numFmtId="0" fontId="83" fillId="35" borderId="2" xfId="0" applyNumberFormat="1" applyFont="1" applyFill="1" applyBorder="1" applyAlignment="1" applyProtection="1">
      <alignment horizontal="left" vertical="center"/>
      <protection hidden="1"/>
    </xf>
    <xf numFmtId="0" fontId="57" fillId="81" borderId="2" xfId="0" applyNumberFormat="1" applyFont="1" applyFill="1" applyBorder="1" applyAlignment="1" applyProtection="1">
      <alignment horizontal="left" vertical="center"/>
      <protection hidden="1"/>
    </xf>
    <xf numFmtId="0" fontId="57" fillId="26" borderId="2" xfId="0" applyNumberFormat="1" applyFont="1" applyFill="1" applyBorder="1" applyAlignment="1" applyProtection="1">
      <alignment horizontal="left" vertical="center"/>
      <protection hidden="1"/>
    </xf>
    <xf numFmtId="0" fontId="57" fillId="22" borderId="2" xfId="0" applyNumberFormat="1" applyFont="1" applyFill="1" applyBorder="1" applyAlignment="1" applyProtection="1">
      <alignment horizontal="left" vertical="center"/>
      <protection hidden="1"/>
    </xf>
    <xf numFmtId="0" fontId="57" fillId="25" borderId="2" xfId="0" applyNumberFormat="1" applyFont="1" applyFill="1" applyBorder="1" applyAlignment="1" applyProtection="1">
      <alignment horizontal="left" vertical="center"/>
      <protection hidden="1"/>
    </xf>
    <xf numFmtId="166" fontId="49" fillId="81" borderId="2" xfId="0" applyNumberFormat="1" applyFont="1" applyFill="1" applyBorder="1" applyAlignment="1" applyProtection="1">
      <alignment horizontal="center" vertical="center"/>
      <protection hidden="1"/>
    </xf>
    <xf numFmtId="42" fontId="49" fillId="81" borderId="2" xfId="0" applyNumberFormat="1" applyFont="1" applyFill="1" applyBorder="1" applyAlignment="1" applyProtection="1">
      <alignment horizontal="center" vertical="center"/>
      <protection hidden="1"/>
    </xf>
    <xf numFmtId="42" fontId="50" fillId="81" borderId="2" xfId="0" applyNumberFormat="1" applyFont="1" applyFill="1" applyBorder="1" applyAlignment="1" applyProtection="1">
      <alignment horizontal="center" vertical="center"/>
      <protection hidden="1"/>
    </xf>
    <xf numFmtId="0" fontId="57" fillId="29" borderId="81" xfId="0" applyNumberFormat="1" applyFont="1" applyFill="1" applyBorder="1" applyAlignment="1" applyProtection="1">
      <alignment horizontal="center" vertical="center"/>
      <protection hidden="1"/>
    </xf>
    <xf numFmtId="0" fontId="57" fillId="29" borderId="82" xfId="0" applyNumberFormat="1" applyFont="1" applyFill="1" applyBorder="1" applyAlignment="1" applyProtection="1">
      <alignment horizontal="center" vertical="center"/>
      <protection hidden="1"/>
    </xf>
    <xf numFmtId="42" fontId="26" fillId="77" borderId="0" xfId="0" applyNumberFormat="1" applyFont="1" applyFill="1" applyBorder="1" applyProtection="1">
      <protection hidden="1"/>
    </xf>
    <xf numFmtId="0" fontId="0" fillId="14" borderId="0" xfId="0" applyFill="1" applyProtection="1">
      <protection hidden="1"/>
    </xf>
    <xf numFmtId="0" fontId="0" fillId="0" borderId="0" xfId="0" applyProtection="1">
      <protection hidden="1"/>
    </xf>
    <xf numFmtId="0" fontId="38" fillId="29" borderId="7" xfId="0" applyFont="1" applyFill="1" applyBorder="1" applyAlignment="1" applyProtection="1">
      <alignment vertical="center" wrapText="1"/>
      <protection hidden="1"/>
    </xf>
    <xf numFmtId="0" fontId="38" fillId="29" borderId="85" xfId="0" applyFont="1" applyFill="1" applyBorder="1" applyAlignment="1" applyProtection="1">
      <alignment vertical="center" wrapText="1"/>
      <protection hidden="1"/>
    </xf>
    <xf numFmtId="0" fontId="38" fillId="29" borderId="86" xfId="0" applyFont="1" applyFill="1" applyBorder="1" applyAlignment="1" applyProtection="1">
      <alignment vertical="center" wrapText="1"/>
      <protection hidden="1"/>
    </xf>
    <xf numFmtId="0" fontId="39" fillId="29" borderId="4" xfId="0" applyFont="1" applyFill="1" applyBorder="1" applyProtection="1">
      <protection hidden="1"/>
    </xf>
    <xf numFmtId="0" fontId="41" fillId="29" borderId="4" xfId="0" applyFont="1" applyFill="1" applyBorder="1" applyProtection="1">
      <protection hidden="1"/>
    </xf>
    <xf numFmtId="0" fontId="39" fillId="26" borderId="11" xfId="0" applyFont="1" applyFill="1" applyBorder="1" applyProtection="1">
      <protection hidden="1"/>
    </xf>
    <xf numFmtId="168" fontId="39" fillId="26" borderId="11" xfId="7" applyNumberFormat="1" applyFont="1" applyFill="1" applyBorder="1" applyProtection="1">
      <protection hidden="1"/>
    </xf>
    <xf numFmtId="9" fontId="39" fillId="26" borderId="11" xfId="11" applyFont="1" applyFill="1" applyBorder="1" applyProtection="1">
      <protection hidden="1"/>
    </xf>
    <xf numFmtId="167" fontId="41" fillId="26" borderId="11" xfId="7" applyNumberFormat="1" applyFont="1" applyFill="1" applyBorder="1" applyProtection="1">
      <protection hidden="1"/>
    </xf>
    <xf numFmtId="9" fontId="41" fillId="26" borderId="11" xfId="11" applyFont="1" applyFill="1" applyBorder="1" applyProtection="1">
      <protection hidden="1"/>
    </xf>
    <xf numFmtId="0" fontId="38" fillId="26" borderId="4" xfId="0" applyFont="1" applyFill="1" applyBorder="1" applyProtection="1">
      <protection hidden="1"/>
    </xf>
    <xf numFmtId="168" fontId="38" fillId="26" borderId="4" xfId="0" applyNumberFormat="1" applyFont="1" applyFill="1" applyBorder="1" applyProtection="1">
      <protection hidden="1"/>
    </xf>
    <xf numFmtId="9" fontId="38" fillId="26" borderId="4" xfId="11" applyFont="1" applyFill="1" applyBorder="1" applyProtection="1">
      <protection hidden="1"/>
    </xf>
    <xf numFmtId="167" fontId="16" fillId="26" borderId="4" xfId="0" applyNumberFormat="1" applyFont="1" applyFill="1" applyBorder="1" applyProtection="1">
      <protection hidden="1"/>
    </xf>
    <xf numFmtId="9" fontId="16" fillId="26" borderId="4" xfId="11" applyFont="1" applyFill="1" applyBorder="1" applyProtection="1">
      <protection hidden="1"/>
    </xf>
    <xf numFmtId="0" fontId="39" fillId="21" borderId="11" xfId="0" applyFont="1" applyFill="1" applyBorder="1" applyProtection="1">
      <protection hidden="1"/>
    </xf>
    <xf numFmtId="168" fontId="39" fillId="21" borderId="11" xfId="7" applyNumberFormat="1" applyFont="1" applyFill="1" applyBorder="1" applyProtection="1">
      <protection hidden="1"/>
    </xf>
    <xf numFmtId="9" fontId="39" fillId="21" borderId="11" xfId="11" applyFont="1" applyFill="1" applyBorder="1" applyProtection="1">
      <protection hidden="1"/>
    </xf>
    <xf numFmtId="167" fontId="41" fillId="21" borderId="11" xfId="7" applyNumberFormat="1" applyFont="1" applyFill="1" applyBorder="1" applyProtection="1">
      <protection hidden="1"/>
    </xf>
    <xf numFmtId="9" fontId="41" fillId="21" borderId="11" xfId="11" applyFont="1" applyFill="1" applyBorder="1" applyProtection="1">
      <protection hidden="1"/>
    </xf>
    <xf numFmtId="0" fontId="38" fillId="21" borderId="4" xfId="0" applyFont="1" applyFill="1" applyBorder="1" applyProtection="1">
      <protection hidden="1"/>
    </xf>
    <xf numFmtId="168" fontId="38" fillId="21" borderId="4" xfId="0" applyNumberFormat="1" applyFont="1" applyFill="1" applyBorder="1" applyProtection="1">
      <protection hidden="1"/>
    </xf>
    <xf numFmtId="9" fontId="38" fillId="21" borderId="4" xfId="11" applyFont="1" applyFill="1" applyBorder="1" applyProtection="1">
      <protection hidden="1"/>
    </xf>
    <xf numFmtId="167" fontId="16" fillId="21" borderId="4" xfId="0" applyNumberFormat="1" applyFont="1" applyFill="1" applyBorder="1" applyProtection="1">
      <protection hidden="1"/>
    </xf>
    <xf numFmtId="9" fontId="16" fillId="21" borderId="4" xfId="11" applyFont="1" applyFill="1" applyBorder="1" applyProtection="1">
      <protection hidden="1"/>
    </xf>
    <xf numFmtId="0" fontId="39" fillId="29" borderId="11" xfId="0" applyFont="1" applyFill="1" applyBorder="1" applyProtection="1">
      <protection hidden="1"/>
    </xf>
    <xf numFmtId="168" fontId="39" fillId="29" borderId="11" xfId="0" applyNumberFormat="1" applyFont="1" applyFill="1" applyBorder="1" applyProtection="1">
      <protection hidden="1"/>
    </xf>
    <xf numFmtId="9" fontId="39" fillId="29" borderId="11" xfId="11" applyFont="1" applyFill="1" applyBorder="1" applyProtection="1">
      <protection hidden="1"/>
    </xf>
    <xf numFmtId="167" fontId="41" fillId="29" borderId="11" xfId="0" applyNumberFormat="1" applyFont="1" applyFill="1" applyBorder="1" applyProtection="1">
      <protection hidden="1"/>
    </xf>
    <xf numFmtId="9" fontId="41" fillId="29" borderId="11" xfId="11" applyFont="1" applyFill="1" applyBorder="1" applyProtection="1">
      <protection hidden="1"/>
    </xf>
    <xf numFmtId="0" fontId="38" fillId="29" borderId="4" xfId="0" applyFont="1" applyFill="1" applyBorder="1" applyProtection="1">
      <protection hidden="1"/>
    </xf>
    <xf numFmtId="168" fontId="38" fillId="29" borderId="4" xfId="0" applyNumberFormat="1" applyFont="1" applyFill="1" applyBorder="1" applyProtection="1">
      <protection hidden="1"/>
    </xf>
    <xf numFmtId="9" fontId="38" fillId="29" borderId="4" xfId="11" applyFont="1" applyFill="1" applyBorder="1" applyProtection="1">
      <protection hidden="1"/>
    </xf>
    <xf numFmtId="167" fontId="16" fillId="29" borderId="4" xfId="0" applyNumberFormat="1" applyFont="1" applyFill="1" applyBorder="1" applyProtection="1">
      <protection hidden="1"/>
    </xf>
    <xf numFmtId="9" fontId="16" fillId="29" borderId="4" xfId="11" applyFont="1" applyFill="1" applyBorder="1" applyProtection="1">
      <protection hidden="1"/>
    </xf>
    <xf numFmtId="0" fontId="49" fillId="14" borderId="83" xfId="0" applyFont="1" applyFill="1" applyBorder="1" applyAlignment="1" applyProtection="1">
      <alignment vertical="center"/>
      <protection hidden="1"/>
    </xf>
    <xf numFmtId="0" fontId="49" fillId="14" borderId="0" xfId="0" applyFont="1" applyFill="1" applyBorder="1" applyAlignment="1" applyProtection="1">
      <alignment vertical="center"/>
      <protection hidden="1"/>
    </xf>
    <xf numFmtId="0" fontId="49" fillId="14" borderId="84" xfId="0" applyFont="1" applyFill="1" applyBorder="1" applyAlignment="1" applyProtection="1">
      <alignment vertical="center"/>
      <protection hidden="1"/>
    </xf>
    <xf numFmtId="41" fontId="49" fillId="14" borderId="84" xfId="0" applyNumberFormat="1" applyFont="1" applyFill="1" applyBorder="1" applyAlignment="1" applyProtection="1">
      <alignment horizontal="right" vertical="center"/>
      <protection hidden="1"/>
    </xf>
    <xf numFmtId="5" fontId="49" fillId="14" borderId="84" xfId="0" applyNumberFormat="1" applyFont="1" applyFill="1" applyBorder="1" applyAlignment="1" applyProtection="1">
      <alignment horizontal="right" vertical="center"/>
      <protection hidden="1"/>
    </xf>
    <xf numFmtId="0" fontId="49" fillId="14" borderId="80" xfId="0" applyFont="1" applyFill="1" applyBorder="1" applyAlignment="1" applyProtection="1">
      <alignment vertical="center"/>
      <protection hidden="1"/>
    </xf>
    <xf numFmtId="0" fontId="49" fillId="14" borderId="81" xfId="0" applyFont="1" applyFill="1" applyBorder="1" applyAlignment="1" applyProtection="1">
      <alignment vertical="center"/>
      <protection hidden="1"/>
    </xf>
    <xf numFmtId="0" fontId="49" fillId="14" borderId="82" xfId="0" applyFont="1" applyFill="1" applyBorder="1" applyAlignment="1" applyProtection="1">
      <alignment vertical="center"/>
      <protection hidden="1"/>
    </xf>
    <xf numFmtId="0" fontId="49" fillId="14" borderId="82" xfId="0" applyFont="1" applyFill="1" applyBorder="1" applyAlignment="1" applyProtection="1">
      <alignment horizontal="right" vertical="center"/>
      <protection hidden="1"/>
    </xf>
    <xf numFmtId="0" fontId="49" fillId="14" borderId="7" xfId="0" applyFont="1" applyFill="1" applyBorder="1" applyAlignment="1" applyProtection="1">
      <alignment vertical="center"/>
      <protection hidden="1"/>
    </xf>
    <xf numFmtId="0" fontId="49" fillId="14" borderId="85" xfId="0" applyFont="1" applyFill="1" applyBorder="1" applyAlignment="1" applyProtection="1">
      <alignment vertical="center"/>
      <protection hidden="1"/>
    </xf>
    <xf numFmtId="5" fontId="49" fillId="14" borderId="86" xfId="0" applyNumberFormat="1" applyFont="1" applyFill="1" applyBorder="1" applyAlignment="1" applyProtection="1">
      <alignment horizontal="right" vertical="center"/>
      <protection hidden="1"/>
    </xf>
    <xf numFmtId="0" fontId="26" fillId="31" borderId="26" xfId="0" applyFont="1" applyFill="1" applyBorder="1" applyProtection="1"/>
    <xf numFmtId="0" fontId="15" fillId="31" borderId="26" xfId="0" applyFont="1" applyFill="1" applyBorder="1" applyProtection="1"/>
    <xf numFmtId="0" fontId="26" fillId="41" borderId="26" xfId="0" applyFont="1" applyFill="1" applyBorder="1" applyProtection="1"/>
    <xf numFmtId="0" fontId="15" fillId="41" borderId="26" xfId="0" applyFont="1" applyFill="1" applyBorder="1" applyProtection="1"/>
    <xf numFmtId="0" fontId="0" fillId="41" borderId="35" xfId="0" applyFill="1" applyBorder="1" applyProtection="1"/>
    <xf numFmtId="0" fontId="8" fillId="41" borderId="26" xfId="0" applyFont="1" applyFill="1" applyBorder="1" applyProtection="1"/>
    <xf numFmtId="0" fontId="26" fillId="8" borderId="35" xfId="0" applyFont="1" applyFill="1" applyBorder="1" applyProtection="1"/>
    <xf numFmtId="0" fontId="0" fillId="28" borderId="35" xfId="0" applyFont="1" applyFill="1" applyBorder="1" applyProtection="1"/>
    <xf numFmtId="0" fontId="26" fillId="36" borderId="35" xfId="0" applyFont="1" applyFill="1" applyBorder="1" applyProtection="1"/>
    <xf numFmtId="0" fontId="0" fillId="24" borderId="35" xfId="0" applyFont="1" applyFill="1" applyBorder="1" applyProtection="1"/>
    <xf numFmtId="0" fontId="0" fillId="21" borderId="35" xfId="0" applyFont="1" applyFill="1" applyBorder="1" applyProtection="1"/>
    <xf numFmtId="0" fontId="0" fillId="8" borderId="26" xfId="0" applyFill="1" applyBorder="1" applyProtection="1"/>
    <xf numFmtId="0" fontId="0" fillId="24" borderId="26" xfId="0" applyFill="1" applyBorder="1" applyProtection="1"/>
    <xf numFmtId="0" fontId="0" fillId="32" borderId="26" xfId="0" applyFill="1" applyBorder="1" applyProtection="1"/>
    <xf numFmtId="0" fontId="0" fillId="22" borderId="0" xfId="0" applyFill="1"/>
    <xf numFmtId="0" fontId="96" fillId="0" borderId="0" xfId="0" applyFont="1" applyFill="1" applyBorder="1" applyProtection="1">
      <protection hidden="1"/>
    </xf>
    <xf numFmtId="0" fontId="22" fillId="0" borderId="0" xfId="0" applyFont="1" applyFill="1" applyBorder="1" applyProtection="1">
      <protection hidden="1"/>
    </xf>
    <xf numFmtId="41" fontId="96" fillId="0" borderId="0" xfId="0" applyNumberFormat="1" applyFont="1" applyFill="1" applyBorder="1" applyProtection="1">
      <protection hidden="1"/>
    </xf>
    <xf numFmtId="42" fontId="96" fillId="0" borderId="0" xfId="0" applyNumberFormat="1" applyFont="1" applyFill="1" applyBorder="1" applyProtection="1">
      <protection hidden="1"/>
    </xf>
    <xf numFmtId="42" fontId="22" fillId="0" borderId="0" xfId="0" applyNumberFormat="1" applyFont="1" applyFill="1" applyBorder="1" applyProtection="1">
      <protection hidden="1"/>
    </xf>
    <xf numFmtId="0" fontId="96" fillId="0" borderId="0" xfId="0" applyFont="1" applyFill="1" applyBorder="1" applyAlignment="1" applyProtection="1">
      <alignment wrapText="1"/>
      <protection hidden="1"/>
    </xf>
    <xf numFmtId="168" fontId="96" fillId="0" borderId="0" xfId="7" applyNumberFormat="1" applyFont="1" applyFill="1" applyBorder="1" applyProtection="1">
      <protection hidden="1"/>
    </xf>
    <xf numFmtId="166" fontId="96" fillId="0" borderId="0" xfId="8" applyNumberFormat="1" applyFont="1" applyFill="1" applyBorder="1" applyProtection="1">
      <protection hidden="1"/>
    </xf>
    <xf numFmtId="44" fontId="96" fillId="0" borderId="0" xfId="8" applyFont="1" applyFill="1" applyBorder="1" applyProtection="1">
      <protection hidden="1"/>
    </xf>
    <xf numFmtId="0" fontId="59" fillId="0" borderId="0" xfId="0" applyFont="1" applyFill="1" applyBorder="1" applyProtection="1">
      <protection hidden="1"/>
    </xf>
    <xf numFmtId="42" fontId="96" fillId="0" borderId="0" xfId="0" applyNumberFormat="1" applyFont="1" applyFill="1" applyBorder="1" applyAlignment="1" applyProtection="1">
      <alignment horizontal="left"/>
      <protection hidden="1"/>
    </xf>
    <xf numFmtId="0" fontId="96" fillId="0" borderId="0" xfId="0" applyNumberFormat="1" applyFont="1" applyFill="1" applyBorder="1" applyProtection="1">
      <protection hidden="1"/>
    </xf>
    <xf numFmtId="166" fontId="96" fillId="0" borderId="0" xfId="0" applyNumberFormat="1" applyFont="1" applyFill="1" applyBorder="1" applyProtection="1">
      <protection hidden="1"/>
    </xf>
    <xf numFmtId="0" fontId="0" fillId="31" borderId="0" xfId="0" applyFill="1" applyBorder="1" applyProtection="1"/>
    <xf numFmtId="0" fontId="26" fillId="31" borderId="0" xfId="0" applyFont="1" applyFill="1" applyBorder="1" applyProtection="1"/>
    <xf numFmtId="0" fontId="49" fillId="0" borderId="26" xfId="1" applyFont="1" applyFill="1" applyBorder="1" applyProtection="1"/>
    <xf numFmtId="0" fontId="90" fillId="0" borderId="26" xfId="1" applyFont="1" applyFill="1" applyBorder="1" applyProtection="1"/>
    <xf numFmtId="0" fontId="105" fillId="0" borderId="26" xfId="1" applyFont="1" applyFill="1" applyBorder="1" applyProtection="1"/>
    <xf numFmtId="167" fontId="105" fillId="0" borderId="26" xfId="1" applyNumberFormat="1" applyFont="1" applyFill="1" applyBorder="1" applyProtection="1"/>
    <xf numFmtId="0" fontId="105" fillId="0" borderId="26" xfId="7" applyNumberFormat="1" applyFont="1" applyFill="1" applyBorder="1" applyProtection="1"/>
    <xf numFmtId="0" fontId="106" fillId="0" borderId="26" xfId="1" applyFont="1" applyFill="1" applyBorder="1" applyProtection="1"/>
    <xf numFmtId="167" fontId="106" fillId="0" borderId="26" xfId="1" applyNumberFormat="1" applyFont="1" applyFill="1" applyBorder="1" applyProtection="1"/>
    <xf numFmtId="0" fontId="107" fillId="0" borderId="26" xfId="1" applyFont="1" applyFill="1" applyBorder="1" applyProtection="1"/>
    <xf numFmtId="43" fontId="49" fillId="0" borderId="26" xfId="7" applyFont="1" applyFill="1" applyBorder="1" applyProtection="1"/>
    <xf numFmtId="0" fontId="16" fillId="31" borderId="26" xfId="1" applyFont="1" applyFill="1" applyBorder="1" applyProtection="1"/>
    <xf numFmtId="0" fontId="49" fillId="14" borderId="26" xfId="1" applyFont="1" applyFill="1" applyBorder="1" applyProtection="1"/>
    <xf numFmtId="0" fontId="38" fillId="14" borderId="26" xfId="1" applyFont="1" applyFill="1" applyBorder="1" applyProtection="1"/>
    <xf numFmtId="43" fontId="49" fillId="14" borderId="26" xfId="1" applyNumberFormat="1" applyFont="1" applyFill="1" applyBorder="1" applyProtection="1"/>
    <xf numFmtId="43" fontId="49" fillId="14" borderId="26" xfId="7" applyNumberFormat="1" applyFont="1" applyFill="1" applyBorder="1" applyProtection="1"/>
    <xf numFmtId="0" fontId="92" fillId="14" borderId="26" xfId="1" applyFont="1" applyFill="1" applyBorder="1" applyProtection="1"/>
    <xf numFmtId="0" fontId="21" fillId="14" borderId="26" xfId="1" applyFill="1" applyBorder="1" applyProtection="1"/>
    <xf numFmtId="0" fontId="0" fillId="14" borderId="0" xfId="0" applyFill="1" applyBorder="1" applyProtection="1"/>
    <xf numFmtId="168" fontId="0" fillId="14" borderId="0" xfId="0" applyNumberFormat="1" applyFill="1" applyBorder="1" applyProtection="1"/>
    <xf numFmtId="0" fontId="49" fillId="21" borderId="45" xfId="0" applyFont="1" applyFill="1" applyBorder="1" applyAlignment="1" applyProtection="1"/>
    <xf numFmtId="0" fontId="39" fillId="42" borderId="26" xfId="1" applyFont="1" applyFill="1" applyBorder="1" applyAlignment="1" applyProtection="1"/>
    <xf numFmtId="165" fontId="51" fillId="0" borderId="41" xfId="0" applyNumberFormat="1" applyFont="1" applyFill="1" applyBorder="1" applyAlignment="1" applyProtection="1"/>
    <xf numFmtId="0" fontId="39" fillId="81" borderId="0" xfId="1" applyFont="1" applyFill="1" applyBorder="1" applyAlignment="1" applyProtection="1">
      <alignment vertical="center"/>
    </xf>
    <xf numFmtId="0" fontId="39" fillId="81" borderId="62" xfId="1" applyFont="1" applyFill="1" applyBorder="1" applyAlignment="1" applyProtection="1">
      <alignment vertical="center"/>
    </xf>
    <xf numFmtId="0" fontId="38" fillId="31" borderId="0" xfId="0" applyFont="1" applyFill="1" applyBorder="1" applyProtection="1"/>
    <xf numFmtId="0" fontId="49" fillId="0" borderId="0" xfId="0" applyFont="1" applyFill="1" applyBorder="1" applyProtection="1"/>
    <xf numFmtId="0" fontId="39" fillId="0" borderId="0" xfId="1" applyFont="1" applyFill="1" applyBorder="1" applyAlignment="1" applyProtection="1">
      <alignment vertical="center"/>
    </xf>
    <xf numFmtId="0" fontId="49" fillId="0" borderId="46" xfId="0" applyFont="1" applyFill="1" applyBorder="1" applyProtection="1"/>
    <xf numFmtId="0" fontId="39" fillId="0" borderId="26" xfId="1" applyFont="1" applyFill="1" applyBorder="1" applyProtection="1"/>
    <xf numFmtId="0" fontId="49" fillId="31" borderId="0" xfId="0" applyFont="1" applyFill="1" applyBorder="1" applyProtection="1"/>
    <xf numFmtId="0" fontId="91" fillId="31" borderId="0" xfId="0" applyFont="1" applyFill="1" applyBorder="1" applyProtection="1"/>
    <xf numFmtId="0" fontId="92" fillId="31" borderId="0" xfId="0" applyFont="1" applyFill="1" applyBorder="1" applyProtection="1"/>
    <xf numFmtId="0" fontId="49" fillId="31" borderId="26" xfId="0" applyFont="1" applyFill="1" applyBorder="1" applyProtection="1"/>
    <xf numFmtId="0" fontId="50" fillId="31" borderId="26" xfId="0" applyFont="1" applyFill="1" applyBorder="1" applyAlignment="1" applyProtection="1">
      <alignment horizontal="center"/>
    </xf>
    <xf numFmtId="0" fontId="91" fillId="0" borderId="26" xfId="0" applyFont="1" applyFill="1" applyBorder="1" applyAlignment="1" applyProtection="1">
      <alignment horizontal="center"/>
    </xf>
    <xf numFmtId="0" fontId="91" fillId="0" borderId="26" xfId="0" applyFont="1" applyFill="1" applyBorder="1" applyProtection="1"/>
    <xf numFmtId="0" fontId="38" fillId="31" borderId="41" xfId="0" applyFont="1" applyFill="1" applyBorder="1" applyProtection="1"/>
    <xf numFmtId="0" fontId="26" fillId="31" borderId="26" xfId="1" applyFont="1" applyFill="1" applyBorder="1" applyProtection="1"/>
    <xf numFmtId="188" fontId="49" fillId="24" borderId="2" xfId="11" applyNumberFormat="1" applyFont="1" applyFill="1" applyBorder="1" applyProtection="1"/>
    <xf numFmtId="0" fontId="90" fillId="0" borderId="0" xfId="0" applyFont="1" applyFill="1"/>
    <xf numFmtId="0" fontId="8" fillId="0" borderId="0" xfId="0" applyFont="1" applyFill="1"/>
    <xf numFmtId="0" fontId="25" fillId="28" borderId="36" xfId="1" applyFont="1" applyFill="1" applyBorder="1" applyAlignment="1" applyProtection="1">
      <alignment horizontal="left" wrapText="1"/>
    </xf>
    <xf numFmtId="0" fontId="59" fillId="20" borderId="36" xfId="0" applyFont="1" applyFill="1" applyBorder="1" applyAlignment="1" applyProtection="1">
      <alignment horizontal="center"/>
    </xf>
    <xf numFmtId="0" fontId="25" fillId="28" borderId="38" xfId="1" applyFont="1" applyFill="1" applyBorder="1" applyAlignment="1" applyProtection="1">
      <alignment horizontal="left" wrapText="1"/>
    </xf>
    <xf numFmtId="0" fontId="41" fillId="39" borderId="102" xfId="0" applyFont="1" applyFill="1" applyBorder="1" applyAlignment="1" applyProtection="1">
      <alignment horizontal="left"/>
    </xf>
    <xf numFmtId="0" fontId="41" fillId="39" borderId="31" xfId="0" applyFont="1" applyFill="1" applyBorder="1" applyAlignment="1" applyProtection="1">
      <alignment horizontal="left"/>
    </xf>
    <xf numFmtId="0" fontId="41" fillId="39" borderId="30" xfId="0" applyFont="1" applyFill="1" applyBorder="1" applyAlignment="1" applyProtection="1">
      <alignment horizontal="left"/>
    </xf>
    <xf numFmtId="0" fontId="41" fillId="42" borderId="109" xfId="0" applyFont="1" applyFill="1" applyBorder="1" applyAlignment="1" applyProtection="1">
      <alignment horizontal="left"/>
    </xf>
    <xf numFmtId="0" fontId="41" fillId="42" borderId="26" xfId="0" applyFont="1" applyFill="1" applyBorder="1" applyAlignment="1" applyProtection="1">
      <alignment horizontal="left"/>
    </xf>
    <xf numFmtId="9" fontId="41" fillId="24" borderId="2" xfId="11" applyFont="1" applyFill="1" applyBorder="1" applyProtection="1"/>
    <xf numFmtId="185" fontId="41" fillId="24" borderId="2" xfId="11" applyNumberFormat="1" applyFont="1" applyFill="1" applyBorder="1" applyProtection="1"/>
    <xf numFmtId="168" fontId="49" fillId="29" borderId="107" xfId="0" applyNumberFormat="1" applyFont="1" applyFill="1" applyBorder="1" applyAlignment="1" applyProtection="1">
      <alignment horizontal="right"/>
    </xf>
    <xf numFmtId="168" fontId="49" fillId="29" borderId="107" xfId="7" applyNumberFormat="1" applyFont="1" applyFill="1" applyBorder="1" applyAlignment="1" applyProtection="1"/>
    <xf numFmtId="0" fontId="41" fillId="0" borderId="41" xfId="0" applyFont="1" applyFill="1" applyBorder="1" applyAlignment="1" applyProtection="1"/>
    <xf numFmtId="167" fontId="49" fillId="18" borderId="41" xfId="0" applyNumberFormat="1" applyFont="1" applyFill="1" applyBorder="1" applyAlignment="1" applyProtection="1">
      <alignment horizontal="center"/>
    </xf>
    <xf numFmtId="167" fontId="49" fillId="18" borderId="41" xfId="0" applyNumberFormat="1" applyFont="1" applyFill="1" applyBorder="1" applyAlignment="1" applyProtection="1">
      <alignment horizontal="center" vertical="center"/>
    </xf>
    <xf numFmtId="167" fontId="39" fillId="39" borderId="26" xfId="1" applyNumberFormat="1" applyFont="1" applyFill="1" applyBorder="1" applyAlignment="1" applyProtection="1">
      <alignment horizontal="center"/>
    </xf>
    <xf numFmtId="0" fontId="108" fillId="0" borderId="0" xfId="0" applyFont="1" applyProtection="1">
      <protection hidden="1"/>
    </xf>
    <xf numFmtId="0" fontId="39" fillId="0" borderId="0" xfId="0" applyFont="1" applyProtection="1">
      <protection hidden="1"/>
    </xf>
    <xf numFmtId="0" fontId="38" fillId="14" borderId="2" xfId="0" applyFont="1" applyFill="1" applyBorder="1" applyAlignment="1" applyProtection="1">
      <alignment horizontal="center" vertical="center" wrapText="1"/>
      <protection hidden="1"/>
    </xf>
    <xf numFmtId="0" fontId="38" fillId="14" borderId="2" xfId="0" applyFont="1" applyFill="1" applyBorder="1" applyAlignment="1" applyProtection="1">
      <alignment horizontal="center" wrapText="1"/>
      <protection hidden="1"/>
    </xf>
    <xf numFmtId="0" fontId="39" fillId="0" borderId="0" xfId="0" applyFont="1" applyAlignment="1" applyProtection="1">
      <alignment wrapText="1"/>
      <protection hidden="1"/>
    </xf>
    <xf numFmtId="3" fontId="39" fillId="14" borderId="87" xfId="0" applyNumberFormat="1" applyFont="1" applyFill="1" applyBorder="1" applyProtection="1">
      <protection hidden="1"/>
    </xf>
    <xf numFmtId="3" fontId="39" fillId="14" borderId="11" xfId="0" applyNumberFormat="1" applyFont="1" applyFill="1" applyBorder="1" applyProtection="1">
      <protection hidden="1"/>
    </xf>
    <xf numFmtId="3" fontId="39" fillId="14" borderId="4" xfId="0" applyNumberFormat="1" applyFont="1" applyFill="1" applyBorder="1" applyProtection="1">
      <protection hidden="1"/>
    </xf>
    <xf numFmtId="0" fontId="39" fillId="0" borderId="0" xfId="0" applyFont="1" applyAlignment="1" applyProtection="1">
      <alignment vertical="top" wrapText="1"/>
      <protection hidden="1"/>
    </xf>
    <xf numFmtId="0" fontId="59" fillId="20" borderId="31" xfId="0" applyFont="1" applyFill="1" applyBorder="1" applyAlignment="1" applyProtection="1">
      <alignment horizontal="center"/>
    </xf>
    <xf numFmtId="0" fontId="41" fillId="14" borderId="26" xfId="0" applyFont="1" applyFill="1" applyBorder="1" applyAlignment="1" applyProtection="1">
      <alignment horizontal="center"/>
      <protection locked="0"/>
    </xf>
    <xf numFmtId="3" fontId="41" fillId="14" borderId="41" xfId="0" applyNumberFormat="1" applyFont="1" applyFill="1" applyBorder="1" applyAlignment="1" applyProtection="1">
      <alignment horizontal="right"/>
      <protection locked="0"/>
    </xf>
    <xf numFmtId="41" fontId="41" fillId="14" borderId="41" xfId="7" applyNumberFormat="1" applyFont="1" applyFill="1" applyBorder="1" applyProtection="1">
      <protection locked="0"/>
    </xf>
    <xf numFmtId="3" fontId="41" fillId="14" borderId="41" xfId="0" applyNumberFormat="1" applyFont="1" applyFill="1" applyBorder="1" applyProtection="1">
      <protection locked="0"/>
    </xf>
    <xf numFmtId="167" fontId="51" fillId="14" borderId="41" xfId="0" applyNumberFormat="1" applyFont="1" applyFill="1" applyBorder="1" applyProtection="1">
      <protection locked="0"/>
    </xf>
    <xf numFmtId="167" fontId="41" fillId="0" borderId="48" xfId="0" quotePrefix="1" applyNumberFormat="1" applyFont="1" applyFill="1" applyBorder="1" applyProtection="1">
      <protection locked="0"/>
    </xf>
    <xf numFmtId="167" fontId="41" fillId="0" borderId="41" xfId="0" quotePrefix="1" applyNumberFormat="1" applyFont="1" applyFill="1" applyBorder="1" applyProtection="1">
      <protection locked="0"/>
    </xf>
    <xf numFmtId="168" fontId="41" fillId="18" borderId="41" xfId="7" quotePrefix="1" applyNumberFormat="1" applyFont="1" applyFill="1" applyBorder="1" applyProtection="1">
      <protection locked="0"/>
    </xf>
    <xf numFmtId="168" fontId="49" fillId="18" borderId="41" xfId="7" applyNumberFormat="1" applyFont="1" applyFill="1" applyBorder="1" applyProtection="1">
      <protection locked="0"/>
    </xf>
    <xf numFmtId="169" fontId="51" fillId="14" borderId="41" xfId="0" applyNumberFormat="1" applyFont="1" applyFill="1" applyBorder="1" applyProtection="1">
      <protection locked="0"/>
    </xf>
    <xf numFmtId="181" fontId="51" fillId="14" borderId="41" xfId="0" applyNumberFormat="1" applyFont="1" applyFill="1" applyBorder="1" applyProtection="1">
      <protection locked="0"/>
    </xf>
    <xf numFmtId="183" fontId="51" fillId="14" borderId="41" xfId="0" applyNumberFormat="1" applyFont="1" applyFill="1" applyBorder="1" applyProtection="1">
      <protection locked="0"/>
    </xf>
    <xf numFmtId="0" fontId="51" fillId="14" borderId="41" xfId="0" applyFont="1" applyFill="1" applyBorder="1" applyProtection="1">
      <protection locked="0"/>
    </xf>
    <xf numFmtId="168" fontId="51" fillId="14" borderId="41" xfId="7" applyNumberFormat="1" applyFont="1" applyFill="1" applyBorder="1" applyAlignment="1" applyProtection="1">
      <alignment wrapText="1"/>
      <protection locked="0"/>
    </xf>
    <xf numFmtId="168" fontId="51" fillId="14" borderId="41" xfId="7" applyNumberFormat="1" applyFont="1" applyFill="1" applyBorder="1" applyProtection="1">
      <protection locked="0"/>
    </xf>
    <xf numFmtId="165" fontId="41" fillId="0" borderId="0" xfId="11" applyNumberFormat="1" applyFont="1" applyFill="1" applyBorder="1" applyAlignment="1" applyProtection="1">
      <alignment horizontal="right"/>
      <protection locked="0"/>
    </xf>
    <xf numFmtId="5" fontId="39" fillId="0" borderId="26" xfId="8" applyNumberFormat="1" applyFont="1" applyFill="1" applyBorder="1" applyProtection="1">
      <protection locked="0"/>
    </xf>
    <xf numFmtId="0" fontId="39" fillId="0" borderId="26" xfId="0" applyFont="1" applyFill="1" applyBorder="1" applyProtection="1">
      <protection locked="0"/>
    </xf>
    <xf numFmtId="167" fontId="39" fillId="14" borderId="41" xfId="0" applyNumberFormat="1" applyFont="1" applyFill="1" applyBorder="1" applyAlignment="1" applyProtection="1">
      <alignment horizontal="right"/>
      <protection locked="0"/>
    </xf>
    <xf numFmtId="5" fontId="39" fillId="0" borderId="26" xfId="0" applyNumberFormat="1" applyFont="1" applyFill="1" applyBorder="1" applyProtection="1">
      <protection locked="0"/>
    </xf>
    <xf numFmtId="5" fontId="39" fillId="0" borderId="0" xfId="0" applyNumberFormat="1" applyFont="1" applyFill="1" applyBorder="1" applyProtection="1">
      <protection locked="0"/>
    </xf>
    <xf numFmtId="169" fontId="39" fillId="0" borderId="26" xfId="0" applyNumberFormat="1" applyFont="1" applyFill="1" applyBorder="1" applyProtection="1">
      <protection locked="0"/>
    </xf>
    <xf numFmtId="183" fontId="39" fillId="0" borderId="26" xfId="0" applyNumberFormat="1" applyFont="1" applyFill="1" applyBorder="1" applyProtection="1">
      <protection locked="0"/>
    </xf>
    <xf numFmtId="5" fontId="39" fillId="0" borderId="96" xfId="0" applyNumberFormat="1" applyFont="1" applyFill="1" applyBorder="1" applyProtection="1">
      <protection locked="0"/>
    </xf>
    <xf numFmtId="0" fontId="41" fillId="14" borderId="26" xfId="0" applyFont="1" applyFill="1" applyBorder="1" applyProtection="1">
      <protection locked="0"/>
    </xf>
    <xf numFmtId="169" fontId="51" fillId="0" borderId="41" xfId="0" applyNumberFormat="1" applyFont="1" applyFill="1" applyBorder="1" applyProtection="1">
      <protection locked="0"/>
    </xf>
    <xf numFmtId="0" fontId="39" fillId="0" borderId="26" xfId="1" applyFont="1" applyFill="1" applyBorder="1" applyProtection="1">
      <protection locked="0"/>
    </xf>
    <xf numFmtId="167" fontId="51" fillId="0" borderId="41" xfId="0" applyNumberFormat="1" applyFont="1" applyFill="1" applyBorder="1" applyProtection="1">
      <protection locked="0"/>
    </xf>
    <xf numFmtId="0" fontId="49" fillId="0" borderId="26" xfId="1" applyFont="1" applyFill="1" applyBorder="1" applyProtection="1">
      <protection locked="0"/>
    </xf>
    <xf numFmtId="165" fontId="49" fillId="0" borderId="26" xfId="11" applyNumberFormat="1" applyFont="1" applyFill="1" applyBorder="1" applyAlignment="1" applyProtection="1">
      <alignment horizontal="right"/>
      <protection locked="0"/>
    </xf>
    <xf numFmtId="165" fontId="49" fillId="0" borderId="26" xfId="1" applyNumberFormat="1" applyFont="1" applyFill="1" applyBorder="1" applyProtection="1">
      <protection locked="0"/>
    </xf>
    <xf numFmtId="167" fontId="39" fillId="0" borderId="41" xfId="0" applyNumberFormat="1" applyFont="1" applyFill="1" applyBorder="1" applyAlignment="1" applyProtection="1">
      <alignment horizontal="right"/>
      <protection locked="0"/>
    </xf>
    <xf numFmtId="167" fontId="39" fillId="0" borderId="0" xfId="0" applyNumberFormat="1" applyFont="1" applyFill="1" applyBorder="1" applyAlignment="1" applyProtection="1">
      <alignment horizontal="right"/>
      <protection locked="0"/>
    </xf>
    <xf numFmtId="167" fontId="49" fillId="0" borderId="26" xfId="1" applyNumberFormat="1" applyFont="1" applyFill="1" applyBorder="1" applyProtection="1">
      <protection locked="0"/>
    </xf>
    <xf numFmtId="169" fontId="49" fillId="0" borderId="26" xfId="1" applyNumberFormat="1" applyFont="1" applyFill="1" applyBorder="1" applyProtection="1">
      <protection locked="0"/>
    </xf>
    <xf numFmtId="183" fontId="49" fillId="0" borderId="26" xfId="1" applyNumberFormat="1" applyFont="1" applyFill="1" applyBorder="1" applyProtection="1">
      <protection locked="0"/>
    </xf>
    <xf numFmtId="2" fontId="49" fillId="0" borderId="26" xfId="1" applyNumberFormat="1" applyFont="1" applyFill="1" applyBorder="1" applyProtection="1">
      <protection locked="0"/>
    </xf>
    <xf numFmtId="0" fontId="49" fillId="0" borderId="0" xfId="1" applyFont="1" applyFill="1" applyBorder="1" applyProtection="1">
      <protection locked="0"/>
    </xf>
    <xf numFmtId="165" fontId="41" fillId="42" borderId="26" xfId="11" applyNumberFormat="1" applyFont="1" applyFill="1" applyBorder="1" applyProtection="1">
      <protection locked="0"/>
    </xf>
    <xf numFmtId="168" fontId="41" fillId="42" borderId="26" xfId="7" applyNumberFormat="1" applyFont="1" applyFill="1" applyBorder="1" applyProtection="1">
      <protection locked="0"/>
    </xf>
    <xf numFmtId="167" fontId="49" fillId="0" borderId="41" xfId="0" applyNumberFormat="1" applyFont="1" applyFill="1" applyBorder="1" applyProtection="1">
      <protection locked="0"/>
    </xf>
    <xf numFmtId="169" fontId="41" fillId="0" borderId="41" xfId="0" quotePrefix="1" applyNumberFormat="1" applyFont="1" applyFill="1" applyBorder="1" applyProtection="1">
      <protection locked="0"/>
    </xf>
    <xf numFmtId="168" fontId="41" fillId="0" borderId="41" xfId="7" quotePrefix="1" applyNumberFormat="1" applyFont="1" applyFill="1" applyBorder="1" applyProtection="1">
      <protection locked="0"/>
    </xf>
    <xf numFmtId="168" fontId="51" fillId="0" borderId="41" xfId="7" applyNumberFormat="1" applyFont="1" applyFill="1" applyBorder="1" applyProtection="1">
      <protection locked="0"/>
    </xf>
    <xf numFmtId="9" fontId="41" fillId="0" borderId="41" xfId="11" quotePrefix="1" applyFont="1" applyFill="1" applyBorder="1" applyProtection="1">
      <protection locked="0"/>
    </xf>
    <xf numFmtId="168" fontId="49" fillId="0" borderId="64" xfId="7" applyNumberFormat="1" applyFont="1" applyFill="1" applyBorder="1" applyAlignment="1" applyProtection="1">
      <alignment horizontal="right"/>
      <protection locked="0"/>
    </xf>
    <xf numFmtId="168" fontId="49" fillId="0" borderId="64" xfId="7" applyNumberFormat="1" applyFont="1" applyFill="1" applyBorder="1" applyAlignment="1" applyProtection="1">
      <protection locked="0"/>
    </xf>
    <xf numFmtId="167" fontId="51" fillId="0" borderId="41" xfId="7" applyNumberFormat="1" applyFont="1" applyFill="1" applyBorder="1" applyAlignment="1" applyProtection="1">
      <alignment horizontal="right"/>
      <protection locked="0"/>
    </xf>
    <xf numFmtId="168" fontId="51" fillId="0" borderId="41" xfId="7" applyNumberFormat="1" applyFont="1" applyFill="1" applyBorder="1" applyAlignment="1" applyProtection="1">
      <alignment horizontal="right"/>
      <protection locked="0"/>
    </xf>
    <xf numFmtId="167" fontId="49" fillId="14" borderId="41" xfId="0" applyNumberFormat="1" applyFont="1" applyFill="1" applyBorder="1" applyProtection="1">
      <protection locked="0"/>
    </xf>
    <xf numFmtId="0" fontId="49" fillId="14" borderId="41" xfId="0" applyFont="1" applyFill="1" applyBorder="1" applyProtection="1">
      <protection locked="0"/>
    </xf>
    <xf numFmtId="0" fontId="49" fillId="0" borderId="41" xfId="0" applyFont="1" applyFill="1" applyBorder="1" applyProtection="1">
      <protection locked="0"/>
    </xf>
    <xf numFmtId="0" fontId="128" fillId="0" borderId="0" xfId="0" applyFont="1" applyAlignment="1">
      <alignment horizontal="center" vertical="center"/>
    </xf>
    <xf numFmtId="0" fontId="129" fillId="0" borderId="0" xfId="0" applyFont="1" applyAlignment="1">
      <alignment horizontal="center" vertical="center"/>
    </xf>
    <xf numFmtId="0" fontId="130" fillId="0" borderId="0" xfId="0" applyFont="1" applyAlignment="1">
      <alignment horizontal="center" vertical="center"/>
    </xf>
    <xf numFmtId="0" fontId="131" fillId="0" borderId="0" xfId="0" applyFont="1" applyAlignment="1">
      <alignment horizontal="justify" vertical="center"/>
    </xf>
    <xf numFmtId="0" fontId="128" fillId="0" borderId="0" xfId="0" applyFont="1" applyAlignment="1">
      <alignment horizontal="justify" vertical="center"/>
    </xf>
    <xf numFmtId="0" fontId="127" fillId="0" borderId="0" xfId="0" quotePrefix="1" applyFont="1" applyAlignment="1">
      <alignment vertical="center"/>
    </xf>
    <xf numFmtId="0" fontId="49" fillId="45" borderId="41" xfId="0" applyFont="1" applyFill="1" applyBorder="1" applyProtection="1">
      <protection locked="0"/>
    </xf>
    <xf numFmtId="167" fontId="49" fillId="14" borderId="41" xfId="0" applyNumberFormat="1" applyFont="1" applyFill="1" applyBorder="1" applyAlignment="1" applyProtection="1">
      <alignment horizontal="right"/>
      <protection locked="0"/>
    </xf>
    <xf numFmtId="167" fontId="51" fillId="14" borderId="41" xfId="0" applyNumberFormat="1" applyFont="1" applyFill="1" applyBorder="1" applyAlignment="1" applyProtection="1">
      <alignment horizontal="right"/>
      <protection locked="0"/>
    </xf>
    <xf numFmtId="167" fontId="39" fillId="14" borderId="26" xfId="1" applyNumberFormat="1" applyFont="1" applyFill="1" applyBorder="1" applyAlignment="1" applyProtection="1">
      <alignment horizontal="right"/>
      <protection locked="0"/>
    </xf>
    <xf numFmtId="167" fontId="49" fillId="39" borderId="2" xfId="0" applyNumberFormat="1" applyFont="1" applyFill="1" applyBorder="1" applyAlignment="1" applyProtection="1">
      <alignment horizontal="right"/>
      <protection hidden="1"/>
    </xf>
    <xf numFmtId="5" fontId="49" fillId="36" borderId="2" xfId="0" applyNumberFormat="1" applyFont="1" applyFill="1" applyBorder="1" applyAlignment="1" applyProtection="1">
      <alignment horizontal="right"/>
      <protection hidden="1"/>
    </xf>
    <xf numFmtId="5" fontId="49" fillId="32" borderId="2" xfId="0" applyNumberFormat="1" applyFont="1" applyFill="1" applyBorder="1" applyAlignment="1" applyProtection="1">
      <alignment horizontal="right"/>
      <protection hidden="1"/>
    </xf>
    <xf numFmtId="167" fontId="49" fillId="42" borderId="2" xfId="0" applyNumberFormat="1" applyFont="1" applyFill="1" applyBorder="1" applyAlignment="1" applyProtection="1">
      <alignment horizontal="right"/>
      <protection hidden="1"/>
    </xf>
    <xf numFmtId="0" fontId="132" fillId="80" borderId="80" xfId="0" applyFont="1" applyFill="1" applyBorder="1" applyAlignment="1">
      <alignment horizontal="center" vertical="center"/>
    </xf>
    <xf numFmtId="0" fontId="132" fillId="80" borderId="82" xfId="0" applyFont="1" applyFill="1" applyBorder="1" applyAlignment="1">
      <alignment horizontal="center" vertical="center"/>
    </xf>
    <xf numFmtId="0" fontId="132" fillId="80" borderId="7" xfId="0" applyFont="1" applyFill="1" applyBorder="1" applyAlignment="1">
      <alignment horizontal="center" vertical="center"/>
    </xf>
    <xf numFmtId="0" fontId="132" fillId="80" borderId="86" xfId="0" applyFont="1" applyFill="1" applyBorder="1" applyAlignment="1">
      <alignment horizontal="center" vertical="center"/>
    </xf>
    <xf numFmtId="0" fontId="39" fillId="15" borderId="3" xfId="0" applyFont="1" applyFill="1" applyBorder="1" applyAlignment="1">
      <alignment horizontal="left" vertical="center" wrapText="1"/>
    </xf>
    <xf numFmtId="0" fontId="39" fillId="15" borderId="8" xfId="0" applyFont="1" applyFill="1" applyBorder="1" applyAlignment="1">
      <alignment horizontal="left" vertical="center" wrapText="1"/>
    </xf>
    <xf numFmtId="0" fontId="38" fillId="15" borderId="87" xfId="0" applyFont="1" applyFill="1" applyBorder="1" applyAlignment="1">
      <alignment horizontal="left" vertical="center"/>
    </xf>
    <xf numFmtId="0" fontId="38" fillId="15" borderId="11" xfId="0" applyFont="1" applyFill="1" applyBorder="1" applyAlignment="1">
      <alignment horizontal="left" vertical="center"/>
    </xf>
    <xf numFmtId="0" fontId="38" fillId="15" borderId="4" xfId="0" applyFont="1" applyFill="1" applyBorder="1" applyAlignment="1">
      <alignment horizontal="left" vertical="center"/>
    </xf>
    <xf numFmtId="0" fontId="59" fillId="20" borderId="29" xfId="0" applyFont="1" applyFill="1" applyBorder="1" applyAlignment="1" applyProtection="1">
      <alignment horizontal="center"/>
    </xf>
    <xf numFmtId="0" fontId="59" fillId="20" borderId="31" xfId="0" applyFont="1" applyFill="1" applyBorder="1" applyAlignment="1" applyProtection="1">
      <alignment horizontal="center"/>
    </xf>
    <xf numFmtId="0" fontId="25" fillId="18" borderId="40" xfId="0" applyFont="1" applyFill="1" applyBorder="1" applyAlignment="1" applyProtection="1">
      <alignment horizontal="left" vertical="center" wrapText="1"/>
    </xf>
    <xf numFmtId="0" fontId="25" fillId="18" borderId="0" xfId="0" applyFont="1" applyFill="1" applyBorder="1" applyAlignment="1" applyProtection="1">
      <alignment horizontal="left" vertical="center" wrapText="1"/>
    </xf>
    <xf numFmtId="0" fontId="25" fillId="18" borderId="39" xfId="0" applyFont="1" applyFill="1" applyBorder="1" applyAlignment="1" applyProtection="1">
      <alignment horizontal="left" vertical="center" wrapText="1"/>
    </xf>
    <xf numFmtId="0" fontId="25" fillId="18" borderId="79" xfId="0" applyFont="1" applyFill="1" applyBorder="1" applyAlignment="1" applyProtection="1">
      <alignment horizontal="left" vertical="center" wrapText="1"/>
    </xf>
    <xf numFmtId="0" fontId="25" fillId="18" borderId="43" xfId="0" applyFont="1" applyFill="1" applyBorder="1" applyAlignment="1" applyProtection="1">
      <alignment horizontal="left" vertical="center" wrapText="1"/>
    </xf>
    <xf numFmtId="0" fontId="25" fillId="18" borderId="67" xfId="0" applyFont="1" applyFill="1" applyBorder="1" applyAlignment="1" applyProtection="1">
      <alignment horizontal="left" vertical="center" wrapText="1"/>
    </xf>
    <xf numFmtId="0" fontId="41" fillId="17" borderId="83" xfId="0" applyFont="1" applyFill="1" applyBorder="1" applyAlignment="1" applyProtection="1">
      <alignment horizontal="left" vertical="center" wrapText="1"/>
    </xf>
    <xf numFmtId="0" fontId="41" fillId="17" borderId="0" xfId="0" applyFont="1" applyFill="1" applyBorder="1" applyAlignment="1" applyProtection="1">
      <alignment horizontal="left" vertical="center" wrapText="1"/>
    </xf>
    <xf numFmtId="0" fontId="42" fillId="17" borderId="106" xfId="0" applyFont="1" applyFill="1" applyBorder="1" applyAlignment="1" applyProtection="1">
      <alignment horizontal="left" wrapText="1"/>
    </xf>
    <xf numFmtId="0" fontId="42" fillId="17" borderId="64" xfId="0" applyFont="1" applyFill="1" applyBorder="1" applyAlignment="1" applyProtection="1">
      <alignment horizontal="left" wrapText="1"/>
    </xf>
    <xf numFmtId="0" fontId="42" fillId="17" borderId="42" xfId="0" applyFont="1" applyFill="1" applyBorder="1" applyAlignment="1" applyProtection="1">
      <alignment horizontal="left" wrapText="1"/>
    </xf>
    <xf numFmtId="0" fontId="25" fillId="18" borderId="49" xfId="0" applyFont="1" applyFill="1" applyBorder="1" applyAlignment="1" applyProtection="1">
      <alignment horizontal="left" vertical="center" wrapText="1"/>
    </xf>
    <xf numFmtId="0" fontId="25" fillId="18" borderId="60" xfId="0" applyFont="1" applyFill="1" applyBorder="1" applyAlignment="1" applyProtection="1">
      <alignment horizontal="left" vertical="center" wrapText="1"/>
    </xf>
    <xf numFmtId="0" fontId="25" fillId="18" borderId="61" xfId="0" applyFont="1" applyFill="1" applyBorder="1" applyAlignment="1" applyProtection="1">
      <alignment horizontal="left" vertical="center" wrapText="1"/>
    </xf>
    <xf numFmtId="0" fontId="25" fillId="18" borderId="68" xfId="0" applyFont="1" applyFill="1" applyBorder="1" applyAlignment="1" applyProtection="1">
      <alignment horizontal="left" vertical="center" wrapText="1"/>
    </xf>
    <xf numFmtId="0" fontId="25" fillId="18" borderId="62" xfId="0" applyFont="1" applyFill="1" applyBorder="1" applyAlignment="1" applyProtection="1">
      <alignment horizontal="left" vertical="center" wrapText="1"/>
    </xf>
    <xf numFmtId="0" fontId="25" fillId="18" borderId="77" xfId="0" applyFont="1" applyFill="1" applyBorder="1" applyAlignment="1" applyProtection="1">
      <alignment horizontal="left" vertical="center" wrapText="1"/>
    </xf>
    <xf numFmtId="0" fontId="25" fillId="18" borderId="34" xfId="0" applyFont="1" applyFill="1" applyBorder="1" applyAlignment="1" applyProtection="1">
      <alignment horizontal="left" vertical="center" wrapText="1"/>
    </xf>
    <xf numFmtId="0" fontId="25" fillId="18" borderId="78" xfId="0" applyFont="1" applyFill="1" applyBorder="1" applyAlignment="1" applyProtection="1">
      <alignment horizontal="left" vertical="center" wrapText="1"/>
    </xf>
    <xf numFmtId="0" fontId="26" fillId="18" borderId="40" xfId="0" applyFont="1" applyFill="1" applyBorder="1" applyAlignment="1" applyProtection="1">
      <alignment horizontal="left" vertical="center" wrapText="1"/>
    </xf>
    <xf numFmtId="0" fontId="26" fillId="18" borderId="0" xfId="0" applyFont="1" applyFill="1" applyBorder="1" applyAlignment="1" applyProtection="1">
      <alignment horizontal="left" vertical="center" wrapText="1"/>
    </xf>
    <xf numFmtId="0" fontId="26" fillId="18" borderId="62" xfId="0" applyFont="1" applyFill="1" applyBorder="1" applyAlignment="1" applyProtection="1">
      <alignment horizontal="left" vertical="center" wrapText="1"/>
    </xf>
    <xf numFmtId="0" fontId="26" fillId="18" borderId="79" xfId="0" applyFont="1" applyFill="1" applyBorder="1" applyAlignment="1" applyProtection="1">
      <alignment horizontal="left" vertical="center" wrapText="1"/>
    </xf>
    <xf numFmtId="0" fontId="26" fillId="18" borderId="43" xfId="0" applyFont="1" applyFill="1" applyBorder="1" applyAlignment="1" applyProtection="1">
      <alignment horizontal="left" vertical="center" wrapText="1"/>
    </xf>
    <xf numFmtId="0" fontId="26" fillId="18" borderId="63" xfId="0" applyFont="1" applyFill="1" applyBorder="1" applyAlignment="1" applyProtection="1">
      <alignment horizontal="left" vertical="center" wrapText="1"/>
    </xf>
    <xf numFmtId="0" fontId="39" fillId="18" borderId="128" xfId="0" applyFont="1" applyFill="1" applyBorder="1" applyAlignment="1" applyProtection="1">
      <alignment horizontal="left" wrapText="1"/>
    </xf>
    <xf numFmtId="0" fontId="39" fillId="18" borderId="134" xfId="0" applyFont="1" applyFill="1" applyBorder="1" applyAlignment="1" applyProtection="1">
      <alignment horizontal="left" wrapText="1"/>
    </xf>
    <xf numFmtId="0" fontId="39" fillId="18" borderId="135" xfId="0" applyFont="1" applyFill="1" applyBorder="1" applyAlignment="1" applyProtection="1">
      <alignment horizontal="left" wrapText="1"/>
    </xf>
    <xf numFmtId="0" fontId="26" fillId="18" borderId="126" xfId="0" applyFont="1" applyFill="1" applyBorder="1" applyAlignment="1" applyProtection="1">
      <alignment horizontal="left" vertical="center" wrapText="1"/>
    </xf>
    <xf numFmtId="0" fontId="26" fillId="18" borderId="85" xfId="0" applyFont="1" applyFill="1" applyBorder="1" applyAlignment="1" applyProtection="1">
      <alignment horizontal="left" vertical="center" wrapText="1"/>
    </xf>
    <xf numFmtId="0" fontId="26" fillId="18" borderId="95" xfId="0" applyFont="1" applyFill="1" applyBorder="1" applyAlignment="1" applyProtection="1">
      <alignment horizontal="left" vertical="center" wrapText="1"/>
    </xf>
    <xf numFmtId="0" fontId="42" fillId="17" borderId="114" xfId="0" applyFont="1" applyFill="1" applyBorder="1" applyAlignment="1" applyProtection="1">
      <alignment horizontal="left" vertical="center" wrapText="1"/>
    </xf>
    <xf numFmtId="0" fontId="42" fillId="17" borderId="69" xfId="0" applyFont="1" applyFill="1" applyBorder="1" applyAlignment="1" applyProtection="1">
      <alignment horizontal="left" vertical="center" wrapText="1"/>
    </xf>
    <xf numFmtId="0" fontId="42" fillId="17" borderId="70" xfId="0" applyFont="1" applyFill="1" applyBorder="1" applyAlignment="1" applyProtection="1">
      <alignment horizontal="left" vertical="center" wrapText="1"/>
    </xf>
    <xf numFmtId="0" fontId="33" fillId="9" borderId="106" xfId="0" applyFont="1" applyFill="1" applyBorder="1" applyAlignment="1" applyProtection="1">
      <alignment horizontal="left" vertical="center" wrapText="1"/>
    </xf>
    <xf numFmtId="0" fontId="33" fillId="9" borderId="64" xfId="0" applyFont="1" applyFill="1" applyBorder="1" applyAlignment="1" applyProtection="1">
      <alignment horizontal="left" vertical="center" wrapText="1"/>
    </xf>
    <xf numFmtId="0" fontId="33" fillId="9" borderId="107" xfId="0" applyFont="1" applyFill="1" applyBorder="1" applyAlignment="1" applyProtection="1">
      <alignment horizontal="left" vertical="center" wrapText="1"/>
    </xf>
    <xf numFmtId="0" fontId="38" fillId="35" borderId="48" xfId="0" applyFont="1" applyFill="1" applyBorder="1" applyAlignment="1" applyProtection="1">
      <alignment horizontal="center"/>
    </xf>
    <xf numFmtId="0" fontId="38" fillId="35" borderId="107" xfId="0" applyFont="1" applyFill="1" applyBorder="1" applyAlignment="1" applyProtection="1">
      <alignment horizontal="center"/>
    </xf>
    <xf numFmtId="0" fontId="42" fillId="17" borderId="106" xfId="0" applyFont="1" applyFill="1" applyBorder="1" applyAlignment="1" applyProtection="1">
      <alignment horizontal="center" wrapText="1"/>
    </xf>
    <xf numFmtId="0" fontId="42" fillId="17" borderId="64" xfId="0" applyFont="1" applyFill="1" applyBorder="1" applyAlignment="1" applyProtection="1">
      <alignment horizontal="center" wrapText="1"/>
    </xf>
    <xf numFmtId="0" fontId="42" fillId="17" borderId="42" xfId="0" applyFont="1" applyFill="1" applyBorder="1" applyAlignment="1" applyProtection="1">
      <alignment horizontal="center" wrapText="1"/>
    </xf>
    <xf numFmtId="0" fontId="46" fillId="17" borderId="98" xfId="0" applyFont="1" applyFill="1" applyBorder="1" applyAlignment="1" applyProtection="1">
      <alignment horizontal="center" vertical="center" wrapText="1"/>
    </xf>
    <xf numFmtId="0" fontId="46" fillId="17" borderId="60" xfId="0" applyFont="1" applyFill="1" applyBorder="1" applyAlignment="1" applyProtection="1">
      <alignment horizontal="center" vertical="center" wrapText="1"/>
    </xf>
    <xf numFmtId="0" fontId="46" fillId="17" borderId="61" xfId="0" applyFont="1" applyFill="1" applyBorder="1" applyAlignment="1" applyProtection="1">
      <alignment horizontal="center" vertical="center" wrapText="1"/>
    </xf>
    <xf numFmtId="0" fontId="46" fillId="17" borderId="100" xfId="0" applyFont="1" applyFill="1" applyBorder="1" applyAlignment="1" applyProtection="1">
      <alignment horizontal="center" vertical="center" wrapText="1"/>
    </xf>
    <xf numFmtId="0" fontId="46" fillId="17" borderId="43" xfId="0" applyFont="1" applyFill="1" applyBorder="1" applyAlignment="1" applyProtection="1">
      <alignment horizontal="center" vertical="center" wrapText="1"/>
    </xf>
    <xf numFmtId="0" fontId="46" fillId="17" borderId="63" xfId="0" applyFont="1" applyFill="1" applyBorder="1" applyAlignment="1" applyProtection="1">
      <alignment horizontal="center" vertical="center" wrapText="1"/>
    </xf>
    <xf numFmtId="0" fontId="46" fillId="17" borderId="112" xfId="0" applyFont="1" applyFill="1" applyBorder="1" applyAlignment="1" applyProtection="1">
      <alignment horizontal="center" vertical="center" wrapText="1"/>
    </xf>
    <xf numFmtId="0" fontId="46" fillId="17" borderId="36" xfId="0" applyFont="1" applyFill="1" applyBorder="1" applyAlignment="1" applyProtection="1">
      <alignment horizontal="center" vertical="center" wrapText="1"/>
    </xf>
    <xf numFmtId="0" fontId="46" fillId="14" borderId="36" xfId="0" applyFont="1" applyFill="1" applyBorder="1" applyAlignment="1" applyProtection="1">
      <alignment horizontal="center" vertical="center" wrapText="1"/>
    </xf>
    <xf numFmtId="0" fontId="46" fillId="14" borderId="43" xfId="0" applyFont="1" applyFill="1" applyBorder="1" applyAlignment="1" applyProtection="1">
      <alignment horizontal="center" vertical="center" wrapText="1"/>
    </xf>
    <xf numFmtId="0" fontId="39" fillId="18" borderId="36" xfId="0" applyFont="1" applyFill="1" applyBorder="1" applyAlignment="1" applyProtection="1">
      <alignment horizontal="left" vertical="top" wrapText="1"/>
    </xf>
    <xf numFmtId="0" fontId="39" fillId="18" borderId="110" xfId="0" applyFont="1" applyFill="1" applyBorder="1" applyAlignment="1" applyProtection="1">
      <alignment horizontal="left" vertical="top" wrapText="1"/>
    </xf>
    <xf numFmtId="0" fontId="39" fillId="18" borderId="43" xfId="0" applyFont="1" applyFill="1" applyBorder="1" applyAlignment="1" applyProtection="1">
      <alignment horizontal="left" vertical="top" wrapText="1"/>
    </xf>
    <xf numFmtId="0" fontId="39" fillId="18" borderId="101" xfId="0" applyFont="1" applyFill="1" applyBorder="1" applyAlignment="1" applyProtection="1">
      <alignment horizontal="left" vertical="top" wrapText="1"/>
    </xf>
    <xf numFmtId="0" fontId="36" fillId="9" borderId="3" xfId="0" applyFont="1" applyFill="1" applyBorder="1" applyAlignment="1" applyProtection="1">
      <alignment horizontal="center" vertical="center"/>
    </xf>
    <xf numFmtId="0" fontId="36" fillId="9" borderId="25" xfId="0" applyFont="1" applyFill="1" applyBorder="1" applyAlignment="1" applyProtection="1">
      <alignment horizontal="center" vertical="center"/>
    </xf>
    <xf numFmtId="0" fontId="36" fillId="9" borderId="8" xfId="0" applyFont="1" applyFill="1" applyBorder="1" applyAlignment="1" applyProtection="1">
      <alignment horizontal="center" vertical="center"/>
    </xf>
    <xf numFmtId="0" fontId="89" fillId="37" borderId="3" xfId="4" applyFont="1" applyFill="1" applyBorder="1" applyAlignment="1" applyProtection="1">
      <alignment horizontal="center" vertical="center"/>
    </xf>
    <xf numFmtId="0" fontId="89" fillId="37" borderId="25" xfId="4" applyFont="1" applyFill="1" applyBorder="1" applyAlignment="1" applyProtection="1">
      <alignment horizontal="center" vertical="center"/>
    </xf>
    <xf numFmtId="0" fontId="89" fillId="37" borderId="8" xfId="4" applyFont="1" applyFill="1" applyBorder="1" applyAlignment="1" applyProtection="1">
      <alignment horizontal="center" vertical="center"/>
    </xf>
    <xf numFmtId="0" fontId="85" fillId="76" borderId="3" xfId="0" applyFont="1" applyFill="1" applyBorder="1" applyAlignment="1" applyProtection="1">
      <alignment horizontal="center" vertical="center"/>
    </xf>
    <xf numFmtId="0" fontId="85" fillId="76" borderId="25" xfId="0" applyFont="1" applyFill="1" applyBorder="1" applyAlignment="1" applyProtection="1">
      <alignment horizontal="center" vertical="center"/>
    </xf>
    <xf numFmtId="0" fontId="85" fillId="76" borderId="8" xfId="0" applyFont="1" applyFill="1" applyBorder="1" applyAlignment="1" applyProtection="1">
      <alignment horizontal="center" vertical="center"/>
    </xf>
    <xf numFmtId="0" fontId="42" fillId="17" borderId="106" xfId="0" applyFont="1" applyFill="1" applyBorder="1" applyAlignment="1" applyProtection="1">
      <alignment horizontal="left" vertical="center" wrapText="1"/>
    </xf>
    <xf numFmtId="0" fontId="42" fillId="17" borderId="64" xfId="0" applyFont="1" applyFill="1" applyBorder="1" applyAlignment="1" applyProtection="1">
      <alignment horizontal="left" vertical="center" wrapText="1"/>
    </xf>
    <xf numFmtId="0" fontId="42" fillId="17" borderId="42" xfId="0" applyFont="1" applyFill="1" applyBorder="1" applyAlignment="1" applyProtection="1">
      <alignment horizontal="left" vertical="center" wrapText="1"/>
    </xf>
    <xf numFmtId="0" fontId="39" fillId="36" borderId="106" xfId="0" applyFont="1" applyFill="1" applyBorder="1" applyAlignment="1" applyProtection="1">
      <alignment horizontal="left" wrapText="1"/>
    </xf>
    <xf numFmtId="0" fontId="39" fillId="36" borderId="64" xfId="0" applyFont="1" applyFill="1" applyBorder="1" applyAlignment="1" applyProtection="1">
      <alignment horizontal="left" wrapText="1"/>
    </xf>
    <xf numFmtId="0" fontId="39" fillId="36" borderId="42" xfId="0" applyFont="1" applyFill="1" applyBorder="1" applyAlignment="1" applyProtection="1">
      <alignment horizontal="left" wrapText="1"/>
    </xf>
    <xf numFmtId="0" fontId="39" fillId="32" borderId="114" xfId="0" applyFont="1" applyFill="1" applyBorder="1" applyAlignment="1" applyProtection="1">
      <alignment horizontal="left" wrapText="1"/>
    </xf>
    <xf numFmtId="0" fontId="39" fillId="32" borderId="69" xfId="0" applyFont="1" applyFill="1" applyBorder="1" applyAlignment="1" applyProtection="1">
      <alignment horizontal="left" wrapText="1"/>
    </xf>
    <xf numFmtId="0" fontId="39" fillId="32" borderId="70" xfId="0" applyFont="1" applyFill="1" applyBorder="1" applyAlignment="1" applyProtection="1">
      <alignment horizontal="left" wrapText="1"/>
    </xf>
    <xf numFmtId="0" fontId="8" fillId="18" borderId="49" xfId="0" applyFont="1" applyFill="1" applyBorder="1" applyAlignment="1" applyProtection="1">
      <alignment horizontal="left" vertical="center" wrapText="1"/>
    </xf>
    <xf numFmtId="0" fontId="8" fillId="18" borderId="60" xfId="0" applyFont="1" applyFill="1" applyBorder="1" applyAlignment="1" applyProtection="1">
      <alignment horizontal="left" vertical="center" wrapText="1"/>
    </xf>
    <xf numFmtId="0" fontId="8" fillId="18" borderId="61" xfId="0" applyFont="1" applyFill="1" applyBorder="1" applyAlignment="1" applyProtection="1">
      <alignment horizontal="left" vertical="center" wrapText="1"/>
    </xf>
    <xf numFmtId="0" fontId="8" fillId="18" borderId="47" xfId="0" applyFont="1" applyFill="1" applyBorder="1" applyAlignment="1" applyProtection="1">
      <alignment horizontal="left" vertical="center" wrapText="1"/>
    </xf>
    <xf numFmtId="0" fontId="8" fillId="18" borderId="43" xfId="0" applyFont="1" applyFill="1" applyBorder="1" applyAlignment="1" applyProtection="1">
      <alignment horizontal="left" vertical="center" wrapText="1"/>
    </xf>
    <xf numFmtId="0" fontId="8" fillId="18" borderId="63" xfId="0" applyFont="1" applyFill="1" applyBorder="1" applyAlignment="1" applyProtection="1">
      <alignment horizontal="left" vertical="center" wrapText="1"/>
    </xf>
    <xf numFmtId="0" fontId="25" fillId="18" borderId="48" xfId="0" applyFont="1" applyFill="1" applyBorder="1" applyAlignment="1" applyProtection="1">
      <alignment horizontal="left" vertical="center" wrapText="1"/>
    </xf>
    <xf numFmtId="0" fontId="25" fillId="18" borderId="64" xfId="0" applyFont="1" applyFill="1" applyBorder="1" applyAlignment="1" applyProtection="1">
      <alignment horizontal="left" vertical="center" wrapText="1"/>
    </xf>
    <xf numFmtId="0" fontId="25" fillId="18" borderId="42" xfId="0" applyFont="1" applyFill="1" applyBorder="1" applyAlignment="1" applyProtection="1">
      <alignment horizontal="left" vertical="center" wrapText="1"/>
    </xf>
    <xf numFmtId="0" fontId="39" fillId="17" borderId="106" xfId="0" applyFont="1" applyFill="1" applyBorder="1" applyAlignment="1" applyProtection="1">
      <alignment horizontal="left" vertical="center" wrapText="1"/>
    </xf>
    <xf numFmtId="0" fontId="39" fillId="17" borderId="64" xfId="0" applyFont="1" applyFill="1" applyBorder="1" applyAlignment="1" applyProtection="1">
      <alignment horizontal="left" vertical="center" wrapText="1"/>
    </xf>
    <xf numFmtId="0" fontId="39" fillId="17" borderId="42" xfId="0" applyFont="1" applyFill="1" applyBorder="1" applyAlignment="1" applyProtection="1">
      <alignment horizontal="left" vertical="center" wrapText="1"/>
    </xf>
    <xf numFmtId="0" fontId="42" fillId="17" borderId="105" xfId="0" applyFont="1" applyFill="1" applyBorder="1" applyAlignment="1" applyProtection="1">
      <alignment horizontal="left" vertical="center" wrapText="1"/>
    </xf>
    <xf numFmtId="0" fontId="42" fillId="17" borderId="72" xfId="0" applyFont="1" applyFill="1" applyBorder="1" applyAlignment="1" applyProtection="1">
      <alignment horizontal="left" vertical="center" wrapText="1"/>
    </xf>
    <xf numFmtId="0" fontId="42" fillId="17" borderId="73" xfId="0" applyFont="1" applyFill="1" applyBorder="1" applyAlignment="1" applyProtection="1">
      <alignment horizontal="left" vertical="center" wrapText="1"/>
    </xf>
    <xf numFmtId="0" fontId="33" fillId="9" borderId="98" xfId="0" applyFont="1" applyFill="1" applyBorder="1" applyAlignment="1" applyProtection="1">
      <alignment horizontal="left" vertical="center"/>
    </xf>
    <xf numFmtId="0" fontId="33" fillId="9" borderId="60" xfId="0" applyFont="1" applyFill="1" applyBorder="1" applyAlignment="1" applyProtection="1">
      <alignment horizontal="left" vertical="center"/>
    </xf>
    <xf numFmtId="0" fontId="33" fillId="9" borderId="99" xfId="0" applyFont="1" applyFill="1" applyBorder="1" applyAlignment="1" applyProtection="1">
      <alignment horizontal="left" vertical="center"/>
    </xf>
    <xf numFmtId="0" fontId="34" fillId="44" borderId="83" xfId="0" applyFont="1" applyFill="1" applyBorder="1" applyAlignment="1" applyProtection="1">
      <alignment horizontal="center" vertical="center" wrapText="1"/>
    </xf>
    <xf numFmtId="0" fontId="34" fillId="44" borderId="62" xfId="0" applyFont="1" applyFill="1" applyBorder="1" applyAlignment="1" applyProtection="1">
      <alignment horizontal="center" vertical="center" wrapText="1"/>
    </xf>
    <xf numFmtId="0" fontId="34" fillId="44" borderId="100" xfId="0" applyFont="1" applyFill="1" applyBorder="1" applyAlignment="1" applyProtection="1">
      <alignment horizontal="center" vertical="center" wrapText="1"/>
    </xf>
    <xf numFmtId="0" fontId="34" fillId="44" borderId="63" xfId="0" applyFont="1" applyFill="1" applyBorder="1" applyAlignment="1" applyProtection="1">
      <alignment horizontal="center" vertical="center" wrapText="1"/>
    </xf>
    <xf numFmtId="0" fontId="88" fillId="44" borderId="98" xfId="0" applyFont="1" applyFill="1" applyBorder="1" applyAlignment="1" applyProtection="1">
      <alignment horizontal="center" vertical="center"/>
    </xf>
    <xf numFmtId="0" fontId="88" fillId="44" borderId="61" xfId="0" applyFont="1" applyFill="1" applyBorder="1" applyAlignment="1" applyProtection="1">
      <alignment horizontal="center" vertical="center"/>
    </xf>
    <xf numFmtId="0" fontId="88" fillId="44" borderId="83" xfId="0" applyFont="1" applyFill="1" applyBorder="1" applyAlignment="1" applyProtection="1">
      <alignment horizontal="center" vertical="center"/>
    </xf>
    <xf numFmtId="0" fontId="88" fillId="44" borderId="62" xfId="0" applyFont="1" applyFill="1" applyBorder="1" applyAlignment="1" applyProtection="1">
      <alignment horizontal="center" vertical="center"/>
    </xf>
    <xf numFmtId="0" fontId="87" fillId="44" borderId="83" xfId="0" applyFont="1" applyFill="1" applyBorder="1" applyAlignment="1" applyProtection="1">
      <alignment horizontal="center" vertical="center" wrapText="1"/>
    </xf>
    <xf numFmtId="0" fontId="87" fillId="44" borderId="62" xfId="0" applyFont="1" applyFill="1" applyBorder="1" applyAlignment="1" applyProtection="1">
      <alignment horizontal="center" vertical="center" wrapText="1"/>
    </xf>
    <xf numFmtId="0" fontId="46" fillId="17" borderId="106" xfId="0" applyFont="1" applyFill="1" applyBorder="1" applyAlignment="1" applyProtection="1">
      <alignment horizontal="left"/>
    </xf>
    <xf numFmtId="0" fontId="46" fillId="17" borderId="64" xfId="0" applyFont="1" applyFill="1" applyBorder="1" applyAlignment="1" applyProtection="1">
      <alignment horizontal="left"/>
    </xf>
    <xf numFmtId="0" fontId="8" fillId="18" borderId="68" xfId="0" applyFont="1" applyFill="1" applyBorder="1" applyAlignment="1" applyProtection="1">
      <alignment horizontal="left" vertical="center" wrapText="1"/>
    </xf>
    <xf numFmtId="0" fontId="8" fillId="18" borderId="0" xfId="0" applyFont="1" applyFill="1" applyBorder="1" applyAlignment="1" applyProtection="1">
      <alignment horizontal="left" vertical="center" wrapText="1"/>
    </xf>
    <xf numFmtId="0" fontId="8" fillId="18" borderId="62" xfId="0" applyFont="1" applyFill="1" applyBorder="1" applyAlignment="1" applyProtection="1">
      <alignment horizontal="left" vertical="center" wrapText="1"/>
    </xf>
    <xf numFmtId="0" fontId="42" fillId="17" borderId="114" xfId="0" applyFont="1" applyFill="1" applyBorder="1" applyAlignment="1" applyProtection="1">
      <alignment horizontal="left" wrapText="1"/>
    </xf>
    <xf numFmtId="0" fontId="42" fillId="17" borderId="69" xfId="0" applyFont="1" applyFill="1" applyBorder="1" applyAlignment="1" applyProtection="1">
      <alignment horizontal="left" wrapText="1"/>
    </xf>
    <xf numFmtId="0" fontId="42" fillId="17" borderId="70" xfId="0" applyFont="1" applyFill="1" applyBorder="1" applyAlignment="1" applyProtection="1">
      <alignment horizontal="left" wrapText="1"/>
    </xf>
    <xf numFmtId="0" fontId="42" fillId="17" borderId="100" xfId="0" applyFont="1" applyFill="1" applyBorder="1" applyAlignment="1" applyProtection="1">
      <alignment horizontal="left" wrapText="1"/>
    </xf>
    <xf numFmtId="0" fontId="42" fillId="17" borderId="43" xfId="0" applyFont="1" applyFill="1" applyBorder="1" applyAlignment="1" applyProtection="1">
      <alignment horizontal="left" wrapText="1"/>
    </xf>
    <xf numFmtId="0" fontId="42" fillId="17" borderId="63" xfId="0" applyFont="1" applyFill="1" applyBorder="1" applyAlignment="1" applyProtection="1">
      <alignment horizontal="left" wrapText="1"/>
    </xf>
    <xf numFmtId="0" fontId="47" fillId="32" borderId="98" xfId="0" applyFont="1" applyFill="1" applyBorder="1" applyAlignment="1" applyProtection="1">
      <alignment horizontal="left" vertical="center" wrapText="1"/>
    </xf>
    <xf numFmtId="0" fontId="47" fillId="32" borderId="60" xfId="0" applyFont="1" applyFill="1" applyBorder="1" applyAlignment="1" applyProtection="1">
      <alignment horizontal="left" vertical="center" wrapText="1"/>
    </xf>
    <xf numFmtId="0" fontId="47" fillId="32" borderId="61" xfId="0" applyFont="1" applyFill="1" applyBorder="1" applyAlignment="1" applyProtection="1">
      <alignment horizontal="left" vertical="center" wrapText="1"/>
    </xf>
    <xf numFmtId="0" fontId="38" fillId="35" borderId="88" xfId="0" applyFont="1" applyFill="1" applyBorder="1" applyAlignment="1" applyProtection="1">
      <alignment horizontal="center" vertical="center"/>
    </xf>
    <xf numFmtId="0" fontId="38" fillId="35" borderId="117" xfId="0" applyFont="1" applyFill="1" applyBorder="1" applyAlignment="1" applyProtection="1">
      <alignment horizontal="center" vertical="center"/>
    </xf>
    <xf numFmtId="0" fontId="16" fillId="35" borderId="48" xfId="0" applyFont="1" applyFill="1" applyBorder="1" applyAlignment="1" applyProtection="1">
      <alignment horizontal="center" wrapText="1"/>
    </xf>
    <xf numFmtId="0" fontId="16" fillId="35" borderId="64" xfId="0" applyFont="1" applyFill="1" applyBorder="1" applyAlignment="1" applyProtection="1">
      <alignment horizontal="center" wrapText="1"/>
    </xf>
    <xf numFmtId="0" fontId="16" fillId="35" borderId="107" xfId="0" applyFont="1" applyFill="1" applyBorder="1" applyAlignment="1" applyProtection="1">
      <alignment horizontal="center" wrapText="1"/>
    </xf>
    <xf numFmtId="0" fontId="38" fillId="24" borderId="46" xfId="0" applyFont="1" applyFill="1" applyBorder="1" applyAlignment="1" applyProtection="1">
      <alignment horizontal="center" wrapText="1"/>
    </xf>
    <xf numFmtId="0" fontId="38" fillId="24" borderId="44" xfId="0" applyFont="1" applyFill="1" applyBorder="1" applyAlignment="1" applyProtection="1">
      <alignment horizontal="center" wrapText="1"/>
    </xf>
    <xf numFmtId="0" fontId="38" fillId="43" borderId="46" xfId="0" applyFont="1" applyFill="1" applyBorder="1" applyAlignment="1" applyProtection="1">
      <alignment horizontal="center" wrapText="1"/>
    </xf>
    <xf numFmtId="0" fontId="38" fillId="43" borderId="44" xfId="0" applyFont="1" applyFill="1" applyBorder="1" applyAlignment="1" applyProtection="1">
      <alignment horizontal="center" wrapText="1"/>
    </xf>
    <xf numFmtId="0" fontId="38" fillId="36" borderId="46" xfId="0" applyFont="1" applyFill="1" applyBorder="1" applyAlignment="1" applyProtection="1">
      <alignment horizontal="center" wrapText="1"/>
    </xf>
    <xf numFmtId="0" fontId="38" fillId="36" borderId="44" xfId="0" applyFont="1" applyFill="1" applyBorder="1" applyAlignment="1" applyProtection="1">
      <alignment horizontal="center" wrapText="1"/>
    </xf>
    <xf numFmtId="0" fontId="38" fillId="24" borderId="129" xfId="0" applyFont="1" applyFill="1" applyBorder="1" applyAlignment="1" applyProtection="1">
      <alignment horizontal="center" wrapText="1"/>
    </xf>
    <xf numFmtId="0" fontId="38" fillId="24" borderId="125" xfId="0" applyFont="1" applyFill="1" applyBorder="1" applyAlignment="1" applyProtection="1">
      <alignment horizontal="center" wrapText="1"/>
    </xf>
    <xf numFmtId="0" fontId="16" fillId="19" borderId="46" xfId="0" applyFont="1" applyFill="1" applyBorder="1" applyAlignment="1" applyProtection="1">
      <alignment horizontal="center" wrapText="1"/>
    </xf>
    <xf numFmtId="0" fontId="16" fillId="19" borderId="44" xfId="0" applyFont="1" applyFill="1" applyBorder="1" applyAlignment="1" applyProtection="1">
      <alignment horizontal="center" wrapText="1"/>
    </xf>
    <xf numFmtId="0" fontId="16" fillId="30" borderId="46" xfId="0" applyFont="1" applyFill="1" applyBorder="1" applyAlignment="1" applyProtection="1">
      <alignment horizontal="center" wrapText="1"/>
    </xf>
    <xf numFmtId="0" fontId="16" fillId="30" borderId="44" xfId="0" applyFont="1" applyFill="1" applyBorder="1" applyAlignment="1" applyProtection="1">
      <alignment horizontal="center" wrapText="1"/>
    </xf>
    <xf numFmtId="0" fontId="42" fillId="17" borderId="98" xfId="0" applyFont="1" applyFill="1" applyBorder="1" applyAlignment="1" applyProtection="1">
      <alignment horizontal="left"/>
    </xf>
    <xf numFmtId="0" fontId="42" fillId="17" borderId="60" xfId="0" applyFont="1" applyFill="1" applyBorder="1" applyAlignment="1" applyProtection="1">
      <alignment horizontal="left"/>
    </xf>
    <xf numFmtId="0" fontId="42" fillId="17" borderId="61" xfId="0" applyFont="1" applyFill="1" applyBorder="1" applyAlignment="1" applyProtection="1">
      <alignment horizontal="left"/>
    </xf>
    <xf numFmtId="0" fontId="43" fillId="17" borderId="112" xfId="0" applyFont="1" applyFill="1" applyBorder="1" applyAlignment="1" applyProtection="1">
      <alignment horizontal="left"/>
    </xf>
    <xf numFmtId="0" fontId="43" fillId="17" borderId="36" xfId="0" applyFont="1" applyFill="1" applyBorder="1" applyAlignment="1" applyProtection="1">
      <alignment horizontal="left"/>
    </xf>
    <xf numFmtId="0" fontId="43" fillId="17" borderId="38" xfId="0" applyFont="1" applyFill="1" applyBorder="1" applyAlignment="1" applyProtection="1">
      <alignment horizontal="left"/>
    </xf>
    <xf numFmtId="0" fontId="16" fillId="32" borderId="46" xfId="0" applyFont="1" applyFill="1" applyBorder="1" applyAlignment="1" applyProtection="1">
      <alignment horizontal="center" wrapText="1"/>
    </xf>
    <xf numFmtId="0" fontId="16" fillId="32" borderId="44" xfId="0" applyFont="1" applyFill="1" applyBorder="1" applyAlignment="1" applyProtection="1">
      <alignment horizontal="center" wrapText="1"/>
    </xf>
    <xf numFmtId="0" fontId="88" fillId="44" borderId="98" xfId="0" applyFont="1" applyFill="1" applyBorder="1" applyAlignment="1" applyProtection="1">
      <alignment horizontal="center"/>
    </xf>
    <xf numFmtId="0" fontId="88" fillId="44" borderId="61" xfId="0" applyFont="1" applyFill="1" applyBorder="1" applyAlignment="1" applyProtection="1">
      <alignment horizontal="center"/>
    </xf>
    <xf numFmtId="0" fontId="88" fillId="44" borderId="83" xfId="0" applyFont="1" applyFill="1" applyBorder="1" applyAlignment="1" applyProtection="1">
      <alignment horizontal="center"/>
    </xf>
    <xf numFmtId="0" fontId="88" fillId="44" borderId="62" xfId="0" applyFont="1" applyFill="1" applyBorder="1" applyAlignment="1" applyProtection="1">
      <alignment horizontal="center"/>
    </xf>
    <xf numFmtId="0" fontId="16" fillId="19" borderId="129" xfId="0" applyFont="1" applyFill="1" applyBorder="1" applyAlignment="1" applyProtection="1">
      <alignment horizontal="center" wrapText="1"/>
    </xf>
    <xf numFmtId="0" fontId="16" fillId="19" borderId="125" xfId="0" applyFont="1" applyFill="1" applyBorder="1" applyAlignment="1" applyProtection="1">
      <alignment horizontal="center" wrapText="1"/>
    </xf>
    <xf numFmtId="0" fontId="8" fillId="18" borderId="37" xfId="0" applyFont="1" applyFill="1" applyBorder="1" applyAlignment="1" applyProtection="1">
      <alignment horizontal="left" vertical="center" wrapText="1"/>
    </xf>
    <xf numFmtId="0" fontId="8" fillId="18" borderId="36" xfId="0" applyFont="1" applyFill="1" applyBorder="1" applyAlignment="1" applyProtection="1">
      <alignment horizontal="left" vertical="center" wrapText="1"/>
    </xf>
    <xf numFmtId="0" fontId="8" fillId="18" borderId="110" xfId="0" applyFont="1" applyFill="1" applyBorder="1" applyAlignment="1" applyProtection="1">
      <alignment horizontal="left" vertical="center" wrapText="1"/>
    </xf>
    <xf numFmtId="0" fontId="8" fillId="18" borderId="40" xfId="0" applyFont="1" applyFill="1" applyBorder="1" applyAlignment="1" applyProtection="1">
      <alignment horizontal="left" vertical="center" wrapText="1"/>
    </xf>
    <xf numFmtId="0" fontId="8" fillId="18" borderId="84" xfId="0" applyFont="1" applyFill="1" applyBorder="1" applyAlignment="1" applyProtection="1">
      <alignment horizontal="left" vertical="center" wrapText="1"/>
    </xf>
    <xf numFmtId="0" fontId="8" fillId="18" borderId="33" xfId="0" applyFont="1" applyFill="1" applyBorder="1" applyAlignment="1" applyProtection="1">
      <alignment horizontal="left" vertical="center" wrapText="1"/>
    </xf>
    <xf numFmtId="0" fontId="8" fillId="18" borderId="34" xfId="0" applyFont="1" applyFill="1" applyBorder="1" applyAlignment="1" applyProtection="1">
      <alignment horizontal="left" vertical="center" wrapText="1"/>
    </xf>
    <xf numFmtId="0" fontId="8" fillId="18" borderId="111" xfId="0" applyFont="1" applyFill="1" applyBorder="1" applyAlignment="1" applyProtection="1">
      <alignment horizontal="left" vertical="center" wrapText="1"/>
    </xf>
    <xf numFmtId="0" fontId="33" fillId="9" borderId="102" xfId="0" applyFont="1" applyFill="1" applyBorder="1" applyAlignment="1" applyProtection="1">
      <alignment horizontal="left" wrapText="1"/>
    </xf>
    <xf numFmtId="0" fontId="33" fillId="9" borderId="31" xfId="0" applyFont="1" applyFill="1" applyBorder="1" applyAlignment="1" applyProtection="1">
      <alignment horizontal="left" wrapText="1"/>
    </xf>
    <xf numFmtId="0" fontId="33" fillId="9" borderId="103" xfId="0" applyFont="1" applyFill="1" applyBorder="1" applyAlignment="1" applyProtection="1">
      <alignment horizontal="left" wrapText="1"/>
    </xf>
    <xf numFmtId="0" fontId="41" fillId="36" borderId="102" xfId="0" applyFont="1" applyFill="1" applyBorder="1" applyAlignment="1" applyProtection="1">
      <alignment horizontal="left"/>
    </xf>
    <xf numFmtId="0" fontId="41" fillId="36" borderId="31" xfId="0" applyFont="1" applyFill="1" applyBorder="1" applyAlignment="1" applyProtection="1">
      <alignment horizontal="left"/>
    </xf>
    <xf numFmtId="0" fontId="41" fillId="36" borderId="30" xfId="0" applyFont="1" applyFill="1" applyBorder="1" applyAlignment="1" applyProtection="1">
      <alignment horizontal="left"/>
    </xf>
    <xf numFmtId="0" fontId="42" fillId="17" borderId="102" xfId="0" applyFont="1" applyFill="1" applyBorder="1" applyAlignment="1" applyProtection="1">
      <alignment horizontal="center"/>
    </xf>
    <xf numFmtId="0" fontId="42" fillId="17" borderId="31" xfId="0" applyFont="1" applyFill="1" applyBorder="1" applyAlignment="1" applyProtection="1">
      <alignment horizontal="center"/>
    </xf>
    <xf numFmtId="0" fontId="42" fillId="17" borderId="30" xfId="0" applyFont="1" applyFill="1" applyBorder="1" applyAlignment="1" applyProtection="1">
      <alignment horizontal="center"/>
    </xf>
    <xf numFmtId="0" fontId="33" fillId="44" borderId="83" xfId="0" applyFont="1" applyFill="1" applyBorder="1" applyAlignment="1" applyProtection="1">
      <alignment horizontal="center" wrapText="1"/>
    </xf>
    <xf numFmtId="0" fontId="33" fillId="44" borderId="62" xfId="0" applyFont="1" applyFill="1" applyBorder="1" applyAlignment="1" applyProtection="1">
      <alignment horizontal="center" wrapText="1"/>
    </xf>
    <xf numFmtId="0" fontId="16" fillId="32" borderId="75" xfId="0" applyFont="1" applyFill="1" applyBorder="1" applyAlignment="1" applyProtection="1">
      <alignment horizontal="center" vertical="center"/>
    </xf>
    <xf numFmtId="0" fontId="16" fillId="32" borderId="44" xfId="0" applyFont="1" applyFill="1" applyBorder="1" applyAlignment="1" applyProtection="1">
      <alignment horizontal="center" vertical="center"/>
    </xf>
    <xf numFmtId="0" fontId="46" fillId="14" borderId="29" xfId="0" applyFont="1" applyFill="1" applyBorder="1" applyAlignment="1" applyProtection="1">
      <alignment horizontal="center"/>
      <protection locked="0"/>
    </xf>
    <xf numFmtId="0" fontId="46" fillId="14" borderId="30" xfId="0" applyFont="1" applyFill="1" applyBorder="1" applyAlignment="1" applyProtection="1">
      <alignment horizontal="center"/>
      <protection locked="0"/>
    </xf>
    <xf numFmtId="0" fontId="41" fillId="32" borderId="102" xfId="0" applyFont="1" applyFill="1" applyBorder="1" applyAlignment="1" applyProtection="1">
      <alignment horizontal="left"/>
    </xf>
    <xf numFmtId="0" fontId="41" fillId="32" borderId="31" xfId="0" applyFont="1" applyFill="1" applyBorder="1" applyAlignment="1" applyProtection="1">
      <alignment horizontal="left"/>
    </xf>
    <xf numFmtId="0" fontId="41" fillId="32" borderId="30" xfId="0" applyFont="1" applyFill="1" applyBorder="1" applyAlignment="1" applyProtection="1">
      <alignment horizontal="left"/>
    </xf>
    <xf numFmtId="0" fontId="43" fillId="17" borderId="102" xfId="0" applyFont="1" applyFill="1" applyBorder="1" applyAlignment="1" applyProtection="1">
      <alignment horizontal="left"/>
    </xf>
    <xf numFmtId="0" fontId="43" fillId="17" borderId="31" xfId="0" applyFont="1" applyFill="1" applyBorder="1" applyAlignment="1" applyProtection="1">
      <alignment horizontal="left"/>
    </xf>
    <xf numFmtId="0" fontId="43" fillId="17" borderId="30" xfId="0" applyFont="1" applyFill="1" applyBorder="1" applyAlignment="1" applyProtection="1">
      <alignment horizontal="left"/>
    </xf>
    <xf numFmtId="0" fontId="34" fillId="9" borderId="83" xfId="0" applyFont="1" applyFill="1" applyBorder="1" applyAlignment="1" applyProtection="1">
      <alignment horizontal="center" vertical="center" wrapText="1"/>
    </xf>
    <xf numFmtId="0" fontId="34" fillId="9" borderId="62" xfId="0" applyFont="1" applyFill="1" applyBorder="1" applyAlignment="1" applyProtection="1">
      <alignment horizontal="center" vertical="center" wrapText="1"/>
    </xf>
    <xf numFmtId="0" fontId="34" fillId="9" borderId="100" xfId="0" applyFont="1" applyFill="1" applyBorder="1" applyAlignment="1" applyProtection="1">
      <alignment horizontal="center" vertical="center" wrapText="1"/>
    </xf>
    <xf numFmtId="0" fontId="34" fillId="9" borderId="63" xfId="0" applyFont="1" applyFill="1" applyBorder="1" applyAlignment="1" applyProtection="1">
      <alignment horizontal="center" vertical="center" wrapText="1"/>
    </xf>
    <xf numFmtId="0" fontId="8" fillId="18" borderId="101" xfId="0" applyFont="1" applyFill="1" applyBorder="1" applyAlignment="1" applyProtection="1">
      <alignment horizontal="left" vertical="center" wrapText="1"/>
    </xf>
    <xf numFmtId="0" fontId="88" fillId="9" borderId="98" xfId="0" applyFont="1" applyFill="1" applyBorder="1" applyAlignment="1" applyProtection="1">
      <alignment horizontal="center"/>
    </xf>
    <xf numFmtId="0" fontId="88" fillId="9" borderId="61" xfId="0" applyFont="1" applyFill="1" applyBorder="1" applyAlignment="1" applyProtection="1">
      <alignment horizontal="center"/>
    </xf>
    <xf numFmtId="0" fontId="88" fillId="9" borderId="83" xfId="0" applyFont="1" applyFill="1" applyBorder="1" applyAlignment="1" applyProtection="1">
      <alignment horizontal="center"/>
    </xf>
    <xf numFmtId="0" fontId="88" fillId="9" borderId="62" xfId="0" applyFont="1" applyFill="1" applyBorder="1" applyAlignment="1" applyProtection="1">
      <alignment horizontal="center"/>
    </xf>
    <xf numFmtId="0" fontId="33" fillId="9" borderId="102" xfId="0" applyFont="1" applyFill="1" applyBorder="1" applyAlignment="1" applyProtection="1">
      <alignment horizontal="left" vertical="center"/>
    </xf>
    <xf numFmtId="0" fontId="33" fillId="9" borderId="31" xfId="0" applyFont="1" applyFill="1" applyBorder="1" applyAlignment="1" applyProtection="1">
      <alignment horizontal="left" vertical="center"/>
    </xf>
    <xf numFmtId="0" fontId="33" fillId="9" borderId="103" xfId="0" applyFont="1" applyFill="1" applyBorder="1" applyAlignment="1" applyProtection="1">
      <alignment horizontal="left" vertical="center"/>
    </xf>
    <xf numFmtId="0" fontId="46" fillId="0" borderId="29" xfId="0" applyFont="1" applyFill="1" applyBorder="1" applyAlignment="1" applyProtection="1">
      <alignment horizontal="center"/>
      <protection locked="0"/>
    </xf>
    <xf numFmtId="0" fontId="46" fillId="0" borderId="30" xfId="0" applyFont="1" applyFill="1" applyBorder="1" applyAlignment="1" applyProtection="1">
      <alignment horizontal="center"/>
      <protection locked="0"/>
    </xf>
    <xf numFmtId="0" fontId="47" fillId="36" borderId="98" xfId="0" applyFont="1" applyFill="1" applyBorder="1" applyAlignment="1" applyProtection="1">
      <alignment horizontal="left" vertical="center" wrapText="1"/>
    </xf>
    <xf numFmtId="0" fontId="47" fillId="36" borderId="60" xfId="0" applyFont="1" applyFill="1" applyBorder="1" applyAlignment="1" applyProtection="1">
      <alignment horizontal="left" vertical="center" wrapText="1"/>
    </xf>
    <xf numFmtId="0" fontId="47" fillId="36" borderId="61" xfId="0" applyFont="1" applyFill="1" applyBorder="1" applyAlignment="1" applyProtection="1">
      <alignment horizontal="left" vertical="center" wrapText="1"/>
    </xf>
    <xf numFmtId="0" fontId="25" fillId="18" borderId="47" xfId="0" applyFont="1" applyFill="1" applyBorder="1" applyAlignment="1" applyProtection="1">
      <alignment horizontal="left" vertical="center" wrapText="1"/>
    </xf>
    <xf numFmtId="0" fontId="25" fillId="18" borderId="63" xfId="0" applyFont="1" applyFill="1" applyBorder="1" applyAlignment="1" applyProtection="1">
      <alignment horizontal="left" vertical="center" wrapText="1"/>
    </xf>
    <xf numFmtId="0" fontId="15" fillId="18" borderId="68" xfId="0" applyFont="1" applyFill="1" applyBorder="1" applyAlignment="1" applyProtection="1">
      <alignment horizontal="left" vertical="center" wrapText="1"/>
    </xf>
    <xf numFmtId="0" fontId="15" fillId="18" borderId="0" xfId="0" applyFont="1" applyFill="1" applyBorder="1" applyAlignment="1" applyProtection="1">
      <alignment horizontal="left" vertical="center" wrapText="1"/>
    </xf>
    <xf numFmtId="0" fontId="15" fillId="18" borderId="62" xfId="0" applyFont="1" applyFill="1" applyBorder="1" applyAlignment="1" applyProtection="1">
      <alignment horizontal="left" vertical="center" wrapText="1"/>
    </xf>
    <xf numFmtId="0" fontId="15" fillId="18" borderId="47" xfId="0" applyFont="1" applyFill="1" applyBorder="1" applyAlignment="1" applyProtection="1">
      <alignment horizontal="left" vertical="center" wrapText="1"/>
    </xf>
    <xf numFmtId="0" fontId="15" fillId="18" borderId="43" xfId="0" applyFont="1" applyFill="1" applyBorder="1" applyAlignment="1" applyProtection="1">
      <alignment horizontal="left" vertical="center" wrapText="1"/>
    </xf>
    <xf numFmtId="0" fontId="15" fillId="18" borderId="63" xfId="0" applyFont="1" applyFill="1" applyBorder="1" applyAlignment="1" applyProtection="1">
      <alignment horizontal="left" vertical="center" wrapText="1"/>
    </xf>
    <xf numFmtId="0" fontId="88" fillId="9" borderId="98" xfId="0" applyFont="1" applyFill="1" applyBorder="1" applyAlignment="1" applyProtection="1">
      <alignment horizontal="center" vertical="center"/>
    </xf>
    <xf numFmtId="0" fontId="88" fillId="9" borderId="61" xfId="0" applyFont="1" applyFill="1" applyBorder="1" applyAlignment="1" applyProtection="1">
      <alignment horizontal="center" vertical="center"/>
    </xf>
    <xf numFmtId="0" fontId="88" fillId="9" borderId="83" xfId="0" applyFont="1" applyFill="1" applyBorder="1" applyAlignment="1" applyProtection="1">
      <alignment horizontal="center" vertical="center"/>
    </xf>
    <xf numFmtId="0" fontId="88" fillId="9" borderId="62" xfId="0" applyFont="1" applyFill="1" applyBorder="1" applyAlignment="1" applyProtection="1">
      <alignment horizontal="center" vertical="center"/>
    </xf>
    <xf numFmtId="0" fontId="87" fillId="9" borderId="83" xfId="0" applyFont="1" applyFill="1" applyBorder="1" applyAlignment="1" applyProtection="1">
      <alignment horizontal="center" vertical="center" wrapText="1"/>
    </xf>
    <xf numFmtId="0" fontId="87" fillId="9" borderId="62" xfId="0" applyFont="1" applyFill="1" applyBorder="1" applyAlignment="1" applyProtection="1">
      <alignment horizontal="center" vertical="center" wrapText="1"/>
    </xf>
    <xf numFmtId="0" fontId="41" fillId="14" borderId="37" xfId="0" applyFont="1" applyFill="1" applyBorder="1" applyAlignment="1" applyProtection="1">
      <alignment horizontal="center" vertical="center" wrapText="1"/>
      <protection locked="0"/>
    </xf>
    <xf numFmtId="0" fontId="41" fillId="14" borderId="66" xfId="0" applyFont="1" applyFill="1" applyBorder="1" applyAlignment="1" applyProtection="1">
      <alignment horizontal="center" vertical="center" wrapText="1"/>
      <protection locked="0"/>
    </xf>
    <xf numFmtId="0" fontId="41" fillId="14" borderId="79" xfId="0" applyFont="1" applyFill="1" applyBorder="1" applyAlignment="1" applyProtection="1">
      <alignment horizontal="center" vertical="center" wrapText="1"/>
      <protection locked="0"/>
    </xf>
    <xf numFmtId="0" fontId="41" fillId="14" borderId="63" xfId="0" applyFont="1" applyFill="1" applyBorder="1" applyAlignment="1" applyProtection="1">
      <alignment horizontal="center" vertical="center" wrapText="1"/>
      <protection locked="0"/>
    </xf>
    <xf numFmtId="0" fontId="41" fillId="18" borderId="112" xfId="0" applyFont="1" applyFill="1" applyBorder="1" applyAlignment="1" applyProtection="1">
      <alignment horizontal="center" vertical="center" wrapText="1"/>
    </xf>
    <xf numFmtId="0" fontId="41" fillId="18" borderId="36" xfId="0" applyFont="1" applyFill="1" applyBorder="1" applyAlignment="1" applyProtection="1">
      <alignment horizontal="center" vertical="center" wrapText="1"/>
    </xf>
    <xf numFmtId="0" fontId="41" fillId="18" borderId="38" xfId="0" applyFont="1" applyFill="1" applyBorder="1" applyAlignment="1" applyProtection="1">
      <alignment horizontal="center" vertical="center" wrapText="1"/>
    </xf>
    <xf numFmtId="0" fontId="41" fillId="18" borderId="113" xfId="0" applyFont="1" applyFill="1" applyBorder="1" applyAlignment="1" applyProtection="1">
      <alignment horizontal="center" vertical="center" wrapText="1"/>
    </xf>
    <xf numFmtId="0" fontId="41" fillId="18" borderId="34" xfId="0" applyFont="1" applyFill="1" applyBorder="1" applyAlignment="1" applyProtection="1">
      <alignment horizontal="center" vertical="center" wrapText="1"/>
    </xf>
    <xf numFmtId="0" fontId="41" fillId="18" borderId="27" xfId="0" applyFont="1" applyFill="1" applyBorder="1" applyAlignment="1" applyProtection="1">
      <alignment horizontal="center" vertical="center" wrapText="1"/>
    </xf>
    <xf numFmtId="0" fontId="41" fillId="18" borderId="83" xfId="0" applyFont="1" applyFill="1" applyBorder="1" applyAlignment="1" applyProtection="1">
      <alignment horizontal="center" vertical="center" wrapText="1"/>
    </xf>
    <xf numFmtId="0" fontId="41" fillId="18" borderId="0" xfId="0" applyFont="1" applyFill="1" applyBorder="1" applyAlignment="1" applyProtection="1">
      <alignment horizontal="center" vertical="center" wrapText="1"/>
    </xf>
    <xf numFmtId="0" fontId="41" fillId="18" borderId="39" xfId="0" applyFont="1" applyFill="1" applyBorder="1" applyAlignment="1" applyProtection="1">
      <alignment horizontal="center" vertical="center" wrapText="1"/>
    </xf>
    <xf numFmtId="0" fontId="41" fillId="18" borderId="100" xfId="0" applyFont="1" applyFill="1" applyBorder="1" applyAlignment="1" applyProtection="1">
      <alignment horizontal="center" vertical="center" wrapText="1"/>
    </xf>
    <xf numFmtId="0" fontId="41" fillId="18" borderId="43" xfId="0" applyFont="1" applyFill="1" applyBorder="1" applyAlignment="1" applyProtection="1">
      <alignment horizontal="center" vertical="center" wrapText="1"/>
    </xf>
    <xf numFmtId="0" fontId="41" fillId="18" borderId="67" xfId="0" applyFont="1" applyFill="1" applyBorder="1" applyAlignment="1" applyProtection="1">
      <alignment horizontal="center" vertical="center" wrapText="1"/>
    </xf>
    <xf numFmtId="0" fontId="16" fillId="36" borderId="75" xfId="0" applyFont="1" applyFill="1" applyBorder="1" applyAlignment="1" applyProtection="1">
      <alignment horizontal="center" vertical="center"/>
    </xf>
    <xf numFmtId="0" fontId="16" fillId="36" borderId="44" xfId="0" applyFont="1" applyFill="1" applyBorder="1" applyAlignment="1" applyProtection="1">
      <alignment horizontal="center" vertical="center"/>
    </xf>
    <xf numFmtId="0" fontId="57" fillId="17" borderId="105" xfId="0" applyFont="1" applyFill="1" applyBorder="1" applyAlignment="1" applyProtection="1">
      <alignment horizontal="left"/>
    </xf>
    <xf numFmtId="0" fontId="57" fillId="17" borderId="72" xfId="0" applyFont="1" applyFill="1" applyBorder="1" applyAlignment="1" applyProtection="1">
      <alignment horizontal="left"/>
    </xf>
    <xf numFmtId="0" fontId="57" fillId="17" borderId="73" xfId="0" applyFont="1" applyFill="1" applyBorder="1" applyAlignment="1" applyProtection="1">
      <alignment horizontal="left"/>
    </xf>
    <xf numFmtId="0" fontId="33" fillId="16" borderId="98" xfId="0" applyFont="1" applyFill="1" applyBorder="1" applyAlignment="1" applyProtection="1">
      <alignment horizontal="center" vertical="center" wrapText="1"/>
    </xf>
    <xf numFmtId="0" fontId="33" fillId="16" borderId="61" xfId="0" applyFont="1" applyFill="1" applyBorder="1" applyAlignment="1" applyProtection="1">
      <alignment horizontal="center" vertical="center" wrapText="1"/>
    </xf>
    <xf numFmtId="0" fontId="33" fillId="16" borderId="83" xfId="0" applyFont="1" applyFill="1" applyBorder="1" applyAlignment="1" applyProtection="1">
      <alignment horizontal="center" vertical="center" wrapText="1"/>
    </xf>
    <xf numFmtId="0" fontId="33" fillId="16" borderId="62" xfId="0" applyFont="1" applyFill="1" applyBorder="1" applyAlignment="1" applyProtection="1">
      <alignment horizontal="center" vertical="center" wrapText="1"/>
    </xf>
    <xf numFmtId="0" fontId="33" fillId="16" borderId="100" xfId="0" applyFont="1" applyFill="1" applyBorder="1" applyAlignment="1" applyProtection="1">
      <alignment horizontal="center" vertical="center" wrapText="1"/>
    </xf>
    <xf numFmtId="0" fontId="33" fillId="16" borderId="63" xfId="0" applyFont="1" applyFill="1" applyBorder="1" applyAlignment="1" applyProtection="1">
      <alignment horizontal="center" vertical="center" wrapText="1"/>
    </xf>
    <xf numFmtId="167" fontId="47" fillId="0" borderId="48" xfId="0" quotePrefix="1" applyNumberFormat="1" applyFont="1" applyFill="1" applyBorder="1" applyAlignment="1" applyProtection="1">
      <alignment horizontal="center" vertical="center"/>
      <protection locked="0"/>
    </xf>
    <xf numFmtId="167" fontId="47" fillId="0" borderId="42" xfId="0" quotePrefix="1" applyNumberFormat="1" applyFont="1" applyFill="1" applyBorder="1" applyAlignment="1" applyProtection="1">
      <alignment horizontal="center" vertical="center"/>
      <protection locked="0"/>
    </xf>
    <xf numFmtId="0" fontId="8" fillId="18" borderId="49" xfId="0" applyFont="1" applyFill="1" applyBorder="1" applyAlignment="1" applyProtection="1">
      <alignment horizontal="left" wrapText="1"/>
    </xf>
    <xf numFmtId="0" fontId="8" fillId="18" borderId="60" xfId="0" applyFont="1" applyFill="1" applyBorder="1" applyAlignment="1" applyProtection="1">
      <alignment horizontal="left" wrapText="1"/>
    </xf>
    <xf numFmtId="0" fontId="8" fillId="18" borderId="61" xfId="0" applyFont="1" applyFill="1" applyBorder="1" applyAlignment="1" applyProtection="1">
      <alignment horizontal="left" wrapText="1"/>
    </xf>
    <xf numFmtId="0" fontId="8" fillId="18" borderId="47" xfId="0" applyFont="1" applyFill="1" applyBorder="1" applyAlignment="1" applyProtection="1">
      <alignment horizontal="left" wrapText="1"/>
    </xf>
    <xf numFmtId="0" fontId="8" fillId="18" borderId="43" xfId="0" applyFont="1" applyFill="1" applyBorder="1" applyAlignment="1" applyProtection="1">
      <alignment horizontal="left" wrapText="1"/>
    </xf>
    <xf numFmtId="0" fontId="8" fillId="18" borderId="63" xfId="0" applyFont="1" applyFill="1" applyBorder="1" applyAlignment="1" applyProtection="1">
      <alignment horizontal="left" wrapText="1"/>
    </xf>
    <xf numFmtId="0" fontId="33" fillId="9" borderId="83" xfId="0" applyFont="1" applyFill="1" applyBorder="1" applyAlignment="1" applyProtection="1">
      <alignment horizontal="center" wrapText="1"/>
    </xf>
    <xf numFmtId="0" fontId="33" fillId="9" borderId="62" xfId="0" applyFont="1" applyFill="1" applyBorder="1" applyAlignment="1" applyProtection="1">
      <alignment horizontal="center" wrapText="1"/>
    </xf>
    <xf numFmtId="0" fontId="16" fillId="17" borderId="29" xfId="0" applyFont="1" applyFill="1" applyBorder="1" applyAlignment="1" applyProtection="1">
      <alignment horizontal="center" vertical="center" wrapText="1"/>
    </xf>
    <xf numFmtId="0" fontId="16" fillId="17" borderId="30" xfId="0" applyFont="1" applyFill="1" applyBorder="1" applyAlignment="1" applyProtection="1">
      <alignment horizontal="center" vertical="center" wrapText="1"/>
    </xf>
    <xf numFmtId="0" fontId="41" fillId="14" borderId="38" xfId="0" applyFont="1" applyFill="1" applyBorder="1" applyAlignment="1" applyProtection="1">
      <alignment horizontal="center" vertical="center" wrapText="1"/>
      <protection locked="0"/>
    </xf>
    <xf numFmtId="0" fontId="41" fillId="14" borderId="33" xfId="0" applyFont="1" applyFill="1" applyBorder="1" applyAlignment="1" applyProtection="1">
      <alignment horizontal="center" vertical="center" wrapText="1"/>
      <protection locked="0"/>
    </xf>
    <xf numFmtId="0" fontId="41" fillId="14" borderId="27" xfId="0" applyFont="1" applyFill="1" applyBorder="1" applyAlignment="1" applyProtection="1">
      <alignment horizontal="center" vertical="center" wrapText="1"/>
      <protection locked="0"/>
    </xf>
    <xf numFmtId="0" fontId="56" fillId="17" borderId="102" xfId="0" applyFont="1" applyFill="1" applyBorder="1" applyAlignment="1" applyProtection="1">
      <alignment horizontal="left" wrapText="1"/>
    </xf>
    <xf numFmtId="0" fontId="56" fillId="17" borderId="31" xfId="0" applyFont="1" applyFill="1" applyBorder="1" applyAlignment="1" applyProtection="1">
      <alignment horizontal="left" wrapText="1"/>
    </xf>
    <xf numFmtId="0" fontId="56" fillId="17" borderId="103" xfId="0" applyFont="1" applyFill="1" applyBorder="1" applyAlignment="1" applyProtection="1">
      <alignment horizontal="left" wrapText="1"/>
    </xf>
    <xf numFmtId="0" fontId="39" fillId="17" borderId="112" xfId="0" applyFont="1" applyFill="1" applyBorder="1" applyAlignment="1" applyProtection="1">
      <alignment horizontal="left" vertical="center" wrapText="1"/>
    </xf>
    <xf numFmtId="0" fontId="39" fillId="17" borderId="36" xfId="0" applyFont="1" applyFill="1" applyBorder="1" applyAlignment="1" applyProtection="1">
      <alignment horizontal="left" vertical="center" wrapText="1"/>
    </xf>
    <xf numFmtId="0" fontId="39" fillId="17" borderId="110" xfId="0" applyFont="1" applyFill="1" applyBorder="1" applyAlignment="1" applyProtection="1">
      <alignment horizontal="left" vertical="center" wrapText="1"/>
    </xf>
    <xf numFmtId="0" fontId="8" fillId="18" borderId="48" xfId="0" applyFont="1" applyFill="1" applyBorder="1" applyAlignment="1" applyProtection="1">
      <alignment horizontal="left" vertical="center" wrapText="1"/>
    </xf>
    <xf numFmtId="0" fontId="8" fillId="18" borderId="64" xfId="0" applyFont="1" applyFill="1" applyBorder="1" applyAlignment="1" applyProtection="1">
      <alignment horizontal="left" vertical="center" wrapText="1"/>
    </xf>
    <xf numFmtId="0" fontId="8" fillId="18" borderId="42" xfId="0" applyFont="1" applyFill="1" applyBorder="1" applyAlignment="1" applyProtection="1">
      <alignment horizontal="left" vertical="center" wrapText="1"/>
    </xf>
    <xf numFmtId="0" fontId="83" fillId="33" borderId="98" xfId="0" applyFont="1" applyFill="1" applyBorder="1" applyAlignment="1" applyProtection="1">
      <alignment horizontal="left" vertical="center" wrapText="1"/>
    </xf>
    <xf numFmtId="0" fontId="83" fillId="33" borderId="60" xfId="0" applyFont="1" applyFill="1" applyBorder="1" applyAlignment="1" applyProtection="1">
      <alignment horizontal="left" vertical="center" wrapText="1"/>
    </xf>
    <xf numFmtId="0" fontId="83" fillId="33" borderId="61" xfId="0" applyFont="1" applyFill="1" applyBorder="1" applyAlignment="1" applyProtection="1">
      <alignment horizontal="left" vertical="center" wrapText="1"/>
    </xf>
    <xf numFmtId="0" fontId="33" fillId="9" borderId="106" xfId="0" applyFont="1" applyFill="1" applyBorder="1" applyAlignment="1" applyProtection="1">
      <alignment horizontal="left" vertical="center"/>
    </xf>
    <xf numFmtId="0" fontId="33" fillId="9" borderId="64" xfId="0" applyFont="1" applyFill="1" applyBorder="1" applyAlignment="1" applyProtection="1">
      <alignment horizontal="left" vertical="center"/>
    </xf>
    <xf numFmtId="0" fontId="33" fillId="9" borderId="107" xfId="0" applyFont="1" applyFill="1" applyBorder="1" applyAlignment="1" applyProtection="1">
      <alignment horizontal="left" vertical="center"/>
    </xf>
    <xf numFmtId="0" fontId="89" fillId="37" borderId="80" xfId="4" applyFont="1" applyFill="1" applyBorder="1" applyAlignment="1" applyProtection="1">
      <alignment horizontal="center" vertical="center"/>
    </xf>
    <xf numFmtId="0" fontId="89" fillId="37" borderId="81" xfId="4" applyFont="1" applyFill="1" applyBorder="1" applyAlignment="1" applyProtection="1">
      <alignment horizontal="center" vertical="center"/>
    </xf>
    <xf numFmtId="0" fontId="89" fillId="37" borderId="82" xfId="4" applyFont="1" applyFill="1" applyBorder="1" applyAlignment="1" applyProtection="1">
      <alignment horizontal="center" vertical="center"/>
    </xf>
    <xf numFmtId="0" fontId="89" fillId="37" borderId="7" xfId="4" applyFont="1" applyFill="1" applyBorder="1" applyAlignment="1" applyProtection="1">
      <alignment horizontal="center" vertical="center"/>
    </xf>
    <xf numFmtId="0" fontId="89" fillId="37" borderId="85" xfId="4" applyFont="1" applyFill="1" applyBorder="1" applyAlignment="1" applyProtection="1">
      <alignment horizontal="center" vertical="center"/>
    </xf>
    <xf numFmtId="0" fontId="89" fillId="37" borderId="86" xfId="4" applyFont="1" applyFill="1" applyBorder="1" applyAlignment="1" applyProtection="1">
      <alignment horizontal="center" vertical="center"/>
    </xf>
    <xf numFmtId="0" fontId="49" fillId="18" borderId="106" xfId="0" applyFont="1" applyFill="1" applyBorder="1" applyAlignment="1" applyProtection="1">
      <alignment horizontal="left" vertical="center" wrapText="1"/>
    </xf>
    <xf numFmtId="0" fontId="49" fillId="18" borderId="64" xfId="0" applyFont="1" applyFill="1" applyBorder="1" applyAlignment="1" applyProtection="1">
      <alignment horizontal="left" vertical="center" wrapText="1"/>
    </xf>
    <xf numFmtId="0" fontId="49" fillId="18" borderId="42" xfId="0" applyFont="1" applyFill="1" applyBorder="1" applyAlignment="1" applyProtection="1">
      <alignment horizontal="left" vertical="center" wrapText="1"/>
    </xf>
    <xf numFmtId="0" fontId="95" fillId="44" borderId="118" xfId="0" applyFont="1" applyFill="1" applyBorder="1" applyAlignment="1" applyProtection="1">
      <alignment horizontal="center" vertical="center" wrapText="1"/>
    </xf>
    <xf numFmtId="0" fontId="95" fillId="44" borderId="132" xfId="0" applyFont="1" applyFill="1" applyBorder="1" applyAlignment="1" applyProtection="1">
      <alignment horizontal="center" vertical="center" wrapText="1"/>
    </xf>
    <xf numFmtId="0" fontId="95" fillId="44" borderId="133" xfId="0" applyFont="1" applyFill="1" applyBorder="1" applyAlignment="1" applyProtection="1">
      <alignment horizontal="center" vertical="center" wrapText="1"/>
    </xf>
    <xf numFmtId="0" fontId="95" fillId="9" borderId="131" xfId="0" applyFont="1" applyFill="1" applyBorder="1" applyAlignment="1" applyProtection="1">
      <alignment horizontal="center" vertical="center" wrapText="1"/>
    </xf>
    <xf numFmtId="0" fontId="95" fillId="9" borderId="132" xfId="0" applyFont="1" applyFill="1" applyBorder="1" applyAlignment="1" applyProtection="1">
      <alignment horizontal="center" vertical="center" wrapText="1"/>
    </xf>
    <xf numFmtId="0" fontId="49" fillId="14" borderId="80" xfId="0" applyFont="1" applyFill="1" applyBorder="1" applyAlignment="1" applyProtection="1">
      <alignment horizontal="left" vertical="center" wrapText="1"/>
      <protection hidden="1"/>
    </xf>
    <xf numFmtId="0" fontId="49" fillId="14" borderId="81" xfId="0" applyFont="1" applyFill="1" applyBorder="1" applyAlignment="1" applyProtection="1">
      <alignment horizontal="left" vertical="center" wrapText="1"/>
      <protection hidden="1"/>
    </xf>
    <xf numFmtId="0" fontId="49" fillId="14" borderId="82" xfId="0" applyFont="1" applyFill="1" applyBorder="1" applyAlignment="1" applyProtection="1">
      <alignment horizontal="left" vertical="center" wrapText="1"/>
      <protection hidden="1"/>
    </xf>
    <xf numFmtId="0" fontId="49" fillId="14" borderId="83" xfId="0" applyFont="1" applyFill="1" applyBorder="1" applyAlignment="1" applyProtection="1">
      <alignment horizontal="left" vertical="center" wrapText="1"/>
      <protection hidden="1"/>
    </xf>
    <xf numFmtId="0" fontId="49" fillId="14" borderId="0" xfId="0" applyFont="1" applyFill="1" applyBorder="1" applyAlignment="1" applyProtection="1">
      <alignment horizontal="left" vertical="center" wrapText="1"/>
      <protection hidden="1"/>
    </xf>
    <xf numFmtId="0" fontId="49" fillId="14" borderId="84" xfId="0" applyFont="1" applyFill="1" applyBorder="1" applyAlignment="1" applyProtection="1">
      <alignment horizontal="left" vertical="center" wrapText="1"/>
      <protection hidden="1"/>
    </xf>
    <xf numFmtId="0" fontId="49" fillId="14" borderId="7" xfId="0" applyFont="1" applyFill="1" applyBorder="1" applyAlignment="1" applyProtection="1">
      <alignment horizontal="left" vertical="center" wrapText="1"/>
      <protection hidden="1"/>
    </xf>
    <xf numFmtId="0" fontId="49" fillId="14" borderId="85" xfId="0" applyFont="1" applyFill="1" applyBorder="1" applyAlignment="1" applyProtection="1">
      <alignment horizontal="left" vertical="center" wrapText="1"/>
      <protection hidden="1"/>
    </xf>
    <xf numFmtId="0" fontId="49" fillId="14" borderId="86" xfId="0" applyFont="1" applyFill="1" applyBorder="1" applyAlignment="1" applyProtection="1">
      <alignment horizontal="left" vertical="center" wrapText="1"/>
      <protection hidden="1"/>
    </xf>
    <xf numFmtId="0" fontId="36" fillId="9" borderId="3" xfId="0" applyFont="1" applyFill="1" applyBorder="1" applyAlignment="1" applyProtection="1">
      <alignment horizontal="center" vertical="center"/>
      <protection hidden="1"/>
    </xf>
    <xf numFmtId="0" fontId="36" fillId="9" borderId="25" xfId="0" applyFont="1" applyFill="1" applyBorder="1" applyAlignment="1" applyProtection="1">
      <alignment horizontal="center" vertical="center"/>
      <protection hidden="1"/>
    </xf>
    <xf numFmtId="0" fontId="36" fillId="9" borderId="8" xfId="0" applyFont="1" applyFill="1" applyBorder="1" applyAlignment="1" applyProtection="1">
      <alignment horizontal="center" vertical="center"/>
      <protection hidden="1"/>
    </xf>
    <xf numFmtId="0" fontId="108" fillId="78" borderId="3" xfId="0" applyFont="1" applyFill="1" applyBorder="1" applyAlignment="1" applyProtection="1">
      <alignment horizontal="center"/>
      <protection hidden="1"/>
    </xf>
    <xf numFmtId="0" fontId="108" fillId="78" borderId="25" xfId="0" applyFont="1" applyFill="1" applyBorder="1" applyAlignment="1" applyProtection="1">
      <alignment horizontal="center"/>
      <protection hidden="1"/>
    </xf>
    <xf numFmtId="0" fontId="108" fillId="78" borderId="8" xfId="0" applyFont="1" applyFill="1" applyBorder="1" applyAlignment="1" applyProtection="1">
      <alignment horizontal="center"/>
      <protection hidden="1"/>
    </xf>
    <xf numFmtId="0" fontId="104" fillId="78" borderId="3" xfId="0" applyFont="1" applyFill="1" applyBorder="1" applyAlignment="1" applyProtection="1">
      <alignment horizontal="center"/>
      <protection hidden="1"/>
    </xf>
    <xf numFmtId="0" fontId="104" fillId="78" borderId="25" xfId="0" applyFont="1" applyFill="1" applyBorder="1" applyAlignment="1" applyProtection="1">
      <alignment horizontal="center"/>
      <protection hidden="1"/>
    </xf>
    <xf numFmtId="0" fontId="104" fillId="78" borderId="8" xfId="0" applyFont="1" applyFill="1" applyBorder="1" applyAlignment="1" applyProtection="1">
      <alignment horizontal="center"/>
      <protection hidden="1"/>
    </xf>
    <xf numFmtId="0" fontId="38" fillId="29" borderId="2" xfId="0" applyFont="1" applyFill="1" applyBorder="1" applyAlignment="1" applyProtection="1">
      <alignment horizontal="left" wrapText="1"/>
      <protection hidden="1"/>
    </xf>
    <xf numFmtId="0" fontId="49" fillId="14" borderId="3" xfId="0" applyFont="1" applyFill="1" applyBorder="1" applyAlignment="1" applyProtection="1">
      <alignment horizontal="left" wrapText="1"/>
      <protection hidden="1"/>
    </xf>
    <xf numFmtId="0" fontId="49" fillId="14" borderId="25" xfId="0" applyFont="1" applyFill="1" applyBorder="1" applyAlignment="1" applyProtection="1">
      <alignment horizontal="left" wrapText="1"/>
      <protection hidden="1"/>
    </xf>
    <xf numFmtId="0" fontId="49" fillId="14" borderId="8" xfId="0" applyFont="1" applyFill="1" applyBorder="1" applyAlignment="1" applyProtection="1">
      <alignment horizontal="left" wrapText="1"/>
      <protection hidden="1"/>
    </xf>
    <xf numFmtId="0" fontId="38" fillId="29" borderId="3" xfId="0" applyFont="1" applyFill="1" applyBorder="1" applyAlignment="1" applyProtection="1">
      <alignment horizontal="center"/>
      <protection hidden="1"/>
    </xf>
    <xf numFmtId="0" fontId="38" fillId="29" borderId="25" xfId="0" applyFont="1" applyFill="1" applyBorder="1" applyAlignment="1" applyProtection="1">
      <alignment horizontal="center"/>
      <protection hidden="1"/>
    </xf>
    <xf numFmtId="0" fontId="38" fillId="29" borderId="8" xfId="0" applyFont="1" applyFill="1" applyBorder="1" applyAlignment="1" applyProtection="1">
      <alignment horizontal="center"/>
      <protection hidden="1"/>
    </xf>
    <xf numFmtId="0" fontId="87" fillId="77" borderId="87" xfId="0" applyNumberFormat="1" applyFont="1" applyFill="1" applyBorder="1" applyAlignment="1" applyProtection="1">
      <alignment horizontal="center" vertical="center" wrapText="1"/>
      <protection hidden="1"/>
    </xf>
    <xf numFmtId="0" fontId="87" fillId="77" borderId="11" xfId="0" applyNumberFormat="1" applyFont="1" applyFill="1" applyBorder="1" applyAlignment="1" applyProtection="1">
      <alignment horizontal="center" vertical="center" wrapText="1"/>
      <protection hidden="1"/>
    </xf>
    <xf numFmtId="0" fontId="87" fillId="77" borderId="4" xfId="0" applyNumberFormat="1" applyFont="1" applyFill="1" applyBorder="1" applyAlignment="1" applyProtection="1">
      <alignment horizontal="center" vertical="center" wrapText="1"/>
      <protection hidden="1"/>
    </xf>
    <xf numFmtId="0" fontId="38" fillId="29" borderId="3" xfId="0" applyFont="1" applyFill="1" applyBorder="1" applyAlignment="1" applyProtection="1">
      <alignment horizontal="left" wrapText="1"/>
      <protection hidden="1"/>
    </xf>
    <xf numFmtId="0" fontId="38" fillId="29" borderId="25" xfId="0" applyFont="1" applyFill="1" applyBorder="1" applyAlignment="1" applyProtection="1">
      <alignment horizontal="left" wrapText="1"/>
      <protection hidden="1"/>
    </xf>
    <xf numFmtId="0" fontId="38" fillId="29" borderId="8" xfId="0" applyFont="1" applyFill="1" applyBorder="1" applyAlignment="1" applyProtection="1">
      <alignment horizontal="left" wrapText="1"/>
      <protection hidden="1"/>
    </xf>
    <xf numFmtId="0" fontId="87" fillId="77" borderId="83" xfId="0" applyFont="1" applyFill="1" applyBorder="1" applyAlignment="1" applyProtection="1">
      <alignment horizontal="center" vertical="center" wrapText="1"/>
      <protection hidden="1"/>
    </xf>
    <xf numFmtId="0" fontId="38" fillId="15" borderId="2" xfId="0" applyFont="1" applyFill="1" applyBorder="1" applyAlignment="1" applyProtection="1">
      <alignment horizontal="center" vertical="center" wrapText="1"/>
      <protection hidden="1"/>
    </xf>
    <xf numFmtId="0" fontId="34" fillId="77" borderId="83" xfId="0" applyFont="1" applyFill="1" applyBorder="1" applyAlignment="1" applyProtection="1">
      <alignment horizontal="center" vertical="center" wrapText="1"/>
      <protection hidden="1"/>
    </xf>
    <xf numFmtId="0" fontId="36" fillId="9" borderId="80" xfId="0" applyFont="1" applyFill="1" applyBorder="1" applyAlignment="1" applyProtection="1">
      <alignment horizontal="center" vertical="center"/>
      <protection hidden="1"/>
    </xf>
    <xf numFmtId="0" fontId="36" fillId="9" borderId="81" xfId="0" applyFont="1" applyFill="1" applyBorder="1" applyAlignment="1" applyProtection="1">
      <alignment horizontal="center" vertical="center"/>
      <protection hidden="1"/>
    </xf>
    <xf numFmtId="0" fontId="36" fillId="9" borderId="82" xfId="0" applyFont="1" applyFill="1" applyBorder="1" applyAlignment="1" applyProtection="1">
      <alignment horizontal="center" vertical="center"/>
      <protection hidden="1"/>
    </xf>
    <xf numFmtId="0" fontId="39" fillId="14" borderId="3" xfId="0" applyFont="1" applyFill="1" applyBorder="1" applyAlignment="1" applyProtection="1">
      <alignment horizontal="left" vertical="center" wrapText="1"/>
      <protection hidden="1"/>
    </xf>
    <xf numFmtId="0" fontId="39" fillId="14" borderId="25" xfId="0" applyFont="1" applyFill="1" applyBorder="1" applyAlignment="1" applyProtection="1">
      <alignment horizontal="left" vertical="center" wrapText="1"/>
      <protection hidden="1"/>
    </xf>
    <xf numFmtId="0" fontId="39" fillId="14" borderId="8" xfId="0" applyFont="1" applyFill="1" applyBorder="1" applyAlignment="1" applyProtection="1">
      <alignment horizontal="left" vertical="center" wrapText="1"/>
      <protection hidden="1"/>
    </xf>
    <xf numFmtId="0" fontId="87" fillId="77" borderId="7" xfId="0" applyFont="1" applyFill="1" applyBorder="1" applyAlignment="1" applyProtection="1">
      <alignment horizontal="center" vertical="center" wrapText="1"/>
      <protection hidden="1"/>
    </xf>
    <xf numFmtId="0" fontId="39" fillId="14" borderId="80" xfId="0" applyFont="1" applyFill="1" applyBorder="1" applyAlignment="1" applyProtection="1">
      <alignment horizontal="left" vertical="center" wrapText="1"/>
      <protection hidden="1"/>
    </xf>
    <xf numFmtId="0" fontId="39" fillId="14" borderId="81" xfId="0" applyFont="1" applyFill="1" applyBorder="1" applyAlignment="1" applyProtection="1">
      <alignment horizontal="left" vertical="center" wrapText="1"/>
      <protection hidden="1"/>
    </xf>
    <xf numFmtId="0" fontId="39" fillId="14" borderId="82" xfId="0" applyFont="1" applyFill="1" applyBorder="1" applyAlignment="1" applyProtection="1">
      <alignment horizontal="left" vertical="center" wrapText="1"/>
      <protection hidden="1"/>
    </xf>
    <xf numFmtId="0" fontId="39" fillId="14" borderId="83" xfId="0" applyFont="1" applyFill="1" applyBorder="1" applyAlignment="1" applyProtection="1">
      <alignment horizontal="left" vertical="center" wrapText="1"/>
      <protection hidden="1"/>
    </xf>
    <xf numFmtId="0" fontId="39" fillId="14" borderId="0" xfId="0" applyFont="1" applyFill="1" applyBorder="1" applyAlignment="1" applyProtection="1">
      <alignment horizontal="left" vertical="center" wrapText="1"/>
      <protection hidden="1"/>
    </xf>
    <xf numFmtId="0" fontId="39" fillId="14" borderId="84" xfId="0" applyFont="1" applyFill="1" applyBorder="1" applyAlignment="1" applyProtection="1">
      <alignment horizontal="left" vertical="center" wrapText="1"/>
      <protection hidden="1"/>
    </xf>
    <xf numFmtId="0" fontId="21" fillId="28" borderId="29" xfId="1" applyFont="1" applyFill="1" applyBorder="1" applyAlignment="1" applyProtection="1">
      <alignment horizontal="left"/>
    </xf>
    <xf numFmtId="0" fontId="21" fillId="28" borderId="31" xfId="1" applyFont="1" applyFill="1" applyBorder="1" applyAlignment="1" applyProtection="1">
      <alignment horizontal="left"/>
    </xf>
    <xf numFmtId="0" fontId="21" fillId="28" borderId="30" xfId="1" applyFont="1" applyFill="1" applyBorder="1" applyAlignment="1" applyProtection="1">
      <alignment horizontal="left"/>
    </xf>
    <xf numFmtId="0" fontId="36" fillId="11" borderId="3" xfId="0" applyFont="1" applyFill="1" applyBorder="1" applyAlignment="1" applyProtection="1">
      <alignment horizontal="center" vertical="center"/>
    </xf>
    <xf numFmtId="0" fontId="36" fillId="11" borderId="25" xfId="0" applyFont="1" applyFill="1" applyBorder="1" applyAlignment="1" applyProtection="1">
      <alignment horizontal="center" vertical="center"/>
    </xf>
    <xf numFmtId="0" fontId="36" fillId="11" borderId="8" xfId="0" applyFont="1" applyFill="1" applyBorder="1" applyAlignment="1" applyProtection="1">
      <alignment horizontal="center" vertical="center"/>
    </xf>
    <xf numFmtId="0" fontId="25" fillId="28" borderId="37" xfId="1" applyFont="1" applyFill="1" applyBorder="1" applyAlignment="1" applyProtection="1">
      <alignment horizontal="left" vertical="center" wrapText="1"/>
    </xf>
    <xf numFmtId="0" fontId="25" fillId="28" borderId="36" xfId="1" applyFont="1" applyFill="1" applyBorder="1" applyAlignment="1" applyProtection="1">
      <alignment horizontal="left" vertical="center" wrapText="1"/>
    </xf>
    <xf numFmtId="0" fontId="25" fillId="28" borderId="40" xfId="1" applyFont="1" applyFill="1" applyBorder="1" applyAlignment="1" applyProtection="1">
      <alignment horizontal="left" vertical="center" wrapText="1"/>
    </xf>
    <xf numFmtId="0" fontId="25" fillId="28" borderId="0" xfId="1" applyFont="1" applyFill="1" applyBorder="1" applyAlignment="1" applyProtection="1">
      <alignment horizontal="left" vertical="center" wrapText="1"/>
    </xf>
    <xf numFmtId="0" fontId="25" fillId="28" borderId="33" xfId="1" applyFont="1" applyFill="1" applyBorder="1" applyAlignment="1" applyProtection="1">
      <alignment horizontal="left" vertical="center" wrapText="1"/>
    </xf>
    <xf numFmtId="0" fontId="25" fillId="28" borderId="34" xfId="1" applyFont="1" applyFill="1" applyBorder="1" applyAlignment="1" applyProtection="1">
      <alignment horizontal="left" vertical="center" wrapText="1"/>
    </xf>
    <xf numFmtId="0" fontId="38" fillId="46" borderId="74" xfId="0" applyFont="1" applyFill="1" applyBorder="1" applyAlignment="1" applyProtection="1">
      <alignment horizontal="left" vertical="center"/>
    </xf>
    <xf numFmtId="0" fontId="38" fillId="46" borderId="69" xfId="0" applyFont="1" applyFill="1" applyBorder="1" applyAlignment="1" applyProtection="1">
      <alignment horizontal="left" vertical="center"/>
    </xf>
    <xf numFmtId="0" fontId="38" fillId="46" borderId="70" xfId="0" applyFont="1" applyFill="1" applyBorder="1" applyAlignment="1" applyProtection="1">
      <alignment horizontal="left" vertical="center"/>
    </xf>
    <xf numFmtId="0" fontId="42" fillId="37" borderId="106" xfId="0" applyFont="1" applyFill="1" applyBorder="1" applyAlignment="1" applyProtection="1">
      <alignment horizontal="left" vertical="center" wrapText="1"/>
    </xf>
    <xf numFmtId="0" fontId="42" fillId="37" borderId="64" xfId="0" applyFont="1" applyFill="1" applyBorder="1" applyAlignment="1" applyProtection="1">
      <alignment horizontal="left" vertical="center" wrapText="1"/>
    </xf>
    <xf numFmtId="0" fontId="42" fillId="37" borderId="42" xfId="0" applyFont="1" applyFill="1" applyBorder="1" applyAlignment="1" applyProtection="1">
      <alignment horizontal="left" vertical="center" wrapText="1"/>
    </xf>
    <xf numFmtId="0" fontId="116" fillId="39" borderId="83" xfId="0" applyFont="1" applyFill="1" applyBorder="1" applyAlignment="1" applyProtection="1">
      <alignment horizontal="left" vertical="center" wrapText="1"/>
    </xf>
    <xf numFmtId="0" fontId="116" fillId="39" borderId="0" xfId="0" applyFont="1" applyFill="1" applyBorder="1" applyAlignment="1" applyProtection="1">
      <alignment horizontal="left" vertical="center" wrapText="1"/>
    </xf>
    <xf numFmtId="0" fontId="49" fillId="39" borderId="105" xfId="1" applyFont="1" applyFill="1" applyBorder="1" applyAlignment="1" applyProtection="1">
      <alignment horizontal="left" vertical="center" wrapText="1"/>
    </xf>
    <xf numFmtId="0" fontId="49" fillId="39" borderId="72" xfId="1" applyFont="1" applyFill="1" applyBorder="1" applyAlignment="1" applyProtection="1">
      <alignment horizontal="left" vertical="center" wrapText="1"/>
    </xf>
    <xf numFmtId="0" fontId="49" fillId="39" borderId="89" xfId="1" applyFont="1" applyFill="1" applyBorder="1" applyAlignment="1" applyProtection="1">
      <alignment horizontal="left" vertical="center" wrapText="1"/>
    </xf>
    <xf numFmtId="0" fontId="41" fillId="39" borderId="102" xfId="0" applyFont="1" applyFill="1" applyBorder="1" applyAlignment="1" applyProtection="1">
      <alignment horizontal="left"/>
    </xf>
    <xf numFmtId="0" fontId="41" fillId="39" borderId="31" xfId="0" applyFont="1" applyFill="1" applyBorder="1" applyAlignment="1" applyProtection="1">
      <alignment horizontal="left"/>
    </xf>
    <xf numFmtId="0" fontId="41" fillId="39" borderId="30" xfId="0" applyFont="1" applyFill="1" applyBorder="1" applyAlignment="1" applyProtection="1">
      <alignment horizontal="left"/>
    </xf>
    <xf numFmtId="0" fontId="88" fillId="11" borderId="112" xfId="0" applyFont="1" applyFill="1" applyBorder="1" applyAlignment="1" applyProtection="1">
      <alignment horizontal="center" vertical="center"/>
    </xf>
    <xf numFmtId="0" fontId="88" fillId="11" borderId="38" xfId="0" applyFont="1" applyFill="1" applyBorder="1" applyAlignment="1" applyProtection="1">
      <alignment horizontal="center" vertical="center"/>
    </xf>
    <xf numFmtId="0" fontId="88" fillId="11" borderId="83" xfId="0" applyFont="1" applyFill="1" applyBorder="1" applyAlignment="1" applyProtection="1">
      <alignment horizontal="center" vertical="center"/>
    </xf>
    <xf numFmtId="0" fontId="88" fillId="11" borderId="39" xfId="0" applyFont="1" applyFill="1" applyBorder="1" applyAlignment="1" applyProtection="1">
      <alignment horizontal="center" vertical="center"/>
    </xf>
    <xf numFmtId="0" fontId="33" fillId="11" borderId="102" xfId="0" applyFont="1" applyFill="1" applyBorder="1" applyAlignment="1" applyProtection="1">
      <alignment horizontal="left" vertical="center"/>
    </xf>
    <xf numFmtId="0" fontId="33" fillId="11" borderId="31" xfId="0" applyFont="1" applyFill="1" applyBorder="1" applyAlignment="1" applyProtection="1">
      <alignment horizontal="left" vertical="center"/>
    </xf>
    <xf numFmtId="0" fontId="33" fillId="11" borderId="103" xfId="0" applyFont="1" applyFill="1" applyBorder="1" applyAlignment="1" applyProtection="1">
      <alignment horizontal="left" vertical="center"/>
    </xf>
    <xf numFmtId="0" fontId="38" fillId="39" borderId="108" xfId="0" applyFont="1" applyFill="1" applyBorder="1" applyAlignment="1" applyProtection="1">
      <alignment horizontal="center" wrapText="1"/>
    </xf>
    <xf numFmtId="0" fontId="16" fillId="8" borderId="28" xfId="0" applyFont="1" applyFill="1" applyBorder="1" applyAlignment="1" applyProtection="1">
      <alignment horizontal="center" vertical="center"/>
    </xf>
    <xf numFmtId="0" fontId="16" fillId="8" borderId="32" xfId="0" applyFont="1" applyFill="1" applyBorder="1" applyAlignment="1" applyProtection="1">
      <alignment horizontal="center" vertical="center"/>
    </xf>
    <xf numFmtId="0" fontId="16" fillId="35" borderId="26" xfId="0" applyFont="1" applyFill="1" applyBorder="1" applyAlignment="1" applyProtection="1">
      <alignment horizontal="center" wrapText="1"/>
    </xf>
    <xf numFmtId="0" fontId="16" fillId="35" borderId="108" xfId="0" applyFont="1" applyFill="1" applyBorder="1" applyAlignment="1" applyProtection="1">
      <alignment horizontal="center" wrapText="1"/>
    </xf>
    <xf numFmtId="0" fontId="8" fillId="28" borderId="37" xfId="0" applyFont="1" applyFill="1" applyBorder="1" applyAlignment="1" applyProtection="1">
      <alignment horizontal="left" vertical="center" wrapText="1"/>
    </xf>
    <xf numFmtId="0" fontId="8" fillId="28" borderId="36" xfId="0" applyFont="1" applyFill="1" applyBorder="1" applyAlignment="1" applyProtection="1">
      <alignment horizontal="left" vertical="center" wrapText="1"/>
    </xf>
    <xf numFmtId="0" fontId="8" fillId="28" borderId="110" xfId="0" applyFont="1" applyFill="1" applyBorder="1" applyAlignment="1" applyProtection="1">
      <alignment horizontal="left" vertical="center" wrapText="1"/>
    </xf>
    <xf numFmtId="0" fontId="8" fillId="28" borderId="40" xfId="0" applyFont="1" applyFill="1" applyBorder="1" applyAlignment="1" applyProtection="1">
      <alignment horizontal="left" vertical="center" wrapText="1"/>
    </xf>
    <xf numFmtId="0" fontId="8" fillId="28" borderId="0" xfId="0" applyFont="1" applyFill="1" applyBorder="1" applyAlignment="1" applyProtection="1">
      <alignment horizontal="left" vertical="center" wrapText="1"/>
    </xf>
    <xf numFmtId="0" fontId="8" fillId="28" borderId="84" xfId="0" applyFont="1" applyFill="1" applyBorder="1" applyAlignment="1" applyProtection="1">
      <alignment horizontal="left" vertical="center" wrapText="1"/>
    </xf>
    <xf numFmtId="0" fontId="8" fillId="28" borderId="33" xfId="0" applyFont="1" applyFill="1" applyBorder="1" applyAlignment="1" applyProtection="1">
      <alignment horizontal="left" vertical="center" wrapText="1"/>
    </xf>
    <xf numFmtId="0" fontId="8" fillId="28" borderId="34" xfId="0" applyFont="1" applyFill="1" applyBorder="1" applyAlignment="1" applyProtection="1">
      <alignment horizontal="left" vertical="center" wrapText="1"/>
    </xf>
    <xf numFmtId="0" fontId="8" fillId="28" borderId="111" xfId="0" applyFont="1" applyFill="1" applyBorder="1" applyAlignment="1" applyProtection="1">
      <alignment horizontal="left" vertical="center" wrapText="1"/>
    </xf>
    <xf numFmtId="0" fontId="42" fillId="46" borderId="102" xfId="0" applyFont="1" applyFill="1" applyBorder="1" applyAlignment="1" applyProtection="1">
      <alignment horizontal="left"/>
    </xf>
    <xf numFmtId="0" fontId="42" fillId="46" borderId="31" xfId="0" applyFont="1" applyFill="1" applyBorder="1" applyAlignment="1" applyProtection="1">
      <alignment horizontal="left"/>
    </xf>
    <xf numFmtId="0" fontId="42" fillId="46" borderId="30" xfId="0" applyFont="1" applyFill="1" applyBorder="1" applyAlignment="1" applyProtection="1">
      <alignment horizontal="left"/>
    </xf>
    <xf numFmtId="0" fontId="34" fillId="11" borderId="83" xfId="1" applyFont="1" applyFill="1" applyBorder="1" applyAlignment="1" applyProtection="1">
      <alignment horizontal="center" vertical="center" wrapText="1"/>
    </xf>
    <xf numFmtId="0" fontId="34" fillId="11" borderId="39" xfId="1" applyFont="1" applyFill="1" applyBorder="1" applyAlignment="1" applyProtection="1">
      <alignment horizontal="center" vertical="center" wrapText="1"/>
    </xf>
    <xf numFmtId="0" fontId="34" fillId="11" borderId="113" xfId="1" applyFont="1" applyFill="1" applyBorder="1" applyAlignment="1" applyProtection="1">
      <alignment horizontal="center" vertical="center" wrapText="1"/>
    </xf>
    <xf numFmtId="0" fontId="34" fillId="11" borderId="27" xfId="1" applyFont="1" applyFill="1" applyBorder="1" applyAlignment="1" applyProtection="1">
      <alignment horizontal="center" vertical="center" wrapText="1"/>
    </xf>
    <xf numFmtId="0" fontId="34" fillId="11" borderId="83" xfId="0" applyFont="1" applyFill="1" applyBorder="1" applyAlignment="1" applyProtection="1">
      <alignment horizontal="center" vertical="center" wrapText="1"/>
    </xf>
    <xf numFmtId="0" fontId="34" fillId="11" borderId="39" xfId="0" applyFont="1" applyFill="1" applyBorder="1" applyAlignment="1" applyProtection="1">
      <alignment horizontal="center" vertical="center" wrapText="1"/>
    </xf>
    <xf numFmtId="0" fontId="34" fillId="11" borderId="113" xfId="0" applyFont="1" applyFill="1" applyBorder="1" applyAlignment="1" applyProtection="1">
      <alignment horizontal="center" vertical="center" wrapText="1"/>
    </xf>
    <xf numFmtId="0" fontId="34" fillId="11" borderId="27" xfId="0" applyFont="1" applyFill="1" applyBorder="1" applyAlignment="1" applyProtection="1">
      <alignment horizontal="center" vertical="center" wrapText="1"/>
    </xf>
    <xf numFmtId="0" fontId="38" fillId="8" borderId="26" xfId="0" applyFont="1" applyFill="1" applyBorder="1" applyAlignment="1" applyProtection="1">
      <alignment horizontal="center" wrapText="1"/>
    </xf>
    <xf numFmtId="0" fontId="33" fillId="11" borderId="98" xfId="0" applyFont="1" applyFill="1" applyBorder="1" applyAlignment="1" applyProtection="1">
      <alignment horizontal="left" vertical="center"/>
    </xf>
    <xf numFmtId="0" fontId="33" fillId="11" borderId="60" xfId="0" applyFont="1" applyFill="1" applyBorder="1" applyAlignment="1" applyProtection="1">
      <alignment horizontal="left" vertical="center"/>
    </xf>
    <xf numFmtId="0" fontId="33" fillId="11" borderId="99" xfId="0" applyFont="1" applyFill="1" applyBorder="1" applyAlignment="1" applyProtection="1">
      <alignment horizontal="left" vertical="center"/>
    </xf>
    <xf numFmtId="0" fontId="38" fillId="39" borderId="102" xfId="1" applyFont="1" applyFill="1" applyBorder="1" applyAlignment="1" applyProtection="1">
      <alignment horizontal="left" vertical="center" wrapText="1"/>
    </xf>
    <xf numFmtId="0" fontId="38" fillId="39" borderId="31" xfId="1" applyFont="1" applyFill="1" applyBorder="1" applyAlignment="1" applyProtection="1">
      <alignment horizontal="left" vertical="center" wrapText="1"/>
    </xf>
    <xf numFmtId="0" fontId="38" fillId="39" borderId="90" xfId="1" applyFont="1" applyFill="1" applyBorder="1" applyAlignment="1" applyProtection="1">
      <alignment horizontal="left" vertical="center" wrapText="1"/>
    </xf>
    <xf numFmtId="0" fontId="42" fillId="46" borderId="102" xfId="1" applyFont="1" applyFill="1" applyBorder="1" applyAlignment="1" applyProtection="1">
      <alignment horizontal="left" vertical="center" wrapText="1"/>
    </xf>
    <xf numFmtId="0" fontId="42" fillId="46" borderId="31" xfId="1" applyFont="1" applyFill="1" applyBorder="1" applyAlignment="1" applyProtection="1">
      <alignment horizontal="left" vertical="center" wrapText="1"/>
    </xf>
    <xf numFmtId="0" fontId="42" fillId="46" borderId="30" xfId="1" applyFont="1" applyFill="1" applyBorder="1" applyAlignment="1" applyProtection="1">
      <alignment horizontal="left" vertical="center" wrapText="1"/>
    </xf>
    <xf numFmtId="0" fontId="59" fillId="20" borderId="37" xfId="0" applyFont="1" applyFill="1" applyBorder="1" applyAlignment="1" applyProtection="1">
      <alignment horizontal="center"/>
    </xf>
    <xf numFmtId="0" fontId="59" fillId="20" borderId="36" xfId="0" applyFont="1" applyFill="1" applyBorder="1" applyAlignment="1" applyProtection="1">
      <alignment horizontal="center"/>
    </xf>
    <xf numFmtId="0" fontId="39" fillId="39" borderId="114" xfId="1" applyFont="1" applyFill="1" applyBorder="1" applyAlignment="1" applyProtection="1">
      <alignment horizontal="left" vertical="center" wrapText="1"/>
    </xf>
    <xf numFmtId="0" fontId="39" fillId="39" borderId="69" xfId="1" applyFont="1" applyFill="1" applyBorder="1" applyAlignment="1" applyProtection="1">
      <alignment horizontal="left" vertical="center" wrapText="1"/>
    </xf>
    <xf numFmtId="0" fontId="39" fillId="39" borderId="70" xfId="1" applyFont="1" applyFill="1" applyBorder="1" applyAlignment="1" applyProtection="1">
      <alignment horizontal="left" vertical="center" wrapText="1"/>
    </xf>
    <xf numFmtId="0" fontId="41" fillId="29" borderId="99" xfId="0" applyFont="1" applyFill="1" applyBorder="1" applyAlignment="1" applyProtection="1">
      <alignment horizontal="center" vertical="center" wrapText="1"/>
    </xf>
    <xf numFmtId="0" fontId="41" fillId="29" borderId="84" xfId="0" applyFont="1" applyFill="1" applyBorder="1" applyAlignment="1" applyProtection="1">
      <alignment horizontal="center" vertical="center" wrapText="1"/>
    </xf>
    <xf numFmtId="0" fontId="41" fillId="29" borderId="111" xfId="0" applyFont="1" applyFill="1" applyBorder="1" applyAlignment="1" applyProtection="1">
      <alignment horizontal="center" vertical="center" wrapText="1"/>
    </xf>
    <xf numFmtId="0" fontId="25" fillId="28" borderId="38" xfId="1" applyFont="1" applyFill="1" applyBorder="1" applyAlignment="1" applyProtection="1">
      <alignment horizontal="left" vertical="center" wrapText="1"/>
    </xf>
    <xf numFmtId="0" fontId="25" fillId="28" borderId="39" xfId="1" applyFont="1" applyFill="1" applyBorder="1" applyAlignment="1" applyProtection="1">
      <alignment horizontal="left" vertical="center" wrapText="1"/>
    </xf>
    <xf numFmtId="0" fontId="25" fillId="28" borderId="27" xfId="1" applyFont="1" applyFill="1" applyBorder="1" applyAlignment="1" applyProtection="1">
      <alignment horizontal="left" vertical="center" wrapText="1"/>
    </xf>
    <xf numFmtId="0" fontId="49" fillId="39" borderId="98" xfId="1" applyFont="1" applyFill="1" applyBorder="1" applyAlignment="1" applyProtection="1">
      <alignment horizontal="left" vertical="center" wrapText="1"/>
    </xf>
    <xf numFmtId="0" fontId="49" fillId="39" borderId="60" xfId="1" applyFont="1" applyFill="1" applyBorder="1" applyAlignment="1" applyProtection="1">
      <alignment horizontal="left" vertical="center" wrapText="1"/>
    </xf>
    <xf numFmtId="0" fontId="49" fillId="39" borderId="83" xfId="1" applyFont="1" applyFill="1" applyBorder="1" applyAlignment="1" applyProtection="1">
      <alignment horizontal="left" vertical="center" wrapText="1"/>
    </xf>
    <xf numFmtId="0" fontId="49" fillId="39" borderId="0" xfId="1" applyFont="1" applyFill="1" applyBorder="1" applyAlignment="1" applyProtection="1">
      <alignment horizontal="left" vertical="center" wrapText="1"/>
    </xf>
    <xf numFmtId="0" fontId="49" fillId="39" borderId="113" xfId="1" applyFont="1" applyFill="1" applyBorder="1" applyAlignment="1" applyProtection="1">
      <alignment horizontal="left" vertical="center" wrapText="1"/>
    </xf>
    <xf numFmtId="0" fontId="49" fillId="39" borderId="34" xfId="1" applyFont="1" applyFill="1" applyBorder="1" applyAlignment="1" applyProtection="1">
      <alignment horizontal="left" vertical="center" wrapText="1"/>
    </xf>
    <xf numFmtId="0" fontId="39" fillId="0" borderId="60" xfId="1" applyFont="1" applyFill="1" applyBorder="1" applyAlignment="1" applyProtection="1">
      <alignment horizontal="center" vertical="center" wrapText="1"/>
      <protection locked="0"/>
    </xf>
    <xf numFmtId="0" fontId="39" fillId="0" borderId="0" xfId="1" applyFont="1" applyFill="1" applyBorder="1" applyAlignment="1" applyProtection="1">
      <alignment horizontal="center" vertical="center" wrapText="1"/>
      <protection locked="0"/>
    </xf>
    <xf numFmtId="0" fontId="39" fillId="0" borderId="34" xfId="1" applyFont="1" applyFill="1" applyBorder="1" applyAlignment="1" applyProtection="1">
      <alignment horizontal="center" vertical="center" wrapText="1"/>
      <protection locked="0"/>
    </xf>
    <xf numFmtId="0" fontId="49" fillId="39" borderId="60" xfId="1" applyFont="1" applyFill="1" applyBorder="1" applyAlignment="1" applyProtection="1">
      <alignment horizontal="center" vertical="center" wrapText="1"/>
    </xf>
    <xf numFmtId="0" fontId="49" fillId="39" borderId="0" xfId="1" applyFont="1" applyFill="1" applyBorder="1" applyAlignment="1" applyProtection="1">
      <alignment horizontal="center" vertical="center" wrapText="1"/>
    </xf>
    <xf numFmtId="0" fontId="49" fillId="39" borderId="34" xfId="1" applyFont="1" applyFill="1" applyBorder="1" applyAlignment="1" applyProtection="1">
      <alignment horizontal="center" vertical="center" wrapText="1"/>
    </xf>
    <xf numFmtId="0" fontId="115" fillId="37" borderId="106" xfId="0" applyFont="1" applyFill="1" applyBorder="1" applyAlignment="1" applyProtection="1">
      <alignment horizontal="left" vertical="center" wrapText="1"/>
    </xf>
    <xf numFmtId="0" fontId="115" fillId="37" borderId="64" xfId="0" applyFont="1" applyFill="1" applyBorder="1" applyAlignment="1" applyProtection="1">
      <alignment horizontal="left" vertical="center" wrapText="1"/>
    </xf>
    <xf numFmtId="0" fontId="115" fillId="37" borderId="42" xfId="0" applyFont="1" applyFill="1" applyBorder="1" applyAlignment="1" applyProtection="1">
      <alignment horizontal="left" vertical="center" wrapText="1"/>
    </xf>
    <xf numFmtId="0" fontId="25" fillId="28" borderId="29" xfId="1" applyFont="1" applyFill="1" applyBorder="1" applyAlignment="1" applyProtection="1">
      <alignment horizontal="left" wrapText="1"/>
    </xf>
    <xf numFmtId="0" fontId="25" fillId="28" borderId="31" xfId="1" applyFont="1" applyFill="1" applyBorder="1" applyAlignment="1" applyProtection="1">
      <alignment horizontal="left" wrapText="1"/>
    </xf>
    <xf numFmtId="0" fontId="25" fillId="28" borderId="30" xfId="1" applyFont="1" applyFill="1" applyBorder="1" applyAlignment="1" applyProtection="1">
      <alignment horizontal="left" wrapText="1"/>
    </xf>
    <xf numFmtId="0" fontId="25" fillId="28" borderId="37" xfId="1" applyFont="1" applyFill="1" applyBorder="1" applyAlignment="1" applyProtection="1">
      <alignment horizontal="left" wrapText="1"/>
    </xf>
    <xf numFmtId="0" fontId="25" fillId="28" borderId="36" xfId="1" applyFont="1" applyFill="1" applyBorder="1" applyAlignment="1" applyProtection="1">
      <alignment horizontal="left" wrapText="1"/>
    </xf>
    <xf numFmtId="0" fontId="25" fillId="28" borderId="38" xfId="1" applyFont="1" applyFill="1" applyBorder="1" applyAlignment="1" applyProtection="1">
      <alignment horizontal="left" wrapText="1"/>
    </xf>
    <xf numFmtId="0" fontId="25" fillId="28" borderId="40" xfId="1" applyFont="1" applyFill="1" applyBorder="1" applyAlignment="1" applyProtection="1">
      <alignment horizontal="left" wrapText="1"/>
    </xf>
    <xf numFmtId="0" fontId="25" fillId="28" borderId="0" xfId="1" applyFont="1" applyFill="1" applyBorder="1" applyAlignment="1" applyProtection="1">
      <alignment horizontal="left" wrapText="1"/>
    </xf>
    <xf numFmtId="0" fontId="25" fillId="28" borderId="39" xfId="1" applyFont="1" applyFill="1" applyBorder="1" applyAlignment="1" applyProtection="1">
      <alignment horizontal="left" wrapText="1"/>
    </xf>
    <xf numFmtId="0" fontId="25" fillId="28" borderId="33" xfId="1" applyFont="1" applyFill="1" applyBorder="1" applyAlignment="1" applyProtection="1">
      <alignment horizontal="left" wrapText="1"/>
    </xf>
    <xf numFmtId="0" fontId="25" fillId="28" borderId="34" xfId="1" applyFont="1" applyFill="1" applyBorder="1" applyAlignment="1" applyProtection="1">
      <alignment horizontal="left" wrapText="1"/>
    </xf>
    <xf numFmtId="0" fontId="25" fillId="28" borderId="27" xfId="1" applyFont="1" applyFill="1" applyBorder="1" applyAlignment="1" applyProtection="1">
      <alignment horizontal="left" wrapText="1"/>
    </xf>
    <xf numFmtId="0" fontId="113" fillId="39" borderId="83" xfId="0" applyFont="1" applyFill="1" applyBorder="1" applyAlignment="1" applyProtection="1">
      <alignment horizontal="left" vertical="center" wrapText="1"/>
    </xf>
    <xf numFmtId="0" fontId="113" fillId="39" borderId="0" xfId="0" applyFont="1" applyFill="1" applyBorder="1" applyAlignment="1" applyProtection="1">
      <alignment horizontal="left" vertical="center" wrapText="1"/>
    </xf>
    <xf numFmtId="0" fontId="113" fillId="39" borderId="39" xfId="0" applyFont="1" applyFill="1" applyBorder="1" applyAlignment="1" applyProtection="1">
      <alignment horizontal="left" vertical="center" wrapText="1"/>
    </xf>
    <xf numFmtId="0" fontId="114" fillId="37" borderId="106" xfId="0" applyFont="1" applyFill="1" applyBorder="1" applyAlignment="1" applyProtection="1">
      <alignment horizontal="left" vertical="center" wrapText="1"/>
    </xf>
    <xf numFmtId="0" fontId="114" fillId="37" borderId="64" xfId="0" applyFont="1" applyFill="1" applyBorder="1" applyAlignment="1" applyProtection="1">
      <alignment horizontal="left" vertical="center" wrapText="1"/>
    </xf>
    <xf numFmtId="0" fontId="114" fillId="37" borderId="42" xfId="0" applyFont="1" applyFill="1" applyBorder="1" applyAlignment="1" applyProtection="1">
      <alignment horizontal="left" vertical="center" wrapText="1"/>
    </xf>
    <xf numFmtId="0" fontId="38" fillId="46" borderId="76" xfId="0" applyFont="1" applyFill="1" applyBorder="1" applyAlignment="1" applyProtection="1">
      <alignment horizontal="left" vertical="center"/>
    </xf>
    <xf numFmtId="0" fontId="38" fillId="46" borderId="31" xfId="0" applyFont="1" applyFill="1" applyBorder="1" applyAlignment="1" applyProtection="1">
      <alignment horizontal="left" vertical="center"/>
    </xf>
    <xf numFmtId="0" fontId="38" fillId="46" borderId="90" xfId="0" applyFont="1" applyFill="1" applyBorder="1" applyAlignment="1" applyProtection="1">
      <alignment horizontal="left" vertical="center"/>
    </xf>
    <xf numFmtId="0" fontId="25" fillId="28" borderId="126" xfId="1" applyFont="1" applyFill="1" applyBorder="1" applyAlignment="1" applyProtection="1">
      <alignment horizontal="left" vertical="center" wrapText="1"/>
    </xf>
    <xf numFmtId="0" fontId="25" fillId="28" borderId="85" xfId="1" applyFont="1" applyFill="1" applyBorder="1" applyAlignment="1" applyProtection="1">
      <alignment horizontal="left" vertical="center" wrapText="1"/>
    </xf>
    <xf numFmtId="0" fontId="25" fillId="28" borderId="127" xfId="1" applyFont="1" applyFill="1" applyBorder="1" applyAlignment="1" applyProtection="1">
      <alignment horizontal="left" vertical="center" wrapText="1"/>
    </xf>
    <xf numFmtId="0" fontId="25" fillId="28" borderId="79" xfId="1" applyFont="1" applyFill="1" applyBorder="1" applyAlignment="1" applyProtection="1">
      <alignment horizontal="left" vertical="center" wrapText="1"/>
    </xf>
    <xf numFmtId="0" fontId="25" fillId="28" borderId="43" xfId="1" applyFont="1" applyFill="1" applyBorder="1" applyAlignment="1" applyProtection="1">
      <alignment horizontal="left" vertical="center" wrapText="1"/>
    </xf>
    <xf numFmtId="0" fontId="25" fillId="28" borderId="67" xfId="1" applyFont="1" applyFill="1" applyBorder="1" applyAlignment="1" applyProtection="1">
      <alignment horizontal="left" vertical="center" wrapText="1"/>
    </xf>
    <xf numFmtId="0" fontId="112" fillId="39" borderId="119" xfId="1" applyFont="1" applyFill="1" applyBorder="1" applyAlignment="1" applyProtection="1">
      <alignment horizontal="left" wrapText="1"/>
    </xf>
    <xf numFmtId="0" fontId="112" fillId="39" borderId="120" xfId="1" applyFont="1" applyFill="1" applyBorder="1" applyAlignment="1" applyProtection="1">
      <alignment horizontal="left" wrapText="1"/>
    </xf>
    <xf numFmtId="0" fontId="112" fillId="39" borderId="121" xfId="1" applyFont="1" applyFill="1" applyBorder="1" applyAlignment="1" applyProtection="1">
      <alignment horizontal="left" wrapText="1"/>
    </xf>
    <xf numFmtId="0" fontId="117" fillId="39" borderId="105" xfId="1" applyFont="1" applyFill="1" applyBorder="1" applyAlignment="1" applyProtection="1">
      <alignment horizontal="left" wrapText="1"/>
    </xf>
    <xf numFmtId="0" fontId="117" fillId="39" borderId="72" xfId="1" applyFont="1" applyFill="1" applyBorder="1" applyAlignment="1" applyProtection="1">
      <alignment horizontal="left" wrapText="1"/>
    </xf>
    <xf numFmtId="0" fontId="117" fillId="39" borderId="73" xfId="1" applyFont="1" applyFill="1" applyBorder="1" applyAlignment="1" applyProtection="1">
      <alignment horizontal="left" wrapText="1"/>
    </xf>
    <xf numFmtId="0" fontId="38" fillId="35" borderId="26" xfId="1" applyFont="1" applyFill="1" applyBorder="1" applyAlignment="1" applyProtection="1">
      <alignment horizontal="center"/>
    </xf>
    <xf numFmtId="0" fontId="38" fillId="35" borderId="108" xfId="1" applyFont="1" applyFill="1" applyBorder="1" applyAlignment="1" applyProtection="1">
      <alignment horizontal="center"/>
    </xf>
    <xf numFmtId="0" fontId="39" fillId="39" borderId="37" xfId="1" applyFont="1" applyFill="1" applyBorder="1" applyAlignment="1" applyProtection="1">
      <alignment horizontal="left" vertical="center" wrapText="1"/>
    </xf>
    <xf numFmtId="0" fontId="39" fillId="39" borderId="36" xfId="1" applyFont="1" applyFill="1" applyBorder="1" applyAlignment="1" applyProtection="1">
      <alignment horizontal="left" vertical="center" wrapText="1"/>
    </xf>
    <xf numFmtId="0" fontId="39" fillId="39" borderId="110" xfId="1" applyFont="1" applyFill="1" applyBorder="1" applyAlignment="1" applyProtection="1">
      <alignment horizontal="left" vertical="center" wrapText="1"/>
    </xf>
    <xf numFmtId="0" fontId="39" fillId="39" borderId="33" xfId="1" applyFont="1" applyFill="1" applyBorder="1" applyAlignment="1" applyProtection="1">
      <alignment horizontal="left" vertical="center" wrapText="1"/>
    </xf>
    <xf numFmtId="0" fontId="39" fillId="39" borderId="34" xfId="1" applyFont="1" applyFill="1" applyBorder="1" applyAlignment="1" applyProtection="1">
      <alignment horizontal="left" vertical="center" wrapText="1"/>
    </xf>
    <xf numFmtId="0" fontId="39" fillId="39" borderId="111" xfId="1" applyFont="1" applyFill="1" applyBorder="1" applyAlignment="1" applyProtection="1">
      <alignment horizontal="left" vertical="center" wrapText="1"/>
    </xf>
    <xf numFmtId="0" fontId="42" fillId="46" borderId="103" xfId="0" applyFont="1" applyFill="1" applyBorder="1" applyAlignment="1" applyProtection="1">
      <alignment horizontal="left"/>
    </xf>
    <xf numFmtId="0" fontId="46" fillId="46" borderId="112" xfId="1" applyFont="1" applyFill="1" applyBorder="1" applyAlignment="1" applyProtection="1">
      <alignment horizontal="center" vertical="center" wrapText="1"/>
    </xf>
    <xf numFmtId="0" fontId="46" fillId="46" borderId="36" xfId="1" applyFont="1" applyFill="1" applyBorder="1" applyAlignment="1" applyProtection="1">
      <alignment horizontal="center" vertical="center" wrapText="1"/>
    </xf>
    <xf numFmtId="0" fontId="46" fillId="46" borderId="38" xfId="1" applyFont="1" applyFill="1" applyBorder="1" applyAlignment="1" applyProtection="1">
      <alignment horizontal="center" vertical="center" wrapText="1"/>
    </xf>
    <xf numFmtId="0" fontId="46" fillId="46" borderId="113" xfId="1" applyFont="1" applyFill="1" applyBorder="1" applyAlignment="1" applyProtection="1">
      <alignment horizontal="center" vertical="center" wrapText="1"/>
    </xf>
    <xf numFmtId="0" fontId="46" fillId="46" borderId="34" xfId="1" applyFont="1" applyFill="1" applyBorder="1" applyAlignment="1" applyProtection="1">
      <alignment horizontal="center" vertical="center" wrapText="1"/>
    </xf>
    <xf numFmtId="0" fontId="46" fillId="46" borderId="27" xfId="1" applyFont="1" applyFill="1" applyBorder="1" applyAlignment="1" applyProtection="1">
      <alignment horizontal="center" vertical="center" wrapText="1"/>
    </xf>
    <xf numFmtId="0" fontId="42" fillId="46" borderId="83" xfId="1" applyFont="1" applyFill="1" applyBorder="1" applyAlignment="1" applyProtection="1">
      <alignment horizontal="center" vertical="center" wrapText="1"/>
    </xf>
    <xf numFmtId="0" fontId="42" fillId="46" borderId="0" xfId="1" applyFont="1" applyFill="1" applyBorder="1" applyAlignment="1" applyProtection="1">
      <alignment horizontal="center" vertical="center" wrapText="1"/>
    </xf>
    <xf numFmtId="0" fontId="42" fillId="46" borderId="39" xfId="1" applyFont="1" applyFill="1" applyBorder="1" applyAlignment="1" applyProtection="1">
      <alignment horizontal="center" vertical="center" wrapText="1"/>
    </xf>
    <xf numFmtId="0" fontId="42" fillId="46" borderId="113" xfId="1" applyFont="1" applyFill="1" applyBorder="1" applyAlignment="1" applyProtection="1">
      <alignment horizontal="center" vertical="center" wrapText="1"/>
    </xf>
    <xf numFmtId="0" fontId="42" fillId="46" borderId="34" xfId="1" applyFont="1" applyFill="1" applyBorder="1" applyAlignment="1" applyProtection="1">
      <alignment horizontal="center" vertical="center" wrapText="1"/>
    </xf>
    <xf numFmtId="0" fontId="42" fillId="46" borderId="27" xfId="1" applyFont="1" applyFill="1" applyBorder="1" applyAlignment="1" applyProtection="1">
      <alignment horizontal="center" vertical="center" wrapText="1"/>
    </xf>
    <xf numFmtId="0" fontId="46" fillId="14" borderId="37" xfId="1" applyFont="1" applyFill="1" applyBorder="1" applyAlignment="1" applyProtection="1">
      <alignment horizontal="center" vertical="center" wrapText="1"/>
    </xf>
    <xf numFmtId="0" fontId="46" fillId="14" borderId="38" xfId="1" applyFont="1" applyFill="1" applyBorder="1" applyAlignment="1" applyProtection="1">
      <alignment horizontal="center" vertical="center" wrapText="1"/>
    </xf>
    <xf numFmtId="0" fontId="46" fillId="14" borderId="33" xfId="1" applyFont="1" applyFill="1" applyBorder="1" applyAlignment="1" applyProtection="1">
      <alignment horizontal="center" vertical="center" wrapText="1"/>
    </xf>
    <xf numFmtId="0" fontId="46" fillId="14" borderId="27" xfId="1" applyFont="1" applyFill="1" applyBorder="1" applyAlignment="1" applyProtection="1">
      <alignment horizontal="center" vertical="center" wrapText="1"/>
    </xf>
    <xf numFmtId="0" fontId="85" fillId="76" borderId="3" xfId="1" applyFont="1" applyFill="1" applyBorder="1" applyAlignment="1" applyProtection="1">
      <alignment horizontal="center" vertical="center"/>
    </xf>
    <xf numFmtId="0" fontId="85" fillId="76" borderId="25" xfId="1" applyFont="1" applyFill="1" applyBorder="1" applyAlignment="1" applyProtection="1">
      <alignment horizontal="center" vertical="center"/>
    </xf>
    <xf numFmtId="0" fontId="85" fillId="76" borderId="8" xfId="1" applyFont="1" applyFill="1" applyBorder="1" applyAlignment="1" applyProtection="1">
      <alignment horizontal="center" vertical="center"/>
    </xf>
    <xf numFmtId="0" fontId="38" fillId="35" borderId="79" xfId="1" applyFont="1" applyFill="1" applyBorder="1" applyAlignment="1" applyProtection="1">
      <alignment horizontal="center" vertical="center"/>
    </xf>
    <xf numFmtId="0" fontId="38" fillId="35" borderId="101" xfId="1" applyFont="1" applyFill="1" applyBorder="1" applyAlignment="1" applyProtection="1">
      <alignment horizontal="center" vertical="center"/>
    </xf>
    <xf numFmtId="0" fontId="33" fillId="11" borderId="106" xfId="0" applyFont="1" applyFill="1" applyBorder="1" applyAlignment="1" applyProtection="1">
      <alignment horizontal="left" vertical="center" wrapText="1"/>
    </xf>
    <xf numFmtId="0" fontId="33" fillId="11" borderId="64" xfId="0" applyFont="1" applyFill="1" applyBorder="1" applyAlignment="1" applyProtection="1">
      <alignment horizontal="left" vertical="center" wrapText="1"/>
    </xf>
    <xf numFmtId="0" fontId="33" fillId="11" borderId="107" xfId="0" applyFont="1" applyFill="1" applyBorder="1" applyAlignment="1" applyProtection="1">
      <alignment horizontal="left" vertical="center" wrapText="1"/>
    </xf>
    <xf numFmtId="0" fontId="42" fillId="46" borderId="106" xfId="0" applyFont="1" applyFill="1" applyBorder="1" applyAlignment="1" applyProtection="1">
      <alignment horizontal="center" wrapText="1"/>
    </xf>
    <xf numFmtId="0" fontId="42" fillId="46" borderId="64" xfId="0" applyFont="1" applyFill="1" applyBorder="1" applyAlignment="1" applyProtection="1">
      <alignment horizontal="center" wrapText="1"/>
    </xf>
    <xf numFmtId="0" fontId="42" fillId="46" borderId="42" xfId="0" applyFont="1" applyFill="1" applyBorder="1" applyAlignment="1" applyProtection="1">
      <alignment horizontal="center" wrapText="1"/>
    </xf>
    <xf numFmtId="0" fontId="44" fillId="11" borderId="83" xfId="0" applyFont="1" applyFill="1" applyBorder="1" applyAlignment="1" applyProtection="1">
      <alignment horizontal="center" vertical="center"/>
    </xf>
    <xf numFmtId="0" fontId="44" fillId="11" borderId="39" xfId="0" applyFont="1" applyFill="1" applyBorder="1" applyAlignment="1" applyProtection="1">
      <alignment horizontal="center" vertical="center"/>
    </xf>
    <xf numFmtId="0" fontId="33" fillId="11" borderId="83" xfId="0" applyFont="1" applyFill="1" applyBorder="1" applyAlignment="1" applyProtection="1">
      <alignment horizontal="center"/>
    </xf>
    <xf numFmtId="0" fontId="33" fillId="11" borderId="39" xfId="0" applyFont="1" applyFill="1" applyBorder="1" applyAlignment="1" applyProtection="1">
      <alignment horizontal="center"/>
    </xf>
    <xf numFmtId="0" fontId="38" fillId="46" borderId="29" xfId="1" applyFont="1" applyFill="1" applyBorder="1" applyAlignment="1" applyProtection="1">
      <alignment horizontal="left"/>
    </xf>
    <xf numFmtId="0" fontId="38" fillId="46" borderId="31" xfId="1" applyFont="1" applyFill="1" applyBorder="1" applyAlignment="1" applyProtection="1">
      <alignment horizontal="left"/>
    </xf>
    <xf numFmtId="0" fontId="38" fillId="46" borderId="30" xfId="1" applyFont="1" applyFill="1" applyBorder="1" applyAlignment="1" applyProtection="1">
      <alignment horizontal="left"/>
    </xf>
    <xf numFmtId="0" fontId="89" fillId="37" borderId="98" xfId="4" applyFont="1" applyFill="1" applyBorder="1" applyAlignment="1" applyProtection="1">
      <alignment horizontal="center" vertical="center"/>
    </xf>
    <xf numFmtId="0" fontId="89" fillId="37" borderId="60" xfId="4" applyFont="1" applyFill="1" applyBorder="1" applyAlignment="1" applyProtection="1">
      <alignment horizontal="center" vertical="center"/>
    </xf>
    <xf numFmtId="0" fontId="89" fillId="37" borderId="99" xfId="4" applyFont="1" applyFill="1" applyBorder="1" applyAlignment="1" applyProtection="1">
      <alignment horizontal="center" vertical="center"/>
    </xf>
    <xf numFmtId="0" fontId="89" fillId="37" borderId="100" xfId="4" applyFont="1" applyFill="1" applyBorder="1" applyAlignment="1" applyProtection="1">
      <alignment horizontal="center" vertical="center"/>
    </xf>
    <xf numFmtId="0" fontId="89" fillId="37" borderId="43" xfId="4" applyFont="1" applyFill="1" applyBorder="1" applyAlignment="1" applyProtection="1">
      <alignment horizontal="center" vertical="center"/>
    </xf>
    <xf numFmtId="0" fontId="89" fillId="37" borderId="101" xfId="4" applyFont="1" applyFill="1" applyBorder="1" applyAlignment="1" applyProtection="1">
      <alignment horizontal="center" vertical="center"/>
    </xf>
    <xf numFmtId="0" fontId="25" fillId="28" borderId="29" xfId="1" applyFont="1" applyFill="1" applyBorder="1" applyAlignment="1" applyProtection="1">
      <alignment horizontal="left" vertical="center" wrapText="1"/>
    </xf>
    <xf numFmtId="0" fontId="25" fillId="28" borderId="31" xfId="1" applyFont="1" applyFill="1" applyBorder="1" applyAlignment="1" applyProtection="1">
      <alignment horizontal="left" vertical="center" wrapText="1"/>
    </xf>
    <xf numFmtId="0" fontId="25" fillId="28" borderId="90" xfId="1" applyFont="1" applyFill="1" applyBorder="1" applyAlignment="1" applyProtection="1">
      <alignment horizontal="left" vertical="center" wrapText="1"/>
    </xf>
    <xf numFmtId="0" fontId="42" fillId="46" borderId="106" xfId="0" applyFont="1" applyFill="1" applyBorder="1" applyAlignment="1" applyProtection="1">
      <alignment horizontal="left" wrapText="1"/>
    </xf>
    <xf numFmtId="0" fontId="42" fillId="46" borderId="64" xfId="0" applyFont="1" applyFill="1" applyBorder="1" applyAlignment="1" applyProtection="1">
      <alignment horizontal="left" wrapText="1"/>
    </xf>
    <xf numFmtId="0" fontId="42" fillId="46" borderId="42" xfId="0" applyFont="1" applyFill="1" applyBorder="1" applyAlignment="1" applyProtection="1">
      <alignment horizontal="left" wrapText="1"/>
    </xf>
    <xf numFmtId="0" fontId="8" fillId="28" borderId="66" xfId="0" applyFont="1" applyFill="1" applyBorder="1" applyAlignment="1" applyProtection="1">
      <alignment horizontal="left" vertical="center" wrapText="1"/>
    </xf>
    <xf numFmtId="0" fontId="8" fillId="28" borderId="62" xfId="0" applyFont="1" applyFill="1" applyBorder="1" applyAlignment="1" applyProtection="1">
      <alignment horizontal="left" vertical="center" wrapText="1"/>
    </xf>
    <xf numFmtId="0" fontId="8" fillId="28" borderId="78" xfId="0" applyFont="1" applyFill="1" applyBorder="1" applyAlignment="1" applyProtection="1">
      <alignment horizontal="left" vertical="center" wrapText="1"/>
    </xf>
    <xf numFmtId="0" fontId="33" fillId="11" borderId="102" xfId="0" applyFont="1" applyFill="1" applyBorder="1" applyAlignment="1" applyProtection="1">
      <alignment horizontal="left" wrapText="1"/>
    </xf>
    <xf numFmtId="0" fontId="33" fillId="11" borderId="31" xfId="0" applyFont="1" applyFill="1" applyBorder="1" applyAlignment="1" applyProtection="1">
      <alignment horizontal="left" wrapText="1"/>
    </xf>
    <xf numFmtId="0" fontId="33" fillId="11" borderId="103" xfId="0" applyFont="1" applyFill="1" applyBorder="1" applyAlignment="1" applyProtection="1">
      <alignment horizontal="left" wrapText="1"/>
    </xf>
    <xf numFmtId="0" fontId="43" fillId="46" borderId="112" xfId="0" applyFont="1" applyFill="1" applyBorder="1" applyAlignment="1" applyProtection="1">
      <alignment horizontal="left"/>
    </xf>
    <xf numFmtId="0" fontId="43" fillId="46" borderId="36" xfId="0" applyFont="1" applyFill="1" applyBorder="1" applyAlignment="1" applyProtection="1">
      <alignment horizontal="left"/>
    </xf>
    <xf numFmtId="0" fontId="43" fillId="46" borderId="38" xfId="0" applyFont="1" applyFill="1" applyBorder="1" applyAlignment="1" applyProtection="1">
      <alignment horizontal="left"/>
    </xf>
    <xf numFmtId="0" fontId="42" fillId="46" borderId="102" xfId="0" applyFont="1" applyFill="1" applyBorder="1" applyAlignment="1" applyProtection="1">
      <alignment horizontal="center"/>
    </xf>
    <xf numFmtId="0" fontId="42" fillId="46" borderId="31" xfId="0" applyFont="1" applyFill="1" applyBorder="1" applyAlignment="1" applyProtection="1">
      <alignment horizontal="center"/>
    </xf>
    <xf numFmtId="0" fontId="42" fillId="46" borderId="30" xfId="0" applyFont="1" applyFill="1" applyBorder="1" applyAlignment="1" applyProtection="1">
      <alignment horizontal="center"/>
    </xf>
    <xf numFmtId="0" fontId="33" fillId="11" borderId="83" xfId="0" applyFont="1" applyFill="1" applyBorder="1" applyAlignment="1" applyProtection="1">
      <alignment horizontal="left" vertical="center"/>
    </xf>
    <xf numFmtId="0" fontId="33" fillId="11" borderId="0" xfId="0" applyFont="1" applyFill="1" applyBorder="1" applyAlignment="1" applyProtection="1">
      <alignment horizontal="left" vertical="center"/>
    </xf>
    <xf numFmtId="0" fontId="33" fillId="11" borderId="84" xfId="0" applyFont="1" applyFill="1" applyBorder="1" applyAlignment="1" applyProtection="1">
      <alignment horizontal="left" vertical="center"/>
    </xf>
    <xf numFmtId="0" fontId="43" fillId="46" borderId="102" xfId="0" applyFont="1" applyFill="1" applyBorder="1" applyAlignment="1" applyProtection="1">
      <alignment horizontal="left"/>
    </xf>
    <xf numFmtId="0" fontId="43" fillId="46" borderId="31" xfId="0" applyFont="1" applyFill="1" applyBorder="1" applyAlignment="1" applyProtection="1">
      <alignment horizontal="left"/>
    </xf>
    <xf numFmtId="0" fontId="43" fillId="46" borderId="30" xfId="0" applyFont="1" applyFill="1" applyBorder="1" applyAlignment="1" applyProtection="1">
      <alignment horizontal="left"/>
    </xf>
    <xf numFmtId="0" fontId="41" fillId="39" borderId="83" xfId="0" applyFont="1" applyFill="1" applyBorder="1" applyAlignment="1" applyProtection="1">
      <alignment horizontal="center" vertical="center" wrapText="1"/>
    </xf>
    <xf numFmtId="0" fontId="41" fillId="39" borderId="0" xfId="0" applyFont="1" applyFill="1" applyBorder="1" applyAlignment="1" applyProtection="1">
      <alignment horizontal="center" vertical="center" wrapText="1"/>
    </xf>
    <xf numFmtId="0" fontId="41" fillId="39" borderId="39" xfId="0" applyFont="1" applyFill="1" applyBorder="1" applyAlignment="1" applyProtection="1">
      <alignment horizontal="center" vertical="center" wrapText="1"/>
    </xf>
    <xf numFmtId="0" fontId="41" fillId="39" borderId="113" xfId="0" applyFont="1" applyFill="1" applyBorder="1" applyAlignment="1" applyProtection="1">
      <alignment horizontal="center" vertical="center" wrapText="1"/>
    </xf>
    <xf numFmtId="0" fontId="41" fillId="39" borderId="34" xfId="0" applyFont="1" applyFill="1" applyBorder="1" applyAlignment="1" applyProtection="1">
      <alignment horizontal="center" vertical="center" wrapText="1"/>
    </xf>
    <xf numFmtId="0" fontId="41" fillId="39" borderId="27" xfId="0" applyFont="1" applyFill="1" applyBorder="1" applyAlignment="1" applyProtection="1">
      <alignment horizontal="center" vertical="center" wrapText="1"/>
    </xf>
    <xf numFmtId="0" fontId="16" fillId="46" borderId="29" xfId="0" applyFont="1" applyFill="1" applyBorder="1" applyAlignment="1" applyProtection="1">
      <alignment horizontal="center" vertical="center" wrapText="1"/>
    </xf>
    <xf numFmtId="0" fontId="16" fillId="46" borderId="30" xfId="0" applyFont="1" applyFill="1" applyBorder="1" applyAlignment="1" applyProtection="1">
      <alignment horizontal="center" vertical="center" wrapText="1"/>
    </xf>
    <xf numFmtId="0" fontId="43" fillId="39" borderId="112" xfId="1" applyFont="1" applyFill="1" applyBorder="1" applyAlignment="1" applyProtection="1">
      <alignment horizontal="left" wrapText="1"/>
    </xf>
    <xf numFmtId="0" fontId="43" fillId="39" borderId="36" xfId="1" applyFont="1" applyFill="1" applyBorder="1" applyAlignment="1" applyProtection="1">
      <alignment horizontal="left" wrapText="1"/>
    </xf>
    <xf numFmtId="0" fontId="43" fillId="39" borderId="38" xfId="1" applyFont="1" applyFill="1" applyBorder="1" applyAlignment="1" applyProtection="1">
      <alignment horizontal="left" wrapText="1"/>
    </xf>
    <xf numFmtId="0" fontId="39" fillId="39" borderId="112" xfId="0" applyFont="1" applyFill="1" applyBorder="1" applyAlignment="1" applyProtection="1">
      <alignment horizontal="left" vertical="center" wrapText="1"/>
    </xf>
    <xf numFmtId="0" fontId="39" fillId="39" borderId="36" xfId="0" applyFont="1" applyFill="1" applyBorder="1" applyAlignment="1" applyProtection="1">
      <alignment horizontal="left" vertical="center" wrapText="1"/>
    </xf>
    <xf numFmtId="0" fontId="39" fillId="39" borderId="110" xfId="0" applyFont="1" applyFill="1" applyBorder="1" applyAlignment="1" applyProtection="1">
      <alignment horizontal="left" vertical="center" wrapText="1"/>
    </xf>
    <xf numFmtId="0" fontId="42" fillId="46" borderId="106" xfId="0" applyFont="1" applyFill="1" applyBorder="1" applyAlignment="1" applyProtection="1">
      <alignment horizontal="left" vertical="center" wrapText="1"/>
    </xf>
    <xf numFmtId="0" fontId="42" fillId="46" borderId="64" xfId="0" applyFont="1" applyFill="1" applyBorder="1" applyAlignment="1" applyProtection="1">
      <alignment horizontal="left" vertical="center" wrapText="1"/>
    </xf>
    <xf numFmtId="0" fontId="42" fillId="46" borderId="42" xfId="0" applyFont="1" applyFill="1" applyBorder="1" applyAlignment="1" applyProtection="1">
      <alignment horizontal="left" vertical="center" wrapText="1"/>
    </xf>
    <xf numFmtId="0" fontId="8" fillId="28" borderId="49" xfId="0" applyFont="1" applyFill="1" applyBorder="1" applyAlignment="1" applyProtection="1">
      <alignment horizontal="left" vertical="center" wrapText="1"/>
    </xf>
    <xf numFmtId="0" fontId="8" fillId="28" borderId="60" xfId="0" applyFont="1" applyFill="1" applyBorder="1" applyAlignment="1" applyProtection="1">
      <alignment horizontal="left" vertical="center" wrapText="1"/>
    </xf>
    <xf numFmtId="0" fontId="8" fillId="28" borderId="61" xfId="0" applyFont="1" applyFill="1" applyBorder="1" applyAlignment="1" applyProtection="1">
      <alignment horizontal="left" vertical="center" wrapText="1"/>
    </xf>
    <xf numFmtId="0" fontId="41" fillId="39" borderId="109" xfId="0" applyFont="1" applyFill="1" applyBorder="1" applyAlignment="1" applyProtection="1">
      <alignment horizontal="left"/>
    </xf>
    <xf numFmtId="0" fontId="41" fillId="39" borderId="26" xfId="0" applyFont="1" applyFill="1" applyBorder="1" applyAlignment="1" applyProtection="1">
      <alignment horizontal="left"/>
    </xf>
    <xf numFmtId="0" fontId="38" fillId="39" borderId="26" xfId="0" applyFont="1" applyFill="1" applyBorder="1" applyAlignment="1" applyProtection="1">
      <alignment horizontal="center" wrapText="1"/>
    </xf>
    <xf numFmtId="0" fontId="38" fillId="46" borderId="26" xfId="0" applyFont="1" applyFill="1" applyBorder="1" applyAlignment="1" applyProtection="1">
      <alignment horizontal="center" wrapText="1"/>
    </xf>
    <xf numFmtId="0" fontId="41" fillId="39" borderId="102" xfId="0" applyFont="1" applyFill="1" applyBorder="1" applyAlignment="1" applyProtection="1">
      <alignment horizontal="left" wrapText="1"/>
    </xf>
    <xf numFmtId="0" fontId="41" fillId="39" borderId="31" xfId="0" applyFont="1" applyFill="1" applyBorder="1" applyAlignment="1" applyProtection="1">
      <alignment horizontal="left" wrapText="1"/>
    </xf>
    <xf numFmtId="0" fontId="41" fillId="39" borderId="30" xfId="0" applyFont="1" applyFill="1" applyBorder="1" applyAlignment="1" applyProtection="1">
      <alignment horizontal="left" wrapText="1"/>
    </xf>
    <xf numFmtId="0" fontId="86" fillId="46" borderId="102" xfId="0" applyFont="1" applyFill="1" applyBorder="1" applyAlignment="1" applyProtection="1">
      <alignment horizontal="left"/>
    </xf>
    <xf numFmtId="0" fontId="86" fillId="46" borderId="31" xfId="0" applyFont="1" applyFill="1" applyBorder="1" applyAlignment="1" applyProtection="1">
      <alignment horizontal="left"/>
    </xf>
    <xf numFmtId="0" fontId="86" fillId="46" borderId="103" xfId="0" applyFont="1" applyFill="1" applyBorder="1" applyAlignment="1" applyProtection="1">
      <alignment horizontal="left"/>
    </xf>
    <xf numFmtId="0" fontId="36" fillId="11" borderId="3" xfId="0" applyFont="1" applyFill="1" applyBorder="1" applyAlignment="1" applyProtection="1">
      <alignment horizontal="center" vertical="center"/>
      <protection hidden="1"/>
    </xf>
    <xf numFmtId="0" fontId="36" fillId="11" borderId="25" xfId="0" applyFont="1" applyFill="1" applyBorder="1" applyAlignment="1" applyProtection="1">
      <alignment horizontal="center" vertical="center"/>
      <protection hidden="1"/>
    </xf>
    <xf numFmtId="0" fontId="36" fillId="11" borderId="8" xfId="0" applyFont="1" applyFill="1" applyBorder="1" applyAlignment="1" applyProtection="1">
      <alignment horizontal="center" vertical="center"/>
      <protection hidden="1"/>
    </xf>
    <xf numFmtId="0" fontId="49" fillId="14" borderId="80" xfId="0" applyFont="1" applyFill="1" applyBorder="1" applyAlignment="1" applyProtection="1">
      <alignment horizontal="left" wrapText="1"/>
      <protection hidden="1"/>
    </xf>
    <xf numFmtId="0" fontId="49" fillId="14" borderId="82" xfId="0" applyFont="1" applyFill="1" applyBorder="1" applyAlignment="1" applyProtection="1">
      <alignment horizontal="left" wrapText="1"/>
      <protection hidden="1"/>
    </xf>
    <xf numFmtId="0" fontId="49" fillId="14" borderId="83" xfId="0" applyFont="1" applyFill="1" applyBorder="1" applyAlignment="1" applyProtection="1">
      <alignment horizontal="left" wrapText="1"/>
      <protection hidden="1"/>
    </xf>
    <xf numFmtId="0" fontId="49" fillId="14" borderId="84" xfId="0" applyFont="1" applyFill="1" applyBorder="1" applyAlignment="1" applyProtection="1">
      <alignment horizontal="left" wrapText="1"/>
      <protection hidden="1"/>
    </xf>
    <xf numFmtId="0" fontId="49" fillId="14" borderId="7" xfId="0" applyFont="1" applyFill="1" applyBorder="1" applyAlignment="1" applyProtection="1">
      <alignment horizontal="left" wrapText="1"/>
      <protection hidden="1"/>
    </xf>
    <xf numFmtId="0" fontId="49" fillId="14" borderId="86" xfId="0" applyFont="1" applyFill="1" applyBorder="1" applyAlignment="1" applyProtection="1">
      <alignment horizontal="left" wrapText="1"/>
      <protection hidden="1"/>
    </xf>
    <xf numFmtId="0" fontId="49" fillId="14" borderId="85" xfId="0" applyFont="1" applyFill="1" applyBorder="1" applyAlignment="1" applyProtection="1">
      <alignment horizontal="left" wrapText="1"/>
      <protection hidden="1"/>
    </xf>
    <xf numFmtId="0" fontId="87" fillId="77" borderId="80" xfId="0" applyFont="1" applyFill="1" applyBorder="1" applyAlignment="1" applyProtection="1">
      <alignment horizontal="center" vertical="center" wrapText="1"/>
      <protection hidden="1"/>
    </xf>
    <xf numFmtId="0" fontId="87" fillId="77" borderId="87" xfId="0" applyFont="1" applyFill="1" applyBorder="1" applyAlignment="1" applyProtection="1">
      <alignment horizontal="center" vertical="center" wrapText="1"/>
      <protection hidden="1"/>
    </xf>
    <xf numFmtId="0" fontId="87" fillId="77" borderId="11" xfId="0" applyFont="1" applyFill="1" applyBorder="1" applyAlignment="1" applyProtection="1">
      <alignment horizontal="center" vertical="center" wrapText="1"/>
      <protection hidden="1"/>
    </xf>
    <xf numFmtId="0" fontId="87" fillId="77" borderId="4" xfId="0" applyFont="1" applyFill="1" applyBorder="1" applyAlignment="1" applyProtection="1">
      <alignment horizontal="center" vertical="center" wrapText="1"/>
      <protection hidden="1"/>
    </xf>
    <xf numFmtId="42" fontId="38" fillId="29" borderId="80" xfId="0" applyNumberFormat="1" applyFont="1" applyFill="1" applyBorder="1" applyAlignment="1" applyProtection="1">
      <alignment horizontal="center" wrapText="1"/>
      <protection hidden="1"/>
    </xf>
    <xf numFmtId="42" fontId="38" fillId="29" borderId="82" xfId="0" applyNumberFormat="1" applyFont="1" applyFill="1" applyBorder="1" applyAlignment="1" applyProtection="1">
      <alignment horizontal="center" wrapText="1"/>
      <protection hidden="1"/>
    </xf>
    <xf numFmtId="42" fontId="38" fillId="29" borderId="3" xfId="0" applyNumberFormat="1" applyFont="1" applyFill="1" applyBorder="1" applyAlignment="1" applyProtection="1">
      <alignment horizontal="center" wrapText="1"/>
      <protection hidden="1"/>
    </xf>
    <xf numFmtId="42" fontId="38" fillId="29" borderId="8" xfId="0" applyNumberFormat="1" applyFont="1" applyFill="1" applyBorder="1" applyAlignment="1" applyProtection="1">
      <alignment horizontal="center" wrapText="1"/>
      <protection hidden="1"/>
    </xf>
    <xf numFmtId="0" fontId="38" fillId="29" borderId="4" xfId="0" applyFont="1" applyFill="1" applyBorder="1" applyAlignment="1" applyProtection="1">
      <alignment horizontal="left" wrapText="1"/>
      <protection hidden="1"/>
    </xf>
    <xf numFmtId="0" fontId="122" fillId="78" borderId="3" xfId="0" applyFont="1" applyFill="1" applyBorder="1" applyAlignment="1" applyProtection="1">
      <alignment horizontal="center"/>
      <protection hidden="1"/>
    </xf>
    <xf numFmtId="0" fontId="122" fillId="78" borderId="25" xfId="0" applyFont="1" applyFill="1" applyBorder="1" applyAlignment="1" applyProtection="1">
      <alignment horizontal="center"/>
      <protection hidden="1"/>
    </xf>
    <xf numFmtId="0" fontId="122" fillId="78" borderId="8" xfId="0" applyFont="1" applyFill="1" applyBorder="1" applyAlignment="1" applyProtection="1">
      <alignment horizontal="center"/>
      <protection hidden="1"/>
    </xf>
    <xf numFmtId="0" fontId="49" fillId="14" borderId="3" xfId="0" applyFont="1" applyFill="1" applyBorder="1" applyAlignment="1" applyProtection="1">
      <alignment horizontal="left" vertical="center" wrapText="1"/>
      <protection hidden="1"/>
    </xf>
    <xf numFmtId="0" fontId="49" fillId="14" borderId="25" xfId="0" applyFont="1" applyFill="1" applyBorder="1" applyAlignment="1" applyProtection="1">
      <alignment horizontal="left" vertical="center" wrapText="1"/>
      <protection hidden="1"/>
    </xf>
    <xf numFmtId="0" fontId="49" fillId="14" borderId="8" xfId="0" applyFont="1" applyFill="1" applyBorder="1" applyAlignment="1" applyProtection="1">
      <alignment horizontal="left" vertical="center" wrapText="1"/>
      <protection hidden="1"/>
    </xf>
    <xf numFmtId="0" fontId="36" fillId="82" borderId="80" xfId="0" applyFont="1" applyFill="1" applyBorder="1" applyAlignment="1" applyProtection="1">
      <alignment horizontal="center" vertical="center"/>
    </xf>
    <xf numFmtId="0" fontId="36" fillId="82" borderId="81" xfId="0" applyFont="1" applyFill="1" applyBorder="1" applyAlignment="1" applyProtection="1">
      <alignment horizontal="center" vertical="center"/>
    </xf>
    <xf numFmtId="0" fontId="36" fillId="82" borderId="82" xfId="0" applyFont="1" applyFill="1" applyBorder="1" applyAlignment="1" applyProtection="1">
      <alignment horizontal="center" vertical="center"/>
    </xf>
    <xf numFmtId="0" fontId="42" fillId="46" borderId="114" xfId="0" applyFont="1" applyFill="1" applyBorder="1" applyAlignment="1" applyProtection="1">
      <alignment horizontal="left"/>
    </xf>
    <xf numFmtId="0" fontId="42" fillId="46" borderId="69" xfId="0" applyFont="1" applyFill="1" applyBorder="1" applyAlignment="1" applyProtection="1">
      <alignment horizontal="left"/>
    </xf>
    <xf numFmtId="0" fontId="42" fillId="46" borderId="137" xfId="0" applyFont="1" applyFill="1" applyBorder="1" applyAlignment="1" applyProtection="1">
      <alignment horizontal="left"/>
    </xf>
    <xf numFmtId="0" fontId="38" fillId="84" borderId="26" xfId="0" applyFont="1" applyFill="1" applyBorder="1" applyAlignment="1" applyProtection="1">
      <alignment horizontal="center" wrapText="1"/>
    </xf>
    <xf numFmtId="0" fontId="38" fillId="83" borderId="26" xfId="0" applyFont="1" applyFill="1" applyBorder="1" applyAlignment="1" applyProtection="1">
      <alignment horizontal="center" wrapText="1"/>
    </xf>
    <xf numFmtId="0" fontId="38" fillId="42" borderId="108" xfId="0" applyFont="1" applyFill="1" applyBorder="1" applyAlignment="1" applyProtection="1">
      <alignment horizontal="center" wrapText="1"/>
    </xf>
    <xf numFmtId="0" fontId="16" fillId="42" borderId="28" xfId="0" applyFont="1" applyFill="1" applyBorder="1" applyAlignment="1" applyProtection="1">
      <alignment horizontal="center" vertical="center"/>
    </xf>
    <xf numFmtId="0" fontId="16" fillId="42" borderId="32" xfId="0" applyFont="1" applyFill="1" applyBorder="1" applyAlignment="1" applyProtection="1">
      <alignment horizontal="center" vertical="center"/>
    </xf>
    <xf numFmtId="0" fontId="38" fillId="42" borderId="26" xfId="0" applyFont="1" applyFill="1" applyBorder="1" applyAlignment="1" applyProtection="1">
      <alignment horizontal="center" wrapText="1"/>
    </xf>
    <xf numFmtId="0" fontId="88" fillId="82" borderId="112" xfId="0" applyFont="1" applyFill="1" applyBorder="1" applyAlignment="1" applyProtection="1">
      <alignment horizontal="center" vertical="center"/>
    </xf>
    <xf numFmtId="0" fontId="88" fillId="82" borderId="38" xfId="0" applyFont="1" applyFill="1" applyBorder="1" applyAlignment="1" applyProtection="1">
      <alignment horizontal="center" vertical="center"/>
    </xf>
    <xf numFmtId="0" fontId="88" fillId="82" borderId="83" xfId="0" applyFont="1" applyFill="1" applyBorder="1" applyAlignment="1" applyProtection="1">
      <alignment horizontal="center" vertical="center"/>
    </xf>
    <xf numFmtId="0" fontId="88" fillId="82" borderId="39" xfId="0" applyFont="1" applyFill="1" applyBorder="1" applyAlignment="1" applyProtection="1">
      <alignment horizontal="center" vertical="center"/>
    </xf>
    <xf numFmtId="0" fontId="41" fillId="42" borderId="109" xfId="0" applyFont="1" applyFill="1" applyBorder="1" applyAlignment="1" applyProtection="1">
      <alignment horizontal="left"/>
    </xf>
    <xf numFmtId="0" fontId="41" fillId="42" borderId="26" xfId="0" applyFont="1" applyFill="1" applyBorder="1" applyAlignment="1" applyProtection="1">
      <alignment horizontal="left"/>
    </xf>
    <xf numFmtId="0" fontId="46" fillId="0" borderId="93" xfId="0" applyFont="1" applyFill="1" applyBorder="1" applyAlignment="1" applyProtection="1">
      <alignment horizontal="center"/>
      <protection locked="0"/>
    </xf>
    <xf numFmtId="0" fontId="46" fillId="0" borderId="42" xfId="0" applyFont="1" applyFill="1" applyBorder="1" applyAlignment="1" applyProtection="1">
      <alignment horizontal="center"/>
      <protection locked="0"/>
    </xf>
    <xf numFmtId="0" fontId="33" fillId="82" borderId="102" xfId="0" applyFont="1" applyFill="1" applyBorder="1" applyAlignment="1" applyProtection="1">
      <alignment horizontal="left" wrapText="1"/>
    </xf>
    <xf numFmtId="0" fontId="33" fillId="82" borderId="31" xfId="0" applyFont="1" applyFill="1" applyBorder="1" applyAlignment="1" applyProtection="1">
      <alignment horizontal="left" wrapText="1"/>
    </xf>
    <xf numFmtId="0" fontId="33" fillId="82" borderId="103" xfId="0" applyFont="1" applyFill="1" applyBorder="1" applyAlignment="1" applyProtection="1">
      <alignment horizontal="left" wrapText="1"/>
    </xf>
    <xf numFmtId="0" fontId="43" fillId="83" borderId="102" xfId="0" applyFont="1" applyFill="1" applyBorder="1" applyAlignment="1" applyProtection="1">
      <alignment horizontal="center"/>
    </xf>
    <xf numFmtId="0" fontId="43" fillId="83" borderId="31" xfId="0" applyFont="1" applyFill="1" applyBorder="1" applyAlignment="1" applyProtection="1">
      <alignment horizontal="center"/>
    </xf>
    <xf numFmtId="0" fontId="43" fillId="83" borderId="30" xfId="0" applyFont="1" applyFill="1" applyBorder="1" applyAlignment="1" applyProtection="1">
      <alignment horizontal="center"/>
    </xf>
    <xf numFmtId="0" fontId="43" fillId="83" borderId="105" xfId="0" applyFont="1" applyFill="1" applyBorder="1" applyAlignment="1" applyProtection="1">
      <alignment horizontal="center"/>
    </xf>
    <xf numFmtId="0" fontId="43" fillId="83" borderId="72" xfId="0" applyFont="1" applyFill="1" applyBorder="1" applyAlignment="1" applyProtection="1">
      <alignment horizontal="center"/>
    </xf>
    <xf numFmtId="0" fontId="43" fillId="83" borderId="73" xfId="0" applyFont="1" applyFill="1" applyBorder="1" applyAlignment="1" applyProtection="1">
      <alignment horizontal="center"/>
    </xf>
    <xf numFmtId="0" fontId="46" fillId="14" borderId="71" xfId="0" applyFont="1" applyFill="1" applyBorder="1" applyAlignment="1" applyProtection="1">
      <alignment horizontal="center"/>
      <protection locked="0"/>
    </xf>
    <xf numFmtId="0" fontId="46" fillId="14" borderId="73" xfId="0" applyFont="1" applyFill="1" applyBorder="1" applyAlignment="1" applyProtection="1">
      <alignment horizontal="center"/>
      <protection locked="0"/>
    </xf>
    <xf numFmtId="0" fontId="57" fillId="0" borderId="48" xfId="0" applyFont="1" applyFill="1" applyBorder="1" applyAlignment="1" applyProtection="1">
      <alignment horizontal="center"/>
      <protection locked="0"/>
    </xf>
    <xf numFmtId="0" fontId="57" fillId="0" borderId="42" xfId="0" applyFont="1" applyFill="1" applyBorder="1" applyAlignment="1" applyProtection="1">
      <alignment horizontal="center"/>
      <protection locked="0"/>
    </xf>
    <xf numFmtId="0" fontId="49" fillId="0" borderId="65" xfId="0" applyFont="1" applyFill="1" applyBorder="1" applyAlignment="1" applyProtection="1">
      <alignment horizontal="center" vertical="center" wrapText="1"/>
      <protection locked="0"/>
    </xf>
    <xf numFmtId="0" fontId="49" fillId="0" borderId="66" xfId="0" applyFont="1" applyFill="1" applyBorder="1" applyAlignment="1" applyProtection="1">
      <alignment horizontal="center" vertical="center" wrapText="1"/>
      <protection locked="0"/>
    </xf>
    <xf numFmtId="0" fontId="49" fillId="0" borderId="77" xfId="0" applyFont="1" applyFill="1" applyBorder="1" applyAlignment="1" applyProtection="1">
      <alignment horizontal="center" vertical="center" wrapText="1"/>
      <protection locked="0"/>
    </xf>
    <xf numFmtId="0" fontId="49" fillId="0" borderId="78" xfId="0" applyFont="1" applyFill="1" applyBorder="1" applyAlignment="1" applyProtection="1">
      <alignment horizontal="center" vertical="center" wrapText="1"/>
      <protection locked="0"/>
    </xf>
    <xf numFmtId="0" fontId="25" fillId="81" borderId="36" xfId="0" applyFont="1" applyFill="1" applyBorder="1" applyAlignment="1" applyProtection="1">
      <alignment horizontal="left" vertical="center" wrapText="1"/>
    </xf>
    <xf numFmtId="0" fontId="25" fillId="81" borderId="110" xfId="0" applyFont="1" applyFill="1" applyBorder="1" applyAlignment="1" applyProtection="1">
      <alignment horizontal="left" vertical="center" wrapText="1"/>
    </xf>
    <xf numFmtId="0" fontId="25" fillId="81" borderId="0" xfId="0" applyFont="1" applyFill="1" applyBorder="1" applyAlignment="1" applyProtection="1">
      <alignment horizontal="left" vertical="center" wrapText="1"/>
    </xf>
    <xf numFmtId="0" fontId="25" fillId="81" borderId="84" xfId="0" applyFont="1" applyFill="1" applyBorder="1" applyAlignment="1" applyProtection="1">
      <alignment horizontal="left" vertical="center" wrapText="1"/>
    </xf>
    <xf numFmtId="0" fontId="25" fillId="81" borderId="34" xfId="0" applyFont="1" applyFill="1" applyBorder="1" applyAlignment="1" applyProtection="1">
      <alignment horizontal="left" vertical="center" wrapText="1"/>
    </xf>
    <xf numFmtId="0" fontId="25" fillId="81" borderId="111" xfId="0" applyFont="1" applyFill="1" applyBorder="1" applyAlignment="1" applyProtection="1">
      <alignment horizontal="left" vertical="center" wrapText="1"/>
    </xf>
    <xf numFmtId="0" fontId="47" fillId="83" borderId="102" xfId="1" applyFont="1" applyFill="1" applyBorder="1" applyAlignment="1" applyProtection="1">
      <alignment horizontal="left" wrapText="1"/>
    </xf>
    <xf numFmtId="0" fontId="47" fillId="83" borderId="30" xfId="1" applyFont="1" applyFill="1" applyBorder="1" applyAlignment="1" applyProtection="1">
      <alignment horizontal="left" wrapText="1"/>
    </xf>
    <xf numFmtId="0" fontId="38" fillId="83" borderId="74" xfId="0" applyFont="1" applyFill="1" applyBorder="1" applyAlignment="1" applyProtection="1">
      <alignment horizontal="left" vertical="center"/>
    </xf>
    <xf numFmtId="0" fontId="38" fillId="83" borderId="69" xfId="0" applyFont="1" applyFill="1" applyBorder="1" applyAlignment="1" applyProtection="1">
      <alignment horizontal="left" vertical="center"/>
    </xf>
    <xf numFmtId="0" fontId="38" fillId="83" borderId="70" xfId="0" applyFont="1" applyFill="1" applyBorder="1" applyAlignment="1" applyProtection="1">
      <alignment horizontal="left" vertical="center"/>
    </xf>
    <xf numFmtId="0" fontId="33" fillId="82" borderId="122" xfId="0" applyFont="1" applyFill="1" applyBorder="1" applyAlignment="1" applyProtection="1">
      <alignment horizontal="left" vertical="center"/>
    </xf>
    <xf numFmtId="0" fontId="33" fillId="82" borderId="123" xfId="0" applyFont="1" applyFill="1" applyBorder="1" applyAlignment="1" applyProtection="1">
      <alignment horizontal="left" vertical="center"/>
    </xf>
    <xf numFmtId="0" fontId="33" fillId="82" borderId="124" xfId="0" applyFont="1" applyFill="1" applyBorder="1" applyAlignment="1" applyProtection="1">
      <alignment horizontal="left" vertical="center"/>
    </xf>
    <xf numFmtId="0" fontId="34" fillId="82" borderId="83" xfId="0" applyFont="1" applyFill="1" applyBorder="1" applyAlignment="1" applyProtection="1">
      <alignment horizontal="center" vertical="center" wrapText="1"/>
    </xf>
    <xf numFmtId="0" fontId="34" fillId="82" borderId="39" xfId="0" applyFont="1" applyFill="1" applyBorder="1" applyAlignment="1" applyProtection="1">
      <alignment horizontal="center" vertical="center" wrapText="1"/>
    </xf>
    <xf numFmtId="0" fontId="34" fillId="82" borderId="113" xfId="0" applyFont="1" applyFill="1" applyBorder="1" applyAlignment="1" applyProtection="1">
      <alignment horizontal="center" vertical="center" wrapText="1"/>
    </xf>
    <xf numFmtId="0" fontId="34" fillId="82" borderId="27" xfId="0" applyFont="1" applyFill="1" applyBorder="1" applyAlignment="1" applyProtection="1">
      <alignment horizontal="center" vertical="center" wrapText="1"/>
    </xf>
    <xf numFmtId="0" fontId="39" fillId="42" borderId="112" xfId="0" applyFont="1" applyFill="1" applyBorder="1" applyAlignment="1" applyProtection="1">
      <alignment horizontal="left" vertical="center" wrapText="1"/>
    </xf>
    <xf numFmtId="0" fontId="39" fillId="42" borderId="36" xfId="0" applyFont="1" applyFill="1" applyBorder="1" applyAlignment="1" applyProtection="1">
      <alignment horizontal="left" vertical="center" wrapText="1"/>
    </xf>
    <xf numFmtId="0" fontId="39" fillId="42" borderId="110" xfId="0" applyFont="1" applyFill="1" applyBorder="1" applyAlignment="1" applyProtection="1">
      <alignment horizontal="left" vertical="center" wrapText="1"/>
    </xf>
    <xf numFmtId="0" fontId="33" fillId="82" borderId="98" xfId="0" applyFont="1" applyFill="1" applyBorder="1" applyAlignment="1" applyProtection="1">
      <alignment horizontal="left" vertical="center"/>
    </xf>
    <xf numFmtId="0" fontId="33" fillId="82" borderId="60" xfId="0" applyFont="1" applyFill="1" applyBorder="1" applyAlignment="1" applyProtection="1">
      <alignment horizontal="left" vertical="center"/>
    </xf>
    <xf numFmtId="0" fontId="33" fillId="82" borderId="99" xfId="0" applyFont="1" applyFill="1" applyBorder="1" applyAlignment="1" applyProtection="1">
      <alignment horizontal="left" vertical="center"/>
    </xf>
    <xf numFmtId="0" fontId="42" fillId="83" borderId="106" xfId="0" applyFont="1" applyFill="1" applyBorder="1" applyAlignment="1" applyProtection="1">
      <alignment horizontal="left" wrapText="1"/>
    </xf>
    <xf numFmtId="0" fontId="42" fillId="83" borderId="64" xfId="0" applyFont="1" applyFill="1" applyBorder="1" applyAlignment="1" applyProtection="1">
      <alignment horizontal="left" wrapText="1"/>
    </xf>
    <xf numFmtId="0" fontId="42" fillId="83" borderId="42" xfId="0" applyFont="1" applyFill="1" applyBorder="1" applyAlignment="1" applyProtection="1">
      <alignment horizontal="left" wrapText="1"/>
    </xf>
    <xf numFmtId="0" fontId="25" fillId="81" borderId="71" xfId="1" applyFont="1" applyFill="1" applyBorder="1" applyAlignment="1" applyProtection="1">
      <alignment horizontal="left" wrapText="1"/>
    </xf>
    <xf numFmtId="0" fontId="25" fillId="81" borderId="72" xfId="1" applyFont="1" applyFill="1" applyBorder="1" applyAlignment="1" applyProtection="1">
      <alignment horizontal="left" wrapText="1"/>
    </xf>
    <xf numFmtId="0" fontId="25" fillId="81" borderId="73" xfId="1" applyFont="1" applyFill="1" applyBorder="1" applyAlignment="1" applyProtection="1">
      <alignment horizontal="left" wrapText="1"/>
    </xf>
    <xf numFmtId="0" fontId="25" fillId="81" borderId="36" xfId="1" applyFont="1" applyFill="1" applyBorder="1" applyAlignment="1" applyProtection="1">
      <alignment horizontal="left" vertical="center" wrapText="1"/>
    </xf>
    <xf numFmtId="0" fontId="25" fillId="81" borderId="66" xfId="1" applyFont="1" applyFill="1" applyBorder="1" applyAlignment="1" applyProtection="1">
      <alignment horizontal="left" vertical="center" wrapText="1"/>
    </xf>
    <xf numFmtId="0" fontId="25" fillId="81" borderId="0" xfId="1" applyFont="1" applyFill="1" applyBorder="1" applyAlignment="1" applyProtection="1">
      <alignment horizontal="left" vertical="center" wrapText="1"/>
    </xf>
    <xf numFmtId="0" fontId="25" fillId="81" borderId="62" xfId="1" applyFont="1" applyFill="1" applyBorder="1" applyAlignment="1" applyProtection="1">
      <alignment horizontal="left" vertical="center" wrapText="1"/>
    </xf>
    <xf numFmtId="0" fontId="25" fillId="81" borderId="142" xfId="1" applyFont="1" applyFill="1" applyBorder="1" applyAlignment="1" applyProtection="1">
      <alignment horizontal="left" vertical="center" wrapText="1"/>
    </xf>
    <xf numFmtId="0" fontId="25" fillId="81" borderId="143" xfId="1" applyFont="1" applyFill="1" applyBorder="1" applyAlignment="1" applyProtection="1">
      <alignment horizontal="left" vertical="center" wrapText="1"/>
    </xf>
    <xf numFmtId="0" fontId="42" fillId="83" borderId="102" xfId="1" applyFont="1" applyFill="1" applyBorder="1" applyAlignment="1" applyProtection="1">
      <alignment horizontal="left" vertical="center" wrapText="1"/>
    </xf>
    <xf numFmtId="0" fontId="42" fillId="83" borderId="31" xfId="1" applyFont="1" applyFill="1" applyBorder="1" applyAlignment="1" applyProtection="1">
      <alignment horizontal="left" vertical="center" wrapText="1"/>
    </xf>
    <xf numFmtId="0" fontId="42" fillId="83" borderId="30" xfId="1" applyFont="1" applyFill="1" applyBorder="1" applyAlignment="1" applyProtection="1">
      <alignment horizontal="left" vertical="center" wrapText="1"/>
    </xf>
    <xf numFmtId="0" fontId="42" fillId="83" borderId="114" xfId="0" applyFont="1" applyFill="1" applyBorder="1" applyAlignment="1" applyProtection="1">
      <alignment horizontal="left" vertical="center" wrapText="1"/>
    </xf>
    <xf numFmtId="0" fontId="42" fillId="83" borderId="69" xfId="0" applyFont="1" applyFill="1" applyBorder="1" applyAlignment="1" applyProtection="1">
      <alignment horizontal="left" vertical="center" wrapText="1"/>
    </xf>
    <xf numFmtId="0" fontId="42" fillId="83" borderId="70" xfId="0" applyFont="1" applyFill="1" applyBorder="1" applyAlignment="1" applyProtection="1">
      <alignment horizontal="left" vertical="center" wrapText="1"/>
    </xf>
    <xf numFmtId="0" fontId="25" fillId="81" borderId="37" xfId="1" applyFont="1" applyFill="1" applyBorder="1" applyAlignment="1" applyProtection="1">
      <alignment horizontal="left" vertical="center" wrapText="1"/>
    </xf>
    <xf numFmtId="0" fontId="25" fillId="81" borderId="40" xfId="1" applyFont="1" applyFill="1" applyBorder="1" applyAlignment="1" applyProtection="1">
      <alignment horizontal="left" vertical="center" wrapText="1"/>
    </xf>
    <xf numFmtId="0" fontId="25" fillId="81" borderId="79" xfId="1" applyFont="1" applyFill="1" applyBorder="1" applyAlignment="1" applyProtection="1">
      <alignment horizontal="left" vertical="center" wrapText="1"/>
    </xf>
    <xf numFmtId="0" fontId="25" fillId="81" borderId="43" xfId="1" applyFont="1" applyFill="1" applyBorder="1" applyAlignment="1" applyProtection="1">
      <alignment horizontal="left" vertical="center" wrapText="1"/>
    </xf>
    <xf numFmtId="0" fontId="118" fillId="82" borderId="98" xfId="0" applyFont="1" applyFill="1" applyBorder="1" applyAlignment="1" applyProtection="1">
      <alignment horizontal="center" vertical="center"/>
    </xf>
    <xf numFmtId="0" fontId="118" fillId="82" borderId="91" xfId="0" applyFont="1" applyFill="1" applyBorder="1" applyAlignment="1" applyProtection="1">
      <alignment horizontal="center" vertical="center"/>
    </xf>
    <xf numFmtId="0" fontId="118" fillId="82" borderId="83" xfId="0" applyFont="1" applyFill="1" applyBorder="1" applyAlignment="1" applyProtection="1">
      <alignment horizontal="center" vertical="center"/>
    </xf>
    <xf numFmtId="0" fontId="118" fillId="82" borderId="39" xfId="0" applyFont="1" applyFill="1" applyBorder="1" applyAlignment="1" applyProtection="1">
      <alignment horizontal="center" vertical="center"/>
    </xf>
    <xf numFmtId="0" fontId="118" fillId="82" borderId="100" xfId="0" applyFont="1" applyFill="1" applyBorder="1" applyAlignment="1" applyProtection="1">
      <alignment horizontal="center" vertical="center"/>
    </xf>
    <xf numFmtId="0" fontId="118" fillId="82" borderId="67" xfId="0" applyFont="1" applyFill="1" applyBorder="1" applyAlignment="1" applyProtection="1">
      <alignment horizontal="center" vertical="center"/>
    </xf>
    <xf numFmtId="0" fontId="39" fillId="42" borderId="106" xfId="1" applyFont="1" applyFill="1" applyBorder="1" applyAlignment="1" applyProtection="1">
      <alignment horizontal="left" vertical="center" wrapText="1"/>
    </xf>
    <xf numFmtId="0" fontId="39" fillId="42" borderId="64" xfId="1" applyFont="1" applyFill="1" applyBorder="1" applyAlignment="1" applyProtection="1">
      <alignment horizontal="left" vertical="center" wrapText="1"/>
    </xf>
    <xf numFmtId="0" fontId="39" fillId="42" borderId="42" xfId="1" applyFont="1" applyFill="1" applyBorder="1" applyAlignment="1" applyProtection="1">
      <alignment horizontal="left" vertical="center" wrapText="1"/>
    </xf>
    <xf numFmtId="0" fontId="42" fillId="83" borderId="100" xfId="0" applyFont="1" applyFill="1" applyBorder="1" applyAlignment="1" applyProtection="1">
      <alignment horizontal="left" wrapText="1"/>
    </xf>
    <xf numFmtId="0" fontId="42" fillId="83" borderId="43" xfId="0" applyFont="1" applyFill="1" applyBorder="1" applyAlignment="1" applyProtection="1">
      <alignment horizontal="left" wrapText="1"/>
    </xf>
    <xf numFmtId="0" fontId="42" fillId="83" borderId="63" xfId="0" applyFont="1" applyFill="1" applyBorder="1" applyAlignment="1" applyProtection="1">
      <alignment horizontal="left" wrapText="1"/>
    </xf>
    <xf numFmtId="0" fontId="38" fillId="83" borderId="77" xfId="0" applyFont="1" applyFill="1" applyBorder="1" applyAlignment="1" applyProtection="1">
      <alignment horizontal="left" vertical="center"/>
    </xf>
    <xf numFmtId="0" fontId="38" fillId="83" borderId="34" xfId="0" applyFont="1" applyFill="1" applyBorder="1" applyAlignment="1" applyProtection="1">
      <alignment horizontal="left" vertical="center"/>
    </xf>
    <xf numFmtId="0" fontId="38" fillId="83" borderId="78" xfId="0" applyFont="1" applyFill="1" applyBorder="1" applyAlignment="1" applyProtection="1">
      <alignment horizontal="left" vertical="center"/>
    </xf>
    <xf numFmtId="0" fontId="8" fillId="81" borderId="49" xfId="0" applyFont="1" applyFill="1" applyBorder="1" applyAlignment="1" applyProtection="1">
      <alignment horizontal="left" vertical="center" wrapText="1"/>
    </xf>
    <xf numFmtId="0" fontId="8" fillId="81" borderId="60" xfId="0" applyFont="1" applyFill="1" applyBorder="1" applyAlignment="1" applyProtection="1">
      <alignment horizontal="left" vertical="center" wrapText="1"/>
    </xf>
    <xf numFmtId="0" fontId="8" fillId="81" borderId="61" xfId="0" applyFont="1" applyFill="1" applyBorder="1" applyAlignment="1" applyProtection="1">
      <alignment horizontal="left" vertical="center" wrapText="1"/>
    </xf>
    <xf numFmtId="0" fontId="25" fillId="81" borderId="63" xfId="1" applyFont="1" applyFill="1" applyBorder="1" applyAlignment="1" applyProtection="1">
      <alignment horizontal="left" vertical="center" wrapText="1"/>
    </xf>
    <xf numFmtId="0" fontId="42" fillId="83" borderId="106" xfId="0" applyFont="1" applyFill="1" applyBorder="1" applyAlignment="1" applyProtection="1">
      <alignment horizontal="left" vertical="center" wrapText="1"/>
    </xf>
    <xf numFmtId="0" fontId="42" fillId="83" borderId="64" xfId="0" applyFont="1" applyFill="1" applyBorder="1" applyAlignment="1" applyProtection="1">
      <alignment horizontal="left" vertical="center" wrapText="1"/>
    </xf>
    <xf numFmtId="0" fontId="42" fillId="83" borderId="42" xfId="0" applyFont="1" applyFill="1" applyBorder="1" applyAlignment="1" applyProtection="1">
      <alignment horizontal="left" vertical="center" wrapText="1"/>
    </xf>
    <xf numFmtId="0" fontId="33" fillId="82" borderId="102" xfId="0" applyFont="1" applyFill="1" applyBorder="1" applyAlignment="1" applyProtection="1">
      <alignment horizontal="left" vertical="center"/>
    </xf>
    <xf numFmtId="0" fontId="33" fillId="82" borderId="31" xfId="0" applyFont="1" applyFill="1" applyBorder="1" applyAlignment="1" applyProtection="1">
      <alignment horizontal="left" vertical="center"/>
    </xf>
    <xf numFmtId="0" fontId="33" fillId="82" borderId="103" xfId="0" applyFont="1" applyFill="1" applyBorder="1" applyAlignment="1" applyProtection="1">
      <alignment horizontal="left" vertical="center"/>
    </xf>
    <xf numFmtId="0" fontId="49" fillId="42" borderId="98" xfId="0" applyFont="1" applyFill="1" applyBorder="1" applyAlignment="1" applyProtection="1">
      <alignment horizontal="center" wrapText="1"/>
    </xf>
    <xf numFmtId="0" fontId="49" fillId="42" borderId="60" xfId="0" applyFont="1" applyFill="1" applyBorder="1" applyAlignment="1" applyProtection="1">
      <alignment horizontal="center" wrapText="1"/>
    </xf>
    <xf numFmtId="0" fontId="49" fillId="42" borderId="61" xfId="0" applyFont="1" applyFill="1" applyBorder="1" applyAlignment="1" applyProtection="1">
      <alignment horizontal="center" wrapText="1"/>
    </xf>
    <xf numFmtId="0" fontId="49" fillId="42" borderId="100" xfId="0" applyFont="1" applyFill="1" applyBorder="1" applyAlignment="1" applyProtection="1">
      <alignment horizontal="center" wrapText="1"/>
    </xf>
    <xf numFmtId="0" fontId="49" fillId="42" borderId="43" xfId="0" applyFont="1" applyFill="1" applyBorder="1" applyAlignment="1" applyProtection="1">
      <alignment horizontal="center" wrapText="1"/>
    </xf>
    <xf numFmtId="0" fontId="49" fillId="42" borderId="63" xfId="0" applyFont="1" applyFill="1" applyBorder="1" applyAlignment="1" applyProtection="1">
      <alignment horizontal="center" wrapText="1"/>
    </xf>
    <xf numFmtId="0" fontId="16" fillId="83" borderId="29" xfId="0" applyFont="1" applyFill="1" applyBorder="1" applyAlignment="1" applyProtection="1">
      <alignment horizontal="center" vertical="center" wrapText="1"/>
    </xf>
    <xf numFmtId="0" fontId="16" fillId="83" borderId="30" xfId="0" applyFont="1" applyFill="1" applyBorder="1" applyAlignment="1" applyProtection="1">
      <alignment horizontal="center" vertical="center" wrapText="1"/>
    </xf>
    <xf numFmtId="0" fontId="42" fillId="83" borderId="105" xfId="0" applyFont="1" applyFill="1" applyBorder="1" applyAlignment="1" applyProtection="1">
      <alignment horizontal="left"/>
    </xf>
    <xf numFmtId="0" fontId="42" fillId="83" borderId="72" xfId="0" applyFont="1" applyFill="1" applyBorder="1" applyAlignment="1" applyProtection="1">
      <alignment horizontal="left"/>
    </xf>
    <xf numFmtId="0" fontId="42" fillId="83" borderId="89" xfId="0" applyFont="1" applyFill="1" applyBorder="1" applyAlignment="1" applyProtection="1">
      <alignment horizontal="left"/>
    </xf>
    <xf numFmtId="0" fontId="42" fillId="83" borderId="102" xfId="0" applyFont="1" applyFill="1" applyBorder="1" applyAlignment="1" applyProtection="1">
      <alignment horizontal="center"/>
    </xf>
    <xf numFmtId="0" fontId="42" fillId="83" borderId="31" xfId="0" applyFont="1" applyFill="1" applyBorder="1" applyAlignment="1" applyProtection="1">
      <alignment horizontal="center"/>
    </xf>
    <xf numFmtId="0" fontId="42" fillId="83" borderId="30" xfId="0" applyFont="1" applyFill="1" applyBorder="1" applyAlignment="1" applyProtection="1">
      <alignment horizontal="center"/>
    </xf>
    <xf numFmtId="0" fontId="33" fillId="82" borderId="83" xfId="0" applyFont="1" applyFill="1" applyBorder="1" applyAlignment="1" applyProtection="1">
      <alignment horizontal="left" vertical="center"/>
    </xf>
    <xf numFmtId="0" fontId="33" fillId="82" borderId="0" xfId="0" applyFont="1" applyFill="1" applyBorder="1" applyAlignment="1" applyProtection="1">
      <alignment horizontal="left" vertical="center"/>
    </xf>
    <xf numFmtId="0" fontId="33" fillId="82" borderId="84" xfId="0" applyFont="1" applyFill="1" applyBorder="1" applyAlignment="1" applyProtection="1">
      <alignment horizontal="left" vertical="center"/>
    </xf>
    <xf numFmtId="0" fontId="43" fillId="83" borderId="102" xfId="0" applyFont="1" applyFill="1" applyBorder="1" applyAlignment="1" applyProtection="1">
      <alignment horizontal="left"/>
    </xf>
    <xf numFmtId="0" fontId="43" fillId="83" borderId="31" xfId="0" applyFont="1" applyFill="1" applyBorder="1" applyAlignment="1" applyProtection="1">
      <alignment horizontal="left"/>
    </xf>
    <xf numFmtId="0" fontId="43" fillId="83" borderId="30" xfId="0" applyFont="1" applyFill="1" applyBorder="1" applyAlignment="1" applyProtection="1">
      <alignment horizontal="left"/>
    </xf>
    <xf numFmtId="0" fontId="38" fillId="83" borderId="48" xfId="0" applyFont="1" applyFill="1" applyBorder="1" applyAlignment="1" applyProtection="1">
      <alignment horizontal="center" vertical="center"/>
    </xf>
    <xf numFmtId="0" fontId="38" fillId="83" borderId="64" xfId="0" applyFont="1" applyFill="1" applyBorder="1" applyAlignment="1" applyProtection="1">
      <alignment horizontal="center" vertical="center"/>
    </xf>
    <xf numFmtId="0" fontId="38" fillId="83" borderId="92" xfId="0" applyFont="1" applyFill="1" applyBorder="1" applyAlignment="1" applyProtection="1">
      <alignment horizontal="center" vertical="center"/>
    </xf>
    <xf numFmtId="0" fontId="86" fillId="42" borderId="102" xfId="0" applyFont="1" applyFill="1" applyBorder="1" applyAlignment="1" applyProtection="1">
      <alignment horizontal="left"/>
    </xf>
    <xf numFmtId="0" fontId="86" fillId="42" borderId="31" xfId="0" applyFont="1" applyFill="1" applyBorder="1" applyAlignment="1" applyProtection="1">
      <alignment horizontal="left"/>
    </xf>
    <xf numFmtId="0" fontId="86" fillId="42" borderId="103" xfId="0" applyFont="1" applyFill="1" applyBorder="1" applyAlignment="1" applyProtection="1">
      <alignment horizontal="left"/>
    </xf>
    <xf numFmtId="0" fontId="47" fillId="14" borderId="29" xfId="0" applyFont="1" applyFill="1" applyBorder="1" applyAlignment="1" applyProtection="1">
      <alignment horizontal="center"/>
      <protection locked="0"/>
    </xf>
    <xf numFmtId="0" fontId="47" fillId="14" borderId="30" xfId="0" applyFont="1" applyFill="1" applyBorder="1" applyAlignment="1" applyProtection="1">
      <alignment horizontal="center"/>
      <protection locked="0"/>
    </xf>
    <xf numFmtId="0" fontId="36" fillId="82" borderId="80" xfId="0" applyFont="1" applyFill="1" applyBorder="1" applyAlignment="1" applyProtection="1">
      <alignment horizontal="center" vertical="center"/>
      <protection hidden="1"/>
    </xf>
    <xf numFmtId="0" fontId="36" fillId="82" borderId="81" xfId="0" applyFont="1" applyFill="1" applyBorder="1" applyAlignment="1" applyProtection="1">
      <alignment horizontal="center" vertical="center"/>
      <protection hidden="1"/>
    </xf>
    <xf numFmtId="0" fontId="36" fillId="82" borderId="82" xfId="0" applyFont="1" applyFill="1" applyBorder="1" applyAlignment="1" applyProtection="1">
      <alignment horizontal="center" vertical="center"/>
      <protection hidden="1"/>
    </xf>
    <xf numFmtId="0" fontId="104" fillId="78" borderId="81" xfId="0" applyFont="1" applyFill="1" applyBorder="1" applyAlignment="1" applyProtection="1">
      <alignment horizontal="center"/>
      <protection hidden="1"/>
    </xf>
    <xf numFmtId="0" fontId="104" fillId="78" borderId="82" xfId="0" applyFont="1" applyFill="1" applyBorder="1" applyAlignment="1" applyProtection="1">
      <alignment horizontal="center"/>
      <protection hidden="1"/>
    </xf>
    <xf numFmtId="42" fontId="38" fillId="29" borderId="25" xfId="0" applyNumberFormat="1" applyFont="1" applyFill="1" applyBorder="1" applyAlignment="1" applyProtection="1">
      <alignment horizontal="center" wrapText="1"/>
      <protection hidden="1"/>
    </xf>
    <xf numFmtId="0" fontId="36" fillId="82" borderId="3" xfId="0" applyFont="1" applyFill="1" applyBorder="1" applyAlignment="1" applyProtection="1">
      <alignment horizontal="center" vertical="center"/>
      <protection hidden="1"/>
    </xf>
    <xf numFmtId="0" fontId="36" fillId="82" borderId="25" xfId="0" applyFont="1" applyFill="1" applyBorder="1" applyAlignment="1" applyProtection="1">
      <alignment horizontal="center" vertical="center"/>
      <protection hidden="1"/>
    </xf>
    <xf numFmtId="0" fontId="36" fillId="82" borderId="8" xfId="0" applyFont="1" applyFill="1" applyBorder="1" applyAlignment="1" applyProtection="1">
      <alignment horizontal="center" vertical="center"/>
      <protection hidden="1"/>
    </xf>
    <xf numFmtId="0" fontId="50" fillId="40" borderId="48" xfId="0" applyFont="1" applyFill="1" applyBorder="1" applyAlignment="1" applyProtection="1">
      <alignment horizontal="left" vertical="center"/>
    </xf>
    <xf numFmtId="0" fontId="50" fillId="40" borderId="64" xfId="0" applyFont="1" applyFill="1" applyBorder="1" applyAlignment="1" applyProtection="1">
      <alignment horizontal="left" vertical="center"/>
    </xf>
    <xf numFmtId="0" fontId="50" fillId="40" borderId="42" xfId="0" applyFont="1" applyFill="1" applyBorder="1" applyAlignment="1" applyProtection="1">
      <alignment horizontal="left" vertical="center"/>
    </xf>
    <xf numFmtId="0" fontId="57" fillId="14" borderId="48" xfId="0" applyFont="1" applyFill="1" applyBorder="1" applyAlignment="1" applyProtection="1">
      <alignment horizontal="center"/>
      <protection locked="0"/>
    </xf>
    <xf numFmtId="0" fontId="57" fillId="14" borderId="42" xfId="0" applyFont="1" applyFill="1" applyBorder="1" applyAlignment="1" applyProtection="1">
      <alignment horizontal="center"/>
      <protection locked="0"/>
    </xf>
    <xf numFmtId="0" fontId="49" fillId="45" borderId="64" xfId="0" applyFont="1" applyFill="1" applyBorder="1" applyAlignment="1" applyProtection="1">
      <alignment horizontal="left" vertical="center" wrapText="1"/>
    </xf>
    <xf numFmtId="0" fontId="59" fillId="26" borderId="25" xfId="4" applyFont="1" applyFill="1" applyBorder="1" applyAlignment="1" applyProtection="1">
      <alignment horizontal="center"/>
    </xf>
    <xf numFmtId="0" fontId="83" fillId="40" borderId="106" xfId="0" applyFont="1" applyFill="1" applyBorder="1" applyAlignment="1" applyProtection="1">
      <alignment horizontal="left"/>
    </xf>
    <xf numFmtId="0" fontId="83" fillId="40" borderId="64" xfId="0" applyFont="1" applyFill="1" applyBorder="1" applyAlignment="1" applyProtection="1">
      <alignment horizontal="left"/>
    </xf>
    <xf numFmtId="0" fontId="83" fillId="40" borderId="42" xfId="0" applyFont="1" applyFill="1" applyBorder="1" applyAlignment="1" applyProtection="1">
      <alignment horizontal="left"/>
    </xf>
    <xf numFmtId="0" fontId="42" fillId="40" borderId="106" xfId="0" applyFont="1" applyFill="1" applyBorder="1" applyAlignment="1" applyProtection="1">
      <alignment horizontal="center"/>
    </xf>
    <xf numFmtId="0" fontId="42" fillId="40" borderId="64" xfId="0" applyFont="1" applyFill="1" applyBorder="1" applyAlignment="1" applyProtection="1">
      <alignment horizontal="center"/>
    </xf>
    <xf numFmtId="0" fontId="42" fillId="40" borderId="42" xfId="0" applyFont="1" applyFill="1" applyBorder="1" applyAlignment="1" applyProtection="1">
      <alignment horizontal="center"/>
    </xf>
    <xf numFmtId="0" fontId="95" fillId="40" borderId="106" xfId="0" applyFont="1" applyFill="1" applyBorder="1" applyAlignment="1" applyProtection="1">
      <alignment horizontal="left"/>
    </xf>
    <xf numFmtId="0" fontId="95" fillId="40" borderId="64" xfId="0" applyFont="1" applyFill="1" applyBorder="1" applyAlignment="1" applyProtection="1">
      <alignment horizontal="left"/>
    </xf>
    <xf numFmtId="0" fontId="95" fillId="40" borderId="107" xfId="0" applyFont="1" applyFill="1" applyBorder="1" applyAlignment="1" applyProtection="1">
      <alignment horizontal="left"/>
    </xf>
    <xf numFmtId="0" fontId="33" fillId="75" borderId="106" xfId="0" applyFont="1" applyFill="1" applyBorder="1" applyAlignment="1" applyProtection="1">
      <alignment horizontal="left" wrapText="1"/>
    </xf>
    <xf numFmtId="0" fontId="33" fillId="75" borderId="64" xfId="0" applyFont="1" applyFill="1" applyBorder="1" applyAlignment="1" applyProtection="1">
      <alignment horizontal="left" wrapText="1"/>
    </xf>
    <xf numFmtId="0" fontId="33" fillId="75" borderId="107" xfId="0" applyFont="1" applyFill="1" applyBorder="1" applyAlignment="1" applyProtection="1">
      <alignment horizontal="left" wrapText="1"/>
    </xf>
    <xf numFmtId="0" fontId="49" fillId="45" borderId="106" xfId="0" applyFont="1" applyFill="1" applyBorder="1" applyAlignment="1" applyProtection="1">
      <alignment horizontal="left" vertical="center" wrapText="1"/>
    </xf>
    <xf numFmtId="0" fontId="84" fillId="75" borderId="80" xfId="0" applyFont="1" applyFill="1" applyBorder="1" applyAlignment="1" applyProtection="1">
      <alignment horizontal="center"/>
    </xf>
    <xf numFmtId="0" fontId="84" fillId="75" borderId="81" xfId="0" applyFont="1" applyFill="1" applyBorder="1" applyAlignment="1" applyProtection="1">
      <alignment horizontal="center"/>
    </xf>
    <xf numFmtId="0" fontId="84" fillId="75" borderId="82" xfId="0" applyFont="1" applyFill="1" applyBorder="1" applyAlignment="1" applyProtection="1">
      <alignment horizontal="center"/>
    </xf>
    <xf numFmtId="0" fontId="20" fillId="40" borderId="48" xfId="0" applyFont="1" applyFill="1" applyBorder="1" applyAlignment="1" applyProtection="1">
      <alignment horizontal="left" vertical="center"/>
    </xf>
    <xf numFmtId="0" fontId="20" fillId="40" borderId="64" xfId="0" applyFont="1" applyFill="1" applyBorder="1" applyAlignment="1" applyProtection="1">
      <alignment horizontal="left" vertical="center"/>
    </xf>
    <xf numFmtId="0" fontId="20" fillId="40" borderId="42" xfId="0" applyFont="1" applyFill="1" applyBorder="1" applyAlignment="1" applyProtection="1">
      <alignment horizontal="left" vertical="center"/>
    </xf>
    <xf numFmtId="0" fontId="39" fillId="45" borderId="49" xfId="0" applyFont="1" applyFill="1" applyBorder="1" applyAlignment="1" applyProtection="1">
      <alignment horizontal="left" vertical="center" wrapText="1"/>
    </xf>
    <xf numFmtId="0" fontId="39" fillId="45" borderId="60" xfId="0" applyFont="1" applyFill="1" applyBorder="1" applyAlignment="1" applyProtection="1">
      <alignment horizontal="left" vertical="center" wrapText="1"/>
    </xf>
    <xf numFmtId="0" fontId="39" fillId="45" borderId="61" xfId="0" applyFont="1" applyFill="1" applyBorder="1" applyAlignment="1" applyProtection="1">
      <alignment horizontal="left" vertical="center" wrapText="1"/>
    </xf>
    <xf numFmtId="0" fontId="39" fillId="45" borderId="47" xfId="0" applyFont="1" applyFill="1" applyBorder="1" applyAlignment="1" applyProtection="1">
      <alignment horizontal="left" vertical="center" wrapText="1"/>
    </xf>
    <xf numFmtId="0" fontId="39" fillId="45" borderId="43" xfId="0" applyFont="1" applyFill="1" applyBorder="1" applyAlignment="1" applyProtection="1">
      <alignment horizontal="left" vertical="center" wrapText="1"/>
    </xf>
    <xf numFmtId="0" fontId="39" fillId="45" borderId="63" xfId="0" applyFont="1" applyFill="1" applyBorder="1" applyAlignment="1" applyProtection="1">
      <alignment horizontal="left" vertical="center" wrapText="1"/>
    </xf>
    <xf numFmtId="0" fontId="33" fillId="75" borderId="106" xfId="0" applyFont="1" applyFill="1" applyBorder="1" applyAlignment="1" applyProtection="1">
      <alignment wrapText="1"/>
    </xf>
    <xf numFmtId="0" fontId="33" fillId="75" borderId="64" xfId="0" applyFont="1" applyFill="1" applyBorder="1" applyAlignment="1" applyProtection="1">
      <alignment wrapText="1"/>
    </xf>
    <xf numFmtId="0" fontId="33" fillId="75" borderId="107" xfId="0" applyFont="1" applyFill="1" applyBorder="1" applyAlignment="1" applyProtection="1">
      <alignment wrapText="1"/>
    </xf>
    <xf numFmtId="0" fontId="83" fillId="40" borderId="106" xfId="0" applyFont="1" applyFill="1" applyBorder="1" applyAlignment="1" applyProtection="1">
      <alignment horizontal="left" vertical="center"/>
    </xf>
    <xf numFmtId="0" fontId="83" fillId="40" borderId="64" xfId="0" applyFont="1" applyFill="1" applyBorder="1" applyAlignment="1" applyProtection="1">
      <alignment horizontal="left" vertical="center"/>
    </xf>
    <xf numFmtId="0" fontId="83" fillId="40" borderId="42" xfId="0" applyFont="1" applyFill="1" applyBorder="1" applyAlignment="1" applyProtection="1">
      <alignment horizontal="left" vertical="center"/>
    </xf>
    <xf numFmtId="0" fontId="49" fillId="45" borderId="49" xfId="0" applyFont="1" applyFill="1" applyBorder="1" applyAlignment="1" applyProtection="1">
      <alignment horizontal="left" vertical="center" wrapText="1"/>
    </xf>
    <xf numFmtId="0" fontId="49" fillId="45" borderId="60" xfId="0" applyFont="1" applyFill="1" applyBorder="1" applyAlignment="1" applyProtection="1">
      <alignment horizontal="left" vertical="center" wrapText="1"/>
    </xf>
    <xf numFmtId="0" fontId="49" fillId="45" borderId="61" xfId="0" applyFont="1" applyFill="1" applyBorder="1" applyAlignment="1" applyProtection="1">
      <alignment horizontal="left" vertical="center" wrapText="1"/>
    </xf>
    <xf numFmtId="0" fontId="49" fillId="45" borderId="47" xfId="0" applyFont="1" applyFill="1" applyBorder="1" applyAlignment="1" applyProtection="1">
      <alignment horizontal="left" vertical="center" wrapText="1"/>
    </xf>
    <xf numFmtId="0" fontId="49" fillId="45" borderId="43" xfId="0" applyFont="1" applyFill="1" applyBorder="1" applyAlignment="1" applyProtection="1">
      <alignment horizontal="left" vertical="center" wrapText="1"/>
    </xf>
    <xf numFmtId="0" fontId="49" fillId="45" borderId="63" xfId="0" applyFont="1" applyFill="1" applyBorder="1" applyAlignment="1" applyProtection="1">
      <alignment horizontal="left" vertical="center" wrapText="1"/>
    </xf>
    <xf numFmtId="0" fontId="49" fillId="45" borderId="68" xfId="0" applyFont="1" applyFill="1" applyBorder="1" applyAlignment="1" applyProtection="1">
      <alignment horizontal="left" vertical="center" wrapText="1"/>
    </xf>
    <xf numFmtId="0" fontId="49" fillId="45" borderId="0" xfId="0" applyFont="1" applyFill="1" applyBorder="1" applyAlignment="1" applyProtection="1">
      <alignment horizontal="left" vertical="center" wrapText="1"/>
    </xf>
    <xf numFmtId="0" fontId="49" fillId="45" borderId="62" xfId="0" applyFont="1" applyFill="1" applyBorder="1" applyAlignment="1" applyProtection="1">
      <alignment horizontal="left" vertical="center" wrapText="1"/>
    </xf>
    <xf numFmtId="0" fontId="84" fillId="75" borderId="80" xfId="0" applyFont="1" applyFill="1" applyBorder="1" applyAlignment="1" applyProtection="1">
      <alignment horizontal="center"/>
      <protection hidden="1"/>
    </xf>
    <xf numFmtId="0" fontId="84" fillId="75" borderId="81" xfId="0" applyFont="1" applyFill="1" applyBorder="1" applyAlignment="1" applyProtection="1">
      <alignment horizontal="center"/>
      <protection hidden="1"/>
    </xf>
    <xf numFmtId="0" fontId="84" fillId="75" borderId="82" xfId="0" applyFont="1" applyFill="1" applyBorder="1" applyAlignment="1" applyProtection="1">
      <alignment horizontal="center"/>
      <protection hidden="1"/>
    </xf>
    <xf numFmtId="0" fontId="49" fillId="0" borderId="80" xfId="0" applyFont="1" applyBorder="1" applyAlignment="1" applyProtection="1">
      <alignment horizontal="left" vertical="center" wrapText="1"/>
      <protection hidden="1"/>
    </xf>
    <xf numFmtId="0" fontId="49" fillId="0" borderId="81" xfId="0" applyFont="1" applyBorder="1" applyAlignment="1" applyProtection="1">
      <alignment horizontal="left" vertical="center" wrapText="1"/>
      <protection hidden="1"/>
    </xf>
    <xf numFmtId="0" fontId="49" fillId="0" borderId="82" xfId="0" applyFont="1" applyBorder="1" applyAlignment="1" applyProtection="1">
      <alignment horizontal="left" vertical="center" wrapText="1"/>
      <protection hidden="1"/>
    </xf>
    <xf numFmtId="0" fontId="49" fillId="0" borderId="83" xfId="0" applyFont="1" applyBorder="1" applyAlignment="1" applyProtection="1">
      <alignment horizontal="left" vertical="center" wrapText="1"/>
      <protection hidden="1"/>
    </xf>
    <xf numFmtId="0" fontId="49" fillId="0" borderId="0" xfId="0" applyFont="1" applyBorder="1" applyAlignment="1" applyProtection="1">
      <alignment horizontal="left" vertical="center" wrapText="1"/>
      <protection hidden="1"/>
    </xf>
    <xf numFmtId="0" fontId="49" fillId="0" borderId="84" xfId="0" applyFont="1" applyBorder="1" applyAlignment="1" applyProtection="1">
      <alignment horizontal="left" vertical="center" wrapText="1"/>
      <protection hidden="1"/>
    </xf>
    <xf numFmtId="0" fontId="49" fillId="0" borderId="7" xfId="0" applyFont="1" applyBorder="1" applyAlignment="1" applyProtection="1">
      <alignment horizontal="left" vertical="center" wrapText="1"/>
      <protection hidden="1"/>
    </xf>
    <xf numFmtId="0" fontId="49" fillId="0" borderId="85" xfId="0" applyFont="1" applyBorder="1" applyAlignment="1" applyProtection="1">
      <alignment horizontal="left" vertical="center" wrapText="1"/>
      <protection hidden="1"/>
    </xf>
    <xf numFmtId="0" fontId="49" fillId="0" borderId="86" xfId="0" applyFont="1" applyBorder="1" applyAlignment="1" applyProtection="1">
      <alignment horizontal="left" vertical="center" wrapText="1"/>
      <protection hidden="1"/>
    </xf>
    <xf numFmtId="0" fontId="38" fillId="29" borderId="7" xfId="0" applyFont="1" applyFill="1" applyBorder="1" applyAlignment="1" applyProtection="1">
      <alignment horizontal="center" vertical="center" wrapText="1"/>
      <protection hidden="1"/>
    </xf>
    <xf numFmtId="0" fontId="38" fillId="29" borderId="86" xfId="0" applyFont="1" applyFill="1" applyBorder="1" applyAlignment="1" applyProtection="1">
      <alignment horizontal="center" vertical="center" wrapText="1"/>
      <protection hidden="1"/>
    </xf>
    <xf numFmtId="0" fontId="38" fillId="29" borderId="87" xfId="0" applyFont="1" applyFill="1" applyBorder="1" applyAlignment="1" applyProtection="1">
      <alignment horizontal="center" vertical="center"/>
      <protection hidden="1"/>
    </xf>
    <xf numFmtId="0" fontId="38" fillId="29" borderId="4" xfId="0" applyFont="1" applyFill="1" applyBorder="1" applyAlignment="1" applyProtection="1">
      <alignment horizontal="center" vertical="center"/>
      <protection hidden="1"/>
    </xf>
    <xf numFmtId="0" fontId="38" fillId="29" borderId="7" xfId="0" applyFont="1" applyFill="1" applyBorder="1" applyAlignment="1" applyProtection="1">
      <alignment horizontal="center"/>
      <protection hidden="1"/>
    </xf>
    <xf numFmtId="0" fontId="38" fillId="29" borderId="85" xfId="0" applyFont="1" applyFill="1" applyBorder="1" applyAlignment="1" applyProtection="1">
      <alignment horizontal="center"/>
      <protection hidden="1"/>
    </xf>
    <xf numFmtId="0" fontId="38" fillId="29" borderId="86" xfId="0" applyFont="1" applyFill="1" applyBorder="1" applyAlignment="1" applyProtection="1">
      <alignment horizontal="center"/>
      <protection hidden="1"/>
    </xf>
    <xf numFmtId="0" fontId="49" fillId="14" borderId="83" xfId="0" applyFont="1" applyFill="1" applyBorder="1" applyAlignment="1" applyProtection="1">
      <alignment horizontal="right" vertical="center"/>
      <protection hidden="1"/>
    </xf>
    <xf numFmtId="0" fontId="49" fillId="14" borderId="84" xfId="0" applyFont="1" applyFill="1" applyBorder="1" applyAlignment="1" applyProtection="1">
      <alignment horizontal="right" vertical="center"/>
      <protection hidden="1"/>
    </xf>
    <xf numFmtId="0" fontId="38" fillId="14" borderId="80" xfId="0" applyFont="1" applyFill="1" applyBorder="1" applyAlignment="1" applyProtection="1">
      <alignment horizontal="center" wrapText="1"/>
      <protection hidden="1"/>
    </xf>
    <xf numFmtId="0" fontId="38" fillId="14" borderId="81" xfId="0" applyFont="1" applyFill="1" applyBorder="1" applyAlignment="1" applyProtection="1">
      <alignment horizontal="center" wrapText="1"/>
      <protection hidden="1"/>
    </xf>
    <xf numFmtId="0" fontId="38" fillId="14" borderId="82" xfId="0" applyFont="1" applyFill="1" applyBorder="1" applyAlignment="1" applyProtection="1">
      <alignment horizontal="center" wrapText="1"/>
      <protection hidden="1"/>
    </xf>
    <xf numFmtId="0" fontId="91" fillId="14" borderId="3" xfId="0" applyFont="1" applyFill="1" applyBorder="1" applyAlignment="1" applyProtection="1">
      <alignment horizontal="left" wrapText="1"/>
      <protection hidden="1"/>
    </xf>
    <xf numFmtId="0" fontId="91" fillId="14" borderId="25" xfId="0" applyFont="1" applyFill="1" applyBorder="1" applyAlignment="1" applyProtection="1">
      <alignment horizontal="left" wrapText="1"/>
      <protection hidden="1"/>
    </xf>
    <xf numFmtId="0" fontId="91" fillId="14" borderId="8" xfId="0" applyFont="1" applyFill="1" applyBorder="1" applyAlignment="1" applyProtection="1">
      <alignment horizontal="left" wrapText="1"/>
      <protection hidden="1"/>
    </xf>
    <xf numFmtId="0" fontId="38" fillId="14" borderId="3" xfId="0" applyFont="1" applyFill="1" applyBorder="1" applyAlignment="1" applyProtection="1">
      <alignment horizontal="center" vertical="center" wrapText="1"/>
      <protection hidden="1"/>
    </xf>
    <xf numFmtId="0" fontId="38" fillId="14" borderId="8" xfId="0" applyFont="1" applyFill="1" applyBorder="1" applyAlignment="1" applyProtection="1">
      <alignment horizontal="center" vertical="center" wrapText="1"/>
      <protection hidden="1"/>
    </xf>
    <xf numFmtId="0" fontId="39" fillId="14" borderId="83" xfId="0" applyFont="1" applyFill="1" applyBorder="1" applyAlignment="1" applyProtection="1">
      <alignment horizontal="left" vertical="top" wrapText="1"/>
      <protection hidden="1"/>
    </xf>
    <xf numFmtId="0" fontId="39" fillId="14" borderId="84" xfId="0" applyFont="1" applyFill="1" applyBorder="1" applyAlignment="1" applyProtection="1">
      <alignment horizontal="left" vertical="top" wrapText="1"/>
      <protection hidden="1"/>
    </xf>
    <xf numFmtId="0" fontId="39" fillId="14" borderId="7" xfId="0" applyFont="1" applyFill="1" applyBorder="1" applyAlignment="1" applyProtection="1">
      <alignment horizontal="left" vertical="top" wrapText="1"/>
      <protection hidden="1"/>
    </xf>
    <xf numFmtId="0" fontId="39" fillId="14" borderId="86" xfId="0" applyFont="1" applyFill="1" applyBorder="1" applyAlignment="1" applyProtection="1">
      <alignment horizontal="left" vertical="top" wrapText="1"/>
      <protection hidden="1"/>
    </xf>
    <xf numFmtId="0" fontId="26" fillId="31" borderId="0" xfId="0" applyFont="1" applyFill="1" applyAlignment="1">
      <alignment horizontal="center" wrapText="1"/>
    </xf>
    <xf numFmtId="0" fontId="26" fillId="42" borderId="2" xfId="0" applyFont="1" applyFill="1" applyBorder="1" applyAlignment="1">
      <alignment horizontal="right"/>
    </xf>
    <xf numFmtId="0" fontId="15" fillId="42" borderId="3" xfId="0" applyFont="1" applyFill="1" applyBorder="1" applyAlignment="1">
      <alignment horizontal="right"/>
    </xf>
    <xf numFmtId="0" fontId="15" fillId="42" borderId="8" xfId="0" applyFont="1" applyFill="1" applyBorder="1" applyAlignment="1">
      <alignment horizontal="right"/>
    </xf>
    <xf numFmtId="9" fontId="25" fillId="23" borderId="80" xfId="11" applyFont="1" applyFill="1" applyBorder="1" applyAlignment="1">
      <alignment horizontal="center" vertical="center"/>
    </xf>
    <xf numFmtId="9" fontId="25" fillId="23" borderId="81" xfId="11" applyFont="1" applyFill="1" applyBorder="1" applyAlignment="1">
      <alignment horizontal="center" vertical="center"/>
    </xf>
    <xf numFmtId="9" fontId="25" fillId="23" borderId="82" xfId="11" applyFont="1" applyFill="1" applyBorder="1" applyAlignment="1">
      <alignment horizontal="center" vertical="center"/>
    </xf>
    <xf numFmtId="9" fontId="25" fillId="23" borderId="83" xfId="11" applyFont="1" applyFill="1" applyBorder="1" applyAlignment="1">
      <alignment horizontal="center" vertical="center"/>
    </xf>
    <xf numFmtId="9" fontId="25" fillId="23" borderId="0" xfId="11" applyFont="1" applyFill="1" applyBorder="1" applyAlignment="1">
      <alignment horizontal="center" vertical="center"/>
    </xf>
    <xf numFmtId="9" fontId="25" fillId="23" borderId="84" xfId="11" applyFont="1" applyFill="1" applyBorder="1" applyAlignment="1">
      <alignment horizontal="center" vertical="center"/>
    </xf>
    <xf numFmtId="9" fontId="25" fillId="23" borderId="7" xfId="11" applyFont="1" applyFill="1" applyBorder="1" applyAlignment="1">
      <alignment horizontal="center" vertical="center"/>
    </xf>
    <xf numFmtId="9" fontId="25" fillId="23" borderId="85" xfId="11" applyFont="1" applyFill="1" applyBorder="1" applyAlignment="1">
      <alignment horizontal="center" vertical="center"/>
    </xf>
    <xf numFmtId="9" fontId="25" fillId="23" borderId="86" xfId="11" applyFont="1" applyFill="1" applyBorder="1" applyAlignment="1">
      <alignment horizontal="center" vertical="center"/>
    </xf>
    <xf numFmtId="0" fontId="17" fillId="37" borderId="0" xfId="0" applyFont="1" applyFill="1" applyAlignment="1">
      <alignment horizontal="center"/>
    </xf>
    <xf numFmtId="0" fontId="17" fillId="0" borderId="23" xfId="0" applyFont="1" applyBorder="1" applyAlignment="1">
      <alignment horizontal="center"/>
    </xf>
    <xf numFmtId="0" fontId="18" fillId="0" borderId="9" xfId="0" applyFont="1" applyBorder="1" applyAlignment="1">
      <alignment horizontal="center" wrapText="1"/>
    </xf>
    <xf numFmtId="0" fontId="18" fillId="0" borderId="19" xfId="0" applyFont="1" applyBorder="1" applyAlignment="1">
      <alignment horizontal="center" wrapText="1"/>
    </xf>
    <xf numFmtId="0" fontId="17" fillId="38" borderId="0" xfId="0" applyFont="1" applyFill="1" applyAlignment="1">
      <alignment horizontal="center"/>
    </xf>
    <xf numFmtId="0" fontId="17" fillId="21" borderId="0" xfId="0" applyFont="1" applyFill="1" applyAlignment="1">
      <alignment horizontal="center"/>
    </xf>
    <xf numFmtId="0" fontId="17" fillId="41" borderId="0" xfId="0" applyFont="1" applyFill="1" applyAlignment="1">
      <alignment horizontal="center"/>
    </xf>
    <xf numFmtId="0" fontId="0" fillId="0" borderId="25" xfId="0" applyBorder="1" applyAlignment="1">
      <alignment horizontal="center"/>
    </xf>
    <xf numFmtId="0" fontId="0" fillId="0" borderId="8" xfId="0" applyBorder="1" applyAlignment="1">
      <alignment horizontal="center"/>
    </xf>
    <xf numFmtId="0" fontId="0" fillId="0" borderId="2" xfId="0" applyBorder="1" applyAlignment="1">
      <alignment horizontal="center"/>
    </xf>
    <xf numFmtId="0" fontId="5" fillId="0" borderId="0" xfId="10" applyFont="1" applyAlignment="1">
      <alignment horizontal="left" vertical="top" wrapText="1"/>
    </xf>
    <xf numFmtId="0" fontId="12" fillId="0" borderId="0" xfId="10"/>
    <xf numFmtId="0" fontId="5" fillId="0" borderId="0" xfId="10" applyFont="1" applyAlignment="1">
      <alignment horizontal="left"/>
    </xf>
    <xf numFmtId="0" fontId="77" fillId="0" borderId="0" xfId="10" applyFont="1" applyAlignment="1">
      <alignment horizontal="left"/>
    </xf>
    <xf numFmtId="0" fontId="78" fillId="0" borderId="0" xfId="10" applyFont="1" applyAlignment="1">
      <alignment horizontal="left" vertical="top" wrapText="1"/>
    </xf>
  </cellXfs>
  <cellStyles count="72">
    <cellStyle name="20% - Accent1" xfId="28" builtinId="30" customBuiltin="1"/>
    <cellStyle name="20% - Accent1 2" xfId="59"/>
    <cellStyle name="20% - Accent2" xfId="31" builtinId="34" customBuiltin="1"/>
    <cellStyle name="20% - Accent2 2" xfId="61"/>
    <cellStyle name="20% - Accent3" xfId="1" builtinId="38"/>
    <cellStyle name="20% - Accent3 2" xfId="52"/>
    <cellStyle name="20% - Accent3 3" xfId="63"/>
    <cellStyle name="20% - Accent4" xfId="33" builtinId="42" customBuiltin="1"/>
    <cellStyle name="20% - Accent4 2" xfId="65"/>
    <cellStyle name="20% - Accent5" xfId="37" builtinId="46" customBuiltin="1"/>
    <cellStyle name="20% - Accent5 2" xfId="67"/>
    <cellStyle name="20% - Accent6" xfId="41" builtinId="50" customBuiltin="1"/>
    <cellStyle name="20% - Accent6 2" xfId="69"/>
    <cellStyle name="40% - Accent1" xfId="29" builtinId="31" customBuiltin="1"/>
    <cellStyle name="40% - Accent1 2" xfId="60"/>
    <cellStyle name="40% - Accent2 2" xfId="49"/>
    <cellStyle name="40% - Accent2 3" xfId="62"/>
    <cellStyle name="40% - Accent3 2" xfId="53"/>
    <cellStyle name="40% - Accent3 3" xfId="64"/>
    <cellStyle name="40% - Accent4" xfId="34" builtinId="43" customBuiltin="1"/>
    <cellStyle name="40% - Accent4 2" xfId="66"/>
    <cellStyle name="40% - Accent5" xfId="38" builtinId="47" customBuiltin="1"/>
    <cellStyle name="40% - Accent5 2" xfId="68"/>
    <cellStyle name="40% - Accent6" xfId="42" builtinId="51" customBuiltin="1"/>
    <cellStyle name="40% - Accent6 2" xfId="70"/>
    <cellStyle name="60% - Accent1" xfId="30" builtinId="32" customBuiltin="1"/>
    <cellStyle name="60% - Accent2" xfId="2" builtinId="36" customBuiltin="1"/>
    <cellStyle name="60% - Accent2 2" xfId="50"/>
    <cellStyle name="60% - Accent3" xfId="3" builtinId="40" customBuiltin="1"/>
    <cellStyle name="60% - Accent3 2" xfId="54"/>
    <cellStyle name="60% - Accent4" xfId="35" builtinId="44" customBuiltin="1"/>
    <cellStyle name="60% - Accent5" xfId="39" builtinId="48" customBuiltin="1"/>
    <cellStyle name="60% - Accent6" xfId="43" builtinId="52" customBuiltin="1"/>
    <cellStyle name="Accent1" xfId="4" builtinId="29" customBuiltin="1"/>
    <cellStyle name="Accent1 2" xfId="47"/>
    <cellStyle name="Accent2" xfId="5" builtinId="33" customBuiltin="1"/>
    <cellStyle name="Accent2 2" xfId="48"/>
    <cellStyle name="Accent3" xfId="6" builtinId="37" customBuiltin="1"/>
    <cellStyle name="Accent3 2" xfId="51"/>
    <cellStyle name="Accent4" xfId="32" builtinId="41" customBuiltin="1"/>
    <cellStyle name="Accent5" xfId="36" builtinId="45" customBuiltin="1"/>
    <cellStyle name="Accent6" xfId="40" builtinId="49" customBuiltin="1"/>
    <cellStyle name="Bad" xfId="18" builtinId="27" customBuiltin="1"/>
    <cellStyle name="Calculation" xfId="22" builtinId="22" customBuiltin="1"/>
    <cellStyle name="Check Cell" xfId="24" builtinId="23" customBuiltin="1"/>
    <cellStyle name="Comma" xfId="7" builtinId="3"/>
    <cellStyle name="Currency" xfId="8" builtinId="4"/>
    <cellStyle name="Explanatory Text" xfId="26" builtinId="53" customBuiltin="1"/>
    <cellStyle name="Good" xfId="9" builtinId="26" customBuiltin="1"/>
    <cellStyle name="Good 2" xfId="45"/>
    <cellStyle name="Heading 1" xfId="14" builtinId="16" customBuiltin="1"/>
    <cellStyle name="Heading 2" xfId="15" builtinId="17" customBuiltin="1"/>
    <cellStyle name="Heading 3" xfId="16" builtinId="18" customBuiltin="1"/>
    <cellStyle name="Heading 4" xfId="17" builtinId="19" customBuiltin="1"/>
    <cellStyle name="Hyperlink" xfId="71" builtinId="8"/>
    <cellStyle name="Input" xfId="20" builtinId="20" customBuiltin="1"/>
    <cellStyle name="Linked Cell" xfId="23" builtinId="24" customBuiltin="1"/>
    <cellStyle name="Neutral" xfId="19" builtinId="28" customBuiltin="1"/>
    <cellStyle name="Normal" xfId="0" builtinId="0"/>
    <cellStyle name="Normal 2" xfId="10"/>
    <cellStyle name="Normal 3" xfId="44"/>
    <cellStyle name="Normal 4" xfId="55"/>
    <cellStyle name="Normal 5" xfId="57"/>
    <cellStyle name="Note 2" xfId="46"/>
    <cellStyle name="Note 3" xfId="58"/>
    <cellStyle name="Output" xfId="21" builtinId="21" customBuiltin="1"/>
    <cellStyle name="Percent" xfId="11" builtinId="5"/>
    <cellStyle name="Percent 2" xfId="56"/>
    <cellStyle name="PP - Header 1" xfId="12"/>
    <cellStyle name="Title" xfId="13" builtinId="15" customBuiltin="1"/>
    <cellStyle name="Total" xfId="27" builtinId="25" customBuiltin="1"/>
    <cellStyle name="Warning Text" xfId="25" builtinId="11" customBuiltin="1"/>
  </cellStyles>
  <dxfs count="157">
    <dxf>
      <font>
        <color theme="0" tint="-0.499984740745262"/>
      </font>
      <fill>
        <patternFill>
          <bgColor theme="2" tint="-0.24994659260841701"/>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99"/>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theme="0"/>
        </patternFill>
      </fill>
    </dxf>
    <dxf>
      <font>
        <b/>
        <i val="0"/>
      </font>
    </dxf>
    <dxf>
      <fill>
        <patternFill>
          <bgColor theme="0"/>
        </patternFill>
      </fill>
    </dxf>
    <dxf>
      <font>
        <b/>
        <i val="0"/>
      </font>
    </dxf>
    <dxf>
      <fill>
        <patternFill>
          <bgColor rgb="FFFFFF66"/>
        </patternFill>
      </fill>
    </dxf>
    <dxf>
      <font>
        <color theme="0" tint="-0.499984740745262"/>
      </font>
      <fill>
        <patternFill>
          <bgColor theme="8" tint="0.59996337778862885"/>
        </patternFill>
      </fill>
    </dxf>
    <dxf>
      <font>
        <color theme="0" tint="-0.499984740745262"/>
      </font>
      <fill>
        <patternFill>
          <bgColor theme="8" tint="0.59996337778862885"/>
        </patternFill>
      </fill>
    </dxf>
    <dxf>
      <font>
        <color theme="0" tint="-0.499984740745262"/>
      </font>
      <fill>
        <patternFill>
          <bgColor theme="8" tint="0.59996337778862885"/>
        </patternFill>
      </fill>
    </dxf>
    <dxf>
      <font>
        <color theme="5"/>
      </font>
      <fill>
        <patternFill>
          <bgColor rgb="FFFFFF99"/>
        </patternFill>
      </fill>
    </dxf>
    <dxf>
      <numFmt numFmtId="13" formatCode="0%"/>
    </dxf>
    <dxf>
      <numFmt numFmtId="14" formatCode="0.00%"/>
    </dxf>
    <dxf>
      <font>
        <color theme="5"/>
      </font>
      <fill>
        <patternFill>
          <bgColor rgb="FFFFFF99"/>
        </patternFill>
      </fill>
    </dxf>
    <dxf>
      <fill>
        <patternFill>
          <bgColor rgb="FFFFFF66"/>
        </patternFill>
      </fill>
    </dxf>
    <dxf>
      <fill>
        <patternFill>
          <bgColor rgb="FFFFFF66"/>
        </patternFill>
      </fill>
    </dxf>
    <dxf>
      <fill>
        <patternFill>
          <bgColor rgb="FFFFFF66"/>
        </patternFill>
      </fill>
    </dxf>
    <dxf>
      <fill>
        <patternFill>
          <bgColor rgb="FFFFFF99"/>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ont>
        <color theme="0" tint="-0.499984740745262"/>
      </font>
      <fill>
        <patternFill>
          <bgColor theme="8" tint="0.59996337778862885"/>
        </patternFill>
      </fill>
    </dxf>
    <dxf>
      <fill>
        <patternFill>
          <bgColor rgb="FFFFFF66"/>
        </patternFill>
      </fill>
    </dxf>
    <dxf>
      <font>
        <b/>
        <i val="0"/>
        <color auto="1"/>
      </font>
      <fill>
        <patternFill>
          <bgColor rgb="FFFFFF66"/>
        </patternFill>
      </fill>
    </dxf>
    <dxf>
      <fill>
        <patternFill>
          <bgColor rgb="FFFFFF66"/>
        </patternFill>
      </fill>
    </dxf>
    <dxf>
      <fill>
        <patternFill>
          <bgColor rgb="FFFFFF99"/>
        </patternFill>
      </fill>
    </dxf>
    <dxf>
      <font>
        <b/>
        <i val="0"/>
        <color theme="5"/>
      </font>
      <fill>
        <patternFill>
          <bgColor rgb="FFFFFF99"/>
        </patternFill>
      </fill>
    </dxf>
    <dxf>
      <fill>
        <patternFill>
          <bgColor rgb="FFFFFF99"/>
        </patternFill>
      </fill>
    </dxf>
    <dxf>
      <fill>
        <patternFill>
          <bgColor rgb="FFFFFF66"/>
        </patternFill>
      </fill>
    </dxf>
    <dxf>
      <fill>
        <patternFill>
          <bgColor rgb="FFFFFF66"/>
        </patternFill>
      </fill>
    </dxf>
    <dxf>
      <fill>
        <patternFill>
          <bgColor rgb="FFFFFF66"/>
        </patternFill>
      </fill>
    </dxf>
    <dxf>
      <font>
        <color theme="0" tint="-0.499984740745262"/>
      </font>
      <fill>
        <patternFill>
          <bgColor theme="6" tint="0.59996337778862885"/>
        </patternFill>
      </fill>
    </dxf>
    <dxf>
      <font>
        <color theme="0" tint="-0.499984740745262"/>
      </font>
      <fill>
        <patternFill>
          <bgColor theme="6" tint="0.59996337778862885"/>
        </patternFill>
      </fill>
    </dxf>
    <dxf>
      <font>
        <color theme="0" tint="-0.34998626667073579"/>
      </font>
      <fill>
        <patternFill>
          <bgColor theme="6" tint="0.59996337778862885"/>
        </patternFill>
      </fill>
    </dxf>
    <dxf>
      <font>
        <color theme="0" tint="-0.499984740745262"/>
      </font>
      <fill>
        <patternFill>
          <bgColor theme="6" tint="0.59996337778862885"/>
        </patternFill>
      </fill>
    </dxf>
    <dxf>
      <font>
        <color theme="0" tint="-0.499984740745262"/>
      </font>
      <fill>
        <patternFill>
          <bgColor theme="6" tint="0.59996337778862885"/>
        </patternFill>
      </fill>
    </dxf>
    <dxf>
      <font>
        <color theme="0" tint="-0.499984740745262"/>
      </font>
      <fill>
        <patternFill>
          <bgColor theme="6" tint="0.59996337778862885"/>
        </patternFill>
      </fill>
    </dxf>
    <dxf>
      <font>
        <color theme="0" tint="-0.499984740745262"/>
      </font>
      <fill>
        <patternFill>
          <bgColor theme="6" tint="0.59996337778862885"/>
        </patternFill>
      </fill>
    </dxf>
    <dxf>
      <font>
        <color theme="5"/>
      </font>
      <fill>
        <patternFill>
          <bgColor rgb="FFFFFF99"/>
        </patternFill>
      </fill>
    </dxf>
    <dxf>
      <numFmt numFmtId="13" formatCode="0%"/>
    </dxf>
    <dxf>
      <numFmt numFmtId="13" formatCode="0%"/>
    </dxf>
    <dxf>
      <font>
        <color theme="5"/>
      </font>
      <fill>
        <patternFill>
          <bgColor rgb="FFFFFF99"/>
        </patternFill>
      </fill>
    </dxf>
    <dxf>
      <font>
        <color theme="0" tint="-0.499984740745262"/>
      </font>
      <fill>
        <patternFill>
          <bgColor theme="6" tint="0.59996337778862885"/>
        </patternFill>
      </fill>
    </dxf>
    <dxf>
      <fill>
        <patternFill>
          <bgColor rgb="FFFFFF66"/>
        </patternFill>
      </fill>
    </dxf>
    <dxf>
      <fill>
        <patternFill>
          <bgColor rgb="FFFFFF66"/>
        </patternFill>
      </fill>
    </dxf>
    <dxf>
      <font>
        <color theme="0" tint="-0.499984740745262"/>
      </font>
      <fill>
        <patternFill>
          <bgColor theme="4" tint="0.59996337778862885"/>
        </patternFill>
      </fill>
    </dxf>
    <dxf>
      <fill>
        <patternFill>
          <bgColor rgb="FFFFFF66"/>
        </patternFill>
      </fill>
    </dxf>
    <dxf>
      <font>
        <color theme="0" tint="-0.499984740745262"/>
      </font>
      <fill>
        <patternFill>
          <bgColor theme="6" tint="0.59996337778862885"/>
        </patternFill>
      </fill>
    </dxf>
    <dxf>
      <font>
        <color theme="0" tint="-0.499984740745262"/>
      </font>
      <fill>
        <patternFill>
          <bgColor theme="6" tint="0.59996337778862885"/>
        </patternFill>
      </fill>
    </dxf>
    <dxf>
      <font>
        <color theme="0" tint="-0.499984740745262"/>
      </font>
      <fill>
        <patternFill>
          <bgColor theme="6" tint="0.59996337778862885"/>
        </patternFill>
      </fill>
    </dxf>
    <dxf>
      <font>
        <color theme="0" tint="-0.499984740745262"/>
      </font>
      <fill>
        <patternFill>
          <bgColor theme="6" tint="0.59996337778862885"/>
        </patternFill>
      </fill>
    </dxf>
    <dxf>
      <font>
        <color theme="0" tint="-0.499984740745262"/>
      </font>
      <fill>
        <patternFill>
          <bgColor theme="6" tint="0.59996337778862885"/>
        </patternFill>
      </fill>
    </dxf>
    <dxf>
      <font>
        <color theme="0" tint="-0.499984740745262"/>
      </font>
      <fill>
        <patternFill>
          <bgColor theme="6" tint="0.59996337778862885"/>
        </patternFill>
      </fill>
    </dxf>
    <dxf>
      <fill>
        <patternFill>
          <bgColor rgb="FFFFFF99"/>
        </patternFill>
      </fill>
    </dxf>
    <dxf>
      <fill>
        <patternFill>
          <bgColor rgb="FFFFFF66"/>
        </patternFill>
      </fill>
    </dxf>
    <dxf>
      <fill>
        <patternFill>
          <bgColor rgb="FFFFFF66"/>
        </patternFill>
      </fill>
    </dxf>
    <dxf>
      <fill>
        <patternFill>
          <bgColor rgb="FFFFFF66"/>
        </patternFill>
      </fill>
    </dxf>
    <dxf>
      <fill>
        <patternFill>
          <bgColor rgb="FFFFFF66"/>
        </patternFill>
      </fill>
    </dxf>
    <dxf>
      <font>
        <b/>
        <i val="0"/>
        <color theme="5"/>
      </font>
      <fill>
        <patternFill>
          <bgColor rgb="FFFFFF99"/>
        </patternFill>
      </fill>
    </dxf>
    <dxf>
      <fill>
        <patternFill>
          <bgColor rgb="FFFFFF66"/>
        </patternFill>
      </fill>
    </dxf>
    <dxf>
      <fill>
        <patternFill>
          <bgColor rgb="FFFFFF66"/>
        </patternFill>
      </fill>
    </dxf>
    <dxf>
      <font>
        <b/>
        <i val="0"/>
        <strike val="0"/>
        <color rgb="FFFF000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66"/>
        </patternFill>
      </fill>
    </dxf>
    <dxf>
      <fill>
        <patternFill>
          <bgColor rgb="FFFFFF99"/>
        </patternFill>
      </fill>
    </dxf>
    <dxf>
      <fill>
        <patternFill>
          <bgColor rgb="FFFFFF99"/>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99"/>
        </patternFill>
      </fill>
    </dxf>
    <dxf>
      <font>
        <b/>
        <i val="0"/>
      </font>
      <fill>
        <patternFill>
          <bgColor rgb="FFFFFF00"/>
        </patternFill>
      </fill>
    </dxf>
    <dxf>
      <font>
        <color theme="0" tint="-0.499984740745262"/>
      </font>
      <fill>
        <patternFill>
          <bgColor theme="4" tint="0.59996337778862885"/>
        </patternFill>
      </fill>
    </dxf>
    <dxf>
      <font>
        <b/>
        <i val="0"/>
      </font>
      <fill>
        <patternFill>
          <bgColor rgb="FFFFFF66"/>
        </patternFill>
      </fill>
    </dxf>
    <dxf>
      <font>
        <b/>
        <i val="0"/>
      </font>
      <fill>
        <patternFill>
          <bgColor rgb="FFFFFF66"/>
        </patternFill>
      </fill>
    </dxf>
    <dxf>
      <font>
        <b/>
        <i/>
        <color theme="0"/>
      </font>
      <fill>
        <patternFill>
          <bgColor theme="3"/>
        </patternFill>
      </fill>
    </dxf>
    <dxf>
      <font>
        <b/>
        <i val="0"/>
        <color theme="0"/>
      </font>
      <fill>
        <patternFill>
          <bgColor theme="3"/>
        </patternFill>
      </fill>
    </dxf>
    <dxf>
      <font>
        <b val="0"/>
        <i val="0"/>
      </font>
      <fill>
        <patternFill>
          <bgColor theme="7" tint="0.79998168889431442"/>
        </patternFill>
      </fill>
    </dxf>
    <dxf>
      <font>
        <b val="0"/>
        <i val="0"/>
      </font>
      <fill>
        <patternFill>
          <bgColor theme="3" tint="0.79998168889431442"/>
        </patternFill>
      </fill>
    </dxf>
    <dxf>
      <font>
        <b val="0"/>
        <i val="0"/>
        <color auto="1"/>
      </font>
      <fill>
        <patternFill>
          <bgColor theme="4" tint="0.39994506668294322"/>
        </patternFill>
      </fill>
    </dxf>
    <dxf>
      <fill>
        <patternFill>
          <bgColor theme="0"/>
        </patternFill>
      </fill>
    </dxf>
    <dxf>
      <font>
        <color theme="5"/>
      </font>
      <fill>
        <patternFill>
          <bgColor rgb="FFFFFF99"/>
        </patternFill>
      </fill>
    </dxf>
    <dxf>
      <font>
        <color theme="5"/>
      </font>
      <fill>
        <patternFill>
          <bgColor rgb="FFFFFF99"/>
        </patternFill>
      </fill>
    </dxf>
    <dxf>
      <fill>
        <patternFill>
          <bgColor rgb="FFFFFF66"/>
        </patternFill>
      </fill>
    </dxf>
    <dxf>
      <fill>
        <patternFill>
          <bgColor theme="0"/>
        </patternFill>
      </fill>
    </dxf>
    <dxf>
      <font>
        <b/>
        <i val="0"/>
      </font>
      <fill>
        <patternFill>
          <bgColor rgb="FFFFFF66"/>
        </patternFill>
      </fill>
    </dxf>
    <dxf>
      <font>
        <b/>
        <i val="0"/>
      </font>
      <fill>
        <patternFill>
          <bgColor rgb="FFFFFF66"/>
        </patternFill>
      </fill>
    </dxf>
    <dxf>
      <numFmt numFmtId="13" formatCode="0%"/>
    </dxf>
    <dxf>
      <numFmt numFmtId="13" formatCode="0%"/>
    </dxf>
    <dxf>
      <fill>
        <patternFill>
          <bgColor theme="0"/>
        </patternFill>
      </fill>
    </dxf>
    <dxf>
      <font>
        <color theme="0" tint="-0.499984740745262"/>
      </font>
      <fill>
        <patternFill>
          <bgColor theme="4" tint="0.59996337778862885"/>
        </patternFill>
      </fill>
    </dxf>
    <dxf>
      <font>
        <color theme="0" tint="-0.499984740745262"/>
      </font>
      <fill>
        <patternFill>
          <bgColor theme="4" tint="0.59996337778862885"/>
        </patternFill>
      </fill>
    </dxf>
    <dxf>
      <fill>
        <patternFill>
          <bgColor rgb="FFFFFF66"/>
        </patternFill>
      </fill>
    </dxf>
    <dxf>
      <font>
        <b/>
        <i val="0"/>
        <color auto="1"/>
      </font>
      <fill>
        <patternFill>
          <bgColor rgb="FFFFFF66"/>
        </patternFill>
      </fill>
    </dxf>
    <dxf>
      <font>
        <color theme="0" tint="-0.499984740745262"/>
      </font>
      <fill>
        <patternFill>
          <bgColor theme="4" tint="0.59996337778862885"/>
        </patternFill>
      </fill>
    </dxf>
    <dxf>
      <font>
        <color theme="0" tint="-0.499984740745262"/>
      </font>
      <fill>
        <patternFill>
          <bgColor theme="4" tint="0.59996337778862885"/>
        </patternFill>
      </fill>
    </dxf>
    <dxf>
      <fill>
        <patternFill>
          <bgColor rgb="FFFFFF66"/>
        </patternFill>
      </fill>
    </dxf>
    <dxf>
      <font>
        <color theme="0" tint="-0.499984740745262"/>
      </font>
      <fill>
        <patternFill>
          <bgColor theme="4" tint="0.59996337778862885"/>
        </patternFill>
      </fill>
    </dxf>
    <dxf>
      <fill>
        <patternFill>
          <bgColor rgb="FFFFFF99"/>
        </patternFill>
      </fill>
    </dxf>
    <dxf>
      <fill>
        <patternFill>
          <bgColor rgb="FFFFFF66"/>
        </patternFill>
      </fill>
    </dxf>
    <dxf>
      <font>
        <color theme="0" tint="-0.499984740745262"/>
      </font>
      <fill>
        <patternFill>
          <bgColor theme="4" tint="0.59996337778862885"/>
        </patternFill>
      </fill>
    </dxf>
    <dxf>
      <font>
        <color theme="0" tint="-0.499984740745262"/>
      </font>
      <fill>
        <patternFill>
          <bgColor theme="4" tint="0.59996337778862885"/>
        </patternFill>
      </fill>
    </dxf>
    <dxf>
      <font>
        <b/>
        <i val="0"/>
        <color auto="1"/>
      </font>
      <fill>
        <patternFill>
          <bgColor rgb="FFFFFF66"/>
        </patternFill>
      </fill>
    </dxf>
    <dxf>
      <font>
        <color theme="0" tint="-0.499984740745262"/>
      </font>
      <fill>
        <patternFill>
          <bgColor theme="4" tint="0.59996337778862885"/>
        </patternFill>
      </fill>
    </dxf>
    <dxf>
      <font>
        <color theme="0" tint="-0.499984740745262"/>
      </font>
      <fill>
        <patternFill>
          <bgColor theme="4" tint="0.59996337778862885"/>
        </patternFill>
      </fill>
    </dxf>
    <dxf>
      <fill>
        <patternFill>
          <bgColor rgb="FFFFFF99"/>
        </patternFill>
      </fill>
    </dxf>
    <dxf>
      <fill>
        <patternFill>
          <bgColor rgb="FFFFFF99"/>
        </patternFill>
      </fill>
    </dxf>
    <dxf>
      <font>
        <color theme="0" tint="-0.499984740745262"/>
      </font>
      <fill>
        <patternFill>
          <bgColor theme="4" tint="0.59996337778862885"/>
        </patternFill>
      </fill>
    </dxf>
    <dxf>
      <fill>
        <patternFill>
          <bgColor rgb="FFFFFF66"/>
        </patternFill>
      </fill>
    </dxf>
    <dxf>
      <fill>
        <patternFill>
          <bgColor rgb="FFFFFF66"/>
        </patternFill>
      </fill>
    </dxf>
    <dxf>
      <font>
        <color theme="0" tint="-0.499984740745262"/>
      </font>
      <fill>
        <patternFill>
          <bgColor theme="4" tint="0.59996337778862885"/>
        </patternFill>
      </fill>
    </dxf>
    <dxf>
      <font>
        <color theme="0" tint="-0.499984740745262"/>
      </font>
      <fill>
        <patternFill>
          <bgColor theme="4" tint="0.59996337778862885"/>
        </patternFill>
      </fill>
    </dxf>
    <dxf>
      <font>
        <color theme="0" tint="-0.499984740745262"/>
      </font>
      <fill>
        <patternFill>
          <bgColor theme="4" tint="0.59996337778862885"/>
        </patternFill>
      </fill>
    </dxf>
    <dxf>
      <font>
        <color theme="0" tint="-0.499984740745262"/>
      </font>
      <fill>
        <patternFill>
          <bgColor theme="4" tint="0.59996337778862885"/>
        </patternFill>
      </fill>
    </dxf>
    <dxf>
      <fill>
        <patternFill patternType="solid">
          <bgColor theme="0"/>
        </patternFill>
      </fill>
    </dxf>
    <dxf>
      <fill>
        <patternFill>
          <bgColor rgb="FFFFFF66"/>
        </patternFill>
      </fill>
    </dxf>
    <dxf>
      <fill>
        <patternFill>
          <bgColor rgb="FFFFFF66"/>
        </patternFill>
      </fill>
    </dxf>
    <dxf>
      <fill>
        <patternFill>
          <bgColor rgb="FFFFFF66"/>
        </patternFill>
      </fill>
    </dxf>
    <dxf>
      <font>
        <b/>
        <i val="0"/>
        <color theme="5"/>
      </font>
      <fill>
        <patternFill>
          <bgColor rgb="FFFFFF99"/>
        </patternFill>
      </fill>
    </dxf>
    <dxf>
      <fill>
        <patternFill>
          <bgColor rgb="FFFFFF66"/>
        </patternFill>
      </fill>
    </dxf>
    <dxf>
      <fill>
        <patternFill>
          <bgColor rgb="FFFFFF99"/>
        </patternFill>
      </fill>
    </dxf>
    <dxf>
      <fill>
        <patternFill>
          <bgColor rgb="FFFFFF66"/>
        </patternFill>
      </fill>
    </dxf>
    <dxf>
      <fill>
        <patternFill>
          <bgColor rgb="FFFFFF66"/>
        </patternFill>
      </fill>
    </dxf>
    <dxf>
      <fill>
        <patternFill>
          <bgColor rgb="FFFF0000"/>
        </patternFill>
      </fill>
    </dxf>
    <dxf>
      <font>
        <b/>
        <i val="0"/>
        <strike val="0"/>
        <color rgb="FFFF0000"/>
      </font>
    </dxf>
    <dxf>
      <fill>
        <patternFill>
          <bgColor rgb="FFFFFF66"/>
        </patternFill>
      </fill>
    </dxf>
    <dxf>
      <fill>
        <patternFill>
          <bgColor rgb="FFFFFF99"/>
        </patternFill>
      </fill>
    </dxf>
    <dxf>
      <fill>
        <patternFill>
          <bgColor rgb="FFFFFF99"/>
        </patternFill>
      </fill>
    </dxf>
    <dxf>
      <fill>
        <patternFill>
          <bgColor rgb="FFFFFF99"/>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99"/>
        </patternFill>
      </fill>
    </dxf>
    <dxf>
      <fill>
        <patternFill>
          <bgColor rgb="FFFFFF99"/>
        </patternFill>
      </fill>
    </dxf>
    <dxf>
      <fill>
        <patternFill>
          <bgColor rgb="FFFFFF66"/>
        </patternFill>
      </fill>
    </dxf>
    <dxf>
      <fill>
        <patternFill>
          <bgColor rgb="FFFFFF99"/>
        </patternFill>
      </fill>
    </dxf>
    <dxf>
      <fill>
        <patternFill>
          <bgColor rgb="FFFFFF99"/>
        </patternFill>
      </fill>
    </dxf>
    <dxf>
      <font>
        <b/>
        <i val="0"/>
      </font>
      <fill>
        <patternFill>
          <bgColor rgb="FFFFFF00"/>
        </patternFill>
      </fill>
    </dxf>
  </dxfs>
  <tableStyles count="0" defaultTableStyle="TableStyleMedium9" defaultPivotStyle="PivotStyleLight16"/>
  <colors>
    <mruColors>
      <color rgb="FFFFFF66"/>
      <color rgb="FFFFFF99"/>
      <color rgb="FF99CCFF"/>
      <color rgb="FF6699FF"/>
      <color rgb="FF3399FF"/>
      <color rgb="FFBAF3FE"/>
      <color rgb="FF85D6FF"/>
      <color rgb="FFE60000"/>
      <color rgb="FF99FF66"/>
      <color rgb="FF33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Garamond"/>
                <a:ea typeface="Garamond"/>
                <a:cs typeface="Garamond"/>
              </a:defRPr>
            </a:pPr>
            <a:r>
              <a:rPr lang="en-US" sz="1600" b="1"/>
              <a:t>Retail Price and</a:t>
            </a:r>
            <a:r>
              <a:rPr lang="en-US" sz="1600" b="1" baseline="0"/>
              <a:t> Manfuacturing Cost         </a:t>
            </a:r>
          </a:p>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Garamond"/>
                <a:ea typeface="Garamond"/>
                <a:cs typeface="Garamond"/>
              </a:defRPr>
            </a:pPr>
            <a:r>
              <a:rPr lang="en-US" sz="1400" b="1" i="0" baseline="0">
                <a:effectLst/>
              </a:rPr>
              <a:t>Forklift Fuel Cell Scenario</a:t>
            </a:r>
            <a:endParaRPr lang="en-U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Garamond"/>
                <a:ea typeface="Garamond"/>
                <a:cs typeface="Garamond"/>
              </a:defRPr>
            </a:pPr>
            <a:r>
              <a:rPr lang="en-US" sz="1100" b="1" i="0" baseline="0">
                <a:effectLst/>
              </a:rPr>
              <a:t>JOBS FC 1.0</a:t>
            </a:r>
            <a:endParaRPr lang="en-U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Garamond"/>
                <a:ea typeface="Garamond"/>
                <a:cs typeface="Garamond"/>
              </a:defRPr>
            </a:pPr>
            <a:endParaRPr lang="en-US" sz="1600" b="1"/>
          </a:p>
        </c:rich>
      </c:tx>
      <c:overlay val="0"/>
    </c:title>
    <c:autoTitleDeleted val="0"/>
    <c:plotArea>
      <c:layout/>
      <c:lineChart>
        <c:grouping val="standard"/>
        <c:varyColors val="0"/>
        <c:ser>
          <c:idx val="0"/>
          <c:order val="0"/>
          <c:tx>
            <c:strRef>
              <c:f>'Forklift RESULTS-Tables'!$D$34</c:f>
              <c:strCache>
                <c:ptCount val="1"/>
                <c:pt idx="0">
                  <c:v>Class I/II Retail price</c:v>
                </c:pt>
              </c:strCache>
            </c:strRef>
          </c:tx>
          <c:spPr>
            <a:ln>
              <a:solidFill>
                <a:schemeClr val="tx2">
                  <a:lumMod val="75000"/>
                </a:schemeClr>
              </a:solidFill>
            </a:ln>
          </c:spPr>
          <c:marker>
            <c:symbol val="none"/>
          </c:marker>
          <c:cat>
            <c:numRef>
              <c:f>'Forklift RESULTS-Tables'!$C$35:$C$40</c:f>
              <c:numCache>
                <c:formatCode>General</c:formatCode>
                <c:ptCount val="6"/>
                <c:pt idx="0">
                  <c:v>2015</c:v>
                </c:pt>
                <c:pt idx="1">
                  <c:v>2016</c:v>
                </c:pt>
                <c:pt idx="2">
                  <c:v>2017</c:v>
                </c:pt>
                <c:pt idx="3">
                  <c:v>2018</c:v>
                </c:pt>
                <c:pt idx="4">
                  <c:v>2019</c:v>
                </c:pt>
                <c:pt idx="5">
                  <c:v>2020</c:v>
                </c:pt>
              </c:numCache>
            </c:numRef>
          </c:cat>
          <c:val>
            <c:numRef>
              <c:f>'Forklift RESULTS-Tables'!$D$35:$D$40</c:f>
              <c:numCache>
                <c:formatCode>"$"#,##0_);\("$"#,##0\)</c:formatCode>
                <c:ptCount val="6"/>
                <c:pt idx="0">
                  <c:v>0</c:v>
                </c:pt>
                <c:pt idx="1">
                  <c:v>0</c:v>
                </c:pt>
                <c:pt idx="2">
                  <c:v>0</c:v>
                </c:pt>
                <c:pt idx="3">
                  <c:v>0</c:v>
                </c:pt>
                <c:pt idx="4">
                  <c:v>0</c:v>
                </c:pt>
                <c:pt idx="5">
                  <c:v>0</c:v>
                </c:pt>
              </c:numCache>
            </c:numRef>
          </c:val>
          <c:smooth val="0"/>
        </c:ser>
        <c:ser>
          <c:idx val="2"/>
          <c:order val="1"/>
          <c:tx>
            <c:strRef>
              <c:f>'Forklift RESULTS-Tables'!$E$34</c:f>
              <c:strCache>
                <c:ptCount val="1"/>
                <c:pt idx="0">
                  <c:v>Class I/II Mfg. Cost</c:v>
                </c:pt>
              </c:strCache>
            </c:strRef>
          </c:tx>
          <c:spPr>
            <a:ln>
              <a:solidFill>
                <a:schemeClr val="tx2">
                  <a:lumMod val="60000"/>
                  <a:lumOff val="40000"/>
                </a:schemeClr>
              </a:solidFill>
            </a:ln>
          </c:spPr>
          <c:marker>
            <c:symbol val="none"/>
          </c:marker>
          <c:cat>
            <c:numRef>
              <c:f>'Forklift RESULTS-Tables'!$C$35:$C$40</c:f>
              <c:numCache>
                <c:formatCode>General</c:formatCode>
                <c:ptCount val="6"/>
                <c:pt idx="0">
                  <c:v>2015</c:v>
                </c:pt>
                <c:pt idx="1">
                  <c:v>2016</c:v>
                </c:pt>
                <c:pt idx="2">
                  <c:v>2017</c:v>
                </c:pt>
                <c:pt idx="3">
                  <c:v>2018</c:v>
                </c:pt>
                <c:pt idx="4">
                  <c:v>2019</c:v>
                </c:pt>
                <c:pt idx="5">
                  <c:v>2020</c:v>
                </c:pt>
              </c:numCache>
            </c:numRef>
          </c:cat>
          <c:val>
            <c:numRef>
              <c:f>'Forklift RESULTS-Tables'!$E$35:$E$40</c:f>
              <c:numCache>
                <c:formatCode>"$"#,##0_);\("$"#,##0\)</c:formatCode>
                <c:ptCount val="6"/>
                <c:pt idx="0">
                  <c:v>0</c:v>
                </c:pt>
                <c:pt idx="1">
                  <c:v>0</c:v>
                </c:pt>
                <c:pt idx="2">
                  <c:v>0</c:v>
                </c:pt>
                <c:pt idx="3">
                  <c:v>0</c:v>
                </c:pt>
                <c:pt idx="4">
                  <c:v>0</c:v>
                </c:pt>
                <c:pt idx="5">
                  <c:v>0</c:v>
                </c:pt>
              </c:numCache>
            </c:numRef>
          </c:val>
          <c:smooth val="0"/>
        </c:ser>
        <c:ser>
          <c:idx val="1"/>
          <c:order val="2"/>
          <c:tx>
            <c:strRef>
              <c:f>'Forklift RESULTS-Tables'!$F$34</c:f>
              <c:strCache>
                <c:ptCount val="1"/>
                <c:pt idx="0">
                  <c:v>Class III Retail price</c:v>
                </c:pt>
              </c:strCache>
            </c:strRef>
          </c:tx>
          <c:spPr>
            <a:ln>
              <a:solidFill>
                <a:srgbClr val="7030A0"/>
              </a:solidFill>
            </a:ln>
          </c:spPr>
          <c:marker>
            <c:symbol val="none"/>
          </c:marker>
          <c:cat>
            <c:numRef>
              <c:f>'Forklift RESULTS-Tables'!$C$35:$C$40</c:f>
              <c:numCache>
                <c:formatCode>General</c:formatCode>
                <c:ptCount val="6"/>
                <c:pt idx="0">
                  <c:v>2015</c:v>
                </c:pt>
                <c:pt idx="1">
                  <c:v>2016</c:v>
                </c:pt>
                <c:pt idx="2">
                  <c:v>2017</c:v>
                </c:pt>
                <c:pt idx="3">
                  <c:v>2018</c:v>
                </c:pt>
                <c:pt idx="4">
                  <c:v>2019</c:v>
                </c:pt>
                <c:pt idx="5">
                  <c:v>2020</c:v>
                </c:pt>
              </c:numCache>
            </c:numRef>
          </c:cat>
          <c:val>
            <c:numRef>
              <c:f>'Forklift RESULTS-Tables'!$F$35:$F$40</c:f>
              <c:numCache>
                <c:formatCode>"$"#,##0_);\("$"#,##0\)</c:formatCode>
                <c:ptCount val="6"/>
                <c:pt idx="0">
                  <c:v>0</c:v>
                </c:pt>
                <c:pt idx="1">
                  <c:v>0</c:v>
                </c:pt>
                <c:pt idx="2">
                  <c:v>0</c:v>
                </c:pt>
                <c:pt idx="3">
                  <c:v>0</c:v>
                </c:pt>
                <c:pt idx="4">
                  <c:v>0</c:v>
                </c:pt>
                <c:pt idx="5">
                  <c:v>0</c:v>
                </c:pt>
              </c:numCache>
            </c:numRef>
          </c:val>
          <c:smooth val="0"/>
        </c:ser>
        <c:ser>
          <c:idx val="3"/>
          <c:order val="3"/>
          <c:tx>
            <c:strRef>
              <c:f>'Forklift RESULTS-Tables'!$G$34</c:f>
              <c:strCache>
                <c:ptCount val="1"/>
                <c:pt idx="0">
                  <c:v>Class III Mfg. Cost</c:v>
                </c:pt>
              </c:strCache>
            </c:strRef>
          </c:tx>
          <c:spPr>
            <a:ln>
              <a:solidFill>
                <a:schemeClr val="accent4">
                  <a:lumMod val="60000"/>
                  <a:lumOff val="40000"/>
                </a:schemeClr>
              </a:solidFill>
            </a:ln>
          </c:spPr>
          <c:marker>
            <c:symbol val="none"/>
          </c:marker>
          <c:cat>
            <c:numRef>
              <c:f>'Forklift RESULTS-Tables'!$C$35:$C$40</c:f>
              <c:numCache>
                <c:formatCode>General</c:formatCode>
                <c:ptCount val="6"/>
                <c:pt idx="0">
                  <c:v>2015</c:v>
                </c:pt>
                <c:pt idx="1">
                  <c:v>2016</c:v>
                </c:pt>
                <c:pt idx="2">
                  <c:v>2017</c:v>
                </c:pt>
                <c:pt idx="3">
                  <c:v>2018</c:v>
                </c:pt>
                <c:pt idx="4">
                  <c:v>2019</c:v>
                </c:pt>
                <c:pt idx="5">
                  <c:v>2020</c:v>
                </c:pt>
              </c:numCache>
            </c:numRef>
          </c:cat>
          <c:val>
            <c:numRef>
              <c:f>'Forklift RESULTS-Tables'!$G$35:$G$40</c:f>
              <c:numCache>
                <c:formatCode>"$"#,##0_);\("$"#,##0\)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07093376"/>
        <c:axId val="107897984"/>
      </c:lineChart>
      <c:catAx>
        <c:axId val="107093376"/>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07897984"/>
        <c:crosses val="autoZero"/>
        <c:auto val="1"/>
        <c:lblAlgn val="ctr"/>
        <c:lblOffset val="100"/>
        <c:noMultiLvlLbl val="0"/>
      </c:catAx>
      <c:valAx>
        <c:axId val="107897984"/>
        <c:scaling>
          <c:orientation val="minMax"/>
        </c:scaling>
        <c:delete val="0"/>
        <c:axPos val="l"/>
        <c:majorGridlines/>
        <c:title>
          <c:tx>
            <c:rich>
              <a:bodyPr rot="0" vert="horz"/>
              <a:lstStyle/>
              <a:p>
                <a:pPr>
                  <a:defRPr sz="1400"/>
                </a:pPr>
                <a:r>
                  <a:rPr lang="en-US" sz="1400" b="1"/>
                  <a:t>$/Forklift Fuel Cell Unit      (2010$)</a:t>
                </a:r>
              </a:p>
            </c:rich>
          </c:tx>
          <c:overlay val="0"/>
        </c:title>
        <c:numFmt formatCode="&quot;$&quot;#,##0_);\(&quot;$&quot;#,##0\)"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07093376"/>
        <c:crosses val="autoZero"/>
        <c:crossBetween val="between"/>
      </c:valAx>
      <c:dTable>
        <c:showHorzBorder val="1"/>
        <c:showVertBorder val="1"/>
        <c:showOutline val="1"/>
        <c:showKeys val="1"/>
      </c:dTable>
    </c:plotArea>
    <c:plotVisOnly val="1"/>
    <c:dispBlanksAs val="gap"/>
    <c:showDLblsOverMax val="0"/>
  </c:chart>
  <c:txPr>
    <a:bodyPr/>
    <a:lstStyle/>
    <a:p>
      <a:pPr>
        <a:defRPr sz="1000" b="0" i="0" u="none" strike="noStrike" baseline="0">
          <a:solidFill>
            <a:srgbClr val="000000"/>
          </a:solidFill>
          <a:latin typeface="Garamond"/>
          <a:ea typeface="Garamond"/>
          <a:cs typeface="Garamond"/>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Economic</a:t>
            </a:r>
            <a:r>
              <a:rPr lang="en-US" baseline="0"/>
              <a:t> Output</a:t>
            </a:r>
            <a:r>
              <a:rPr lang="en-US"/>
              <a:t> Impacts</a:t>
            </a:r>
            <a:r>
              <a:rPr lang="en-US" sz="1600"/>
              <a:t> (2015-2020)</a:t>
            </a:r>
          </a:p>
          <a:p>
            <a:pPr>
              <a:defRPr/>
            </a:pPr>
            <a:r>
              <a:rPr lang="en-US" sz="1400"/>
              <a:t>Forklift Fuel Cell Scenario</a:t>
            </a:r>
          </a:p>
          <a:p>
            <a:pPr>
              <a:defRPr/>
            </a:pPr>
            <a:r>
              <a:rPr lang="en-US" sz="1100"/>
              <a:t>JOBS FC 1.0</a:t>
            </a:r>
          </a:p>
        </c:rich>
      </c:tx>
      <c:overlay val="0"/>
    </c:title>
    <c:autoTitleDeleted val="0"/>
    <c:plotArea>
      <c:layout/>
      <c:barChart>
        <c:barDir val="col"/>
        <c:grouping val="clustered"/>
        <c:varyColors val="0"/>
        <c:ser>
          <c:idx val="21"/>
          <c:order val="0"/>
          <c:tx>
            <c:strRef>
              <c:f>'Forklift RESULTS-Tables'!$H$201</c:f>
              <c:strCache>
                <c:ptCount val="1"/>
                <c:pt idx="0">
                  <c:v> Gross Forklift Fuel Cell-related Total </c:v>
                </c:pt>
              </c:strCache>
            </c:strRef>
          </c:tx>
          <c:spPr>
            <a:solidFill>
              <a:schemeClr val="tx1">
                <a:lumMod val="85000"/>
                <a:lumOff val="15000"/>
              </a:schemeClr>
            </a:solidFill>
            <a:ln>
              <a:solidFill>
                <a:sysClr val="windowText" lastClr="000000"/>
              </a:solidFill>
            </a:ln>
          </c:spPr>
          <c:invertIfNegative val="0"/>
          <c:cat>
            <c:numRef>
              <c:f>'Forklift RESULTS-Tables'!$C$202:$C$207</c:f>
              <c:numCache>
                <c:formatCode>General</c:formatCode>
                <c:ptCount val="6"/>
                <c:pt idx="0">
                  <c:v>2015</c:v>
                </c:pt>
                <c:pt idx="1">
                  <c:v>2016</c:v>
                </c:pt>
                <c:pt idx="2">
                  <c:v>2017</c:v>
                </c:pt>
                <c:pt idx="3">
                  <c:v>2018</c:v>
                </c:pt>
                <c:pt idx="4">
                  <c:v>2019</c:v>
                </c:pt>
                <c:pt idx="5">
                  <c:v>2020</c:v>
                </c:pt>
              </c:numCache>
            </c:numRef>
          </c:cat>
          <c:val>
            <c:numRef>
              <c:f>'Forklift RESULTS-Tables'!$H$202:$H$207</c:f>
              <c:numCache>
                <c:formatCode>_("$"* #,##0_);_("$"* \(#,##0\);_("$"* "-"??_);_(@_)</c:formatCode>
                <c:ptCount val="6"/>
                <c:pt idx="0">
                  <c:v>#N/A</c:v>
                </c:pt>
                <c:pt idx="1">
                  <c:v>#N/A</c:v>
                </c:pt>
                <c:pt idx="2">
                  <c:v>#N/A</c:v>
                </c:pt>
                <c:pt idx="3">
                  <c:v>#N/A</c:v>
                </c:pt>
                <c:pt idx="4">
                  <c:v>#N/A</c:v>
                </c:pt>
                <c:pt idx="5">
                  <c:v>#N/A</c:v>
                </c:pt>
              </c:numCache>
            </c:numRef>
          </c:val>
        </c:ser>
        <c:ser>
          <c:idx val="0"/>
          <c:order val="1"/>
          <c:tx>
            <c:strRef>
              <c:f>'Forklift RESULTS-Tables'!$N$201</c:f>
              <c:strCache>
                <c:ptCount val="1"/>
                <c:pt idx="0">
                  <c:v> Gross Forklift Fuel Cell-related Total </c:v>
                </c:pt>
              </c:strCache>
            </c:strRef>
          </c:tx>
          <c:spPr>
            <a:solidFill>
              <a:schemeClr val="accent1"/>
            </a:solidFill>
            <a:ln>
              <a:solidFill>
                <a:sysClr val="windowText" lastClr="000000"/>
              </a:solidFill>
            </a:ln>
          </c:spPr>
          <c:invertIfNegative val="0"/>
          <c:cat>
            <c:numRef>
              <c:f>'Forklift RESULTS-Tables'!$C$202:$C$207</c:f>
              <c:numCache>
                <c:formatCode>General</c:formatCode>
                <c:ptCount val="6"/>
                <c:pt idx="0">
                  <c:v>2015</c:v>
                </c:pt>
                <c:pt idx="1">
                  <c:v>2016</c:v>
                </c:pt>
                <c:pt idx="2">
                  <c:v>2017</c:v>
                </c:pt>
                <c:pt idx="3">
                  <c:v>2018</c:v>
                </c:pt>
                <c:pt idx="4">
                  <c:v>2019</c:v>
                </c:pt>
                <c:pt idx="5">
                  <c:v>2020</c:v>
                </c:pt>
              </c:numCache>
            </c:numRef>
          </c:cat>
          <c:val>
            <c:numRef>
              <c:f>'Forklift RESULTS-Tables'!$N$202:$N$207</c:f>
              <c:numCache>
                <c:formatCode>_("$"* #,##0_);_("$"* \(#,##0\);_("$"* "-"??_);_(@_)</c:formatCode>
                <c:ptCount val="6"/>
                <c:pt idx="0">
                  <c:v>#N/A</c:v>
                </c:pt>
                <c:pt idx="1">
                  <c:v>#N/A</c:v>
                </c:pt>
                <c:pt idx="2">
                  <c:v>#N/A</c:v>
                </c:pt>
                <c:pt idx="3">
                  <c:v>#N/A</c:v>
                </c:pt>
                <c:pt idx="4">
                  <c:v>#N/A</c:v>
                </c:pt>
                <c:pt idx="5">
                  <c:v>#N/A</c:v>
                </c:pt>
              </c:numCache>
            </c:numRef>
          </c:val>
        </c:ser>
        <c:ser>
          <c:idx val="1"/>
          <c:order val="2"/>
          <c:tx>
            <c:strRef>
              <c:f>'Forklift RESULTS-Tables'!$T$201</c:f>
              <c:strCache>
                <c:ptCount val="1"/>
                <c:pt idx="0">
                  <c:v> Displaced Forklift Battery-related Total </c:v>
                </c:pt>
              </c:strCache>
            </c:strRef>
          </c:tx>
          <c:spPr>
            <a:solidFill>
              <a:schemeClr val="bg1">
                <a:lumMod val="65000"/>
              </a:schemeClr>
            </a:solidFill>
            <a:ln>
              <a:solidFill>
                <a:sysClr val="windowText" lastClr="000000"/>
              </a:solidFill>
            </a:ln>
          </c:spPr>
          <c:invertIfNegative val="0"/>
          <c:cat>
            <c:numRef>
              <c:f>'Forklift RESULTS-Tables'!$C$202:$C$207</c:f>
              <c:numCache>
                <c:formatCode>General</c:formatCode>
                <c:ptCount val="6"/>
                <c:pt idx="0">
                  <c:v>2015</c:v>
                </c:pt>
                <c:pt idx="1">
                  <c:v>2016</c:v>
                </c:pt>
                <c:pt idx="2">
                  <c:v>2017</c:v>
                </c:pt>
                <c:pt idx="3">
                  <c:v>2018</c:v>
                </c:pt>
                <c:pt idx="4">
                  <c:v>2019</c:v>
                </c:pt>
                <c:pt idx="5">
                  <c:v>2020</c:v>
                </c:pt>
              </c:numCache>
            </c:numRef>
          </c:cat>
          <c:val>
            <c:numRef>
              <c:f>'Forklift RESULTS-Tables'!$T$202:$T$207</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axId val="115188864"/>
        <c:axId val="115190400"/>
      </c:barChart>
      <c:catAx>
        <c:axId val="115188864"/>
        <c:scaling>
          <c:orientation val="minMax"/>
        </c:scaling>
        <c:delete val="0"/>
        <c:axPos val="b"/>
        <c:numFmt formatCode="General" sourceLinked="1"/>
        <c:majorTickMark val="none"/>
        <c:minorTickMark val="none"/>
        <c:tickLblPos val="nextTo"/>
        <c:crossAx val="115190400"/>
        <c:crosses val="autoZero"/>
        <c:auto val="1"/>
        <c:lblAlgn val="ctr"/>
        <c:lblOffset val="100"/>
        <c:noMultiLvlLbl val="0"/>
      </c:catAx>
      <c:valAx>
        <c:axId val="115190400"/>
        <c:scaling>
          <c:orientation val="minMax"/>
        </c:scaling>
        <c:delete val="0"/>
        <c:axPos val="l"/>
        <c:majorGridlines/>
        <c:title>
          <c:tx>
            <c:rich>
              <a:bodyPr rot="0" vert="horz"/>
              <a:lstStyle/>
              <a:p>
                <a:pPr>
                  <a:defRPr sz="1400"/>
                </a:pPr>
                <a:r>
                  <a:rPr lang="en-US" sz="1400"/>
                  <a:t>Forklift  Fuel Cell-related  Output (Thousands of 2010$)</a:t>
                </a:r>
              </a:p>
            </c:rich>
          </c:tx>
          <c:layout>
            <c:manualLayout>
              <c:xMode val="edge"/>
              <c:yMode val="edge"/>
              <c:x val="2.3161096582165717E-2"/>
              <c:y val="0.29362883815503338"/>
            </c:manualLayout>
          </c:layout>
          <c:overlay val="0"/>
        </c:title>
        <c:numFmt formatCode="_(&quot;$&quot;* #,##0_);_(&quot;$&quot;* \(#,##0\);_(&quot;$&quot;* &quot;-&quot;??_);_(@_)" sourceLinked="1"/>
        <c:majorTickMark val="none"/>
        <c:minorTickMark val="none"/>
        <c:tickLblPos val="nextTo"/>
        <c:crossAx val="115188864"/>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'Backup INPUTS'!$F$626</c:f>
              <c:strCache>
                <c:ptCount val="1"/>
                <c:pt idx="0">
                  <c:v>gal/kW(load)-hour</c:v>
                </c:pt>
              </c:strCache>
            </c:strRef>
          </c:tx>
          <c:spPr>
            <a:ln w="28575">
              <a:noFill/>
            </a:ln>
          </c:spPr>
          <c:yVal>
            <c:numRef>
              <c:f>'Backup INPUTS'!$F$627:$F$638</c:f>
            </c:numRef>
          </c:yVal>
          <c:smooth val="0"/>
        </c:ser>
        <c:dLbls>
          <c:showLegendKey val="0"/>
          <c:showVal val="0"/>
          <c:showCatName val="0"/>
          <c:showSerName val="0"/>
          <c:showPercent val="0"/>
          <c:showBubbleSize val="0"/>
        </c:dLbls>
        <c:axId val="115600768"/>
        <c:axId val="115602560"/>
      </c:scatterChart>
      <c:valAx>
        <c:axId val="115600768"/>
        <c:scaling>
          <c:orientation val="minMax"/>
        </c:scaling>
        <c:delete val="0"/>
        <c:axPos val="b"/>
        <c:numFmt formatCode="General" sourceLinked="1"/>
        <c:majorTickMark val="out"/>
        <c:minorTickMark val="none"/>
        <c:tickLblPos val="nextTo"/>
        <c:crossAx val="115602560"/>
        <c:crosses val="autoZero"/>
        <c:crossBetween val="midCat"/>
      </c:valAx>
      <c:valAx>
        <c:axId val="115602560"/>
        <c:scaling>
          <c:orientation val="minMax"/>
        </c:scaling>
        <c:delete val="0"/>
        <c:axPos val="l"/>
        <c:majorGridlines/>
        <c:numFmt formatCode="General" sourceLinked="1"/>
        <c:majorTickMark val="out"/>
        <c:minorTickMark val="none"/>
        <c:tickLblPos val="nextTo"/>
        <c:crossAx val="1156007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Garamond"/>
                <a:ea typeface="Garamond"/>
                <a:cs typeface="Garamond"/>
              </a:defRPr>
            </a:pPr>
            <a:r>
              <a:rPr lang="en-US" sz="1800" b="1" i="0" baseline="0">
                <a:effectLst/>
              </a:rPr>
              <a:t>Retail Price and Manfuacturing Cost         </a:t>
            </a:r>
            <a:endParaRPr lang="en-US">
              <a:effectLst/>
            </a:endParaRPr>
          </a:p>
          <a:p>
            <a:pPr>
              <a:defRPr sz="1200" b="1" i="0" u="none" strike="noStrike" baseline="0">
                <a:solidFill>
                  <a:srgbClr val="000000"/>
                </a:solidFill>
                <a:latin typeface="Garamond"/>
                <a:ea typeface="Garamond"/>
                <a:cs typeface="Garamond"/>
              </a:defRPr>
            </a:pPr>
            <a:r>
              <a:rPr lang="en-US" sz="1200" b="1" i="0" baseline="0">
                <a:effectLst/>
              </a:rPr>
              <a:t>Backup Power Fuel Cell Scenario</a:t>
            </a:r>
            <a:endParaRPr lang="en-US" sz="1200">
              <a:effectLst/>
            </a:endParaRPr>
          </a:p>
          <a:p>
            <a:pPr>
              <a:defRPr sz="1200" b="1" i="0" u="none" strike="noStrike" baseline="0">
                <a:solidFill>
                  <a:srgbClr val="000000"/>
                </a:solidFill>
                <a:latin typeface="Garamond"/>
                <a:ea typeface="Garamond"/>
                <a:cs typeface="Garamond"/>
              </a:defRPr>
            </a:pPr>
            <a:r>
              <a:rPr lang="en-US" sz="1050" b="1" i="0" baseline="0">
                <a:effectLst/>
              </a:rPr>
              <a:t>JOBS FC 1.0</a:t>
            </a:r>
            <a:endParaRPr lang="en-US" sz="1050">
              <a:effectLst/>
            </a:endParaRPr>
          </a:p>
        </c:rich>
      </c:tx>
      <c:overlay val="0"/>
    </c:title>
    <c:autoTitleDeleted val="0"/>
    <c:plotArea>
      <c:layout/>
      <c:lineChart>
        <c:grouping val="standard"/>
        <c:varyColors val="0"/>
        <c:ser>
          <c:idx val="0"/>
          <c:order val="0"/>
          <c:tx>
            <c:strRef>
              <c:f>'Backup RESULTS-Tables'!$D$32</c:f>
              <c:strCache>
                <c:ptCount val="1"/>
                <c:pt idx="0">
                  <c:v>BuP FC Retail Price</c:v>
                </c:pt>
              </c:strCache>
            </c:strRef>
          </c:tx>
          <c:spPr>
            <a:ln>
              <a:solidFill>
                <a:schemeClr val="accent3">
                  <a:lumMod val="50000"/>
                </a:schemeClr>
              </a:solidFill>
            </a:ln>
          </c:spPr>
          <c:marker>
            <c:symbol val="none"/>
          </c:marker>
          <c:cat>
            <c:numRef>
              <c:f>'Backup RESULTS-Tables'!$C$33:$C$38</c:f>
              <c:numCache>
                <c:formatCode>General</c:formatCode>
                <c:ptCount val="6"/>
                <c:pt idx="0">
                  <c:v>2015</c:v>
                </c:pt>
                <c:pt idx="1">
                  <c:v>2016</c:v>
                </c:pt>
                <c:pt idx="2">
                  <c:v>2017</c:v>
                </c:pt>
                <c:pt idx="3">
                  <c:v>2018</c:v>
                </c:pt>
                <c:pt idx="4">
                  <c:v>2019</c:v>
                </c:pt>
                <c:pt idx="5">
                  <c:v>2020</c:v>
                </c:pt>
              </c:numCache>
            </c:numRef>
          </c:cat>
          <c:val>
            <c:numRef>
              <c:f>'Backup RESULTS-Tables'!$D$33:$D$38</c:f>
              <c:numCache>
                <c:formatCode>"$"#,##0</c:formatCode>
                <c:ptCount val="6"/>
                <c:pt idx="0">
                  <c:v>0</c:v>
                </c:pt>
                <c:pt idx="1">
                  <c:v>0</c:v>
                </c:pt>
                <c:pt idx="2">
                  <c:v>0</c:v>
                </c:pt>
                <c:pt idx="3">
                  <c:v>0</c:v>
                </c:pt>
                <c:pt idx="4">
                  <c:v>0</c:v>
                </c:pt>
                <c:pt idx="5">
                  <c:v>0</c:v>
                </c:pt>
              </c:numCache>
            </c:numRef>
          </c:val>
          <c:smooth val="0"/>
        </c:ser>
        <c:ser>
          <c:idx val="2"/>
          <c:order val="1"/>
          <c:tx>
            <c:strRef>
              <c:f>'Backup RESULTS-Tables'!$E$32</c:f>
              <c:strCache>
                <c:ptCount val="1"/>
                <c:pt idx="0">
                  <c:v>BuP FC Mfg. Cost</c:v>
                </c:pt>
              </c:strCache>
            </c:strRef>
          </c:tx>
          <c:spPr>
            <a:ln>
              <a:solidFill>
                <a:schemeClr val="accent3"/>
              </a:solidFill>
            </a:ln>
          </c:spPr>
          <c:marker>
            <c:symbol val="none"/>
          </c:marker>
          <c:cat>
            <c:numRef>
              <c:f>'Backup RESULTS-Tables'!$C$33:$C$38</c:f>
              <c:numCache>
                <c:formatCode>General</c:formatCode>
                <c:ptCount val="6"/>
                <c:pt idx="0">
                  <c:v>2015</c:v>
                </c:pt>
                <c:pt idx="1">
                  <c:v>2016</c:v>
                </c:pt>
                <c:pt idx="2">
                  <c:v>2017</c:v>
                </c:pt>
                <c:pt idx="3">
                  <c:v>2018</c:v>
                </c:pt>
                <c:pt idx="4">
                  <c:v>2019</c:v>
                </c:pt>
                <c:pt idx="5">
                  <c:v>2020</c:v>
                </c:pt>
              </c:numCache>
            </c:numRef>
          </c:cat>
          <c:val>
            <c:numRef>
              <c:f>'Backup RESULTS-Tables'!$E$33:$E$38</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08812928"/>
        <c:axId val="113271168"/>
      </c:lineChart>
      <c:catAx>
        <c:axId val="10881292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13271168"/>
        <c:crosses val="autoZero"/>
        <c:auto val="1"/>
        <c:lblAlgn val="ctr"/>
        <c:lblOffset val="100"/>
        <c:noMultiLvlLbl val="0"/>
      </c:catAx>
      <c:valAx>
        <c:axId val="113271168"/>
        <c:scaling>
          <c:orientation val="minMax"/>
        </c:scaling>
        <c:delete val="0"/>
        <c:axPos val="l"/>
        <c:majorGridlines/>
        <c:title>
          <c:tx>
            <c:rich>
              <a:bodyPr rot="0" vert="horz"/>
              <a:lstStyle/>
              <a:p>
                <a:pPr>
                  <a:defRPr sz="1400"/>
                </a:pPr>
                <a:r>
                  <a:rPr lang="en-US" sz="1400" b="1" i="0" baseline="0">
                    <a:effectLst/>
                  </a:rPr>
                  <a:t>$/Unit      (2010$)</a:t>
                </a:r>
                <a:endParaRPr lang="en-US" sz="1400">
                  <a:effectLst/>
                </a:endParaRPr>
              </a:p>
            </c:rich>
          </c:tx>
          <c:overlay val="0"/>
        </c:title>
        <c:numFmt formatCode="&quot;$&quot;#,##0"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08812928"/>
        <c:crosses val="autoZero"/>
        <c:crossBetween val="between"/>
      </c:valAx>
      <c:dTable>
        <c:showHorzBorder val="1"/>
        <c:showVertBorder val="1"/>
        <c:showOutline val="1"/>
        <c:showKeys val="1"/>
      </c:dTable>
    </c:plotArea>
    <c:plotVisOnly val="1"/>
    <c:dispBlanksAs val="gap"/>
    <c:showDLblsOverMax val="0"/>
  </c:chart>
  <c:txPr>
    <a:bodyPr/>
    <a:lstStyle/>
    <a:p>
      <a:pPr>
        <a:defRPr sz="1000" b="0" i="0" u="none" strike="noStrike" baseline="0">
          <a:solidFill>
            <a:srgbClr val="000000"/>
          </a:solidFill>
          <a:latin typeface="Garamond"/>
          <a:ea typeface="Garamond"/>
          <a:cs typeface="Garamond"/>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Garamond"/>
                <a:ea typeface="Garamond"/>
                <a:cs typeface="Garamond"/>
              </a:defRPr>
            </a:pPr>
            <a:r>
              <a:rPr lang="en-US" sz="1800" b="1" i="0" baseline="0">
                <a:effectLst/>
              </a:rPr>
              <a:t>Units Manufactured in Region </a:t>
            </a:r>
            <a:endParaRPr lang="en-US">
              <a:effectLst/>
            </a:endParaRPr>
          </a:p>
          <a:p>
            <a:pPr>
              <a:defRPr sz="1200" b="1" i="0" u="none" strike="noStrike" baseline="0">
                <a:solidFill>
                  <a:srgbClr val="000000"/>
                </a:solidFill>
                <a:latin typeface="Garamond"/>
                <a:ea typeface="Garamond"/>
                <a:cs typeface="Garamond"/>
              </a:defRPr>
            </a:pPr>
            <a:r>
              <a:rPr lang="en-US" sz="1200" b="1" i="0" baseline="0">
                <a:effectLst/>
              </a:rPr>
              <a:t>Backup Power Fuel Cell Scenario</a:t>
            </a:r>
            <a:endParaRPr lang="en-US" sz="1200">
              <a:effectLst/>
            </a:endParaRPr>
          </a:p>
          <a:p>
            <a:pPr>
              <a:defRPr sz="1200" b="1" i="0" u="none" strike="noStrike" baseline="0">
                <a:solidFill>
                  <a:srgbClr val="000000"/>
                </a:solidFill>
                <a:latin typeface="Garamond"/>
                <a:ea typeface="Garamond"/>
                <a:cs typeface="Garamond"/>
              </a:defRPr>
            </a:pPr>
            <a:r>
              <a:rPr lang="en-US" sz="1050" b="1" i="0" baseline="0">
                <a:effectLst/>
              </a:rPr>
              <a:t>JOBS FC 1.0</a:t>
            </a:r>
            <a:endParaRPr lang="en-US" sz="1050">
              <a:effectLst/>
            </a:endParaRPr>
          </a:p>
        </c:rich>
      </c:tx>
      <c:overlay val="0"/>
    </c:title>
    <c:autoTitleDeleted val="0"/>
    <c:plotArea>
      <c:layout/>
      <c:barChart>
        <c:barDir val="col"/>
        <c:grouping val="clustered"/>
        <c:varyColors val="0"/>
        <c:ser>
          <c:idx val="0"/>
          <c:order val="0"/>
          <c:tx>
            <c:strRef>
              <c:f>'Backup RESULTS-Tables'!$D$40</c:f>
              <c:strCache>
                <c:ptCount val="1"/>
                <c:pt idx="0">
                  <c:v>BuP Annual Units Mfg.</c:v>
                </c:pt>
              </c:strCache>
            </c:strRef>
          </c:tx>
          <c:spPr>
            <a:solidFill>
              <a:schemeClr val="accent3">
                <a:lumMod val="75000"/>
              </a:schemeClr>
            </a:solidFill>
            <a:ln>
              <a:solidFill>
                <a:sysClr val="windowText" lastClr="000000"/>
              </a:solidFill>
            </a:ln>
          </c:spPr>
          <c:invertIfNegative val="0"/>
          <c:cat>
            <c:numRef>
              <c:f>'Backup RESULTS-Tables'!$C$41:$C$46</c:f>
              <c:numCache>
                <c:formatCode>General</c:formatCode>
                <c:ptCount val="6"/>
                <c:pt idx="0">
                  <c:v>2015</c:v>
                </c:pt>
                <c:pt idx="1">
                  <c:v>2016</c:v>
                </c:pt>
                <c:pt idx="2">
                  <c:v>2017</c:v>
                </c:pt>
                <c:pt idx="3">
                  <c:v>2018</c:v>
                </c:pt>
                <c:pt idx="4">
                  <c:v>2019</c:v>
                </c:pt>
                <c:pt idx="5">
                  <c:v>2020</c:v>
                </c:pt>
              </c:numCache>
            </c:numRef>
          </c:cat>
          <c:val>
            <c:numRef>
              <c:f>'Backup RESULTS-Tables'!$D$41:$D$46</c:f>
              <c:numCache>
                <c:formatCode>_(* #,##0_);_(* \(#,##0\);_(*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7310848"/>
        <c:axId val="127320832"/>
      </c:barChart>
      <c:lineChart>
        <c:grouping val="standard"/>
        <c:varyColors val="0"/>
        <c:ser>
          <c:idx val="1"/>
          <c:order val="1"/>
          <c:tx>
            <c:strRef>
              <c:f>'Backup RESULTS-Tables'!$E$40</c:f>
              <c:strCache>
                <c:ptCount val="1"/>
                <c:pt idx="0">
                  <c:v>BuP Cum. Units Mfg.</c:v>
                </c:pt>
              </c:strCache>
            </c:strRef>
          </c:tx>
          <c:spPr>
            <a:ln>
              <a:solidFill>
                <a:schemeClr val="accent3"/>
              </a:solidFill>
            </a:ln>
          </c:spPr>
          <c:marker>
            <c:symbol val="none"/>
          </c:marker>
          <c:val>
            <c:numRef>
              <c:f>'Backup RESULTS-Tables'!$E$41:$E$46</c:f>
              <c:numCache>
                <c:formatCode>_(* #,##0_);_(* \(#,##0\);_(*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27310848"/>
        <c:axId val="127320832"/>
      </c:lineChart>
      <c:catAx>
        <c:axId val="12731084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27320832"/>
        <c:crosses val="autoZero"/>
        <c:auto val="1"/>
        <c:lblAlgn val="ctr"/>
        <c:lblOffset val="100"/>
        <c:noMultiLvlLbl val="0"/>
      </c:catAx>
      <c:valAx>
        <c:axId val="127320832"/>
        <c:scaling>
          <c:orientation val="minMax"/>
        </c:scaling>
        <c:delete val="0"/>
        <c:axPos val="l"/>
        <c:majorGridlines/>
        <c:title>
          <c:tx>
            <c:rich>
              <a:bodyPr rot="0" vert="horz"/>
              <a:lstStyle/>
              <a:p>
                <a:pPr>
                  <a:defRPr sz="1400"/>
                </a:pPr>
                <a:r>
                  <a:rPr lang="en-US" sz="1400" b="1" i="0" baseline="0">
                    <a:effectLst/>
                  </a:rPr>
                  <a:t>Backup Power Fuel Cell Units</a:t>
                </a:r>
                <a:endParaRPr lang="en-US" sz="1400">
                  <a:effectLst/>
                </a:endParaRPr>
              </a:p>
            </c:rich>
          </c:tx>
          <c:layout>
            <c:manualLayout>
              <c:xMode val="edge"/>
              <c:yMode val="edge"/>
              <c:x val="3.2233831348004574E-2"/>
              <c:y val="0.45022419072615927"/>
            </c:manualLayout>
          </c:layout>
          <c:overlay val="0"/>
        </c:title>
        <c:numFmt formatCode="_(* #,##0_);_(* \(#,##0\);_(* &quot;-&quot;??_);_(@_)"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27310848"/>
        <c:crosses val="autoZero"/>
        <c:crossBetween val="between"/>
      </c:valAx>
      <c:dTable>
        <c:showHorzBorder val="1"/>
        <c:showVertBorder val="1"/>
        <c:showOutline val="1"/>
        <c:showKeys val="1"/>
      </c:dTable>
    </c:plotArea>
    <c:plotVisOnly val="1"/>
    <c:dispBlanksAs val="gap"/>
    <c:showDLblsOverMax val="0"/>
  </c:chart>
  <c:txPr>
    <a:bodyPr/>
    <a:lstStyle/>
    <a:p>
      <a:pPr>
        <a:defRPr sz="1000" b="0" i="0" u="none" strike="noStrike" baseline="0">
          <a:solidFill>
            <a:srgbClr val="000000"/>
          </a:solidFill>
          <a:latin typeface="Garamond"/>
          <a:ea typeface="Garamond"/>
          <a:cs typeface="Garamond"/>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Garamond"/>
                <a:ea typeface="Garamond"/>
                <a:cs typeface="Garamond"/>
              </a:defRPr>
            </a:pPr>
            <a:r>
              <a:rPr lang="en-US" sz="1800" b="1" i="0" baseline="0">
                <a:effectLst/>
              </a:rPr>
              <a:t>Units Installed in Region</a:t>
            </a:r>
          </a:p>
          <a:p>
            <a:pPr>
              <a:defRPr sz="1200" b="1" i="0" u="none" strike="noStrike" baseline="0">
                <a:solidFill>
                  <a:srgbClr val="000000"/>
                </a:solidFill>
                <a:latin typeface="Garamond"/>
                <a:ea typeface="Garamond"/>
                <a:cs typeface="Garamond"/>
              </a:defRPr>
            </a:pPr>
            <a:r>
              <a:rPr lang="en-US" sz="1200" b="1" i="0" baseline="0">
                <a:effectLst/>
              </a:rPr>
              <a:t>Backup Power Cell Scenario</a:t>
            </a:r>
            <a:endParaRPr lang="en-US" sz="1200">
              <a:effectLst/>
            </a:endParaRPr>
          </a:p>
          <a:p>
            <a:pPr>
              <a:defRPr sz="1200" b="1" i="0" u="none" strike="noStrike" baseline="0">
                <a:solidFill>
                  <a:srgbClr val="000000"/>
                </a:solidFill>
                <a:latin typeface="Garamond"/>
                <a:ea typeface="Garamond"/>
                <a:cs typeface="Garamond"/>
              </a:defRPr>
            </a:pPr>
            <a:r>
              <a:rPr lang="en-US" sz="1050" b="1" i="0" baseline="0">
                <a:effectLst/>
              </a:rPr>
              <a:t>JOBS FC 1.0</a:t>
            </a:r>
            <a:endParaRPr lang="en-US" sz="1050">
              <a:effectLst/>
            </a:endParaRPr>
          </a:p>
          <a:p>
            <a:pPr>
              <a:defRPr sz="1200" b="1" i="0" u="none" strike="noStrike" baseline="0">
                <a:solidFill>
                  <a:srgbClr val="000000"/>
                </a:solidFill>
                <a:latin typeface="Garamond"/>
                <a:ea typeface="Garamond"/>
                <a:cs typeface="Garamond"/>
              </a:defRPr>
            </a:pPr>
            <a:endParaRPr lang="en-US">
              <a:effectLst/>
            </a:endParaRPr>
          </a:p>
        </c:rich>
      </c:tx>
      <c:overlay val="0"/>
    </c:title>
    <c:autoTitleDeleted val="0"/>
    <c:plotArea>
      <c:layout>
        <c:manualLayout>
          <c:layoutTarget val="inner"/>
          <c:xMode val="edge"/>
          <c:yMode val="edge"/>
          <c:x val="0.35983942111402739"/>
          <c:y val="0.17795844269466315"/>
          <c:w val="0.62627168999708371"/>
          <c:h val="0.67725524934383197"/>
        </c:manualLayout>
      </c:layout>
      <c:barChart>
        <c:barDir val="col"/>
        <c:grouping val="clustered"/>
        <c:varyColors val="0"/>
        <c:ser>
          <c:idx val="0"/>
          <c:order val="0"/>
          <c:tx>
            <c:strRef>
              <c:f>'Backup RESULTS-Tables'!$D$48</c:f>
              <c:strCache>
                <c:ptCount val="1"/>
                <c:pt idx="0">
                  <c:v>BuP Annual Units Installed</c:v>
                </c:pt>
              </c:strCache>
            </c:strRef>
          </c:tx>
          <c:spPr>
            <a:solidFill>
              <a:schemeClr val="accent3">
                <a:lumMod val="75000"/>
              </a:schemeClr>
            </a:solidFill>
            <a:ln>
              <a:solidFill>
                <a:sysClr val="windowText" lastClr="000000"/>
              </a:solidFill>
            </a:ln>
          </c:spPr>
          <c:invertIfNegative val="0"/>
          <c:cat>
            <c:numRef>
              <c:f>'Backup RESULTS-Tables'!$C$49:$C$54</c:f>
              <c:numCache>
                <c:formatCode>General</c:formatCode>
                <c:ptCount val="6"/>
                <c:pt idx="0">
                  <c:v>2015</c:v>
                </c:pt>
                <c:pt idx="1">
                  <c:v>2016</c:v>
                </c:pt>
                <c:pt idx="2">
                  <c:v>2017</c:v>
                </c:pt>
                <c:pt idx="3">
                  <c:v>2018</c:v>
                </c:pt>
                <c:pt idx="4">
                  <c:v>2019</c:v>
                </c:pt>
                <c:pt idx="5">
                  <c:v>2020</c:v>
                </c:pt>
              </c:numCache>
            </c:numRef>
          </c:cat>
          <c:val>
            <c:numRef>
              <c:f>'Backup RESULTS-Tables'!$D$49:$D$54</c:f>
              <c:numCache>
                <c:formatCode>_(* #,##0_);_(* \(#,##0\);_(*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4878208"/>
        <c:axId val="124880000"/>
      </c:barChart>
      <c:lineChart>
        <c:grouping val="standard"/>
        <c:varyColors val="0"/>
        <c:ser>
          <c:idx val="1"/>
          <c:order val="1"/>
          <c:tx>
            <c:strRef>
              <c:f>'Backup RESULTS-Tables'!$E$48</c:f>
              <c:strCache>
                <c:ptCount val="1"/>
                <c:pt idx="0">
                  <c:v>BuP Cum. Units in Operation</c:v>
                </c:pt>
              </c:strCache>
            </c:strRef>
          </c:tx>
          <c:spPr>
            <a:ln>
              <a:solidFill>
                <a:schemeClr val="accent3"/>
              </a:solidFill>
            </a:ln>
          </c:spPr>
          <c:marker>
            <c:symbol val="none"/>
          </c:marker>
          <c:val>
            <c:numRef>
              <c:f>'Backup RESULTS-Tables'!$E$49:$E$54</c:f>
              <c:numCache>
                <c:formatCode>_(* #,##0_);_(* \(#,##0\);_(*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24878208"/>
        <c:axId val="124880000"/>
      </c:lineChart>
      <c:catAx>
        <c:axId val="1248782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24880000"/>
        <c:crosses val="autoZero"/>
        <c:auto val="1"/>
        <c:lblAlgn val="ctr"/>
        <c:lblOffset val="100"/>
        <c:noMultiLvlLbl val="0"/>
      </c:catAx>
      <c:valAx>
        <c:axId val="124880000"/>
        <c:scaling>
          <c:orientation val="minMax"/>
        </c:scaling>
        <c:delete val="0"/>
        <c:axPos val="l"/>
        <c:majorGridlines/>
        <c:title>
          <c:tx>
            <c:rich>
              <a:bodyPr rot="0" vert="horz"/>
              <a:lstStyle/>
              <a:p>
                <a:pPr>
                  <a:defRPr sz="1400"/>
                </a:pPr>
                <a:r>
                  <a:rPr lang="en-US" sz="1400" b="1" i="0" baseline="0">
                    <a:effectLst/>
                  </a:rPr>
                  <a:t>Backup Power Fuel Cell Units</a:t>
                </a:r>
                <a:endParaRPr lang="en-US" sz="1400">
                  <a:effectLst/>
                </a:endParaRPr>
              </a:p>
            </c:rich>
          </c:tx>
          <c:layout>
            <c:manualLayout>
              <c:xMode val="edge"/>
              <c:yMode val="edge"/>
              <c:x val="6.2095728107271868E-2"/>
              <c:y val="0.44566645438880031"/>
            </c:manualLayout>
          </c:layout>
          <c:overlay val="0"/>
        </c:title>
        <c:numFmt formatCode="_(* #,##0_);_(* \(#,##0\);_(* &quot;-&quot;_);_(@_)"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24878208"/>
        <c:crosses val="autoZero"/>
        <c:crossBetween val="between"/>
      </c:valAx>
      <c:dTable>
        <c:showHorzBorder val="1"/>
        <c:showVertBorder val="1"/>
        <c:showOutline val="1"/>
        <c:showKeys val="1"/>
      </c:dTable>
    </c:plotArea>
    <c:plotVisOnly val="1"/>
    <c:dispBlanksAs val="gap"/>
    <c:showDLblsOverMax val="0"/>
  </c:chart>
  <c:txPr>
    <a:bodyPr/>
    <a:lstStyle/>
    <a:p>
      <a:pPr>
        <a:defRPr sz="1000" b="0" i="0" u="none" strike="noStrike" baseline="0">
          <a:solidFill>
            <a:srgbClr val="000000"/>
          </a:solidFill>
          <a:latin typeface="Garamond"/>
          <a:ea typeface="Garamond"/>
          <a:cs typeface="Garamond"/>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Employment Impacts</a:t>
            </a:r>
            <a:r>
              <a:rPr lang="en-US" sz="1600"/>
              <a:t> (2015-2020)</a:t>
            </a:r>
          </a:p>
          <a:p>
            <a:pPr>
              <a:defRPr/>
            </a:pPr>
            <a:r>
              <a:rPr lang="en-US" sz="1400"/>
              <a:t>Backup Power Fuel Cell Scenario</a:t>
            </a:r>
          </a:p>
          <a:p>
            <a:pPr>
              <a:defRPr/>
            </a:pPr>
            <a:r>
              <a:rPr lang="en-US" sz="1100"/>
              <a:t>JOBS FC 1.0</a:t>
            </a:r>
          </a:p>
        </c:rich>
      </c:tx>
      <c:overlay val="0"/>
    </c:title>
    <c:autoTitleDeleted val="0"/>
    <c:plotArea>
      <c:layout/>
      <c:barChart>
        <c:barDir val="col"/>
        <c:grouping val="stacked"/>
        <c:varyColors val="0"/>
        <c:ser>
          <c:idx val="0"/>
          <c:order val="1"/>
          <c:tx>
            <c:strRef>
              <c:f>'Backup RESULTS-Tables'!$AH$61</c:f>
              <c:strCache>
                <c:ptCount val="1"/>
                <c:pt idx="0">
                  <c:v>Gross BuP FC Maintenance Induced</c:v>
                </c:pt>
              </c:strCache>
            </c:strRef>
          </c:tx>
          <c:spPr>
            <a:solidFill>
              <a:schemeClr val="accent6">
                <a:lumMod val="60000"/>
                <a:lumOff val="40000"/>
              </a:schemeClr>
            </a:solidFill>
            <a:ln>
              <a:solidFill>
                <a:sysClr val="windowText" lastClr="000000"/>
              </a:solidFill>
            </a:ln>
          </c:spPr>
          <c:invertIfNegative val="0"/>
          <c:cat>
            <c:numRef>
              <c:f>'Backup RESULTS-Tables'!$C$62:$C$67</c:f>
              <c:numCache>
                <c:formatCode>General</c:formatCode>
                <c:ptCount val="6"/>
                <c:pt idx="0">
                  <c:v>2015</c:v>
                </c:pt>
                <c:pt idx="1">
                  <c:v>2016</c:v>
                </c:pt>
                <c:pt idx="2">
                  <c:v>2017</c:v>
                </c:pt>
                <c:pt idx="3">
                  <c:v>2018</c:v>
                </c:pt>
                <c:pt idx="4">
                  <c:v>2019</c:v>
                </c:pt>
                <c:pt idx="5">
                  <c:v>2020</c:v>
                </c:pt>
              </c:numCache>
            </c:numRef>
          </c:cat>
          <c:val>
            <c:numRef>
              <c:f>'Backup RESULTS-Tables'!$AH$62:$AH$67</c:f>
              <c:numCache>
                <c:formatCode>_(* #,##0_);_(* \(#,##0\);_(* "-"_);_(@_)</c:formatCode>
                <c:ptCount val="6"/>
                <c:pt idx="0">
                  <c:v>#N/A</c:v>
                </c:pt>
                <c:pt idx="1">
                  <c:v>#N/A</c:v>
                </c:pt>
                <c:pt idx="2">
                  <c:v>#N/A</c:v>
                </c:pt>
                <c:pt idx="3">
                  <c:v>#N/A</c:v>
                </c:pt>
                <c:pt idx="4">
                  <c:v>#N/A</c:v>
                </c:pt>
                <c:pt idx="5">
                  <c:v>#N/A</c:v>
                </c:pt>
              </c:numCache>
            </c:numRef>
          </c:val>
        </c:ser>
        <c:ser>
          <c:idx val="1"/>
          <c:order val="2"/>
          <c:tx>
            <c:strRef>
              <c:f>'Backup RESULTS-Tables'!$AI$61</c:f>
              <c:strCache>
                <c:ptCount val="1"/>
                <c:pt idx="0">
                  <c:v>Gross BuP FC Maintenance Supply Chain</c:v>
                </c:pt>
              </c:strCache>
            </c:strRef>
          </c:tx>
          <c:spPr>
            <a:solidFill>
              <a:schemeClr val="accent6"/>
            </a:solidFill>
            <a:ln>
              <a:solidFill>
                <a:sysClr val="windowText" lastClr="000000"/>
              </a:solidFill>
            </a:ln>
          </c:spPr>
          <c:invertIfNegative val="0"/>
          <c:cat>
            <c:numRef>
              <c:f>'Backup RESULTS-Tables'!$C$62:$C$67</c:f>
              <c:numCache>
                <c:formatCode>General</c:formatCode>
                <c:ptCount val="6"/>
                <c:pt idx="0">
                  <c:v>2015</c:v>
                </c:pt>
                <c:pt idx="1">
                  <c:v>2016</c:v>
                </c:pt>
                <c:pt idx="2">
                  <c:v>2017</c:v>
                </c:pt>
                <c:pt idx="3">
                  <c:v>2018</c:v>
                </c:pt>
                <c:pt idx="4">
                  <c:v>2019</c:v>
                </c:pt>
                <c:pt idx="5">
                  <c:v>2020</c:v>
                </c:pt>
              </c:numCache>
            </c:numRef>
          </c:cat>
          <c:val>
            <c:numRef>
              <c:f>'Backup RESULTS-Tables'!$AI$62:$AI$67</c:f>
              <c:numCache>
                <c:formatCode>_(* #,##0_);_(* \(#,##0\);_(* "-"_);_(@_)</c:formatCode>
                <c:ptCount val="6"/>
                <c:pt idx="0">
                  <c:v>#N/A</c:v>
                </c:pt>
                <c:pt idx="1">
                  <c:v>#N/A</c:v>
                </c:pt>
                <c:pt idx="2">
                  <c:v>#N/A</c:v>
                </c:pt>
                <c:pt idx="3">
                  <c:v>#N/A</c:v>
                </c:pt>
                <c:pt idx="4">
                  <c:v>#N/A</c:v>
                </c:pt>
                <c:pt idx="5">
                  <c:v>#N/A</c:v>
                </c:pt>
              </c:numCache>
            </c:numRef>
          </c:val>
        </c:ser>
        <c:ser>
          <c:idx val="2"/>
          <c:order val="3"/>
          <c:tx>
            <c:strRef>
              <c:f>'Backup RESULTS-Tables'!$AA$61</c:f>
              <c:strCache>
                <c:ptCount val="1"/>
                <c:pt idx="0">
                  <c:v>Gross BuP FC Fuel Induced</c:v>
                </c:pt>
              </c:strCache>
            </c:strRef>
          </c:tx>
          <c:spPr>
            <a:solidFill>
              <a:schemeClr val="accent2">
                <a:lumMod val="60000"/>
                <a:lumOff val="40000"/>
              </a:schemeClr>
            </a:solidFill>
            <a:ln>
              <a:solidFill>
                <a:sysClr val="windowText" lastClr="000000"/>
              </a:solidFill>
            </a:ln>
          </c:spPr>
          <c:invertIfNegative val="0"/>
          <c:cat>
            <c:numRef>
              <c:f>'Backup RESULTS-Tables'!$C$62:$C$67</c:f>
              <c:numCache>
                <c:formatCode>General</c:formatCode>
                <c:ptCount val="6"/>
                <c:pt idx="0">
                  <c:v>2015</c:v>
                </c:pt>
                <c:pt idx="1">
                  <c:v>2016</c:v>
                </c:pt>
                <c:pt idx="2">
                  <c:v>2017</c:v>
                </c:pt>
                <c:pt idx="3">
                  <c:v>2018</c:v>
                </c:pt>
                <c:pt idx="4">
                  <c:v>2019</c:v>
                </c:pt>
                <c:pt idx="5">
                  <c:v>2020</c:v>
                </c:pt>
              </c:numCache>
            </c:numRef>
          </c:cat>
          <c:val>
            <c:numRef>
              <c:f>'Backup RESULTS-Tables'!$AA$62:$AA$67</c:f>
              <c:numCache>
                <c:formatCode>_(* #,##0_);_(* \(#,##0\);_(* "-"_);_(@_)</c:formatCode>
                <c:ptCount val="6"/>
                <c:pt idx="0">
                  <c:v>#N/A</c:v>
                </c:pt>
                <c:pt idx="1">
                  <c:v>#N/A</c:v>
                </c:pt>
                <c:pt idx="2">
                  <c:v>#N/A</c:v>
                </c:pt>
                <c:pt idx="3">
                  <c:v>#N/A</c:v>
                </c:pt>
                <c:pt idx="4">
                  <c:v>#N/A</c:v>
                </c:pt>
                <c:pt idx="5">
                  <c:v>#N/A</c:v>
                </c:pt>
              </c:numCache>
            </c:numRef>
          </c:val>
        </c:ser>
        <c:ser>
          <c:idx val="3"/>
          <c:order val="4"/>
          <c:tx>
            <c:strRef>
              <c:f>'Backup RESULTS-Tables'!$AB$61</c:f>
              <c:strCache>
                <c:ptCount val="1"/>
                <c:pt idx="0">
                  <c:v>Gross BuP FC Fuel Supply Chain</c:v>
                </c:pt>
              </c:strCache>
            </c:strRef>
          </c:tx>
          <c:spPr>
            <a:solidFill>
              <a:schemeClr val="accent2"/>
            </a:solidFill>
            <a:ln>
              <a:solidFill>
                <a:sysClr val="windowText" lastClr="000000"/>
              </a:solidFill>
            </a:ln>
          </c:spPr>
          <c:invertIfNegative val="0"/>
          <c:cat>
            <c:numRef>
              <c:f>'Backup RESULTS-Tables'!$C$62:$C$67</c:f>
              <c:numCache>
                <c:formatCode>General</c:formatCode>
                <c:ptCount val="6"/>
                <c:pt idx="0">
                  <c:v>2015</c:v>
                </c:pt>
                <c:pt idx="1">
                  <c:v>2016</c:v>
                </c:pt>
                <c:pt idx="2">
                  <c:v>2017</c:v>
                </c:pt>
                <c:pt idx="3">
                  <c:v>2018</c:v>
                </c:pt>
                <c:pt idx="4">
                  <c:v>2019</c:v>
                </c:pt>
                <c:pt idx="5">
                  <c:v>2020</c:v>
                </c:pt>
              </c:numCache>
            </c:numRef>
          </c:cat>
          <c:val>
            <c:numRef>
              <c:f>'Backup RESULTS-Tables'!$AB$62:$AB$67</c:f>
              <c:numCache>
                <c:formatCode>_(* #,##0_);_(* \(#,##0\);_(* "-"_);_(@_)</c:formatCode>
                <c:ptCount val="6"/>
                <c:pt idx="0">
                  <c:v>#N/A</c:v>
                </c:pt>
                <c:pt idx="1">
                  <c:v>#N/A</c:v>
                </c:pt>
                <c:pt idx="2">
                  <c:v>#N/A</c:v>
                </c:pt>
                <c:pt idx="3">
                  <c:v>#N/A</c:v>
                </c:pt>
                <c:pt idx="4">
                  <c:v>#N/A</c:v>
                </c:pt>
                <c:pt idx="5">
                  <c:v>#N/A</c:v>
                </c:pt>
              </c:numCache>
            </c:numRef>
          </c:val>
        </c:ser>
        <c:ser>
          <c:idx val="4"/>
          <c:order val="5"/>
          <c:tx>
            <c:strRef>
              <c:f>'Backup RESULTS-Tables'!$T$61</c:f>
              <c:strCache>
                <c:ptCount val="1"/>
                <c:pt idx="0">
                  <c:v>Gross BuP FC Installation Induced</c:v>
                </c:pt>
              </c:strCache>
            </c:strRef>
          </c:tx>
          <c:spPr>
            <a:solidFill>
              <a:schemeClr val="bg2">
                <a:lumMod val="75000"/>
              </a:schemeClr>
            </a:solidFill>
            <a:ln>
              <a:solidFill>
                <a:sysClr val="windowText" lastClr="000000"/>
              </a:solidFill>
            </a:ln>
          </c:spPr>
          <c:invertIfNegative val="0"/>
          <c:cat>
            <c:numRef>
              <c:f>'Backup RESULTS-Tables'!$C$62:$C$67</c:f>
              <c:numCache>
                <c:formatCode>General</c:formatCode>
                <c:ptCount val="6"/>
                <c:pt idx="0">
                  <c:v>2015</c:v>
                </c:pt>
                <c:pt idx="1">
                  <c:v>2016</c:v>
                </c:pt>
                <c:pt idx="2">
                  <c:v>2017</c:v>
                </c:pt>
                <c:pt idx="3">
                  <c:v>2018</c:v>
                </c:pt>
                <c:pt idx="4">
                  <c:v>2019</c:v>
                </c:pt>
                <c:pt idx="5">
                  <c:v>2020</c:v>
                </c:pt>
              </c:numCache>
            </c:numRef>
          </c:cat>
          <c:val>
            <c:numRef>
              <c:f>'Backup RESULTS-Tables'!$T$62:$T$67</c:f>
              <c:numCache>
                <c:formatCode>_(* #,##0_);_(* \(#,##0\);_(* "-"_);_(@_)</c:formatCode>
                <c:ptCount val="6"/>
                <c:pt idx="0">
                  <c:v>#N/A</c:v>
                </c:pt>
                <c:pt idx="1">
                  <c:v>#N/A</c:v>
                </c:pt>
                <c:pt idx="2">
                  <c:v>#N/A</c:v>
                </c:pt>
                <c:pt idx="3">
                  <c:v>#N/A</c:v>
                </c:pt>
                <c:pt idx="4">
                  <c:v>#N/A</c:v>
                </c:pt>
                <c:pt idx="5">
                  <c:v>#N/A</c:v>
                </c:pt>
              </c:numCache>
            </c:numRef>
          </c:val>
        </c:ser>
        <c:ser>
          <c:idx val="5"/>
          <c:order val="6"/>
          <c:tx>
            <c:strRef>
              <c:f>'Backup RESULTS-Tables'!$U$61</c:f>
              <c:strCache>
                <c:ptCount val="1"/>
                <c:pt idx="0">
                  <c:v>Gross BuP FC Installation Supply Chain</c:v>
                </c:pt>
              </c:strCache>
            </c:strRef>
          </c:tx>
          <c:spPr>
            <a:solidFill>
              <a:schemeClr val="bg2">
                <a:lumMod val="50000"/>
              </a:schemeClr>
            </a:solidFill>
            <a:ln>
              <a:solidFill>
                <a:sysClr val="windowText" lastClr="000000"/>
              </a:solidFill>
            </a:ln>
          </c:spPr>
          <c:invertIfNegative val="0"/>
          <c:cat>
            <c:numRef>
              <c:f>'Backup RESULTS-Tables'!$C$62:$C$67</c:f>
              <c:numCache>
                <c:formatCode>General</c:formatCode>
                <c:ptCount val="6"/>
                <c:pt idx="0">
                  <c:v>2015</c:v>
                </c:pt>
                <c:pt idx="1">
                  <c:v>2016</c:v>
                </c:pt>
                <c:pt idx="2">
                  <c:v>2017</c:v>
                </c:pt>
                <c:pt idx="3">
                  <c:v>2018</c:v>
                </c:pt>
                <c:pt idx="4">
                  <c:v>2019</c:v>
                </c:pt>
                <c:pt idx="5">
                  <c:v>2020</c:v>
                </c:pt>
              </c:numCache>
            </c:numRef>
          </c:cat>
          <c:val>
            <c:numRef>
              <c:f>'Backup RESULTS-Tables'!$U$62:$U$67</c:f>
              <c:numCache>
                <c:formatCode>_(* #,##0_);_(* \(#,##0\);_(* "-"_);_(@_)</c:formatCode>
                <c:ptCount val="6"/>
                <c:pt idx="0">
                  <c:v>#N/A</c:v>
                </c:pt>
                <c:pt idx="1">
                  <c:v>#N/A</c:v>
                </c:pt>
                <c:pt idx="2">
                  <c:v>#N/A</c:v>
                </c:pt>
                <c:pt idx="3">
                  <c:v>#N/A</c:v>
                </c:pt>
                <c:pt idx="4">
                  <c:v>#N/A</c:v>
                </c:pt>
                <c:pt idx="5">
                  <c:v>#N/A</c:v>
                </c:pt>
              </c:numCache>
            </c:numRef>
          </c:val>
        </c:ser>
        <c:ser>
          <c:idx val="6"/>
          <c:order val="7"/>
          <c:tx>
            <c:strRef>
              <c:f>'Backup RESULTS-Tables'!$M$61</c:f>
              <c:strCache>
                <c:ptCount val="1"/>
                <c:pt idx="0">
                  <c:v>Gross BuP Fuel Cell Induced</c:v>
                </c:pt>
              </c:strCache>
            </c:strRef>
          </c:tx>
          <c:spPr>
            <a:solidFill>
              <a:schemeClr val="accent3">
                <a:lumMod val="40000"/>
                <a:lumOff val="60000"/>
              </a:schemeClr>
            </a:solidFill>
            <a:ln>
              <a:solidFill>
                <a:sysClr val="windowText" lastClr="000000"/>
              </a:solidFill>
            </a:ln>
          </c:spPr>
          <c:invertIfNegative val="0"/>
          <c:cat>
            <c:numRef>
              <c:f>'Backup RESULTS-Tables'!$C$62:$C$67</c:f>
              <c:numCache>
                <c:formatCode>General</c:formatCode>
                <c:ptCount val="6"/>
                <c:pt idx="0">
                  <c:v>2015</c:v>
                </c:pt>
                <c:pt idx="1">
                  <c:v>2016</c:v>
                </c:pt>
                <c:pt idx="2">
                  <c:v>2017</c:v>
                </c:pt>
                <c:pt idx="3">
                  <c:v>2018</c:v>
                </c:pt>
                <c:pt idx="4">
                  <c:v>2019</c:v>
                </c:pt>
                <c:pt idx="5">
                  <c:v>2020</c:v>
                </c:pt>
              </c:numCache>
            </c:numRef>
          </c:cat>
          <c:val>
            <c:numRef>
              <c:f>'Backup RESULTS-Tables'!$M$62:$M$67</c:f>
              <c:numCache>
                <c:formatCode>_(* #,##0_);_(* \(#,##0\);_(* "-"_);_(@_)</c:formatCode>
                <c:ptCount val="6"/>
                <c:pt idx="0">
                  <c:v>#N/A</c:v>
                </c:pt>
                <c:pt idx="1">
                  <c:v>#N/A</c:v>
                </c:pt>
                <c:pt idx="2">
                  <c:v>#N/A</c:v>
                </c:pt>
                <c:pt idx="3">
                  <c:v>#N/A</c:v>
                </c:pt>
                <c:pt idx="4">
                  <c:v>#N/A</c:v>
                </c:pt>
                <c:pt idx="5">
                  <c:v>#N/A</c:v>
                </c:pt>
              </c:numCache>
            </c:numRef>
          </c:val>
        </c:ser>
        <c:ser>
          <c:idx val="7"/>
          <c:order val="8"/>
          <c:tx>
            <c:strRef>
              <c:f>'Backup RESULTS-Tables'!$N$61</c:f>
              <c:strCache>
                <c:ptCount val="1"/>
                <c:pt idx="0">
                  <c:v>Gross BuP Fuel Cell Supply Chain</c:v>
                </c:pt>
              </c:strCache>
            </c:strRef>
          </c:tx>
          <c:spPr>
            <a:solidFill>
              <a:schemeClr val="accent3"/>
            </a:solidFill>
            <a:ln>
              <a:solidFill>
                <a:sysClr val="windowText" lastClr="000000"/>
              </a:solidFill>
            </a:ln>
          </c:spPr>
          <c:invertIfNegative val="0"/>
          <c:cat>
            <c:numRef>
              <c:f>'Backup RESULTS-Tables'!$C$62:$C$67</c:f>
              <c:numCache>
                <c:formatCode>General</c:formatCode>
                <c:ptCount val="6"/>
                <c:pt idx="0">
                  <c:v>2015</c:v>
                </c:pt>
                <c:pt idx="1">
                  <c:v>2016</c:v>
                </c:pt>
                <c:pt idx="2">
                  <c:v>2017</c:v>
                </c:pt>
                <c:pt idx="3">
                  <c:v>2018</c:v>
                </c:pt>
                <c:pt idx="4">
                  <c:v>2019</c:v>
                </c:pt>
                <c:pt idx="5">
                  <c:v>2020</c:v>
                </c:pt>
              </c:numCache>
            </c:numRef>
          </c:cat>
          <c:val>
            <c:numRef>
              <c:f>'Backup RESULTS-Tables'!$N$62:$N$67</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overlap val="100"/>
        <c:axId val="127707008"/>
        <c:axId val="127708544"/>
      </c:barChart>
      <c:lineChart>
        <c:grouping val="standard"/>
        <c:varyColors val="0"/>
        <c:ser>
          <c:idx val="8"/>
          <c:order val="0"/>
          <c:tx>
            <c:strRef>
              <c:f>'Backup RESULTS-Tables'!$H$61</c:f>
              <c:strCache>
                <c:ptCount val="1"/>
                <c:pt idx="0">
                  <c:v>Gross BuP FC-related Total</c:v>
                </c:pt>
              </c:strCache>
            </c:strRef>
          </c:tx>
          <c:spPr>
            <a:ln>
              <a:solidFill>
                <a:sysClr val="windowText" lastClr="000000"/>
              </a:solidFill>
            </a:ln>
          </c:spPr>
          <c:marker>
            <c:symbol val="circle"/>
            <c:size val="3"/>
            <c:spPr>
              <a:solidFill>
                <a:schemeClr val="tx1"/>
              </a:solidFill>
              <a:ln>
                <a:solidFill>
                  <a:schemeClr val="tx1"/>
                </a:solidFill>
              </a:ln>
            </c:spPr>
          </c:marker>
          <c:dLbls>
            <c:dLblPos val="b"/>
            <c:showLegendKey val="0"/>
            <c:showVal val="1"/>
            <c:showCatName val="0"/>
            <c:showSerName val="0"/>
            <c:showPercent val="0"/>
            <c:showBubbleSize val="0"/>
            <c:showLeaderLines val="0"/>
          </c:dLbls>
          <c:cat>
            <c:numRef>
              <c:f>'Backup RESULTS-Tables'!$C$62:$C$67</c:f>
              <c:numCache>
                <c:formatCode>General</c:formatCode>
                <c:ptCount val="6"/>
                <c:pt idx="0">
                  <c:v>2015</c:v>
                </c:pt>
                <c:pt idx="1">
                  <c:v>2016</c:v>
                </c:pt>
                <c:pt idx="2">
                  <c:v>2017</c:v>
                </c:pt>
                <c:pt idx="3">
                  <c:v>2018</c:v>
                </c:pt>
                <c:pt idx="4">
                  <c:v>2019</c:v>
                </c:pt>
                <c:pt idx="5">
                  <c:v>2020</c:v>
                </c:pt>
              </c:numCache>
            </c:numRef>
          </c:cat>
          <c:val>
            <c:numRef>
              <c:f>'Backup RESULTS-Tables'!$H$62:$H$67</c:f>
              <c:numCache>
                <c:formatCode>_(* #,##0_);_(* \(#,##0\);_(* "-"_);_(@_)</c:formatCode>
                <c:ptCount val="6"/>
                <c:pt idx="0">
                  <c:v>#N/A</c:v>
                </c:pt>
                <c:pt idx="1">
                  <c:v>#N/A</c:v>
                </c:pt>
                <c:pt idx="2">
                  <c:v>#N/A</c:v>
                </c:pt>
                <c:pt idx="3">
                  <c:v>#N/A</c:v>
                </c:pt>
                <c:pt idx="4">
                  <c:v>#N/A</c:v>
                </c:pt>
                <c:pt idx="5">
                  <c:v>#N/A</c:v>
                </c:pt>
              </c:numCache>
            </c:numRef>
          </c:val>
          <c:smooth val="0"/>
        </c:ser>
        <c:dLbls>
          <c:showLegendKey val="0"/>
          <c:showVal val="0"/>
          <c:showCatName val="0"/>
          <c:showSerName val="0"/>
          <c:showPercent val="0"/>
          <c:showBubbleSize val="0"/>
        </c:dLbls>
        <c:marker val="1"/>
        <c:smooth val="0"/>
        <c:axId val="127707008"/>
        <c:axId val="127708544"/>
      </c:lineChart>
      <c:catAx>
        <c:axId val="127707008"/>
        <c:scaling>
          <c:orientation val="minMax"/>
        </c:scaling>
        <c:delete val="0"/>
        <c:axPos val="b"/>
        <c:numFmt formatCode="General" sourceLinked="1"/>
        <c:majorTickMark val="none"/>
        <c:minorTickMark val="none"/>
        <c:tickLblPos val="nextTo"/>
        <c:crossAx val="127708544"/>
        <c:crosses val="autoZero"/>
        <c:auto val="1"/>
        <c:lblAlgn val="ctr"/>
        <c:lblOffset val="100"/>
        <c:noMultiLvlLbl val="0"/>
      </c:catAx>
      <c:valAx>
        <c:axId val="127708544"/>
        <c:scaling>
          <c:orientation val="minMax"/>
        </c:scaling>
        <c:delete val="0"/>
        <c:axPos val="l"/>
        <c:majorGridlines/>
        <c:title>
          <c:tx>
            <c:strRef>
              <c:f>'Backup RESULTS-Tables'!$B$59</c:f>
              <c:strCache>
                <c:ptCount val="1"/>
                <c:pt idx="0">
                  <c:v>Gross Backup Power Fuel Cell-related Employment (Job-years)</c:v>
                </c:pt>
              </c:strCache>
            </c:strRef>
          </c:tx>
          <c:layout>
            <c:manualLayout>
              <c:xMode val="edge"/>
              <c:yMode val="edge"/>
              <c:x val="2.19543512943235E-2"/>
              <c:y val="0.27579050014581513"/>
            </c:manualLayout>
          </c:layout>
          <c:overlay val="0"/>
          <c:txPr>
            <a:bodyPr rot="0" vert="horz"/>
            <a:lstStyle/>
            <a:p>
              <a:pPr>
                <a:defRPr sz="1400"/>
              </a:pPr>
              <a:endParaRPr lang="en-US"/>
            </a:p>
          </c:txPr>
        </c:title>
        <c:numFmt formatCode="_(* #,##0_);_(* \(#,##0\);_(* &quot;-&quot;_);_(@_)" sourceLinked="1"/>
        <c:majorTickMark val="none"/>
        <c:minorTickMark val="none"/>
        <c:tickLblPos val="nextTo"/>
        <c:crossAx val="127707008"/>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Earnings Impacts</a:t>
            </a:r>
            <a:r>
              <a:rPr lang="en-US" sz="1400"/>
              <a:t> </a:t>
            </a:r>
            <a:r>
              <a:rPr lang="en-US" sz="1600"/>
              <a:t>(2015-2020) </a:t>
            </a:r>
          </a:p>
          <a:p>
            <a:pPr>
              <a:defRPr/>
            </a:pPr>
            <a:r>
              <a:rPr lang="en-US" sz="1400"/>
              <a:t>Backup Power Fuel Cell Scenario</a:t>
            </a:r>
          </a:p>
          <a:p>
            <a:pPr>
              <a:defRPr/>
            </a:pPr>
            <a:r>
              <a:rPr lang="en-US" sz="1100"/>
              <a:t>JOBS FC 1.0</a:t>
            </a:r>
          </a:p>
        </c:rich>
      </c:tx>
      <c:overlay val="0"/>
    </c:title>
    <c:autoTitleDeleted val="0"/>
    <c:plotArea>
      <c:layout/>
      <c:barChart>
        <c:barDir val="col"/>
        <c:grouping val="stacked"/>
        <c:varyColors val="0"/>
        <c:ser>
          <c:idx val="21"/>
          <c:order val="0"/>
          <c:tx>
            <c:strRef>
              <c:f>'Backup RESULTS-Tables'!$AH$71</c:f>
              <c:strCache>
                <c:ptCount val="1"/>
                <c:pt idx="0">
                  <c:v>Gross BuP FC Maintenance Induced</c:v>
                </c:pt>
              </c:strCache>
            </c:strRef>
          </c:tx>
          <c:spPr>
            <a:solidFill>
              <a:schemeClr val="accent6">
                <a:lumMod val="60000"/>
                <a:lumOff val="40000"/>
              </a:schemeClr>
            </a:solidFill>
            <a:ln>
              <a:solidFill>
                <a:sysClr val="windowText" lastClr="000000"/>
              </a:solidFill>
            </a:ln>
          </c:spPr>
          <c:invertIfNegative val="0"/>
          <c:cat>
            <c:numRef>
              <c:f>'Backup RESULTS-Tables'!$C$72:$C$77</c:f>
              <c:numCache>
                <c:formatCode>General</c:formatCode>
                <c:ptCount val="6"/>
                <c:pt idx="0">
                  <c:v>2015</c:v>
                </c:pt>
                <c:pt idx="1">
                  <c:v>2016</c:v>
                </c:pt>
                <c:pt idx="2">
                  <c:v>2017</c:v>
                </c:pt>
                <c:pt idx="3">
                  <c:v>2018</c:v>
                </c:pt>
                <c:pt idx="4">
                  <c:v>2019</c:v>
                </c:pt>
                <c:pt idx="5">
                  <c:v>2020</c:v>
                </c:pt>
              </c:numCache>
            </c:numRef>
          </c:cat>
          <c:val>
            <c:numRef>
              <c:f>'Backup RESULTS-Tables'!$AH$72:$AH$77</c:f>
              <c:numCache>
                <c:formatCode>_("$"* #,##0_);_("$"* \(#,##0\);_("$"* "-"_);_(@_)</c:formatCode>
                <c:ptCount val="6"/>
                <c:pt idx="0">
                  <c:v>#N/A</c:v>
                </c:pt>
                <c:pt idx="1">
                  <c:v>#N/A</c:v>
                </c:pt>
                <c:pt idx="2">
                  <c:v>#N/A</c:v>
                </c:pt>
                <c:pt idx="3">
                  <c:v>#N/A</c:v>
                </c:pt>
                <c:pt idx="4">
                  <c:v>#N/A</c:v>
                </c:pt>
                <c:pt idx="5">
                  <c:v>#N/A</c:v>
                </c:pt>
              </c:numCache>
            </c:numRef>
          </c:val>
        </c:ser>
        <c:ser>
          <c:idx val="22"/>
          <c:order val="1"/>
          <c:tx>
            <c:strRef>
              <c:f>'Backup RESULTS-Tables'!$AI$71</c:f>
              <c:strCache>
                <c:ptCount val="1"/>
                <c:pt idx="0">
                  <c:v>Gross BuP FC Maintenance Supply Chain</c:v>
                </c:pt>
              </c:strCache>
            </c:strRef>
          </c:tx>
          <c:spPr>
            <a:solidFill>
              <a:schemeClr val="accent6"/>
            </a:solidFill>
            <a:ln>
              <a:solidFill>
                <a:sysClr val="windowText" lastClr="000000"/>
              </a:solidFill>
            </a:ln>
          </c:spPr>
          <c:invertIfNegative val="0"/>
          <c:cat>
            <c:numRef>
              <c:f>'Backup RESULTS-Tables'!$C$72:$C$77</c:f>
              <c:numCache>
                <c:formatCode>General</c:formatCode>
                <c:ptCount val="6"/>
                <c:pt idx="0">
                  <c:v>2015</c:v>
                </c:pt>
                <c:pt idx="1">
                  <c:v>2016</c:v>
                </c:pt>
                <c:pt idx="2">
                  <c:v>2017</c:v>
                </c:pt>
                <c:pt idx="3">
                  <c:v>2018</c:v>
                </c:pt>
                <c:pt idx="4">
                  <c:v>2019</c:v>
                </c:pt>
                <c:pt idx="5">
                  <c:v>2020</c:v>
                </c:pt>
              </c:numCache>
            </c:numRef>
          </c:cat>
          <c:val>
            <c:numRef>
              <c:f>'Backup RESULTS-Tables'!$AI$72:$AI$77</c:f>
              <c:numCache>
                <c:formatCode>_("$"* #,##0_);_("$"* \(#,##0\);_("$"* "-"_);_(@_)</c:formatCode>
                <c:ptCount val="6"/>
                <c:pt idx="0">
                  <c:v>#N/A</c:v>
                </c:pt>
                <c:pt idx="1">
                  <c:v>#N/A</c:v>
                </c:pt>
                <c:pt idx="2">
                  <c:v>#N/A</c:v>
                </c:pt>
                <c:pt idx="3">
                  <c:v>#N/A</c:v>
                </c:pt>
                <c:pt idx="4">
                  <c:v>#N/A</c:v>
                </c:pt>
                <c:pt idx="5">
                  <c:v>#N/A</c:v>
                </c:pt>
              </c:numCache>
            </c:numRef>
          </c:val>
        </c:ser>
        <c:ser>
          <c:idx val="14"/>
          <c:order val="2"/>
          <c:tx>
            <c:strRef>
              <c:f>'Backup RESULTS-Tables'!$AA$71</c:f>
              <c:strCache>
                <c:ptCount val="1"/>
                <c:pt idx="0">
                  <c:v>Gross BuP FC Fuel Induced</c:v>
                </c:pt>
              </c:strCache>
            </c:strRef>
          </c:tx>
          <c:spPr>
            <a:solidFill>
              <a:schemeClr val="accent2">
                <a:lumMod val="60000"/>
                <a:lumOff val="40000"/>
              </a:schemeClr>
            </a:solidFill>
            <a:ln>
              <a:solidFill>
                <a:sysClr val="windowText" lastClr="000000"/>
              </a:solidFill>
            </a:ln>
          </c:spPr>
          <c:invertIfNegative val="0"/>
          <c:cat>
            <c:numRef>
              <c:f>'Backup RESULTS-Tables'!$C$72:$C$77</c:f>
              <c:numCache>
                <c:formatCode>General</c:formatCode>
                <c:ptCount val="6"/>
                <c:pt idx="0">
                  <c:v>2015</c:v>
                </c:pt>
                <c:pt idx="1">
                  <c:v>2016</c:v>
                </c:pt>
                <c:pt idx="2">
                  <c:v>2017</c:v>
                </c:pt>
                <c:pt idx="3">
                  <c:v>2018</c:v>
                </c:pt>
                <c:pt idx="4">
                  <c:v>2019</c:v>
                </c:pt>
                <c:pt idx="5">
                  <c:v>2020</c:v>
                </c:pt>
              </c:numCache>
            </c:numRef>
          </c:cat>
          <c:val>
            <c:numRef>
              <c:f>'Backup RESULTS-Tables'!$AA$72:$AA$77</c:f>
              <c:numCache>
                <c:formatCode>_("$"* #,##0_);_("$"* \(#,##0\);_("$"* "-"_);_(@_)</c:formatCode>
                <c:ptCount val="6"/>
                <c:pt idx="0">
                  <c:v>#N/A</c:v>
                </c:pt>
                <c:pt idx="1">
                  <c:v>#N/A</c:v>
                </c:pt>
                <c:pt idx="2">
                  <c:v>#N/A</c:v>
                </c:pt>
                <c:pt idx="3">
                  <c:v>#N/A</c:v>
                </c:pt>
                <c:pt idx="4">
                  <c:v>#N/A</c:v>
                </c:pt>
                <c:pt idx="5">
                  <c:v>#N/A</c:v>
                </c:pt>
              </c:numCache>
            </c:numRef>
          </c:val>
        </c:ser>
        <c:ser>
          <c:idx val="15"/>
          <c:order val="3"/>
          <c:tx>
            <c:strRef>
              <c:f>'Backup RESULTS-Tables'!$AB$71</c:f>
              <c:strCache>
                <c:ptCount val="1"/>
                <c:pt idx="0">
                  <c:v>Gross BuP FC Fuel Supply Chain</c:v>
                </c:pt>
              </c:strCache>
            </c:strRef>
          </c:tx>
          <c:spPr>
            <a:solidFill>
              <a:schemeClr val="accent2"/>
            </a:solidFill>
            <a:ln>
              <a:solidFill>
                <a:sysClr val="windowText" lastClr="000000"/>
              </a:solidFill>
            </a:ln>
          </c:spPr>
          <c:invertIfNegative val="0"/>
          <c:cat>
            <c:numRef>
              <c:f>'Backup RESULTS-Tables'!$C$72:$C$77</c:f>
              <c:numCache>
                <c:formatCode>General</c:formatCode>
                <c:ptCount val="6"/>
                <c:pt idx="0">
                  <c:v>2015</c:v>
                </c:pt>
                <c:pt idx="1">
                  <c:v>2016</c:v>
                </c:pt>
                <c:pt idx="2">
                  <c:v>2017</c:v>
                </c:pt>
                <c:pt idx="3">
                  <c:v>2018</c:v>
                </c:pt>
                <c:pt idx="4">
                  <c:v>2019</c:v>
                </c:pt>
                <c:pt idx="5">
                  <c:v>2020</c:v>
                </c:pt>
              </c:numCache>
            </c:numRef>
          </c:cat>
          <c:val>
            <c:numRef>
              <c:f>'Backup RESULTS-Tables'!$AB$72:$AB$77</c:f>
              <c:numCache>
                <c:formatCode>_("$"* #,##0_);_("$"* \(#,##0\);_("$"* "-"_);_(@_)</c:formatCode>
                <c:ptCount val="6"/>
                <c:pt idx="0">
                  <c:v>#N/A</c:v>
                </c:pt>
                <c:pt idx="1">
                  <c:v>#N/A</c:v>
                </c:pt>
                <c:pt idx="2">
                  <c:v>#N/A</c:v>
                </c:pt>
                <c:pt idx="3">
                  <c:v>#N/A</c:v>
                </c:pt>
                <c:pt idx="4">
                  <c:v>#N/A</c:v>
                </c:pt>
                <c:pt idx="5">
                  <c:v>#N/A</c:v>
                </c:pt>
              </c:numCache>
            </c:numRef>
          </c:val>
        </c:ser>
        <c:ser>
          <c:idx val="7"/>
          <c:order val="4"/>
          <c:tx>
            <c:strRef>
              <c:f>'Backup RESULTS-Tables'!$T$71</c:f>
              <c:strCache>
                <c:ptCount val="1"/>
                <c:pt idx="0">
                  <c:v>Gross BuP FC Installation Induced</c:v>
                </c:pt>
              </c:strCache>
            </c:strRef>
          </c:tx>
          <c:spPr>
            <a:solidFill>
              <a:schemeClr val="bg2">
                <a:lumMod val="75000"/>
              </a:schemeClr>
            </a:solidFill>
            <a:ln>
              <a:solidFill>
                <a:sysClr val="windowText" lastClr="000000"/>
              </a:solidFill>
            </a:ln>
          </c:spPr>
          <c:invertIfNegative val="0"/>
          <c:cat>
            <c:numRef>
              <c:f>'Backup RESULTS-Tables'!$C$72:$C$77</c:f>
              <c:numCache>
                <c:formatCode>General</c:formatCode>
                <c:ptCount val="6"/>
                <c:pt idx="0">
                  <c:v>2015</c:v>
                </c:pt>
                <c:pt idx="1">
                  <c:v>2016</c:v>
                </c:pt>
                <c:pt idx="2">
                  <c:v>2017</c:v>
                </c:pt>
                <c:pt idx="3">
                  <c:v>2018</c:v>
                </c:pt>
                <c:pt idx="4">
                  <c:v>2019</c:v>
                </c:pt>
                <c:pt idx="5">
                  <c:v>2020</c:v>
                </c:pt>
              </c:numCache>
            </c:numRef>
          </c:cat>
          <c:val>
            <c:numRef>
              <c:f>'Backup RESULTS-Tables'!$T$72:$T$77</c:f>
              <c:numCache>
                <c:formatCode>_("$"* #,##0_);_("$"* \(#,##0\);_("$"* "-"_);_(@_)</c:formatCode>
                <c:ptCount val="6"/>
                <c:pt idx="0">
                  <c:v>#N/A</c:v>
                </c:pt>
                <c:pt idx="1">
                  <c:v>#N/A</c:v>
                </c:pt>
                <c:pt idx="2">
                  <c:v>#N/A</c:v>
                </c:pt>
                <c:pt idx="3">
                  <c:v>#N/A</c:v>
                </c:pt>
                <c:pt idx="4">
                  <c:v>#N/A</c:v>
                </c:pt>
                <c:pt idx="5">
                  <c:v>#N/A</c:v>
                </c:pt>
              </c:numCache>
            </c:numRef>
          </c:val>
        </c:ser>
        <c:ser>
          <c:idx val="8"/>
          <c:order val="5"/>
          <c:tx>
            <c:strRef>
              <c:f>'Backup RESULTS-Tables'!$U$71</c:f>
              <c:strCache>
                <c:ptCount val="1"/>
                <c:pt idx="0">
                  <c:v>Gross BuP FC Installation Supply Chain</c:v>
                </c:pt>
              </c:strCache>
            </c:strRef>
          </c:tx>
          <c:spPr>
            <a:solidFill>
              <a:schemeClr val="bg2">
                <a:lumMod val="50000"/>
              </a:schemeClr>
            </a:solidFill>
            <a:ln>
              <a:solidFill>
                <a:sysClr val="windowText" lastClr="000000"/>
              </a:solidFill>
            </a:ln>
          </c:spPr>
          <c:invertIfNegative val="0"/>
          <c:cat>
            <c:numRef>
              <c:f>'Backup RESULTS-Tables'!$C$72:$C$77</c:f>
              <c:numCache>
                <c:formatCode>General</c:formatCode>
                <c:ptCount val="6"/>
                <c:pt idx="0">
                  <c:v>2015</c:v>
                </c:pt>
                <c:pt idx="1">
                  <c:v>2016</c:v>
                </c:pt>
                <c:pt idx="2">
                  <c:v>2017</c:v>
                </c:pt>
                <c:pt idx="3">
                  <c:v>2018</c:v>
                </c:pt>
                <c:pt idx="4">
                  <c:v>2019</c:v>
                </c:pt>
                <c:pt idx="5">
                  <c:v>2020</c:v>
                </c:pt>
              </c:numCache>
            </c:numRef>
          </c:cat>
          <c:val>
            <c:numRef>
              <c:f>'Backup RESULTS-Tables'!$U$72:$U$77</c:f>
              <c:numCache>
                <c:formatCode>_("$"* #,##0_);_("$"* \(#,##0\);_("$"* "-"_);_(@_)</c:formatCode>
                <c:ptCount val="6"/>
                <c:pt idx="0">
                  <c:v>#N/A</c:v>
                </c:pt>
                <c:pt idx="1">
                  <c:v>#N/A</c:v>
                </c:pt>
                <c:pt idx="2">
                  <c:v>#N/A</c:v>
                </c:pt>
                <c:pt idx="3">
                  <c:v>#N/A</c:v>
                </c:pt>
                <c:pt idx="4">
                  <c:v>#N/A</c:v>
                </c:pt>
                <c:pt idx="5">
                  <c:v>#N/A</c:v>
                </c:pt>
              </c:numCache>
            </c:numRef>
          </c:val>
        </c:ser>
        <c:ser>
          <c:idx val="0"/>
          <c:order val="6"/>
          <c:tx>
            <c:strRef>
              <c:f>'Backup RESULTS-Tables'!$M$71</c:f>
              <c:strCache>
                <c:ptCount val="1"/>
                <c:pt idx="0">
                  <c:v>Gross BuP Fuel Cell Induced</c:v>
                </c:pt>
              </c:strCache>
            </c:strRef>
          </c:tx>
          <c:spPr>
            <a:solidFill>
              <a:schemeClr val="accent3">
                <a:lumMod val="40000"/>
                <a:lumOff val="60000"/>
              </a:schemeClr>
            </a:solidFill>
            <a:ln>
              <a:solidFill>
                <a:sysClr val="windowText" lastClr="000000"/>
              </a:solidFill>
            </a:ln>
          </c:spPr>
          <c:invertIfNegative val="0"/>
          <c:cat>
            <c:numRef>
              <c:f>'Backup RESULTS-Tables'!$C$72:$C$77</c:f>
              <c:numCache>
                <c:formatCode>General</c:formatCode>
                <c:ptCount val="6"/>
                <c:pt idx="0">
                  <c:v>2015</c:v>
                </c:pt>
                <c:pt idx="1">
                  <c:v>2016</c:v>
                </c:pt>
                <c:pt idx="2">
                  <c:v>2017</c:v>
                </c:pt>
                <c:pt idx="3">
                  <c:v>2018</c:v>
                </c:pt>
                <c:pt idx="4">
                  <c:v>2019</c:v>
                </c:pt>
                <c:pt idx="5">
                  <c:v>2020</c:v>
                </c:pt>
              </c:numCache>
            </c:numRef>
          </c:cat>
          <c:val>
            <c:numRef>
              <c:f>'Backup RESULTS-Tables'!$M$72:$M$77</c:f>
              <c:numCache>
                <c:formatCode>_("$"* #,##0_);_("$"* \(#,##0\);_("$"* "-"??_);_(@_)</c:formatCode>
                <c:ptCount val="6"/>
                <c:pt idx="0">
                  <c:v>#N/A</c:v>
                </c:pt>
                <c:pt idx="1">
                  <c:v>#N/A</c:v>
                </c:pt>
                <c:pt idx="2">
                  <c:v>#N/A</c:v>
                </c:pt>
                <c:pt idx="3">
                  <c:v>#N/A</c:v>
                </c:pt>
                <c:pt idx="4">
                  <c:v>#N/A</c:v>
                </c:pt>
                <c:pt idx="5">
                  <c:v>#N/A</c:v>
                </c:pt>
              </c:numCache>
            </c:numRef>
          </c:val>
        </c:ser>
        <c:ser>
          <c:idx val="1"/>
          <c:order val="7"/>
          <c:tx>
            <c:strRef>
              <c:f>'Backup RESULTS-Tables'!$N$71</c:f>
              <c:strCache>
                <c:ptCount val="1"/>
                <c:pt idx="0">
                  <c:v>Gross BuP Fuel Cell Supply Chain</c:v>
                </c:pt>
              </c:strCache>
            </c:strRef>
          </c:tx>
          <c:spPr>
            <a:solidFill>
              <a:schemeClr val="accent3"/>
            </a:solidFill>
            <a:ln>
              <a:solidFill>
                <a:sysClr val="windowText" lastClr="000000"/>
              </a:solidFill>
            </a:ln>
          </c:spPr>
          <c:invertIfNegative val="0"/>
          <c:cat>
            <c:numRef>
              <c:f>'Backup RESULTS-Tables'!$C$72:$C$77</c:f>
              <c:numCache>
                <c:formatCode>General</c:formatCode>
                <c:ptCount val="6"/>
                <c:pt idx="0">
                  <c:v>2015</c:v>
                </c:pt>
                <c:pt idx="1">
                  <c:v>2016</c:v>
                </c:pt>
                <c:pt idx="2">
                  <c:v>2017</c:v>
                </c:pt>
                <c:pt idx="3">
                  <c:v>2018</c:v>
                </c:pt>
                <c:pt idx="4">
                  <c:v>2019</c:v>
                </c:pt>
                <c:pt idx="5">
                  <c:v>2020</c:v>
                </c:pt>
              </c:numCache>
            </c:numRef>
          </c:cat>
          <c:val>
            <c:numRef>
              <c:f>'Backup RESULTS-Tables'!$N$72:$N$77</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overlap val="100"/>
        <c:axId val="127521152"/>
        <c:axId val="127522688"/>
      </c:barChart>
      <c:lineChart>
        <c:grouping val="standard"/>
        <c:varyColors val="0"/>
        <c:ser>
          <c:idx val="2"/>
          <c:order val="8"/>
          <c:tx>
            <c:strRef>
              <c:f>'Backup RESULTS-Tables'!$H$71</c:f>
              <c:strCache>
                <c:ptCount val="1"/>
                <c:pt idx="0">
                  <c:v>Gross BuP FC-related Total</c:v>
                </c:pt>
              </c:strCache>
            </c:strRef>
          </c:tx>
          <c:spPr>
            <a:ln>
              <a:solidFill>
                <a:sysClr val="windowText" lastClr="000000"/>
              </a:solidFill>
            </a:ln>
          </c:spPr>
          <c:marker>
            <c:symbol val="circle"/>
            <c:size val="3"/>
            <c:spPr>
              <a:solidFill>
                <a:schemeClr val="tx1"/>
              </a:solidFill>
              <a:ln>
                <a:solidFill>
                  <a:sysClr val="windowText" lastClr="000000"/>
                </a:solidFill>
              </a:ln>
            </c:spPr>
          </c:marker>
          <c:dLbls>
            <c:dLblPos val="b"/>
            <c:showLegendKey val="0"/>
            <c:showVal val="1"/>
            <c:showCatName val="0"/>
            <c:showSerName val="0"/>
            <c:showPercent val="0"/>
            <c:showBubbleSize val="0"/>
            <c:showLeaderLines val="0"/>
          </c:dLbls>
          <c:cat>
            <c:numRef>
              <c:f>'Backup RESULTS-Tables'!$C$72:$C$77</c:f>
              <c:numCache>
                <c:formatCode>General</c:formatCode>
                <c:ptCount val="6"/>
                <c:pt idx="0">
                  <c:v>2015</c:v>
                </c:pt>
                <c:pt idx="1">
                  <c:v>2016</c:v>
                </c:pt>
                <c:pt idx="2">
                  <c:v>2017</c:v>
                </c:pt>
                <c:pt idx="3">
                  <c:v>2018</c:v>
                </c:pt>
                <c:pt idx="4">
                  <c:v>2019</c:v>
                </c:pt>
                <c:pt idx="5">
                  <c:v>2020</c:v>
                </c:pt>
              </c:numCache>
            </c:numRef>
          </c:cat>
          <c:val>
            <c:numRef>
              <c:f>'Backup RESULTS-Tables'!$H$72:$H$77</c:f>
              <c:numCache>
                <c:formatCode>_("$"* #,##0_);_("$"* \(#,##0\);_("$"* "-"_);_(@_)</c:formatCode>
                <c:ptCount val="6"/>
                <c:pt idx="0">
                  <c:v>#N/A</c:v>
                </c:pt>
                <c:pt idx="1">
                  <c:v>#N/A</c:v>
                </c:pt>
                <c:pt idx="2">
                  <c:v>#N/A</c:v>
                </c:pt>
                <c:pt idx="3">
                  <c:v>#N/A</c:v>
                </c:pt>
                <c:pt idx="4">
                  <c:v>#N/A</c:v>
                </c:pt>
                <c:pt idx="5">
                  <c:v>#N/A</c:v>
                </c:pt>
              </c:numCache>
            </c:numRef>
          </c:val>
          <c:smooth val="0"/>
        </c:ser>
        <c:dLbls>
          <c:showLegendKey val="0"/>
          <c:showVal val="0"/>
          <c:showCatName val="0"/>
          <c:showSerName val="0"/>
          <c:showPercent val="0"/>
          <c:showBubbleSize val="0"/>
        </c:dLbls>
        <c:marker val="1"/>
        <c:smooth val="0"/>
        <c:axId val="127521152"/>
        <c:axId val="127522688"/>
      </c:lineChart>
      <c:catAx>
        <c:axId val="127521152"/>
        <c:scaling>
          <c:orientation val="minMax"/>
        </c:scaling>
        <c:delete val="0"/>
        <c:axPos val="b"/>
        <c:numFmt formatCode="General" sourceLinked="1"/>
        <c:majorTickMark val="none"/>
        <c:minorTickMark val="none"/>
        <c:tickLblPos val="nextTo"/>
        <c:crossAx val="127522688"/>
        <c:crosses val="autoZero"/>
        <c:auto val="1"/>
        <c:lblAlgn val="ctr"/>
        <c:lblOffset val="100"/>
        <c:noMultiLvlLbl val="0"/>
      </c:catAx>
      <c:valAx>
        <c:axId val="127522688"/>
        <c:scaling>
          <c:orientation val="minMax"/>
        </c:scaling>
        <c:delete val="0"/>
        <c:axPos val="l"/>
        <c:majorGridlines/>
        <c:title>
          <c:tx>
            <c:strRef>
              <c:f>'Backup RESULTS-Tables'!$B$69</c:f>
              <c:strCache>
                <c:ptCount val="1"/>
                <c:pt idx="0">
                  <c:v>Gross Backup Power Fuel Cell Earnings (Thousands of 2010$)</c:v>
                </c:pt>
              </c:strCache>
            </c:strRef>
          </c:tx>
          <c:layout>
            <c:manualLayout>
              <c:xMode val="edge"/>
              <c:yMode val="edge"/>
              <c:x val="1.6339869281045753E-2"/>
              <c:y val="0.28096365558471853"/>
            </c:manualLayout>
          </c:layout>
          <c:overlay val="0"/>
          <c:txPr>
            <a:bodyPr rot="0" vert="horz"/>
            <a:lstStyle/>
            <a:p>
              <a:pPr>
                <a:defRPr sz="1400"/>
              </a:pPr>
              <a:endParaRPr lang="en-US"/>
            </a:p>
          </c:txPr>
        </c:title>
        <c:numFmt formatCode="_(&quot;$&quot;* #,##0_);_(&quot;$&quot;* \(#,##0\);_(&quot;$&quot;* &quot;-&quot;_);_(@_)" sourceLinked="1"/>
        <c:majorTickMark val="none"/>
        <c:minorTickMark val="none"/>
        <c:tickLblPos val="nextTo"/>
        <c:crossAx val="127521152"/>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Economic Output Impacts </a:t>
            </a:r>
            <a:r>
              <a:rPr lang="en-US" sz="1600"/>
              <a:t>(2015-2020) </a:t>
            </a:r>
          </a:p>
          <a:p>
            <a:pPr>
              <a:defRPr/>
            </a:pPr>
            <a:r>
              <a:rPr lang="en-US" sz="1400"/>
              <a:t>Backup Power Fuel Cell Scenario</a:t>
            </a:r>
          </a:p>
          <a:p>
            <a:pPr>
              <a:defRPr/>
            </a:pPr>
            <a:r>
              <a:rPr lang="en-US" sz="1100"/>
              <a:t>JOBS FC 1.0</a:t>
            </a:r>
          </a:p>
        </c:rich>
      </c:tx>
      <c:overlay val="0"/>
    </c:title>
    <c:autoTitleDeleted val="0"/>
    <c:plotArea>
      <c:layout/>
      <c:barChart>
        <c:barDir val="col"/>
        <c:grouping val="stacked"/>
        <c:varyColors val="0"/>
        <c:ser>
          <c:idx val="6"/>
          <c:order val="0"/>
          <c:tx>
            <c:strRef>
              <c:f>'Backup RESULTS-Tables'!$AH$81</c:f>
              <c:strCache>
                <c:ptCount val="1"/>
                <c:pt idx="0">
                  <c:v>Gross BuP FC Maintenance Induced</c:v>
                </c:pt>
              </c:strCache>
            </c:strRef>
          </c:tx>
          <c:spPr>
            <a:solidFill>
              <a:schemeClr val="accent6">
                <a:lumMod val="60000"/>
                <a:lumOff val="40000"/>
              </a:schemeClr>
            </a:solidFill>
            <a:ln>
              <a:solidFill>
                <a:sysClr val="windowText" lastClr="000000"/>
              </a:solidFill>
            </a:ln>
          </c:spPr>
          <c:invertIfNegative val="0"/>
          <c:cat>
            <c:numRef>
              <c:f>'Backup RESULTS-Tables'!$C$82:$C$87</c:f>
              <c:numCache>
                <c:formatCode>General</c:formatCode>
                <c:ptCount val="6"/>
                <c:pt idx="0">
                  <c:v>2015</c:v>
                </c:pt>
                <c:pt idx="1">
                  <c:v>2016</c:v>
                </c:pt>
                <c:pt idx="2">
                  <c:v>2017</c:v>
                </c:pt>
                <c:pt idx="3">
                  <c:v>2018</c:v>
                </c:pt>
                <c:pt idx="4">
                  <c:v>2019</c:v>
                </c:pt>
                <c:pt idx="5">
                  <c:v>2020</c:v>
                </c:pt>
              </c:numCache>
            </c:numRef>
          </c:cat>
          <c:val>
            <c:numRef>
              <c:f>'Backup RESULTS-Tables'!$AH$82:$AH$87</c:f>
              <c:numCache>
                <c:formatCode>_("$"* #,##0_);_("$"* \(#,##0\);_("$"* "-"_);_(@_)</c:formatCode>
                <c:ptCount val="6"/>
                <c:pt idx="0">
                  <c:v>#N/A</c:v>
                </c:pt>
                <c:pt idx="1">
                  <c:v>#N/A</c:v>
                </c:pt>
                <c:pt idx="2">
                  <c:v>#N/A</c:v>
                </c:pt>
                <c:pt idx="3">
                  <c:v>#N/A</c:v>
                </c:pt>
                <c:pt idx="4">
                  <c:v>#N/A</c:v>
                </c:pt>
                <c:pt idx="5">
                  <c:v>#N/A</c:v>
                </c:pt>
              </c:numCache>
            </c:numRef>
          </c:val>
        </c:ser>
        <c:ser>
          <c:idx val="7"/>
          <c:order val="1"/>
          <c:tx>
            <c:strRef>
              <c:f>'Backup RESULTS-Tables'!$AI$81</c:f>
              <c:strCache>
                <c:ptCount val="1"/>
                <c:pt idx="0">
                  <c:v>Gross BuP FC Maintenance Supply Chain</c:v>
                </c:pt>
              </c:strCache>
            </c:strRef>
          </c:tx>
          <c:spPr>
            <a:solidFill>
              <a:schemeClr val="accent6"/>
            </a:solidFill>
            <a:ln>
              <a:solidFill>
                <a:sysClr val="windowText" lastClr="000000"/>
              </a:solidFill>
            </a:ln>
          </c:spPr>
          <c:invertIfNegative val="0"/>
          <c:cat>
            <c:numRef>
              <c:f>'Backup RESULTS-Tables'!$C$82:$C$87</c:f>
              <c:numCache>
                <c:formatCode>General</c:formatCode>
                <c:ptCount val="6"/>
                <c:pt idx="0">
                  <c:v>2015</c:v>
                </c:pt>
                <c:pt idx="1">
                  <c:v>2016</c:v>
                </c:pt>
                <c:pt idx="2">
                  <c:v>2017</c:v>
                </c:pt>
                <c:pt idx="3">
                  <c:v>2018</c:v>
                </c:pt>
                <c:pt idx="4">
                  <c:v>2019</c:v>
                </c:pt>
                <c:pt idx="5">
                  <c:v>2020</c:v>
                </c:pt>
              </c:numCache>
            </c:numRef>
          </c:cat>
          <c:val>
            <c:numRef>
              <c:f>'Backup RESULTS-Tables'!$AI$82:$AI$87</c:f>
              <c:numCache>
                <c:formatCode>_("$"* #,##0_);_("$"* \(#,##0\);_("$"* "-"_);_(@_)</c:formatCode>
                <c:ptCount val="6"/>
                <c:pt idx="0">
                  <c:v>#N/A</c:v>
                </c:pt>
                <c:pt idx="1">
                  <c:v>#N/A</c:v>
                </c:pt>
                <c:pt idx="2">
                  <c:v>#N/A</c:v>
                </c:pt>
                <c:pt idx="3">
                  <c:v>#N/A</c:v>
                </c:pt>
                <c:pt idx="4">
                  <c:v>#N/A</c:v>
                </c:pt>
                <c:pt idx="5">
                  <c:v>#N/A</c:v>
                </c:pt>
              </c:numCache>
            </c:numRef>
          </c:val>
        </c:ser>
        <c:ser>
          <c:idx val="4"/>
          <c:order val="2"/>
          <c:tx>
            <c:strRef>
              <c:f>'Backup RESULTS-Tables'!$AA$81</c:f>
              <c:strCache>
                <c:ptCount val="1"/>
                <c:pt idx="0">
                  <c:v>Gross BuP FC Fuel Induced</c:v>
                </c:pt>
              </c:strCache>
            </c:strRef>
          </c:tx>
          <c:spPr>
            <a:solidFill>
              <a:schemeClr val="accent2">
                <a:lumMod val="60000"/>
                <a:lumOff val="40000"/>
              </a:schemeClr>
            </a:solidFill>
            <a:ln>
              <a:solidFill>
                <a:sysClr val="windowText" lastClr="000000"/>
              </a:solidFill>
            </a:ln>
          </c:spPr>
          <c:invertIfNegative val="0"/>
          <c:cat>
            <c:numRef>
              <c:f>'Backup RESULTS-Tables'!$C$82:$C$87</c:f>
              <c:numCache>
                <c:formatCode>General</c:formatCode>
                <c:ptCount val="6"/>
                <c:pt idx="0">
                  <c:v>2015</c:v>
                </c:pt>
                <c:pt idx="1">
                  <c:v>2016</c:v>
                </c:pt>
                <c:pt idx="2">
                  <c:v>2017</c:v>
                </c:pt>
                <c:pt idx="3">
                  <c:v>2018</c:v>
                </c:pt>
                <c:pt idx="4">
                  <c:v>2019</c:v>
                </c:pt>
                <c:pt idx="5">
                  <c:v>2020</c:v>
                </c:pt>
              </c:numCache>
            </c:numRef>
          </c:cat>
          <c:val>
            <c:numRef>
              <c:f>'Backup RESULTS-Tables'!$AA$82:$AA$87</c:f>
              <c:numCache>
                <c:formatCode>_("$"* #,##0_);_("$"* \(#,##0\);_("$"* "-"_);_(@_)</c:formatCode>
                <c:ptCount val="6"/>
                <c:pt idx="0">
                  <c:v>#N/A</c:v>
                </c:pt>
                <c:pt idx="1">
                  <c:v>#N/A</c:v>
                </c:pt>
                <c:pt idx="2">
                  <c:v>#N/A</c:v>
                </c:pt>
                <c:pt idx="3">
                  <c:v>#N/A</c:v>
                </c:pt>
                <c:pt idx="4">
                  <c:v>#N/A</c:v>
                </c:pt>
                <c:pt idx="5">
                  <c:v>#N/A</c:v>
                </c:pt>
              </c:numCache>
            </c:numRef>
          </c:val>
        </c:ser>
        <c:ser>
          <c:idx val="5"/>
          <c:order val="3"/>
          <c:tx>
            <c:strRef>
              <c:f>'Backup RESULTS-Tables'!$AB$81</c:f>
              <c:strCache>
                <c:ptCount val="1"/>
                <c:pt idx="0">
                  <c:v>Gross BuP FC Fuel Supply Chain</c:v>
                </c:pt>
              </c:strCache>
            </c:strRef>
          </c:tx>
          <c:spPr>
            <a:solidFill>
              <a:schemeClr val="accent2"/>
            </a:solidFill>
            <a:ln>
              <a:solidFill>
                <a:sysClr val="windowText" lastClr="000000"/>
              </a:solidFill>
            </a:ln>
          </c:spPr>
          <c:invertIfNegative val="0"/>
          <c:cat>
            <c:numRef>
              <c:f>'Backup RESULTS-Tables'!$C$82:$C$87</c:f>
              <c:numCache>
                <c:formatCode>General</c:formatCode>
                <c:ptCount val="6"/>
                <c:pt idx="0">
                  <c:v>2015</c:v>
                </c:pt>
                <c:pt idx="1">
                  <c:v>2016</c:v>
                </c:pt>
                <c:pt idx="2">
                  <c:v>2017</c:v>
                </c:pt>
                <c:pt idx="3">
                  <c:v>2018</c:v>
                </c:pt>
                <c:pt idx="4">
                  <c:v>2019</c:v>
                </c:pt>
                <c:pt idx="5">
                  <c:v>2020</c:v>
                </c:pt>
              </c:numCache>
            </c:numRef>
          </c:cat>
          <c:val>
            <c:numRef>
              <c:f>'Backup RESULTS-Tables'!$AB$82:$AB$87</c:f>
              <c:numCache>
                <c:formatCode>_("$"* #,##0_);_("$"* \(#,##0\);_("$"* "-"_);_(@_)</c:formatCode>
                <c:ptCount val="6"/>
                <c:pt idx="0">
                  <c:v>#N/A</c:v>
                </c:pt>
                <c:pt idx="1">
                  <c:v>#N/A</c:v>
                </c:pt>
                <c:pt idx="2">
                  <c:v>#N/A</c:v>
                </c:pt>
                <c:pt idx="3">
                  <c:v>#N/A</c:v>
                </c:pt>
                <c:pt idx="4">
                  <c:v>#N/A</c:v>
                </c:pt>
                <c:pt idx="5">
                  <c:v>#N/A</c:v>
                </c:pt>
              </c:numCache>
            </c:numRef>
          </c:val>
        </c:ser>
        <c:ser>
          <c:idx val="2"/>
          <c:order val="4"/>
          <c:tx>
            <c:strRef>
              <c:f>'Backup RESULTS-Tables'!$T$81</c:f>
              <c:strCache>
                <c:ptCount val="1"/>
                <c:pt idx="0">
                  <c:v>Gross BuP FC Installation Induced</c:v>
                </c:pt>
              </c:strCache>
            </c:strRef>
          </c:tx>
          <c:spPr>
            <a:solidFill>
              <a:schemeClr val="bg2">
                <a:lumMod val="75000"/>
              </a:schemeClr>
            </a:solidFill>
            <a:ln>
              <a:solidFill>
                <a:sysClr val="windowText" lastClr="000000"/>
              </a:solidFill>
            </a:ln>
          </c:spPr>
          <c:invertIfNegative val="0"/>
          <c:cat>
            <c:numRef>
              <c:f>'Backup RESULTS-Tables'!$C$82:$C$87</c:f>
              <c:numCache>
                <c:formatCode>General</c:formatCode>
                <c:ptCount val="6"/>
                <c:pt idx="0">
                  <c:v>2015</c:v>
                </c:pt>
                <c:pt idx="1">
                  <c:v>2016</c:v>
                </c:pt>
                <c:pt idx="2">
                  <c:v>2017</c:v>
                </c:pt>
                <c:pt idx="3">
                  <c:v>2018</c:v>
                </c:pt>
                <c:pt idx="4">
                  <c:v>2019</c:v>
                </c:pt>
                <c:pt idx="5">
                  <c:v>2020</c:v>
                </c:pt>
              </c:numCache>
            </c:numRef>
          </c:cat>
          <c:val>
            <c:numRef>
              <c:f>'Backup RESULTS-Tables'!$T$82:$T$87</c:f>
              <c:numCache>
                <c:formatCode>_("$"* #,##0_);_("$"* \(#,##0\);_("$"* "-"_);_(@_)</c:formatCode>
                <c:ptCount val="6"/>
                <c:pt idx="0">
                  <c:v>#N/A</c:v>
                </c:pt>
                <c:pt idx="1">
                  <c:v>#N/A</c:v>
                </c:pt>
                <c:pt idx="2">
                  <c:v>#N/A</c:v>
                </c:pt>
                <c:pt idx="3">
                  <c:v>#N/A</c:v>
                </c:pt>
                <c:pt idx="4">
                  <c:v>#N/A</c:v>
                </c:pt>
                <c:pt idx="5">
                  <c:v>#N/A</c:v>
                </c:pt>
              </c:numCache>
            </c:numRef>
          </c:val>
        </c:ser>
        <c:ser>
          <c:idx val="3"/>
          <c:order val="5"/>
          <c:tx>
            <c:strRef>
              <c:f>'Backup RESULTS-Tables'!$U$81</c:f>
              <c:strCache>
                <c:ptCount val="1"/>
                <c:pt idx="0">
                  <c:v>Gross BuP FC Installation Supply Chain</c:v>
                </c:pt>
              </c:strCache>
            </c:strRef>
          </c:tx>
          <c:spPr>
            <a:solidFill>
              <a:schemeClr val="bg2">
                <a:lumMod val="50000"/>
              </a:schemeClr>
            </a:solidFill>
            <a:ln>
              <a:solidFill>
                <a:sysClr val="windowText" lastClr="000000"/>
              </a:solidFill>
            </a:ln>
          </c:spPr>
          <c:invertIfNegative val="0"/>
          <c:cat>
            <c:numRef>
              <c:f>'Backup RESULTS-Tables'!$C$82:$C$87</c:f>
              <c:numCache>
                <c:formatCode>General</c:formatCode>
                <c:ptCount val="6"/>
                <c:pt idx="0">
                  <c:v>2015</c:v>
                </c:pt>
                <c:pt idx="1">
                  <c:v>2016</c:v>
                </c:pt>
                <c:pt idx="2">
                  <c:v>2017</c:v>
                </c:pt>
                <c:pt idx="3">
                  <c:v>2018</c:v>
                </c:pt>
                <c:pt idx="4">
                  <c:v>2019</c:v>
                </c:pt>
                <c:pt idx="5">
                  <c:v>2020</c:v>
                </c:pt>
              </c:numCache>
            </c:numRef>
          </c:cat>
          <c:val>
            <c:numRef>
              <c:f>'Backup RESULTS-Tables'!$U$82:$U$87</c:f>
              <c:numCache>
                <c:formatCode>_("$"* #,##0_);_("$"* \(#,##0\);_("$"* "-"_);_(@_)</c:formatCode>
                <c:ptCount val="6"/>
                <c:pt idx="0">
                  <c:v>#N/A</c:v>
                </c:pt>
                <c:pt idx="1">
                  <c:v>#N/A</c:v>
                </c:pt>
                <c:pt idx="2">
                  <c:v>#N/A</c:v>
                </c:pt>
                <c:pt idx="3">
                  <c:v>#N/A</c:v>
                </c:pt>
                <c:pt idx="4">
                  <c:v>#N/A</c:v>
                </c:pt>
                <c:pt idx="5">
                  <c:v>#N/A</c:v>
                </c:pt>
              </c:numCache>
            </c:numRef>
          </c:val>
        </c:ser>
        <c:ser>
          <c:idx val="0"/>
          <c:order val="6"/>
          <c:tx>
            <c:strRef>
              <c:f>'Backup RESULTS-Tables'!$M$81</c:f>
              <c:strCache>
                <c:ptCount val="1"/>
                <c:pt idx="0">
                  <c:v>Gross BuP Fuel Cell Induced</c:v>
                </c:pt>
              </c:strCache>
            </c:strRef>
          </c:tx>
          <c:spPr>
            <a:solidFill>
              <a:schemeClr val="accent3">
                <a:lumMod val="40000"/>
                <a:lumOff val="60000"/>
              </a:schemeClr>
            </a:solidFill>
            <a:ln>
              <a:solidFill>
                <a:sysClr val="windowText" lastClr="000000"/>
              </a:solidFill>
            </a:ln>
          </c:spPr>
          <c:invertIfNegative val="0"/>
          <c:cat>
            <c:numRef>
              <c:f>'Backup RESULTS-Tables'!$C$82:$C$87</c:f>
              <c:numCache>
                <c:formatCode>General</c:formatCode>
                <c:ptCount val="6"/>
                <c:pt idx="0">
                  <c:v>2015</c:v>
                </c:pt>
                <c:pt idx="1">
                  <c:v>2016</c:v>
                </c:pt>
                <c:pt idx="2">
                  <c:v>2017</c:v>
                </c:pt>
                <c:pt idx="3">
                  <c:v>2018</c:v>
                </c:pt>
                <c:pt idx="4">
                  <c:v>2019</c:v>
                </c:pt>
                <c:pt idx="5">
                  <c:v>2020</c:v>
                </c:pt>
              </c:numCache>
            </c:numRef>
          </c:cat>
          <c:val>
            <c:numRef>
              <c:f>'Backup RESULTS-Tables'!$M$82:$M$87</c:f>
              <c:numCache>
                <c:formatCode>_("$"* #,##0_);_("$"* \(#,##0\);_("$"* "-"??_);_(@_)</c:formatCode>
                <c:ptCount val="6"/>
                <c:pt idx="0">
                  <c:v>#N/A</c:v>
                </c:pt>
                <c:pt idx="1">
                  <c:v>#N/A</c:v>
                </c:pt>
                <c:pt idx="2">
                  <c:v>#N/A</c:v>
                </c:pt>
                <c:pt idx="3">
                  <c:v>#N/A</c:v>
                </c:pt>
                <c:pt idx="4">
                  <c:v>#N/A</c:v>
                </c:pt>
                <c:pt idx="5">
                  <c:v>#N/A</c:v>
                </c:pt>
              </c:numCache>
            </c:numRef>
          </c:val>
        </c:ser>
        <c:ser>
          <c:idx val="1"/>
          <c:order val="7"/>
          <c:tx>
            <c:strRef>
              <c:f>'Backup RESULTS-Tables'!$N$81</c:f>
              <c:strCache>
                <c:ptCount val="1"/>
                <c:pt idx="0">
                  <c:v>Gross BuP Fuel Cell Supply Chain</c:v>
                </c:pt>
              </c:strCache>
            </c:strRef>
          </c:tx>
          <c:spPr>
            <a:solidFill>
              <a:schemeClr val="accent3"/>
            </a:solidFill>
            <a:ln>
              <a:solidFill>
                <a:sysClr val="windowText" lastClr="000000"/>
              </a:solidFill>
            </a:ln>
          </c:spPr>
          <c:invertIfNegative val="0"/>
          <c:cat>
            <c:numRef>
              <c:f>'Backup RESULTS-Tables'!$C$82:$C$87</c:f>
              <c:numCache>
                <c:formatCode>General</c:formatCode>
                <c:ptCount val="6"/>
                <c:pt idx="0">
                  <c:v>2015</c:v>
                </c:pt>
                <c:pt idx="1">
                  <c:v>2016</c:v>
                </c:pt>
                <c:pt idx="2">
                  <c:v>2017</c:v>
                </c:pt>
                <c:pt idx="3">
                  <c:v>2018</c:v>
                </c:pt>
                <c:pt idx="4">
                  <c:v>2019</c:v>
                </c:pt>
                <c:pt idx="5">
                  <c:v>2020</c:v>
                </c:pt>
              </c:numCache>
            </c:numRef>
          </c:cat>
          <c:val>
            <c:numRef>
              <c:f>'Backup RESULTS-Tables'!$N$82:$N$87</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overlap val="100"/>
        <c:axId val="127576704"/>
        <c:axId val="127590784"/>
      </c:barChart>
      <c:lineChart>
        <c:grouping val="standard"/>
        <c:varyColors val="0"/>
        <c:ser>
          <c:idx val="8"/>
          <c:order val="8"/>
          <c:tx>
            <c:strRef>
              <c:f>'Backup RESULTS-Tables'!$H$81</c:f>
              <c:strCache>
                <c:ptCount val="1"/>
                <c:pt idx="0">
                  <c:v>Gross BuP FC-related Total</c:v>
                </c:pt>
              </c:strCache>
            </c:strRef>
          </c:tx>
          <c:spPr>
            <a:ln>
              <a:solidFill>
                <a:sysClr val="windowText" lastClr="000000"/>
              </a:solidFill>
            </a:ln>
          </c:spPr>
          <c:marker>
            <c:symbol val="circle"/>
            <c:size val="3"/>
            <c:spPr>
              <a:solidFill>
                <a:schemeClr val="tx1"/>
              </a:solidFill>
              <a:ln>
                <a:solidFill>
                  <a:sysClr val="windowText" lastClr="000000"/>
                </a:solidFill>
              </a:ln>
            </c:spPr>
          </c:marker>
          <c:dLbls>
            <c:dLblPos val="b"/>
            <c:showLegendKey val="0"/>
            <c:showVal val="1"/>
            <c:showCatName val="0"/>
            <c:showSerName val="0"/>
            <c:showPercent val="0"/>
            <c:showBubbleSize val="0"/>
            <c:showLeaderLines val="0"/>
          </c:dLbls>
          <c:cat>
            <c:numRef>
              <c:f>'Backup RESULTS-Tables'!$C$82:$C$87</c:f>
              <c:numCache>
                <c:formatCode>General</c:formatCode>
                <c:ptCount val="6"/>
                <c:pt idx="0">
                  <c:v>2015</c:v>
                </c:pt>
                <c:pt idx="1">
                  <c:v>2016</c:v>
                </c:pt>
                <c:pt idx="2">
                  <c:v>2017</c:v>
                </c:pt>
                <c:pt idx="3">
                  <c:v>2018</c:v>
                </c:pt>
                <c:pt idx="4">
                  <c:v>2019</c:v>
                </c:pt>
                <c:pt idx="5">
                  <c:v>2020</c:v>
                </c:pt>
              </c:numCache>
            </c:numRef>
          </c:cat>
          <c:val>
            <c:numRef>
              <c:f>'Backup RESULTS-Tables'!$H$82:$H$87</c:f>
              <c:numCache>
                <c:formatCode>_("$"* #,##0_);_("$"* \(#,##0\);_("$"* "-"_);_(@_)</c:formatCode>
                <c:ptCount val="6"/>
                <c:pt idx="0">
                  <c:v>#N/A</c:v>
                </c:pt>
                <c:pt idx="1">
                  <c:v>#N/A</c:v>
                </c:pt>
                <c:pt idx="2">
                  <c:v>#N/A</c:v>
                </c:pt>
                <c:pt idx="3">
                  <c:v>#N/A</c:v>
                </c:pt>
                <c:pt idx="4">
                  <c:v>#N/A</c:v>
                </c:pt>
                <c:pt idx="5">
                  <c:v>#N/A</c:v>
                </c:pt>
              </c:numCache>
            </c:numRef>
          </c:val>
          <c:smooth val="0"/>
        </c:ser>
        <c:dLbls>
          <c:showLegendKey val="0"/>
          <c:showVal val="0"/>
          <c:showCatName val="0"/>
          <c:showSerName val="0"/>
          <c:showPercent val="0"/>
          <c:showBubbleSize val="0"/>
        </c:dLbls>
        <c:marker val="1"/>
        <c:smooth val="0"/>
        <c:axId val="127576704"/>
        <c:axId val="127590784"/>
      </c:lineChart>
      <c:catAx>
        <c:axId val="127576704"/>
        <c:scaling>
          <c:orientation val="minMax"/>
        </c:scaling>
        <c:delete val="0"/>
        <c:axPos val="b"/>
        <c:numFmt formatCode="General" sourceLinked="1"/>
        <c:majorTickMark val="none"/>
        <c:minorTickMark val="none"/>
        <c:tickLblPos val="nextTo"/>
        <c:crossAx val="127590784"/>
        <c:crosses val="autoZero"/>
        <c:auto val="1"/>
        <c:lblAlgn val="ctr"/>
        <c:lblOffset val="100"/>
        <c:noMultiLvlLbl val="0"/>
      </c:catAx>
      <c:valAx>
        <c:axId val="127590784"/>
        <c:scaling>
          <c:orientation val="minMax"/>
        </c:scaling>
        <c:delete val="0"/>
        <c:axPos val="l"/>
        <c:majorGridlines/>
        <c:title>
          <c:tx>
            <c:strRef>
              <c:f>'Backup RESULTS-Tables'!$B$79</c:f>
              <c:strCache>
                <c:ptCount val="1"/>
                <c:pt idx="0">
                  <c:v>Gross Backup Power Fuel Cell Output (Thousands of 2010$)</c:v>
                </c:pt>
              </c:strCache>
            </c:strRef>
          </c:tx>
          <c:overlay val="0"/>
          <c:txPr>
            <a:bodyPr rot="0" vert="horz"/>
            <a:lstStyle/>
            <a:p>
              <a:pPr>
                <a:defRPr sz="1400"/>
              </a:pPr>
              <a:endParaRPr lang="en-US"/>
            </a:p>
          </c:txPr>
        </c:title>
        <c:numFmt formatCode="_(&quot;$&quot;* #,##0_);_(&quot;$&quot;* \(#,##0\);_(&quot;$&quot;* &quot;-&quot;_);_(@_)" sourceLinked="1"/>
        <c:majorTickMark val="none"/>
        <c:minorTickMark val="none"/>
        <c:tickLblPos val="nextTo"/>
        <c:crossAx val="127576704"/>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Employment Impacts</a:t>
            </a:r>
            <a:r>
              <a:rPr lang="en-US" sz="1600"/>
              <a:t> (2015-2020)</a:t>
            </a:r>
          </a:p>
          <a:p>
            <a:pPr>
              <a:defRPr/>
            </a:pPr>
            <a:r>
              <a:rPr lang="en-US" sz="1400"/>
              <a:t>Backup Power Fuel Cell Scenario</a:t>
            </a:r>
          </a:p>
          <a:p>
            <a:pPr>
              <a:defRPr/>
            </a:pPr>
            <a:r>
              <a:rPr lang="en-US" sz="1100"/>
              <a:t>JOBS FC 1.0</a:t>
            </a:r>
          </a:p>
        </c:rich>
      </c:tx>
      <c:overlay val="0"/>
    </c:title>
    <c:autoTitleDeleted val="0"/>
    <c:plotArea>
      <c:layout/>
      <c:barChart>
        <c:barDir val="col"/>
        <c:grouping val="clustered"/>
        <c:varyColors val="0"/>
        <c:ser>
          <c:idx val="21"/>
          <c:order val="0"/>
          <c:tx>
            <c:strRef>
              <c:f>'Backup RESULTS-Tables'!$H$169</c:f>
              <c:strCache>
                <c:ptCount val="1"/>
                <c:pt idx="0">
                  <c:v>Gross BuP FC-related Total</c:v>
                </c:pt>
              </c:strCache>
            </c:strRef>
          </c:tx>
          <c:spPr>
            <a:solidFill>
              <a:schemeClr val="tx1">
                <a:lumMod val="85000"/>
                <a:lumOff val="15000"/>
              </a:schemeClr>
            </a:solidFill>
            <a:ln>
              <a:solidFill>
                <a:sysClr val="windowText" lastClr="000000"/>
              </a:solidFill>
            </a:ln>
          </c:spPr>
          <c:invertIfNegative val="0"/>
          <c:cat>
            <c:numRef>
              <c:f>'Backup RESULTS-Tables'!$C$170:$C$175</c:f>
              <c:numCache>
                <c:formatCode>General</c:formatCode>
                <c:ptCount val="6"/>
                <c:pt idx="0">
                  <c:v>2015</c:v>
                </c:pt>
                <c:pt idx="1">
                  <c:v>2016</c:v>
                </c:pt>
                <c:pt idx="2">
                  <c:v>2017</c:v>
                </c:pt>
                <c:pt idx="3">
                  <c:v>2018</c:v>
                </c:pt>
                <c:pt idx="4">
                  <c:v>2019</c:v>
                </c:pt>
                <c:pt idx="5">
                  <c:v>2020</c:v>
                </c:pt>
              </c:numCache>
            </c:numRef>
          </c:cat>
          <c:val>
            <c:numRef>
              <c:f>'Backup RESULTS-Tables'!$H$170:$H$175</c:f>
              <c:numCache>
                <c:formatCode>_(* #,##0_);_(* \(#,##0\);_(* "-"??_);_(@_)</c:formatCode>
                <c:ptCount val="6"/>
                <c:pt idx="0">
                  <c:v>#N/A</c:v>
                </c:pt>
                <c:pt idx="1">
                  <c:v>#N/A</c:v>
                </c:pt>
                <c:pt idx="2">
                  <c:v>#N/A</c:v>
                </c:pt>
                <c:pt idx="3">
                  <c:v>#N/A</c:v>
                </c:pt>
                <c:pt idx="4">
                  <c:v>#N/A</c:v>
                </c:pt>
                <c:pt idx="5">
                  <c:v>#N/A</c:v>
                </c:pt>
              </c:numCache>
            </c:numRef>
          </c:val>
        </c:ser>
        <c:ser>
          <c:idx val="0"/>
          <c:order val="1"/>
          <c:tx>
            <c:strRef>
              <c:f>'Backup RESULTS-Tables'!$N$169</c:f>
              <c:strCache>
                <c:ptCount val="1"/>
                <c:pt idx="0">
                  <c:v> Gross BuP FC-related Total </c:v>
                </c:pt>
              </c:strCache>
            </c:strRef>
          </c:tx>
          <c:spPr>
            <a:solidFill>
              <a:schemeClr val="accent3"/>
            </a:solidFill>
            <a:ln>
              <a:solidFill>
                <a:sysClr val="windowText" lastClr="000000"/>
              </a:solidFill>
            </a:ln>
          </c:spPr>
          <c:invertIfNegative val="0"/>
          <c:cat>
            <c:numRef>
              <c:f>'Backup RESULTS-Tables'!$C$170:$C$175</c:f>
              <c:numCache>
                <c:formatCode>General</c:formatCode>
                <c:ptCount val="6"/>
                <c:pt idx="0">
                  <c:v>2015</c:v>
                </c:pt>
                <c:pt idx="1">
                  <c:v>2016</c:v>
                </c:pt>
                <c:pt idx="2">
                  <c:v>2017</c:v>
                </c:pt>
                <c:pt idx="3">
                  <c:v>2018</c:v>
                </c:pt>
                <c:pt idx="4">
                  <c:v>2019</c:v>
                </c:pt>
                <c:pt idx="5">
                  <c:v>2020</c:v>
                </c:pt>
              </c:numCache>
            </c:numRef>
          </c:cat>
          <c:val>
            <c:numRef>
              <c:f>'Backup RESULTS-Tables'!$N$170:$N$175</c:f>
              <c:numCache>
                <c:formatCode>_(* #,##0_);_(* \(#,##0\);_(* "-"_);_(@_)</c:formatCode>
                <c:ptCount val="6"/>
                <c:pt idx="0">
                  <c:v>#N/A</c:v>
                </c:pt>
                <c:pt idx="1">
                  <c:v>#N/A</c:v>
                </c:pt>
                <c:pt idx="2">
                  <c:v>#N/A</c:v>
                </c:pt>
                <c:pt idx="3">
                  <c:v>#N/A</c:v>
                </c:pt>
                <c:pt idx="4">
                  <c:v>#N/A</c:v>
                </c:pt>
                <c:pt idx="5">
                  <c:v>#N/A</c:v>
                </c:pt>
              </c:numCache>
            </c:numRef>
          </c:val>
        </c:ser>
        <c:ser>
          <c:idx val="1"/>
          <c:order val="2"/>
          <c:tx>
            <c:strRef>
              <c:f>'Backup RESULTS-Tables'!$T$169</c:f>
              <c:strCache>
                <c:ptCount val="1"/>
                <c:pt idx="0">
                  <c:v> Displaced BuP-related Total </c:v>
                </c:pt>
              </c:strCache>
            </c:strRef>
          </c:tx>
          <c:spPr>
            <a:solidFill>
              <a:schemeClr val="bg1">
                <a:lumMod val="65000"/>
              </a:schemeClr>
            </a:solidFill>
            <a:ln>
              <a:solidFill>
                <a:sysClr val="windowText" lastClr="000000"/>
              </a:solidFill>
            </a:ln>
          </c:spPr>
          <c:invertIfNegative val="0"/>
          <c:cat>
            <c:numRef>
              <c:f>'Backup RESULTS-Tables'!$C$170:$C$175</c:f>
              <c:numCache>
                <c:formatCode>General</c:formatCode>
                <c:ptCount val="6"/>
                <c:pt idx="0">
                  <c:v>2015</c:v>
                </c:pt>
                <c:pt idx="1">
                  <c:v>2016</c:v>
                </c:pt>
                <c:pt idx="2">
                  <c:v>2017</c:v>
                </c:pt>
                <c:pt idx="3">
                  <c:v>2018</c:v>
                </c:pt>
                <c:pt idx="4">
                  <c:v>2019</c:v>
                </c:pt>
                <c:pt idx="5">
                  <c:v>2020</c:v>
                </c:pt>
              </c:numCache>
            </c:numRef>
          </c:cat>
          <c:val>
            <c:numRef>
              <c:f>'Backup RESULTS-Tables'!$T$170:$T$175</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axId val="128023936"/>
        <c:axId val="128025728"/>
      </c:barChart>
      <c:catAx>
        <c:axId val="128023936"/>
        <c:scaling>
          <c:orientation val="minMax"/>
        </c:scaling>
        <c:delete val="0"/>
        <c:axPos val="b"/>
        <c:numFmt formatCode="General" sourceLinked="1"/>
        <c:majorTickMark val="none"/>
        <c:minorTickMark val="none"/>
        <c:tickLblPos val="nextTo"/>
        <c:crossAx val="128025728"/>
        <c:crosses val="autoZero"/>
        <c:auto val="1"/>
        <c:lblAlgn val="ctr"/>
        <c:lblOffset val="100"/>
        <c:noMultiLvlLbl val="0"/>
      </c:catAx>
      <c:valAx>
        <c:axId val="128025728"/>
        <c:scaling>
          <c:orientation val="minMax"/>
        </c:scaling>
        <c:delete val="0"/>
        <c:axPos val="l"/>
        <c:majorGridlines/>
        <c:title>
          <c:tx>
            <c:rich>
              <a:bodyPr rot="0" vert="horz"/>
              <a:lstStyle/>
              <a:p>
                <a:pPr>
                  <a:defRPr sz="1400"/>
                </a:pPr>
                <a:r>
                  <a:rPr lang="en-US" sz="1400"/>
                  <a:t>Backup Power  Fuel Cell-related Employment (Job-years)</a:t>
                </a:r>
              </a:p>
            </c:rich>
          </c:tx>
          <c:layout>
            <c:manualLayout>
              <c:xMode val="edge"/>
              <c:yMode val="edge"/>
              <c:x val="2.3161096582165717E-2"/>
              <c:y val="0.29362883815503338"/>
            </c:manualLayout>
          </c:layout>
          <c:overlay val="0"/>
        </c:title>
        <c:numFmt formatCode="_(* #,##0_);_(* \(#,##0\);_(* &quot;-&quot;??_);_(@_)" sourceLinked="1"/>
        <c:majorTickMark val="none"/>
        <c:minorTickMark val="none"/>
        <c:tickLblPos val="nextTo"/>
        <c:crossAx val="128023936"/>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Earnings Impacts</a:t>
            </a:r>
            <a:r>
              <a:rPr lang="en-US" sz="1600"/>
              <a:t> (2015-2020)</a:t>
            </a:r>
          </a:p>
          <a:p>
            <a:pPr>
              <a:defRPr/>
            </a:pPr>
            <a:r>
              <a:rPr lang="en-US" sz="1400"/>
              <a:t>Backup Power Fuel Cell Scenario</a:t>
            </a:r>
          </a:p>
          <a:p>
            <a:pPr>
              <a:defRPr/>
            </a:pPr>
            <a:r>
              <a:rPr lang="en-US" sz="1100"/>
              <a:t>JOBS FC 1.0</a:t>
            </a:r>
          </a:p>
        </c:rich>
      </c:tx>
      <c:overlay val="0"/>
    </c:title>
    <c:autoTitleDeleted val="0"/>
    <c:plotArea>
      <c:layout/>
      <c:barChart>
        <c:barDir val="col"/>
        <c:grouping val="clustered"/>
        <c:varyColors val="0"/>
        <c:ser>
          <c:idx val="21"/>
          <c:order val="0"/>
          <c:tx>
            <c:strRef>
              <c:f>'Backup RESULTS-Tables'!$H$179</c:f>
              <c:strCache>
                <c:ptCount val="1"/>
                <c:pt idx="0">
                  <c:v>Gross BuP FC-related Total</c:v>
                </c:pt>
              </c:strCache>
            </c:strRef>
          </c:tx>
          <c:spPr>
            <a:solidFill>
              <a:schemeClr val="tx1">
                <a:lumMod val="85000"/>
                <a:lumOff val="15000"/>
              </a:schemeClr>
            </a:solidFill>
            <a:ln>
              <a:solidFill>
                <a:sysClr val="windowText" lastClr="000000"/>
              </a:solidFill>
            </a:ln>
          </c:spPr>
          <c:invertIfNegative val="0"/>
          <c:cat>
            <c:numRef>
              <c:f>'Backup RESULTS-Tables'!$C$180:$C$185</c:f>
              <c:numCache>
                <c:formatCode>General</c:formatCode>
                <c:ptCount val="6"/>
                <c:pt idx="0">
                  <c:v>2015</c:v>
                </c:pt>
                <c:pt idx="1">
                  <c:v>2016</c:v>
                </c:pt>
                <c:pt idx="2">
                  <c:v>2017</c:v>
                </c:pt>
                <c:pt idx="3">
                  <c:v>2018</c:v>
                </c:pt>
                <c:pt idx="4">
                  <c:v>2019</c:v>
                </c:pt>
                <c:pt idx="5">
                  <c:v>2020</c:v>
                </c:pt>
              </c:numCache>
            </c:numRef>
          </c:cat>
          <c:val>
            <c:numRef>
              <c:f>'Backup RESULTS-Tables'!$H$180:$H$185</c:f>
              <c:numCache>
                <c:formatCode>_("$"* #,##0_);_("$"* \(#,##0\);_("$"* "-"??_);_(@_)</c:formatCode>
                <c:ptCount val="6"/>
                <c:pt idx="0">
                  <c:v>#N/A</c:v>
                </c:pt>
                <c:pt idx="1">
                  <c:v>#N/A</c:v>
                </c:pt>
                <c:pt idx="2">
                  <c:v>#N/A</c:v>
                </c:pt>
                <c:pt idx="3">
                  <c:v>#N/A</c:v>
                </c:pt>
                <c:pt idx="4">
                  <c:v>#N/A</c:v>
                </c:pt>
                <c:pt idx="5">
                  <c:v>#N/A</c:v>
                </c:pt>
              </c:numCache>
            </c:numRef>
          </c:val>
        </c:ser>
        <c:ser>
          <c:idx val="0"/>
          <c:order val="1"/>
          <c:tx>
            <c:strRef>
              <c:f>'Backup RESULTS-Tables'!$N$179</c:f>
              <c:strCache>
                <c:ptCount val="1"/>
                <c:pt idx="0">
                  <c:v> Gross BuP FC-related Total </c:v>
                </c:pt>
              </c:strCache>
            </c:strRef>
          </c:tx>
          <c:spPr>
            <a:solidFill>
              <a:schemeClr val="accent3"/>
            </a:solidFill>
            <a:ln>
              <a:solidFill>
                <a:sysClr val="windowText" lastClr="000000"/>
              </a:solidFill>
            </a:ln>
          </c:spPr>
          <c:invertIfNegative val="0"/>
          <c:cat>
            <c:numRef>
              <c:f>'Backup RESULTS-Tables'!$C$180:$C$185</c:f>
              <c:numCache>
                <c:formatCode>General</c:formatCode>
                <c:ptCount val="6"/>
                <c:pt idx="0">
                  <c:v>2015</c:v>
                </c:pt>
                <c:pt idx="1">
                  <c:v>2016</c:v>
                </c:pt>
                <c:pt idx="2">
                  <c:v>2017</c:v>
                </c:pt>
                <c:pt idx="3">
                  <c:v>2018</c:v>
                </c:pt>
                <c:pt idx="4">
                  <c:v>2019</c:v>
                </c:pt>
                <c:pt idx="5">
                  <c:v>2020</c:v>
                </c:pt>
              </c:numCache>
            </c:numRef>
          </c:cat>
          <c:val>
            <c:numRef>
              <c:f>'Backup RESULTS-Tables'!$N$180:$N$185</c:f>
              <c:numCache>
                <c:formatCode>_("$"* #,##0_);_("$"* \(#,##0\);_("$"* "-"??_);_(@_)</c:formatCode>
                <c:ptCount val="6"/>
                <c:pt idx="0">
                  <c:v>#N/A</c:v>
                </c:pt>
                <c:pt idx="1">
                  <c:v>#N/A</c:v>
                </c:pt>
                <c:pt idx="2">
                  <c:v>#N/A</c:v>
                </c:pt>
                <c:pt idx="3">
                  <c:v>#N/A</c:v>
                </c:pt>
                <c:pt idx="4">
                  <c:v>#N/A</c:v>
                </c:pt>
                <c:pt idx="5">
                  <c:v>#N/A</c:v>
                </c:pt>
              </c:numCache>
            </c:numRef>
          </c:val>
        </c:ser>
        <c:ser>
          <c:idx val="1"/>
          <c:order val="2"/>
          <c:tx>
            <c:strRef>
              <c:f>'Backup RESULTS-Tables'!$T$179</c:f>
              <c:strCache>
                <c:ptCount val="1"/>
                <c:pt idx="0">
                  <c:v> Displaced BuP-related Total </c:v>
                </c:pt>
              </c:strCache>
            </c:strRef>
          </c:tx>
          <c:spPr>
            <a:solidFill>
              <a:schemeClr val="bg1">
                <a:lumMod val="65000"/>
              </a:schemeClr>
            </a:solidFill>
            <a:ln>
              <a:solidFill>
                <a:sysClr val="windowText" lastClr="000000"/>
              </a:solidFill>
            </a:ln>
          </c:spPr>
          <c:invertIfNegative val="0"/>
          <c:cat>
            <c:numRef>
              <c:f>'Backup RESULTS-Tables'!$C$180:$C$185</c:f>
              <c:numCache>
                <c:formatCode>General</c:formatCode>
                <c:ptCount val="6"/>
                <c:pt idx="0">
                  <c:v>2015</c:v>
                </c:pt>
                <c:pt idx="1">
                  <c:v>2016</c:v>
                </c:pt>
                <c:pt idx="2">
                  <c:v>2017</c:v>
                </c:pt>
                <c:pt idx="3">
                  <c:v>2018</c:v>
                </c:pt>
                <c:pt idx="4">
                  <c:v>2019</c:v>
                </c:pt>
                <c:pt idx="5">
                  <c:v>2020</c:v>
                </c:pt>
              </c:numCache>
            </c:numRef>
          </c:cat>
          <c:val>
            <c:numRef>
              <c:f>'Backup RESULTS-Tables'!$T$180:$T$185</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axId val="128070016"/>
        <c:axId val="128071552"/>
      </c:barChart>
      <c:catAx>
        <c:axId val="128070016"/>
        <c:scaling>
          <c:orientation val="minMax"/>
        </c:scaling>
        <c:delete val="0"/>
        <c:axPos val="b"/>
        <c:numFmt formatCode="General" sourceLinked="1"/>
        <c:majorTickMark val="none"/>
        <c:minorTickMark val="none"/>
        <c:tickLblPos val="nextTo"/>
        <c:crossAx val="128071552"/>
        <c:crosses val="autoZero"/>
        <c:auto val="1"/>
        <c:lblAlgn val="ctr"/>
        <c:lblOffset val="100"/>
        <c:noMultiLvlLbl val="0"/>
      </c:catAx>
      <c:valAx>
        <c:axId val="128071552"/>
        <c:scaling>
          <c:orientation val="minMax"/>
        </c:scaling>
        <c:delete val="0"/>
        <c:axPos val="l"/>
        <c:majorGridlines/>
        <c:title>
          <c:tx>
            <c:rich>
              <a:bodyPr rot="0" vert="horz"/>
              <a:lstStyle/>
              <a:p>
                <a:pPr>
                  <a:defRPr sz="1400"/>
                </a:pPr>
                <a:r>
                  <a:rPr lang="en-US" sz="1400"/>
                  <a:t>Backup Power  Fuel Cell-related Earnings (Thousands of 2010$)</a:t>
                </a:r>
              </a:p>
            </c:rich>
          </c:tx>
          <c:layout>
            <c:manualLayout>
              <c:xMode val="edge"/>
              <c:yMode val="edge"/>
              <c:x val="2.3161096582165717E-2"/>
              <c:y val="0.29362883815503338"/>
            </c:manualLayout>
          </c:layout>
          <c:overlay val="0"/>
        </c:title>
        <c:numFmt formatCode="_(&quot;$&quot;* #,##0_);_(&quot;$&quot;* \(#,##0\);_(&quot;$&quot;* &quot;-&quot;??_);_(@_)" sourceLinked="1"/>
        <c:majorTickMark val="none"/>
        <c:minorTickMark val="none"/>
        <c:tickLblPos val="nextTo"/>
        <c:crossAx val="128070016"/>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Garamond"/>
                <a:ea typeface="Garamond"/>
                <a:cs typeface="Garamond"/>
              </a:defRPr>
            </a:pPr>
            <a:r>
              <a:rPr lang="en-US" sz="1600"/>
              <a:t>Units Manufactured in Region </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Garamond"/>
                <a:ea typeface="Garamond"/>
                <a:cs typeface="Garamond"/>
              </a:defRPr>
            </a:pPr>
            <a:r>
              <a:rPr lang="en-US" sz="1400" b="1" i="0" baseline="0">
                <a:effectLst/>
              </a:rPr>
              <a:t>Forklift Fuel Cell Scenario</a:t>
            </a:r>
            <a:endParaRPr lang="en-U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Garamond"/>
                <a:ea typeface="Garamond"/>
                <a:cs typeface="Garamond"/>
              </a:defRPr>
            </a:pPr>
            <a:r>
              <a:rPr lang="en-US" sz="1100" b="1" i="0" u="none" strike="noStrike" baseline="0">
                <a:effectLst/>
              </a:rPr>
              <a:t>JOBS FC 1.0</a:t>
            </a:r>
            <a:endParaRPr lang="en-US" sz="1100"/>
          </a:p>
        </c:rich>
      </c:tx>
      <c:overlay val="0"/>
    </c:title>
    <c:autoTitleDeleted val="0"/>
    <c:plotArea>
      <c:layout/>
      <c:barChart>
        <c:barDir val="col"/>
        <c:grouping val="clustered"/>
        <c:varyColors val="0"/>
        <c:ser>
          <c:idx val="0"/>
          <c:order val="0"/>
          <c:tx>
            <c:strRef>
              <c:f>'Forklift RESULTS-Tables'!$D$42</c:f>
              <c:strCache>
                <c:ptCount val="1"/>
                <c:pt idx="0">
                  <c:v>Class I/II Annual Units Mfg.</c:v>
                </c:pt>
              </c:strCache>
            </c:strRef>
          </c:tx>
          <c:spPr>
            <a:ln>
              <a:solidFill>
                <a:sysClr val="windowText" lastClr="000000"/>
              </a:solidFill>
            </a:ln>
          </c:spPr>
          <c:invertIfNegative val="0"/>
          <c:cat>
            <c:numRef>
              <c:f>'Forklift RESULTS-Tables'!$C$43:$C$48</c:f>
              <c:numCache>
                <c:formatCode>General</c:formatCode>
                <c:ptCount val="6"/>
                <c:pt idx="0">
                  <c:v>2015</c:v>
                </c:pt>
                <c:pt idx="1">
                  <c:v>2016</c:v>
                </c:pt>
                <c:pt idx="2">
                  <c:v>2017</c:v>
                </c:pt>
                <c:pt idx="3">
                  <c:v>2018</c:v>
                </c:pt>
                <c:pt idx="4">
                  <c:v>2019</c:v>
                </c:pt>
                <c:pt idx="5">
                  <c:v>2020</c:v>
                </c:pt>
              </c:numCache>
            </c:numRef>
          </c:cat>
          <c:val>
            <c:numRef>
              <c:f>'Forklift RESULTS-Tables'!$D$43:$D$48</c:f>
              <c:numCache>
                <c:formatCode>_(* #,##0_);_(* \(#,##0\);_(* "-"??_);_(@_)</c:formatCode>
                <c:ptCount val="6"/>
                <c:pt idx="0">
                  <c:v>0</c:v>
                </c:pt>
                <c:pt idx="1">
                  <c:v>0</c:v>
                </c:pt>
                <c:pt idx="2">
                  <c:v>0</c:v>
                </c:pt>
                <c:pt idx="3">
                  <c:v>0</c:v>
                </c:pt>
                <c:pt idx="4">
                  <c:v>0</c:v>
                </c:pt>
                <c:pt idx="5">
                  <c:v>0</c:v>
                </c:pt>
              </c:numCache>
            </c:numRef>
          </c:val>
        </c:ser>
        <c:ser>
          <c:idx val="2"/>
          <c:order val="2"/>
          <c:tx>
            <c:strRef>
              <c:f>'Forklift RESULTS-Tables'!$F$42</c:f>
              <c:strCache>
                <c:ptCount val="1"/>
                <c:pt idx="0">
                  <c:v>Class III Annual Units Mfg.</c:v>
                </c:pt>
              </c:strCache>
            </c:strRef>
          </c:tx>
          <c:spPr>
            <a:solidFill>
              <a:schemeClr val="accent4"/>
            </a:solidFill>
            <a:ln>
              <a:solidFill>
                <a:sysClr val="windowText" lastClr="000000"/>
              </a:solidFill>
            </a:ln>
          </c:spPr>
          <c:invertIfNegative val="0"/>
          <c:cat>
            <c:numRef>
              <c:f>'Forklift RESULTS-Tables'!$C$43:$C$48</c:f>
              <c:numCache>
                <c:formatCode>General</c:formatCode>
                <c:ptCount val="6"/>
                <c:pt idx="0">
                  <c:v>2015</c:v>
                </c:pt>
                <c:pt idx="1">
                  <c:v>2016</c:v>
                </c:pt>
                <c:pt idx="2">
                  <c:v>2017</c:v>
                </c:pt>
                <c:pt idx="3">
                  <c:v>2018</c:v>
                </c:pt>
                <c:pt idx="4">
                  <c:v>2019</c:v>
                </c:pt>
                <c:pt idx="5">
                  <c:v>2020</c:v>
                </c:pt>
              </c:numCache>
            </c:numRef>
          </c:cat>
          <c:val>
            <c:numRef>
              <c:f>'Forklift RESULTS-Tables'!$F$43:$F$48</c:f>
              <c:numCache>
                <c:formatCode>_(* #,##0_);_(* \(#,##0\);_(*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7922944"/>
        <c:axId val="107924480"/>
      </c:barChart>
      <c:lineChart>
        <c:grouping val="standard"/>
        <c:varyColors val="0"/>
        <c:ser>
          <c:idx val="1"/>
          <c:order val="1"/>
          <c:tx>
            <c:strRef>
              <c:f>'Forklift RESULTS-Tables'!$E$42</c:f>
              <c:strCache>
                <c:ptCount val="1"/>
                <c:pt idx="0">
                  <c:v>Class I/II Cum. Units Mfg.</c:v>
                </c:pt>
              </c:strCache>
            </c:strRef>
          </c:tx>
          <c:spPr>
            <a:ln>
              <a:solidFill>
                <a:schemeClr val="accent1">
                  <a:lumMod val="60000"/>
                  <a:lumOff val="40000"/>
                </a:schemeClr>
              </a:solidFill>
            </a:ln>
          </c:spPr>
          <c:marker>
            <c:symbol val="none"/>
          </c:marker>
          <c:cat>
            <c:multiLvlStrRef>
              <c:f>'Forklift TABLES'!#REF!</c:f>
            </c:multiLvlStrRef>
          </c:cat>
          <c:val>
            <c:numRef>
              <c:f>'Forklift RESULTS-Tables'!$E$43:$E$48</c:f>
              <c:numCache>
                <c:formatCode>_(* #,##0_);_(* \(#,##0\);_(* "-"??_);_(@_)</c:formatCode>
                <c:ptCount val="6"/>
                <c:pt idx="0">
                  <c:v>0</c:v>
                </c:pt>
                <c:pt idx="1">
                  <c:v>0</c:v>
                </c:pt>
                <c:pt idx="2">
                  <c:v>0</c:v>
                </c:pt>
                <c:pt idx="3">
                  <c:v>0</c:v>
                </c:pt>
                <c:pt idx="4">
                  <c:v>0</c:v>
                </c:pt>
                <c:pt idx="5">
                  <c:v>0</c:v>
                </c:pt>
              </c:numCache>
            </c:numRef>
          </c:val>
          <c:smooth val="0"/>
        </c:ser>
        <c:ser>
          <c:idx val="3"/>
          <c:order val="3"/>
          <c:tx>
            <c:strRef>
              <c:f>'Forklift RESULTS-Tables'!$G$42</c:f>
              <c:strCache>
                <c:ptCount val="1"/>
                <c:pt idx="0">
                  <c:v>Class III Cum. Units Mfg.</c:v>
                </c:pt>
              </c:strCache>
            </c:strRef>
          </c:tx>
          <c:spPr>
            <a:ln>
              <a:solidFill>
                <a:schemeClr val="accent4">
                  <a:lumMod val="60000"/>
                  <a:lumOff val="40000"/>
                </a:schemeClr>
              </a:solidFill>
            </a:ln>
          </c:spPr>
          <c:marker>
            <c:symbol val="none"/>
          </c:marker>
          <c:cat>
            <c:multiLvlStrRef>
              <c:f>'Forklift TABLES'!#REF!</c:f>
            </c:multiLvlStrRef>
          </c:cat>
          <c:val>
            <c:numRef>
              <c:f>'Forklift RESULTS-Tables'!$G$43:$G$48</c:f>
              <c:numCache>
                <c:formatCode>_(* #,##0_);_(* \(#,##0\);_(*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07922944"/>
        <c:axId val="107924480"/>
      </c:lineChart>
      <c:catAx>
        <c:axId val="10792294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07924480"/>
        <c:crosses val="autoZero"/>
        <c:auto val="1"/>
        <c:lblAlgn val="ctr"/>
        <c:lblOffset val="100"/>
        <c:noMultiLvlLbl val="0"/>
      </c:catAx>
      <c:valAx>
        <c:axId val="107924480"/>
        <c:scaling>
          <c:orientation val="minMax"/>
        </c:scaling>
        <c:delete val="0"/>
        <c:axPos val="l"/>
        <c:majorGridlines/>
        <c:title>
          <c:tx>
            <c:rich>
              <a:bodyPr rot="0" vert="horz"/>
              <a:lstStyle/>
              <a:p>
                <a:pPr>
                  <a:defRPr sz="1400"/>
                </a:pPr>
                <a:r>
                  <a:rPr lang="en-US" sz="1400" b="1"/>
                  <a:t>Forklift</a:t>
                </a:r>
                <a:r>
                  <a:rPr lang="en-US" sz="1400" b="1" baseline="0"/>
                  <a:t> </a:t>
                </a:r>
                <a:r>
                  <a:rPr lang="en-US" sz="1400" b="1"/>
                  <a:t>Fuel Cell Units</a:t>
                </a:r>
              </a:p>
            </c:rich>
          </c:tx>
          <c:layout>
            <c:manualLayout>
              <c:xMode val="edge"/>
              <c:yMode val="edge"/>
              <c:x val="5.4803990847297944E-2"/>
              <c:y val="0.38509798775153103"/>
            </c:manualLayout>
          </c:layout>
          <c:overlay val="0"/>
        </c:title>
        <c:numFmt formatCode="_(* #,##0_);_(* \(#,##0\);_(* &quot;-&quot;??_);_(@_)"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07922944"/>
        <c:crosses val="autoZero"/>
        <c:crossBetween val="between"/>
      </c:valAx>
      <c:dTable>
        <c:showHorzBorder val="1"/>
        <c:showVertBorder val="1"/>
        <c:showOutline val="1"/>
        <c:showKeys val="1"/>
      </c:dTable>
    </c:plotArea>
    <c:plotVisOnly val="1"/>
    <c:dispBlanksAs val="gap"/>
    <c:showDLblsOverMax val="0"/>
  </c:chart>
  <c:txPr>
    <a:bodyPr/>
    <a:lstStyle/>
    <a:p>
      <a:pPr>
        <a:defRPr sz="1000" b="0" i="0" u="none" strike="noStrike" baseline="0">
          <a:solidFill>
            <a:srgbClr val="000000"/>
          </a:solidFill>
          <a:latin typeface="Garamond"/>
          <a:ea typeface="Garamond"/>
          <a:cs typeface="Garamond"/>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Economic</a:t>
            </a:r>
            <a:r>
              <a:rPr lang="en-US" baseline="0"/>
              <a:t> Output</a:t>
            </a:r>
            <a:r>
              <a:rPr lang="en-US"/>
              <a:t> Impacts</a:t>
            </a:r>
            <a:r>
              <a:rPr lang="en-US" sz="1600"/>
              <a:t> (2015-2020)</a:t>
            </a:r>
          </a:p>
          <a:p>
            <a:pPr>
              <a:defRPr/>
            </a:pPr>
            <a:r>
              <a:rPr lang="en-US" sz="1400"/>
              <a:t>Backup Power Fuel Cell Scenario</a:t>
            </a:r>
          </a:p>
          <a:p>
            <a:pPr>
              <a:defRPr/>
            </a:pPr>
            <a:r>
              <a:rPr lang="en-US" sz="1100"/>
              <a:t>JOBS FC 1.0</a:t>
            </a:r>
          </a:p>
        </c:rich>
      </c:tx>
      <c:overlay val="0"/>
    </c:title>
    <c:autoTitleDeleted val="0"/>
    <c:plotArea>
      <c:layout/>
      <c:barChart>
        <c:barDir val="col"/>
        <c:grouping val="clustered"/>
        <c:varyColors val="0"/>
        <c:ser>
          <c:idx val="21"/>
          <c:order val="0"/>
          <c:tx>
            <c:strRef>
              <c:f>'Backup RESULTS-Tables'!$H$189</c:f>
              <c:strCache>
                <c:ptCount val="1"/>
                <c:pt idx="0">
                  <c:v>Gross BuP FC-related Total</c:v>
                </c:pt>
              </c:strCache>
            </c:strRef>
          </c:tx>
          <c:spPr>
            <a:solidFill>
              <a:schemeClr val="tx1">
                <a:lumMod val="85000"/>
                <a:lumOff val="15000"/>
              </a:schemeClr>
            </a:solidFill>
            <a:ln>
              <a:solidFill>
                <a:sysClr val="windowText" lastClr="000000"/>
              </a:solidFill>
            </a:ln>
          </c:spPr>
          <c:invertIfNegative val="0"/>
          <c:cat>
            <c:numRef>
              <c:f>'Backup RESULTS-Tables'!$C$190:$C$195</c:f>
              <c:numCache>
                <c:formatCode>General</c:formatCode>
                <c:ptCount val="6"/>
                <c:pt idx="0">
                  <c:v>2015</c:v>
                </c:pt>
                <c:pt idx="1">
                  <c:v>2016</c:v>
                </c:pt>
                <c:pt idx="2">
                  <c:v>2017</c:v>
                </c:pt>
                <c:pt idx="3">
                  <c:v>2018</c:v>
                </c:pt>
                <c:pt idx="4">
                  <c:v>2019</c:v>
                </c:pt>
                <c:pt idx="5">
                  <c:v>2020</c:v>
                </c:pt>
              </c:numCache>
            </c:numRef>
          </c:cat>
          <c:val>
            <c:numRef>
              <c:f>'Backup RESULTS-Tables'!$H$190:$H$195</c:f>
              <c:numCache>
                <c:formatCode>_("$"* #,##0_);_("$"* \(#,##0\);_("$"* "-"??_);_(@_)</c:formatCode>
                <c:ptCount val="6"/>
                <c:pt idx="0">
                  <c:v>#N/A</c:v>
                </c:pt>
                <c:pt idx="1">
                  <c:v>#N/A</c:v>
                </c:pt>
                <c:pt idx="2">
                  <c:v>#N/A</c:v>
                </c:pt>
                <c:pt idx="3">
                  <c:v>#N/A</c:v>
                </c:pt>
                <c:pt idx="4">
                  <c:v>#N/A</c:v>
                </c:pt>
                <c:pt idx="5">
                  <c:v>#N/A</c:v>
                </c:pt>
              </c:numCache>
            </c:numRef>
          </c:val>
        </c:ser>
        <c:ser>
          <c:idx val="0"/>
          <c:order val="1"/>
          <c:tx>
            <c:strRef>
              <c:f>'Backup RESULTS-Tables'!$N$189</c:f>
              <c:strCache>
                <c:ptCount val="1"/>
                <c:pt idx="0">
                  <c:v> Gross BuP FC-related Total </c:v>
                </c:pt>
              </c:strCache>
            </c:strRef>
          </c:tx>
          <c:spPr>
            <a:solidFill>
              <a:schemeClr val="accent3"/>
            </a:solidFill>
            <a:ln>
              <a:solidFill>
                <a:sysClr val="windowText" lastClr="000000"/>
              </a:solidFill>
            </a:ln>
          </c:spPr>
          <c:invertIfNegative val="0"/>
          <c:cat>
            <c:numRef>
              <c:f>'Backup RESULTS-Tables'!$C$190:$C$195</c:f>
              <c:numCache>
                <c:formatCode>General</c:formatCode>
                <c:ptCount val="6"/>
                <c:pt idx="0">
                  <c:v>2015</c:v>
                </c:pt>
                <c:pt idx="1">
                  <c:v>2016</c:v>
                </c:pt>
                <c:pt idx="2">
                  <c:v>2017</c:v>
                </c:pt>
                <c:pt idx="3">
                  <c:v>2018</c:v>
                </c:pt>
                <c:pt idx="4">
                  <c:v>2019</c:v>
                </c:pt>
                <c:pt idx="5">
                  <c:v>2020</c:v>
                </c:pt>
              </c:numCache>
            </c:numRef>
          </c:cat>
          <c:val>
            <c:numRef>
              <c:f>'Backup RESULTS-Tables'!$N$190:$N$195</c:f>
              <c:numCache>
                <c:formatCode>_("$"* #,##0_);_("$"* \(#,##0\);_("$"* "-"??_);_(@_)</c:formatCode>
                <c:ptCount val="6"/>
                <c:pt idx="0">
                  <c:v>#N/A</c:v>
                </c:pt>
                <c:pt idx="1">
                  <c:v>#N/A</c:v>
                </c:pt>
                <c:pt idx="2">
                  <c:v>#N/A</c:v>
                </c:pt>
                <c:pt idx="3">
                  <c:v>#N/A</c:v>
                </c:pt>
                <c:pt idx="4">
                  <c:v>#N/A</c:v>
                </c:pt>
                <c:pt idx="5">
                  <c:v>#N/A</c:v>
                </c:pt>
              </c:numCache>
            </c:numRef>
          </c:val>
        </c:ser>
        <c:ser>
          <c:idx val="1"/>
          <c:order val="2"/>
          <c:tx>
            <c:strRef>
              <c:f>'Backup RESULTS-Tables'!$T$189</c:f>
              <c:strCache>
                <c:ptCount val="1"/>
                <c:pt idx="0">
                  <c:v> Displaced BuP-related Total </c:v>
                </c:pt>
              </c:strCache>
            </c:strRef>
          </c:tx>
          <c:spPr>
            <a:solidFill>
              <a:schemeClr val="bg1">
                <a:lumMod val="65000"/>
              </a:schemeClr>
            </a:solidFill>
            <a:ln>
              <a:solidFill>
                <a:sysClr val="windowText" lastClr="000000"/>
              </a:solidFill>
            </a:ln>
          </c:spPr>
          <c:invertIfNegative val="0"/>
          <c:cat>
            <c:numRef>
              <c:f>'Backup RESULTS-Tables'!$C$190:$C$195</c:f>
              <c:numCache>
                <c:formatCode>General</c:formatCode>
                <c:ptCount val="6"/>
                <c:pt idx="0">
                  <c:v>2015</c:v>
                </c:pt>
                <c:pt idx="1">
                  <c:v>2016</c:v>
                </c:pt>
                <c:pt idx="2">
                  <c:v>2017</c:v>
                </c:pt>
                <c:pt idx="3">
                  <c:v>2018</c:v>
                </c:pt>
                <c:pt idx="4">
                  <c:v>2019</c:v>
                </c:pt>
                <c:pt idx="5">
                  <c:v>2020</c:v>
                </c:pt>
              </c:numCache>
            </c:numRef>
          </c:cat>
          <c:val>
            <c:numRef>
              <c:f>'Backup RESULTS-Tables'!$T$190:$T$195</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axId val="128115840"/>
        <c:axId val="128117376"/>
      </c:barChart>
      <c:catAx>
        <c:axId val="128115840"/>
        <c:scaling>
          <c:orientation val="minMax"/>
        </c:scaling>
        <c:delete val="0"/>
        <c:axPos val="b"/>
        <c:numFmt formatCode="General" sourceLinked="1"/>
        <c:majorTickMark val="none"/>
        <c:minorTickMark val="none"/>
        <c:tickLblPos val="nextTo"/>
        <c:crossAx val="128117376"/>
        <c:crosses val="autoZero"/>
        <c:auto val="1"/>
        <c:lblAlgn val="ctr"/>
        <c:lblOffset val="100"/>
        <c:noMultiLvlLbl val="0"/>
      </c:catAx>
      <c:valAx>
        <c:axId val="128117376"/>
        <c:scaling>
          <c:orientation val="minMax"/>
        </c:scaling>
        <c:delete val="0"/>
        <c:axPos val="l"/>
        <c:majorGridlines/>
        <c:title>
          <c:tx>
            <c:rich>
              <a:bodyPr rot="0" vert="horz"/>
              <a:lstStyle/>
              <a:p>
                <a:pPr>
                  <a:defRPr sz="1400"/>
                </a:pPr>
                <a:r>
                  <a:rPr lang="en-US" sz="1400"/>
                  <a:t>Backup Power  Fuel Cell-related  Output (Thousands of 2010$)</a:t>
                </a:r>
              </a:p>
            </c:rich>
          </c:tx>
          <c:layout>
            <c:manualLayout>
              <c:xMode val="edge"/>
              <c:yMode val="edge"/>
              <c:x val="2.3161096582165717E-2"/>
              <c:y val="0.29362883815503338"/>
            </c:manualLayout>
          </c:layout>
          <c:overlay val="0"/>
        </c:title>
        <c:numFmt formatCode="_(&quot;$&quot;* #,##0_);_(&quot;$&quot;* \(#,##0\);_(&quot;$&quot;* &quot;-&quot;??_);_(@_)" sourceLinked="1"/>
        <c:majorTickMark val="none"/>
        <c:minorTickMark val="none"/>
        <c:tickLblPos val="nextTo"/>
        <c:crossAx val="128115840"/>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Garamond"/>
                <a:ea typeface="Garamond"/>
                <a:cs typeface="Garamond"/>
              </a:defRPr>
            </a:pPr>
            <a:r>
              <a:rPr lang="en-US" sz="1800" b="1" i="0" baseline="0">
                <a:effectLst/>
              </a:rPr>
              <a:t>Retail Price         </a:t>
            </a:r>
            <a:endParaRPr lang="en-US">
              <a:effectLst/>
            </a:endParaRPr>
          </a:p>
          <a:p>
            <a:pPr>
              <a:defRPr sz="1200" b="1" i="0" u="none" strike="noStrike" baseline="0">
                <a:solidFill>
                  <a:srgbClr val="000000"/>
                </a:solidFill>
                <a:latin typeface="Garamond"/>
                <a:ea typeface="Garamond"/>
                <a:cs typeface="Garamond"/>
              </a:defRPr>
            </a:pPr>
            <a:r>
              <a:rPr lang="en-US" sz="1200" b="1" i="0" baseline="0">
                <a:effectLst/>
              </a:rPr>
              <a:t>Prime Power Fuel Cell Scenario</a:t>
            </a:r>
            <a:endParaRPr lang="en-US" sz="1200">
              <a:effectLst/>
            </a:endParaRPr>
          </a:p>
          <a:p>
            <a:pPr>
              <a:defRPr sz="1200" b="1" i="0" u="none" strike="noStrike" baseline="0">
                <a:solidFill>
                  <a:srgbClr val="000000"/>
                </a:solidFill>
                <a:latin typeface="Garamond"/>
                <a:ea typeface="Garamond"/>
                <a:cs typeface="Garamond"/>
              </a:defRPr>
            </a:pPr>
            <a:r>
              <a:rPr lang="en-US" sz="1050" b="1" i="0" baseline="0">
                <a:effectLst/>
              </a:rPr>
              <a:t>JOBS FC 1.0</a:t>
            </a:r>
            <a:endParaRPr lang="en-US" sz="1050">
              <a:effectLst/>
            </a:endParaRPr>
          </a:p>
        </c:rich>
      </c:tx>
      <c:overlay val="0"/>
    </c:title>
    <c:autoTitleDeleted val="0"/>
    <c:plotArea>
      <c:layout/>
      <c:lineChart>
        <c:grouping val="standard"/>
        <c:varyColors val="0"/>
        <c:ser>
          <c:idx val="0"/>
          <c:order val="0"/>
          <c:tx>
            <c:strRef>
              <c:f>'Prime RESULTS-Tables'!$D$31</c:f>
              <c:strCache>
                <c:ptCount val="1"/>
                <c:pt idx="0">
                  <c:v>Retail Price ($/kW) (&lt;Please select&gt;)</c:v>
                </c:pt>
              </c:strCache>
            </c:strRef>
          </c:tx>
          <c:spPr>
            <a:ln>
              <a:solidFill>
                <a:schemeClr val="accent5"/>
              </a:solidFill>
            </a:ln>
          </c:spPr>
          <c:marker>
            <c:symbol val="none"/>
          </c:marker>
          <c:cat>
            <c:numRef>
              <c:f>'Prime RESULTS-Tables'!$C$32:$C$37</c:f>
              <c:numCache>
                <c:formatCode>General</c:formatCode>
                <c:ptCount val="6"/>
                <c:pt idx="0">
                  <c:v>2015</c:v>
                </c:pt>
                <c:pt idx="1">
                  <c:v>2016</c:v>
                </c:pt>
                <c:pt idx="2">
                  <c:v>2017</c:v>
                </c:pt>
                <c:pt idx="3">
                  <c:v>2018</c:v>
                </c:pt>
                <c:pt idx="4">
                  <c:v>2019</c:v>
                </c:pt>
                <c:pt idx="5">
                  <c:v>2020</c:v>
                </c:pt>
              </c:numCache>
            </c:numRef>
          </c:cat>
          <c:val>
            <c:numRef>
              <c:f>'Prime RESULTS-Tables'!$D$32:$D$37</c:f>
              <c:numCache>
                <c:formatCode>"$"#,##0</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27768832"/>
        <c:axId val="127774720"/>
      </c:lineChart>
      <c:catAx>
        <c:axId val="12776883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27774720"/>
        <c:crosses val="autoZero"/>
        <c:auto val="1"/>
        <c:lblAlgn val="ctr"/>
        <c:lblOffset val="100"/>
        <c:noMultiLvlLbl val="0"/>
      </c:catAx>
      <c:valAx>
        <c:axId val="127774720"/>
        <c:scaling>
          <c:orientation val="minMax"/>
        </c:scaling>
        <c:delete val="0"/>
        <c:axPos val="l"/>
        <c:majorGridlines/>
        <c:title>
          <c:tx>
            <c:strRef>
              <c:f>'Prime RESULTS-Tables'!$B$31</c:f>
              <c:strCache>
                <c:ptCount val="1"/>
                <c:pt idx="0">
                  <c:v>Retail Price ($/kW) (0 kW &lt;Please select&gt; unit)</c:v>
                </c:pt>
              </c:strCache>
            </c:strRef>
          </c:tx>
          <c:overlay val="0"/>
          <c:txPr>
            <a:bodyPr rot="0" vert="horz"/>
            <a:lstStyle/>
            <a:p>
              <a:pPr>
                <a:defRPr sz="1300" b="1"/>
              </a:pPr>
              <a:endParaRPr lang="en-US"/>
            </a:p>
          </c:txPr>
        </c:title>
        <c:numFmt formatCode="&quot;$&quot;#,##0"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27768832"/>
        <c:crosses val="autoZero"/>
        <c:crossBetween val="between"/>
      </c:valAx>
      <c:dTable>
        <c:showHorzBorder val="1"/>
        <c:showVertBorder val="1"/>
        <c:showOutline val="1"/>
        <c:showKeys val="1"/>
      </c:dTable>
    </c:plotArea>
    <c:plotVisOnly val="1"/>
    <c:dispBlanksAs val="gap"/>
    <c:showDLblsOverMax val="0"/>
  </c:chart>
  <c:txPr>
    <a:bodyPr/>
    <a:lstStyle/>
    <a:p>
      <a:pPr>
        <a:defRPr sz="1000" b="0" i="0" u="none" strike="noStrike" baseline="0">
          <a:solidFill>
            <a:srgbClr val="000000"/>
          </a:solidFill>
          <a:latin typeface="Garamond"/>
          <a:ea typeface="Garamond"/>
          <a:cs typeface="Garamond"/>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Garamond"/>
                <a:ea typeface="Garamond"/>
                <a:cs typeface="Garamond"/>
              </a:defRPr>
            </a:pPr>
            <a:r>
              <a:rPr lang="en-US" sz="1800" b="1" i="0" baseline="0">
                <a:effectLst/>
              </a:rPr>
              <a:t>Units Manufactured in Region </a:t>
            </a:r>
            <a:endParaRPr lang="en-US">
              <a:effectLst/>
            </a:endParaRPr>
          </a:p>
          <a:p>
            <a:pPr>
              <a:defRPr sz="1200" b="1" i="0" u="none" strike="noStrike" baseline="0">
                <a:solidFill>
                  <a:srgbClr val="000000"/>
                </a:solidFill>
                <a:latin typeface="Garamond"/>
                <a:ea typeface="Garamond"/>
                <a:cs typeface="Garamond"/>
              </a:defRPr>
            </a:pPr>
            <a:r>
              <a:rPr lang="en-US" sz="1200" b="1" i="0" baseline="0">
                <a:effectLst/>
              </a:rPr>
              <a:t>Prime Power Fuel Cell Scenario</a:t>
            </a:r>
            <a:endParaRPr lang="en-US" sz="1200">
              <a:effectLst/>
            </a:endParaRPr>
          </a:p>
          <a:p>
            <a:pPr>
              <a:defRPr sz="1200" b="1" i="0" u="none" strike="noStrike" baseline="0">
                <a:solidFill>
                  <a:srgbClr val="000000"/>
                </a:solidFill>
                <a:latin typeface="Garamond"/>
                <a:ea typeface="Garamond"/>
                <a:cs typeface="Garamond"/>
              </a:defRPr>
            </a:pPr>
            <a:r>
              <a:rPr lang="en-US" sz="1050" b="1" i="0" baseline="0">
                <a:effectLst/>
              </a:rPr>
              <a:t>JOBS FC 1.0</a:t>
            </a:r>
            <a:endParaRPr lang="en-US" sz="1050">
              <a:effectLst/>
            </a:endParaRPr>
          </a:p>
        </c:rich>
      </c:tx>
      <c:overlay val="0"/>
    </c:title>
    <c:autoTitleDeleted val="0"/>
    <c:plotArea>
      <c:layout/>
      <c:barChart>
        <c:barDir val="col"/>
        <c:grouping val="clustered"/>
        <c:varyColors val="0"/>
        <c:ser>
          <c:idx val="0"/>
          <c:order val="0"/>
          <c:tx>
            <c:strRef>
              <c:f>'Prime RESULTS-Tables'!$D$39</c:f>
              <c:strCache>
                <c:ptCount val="1"/>
                <c:pt idx="0">
                  <c:v>Annual Units Mfg. (&lt;Please select&gt;)</c:v>
                </c:pt>
              </c:strCache>
            </c:strRef>
          </c:tx>
          <c:spPr>
            <a:solidFill>
              <a:schemeClr val="accent5">
                <a:lumMod val="75000"/>
              </a:schemeClr>
            </a:solidFill>
            <a:ln>
              <a:solidFill>
                <a:sysClr val="windowText" lastClr="000000"/>
              </a:solidFill>
            </a:ln>
          </c:spPr>
          <c:invertIfNegative val="0"/>
          <c:cat>
            <c:numRef>
              <c:f>'Prime RESULTS-Tables'!$C$40:$C$45</c:f>
              <c:numCache>
                <c:formatCode>General</c:formatCode>
                <c:ptCount val="6"/>
                <c:pt idx="0">
                  <c:v>2015</c:v>
                </c:pt>
                <c:pt idx="1">
                  <c:v>2016</c:v>
                </c:pt>
                <c:pt idx="2">
                  <c:v>2017</c:v>
                </c:pt>
                <c:pt idx="3">
                  <c:v>2018</c:v>
                </c:pt>
                <c:pt idx="4">
                  <c:v>2019</c:v>
                </c:pt>
                <c:pt idx="5">
                  <c:v>2020</c:v>
                </c:pt>
              </c:numCache>
            </c:numRef>
          </c:cat>
          <c:val>
            <c:numRef>
              <c:f>'Prime RESULTS-Tables'!$D$40:$D$45</c:f>
              <c:numCache>
                <c:formatCode>_(* #,##0_);_(* \(#,##0\);_(*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8572032"/>
        <c:axId val="128631168"/>
      </c:barChart>
      <c:lineChart>
        <c:grouping val="standard"/>
        <c:varyColors val="0"/>
        <c:ser>
          <c:idx val="1"/>
          <c:order val="1"/>
          <c:tx>
            <c:strRef>
              <c:f>'Prime RESULTS-Tables'!$E$39</c:f>
              <c:strCache>
                <c:ptCount val="1"/>
                <c:pt idx="0">
                  <c:v>Cum. Units Mfg. (&lt;Please select&gt;)</c:v>
                </c:pt>
              </c:strCache>
            </c:strRef>
          </c:tx>
          <c:spPr>
            <a:ln>
              <a:solidFill>
                <a:schemeClr val="accent5">
                  <a:lumMod val="60000"/>
                  <a:lumOff val="40000"/>
                </a:schemeClr>
              </a:solidFill>
            </a:ln>
          </c:spPr>
          <c:marker>
            <c:symbol val="none"/>
          </c:marker>
          <c:val>
            <c:numRef>
              <c:f>'Prime RESULTS-Tables'!$E$40:$E$45</c:f>
              <c:numCache>
                <c:formatCode>_(* #,##0_);_(* \(#,##0\);_(*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28572032"/>
        <c:axId val="128631168"/>
      </c:lineChart>
      <c:catAx>
        <c:axId val="12857203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28631168"/>
        <c:crosses val="autoZero"/>
        <c:auto val="1"/>
        <c:lblAlgn val="ctr"/>
        <c:lblOffset val="100"/>
        <c:noMultiLvlLbl val="0"/>
      </c:catAx>
      <c:valAx>
        <c:axId val="128631168"/>
        <c:scaling>
          <c:orientation val="minMax"/>
        </c:scaling>
        <c:delete val="0"/>
        <c:axPos val="l"/>
        <c:majorGridlines/>
        <c:title>
          <c:tx>
            <c:strRef>
              <c:f>'Prime RESULTS-Tables'!$B$39</c:f>
              <c:strCache>
                <c:ptCount val="1"/>
                <c:pt idx="0">
                  <c:v>Units Manufactured in Region (0 kW &lt;Please select&gt; units)</c:v>
                </c:pt>
              </c:strCache>
            </c:strRef>
          </c:tx>
          <c:layout>
            <c:manualLayout>
              <c:xMode val="edge"/>
              <c:yMode val="edge"/>
              <c:x val="6.0011540680900165E-2"/>
              <c:y val="0.45022417161174361"/>
            </c:manualLayout>
          </c:layout>
          <c:overlay val="0"/>
          <c:txPr>
            <a:bodyPr rot="0" vert="horz"/>
            <a:lstStyle/>
            <a:p>
              <a:pPr>
                <a:defRPr sz="1300" b="1"/>
              </a:pPr>
              <a:endParaRPr lang="en-US"/>
            </a:p>
          </c:txPr>
        </c:title>
        <c:numFmt formatCode="_(* #,##0_);_(* \(#,##0\);_(* &quot;-&quot;??_);_(@_)"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28572032"/>
        <c:crosses val="autoZero"/>
        <c:crossBetween val="between"/>
      </c:valAx>
      <c:dTable>
        <c:showHorzBorder val="1"/>
        <c:showVertBorder val="1"/>
        <c:showOutline val="1"/>
        <c:showKeys val="1"/>
      </c:dTable>
    </c:plotArea>
    <c:plotVisOnly val="1"/>
    <c:dispBlanksAs val="gap"/>
    <c:showDLblsOverMax val="0"/>
  </c:chart>
  <c:txPr>
    <a:bodyPr/>
    <a:lstStyle/>
    <a:p>
      <a:pPr>
        <a:defRPr sz="1000" b="0" i="0" u="none" strike="noStrike" baseline="0">
          <a:solidFill>
            <a:srgbClr val="000000"/>
          </a:solidFill>
          <a:latin typeface="Garamond"/>
          <a:ea typeface="Garamond"/>
          <a:cs typeface="Garamond"/>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Garamond"/>
                <a:ea typeface="Garamond"/>
                <a:cs typeface="Garamond"/>
              </a:defRPr>
            </a:pPr>
            <a:r>
              <a:rPr lang="en-US" sz="1800" b="1" i="0" baseline="0">
                <a:effectLst/>
              </a:rPr>
              <a:t>Units Installed in Region</a:t>
            </a:r>
          </a:p>
          <a:p>
            <a:pPr>
              <a:defRPr sz="1200" b="1" i="0" u="none" strike="noStrike" baseline="0">
                <a:solidFill>
                  <a:srgbClr val="000000"/>
                </a:solidFill>
                <a:latin typeface="Garamond"/>
                <a:ea typeface="Garamond"/>
                <a:cs typeface="Garamond"/>
              </a:defRPr>
            </a:pPr>
            <a:r>
              <a:rPr lang="en-US" sz="1200" b="1" i="0" baseline="0">
                <a:effectLst/>
              </a:rPr>
              <a:t>Prime Power Fuel Cell Scenario</a:t>
            </a:r>
            <a:endParaRPr lang="en-US" sz="1200">
              <a:effectLst/>
            </a:endParaRPr>
          </a:p>
          <a:p>
            <a:pPr>
              <a:defRPr sz="1200" b="1" i="0" u="none" strike="noStrike" baseline="0">
                <a:solidFill>
                  <a:srgbClr val="000000"/>
                </a:solidFill>
                <a:latin typeface="Garamond"/>
                <a:ea typeface="Garamond"/>
                <a:cs typeface="Garamond"/>
              </a:defRPr>
            </a:pPr>
            <a:r>
              <a:rPr lang="en-US" sz="1050" b="1" i="0" baseline="0">
                <a:effectLst/>
              </a:rPr>
              <a:t>JOBS FC 1.0</a:t>
            </a:r>
            <a:endParaRPr lang="en-US" sz="1050">
              <a:effectLst/>
            </a:endParaRPr>
          </a:p>
          <a:p>
            <a:pPr>
              <a:defRPr sz="1200" b="1" i="0" u="none" strike="noStrike" baseline="0">
                <a:solidFill>
                  <a:srgbClr val="000000"/>
                </a:solidFill>
                <a:latin typeface="Garamond"/>
                <a:ea typeface="Garamond"/>
                <a:cs typeface="Garamond"/>
              </a:defRPr>
            </a:pPr>
            <a:endParaRPr lang="en-US">
              <a:effectLst/>
            </a:endParaRPr>
          </a:p>
        </c:rich>
      </c:tx>
      <c:overlay val="0"/>
    </c:title>
    <c:autoTitleDeleted val="0"/>
    <c:plotArea>
      <c:layout>
        <c:manualLayout>
          <c:layoutTarget val="inner"/>
          <c:xMode val="edge"/>
          <c:yMode val="edge"/>
          <c:x val="0.35983942111402739"/>
          <c:y val="0.17795844269466315"/>
          <c:w val="0.62627168999708371"/>
          <c:h val="0.67725524934383197"/>
        </c:manualLayout>
      </c:layout>
      <c:barChart>
        <c:barDir val="col"/>
        <c:grouping val="clustered"/>
        <c:varyColors val="0"/>
        <c:ser>
          <c:idx val="0"/>
          <c:order val="0"/>
          <c:tx>
            <c:strRef>
              <c:f>'Prime RESULTS-Tables'!$D$47</c:f>
              <c:strCache>
                <c:ptCount val="1"/>
                <c:pt idx="0">
                  <c:v>Annual Units Installed (&lt;Please select&gt;)</c:v>
                </c:pt>
              </c:strCache>
            </c:strRef>
          </c:tx>
          <c:spPr>
            <a:solidFill>
              <a:schemeClr val="accent5">
                <a:lumMod val="75000"/>
              </a:schemeClr>
            </a:solidFill>
            <a:ln>
              <a:solidFill>
                <a:sysClr val="windowText" lastClr="000000"/>
              </a:solidFill>
            </a:ln>
          </c:spPr>
          <c:invertIfNegative val="0"/>
          <c:cat>
            <c:numRef>
              <c:f>'Prime RESULTS-Tables'!$C$48:$C$53</c:f>
              <c:numCache>
                <c:formatCode>General</c:formatCode>
                <c:ptCount val="6"/>
                <c:pt idx="0">
                  <c:v>2015</c:v>
                </c:pt>
                <c:pt idx="1">
                  <c:v>2016</c:v>
                </c:pt>
                <c:pt idx="2">
                  <c:v>2017</c:v>
                </c:pt>
                <c:pt idx="3">
                  <c:v>2018</c:v>
                </c:pt>
                <c:pt idx="4">
                  <c:v>2019</c:v>
                </c:pt>
                <c:pt idx="5">
                  <c:v>2020</c:v>
                </c:pt>
              </c:numCache>
            </c:numRef>
          </c:cat>
          <c:val>
            <c:numRef>
              <c:f>'Prime RESULTS-Tables'!$D$48:$D$53</c:f>
              <c:numCache>
                <c:formatCode>_(* #,##0_);_(* \(#,##0\);_(*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27802368"/>
        <c:axId val="127832832"/>
      </c:barChart>
      <c:lineChart>
        <c:grouping val="standard"/>
        <c:varyColors val="0"/>
        <c:ser>
          <c:idx val="1"/>
          <c:order val="1"/>
          <c:tx>
            <c:strRef>
              <c:f>'Prime RESULTS-Tables'!$E$47</c:f>
              <c:strCache>
                <c:ptCount val="1"/>
                <c:pt idx="0">
                  <c:v>Cum. Units in Operation (&lt;Please select&gt;)</c:v>
                </c:pt>
              </c:strCache>
            </c:strRef>
          </c:tx>
          <c:spPr>
            <a:ln>
              <a:solidFill>
                <a:schemeClr val="accent5">
                  <a:lumMod val="60000"/>
                  <a:lumOff val="40000"/>
                </a:schemeClr>
              </a:solidFill>
            </a:ln>
          </c:spPr>
          <c:marker>
            <c:symbol val="none"/>
          </c:marker>
          <c:val>
            <c:numRef>
              <c:f>'Prime RESULTS-Tables'!$E$48:$E$53</c:f>
              <c:numCache>
                <c:formatCode>_(* #,##0_);_(* \(#,##0\);_(*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27802368"/>
        <c:axId val="127832832"/>
      </c:lineChart>
      <c:catAx>
        <c:axId val="12780236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27832832"/>
        <c:crosses val="autoZero"/>
        <c:auto val="1"/>
        <c:lblAlgn val="ctr"/>
        <c:lblOffset val="100"/>
        <c:noMultiLvlLbl val="0"/>
      </c:catAx>
      <c:valAx>
        <c:axId val="127832832"/>
        <c:scaling>
          <c:orientation val="minMax"/>
        </c:scaling>
        <c:delete val="0"/>
        <c:axPos val="l"/>
        <c:majorGridlines/>
        <c:title>
          <c:tx>
            <c:strRef>
              <c:f>'Prime RESULTS-Tables'!$B$47</c:f>
              <c:strCache>
                <c:ptCount val="1"/>
                <c:pt idx="0">
                  <c:v>Units Installed in Region (0 kW &lt;Please select&gt; units)</c:v>
                </c:pt>
              </c:strCache>
            </c:strRef>
          </c:tx>
          <c:layout>
            <c:manualLayout>
              <c:xMode val="edge"/>
              <c:yMode val="edge"/>
              <c:x val="6.2095728107271868E-2"/>
              <c:y val="0.44566645438880031"/>
            </c:manualLayout>
          </c:layout>
          <c:overlay val="0"/>
          <c:txPr>
            <a:bodyPr rot="0" vert="horz"/>
            <a:lstStyle/>
            <a:p>
              <a:pPr>
                <a:defRPr sz="1300" b="1"/>
              </a:pPr>
              <a:endParaRPr lang="en-US"/>
            </a:p>
          </c:txPr>
        </c:title>
        <c:numFmt formatCode="_(* #,##0_);_(* \(#,##0\);_(* &quot;-&quot;_);_(@_)"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27802368"/>
        <c:crosses val="autoZero"/>
        <c:crossBetween val="between"/>
      </c:valAx>
      <c:dTable>
        <c:showHorzBorder val="1"/>
        <c:showVertBorder val="1"/>
        <c:showOutline val="1"/>
        <c:showKeys val="1"/>
      </c:dTable>
    </c:plotArea>
    <c:plotVisOnly val="1"/>
    <c:dispBlanksAs val="gap"/>
    <c:showDLblsOverMax val="0"/>
  </c:chart>
  <c:txPr>
    <a:bodyPr/>
    <a:lstStyle/>
    <a:p>
      <a:pPr>
        <a:defRPr sz="1000" b="0" i="0" u="none" strike="noStrike" baseline="0">
          <a:solidFill>
            <a:srgbClr val="000000"/>
          </a:solidFill>
          <a:latin typeface="Garamond"/>
          <a:ea typeface="Garamond"/>
          <a:cs typeface="Garamond"/>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Gross</a:t>
            </a:r>
            <a:r>
              <a:rPr lang="en-US" baseline="0"/>
              <a:t> </a:t>
            </a:r>
            <a:r>
              <a:rPr lang="en-US"/>
              <a:t>Employment Impacts</a:t>
            </a:r>
            <a:r>
              <a:rPr lang="en-US" sz="1600"/>
              <a:t> (2015-2020)</a:t>
            </a:r>
          </a:p>
          <a:p>
            <a:pPr>
              <a:defRPr/>
            </a:pPr>
            <a:r>
              <a:rPr lang="en-US" sz="1400"/>
              <a:t>Prime Power Fuel Cell Scenario</a:t>
            </a:r>
          </a:p>
          <a:p>
            <a:pPr>
              <a:defRPr/>
            </a:pPr>
            <a:r>
              <a:rPr lang="en-US" sz="1100"/>
              <a:t>JOBS FC 1.0</a:t>
            </a:r>
          </a:p>
        </c:rich>
      </c:tx>
      <c:overlay val="0"/>
    </c:title>
    <c:autoTitleDeleted val="0"/>
    <c:plotArea>
      <c:layout/>
      <c:barChart>
        <c:barDir val="col"/>
        <c:grouping val="stacked"/>
        <c:varyColors val="0"/>
        <c:ser>
          <c:idx val="21"/>
          <c:order val="0"/>
          <c:tx>
            <c:strRef>
              <c:f>'Prime RESULTS-Tables'!$AH$90</c:f>
              <c:strCache>
                <c:ptCount val="1"/>
                <c:pt idx="0">
                  <c:v>Gross &lt;Please select&gt; Maintenance Induced</c:v>
                </c:pt>
              </c:strCache>
            </c:strRef>
          </c:tx>
          <c:spPr>
            <a:solidFill>
              <a:schemeClr val="accent6">
                <a:lumMod val="60000"/>
                <a:lumOff val="40000"/>
              </a:schemeClr>
            </a:solidFill>
            <a:ln>
              <a:solidFill>
                <a:schemeClr val="tx1"/>
              </a:solidFill>
            </a:ln>
          </c:spPr>
          <c:invertIfNegative val="0"/>
          <c:cat>
            <c:numRef>
              <c:f>'Prime RESULTS-Tables'!$C$91:$C$96</c:f>
              <c:numCache>
                <c:formatCode>General</c:formatCode>
                <c:ptCount val="6"/>
                <c:pt idx="0">
                  <c:v>2015</c:v>
                </c:pt>
                <c:pt idx="1">
                  <c:v>2016</c:v>
                </c:pt>
                <c:pt idx="2">
                  <c:v>2017</c:v>
                </c:pt>
                <c:pt idx="3">
                  <c:v>2018</c:v>
                </c:pt>
                <c:pt idx="4">
                  <c:v>2019</c:v>
                </c:pt>
                <c:pt idx="5">
                  <c:v>2020</c:v>
                </c:pt>
              </c:numCache>
            </c:numRef>
          </c:cat>
          <c:val>
            <c:numRef>
              <c:f>'Prime RESULTS-Tables'!$AH$91:$AH$96</c:f>
              <c:numCache>
                <c:formatCode>_(* #,##0_);_(* \(#,##0\);_(* "-"_);_(@_)</c:formatCode>
                <c:ptCount val="6"/>
                <c:pt idx="0">
                  <c:v>0</c:v>
                </c:pt>
                <c:pt idx="1">
                  <c:v>0</c:v>
                </c:pt>
                <c:pt idx="2">
                  <c:v>0</c:v>
                </c:pt>
                <c:pt idx="3">
                  <c:v>0</c:v>
                </c:pt>
                <c:pt idx="4">
                  <c:v>0</c:v>
                </c:pt>
                <c:pt idx="5">
                  <c:v>0</c:v>
                </c:pt>
              </c:numCache>
            </c:numRef>
          </c:val>
        </c:ser>
        <c:ser>
          <c:idx val="22"/>
          <c:order val="1"/>
          <c:tx>
            <c:strRef>
              <c:f>'Prime RESULTS-Tables'!$AI$90</c:f>
              <c:strCache>
                <c:ptCount val="1"/>
                <c:pt idx="0">
                  <c:v>Gross &lt;Please select&gt; Maintenance Supply Chain</c:v>
                </c:pt>
              </c:strCache>
            </c:strRef>
          </c:tx>
          <c:spPr>
            <a:solidFill>
              <a:schemeClr val="accent6"/>
            </a:solidFill>
            <a:ln>
              <a:solidFill>
                <a:schemeClr val="tx1"/>
              </a:solidFill>
            </a:ln>
          </c:spPr>
          <c:invertIfNegative val="0"/>
          <c:cat>
            <c:numRef>
              <c:f>'Prime RESULTS-Tables'!$C$91:$C$96</c:f>
              <c:numCache>
                <c:formatCode>General</c:formatCode>
                <c:ptCount val="6"/>
                <c:pt idx="0">
                  <c:v>2015</c:v>
                </c:pt>
                <c:pt idx="1">
                  <c:v>2016</c:v>
                </c:pt>
                <c:pt idx="2">
                  <c:v>2017</c:v>
                </c:pt>
                <c:pt idx="3">
                  <c:v>2018</c:v>
                </c:pt>
                <c:pt idx="4">
                  <c:v>2019</c:v>
                </c:pt>
                <c:pt idx="5">
                  <c:v>2020</c:v>
                </c:pt>
              </c:numCache>
            </c:numRef>
          </c:cat>
          <c:val>
            <c:numRef>
              <c:f>'Prime RESULTS-Tables'!$AI$91:$AI$96</c:f>
              <c:numCache>
                <c:formatCode>_(* #,##0_);_(* \(#,##0\);_(* "-"_);_(@_)</c:formatCode>
                <c:ptCount val="6"/>
                <c:pt idx="0">
                  <c:v>0</c:v>
                </c:pt>
                <c:pt idx="1">
                  <c:v>0</c:v>
                </c:pt>
                <c:pt idx="2">
                  <c:v>0</c:v>
                </c:pt>
                <c:pt idx="3">
                  <c:v>0</c:v>
                </c:pt>
                <c:pt idx="4">
                  <c:v>0</c:v>
                </c:pt>
                <c:pt idx="5">
                  <c:v>0</c:v>
                </c:pt>
              </c:numCache>
            </c:numRef>
          </c:val>
        </c:ser>
        <c:ser>
          <c:idx val="14"/>
          <c:order val="2"/>
          <c:tx>
            <c:strRef>
              <c:f>'Prime RESULTS-Tables'!$AA$90</c:f>
              <c:strCache>
                <c:ptCount val="1"/>
                <c:pt idx="0">
                  <c:v>Gross &lt;Please select&gt; Fuel Induced</c:v>
                </c:pt>
              </c:strCache>
            </c:strRef>
          </c:tx>
          <c:spPr>
            <a:solidFill>
              <a:schemeClr val="accent2">
                <a:lumMod val="40000"/>
                <a:lumOff val="60000"/>
              </a:schemeClr>
            </a:solidFill>
            <a:ln>
              <a:solidFill>
                <a:schemeClr val="tx1"/>
              </a:solidFill>
            </a:ln>
          </c:spPr>
          <c:invertIfNegative val="0"/>
          <c:cat>
            <c:numRef>
              <c:f>'Prime RESULTS-Tables'!$C$91:$C$96</c:f>
              <c:numCache>
                <c:formatCode>General</c:formatCode>
                <c:ptCount val="6"/>
                <c:pt idx="0">
                  <c:v>2015</c:v>
                </c:pt>
                <c:pt idx="1">
                  <c:v>2016</c:v>
                </c:pt>
                <c:pt idx="2">
                  <c:v>2017</c:v>
                </c:pt>
                <c:pt idx="3">
                  <c:v>2018</c:v>
                </c:pt>
                <c:pt idx="4">
                  <c:v>2019</c:v>
                </c:pt>
                <c:pt idx="5">
                  <c:v>2020</c:v>
                </c:pt>
              </c:numCache>
            </c:numRef>
          </c:cat>
          <c:val>
            <c:numRef>
              <c:f>'Prime RESULTS-Tables'!$AA$91:$AA$96</c:f>
              <c:numCache>
                <c:formatCode>_(* #,##0_);_(* \(#,##0\);_(* "-"_);_(@_)</c:formatCode>
                <c:ptCount val="6"/>
                <c:pt idx="0">
                  <c:v>#N/A</c:v>
                </c:pt>
                <c:pt idx="1">
                  <c:v>#N/A</c:v>
                </c:pt>
                <c:pt idx="2">
                  <c:v>#N/A</c:v>
                </c:pt>
                <c:pt idx="3">
                  <c:v>#N/A</c:v>
                </c:pt>
                <c:pt idx="4">
                  <c:v>#N/A</c:v>
                </c:pt>
                <c:pt idx="5">
                  <c:v>#N/A</c:v>
                </c:pt>
              </c:numCache>
            </c:numRef>
          </c:val>
        </c:ser>
        <c:ser>
          <c:idx val="15"/>
          <c:order val="3"/>
          <c:tx>
            <c:strRef>
              <c:f>'Prime RESULTS-Tables'!$AB$90</c:f>
              <c:strCache>
                <c:ptCount val="1"/>
                <c:pt idx="0">
                  <c:v>Gross &lt;Please select&gt; Fuel Supply Chain</c:v>
                </c:pt>
              </c:strCache>
            </c:strRef>
          </c:tx>
          <c:spPr>
            <a:solidFill>
              <a:schemeClr val="accent2"/>
            </a:solidFill>
            <a:ln>
              <a:solidFill>
                <a:schemeClr val="tx1"/>
              </a:solidFill>
            </a:ln>
          </c:spPr>
          <c:invertIfNegative val="0"/>
          <c:cat>
            <c:numRef>
              <c:f>'Prime RESULTS-Tables'!$C$91:$C$96</c:f>
              <c:numCache>
                <c:formatCode>General</c:formatCode>
                <c:ptCount val="6"/>
                <c:pt idx="0">
                  <c:v>2015</c:v>
                </c:pt>
                <c:pt idx="1">
                  <c:v>2016</c:v>
                </c:pt>
                <c:pt idx="2">
                  <c:v>2017</c:v>
                </c:pt>
                <c:pt idx="3">
                  <c:v>2018</c:v>
                </c:pt>
                <c:pt idx="4">
                  <c:v>2019</c:v>
                </c:pt>
                <c:pt idx="5">
                  <c:v>2020</c:v>
                </c:pt>
              </c:numCache>
            </c:numRef>
          </c:cat>
          <c:val>
            <c:numRef>
              <c:f>'Prime RESULTS-Tables'!$AB$91:$AB$96</c:f>
              <c:numCache>
                <c:formatCode>_(* #,##0_);_(* \(#,##0\);_(* "-"_);_(@_)</c:formatCode>
                <c:ptCount val="6"/>
                <c:pt idx="0">
                  <c:v>#N/A</c:v>
                </c:pt>
                <c:pt idx="1">
                  <c:v>#N/A</c:v>
                </c:pt>
                <c:pt idx="2">
                  <c:v>#N/A</c:v>
                </c:pt>
                <c:pt idx="3">
                  <c:v>#N/A</c:v>
                </c:pt>
                <c:pt idx="4">
                  <c:v>#N/A</c:v>
                </c:pt>
                <c:pt idx="5">
                  <c:v>#N/A</c:v>
                </c:pt>
              </c:numCache>
            </c:numRef>
          </c:val>
        </c:ser>
        <c:ser>
          <c:idx val="7"/>
          <c:order val="4"/>
          <c:tx>
            <c:strRef>
              <c:f>'Prime RESULTS-Tables'!$T$90</c:f>
              <c:strCache>
                <c:ptCount val="1"/>
                <c:pt idx="0">
                  <c:v>Gross &lt;Please select&gt; Installation Induced</c:v>
                </c:pt>
              </c:strCache>
            </c:strRef>
          </c:tx>
          <c:spPr>
            <a:solidFill>
              <a:schemeClr val="bg2">
                <a:lumMod val="75000"/>
              </a:schemeClr>
            </a:solidFill>
            <a:ln>
              <a:solidFill>
                <a:sysClr val="windowText" lastClr="000000"/>
              </a:solidFill>
            </a:ln>
          </c:spPr>
          <c:invertIfNegative val="0"/>
          <c:cat>
            <c:numRef>
              <c:f>'Prime RESULTS-Tables'!$C$91:$C$96</c:f>
              <c:numCache>
                <c:formatCode>General</c:formatCode>
                <c:ptCount val="6"/>
                <c:pt idx="0">
                  <c:v>2015</c:v>
                </c:pt>
                <c:pt idx="1">
                  <c:v>2016</c:v>
                </c:pt>
                <c:pt idx="2">
                  <c:v>2017</c:v>
                </c:pt>
                <c:pt idx="3">
                  <c:v>2018</c:v>
                </c:pt>
                <c:pt idx="4">
                  <c:v>2019</c:v>
                </c:pt>
                <c:pt idx="5">
                  <c:v>2020</c:v>
                </c:pt>
              </c:numCache>
            </c:numRef>
          </c:cat>
          <c:val>
            <c:numRef>
              <c:f>'Prime RESULTS-Tables'!$T$91:$T$96</c:f>
              <c:numCache>
                <c:formatCode>_(* #,##0_);_(* \(#,##0\);_(* "-"_);_(@_)</c:formatCode>
                <c:ptCount val="6"/>
                <c:pt idx="0">
                  <c:v>#N/A</c:v>
                </c:pt>
                <c:pt idx="1">
                  <c:v>#N/A</c:v>
                </c:pt>
                <c:pt idx="2">
                  <c:v>#N/A</c:v>
                </c:pt>
                <c:pt idx="3">
                  <c:v>#N/A</c:v>
                </c:pt>
                <c:pt idx="4">
                  <c:v>#N/A</c:v>
                </c:pt>
                <c:pt idx="5">
                  <c:v>#N/A</c:v>
                </c:pt>
              </c:numCache>
            </c:numRef>
          </c:val>
        </c:ser>
        <c:ser>
          <c:idx val="8"/>
          <c:order val="5"/>
          <c:tx>
            <c:strRef>
              <c:f>'Prime RESULTS-Tables'!$U$90</c:f>
              <c:strCache>
                <c:ptCount val="1"/>
                <c:pt idx="0">
                  <c:v>Gross &lt;Please select&gt; Installation Supply Chain</c:v>
                </c:pt>
              </c:strCache>
            </c:strRef>
          </c:tx>
          <c:spPr>
            <a:solidFill>
              <a:schemeClr val="bg2">
                <a:lumMod val="50000"/>
              </a:schemeClr>
            </a:solidFill>
            <a:ln w="9525">
              <a:solidFill>
                <a:schemeClr val="tx1"/>
              </a:solidFill>
            </a:ln>
          </c:spPr>
          <c:invertIfNegative val="0"/>
          <c:dPt>
            <c:idx val="0"/>
            <c:invertIfNegative val="0"/>
            <c:bubble3D val="0"/>
            <c:spPr>
              <a:solidFill>
                <a:schemeClr val="bg2">
                  <a:lumMod val="50000"/>
                </a:schemeClr>
              </a:solidFill>
              <a:ln w="3175">
                <a:solidFill>
                  <a:schemeClr val="tx1"/>
                </a:solidFill>
              </a:ln>
            </c:spPr>
          </c:dPt>
          <c:cat>
            <c:numRef>
              <c:f>'Prime RESULTS-Tables'!$C$91:$C$96</c:f>
              <c:numCache>
                <c:formatCode>General</c:formatCode>
                <c:ptCount val="6"/>
                <c:pt idx="0">
                  <c:v>2015</c:v>
                </c:pt>
                <c:pt idx="1">
                  <c:v>2016</c:v>
                </c:pt>
                <c:pt idx="2">
                  <c:v>2017</c:v>
                </c:pt>
                <c:pt idx="3">
                  <c:v>2018</c:v>
                </c:pt>
                <c:pt idx="4">
                  <c:v>2019</c:v>
                </c:pt>
                <c:pt idx="5">
                  <c:v>2020</c:v>
                </c:pt>
              </c:numCache>
            </c:numRef>
          </c:cat>
          <c:val>
            <c:numRef>
              <c:f>'Prime RESULTS-Tables'!$U$91:$U$96</c:f>
              <c:numCache>
                <c:formatCode>_(* #,##0_);_(* \(#,##0\);_(* "-"_);_(@_)</c:formatCode>
                <c:ptCount val="6"/>
                <c:pt idx="0">
                  <c:v>#N/A</c:v>
                </c:pt>
                <c:pt idx="1">
                  <c:v>#N/A</c:v>
                </c:pt>
                <c:pt idx="2">
                  <c:v>#N/A</c:v>
                </c:pt>
                <c:pt idx="3">
                  <c:v>#N/A</c:v>
                </c:pt>
                <c:pt idx="4">
                  <c:v>#N/A</c:v>
                </c:pt>
                <c:pt idx="5">
                  <c:v>#N/A</c:v>
                </c:pt>
              </c:numCache>
            </c:numRef>
          </c:val>
        </c:ser>
        <c:ser>
          <c:idx val="0"/>
          <c:order val="6"/>
          <c:tx>
            <c:strRef>
              <c:f>'Prime RESULTS-Tables'!$M$90</c:f>
              <c:strCache>
                <c:ptCount val="1"/>
                <c:pt idx="0">
                  <c:v>Gross &lt;Please select&gt; Unit Induced</c:v>
                </c:pt>
              </c:strCache>
            </c:strRef>
          </c:tx>
          <c:spPr>
            <a:solidFill>
              <a:schemeClr val="accent5">
                <a:lumMod val="60000"/>
                <a:lumOff val="40000"/>
              </a:schemeClr>
            </a:solidFill>
            <a:ln>
              <a:solidFill>
                <a:sysClr val="windowText" lastClr="000000"/>
              </a:solidFill>
            </a:ln>
          </c:spPr>
          <c:invertIfNegative val="0"/>
          <c:cat>
            <c:numRef>
              <c:f>'Prime RESULTS-Tables'!$C$91:$C$96</c:f>
              <c:numCache>
                <c:formatCode>General</c:formatCode>
                <c:ptCount val="6"/>
                <c:pt idx="0">
                  <c:v>2015</c:v>
                </c:pt>
                <c:pt idx="1">
                  <c:v>2016</c:v>
                </c:pt>
                <c:pt idx="2">
                  <c:v>2017</c:v>
                </c:pt>
                <c:pt idx="3">
                  <c:v>2018</c:v>
                </c:pt>
                <c:pt idx="4">
                  <c:v>2019</c:v>
                </c:pt>
                <c:pt idx="5">
                  <c:v>2020</c:v>
                </c:pt>
              </c:numCache>
            </c:numRef>
          </c:cat>
          <c:val>
            <c:numRef>
              <c:f>'Prime RESULTS-Tables'!$M$91:$M$96</c:f>
              <c:numCache>
                <c:formatCode>_(* #,##0_);_(* \(#,##0\);_(* "-"_);_(@_)</c:formatCode>
                <c:ptCount val="6"/>
                <c:pt idx="0">
                  <c:v>#N/A</c:v>
                </c:pt>
                <c:pt idx="1">
                  <c:v>#N/A</c:v>
                </c:pt>
                <c:pt idx="2">
                  <c:v>#N/A</c:v>
                </c:pt>
                <c:pt idx="3">
                  <c:v>#N/A</c:v>
                </c:pt>
                <c:pt idx="4">
                  <c:v>#N/A</c:v>
                </c:pt>
                <c:pt idx="5">
                  <c:v>#N/A</c:v>
                </c:pt>
              </c:numCache>
            </c:numRef>
          </c:val>
        </c:ser>
        <c:ser>
          <c:idx val="1"/>
          <c:order val="7"/>
          <c:tx>
            <c:strRef>
              <c:f>'Prime RESULTS-Tables'!$N$90</c:f>
              <c:strCache>
                <c:ptCount val="1"/>
                <c:pt idx="0">
                  <c:v>Gross &lt;Please select&gt; Unit Supply Chain</c:v>
                </c:pt>
              </c:strCache>
            </c:strRef>
          </c:tx>
          <c:spPr>
            <a:solidFill>
              <a:schemeClr val="accent5">
                <a:lumMod val="75000"/>
              </a:schemeClr>
            </a:solidFill>
            <a:ln>
              <a:solidFill>
                <a:sysClr val="windowText" lastClr="000000"/>
              </a:solidFill>
            </a:ln>
          </c:spPr>
          <c:invertIfNegative val="0"/>
          <c:cat>
            <c:numRef>
              <c:f>'Prime RESULTS-Tables'!$C$91:$C$96</c:f>
              <c:numCache>
                <c:formatCode>General</c:formatCode>
                <c:ptCount val="6"/>
                <c:pt idx="0">
                  <c:v>2015</c:v>
                </c:pt>
                <c:pt idx="1">
                  <c:v>2016</c:v>
                </c:pt>
                <c:pt idx="2">
                  <c:v>2017</c:v>
                </c:pt>
                <c:pt idx="3">
                  <c:v>2018</c:v>
                </c:pt>
                <c:pt idx="4">
                  <c:v>2019</c:v>
                </c:pt>
                <c:pt idx="5">
                  <c:v>2020</c:v>
                </c:pt>
              </c:numCache>
            </c:numRef>
          </c:cat>
          <c:val>
            <c:numRef>
              <c:f>'Prime RESULTS-Tables'!$N$91:$N$96</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overlap val="100"/>
        <c:axId val="127907712"/>
        <c:axId val="127909248"/>
      </c:barChart>
      <c:lineChart>
        <c:grouping val="standard"/>
        <c:varyColors val="0"/>
        <c:ser>
          <c:idx val="2"/>
          <c:order val="8"/>
          <c:tx>
            <c:strRef>
              <c:f>'Prime RESULTS-Tables'!$H$90</c:f>
              <c:strCache>
                <c:ptCount val="1"/>
                <c:pt idx="0">
                  <c:v>Gross &lt;Please select&gt;-related Total</c:v>
                </c:pt>
              </c:strCache>
            </c:strRef>
          </c:tx>
          <c:spPr>
            <a:ln>
              <a:solidFill>
                <a:sysClr val="windowText" lastClr="000000"/>
              </a:solidFill>
            </a:ln>
          </c:spPr>
          <c:marker>
            <c:symbol val="circle"/>
            <c:size val="3"/>
            <c:spPr>
              <a:solidFill>
                <a:schemeClr val="tx1"/>
              </a:solidFill>
              <a:ln>
                <a:solidFill>
                  <a:sysClr val="windowText" lastClr="000000"/>
                </a:solidFill>
              </a:ln>
            </c:spPr>
          </c:marker>
          <c:dLbls>
            <c:dLblPos val="b"/>
            <c:showLegendKey val="0"/>
            <c:showVal val="1"/>
            <c:showCatName val="0"/>
            <c:showSerName val="0"/>
            <c:showPercent val="0"/>
            <c:showBubbleSize val="0"/>
            <c:showLeaderLines val="0"/>
          </c:dLbls>
          <c:cat>
            <c:numRef>
              <c:f>'Prime RESULTS-Tables'!$C$91:$C$96</c:f>
              <c:numCache>
                <c:formatCode>General</c:formatCode>
                <c:ptCount val="6"/>
                <c:pt idx="0">
                  <c:v>2015</c:v>
                </c:pt>
                <c:pt idx="1">
                  <c:v>2016</c:v>
                </c:pt>
                <c:pt idx="2">
                  <c:v>2017</c:v>
                </c:pt>
                <c:pt idx="3">
                  <c:v>2018</c:v>
                </c:pt>
                <c:pt idx="4">
                  <c:v>2019</c:v>
                </c:pt>
                <c:pt idx="5">
                  <c:v>2020</c:v>
                </c:pt>
              </c:numCache>
            </c:numRef>
          </c:cat>
          <c:val>
            <c:numRef>
              <c:f>'Prime RESULTS-Tables'!$H$91:$H$96</c:f>
              <c:numCache>
                <c:formatCode>_(* #,##0_);_(* \(#,##0\);_(* "-"_);_(@_)</c:formatCode>
                <c:ptCount val="6"/>
                <c:pt idx="0">
                  <c:v>#N/A</c:v>
                </c:pt>
                <c:pt idx="1">
                  <c:v>#N/A</c:v>
                </c:pt>
                <c:pt idx="2">
                  <c:v>#N/A</c:v>
                </c:pt>
                <c:pt idx="3">
                  <c:v>#N/A</c:v>
                </c:pt>
                <c:pt idx="4">
                  <c:v>#N/A</c:v>
                </c:pt>
                <c:pt idx="5">
                  <c:v>#N/A</c:v>
                </c:pt>
              </c:numCache>
            </c:numRef>
          </c:val>
          <c:smooth val="0"/>
        </c:ser>
        <c:dLbls>
          <c:showLegendKey val="0"/>
          <c:showVal val="0"/>
          <c:showCatName val="0"/>
          <c:showSerName val="0"/>
          <c:showPercent val="0"/>
          <c:showBubbleSize val="0"/>
        </c:dLbls>
        <c:marker val="1"/>
        <c:smooth val="0"/>
        <c:axId val="127907712"/>
        <c:axId val="127909248"/>
      </c:lineChart>
      <c:catAx>
        <c:axId val="127907712"/>
        <c:scaling>
          <c:orientation val="minMax"/>
        </c:scaling>
        <c:delete val="0"/>
        <c:axPos val="b"/>
        <c:numFmt formatCode="General" sourceLinked="1"/>
        <c:majorTickMark val="none"/>
        <c:minorTickMark val="none"/>
        <c:tickLblPos val="nextTo"/>
        <c:crossAx val="127909248"/>
        <c:crosses val="autoZero"/>
        <c:auto val="1"/>
        <c:lblAlgn val="ctr"/>
        <c:lblOffset val="100"/>
        <c:noMultiLvlLbl val="0"/>
      </c:catAx>
      <c:valAx>
        <c:axId val="127909248"/>
        <c:scaling>
          <c:orientation val="minMax"/>
        </c:scaling>
        <c:delete val="0"/>
        <c:axPos val="l"/>
        <c:majorGridlines/>
        <c:title>
          <c:tx>
            <c:strRef>
              <c:f>'Prime RESULTS-Tables'!$B$88</c:f>
              <c:strCache>
                <c:ptCount val="1"/>
                <c:pt idx="0">
                  <c:v>Gross &lt;Please select&gt;-related Employment (Job-years)</c:v>
                </c:pt>
              </c:strCache>
            </c:strRef>
          </c:tx>
          <c:layout>
            <c:manualLayout>
              <c:xMode val="edge"/>
              <c:yMode val="edge"/>
              <c:x val="2.3161096582165717E-2"/>
              <c:y val="0.29362883815503338"/>
            </c:manualLayout>
          </c:layout>
          <c:overlay val="0"/>
          <c:txPr>
            <a:bodyPr rot="0" vert="horz"/>
            <a:lstStyle/>
            <a:p>
              <a:pPr>
                <a:defRPr sz="1300"/>
              </a:pPr>
              <a:endParaRPr lang="en-US"/>
            </a:p>
          </c:txPr>
        </c:title>
        <c:numFmt formatCode="_(* #,##0_);_(* \(#,##0\);_(* &quot;-&quot;_);_(@_)" sourceLinked="1"/>
        <c:majorTickMark val="none"/>
        <c:minorTickMark val="none"/>
        <c:tickLblPos val="nextTo"/>
        <c:crossAx val="127907712"/>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Gross Earnings Impacts</a:t>
            </a:r>
            <a:r>
              <a:rPr lang="en-US" sz="1400"/>
              <a:t> </a:t>
            </a:r>
            <a:r>
              <a:rPr lang="en-US" sz="1600"/>
              <a:t>(2015-2020) </a:t>
            </a:r>
          </a:p>
          <a:p>
            <a:pPr>
              <a:defRPr/>
            </a:pPr>
            <a:r>
              <a:rPr lang="en-US" sz="1400"/>
              <a:t>Prime Power Fuel Cell Scenario</a:t>
            </a:r>
          </a:p>
          <a:p>
            <a:pPr>
              <a:defRPr/>
            </a:pPr>
            <a:r>
              <a:rPr lang="en-US" sz="1100"/>
              <a:t>JOBS FC 1.0</a:t>
            </a:r>
          </a:p>
        </c:rich>
      </c:tx>
      <c:overlay val="0"/>
    </c:title>
    <c:autoTitleDeleted val="0"/>
    <c:plotArea>
      <c:layout/>
      <c:barChart>
        <c:barDir val="col"/>
        <c:grouping val="stacked"/>
        <c:varyColors val="0"/>
        <c:ser>
          <c:idx val="0"/>
          <c:order val="0"/>
          <c:tx>
            <c:strRef>
              <c:f>'Prime RESULTS-Tables'!$AH$100</c:f>
              <c:strCache>
                <c:ptCount val="1"/>
                <c:pt idx="0">
                  <c:v>Gross &lt;Please select&gt; Maintenance Induced</c:v>
                </c:pt>
              </c:strCache>
            </c:strRef>
          </c:tx>
          <c:spPr>
            <a:solidFill>
              <a:schemeClr val="accent6">
                <a:lumMod val="60000"/>
                <a:lumOff val="40000"/>
              </a:schemeClr>
            </a:solidFill>
            <a:ln>
              <a:solidFill>
                <a:sysClr val="windowText" lastClr="000000"/>
              </a:solidFill>
            </a:ln>
          </c:spPr>
          <c:invertIfNegative val="0"/>
          <c:cat>
            <c:numRef>
              <c:f>'Prime RESULTS-Tables'!$C$101:$C$106</c:f>
              <c:numCache>
                <c:formatCode>General</c:formatCode>
                <c:ptCount val="6"/>
                <c:pt idx="0">
                  <c:v>2015</c:v>
                </c:pt>
                <c:pt idx="1">
                  <c:v>2016</c:v>
                </c:pt>
                <c:pt idx="2">
                  <c:v>2017</c:v>
                </c:pt>
                <c:pt idx="3">
                  <c:v>2018</c:v>
                </c:pt>
                <c:pt idx="4">
                  <c:v>2019</c:v>
                </c:pt>
                <c:pt idx="5">
                  <c:v>2020</c:v>
                </c:pt>
              </c:numCache>
            </c:numRef>
          </c:cat>
          <c:val>
            <c:numRef>
              <c:f>'Prime RESULTS-Tables'!$AH$101:$AH$106</c:f>
              <c:numCache>
                <c:formatCode>_("$"* #,##0_);_("$"* \(#,##0\);_("$"* "-"_);_(@_)</c:formatCode>
                <c:ptCount val="6"/>
                <c:pt idx="0">
                  <c:v>0</c:v>
                </c:pt>
                <c:pt idx="1">
                  <c:v>0</c:v>
                </c:pt>
                <c:pt idx="2">
                  <c:v>0</c:v>
                </c:pt>
                <c:pt idx="3">
                  <c:v>0</c:v>
                </c:pt>
                <c:pt idx="4">
                  <c:v>0</c:v>
                </c:pt>
                <c:pt idx="5">
                  <c:v>0</c:v>
                </c:pt>
              </c:numCache>
            </c:numRef>
          </c:val>
        </c:ser>
        <c:ser>
          <c:idx val="1"/>
          <c:order val="1"/>
          <c:tx>
            <c:strRef>
              <c:f>'Prime RESULTS-Tables'!$AI$100</c:f>
              <c:strCache>
                <c:ptCount val="1"/>
                <c:pt idx="0">
                  <c:v>Gross &lt;Please select&gt; Maintenance Supply Chain</c:v>
                </c:pt>
              </c:strCache>
            </c:strRef>
          </c:tx>
          <c:spPr>
            <a:solidFill>
              <a:schemeClr val="accent6"/>
            </a:solidFill>
            <a:ln>
              <a:solidFill>
                <a:sysClr val="windowText" lastClr="000000"/>
              </a:solidFill>
            </a:ln>
          </c:spPr>
          <c:invertIfNegative val="0"/>
          <c:cat>
            <c:numRef>
              <c:f>'Prime RESULTS-Tables'!$C$101:$C$106</c:f>
              <c:numCache>
                <c:formatCode>General</c:formatCode>
                <c:ptCount val="6"/>
                <c:pt idx="0">
                  <c:v>2015</c:v>
                </c:pt>
                <c:pt idx="1">
                  <c:v>2016</c:v>
                </c:pt>
                <c:pt idx="2">
                  <c:v>2017</c:v>
                </c:pt>
                <c:pt idx="3">
                  <c:v>2018</c:v>
                </c:pt>
                <c:pt idx="4">
                  <c:v>2019</c:v>
                </c:pt>
                <c:pt idx="5">
                  <c:v>2020</c:v>
                </c:pt>
              </c:numCache>
            </c:numRef>
          </c:cat>
          <c:val>
            <c:numRef>
              <c:f>'Prime RESULTS-Tables'!$AI$101:$AI$106</c:f>
              <c:numCache>
                <c:formatCode>_("$"* #,##0_);_("$"* \(#,##0\);_("$"* "-"_);_(@_)</c:formatCode>
                <c:ptCount val="6"/>
                <c:pt idx="0">
                  <c:v>0</c:v>
                </c:pt>
                <c:pt idx="1">
                  <c:v>0</c:v>
                </c:pt>
                <c:pt idx="2">
                  <c:v>0</c:v>
                </c:pt>
                <c:pt idx="3">
                  <c:v>0</c:v>
                </c:pt>
                <c:pt idx="4">
                  <c:v>0</c:v>
                </c:pt>
                <c:pt idx="5">
                  <c:v>0</c:v>
                </c:pt>
              </c:numCache>
            </c:numRef>
          </c:val>
        </c:ser>
        <c:ser>
          <c:idx val="7"/>
          <c:order val="2"/>
          <c:tx>
            <c:strRef>
              <c:f>'Prime RESULTS-Tables'!$AA$100</c:f>
              <c:strCache>
                <c:ptCount val="1"/>
                <c:pt idx="0">
                  <c:v>Gross &lt;Please select&gt; Fuel Induced</c:v>
                </c:pt>
              </c:strCache>
            </c:strRef>
          </c:tx>
          <c:spPr>
            <a:solidFill>
              <a:schemeClr val="accent2">
                <a:lumMod val="40000"/>
                <a:lumOff val="60000"/>
              </a:schemeClr>
            </a:solidFill>
            <a:ln>
              <a:solidFill>
                <a:sysClr val="windowText" lastClr="000000"/>
              </a:solidFill>
            </a:ln>
          </c:spPr>
          <c:invertIfNegative val="0"/>
          <c:cat>
            <c:numRef>
              <c:f>'Prime RESULTS-Tables'!$C$101:$C$106</c:f>
              <c:numCache>
                <c:formatCode>General</c:formatCode>
                <c:ptCount val="6"/>
                <c:pt idx="0">
                  <c:v>2015</c:v>
                </c:pt>
                <c:pt idx="1">
                  <c:v>2016</c:v>
                </c:pt>
                <c:pt idx="2">
                  <c:v>2017</c:v>
                </c:pt>
                <c:pt idx="3">
                  <c:v>2018</c:v>
                </c:pt>
                <c:pt idx="4">
                  <c:v>2019</c:v>
                </c:pt>
                <c:pt idx="5">
                  <c:v>2020</c:v>
                </c:pt>
              </c:numCache>
            </c:numRef>
          </c:cat>
          <c:val>
            <c:numRef>
              <c:f>'Prime RESULTS-Tables'!$AA$101:$AA$106</c:f>
              <c:numCache>
                <c:formatCode>_("$"* #,##0_);_("$"* \(#,##0\);_("$"* "-"_);_(@_)</c:formatCode>
                <c:ptCount val="6"/>
                <c:pt idx="0">
                  <c:v>#N/A</c:v>
                </c:pt>
                <c:pt idx="1">
                  <c:v>#N/A</c:v>
                </c:pt>
                <c:pt idx="2">
                  <c:v>#N/A</c:v>
                </c:pt>
                <c:pt idx="3">
                  <c:v>#N/A</c:v>
                </c:pt>
                <c:pt idx="4">
                  <c:v>#N/A</c:v>
                </c:pt>
                <c:pt idx="5">
                  <c:v>#N/A</c:v>
                </c:pt>
              </c:numCache>
            </c:numRef>
          </c:val>
        </c:ser>
        <c:ser>
          <c:idx val="8"/>
          <c:order val="3"/>
          <c:tx>
            <c:strRef>
              <c:f>'Prime RESULTS-Tables'!$AB$100</c:f>
              <c:strCache>
                <c:ptCount val="1"/>
                <c:pt idx="0">
                  <c:v>Gross &lt;Please select&gt; Fuel Supply Chain</c:v>
                </c:pt>
              </c:strCache>
            </c:strRef>
          </c:tx>
          <c:spPr>
            <a:solidFill>
              <a:schemeClr val="accent2"/>
            </a:solidFill>
            <a:ln>
              <a:solidFill>
                <a:sysClr val="windowText" lastClr="000000"/>
              </a:solidFill>
            </a:ln>
          </c:spPr>
          <c:invertIfNegative val="0"/>
          <c:cat>
            <c:numRef>
              <c:f>'Prime RESULTS-Tables'!$C$101:$C$106</c:f>
              <c:numCache>
                <c:formatCode>General</c:formatCode>
                <c:ptCount val="6"/>
                <c:pt idx="0">
                  <c:v>2015</c:v>
                </c:pt>
                <c:pt idx="1">
                  <c:v>2016</c:v>
                </c:pt>
                <c:pt idx="2">
                  <c:v>2017</c:v>
                </c:pt>
                <c:pt idx="3">
                  <c:v>2018</c:v>
                </c:pt>
                <c:pt idx="4">
                  <c:v>2019</c:v>
                </c:pt>
                <c:pt idx="5">
                  <c:v>2020</c:v>
                </c:pt>
              </c:numCache>
            </c:numRef>
          </c:cat>
          <c:val>
            <c:numRef>
              <c:f>'Prime RESULTS-Tables'!$AB$101:$AB$106</c:f>
              <c:numCache>
                <c:formatCode>_("$"* #,##0_);_("$"* \(#,##0\);_("$"* "-"_);_(@_)</c:formatCode>
                <c:ptCount val="6"/>
                <c:pt idx="0">
                  <c:v>#N/A</c:v>
                </c:pt>
                <c:pt idx="1">
                  <c:v>#N/A</c:v>
                </c:pt>
                <c:pt idx="2">
                  <c:v>#N/A</c:v>
                </c:pt>
                <c:pt idx="3">
                  <c:v>#N/A</c:v>
                </c:pt>
                <c:pt idx="4">
                  <c:v>#N/A</c:v>
                </c:pt>
                <c:pt idx="5">
                  <c:v>#N/A</c:v>
                </c:pt>
              </c:numCache>
            </c:numRef>
          </c:val>
        </c:ser>
        <c:ser>
          <c:idx val="14"/>
          <c:order val="4"/>
          <c:tx>
            <c:strRef>
              <c:f>'Prime RESULTS-Tables'!$T$100</c:f>
              <c:strCache>
                <c:ptCount val="1"/>
                <c:pt idx="0">
                  <c:v>Gross &lt;Please select&gt; Installation Induced</c:v>
                </c:pt>
              </c:strCache>
            </c:strRef>
          </c:tx>
          <c:spPr>
            <a:solidFill>
              <a:schemeClr val="bg2">
                <a:lumMod val="75000"/>
              </a:schemeClr>
            </a:solidFill>
            <a:ln>
              <a:solidFill>
                <a:sysClr val="windowText" lastClr="000000"/>
              </a:solidFill>
            </a:ln>
          </c:spPr>
          <c:invertIfNegative val="0"/>
          <c:cat>
            <c:numRef>
              <c:f>'Prime RESULTS-Tables'!$C$101:$C$106</c:f>
              <c:numCache>
                <c:formatCode>General</c:formatCode>
                <c:ptCount val="6"/>
                <c:pt idx="0">
                  <c:v>2015</c:v>
                </c:pt>
                <c:pt idx="1">
                  <c:v>2016</c:v>
                </c:pt>
                <c:pt idx="2">
                  <c:v>2017</c:v>
                </c:pt>
                <c:pt idx="3">
                  <c:v>2018</c:v>
                </c:pt>
                <c:pt idx="4">
                  <c:v>2019</c:v>
                </c:pt>
                <c:pt idx="5">
                  <c:v>2020</c:v>
                </c:pt>
              </c:numCache>
            </c:numRef>
          </c:cat>
          <c:val>
            <c:numRef>
              <c:f>'Prime RESULTS-Tables'!$T$101:$T$106</c:f>
              <c:numCache>
                <c:formatCode>_("$"* #,##0_);_("$"* \(#,##0\);_("$"* "-"_);_(@_)</c:formatCode>
                <c:ptCount val="6"/>
                <c:pt idx="0">
                  <c:v>#N/A</c:v>
                </c:pt>
                <c:pt idx="1">
                  <c:v>#N/A</c:v>
                </c:pt>
                <c:pt idx="2">
                  <c:v>#N/A</c:v>
                </c:pt>
                <c:pt idx="3">
                  <c:v>#N/A</c:v>
                </c:pt>
                <c:pt idx="4">
                  <c:v>#N/A</c:v>
                </c:pt>
                <c:pt idx="5">
                  <c:v>#N/A</c:v>
                </c:pt>
              </c:numCache>
            </c:numRef>
          </c:val>
        </c:ser>
        <c:ser>
          <c:idx val="15"/>
          <c:order val="5"/>
          <c:tx>
            <c:strRef>
              <c:f>'Prime RESULTS-Tables'!$U$100</c:f>
              <c:strCache>
                <c:ptCount val="1"/>
                <c:pt idx="0">
                  <c:v>Gross &lt;Please select&gt; Installation Supply Chain</c:v>
                </c:pt>
              </c:strCache>
            </c:strRef>
          </c:tx>
          <c:spPr>
            <a:solidFill>
              <a:schemeClr val="bg2">
                <a:lumMod val="50000"/>
              </a:schemeClr>
            </a:solidFill>
            <a:ln>
              <a:solidFill>
                <a:sysClr val="windowText" lastClr="000000"/>
              </a:solidFill>
            </a:ln>
          </c:spPr>
          <c:invertIfNegative val="0"/>
          <c:cat>
            <c:numRef>
              <c:f>'Prime RESULTS-Tables'!$C$101:$C$106</c:f>
              <c:numCache>
                <c:formatCode>General</c:formatCode>
                <c:ptCount val="6"/>
                <c:pt idx="0">
                  <c:v>2015</c:v>
                </c:pt>
                <c:pt idx="1">
                  <c:v>2016</c:v>
                </c:pt>
                <c:pt idx="2">
                  <c:v>2017</c:v>
                </c:pt>
                <c:pt idx="3">
                  <c:v>2018</c:v>
                </c:pt>
                <c:pt idx="4">
                  <c:v>2019</c:v>
                </c:pt>
                <c:pt idx="5">
                  <c:v>2020</c:v>
                </c:pt>
              </c:numCache>
            </c:numRef>
          </c:cat>
          <c:val>
            <c:numRef>
              <c:f>'Prime RESULTS-Tables'!$U$101:$U$106</c:f>
              <c:numCache>
                <c:formatCode>_("$"* #,##0_);_("$"* \(#,##0\);_("$"* "-"_);_(@_)</c:formatCode>
                <c:ptCount val="6"/>
                <c:pt idx="0">
                  <c:v>#N/A</c:v>
                </c:pt>
                <c:pt idx="1">
                  <c:v>#N/A</c:v>
                </c:pt>
                <c:pt idx="2">
                  <c:v>#N/A</c:v>
                </c:pt>
                <c:pt idx="3">
                  <c:v>#N/A</c:v>
                </c:pt>
                <c:pt idx="4">
                  <c:v>#N/A</c:v>
                </c:pt>
                <c:pt idx="5">
                  <c:v>#N/A</c:v>
                </c:pt>
              </c:numCache>
            </c:numRef>
          </c:val>
        </c:ser>
        <c:ser>
          <c:idx val="21"/>
          <c:order val="6"/>
          <c:tx>
            <c:strRef>
              <c:f>'Prime RESULTS-Tables'!$M$100</c:f>
              <c:strCache>
                <c:ptCount val="1"/>
                <c:pt idx="0">
                  <c:v>Gross &lt;Please select&gt; Unit Induced</c:v>
                </c:pt>
              </c:strCache>
            </c:strRef>
          </c:tx>
          <c:spPr>
            <a:solidFill>
              <a:schemeClr val="accent5">
                <a:lumMod val="60000"/>
                <a:lumOff val="40000"/>
              </a:schemeClr>
            </a:solidFill>
            <a:ln>
              <a:solidFill>
                <a:sysClr val="windowText" lastClr="000000"/>
              </a:solidFill>
            </a:ln>
          </c:spPr>
          <c:invertIfNegative val="0"/>
          <c:cat>
            <c:numRef>
              <c:f>'Prime RESULTS-Tables'!$C$101:$C$106</c:f>
              <c:numCache>
                <c:formatCode>General</c:formatCode>
                <c:ptCount val="6"/>
                <c:pt idx="0">
                  <c:v>2015</c:v>
                </c:pt>
                <c:pt idx="1">
                  <c:v>2016</c:v>
                </c:pt>
                <c:pt idx="2">
                  <c:v>2017</c:v>
                </c:pt>
                <c:pt idx="3">
                  <c:v>2018</c:v>
                </c:pt>
                <c:pt idx="4">
                  <c:v>2019</c:v>
                </c:pt>
                <c:pt idx="5">
                  <c:v>2020</c:v>
                </c:pt>
              </c:numCache>
            </c:numRef>
          </c:cat>
          <c:val>
            <c:numRef>
              <c:f>'Prime RESULTS-Tables'!$M$101:$M$106</c:f>
              <c:numCache>
                <c:formatCode>_("$"* #,##0_);_("$"* \(#,##0\);_("$"* "-"??_);_(@_)</c:formatCode>
                <c:ptCount val="6"/>
                <c:pt idx="0">
                  <c:v>#N/A</c:v>
                </c:pt>
                <c:pt idx="1">
                  <c:v>#N/A</c:v>
                </c:pt>
                <c:pt idx="2">
                  <c:v>#N/A</c:v>
                </c:pt>
                <c:pt idx="3">
                  <c:v>#N/A</c:v>
                </c:pt>
                <c:pt idx="4">
                  <c:v>#N/A</c:v>
                </c:pt>
                <c:pt idx="5">
                  <c:v>#N/A</c:v>
                </c:pt>
              </c:numCache>
            </c:numRef>
          </c:val>
        </c:ser>
        <c:ser>
          <c:idx val="22"/>
          <c:order val="7"/>
          <c:tx>
            <c:strRef>
              <c:f>'Prime RESULTS-Tables'!$N$100</c:f>
              <c:strCache>
                <c:ptCount val="1"/>
                <c:pt idx="0">
                  <c:v>Gross &lt;Please select&gt; Unit Supply Chain</c:v>
                </c:pt>
              </c:strCache>
            </c:strRef>
          </c:tx>
          <c:spPr>
            <a:solidFill>
              <a:schemeClr val="accent5">
                <a:lumMod val="75000"/>
              </a:schemeClr>
            </a:solidFill>
            <a:ln>
              <a:solidFill>
                <a:sysClr val="windowText" lastClr="000000"/>
              </a:solidFill>
            </a:ln>
          </c:spPr>
          <c:invertIfNegative val="0"/>
          <c:cat>
            <c:numRef>
              <c:f>'Prime RESULTS-Tables'!$C$101:$C$106</c:f>
              <c:numCache>
                <c:formatCode>General</c:formatCode>
                <c:ptCount val="6"/>
                <c:pt idx="0">
                  <c:v>2015</c:v>
                </c:pt>
                <c:pt idx="1">
                  <c:v>2016</c:v>
                </c:pt>
                <c:pt idx="2">
                  <c:v>2017</c:v>
                </c:pt>
                <c:pt idx="3">
                  <c:v>2018</c:v>
                </c:pt>
                <c:pt idx="4">
                  <c:v>2019</c:v>
                </c:pt>
                <c:pt idx="5">
                  <c:v>2020</c:v>
                </c:pt>
              </c:numCache>
            </c:numRef>
          </c:cat>
          <c:val>
            <c:numRef>
              <c:f>'Prime RESULTS-Tables'!$N$101:$N$106</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overlap val="100"/>
        <c:axId val="129020288"/>
        <c:axId val="129021824"/>
      </c:barChart>
      <c:lineChart>
        <c:grouping val="standard"/>
        <c:varyColors val="0"/>
        <c:ser>
          <c:idx val="2"/>
          <c:order val="8"/>
          <c:tx>
            <c:strRef>
              <c:f>'Prime RESULTS-Tables'!$H$100</c:f>
              <c:strCache>
                <c:ptCount val="1"/>
                <c:pt idx="0">
                  <c:v>Gross &lt;Please select&gt;-related Total</c:v>
                </c:pt>
              </c:strCache>
            </c:strRef>
          </c:tx>
          <c:spPr>
            <a:ln>
              <a:solidFill>
                <a:sysClr val="windowText" lastClr="000000"/>
              </a:solidFill>
            </a:ln>
          </c:spPr>
          <c:marker>
            <c:symbol val="circle"/>
            <c:size val="3"/>
            <c:spPr>
              <a:solidFill>
                <a:schemeClr val="tx1"/>
              </a:solidFill>
              <a:ln>
                <a:solidFill>
                  <a:sysClr val="windowText" lastClr="000000"/>
                </a:solidFill>
              </a:ln>
            </c:spPr>
          </c:marker>
          <c:dLbls>
            <c:dLblPos val="b"/>
            <c:showLegendKey val="0"/>
            <c:showVal val="1"/>
            <c:showCatName val="0"/>
            <c:showSerName val="0"/>
            <c:showPercent val="0"/>
            <c:showBubbleSize val="0"/>
            <c:showLeaderLines val="0"/>
          </c:dLbls>
          <c:cat>
            <c:numRef>
              <c:f>'Prime RESULTS-Tables'!$C$101:$C$106</c:f>
              <c:numCache>
                <c:formatCode>General</c:formatCode>
                <c:ptCount val="6"/>
                <c:pt idx="0">
                  <c:v>2015</c:v>
                </c:pt>
                <c:pt idx="1">
                  <c:v>2016</c:v>
                </c:pt>
                <c:pt idx="2">
                  <c:v>2017</c:v>
                </c:pt>
                <c:pt idx="3">
                  <c:v>2018</c:v>
                </c:pt>
                <c:pt idx="4">
                  <c:v>2019</c:v>
                </c:pt>
                <c:pt idx="5">
                  <c:v>2020</c:v>
                </c:pt>
              </c:numCache>
            </c:numRef>
          </c:cat>
          <c:val>
            <c:numRef>
              <c:f>'Prime RESULTS-Tables'!$H$101:$H$106</c:f>
              <c:numCache>
                <c:formatCode>_("$"* #,##0_);_("$"* \(#,##0\);_("$"* "-"_);_(@_)</c:formatCode>
                <c:ptCount val="6"/>
                <c:pt idx="0">
                  <c:v>#N/A</c:v>
                </c:pt>
                <c:pt idx="1">
                  <c:v>#N/A</c:v>
                </c:pt>
                <c:pt idx="2">
                  <c:v>#N/A</c:v>
                </c:pt>
                <c:pt idx="3">
                  <c:v>#N/A</c:v>
                </c:pt>
                <c:pt idx="4">
                  <c:v>#N/A</c:v>
                </c:pt>
                <c:pt idx="5">
                  <c:v>#N/A</c:v>
                </c:pt>
              </c:numCache>
            </c:numRef>
          </c:val>
          <c:smooth val="0"/>
        </c:ser>
        <c:dLbls>
          <c:showLegendKey val="0"/>
          <c:showVal val="0"/>
          <c:showCatName val="0"/>
          <c:showSerName val="0"/>
          <c:showPercent val="0"/>
          <c:showBubbleSize val="0"/>
        </c:dLbls>
        <c:marker val="1"/>
        <c:smooth val="0"/>
        <c:axId val="129020288"/>
        <c:axId val="129021824"/>
      </c:lineChart>
      <c:catAx>
        <c:axId val="129020288"/>
        <c:scaling>
          <c:orientation val="minMax"/>
        </c:scaling>
        <c:delete val="0"/>
        <c:axPos val="b"/>
        <c:numFmt formatCode="General" sourceLinked="1"/>
        <c:majorTickMark val="none"/>
        <c:minorTickMark val="none"/>
        <c:tickLblPos val="nextTo"/>
        <c:crossAx val="129021824"/>
        <c:crosses val="autoZero"/>
        <c:auto val="1"/>
        <c:lblAlgn val="ctr"/>
        <c:lblOffset val="100"/>
        <c:noMultiLvlLbl val="0"/>
      </c:catAx>
      <c:valAx>
        <c:axId val="129021824"/>
        <c:scaling>
          <c:orientation val="minMax"/>
        </c:scaling>
        <c:delete val="0"/>
        <c:axPos val="l"/>
        <c:majorGridlines/>
        <c:title>
          <c:tx>
            <c:strRef>
              <c:f>'Prime RESULTS-Tables'!$B$98</c:f>
              <c:strCache>
                <c:ptCount val="1"/>
                <c:pt idx="0">
                  <c:v>Gross &lt;Please select&gt;-related Earnings (Thousands of 2010$)</c:v>
                </c:pt>
              </c:strCache>
            </c:strRef>
          </c:tx>
          <c:overlay val="0"/>
          <c:txPr>
            <a:bodyPr rot="0" vert="horz"/>
            <a:lstStyle/>
            <a:p>
              <a:pPr>
                <a:defRPr sz="1300"/>
              </a:pPr>
              <a:endParaRPr lang="en-US"/>
            </a:p>
          </c:txPr>
        </c:title>
        <c:numFmt formatCode="_(&quot;$&quot;* #,##0_);_(&quot;$&quot;* \(#,##0\);_(&quot;$&quot;* &quot;-&quot;_);_(@_)" sourceLinked="1"/>
        <c:majorTickMark val="none"/>
        <c:minorTickMark val="none"/>
        <c:tickLblPos val="nextTo"/>
        <c:crossAx val="129020288"/>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Gross Economic Output Impacts </a:t>
            </a:r>
            <a:r>
              <a:rPr lang="en-US" sz="1600"/>
              <a:t>(2015-2020) </a:t>
            </a:r>
          </a:p>
          <a:p>
            <a:pPr>
              <a:defRPr/>
            </a:pPr>
            <a:r>
              <a:rPr lang="en-US" sz="1400"/>
              <a:t>Prime Power Fuel Cell Scenario</a:t>
            </a:r>
          </a:p>
          <a:p>
            <a:pPr>
              <a:defRPr/>
            </a:pPr>
            <a:r>
              <a:rPr lang="en-US" sz="1100"/>
              <a:t>JOBS FC 1.0</a:t>
            </a:r>
          </a:p>
        </c:rich>
      </c:tx>
      <c:overlay val="0"/>
    </c:title>
    <c:autoTitleDeleted val="0"/>
    <c:plotArea>
      <c:layout/>
      <c:barChart>
        <c:barDir val="col"/>
        <c:grouping val="stacked"/>
        <c:varyColors val="0"/>
        <c:ser>
          <c:idx val="0"/>
          <c:order val="0"/>
          <c:tx>
            <c:strRef>
              <c:f>'Prime RESULTS-Tables'!$AH$110</c:f>
              <c:strCache>
                <c:ptCount val="1"/>
                <c:pt idx="0">
                  <c:v>Gross &lt;Please select&gt; Maintenance Induced</c:v>
                </c:pt>
              </c:strCache>
            </c:strRef>
          </c:tx>
          <c:spPr>
            <a:solidFill>
              <a:schemeClr val="accent6">
                <a:lumMod val="60000"/>
                <a:lumOff val="40000"/>
              </a:schemeClr>
            </a:solidFill>
            <a:ln>
              <a:solidFill>
                <a:sysClr val="windowText" lastClr="000000"/>
              </a:solidFill>
            </a:ln>
          </c:spPr>
          <c:invertIfNegative val="0"/>
          <c:cat>
            <c:numRef>
              <c:f>'Prime RESULTS-Tables'!$C$111:$C$116</c:f>
              <c:numCache>
                <c:formatCode>General</c:formatCode>
                <c:ptCount val="6"/>
                <c:pt idx="0">
                  <c:v>2015</c:v>
                </c:pt>
                <c:pt idx="1">
                  <c:v>2016</c:v>
                </c:pt>
                <c:pt idx="2">
                  <c:v>2017</c:v>
                </c:pt>
                <c:pt idx="3">
                  <c:v>2018</c:v>
                </c:pt>
                <c:pt idx="4">
                  <c:v>2019</c:v>
                </c:pt>
                <c:pt idx="5">
                  <c:v>2020</c:v>
                </c:pt>
              </c:numCache>
            </c:numRef>
          </c:cat>
          <c:val>
            <c:numRef>
              <c:f>'Prime RESULTS-Tables'!$AH$111:$AH$116</c:f>
              <c:numCache>
                <c:formatCode>_("$"* #,##0_);_("$"* \(#,##0\);_("$"* "-"_);_(@_)</c:formatCode>
                <c:ptCount val="6"/>
                <c:pt idx="0">
                  <c:v>0</c:v>
                </c:pt>
                <c:pt idx="1">
                  <c:v>0</c:v>
                </c:pt>
                <c:pt idx="2">
                  <c:v>0</c:v>
                </c:pt>
                <c:pt idx="3">
                  <c:v>0</c:v>
                </c:pt>
                <c:pt idx="4">
                  <c:v>0</c:v>
                </c:pt>
                <c:pt idx="5">
                  <c:v>0</c:v>
                </c:pt>
              </c:numCache>
            </c:numRef>
          </c:val>
        </c:ser>
        <c:ser>
          <c:idx val="1"/>
          <c:order val="1"/>
          <c:tx>
            <c:strRef>
              <c:f>'Prime RESULTS-Tables'!$AI$110</c:f>
              <c:strCache>
                <c:ptCount val="1"/>
                <c:pt idx="0">
                  <c:v>Gross &lt;Please select&gt; Maintenance Supply Chain</c:v>
                </c:pt>
              </c:strCache>
            </c:strRef>
          </c:tx>
          <c:spPr>
            <a:solidFill>
              <a:schemeClr val="accent6"/>
            </a:solidFill>
            <a:ln>
              <a:solidFill>
                <a:sysClr val="windowText" lastClr="000000"/>
              </a:solidFill>
            </a:ln>
          </c:spPr>
          <c:invertIfNegative val="0"/>
          <c:cat>
            <c:numRef>
              <c:f>'Prime RESULTS-Tables'!$C$111:$C$116</c:f>
              <c:numCache>
                <c:formatCode>General</c:formatCode>
                <c:ptCount val="6"/>
                <c:pt idx="0">
                  <c:v>2015</c:v>
                </c:pt>
                <c:pt idx="1">
                  <c:v>2016</c:v>
                </c:pt>
                <c:pt idx="2">
                  <c:v>2017</c:v>
                </c:pt>
                <c:pt idx="3">
                  <c:v>2018</c:v>
                </c:pt>
                <c:pt idx="4">
                  <c:v>2019</c:v>
                </c:pt>
                <c:pt idx="5">
                  <c:v>2020</c:v>
                </c:pt>
              </c:numCache>
            </c:numRef>
          </c:cat>
          <c:val>
            <c:numRef>
              <c:f>'Prime RESULTS-Tables'!$AI$111:$AI$116</c:f>
              <c:numCache>
                <c:formatCode>_("$"* #,##0_);_("$"* \(#,##0\);_("$"* "-"_);_(@_)</c:formatCode>
                <c:ptCount val="6"/>
                <c:pt idx="0">
                  <c:v>0</c:v>
                </c:pt>
                <c:pt idx="1">
                  <c:v>0</c:v>
                </c:pt>
                <c:pt idx="2">
                  <c:v>0</c:v>
                </c:pt>
                <c:pt idx="3">
                  <c:v>0</c:v>
                </c:pt>
                <c:pt idx="4">
                  <c:v>0</c:v>
                </c:pt>
                <c:pt idx="5">
                  <c:v>0</c:v>
                </c:pt>
              </c:numCache>
            </c:numRef>
          </c:val>
        </c:ser>
        <c:ser>
          <c:idx val="2"/>
          <c:order val="2"/>
          <c:tx>
            <c:strRef>
              <c:f>'Prime RESULTS-Tables'!$AA$110</c:f>
              <c:strCache>
                <c:ptCount val="1"/>
                <c:pt idx="0">
                  <c:v>Gross &lt;Please select&gt; Fuel Induced</c:v>
                </c:pt>
              </c:strCache>
            </c:strRef>
          </c:tx>
          <c:spPr>
            <a:solidFill>
              <a:schemeClr val="accent2">
                <a:lumMod val="40000"/>
                <a:lumOff val="60000"/>
              </a:schemeClr>
            </a:solidFill>
            <a:ln>
              <a:solidFill>
                <a:sysClr val="windowText" lastClr="000000"/>
              </a:solidFill>
            </a:ln>
          </c:spPr>
          <c:invertIfNegative val="0"/>
          <c:cat>
            <c:numRef>
              <c:f>'Prime RESULTS-Tables'!$C$111:$C$116</c:f>
              <c:numCache>
                <c:formatCode>General</c:formatCode>
                <c:ptCount val="6"/>
                <c:pt idx="0">
                  <c:v>2015</c:v>
                </c:pt>
                <c:pt idx="1">
                  <c:v>2016</c:v>
                </c:pt>
                <c:pt idx="2">
                  <c:v>2017</c:v>
                </c:pt>
                <c:pt idx="3">
                  <c:v>2018</c:v>
                </c:pt>
                <c:pt idx="4">
                  <c:v>2019</c:v>
                </c:pt>
                <c:pt idx="5">
                  <c:v>2020</c:v>
                </c:pt>
              </c:numCache>
            </c:numRef>
          </c:cat>
          <c:val>
            <c:numRef>
              <c:f>'Prime RESULTS-Tables'!$AA$111:$AA$116</c:f>
              <c:numCache>
                <c:formatCode>_("$"* #,##0_);_("$"* \(#,##0\);_("$"* "-"_);_(@_)</c:formatCode>
                <c:ptCount val="6"/>
                <c:pt idx="0">
                  <c:v>#N/A</c:v>
                </c:pt>
                <c:pt idx="1">
                  <c:v>#N/A</c:v>
                </c:pt>
                <c:pt idx="2">
                  <c:v>#N/A</c:v>
                </c:pt>
                <c:pt idx="3">
                  <c:v>#N/A</c:v>
                </c:pt>
                <c:pt idx="4">
                  <c:v>#N/A</c:v>
                </c:pt>
                <c:pt idx="5">
                  <c:v>#N/A</c:v>
                </c:pt>
              </c:numCache>
            </c:numRef>
          </c:val>
        </c:ser>
        <c:ser>
          <c:idx val="3"/>
          <c:order val="3"/>
          <c:tx>
            <c:strRef>
              <c:f>'Prime RESULTS-Tables'!$AB$110</c:f>
              <c:strCache>
                <c:ptCount val="1"/>
                <c:pt idx="0">
                  <c:v>Gross &lt;Please select&gt; Fuel Supply Chain</c:v>
                </c:pt>
              </c:strCache>
            </c:strRef>
          </c:tx>
          <c:spPr>
            <a:solidFill>
              <a:schemeClr val="accent2"/>
            </a:solidFill>
            <a:ln>
              <a:solidFill>
                <a:sysClr val="windowText" lastClr="000000"/>
              </a:solidFill>
            </a:ln>
          </c:spPr>
          <c:invertIfNegative val="0"/>
          <c:cat>
            <c:numRef>
              <c:f>'Prime RESULTS-Tables'!$C$111:$C$116</c:f>
              <c:numCache>
                <c:formatCode>General</c:formatCode>
                <c:ptCount val="6"/>
                <c:pt idx="0">
                  <c:v>2015</c:v>
                </c:pt>
                <c:pt idx="1">
                  <c:v>2016</c:v>
                </c:pt>
                <c:pt idx="2">
                  <c:v>2017</c:v>
                </c:pt>
                <c:pt idx="3">
                  <c:v>2018</c:v>
                </c:pt>
                <c:pt idx="4">
                  <c:v>2019</c:v>
                </c:pt>
                <c:pt idx="5">
                  <c:v>2020</c:v>
                </c:pt>
              </c:numCache>
            </c:numRef>
          </c:cat>
          <c:val>
            <c:numRef>
              <c:f>'Prime RESULTS-Tables'!$AB$111:$AB$116</c:f>
              <c:numCache>
                <c:formatCode>_("$"* #,##0_);_("$"* \(#,##0\);_("$"* "-"_);_(@_)</c:formatCode>
                <c:ptCount val="6"/>
                <c:pt idx="0">
                  <c:v>#N/A</c:v>
                </c:pt>
                <c:pt idx="1">
                  <c:v>#N/A</c:v>
                </c:pt>
                <c:pt idx="2">
                  <c:v>#N/A</c:v>
                </c:pt>
                <c:pt idx="3">
                  <c:v>#N/A</c:v>
                </c:pt>
                <c:pt idx="4">
                  <c:v>#N/A</c:v>
                </c:pt>
                <c:pt idx="5">
                  <c:v>#N/A</c:v>
                </c:pt>
              </c:numCache>
            </c:numRef>
          </c:val>
        </c:ser>
        <c:ser>
          <c:idx val="4"/>
          <c:order val="4"/>
          <c:tx>
            <c:strRef>
              <c:f>'Prime RESULTS-Tables'!$T$110</c:f>
              <c:strCache>
                <c:ptCount val="1"/>
                <c:pt idx="0">
                  <c:v>Gross &lt;Please select&gt; Installation Induced</c:v>
                </c:pt>
              </c:strCache>
            </c:strRef>
          </c:tx>
          <c:spPr>
            <a:solidFill>
              <a:schemeClr val="bg2">
                <a:lumMod val="75000"/>
              </a:schemeClr>
            </a:solidFill>
            <a:ln>
              <a:solidFill>
                <a:sysClr val="windowText" lastClr="000000"/>
              </a:solidFill>
            </a:ln>
          </c:spPr>
          <c:invertIfNegative val="0"/>
          <c:cat>
            <c:numRef>
              <c:f>'Prime RESULTS-Tables'!$C$111:$C$116</c:f>
              <c:numCache>
                <c:formatCode>General</c:formatCode>
                <c:ptCount val="6"/>
                <c:pt idx="0">
                  <c:v>2015</c:v>
                </c:pt>
                <c:pt idx="1">
                  <c:v>2016</c:v>
                </c:pt>
                <c:pt idx="2">
                  <c:v>2017</c:v>
                </c:pt>
                <c:pt idx="3">
                  <c:v>2018</c:v>
                </c:pt>
                <c:pt idx="4">
                  <c:v>2019</c:v>
                </c:pt>
                <c:pt idx="5">
                  <c:v>2020</c:v>
                </c:pt>
              </c:numCache>
            </c:numRef>
          </c:cat>
          <c:val>
            <c:numRef>
              <c:f>'Prime RESULTS-Tables'!$T$111:$T$116</c:f>
              <c:numCache>
                <c:formatCode>_("$"* #,##0_);_("$"* \(#,##0\);_("$"* "-"_);_(@_)</c:formatCode>
                <c:ptCount val="6"/>
                <c:pt idx="0">
                  <c:v>#N/A</c:v>
                </c:pt>
                <c:pt idx="1">
                  <c:v>#N/A</c:v>
                </c:pt>
                <c:pt idx="2">
                  <c:v>#N/A</c:v>
                </c:pt>
                <c:pt idx="3">
                  <c:v>#N/A</c:v>
                </c:pt>
                <c:pt idx="4">
                  <c:v>#N/A</c:v>
                </c:pt>
                <c:pt idx="5">
                  <c:v>#N/A</c:v>
                </c:pt>
              </c:numCache>
            </c:numRef>
          </c:val>
        </c:ser>
        <c:ser>
          <c:idx val="5"/>
          <c:order val="5"/>
          <c:tx>
            <c:strRef>
              <c:f>'Prime RESULTS-Tables'!$U$110</c:f>
              <c:strCache>
                <c:ptCount val="1"/>
                <c:pt idx="0">
                  <c:v>Gross &lt;Please select&gt; Installation Supply Chain</c:v>
                </c:pt>
              </c:strCache>
            </c:strRef>
          </c:tx>
          <c:spPr>
            <a:solidFill>
              <a:schemeClr val="bg2">
                <a:lumMod val="50000"/>
              </a:schemeClr>
            </a:solidFill>
            <a:ln>
              <a:solidFill>
                <a:sysClr val="windowText" lastClr="000000"/>
              </a:solidFill>
            </a:ln>
          </c:spPr>
          <c:invertIfNegative val="0"/>
          <c:cat>
            <c:numRef>
              <c:f>'Prime RESULTS-Tables'!$C$111:$C$116</c:f>
              <c:numCache>
                <c:formatCode>General</c:formatCode>
                <c:ptCount val="6"/>
                <c:pt idx="0">
                  <c:v>2015</c:v>
                </c:pt>
                <c:pt idx="1">
                  <c:v>2016</c:v>
                </c:pt>
                <c:pt idx="2">
                  <c:v>2017</c:v>
                </c:pt>
                <c:pt idx="3">
                  <c:v>2018</c:v>
                </c:pt>
                <c:pt idx="4">
                  <c:v>2019</c:v>
                </c:pt>
                <c:pt idx="5">
                  <c:v>2020</c:v>
                </c:pt>
              </c:numCache>
            </c:numRef>
          </c:cat>
          <c:val>
            <c:numRef>
              <c:f>'Prime RESULTS-Tables'!$U$111:$U$116</c:f>
              <c:numCache>
                <c:formatCode>_("$"* #,##0_);_("$"* \(#,##0\);_("$"* "-"_);_(@_)</c:formatCode>
                <c:ptCount val="6"/>
                <c:pt idx="0">
                  <c:v>#N/A</c:v>
                </c:pt>
                <c:pt idx="1">
                  <c:v>#N/A</c:v>
                </c:pt>
                <c:pt idx="2">
                  <c:v>#N/A</c:v>
                </c:pt>
                <c:pt idx="3">
                  <c:v>#N/A</c:v>
                </c:pt>
                <c:pt idx="4">
                  <c:v>#N/A</c:v>
                </c:pt>
                <c:pt idx="5">
                  <c:v>#N/A</c:v>
                </c:pt>
              </c:numCache>
            </c:numRef>
          </c:val>
        </c:ser>
        <c:ser>
          <c:idx val="6"/>
          <c:order val="6"/>
          <c:tx>
            <c:strRef>
              <c:f>'Prime RESULTS-Tables'!$M$110</c:f>
              <c:strCache>
                <c:ptCount val="1"/>
                <c:pt idx="0">
                  <c:v>Gross &lt;Please select&gt; Unit Induced</c:v>
                </c:pt>
              </c:strCache>
            </c:strRef>
          </c:tx>
          <c:spPr>
            <a:solidFill>
              <a:schemeClr val="accent5">
                <a:lumMod val="60000"/>
                <a:lumOff val="40000"/>
              </a:schemeClr>
            </a:solidFill>
            <a:ln>
              <a:solidFill>
                <a:sysClr val="windowText" lastClr="000000"/>
              </a:solidFill>
            </a:ln>
          </c:spPr>
          <c:invertIfNegative val="0"/>
          <c:cat>
            <c:numRef>
              <c:f>'Prime RESULTS-Tables'!$C$111:$C$116</c:f>
              <c:numCache>
                <c:formatCode>General</c:formatCode>
                <c:ptCount val="6"/>
                <c:pt idx="0">
                  <c:v>2015</c:v>
                </c:pt>
                <c:pt idx="1">
                  <c:v>2016</c:v>
                </c:pt>
                <c:pt idx="2">
                  <c:v>2017</c:v>
                </c:pt>
                <c:pt idx="3">
                  <c:v>2018</c:v>
                </c:pt>
                <c:pt idx="4">
                  <c:v>2019</c:v>
                </c:pt>
                <c:pt idx="5">
                  <c:v>2020</c:v>
                </c:pt>
              </c:numCache>
            </c:numRef>
          </c:cat>
          <c:val>
            <c:numRef>
              <c:f>'Prime RESULTS-Tables'!$M$111:$M$116</c:f>
              <c:numCache>
                <c:formatCode>_("$"* #,##0_);_("$"* \(#,##0\);_("$"* "-"??_);_(@_)</c:formatCode>
                <c:ptCount val="6"/>
                <c:pt idx="0">
                  <c:v>#N/A</c:v>
                </c:pt>
                <c:pt idx="1">
                  <c:v>#N/A</c:v>
                </c:pt>
                <c:pt idx="2">
                  <c:v>#N/A</c:v>
                </c:pt>
                <c:pt idx="3">
                  <c:v>#N/A</c:v>
                </c:pt>
                <c:pt idx="4">
                  <c:v>#N/A</c:v>
                </c:pt>
                <c:pt idx="5">
                  <c:v>#N/A</c:v>
                </c:pt>
              </c:numCache>
            </c:numRef>
          </c:val>
        </c:ser>
        <c:ser>
          <c:idx val="7"/>
          <c:order val="7"/>
          <c:tx>
            <c:strRef>
              <c:f>'Prime RESULTS-Tables'!$N$110</c:f>
              <c:strCache>
                <c:ptCount val="1"/>
                <c:pt idx="0">
                  <c:v>Gross &lt;Please select&gt; Unit Supply Chain</c:v>
                </c:pt>
              </c:strCache>
            </c:strRef>
          </c:tx>
          <c:spPr>
            <a:solidFill>
              <a:schemeClr val="accent5">
                <a:lumMod val="75000"/>
              </a:schemeClr>
            </a:solidFill>
            <a:ln>
              <a:solidFill>
                <a:sysClr val="windowText" lastClr="000000"/>
              </a:solidFill>
            </a:ln>
          </c:spPr>
          <c:invertIfNegative val="0"/>
          <c:cat>
            <c:numRef>
              <c:f>'Prime RESULTS-Tables'!$C$111:$C$116</c:f>
              <c:numCache>
                <c:formatCode>General</c:formatCode>
                <c:ptCount val="6"/>
                <c:pt idx="0">
                  <c:v>2015</c:v>
                </c:pt>
                <c:pt idx="1">
                  <c:v>2016</c:v>
                </c:pt>
                <c:pt idx="2">
                  <c:v>2017</c:v>
                </c:pt>
                <c:pt idx="3">
                  <c:v>2018</c:v>
                </c:pt>
                <c:pt idx="4">
                  <c:v>2019</c:v>
                </c:pt>
                <c:pt idx="5">
                  <c:v>2020</c:v>
                </c:pt>
              </c:numCache>
            </c:numRef>
          </c:cat>
          <c:val>
            <c:numRef>
              <c:f>'Prime RESULTS-Tables'!$N$111:$N$116</c:f>
              <c:numCache>
                <c:formatCode>_("$"* #,##0_);_("$"* \(#,##0\);_("$"*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95"/>
        <c:overlap val="100"/>
        <c:axId val="129354368"/>
        <c:axId val="129364352"/>
      </c:barChart>
      <c:lineChart>
        <c:grouping val="standard"/>
        <c:varyColors val="0"/>
        <c:ser>
          <c:idx val="8"/>
          <c:order val="8"/>
          <c:tx>
            <c:strRef>
              <c:f>'Prime RESULTS-Tables'!$H$110</c:f>
              <c:strCache>
                <c:ptCount val="1"/>
                <c:pt idx="0">
                  <c:v>Gross &lt;Please select&gt;-related Total</c:v>
                </c:pt>
              </c:strCache>
            </c:strRef>
          </c:tx>
          <c:spPr>
            <a:ln>
              <a:solidFill>
                <a:sysClr val="windowText" lastClr="000000"/>
              </a:solidFill>
            </a:ln>
          </c:spPr>
          <c:marker>
            <c:symbol val="circle"/>
            <c:size val="3"/>
            <c:spPr>
              <a:solidFill>
                <a:schemeClr val="tx1"/>
              </a:solidFill>
              <a:ln>
                <a:solidFill>
                  <a:sysClr val="windowText" lastClr="000000"/>
                </a:solidFill>
              </a:ln>
            </c:spPr>
          </c:marker>
          <c:dLbls>
            <c:dLblPos val="b"/>
            <c:showLegendKey val="0"/>
            <c:showVal val="1"/>
            <c:showCatName val="0"/>
            <c:showSerName val="0"/>
            <c:showPercent val="0"/>
            <c:showBubbleSize val="0"/>
            <c:showLeaderLines val="0"/>
          </c:dLbls>
          <c:cat>
            <c:numRef>
              <c:f>'Prime RESULTS-Tables'!$C$111:$C$116</c:f>
              <c:numCache>
                <c:formatCode>General</c:formatCode>
                <c:ptCount val="6"/>
                <c:pt idx="0">
                  <c:v>2015</c:v>
                </c:pt>
                <c:pt idx="1">
                  <c:v>2016</c:v>
                </c:pt>
                <c:pt idx="2">
                  <c:v>2017</c:v>
                </c:pt>
                <c:pt idx="3">
                  <c:v>2018</c:v>
                </c:pt>
                <c:pt idx="4">
                  <c:v>2019</c:v>
                </c:pt>
                <c:pt idx="5">
                  <c:v>2020</c:v>
                </c:pt>
              </c:numCache>
            </c:numRef>
          </c:cat>
          <c:val>
            <c:numRef>
              <c:f>'Prime RESULTS-Tables'!$H$111:$H$116</c:f>
              <c:numCache>
                <c:formatCode>_("$"* #,##0_);_("$"* \(#,##0\);_("$"*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29354368"/>
        <c:axId val="129364352"/>
      </c:lineChart>
      <c:catAx>
        <c:axId val="129354368"/>
        <c:scaling>
          <c:orientation val="minMax"/>
        </c:scaling>
        <c:delete val="0"/>
        <c:axPos val="b"/>
        <c:numFmt formatCode="General" sourceLinked="1"/>
        <c:majorTickMark val="none"/>
        <c:minorTickMark val="none"/>
        <c:tickLblPos val="nextTo"/>
        <c:crossAx val="129364352"/>
        <c:crosses val="autoZero"/>
        <c:auto val="1"/>
        <c:lblAlgn val="ctr"/>
        <c:lblOffset val="100"/>
        <c:noMultiLvlLbl val="0"/>
      </c:catAx>
      <c:valAx>
        <c:axId val="129364352"/>
        <c:scaling>
          <c:orientation val="minMax"/>
        </c:scaling>
        <c:delete val="0"/>
        <c:axPos val="l"/>
        <c:majorGridlines/>
        <c:title>
          <c:tx>
            <c:strRef>
              <c:f>'Prime RESULTS-Tables'!$B$108</c:f>
              <c:strCache>
                <c:ptCount val="1"/>
                <c:pt idx="0">
                  <c:v>Gross &lt;Please select&gt;-related Output (Thousands of 2010$)</c:v>
                </c:pt>
              </c:strCache>
            </c:strRef>
          </c:tx>
          <c:overlay val="0"/>
          <c:txPr>
            <a:bodyPr rot="0" vert="horz"/>
            <a:lstStyle/>
            <a:p>
              <a:pPr>
                <a:defRPr sz="1300"/>
              </a:pPr>
              <a:endParaRPr lang="en-US"/>
            </a:p>
          </c:txPr>
        </c:title>
        <c:numFmt formatCode="_(&quot;$&quot;* #,##0_);_(&quot;$&quot;* \(#,##0\);_(&quot;$&quot;* &quot;-&quot;_);_(@_)" sourceLinked="1"/>
        <c:majorTickMark val="none"/>
        <c:minorTickMark val="none"/>
        <c:tickLblPos val="nextTo"/>
        <c:crossAx val="129354368"/>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Employment Impacts</a:t>
            </a:r>
            <a:r>
              <a:rPr lang="en-US" sz="1600"/>
              <a:t> (2015-2020)</a:t>
            </a:r>
          </a:p>
          <a:p>
            <a:pPr>
              <a:defRPr/>
            </a:pPr>
            <a:r>
              <a:rPr lang="en-US" sz="1400"/>
              <a:t>Prime Power Fuel Cell Scenario</a:t>
            </a:r>
          </a:p>
          <a:p>
            <a:pPr>
              <a:defRPr/>
            </a:pPr>
            <a:r>
              <a:rPr lang="en-US" sz="1100"/>
              <a:t>JOBS FC 1.0</a:t>
            </a:r>
          </a:p>
        </c:rich>
      </c:tx>
      <c:overlay val="0"/>
    </c:title>
    <c:autoTitleDeleted val="0"/>
    <c:plotArea>
      <c:layout/>
      <c:barChart>
        <c:barDir val="col"/>
        <c:grouping val="clustered"/>
        <c:varyColors val="0"/>
        <c:ser>
          <c:idx val="21"/>
          <c:order val="0"/>
          <c:tx>
            <c:strRef>
              <c:f>'Prime RESULTS-Tables'!$H$197</c:f>
              <c:strCache>
                <c:ptCount val="1"/>
                <c:pt idx="0">
                  <c:v>Gross &lt;Please select&gt;-related Total</c:v>
                </c:pt>
              </c:strCache>
            </c:strRef>
          </c:tx>
          <c:spPr>
            <a:solidFill>
              <a:schemeClr val="tx1">
                <a:lumMod val="85000"/>
                <a:lumOff val="15000"/>
              </a:schemeClr>
            </a:solidFill>
            <a:ln>
              <a:solidFill>
                <a:schemeClr val="tx1"/>
              </a:solidFill>
            </a:ln>
          </c:spPr>
          <c:invertIfNegative val="0"/>
          <c:cat>
            <c:numRef>
              <c:f>'Prime RESULTS-Tables'!$C$198:$C$203</c:f>
              <c:numCache>
                <c:formatCode>General</c:formatCode>
                <c:ptCount val="6"/>
                <c:pt idx="0">
                  <c:v>2015</c:v>
                </c:pt>
                <c:pt idx="1">
                  <c:v>2016</c:v>
                </c:pt>
                <c:pt idx="2">
                  <c:v>2017</c:v>
                </c:pt>
                <c:pt idx="3">
                  <c:v>2018</c:v>
                </c:pt>
                <c:pt idx="4">
                  <c:v>2019</c:v>
                </c:pt>
                <c:pt idx="5">
                  <c:v>2020</c:v>
                </c:pt>
              </c:numCache>
            </c:numRef>
          </c:cat>
          <c:val>
            <c:numRef>
              <c:f>'Prime RESULTS-Tables'!$H$198:$H$203</c:f>
              <c:numCache>
                <c:formatCode>_(* #,##0_);_(* \(#,##0\);_(* "-"??_);_(@_)</c:formatCode>
                <c:ptCount val="6"/>
                <c:pt idx="0">
                  <c:v>#N/A</c:v>
                </c:pt>
                <c:pt idx="1">
                  <c:v>#N/A</c:v>
                </c:pt>
                <c:pt idx="2">
                  <c:v>#N/A</c:v>
                </c:pt>
                <c:pt idx="3">
                  <c:v>#N/A</c:v>
                </c:pt>
                <c:pt idx="4">
                  <c:v>#N/A</c:v>
                </c:pt>
                <c:pt idx="5">
                  <c:v>#N/A</c:v>
                </c:pt>
              </c:numCache>
            </c:numRef>
          </c:val>
        </c:ser>
        <c:ser>
          <c:idx val="22"/>
          <c:order val="1"/>
          <c:tx>
            <c:strRef>
              <c:f>'Prime RESULTS-Tables'!$M$197</c:f>
              <c:strCache>
                <c:ptCount val="1"/>
                <c:pt idx="0">
                  <c:v> Gross &lt;Please select&gt;-related Total </c:v>
                </c:pt>
              </c:strCache>
            </c:strRef>
          </c:tx>
          <c:spPr>
            <a:solidFill>
              <a:schemeClr val="accent5"/>
            </a:solidFill>
            <a:ln>
              <a:solidFill>
                <a:schemeClr val="tx1"/>
              </a:solidFill>
            </a:ln>
          </c:spPr>
          <c:invertIfNegative val="0"/>
          <c:cat>
            <c:numRef>
              <c:f>'Prime RESULTS-Tables'!$C$198:$C$203</c:f>
              <c:numCache>
                <c:formatCode>General</c:formatCode>
                <c:ptCount val="6"/>
                <c:pt idx="0">
                  <c:v>2015</c:v>
                </c:pt>
                <c:pt idx="1">
                  <c:v>2016</c:v>
                </c:pt>
                <c:pt idx="2">
                  <c:v>2017</c:v>
                </c:pt>
                <c:pt idx="3">
                  <c:v>2018</c:v>
                </c:pt>
                <c:pt idx="4">
                  <c:v>2019</c:v>
                </c:pt>
                <c:pt idx="5">
                  <c:v>2020</c:v>
                </c:pt>
              </c:numCache>
            </c:numRef>
          </c:cat>
          <c:val>
            <c:numRef>
              <c:f>'Prime RESULTS-Tables'!$M$198:$M$203</c:f>
              <c:numCache>
                <c:formatCode>_(* #,##0_);_(* \(#,##0\);_(* "-"??_);_(@_)</c:formatCode>
                <c:ptCount val="6"/>
                <c:pt idx="0">
                  <c:v>#N/A</c:v>
                </c:pt>
                <c:pt idx="1">
                  <c:v>#N/A</c:v>
                </c:pt>
                <c:pt idx="2">
                  <c:v>#N/A</c:v>
                </c:pt>
                <c:pt idx="3">
                  <c:v>#N/A</c:v>
                </c:pt>
                <c:pt idx="4">
                  <c:v>#N/A</c:v>
                </c:pt>
                <c:pt idx="5">
                  <c:v>#N/A</c:v>
                </c:pt>
              </c:numCache>
            </c:numRef>
          </c:val>
        </c:ser>
        <c:ser>
          <c:idx val="14"/>
          <c:order val="2"/>
          <c:tx>
            <c:strRef>
              <c:f>'Prime RESULTS-Tables'!$R$197</c:f>
              <c:strCache>
                <c:ptCount val="1"/>
                <c:pt idx="0">
                  <c:v>Displaced Electricity Total</c:v>
                </c:pt>
              </c:strCache>
            </c:strRef>
          </c:tx>
          <c:spPr>
            <a:solidFill>
              <a:schemeClr val="bg1">
                <a:lumMod val="65000"/>
              </a:schemeClr>
            </a:solidFill>
            <a:ln>
              <a:solidFill>
                <a:schemeClr val="tx1"/>
              </a:solidFill>
            </a:ln>
          </c:spPr>
          <c:invertIfNegative val="0"/>
          <c:cat>
            <c:numRef>
              <c:f>'Prime RESULTS-Tables'!$C$198:$C$203</c:f>
              <c:numCache>
                <c:formatCode>General</c:formatCode>
                <c:ptCount val="6"/>
                <c:pt idx="0">
                  <c:v>2015</c:v>
                </c:pt>
                <c:pt idx="1">
                  <c:v>2016</c:v>
                </c:pt>
                <c:pt idx="2">
                  <c:v>2017</c:v>
                </c:pt>
                <c:pt idx="3">
                  <c:v>2018</c:v>
                </c:pt>
                <c:pt idx="4">
                  <c:v>2019</c:v>
                </c:pt>
                <c:pt idx="5">
                  <c:v>2020</c:v>
                </c:pt>
              </c:numCache>
            </c:numRef>
          </c:cat>
          <c:val>
            <c:numRef>
              <c:f>'Prime RESULTS-Tables'!$R$198:$R$203</c:f>
              <c:numCache>
                <c:formatCode>_(* #,##0_);_(* \(#,##0\);_(* "-"??_);_(@_)</c:formatCode>
                <c:ptCount val="6"/>
                <c:pt idx="0">
                  <c:v>#N/A</c:v>
                </c:pt>
                <c:pt idx="1">
                  <c:v>#N/A</c:v>
                </c:pt>
                <c:pt idx="2">
                  <c:v>#N/A</c:v>
                </c:pt>
                <c:pt idx="3">
                  <c:v>#N/A</c:v>
                </c:pt>
                <c:pt idx="4">
                  <c:v>#N/A</c:v>
                </c:pt>
                <c:pt idx="5">
                  <c:v>#N/A</c:v>
                </c:pt>
              </c:numCache>
            </c:numRef>
          </c:val>
        </c:ser>
        <c:ser>
          <c:idx val="15"/>
          <c:order val="3"/>
          <c:tx>
            <c:strRef>
              <c:f>'Prime RESULTS-Tables'!$W$197</c:f>
              <c:strCache>
                <c:ptCount val="1"/>
                <c:pt idx="0">
                  <c:v> Displaced Natural Gas Total </c:v>
                </c:pt>
              </c:strCache>
            </c:strRef>
          </c:tx>
          <c:spPr>
            <a:solidFill>
              <a:schemeClr val="bg1">
                <a:lumMod val="85000"/>
              </a:schemeClr>
            </a:solidFill>
            <a:ln>
              <a:solidFill>
                <a:schemeClr val="tx1"/>
              </a:solidFill>
            </a:ln>
          </c:spPr>
          <c:invertIfNegative val="0"/>
          <c:cat>
            <c:numRef>
              <c:f>'Prime RESULTS-Tables'!$C$198:$C$203</c:f>
              <c:numCache>
                <c:formatCode>General</c:formatCode>
                <c:ptCount val="6"/>
                <c:pt idx="0">
                  <c:v>2015</c:v>
                </c:pt>
                <c:pt idx="1">
                  <c:v>2016</c:v>
                </c:pt>
                <c:pt idx="2">
                  <c:v>2017</c:v>
                </c:pt>
                <c:pt idx="3">
                  <c:v>2018</c:v>
                </c:pt>
                <c:pt idx="4">
                  <c:v>2019</c:v>
                </c:pt>
                <c:pt idx="5">
                  <c:v>2020</c:v>
                </c:pt>
              </c:numCache>
            </c:numRef>
          </c:cat>
          <c:val>
            <c:numRef>
              <c:f>'Prime RESULTS-Tables'!$W$198:$W$203</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axId val="129401216"/>
        <c:axId val="129402752"/>
      </c:barChart>
      <c:catAx>
        <c:axId val="129401216"/>
        <c:scaling>
          <c:orientation val="minMax"/>
        </c:scaling>
        <c:delete val="0"/>
        <c:axPos val="b"/>
        <c:numFmt formatCode="General" sourceLinked="1"/>
        <c:majorTickMark val="none"/>
        <c:minorTickMark val="none"/>
        <c:tickLblPos val="nextTo"/>
        <c:crossAx val="129402752"/>
        <c:crosses val="autoZero"/>
        <c:auto val="1"/>
        <c:lblAlgn val="ctr"/>
        <c:lblOffset val="100"/>
        <c:noMultiLvlLbl val="0"/>
      </c:catAx>
      <c:valAx>
        <c:axId val="129402752"/>
        <c:scaling>
          <c:orientation val="minMax"/>
        </c:scaling>
        <c:delete val="0"/>
        <c:axPos val="l"/>
        <c:majorGridlines/>
        <c:title>
          <c:tx>
            <c:rich>
              <a:bodyPr rot="0" vert="horz"/>
              <a:lstStyle/>
              <a:p>
                <a:pPr>
                  <a:defRPr sz="1300"/>
                </a:pPr>
                <a:r>
                  <a:rPr lang="en-US" sz="1300"/>
                  <a:t>Prime Power  Fuel Cell-related Employment (Job-years)</a:t>
                </a:r>
              </a:p>
            </c:rich>
          </c:tx>
          <c:layout>
            <c:manualLayout>
              <c:xMode val="edge"/>
              <c:yMode val="edge"/>
              <c:x val="2.3161096582165717E-2"/>
              <c:y val="0.29362883815503338"/>
            </c:manualLayout>
          </c:layout>
          <c:overlay val="0"/>
        </c:title>
        <c:numFmt formatCode="_(* #,##0_);_(* \(#,##0\);_(* &quot;-&quot;??_);_(@_)" sourceLinked="1"/>
        <c:majorTickMark val="none"/>
        <c:minorTickMark val="none"/>
        <c:tickLblPos val="nextTo"/>
        <c:crossAx val="129401216"/>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Earnings Impacts</a:t>
            </a:r>
            <a:r>
              <a:rPr lang="en-US" sz="1600"/>
              <a:t> (2015-2020)</a:t>
            </a:r>
          </a:p>
          <a:p>
            <a:pPr>
              <a:defRPr/>
            </a:pPr>
            <a:r>
              <a:rPr lang="en-US" sz="1400"/>
              <a:t>Prime Power Fuel Cell Scenario</a:t>
            </a:r>
          </a:p>
          <a:p>
            <a:pPr>
              <a:defRPr/>
            </a:pPr>
            <a:r>
              <a:rPr lang="en-US" sz="1100"/>
              <a:t>JOBS FC 1.0</a:t>
            </a:r>
          </a:p>
        </c:rich>
      </c:tx>
      <c:overlay val="0"/>
    </c:title>
    <c:autoTitleDeleted val="0"/>
    <c:plotArea>
      <c:layout/>
      <c:barChart>
        <c:barDir val="col"/>
        <c:grouping val="clustered"/>
        <c:varyColors val="0"/>
        <c:ser>
          <c:idx val="21"/>
          <c:order val="0"/>
          <c:tx>
            <c:strRef>
              <c:f>'Prime RESULTS-Tables'!$H$207</c:f>
              <c:strCache>
                <c:ptCount val="1"/>
                <c:pt idx="0">
                  <c:v>Gross &lt;Please select&gt;-related Total</c:v>
                </c:pt>
              </c:strCache>
            </c:strRef>
          </c:tx>
          <c:spPr>
            <a:solidFill>
              <a:schemeClr val="tx1">
                <a:lumMod val="85000"/>
                <a:lumOff val="15000"/>
              </a:schemeClr>
            </a:solidFill>
            <a:ln>
              <a:solidFill>
                <a:schemeClr val="tx1"/>
              </a:solidFill>
            </a:ln>
          </c:spPr>
          <c:invertIfNegative val="0"/>
          <c:cat>
            <c:numRef>
              <c:f>'Prime RESULTS-Tables'!$C$208:$C$213</c:f>
              <c:numCache>
                <c:formatCode>General</c:formatCode>
                <c:ptCount val="6"/>
                <c:pt idx="0">
                  <c:v>2015</c:v>
                </c:pt>
                <c:pt idx="1">
                  <c:v>2016</c:v>
                </c:pt>
                <c:pt idx="2">
                  <c:v>2017</c:v>
                </c:pt>
                <c:pt idx="3">
                  <c:v>2018</c:v>
                </c:pt>
                <c:pt idx="4">
                  <c:v>2019</c:v>
                </c:pt>
                <c:pt idx="5">
                  <c:v>2020</c:v>
                </c:pt>
              </c:numCache>
            </c:numRef>
          </c:cat>
          <c:val>
            <c:numRef>
              <c:f>'Prime RESULTS-Tables'!$H$208:$H$213</c:f>
              <c:numCache>
                <c:formatCode>_("$"* #,##0_);_("$"* \(#,##0\);_("$"* "-"??_);_(@_)</c:formatCode>
                <c:ptCount val="6"/>
                <c:pt idx="0">
                  <c:v>#N/A</c:v>
                </c:pt>
                <c:pt idx="1">
                  <c:v>#N/A</c:v>
                </c:pt>
                <c:pt idx="2">
                  <c:v>#N/A</c:v>
                </c:pt>
                <c:pt idx="3">
                  <c:v>#N/A</c:v>
                </c:pt>
                <c:pt idx="4">
                  <c:v>#N/A</c:v>
                </c:pt>
                <c:pt idx="5">
                  <c:v>#N/A</c:v>
                </c:pt>
              </c:numCache>
            </c:numRef>
          </c:val>
        </c:ser>
        <c:ser>
          <c:idx val="22"/>
          <c:order val="1"/>
          <c:tx>
            <c:strRef>
              <c:f>'Prime RESULTS-Tables'!$M$207</c:f>
              <c:strCache>
                <c:ptCount val="1"/>
                <c:pt idx="0">
                  <c:v> Gross &lt;Please select&gt;-related Total </c:v>
                </c:pt>
              </c:strCache>
            </c:strRef>
          </c:tx>
          <c:spPr>
            <a:solidFill>
              <a:schemeClr val="accent5"/>
            </a:solidFill>
            <a:ln>
              <a:solidFill>
                <a:schemeClr val="tx1"/>
              </a:solidFill>
            </a:ln>
          </c:spPr>
          <c:invertIfNegative val="0"/>
          <c:cat>
            <c:numRef>
              <c:f>'Prime RESULTS-Tables'!$C$208:$C$213</c:f>
              <c:numCache>
                <c:formatCode>General</c:formatCode>
                <c:ptCount val="6"/>
                <c:pt idx="0">
                  <c:v>2015</c:v>
                </c:pt>
                <c:pt idx="1">
                  <c:v>2016</c:v>
                </c:pt>
                <c:pt idx="2">
                  <c:v>2017</c:v>
                </c:pt>
                <c:pt idx="3">
                  <c:v>2018</c:v>
                </c:pt>
                <c:pt idx="4">
                  <c:v>2019</c:v>
                </c:pt>
                <c:pt idx="5">
                  <c:v>2020</c:v>
                </c:pt>
              </c:numCache>
            </c:numRef>
          </c:cat>
          <c:val>
            <c:numRef>
              <c:f>'Prime RESULTS-Tables'!$M$208:$M$213</c:f>
              <c:numCache>
                <c:formatCode>_("$"* #,##0_);_("$"* \(#,##0\);_("$"* "-"??_);_(@_)</c:formatCode>
                <c:ptCount val="6"/>
                <c:pt idx="0">
                  <c:v>#N/A</c:v>
                </c:pt>
                <c:pt idx="1">
                  <c:v>#N/A</c:v>
                </c:pt>
                <c:pt idx="2">
                  <c:v>#N/A</c:v>
                </c:pt>
                <c:pt idx="3">
                  <c:v>#N/A</c:v>
                </c:pt>
                <c:pt idx="4">
                  <c:v>#N/A</c:v>
                </c:pt>
                <c:pt idx="5">
                  <c:v>#N/A</c:v>
                </c:pt>
              </c:numCache>
            </c:numRef>
          </c:val>
        </c:ser>
        <c:ser>
          <c:idx val="14"/>
          <c:order val="2"/>
          <c:tx>
            <c:strRef>
              <c:f>'Prime RESULTS-Tables'!$R$207</c:f>
              <c:strCache>
                <c:ptCount val="1"/>
                <c:pt idx="0">
                  <c:v>Displaced Electricity Total</c:v>
                </c:pt>
              </c:strCache>
            </c:strRef>
          </c:tx>
          <c:spPr>
            <a:solidFill>
              <a:schemeClr val="bg1">
                <a:lumMod val="65000"/>
              </a:schemeClr>
            </a:solidFill>
            <a:ln>
              <a:solidFill>
                <a:schemeClr val="tx1"/>
              </a:solidFill>
            </a:ln>
          </c:spPr>
          <c:invertIfNegative val="0"/>
          <c:cat>
            <c:numRef>
              <c:f>'Prime RESULTS-Tables'!$C$208:$C$213</c:f>
              <c:numCache>
                <c:formatCode>General</c:formatCode>
                <c:ptCount val="6"/>
                <c:pt idx="0">
                  <c:v>2015</c:v>
                </c:pt>
                <c:pt idx="1">
                  <c:v>2016</c:v>
                </c:pt>
                <c:pt idx="2">
                  <c:v>2017</c:v>
                </c:pt>
                <c:pt idx="3">
                  <c:v>2018</c:v>
                </c:pt>
                <c:pt idx="4">
                  <c:v>2019</c:v>
                </c:pt>
                <c:pt idx="5">
                  <c:v>2020</c:v>
                </c:pt>
              </c:numCache>
            </c:numRef>
          </c:cat>
          <c:val>
            <c:numRef>
              <c:f>'Prime RESULTS-Tables'!$R$208:$R$213</c:f>
              <c:numCache>
                <c:formatCode>_("$"* #,##0_);_("$"* \(#,##0\);_("$"* "-"??_);_(@_)</c:formatCode>
                <c:ptCount val="6"/>
                <c:pt idx="0">
                  <c:v>#N/A</c:v>
                </c:pt>
                <c:pt idx="1">
                  <c:v>#N/A</c:v>
                </c:pt>
                <c:pt idx="2">
                  <c:v>#N/A</c:v>
                </c:pt>
                <c:pt idx="3">
                  <c:v>#N/A</c:v>
                </c:pt>
                <c:pt idx="4">
                  <c:v>#N/A</c:v>
                </c:pt>
                <c:pt idx="5">
                  <c:v>#N/A</c:v>
                </c:pt>
              </c:numCache>
            </c:numRef>
          </c:val>
        </c:ser>
        <c:ser>
          <c:idx val="15"/>
          <c:order val="3"/>
          <c:tx>
            <c:strRef>
              <c:f>'Prime RESULTS-Tables'!$W$207</c:f>
              <c:strCache>
                <c:ptCount val="1"/>
                <c:pt idx="0">
                  <c:v> Displaced Natural Gas Total </c:v>
                </c:pt>
              </c:strCache>
            </c:strRef>
          </c:tx>
          <c:spPr>
            <a:solidFill>
              <a:schemeClr val="bg1">
                <a:lumMod val="85000"/>
              </a:schemeClr>
            </a:solidFill>
            <a:ln>
              <a:solidFill>
                <a:schemeClr val="tx1"/>
              </a:solidFill>
            </a:ln>
          </c:spPr>
          <c:invertIfNegative val="0"/>
          <c:cat>
            <c:numRef>
              <c:f>'Prime RESULTS-Tables'!$C$208:$C$213</c:f>
              <c:numCache>
                <c:formatCode>General</c:formatCode>
                <c:ptCount val="6"/>
                <c:pt idx="0">
                  <c:v>2015</c:v>
                </c:pt>
                <c:pt idx="1">
                  <c:v>2016</c:v>
                </c:pt>
                <c:pt idx="2">
                  <c:v>2017</c:v>
                </c:pt>
                <c:pt idx="3">
                  <c:v>2018</c:v>
                </c:pt>
                <c:pt idx="4">
                  <c:v>2019</c:v>
                </c:pt>
                <c:pt idx="5">
                  <c:v>2020</c:v>
                </c:pt>
              </c:numCache>
            </c:numRef>
          </c:cat>
          <c:val>
            <c:numRef>
              <c:f>'Prime RESULTS-Tables'!$W$208:$W$213</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axId val="129591168"/>
        <c:axId val="129592704"/>
      </c:barChart>
      <c:catAx>
        <c:axId val="129591168"/>
        <c:scaling>
          <c:orientation val="minMax"/>
        </c:scaling>
        <c:delete val="0"/>
        <c:axPos val="b"/>
        <c:numFmt formatCode="General" sourceLinked="1"/>
        <c:majorTickMark val="none"/>
        <c:minorTickMark val="none"/>
        <c:tickLblPos val="nextTo"/>
        <c:crossAx val="129592704"/>
        <c:crosses val="autoZero"/>
        <c:auto val="1"/>
        <c:lblAlgn val="ctr"/>
        <c:lblOffset val="100"/>
        <c:noMultiLvlLbl val="0"/>
      </c:catAx>
      <c:valAx>
        <c:axId val="129592704"/>
        <c:scaling>
          <c:orientation val="minMax"/>
        </c:scaling>
        <c:delete val="0"/>
        <c:axPos val="l"/>
        <c:majorGridlines/>
        <c:title>
          <c:tx>
            <c:rich>
              <a:bodyPr rot="0" vert="horz"/>
              <a:lstStyle/>
              <a:p>
                <a:pPr>
                  <a:defRPr sz="1300"/>
                </a:pPr>
                <a:r>
                  <a:rPr lang="en-US" sz="1300"/>
                  <a:t>Prime Power  Fuel Cell-related Earnings (Thousands of 2010$)</a:t>
                </a:r>
              </a:p>
            </c:rich>
          </c:tx>
          <c:layout>
            <c:manualLayout>
              <c:xMode val="edge"/>
              <c:yMode val="edge"/>
              <c:x val="2.3161096582165717E-2"/>
              <c:y val="0.29362883815503338"/>
            </c:manualLayout>
          </c:layout>
          <c:overlay val="0"/>
        </c:title>
        <c:numFmt formatCode="_(&quot;$&quot;* #,##0_);_(&quot;$&quot;* \(#,##0\);_(&quot;$&quot;* &quot;-&quot;??_);_(@_)" sourceLinked="1"/>
        <c:majorTickMark val="none"/>
        <c:minorTickMark val="none"/>
        <c:tickLblPos val="nextTo"/>
        <c:crossAx val="129591168"/>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Economic</a:t>
            </a:r>
            <a:r>
              <a:rPr lang="en-US" baseline="0"/>
              <a:t> Output</a:t>
            </a:r>
            <a:r>
              <a:rPr lang="en-US"/>
              <a:t> Impacts</a:t>
            </a:r>
            <a:r>
              <a:rPr lang="en-US" sz="1600"/>
              <a:t> (2015-2020)</a:t>
            </a:r>
          </a:p>
          <a:p>
            <a:pPr>
              <a:defRPr/>
            </a:pPr>
            <a:r>
              <a:rPr lang="en-US" sz="1400"/>
              <a:t>Prime Power Fuel Cell Scenario</a:t>
            </a:r>
          </a:p>
          <a:p>
            <a:pPr>
              <a:defRPr/>
            </a:pPr>
            <a:r>
              <a:rPr lang="en-US" sz="1100"/>
              <a:t>JOBS FC 1.0</a:t>
            </a:r>
          </a:p>
        </c:rich>
      </c:tx>
      <c:overlay val="0"/>
    </c:title>
    <c:autoTitleDeleted val="0"/>
    <c:plotArea>
      <c:layout/>
      <c:barChart>
        <c:barDir val="col"/>
        <c:grouping val="clustered"/>
        <c:varyColors val="0"/>
        <c:ser>
          <c:idx val="21"/>
          <c:order val="0"/>
          <c:tx>
            <c:strRef>
              <c:f>'Prime RESULTS-Tables'!$H$217</c:f>
              <c:strCache>
                <c:ptCount val="1"/>
                <c:pt idx="0">
                  <c:v> Gross &lt;Please select&gt;-related Total </c:v>
                </c:pt>
              </c:strCache>
            </c:strRef>
          </c:tx>
          <c:spPr>
            <a:solidFill>
              <a:schemeClr val="tx1">
                <a:lumMod val="85000"/>
                <a:lumOff val="15000"/>
              </a:schemeClr>
            </a:solidFill>
            <a:ln>
              <a:solidFill>
                <a:schemeClr val="tx1"/>
              </a:solidFill>
            </a:ln>
          </c:spPr>
          <c:invertIfNegative val="0"/>
          <c:cat>
            <c:numRef>
              <c:f>'Prime RESULTS-Tables'!$C$218:$C$223</c:f>
              <c:numCache>
                <c:formatCode>General</c:formatCode>
                <c:ptCount val="6"/>
                <c:pt idx="0">
                  <c:v>2015</c:v>
                </c:pt>
                <c:pt idx="1">
                  <c:v>2016</c:v>
                </c:pt>
                <c:pt idx="2">
                  <c:v>2017</c:v>
                </c:pt>
                <c:pt idx="3">
                  <c:v>2018</c:v>
                </c:pt>
                <c:pt idx="4">
                  <c:v>2019</c:v>
                </c:pt>
                <c:pt idx="5">
                  <c:v>2020</c:v>
                </c:pt>
              </c:numCache>
            </c:numRef>
          </c:cat>
          <c:val>
            <c:numRef>
              <c:f>'Prime RESULTS-Tables'!$H$218:$H$223</c:f>
              <c:numCache>
                <c:formatCode>_("$"* #,##0_);_("$"* \(#,##0\);_("$"* "-"??_);_(@_)</c:formatCode>
                <c:ptCount val="6"/>
                <c:pt idx="0">
                  <c:v>0</c:v>
                </c:pt>
                <c:pt idx="1">
                  <c:v>0</c:v>
                </c:pt>
                <c:pt idx="2">
                  <c:v>0</c:v>
                </c:pt>
                <c:pt idx="3">
                  <c:v>0</c:v>
                </c:pt>
                <c:pt idx="4">
                  <c:v>0</c:v>
                </c:pt>
                <c:pt idx="5">
                  <c:v>0</c:v>
                </c:pt>
              </c:numCache>
            </c:numRef>
          </c:val>
        </c:ser>
        <c:ser>
          <c:idx val="22"/>
          <c:order val="1"/>
          <c:tx>
            <c:strRef>
              <c:f>'Prime RESULTS-Tables'!$M$217</c:f>
              <c:strCache>
                <c:ptCount val="1"/>
                <c:pt idx="0">
                  <c:v> Gross &lt;Please select&gt;-related Total </c:v>
                </c:pt>
              </c:strCache>
            </c:strRef>
          </c:tx>
          <c:spPr>
            <a:solidFill>
              <a:schemeClr val="accent5"/>
            </a:solidFill>
            <a:ln>
              <a:solidFill>
                <a:schemeClr val="tx1"/>
              </a:solidFill>
            </a:ln>
          </c:spPr>
          <c:invertIfNegative val="0"/>
          <c:cat>
            <c:numRef>
              <c:f>'Prime RESULTS-Tables'!$C$218:$C$223</c:f>
              <c:numCache>
                <c:formatCode>General</c:formatCode>
                <c:ptCount val="6"/>
                <c:pt idx="0">
                  <c:v>2015</c:v>
                </c:pt>
                <c:pt idx="1">
                  <c:v>2016</c:v>
                </c:pt>
                <c:pt idx="2">
                  <c:v>2017</c:v>
                </c:pt>
                <c:pt idx="3">
                  <c:v>2018</c:v>
                </c:pt>
                <c:pt idx="4">
                  <c:v>2019</c:v>
                </c:pt>
                <c:pt idx="5">
                  <c:v>2020</c:v>
                </c:pt>
              </c:numCache>
            </c:numRef>
          </c:cat>
          <c:val>
            <c:numRef>
              <c:f>'Prime RESULTS-Tables'!$M$218:$M$223</c:f>
              <c:numCache>
                <c:formatCode>_("$"* #,##0_);_("$"* \(#,##0\);_("$"* "-"??_);_(@_)</c:formatCode>
                <c:ptCount val="6"/>
                <c:pt idx="0">
                  <c:v>0</c:v>
                </c:pt>
                <c:pt idx="1">
                  <c:v>0</c:v>
                </c:pt>
                <c:pt idx="2">
                  <c:v>0</c:v>
                </c:pt>
                <c:pt idx="3">
                  <c:v>0</c:v>
                </c:pt>
                <c:pt idx="4">
                  <c:v>0</c:v>
                </c:pt>
                <c:pt idx="5">
                  <c:v>0</c:v>
                </c:pt>
              </c:numCache>
            </c:numRef>
          </c:val>
        </c:ser>
        <c:ser>
          <c:idx val="14"/>
          <c:order val="2"/>
          <c:tx>
            <c:strRef>
              <c:f>'Prime RESULTS-Tables'!$R$217</c:f>
              <c:strCache>
                <c:ptCount val="1"/>
                <c:pt idx="0">
                  <c:v> Displaced Electricity Total </c:v>
                </c:pt>
              </c:strCache>
            </c:strRef>
          </c:tx>
          <c:spPr>
            <a:solidFill>
              <a:schemeClr val="bg1">
                <a:lumMod val="65000"/>
              </a:schemeClr>
            </a:solidFill>
            <a:ln>
              <a:solidFill>
                <a:schemeClr val="tx1"/>
              </a:solidFill>
            </a:ln>
          </c:spPr>
          <c:invertIfNegative val="0"/>
          <c:cat>
            <c:numRef>
              <c:f>'Prime RESULTS-Tables'!$C$218:$C$223</c:f>
              <c:numCache>
                <c:formatCode>General</c:formatCode>
                <c:ptCount val="6"/>
                <c:pt idx="0">
                  <c:v>2015</c:v>
                </c:pt>
                <c:pt idx="1">
                  <c:v>2016</c:v>
                </c:pt>
                <c:pt idx="2">
                  <c:v>2017</c:v>
                </c:pt>
                <c:pt idx="3">
                  <c:v>2018</c:v>
                </c:pt>
                <c:pt idx="4">
                  <c:v>2019</c:v>
                </c:pt>
                <c:pt idx="5">
                  <c:v>2020</c:v>
                </c:pt>
              </c:numCache>
            </c:numRef>
          </c:cat>
          <c:val>
            <c:numRef>
              <c:f>'Prime RESULTS-Tables'!$R$218:$R$223</c:f>
              <c:numCache>
                <c:formatCode>_("$"* #,##0_);_("$"* \(#,##0\);_("$"* "-"??_);_(@_)</c:formatCode>
                <c:ptCount val="6"/>
                <c:pt idx="0">
                  <c:v>#N/A</c:v>
                </c:pt>
                <c:pt idx="1">
                  <c:v>#N/A</c:v>
                </c:pt>
                <c:pt idx="2">
                  <c:v>#N/A</c:v>
                </c:pt>
                <c:pt idx="3">
                  <c:v>#N/A</c:v>
                </c:pt>
                <c:pt idx="4">
                  <c:v>#N/A</c:v>
                </c:pt>
                <c:pt idx="5">
                  <c:v>#N/A</c:v>
                </c:pt>
              </c:numCache>
            </c:numRef>
          </c:val>
        </c:ser>
        <c:ser>
          <c:idx val="15"/>
          <c:order val="3"/>
          <c:tx>
            <c:strRef>
              <c:f>'Prime RESULTS-Tables'!$W$217</c:f>
              <c:strCache>
                <c:ptCount val="1"/>
                <c:pt idx="0">
                  <c:v> Displaced Natural Gas Total </c:v>
                </c:pt>
              </c:strCache>
            </c:strRef>
          </c:tx>
          <c:spPr>
            <a:solidFill>
              <a:schemeClr val="bg1">
                <a:lumMod val="85000"/>
              </a:schemeClr>
            </a:solidFill>
            <a:ln>
              <a:solidFill>
                <a:schemeClr val="tx1"/>
              </a:solidFill>
            </a:ln>
          </c:spPr>
          <c:invertIfNegative val="0"/>
          <c:cat>
            <c:numRef>
              <c:f>'Prime RESULTS-Tables'!$C$218:$C$223</c:f>
              <c:numCache>
                <c:formatCode>General</c:formatCode>
                <c:ptCount val="6"/>
                <c:pt idx="0">
                  <c:v>2015</c:v>
                </c:pt>
                <c:pt idx="1">
                  <c:v>2016</c:v>
                </c:pt>
                <c:pt idx="2">
                  <c:v>2017</c:v>
                </c:pt>
                <c:pt idx="3">
                  <c:v>2018</c:v>
                </c:pt>
                <c:pt idx="4">
                  <c:v>2019</c:v>
                </c:pt>
                <c:pt idx="5">
                  <c:v>2020</c:v>
                </c:pt>
              </c:numCache>
            </c:numRef>
          </c:cat>
          <c:val>
            <c:numRef>
              <c:f>'Prime RESULTS-Tables'!$W$218:$W$223</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axId val="129625472"/>
        <c:axId val="129504384"/>
      </c:barChart>
      <c:catAx>
        <c:axId val="129625472"/>
        <c:scaling>
          <c:orientation val="minMax"/>
        </c:scaling>
        <c:delete val="0"/>
        <c:axPos val="b"/>
        <c:numFmt formatCode="General" sourceLinked="1"/>
        <c:majorTickMark val="none"/>
        <c:minorTickMark val="none"/>
        <c:tickLblPos val="nextTo"/>
        <c:crossAx val="129504384"/>
        <c:crosses val="autoZero"/>
        <c:auto val="1"/>
        <c:lblAlgn val="ctr"/>
        <c:lblOffset val="100"/>
        <c:noMultiLvlLbl val="0"/>
      </c:catAx>
      <c:valAx>
        <c:axId val="129504384"/>
        <c:scaling>
          <c:orientation val="minMax"/>
        </c:scaling>
        <c:delete val="0"/>
        <c:axPos val="l"/>
        <c:majorGridlines/>
        <c:title>
          <c:tx>
            <c:rich>
              <a:bodyPr rot="0" vert="horz"/>
              <a:lstStyle/>
              <a:p>
                <a:pPr>
                  <a:defRPr sz="1300"/>
                </a:pPr>
                <a:r>
                  <a:rPr lang="en-US" sz="1300"/>
                  <a:t>Prime Power  Fuel Cell-related  Output (Thousands of 2010$)</a:t>
                </a:r>
              </a:p>
            </c:rich>
          </c:tx>
          <c:layout>
            <c:manualLayout>
              <c:xMode val="edge"/>
              <c:yMode val="edge"/>
              <c:x val="1.3357135505120684E-2"/>
              <c:y val="0.35149916156313799"/>
            </c:manualLayout>
          </c:layout>
          <c:overlay val="0"/>
        </c:title>
        <c:numFmt formatCode="_(&quot;$&quot;* #,##0_);_(&quot;$&quot;* \(#,##0\);_(&quot;$&quot;* &quot;-&quot;??_);_(@_)" sourceLinked="1"/>
        <c:majorTickMark val="none"/>
        <c:minorTickMark val="none"/>
        <c:tickLblPos val="nextTo"/>
        <c:crossAx val="129625472"/>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Garamond"/>
                <a:ea typeface="Garamond"/>
                <a:cs typeface="Garamond"/>
              </a:defRPr>
            </a:pPr>
            <a:r>
              <a:rPr lang="en-US" sz="1600"/>
              <a:t>Units Installed in</a:t>
            </a:r>
            <a:r>
              <a:rPr lang="en-US" sz="1600" baseline="0"/>
              <a:t> </a:t>
            </a:r>
            <a:r>
              <a:rPr lang="en-US" sz="1600"/>
              <a:t>Region </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Garamond"/>
                <a:ea typeface="Garamond"/>
                <a:cs typeface="Garamond"/>
              </a:defRPr>
            </a:pPr>
            <a:r>
              <a:rPr lang="en-US" sz="1400" b="1" i="0" baseline="0">
                <a:effectLst/>
              </a:rPr>
              <a:t>Forklift Fuel Cell Scenario</a:t>
            </a:r>
            <a:r>
              <a:rPr lang="en-US" sz="1400"/>
              <a:t>  </a:t>
            </a:r>
            <a:r>
              <a:rPr lang="en-US" sz="1600"/>
              <a:t>          </a:t>
            </a:r>
          </a:p>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Garamond"/>
                <a:ea typeface="Garamond"/>
                <a:cs typeface="Garamond"/>
              </a:defRPr>
            </a:pPr>
            <a:r>
              <a:rPr lang="en-US" sz="1100" b="1" i="0" u="none" strike="noStrike" baseline="0">
                <a:effectLst/>
              </a:rPr>
              <a:t>JOBS FC 1.0</a:t>
            </a:r>
            <a:endParaRPr lang="en-US" sz="1100"/>
          </a:p>
        </c:rich>
      </c:tx>
      <c:overlay val="0"/>
    </c:title>
    <c:autoTitleDeleted val="0"/>
    <c:plotArea>
      <c:layout/>
      <c:barChart>
        <c:barDir val="col"/>
        <c:grouping val="clustered"/>
        <c:varyColors val="0"/>
        <c:ser>
          <c:idx val="0"/>
          <c:order val="0"/>
          <c:tx>
            <c:strRef>
              <c:f>'Forklift RESULTS-Tables'!$D$50</c:f>
              <c:strCache>
                <c:ptCount val="1"/>
                <c:pt idx="0">
                  <c:v>Class I/II Annual Installations</c:v>
                </c:pt>
              </c:strCache>
            </c:strRef>
          </c:tx>
          <c:spPr>
            <a:ln>
              <a:solidFill>
                <a:sysClr val="windowText" lastClr="000000"/>
              </a:solidFill>
            </a:ln>
          </c:spPr>
          <c:invertIfNegative val="0"/>
          <c:cat>
            <c:numRef>
              <c:f>'Forklift RESULTS-Tables'!$C$51:$C$56</c:f>
              <c:numCache>
                <c:formatCode>General</c:formatCode>
                <c:ptCount val="6"/>
                <c:pt idx="0">
                  <c:v>2015</c:v>
                </c:pt>
                <c:pt idx="1">
                  <c:v>2016</c:v>
                </c:pt>
                <c:pt idx="2">
                  <c:v>2017</c:v>
                </c:pt>
                <c:pt idx="3">
                  <c:v>2018</c:v>
                </c:pt>
                <c:pt idx="4">
                  <c:v>2019</c:v>
                </c:pt>
                <c:pt idx="5">
                  <c:v>2020</c:v>
                </c:pt>
              </c:numCache>
            </c:numRef>
          </c:cat>
          <c:val>
            <c:numRef>
              <c:f>'Forklift RESULTS-Tables'!$D$51:$D$56</c:f>
              <c:numCache>
                <c:formatCode>_(* #,##0_);_(* \(#,##0\);_(* "-"_);_(@_)</c:formatCode>
                <c:ptCount val="6"/>
                <c:pt idx="0">
                  <c:v>0</c:v>
                </c:pt>
                <c:pt idx="1">
                  <c:v>0</c:v>
                </c:pt>
                <c:pt idx="2">
                  <c:v>0</c:v>
                </c:pt>
                <c:pt idx="3">
                  <c:v>0</c:v>
                </c:pt>
                <c:pt idx="4">
                  <c:v>0</c:v>
                </c:pt>
                <c:pt idx="5">
                  <c:v>0</c:v>
                </c:pt>
              </c:numCache>
            </c:numRef>
          </c:val>
        </c:ser>
        <c:ser>
          <c:idx val="2"/>
          <c:order val="2"/>
          <c:tx>
            <c:strRef>
              <c:f>'Forklift RESULTS-Tables'!$F$50</c:f>
              <c:strCache>
                <c:ptCount val="1"/>
                <c:pt idx="0">
                  <c:v>Class III Annual Installations</c:v>
                </c:pt>
              </c:strCache>
            </c:strRef>
          </c:tx>
          <c:spPr>
            <a:solidFill>
              <a:schemeClr val="accent4"/>
            </a:solidFill>
            <a:ln>
              <a:solidFill>
                <a:sysClr val="windowText" lastClr="000000"/>
              </a:solidFill>
            </a:ln>
          </c:spPr>
          <c:invertIfNegative val="0"/>
          <c:cat>
            <c:numRef>
              <c:f>'Forklift RESULTS-Tables'!$C$51:$C$56</c:f>
              <c:numCache>
                <c:formatCode>General</c:formatCode>
                <c:ptCount val="6"/>
                <c:pt idx="0">
                  <c:v>2015</c:v>
                </c:pt>
                <c:pt idx="1">
                  <c:v>2016</c:v>
                </c:pt>
                <c:pt idx="2">
                  <c:v>2017</c:v>
                </c:pt>
                <c:pt idx="3">
                  <c:v>2018</c:v>
                </c:pt>
                <c:pt idx="4">
                  <c:v>2019</c:v>
                </c:pt>
                <c:pt idx="5">
                  <c:v>2020</c:v>
                </c:pt>
              </c:numCache>
            </c:numRef>
          </c:cat>
          <c:val>
            <c:numRef>
              <c:f>'Forklift RESULTS-Tables'!$F$51:$F$56</c:f>
              <c:numCache>
                <c:formatCode>_(* #,##0_);_(* \(#,##0\);_(*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8380928"/>
        <c:axId val="108382464"/>
      </c:barChart>
      <c:lineChart>
        <c:grouping val="standard"/>
        <c:varyColors val="0"/>
        <c:ser>
          <c:idx val="1"/>
          <c:order val="1"/>
          <c:tx>
            <c:strRef>
              <c:f>'Forklift RESULTS-Tables'!$E$50</c:f>
              <c:strCache>
                <c:ptCount val="1"/>
                <c:pt idx="0">
                  <c:v>Class I/II Units in Operation</c:v>
                </c:pt>
              </c:strCache>
            </c:strRef>
          </c:tx>
          <c:spPr>
            <a:ln>
              <a:solidFill>
                <a:schemeClr val="accent1">
                  <a:lumMod val="60000"/>
                  <a:lumOff val="40000"/>
                </a:schemeClr>
              </a:solidFill>
            </a:ln>
          </c:spPr>
          <c:marker>
            <c:symbol val="none"/>
          </c:marker>
          <c:val>
            <c:numRef>
              <c:f>'Forklift RESULTS-Tables'!$E$51:$E$56</c:f>
              <c:numCache>
                <c:formatCode>_(* #,##0_);_(* \(#,##0\);_(* "-"_);_(@_)</c:formatCode>
                <c:ptCount val="6"/>
                <c:pt idx="0">
                  <c:v>0</c:v>
                </c:pt>
                <c:pt idx="1">
                  <c:v>0</c:v>
                </c:pt>
                <c:pt idx="2">
                  <c:v>0</c:v>
                </c:pt>
                <c:pt idx="3">
                  <c:v>0</c:v>
                </c:pt>
                <c:pt idx="4">
                  <c:v>0</c:v>
                </c:pt>
                <c:pt idx="5">
                  <c:v>0</c:v>
                </c:pt>
              </c:numCache>
            </c:numRef>
          </c:val>
          <c:smooth val="0"/>
        </c:ser>
        <c:ser>
          <c:idx val="3"/>
          <c:order val="3"/>
          <c:tx>
            <c:strRef>
              <c:f>'Forklift RESULTS-Tables'!$G$50</c:f>
              <c:strCache>
                <c:ptCount val="1"/>
                <c:pt idx="0">
                  <c:v>Class III Units in Operation</c:v>
                </c:pt>
              </c:strCache>
            </c:strRef>
          </c:tx>
          <c:spPr>
            <a:ln>
              <a:solidFill>
                <a:schemeClr val="accent4">
                  <a:lumMod val="60000"/>
                  <a:lumOff val="40000"/>
                </a:schemeClr>
              </a:solidFill>
            </a:ln>
          </c:spPr>
          <c:marker>
            <c:symbol val="none"/>
          </c:marker>
          <c:val>
            <c:numRef>
              <c:f>'Forklift RESULTS-Tables'!$G$51:$G$56</c:f>
              <c:numCache>
                <c:formatCode>_(* #,##0_);_(* \(#,##0\);_(*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08380928"/>
        <c:axId val="108382464"/>
      </c:lineChart>
      <c:catAx>
        <c:axId val="10838092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08382464"/>
        <c:crosses val="autoZero"/>
        <c:auto val="1"/>
        <c:lblAlgn val="ctr"/>
        <c:lblOffset val="100"/>
        <c:noMultiLvlLbl val="0"/>
      </c:catAx>
      <c:valAx>
        <c:axId val="108382464"/>
        <c:scaling>
          <c:orientation val="minMax"/>
        </c:scaling>
        <c:delete val="0"/>
        <c:axPos val="l"/>
        <c:majorGridlines/>
        <c:title>
          <c:tx>
            <c:rich>
              <a:bodyPr rot="0" vert="horz"/>
              <a:lstStyle/>
              <a:p>
                <a:pPr>
                  <a:defRPr sz="1400" b="1"/>
                </a:pPr>
                <a:r>
                  <a:rPr lang="en-US" sz="1400" b="1"/>
                  <a:t>Forklift Fuel Cell Units</a:t>
                </a:r>
              </a:p>
            </c:rich>
          </c:tx>
          <c:layout>
            <c:manualLayout>
              <c:xMode val="edge"/>
              <c:yMode val="edge"/>
              <c:x val="5.3592242553609809E-2"/>
              <c:y val="0.43173428603317293"/>
            </c:manualLayout>
          </c:layout>
          <c:overlay val="0"/>
        </c:title>
        <c:numFmt formatCode="_(* #,##0_);_(* \(#,##0\);_(* &quot;-&quot;_);_(@_)"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08380928"/>
        <c:crosses val="autoZero"/>
        <c:crossBetween val="between"/>
      </c:valAx>
      <c:dTable>
        <c:showHorzBorder val="1"/>
        <c:showVertBorder val="1"/>
        <c:showOutline val="1"/>
        <c:showKeys val="1"/>
      </c:dTable>
    </c:plotArea>
    <c:plotVisOnly val="1"/>
    <c:dispBlanksAs val="gap"/>
    <c:showDLblsOverMax val="0"/>
  </c:chart>
  <c:txPr>
    <a:bodyPr/>
    <a:lstStyle/>
    <a:p>
      <a:pPr>
        <a:defRPr sz="1000" b="0" i="0" u="none" strike="noStrike" baseline="0">
          <a:solidFill>
            <a:srgbClr val="000000"/>
          </a:solidFill>
          <a:latin typeface="Garamond"/>
          <a:ea typeface="Garamond"/>
          <a:cs typeface="Garamond"/>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Employment Impacts (Job-years)</a:t>
            </a:r>
          </a:p>
          <a:p>
            <a:pPr>
              <a:defRPr/>
            </a:pPr>
            <a:r>
              <a:rPr lang="en-US" sz="1400"/>
              <a:t>PEM Manufacturing Facility Scenario</a:t>
            </a:r>
          </a:p>
          <a:p>
            <a:pPr>
              <a:defRPr/>
            </a:pPr>
            <a:r>
              <a:rPr lang="en-US" sz="1100"/>
              <a:t>JOBS FC 1.0</a:t>
            </a:r>
          </a:p>
          <a:p>
            <a:pPr>
              <a:defRPr/>
            </a:pPr>
            <a:endParaRPr lang="en-US"/>
          </a:p>
        </c:rich>
      </c:tx>
      <c:overlay val="0"/>
    </c:title>
    <c:autoTitleDeleted val="0"/>
    <c:plotArea>
      <c:layout/>
      <c:pieChart>
        <c:varyColors val="1"/>
        <c:ser>
          <c:idx val="0"/>
          <c:order val="0"/>
          <c:spPr>
            <a:ln>
              <a:solidFill>
                <a:sysClr val="windowText" lastClr="000000"/>
              </a:solidFill>
            </a:ln>
          </c:spPr>
          <c:dPt>
            <c:idx val="0"/>
            <c:bubble3D val="0"/>
            <c:spPr>
              <a:solidFill>
                <a:schemeClr val="bg2">
                  <a:lumMod val="50000"/>
                </a:schemeClr>
              </a:solidFill>
              <a:ln>
                <a:solidFill>
                  <a:sysClr val="windowText" lastClr="000000"/>
                </a:solidFill>
              </a:ln>
            </c:spPr>
          </c:dPt>
          <c:dPt>
            <c:idx val="1"/>
            <c:bubble3D val="0"/>
            <c:spPr>
              <a:solidFill>
                <a:schemeClr val="bg2">
                  <a:lumMod val="75000"/>
                </a:schemeClr>
              </a:solidFill>
              <a:ln>
                <a:solidFill>
                  <a:sysClr val="windowText" lastClr="000000"/>
                </a:solidFill>
              </a:ln>
            </c:spPr>
          </c:dPt>
          <c:dPt>
            <c:idx val="2"/>
            <c:bubble3D val="0"/>
            <c:spPr>
              <a:solidFill>
                <a:schemeClr val="accent5">
                  <a:lumMod val="60000"/>
                  <a:lumOff val="40000"/>
                </a:schemeClr>
              </a:solidFill>
              <a:ln>
                <a:solidFill>
                  <a:sysClr val="windowText" lastClr="000000"/>
                </a:solidFill>
              </a:ln>
            </c:spPr>
          </c:dPt>
          <c:dPt>
            <c:idx val="3"/>
            <c:bubble3D val="0"/>
            <c:spPr>
              <a:solidFill>
                <a:schemeClr val="accent5">
                  <a:lumMod val="20000"/>
                  <a:lumOff val="80000"/>
                </a:schemeClr>
              </a:solidFill>
              <a:ln>
                <a:solidFill>
                  <a:sysClr val="windowText" lastClr="000000"/>
                </a:solidFill>
              </a:ln>
            </c:spPr>
          </c:dPt>
          <c:dLbls>
            <c:txPr>
              <a:bodyPr/>
              <a:lstStyle/>
              <a:p>
                <a:pPr>
                  <a:defRPr sz="1400"/>
                </a:pPr>
                <a:endParaRPr lang="en-US"/>
              </a:p>
            </c:txPr>
            <c:dLblPos val="bestFit"/>
            <c:showLegendKey val="0"/>
            <c:showVal val="1"/>
            <c:showCatName val="0"/>
            <c:showSerName val="0"/>
            <c:showPercent val="0"/>
            <c:showBubbleSize val="0"/>
            <c:showLeaderLines val="1"/>
          </c:dLbls>
          <c:cat>
            <c:strRef>
              <c:f>('PEM Facility Const. RESULTS'!$B$15:$B$16,'PEM Facility Const. RESULTS'!$B$18:$B$19)</c:f>
              <c:strCache>
                <c:ptCount val="4"/>
                <c:pt idx="0">
                  <c:v>Construction and Closing costs - Supply Chain</c:v>
                </c:pt>
                <c:pt idx="1">
                  <c:v>Construction and Closing costs - Induced</c:v>
                </c:pt>
                <c:pt idx="2">
                  <c:v>Factory Equipment - Supply Chain</c:v>
                </c:pt>
                <c:pt idx="3">
                  <c:v>Factory Equipment - Induced</c:v>
                </c:pt>
              </c:strCache>
            </c:strRef>
          </c:cat>
          <c:val>
            <c:numRef>
              <c:f>('PEM Facility Const. RESULTS'!$C$15:$C$16,'PEM Facility Const. RESULTS'!$C$18:$C$19)</c:f>
              <c:numCache>
                <c:formatCode>_(* #,##0_);_(* \(#,##0\);_(* "-"??_);_(@_)</c:formatCode>
                <c:ptCount val="4"/>
                <c:pt idx="0">
                  <c:v>#N/A</c:v>
                </c:pt>
                <c:pt idx="1">
                  <c:v>#N/A</c:v>
                </c:pt>
                <c:pt idx="2">
                  <c:v>#N/A</c:v>
                </c:pt>
                <c:pt idx="3">
                  <c:v>#N/A</c:v>
                </c:pt>
              </c:numCache>
            </c:numRef>
          </c:val>
        </c:ser>
        <c:dLbls>
          <c:showLegendKey val="0"/>
          <c:showVal val="1"/>
          <c:showCatName val="0"/>
          <c:showSerName val="0"/>
          <c:showPercent val="0"/>
          <c:showBubbleSize val="0"/>
          <c:showLeaderLines val="1"/>
        </c:dLbls>
        <c:firstSliceAng val="0"/>
      </c:pieChart>
    </c:plotArea>
    <c:legend>
      <c:legendPos val="r"/>
      <c:overlay val="0"/>
      <c:txPr>
        <a:bodyPr/>
        <a:lstStyle/>
        <a:p>
          <a:pPr rtl="0">
            <a:defRPr sz="1200"/>
          </a:pPr>
          <a:endParaRPr lang="en-US"/>
        </a:p>
      </c:txPr>
    </c:legend>
    <c:plotVisOnly val="1"/>
    <c:dispBlanksAs val="zero"/>
    <c:showDLblsOverMax val="0"/>
  </c:chart>
  <c:txPr>
    <a:bodyPr/>
    <a:lstStyle/>
    <a:p>
      <a:pPr>
        <a:defRPr>
          <a:latin typeface="Garamond"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Garamond" pitchFamily="18" charset="0"/>
              </a:defRPr>
            </a:pPr>
            <a:r>
              <a:rPr lang="en-US">
                <a:latin typeface="Garamond" pitchFamily="18" charset="0"/>
              </a:rPr>
              <a:t>Earnings Impacts (Thousand</a:t>
            </a:r>
            <a:r>
              <a:rPr lang="en-US" baseline="0">
                <a:latin typeface="Garamond" pitchFamily="18" charset="0"/>
              </a:rPr>
              <a:t>s of </a:t>
            </a:r>
            <a:r>
              <a:rPr lang="en-US">
                <a:latin typeface="Garamond" pitchFamily="18" charset="0"/>
              </a:rPr>
              <a:t>2010$)</a:t>
            </a:r>
          </a:p>
          <a:p>
            <a:pPr>
              <a:defRPr>
                <a:latin typeface="Garamond" pitchFamily="18" charset="0"/>
              </a:defRPr>
            </a:pPr>
            <a:r>
              <a:rPr lang="en-US" sz="1400">
                <a:latin typeface="Garamond" pitchFamily="18" charset="0"/>
              </a:rPr>
              <a:t>PEM Manufacturing Facility Scenario</a:t>
            </a:r>
          </a:p>
          <a:p>
            <a:pPr>
              <a:defRPr>
                <a:latin typeface="Garamond" pitchFamily="18" charset="0"/>
              </a:defRPr>
            </a:pPr>
            <a:r>
              <a:rPr lang="en-US" sz="1100">
                <a:latin typeface="Garamond" pitchFamily="18" charset="0"/>
              </a:rPr>
              <a:t>JOBS FC 1.0</a:t>
            </a:r>
          </a:p>
        </c:rich>
      </c:tx>
      <c:overlay val="0"/>
    </c:title>
    <c:autoTitleDeleted val="0"/>
    <c:plotArea>
      <c:layout/>
      <c:pieChart>
        <c:varyColors val="1"/>
        <c:ser>
          <c:idx val="2"/>
          <c:order val="0"/>
          <c:spPr>
            <a:ln>
              <a:solidFill>
                <a:sysClr val="windowText" lastClr="000000"/>
              </a:solidFill>
            </a:ln>
          </c:spPr>
          <c:dPt>
            <c:idx val="0"/>
            <c:bubble3D val="0"/>
            <c:spPr>
              <a:solidFill>
                <a:schemeClr val="bg2">
                  <a:lumMod val="50000"/>
                </a:schemeClr>
              </a:solidFill>
              <a:ln>
                <a:solidFill>
                  <a:sysClr val="windowText" lastClr="000000"/>
                </a:solidFill>
              </a:ln>
            </c:spPr>
          </c:dPt>
          <c:dPt>
            <c:idx val="1"/>
            <c:bubble3D val="0"/>
            <c:spPr>
              <a:solidFill>
                <a:schemeClr val="bg2">
                  <a:lumMod val="75000"/>
                </a:schemeClr>
              </a:solidFill>
              <a:ln>
                <a:solidFill>
                  <a:sysClr val="windowText" lastClr="000000"/>
                </a:solidFill>
              </a:ln>
            </c:spPr>
          </c:dPt>
          <c:dPt>
            <c:idx val="2"/>
            <c:bubble3D val="0"/>
            <c:spPr>
              <a:solidFill>
                <a:schemeClr val="accent5">
                  <a:lumMod val="60000"/>
                  <a:lumOff val="40000"/>
                </a:schemeClr>
              </a:solidFill>
              <a:ln>
                <a:solidFill>
                  <a:sysClr val="windowText" lastClr="000000"/>
                </a:solidFill>
              </a:ln>
            </c:spPr>
          </c:dPt>
          <c:dPt>
            <c:idx val="3"/>
            <c:bubble3D val="0"/>
            <c:spPr>
              <a:solidFill>
                <a:schemeClr val="accent5">
                  <a:lumMod val="20000"/>
                  <a:lumOff val="80000"/>
                </a:schemeClr>
              </a:solidFill>
              <a:ln>
                <a:solidFill>
                  <a:sysClr val="windowText" lastClr="000000"/>
                </a:solidFill>
              </a:ln>
            </c:spPr>
          </c:dPt>
          <c:dLbls>
            <c:txPr>
              <a:bodyPr/>
              <a:lstStyle/>
              <a:p>
                <a:pPr>
                  <a:defRPr sz="1400"/>
                </a:pPr>
                <a:endParaRPr lang="en-US"/>
              </a:p>
            </c:txPr>
            <c:dLblPos val="bestFit"/>
            <c:showLegendKey val="0"/>
            <c:showVal val="1"/>
            <c:showCatName val="0"/>
            <c:showSerName val="0"/>
            <c:showPercent val="0"/>
            <c:showBubbleSize val="0"/>
            <c:showLeaderLines val="1"/>
          </c:dLbls>
          <c:cat>
            <c:strRef>
              <c:f>('PEM Facility Const. RESULTS'!$B$15:$B$16,'PEM Facility Const. RESULTS'!$B$18:$B$19)</c:f>
              <c:strCache>
                <c:ptCount val="4"/>
                <c:pt idx="0">
                  <c:v>Construction and Closing costs - Supply Chain</c:v>
                </c:pt>
                <c:pt idx="1">
                  <c:v>Construction and Closing costs - Induced</c:v>
                </c:pt>
                <c:pt idx="2">
                  <c:v>Factory Equipment - Supply Chain</c:v>
                </c:pt>
                <c:pt idx="3">
                  <c:v>Factory Equipment - Induced</c:v>
                </c:pt>
              </c:strCache>
            </c:strRef>
          </c:cat>
          <c:val>
            <c:numRef>
              <c:f>('PEM Facility Const. RESULTS'!$E$15:$E$16,'PEM Facility Const. RESULTS'!$E$18:$E$19)</c:f>
              <c:numCache>
                <c:formatCode>"$"#,##0</c:formatCode>
                <c:ptCount val="4"/>
                <c:pt idx="0">
                  <c:v>#N/A</c:v>
                </c:pt>
                <c:pt idx="1">
                  <c:v>#N/A</c:v>
                </c:pt>
                <c:pt idx="2">
                  <c:v>#N/A</c:v>
                </c:pt>
                <c:pt idx="3">
                  <c:v>#N/A</c:v>
                </c:pt>
              </c:numCache>
            </c:numRef>
          </c:val>
        </c:ser>
        <c:dLbls>
          <c:showLegendKey val="0"/>
          <c:showVal val="1"/>
          <c:showCatName val="0"/>
          <c:showSerName val="0"/>
          <c:showPercent val="0"/>
          <c:showBubbleSize val="0"/>
          <c:showLeaderLines val="1"/>
        </c:dLbls>
        <c:firstSliceAng val="0"/>
      </c:pieChart>
    </c:plotArea>
    <c:legend>
      <c:legendPos val="r"/>
      <c:overlay val="0"/>
      <c:txPr>
        <a:bodyPr/>
        <a:lstStyle/>
        <a:p>
          <a:pPr rtl="0">
            <a:defRPr sz="1200"/>
          </a:pPr>
          <a:endParaRPr lang="en-US"/>
        </a:p>
      </c:txPr>
    </c:legend>
    <c:plotVisOnly val="1"/>
    <c:dispBlanksAs val="zero"/>
    <c:showDLblsOverMax val="0"/>
  </c:chart>
  <c:txPr>
    <a:bodyPr/>
    <a:lstStyle/>
    <a:p>
      <a:pPr>
        <a:defRPr>
          <a:latin typeface="Garamond"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Economic</a:t>
            </a:r>
            <a:r>
              <a:rPr lang="en-US" baseline="0"/>
              <a:t> Ouput Impacts (Thousands of 2010$)</a:t>
            </a:r>
          </a:p>
          <a:p>
            <a:pPr>
              <a:defRPr/>
            </a:pPr>
            <a:r>
              <a:rPr lang="en-US" sz="1400"/>
              <a:t>PEM Manufacturing Facility </a:t>
            </a:r>
          </a:p>
          <a:p>
            <a:pPr>
              <a:defRPr/>
            </a:pPr>
            <a:r>
              <a:rPr lang="en-US" sz="1100"/>
              <a:t>JOBS FC 1.0</a:t>
            </a:r>
          </a:p>
        </c:rich>
      </c:tx>
      <c:overlay val="0"/>
    </c:title>
    <c:autoTitleDeleted val="0"/>
    <c:plotArea>
      <c:layout/>
      <c:pieChart>
        <c:varyColors val="1"/>
        <c:ser>
          <c:idx val="1"/>
          <c:order val="0"/>
          <c:spPr>
            <a:ln>
              <a:solidFill>
                <a:sysClr val="windowText" lastClr="000000"/>
              </a:solidFill>
            </a:ln>
          </c:spPr>
          <c:dPt>
            <c:idx val="0"/>
            <c:bubble3D val="0"/>
            <c:spPr>
              <a:solidFill>
                <a:schemeClr val="bg2">
                  <a:lumMod val="50000"/>
                </a:schemeClr>
              </a:solidFill>
              <a:ln>
                <a:solidFill>
                  <a:sysClr val="windowText" lastClr="000000"/>
                </a:solidFill>
              </a:ln>
            </c:spPr>
          </c:dPt>
          <c:dPt>
            <c:idx val="1"/>
            <c:bubble3D val="0"/>
            <c:spPr>
              <a:solidFill>
                <a:schemeClr val="bg2">
                  <a:lumMod val="75000"/>
                </a:schemeClr>
              </a:solidFill>
              <a:ln>
                <a:solidFill>
                  <a:sysClr val="windowText" lastClr="000000"/>
                </a:solidFill>
              </a:ln>
            </c:spPr>
          </c:dPt>
          <c:dPt>
            <c:idx val="2"/>
            <c:bubble3D val="0"/>
            <c:spPr>
              <a:solidFill>
                <a:schemeClr val="accent5">
                  <a:lumMod val="60000"/>
                  <a:lumOff val="40000"/>
                </a:schemeClr>
              </a:solidFill>
              <a:ln>
                <a:solidFill>
                  <a:sysClr val="windowText" lastClr="000000"/>
                </a:solidFill>
              </a:ln>
            </c:spPr>
          </c:dPt>
          <c:dPt>
            <c:idx val="3"/>
            <c:bubble3D val="0"/>
            <c:spPr>
              <a:solidFill>
                <a:schemeClr val="accent5">
                  <a:lumMod val="20000"/>
                  <a:lumOff val="80000"/>
                </a:schemeClr>
              </a:solidFill>
              <a:ln>
                <a:solidFill>
                  <a:sysClr val="windowText" lastClr="000000"/>
                </a:solidFill>
              </a:ln>
            </c:spPr>
          </c:dPt>
          <c:dLbls>
            <c:txPr>
              <a:bodyPr/>
              <a:lstStyle/>
              <a:p>
                <a:pPr>
                  <a:defRPr sz="1400"/>
                </a:pPr>
                <a:endParaRPr lang="en-US"/>
              </a:p>
            </c:txPr>
            <c:dLblPos val="inEnd"/>
            <c:showLegendKey val="0"/>
            <c:showVal val="1"/>
            <c:showCatName val="0"/>
            <c:showSerName val="0"/>
            <c:showPercent val="0"/>
            <c:showBubbleSize val="0"/>
            <c:showLeaderLines val="1"/>
          </c:dLbls>
          <c:cat>
            <c:strRef>
              <c:f>('PEM Facility Const. RESULTS'!$B$15:$B$16,'PEM Facility Const. RESULTS'!$B$18:$B$19)</c:f>
              <c:strCache>
                <c:ptCount val="4"/>
                <c:pt idx="0">
                  <c:v>Construction and Closing costs - Supply Chain</c:v>
                </c:pt>
                <c:pt idx="1">
                  <c:v>Construction and Closing costs - Induced</c:v>
                </c:pt>
                <c:pt idx="2">
                  <c:v>Factory Equipment - Supply Chain</c:v>
                </c:pt>
                <c:pt idx="3">
                  <c:v>Factory Equipment - Induced</c:v>
                </c:pt>
              </c:strCache>
            </c:strRef>
          </c:cat>
          <c:val>
            <c:numRef>
              <c:f>('PEM Facility Const. RESULTS'!$G$15:$G$16,'PEM Facility Const. RESULTS'!$G$18:$G$19)</c:f>
              <c:numCache>
                <c:formatCode>"$"#,##0</c:formatCode>
                <c:ptCount val="4"/>
                <c:pt idx="0">
                  <c:v>#N/A</c:v>
                </c:pt>
                <c:pt idx="1">
                  <c:v>#N/A</c:v>
                </c:pt>
                <c:pt idx="2">
                  <c:v>#N/A</c:v>
                </c:pt>
                <c:pt idx="3">
                  <c:v>#N/A</c:v>
                </c:pt>
              </c:numCache>
            </c:numRef>
          </c:val>
        </c:ser>
        <c:ser>
          <c:idx val="2"/>
          <c:order val="1"/>
          <c:spPr>
            <a:ln>
              <a:solidFill>
                <a:sysClr val="windowText" lastClr="000000"/>
              </a:solidFill>
            </a:ln>
          </c:spPr>
          <c:dPt>
            <c:idx val="0"/>
            <c:bubble3D val="0"/>
            <c:spPr>
              <a:solidFill>
                <a:schemeClr val="bg2">
                  <a:lumMod val="50000"/>
                </a:schemeClr>
              </a:solidFill>
              <a:ln>
                <a:solidFill>
                  <a:sysClr val="windowText" lastClr="000000"/>
                </a:solidFill>
              </a:ln>
            </c:spPr>
          </c:dPt>
          <c:dPt>
            <c:idx val="1"/>
            <c:bubble3D val="0"/>
            <c:spPr>
              <a:solidFill>
                <a:schemeClr val="bg2">
                  <a:lumMod val="75000"/>
                </a:schemeClr>
              </a:solidFill>
              <a:ln>
                <a:solidFill>
                  <a:sysClr val="windowText" lastClr="000000"/>
                </a:solidFill>
              </a:ln>
            </c:spPr>
          </c:dPt>
          <c:dPt>
            <c:idx val="2"/>
            <c:bubble3D val="0"/>
            <c:spPr>
              <a:solidFill>
                <a:schemeClr val="accent5">
                  <a:lumMod val="60000"/>
                  <a:lumOff val="40000"/>
                </a:schemeClr>
              </a:solidFill>
              <a:ln>
                <a:solidFill>
                  <a:sysClr val="windowText" lastClr="000000"/>
                </a:solidFill>
              </a:ln>
            </c:spPr>
          </c:dPt>
          <c:dPt>
            <c:idx val="3"/>
            <c:bubble3D val="0"/>
            <c:spPr>
              <a:solidFill>
                <a:schemeClr val="accent5">
                  <a:lumMod val="20000"/>
                  <a:lumOff val="80000"/>
                </a:schemeClr>
              </a:solidFill>
              <a:ln>
                <a:solidFill>
                  <a:sysClr val="windowText" lastClr="000000"/>
                </a:solidFill>
              </a:ln>
            </c:spPr>
          </c:dPt>
          <c:dLbls>
            <c:dLblPos val="bestFit"/>
            <c:showLegendKey val="0"/>
            <c:showVal val="1"/>
            <c:showCatName val="0"/>
            <c:showSerName val="0"/>
            <c:showPercent val="0"/>
            <c:showBubbleSize val="0"/>
            <c:showLeaderLines val="1"/>
          </c:dLbls>
          <c:cat>
            <c:strRef>
              <c:f>('PEM Facility Const. RESULTS'!$B$15:$B$16,'PEM Facility Const. RESULTS'!$B$18:$B$19)</c:f>
              <c:strCache>
                <c:ptCount val="4"/>
                <c:pt idx="0">
                  <c:v>Construction and Closing costs - Supply Chain</c:v>
                </c:pt>
                <c:pt idx="1">
                  <c:v>Construction and Closing costs - Induced</c:v>
                </c:pt>
                <c:pt idx="2">
                  <c:v>Factory Equipment - Supply Chain</c:v>
                </c:pt>
                <c:pt idx="3">
                  <c:v>Factory Equipment - Induced</c:v>
                </c:pt>
              </c:strCache>
            </c:strRef>
          </c:cat>
          <c:val>
            <c:numRef>
              <c:f>('PEM Facility Const. RESULTS'!$C$15:$C$16,'PEM Facility Const. RESULTS'!$C$18:$C$19)</c:f>
              <c:numCache>
                <c:formatCode>_(* #,##0_);_(* \(#,##0\);_(* "-"??_);_(@_)</c:formatCode>
                <c:ptCount val="4"/>
                <c:pt idx="0">
                  <c:v>#N/A</c:v>
                </c:pt>
                <c:pt idx="1">
                  <c:v>#N/A</c:v>
                </c:pt>
                <c:pt idx="2">
                  <c:v>#N/A</c:v>
                </c:pt>
                <c:pt idx="3">
                  <c:v>#N/A</c:v>
                </c:pt>
              </c:numCache>
            </c:numRef>
          </c:val>
        </c:ser>
        <c:ser>
          <c:idx val="0"/>
          <c:order val="2"/>
          <c:dLbls>
            <c:dLblPos val="inEnd"/>
            <c:showLegendKey val="0"/>
            <c:showVal val="1"/>
            <c:showCatName val="0"/>
            <c:showSerName val="0"/>
            <c:showPercent val="0"/>
            <c:showBubbleSize val="0"/>
            <c:showLeaderLines val="1"/>
          </c:dLbls>
          <c:cat>
            <c:strRef>
              <c:f>('PEM Facility Const. RESULTS'!$B$15:$B$16,'PEM Facility Const. RESULTS'!$B$18:$B$19)</c:f>
              <c:strCache>
                <c:ptCount val="4"/>
                <c:pt idx="0">
                  <c:v>Construction and Closing costs - Supply Chain</c:v>
                </c:pt>
                <c:pt idx="1">
                  <c:v>Construction and Closing costs - Induced</c:v>
                </c:pt>
                <c:pt idx="2">
                  <c:v>Factory Equipment - Supply Chain</c:v>
                </c:pt>
                <c:pt idx="3">
                  <c:v>Factory Equipment - Induced</c:v>
                </c:pt>
              </c:strCache>
            </c:strRef>
          </c:cat>
          <c:val>
            <c:numRef>
              <c:f>('PEM Facility Const. RESULTS'!$D$15:$D$16,'PEM Facility Const. RESULTS'!$D$18:$D$19)</c:f>
              <c:numCache>
                <c:formatCode>0%</c:formatCode>
                <c:ptCount val="4"/>
                <c:pt idx="0">
                  <c:v>#N/A</c:v>
                </c:pt>
                <c:pt idx="1">
                  <c:v>#N/A</c:v>
                </c:pt>
                <c:pt idx="2">
                  <c:v>#N/A</c:v>
                </c:pt>
                <c:pt idx="3">
                  <c:v>#N/A</c:v>
                </c:pt>
              </c:numCache>
            </c:numRef>
          </c:val>
        </c:ser>
        <c:ser>
          <c:idx val="3"/>
          <c:order val="3"/>
          <c:dLbls>
            <c:dLblPos val="inEnd"/>
            <c:showLegendKey val="0"/>
            <c:showVal val="1"/>
            <c:showCatName val="0"/>
            <c:showSerName val="0"/>
            <c:showPercent val="0"/>
            <c:showBubbleSize val="0"/>
            <c:showLeaderLines val="1"/>
          </c:dLbls>
          <c:cat>
            <c:strRef>
              <c:f>('PEM Facility Const. RESULTS'!$B$15:$B$16,'PEM Facility Const. RESULTS'!$B$18:$B$19)</c:f>
              <c:strCache>
                <c:ptCount val="4"/>
                <c:pt idx="0">
                  <c:v>Construction and Closing costs - Supply Chain</c:v>
                </c:pt>
                <c:pt idx="1">
                  <c:v>Construction and Closing costs - Induced</c:v>
                </c:pt>
                <c:pt idx="2">
                  <c:v>Factory Equipment - Supply Chain</c:v>
                </c:pt>
                <c:pt idx="3">
                  <c:v>Factory Equipment - Induced</c:v>
                </c:pt>
              </c:strCache>
            </c:strRef>
          </c:cat>
          <c:val>
            <c:numRef>
              <c:f>('PEM Facility Const. RESULTS'!$E$15:$E$16,'PEM Facility Const. RESULTS'!$E$18:$E$19)</c:f>
              <c:numCache>
                <c:formatCode>"$"#,##0</c:formatCode>
                <c:ptCount val="4"/>
                <c:pt idx="0">
                  <c:v>#N/A</c:v>
                </c:pt>
                <c:pt idx="1">
                  <c:v>#N/A</c:v>
                </c:pt>
                <c:pt idx="2">
                  <c:v>#N/A</c:v>
                </c:pt>
                <c:pt idx="3">
                  <c:v>#N/A</c:v>
                </c:pt>
              </c:numCache>
            </c:numRef>
          </c:val>
        </c:ser>
        <c:ser>
          <c:idx val="4"/>
          <c:order val="4"/>
          <c:dLbls>
            <c:dLblPos val="inEnd"/>
            <c:showLegendKey val="0"/>
            <c:showVal val="1"/>
            <c:showCatName val="0"/>
            <c:showSerName val="0"/>
            <c:showPercent val="0"/>
            <c:showBubbleSize val="0"/>
            <c:showLeaderLines val="1"/>
          </c:dLbls>
          <c:cat>
            <c:strRef>
              <c:f>('PEM Facility Const. RESULTS'!$B$15:$B$16,'PEM Facility Const. RESULTS'!$B$18:$B$19)</c:f>
              <c:strCache>
                <c:ptCount val="4"/>
                <c:pt idx="0">
                  <c:v>Construction and Closing costs - Supply Chain</c:v>
                </c:pt>
                <c:pt idx="1">
                  <c:v>Construction and Closing costs - Induced</c:v>
                </c:pt>
                <c:pt idx="2">
                  <c:v>Factory Equipment - Supply Chain</c:v>
                </c:pt>
                <c:pt idx="3">
                  <c:v>Factory Equipment - Induced</c:v>
                </c:pt>
              </c:strCache>
            </c:strRef>
          </c:cat>
          <c:val>
            <c:numRef>
              <c:f>('PEM Facility Const. RESULTS'!$F$15:$F$16,'PEM Facility Const. RESULTS'!$F$18:$F$19)</c:f>
              <c:numCache>
                <c:formatCode>0%</c:formatCode>
                <c:ptCount val="4"/>
                <c:pt idx="0">
                  <c:v>#N/A</c:v>
                </c:pt>
                <c:pt idx="1">
                  <c:v>#N/A</c:v>
                </c:pt>
                <c:pt idx="2">
                  <c:v>#N/A</c:v>
                </c:pt>
                <c:pt idx="3">
                  <c:v>#N/A</c:v>
                </c:pt>
              </c:numCache>
            </c:numRef>
          </c:val>
        </c:ser>
        <c:dLbls>
          <c:showLegendKey val="0"/>
          <c:showVal val="1"/>
          <c:showCatName val="0"/>
          <c:showSerName val="0"/>
          <c:showPercent val="0"/>
          <c:showBubbleSize val="0"/>
          <c:showLeaderLines val="1"/>
        </c:dLbls>
        <c:firstSliceAng val="0"/>
      </c:pieChart>
    </c:plotArea>
    <c:legend>
      <c:legendPos val="r"/>
      <c:overlay val="0"/>
      <c:txPr>
        <a:bodyPr/>
        <a:lstStyle/>
        <a:p>
          <a:pPr rtl="0">
            <a:defRPr sz="1200"/>
          </a:pPr>
          <a:endParaRPr lang="en-US"/>
        </a:p>
      </c:txPr>
    </c:legend>
    <c:plotVisOnly val="1"/>
    <c:dispBlanksAs val="zero"/>
    <c:showDLblsOverMax val="0"/>
  </c:chart>
  <c:txPr>
    <a:bodyPr/>
    <a:lstStyle/>
    <a:p>
      <a:pPr>
        <a:defRPr>
          <a:latin typeface="Garamond"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0"/>
          <c:order val="0"/>
          <c:tx>
            <c:strRef>
              <c:f>Costs!$G$13</c:f>
              <c:strCache>
                <c:ptCount val="1"/>
                <c:pt idx="0">
                  <c:v>$/kW</c:v>
                </c:pt>
              </c:strCache>
            </c:strRef>
          </c:tx>
          <c:spPr>
            <a:ln w="28575">
              <a:noFill/>
            </a:ln>
          </c:spPr>
          <c:trendline>
            <c:trendlineType val="power"/>
            <c:dispRSqr val="1"/>
            <c:dispEq val="1"/>
            <c:trendlineLbl>
              <c:layout>
                <c:manualLayout>
                  <c:x val="-2.2681977252843395E-2"/>
                  <c:y val="0.11552712160979878"/>
                </c:manualLayout>
              </c:layout>
              <c:numFmt formatCode="General" sourceLinked="0"/>
            </c:trendlineLbl>
          </c:trendline>
          <c:xVal>
            <c:numRef>
              <c:f>Costs!$F$14:$F$16</c:f>
              <c:numCache>
                <c:formatCode>General</c:formatCode>
                <c:ptCount val="3"/>
                <c:pt idx="0">
                  <c:v>300</c:v>
                </c:pt>
                <c:pt idx="1">
                  <c:v>1400</c:v>
                </c:pt>
                <c:pt idx="2">
                  <c:v>2800</c:v>
                </c:pt>
              </c:numCache>
            </c:numRef>
          </c:xVal>
          <c:yVal>
            <c:numRef>
              <c:f>Costs!$G$14:$G$16</c:f>
              <c:numCache>
                <c:formatCode>0</c:formatCode>
                <c:ptCount val="3"/>
                <c:pt idx="0">
                  <c:v>4583.3333333333339</c:v>
                </c:pt>
                <c:pt idx="1">
                  <c:v>3500</c:v>
                </c:pt>
                <c:pt idx="2">
                  <c:v>2916.666666666667</c:v>
                </c:pt>
              </c:numCache>
            </c:numRef>
          </c:yVal>
          <c:smooth val="0"/>
        </c:ser>
        <c:dLbls>
          <c:showLegendKey val="0"/>
          <c:showVal val="0"/>
          <c:showCatName val="0"/>
          <c:showSerName val="0"/>
          <c:showPercent val="0"/>
          <c:showBubbleSize val="0"/>
        </c:dLbls>
        <c:axId val="129930368"/>
        <c:axId val="129931904"/>
      </c:scatterChart>
      <c:valAx>
        <c:axId val="129930368"/>
        <c:scaling>
          <c:orientation val="minMax"/>
        </c:scaling>
        <c:delete val="0"/>
        <c:axPos val="b"/>
        <c:numFmt formatCode="General" sourceLinked="1"/>
        <c:majorTickMark val="out"/>
        <c:minorTickMark val="none"/>
        <c:tickLblPos val="nextTo"/>
        <c:crossAx val="129931904"/>
        <c:crosses val="autoZero"/>
        <c:crossBetween val="midCat"/>
      </c:valAx>
      <c:valAx>
        <c:axId val="129931904"/>
        <c:scaling>
          <c:orientation val="minMax"/>
        </c:scaling>
        <c:delete val="0"/>
        <c:axPos val="l"/>
        <c:majorGridlines/>
        <c:numFmt formatCode="0" sourceLinked="1"/>
        <c:majorTickMark val="out"/>
        <c:minorTickMark val="none"/>
        <c:tickLblPos val="nextTo"/>
        <c:crossAx val="1299303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BuP Cost Changes</a:t>
            </a:r>
          </a:p>
        </c:rich>
      </c:tx>
      <c:overlay val="0"/>
    </c:title>
    <c:autoTitleDeleted val="0"/>
    <c:plotArea>
      <c:layout/>
      <c:lineChart>
        <c:grouping val="standard"/>
        <c:varyColors val="0"/>
        <c:ser>
          <c:idx val="0"/>
          <c:order val="0"/>
          <c:tx>
            <c:strRef>
              <c:f>'Cost Charts'!$B$6</c:f>
              <c:strCache>
                <c:ptCount val="1"/>
                <c:pt idx="0">
                  <c:v>% Change Due to Learning</c:v>
                </c:pt>
              </c:strCache>
            </c:strRef>
          </c:tx>
          <c:marker>
            <c:symbol val="none"/>
          </c:marker>
          <c:cat>
            <c:numRef>
              <c:f>'Cost Charts'!$A$7:$A$17</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Charts'!$B$7:$B$17</c:f>
              <c:numCache>
                <c:formatCode>0%</c:formatCode>
                <c:ptCount val="11"/>
                <c:pt idx="0">
                  <c:v>1</c:v>
                </c:pt>
                <c:pt idx="1">
                  <c:v>0.90435380739156235</c:v>
                </c:pt>
                <c:pt idx="2">
                  <c:v>0.85169800149535402</c:v>
                </c:pt>
                <c:pt idx="3">
                  <c:v>0.81593263588733345</c:v>
                </c:pt>
                <c:pt idx="4">
                  <c:v>0.78911532563657305</c:v>
                </c:pt>
                <c:pt idx="5">
                  <c:v>0.76780265656201596</c:v>
                </c:pt>
                <c:pt idx="6">
                  <c:v>0.7502002517431855</c:v>
                </c:pt>
                <c:pt idx="7">
                  <c:v>0.73525865080689523</c:v>
                </c:pt>
                <c:pt idx="8">
                  <c:v>0.72231302816806853</c:v>
                </c:pt>
                <c:pt idx="9">
                  <c:v>0.71091671544792423</c:v>
                </c:pt>
                <c:pt idx="10">
                  <c:v>0.70075574202861046</c:v>
                </c:pt>
              </c:numCache>
            </c:numRef>
          </c:val>
          <c:smooth val="0"/>
        </c:ser>
        <c:ser>
          <c:idx val="1"/>
          <c:order val="1"/>
          <c:tx>
            <c:strRef>
              <c:f>'Cost Charts'!$C$6</c:f>
              <c:strCache>
                <c:ptCount val="1"/>
                <c:pt idx="0">
                  <c:v>% Change Due to Scale</c:v>
                </c:pt>
              </c:strCache>
            </c:strRef>
          </c:tx>
          <c:marker>
            <c:symbol val="none"/>
          </c:marker>
          <c:cat>
            <c:numRef>
              <c:f>'Cost Charts'!$A$7:$A$17</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Charts'!$C$7:$C$17</c:f>
              <c:numCache>
                <c:formatCode>0%</c:formatCode>
                <c:ptCount val="11"/>
                <c:pt idx="0">
                  <c:v>1</c:v>
                </c:pt>
                <c:pt idx="1">
                  <c:v>1.1486983549970351</c:v>
                </c:pt>
                <c:pt idx="2">
                  <c:v>1.1486983549970351</c:v>
                </c:pt>
                <c:pt idx="3">
                  <c:v>1.1486983549970351</c:v>
                </c:pt>
                <c:pt idx="4">
                  <c:v>1.1486983549970351</c:v>
                </c:pt>
                <c:pt idx="5">
                  <c:v>1.1486983549970351</c:v>
                </c:pt>
                <c:pt idx="6">
                  <c:v>1.1486983549970351</c:v>
                </c:pt>
                <c:pt idx="7">
                  <c:v>1.1486983549970351</c:v>
                </c:pt>
                <c:pt idx="8">
                  <c:v>1.1486983549970351</c:v>
                </c:pt>
                <c:pt idx="9">
                  <c:v>1.1486983549970351</c:v>
                </c:pt>
                <c:pt idx="10">
                  <c:v>1.1486983549970351</c:v>
                </c:pt>
              </c:numCache>
            </c:numRef>
          </c:val>
          <c:smooth val="0"/>
        </c:ser>
        <c:ser>
          <c:idx val="2"/>
          <c:order val="2"/>
          <c:tx>
            <c:strRef>
              <c:f>'Cost Charts'!$D$6</c:f>
              <c:strCache>
                <c:ptCount val="1"/>
                <c:pt idx="0">
                  <c:v>% Change Due to Technology</c:v>
                </c:pt>
              </c:strCache>
            </c:strRef>
          </c:tx>
          <c:marker>
            <c:symbol val="none"/>
          </c:marker>
          <c:cat>
            <c:numRef>
              <c:f>'Cost Charts'!$A$7:$A$17</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Charts'!$D$7:$D$17</c:f>
              <c:numCache>
                <c:formatCode>0.0%</c:formatCode>
                <c:ptCount val="11"/>
                <c:pt idx="0">
                  <c:v>1</c:v>
                </c:pt>
                <c:pt idx="1">
                  <c:v>0.98</c:v>
                </c:pt>
                <c:pt idx="2">
                  <c:v>0.96039999999999992</c:v>
                </c:pt>
                <c:pt idx="3">
                  <c:v>0.94119199999999992</c:v>
                </c:pt>
                <c:pt idx="4">
                  <c:v>0.92236815999999988</c:v>
                </c:pt>
                <c:pt idx="5">
                  <c:v>0.90392079679999982</c:v>
                </c:pt>
                <c:pt idx="6">
                  <c:v>0.8858423808639998</c:v>
                </c:pt>
                <c:pt idx="7">
                  <c:v>0.86812553324671982</c:v>
                </c:pt>
                <c:pt idx="8">
                  <c:v>0.85076302258178538</c:v>
                </c:pt>
                <c:pt idx="9">
                  <c:v>0.83374776213014967</c:v>
                </c:pt>
                <c:pt idx="10">
                  <c:v>0.81707280688754658</c:v>
                </c:pt>
              </c:numCache>
            </c:numRef>
          </c:val>
          <c:smooth val="0"/>
        </c:ser>
        <c:ser>
          <c:idx val="3"/>
          <c:order val="3"/>
          <c:tx>
            <c:strRef>
              <c:f>'Cost Charts'!$E$6</c:f>
              <c:strCache>
                <c:ptCount val="1"/>
                <c:pt idx="0">
                  <c:v>Combined effect</c:v>
                </c:pt>
              </c:strCache>
            </c:strRef>
          </c:tx>
          <c:spPr>
            <a:ln>
              <a:solidFill>
                <a:sysClr val="windowText" lastClr="000000"/>
              </a:solidFill>
            </a:ln>
          </c:spPr>
          <c:marker>
            <c:symbol val="none"/>
          </c:marker>
          <c:cat>
            <c:numRef>
              <c:f>'Cost Charts'!$A$7:$A$17</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Charts'!$E$7:$E$17</c:f>
              <c:numCache>
                <c:formatCode>0%</c:formatCode>
                <c:ptCount val="11"/>
                <c:pt idx="0">
                  <c:v>1</c:v>
                </c:pt>
                <c:pt idx="1">
                  <c:v>1.0180531362682734</c:v>
                </c:pt>
                <c:pt idx="2">
                  <c:v>0.93960166717840521</c:v>
                </c:pt>
                <c:pt idx="3">
                  <c:v>0.88214206252238969</c:v>
                </c:pt>
                <c:pt idx="4">
                  <c:v>0.83608566994588407</c:v>
                </c:pt>
                <c:pt idx="5">
                  <c:v>0.79723432315856635</c:v>
                </c:pt>
                <c:pt idx="6">
                  <c:v>0.76337803356621436</c:v>
                </c:pt>
                <c:pt idx="7">
                  <c:v>0.7332104937009597</c:v>
                </c:pt>
                <c:pt idx="8">
                  <c:v>0.70589491409637484</c:v>
                </c:pt>
                <c:pt idx="9">
                  <c:v>0.68086248582898623</c:v>
                </c:pt>
                <c:pt idx="10">
                  <c:v>0.65770844936794204</c:v>
                </c:pt>
              </c:numCache>
            </c:numRef>
          </c:val>
          <c:smooth val="0"/>
        </c:ser>
        <c:dLbls>
          <c:showLegendKey val="0"/>
          <c:showVal val="0"/>
          <c:showCatName val="0"/>
          <c:showSerName val="0"/>
          <c:showPercent val="0"/>
          <c:showBubbleSize val="0"/>
        </c:dLbls>
        <c:marker val="1"/>
        <c:smooth val="0"/>
        <c:axId val="129709952"/>
        <c:axId val="129711488"/>
      </c:lineChart>
      <c:catAx>
        <c:axId val="129709952"/>
        <c:scaling>
          <c:orientation val="minMax"/>
        </c:scaling>
        <c:delete val="0"/>
        <c:axPos val="b"/>
        <c:numFmt formatCode="General" sourceLinked="1"/>
        <c:majorTickMark val="out"/>
        <c:minorTickMark val="none"/>
        <c:tickLblPos val="nextTo"/>
        <c:crossAx val="129711488"/>
        <c:crosses val="autoZero"/>
        <c:auto val="1"/>
        <c:lblAlgn val="ctr"/>
        <c:lblOffset val="100"/>
        <c:noMultiLvlLbl val="0"/>
      </c:catAx>
      <c:valAx>
        <c:axId val="129711488"/>
        <c:scaling>
          <c:orientation val="minMax"/>
        </c:scaling>
        <c:delete val="0"/>
        <c:axPos val="l"/>
        <c:majorGridlines/>
        <c:numFmt formatCode="0%" sourceLinked="1"/>
        <c:majorTickMark val="out"/>
        <c:minorTickMark val="none"/>
        <c:tickLblPos val="nextTo"/>
        <c:crossAx val="1297099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Forklift Cost Changes</a:t>
            </a:r>
          </a:p>
        </c:rich>
      </c:tx>
      <c:overlay val="0"/>
    </c:title>
    <c:autoTitleDeleted val="0"/>
    <c:plotArea>
      <c:layout/>
      <c:lineChart>
        <c:grouping val="standard"/>
        <c:varyColors val="0"/>
        <c:ser>
          <c:idx val="0"/>
          <c:order val="0"/>
          <c:tx>
            <c:strRef>
              <c:f>'Cost Charts'!$B$22</c:f>
              <c:strCache>
                <c:ptCount val="1"/>
                <c:pt idx="0">
                  <c:v>% Change Due to Learning</c:v>
                </c:pt>
              </c:strCache>
            </c:strRef>
          </c:tx>
          <c:marker>
            <c:symbol val="none"/>
          </c:marker>
          <c:cat>
            <c:numRef>
              <c:f>'Cost Charts'!$A$23:$A$33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Charts'!$B$23:$B$33</c:f>
              <c:numCache>
                <c:formatCode>0%</c:formatCode>
                <c:ptCount val="11"/>
                <c:pt idx="0">
                  <c:v>1</c:v>
                </c:pt>
                <c:pt idx="1">
                  <c:v>0.89263376434226682</c:v>
                </c:pt>
                <c:pt idx="2">
                  <c:v>0.83706424936270252</c:v>
                </c:pt>
                <c:pt idx="3">
                  <c:v>0.80020465083133285</c:v>
                </c:pt>
                <c:pt idx="4">
                  <c:v>0.77291685958518153</c:v>
                </c:pt>
                <c:pt idx="5">
                  <c:v>0.75140283539760178</c:v>
                </c:pt>
                <c:pt idx="6">
                  <c:v>0.73373132917182904</c:v>
                </c:pt>
                <c:pt idx="7">
                  <c:v>0.71879099104818656</c:v>
                </c:pt>
                <c:pt idx="8">
                  <c:v>0.70588589186833184</c:v>
                </c:pt>
                <c:pt idx="9">
                  <c:v>0.69455251838460985</c:v>
                </c:pt>
                <c:pt idx="10">
                  <c:v>0.68446726558092008</c:v>
                </c:pt>
              </c:numCache>
            </c:numRef>
          </c:val>
          <c:smooth val="0"/>
        </c:ser>
        <c:ser>
          <c:idx val="1"/>
          <c:order val="1"/>
          <c:tx>
            <c:strRef>
              <c:f>'Cost Charts'!$C$22</c:f>
              <c:strCache>
                <c:ptCount val="1"/>
                <c:pt idx="0">
                  <c:v>% Change Due to Scale</c:v>
                </c:pt>
              </c:strCache>
            </c:strRef>
          </c:tx>
          <c:marker>
            <c:symbol val="none"/>
          </c:marker>
          <c:cat>
            <c:numRef>
              <c:f>'Cost Charts'!$A$23:$A$33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Charts'!$C$23:$C$33</c:f>
              <c:numCache>
                <c:formatCode>0%</c:formatCode>
                <c:ptCount val="11"/>
                <c:pt idx="0">
                  <c:v>1</c:v>
                </c:pt>
                <c:pt idx="1">
                  <c:v>1.1486983549970351</c:v>
                </c:pt>
                <c:pt idx="2">
                  <c:v>1.1486983549970351</c:v>
                </c:pt>
                <c:pt idx="3">
                  <c:v>1.1486983549970351</c:v>
                </c:pt>
                <c:pt idx="4">
                  <c:v>1.1486983549970351</c:v>
                </c:pt>
                <c:pt idx="5">
                  <c:v>1.1486983549970351</c:v>
                </c:pt>
                <c:pt idx="6">
                  <c:v>1.1486983549970351</c:v>
                </c:pt>
                <c:pt idx="7">
                  <c:v>1.1486983549970351</c:v>
                </c:pt>
                <c:pt idx="8">
                  <c:v>1.1486983549970351</c:v>
                </c:pt>
                <c:pt idx="9">
                  <c:v>1.1486983549970351</c:v>
                </c:pt>
                <c:pt idx="10">
                  <c:v>1.1486983549970351</c:v>
                </c:pt>
              </c:numCache>
            </c:numRef>
          </c:val>
          <c:smooth val="0"/>
        </c:ser>
        <c:ser>
          <c:idx val="2"/>
          <c:order val="2"/>
          <c:tx>
            <c:strRef>
              <c:f>'Cost Charts'!$D$22</c:f>
              <c:strCache>
                <c:ptCount val="1"/>
                <c:pt idx="0">
                  <c:v>% Change Due to Technology</c:v>
                </c:pt>
              </c:strCache>
            </c:strRef>
          </c:tx>
          <c:marker>
            <c:symbol val="none"/>
          </c:marker>
          <c:cat>
            <c:numRef>
              <c:f>'Cost Charts'!$A$23:$A$33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Charts'!$D$23:$D$33</c:f>
              <c:numCache>
                <c:formatCode>0%</c:formatCode>
                <c:ptCount val="11"/>
                <c:pt idx="0">
                  <c:v>1</c:v>
                </c:pt>
                <c:pt idx="1">
                  <c:v>0.98</c:v>
                </c:pt>
                <c:pt idx="2">
                  <c:v>0.96039999999999992</c:v>
                </c:pt>
                <c:pt idx="3">
                  <c:v>0.94119199999999992</c:v>
                </c:pt>
                <c:pt idx="4">
                  <c:v>0.92236815999999988</c:v>
                </c:pt>
                <c:pt idx="5">
                  <c:v>0.90392079679999982</c:v>
                </c:pt>
                <c:pt idx="6">
                  <c:v>0.8858423808639998</c:v>
                </c:pt>
                <c:pt idx="7">
                  <c:v>0.86812553324671982</c:v>
                </c:pt>
                <c:pt idx="8">
                  <c:v>0.85076302258178538</c:v>
                </c:pt>
                <c:pt idx="9">
                  <c:v>0.83374776213014967</c:v>
                </c:pt>
                <c:pt idx="10">
                  <c:v>0.81707280688754658</c:v>
                </c:pt>
              </c:numCache>
            </c:numRef>
          </c:val>
          <c:smooth val="0"/>
        </c:ser>
        <c:ser>
          <c:idx val="3"/>
          <c:order val="3"/>
          <c:tx>
            <c:strRef>
              <c:f>'Cost Charts'!$E$22</c:f>
              <c:strCache>
                <c:ptCount val="1"/>
                <c:pt idx="0">
                  <c:v>Combined effect</c:v>
                </c:pt>
              </c:strCache>
            </c:strRef>
          </c:tx>
          <c:spPr>
            <a:ln>
              <a:solidFill>
                <a:sysClr val="windowText" lastClr="000000"/>
              </a:solidFill>
            </a:ln>
          </c:spPr>
          <c:marker>
            <c:symbol val="none"/>
          </c:marker>
          <c:cat>
            <c:numRef>
              <c:f>'Cost Charts'!$A$23:$A$33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Charts'!$E$23:$E$33</c:f>
              <c:numCache>
                <c:formatCode>0%</c:formatCode>
                <c:ptCount val="11"/>
                <c:pt idx="0">
                  <c:v>1</c:v>
                </c:pt>
                <c:pt idx="1">
                  <c:v>1.0048595979804775</c:v>
                </c:pt>
                <c:pt idx="2">
                  <c:v>0.92345756694948156</c:v>
                </c:pt>
                <c:pt idx="3">
                  <c:v>0.86513781907582965</c:v>
                </c:pt>
                <c:pt idx="4">
                  <c:v>0.81892302603227352</c:v>
                </c:pt>
                <c:pt idx="5">
                  <c:v>0.78020585859909619</c:v>
                </c:pt>
                <c:pt idx="6">
                  <c:v>0.7466198230773966</c:v>
                </c:pt>
                <c:pt idx="7">
                  <c:v>0.71678870671683981</c:v>
                </c:pt>
                <c:pt idx="8">
                  <c:v>0.6898411652161125</c:v>
                </c:pt>
                <c:pt idx="9">
                  <c:v>0.66519009038656984</c:v>
                </c:pt>
                <c:pt idx="10">
                  <c:v>0.64242057094690552</c:v>
                </c:pt>
              </c:numCache>
            </c:numRef>
          </c:val>
          <c:smooth val="0"/>
        </c:ser>
        <c:dLbls>
          <c:showLegendKey val="0"/>
          <c:showVal val="0"/>
          <c:showCatName val="0"/>
          <c:showSerName val="0"/>
          <c:showPercent val="0"/>
          <c:showBubbleSize val="0"/>
        </c:dLbls>
        <c:marker val="1"/>
        <c:smooth val="0"/>
        <c:axId val="129750912"/>
        <c:axId val="129752448"/>
      </c:lineChart>
      <c:catAx>
        <c:axId val="129750912"/>
        <c:scaling>
          <c:orientation val="minMax"/>
        </c:scaling>
        <c:delete val="0"/>
        <c:axPos val="b"/>
        <c:numFmt formatCode="General" sourceLinked="1"/>
        <c:majorTickMark val="out"/>
        <c:minorTickMark val="none"/>
        <c:tickLblPos val="nextTo"/>
        <c:crossAx val="129752448"/>
        <c:crosses val="autoZero"/>
        <c:auto val="1"/>
        <c:lblAlgn val="ctr"/>
        <c:lblOffset val="100"/>
        <c:noMultiLvlLbl val="0"/>
      </c:catAx>
      <c:valAx>
        <c:axId val="129752448"/>
        <c:scaling>
          <c:orientation val="minMax"/>
        </c:scaling>
        <c:delete val="0"/>
        <c:axPos val="l"/>
        <c:majorGridlines/>
        <c:numFmt formatCode="0%" sourceLinked="1"/>
        <c:majorTickMark val="out"/>
        <c:minorTickMark val="none"/>
        <c:tickLblPos val="nextTo"/>
        <c:crossAx val="1297509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'Cost Charts'!$B$6</c:f>
              <c:strCache>
                <c:ptCount val="1"/>
                <c:pt idx="0">
                  <c:v>% Change Due to Learning</c:v>
                </c:pt>
              </c:strCache>
            </c:strRef>
          </c:tx>
          <c:marker>
            <c:symbol val="none"/>
          </c:marker>
          <c:cat>
            <c:numRef>
              <c:f>'Cost Charts'!$A$7:$A$17</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Charts'!$B$7:$B$17</c:f>
              <c:numCache>
                <c:formatCode>0%</c:formatCode>
                <c:ptCount val="11"/>
                <c:pt idx="0">
                  <c:v>1</c:v>
                </c:pt>
                <c:pt idx="1">
                  <c:v>0.90435380739156235</c:v>
                </c:pt>
                <c:pt idx="2">
                  <c:v>0.85169800149535402</c:v>
                </c:pt>
                <c:pt idx="3">
                  <c:v>0.81593263588733345</c:v>
                </c:pt>
                <c:pt idx="4">
                  <c:v>0.78911532563657305</c:v>
                </c:pt>
                <c:pt idx="5">
                  <c:v>0.76780265656201596</c:v>
                </c:pt>
                <c:pt idx="6">
                  <c:v>0.7502002517431855</c:v>
                </c:pt>
                <c:pt idx="7">
                  <c:v>0.73525865080689523</c:v>
                </c:pt>
                <c:pt idx="8">
                  <c:v>0.72231302816806853</c:v>
                </c:pt>
                <c:pt idx="9">
                  <c:v>0.71091671544792423</c:v>
                </c:pt>
                <c:pt idx="10">
                  <c:v>0.70075574202861046</c:v>
                </c:pt>
              </c:numCache>
            </c:numRef>
          </c:val>
          <c:smooth val="0"/>
        </c:ser>
        <c:dLbls>
          <c:showLegendKey val="0"/>
          <c:showVal val="0"/>
          <c:showCatName val="0"/>
          <c:showSerName val="0"/>
          <c:showPercent val="0"/>
          <c:showBubbleSize val="0"/>
        </c:dLbls>
        <c:marker val="1"/>
        <c:smooth val="0"/>
        <c:axId val="129789312"/>
        <c:axId val="129799296"/>
      </c:lineChart>
      <c:catAx>
        <c:axId val="129789312"/>
        <c:scaling>
          <c:orientation val="minMax"/>
        </c:scaling>
        <c:delete val="0"/>
        <c:axPos val="b"/>
        <c:numFmt formatCode="General" sourceLinked="1"/>
        <c:majorTickMark val="out"/>
        <c:minorTickMark val="none"/>
        <c:tickLblPos val="nextTo"/>
        <c:crossAx val="129799296"/>
        <c:crosses val="autoZero"/>
        <c:auto val="1"/>
        <c:lblAlgn val="ctr"/>
        <c:lblOffset val="100"/>
        <c:noMultiLvlLbl val="0"/>
      </c:catAx>
      <c:valAx>
        <c:axId val="129799296"/>
        <c:scaling>
          <c:orientation val="minMax"/>
        </c:scaling>
        <c:delete val="0"/>
        <c:axPos val="l"/>
        <c:majorGridlines/>
        <c:numFmt formatCode="0%" sourceLinked="1"/>
        <c:majorTickMark val="out"/>
        <c:minorTickMark val="none"/>
        <c:tickLblPos val="nextTo"/>
        <c:crossAx val="1297893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'Cost Charts'!$D$6</c:f>
              <c:strCache>
                <c:ptCount val="1"/>
                <c:pt idx="0">
                  <c:v>% Change Due to Technology</c:v>
                </c:pt>
              </c:strCache>
            </c:strRef>
          </c:tx>
          <c:marker>
            <c:symbol val="none"/>
          </c:marker>
          <c:cat>
            <c:numRef>
              <c:f>'Cost Charts'!$A$7:$A$17</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Charts'!$D$7:$D$17</c:f>
              <c:numCache>
                <c:formatCode>0.0%</c:formatCode>
                <c:ptCount val="11"/>
                <c:pt idx="0">
                  <c:v>1</c:v>
                </c:pt>
                <c:pt idx="1">
                  <c:v>0.98</c:v>
                </c:pt>
                <c:pt idx="2">
                  <c:v>0.96039999999999992</c:v>
                </c:pt>
                <c:pt idx="3">
                  <c:v>0.94119199999999992</c:v>
                </c:pt>
                <c:pt idx="4">
                  <c:v>0.92236815999999988</c:v>
                </c:pt>
                <c:pt idx="5">
                  <c:v>0.90392079679999982</c:v>
                </c:pt>
                <c:pt idx="6">
                  <c:v>0.8858423808639998</c:v>
                </c:pt>
                <c:pt idx="7">
                  <c:v>0.86812553324671982</c:v>
                </c:pt>
                <c:pt idx="8">
                  <c:v>0.85076302258178538</c:v>
                </c:pt>
                <c:pt idx="9">
                  <c:v>0.83374776213014967</c:v>
                </c:pt>
                <c:pt idx="10">
                  <c:v>0.81707280688754658</c:v>
                </c:pt>
              </c:numCache>
            </c:numRef>
          </c:val>
          <c:smooth val="0"/>
        </c:ser>
        <c:dLbls>
          <c:showLegendKey val="0"/>
          <c:showVal val="0"/>
          <c:showCatName val="0"/>
          <c:showSerName val="0"/>
          <c:showPercent val="0"/>
          <c:showBubbleSize val="0"/>
        </c:dLbls>
        <c:marker val="1"/>
        <c:smooth val="0"/>
        <c:axId val="129811584"/>
        <c:axId val="129813120"/>
      </c:lineChart>
      <c:catAx>
        <c:axId val="129811584"/>
        <c:scaling>
          <c:orientation val="minMax"/>
        </c:scaling>
        <c:delete val="0"/>
        <c:axPos val="b"/>
        <c:numFmt formatCode="General" sourceLinked="1"/>
        <c:majorTickMark val="out"/>
        <c:minorTickMark val="none"/>
        <c:tickLblPos val="nextTo"/>
        <c:crossAx val="129813120"/>
        <c:crosses val="autoZero"/>
        <c:auto val="1"/>
        <c:lblAlgn val="ctr"/>
        <c:lblOffset val="100"/>
        <c:noMultiLvlLbl val="0"/>
      </c:catAx>
      <c:valAx>
        <c:axId val="129813120"/>
        <c:scaling>
          <c:orientation val="minMax"/>
        </c:scaling>
        <c:delete val="0"/>
        <c:axPos val="l"/>
        <c:majorGridlines/>
        <c:numFmt formatCode="0.0%" sourceLinked="1"/>
        <c:majorTickMark val="out"/>
        <c:minorTickMark val="none"/>
        <c:tickLblPos val="nextTo"/>
        <c:crossAx val="1298115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Prime Cost Changes</a:t>
            </a:r>
          </a:p>
        </c:rich>
      </c:tx>
      <c:overlay val="0"/>
    </c:title>
    <c:autoTitleDeleted val="0"/>
    <c:plotArea>
      <c:layout/>
      <c:lineChart>
        <c:grouping val="standard"/>
        <c:varyColors val="0"/>
        <c:ser>
          <c:idx val="0"/>
          <c:order val="0"/>
          <c:tx>
            <c:strRef>
              <c:f>'Cost Charts'!$B$38</c:f>
              <c:strCache>
                <c:ptCount val="1"/>
                <c:pt idx="0">
                  <c:v>% Change Due to Learning</c:v>
                </c:pt>
              </c:strCache>
            </c:strRef>
          </c:tx>
          <c:marker>
            <c:symbol val="none"/>
          </c:marker>
          <c:cat>
            <c:numRef>
              <c:f>'Cost Charts'!$A$39:$A$49</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Charts'!$B$39:$B$49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1"/>
          <c:order val="1"/>
          <c:tx>
            <c:strRef>
              <c:f>'Cost Charts'!$C$38</c:f>
              <c:strCache>
                <c:ptCount val="1"/>
                <c:pt idx="0">
                  <c:v>% Change Due to Scale</c:v>
                </c:pt>
              </c:strCache>
            </c:strRef>
          </c:tx>
          <c:marker>
            <c:symbol val="none"/>
          </c:marker>
          <c:cat>
            <c:numRef>
              <c:f>'Cost Charts'!$A$39:$A$49</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Charts'!$C$39:$C$49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2"/>
          <c:order val="2"/>
          <c:tx>
            <c:strRef>
              <c:f>'Cost Charts'!$D$38</c:f>
              <c:strCache>
                <c:ptCount val="1"/>
                <c:pt idx="0">
                  <c:v>% Change Due to Technology</c:v>
                </c:pt>
              </c:strCache>
            </c:strRef>
          </c:tx>
          <c:marker>
            <c:symbol val="none"/>
          </c:marker>
          <c:cat>
            <c:numRef>
              <c:f>'Cost Charts'!$A$39:$A$49</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Charts'!$D$39:$D$49</c:f>
              <c:numCache>
                <c:formatCode>0%</c:formatCode>
                <c:ptCount val="11"/>
                <c:pt idx="0">
                  <c:v>1</c:v>
                </c:pt>
                <c:pt idx="1">
                  <c:v>0.98</c:v>
                </c:pt>
                <c:pt idx="2">
                  <c:v>0.96039999999999992</c:v>
                </c:pt>
                <c:pt idx="3">
                  <c:v>0.94119199999999992</c:v>
                </c:pt>
                <c:pt idx="4">
                  <c:v>0.92236815999999988</c:v>
                </c:pt>
                <c:pt idx="5">
                  <c:v>0.90392079679999982</c:v>
                </c:pt>
                <c:pt idx="6">
                  <c:v>0.8858423808639998</c:v>
                </c:pt>
                <c:pt idx="7">
                  <c:v>0.86812553324671982</c:v>
                </c:pt>
                <c:pt idx="8">
                  <c:v>0.85076302258178538</c:v>
                </c:pt>
                <c:pt idx="9">
                  <c:v>0.83374776213014967</c:v>
                </c:pt>
                <c:pt idx="10">
                  <c:v>0.81707280688754658</c:v>
                </c:pt>
              </c:numCache>
            </c:numRef>
          </c:val>
          <c:smooth val="0"/>
        </c:ser>
        <c:ser>
          <c:idx val="3"/>
          <c:order val="3"/>
          <c:tx>
            <c:strRef>
              <c:f>'Cost Charts'!$E$38</c:f>
              <c:strCache>
                <c:ptCount val="1"/>
                <c:pt idx="0">
                  <c:v>Combined effect</c:v>
                </c:pt>
              </c:strCache>
            </c:strRef>
          </c:tx>
          <c:spPr>
            <a:ln>
              <a:solidFill>
                <a:sysClr val="windowText" lastClr="000000"/>
              </a:solidFill>
            </a:ln>
          </c:spPr>
          <c:marker>
            <c:symbol val="none"/>
          </c:marker>
          <c:cat>
            <c:numRef>
              <c:f>'Cost Charts'!$A$39:$A$49</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Charts'!$E$39:$E$49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dLbls>
          <c:showLegendKey val="0"/>
          <c:showVal val="0"/>
          <c:showCatName val="0"/>
          <c:showSerName val="0"/>
          <c:showPercent val="0"/>
          <c:showBubbleSize val="0"/>
        </c:dLbls>
        <c:marker val="1"/>
        <c:smooth val="0"/>
        <c:axId val="130061440"/>
        <c:axId val="130062976"/>
      </c:lineChart>
      <c:catAx>
        <c:axId val="130061440"/>
        <c:scaling>
          <c:orientation val="minMax"/>
        </c:scaling>
        <c:delete val="0"/>
        <c:axPos val="b"/>
        <c:numFmt formatCode="General" sourceLinked="1"/>
        <c:majorTickMark val="out"/>
        <c:minorTickMark val="none"/>
        <c:tickLblPos val="nextTo"/>
        <c:crossAx val="130062976"/>
        <c:crosses val="autoZero"/>
        <c:auto val="1"/>
        <c:lblAlgn val="ctr"/>
        <c:lblOffset val="100"/>
        <c:noMultiLvlLbl val="0"/>
      </c:catAx>
      <c:valAx>
        <c:axId val="130062976"/>
        <c:scaling>
          <c:orientation val="minMax"/>
        </c:scaling>
        <c:delete val="0"/>
        <c:axPos val="l"/>
        <c:majorGridlines/>
        <c:numFmt formatCode="0%" sourceLinked="1"/>
        <c:majorTickMark val="out"/>
        <c:minorTickMark val="none"/>
        <c:tickLblPos val="nextTo"/>
        <c:crossAx val="1300614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'Cost Charts'!$B$38</c:f>
              <c:strCache>
                <c:ptCount val="1"/>
                <c:pt idx="0">
                  <c:v>% Change Due to Learning</c:v>
                </c:pt>
              </c:strCache>
            </c:strRef>
          </c:tx>
          <c:marker>
            <c:symbol val="none"/>
          </c:marker>
          <c:cat>
            <c:numRef>
              <c:f>'Cost Charts'!$A$39:$A$49</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'Cost Charts'!$B$39:$B$49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dLbls>
          <c:showLegendKey val="0"/>
          <c:showVal val="0"/>
          <c:showCatName val="0"/>
          <c:showSerName val="0"/>
          <c:showPercent val="0"/>
          <c:showBubbleSize val="0"/>
        </c:dLbls>
        <c:marker val="1"/>
        <c:smooth val="0"/>
        <c:axId val="130087552"/>
        <c:axId val="130089344"/>
      </c:lineChart>
      <c:catAx>
        <c:axId val="130087552"/>
        <c:scaling>
          <c:orientation val="minMax"/>
        </c:scaling>
        <c:delete val="0"/>
        <c:axPos val="b"/>
        <c:numFmt formatCode="General" sourceLinked="1"/>
        <c:majorTickMark val="out"/>
        <c:minorTickMark val="none"/>
        <c:tickLblPos val="nextTo"/>
        <c:crossAx val="130089344"/>
        <c:crosses val="autoZero"/>
        <c:auto val="1"/>
        <c:lblAlgn val="ctr"/>
        <c:lblOffset val="100"/>
        <c:noMultiLvlLbl val="0"/>
      </c:catAx>
      <c:valAx>
        <c:axId val="130089344"/>
        <c:scaling>
          <c:orientation val="minMax"/>
        </c:scaling>
        <c:delete val="0"/>
        <c:axPos val="l"/>
        <c:majorGridlines/>
        <c:numFmt formatCode="0%" sourceLinked="1"/>
        <c:majorTickMark val="out"/>
        <c:minorTickMark val="none"/>
        <c:tickLblPos val="nextTo"/>
        <c:crossAx val="1300875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Garamond"/>
                <a:ea typeface="Garamond"/>
                <a:cs typeface="Garamond"/>
              </a:defRPr>
            </a:pPr>
            <a:r>
              <a:rPr lang="en-US" sz="1500"/>
              <a:t>Forklift</a:t>
            </a:r>
            <a:r>
              <a:rPr lang="en-US" sz="1500" baseline="0"/>
              <a:t> Fuel Cell </a:t>
            </a:r>
            <a:r>
              <a:rPr lang="en-US" sz="1500"/>
              <a:t>H2 Fueling Site Installations</a:t>
            </a:r>
            <a:r>
              <a:rPr lang="en-US" sz="1500" baseline="0"/>
              <a:t> </a:t>
            </a:r>
            <a:r>
              <a:rPr lang="en-US" sz="1500"/>
              <a:t>in Region </a:t>
            </a: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Garamond"/>
                <a:ea typeface="Garamond"/>
                <a:cs typeface="Garamond"/>
              </a:defRPr>
            </a:pPr>
            <a:r>
              <a:rPr lang="en-US" sz="1400" b="1" i="0" baseline="0">
                <a:effectLst/>
              </a:rPr>
              <a:t>Forklift Fuel Cell Scenario</a:t>
            </a:r>
            <a:endParaRPr lang="en-U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rgbClr val="000000"/>
                </a:solidFill>
                <a:latin typeface="Garamond"/>
                <a:ea typeface="Garamond"/>
                <a:cs typeface="Garamond"/>
              </a:defRPr>
            </a:pPr>
            <a:r>
              <a:rPr lang="en-US" sz="1100" b="1" i="0" u="none" strike="noStrike" baseline="0">
                <a:effectLst/>
              </a:rPr>
              <a:t>JOBS FC 1.0</a:t>
            </a:r>
            <a:endParaRPr lang="en-US" sz="1100"/>
          </a:p>
        </c:rich>
      </c:tx>
      <c:overlay val="0"/>
    </c:title>
    <c:autoTitleDeleted val="0"/>
    <c:plotArea>
      <c:layout/>
      <c:barChart>
        <c:barDir val="col"/>
        <c:grouping val="clustered"/>
        <c:varyColors val="0"/>
        <c:ser>
          <c:idx val="0"/>
          <c:order val="0"/>
          <c:tx>
            <c:strRef>
              <c:f>'Forklift RESULTS-Tables'!$D$58</c:f>
              <c:strCache>
                <c:ptCount val="1"/>
                <c:pt idx="0">
                  <c:v>Annual Forklift Fueling Site Installations</c:v>
                </c:pt>
              </c:strCache>
            </c:strRef>
          </c:tx>
          <c:spPr>
            <a:solidFill>
              <a:schemeClr val="accent1">
                <a:lumMod val="60000"/>
                <a:lumOff val="40000"/>
              </a:schemeClr>
            </a:solidFill>
            <a:ln>
              <a:solidFill>
                <a:sysClr val="windowText" lastClr="000000"/>
              </a:solidFill>
            </a:ln>
          </c:spPr>
          <c:invertIfNegative val="0"/>
          <c:cat>
            <c:numRef>
              <c:f>'Forklift RESULTS-Tables'!$C$59:$C$64</c:f>
              <c:numCache>
                <c:formatCode>General</c:formatCode>
                <c:ptCount val="6"/>
                <c:pt idx="0">
                  <c:v>2015</c:v>
                </c:pt>
                <c:pt idx="1">
                  <c:v>2016</c:v>
                </c:pt>
                <c:pt idx="2">
                  <c:v>2017</c:v>
                </c:pt>
                <c:pt idx="3">
                  <c:v>2018</c:v>
                </c:pt>
                <c:pt idx="4">
                  <c:v>2019</c:v>
                </c:pt>
                <c:pt idx="5">
                  <c:v>2020</c:v>
                </c:pt>
              </c:numCache>
            </c:numRef>
          </c:cat>
          <c:val>
            <c:numRef>
              <c:f>'Forklift RESULTS-Tables'!$D$59:$D$64</c:f>
              <c:numCache>
                <c:formatCode>_(* #,##0_);_(* \(#,##0\);_(* "-"_);_(@_)</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1367680"/>
        <c:axId val="111369216"/>
      </c:barChart>
      <c:lineChart>
        <c:grouping val="standard"/>
        <c:varyColors val="0"/>
        <c:ser>
          <c:idx val="1"/>
          <c:order val="1"/>
          <c:tx>
            <c:strRef>
              <c:f>'Forklift RESULTS-Tables'!$F$58</c:f>
              <c:strCache>
                <c:ptCount val="1"/>
                <c:pt idx="0">
                  <c:v>Cumulative Forklift H2 Fueling Sites in Operation</c:v>
                </c:pt>
              </c:strCache>
            </c:strRef>
          </c:tx>
          <c:spPr>
            <a:ln>
              <a:solidFill>
                <a:schemeClr val="accent1">
                  <a:lumMod val="40000"/>
                  <a:lumOff val="60000"/>
                </a:schemeClr>
              </a:solidFill>
            </a:ln>
          </c:spPr>
          <c:marker>
            <c:symbol val="none"/>
          </c:marker>
          <c:val>
            <c:numRef>
              <c:f>'Forklift RESULTS-Tables'!$F$59:$F$64</c:f>
              <c:numCache>
                <c:formatCode>_(* #,##0_);_(* \(#,##0\);_(*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11367680"/>
        <c:axId val="111369216"/>
      </c:lineChart>
      <c:catAx>
        <c:axId val="11136768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11369216"/>
        <c:crosses val="autoZero"/>
        <c:auto val="1"/>
        <c:lblAlgn val="ctr"/>
        <c:lblOffset val="100"/>
        <c:noMultiLvlLbl val="0"/>
      </c:catAx>
      <c:valAx>
        <c:axId val="111369216"/>
        <c:scaling>
          <c:orientation val="minMax"/>
        </c:scaling>
        <c:delete val="0"/>
        <c:axPos val="l"/>
        <c:majorGridlines/>
        <c:title>
          <c:tx>
            <c:rich>
              <a:bodyPr rot="0" vert="horz"/>
              <a:lstStyle/>
              <a:p>
                <a:pPr>
                  <a:defRPr/>
                </a:pPr>
                <a:r>
                  <a:rPr lang="en-US" sz="1400" b="1"/>
                  <a:t>Forklift Fuel Cell Site</a:t>
                </a:r>
                <a:r>
                  <a:rPr lang="en-US" sz="1400" b="1" baseline="0"/>
                  <a:t> Installations</a:t>
                </a:r>
                <a:endParaRPr lang="en-US" sz="1400" b="1"/>
              </a:p>
            </c:rich>
          </c:tx>
          <c:layout>
            <c:manualLayout>
              <c:xMode val="edge"/>
              <c:yMode val="edge"/>
              <c:x val="7.1295108145099387E-2"/>
              <c:y val="0.39459961671329985"/>
            </c:manualLayout>
          </c:layout>
          <c:overlay val="0"/>
        </c:title>
        <c:numFmt formatCode="_(* #,##0_);_(* \(#,##0\);_(* &quot;-&quot;_);_(@_)" sourceLinked="1"/>
        <c:majorTickMark val="none"/>
        <c:minorTickMark val="none"/>
        <c:tickLblPos val="nextTo"/>
        <c:txPr>
          <a:bodyPr rot="0" vert="horz"/>
          <a:lstStyle/>
          <a:p>
            <a:pPr>
              <a:defRPr sz="1000" b="0" i="0" u="none" strike="noStrike" baseline="0">
                <a:solidFill>
                  <a:srgbClr val="000000"/>
                </a:solidFill>
                <a:latin typeface="Garamond"/>
                <a:ea typeface="Garamond"/>
                <a:cs typeface="Garamond"/>
              </a:defRPr>
            </a:pPr>
            <a:endParaRPr lang="en-US"/>
          </a:p>
        </c:txPr>
        <c:crossAx val="111367680"/>
        <c:crosses val="autoZero"/>
        <c:crossBetween val="between"/>
      </c:valAx>
      <c:dTable>
        <c:showHorzBorder val="1"/>
        <c:showVertBorder val="1"/>
        <c:showOutline val="1"/>
        <c:showKeys val="1"/>
      </c:dTable>
    </c:plotArea>
    <c:plotVisOnly val="1"/>
    <c:dispBlanksAs val="gap"/>
    <c:showDLblsOverMax val="0"/>
  </c:chart>
  <c:txPr>
    <a:bodyPr/>
    <a:lstStyle/>
    <a:p>
      <a:pPr>
        <a:defRPr sz="1000" b="0" i="0" u="none" strike="noStrike" baseline="0">
          <a:solidFill>
            <a:srgbClr val="000000"/>
          </a:solidFill>
          <a:latin typeface="Garamond"/>
          <a:ea typeface="Garamond"/>
          <a:cs typeface="Garamond"/>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Employment Impacts (2015-2020) </a:t>
            </a:r>
          </a:p>
          <a:p>
            <a:pPr>
              <a:defRPr/>
            </a:pPr>
            <a:r>
              <a:rPr lang="en-US" sz="1400"/>
              <a:t>Forklift Fuel Cell Scenario</a:t>
            </a:r>
          </a:p>
          <a:p>
            <a:pPr>
              <a:defRPr/>
            </a:pPr>
            <a:r>
              <a:rPr lang="en-US" sz="1100"/>
              <a:t>JOBS FC 1.0</a:t>
            </a:r>
          </a:p>
        </c:rich>
      </c:tx>
      <c:overlay val="0"/>
    </c:title>
    <c:autoTitleDeleted val="0"/>
    <c:plotArea>
      <c:layout/>
      <c:barChart>
        <c:barDir val="col"/>
        <c:grouping val="stacked"/>
        <c:varyColors val="0"/>
        <c:ser>
          <c:idx val="6"/>
          <c:order val="0"/>
          <c:tx>
            <c:strRef>
              <c:f>'Forklift RESULTS-Tables'!$AH$71</c:f>
              <c:strCache>
                <c:ptCount val="1"/>
                <c:pt idx="0">
                  <c:v>Gross FC and Infr. Maint. Induced</c:v>
                </c:pt>
              </c:strCache>
            </c:strRef>
          </c:tx>
          <c:spPr>
            <a:solidFill>
              <a:schemeClr val="accent6">
                <a:lumMod val="60000"/>
                <a:lumOff val="40000"/>
              </a:schemeClr>
            </a:solidFill>
            <a:ln>
              <a:solidFill>
                <a:sysClr val="windowText" lastClr="000000"/>
              </a:solidFill>
            </a:ln>
          </c:spPr>
          <c:invertIfNegative val="0"/>
          <c:cat>
            <c:numRef>
              <c:f>'Forklift RESULTS-Tables'!$C$72:$C$77</c:f>
              <c:numCache>
                <c:formatCode>General</c:formatCode>
                <c:ptCount val="6"/>
                <c:pt idx="0">
                  <c:v>2015</c:v>
                </c:pt>
                <c:pt idx="1">
                  <c:v>2016</c:v>
                </c:pt>
                <c:pt idx="2">
                  <c:v>2017</c:v>
                </c:pt>
                <c:pt idx="3">
                  <c:v>2018</c:v>
                </c:pt>
                <c:pt idx="4">
                  <c:v>2019</c:v>
                </c:pt>
                <c:pt idx="5">
                  <c:v>2020</c:v>
                </c:pt>
              </c:numCache>
            </c:numRef>
          </c:cat>
          <c:val>
            <c:numRef>
              <c:f>'Forklift RESULTS-Tables'!$AH$72:$AH$77</c:f>
              <c:numCache>
                <c:formatCode>_(* #,##0_);_(* \(#,##0\);_(* "-"_);_(@_)</c:formatCode>
                <c:ptCount val="6"/>
                <c:pt idx="0">
                  <c:v>#N/A</c:v>
                </c:pt>
                <c:pt idx="1">
                  <c:v>#N/A</c:v>
                </c:pt>
                <c:pt idx="2">
                  <c:v>#N/A</c:v>
                </c:pt>
                <c:pt idx="3">
                  <c:v>#N/A</c:v>
                </c:pt>
                <c:pt idx="4">
                  <c:v>#N/A</c:v>
                </c:pt>
                <c:pt idx="5">
                  <c:v>#N/A</c:v>
                </c:pt>
              </c:numCache>
            </c:numRef>
          </c:val>
        </c:ser>
        <c:ser>
          <c:idx val="7"/>
          <c:order val="1"/>
          <c:tx>
            <c:strRef>
              <c:f>'Forklift RESULTS-Tables'!$AI$71</c:f>
              <c:strCache>
                <c:ptCount val="1"/>
                <c:pt idx="0">
                  <c:v>Gross FC and Infr. Maint. Supply Chain</c:v>
                </c:pt>
              </c:strCache>
            </c:strRef>
          </c:tx>
          <c:spPr>
            <a:solidFill>
              <a:schemeClr val="accent6"/>
            </a:solidFill>
            <a:ln>
              <a:solidFill>
                <a:sysClr val="windowText" lastClr="000000"/>
              </a:solidFill>
            </a:ln>
          </c:spPr>
          <c:invertIfNegative val="0"/>
          <c:cat>
            <c:numRef>
              <c:f>'Forklift RESULTS-Tables'!$C$72:$C$77</c:f>
              <c:numCache>
                <c:formatCode>General</c:formatCode>
                <c:ptCount val="6"/>
                <c:pt idx="0">
                  <c:v>2015</c:v>
                </c:pt>
                <c:pt idx="1">
                  <c:v>2016</c:v>
                </c:pt>
                <c:pt idx="2">
                  <c:v>2017</c:v>
                </c:pt>
                <c:pt idx="3">
                  <c:v>2018</c:v>
                </c:pt>
                <c:pt idx="4">
                  <c:v>2019</c:v>
                </c:pt>
                <c:pt idx="5">
                  <c:v>2020</c:v>
                </c:pt>
              </c:numCache>
            </c:numRef>
          </c:cat>
          <c:val>
            <c:numRef>
              <c:f>'Forklift RESULTS-Tables'!$AI$72:$AI$77</c:f>
              <c:numCache>
                <c:formatCode>_(* #,##0_);_(* \(#,##0\);_(* "-"_);_(@_)</c:formatCode>
                <c:ptCount val="6"/>
                <c:pt idx="0">
                  <c:v>#N/A</c:v>
                </c:pt>
                <c:pt idx="1">
                  <c:v>#N/A</c:v>
                </c:pt>
                <c:pt idx="2">
                  <c:v>#N/A</c:v>
                </c:pt>
                <c:pt idx="3">
                  <c:v>#N/A</c:v>
                </c:pt>
                <c:pt idx="4">
                  <c:v>#N/A</c:v>
                </c:pt>
                <c:pt idx="5">
                  <c:v>#N/A</c:v>
                </c:pt>
              </c:numCache>
            </c:numRef>
          </c:val>
        </c:ser>
        <c:ser>
          <c:idx val="4"/>
          <c:order val="2"/>
          <c:tx>
            <c:strRef>
              <c:f>'Forklift RESULTS-Tables'!$AA$71</c:f>
              <c:strCache>
                <c:ptCount val="1"/>
                <c:pt idx="0">
                  <c:v>Gross Hydrogen Fuel Induced</c:v>
                </c:pt>
              </c:strCache>
            </c:strRef>
          </c:tx>
          <c:spPr>
            <a:solidFill>
              <a:schemeClr val="accent2">
                <a:lumMod val="40000"/>
                <a:lumOff val="60000"/>
              </a:schemeClr>
            </a:solidFill>
            <a:ln>
              <a:solidFill>
                <a:sysClr val="windowText" lastClr="000000"/>
              </a:solidFill>
            </a:ln>
          </c:spPr>
          <c:invertIfNegative val="0"/>
          <c:cat>
            <c:numRef>
              <c:f>'Forklift RESULTS-Tables'!$C$72:$C$77</c:f>
              <c:numCache>
                <c:formatCode>General</c:formatCode>
                <c:ptCount val="6"/>
                <c:pt idx="0">
                  <c:v>2015</c:v>
                </c:pt>
                <c:pt idx="1">
                  <c:v>2016</c:v>
                </c:pt>
                <c:pt idx="2">
                  <c:v>2017</c:v>
                </c:pt>
                <c:pt idx="3">
                  <c:v>2018</c:v>
                </c:pt>
                <c:pt idx="4">
                  <c:v>2019</c:v>
                </c:pt>
                <c:pt idx="5">
                  <c:v>2020</c:v>
                </c:pt>
              </c:numCache>
            </c:numRef>
          </c:cat>
          <c:val>
            <c:numRef>
              <c:f>'Forklift RESULTS-Tables'!$AA$72:$AA$77</c:f>
              <c:numCache>
                <c:formatCode>_(* #,##0_);_(* \(#,##0\);_(* "-"_);_(@_)</c:formatCode>
                <c:ptCount val="6"/>
                <c:pt idx="0">
                  <c:v>#N/A</c:v>
                </c:pt>
                <c:pt idx="1">
                  <c:v>#N/A</c:v>
                </c:pt>
                <c:pt idx="2">
                  <c:v>#N/A</c:v>
                </c:pt>
                <c:pt idx="3">
                  <c:v>#N/A</c:v>
                </c:pt>
                <c:pt idx="4">
                  <c:v>#N/A</c:v>
                </c:pt>
                <c:pt idx="5">
                  <c:v>#N/A</c:v>
                </c:pt>
              </c:numCache>
            </c:numRef>
          </c:val>
        </c:ser>
        <c:ser>
          <c:idx val="5"/>
          <c:order val="3"/>
          <c:tx>
            <c:strRef>
              <c:f>'Forklift RESULTS-Tables'!$AB$71</c:f>
              <c:strCache>
                <c:ptCount val="1"/>
                <c:pt idx="0">
                  <c:v>Gross Hydrogen Fuel Supply Chain</c:v>
                </c:pt>
              </c:strCache>
            </c:strRef>
          </c:tx>
          <c:spPr>
            <a:solidFill>
              <a:schemeClr val="accent2"/>
            </a:solidFill>
            <a:ln>
              <a:solidFill>
                <a:sysClr val="windowText" lastClr="000000"/>
              </a:solidFill>
            </a:ln>
          </c:spPr>
          <c:invertIfNegative val="0"/>
          <c:cat>
            <c:numRef>
              <c:f>'Forklift RESULTS-Tables'!$C$72:$C$77</c:f>
              <c:numCache>
                <c:formatCode>General</c:formatCode>
                <c:ptCount val="6"/>
                <c:pt idx="0">
                  <c:v>2015</c:v>
                </c:pt>
                <c:pt idx="1">
                  <c:v>2016</c:v>
                </c:pt>
                <c:pt idx="2">
                  <c:v>2017</c:v>
                </c:pt>
                <c:pt idx="3">
                  <c:v>2018</c:v>
                </c:pt>
                <c:pt idx="4">
                  <c:v>2019</c:v>
                </c:pt>
                <c:pt idx="5">
                  <c:v>2020</c:v>
                </c:pt>
              </c:numCache>
            </c:numRef>
          </c:cat>
          <c:val>
            <c:numRef>
              <c:f>'Forklift RESULTS-Tables'!$AB$72:$AB$77</c:f>
              <c:numCache>
                <c:formatCode>_(* #,##0_);_(* \(#,##0\);_(* "-"_);_(@_)</c:formatCode>
                <c:ptCount val="6"/>
                <c:pt idx="0">
                  <c:v>#N/A</c:v>
                </c:pt>
                <c:pt idx="1">
                  <c:v>#N/A</c:v>
                </c:pt>
                <c:pt idx="2">
                  <c:v>#N/A</c:v>
                </c:pt>
                <c:pt idx="3">
                  <c:v>#N/A</c:v>
                </c:pt>
                <c:pt idx="4">
                  <c:v>#N/A</c:v>
                </c:pt>
                <c:pt idx="5">
                  <c:v>#N/A</c:v>
                </c:pt>
              </c:numCache>
            </c:numRef>
          </c:val>
        </c:ser>
        <c:ser>
          <c:idx val="2"/>
          <c:order val="4"/>
          <c:tx>
            <c:strRef>
              <c:f>'Forklift RESULTS-Tables'!$T$71</c:f>
              <c:strCache>
                <c:ptCount val="1"/>
                <c:pt idx="0">
                  <c:v>Gross On-site H2 Infr. Induced</c:v>
                </c:pt>
              </c:strCache>
            </c:strRef>
          </c:tx>
          <c:spPr>
            <a:solidFill>
              <a:schemeClr val="bg2">
                <a:lumMod val="75000"/>
              </a:schemeClr>
            </a:solidFill>
            <a:ln>
              <a:solidFill>
                <a:sysClr val="windowText" lastClr="000000"/>
              </a:solidFill>
            </a:ln>
          </c:spPr>
          <c:invertIfNegative val="0"/>
          <c:cat>
            <c:numRef>
              <c:f>'Forklift RESULTS-Tables'!$C$72:$C$77</c:f>
              <c:numCache>
                <c:formatCode>General</c:formatCode>
                <c:ptCount val="6"/>
                <c:pt idx="0">
                  <c:v>2015</c:v>
                </c:pt>
                <c:pt idx="1">
                  <c:v>2016</c:v>
                </c:pt>
                <c:pt idx="2">
                  <c:v>2017</c:v>
                </c:pt>
                <c:pt idx="3">
                  <c:v>2018</c:v>
                </c:pt>
                <c:pt idx="4">
                  <c:v>2019</c:v>
                </c:pt>
                <c:pt idx="5">
                  <c:v>2020</c:v>
                </c:pt>
              </c:numCache>
            </c:numRef>
          </c:cat>
          <c:val>
            <c:numRef>
              <c:f>'Forklift RESULTS-Tables'!$T$72:$T$77</c:f>
              <c:numCache>
                <c:formatCode>_(* #,##0_);_(* \(#,##0\);_(* "-"_);_(@_)</c:formatCode>
                <c:ptCount val="6"/>
                <c:pt idx="0">
                  <c:v>#N/A</c:v>
                </c:pt>
                <c:pt idx="1">
                  <c:v>#N/A</c:v>
                </c:pt>
                <c:pt idx="2">
                  <c:v>#N/A</c:v>
                </c:pt>
                <c:pt idx="3">
                  <c:v>#N/A</c:v>
                </c:pt>
                <c:pt idx="4">
                  <c:v>#N/A</c:v>
                </c:pt>
                <c:pt idx="5">
                  <c:v>#N/A</c:v>
                </c:pt>
              </c:numCache>
            </c:numRef>
          </c:val>
        </c:ser>
        <c:ser>
          <c:idx val="3"/>
          <c:order val="5"/>
          <c:tx>
            <c:strRef>
              <c:f>'Forklift RESULTS-Tables'!$U$71</c:f>
              <c:strCache>
                <c:ptCount val="1"/>
                <c:pt idx="0">
                  <c:v>Gross On-site H2 Infr. Supply Chain</c:v>
                </c:pt>
              </c:strCache>
            </c:strRef>
          </c:tx>
          <c:spPr>
            <a:solidFill>
              <a:schemeClr val="bg2">
                <a:lumMod val="50000"/>
              </a:schemeClr>
            </a:solidFill>
            <a:ln>
              <a:solidFill>
                <a:sysClr val="windowText" lastClr="000000"/>
              </a:solidFill>
            </a:ln>
          </c:spPr>
          <c:invertIfNegative val="0"/>
          <c:cat>
            <c:numRef>
              <c:f>'Forklift RESULTS-Tables'!$C$72:$C$77</c:f>
              <c:numCache>
                <c:formatCode>General</c:formatCode>
                <c:ptCount val="6"/>
                <c:pt idx="0">
                  <c:v>2015</c:v>
                </c:pt>
                <c:pt idx="1">
                  <c:v>2016</c:v>
                </c:pt>
                <c:pt idx="2">
                  <c:v>2017</c:v>
                </c:pt>
                <c:pt idx="3">
                  <c:v>2018</c:v>
                </c:pt>
                <c:pt idx="4">
                  <c:v>2019</c:v>
                </c:pt>
                <c:pt idx="5">
                  <c:v>2020</c:v>
                </c:pt>
              </c:numCache>
            </c:numRef>
          </c:cat>
          <c:val>
            <c:numRef>
              <c:f>'Forklift RESULTS-Tables'!$U$72:$U$77</c:f>
              <c:numCache>
                <c:formatCode>_(* #,##0_);_(* \(#,##0\);_(* "-"_);_(@_)</c:formatCode>
                <c:ptCount val="6"/>
                <c:pt idx="0">
                  <c:v>#N/A</c:v>
                </c:pt>
                <c:pt idx="1">
                  <c:v>#N/A</c:v>
                </c:pt>
                <c:pt idx="2">
                  <c:v>#N/A</c:v>
                </c:pt>
                <c:pt idx="3">
                  <c:v>#N/A</c:v>
                </c:pt>
                <c:pt idx="4">
                  <c:v>#N/A</c:v>
                </c:pt>
                <c:pt idx="5">
                  <c:v>#N/A</c:v>
                </c:pt>
              </c:numCache>
            </c:numRef>
          </c:val>
        </c:ser>
        <c:ser>
          <c:idx val="0"/>
          <c:order val="6"/>
          <c:tx>
            <c:strRef>
              <c:f>'Forklift RESULTS-Tables'!$M$71</c:f>
              <c:strCache>
                <c:ptCount val="1"/>
                <c:pt idx="0">
                  <c:v>Gross Forklift Fuel Cell Induced</c:v>
                </c:pt>
              </c:strCache>
            </c:strRef>
          </c:tx>
          <c:spPr>
            <a:solidFill>
              <a:schemeClr val="accent1">
                <a:lumMod val="60000"/>
                <a:lumOff val="40000"/>
              </a:schemeClr>
            </a:solidFill>
            <a:ln>
              <a:solidFill>
                <a:sysClr val="windowText" lastClr="000000"/>
              </a:solidFill>
            </a:ln>
          </c:spPr>
          <c:invertIfNegative val="0"/>
          <c:cat>
            <c:numRef>
              <c:f>'Forklift RESULTS-Tables'!$C$72:$C$77</c:f>
              <c:numCache>
                <c:formatCode>General</c:formatCode>
                <c:ptCount val="6"/>
                <c:pt idx="0">
                  <c:v>2015</c:v>
                </c:pt>
                <c:pt idx="1">
                  <c:v>2016</c:v>
                </c:pt>
                <c:pt idx="2">
                  <c:v>2017</c:v>
                </c:pt>
                <c:pt idx="3">
                  <c:v>2018</c:v>
                </c:pt>
                <c:pt idx="4">
                  <c:v>2019</c:v>
                </c:pt>
                <c:pt idx="5">
                  <c:v>2020</c:v>
                </c:pt>
              </c:numCache>
            </c:numRef>
          </c:cat>
          <c:val>
            <c:numRef>
              <c:f>'Forklift RESULTS-Tables'!$M$72:$M$77</c:f>
              <c:numCache>
                <c:formatCode>_(* #,##0_);_(* \(#,##0\);_(* "-"_);_(@_)</c:formatCode>
                <c:ptCount val="6"/>
                <c:pt idx="0">
                  <c:v>#N/A</c:v>
                </c:pt>
                <c:pt idx="1">
                  <c:v>#N/A</c:v>
                </c:pt>
                <c:pt idx="2">
                  <c:v>#N/A</c:v>
                </c:pt>
                <c:pt idx="3">
                  <c:v>#N/A</c:v>
                </c:pt>
                <c:pt idx="4">
                  <c:v>#N/A</c:v>
                </c:pt>
                <c:pt idx="5">
                  <c:v>#N/A</c:v>
                </c:pt>
              </c:numCache>
            </c:numRef>
          </c:val>
        </c:ser>
        <c:ser>
          <c:idx val="1"/>
          <c:order val="7"/>
          <c:tx>
            <c:strRef>
              <c:f>'Forklift RESULTS-Tables'!$N$71</c:f>
              <c:strCache>
                <c:ptCount val="1"/>
                <c:pt idx="0">
                  <c:v>Gross Forklift Fuel Cell Supply Chain</c:v>
                </c:pt>
              </c:strCache>
            </c:strRef>
          </c:tx>
          <c:spPr>
            <a:solidFill>
              <a:schemeClr val="accent1">
                <a:lumMod val="75000"/>
              </a:schemeClr>
            </a:solidFill>
            <a:ln>
              <a:solidFill>
                <a:sysClr val="windowText" lastClr="000000"/>
              </a:solidFill>
            </a:ln>
          </c:spPr>
          <c:invertIfNegative val="0"/>
          <c:cat>
            <c:numRef>
              <c:f>'Forklift RESULTS-Tables'!$C$72:$C$77</c:f>
              <c:numCache>
                <c:formatCode>General</c:formatCode>
                <c:ptCount val="6"/>
                <c:pt idx="0">
                  <c:v>2015</c:v>
                </c:pt>
                <c:pt idx="1">
                  <c:v>2016</c:v>
                </c:pt>
                <c:pt idx="2">
                  <c:v>2017</c:v>
                </c:pt>
                <c:pt idx="3">
                  <c:v>2018</c:v>
                </c:pt>
                <c:pt idx="4">
                  <c:v>2019</c:v>
                </c:pt>
                <c:pt idx="5">
                  <c:v>2020</c:v>
                </c:pt>
              </c:numCache>
            </c:numRef>
          </c:cat>
          <c:val>
            <c:numRef>
              <c:f>'Forklift RESULTS-Tables'!$N$72:$N$77</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overlap val="100"/>
        <c:axId val="111308800"/>
        <c:axId val="111310336"/>
      </c:barChart>
      <c:lineChart>
        <c:grouping val="standard"/>
        <c:varyColors val="0"/>
        <c:ser>
          <c:idx val="8"/>
          <c:order val="8"/>
          <c:tx>
            <c:strRef>
              <c:f>'Forklift RESULTS-Tables'!$H$71</c:f>
              <c:strCache>
                <c:ptCount val="1"/>
                <c:pt idx="0">
                  <c:v>Gross Forklift Fuel Cell-related Total</c:v>
                </c:pt>
              </c:strCache>
            </c:strRef>
          </c:tx>
          <c:spPr>
            <a:ln>
              <a:solidFill>
                <a:sysClr val="windowText" lastClr="000000"/>
              </a:solidFill>
            </a:ln>
          </c:spPr>
          <c:marker>
            <c:symbol val="circle"/>
            <c:size val="3"/>
            <c:spPr>
              <a:solidFill>
                <a:schemeClr val="tx1"/>
              </a:solidFill>
              <a:ln>
                <a:solidFill>
                  <a:sysClr val="windowText" lastClr="000000"/>
                </a:solidFill>
              </a:ln>
            </c:spPr>
          </c:marker>
          <c:dLbls>
            <c:txPr>
              <a:bodyPr/>
              <a:lstStyle/>
              <a:p>
                <a:pPr>
                  <a:defRPr b="1">
                    <a:solidFill>
                      <a:sysClr val="windowText" lastClr="000000"/>
                    </a:solidFill>
                  </a:defRPr>
                </a:pPr>
                <a:endParaRPr lang="en-US"/>
              </a:p>
            </c:txPr>
            <c:dLblPos val="b"/>
            <c:showLegendKey val="0"/>
            <c:showVal val="1"/>
            <c:showCatName val="0"/>
            <c:showSerName val="0"/>
            <c:showPercent val="0"/>
            <c:showBubbleSize val="0"/>
            <c:showLeaderLines val="0"/>
          </c:dLbls>
          <c:cat>
            <c:numRef>
              <c:f>'Forklift RESULTS-Tables'!$C$72:$C$77</c:f>
              <c:numCache>
                <c:formatCode>General</c:formatCode>
                <c:ptCount val="6"/>
                <c:pt idx="0">
                  <c:v>2015</c:v>
                </c:pt>
                <c:pt idx="1">
                  <c:v>2016</c:v>
                </c:pt>
                <c:pt idx="2">
                  <c:v>2017</c:v>
                </c:pt>
                <c:pt idx="3">
                  <c:v>2018</c:v>
                </c:pt>
                <c:pt idx="4">
                  <c:v>2019</c:v>
                </c:pt>
                <c:pt idx="5">
                  <c:v>2020</c:v>
                </c:pt>
              </c:numCache>
            </c:numRef>
          </c:cat>
          <c:val>
            <c:numRef>
              <c:f>'Forklift RESULTS-Tables'!$H$72:$H$77</c:f>
              <c:numCache>
                <c:formatCode>_(* #,##0_);_(* \(#,##0\);_(* "-"_);_(@_)</c:formatCode>
                <c:ptCount val="6"/>
                <c:pt idx="0">
                  <c:v>#N/A</c:v>
                </c:pt>
                <c:pt idx="1">
                  <c:v>#N/A</c:v>
                </c:pt>
                <c:pt idx="2">
                  <c:v>#N/A</c:v>
                </c:pt>
                <c:pt idx="3">
                  <c:v>#N/A</c:v>
                </c:pt>
                <c:pt idx="4">
                  <c:v>#N/A</c:v>
                </c:pt>
                <c:pt idx="5">
                  <c:v>#N/A</c:v>
                </c:pt>
              </c:numCache>
            </c:numRef>
          </c:val>
          <c:smooth val="0"/>
        </c:ser>
        <c:dLbls>
          <c:showLegendKey val="0"/>
          <c:showVal val="0"/>
          <c:showCatName val="0"/>
          <c:showSerName val="0"/>
          <c:showPercent val="0"/>
          <c:showBubbleSize val="0"/>
        </c:dLbls>
        <c:marker val="1"/>
        <c:smooth val="0"/>
        <c:axId val="111308800"/>
        <c:axId val="111310336"/>
      </c:lineChart>
      <c:catAx>
        <c:axId val="111308800"/>
        <c:scaling>
          <c:orientation val="minMax"/>
        </c:scaling>
        <c:delete val="0"/>
        <c:axPos val="b"/>
        <c:numFmt formatCode="General" sourceLinked="1"/>
        <c:majorTickMark val="none"/>
        <c:minorTickMark val="none"/>
        <c:tickLblPos val="nextTo"/>
        <c:crossAx val="111310336"/>
        <c:crosses val="autoZero"/>
        <c:auto val="1"/>
        <c:lblAlgn val="ctr"/>
        <c:lblOffset val="100"/>
        <c:noMultiLvlLbl val="0"/>
      </c:catAx>
      <c:valAx>
        <c:axId val="111310336"/>
        <c:scaling>
          <c:orientation val="minMax"/>
        </c:scaling>
        <c:delete val="0"/>
        <c:axPos val="l"/>
        <c:majorGridlines/>
        <c:title>
          <c:tx>
            <c:strRef>
              <c:f>'Forklift RESULTS-Tables'!$B$69:$B$71</c:f>
              <c:strCache>
                <c:ptCount val="1"/>
                <c:pt idx="0">
                  <c:v>Gross Forklift Fuel Cell-related Employment (Job-years)</c:v>
                </c:pt>
              </c:strCache>
            </c:strRef>
          </c:tx>
          <c:layout>
            <c:manualLayout>
              <c:xMode val="edge"/>
              <c:yMode val="edge"/>
              <c:x val="6.1170022988372173E-2"/>
              <c:y val="0.28042009317299227"/>
            </c:manualLayout>
          </c:layout>
          <c:overlay val="0"/>
          <c:txPr>
            <a:bodyPr rot="0" vert="horz"/>
            <a:lstStyle/>
            <a:p>
              <a:pPr algn="ctr">
                <a:defRPr sz="1400"/>
              </a:pPr>
              <a:endParaRPr lang="en-US"/>
            </a:p>
          </c:txPr>
        </c:title>
        <c:numFmt formatCode="_(* #,##0_);_(* \(#,##0\);_(* &quot;-&quot;_);_(@_)" sourceLinked="1"/>
        <c:majorTickMark val="none"/>
        <c:minorTickMark val="none"/>
        <c:tickLblPos val="nextTo"/>
        <c:crossAx val="111308800"/>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Earnings Impacts (2015-2020) </a:t>
            </a:r>
          </a:p>
          <a:p>
            <a:pPr>
              <a:defRPr/>
            </a:pPr>
            <a:r>
              <a:rPr lang="en-US" sz="1400"/>
              <a:t>Forklift Fuel Cell  Scenario</a:t>
            </a:r>
          </a:p>
          <a:p>
            <a:pPr>
              <a:defRPr/>
            </a:pPr>
            <a:r>
              <a:rPr lang="en-US" sz="1100"/>
              <a:t>JOBS FC 1.0</a:t>
            </a:r>
          </a:p>
        </c:rich>
      </c:tx>
      <c:overlay val="0"/>
    </c:title>
    <c:autoTitleDeleted val="0"/>
    <c:plotArea>
      <c:layout/>
      <c:barChart>
        <c:barDir val="col"/>
        <c:grouping val="stacked"/>
        <c:varyColors val="0"/>
        <c:ser>
          <c:idx val="0"/>
          <c:order val="0"/>
          <c:tx>
            <c:strRef>
              <c:f>'Forklift RESULTS-Tables'!$AH$81</c:f>
              <c:strCache>
                <c:ptCount val="1"/>
                <c:pt idx="0">
                  <c:v>Gross FC and Infr. Maint. Induced</c:v>
                </c:pt>
              </c:strCache>
            </c:strRef>
          </c:tx>
          <c:spPr>
            <a:solidFill>
              <a:schemeClr val="accent6">
                <a:lumMod val="60000"/>
                <a:lumOff val="40000"/>
              </a:schemeClr>
            </a:solidFill>
            <a:ln>
              <a:solidFill>
                <a:sysClr val="windowText" lastClr="000000"/>
              </a:solidFill>
            </a:ln>
          </c:spPr>
          <c:invertIfNegative val="0"/>
          <c:cat>
            <c:numRef>
              <c:f>'Forklift RESULTS-Tables'!$C$82:$C$87</c:f>
              <c:numCache>
                <c:formatCode>General</c:formatCode>
                <c:ptCount val="6"/>
                <c:pt idx="0">
                  <c:v>2015</c:v>
                </c:pt>
                <c:pt idx="1">
                  <c:v>2016</c:v>
                </c:pt>
                <c:pt idx="2">
                  <c:v>2017</c:v>
                </c:pt>
                <c:pt idx="3">
                  <c:v>2018</c:v>
                </c:pt>
                <c:pt idx="4">
                  <c:v>2019</c:v>
                </c:pt>
                <c:pt idx="5">
                  <c:v>2020</c:v>
                </c:pt>
              </c:numCache>
            </c:numRef>
          </c:cat>
          <c:val>
            <c:numRef>
              <c:f>'Forklift RESULTS-Tables'!$AH$82:$AH$87</c:f>
              <c:numCache>
                <c:formatCode>_("$"* #,##0_);_("$"* \(#,##0\);_("$"* "-"_);_(@_)</c:formatCode>
                <c:ptCount val="6"/>
                <c:pt idx="0">
                  <c:v>#N/A</c:v>
                </c:pt>
                <c:pt idx="1">
                  <c:v>#N/A</c:v>
                </c:pt>
                <c:pt idx="2">
                  <c:v>#N/A</c:v>
                </c:pt>
                <c:pt idx="3">
                  <c:v>#N/A</c:v>
                </c:pt>
                <c:pt idx="4">
                  <c:v>#N/A</c:v>
                </c:pt>
                <c:pt idx="5">
                  <c:v>#N/A</c:v>
                </c:pt>
              </c:numCache>
            </c:numRef>
          </c:val>
        </c:ser>
        <c:ser>
          <c:idx val="1"/>
          <c:order val="1"/>
          <c:tx>
            <c:strRef>
              <c:f>'Forklift RESULTS-Tables'!$AI$81</c:f>
              <c:strCache>
                <c:ptCount val="1"/>
                <c:pt idx="0">
                  <c:v>Gross FC and Infr. Maint. Supply Chain</c:v>
                </c:pt>
              </c:strCache>
            </c:strRef>
          </c:tx>
          <c:spPr>
            <a:solidFill>
              <a:schemeClr val="accent6"/>
            </a:solidFill>
            <a:ln>
              <a:solidFill>
                <a:sysClr val="windowText" lastClr="000000"/>
              </a:solidFill>
            </a:ln>
          </c:spPr>
          <c:invertIfNegative val="0"/>
          <c:cat>
            <c:numRef>
              <c:f>'Forklift RESULTS-Tables'!$C$82:$C$87</c:f>
              <c:numCache>
                <c:formatCode>General</c:formatCode>
                <c:ptCount val="6"/>
                <c:pt idx="0">
                  <c:v>2015</c:v>
                </c:pt>
                <c:pt idx="1">
                  <c:v>2016</c:v>
                </c:pt>
                <c:pt idx="2">
                  <c:v>2017</c:v>
                </c:pt>
                <c:pt idx="3">
                  <c:v>2018</c:v>
                </c:pt>
                <c:pt idx="4">
                  <c:v>2019</c:v>
                </c:pt>
                <c:pt idx="5">
                  <c:v>2020</c:v>
                </c:pt>
              </c:numCache>
            </c:numRef>
          </c:cat>
          <c:val>
            <c:numRef>
              <c:f>'Forklift RESULTS-Tables'!$AI$82:$AI$87</c:f>
              <c:numCache>
                <c:formatCode>_("$"* #,##0_);_("$"* \(#,##0\);_("$"* "-"_);_(@_)</c:formatCode>
                <c:ptCount val="6"/>
                <c:pt idx="0">
                  <c:v>#N/A</c:v>
                </c:pt>
                <c:pt idx="1">
                  <c:v>#N/A</c:v>
                </c:pt>
                <c:pt idx="2">
                  <c:v>#N/A</c:v>
                </c:pt>
                <c:pt idx="3">
                  <c:v>#N/A</c:v>
                </c:pt>
                <c:pt idx="4">
                  <c:v>#N/A</c:v>
                </c:pt>
                <c:pt idx="5">
                  <c:v>#N/A</c:v>
                </c:pt>
              </c:numCache>
            </c:numRef>
          </c:val>
        </c:ser>
        <c:ser>
          <c:idx val="2"/>
          <c:order val="2"/>
          <c:tx>
            <c:strRef>
              <c:f>'Forklift RESULTS-Tables'!$AA$81</c:f>
              <c:strCache>
                <c:ptCount val="1"/>
                <c:pt idx="0">
                  <c:v>Gross Hydrogen Fuel Induced</c:v>
                </c:pt>
              </c:strCache>
            </c:strRef>
          </c:tx>
          <c:spPr>
            <a:solidFill>
              <a:schemeClr val="accent2">
                <a:lumMod val="40000"/>
                <a:lumOff val="60000"/>
              </a:schemeClr>
            </a:solidFill>
            <a:ln>
              <a:solidFill>
                <a:sysClr val="windowText" lastClr="000000"/>
              </a:solidFill>
            </a:ln>
          </c:spPr>
          <c:invertIfNegative val="0"/>
          <c:cat>
            <c:numRef>
              <c:f>'Forklift RESULTS-Tables'!$C$82:$C$87</c:f>
              <c:numCache>
                <c:formatCode>General</c:formatCode>
                <c:ptCount val="6"/>
                <c:pt idx="0">
                  <c:v>2015</c:v>
                </c:pt>
                <c:pt idx="1">
                  <c:v>2016</c:v>
                </c:pt>
                <c:pt idx="2">
                  <c:v>2017</c:v>
                </c:pt>
                <c:pt idx="3">
                  <c:v>2018</c:v>
                </c:pt>
                <c:pt idx="4">
                  <c:v>2019</c:v>
                </c:pt>
                <c:pt idx="5">
                  <c:v>2020</c:v>
                </c:pt>
              </c:numCache>
            </c:numRef>
          </c:cat>
          <c:val>
            <c:numRef>
              <c:f>'Forklift RESULTS-Tables'!$AA$82:$AA$87</c:f>
              <c:numCache>
                <c:formatCode>_("$"* #,##0_);_("$"* \(#,##0\);_("$"* "-"_);_(@_)</c:formatCode>
                <c:ptCount val="6"/>
                <c:pt idx="0">
                  <c:v>#N/A</c:v>
                </c:pt>
                <c:pt idx="1">
                  <c:v>#N/A</c:v>
                </c:pt>
                <c:pt idx="2">
                  <c:v>#N/A</c:v>
                </c:pt>
                <c:pt idx="3">
                  <c:v>#N/A</c:v>
                </c:pt>
                <c:pt idx="4">
                  <c:v>#N/A</c:v>
                </c:pt>
                <c:pt idx="5">
                  <c:v>#N/A</c:v>
                </c:pt>
              </c:numCache>
            </c:numRef>
          </c:val>
        </c:ser>
        <c:ser>
          <c:idx val="3"/>
          <c:order val="3"/>
          <c:tx>
            <c:strRef>
              <c:f>'Forklift RESULTS-Tables'!$AB$81</c:f>
              <c:strCache>
                <c:ptCount val="1"/>
                <c:pt idx="0">
                  <c:v>Gross Hydrogen Fuel Supply Chain</c:v>
                </c:pt>
              </c:strCache>
            </c:strRef>
          </c:tx>
          <c:spPr>
            <a:solidFill>
              <a:schemeClr val="accent2"/>
            </a:solidFill>
            <a:ln>
              <a:solidFill>
                <a:sysClr val="windowText" lastClr="000000"/>
              </a:solidFill>
            </a:ln>
          </c:spPr>
          <c:invertIfNegative val="0"/>
          <c:cat>
            <c:numRef>
              <c:f>'Forklift RESULTS-Tables'!$C$82:$C$87</c:f>
              <c:numCache>
                <c:formatCode>General</c:formatCode>
                <c:ptCount val="6"/>
                <c:pt idx="0">
                  <c:v>2015</c:v>
                </c:pt>
                <c:pt idx="1">
                  <c:v>2016</c:v>
                </c:pt>
                <c:pt idx="2">
                  <c:v>2017</c:v>
                </c:pt>
                <c:pt idx="3">
                  <c:v>2018</c:v>
                </c:pt>
                <c:pt idx="4">
                  <c:v>2019</c:v>
                </c:pt>
                <c:pt idx="5">
                  <c:v>2020</c:v>
                </c:pt>
              </c:numCache>
            </c:numRef>
          </c:cat>
          <c:val>
            <c:numRef>
              <c:f>'Forklift RESULTS-Tables'!$AB$82:$AB$87</c:f>
              <c:numCache>
                <c:formatCode>_("$"* #,##0_);_("$"* \(#,##0\);_("$"* "-"_);_(@_)</c:formatCode>
                <c:ptCount val="6"/>
                <c:pt idx="0">
                  <c:v>#N/A</c:v>
                </c:pt>
                <c:pt idx="1">
                  <c:v>#N/A</c:v>
                </c:pt>
                <c:pt idx="2">
                  <c:v>#N/A</c:v>
                </c:pt>
                <c:pt idx="3">
                  <c:v>#N/A</c:v>
                </c:pt>
                <c:pt idx="4">
                  <c:v>#N/A</c:v>
                </c:pt>
                <c:pt idx="5">
                  <c:v>#N/A</c:v>
                </c:pt>
              </c:numCache>
            </c:numRef>
          </c:val>
        </c:ser>
        <c:ser>
          <c:idx val="4"/>
          <c:order val="4"/>
          <c:tx>
            <c:strRef>
              <c:f>'Forklift RESULTS-Tables'!$T$81</c:f>
              <c:strCache>
                <c:ptCount val="1"/>
                <c:pt idx="0">
                  <c:v>Gross On-site H2 Infr. Induced</c:v>
                </c:pt>
              </c:strCache>
            </c:strRef>
          </c:tx>
          <c:spPr>
            <a:solidFill>
              <a:schemeClr val="bg2">
                <a:lumMod val="75000"/>
              </a:schemeClr>
            </a:solidFill>
            <a:ln>
              <a:solidFill>
                <a:sysClr val="windowText" lastClr="000000"/>
              </a:solidFill>
            </a:ln>
          </c:spPr>
          <c:invertIfNegative val="0"/>
          <c:cat>
            <c:numRef>
              <c:f>'Forklift RESULTS-Tables'!$C$82:$C$87</c:f>
              <c:numCache>
                <c:formatCode>General</c:formatCode>
                <c:ptCount val="6"/>
                <c:pt idx="0">
                  <c:v>2015</c:v>
                </c:pt>
                <c:pt idx="1">
                  <c:v>2016</c:v>
                </c:pt>
                <c:pt idx="2">
                  <c:v>2017</c:v>
                </c:pt>
                <c:pt idx="3">
                  <c:v>2018</c:v>
                </c:pt>
                <c:pt idx="4">
                  <c:v>2019</c:v>
                </c:pt>
                <c:pt idx="5">
                  <c:v>2020</c:v>
                </c:pt>
              </c:numCache>
            </c:numRef>
          </c:cat>
          <c:val>
            <c:numRef>
              <c:f>'Forklift RESULTS-Tables'!$T$82:$T$87</c:f>
              <c:numCache>
                <c:formatCode>_("$"* #,##0_);_("$"* \(#,##0\);_("$"* "-"_);_(@_)</c:formatCode>
                <c:ptCount val="6"/>
                <c:pt idx="0">
                  <c:v>#N/A</c:v>
                </c:pt>
                <c:pt idx="1">
                  <c:v>#N/A</c:v>
                </c:pt>
                <c:pt idx="2">
                  <c:v>#N/A</c:v>
                </c:pt>
                <c:pt idx="3">
                  <c:v>#N/A</c:v>
                </c:pt>
                <c:pt idx="4">
                  <c:v>#N/A</c:v>
                </c:pt>
                <c:pt idx="5">
                  <c:v>#N/A</c:v>
                </c:pt>
              </c:numCache>
            </c:numRef>
          </c:val>
        </c:ser>
        <c:ser>
          <c:idx val="5"/>
          <c:order val="5"/>
          <c:tx>
            <c:strRef>
              <c:f>'Forklift RESULTS-Tables'!$U$81</c:f>
              <c:strCache>
                <c:ptCount val="1"/>
                <c:pt idx="0">
                  <c:v>Gross On-site H2 Infr. Supply Chain</c:v>
                </c:pt>
              </c:strCache>
            </c:strRef>
          </c:tx>
          <c:spPr>
            <a:solidFill>
              <a:schemeClr val="bg2">
                <a:lumMod val="50000"/>
              </a:schemeClr>
            </a:solidFill>
            <a:ln>
              <a:solidFill>
                <a:sysClr val="windowText" lastClr="000000"/>
              </a:solidFill>
            </a:ln>
          </c:spPr>
          <c:invertIfNegative val="0"/>
          <c:cat>
            <c:numRef>
              <c:f>'Forklift RESULTS-Tables'!$C$82:$C$87</c:f>
              <c:numCache>
                <c:formatCode>General</c:formatCode>
                <c:ptCount val="6"/>
                <c:pt idx="0">
                  <c:v>2015</c:v>
                </c:pt>
                <c:pt idx="1">
                  <c:v>2016</c:v>
                </c:pt>
                <c:pt idx="2">
                  <c:v>2017</c:v>
                </c:pt>
                <c:pt idx="3">
                  <c:v>2018</c:v>
                </c:pt>
                <c:pt idx="4">
                  <c:v>2019</c:v>
                </c:pt>
                <c:pt idx="5">
                  <c:v>2020</c:v>
                </c:pt>
              </c:numCache>
            </c:numRef>
          </c:cat>
          <c:val>
            <c:numRef>
              <c:f>'Forklift RESULTS-Tables'!$U$82:$U$87</c:f>
              <c:numCache>
                <c:formatCode>_("$"* #,##0_);_("$"* \(#,##0\);_("$"* "-"_);_(@_)</c:formatCode>
                <c:ptCount val="6"/>
                <c:pt idx="0">
                  <c:v>#N/A</c:v>
                </c:pt>
                <c:pt idx="1">
                  <c:v>#N/A</c:v>
                </c:pt>
                <c:pt idx="2">
                  <c:v>#N/A</c:v>
                </c:pt>
                <c:pt idx="3">
                  <c:v>#N/A</c:v>
                </c:pt>
                <c:pt idx="4">
                  <c:v>#N/A</c:v>
                </c:pt>
                <c:pt idx="5">
                  <c:v>#N/A</c:v>
                </c:pt>
              </c:numCache>
            </c:numRef>
          </c:val>
        </c:ser>
        <c:ser>
          <c:idx val="6"/>
          <c:order val="6"/>
          <c:tx>
            <c:strRef>
              <c:f>'Forklift RESULTS-Tables'!$M$81</c:f>
              <c:strCache>
                <c:ptCount val="1"/>
                <c:pt idx="0">
                  <c:v>Gross Forklift Fuel Cell Induced</c:v>
                </c:pt>
              </c:strCache>
            </c:strRef>
          </c:tx>
          <c:spPr>
            <a:solidFill>
              <a:schemeClr val="accent1">
                <a:lumMod val="60000"/>
                <a:lumOff val="40000"/>
              </a:schemeClr>
            </a:solidFill>
            <a:ln>
              <a:solidFill>
                <a:sysClr val="windowText" lastClr="000000"/>
              </a:solidFill>
            </a:ln>
          </c:spPr>
          <c:invertIfNegative val="0"/>
          <c:cat>
            <c:numRef>
              <c:f>'Forklift RESULTS-Tables'!$C$82:$C$87</c:f>
              <c:numCache>
                <c:formatCode>General</c:formatCode>
                <c:ptCount val="6"/>
                <c:pt idx="0">
                  <c:v>2015</c:v>
                </c:pt>
                <c:pt idx="1">
                  <c:v>2016</c:v>
                </c:pt>
                <c:pt idx="2">
                  <c:v>2017</c:v>
                </c:pt>
                <c:pt idx="3">
                  <c:v>2018</c:v>
                </c:pt>
                <c:pt idx="4">
                  <c:v>2019</c:v>
                </c:pt>
                <c:pt idx="5">
                  <c:v>2020</c:v>
                </c:pt>
              </c:numCache>
            </c:numRef>
          </c:cat>
          <c:val>
            <c:numRef>
              <c:f>'Forklift RESULTS-Tables'!$M$82:$M$87</c:f>
              <c:numCache>
                <c:formatCode>_("$"* #,##0_);_("$"* \(#,##0\);_("$"* "-"_);_(@_)</c:formatCode>
                <c:ptCount val="6"/>
                <c:pt idx="0">
                  <c:v>#N/A</c:v>
                </c:pt>
                <c:pt idx="1">
                  <c:v>#N/A</c:v>
                </c:pt>
                <c:pt idx="2">
                  <c:v>#N/A</c:v>
                </c:pt>
                <c:pt idx="3">
                  <c:v>#N/A</c:v>
                </c:pt>
                <c:pt idx="4">
                  <c:v>#N/A</c:v>
                </c:pt>
                <c:pt idx="5">
                  <c:v>#N/A</c:v>
                </c:pt>
              </c:numCache>
            </c:numRef>
          </c:val>
        </c:ser>
        <c:ser>
          <c:idx val="7"/>
          <c:order val="7"/>
          <c:tx>
            <c:strRef>
              <c:f>'Forklift RESULTS-Tables'!$N$81</c:f>
              <c:strCache>
                <c:ptCount val="1"/>
                <c:pt idx="0">
                  <c:v>Gross Forklift Fuel Cell Supply Chain</c:v>
                </c:pt>
              </c:strCache>
            </c:strRef>
          </c:tx>
          <c:spPr>
            <a:solidFill>
              <a:schemeClr val="accent1">
                <a:lumMod val="75000"/>
              </a:schemeClr>
            </a:solidFill>
            <a:ln>
              <a:solidFill>
                <a:sysClr val="windowText" lastClr="000000"/>
              </a:solidFill>
            </a:ln>
          </c:spPr>
          <c:invertIfNegative val="0"/>
          <c:cat>
            <c:numRef>
              <c:f>'Forklift RESULTS-Tables'!$C$82:$C$87</c:f>
              <c:numCache>
                <c:formatCode>General</c:formatCode>
                <c:ptCount val="6"/>
                <c:pt idx="0">
                  <c:v>2015</c:v>
                </c:pt>
                <c:pt idx="1">
                  <c:v>2016</c:v>
                </c:pt>
                <c:pt idx="2">
                  <c:v>2017</c:v>
                </c:pt>
                <c:pt idx="3">
                  <c:v>2018</c:v>
                </c:pt>
                <c:pt idx="4">
                  <c:v>2019</c:v>
                </c:pt>
                <c:pt idx="5">
                  <c:v>2020</c:v>
                </c:pt>
              </c:numCache>
            </c:numRef>
          </c:cat>
          <c:val>
            <c:numRef>
              <c:f>'Forklift RESULTS-Tables'!$N$82:$N$87</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overlap val="100"/>
        <c:axId val="113330432"/>
        <c:axId val="113348608"/>
      </c:barChart>
      <c:lineChart>
        <c:grouping val="standard"/>
        <c:varyColors val="0"/>
        <c:ser>
          <c:idx val="8"/>
          <c:order val="8"/>
          <c:tx>
            <c:strRef>
              <c:f>'Forklift RESULTS-Tables'!$H$81</c:f>
              <c:strCache>
                <c:ptCount val="1"/>
                <c:pt idx="0">
                  <c:v>Gross Forklift Fuel Cell-related Total</c:v>
                </c:pt>
              </c:strCache>
            </c:strRef>
          </c:tx>
          <c:spPr>
            <a:ln>
              <a:solidFill>
                <a:schemeClr val="tx1"/>
              </a:solidFill>
            </a:ln>
          </c:spPr>
          <c:marker>
            <c:symbol val="circle"/>
            <c:size val="3"/>
            <c:spPr>
              <a:solidFill>
                <a:schemeClr val="tx1"/>
              </a:solidFill>
              <a:ln>
                <a:solidFill>
                  <a:schemeClr val="tx1"/>
                </a:solidFill>
              </a:ln>
            </c:spPr>
          </c:marker>
          <c:dLbls>
            <c:spPr>
              <a:ln>
                <a:noFill/>
              </a:ln>
            </c:spPr>
            <c:txPr>
              <a:bodyPr rot="0" vert="horz" anchor="b" anchorCtr="1"/>
              <a:lstStyle/>
              <a:p>
                <a:pPr>
                  <a:defRPr/>
                </a:pPr>
                <a:endParaRPr lang="en-US"/>
              </a:p>
            </c:txPr>
            <c:dLblPos val="b"/>
            <c:showLegendKey val="0"/>
            <c:showVal val="1"/>
            <c:showCatName val="0"/>
            <c:showSerName val="0"/>
            <c:showPercent val="0"/>
            <c:showBubbleSize val="0"/>
            <c:showLeaderLines val="0"/>
          </c:dLbls>
          <c:cat>
            <c:numRef>
              <c:f>'Forklift RESULTS-Tables'!$C$82:$C$87</c:f>
              <c:numCache>
                <c:formatCode>General</c:formatCode>
                <c:ptCount val="6"/>
                <c:pt idx="0">
                  <c:v>2015</c:v>
                </c:pt>
                <c:pt idx="1">
                  <c:v>2016</c:v>
                </c:pt>
                <c:pt idx="2">
                  <c:v>2017</c:v>
                </c:pt>
                <c:pt idx="3">
                  <c:v>2018</c:v>
                </c:pt>
                <c:pt idx="4">
                  <c:v>2019</c:v>
                </c:pt>
                <c:pt idx="5">
                  <c:v>2020</c:v>
                </c:pt>
              </c:numCache>
            </c:numRef>
          </c:cat>
          <c:val>
            <c:numRef>
              <c:f>'Forklift RESULTS-Tables'!$H$82:$H$87</c:f>
              <c:numCache>
                <c:formatCode>_("$"* #,##0_);_("$"* \(#,##0\);_("$"* "-"_);_(@_)</c:formatCode>
                <c:ptCount val="6"/>
                <c:pt idx="0">
                  <c:v>#N/A</c:v>
                </c:pt>
                <c:pt idx="1">
                  <c:v>#N/A</c:v>
                </c:pt>
                <c:pt idx="2">
                  <c:v>#N/A</c:v>
                </c:pt>
                <c:pt idx="3">
                  <c:v>#N/A</c:v>
                </c:pt>
                <c:pt idx="4">
                  <c:v>#N/A</c:v>
                </c:pt>
                <c:pt idx="5">
                  <c:v>#N/A</c:v>
                </c:pt>
              </c:numCache>
            </c:numRef>
          </c:val>
          <c:smooth val="0"/>
        </c:ser>
        <c:dLbls>
          <c:showLegendKey val="0"/>
          <c:showVal val="0"/>
          <c:showCatName val="0"/>
          <c:showSerName val="0"/>
          <c:showPercent val="0"/>
          <c:showBubbleSize val="0"/>
        </c:dLbls>
        <c:marker val="1"/>
        <c:smooth val="0"/>
        <c:axId val="113330432"/>
        <c:axId val="113348608"/>
      </c:lineChart>
      <c:catAx>
        <c:axId val="113330432"/>
        <c:scaling>
          <c:orientation val="minMax"/>
        </c:scaling>
        <c:delete val="0"/>
        <c:axPos val="b"/>
        <c:numFmt formatCode="General" sourceLinked="1"/>
        <c:majorTickMark val="none"/>
        <c:minorTickMark val="none"/>
        <c:tickLblPos val="nextTo"/>
        <c:crossAx val="113348608"/>
        <c:crosses val="autoZero"/>
        <c:auto val="1"/>
        <c:lblAlgn val="ctr"/>
        <c:lblOffset val="100"/>
        <c:noMultiLvlLbl val="0"/>
      </c:catAx>
      <c:valAx>
        <c:axId val="113348608"/>
        <c:scaling>
          <c:orientation val="minMax"/>
        </c:scaling>
        <c:delete val="0"/>
        <c:axPos val="l"/>
        <c:majorGridlines/>
        <c:title>
          <c:tx>
            <c:strRef>
              <c:f>'Forklift RESULTS-Tables'!$B$79:$B$81</c:f>
              <c:strCache>
                <c:ptCount val="1"/>
                <c:pt idx="0">
                  <c:v>Gross Forklift Fuel Cell-related Earnings (Thousands of 2010$)</c:v>
                </c:pt>
              </c:strCache>
            </c:strRef>
          </c:tx>
          <c:overlay val="0"/>
          <c:txPr>
            <a:bodyPr rot="0" vert="horz"/>
            <a:lstStyle/>
            <a:p>
              <a:pPr>
                <a:defRPr sz="1400"/>
              </a:pPr>
              <a:endParaRPr lang="en-US"/>
            </a:p>
          </c:txPr>
        </c:title>
        <c:numFmt formatCode="_(&quot;$&quot;* #,##0_);_(&quot;$&quot;* \(#,##0\);_(&quot;$&quot;* &quot;-&quot;_);_(@_)" sourceLinked="1"/>
        <c:majorTickMark val="none"/>
        <c:minorTickMark val="none"/>
        <c:tickLblPos val="nextTo"/>
        <c:crossAx val="113330432"/>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Economic Output Impacts (2015-2020) </a:t>
            </a:r>
          </a:p>
          <a:p>
            <a:pPr>
              <a:defRPr/>
            </a:pPr>
            <a:r>
              <a:rPr lang="en-US" sz="1400"/>
              <a:t>Forklift Fuel Cell Scenario</a:t>
            </a:r>
          </a:p>
          <a:p>
            <a:pPr>
              <a:defRPr/>
            </a:pPr>
            <a:r>
              <a:rPr lang="en-US" sz="1100"/>
              <a:t>JOBS FC 1.0</a:t>
            </a:r>
          </a:p>
        </c:rich>
      </c:tx>
      <c:overlay val="0"/>
    </c:title>
    <c:autoTitleDeleted val="0"/>
    <c:plotArea>
      <c:layout/>
      <c:barChart>
        <c:barDir val="col"/>
        <c:grouping val="stacked"/>
        <c:varyColors val="0"/>
        <c:ser>
          <c:idx val="0"/>
          <c:order val="0"/>
          <c:tx>
            <c:strRef>
              <c:f>'Forklift RESULTS-Tables'!$AH$91</c:f>
              <c:strCache>
                <c:ptCount val="1"/>
                <c:pt idx="0">
                  <c:v>Gross FC and Infr. Maint. Induced</c:v>
                </c:pt>
              </c:strCache>
            </c:strRef>
          </c:tx>
          <c:spPr>
            <a:solidFill>
              <a:schemeClr val="accent6">
                <a:lumMod val="60000"/>
                <a:lumOff val="40000"/>
              </a:schemeClr>
            </a:solidFill>
            <a:ln>
              <a:solidFill>
                <a:sysClr val="windowText" lastClr="000000"/>
              </a:solidFill>
            </a:ln>
          </c:spPr>
          <c:invertIfNegative val="0"/>
          <c:cat>
            <c:numRef>
              <c:f>'Forklift RESULTS-Tables'!$C$92:$C$97</c:f>
              <c:numCache>
                <c:formatCode>General</c:formatCode>
                <c:ptCount val="6"/>
                <c:pt idx="0">
                  <c:v>2015</c:v>
                </c:pt>
                <c:pt idx="1">
                  <c:v>2016</c:v>
                </c:pt>
                <c:pt idx="2">
                  <c:v>2017</c:v>
                </c:pt>
                <c:pt idx="3">
                  <c:v>2018</c:v>
                </c:pt>
                <c:pt idx="4">
                  <c:v>2019</c:v>
                </c:pt>
                <c:pt idx="5">
                  <c:v>2020</c:v>
                </c:pt>
              </c:numCache>
            </c:numRef>
          </c:cat>
          <c:val>
            <c:numRef>
              <c:f>'Forklift RESULTS-Tables'!$AH$92:$AH$97</c:f>
              <c:numCache>
                <c:formatCode>_("$"* #,##0_);_("$"* \(#,##0\);_("$"* "-"_);_(@_)</c:formatCode>
                <c:ptCount val="6"/>
                <c:pt idx="0">
                  <c:v>#N/A</c:v>
                </c:pt>
                <c:pt idx="1">
                  <c:v>#N/A</c:v>
                </c:pt>
                <c:pt idx="2">
                  <c:v>#N/A</c:v>
                </c:pt>
                <c:pt idx="3">
                  <c:v>#N/A</c:v>
                </c:pt>
                <c:pt idx="4">
                  <c:v>#N/A</c:v>
                </c:pt>
                <c:pt idx="5">
                  <c:v>#N/A</c:v>
                </c:pt>
              </c:numCache>
            </c:numRef>
          </c:val>
        </c:ser>
        <c:ser>
          <c:idx val="1"/>
          <c:order val="1"/>
          <c:tx>
            <c:strRef>
              <c:f>'Forklift RESULTS-Tables'!$AI$91</c:f>
              <c:strCache>
                <c:ptCount val="1"/>
                <c:pt idx="0">
                  <c:v>Gross FC and Infr. Maint. Supply Chain</c:v>
                </c:pt>
              </c:strCache>
            </c:strRef>
          </c:tx>
          <c:spPr>
            <a:solidFill>
              <a:schemeClr val="accent6"/>
            </a:solidFill>
            <a:ln>
              <a:solidFill>
                <a:sysClr val="windowText" lastClr="000000"/>
              </a:solidFill>
            </a:ln>
          </c:spPr>
          <c:invertIfNegative val="0"/>
          <c:cat>
            <c:numRef>
              <c:f>'Forklift RESULTS-Tables'!$C$92:$C$97</c:f>
              <c:numCache>
                <c:formatCode>General</c:formatCode>
                <c:ptCount val="6"/>
                <c:pt idx="0">
                  <c:v>2015</c:v>
                </c:pt>
                <c:pt idx="1">
                  <c:v>2016</c:v>
                </c:pt>
                <c:pt idx="2">
                  <c:v>2017</c:v>
                </c:pt>
                <c:pt idx="3">
                  <c:v>2018</c:v>
                </c:pt>
                <c:pt idx="4">
                  <c:v>2019</c:v>
                </c:pt>
                <c:pt idx="5">
                  <c:v>2020</c:v>
                </c:pt>
              </c:numCache>
            </c:numRef>
          </c:cat>
          <c:val>
            <c:numRef>
              <c:f>'Forklift RESULTS-Tables'!$AI$92:$AI$97</c:f>
              <c:numCache>
                <c:formatCode>_("$"* #,##0_);_("$"* \(#,##0\);_("$"* "-"_);_(@_)</c:formatCode>
                <c:ptCount val="6"/>
                <c:pt idx="0">
                  <c:v>#N/A</c:v>
                </c:pt>
                <c:pt idx="1">
                  <c:v>#N/A</c:v>
                </c:pt>
                <c:pt idx="2">
                  <c:v>#N/A</c:v>
                </c:pt>
                <c:pt idx="3">
                  <c:v>#N/A</c:v>
                </c:pt>
                <c:pt idx="4">
                  <c:v>#N/A</c:v>
                </c:pt>
                <c:pt idx="5">
                  <c:v>#N/A</c:v>
                </c:pt>
              </c:numCache>
            </c:numRef>
          </c:val>
        </c:ser>
        <c:ser>
          <c:idx val="2"/>
          <c:order val="2"/>
          <c:tx>
            <c:strRef>
              <c:f>'Forklift RESULTS-Tables'!$AA$91</c:f>
              <c:strCache>
                <c:ptCount val="1"/>
                <c:pt idx="0">
                  <c:v>Gross Hydrogen Fuel Induced</c:v>
                </c:pt>
              </c:strCache>
            </c:strRef>
          </c:tx>
          <c:spPr>
            <a:solidFill>
              <a:schemeClr val="accent2">
                <a:lumMod val="40000"/>
                <a:lumOff val="60000"/>
              </a:schemeClr>
            </a:solidFill>
            <a:ln>
              <a:solidFill>
                <a:sysClr val="windowText" lastClr="000000"/>
              </a:solidFill>
            </a:ln>
          </c:spPr>
          <c:invertIfNegative val="0"/>
          <c:cat>
            <c:numRef>
              <c:f>'Forklift RESULTS-Tables'!$C$92:$C$97</c:f>
              <c:numCache>
                <c:formatCode>General</c:formatCode>
                <c:ptCount val="6"/>
                <c:pt idx="0">
                  <c:v>2015</c:v>
                </c:pt>
                <c:pt idx="1">
                  <c:v>2016</c:v>
                </c:pt>
                <c:pt idx="2">
                  <c:v>2017</c:v>
                </c:pt>
                <c:pt idx="3">
                  <c:v>2018</c:v>
                </c:pt>
                <c:pt idx="4">
                  <c:v>2019</c:v>
                </c:pt>
                <c:pt idx="5">
                  <c:v>2020</c:v>
                </c:pt>
              </c:numCache>
            </c:numRef>
          </c:cat>
          <c:val>
            <c:numRef>
              <c:f>'Forklift RESULTS-Tables'!$AA$92:$AA$97</c:f>
              <c:numCache>
                <c:formatCode>_("$"* #,##0_);_("$"* \(#,##0\);_("$"* "-"_);_(@_)</c:formatCode>
                <c:ptCount val="6"/>
                <c:pt idx="0">
                  <c:v>#N/A</c:v>
                </c:pt>
                <c:pt idx="1">
                  <c:v>#N/A</c:v>
                </c:pt>
                <c:pt idx="2">
                  <c:v>#N/A</c:v>
                </c:pt>
                <c:pt idx="3">
                  <c:v>#N/A</c:v>
                </c:pt>
                <c:pt idx="4">
                  <c:v>#N/A</c:v>
                </c:pt>
                <c:pt idx="5">
                  <c:v>#N/A</c:v>
                </c:pt>
              </c:numCache>
            </c:numRef>
          </c:val>
        </c:ser>
        <c:ser>
          <c:idx val="3"/>
          <c:order val="3"/>
          <c:tx>
            <c:strRef>
              <c:f>'Forklift RESULTS-Tables'!$AB$91</c:f>
              <c:strCache>
                <c:ptCount val="1"/>
                <c:pt idx="0">
                  <c:v>Gross Hydrogen Fuel Supply Chain</c:v>
                </c:pt>
              </c:strCache>
            </c:strRef>
          </c:tx>
          <c:spPr>
            <a:solidFill>
              <a:schemeClr val="accent2"/>
            </a:solidFill>
            <a:ln>
              <a:solidFill>
                <a:sysClr val="windowText" lastClr="000000"/>
              </a:solidFill>
            </a:ln>
          </c:spPr>
          <c:invertIfNegative val="0"/>
          <c:cat>
            <c:numRef>
              <c:f>'Forklift RESULTS-Tables'!$C$92:$C$97</c:f>
              <c:numCache>
                <c:formatCode>General</c:formatCode>
                <c:ptCount val="6"/>
                <c:pt idx="0">
                  <c:v>2015</c:v>
                </c:pt>
                <c:pt idx="1">
                  <c:v>2016</c:v>
                </c:pt>
                <c:pt idx="2">
                  <c:v>2017</c:v>
                </c:pt>
                <c:pt idx="3">
                  <c:v>2018</c:v>
                </c:pt>
                <c:pt idx="4">
                  <c:v>2019</c:v>
                </c:pt>
                <c:pt idx="5">
                  <c:v>2020</c:v>
                </c:pt>
              </c:numCache>
            </c:numRef>
          </c:cat>
          <c:val>
            <c:numRef>
              <c:f>'Forklift RESULTS-Tables'!$AB$92:$AB$97</c:f>
              <c:numCache>
                <c:formatCode>_("$"* #,##0_);_("$"* \(#,##0\);_("$"* "-"_);_(@_)</c:formatCode>
                <c:ptCount val="6"/>
                <c:pt idx="0">
                  <c:v>#N/A</c:v>
                </c:pt>
                <c:pt idx="1">
                  <c:v>#N/A</c:v>
                </c:pt>
                <c:pt idx="2">
                  <c:v>#N/A</c:v>
                </c:pt>
                <c:pt idx="3">
                  <c:v>#N/A</c:v>
                </c:pt>
                <c:pt idx="4">
                  <c:v>#N/A</c:v>
                </c:pt>
                <c:pt idx="5">
                  <c:v>#N/A</c:v>
                </c:pt>
              </c:numCache>
            </c:numRef>
          </c:val>
        </c:ser>
        <c:ser>
          <c:idx val="4"/>
          <c:order val="4"/>
          <c:tx>
            <c:strRef>
              <c:f>'Forklift RESULTS-Tables'!$T$91</c:f>
              <c:strCache>
                <c:ptCount val="1"/>
                <c:pt idx="0">
                  <c:v>Gross On-site H2 Infr. Induced</c:v>
                </c:pt>
              </c:strCache>
            </c:strRef>
          </c:tx>
          <c:spPr>
            <a:solidFill>
              <a:schemeClr val="bg2">
                <a:lumMod val="75000"/>
              </a:schemeClr>
            </a:solidFill>
            <a:ln>
              <a:solidFill>
                <a:sysClr val="windowText" lastClr="000000"/>
              </a:solidFill>
            </a:ln>
          </c:spPr>
          <c:invertIfNegative val="0"/>
          <c:cat>
            <c:numRef>
              <c:f>'Forklift RESULTS-Tables'!$C$92:$C$97</c:f>
              <c:numCache>
                <c:formatCode>General</c:formatCode>
                <c:ptCount val="6"/>
                <c:pt idx="0">
                  <c:v>2015</c:v>
                </c:pt>
                <c:pt idx="1">
                  <c:v>2016</c:v>
                </c:pt>
                <c:pt idx="2">
                  <c:v>2017</c:v>
                </c:pt>
                <c:pt idx="3">
                  <c:v>2018</c:v>
                </c:pt>
                <c:pt idx="4">
                  <c:v>2019</c:v>
                </c:pt>
                <c:pt idx="5">
                  <c:v>2020</c:v>
                </c:pt>
              </c:numCache>
            </c:numRef>
          </c:cat>
          <c:val>
            <c:numRef>
              <c:f>'Forklift RESULTS-Tables'!$T$92:$T$97</c:f>
              <c:numCache>
                <c:formatCode>_("$"* #,##0_);_("$"* \(#,##0\);_("$"* "-"_);_(@_)</c:formatCode>
                <c:ptCount val="6"/>
                <c:pt idx="0">
                  <c:v>#N/A</c:v>
                </c:pt>
                <c:pt idx="1">
                  <c:v>#N/A</c:v>
                </c:pt>
                <c:pt idx="2">
                  <c:v>#N/A</c:v>
                </c:pt>
                <c:pt idx="3">
                  <c:v>#N/A</c:v>
                </c:pt>
                <c:pt idx="4">
                  <c:v>#N/A</c:v>
                </c:pt>
                <c:pt idx="5">
                  <c:v>#N/A</c:v>
                </c:pt>
              </c:numCache>
            </c:numRef>
          </c:val>
        </c:ser>
        <c:ser>
          <c:idx val="5"/>
          <c:order val="5"/>
          <c:tx>
            <c:strRef>
              <c:f>'Forklift RESULTS-Tables'!$U$91</c:f>
              <c:strCache>
                <c:ptCount val="1"/>
                <c:pt idx="0">
                  <c:v>Gross On-site H2 Infr. Supply Chain</c:v>
                </c:pt>
              </c:strCache>
            </c:strRef>
          </c:tx>
          <c:spPr>
            <a:solidFill>
              <a:schemeClr val="bg2">
                <a:lumMod val="50000"/>
              </a:schemeClr>
            </a:solidFill>
            <a:ln>
              <a:solidFill>
                <a:sysClr val="windowText" lastClr="000000"/>
              </a:solidFill>
            </a:ln>
          </c:spPr>
          <c:invertIfNegative val="0"/>
          <c:cat>
            <c:numRef>
              <c:f>'Forklift RESULTS-Tables'!$C$92:$C$97</c:f>
              <c:numCache>
                <c:formatCode>General</c:formatCode>
                <c:ptCount val="6"/>
                <c:pt idx="0">
                  <c:v>2015</c:v>
                </c:pt>
                <c:pt idx="1">
                  <c:v>2016</c:v>
                </c:pt>
                <c:pt idx="2">
                  <c:v>2017</c:v>
                </c:pt>
                <c:pt idx="3">
                  <c:v>2018</c:v>
                </c:pt>
                <c:pt idx="4">
                  <c:v>2019</c:v>
                </c:pt>
                <c:pt idx="5">
                  <c:v>2020</c:v>
                </c:pt>
              </c:numCache>
            </c:numRef>
          </c:cat>
          <c:val>
            <c:numRef>
              <c:f>'Forklift RESULTS-Tables'!$U$92:$U$97</c:f>
              <c:numCache>
                <c:formatCode>_("$"* #,##0_);_("$"* \(#,##0\);_("$"* "-"_);_(@_)</c:formatCode>
                <c:ptCount val="6"/>
                <c:pt idx="0">
                  <c:v>#N/A</c:v>
                </c:pt>
                <c:pt idx="1">
                  <c:v>#N/A</c:v>
                </c:pt>
                <c:pt idx="2">
                  <c:v>#N/A</c:v>
                </c:pt>
                <c:pt idx="3">
                  <c:v>#N/A</c:v>
                </c:pt>
                <c:pt idx="4">
                  <c:v>#N/A</c:v>
                </c:pt>
                <c:pt idx="5">
                  <c:v>#N/A</c:v>
                </c:pt>
              </c:numCache>
            </c:numRef>
          </c:val>
        </c:ser>
        <c:ser>
          <c:idx val="6"/>
          <c:order val="6"/>
          <c:tx>
            <c:strRef>
              <c:f>'Forklift RESULTS-Tables'!$M$91</c:f>
              <c:strCache>
                <c:ptCount val="1"/>
                <c:pt idx="0">
                  <c:v>Gross Forklift Fuel Cell Induced</c:v>
                </c:pt>
              </c:strCache>
            </c:strRef>
          </c:tx>
          <c:spPr>
            <a:solidFill>
              <a:schemeClr val="accent1">
                <a:lumMod val="60000"/>
                <a:lumOff val="40000"/>
              </a:schemeClr>
            </a:solidFill>
            <a:ln>
              <a:solidFill>
                <a:sysClr val="windowText" lastClr="000000"/>
              </a:solidFill>
            </a:ln>
          </c:spPr>
          <c:invertIfNegative val="0"/>
          <c:cat>
            <c:numRef>
              <c:f>'Forklift RESULTS-Tables'!$C$92:$C$97</c:f>
              <c:numCache>
                <c:formatCode>General</c:formatCode>
                <c:ptCount val="6"/>
                <c:pt idx="0">
                  <c:v>2015</c:v>
                </c:pt>
                <c:pt idx="1">
                  <c:v>2016</c:v>
                </c:pt>
                <c:pt idx="2">
                  <c:v>2017</c:v>
                </c:pt>
                <c:pt idx="3">
                  <c:v>2018</c:v>
                </c:pt>
                <c:pt idx="4">
                  <c:v>2019</c:v>
                </c:pt>
                <c:pt idx="5">
                  <c:v>2020</c:v>
                </c:pt>
              </c:numCache>
            </c:numRef>
          </c:cat>
          <c:val>
            <c:numRef>
              <c:f>'Forklift RESULTS-Tables'!$M$92:$M$97</c:f>
              <c:numCache>
                <c:formatCode>_("$"* #,##0_);_("$"* \(#,##0\);_("$"* "-"_);_(@_)</c:formatCode>
                <c:ptCount val="6"/>
                <c:pt idx="0">
                  <c:v>#N/A</c:v>
                </c:pt>
                <c:pt idx="1">
                  <c:v>#N/A</c:v>
                </c:pt>
                <c:pt idx="2">
                  <c:v>#N/A</c:v>
                </c:pt>
                <c:pt idx="3">
                  <c:v>#N/A</c:v>
                </c:pt>
                <c:pt idx="4">
                  <c:v>#N/A</c:v>
                </c:pt>
                <c:pt idx="5">
                  <c:v>#N/A</c:v>
                </c:pt>
              </c:numCache>
            </c:numRef>
          </c:val>
        </c:ser>
        <c:ser>
          <c:idx val="7"/>
          <c:order val="7"/>
          <c:tx>
            <c:strRef>
              <c:f>'Forklift RESULTS-Tables'!$N$91</c:f>
              <c:strCache>
                <c:ptCount val="1"/>
                <c:pt idx="0">
                  <c:v>Gross Forklift Fuel Cell Supply Chain</c:v>
                </c:pt>
              </c:strCache>
            </c:strRef>
          </c:tx>
          <c:spPr>
            <a:solidFill>
              <a:schemeClr val="accent1">
                <a:lumMod val="75000"/>
              </a:schemeClr>
            </a:solidFill>
            <a:ln>
              <a:solidFill>
                <a:sysClr val="windowText" lastClr="000000"/>
              </a:solidFill>
            </a:ln>
          </c:spPr>
          <c:invertIfNegative val="0"/>
          <c:cat>
            <c:numRef>
              <c:f>'Forklift RESULTS-Tables'!$C$92:$C$97</c:f>
              <c:numCache>
                <c:formatCode>General</c:formatCode>
                <c:ptCount val="6"/>
                <c:pt idx="0">
                  <c:v>2015</c:v>
                </c:pt>
                <c:pt idx="1">
                  <c:v>2016</c:v>
                </c:pt>
                <c:pt idx="2">
                  <c:v>2017</c:v>
                </c:pt>
                <c:pt idx="3">
                  <c:v>2018</c:v>
                </c:pt>
                <c:pt idx="4">
                  <c:v>2019</c:v>
                </c:pt>
                <c:pt idx="5">
                  <c:v>2020</c:v>
                </c:pt>
              </c:numCache>
            </c:numRef>
          </c:cat>
          <c:val>
            <c:numRef>
              <c:f>'Forklift RESULTS-Tables'!$N$92:$N$97</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overlap val="100"/>
        <c:axId val="113418624"/>
        <c:axId val="113420160"/>
      </c:barChart>
      <c:lineChart>
        <c:grouping val="standard"/>
        <c:varyColors val="0"/>
        <c:ser>
          <c:idx val="8"/>
          <c:order val="8"/>
          <c:tx>
            <c:strRef>
              <c:f>'Forklift RESULTS-Tables'!$H$91</c:f>
              <c:strCache>
                <c:ptCount val="1"/>
                <c:pt idx="0">
                  <c:v>Gross Forklift Fuel Cell-related Total</c:v>
                </c:pt>
              </c:strCache>
            </c:strRef>
          </c:tx>
          <c:spPr>
            <a:ln>
              <a:solidFill>
                <a:schemeClr val="tx1"/>
              </a:solidFill>
            </a:ln>
          </c:spPr>
          <c:marker>
            <c:symbol val="circle"/>
            <c:size val="3"/>
            <c:spPr>
              <a:solidFill>
                <a:schemeClr val="tx1"/>
              </a:solidFill>
              <a:ln>
                <a:solidFill>
                  <a:schemeClr val="tx1"/>
                </a:solidFill>
              </a:ln>
            </c:spPr>
          </c:marker>
          <c:dLbls>
            <c:dLblPos val="b"/>
            <c:showLegendKey val="0"/>
            <c:showVal val="1"/>
            <c:showCatName val="0"/>
            <c:showSerName val="0"/>
            <c:showPercent val="0"/>
            <c:showBubbleSize val="0"/>
            <c:showLeaderLines val="0"/>
          </c:dLbls>
          <c:cat>
            <c:numRef>
              <c:f>'Forklift RESULTS-Tables'!$C$92:$C$97</c:f>
              <c:numCache>
                <c:formatCode>General</c:formatCode>
                <c:ptCount val="6"/>
                <c:pt idx="0">
                  <c:v>2015</c:v>
                </c:pt>
                <c:pt idx="1">
                  <c:v>2016</c:v>
                </c:pt>
                <c:pt idx="2">
                  <c:v>2017</c:v>
                </c:pt>
                <c:pt idx="3">
                  <c:v>2018</c:v>
                </c:pt>
                <c:pt idx="4">
                  <c:v>2019</c:v>
                </c:pt>
                <c:pt idx="5">
                  <c:v>2020</c:v>
                </c:pt>
              </c:numCache>
            </c:numRef>
          </c:cat>
          <c:val>
            <c:numRef>
              <c:f>'Forklift RESULTS-Tables'!$H$92:$H$97</c:f>
              <c:numCache>
                <c:formatCode>_("$"* #,##0_);_("$"* \(#,##0\);_("$"* "-"_);_(@_)</c:formatCode>
                <c:ptCount val="6"/>
                <c:pt idx="0">
                  <c:v>#N/A</c:v>
                </c:pt>
                <c:pt idx="1">
                  <c:v>#N/A</c:v>
                </c:pt>
                <c:pt idx="2">
                  <c:v>#N/A</c:v>
                </c:pt>
                <c:pt idx="3">
                  <c:v>#N/A</c:v>
                </c:pt>
                <c:pt idx="4">
                  <c:v>#N/A</c:v>
                </c:pt>
                <c:pt idx="5">
                  <c:v>#N/A</c:v>
                </c:pt>
              </c:numCache>
            </c:numRef>
          </c:val>
          <c:smooth val="0"/>
        </c:ser>
        <c:dLbls>
          <c:showLegendKey val="0"/>
          <c:showVal val="0"/>
          <c:showCatName val="0"/>
          <c:showSerName val="0"/>
          <c:showPercent val="0"/>
          <c:showBubbleSize val="0"/>
        </c:dLbls>
        <c:marker val="1"/>
        <c:smooth val="0"/>
        <c:axId val="113418624"/>
        <c:axId val="113420160"/>
      </c:lineChart>
      <c:catAx>
        <c:axId val="113418624"/>
        <c:scaling>
          <c:orientation val="minMax"/>
        </c:scaling>
        <c:delete val="0"/>
        <c:axPos val="b"/>
        <c:numFmt formatCode="General" sourceLinked="1"/>
        <c:majorTickMark val="none"/>
        <c:minorTickMark val="none"/>
        <c:tickLblPos val="nextTo"/>
        <c:crossAx val="113420160"/>
        <c:crosses val="autoZero"/>
        <c:auto val="1"/>
        <c:lblAlgn val="ctr"/>
        <c:lblOffset val="100"/>
        <c:noMultiLvlLbl val="0"/>
      </c:catAx>
      <c:valAx>
        <c:axId val="113420160"/>
        <c:scaling>
          <c:orientation val="minMax"/>
        </c:scaling>
        <c:delete val="0"/>
        <c:axPos val="l"/>
        <c:majorGridlines/>
        <c:title>
          <c:tx>
            <c:strRef>
              <c:f>'Forklift RESULTS-Tables'!$B$89:$B$91</c:f>
              <c:strCache>
                <c:ptCount val="1"/>
                <c:pt idx="0">
                  <c:v>Gross Forklift Fuel Cell-related Output (Thousands of 2010$)</c:v>
                </c:pt>
              </c:strCache>
            </c:strRef>
          </c:tx>
          <c:layout>
            <c:manualLayout>
              <c:xMode val="edge"/>
              <c:yMode val="edge"/>
              <c:x val="2.9588544079048942E-2"/>
              <c:y val="0.28897127442403031"/>
            </c:manualLayout>
          </c:layout>
          <c:overlay val="0"/>
          <c:txPr>
            <a:bodyPr rot="0" vert="horz"/>
            <a:lstStyle/>
            <a:p>
              <a:pPr algn="ctr" rtl="0">
                <a:defRPr sz="1400"/>
              </a:pPr>
              <a:endParaRPr lang="en-US"/>
            </a:p>
          </c:txPr>
        </c:title>
        <c:numFmt formatCode="_(&quot;$&quot;* #,##0_);_(&quot;$&quot;* \(#,##0\);_(&quot;$&quot;* &quot;-&quot;_);_(@_)" sourceLinked="1"/>
        <c:majorTickMark val="none"/>
        <c:minorTickMark val="none"/>
        <c:tickLblPos val="nextTo"/>
        <c:crossAx val="113418624"/>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Employment Impacts</a:t>
            </a:r>
            <a:r>
              <a:rPr lang="en-US" sz="1600"/>
              <a:t> (2015-2020)</a:t>
            </a:r>
          </a:p>
          <a:p>
            <a:pPr>
              <a:defRPr/>
            </a:pPr>
            <a:r>
              <a:rPr lang="en-US" sz="1400"/>
              <a:t>Forklift Fuel Cell Scenario</a:t>
            </a:r>
          </a:p>
          <a:p>
            <a:pPr>
              <a:defRPr/>
            </a:pPr>
            <a:r>
              <a:rPr lang="en-US" sz="1100"/>
              <a:t>JOBS FC 1.0</a:t>
            </a:r>
          </a:p>
        </c:rich>
      </c:tx>
      <c:overlay val="0"/>
    </c:title>
    <c:autoTitleDeleted val="0"/>
    <c:plotArea>
      <c:layout/>
      <c:barChart>
        <c:barDir val="col"/>
        <c:grouping val="clustered"/>
        <c:varyColors val="0"/>
        <c:ser>
          <c:idx val="21"/>
          <c:order val="0"/>
          <c:tx>
            <c:strRef>
              <c:f>'Forklift RESULTS-Tables'!$H$181</c:f>
              <c:strCache>
                <c:ptCount val="1"/>
                <c:pt idx="0">
                  <c:v>Gross Forklift Fuel Cell-related Total</c:v>
                </c:pt>
              </c:strCache>
            </c:strRef>
          </c:tx>
          <c:spPr>
            <a:solidFill>
              <a:schemeClr val="tx1">
                <a:lumMod val="85000"/>
                <a:lumOff val="15000"/>
              </a:schemeClr>
            </a:solidFill>
            <a:ln>
              <a:solidFill>
                <a:sysClr val="windowText" lastClr="000000"/>
              </a:solidFill>
            </a:ln>
          </c:spPr>
          <c:invertIfNegative val="0"/>
          <c:cat>
            <c:numRef>
              <c:f>'Forklift RESULTS-Tables'!$C$182:$C$187</c:f>
              <c:numCache>
                <c:formatCode>General</c:formatCode>
                <c:ptCount val="6"/>
                <c:pt idx="0">
                  <c:v>2015</c:v>
                </c:pt>
                <c:pt idx="1">
                  <c:v>2016</c:v>
                </c:pt>
                <c:pt idx="2">
                  <c:v>2017</c:v>
                </c:pt>
                <c:pt idx="3">
                  <c:v>2018</c:v>
                </c:pt>
                <c:pt idx="4">
                  <c:v>2019</c:v>
                </c:pt>
                <c:pt idx="5">
                  <c:v>2020</c:v>
                </c:pt>
              </c:numCache>
            </c:numRef>
          </c:cat>
          <c:val>
            <c:numRef>
              <c:f>'Forklift RESULTS-Tables'!$H$182:$H$187</c:f>
              <c:numCache>
                <c:formatCode>_(* #,##0_);_(* \(#,##0\);_(* "-"??_);_(@_)</c:formatCode>
                <c:ptCount val="6"/>
                <c:pt idx="0">
                  <c:v>#N/A</c:v>
                </c:pt>
                <c:pt idx="1">
                  <c:v>#N/A</c:v>
                </c:pt>
                <c:pt idx="2">
                  <c:v>#N/A</c:v>
                </c:pt>
                <c:pt idx="3">
                  <c:v>#N/A</c:v>
                </c:pt>
                <c:pt idx="4">
                  <c:v>#N/A</c:v>
                </c:pt>
                <c:pt idx="5">
                  <c:v>#N/A</c:v>
                </c:pt>
              </c:numCache>
            </c:numRef>
          </c:val>
        </c:ser>
        <c:ser>
          <c:idx val="0"/>
          <c:order val="1"/>
          <c:tx>
            <c:strRef>
              <c:f>'Forklift RESULTS-Tables'!$N$181</c:f>
              <c:strCache>
                <c:ptCount val="1"/>
                <c:pt idx="0">
                  <c:v>Gross Forklift Fuel Cell-related Total</c:v>
                </c:pt>
              </c:strCache>
            </c:strRef>
          </c:tx>
          <c:spPr>
            <a:solidFill>
              <a:schemeClr val="accent1"/>
            </a:solidFill>
            <a:ln>
              <a:solidFill>
                <a:sysClr val="windowText" lastClr="000000"/>
              </a:solidFill>
            </a:ln>
          </c:spPr>
          <c:invertIfNegative val="0"/>
          <c:cat>
            <c:numRef>
              <c:f>'Forklift RESULTS-Tables'!$C$182:$C$187</c:f>
              <c:numCache>
                <c:formatCode>General</c:formatCode>
                <c:ptCount val="6"/>
                <c:pt idx="0">
                  <c:v>2015</c:v>
                </c:pt>
                <c:pt idx="1">
                  <c:v>2016</c:v>
                </c:pt>
                <c:pt idx="2">
                  <c:v>2017</c:v>
                </c:pt>
                <c:pt idx="3">
                  <c:v>2018</c:v>
                </c:pt>
                <c:pt idx="4">
                  <c:v>2019</c:v>
                </c:pt>
                <c:pt idx="5">
                  <c:v>2020</c:v>
                </c:pt>
              </c:numCache>
            </c:numRef>
          </c:cat>
          <c:val>
            <c:numRef>
              <c:f>'Forklift RESULTS-Tables'!$N$182:$N$187</c:f>
              <c:numCache>
                <c:formatCode>_(* #,##0_);_(* \(#,##0\);_(* "-"??_);_(@_)</c:formatCode>
                <c:ptCount val="6"/>
                <c:pt idx="0">
                  <c:v>#N/A</c:v>
                </c:pt>
                <c:pt idx="1">
                  <c:v>#N/A</c:v>
                </c:pt>
                <c:pt idx="2">
                  <c:v>#N/A</c:v>
                </c:pt>
                <c:pt idx="3">
                  <c:v>#N/A</c:v>
                </c:pt>
                <c:pt idx="4">
                  <c:v>#N/A</c:v>
                </c:pt>
                <c:pt idx="5">
                  <c:v>#N/A</c:v>
                </c:pt>
              </c:numCache>
            </c:numRef>
          </c:val>
        </c:ser>
        <c:ser>
          <c:idx val="1"/>
          <c:order val="2"/>
          <c:tx>
            <c:strRef>
              <c:f>'Forklift RESULTS-Tables'!$T$181</c:f>
              <c:strCache>
                <c:ptCount val="1"/>
                <c:pt idx="0">
                  <c:v>Displaced Forklift Battery-related Total</c:v>
                </c:pt>
              </c:strCache>
            </c:strRef>
          </c:tx>
          <c:spPr>
            <a:solidFill>
              <a:schemeClr val="bg1">
                <a:lumMod val="65000"/>
              </a:schemeClr>
            </a:solidFill>
            <a:ln>
              <a:solidFill>
                <a:sysClr val="windowText" lastClr="000000"/>
              </a:solidFill>
            </a:ln>
          </c:spPr>
          <c:invertIfNegative val="0"/>
          <c:cat>
            <c:numRef>
              <c:f>'Forklift RESULTS-Tables'!$C$182:$C$187</c:f>
              <c:numCache>
                <c:formatCode>General</c:formatCode>
                <c:ptCount val="6"/>
                <c:pt idx="0">
                  <c:v>2015</c:v>
                </c:pt>
                <c:pt idx="1">
                  <c:v>2016</c:v>
                </c:pt>
                <c:pt idx="2">
                  <c:v>2017</c:v>
                </c:pt>
                <c:pt idx="3">
                  <c:v>2018</c:v>
                </c:pt>
                <c:pt idx="4">
                  <c:v>2019</c:v>
                </c:pt>
                <c:pt idx="5">
                  <c:v>2020</c:v>
                </c:pt>
              </c:numCache>
            </c:numRef>
          </c:cat>
          <c:val>
            <c:numRef>
              <c:f>'Forklift RESULTS-Tables'!$T$182:$T$187</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axId val="115098752"/>
        <c:axId val="115100288"/>
      </c:barChart>
      <c:catAx>
        <c:axId val="115098752"/>
        <c:scaling>
          <c:orientation val="minMax"/>
        </c:scaling>
        <c:delete val="0"/>
        <c:axPos val="b"/>
        <c:numFmt formatCode="General" sourceLinked="1"/>
        <c:majorTickMark val="none"/>
        <c:minorTickMark val="none"/>
        <c:tickLblPos val="nextTo"/>
        <c:crossAx val="115100288"/>
        <c:crosses val="autoZero"/>
        <c:auto val="1"/>
        <c:lblAlgn val="ctr"/>
        <c:lblOffset val="100"/>
        <c:noMultiLvlLbl val="0"/>
      </c:catAx>
      <c:valAx>
        <c:axId val="115100288"/>
        <c:scaling>
          <c:orientation val="minMax"/>
        </c:scaling>
        <c:delete val="0"/>
        <c:axPos val="l"/>
        <c:majorGridlines/>
        <c:title>
          <c:tx>
            <c:rich>
              <a:bodyPr rot="0" vert="horz"/>
              <a:lstStyle/>
              <a:p>
                <a:pPr>
                  <a:defRPr sz="1400"/>
                </a:pPr>
                <a:r>
                  <a:rPr lang="en-US" sz="1400"/>
                  <a:t>Forklift  Fuel Cell-related Employment (Job-years)</a:t>
                </a:r>
              </a:p>
            </c:rich>
          </c:tx>
          <c:layout>
            <c:manualLayout>
              <c:xMode val="edge"/>
              <c:yMode val="edge"/>
              <c:x val="2.3161096582165717E-2"/>
              <c:y val="0.29362883815503338"/>
            </c:manualLayout>
          </c:layout>
          <c:overlay val="0"/>
        </c:title>
        <c:numFmt formatCode="_(* #,##0_);_(* \(#,##0\);_(* &quot;-&quot;??_);_(@_)" sourceLinked="1"/>
        <c:majorTickMark val="none"/>
        <c:minorTickMark val="none"/>
        <c:tickLblPos val="nextTo"/>
        <c:crossAx val="115098752"/>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Earnings Impacts</a:t>
            </a:r>
            <a:r>
              <a:rPr lang="en-US" sz="1600"/>
              <a:t> (2015-2020)</a:t>
            </a:r>
          </a:p>
          <a:p>
            <a:pPr>
              <a:defRPr/>
            </a:pPr>
            <a:r>
              <a:rPr lang="en-US" sz="1400"/>
              <a:t>Forklift Fuel Cell Scenario</a:t>
            </a:r>
          </a:p>
          <a:p>
            <a:pPr>
              <a:defRPr/>
            </a:pPr>
            <a:r>
              <a:rPr lang="en-US" sz="1100"/>
              <a:t>JOBS FC 1.0</a:t>
            </a:r>
          </a:p>
        </c:rich>
      </c:tx>
      <c:overlay val="0"/>
    </c:title>
    <c:autoTitleDeleted val="0"/>
    <c:plotArea>
      <c:layout/>
      <c:barChart>
        <c:barDir val="col"/>
        <c:grouping val="clustered"/>
        <c:varyColors val="0"/>
        <c:ser>
          <c:idx val="21"/>
          <c:order val="0"/>
          <c:tx>
            <c:strRef>
              <c:f>'Forklift RESULTS-Tables'!$H$191</c:f>
              <c:strCache>
                <c:ptCount val="1"/>
                <c:pt idx="0">
                  <c:v>Gross Forklift Fuel Cell-related Total</c:v>
                </c:pt>
              </c:strCache>
            </c:strRef>
          </c:tx>
          <c:spPr>
            <a:solidFill>
              <a:schemeClr val="tx1">
                <a:lumMod val="85000"/>
                <a:lumOff val="15000"/>
              </a:schemeClr>
            </a:solidFill>
            <a:ln>
              <a:solidFill>
                <a:sysClr val="windowText" lastClr="000000"/>
              </a:solidFill>
            </a:ln>
          </c:spPr>
          <c:invertIfNegative val="0"/>
          <c:cat>
            <c:numRef>
              <c:f>'Forklift RESULTS-Tables'!$C$192:$C$197</c:f>
              <c:numCache>
                <c:formatCode>General</c:formatCode>
                <c:ptCount val="6"/>
                <c:pt idx="0">
                  <c:v>2015</c:v>
                </c:pt>
                <c:pt idx="1">
                  <c:v>2016</c:v>
                </c:pt>
                <c:pt idx="2">
                  <c:v>2017</c:v>
                </c:pt>
                <c:pt idx="3">
                  <c:v>2018</c:v>
                </c:pt>
                <c:pt idx="4">
                  <c:v>2019</c:v>
                </c:pt>
                <c:pt idx="5">
                  <c:v>2020</c:v>
                </c:pt>
              </c:numCache>
            </c:numRef>
          </c:cat>
          <c:val>
            <c:numRef>
              <c:f>'Forklift RESULTS-Tables'!$H$192:$H$197</c:f>
              <c:numCache>
                <c:formatCode>_("$"* #,##0_);_("$"* \(#,##0\);_("$"* "-"??_);_(@_)</c:formatCode>
                <c:ptCount val="6"/>
                <c:pt idx="0">
                  <c:v>#N/A</c:v>
                </c:pt>
                <c:pt idx="1">
                  <c:v>#N/A</c:v>
                </c:pt>
                <c:pt idx="2">
                  <c:v>#N/A</c:v>
                </c:pt>
                <c:pt idx="3">
                  <c:v>#N/A</c:v>
                </c:pt>
                <c:pt idx="4">
                  <c:v>#N/A</c:v>
                </c:pt>
                <c:pt idx="5">
                  <c:v>#N/A</c:v>
                </c:pt>
              </c:numCache>
            </c:numRef>
          </c:val>
        </c:ser>
        <c:ser>
          <c:idx val="0"/>
          <c:order val="1"/>
          <c:tx>
            <c:strRef>
              <c:f>'Forklift RESULTS-Tables'!$N$191</c:f>
              <c:strCache>
                <c:ptCount val="1"/>
                <c:pt idx="0">
                  <c:v>Gross Forklift Fuel Cell-related Total</c:v>
                </c:pt>
              </c:strCache>
            </c:strRef>
          </c:tx>
          <c:spPr>
            <a:solidFill>
              <a:schemeClr val="accent1"/>
            </a:solidFill>
            <a:ln>
              <a:solidFill>
                <a:sysClr val="windowText" lastClr="000000"/>
              </a:solidFill>
            </a:ln>
          </c:spPr>
          <c:invertIfNegative val="0"/>
          <c:cat>
            <c:numRef>
              <c:f>'Forklift RESULTS-Tables'!$C$192:$C$197</c:f>
              <c:numCache>
                <c:formatCode>General</c:formatCode>
                <c:ptCount val="6"/>
                <c:pt idx="0">
                  <c:v>2015</c:v>
                </c:pt>
                <c:pt idx="1">
                  <c:v>2016</c:v>
                </c:pt>
                <c:pt idx="2">
                  <c:v>2017</c:v>
                </c:pt>
                <c:pt idx="3">
                  <c:v>2018</c:v>
                </c:pt>
                <c:pt idx="4">
                  <c:v>2019</c:v>
                </c:pt>
                <c:pt idx="5">
                  <c:v>2020</c:v>
                </c:pt>
              </c:numCache>
            </c:numRef>
          </c:cat>
          <c:val>
            <c:numRef>
              <c:f>'Forklift RESULTS-Tables'!$N$192:$N$197</c:f>
              <c:numCache>
                <c:formatCode>_("$"* #,##0_);_("$"* \(#,##0\);_("$"* "-"??_);_(@_)</c:formatCode>
                <c:ptCount val="6"/>
                <c:pt idx="0">
                  <c:v>#N/A</c:v>
                </c:pt>
                <c:pt idx="1">
                  <c:v>#N/A</c:v>
                </c:pt>
                <c:pt idx="2">
                  <c:v>#N/A</c:v>
                </c:pt>
                <c:pt idx="3">
                  <c:v>#N/A</c:v>
                </c:pt>
                <c:pt idx="4">
                  <c:v>#N/A</c:v>
                </c:pt>
                <c:pt idx="5">
                  <c:v>#N/A</c:v>
                </c:pt>
              </c:numCache>
            </c:numRef>
          </c:val>
        </c:ser>
        <c:ser>
          <c:idx val="1"/>
          <c:order val="2"/>
          <c:tx>
            <c:strRef>
              <c:f>'Forklift RESULTS-Tables'!$T$191</c:f>
              <c:strCache>
                <c:ptCount val="1"/>
                <c:pt idx="0">
                  <c:v>Displaced Forklift Battery-related Total</c:v>
                </c:pt>
              </c:strCache>
            </c:strRef>
          </c:tx>
          <c:spPr>
            <a:solidFill>
              <a:schemeClr val="bg1">
                <a:lumMod val="65000"/>
              </a:schemeClr>
            </a:solidFill>
            <a:ln>
              <a:solidFill>
                <a:sysClr val="windowText" lastClr="000000"/>
              </a:solidFill>
            </a:ln>
          </c:spPr>
          <c:invertIfNegative val="0"/>
          <c:cat>
            <c:numRef>
              <c:f>'Forklift RESULTS-Tables'!$C$192:$C$197</c:f>
              <c:numCache>
                <c:formatCode>General</c:formatCode>
                <c:ptCount val="6"/>
                <c:pt idx="0">
                  <c:v>2015</c:v>
                </c:pt>
                <c:pt idx="1">
                  <c:v>2016</c:v>
                </c:pt>
                <c:pt idx="2">
                  <c:v>2017</c:v>
                </c:pt>
                <c:pt idx="3">
                  <c:v>2018</c:v>
                </c:pt>
                <c:pt idx="4">
                  <c:v>2019</c:v>
                </c:pt>
                <c:pt idx="5">
                  <c:v>2020</c:v>
                </c:pt>
              </c:numCache>
            </c:numRef>
          </c:cat>
          <c:val>
            <c:numRef>
              <c:f>'Forklift RESULTS-Tables'!$T$192:$T$197</c:f>
              <c:numCache>
                <c:formatCode>_("$"* #,##0_);_("$"* \(#,##0\);_("$"* "-"??_);_(@_)</c:formatCode>
                <c:ptCount val="6"/>
                <c:pt idx="0">
                  <c:v>#N/A</c:v>
                </c:pt>
                <c:pt idx="1">
                  <c:v>#N/A</c:v>
                </c:pt>
                <c:pt idx="2">
                  <c:v>#N/A</c:v>
                </c:pt>
                <c:pt idx="3">
                  <c:v>#N/A</c:v>
                </c:pt>
                <c:pt idx="4">
                  <c:v>#N/A</c:v>
                </c:pt>
                <c:pt idx="5">
                  <c:v>#N/A</c:v>
                </c:pt>
              </c:numCache>
            </c:numRef>
          </c:val>
        </c:ser>
        <c:dLbls>
          <c:showLegendKey val="0"/>
          <c:showVal val="0"/>
          <c:showCatName val="0"/>
          <c:showSerName val="0"/>
          <c:showPercent val="0"/>
          <c:showBubbleSize val="0"/>
        </c:dLbls>
        <c:gapWidth val="95"/>
        <c:axId val="115139328"/>
        <c:axId val="115140864"/>
      </c:barChart>
      <c:catAx>
        <c:axId val="115139328"/>
        <c:scaling>
          <c:orientation val="minMax"/>
        </c:scaling>
        <c:delete val="0"/>
        <c:axPos val="b"/>
        <c:numFmt formatCode="General" sourceLinked="1"/>
        <c:majorTickMark val="none"/>
        <c:minorTickMark val="none"/>
        <c:tickLblPos val="nextTo"/>
        <c:crossAx val="115140864"/>
        <c:crosses val="autoZero"/>
        <c:auto val="1"/>
        <c:lblAlgn val="ctr"/>
        <c:lblOffset val="100"/>
        <c:noMultiLvlLbl val="0"/>
      </c:catAx>
      <c:valAx>
        <c:axId val="115140864"/>
        <c:scaling>
          <c:orientation val="minMax"/>
        </c:scaling>
        <c:delete val="0"/>
        <c:axPos val="l"/>
        <c:majorGridlines/>
        <c:title>
          <c:tx>
            <c:rich>
              <a:bodyPr rot="0" vert="horz"/>
              <a:lstStyle/>
              <a:p>
                <a:pPr>
                  <a:defRPr sz="1400"/>
                </a:pPr>
                <a:r>
                  <a:rPr lang="en-US" sz="1400"/>
                  <a:t>Forklift  Fuel Cell-related Earnings (Thousands of 2010$)</a:t>
                </a:r>
              </a:p>
            </c:rich>
          </c:tx>
          <c:layout>
            <c:manualLayout>
              <c:xMode val="edge"/>
              <c:yMode val="edge"/>
              <c:x val="2.3161096582165717E-2"/>
              <c:y val="0.29362883815503338"/>
            </c:manualLayout>
          </c:layout>
          <c:overlay val="0"/>
        </c:title>
        <c:numFmt formatCode="_(&quot;$&quot;* #,##0_);_(&quot;$&quot;* \(#,##0\);_(&quot;$&quot;* &quot;-&quot;??_);_(@_)" sourceLinked="1"/>
        <c:majorTickMark val="none"/>
        <c:minorTickMark val="none"/>
        <c:tickLblPos val="nextTo"/>
        <c:crossAx val="115139328"/>
        <c:crosses val="autoZero"/>
        <c:crossBetween val="between"/>
      </c:valAx>
      <c:dTable>
        <c:showHorzBorder val="1"/>
        <c:showVertBorder val="1"/>
        <c:showOutline val="1"/>
        <c:showKeys val="1"/>
      </c:dTable>
    </c:plotArea>
    <c:plotVisOnly val="1"/>
    <c:dispBlanksAs val="gap"/>
    <c:showDLblsOverMax val="0"/>
  </c:chart>
  <c:txPr>
    <a:bodyPr/>
    <a:lstStyle/>
    <a:p>
      <a:pPr>
        <a:defRPr b="1">
          <a:latin typeface="Garamond" pitchFamily="18" charset="0"/>
        </a:defRPr>
      </a:pPr>
      <a:endParaRPr lang="en-US"/>
    </a:p>
  </c:txPr>
  <c:printSettings>
    <c:headerFooter/>
    <c:pageMargins b="0.75000000000000011" l="0.70000000000000007" r="0.70000000000000007" t="0.75000000000000011" header="0.30000000000000004" footer="0.30000000000000004"/>
    <c:pageSetup orientation="portrait"/>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 Id="rId9"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 Id="rId9"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7820025</xdr:colOff>
          <xdr:row>10</xdr:row>
          <xdr:rowOff>123825</xdr:rowOff>
        </xdr:from>
        <xdr:to>
          <xdr:col>2</xdr:col>
          <xdr:colOff>9363075</xdr:colOff>
          <xdr:row>10</xdr:row>
          <xdr:rowOff>381000</xdr:rowOff>
        </xdr:to>
        <xdr:sp macro="" textlink="">
          <xdr:nvSpPr>
            <xdr:cNvPr id="13646850" name="Button 2" hidden="1">
              <a:extLst>
                <a:ext uri="{63B3BB69-23CF-44E3-9099-C40C66FF867C}">
                  <a14:compatExt spid="_x0000_s1364685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sng" strike="noStrike" baseline="0">
                  <a:solidFill>
                    <a:srgbClr val="0000FF"/>
                  </a:solidFill>
                  <a:latin typeface="Garamond"/>
                </a:rPr>
                <a:t>Go to Forklift INPUTS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7800975</xdr:colOff>
          <xdr:row>13</xdr:row>
          <xdr:rowOff>95250</xdr:rowOff>
        </xdr:from>
        <xdr:to>
          <xdr:col>2</xdr:col>
          <xdr:colOff>9305925</xdr:colOff>
          <xdr:row>13</xdr:row>
          <xdr:rowOff>352425</xdr:rowOff>
        </xdr:to>
        <xdr:sp macro="" textlink="">
          <xdr:nvSpPr>
            <xdr:cNvPr id="13646851" name="Button 3" hidden="1">
              <a:extLst>
                <a:ext uri="{63B3BB69-23CF-44E3-9099-C40C66FF867C}">
                  <a14:compatExt spid="_x0000_s1364685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sng" strike="noStrike" baseline="0">
                  <a:solidFill>
                    <a:srgbClr val="0000FF"/>
                  </a:solidFill>
                  <a:latin typeface="Garamond"/>
                </a:rPr>
                <a:t>Go to PEM Facility INPUTS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7800975</xdr:colOff>
          <xdr:row>11</xdr:row>
          <xdr:rowOff>123825</xdr:rowOff>
        </xdr:from>
        <xdr:to>
          <xdr:col>2</xdr:col>
          <xdr:colOff>9344025</xdr:colOff>
          <xdr:row>11</xdr:row>
          <xdr:rowOff>390525</xdr:rowOff>
        </xdr:to>
        <xdr:sp macro="" textlink="">
          <xdr:nvSpPr>
            <xdr:cNvPr id="13646852" name="Button 4" hidden="1">
              <a:extLst>
                <a:ext uri="{63B3BB69-23CF-44E3-9099-C40C66FF867C}">
                  <a14:compatExt spid="_x0000_s1364685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sng" strike="noStrike" baseline="0">
                  <a:solidFill>
                    <a:srgbClr val="0000FF"/>
                  </a:solidFill>
                  <a:latin typeface="Garamond"/>
                </a:rPr>
                <a:t>Go to Backup INPUTS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7810500</xdr:colOff>
          <xdr:row>12</xdr:row>
          <xdr:rowOff>104775</xdr:rowOff>
        </xdr:from>
        <xdr:to>
          <xdr:col>2</xdr:col>
          <xdr:colOff>9334500</xdr:colOff>
          <xdr:row>12</xdr:row>
          <xdr:rowOff>390525</xdr:rowOff>
        </xdr:to>
        <xdr:sp macro="" textlink="">
          <xdr:nvSpPr>
            <xdr:cNvPr id="13646853" name="Button 5" hidden="1">
              <a:extLst>
                <a:ext uri="{63B3BB69-23CF-44E3-9099-C40C66FF867C}">
                  <a14:compatExt spid="_x0000_s1364685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sng" strike="noStrike" baseline="0">
                  <a:solidFill>
                    <a:srgbClr val="0000FF"/>
                  </a:solidFill>
                  <a:latin typeface="Garamond"/>
                </a:rPr>
                <a:t>Go to Prime</a:t>
              </a:r>
              <a:endParaRPr lang="en-US"/>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495300</xdr:colOff>
          <xdr:row>1</xdr:row>
          <xdr:rowOff>200025</xdr:rowOff>
        </xdr:from>
        <xdr:to>
          <xdr:col>3</xdr:col>
          <xdr:colOff>561975</xdr:colOff>
          <xdr:row>1</xdr:row>
          <xdr:rowOff>466725</xdr:rowOff>
        </xdr:to>
        <xdr:sp macro="" textlink="">
          <xdr:nvSpPr>
            <xdr:cNvPr id="13663233" name="Button 1" hidden="1">
              <a:extLst>
                <a:ext uri="{63B3BB69-23CF-44E3-9099-C40C66FF867C}">
                  <a14:compatExt spid="_x0000_s13663233"/>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Return to Prime INPUTS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xdr:row>
          <xdr:rowOff>209550</xdr:rowOff>
        </xdr:from>
        <xdr:to>
          <xdr:col>6</xdr:col>
          <xdr:colOff>600075</xdr:colOff>
          <xdr:row>1</xdr:row>
          <xdr:rowOff>495300</xdr:rowOff>
        </xdr:to>
        <xdr:sp macro="" textlink="">
          <xdr:nvSpPr>
            <xdr:cNvPr id="13663234" name="Button 2" hidden="1">
              <a:extLst>
                <a:ext uri="{63B3BB69-23CF-44E3-9099-C40C66FF867C}">
                  <a14:compatExt spid="_x0000_s13663234"/>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Prime RESULTS-Charts</a:t>
              </a:r>
              <a:endParaRPr lang="en-US"/>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885825</xdr:colOff>
          <xdr:row>1</xdr:row>
          <xdr:rowOff>95250</xdr:rowOff>
        </xdr:from>
        <xdr:to>
          <xdr:col>7</xdr:col>
          <xdr:colOff>47625</xdr:colOff>
          <xdr:row>1</xdr:row>
          <xdr:rowOff>361950</xdr:rowOff>
        </xdr:to>
        <xdr:sp macro="" textlink="">
          <xdr:nvSpPr>
            <xdr:cNvPr id="13025290" name="Button 10" hidden="1">
              <a:extLst>
                <a:ext uri="{63B3BB69-23CF-44E3-9099-C40C66FF867C}">
                  <a14:compatExt spid="_x0000_s13025290"/>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FF"/>
                  </a:solidFill>
                  <a:latin typeface="Garamond"/>
                </a:rPr>
                <a:t>RESET - CLEAR ALL USER-SPECIFIED VALUES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1076325</xdr:colOff>
          <xdr:row>17</xdr:row>
          <xdr:rowOff>133350</xdr:rowOff>
        </xdr:from>
        <xdr:to>
          <xdr:col>6</xdr:col>
          <xdr:colOff>923925</xdr:colOff>
          <xdr:row>17</xdr:row>
          <xdr:rowOff>400050</xdr:rowOff>
        </xdr:to>
        <xdr:sp macro="" textlink="">
          <xdr:nvSpPr>
            <xdr:cNvPr id="13025293" name="Button 13" hidden="1">
              <a:extLst>
                <a:ext uri="{63B3BB69-23CF-44E3-9099-C40C66FF867C}">
                  <a14:compatExt spid="_x0000_s13025293"/>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PEM Facility RESULTS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1095375</xdr:colOff>
          <xdr:row>68</xdr:row>
          <xdr:rowOff>266700</xdr:rowOff>
        </xdr:from>
        <xdr:to>
          <xdr:col>6</xdr:col>
          <xdr:colOff>942975</xdr:colOff>
          <xdr:row>68</xdr:row>
          <xdr:rowOff>533400</xdr:rowOff>
        </xdr:to>
        <xdr:sp macro="" textlink="">
          <xdr:nvSpPr>
            <xdr:cNvPr id="13025294" name="Button 14" hidden="1">
              <a:extLst>
                <a:ext uri="{63B3BB69-23CF-44E3-9099-C40C66FF867C}">
                  <a14:compatExt spid="_x0000_s13025294"/>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PEM Facility RESULTS</a:t>
              </a:r>
              <a:endParaRPr lang="en-US"/>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142876</xdr:colOff>
      <xdr:row>25</xdr:row>
      <xdr:rowOff>14285</xdr:rowOff>
    </xdr:from>
    <xdr:to>
      <xdr:col>5</xdr:col>
      <xdr:colOff>445559</xdr:colOff>
      <xdr:row>49</xdr:row>
      <xdr:rowOff>14285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531282</xdr:colOff>
      <xdr:row>25</xdr:row>
      <xdr:rowOff>10583</xdr:rowOff>
    </xdr:from>
    <xdr:to>
      <xdr:col>13</xdr:col>
      <xdr:colOff>114299</xdr:colOff>
      <xdr:row>49</xdr:row>
      <xdr:rowOff>10583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146050</xdr:colOff>
      <xdr:row>49</xdr:row>
      <xdr:rowOff>166157</xdr:rowOff>
    </xdr:from>
    <xdr:to>
      <xdr:col>5</xdr:col>
      <xdr:colOff>448733</xdr:colOff>
      <xdr:row>73</xdr:row>
      <xdr:rowOff>166157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104775</xdr:colOff>
          <xdr:row>1</xdr:row>
          <xdr:rowOff>123825</xdr:rowOff>
        </xdr:from>
        <xdr:to>
          <xdr:col>2</xdr:col>
          <xdr:colOff>276225</xdr:colOff>
          <xdr:row>1</xdr:row>
          <xdr:rowOff>371475</xdr:rowOff>
        </xdr:to>
        <xdr:sp macro="" textlink="">
          <xdr:nvSpPr>
            <xdr:cNvPr id="13645825" name="Button 1" hidden="1">
              <a:extLst>
                <a:ext uri="{63B3BB69-23CF-44E3-9099-C40C66FF867C}">
                  <a14:compatExt spid="_x0000_s13645825"/>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Return to PEM Facility INPUTS</a:t>
              </a:r>
              <a:endParaRPr lang="en-US"/>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8</xdr:col>
      <xdr:colOff>152400</xdr:colOff>
      <xdr:row>12</xdr:row>
      <xdr:rowOff>61912</xdr:rowOff>
    </xdr:from>
    <xdr:to>
      <xdr:col>15</xdr:col>
      <xdr:colOff>371475</xdr:colOff>
      <xdr:row>26</xdr:row>
      <xdr:rowOff>147637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161925</xdr:colOff>
      <xdr:row>2</xdr:row>
      <xdr:rowOff>128587</xdr:rowOff>
    </xdr:from>
    <xdr:to>
      <xdr:col>15</xdr:col>
      <xdr:colOff>466725</xdr:colOff>
      <xdr:row>16</xdr:row>
      <xdr:rowOff>14287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20</xdr:row>
      <xdr:rowOff>47625</xdr:rowOff>
    </xdr:from>
    <xdr:to>
      <xdr:col>15</xdr:col>
      <xdr:colOff>333375</xdr:colOff>
      <xdr:row>32</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xdr:row>
      <xdr:rowOff>0</xdr:rowOff>
    </xdr:from>
    <xdr:to>
      <xdr:col>23</xdr:col>
      <xdr:colOff>304800</xdr:colOff>
      <xdr:row>15</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266700</xdr:colOff>
      <xdr:row>1</xdr:row>
      <xdr:rowOff>133350</xdr:rowOff>
    </xdr:from>
    <xdr:to>
      <xdr:col>39</xdr:col>
      <xdr:colOff>571500</xdr:colOff>
      <xdr:row>15</xdr:row>
      <xdr:rowOff>19050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37</xdr:row>
      <xdr:rowOff>0</xdr:rowOff>
    </xdr:from>
    <xdr:to>
      <xdr:col>14</xdr:col>
      <xdr:colOff>304800</xdr:colOff>
      <xdr:row>50</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37</xdr:row>
      <xdr:rowOff>0</xdr:rowOff>
    </xdr:from>
    <xdr:to>
      <xdr:col>22</xdr:col>
      <xdr:colOff>304800</xdr:colOff>
      <xdr:row>50</xdr:row>
      <xdr:rowOff>76200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971550</xdr:colOff>
          <xdr:row>1</xdr:row>
          <xdr:rowOff>95250</xdr:rowOff>
        </xdr:from>
        <xdr:to>
          <xdr:col>6</xdr:col>
          <xdr:colOff>1181100</xdr:colOff>
          <xdr:row>1</xdr:row>
          <xdr:rowOff>361950</xdr:rowOff>
        </xdr:to>
        <xdr:sp macro="" textlink="">
          <xdr:nvSpPr>
            <xdr:cNvPr id="13640717" name="Button 5133" hidden="1">
              <a:extLst>
                <a:ext uri="{63B3BB69-23CF-44E3-9099-C40C66FF867C}">
                  <a14:compatExt spid="_x0000_s1364071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FF"/>
                  </a:solidFill>
                  <a:latin typeface="Garamond"/>
                </a:rPr>
                <a:t>RESET - CLEAR ALL USER-SPECIFIED VALUES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39</xdr:row>
          <xdr:rowOff>171450</xdr:rowOff>
        </xdr:from>
        <xdr:to>
          <xdr:col>5</xdr:col>
          <xdr:colOff>400050</xdr:colOff>
          <xdr:row>39</xdr:row>
          <xdr:rowOff>428625</xdr:rowOff>
        </xdr:to>
        <xdr:sp macro="" textlink="">
          <xdr:nvSpPr>
            <xdr:cNvPr id="13640724" name="Button 5140" hidden="1">
              <a:extLst>
                <a:ext uri="{63B3BB69-23CF-44E3-9099-C40C66FF867C}">
                  <a14:compatExt spid="_x0000_s13640724"/>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Forklift RESULTS-Charts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1381125</xdr:colOff>
          <xdr:row>39</xdr:row>
          <xdr:rowOff>171450</xdr:rowOff>
        </xdr:from>
        <xdr:to>
          <xdr:col>7</xdr:col>
          <xdr:colOff>1323975</xdr:colOff>
          <xdr:row>39</xdr:row>
          <xdr:rowOff>428625</xdr:rowOff>
        </xdr:to>
        <xdr:sp macro="" textlink="">
          <xdr:nvSpPr>
            <xdr:cNvPr id="13640730" name="Button 5146" hidden="1">
              <a:extLst>
                <a:ext uri="{63B3BB69-23CF-44E3-9099-C40C66FF867C}">
                  <a14:compatExt spid="_x0000_s13640730"/>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Forklift RESULTS-Tables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113</xdr:row>
          <xdr:rowOff>180975</xdr:rowOff>
        </xdr:from>
        <xdr:to>
          <xdr:col>5</xdr:col>
          <xdr:colOff>333375</xdr:colOff>
          <xdr:row>113</xdr:row>
          <xdr:rowOff>438150</xdr:rowOff>
        </xdr:to>
        <xdr:sp macro="" textlink="">
          <xdr:nvSpPr>
            <xdr:cNvPr id="13640732" name="Button 5148" hidden="1">
              <a:extLst>
                <a:ext uri="{63B3BB69-23CF-44E3-9099-C40C66FF867C}">
                  <a14:compatExt spid="_x0000_s13640732"/>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Forklift RESULTS-Charts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113</xdr:row>
          <xdr:rowOff>180975</xdr:rowOff>
        </xdr:from>
        <xdr:to>
          <xdr:col>7</xdr:col>
          <xdr:colOff>1343025</xdr:colOff>
          <xdr:row>113</xdr:row>
          <xdr:rowOff>438150</xdr:rowOff>
        </xdr:to>
        <xdr:sp macro="" textlink="">
          <xdr:nvSpPr>
            <xdr:cNvPr id="13640734" name="Button 5150" hidden="1">
              <a:extLst>
                <a:ext uri="{63B3BB69-23CF-44E3-9099-C40C66FF867C}">
                  <a14:compatExt spid="_x0000_s13640734"/>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Forklift RESULTS-Tables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122</xdr:row>
          <xdr:rowOff>209550</xdr:rowOff>
        </xdr:from>
        <xdr:to>
          <xdr:col>5</xdr:col>
          <xdr:colOff>266700</xdr:colOff>
          <xdr:row>122</xdr:row>
          <xdr:rowOff>466725</xdr:rowOff>
        </xdr:to>
        <xdr:sp macro="" textlink="">
          <xdr:nvSpPr>
            <xdr:cNvPr id="13640735" name="Button 5151" hidden="1">
              <a:extLst>
                <a:ext uri="{63B3BB69-23CF-44E3-9099-C40C66FF867C}">
                  <a14:compatExt spid="_x0000_s13640735"/>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Forklift RESULTS-Charts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1447800</xdr:colOff>
          <xdr:row>122</xdr:row>
          <xdr:rowOff>209550</xdr:rowOff>
        </xdr:from>
        <xdr:to>
          <xdr:col>7</xdr:col>
          <xdr:colOff>1276350</xdr:colOff>
          <xdr:row>122</xdr:row>
          <xdr:rowOff>466725</xdr:rowOff>
        </xdr:to>
        <xdr:sp macro="" textlink="">
          <xdr:nvSpPr>
            <xdr:cNvPr id="13640736" name="Button 5152" hidden="1">
              <a:extLst>
                <a:ext uri="{63B3BB69-23CF-44E3-9099-C40C66FF867C}">
                  <a14:compatExt spid="_x0000_s13640736"/>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Forklift RESULTS-Tables</a:t>
              </a:r>
              <a:endParaRPr lang="en-US"/>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7706</xdr:colOff>
      <xdr:row>31</xdr:row>
      <xdr:rowOff>197678</xdr:rowOff>
    </xdr:from>
    <xdr:to>
      <xdr:col>6</xdr:col>
      <xdr:colOff>511472</xdr:colOff>
      <xdr:row>54</xdr:row>
      <xdr:rowOff>144761</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645580</xdr:colOff>
      <xdr:row>31</xdr:row>
      <xdr:rowOff>199758</xdr:rowOff>
    </xdr:from>
    <xdr:to>
      <xdr:col>11</xdr:col>
      <xdr:colOff>450847</xdr:colOff>
      <xdr:row>54</xdr:row>
      <xdr:rowOff>146841</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9522</xdr:colOff>
      <xdr:row>56</xdr:row>
      <xdr:rowOff>218</xdr:rowOff>
    </xdr:from>
    <xdr:to>
      <xdr:col>6</xdr:col>
      <xdr:colOff>513288</xdr:colOff>
      <xdr:row>78</xdr:row>
      <xdr:rowOff>148385</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634997</xdr:colOff>
      <xdr:row>55</xdr:row>
      <xdr:rowOff>201082</xdr:rowOff>
    </xdr:from>
    <xdr:to>
      <xdr:col>11</xdr:col>
      <xdr:colOff>440264</xdr:colOff>
      <xdr:row>78</xdr:row>
      <xdr:rowOff>148165</xdr:rowOff>
    </xdr:to>
    <xdr:graphicFrame macro="">
      <xdr:nvGraphicFramePr>
        <xdr:cNvPr id="6"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201081</xdr:colOff>
      <xdr:row>81</xdr:row>
      <xdr:rowOff>201082</xdr:rowOff>
    </xdr:from>
    <xdr:to>
      <xdr:col>7</xdr:col>
      <xdr:colOff>713314</xdr:colOff>
      <xdr:row>109</xdr:row>
      <xdr:rowOff>57149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21165</xdr:colOff>
      <xdr:row>111</xdr:row>
      <xdr:rowOff>201082</xdr:rowOff>
    </xdr:from>
    <xdr:to>
      <xdr:col>7</xdr:col>
      <xdr:colOff>734481</xdr:colOff>
      <xdr:row>139</xdr:row>
      <xdr:rowOff>57149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31747</xdr:colOff>
      <xdr:row>142</xdr:row>
      <xdr:rowOff>169331</xdr:rowOff>
    </xdr:from>
    <xdr:to>
      <xdr:col>7</xdr:col>
      <xdr:colOff>745063</xdr:colOff>
      <xdr:row>170</xdr:row>
      <xdr:rowOff>25397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752475</xdr:colOff>
          <xdr:row>1</xdr:row>
          <xdr:rowOff>180975</xdr:rowOff>
        </xdr:from>
        <xdr:to>
          <xdr:col>6</xdr:col>
          <xdr:colOff>904875</xdr:colOff>
          <xdr:row>1</xdr:row>
          <xdr:rowOff>438150</xdr:rowOff>
        </xdr:to>
        <xdr:sp macro="" textlink="">
          <xdr:nvSpPr>
            <xdr:cNvPr id="13641729" name="Button 1" hidden="1">
              <a:extLst>
                <a:ext uri="{63B3BB69-23CF-44E3-9099-C40C66FF867C}">
                  <a14:compatExt spid="_x0000_s13641729"/>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Forklift RESULTS-Tables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xdr:row>
          <xdr:rowOff>180975</xdr:rowOff>
        </xdr:from>
        <xdr:to>
          <xdr:col>4</xdr:col>
          <xdr:colOff>152400</xdr:colOff>
          <xdr:row>1</xdr:row>
          <xdr:rowOff>438150</xdr:rowOff>
        </xdr:to>
        <xdr:sp macro="" textlink="">
          <xdr:nvSpPr>
            <xdr:cNvPr id="13641730" name="Button 2" hidden="1">
              <a:extLst>
                <a:ext uri="{63B3BB69-23CF-44E3-9099-C40C66FF867C}">
                  <a14:compatExt spid="_x0000_s13641730"/>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Return to Forklift INPUTS</a:t>
              </a:r>
              <a:endParaRPr lang="en-US"/>
            </a:p>
          </xdr:txBody>
        </xdr:sp>
        <xdr:clientData fPrintsWithSheet="0"/>
      </xdr:twoCellAnchor>
    </mc:Choice>
    <mc:Fallback/>
  </mc:AlternateContent>
  <xdr:twoCellAnchor>
    <xdr:from>
      <xdr:col>1</xdr:col>
      <xdr:colOff>0</xdr:colOff>
      <xdr:row>173</xdr:row>
      <xdr:rowOff>0</xdr:rowOff>
    </xdr:from>
    <xdr:to>
      <xdr:col>7</xdr:col>
      <xdr:colOff>713316</xdr:colOff>
      <xdr:row>200</xdr:row>
      <xdr:rowOff>57150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202</xdr:row>
      <xdr:rowOff>10584</xdr:rowOff>
    </xdr:from>
    <xdr:to>
      <xdr:col>7</xdr:col>
      <xdr:colOff>713316</xdr:colOff>
      <xdr:row>229</xdr:row>
      <xdr:rowOff>67734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231</xdr:row>
      <xdr:rowOff>10583</xdr:rowOff>
    </xdr:from>
    <xdr:to>
      <xdr:col>7</xdr:col>
      <xdr:colOff>713316</xdr:colOff>
      <xdr:row>258</xdr:row>
      <xdr:rowOff>67733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200025</xdr:colOff>
          <xdr:row>1</xdr:row>
          <xdr:rowOff>209550</xdr:rowOff>
        </xdr:from>
        <xdr:to>
          <xdr:col>3</xdr:col>
          <xdr:colOff>361950</xdr:colOff>
          <xdr:row>1</xdr:row>
          <xdr:rowOff>476250</xdr:rowOff>
        </xdr:to>
        <xdr:sp macro="" textlink="">
          <xdr:nvSpPr>
            <xdr:cNvPr id="13647873" name="Button 1" hidden="1">
              <a:extLst>
                <a:ext uri="{63B3BB69-23CF-44E3-9099-C40C66FF867C}">
                  <a14:compatExt spid="_x0000_s13647873"/>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Return to Forklift INPUTS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1047750</xdr:colOff>
          <xdr:row>1</xdr:row>
          <xdr:rowOff>171450</xdr:rowOff>
        </xdr:from>
        <xdr:to>
          <xdr:col>7</xdr:col>
          <xdr:colOff>228600</xdr:colOff>
          <xdr:row>1</xdr:row>
          <xdr:rowOff>495300</xdr:rowOff>
        </xdr:to>
        <xdr:sp macro="" textlink="">
          <xdr:nvSpPr>
            <xdr:cNvPr id="13647874" name="Button 2" hidden="1">
              <a:extLst>
                <a:ext uri="{63B3BB69-23CF-44E3-9099-C40C66FF867C}">
                  <a14:compatExt spid="_x0000_s13647874"/>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Forklift RESULTS-Charts</a:t>
              </a:r>
              <a:endParaRPr lang="en-US"/>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866775</xdr:colOff>
          <xdr:row>1</xdr:row>
          <xdr:rowOff>152400</xdr:rowOff>
        </xdr:from>
        <xdr:to>
          <xdr:col>6</xdr:col>
          <xdr:colOff>1133475</xdr:colOff>
          <xdr:row>1</xdr:row>
          <xdr:rowOff>419100</xdr:rowOff>
        </xdr:to>
        <xdr:sp macro="" textlink="">
          <xdr:nvSpPr>
            <xdr:cNvPr id="13616768" name="Button 4736" hidden="1">
              <a:extLst>
                <a:ext uri="{63B3BB69-23CF-44E3-9099-C40C66FF867C}">
                  <a14:compatExt spid="_x0000_s1361676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FF"/>
                  </a:solidFill>
                  <a:latin typeface="Garamond"/>
                </a:rPr>
                <a:t>RESET - CLEAR ALL USER-SPECIFIED VALUES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1019175</xdr:colOff>
          <xdr:row>33</xdr:row>
          <xdr:rowOff>190500</xdr:rowOff>
        </xdr:from>
        <xdr:to>
          <xdr:col>5</xdr:col>
          <xdr:colOff>485775</xdr:colOff>
          <xdr:row>33</xdr:row>
          <xdr:rowOff>447675</xdr:rowOff>
        </xdr:to>
        <xdr:sp macro="" textlink="">
          <xdr:nvSpPr>
            <xdr:cNvPr id="13616769" name="Button 4737" hidden="1">
              <a:extLst>
                <a:ext uri="{63B3BB69-23CF-44E3-9099-C40C66FF867C}">
                  <a14:compatExt spid="_x0000_s13616769"/>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Backup RESULTS-Charts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1209675</xdr:colOff>
          <xdr:row>33</xdr:row>
          <xdr:rowOff>190500</xdr:rowOff>
        </xdr:from>
        <xdr:to>
          <xdr:col>7</xdr:col>
          <xdr:colOff>1104900</xdr:colOff>
          <xdr:row>33</xdr:row>
          <xdr:rowOff>457200</xdr:rowOff>
        </xdr:to>
        <xdr:sp macro="" textlink="">
          <xdr:nvSpPr>
            <xdr:cNvPr id="13616770" name="Button 4738" hidden="1">
              <a:extLst>
                <a:ext uri="{63B3BB69-23CF-44E3-9099-C40C66FF867C}">
                  <a14:compatExt spid="_x0000_s13616770"/>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Backup RESULTS-Tables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77</xdr:row>
          <xdr:rowOff>190500</xdr:rowOff>
        </xdr:from>
        <xdr:to>
          <xdr:col>5</xdr:col>
          <xdr:colOff>419100</xdr:colOff>
          <xdr:row>77</xdr:row>
          <xdr:rowOff>447675</xdr:rowOff>
        </xdr:to>
        <xdr:sp macro="" textlink="">
          <xdr:nvSpPr>
            <xdr:cNvPr id="13616771" name="Button 4739" hidden="1">
              <a:extLst>
                <a:ext uri="{63B3BB69-23CF-44E3-9099-C40C66FF867C}">
                  <a14:compatExt spid="_x0000_s13616771"/>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Backup RESULTS-Charts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1143000</xdr:colOff>
          <xdr:row>77</xdr:row>
          <xdr:rowOff>190500</xdr:rowOff>
        </xdr:from>
        <xdr:to>
          <xdr:col>7</xdr:col>
          <xdr:colOff>1038225</xdr:colOff>
          <xdr:row>77</xdr:row>
          <xdr:rowOff>457200</xdr:rowOff>
        </xdr:to>
        <xdr:sp macro="" textlink="">
          <xdr:nvSpPr>
            <xdr:cNvPr id="13616772" name="Button 4740" hidden="1">
              <a:extLst>
                <a:ext uri="{63B3BB69-23CF-44E3-9099-C40C66FF867C}">
                  <a14:compatExt spid="_x0000_s13616772"/>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Backup RESULTS-Tables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84</xdr:row>
          <xdr:rowOff>171450</xdr:rowOff>
        </xdr:from>
        <xdr:to>
          <xdr:col>5</xdr:col>
          <xdr:colOff>361950</xdr:colOff>
          <xdr:row>84</xdr:row>
          <xdr:rowOff>428625</xdr:rowOff>
        </xdr:to>
        <xdr:sp macro="" textlink="">
          <xdr:nvSpPr>
            <xdr:cNvPr id="13616773" name="Button 4741" hidden="1">
              <a:extLst>
                <a:ext uri="{63B3BB69-23CF-44E3-9099-C40C66FF867C}">
                  <a14:compatExt spid="_x0000_s13616773"/>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Backup RESULTS-Charts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1076325</xdr:colOff>
          <xdr:row>84</xdr:row>
          <xdr:rowOff>171450</xdr:rowOff>
        </xdr:from>
        <xdr:to>
          <xdr:col>7</xdr:col>
          <xdr:colOff>981075</xdr:colOff>
          <xdr:row>84</xdr:row>
          <xdr:rowOff>438150</xdr:rowOff>
        </xdr:to>
        <xdr:sp macro="" textlink="">
          <xdr:nvSpPr>
            <xdr:cNvPr id="13616774" name="Button 4742" hidden="1">
              <a:extLst>
                <a:ext uri="{63B3BB69-23CF-44E3-9099-C40C66FF867C}">
                  <a14:compatExt spid="_x0000_s13616774"/>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Backup RESULTS-Tables</a:t>
              </a:r>
              <a:endParaRPr lang="en-US"/>
            </a:p>
          </xdr:txBody>
        </xdr:sp>
        <xdr:clientData fPrintsWithSheet="0"/>
      </xdr:twoCellAnchor>
    </mc:Choice>
    <mc:Fallback/>
  </mc:AlternateContent>
  <xdr:twoCellAnchor>
    <xdr:from>
      <xdr:col>2</xdr:col>
      <xdr:colOff>444502</xdr:colOff>
      <xdr:row>640</xdr:row>
      <xdr:rowOff>157691</xdr:rowOff>
    </xdr:from>
    <xdr:to>
      <xdr:col>5</xdr:col>
      <xdr:colOff>486835</xdr:colOff>
      <xdr:row>655</xdr:row>
      <xdr:rowOff>11641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29</xdr:row>
      <xdr:rowOff>0</xdr:rowOff>
    </xdr:from>
    <xdr:to>
      <xdr:col>6</xdr:col>
      <xdr:colOff>387350</xdr:colOff>
      <xdr:row>51</xdr:row>
      <xdr:rowOff>148167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52916</xdr:colOff>
      <xdr:row>29</xdr:row>
      <xdr:rowOff>10584</xdr:rowOff>
    </xdr:from>
    <xdr:to>
      <xdr:col>11</xdr:col>
      <xdr:colOff>524933</xdr:colOff>
      <xdr:row>51</xdr:row>
      <xdr:rowOff>158751</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54</xdr:row>
      <xdr:rowOff>0</xdr:rowOff>
    </xdr:from>
    <xdr:to>
      <xdr:col>6</xdr:col>
      <xdr:colOff>387350</xdr:colOff>
      <xdr:row>76</xdr:row>
      <xdr:rowOff>148166</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78</xdr:row>
      <xdr:rowOff>201083</xdr:rowOff>
    </xdr:from>
    <xdr:to>
      <xdr:col>7</xdr:col>
      <xdr:colOff>628650</xdr:colOff>
      <xdr:row>106</xdr:row>
      <xdr:rowOff>57149</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42332</xdr:colOff>
      <xdr:row>109</xdr:row>
      <xdr:rowOff>21166</xdr:rowOff>
    </xdr:from>
    <xdr:to>
      <xdr:col>7</xdr:col>
      <xdr:colOff>670982</xdr:colOff>
      <xdr:row>136</xdr:row>
      <xdr:rowOff>78316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21167</xdr:colOff>
      <xdr:row>139</xdr:row>
      <xdr:rowOff>201082</xdr:rowOff>
    </xdr:from>
    <xdr:to>
      <xdr:col>7</xdr:col>
      <xdr:colOff>649817</xdr:colOff>
      <xdr:row>167</xdr:row>
      <xdr:rowOff>57149</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695325</xdr:colOff>
          <xdr:row>1</xdr:row>
          <xdr:rowOff>257175</xdr:rowOff>
        </xdr:from>
        <xdr:to>
          <xdr:col>6</xdr:col>
          <xdr:colOff>104775</xdr:colOff>
          <xdr:row>1</xdr:row>
          <xdr:rowOff>514350</xdr:rowOff>
        </xdr:to>
        <xdr:sp macro="" textlink="">
          <xdr:nvSpPr>
            <xdr:cNvPr id="13643777" name="Button 1" hidden="1">
              <a:extLst>
                <a:ext uri="{63B3BB69-23CF-44E3-9099-C40C66FF867C}">
                  <a14:compatExt spid="_x0000_s13643777"/>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Backup RESULTS-Tables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xdr:row>
          <xdr:rowOff>257175</xdr:rowOff>
        </xdr:from>
        <xdr:to>
          <xdr:col>4</xdr:col>
          <xdr:colOff>104775</xdr:colOff>
          <xdr:row>1</xdr:row>
          <xdr:rowOff>514350</xdr:rowOff>
        </xdr:to>
        <xdr:sp macro="" textlink="">
          <xdr:nvSpPr>
            <xdr:cNvPr id="13643778" name="Button 2" hidden="1">
              <a:extLst>
                <a:ext uri="{63B3BB69-23CF-44E3-9099-C40C66FF867C}">
                  <a14:compatExt spid="_x0000_s13643778"/>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Return to Backup INPUTS</a:t>
              </a:r>
              <a:endParaRPr lang="en-US"/>
            </a:p>
          </xdr:txBody>
        </xdr:sp>
        <xdr:clientData fPrintsWithSheet="0"/>
      </xdr:twoCellAnchor>
    </mc:Choice>
    <mc:Fallback/>
  </mc:AlternateContent>
  <xdr:twoCellAnchor>
    <xdr:from>
      <xdr:col>1</xdr:col>
      <xdr:colOff>0</xdr:colOff>
      <xdr:row>170</xdr:row>
      <xdr:rowOff>0</xdr:rowOff>
    </xdr:from>
    <xdr:to>
      <xdr:col>7</xdr:col>
      <xdr:colOff>628650</xdr:colOff>
      <xdr:row>197</xdr:row>
      <xdr:rowOff>57150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199</xdr:row>
      <xdr:rowOff>10583</xdr:rowOff>
    </xdr:from>
    <xdr:to>
      <xdr:col>7</xdr:col>
      <xdr:colOff>628650</xdr:colOff>
      <xdr:row>226</xdr:row>
      <xdr:rowOff>67733</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228</xdr:row>
      <xdr:rowOff>10583</xdr:rowOff>
    </xdr:from>
    <xdr:to>
      <xdr:col>7</xdr:col>
      <xdr:colOff>628650</xdr:colOff>
      <xdr:row>255</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523875</xdr:colOff>
          <xdr:row>1</xdr:row>
          <xdr:rowOff>247650</xdr:rowOff>
        </xdr:from>
        <xdr:to>
          <xdr:col>6</xdr:col>
          <xdr:colOff>666750</xdr:colOff>
          <xdr:row>1</xdr:row>
          <xdr:rowOff>533400</xdr:rowOff>
        </xdr:to>
        <xdr:sp macro="" textlink="">
          <xdr:nvSpPr>
            <xdr:cNvPr id="13648897" name="Button 1" hidden="1">
              <a:extLst>
                <a:ext uri="{63B3BB69-23CF-44E3-9099-C40C66FF867C}">
                  <a14:compatExt spid="_x0000_s13648897"/>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Backup RESULTS-Charts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xdr:row>
          <xdr:rowOff>257175</xdr:rowOff>
        </xdr:from>
        <xdr:to>
          <xdr:col>3</xdr:col>
          <xdr:colOff>180975</xdr:colOff>
          <xdr:row>1</xdr:row>
          <xdr:rowOff>523875</xdr:rowOff>
        </xdr:to>
        <xdr:sp macro="" textlink="">
          <xdr:nvSpPr>
            <xdr:cNvPr id="13648898" name="Button 2" hidden="1">
              <a:extLst>
                <a:ext uri="{63B3BB69-23CF-44E3-9099-C40C66FF867C}">
                  <a14:compatExt spid="_x0000_s13648898"/>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Return to Backup INPUTS</a:t>
              </a:r>
              <a:endParaRPr lang="en-US"/>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314325</xdr:colOff>
          <xdr:row>30</xdr:row>
          <xdr:rowOff>219075</xdr:rowOff>
        </xdr:from>
        <xdr:to>
          <xdr:col>5</xdr:col>
          <xdr:colOff>9525</xdr:colOff>
          <xdr:row>30</xdr:row>
          <xdr:rowOff>504825</xdr:rowOff>
        </xdr:to>
        <xdr:sp macro="" textlink="">
          <xdr:nvSpPr>
            <xdr:cNvPr id="13656074" name="Button 10" hidden="1">
              <a:extLst>
                <a:ext uri="{63B3BB69-23CF-44E3-9099-C40C66FF867C}">
                  <a14:compatExt spid="_x0000_s13656074"/>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Prime RESULTS-Charts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1400175</xdr:colOff>
          <xdr:row>69</xdr:row>
          <xdr:rowOff>228600</xdr:rowOff>
        </xdr:from>
        <xdr:to>
          <xdr:col>7</xdr:col>
          <xdr:colOff>1457325</xdr:colOff>
          <xdr:row>69</xdr:row>
          <xdr:rowOff>514350</xdr:rowOff>
        </xdr:to>
        <xdr:sp macro="" textlink="">
          <xdr:nvSpPr>
            <xdr:cNvPr id="13656075" name="Button 11" hidden="1">
              <a:extLst>
                <a:ext uri="{63B3BB69-23CF-44E3-9099-C40C66FF867C}">
                  <a14:compatExt spid="_x0000_s13656075"/>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Prime RESULTS-Tables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69</xdr:row>
          <xdr:rowOff>228600</xdr:rowOff>
        </xdr:from>
        <xdr:to>
          <xdr:col>5</xdr:col>
          <xdr:colOff>209550</xdr:colOff>
          <xdr:row>69</xdr:row>
          <xdr:rowOff>514350</xdr:rowOff>
        </xdr:to>
        <xdr:sp macro="" textlink="">
          <xdr:nvSpPr>
            <xdr:cNvPr id="13656076" name="Button 12" hidden="1">
              <a:extLst>
                <a:ext uri="{63B3BB69-23CF-44E3-9099-C40C66FF867C}">
                  <a14:compatExt spid="_x0000_s13656076"/>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Prime RESULTS-Charts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1362075</xdr:colOff>
          <xdr:row>30</xdr:row>
          <xdr:rowOff>209550</xdr:rowOff>
        </xdr:from>
        <xdr:to>
          <xdr:col>7</xdr:col>
          <xdr:colOff>1409700</xdr:colOff>
          <xdr:row>30</xdr:row>
          <xdr:rowOff>495300</xdr:rowOff>
        </xdr:to>
        <xdr:sp macro="" textlink="">
          <xdr:nvSpPr>
            <xdr:cNvPr id="13656078" name="Button 14" hidden="1">
              <a:extLst>
                <a:ext uri="{63B3BB69-23CF-44E3-9099-C40C66FF867C}">
                  <a14:compatExt spid="_x0000_s13656078"/>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Prime RESULTS-Tables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1400175</xdr:colOff>
          <xdr:row>87</xdr:row>
          <xdr:rowOff>28575</xdr:rowOff>
        </xdr:from>
        <xdr:to>
          <xdr:col>7</xdr:col>
          <xdr:colOff>1457325</xdr:colOff>
          <xdr:row>87</xdr:row>
          <xdr:rowOff>314325</xdr:rowOff>
        </xdr:to>
        <xdr:sp macro="" textlink="">
          <xdr:nvSpPr>
            <xdr:cNvPr id="13656079" name="Button 15" hidden="1">
              <a:extLst>
                <a:ext uri="{63B3BB69-23CF-44E3-9099-C40C66FF867C}">
                  <a14:compatExt spid="_x0000_s13656079"/>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Prime RESULTS-Tables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87</xdr:row>
          <xdr:rowOff>28575</xdr:rowOff>
        </xdr:from>
        <xdr:to>
          <xdr:col>5</xdr:col>
          <xdr:colOff>209550</xdr:colOff>
          <xdr:row>87</xdr:row>
          <xdr:rowOff>314325</xdr:rowOff>
        </xdr:to>
        <xdr:sp macro="" textlink="">
          <xdr:nvSpPr>
            <xdr:cNvPr id="13656080" name="Button 16" hidden="1">
              <a:extLst>
                <a:ext uri="{63B3BB69-23CF-44E3-9099-C40C66FF867C}">
                  <a14:compatExt spid="_x0000_s13656080"/>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Prime RESULTS-Charts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885825</xdr:colOff>
          <xdr:row>1</xdr:row>
          <xdr:rowOff>104775</xdr:rowOff>
        </xdr:from>
        <xdr:to>
          <xdr:col>6</xdr:col>
          <xdr:colOff>1276350</xdr:colOff>
          <xdr:row>1</xdr:row>
          <xdr:rowOff>371475</xdr:rowOff>
        </xdr:to>
        <xdr:sp macro="" textlink="">
          <xdr:nvSpPr>
            <xdr:cNvPr id="13656081" name="Button 17" hidden="1">
              <a:extLst>
                <a:ext uri="{63B3BB69-23CF-44E3-9099-C40C66FF867C}">
                  <a14:compatExt spid="_x0000_s13656081"/>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200" b="1" i="0" u="none" strike="noStrike" baseline="0">
                  <a:solidFill>
                    <a:srgbClr val="0000FF"/>
                  </a:solidFill>
                  <a:latin typeface="Garamond"/>
                </a:rPr>
                <a:t>RESET - CLEAR ALL USER-SPECIFIED VALUES</a:t>
              </a:r>
              <a:endParaRPr lang="en-US"/>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0</xdr:colOff>
      <xdr:row>28</xdr:row>
      <xdr:rowOff>201082</xdr:rowOff>
    </xdr:from>
    <xdr:to>
      <xdr:col>2</xdr:col>
      <xdr:colOff>1890184</xdr:colOff>
      <xdr:row>51</xdr:row>
      <xdr:rowOff>148166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940858</xdr:colOff>
      <xdr:row>29</xdr:row>
      <xdr:rowOff>10582</xdr:rowOff>
    </xdr:from>
    <xdr:to>
      <xdr:col>6</xdr:col>
      <xdr:colOff>799041</xdr:colOff>
      <xdr:row>51</xdr:row>
      <xdr:rowOff>158749</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54</xdr:row>
      <xdr:rowOff>26457</xdr:rowOff>
    </xdr:from>
    <xdr:to>
      <xdr:col>2</xdr:col>
      <xdr:colOff>1884891</xdr:colOff>
      <xdr:row>76</xdr:row>
      <xdr:rowOff>142873</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79</xdr:row>
      <xdr:rowOff>0</xdr:rowOff>
    </xdr:from>
    <xdr:to>
      <xdr:col>3</xdr:col>
      <xdr:colOff>1051984</xdr:colOff>
      <xdr:row>105</xdr:row>
      <xdr:rowOff>57150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42332</xdr:colOff>
      <xdr:row>108</xdr:row>
      <xdr:rowOff>43392</xdr:rowOff>
    </xdr:from>
    <xdr:to>
      <xdr:col>3</xdr:col>
      <xdr:colOff>1094316</xdr:colOff>
      <xdr:row>135</xdr:row>
      <xdr:rowOff>89959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21167</xdr:colOff>
      <xdr:row>139</xdr:row>
      <xdr:rowOff>45508</xdr:rowOff>
    </xdr:from>
    <xdr:to>
      <xdr:col>3</xdr:col>
      <xdr:colOff>1073151</xdr:colOff>
      <xdr:row>166</xdr:row>
      <xdr:rowOff>70908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170</xdr:row>
      <xdr:rowOff>0</xdr:rowOff>
    </xdr:from>
    <xdr:to>
      <xdr:col>3</xdr:col>
      <xdr:colOff>1051984</xdr:colOff>
      <xdr:row>197</xdr:row>
      <xdr:rowOff>46567</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447675</xdr:colOff>
          <xdr:row>1</xdr:row>
          <xdr:rowOff>161925</xdr:rowOff>
        </xdr:from>
        <xdr:to>
          <xdr:col>1</xdr:col>
          <xdr:colOff>3267075</xdr:colOff>
          <xdr:row>1</xdr:row>
          <xdr:rowOff>428625</xdr:rowOff>
        </xdr:to>
        <xdr:sp macro="" textlink="">
          <xdr:nvSpPr>
            <xdr:cNvPr id="13659137" name="Button 1" hidden="1">
              <a:extLst>
                <a:ext uri="{63B3BB69-23CF-44E3-9099-C40C66FF867C}">
                  <a14:compatExt spid="_x0000_s13659137"/>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Return to Prime INPUTS</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1</xdr:row>
          <xdr:rowOff>161925</xdr:rowOff>
        </xdr:from>
        <xdr:to>
          <xdr:col>3</xdr:col>
          <xdr:colOff>742950</xdr:colOff>
          <xdr:row>1</xdr:row>
          <xdr:rowOff>428625</xdr:rowOff>
        </xdr:to>
        <xdr:sp macro="" textlink="">
          <xdr:nvSpPr>
            <xdr:cNvPr id="13659138" name="Button 2" hidden="1">
              <a:extLst>
                <a:ext uri="{63B3BB69-23CF-44E3-9099-C40C66FF867C}">
                  <a14:compatExt spid="_x0000_s13659138"/>
                </a:ext>
              </a:extLst>
            </xdr:cNvPr>
            <xdr:cNvSpPr/>
          </xdr:nvSpPr>
          <xdr:spPr>
            <a:xfrm>
              <a:off x="0" y="0"/>
              <a:ext cx="0" cy="0"/>
            </a:xfrm>
            <a:prstGeom prst="rect">
              <a:avLst/>
            </a:prstGeom>
          </xdr:spPr>
          <xdr:txBody>
            <a:bodyPr vertOverflow="clip" wrap="square" lIns="36576" tIns="32004" rIns="36576" bIns="32004" anchor="ctr" upright="1"/>
            <a:lstStyle/>
            <a:p>
              <a:pPr algn="ctr" rtl="0">
                <a:defRPr sz="1000"/>
              </a:pPr>
              <a:r>
                <a:rPr lang="en-US" sz="1400" b="1" i="0" u="sng" strike="noStrike" baseline="0">
                  <a:solidFill>
                    <a:srgbClr val="0000FF"/>
                  </a:solidFill>
                  <a:latin typeface="Garamond"/>
                </a:rPr>
                <a:t>Go to Prime RESULTS-Tables</a:t>
              </a:r>
              <a:endParaRPr lang="en-US"/>
            </a:p>
          </xdr:txBody>
        </xdr:sp>
        <xdr:clientData fPrintsWithSheet="0"/>
      </xdr:twoCellAnchor>
    </mc:Choice>
    <mc:Fallback/>
  </mc:AlternateContent>
  <xdr:twoCellAnchor>
    <xdr:from>
      <xdr:col>1</xdr:col>
      <xdr:colOff>0</xdr:colOff>
      <xdr:row>199</xdr:row>
      <xdr:rowOff>0</xdr:rowOff>
    </xdr:from>
    <xdr:to>
      <xdr:col>3</xdr:col>
      <xdr:colOff>1051984</xdr:colOff>
      <xdr:row>226</xdr:row>
      <xdr:rowOff>57150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228</xdr:row>
      <xdr:rowOff>0</xdr:rowOff>
    </xdr:from>
    <xdr:to>
      <xdr:col>3</xdr:col>
      <xdr:colOff>1051984</xdr:colOff>
      <xdr:row>255</xdr:row>
      <xdr:rowOff>57150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hyperlink" Target="https://www.bea.gov/regional/rims/rimsii/help.aspx" TargetMode="External"/><Relationship Id="rId7" Type="http://schemas.openxmlformats.org/officeDocument/2006/relationships/vmlDrawing" Target="../drawings/vmlDrawing1.vml"/><Relationship Id="rId2" Type="http://schemas.openxmlformats.org/officeDocument/2006/relationships/hyperlink" Target="https://www.bea.gov/regional/rims/rimsii/illustrativetables.aspx" TargetMode="External"/><Relationship Id="rId1" Type="http://schemas.openxmlformats.org/officeDocument/2006/relationships/hyperlink" Target="https://mail.es.anl.gov/exchange/mmintz@anl.gov" TargetMode="External"/><Relationship Id="rId6" Type="http://schemas.openxmlformats.org/officeDocument/2006/relationships/drawing" Target="../drawings/drawing1.xml"/><Relationship Id="rId11" Type="http://schemas.openxmlformats.org/officeDocument/2006/relationships/ctrlProp" Target="../ctrlProps/ctrlProp4.xml"/><Relationship Id="rId5" Type="http://schemas.openxmlformats.org/officeDocument/2006/relationships/printerSettings" Target="../printerSettings/printerSettings1.bin"/><Relationship Id="rId10" Type="http://schemas.openxmlformats.org/officeDocument/2006/relationships/ctrlProp" Target="../ctrlProps/ctrlProp3.xml"/><Relationship Id="rId4" Type="http://schemas.openxmlformats.org/officeDocument/2006/relationships/hyperlink" Target="http://www.bls.gov/data/inflation_calculator.htm" TargetMode="External"/><Relationship Id="rId9" Type="http://schemas.openxmlformats.org/officeDocument/2006/relationships/ctrlProp" Target="../ctrlProps/ctrlProp2.xml"/></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34.xml"/><Relationship Id="rId2" Type="http://schemas.openxmlformats.org/officeDocument/2006/relationships/vmlDrawing" Target="../drawings/vmlDrawing9.vml"/><Relationship Id="rId1" Type="http://schemas.openxmlformats.org/officeDocument/2006/relationships/drawing" Target="../drawings/drawing9.xml"/><Relationship Id="rId4" Type="http://schemas.openxmlformats.org/officeDocument/2006/relationships/ctrlProp" Target="../ctrlProps/ctrlProp35.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36.xml"/><Relationship Id="rId2" Type="http://schemas.openxmlformats.org/officeDocument/2006/relationships/vmlDrawing" Target="../drawings/vmlDrawing10.vml"/><Relationship Id="rId1" Type="http://schemas.openxmlformats.org/officeDocument/2006/relationships/drawing" Target="../drawings/drawing10.xml"/><Relationship Id="rId4" Type="http://schemas.openxmlformats.org/officeDocument/2006/relationships/ctrlProp" Target="../ctrlProps/ctrlProp3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omments" Target="../comments4.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trlProp" Target="../ctrlProps/ctrlProp4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indtrk.org/marketing.asp"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omments" Target="../comments1.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5.vml"/><Relationship Id="rId7" Type="http://schemas.openxmlformats.org/officeDocument/2006/relationships/ctrlProp" Target="../ctrlProps/ctrlProp1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11" Type="http://schemas.openxmlformats.org/officeDocument/2006/relationships/comments" Target="../comments2.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11" Type="http://schemas.openxmlformats.org/officeDocument/2006/relationships/comments" Target="../comments3.xml"/><Relationship Id="rId5" Type="http://schemas.openxmlformats.org/officeDocument/2006/relationships/ctrlProp" Target="../ctrlProps/ctrlProp28.xml"/><Relationship Id="rId10" Type="http://schemas.openxmlformats.org/officeDocument/2006/relationships/ctrlProp" Target="../ctrlProps/ctrlProp33.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5"/>
  </sheetPr>
  <dimension ref="B1:C39"/>
  <sheetViews>
    <sheetView tabSelected="1" zoomScale="90" zoomScaleNormal="90" workbookViewId="0">
      <selection activeCell="B1" sqref="B1:C2"/>
    </sheetView>
  </sheetViews>
  <sheetFormatPr defaultColWidth="9.140625" defaultRowHeight="15" x14ac:dyDescent="0.25"/>
  <cols>
    <col min="1" max="1" width="3.28515625" style="16" customWidth="1"/>
    <col min="2" max="2" width="23.140625" style="16" customWidth="1"/>
    <col min="3" max="3" width="165.140625" style="16" customWidth="1"/>
    <col min="4" max="4" width="41.5703125" style="16" bestFit="1" customWidth="1"/>
    <col min="5" max="16384" width="9.140625" style="16"/>
  </cols>
  <sheetData>
    <row r="1" spans="2:3" x14ac:dyDescent="0.25">
      <c r="B1" s="1993" t="s">
        <v>2243</v>
      </c>
      <c r="C1" s="1994"/>
    </row>
    <row r="2" spans="2:3" ht="30" customHeight="1" x14ac:dyDescent="0.25">
      <c r="B2" s="1995"/>
      <c r="C2" s="1996"/>
    </row>
    <row r="3" spans="2:3" ht="231.75" customHeight="1" x14ac:dyDescent="0.25">
      <c r="B3" s="1997" t="s">
        <v>2246</v>
      </c>
      <c r="C3" s="1998"/>
    </row>
    <row r="4" spans="2:3" ht="81" customHeight="1" x14ac:dyDescent="0.25">
      <c r="B4" s="1997" t="s">
        <v>2245</v>
      </c>
      <c r="C4" s="1998"/>
    </row>
    <row r="5" spans="2:3" ht="15.75" x14ac:dyDescent="0.25">
      <c r="B5" s="554" t="s">
        <v>1530</v>
      </c>
      <c r="C5" s="555" t="str">
        <f>B1</f>
        <v>JOBS FC (JOBS and economic impacts of Fuel Cells)</v>
      </c>
    </row>
    <row r="6" spans="2:3" ht="15.75" x14ac:dyDescent="0.25">
      <c r="B6" s="554" t="s">
        <v>1537</v>
      </c>
      <c r="C6" s="555" t="s">
        <v>2152</v>
      </c>
    </row>
    <row r="7" spans="2:3" ht="15.75" x14ac:dyDescent="0.25">
      <c r="B7" s="556" t="s">
        <v>1531</v>
      </c>
      <c r="C7" s="557" t="s">
        <v>2244</v>
      </c>
    </row>
    <row r="8" spans="2:3" ht="15.75" x14ac:dyDescent="0.25">
      <c r="B8" s="554" t="s">
        <v>1620</v>
      </c>
      <c r="C8" s="555" t="s">
        <v>1621</v>
      </c>
    </row>
    <row r="9" spans="2:3" ht="15.75" x14ac:dyDescent="0.25">
      <c r="B9" s="556"/>
      <c r="C9" s="557" t="s">
        <v>1637</v>
      </c>
    </row>
    <row r="10" spans="2:3" ht="16.5" x14ac:dyDescent="0.25">
      <c r="B10" s="556" t="s">
        <v>1856</v>
      </c>
      <c r="C10" s="979" t="s">
        <v>1882</v>
      </c>
    </row>
    <row r="11" spans="2:3" ht="39" customHeight="1" x14ac:dyDescent="0.25">
      <c r="B11" s="1999" t="s">
        <v>1532</v>
      </c>
      <c r="C11" s="559" t="s">
        <v>2248</v>
      </c>
    </row>
    <row r="12" spans="2:3" ht="38.25" customHeight="1" x14ac:dyDescent="0.25">
      <c r="B12" s="2000"/>
      <c r="C12" s="559" t="s">
        <v>1640</v>
      </c>
    </row>
    <row r="13" spans="2:3" ht="38.25" customHeight="1" x14ac:dyDescent="0.25">
      <c r="B13" s="2000"/>
      <c r="C13" s="978" t="s">
        <v>2247</v>
      </c>
    </row>
    <row r="14" spans="2:3" ht="35.25" customHeight="1" x14ac:dyDescent="0.25">
      <c r="B14" s="2001"/>
      <c r="C14" s="558" t="s">
        <v>1641</v>
      </c>
    </row>
    <row r="15" spans="2:3" ht="15.75" x14ac:dyDescent="0.25">
      <c r="B15" s="560" t="s">
        <v>1642</v>
      </c>
      <c r="C15" s="570"/>
    </row>
    <row r="16" spans="2:3" ht="15.75" x14ac:dyDescent="0.25">
      <c r="B16" s="566" t="s">
        <v>1643</v>
      </c>
      <c r="C16" s="564" t="s">
        <v>1647</v>
      </c>
    </row>
    <row r="17" spans="2:3" ht="15.75" x14ac:dyDescent="0.25">
      <c r="B17" s="567" t="s">
        <v>1644</v>
      </c>
      <c r="C17" s="564" t="s">
        <v>1650</v>
      </c>
    </row>
    <row r="18" spans="2:3" ht="15.75" x14ac:dyDescent="0.25">
      <c r="B18" s="568" t="s">
        <v>1645</v>
      </c>
      <c r="C18" s="564" t="s">
        <v>1648</v>
      </c>
    </row>
    <row r="19" spans="2:3" ht="15.75" x14ac:dyDescent="0.25">
      <c r="B19" s="569" t="s">
        <v>1646</v>
      </c>
      <c r="C19" s="564" t="s">
        <v>1649</v>
      </c>
    </row>
    <row r="20" spans="2:3" ht="15.75" x14ac:dyDescent="0.25">
      <c r="B20" s="560" t="s">
        <v>1639</v>
      </c>
      <c r="C20" s="553" t="s">
        <v>1533</v>
      </c>
    </row>
    <row r="21" spans="2:3" ht="15.75" x14ac:dyDescent="0.25">
      <c r="B21" s="554"/>
      <c r="C21" s="555" t="s">
        <v>2249</v>
      </c>
    </row>
    <row r="22" spans="2:3" ht="15.75" x14ac:dyDescent="0.25">
      <c r="B22" s="554"/>
      <c r="C22" s="555" t="s">
        <v>1653</v>
      </c>
    </row>
    <row r="23" spans="2:3" ht="15.75" x14ac:dyDescent="0.25">
      <c r="B23" s="554"/>
      <c r="C23" s="563" t="s">
        <v>1630</v>
      </c>
    </row>
    <row r="24" spans="2:3" ht="15.75" x14ac:dyDescent="0.25">
      <c r="B24" s="554"/>
      <c r="C24" s="563" t="s">
        <v>1629</v>
      </c>
    </row>
    <row r="25" spans="2:3" ht="15.75" x14ac:dyDescent="0.25">
      <c r="B25" s="560" t="s">
        <v>1534</v>
      </c>
      <c r="C25" s="553" t="s">
        <v>1535</v>
      </c>
    </row>
    <row r="26" spans="2:3" ht="15.75" x14ac:dyDescent="0.25">
      <c r="B26" s="556" t="s">
        <v>1536</v>
      </c>
      <c r="C26" s="561" t="s">
        <v>1855</v>
      </c>
    </row>
    <row r="27" spans="2:3" ht="15.75" x14ac:dyDescent="0.25">
      <c r="B27" s="560" t="s">
        <v>1622</v>
      </c>
      <c r="C27" s="562" t="s">
        <v>1619</v>
      </c>
    </row>
    <row r="28" spans="2:3" ht="15.75" x14ac:dyDescent="0.25">
      <c r="B28" s="556"/>
      <c r="C28" s="561" t="s">
        <v>1631</v>
      </c>
    </row>
    <row r="29" spans="2:3" ht="15.75" x14ac:dyDescent="0.25">
      <c r="B29" s="554" t="s">
        <v>1538</v>
      </c>
      <c r="C29" s="555" t="s">
        <v>1883</v>
      </c>
    </row>
    <row r="30" spans="2:3" ht="15.75" x14ac:dyDescent="0.25">
      <c r="B30" s="554"/>
      <c r="C30" s="571" t="s">
        <v>1652</v>
      </c>
    </row>
    <row r="31" spans="2:3" ht="15.75" x14ac:dyDescent="0.25">
      <c r="B31" s="554"/>
      <c r="C31" s="572" t="s">
        <v>1651</v>
      </c>
    </row>
    <row r="32" spans="2:3" ht="15.75" x14ac:dyDescent="0.25">
      <c r="B32" s="560" t="s">
        <v>1539</v>
      </c>
      <c r="C32" s="553" t="s">
        <v>1540</v>
      </c>
    </row>
    <row r="33" spans="2:3" ht="15.75" x14ac:dyDescent="0.25">
      <c r="B33" s="554"/>
      <c r="C33" s="564" t="s">
        <v>1541</v>
      </c>
    </row>
    <row r="34" spans="2:3" ht="15.75" x14ac:dyDescent="0.25">
      <c r="B34" s="554"/>
      <c r="C34" s="564" t="s">
        <v>1542</v>
      </c>
    </row>
    <row r="35" spans="2:3" ht="15.75" x14ac:dyDescent="0.25">
      <c r="B35" s="554"/>
      <c r="C35" s="564" t="s">
        <v>1543</v>
      </c>
    </row>
    <row r="36" spans="2:3" ht="15.75" x14ac:dyDescent="0.25">
      <c r="B36" s="554"/>
      <c r="C36" s="564" t="s">
        <v>1544</v>
      </c>
    </row>
    <row r="37" spans="2:3" ht="15.75" x14ac:dyDescent="0.25">
      <c r="B37" s="554"/>
      <c r="C37" s="564" t="s">
        <v>1545</v>
      </c>
    </row>
    <row r="38" spans="2:3" ht="15.75" x14ac:dyDescent="0.25">
      <c r="B38" s="554"/>
      <c r="C38" s="564" t="s">
        <v>1546</v>
      </c>
    </row>
    <row r="39" spans="2:3" ht="15.75" x14ac:dyDescent="0.25">
      <c r="B39" s="556"/>
      <c r="C39" s="565" t="s">
        <v>1547</v>
      </c>
    </row>
  </sheetData>
  <sheetProtection password="C411" sheet="1" objects="1" scenarios="1"/>
  <mergeCells count="4">
    <mergeCell ref="B1:C2"/>
    <mergeCell ref="B3:C3"/>
    <mergeCell ref="B11:B14"/>
    <mergeCell ref="B4:C4"/>
  </mergeCells>
  <hyperlinks>
    <hyperlink ref="C39" r:id="rId1" display="https://mail.es.anl.gov/exchange/mmintz@anl.gov"/>
    <hyperlink ref="C24" r:id="rId2"/>
    <hyperlink ref="C23" r:id="rId3"/>
    <hyperlink ref="C31" r:id="rId4"/>
  </hyperlinks>
  <pageMargins left="0.7" right="0.7" top="0.75" bottom="0.75" header="0.3" footer="0.3"/>
  <pageSetup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13646850" r:id="rId8" name="Button 2">
              <controlPr defaultSize="0" print="0" autoFill="0" autoPict="0" macro="[0]!Forklift_inputs">
                <anchor moveWithCells="1">
                  <from>
                    <xdr:col>2</xdr:col>
                    <xdr:colOff>7820025</xdr:colOff>
                    <xdr:row>10</xdr:row>
                    <xdr:rowOff>123825</xdr:rowOff>
                  </from>
                  <to>
                    <xdr:col>2</xdr:col>
                    <xdr:colOff>9363075</xdr:colOff>
                    <xdr:row>10</xdr:row>
                    <xdr:rowOff>381000</xdr:rowOff>
                  </to>
                </anchor>
              </controlPr>
            </control>
          </mc:Choice>
        </mc:AlternateContent>
        <mc:AlternateContent xmlns:mc="http://schemas.openxmlformats.org/markup-compatibility/2006">
          <mc:Choice Requires="x14">
            <control shapeId="13646851" r:id="rId9" name="Button 3">
              <controlPr defaultSize="0" print="0" autoFill="0" autoPict="0" macro="[0]!Facility_inputs">
                <anchor moveWithCells="1">
                  <from>
                    <xdr:col>2</xdr:col>
                    <xdr:colOff>7800975</xdr:colOff>
                    <xdr:row>13</xdr:row>
                    <xdr:rowOff>95250</xdr:rowOff>
                  </from>
                  <to>
                    <xdr:col>2</xdr:col>
                    <xdr:colOff>9305925</xdr:colOff>
                    <xdr:row>13</xdr:row>
                    <xdr:rowOff>352425</xdr:rowOff>
                  </to>
                </anchor>
              </controlPr>
            </control>
          </mc:Choice>
        </mc:AlternateContent>
        <mc:AlternateContent xmlns:mc="http://schemas.openxmlformats.org/markup-compatibility/2006">
          <mc:Choice Requires="x14">
            <control shapeId="13646852" r:id="rId10" name="Button 4">
              <controlPr defaultSize="0" print="0" autoFill="0" autoPict="0" macro="[0]!Backup_inputs">
                <anchor moveWithCells="1">
                  <from>
                    <xdr:col>2</xdr:col>
                    <xdr:colOff>7800975</xdr:colOff>
                    <xdr:row>11</xdr:row>
                    <xdr:rowOff>123825</xdr:rowOff>
                  </from>
                  <to>
                    <xdr:col>2</xdr:col>
                    <xdr:colOff>9344025</xdr:colOff>
                    <xdr:row>11</xdr:row>
                    <xdr:rowOff>390525</xdr:rowOff>
                  </to>
                </anchor>
              </controlPr>
            </control>
          </mc:Choice>
        </mc:AlternateContent>
        <mc:AlternateContent xmlns:mc="http://schemas.openxmlformats.org/markup-compatibility/2006">
          <mc:Choice Requires="x14">
            <control shapeId="13646853" r:id="rId11" name="Button 5">
              <controlPr defaultSize="0" print="0" autoFill="0" autoPict="0" macro="[0]!Prime_inputs">
                <anchor moveWithCells="1">
                  <from>
                    <xdr:col>2</xdr:col>
                    <xdr:colOff>7810500</xdr:colOff>
                    <xdr:row>12</xdr:row>
                    <xdr:rowOff>104775</xdr:rowOff>
                  </from>
                  <to>
                    <xdr:col>2</xdr:col>
                    <xdr:colOff>9334500</xdr:colOff>
                    <xdr:row>12</xdr:row>
                    <xdr:rowOff>390525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99"/>
  </sheetPr>
  <dimension ref="B1:AU555"/>
  <sheetViews>
    <sheetView zoomScale="90" zoomScaleNormal="90" workbookViewId="0">
      <selection activeCell="B1" sqref="B1:F1"/>
    </sheetView>
  </sheetViews>
  <sheetFormatPr defaultColWidth="9.140625" defaultRowHeight="15" x14ac:dyDescent="0.25"/>
  <cols>
    <col min="1" max="1" width="2.140625" style="1407" customWidth="1"/>
    <col min="2" max="2" width="60.7109375" style="1407" customWidth="1"/>
    <col min="3" max="3" width="40" style="1487" customWidth="1"/>
    <col min="4" max="4" width="23.7109375" style="1487" customWidth="1"/>
    <col min="5" max="5" width="34.28515625" style="1487" customWidth="1"/>
    <col min="6" max="6" width="33.28515625" style="1488" customWidth="1"/>
    <col min="7" max="7" width="16.7109375" style="1488" customWidth="1"/>
    <col min="8" max="8" width="23.28515625" style="1488" customWidth="1"/>
    <col min="9" max="9" width="20.42578125" style="1488" customWidth="1"/>
    <col min="10" max="10" width="3.7109375" style="1488" customWidth="1"/>
    <col min="11" max="11" width="5.5703125" style="1488" bestFit="1" customWidth="1"/>
    <col min="12" max="12" width="18.5703125" style="1488" customWidth="1"/>
    <col min="13" max="13" width="21.7109375" style="1488" customWidth="1"/>
    <col min="14" max="14" width="16.5703125" style="1488" customWidth="1"/>
    <col min="15" max="15" width="17.140625" style="1488" customWidth="1"/>
    <col min="16" max="16" width="18.85546875" style="1407" customWidth="1"/>
    <col min="17" max="17" width="4" style="1407" customWidth="1"/>
    <col min="18" max="18" width="5.5703125" style="1407" bestFit="1" customWidth="1"/>
    <col min="19" max="19" width="19.28515625" style="1407" customWidth="1"/>
    <col min="20" max="20" width="17.42578125" style="1407" customWidth="1"/>
    <col min="21" max="21" width="16.85546875" style="1407" customWidth="1"/>
    <col min="22" max="22" width="19.5703125" style="1407" customWidth="1"/>
    <col min="23" max="23" width="16.28515625" style="1407" customWidth="1"/>
    <col min="24" max="24" width="3.85546875" style="1407" customWidth="1"/>
    <col min="25" max="25" width="5.5703125" style="1407" bestFit="1" customWidth="1"/>
    <col min="26" max="26" width="16.85546875" style="1407" customWidth="1"/>
    <col min="27" max="27" width="16.5703125" style="1407" customWidth="1"/>
    <col min="28" max="28" width="19.28515625" style="1407" customWidth="1"/>
    <col min="29" max="29" width="18.85546875" style="1407" customWidth="1"/>
    <col min="30" max="30" width="17.85546875" style="1407" customWidth="1"/>
    <col min="31" max="31" width="3" style="1407" customWidth="1"/>
    <col min="32" max="34" width="9.140625" style="1407"/>
    <col min="35" max="35" width="15.140625" style="1407" customWidth="1"/>
    <col min="36" max="36" width="9.140625" style="1407"/>
    <col min="37" max="37" width="15.7109375" style="1407" customWidth="1"/>
    <col min="38" max="38" width="9.140625" style="1407"/>
    <col min="39" max="39" width="14.28515625" style="1407" customWidth="1"/>
    <col min="40" max="40" width="9.140625" style="1407"/>
    <col min="41" max="41" width="10.5703125" style="1407" customWidth="1"/>
    <col min="42" max="42" width="9.140625" style="1407"/>
    <col min="43" max="43" width="13.85546875" style="1407" customWidth="1"/>
    <col min="44" max="44" width="11" style="1407" customWidth="1"/>
    <col min="45" max="16384" width="9.140625" style="1407"/>
  </cols>
  <sheetData>
    <row r="1" spans="2:15" s="1383" customFormat="1" ht="36.75" customHeight="1" x14ac:dyDescent="0.25">
      <c r="B1" s="2720" t="s">
        <v>1844</v>
      </c>
      <c r="C1" s="2721"/>
      <c r="D1" s="2721"/>
      <c r="E1" s="2721"/>
      <c r="F1" s="2722"/>
      <c r="G1" s="1493"/>
      <c r="H1" s="1493"/>
      <c r="I1" s="1493"/>
      <c r="J1" s="1493"/>
      <c r="K1" s="1493"/>
      <c r="L1" s="1493"/>
      <c r="M1" s="1493"/>
      <c r="N1" s="1493"/>
      <c r="O1" s="1493"/>
    </row>
    <row r="2" spans="2:15" s="1383" customFormat="1" ht="43.5" customHeight="1" x14ac:dyDescent="0.25">
      <c r="B2" s="1374"/>
      <c r="C2" s="1618"/>
      <c r="D2" s="1618"/>
      <c r="E2" s="1618"/>
      <c r="F2" s="1633"/>
      <c r="G2" s="1493"/>
      <c r="H2" s="1493"/>
      <c r="I2" s="1493"/>
      <c r="J2" s="1493"/>
      <c r="K2" s="1493"/>
      <c r="L2" s="1493"/>
      <c r="M2" s="1493"/>
      <c r="N2" s="1493"/>
      <c r="O2" s="1493"/>
    </row>
    <row r="3" spans="2:15" s="1383" customFormat="1" ht="21" x14ac:dyDescent="0.35">
      <c r="B3" s="2297" t="s">
        <v>1551</v>
      </c>
      <c r="C3" s="2298"/>
      <c r="D3" s="2723"/>
      <c r="E3" s="2723"/>
      <c r="F3" s="2724"/>
      <c r="G3" s="1493"/>
      <c r="H3" s="1493"/>
      <c r="I3" s="1493"/>
      <c r="J3" s="1493"/>
      <c r="K3" s="1493"/>
      <c r="L3" s="1493"/>
      <c r="M3" s="1493"/>
      <c r="N3" s="1493"/>
      <c r="O3" s="1493"/>
    </row>
    <row r="4" spans="2:15" s="1709" customFormat="1" ht="15.75" x14ac:dyDescent="0.25">
      <c r="B4" s="1630" t="s">
        <v>957</v>
      </c>
      <c r="C4" s="1705" t="s">
        <v>452</v>
      </c>
      <c r="D4" s="1706" t="s">
        <v>433</v>
      </c>
      <c r="E4" s="1707" t="str">
        <f>'Prime RESULTS-Tables'!H4</f>
        <v>Annual Units Mfg. (&lt;Please select&gt;)</v>
      </c>
      <c r="F4" s="1707" t="str">
        <f>'Prime RESULTS-Tables'!K4</f>
        <v>Annual Units Installed (&lt;Please select&gt;)</v>
      </c>
      <c r="G4" s="1708"/>
      <c r="H4" s="1708"/>
      <c r="I4" s="1708"/>
      <c r="J4" s="1708"/>
      <c r="K4" s="1708"/>
      <c r="L4" s="1708"/>
      <c r="M4" s="1708"/>
      <c r="N4" s="1708"/>
      <c r="O4" s="1708"/>
    </row>
    <row r="5" spans="2:15" s="1383" customFormat="1" ht="15.75" x14ac:dyDescent="0.25">
      <c r="B5" s="1397" t="str">
        <f>'Prime RESULTS-Tables'!B5</f>
        <v>Region</v>
      </c>
      <c r="C5" s="1710" t="str">
        <f>'Prime RESULTS-Tables'!F5</f>
        <v>&lt;Please select&gt;</v>
      </c>
      <c r="D5" s="1388">
        <v>2015</v>
      </c>
      <c r="E5" s="1387">
        <f>'Prime RESULTS-Tables'!J5</f>
        <v>0</v>
      </c>
      <c r="F5" s="1387">
        <f>'Prime RESULTS-Tables'!L5</f>
        <v>0</v>
      </c>
      <c r="G5" s="1493"/>
      <c r="H5" s="1493"/>
      <c r="I5" s="1493"/>
      <c r="J5" s="1493"/>
      <c r="K5" s="1493"/>
      <c r="L5" s="1493"/>
      <c r="M5" s="1493"/>
      <c r="N5" s="1493"/>
      <c r="O5" s="1493"/>
    </row>
    <row r="6" spans="2:15" s="1383" customFormat="1" ht="15.75" x14ac:dyDescent="0.25">
      <c r="B6" s="1382" t="str">
        <f>'Prime RESULTS-Tables'!B6</f>
        <v>Analysis Type</v>
      </c>
      <c r="C6" s="1710" t="str">
        <f>'Prime RESULTS-Tables'!F6</f>
        <v>Gross</v>
      </c>
      <c r="D6" s="1388">
        <v>2016</v>
      </c>
      <c r="E6" s="1387">
        <f>'Prime RESULTS-Tables'!J6</f>
        <v>0</v>
      </c>
      <c r="F6" s="1387">
        <f>'Prime RESULTS-Tables'!L6</f>
        <v>0</v>
      </c>
      <c r="G6" s="1493"/>
      <c r="H6" s="1493"/>
      <c r="I6" s="1493"/>
      <c r="J6" s="1493"/>
      <c r="K6" s="1493"/>
      <c r="L6" s="1493"/>
      <c r="M6" s="1493"/>
      <c r="N6" s="1493"/>
      <c r="O6" s="1493"/>
    </row>
    <row r="7" spans="2:15" s="1383" customFormat="1" ht="15.75" x14ac:dyDescent="0.25">
      <c r="B7" s="1382" t="str">
        <f>'Prime RESULTS-Tables'!B7</f>
        <v>Fuel Cell Type</v>
      </c>
      <c r="C7" s="1710" t="str">
        <f>'Prime RESULTS-Tables'!F7</f>
        <v>&lt;Please select&gt;</v>
      </c>
      <c r="D7" s="1388">
        <v>2017</v>
      </c>
      <c r="E7" s="1387">
        <f>'Prime RESULTS-Tables'!J7</f>
        <v>0</v>
      </c>
      <c r="F7" s="1387">
        <f>'Prime RESULTS-Tables'!L7</f>
        <v>0</v>
      </c>
      <c r="G7" s="1493"/>
      <c r="H7" s="1493"/>
      <c r="I7" s="1493"/>
      <c r="J7" s="1493"/>
      <c r="K7" s="1493"/>
      <c r="L7" s="1493"/>
      <c r="M7" s="1493"/>
      <c r="N7" s="1493"/>
      <c r="O7" s="1493"/>
    </row>
    <row r="8" spans="2:15" s="1383" customFormat="1" ht="15.75" x14ac:dyDescent="0.25">
      <c r="B8" s="1382" t="str">
        <f>'Prime RESULTS-Tables'!B8</f>
        <v>Fuel cell unit size (kW/unit)</v>
      </c>
      <c r="C8" s="1710">
        <f>'Prime RESULTS-Tables'!F8</f>
        <v>0</v>
      </c>
      <c r="D8" s="1388">
        <v>2018</v>
      </c>
      <c r="E8" s="1387">
        <f>'Prime RESULTS-Tables'!J8</f>
        <v>0</v>
      </c>
      <c r="F8" s="1387">
        <f>'Prime RESULTS-Tables'!L8</f>
        <v>0</v>
      </c>
      <c r="G8" s="1493"/>
      <c r="H8" s="1493"/>
      <c r="I8" s="1493"/>
      <c r="J8" s="1493"/>
      <c r="K8" s="1493"/>
      <c r="L8" s="1493"/>
      <c r="M8" s="1493"/>
      <c r="N8" s="1493"/>
      <c r="O8" s="1493"/>
    </row>
    <row r="9" spans="2:15" s="1383" customFormat="1" ht="15.75" x14ac:dyDescent="0.25">
      <c r="B9" s="1382" t="str">
        <f>'Prime RESULTS-Tables'!B9</f>
        <v>Total installation expense ($/installed fuel cell)</v>
      </c>
      <c r="C9" s="1426">
        <f>'Prime RESULTS-Tables'!F9</f>
        <v>0</v>
      </c>
      <c r="D9" s="1388">
        <v>2019</v>
      </c>
      <c r="E9" s="1387">
        <f>'Prime RESULTS-Tables'!J9</f>
        <v>0</v>
      </c>
      <c r="F9" s="1387">
        <f>'Prime RESULTS-Tables'!L9</f>
        <v>0</v>
      </c>
      <c r="G9" s="1493"/>
      <c r="H9" s="1493"/>
      <c r="I9" s="1493"/>
      <c r="J9" s="1493"/>
      <c r="K9" s="1493"/>
      <c r="L9" s="1493"/>
      <c r="M9" s="1493"/>
      <c r="N9" s="1493"/>
      <c r="O9" s="1493"/>
    </row>
    <row r="10" spans="2:15" s="1383" customFormat="1" ht="15.75" x14ac:dyDescent="0.25">
      <c r="B10" s="1382" t="str">
        <f>'Prime RESULTS-Tables'!B10</f>
        <v>Annual fuel expense per fuel cell ($/fuel cell/year)</v>
      </c>
      <c r="C10" s="1426">
        <f>'Prime RESULTS-Tables'!F10</f>
        <v>0</v>
      </c>
      <c r="D10" s="1388">
        <v>2020</v>
      </c>
      <c r="E10" s="1387">
        <f>'Prime RESULTS-Tables'!J10</f>
        <v>0</v>
      </c>
      <c r="F10" s="1387">
        <f>'Prime RESULTS-Tables'!L10</f>
        <v>0</v>
      </c>
      <c r="G10" s="1493"/>
      <c r="H10" s="1493"/>
      <c r="I10" s="1493"/>
      <c r="J10" s="1493"/>
      <c r="K10" s="1493"/>
      <c r="L10" s="1493"/>
      <c r="M10" s="1493"/>
      <c r="N10" s="1493"/>
      <c r="O10" s="1493"/>
    </row>
    <row r="11" spans="2:15" s="1383" customFormat="1" ht="15.75" x14ac:dyDescent="0.25">
      <c r="B11" s="1382" t="str">
        <f>'Prime RESULTS-Tables'!B11</f>
        <v>Annual maintenance expense per fuel cell ($/fuel cell/year)</v>
      </c>
      <c r="C11" s="1426" t="e">
        <f>'Prime RESULTS-Tables'!F11</f>
        <v>#DIV/0!</v>
      </c>
      <c r="D11" s="2304" t="str">
        <f>'Forklift RESULTS-Charts'!G11</f>
        <v>Notes</v>
      </c>
      <c r="E11" s="2305"/>
      <c r="F11" s="2306"/>
      <c r="G11" s="1493"/>
      <c r="H11" s="1493"/>
      <c r="I11" s="1493"/>
      <c r="J11" s="1493"/>
      <c r="K11" s="1493"/>
      <c r="L11" s="1493"/>
      <c r="M11" s="1493"/>
      <c r="N11" s="1493"/>
      <c r="O11" s="1493"/>
    </row>
    <row r="12" spans="2:15" s="1383" customFormat="1" ht="15.75" customHeight="1" x14ac:dyDescent="0.25">
      <c r="B12" s="1397" t="str">
        <f>'Prime INPUTS'!B81</f>
        <v>Annual displaced electricity expense ($/FC/year)</v>
      </c>
      <c r="C12" s="1711">
        <f>'Prime RESULTS-Tables'!F12</f>
        <v>0</v>
      </c>
      <c r="D12" s="2282" t="str">
        <f>'Forklift RESULTS-Charts'!G12</f>
        <v xml:space="preserve">(1) All dollar values are in 2010$. (2) Economic impacts are assumed to occur in the same year that expenditures occur.  For each year's expenditures, the economic impacts include direct, indirect, and induced effects for employment, earnings, and output. (3) Total economic impacts = Direct + Indirect + Induced; Supply chain impacts = Direct + Indirect. (4) Employment includes both full and part-time jobs. (5) Earnings and Output results are in thousands of 2010$. </v>
      </c>
      <c r="E12" s="2283"/>
      <c r="F12" s="2284"/>
      <c r="G12" s="1493"/>
      <c r="H12" s="1493"/>
      <c r="I12" s="1493"/>
      <c r="J12" s="1493"/>
      <c r="K12" s="1493"/>
      <c r="L12" s="1493"/>
      <c r="M12" s="1493"/>
      <c r="N12" s="1493"/>
      <c r="O12" s="1493"/>
    </row>
    <row r="13" spans="2:15" s="1383" customFormat="1" ht="15.75" customHeight="1" x14ac:dyDescent="0.25">
      <c r="B13" s="1402" t="str">
        <f>'Prime INPUTS'!B86</f>
        <v>Annual displaced natural gas expense ($/FC/year)</v>
      </c>
      <c r="C13" s="1626">
        <f>'Prime RESULTS-Tables'!F13</f>
        <v>0</v>
      </c>
      <c r="D13" s="2285"/>
      <c r="E13" s="2286"/>
      <c r="F13" s="2287"/>
      <c r="G13" s="1493"/>
      <c r="H13" s="1493"/>
      <c r="I13" s="1493"/>
      <c r="J13" s="1493"/>
      <c r="K13" s="1493"/>
      <c r="L13" s="1493"/>
      <c r="M13" s="1493"/>
      <c r="N13" s="1493"/>
      <c r="O13" s="1493"/>
    </row>
    <row r="14" spans="2:15" s="1383" customFormat="1" ht="51" customHeight="1" x14ac:dyDescent="0.25">
      <c r="B14" s="2581" t="str">
        <f>'Prime RESULTS-Tables'!B14</f>
        <v>The displaced electricity and heating expenses are only relevant for a "Net" analysis. Please review the assumptions in Step 10 of the 'Prime INPUTS' sheet if conducting a "Net" analysis.</v>
      </c>
      <c r="C14" s="2583"/>
      <c r="D14" s="2288"/>
      <c r="E14" s="2289"/>
      <c r="F14" s="2290"/>
      <c r="G14" s="1493"/>
      <c r="H14" s="1493"/>
      <c r="I14" s="1493"/>
      <c r="J14" s="1493"/>
      <c r="K14" s="1493"/>
      <c r="L14" s="1493"/>
      <c r="M14" s="1493"/>
      <c r="N14" s="1493"/>
      <c r="O14" s="1493"/>
    </row>
    <row r="15" spans="2:15" s="1383" customFormat="1" ht="36" customHeight="1" x14ac:dyDescent="0.25">
      <c r="G15" s="1493"/>
      <c r="H15" s="1493"/>
      <c r="I15" s="1493"/>
      <c r="J15" s="1493"/>
      <c r="K15" s="1493"/>
      <c r="L15" s="1493"/>
      <c r="M15" s="1493"/>
      <c r="N15" s="1493"/>
      <c r="O15" s="1493"/>
    </row>
    <row r="16" spans="2:15" s="1383" customFormat="1" ht="21" x14ac:dyDescent="0.35">
      <c r="B16" s="2294" t="s">
        <v>1595</v>
      </c>
      <c r="C16" s="2295"/>
      <c r="D16" s="2295"/>
      <c r="E16" s="2295"/>
      <c r="F16" s="2296"/>
      <c r="G16" s="1493"/>
      <c r="H16" s="1493"/>
      <c r="I16" s="1493"/>
      <c r="J16" s="1493"/>
      <c r="K16" s="1493"/>
      <c r="L16" s="1493"/>
      <c r="M16" s="1493"/>
      <c r="N16" s="1493"/>
      <c r="O16" s="1493"/>
    </row>
    <row r="17" spans="2:15" s="1383" customFormat="1" ht="15.75" x14ac:dyDescent="0.25">
      <c r="B17" s="1712" t="s">
        <v>1839</v>
      </c>
      <c r="C17" s="1713" t="s">
        <v>1840</v>
      </c>
      <c r="D17" s="1714" t="s">
        <v>1841</v>
      </c>
      <c r="E17" s="1712" t="s">
        <v>451</v>
      </c>
      <c r="F17" s="1715"/>
      <c r="G17" s="1493"/>
      <c r="H17" s="1493"/>
      <c r="I17" s="1493"/>
      <c r="J17" s="1493"/>
      <c r="K17" s="1493"/>
      <c r="L17" s="1493"/>
      <c r="M17" s="1493"/>
      <c r="N17" s="1493"/>
      <c r="O17" s="1493"/>
    </row>
    <row r="18" spans="2:15" s="1383" customFormat="1" ht="15.75" x14ac:dyDescent="0.25">
      <c r="B18" s="1441" t="str">
        <f>'Prime RESULTS-Tables'!B31</f>
        <v>Retail Price ($/kW) (0 kW &lt;Please select&gt; unit)</v>
      </c>
      <c r="C18" s="1443" t="str">
        <f>"Rows "&amp;ROW(B30)&amp;":"&amp;ROW(B52)</f>
        <v>Rows 30:52</v>
      </c>
      <c r="D18" s="1400" t="s">
        <v>1854</v>
      </c>
      <c r="E18" s="1716"/>
      <c r="F18" s="1384"/>
      <c r="G18" s="1493"/>
      <c r="H18" s="1493"/>
      <c r="I18" s="1493"/>
      <c r="J18" s="1493"/>
      <c r="K18" s="1493"/>
      <c r="L18" s="1493"/>
      <c r="M18" s="1493"/>
      <c r="N18" s="1493"/>
      <c r="O18" s="1493"/>
    </row>
    <row r="19" spans="2:15" s="1383" customFormat="1" ht="15.75" x14ac:dyDescent="0.25">
      <c r="B19" s="1441" t="str">
        <f>'Prime RESULTS-Tables'!B39</f>
        <v>Units Manufactured in Region (0 kW &lt;Please select&gt; units)</v>
      </c>
      <c r="C19" s="1443" t="str">
        <f>"Rows "&amp;ROW(B30)&amp;":"&amp;ROW(B52)</f>
        <v>Rows 30:52</v>
      </c>
      <c r="D19" s="1388" t="s">
        <v>1854</v>
      </c>
      <c r="E19" s="1716"/>
      <c r="F19" s="1384"/>
      <c r="G19" s="1493"/>
      <c r="H19" s="1493"/>
      <c r="I19" s="1493"/>
      <c r="J19" s="1493"/>
      <c r="K19" s="1493"/>
      <c r="L19" s="1493"/>
      <c r="M19" s="1493"/>
      <c r="N19" s="1493"/>
      <c r="O19" s="1493"/>
    </row>
    <row r="20" spans="2:15" s="1383" customFormat="1" ht="15.75" x14ac:dyDescent="0.25">
      <c r="B20" s="1441" t="str">
        <f>'Prime RESULTS-Tables'!B20</f>
        <v>Units Installed in Region (0 kW &lt;Please select&gt; units)</v>
      </c>
      <c r="C20" s="1443" t="str">
        <f>"Rows "&amp;ROW(B55)&amp;":"&amp;ROW(B77)</f>
        <v>Rows 55:77</v>
      </c>
      <c r="D20" s="1388" t="s">
        <v>1854</v>
      </c>
      <c r="E20" s="1716"/>
      <c r="F20" s="1384"/>
      <c r="G20" s="1493"/>
      <c r="H20" s="1493"/>
      <c r="I20" s="1493"/>
      <c r="J20" s="1493"/>
      <c r="K20" s="1493"/>
      <c r="L20" s="1493"/>
      <c r="M20" s="1493"/>
      <c r="N20" s="1493"/>
      <c r="O20" s="1493"/>
    </row>
    <row r="21" spans="2:15" s="1383" customFormat="1" ht="15.75" x14ac:dyDescent="0.25">
      <c r="B21" s="1433" t="s">
        <v>1845</v>
      </c>
      <c r="C21" s="1436" t="str">
        <f>"Rows "&amp;ROW(B80)&amp;":"&amp;ROW(B105)</f>
        <v>Rows 80:105</v>
      </c>
      <c r="D21" s="1400" t="s">
        <v>1854</v>
      </c>
      <c r="E21" s="2562" t="s">
        <v>1862</v>
      </c>
      <c r="F21" s="2563"/>
      <c r="G21" s="1493"/>
      <c r="H21" s="1493"/>
      <c r="I21" s="1493"/>
      <c r="J21" s="1493"/>
      <c r="K21" s="1493"/>
      <c r="L21" s="1493"/>
      <c r="M21" s="1493"/>
      <c r="N21" s="1493"/>
      <c r="O21" s="1493"/>
    </row>
    <row r="22" spans="2:15" s="1383" customFormat="1" ht="15.75" x14ac:dyDescent="0.25">
      <c r="B22" s="1441" t="s">
        <v>1846</v>
      </c>
      <c r="C22" s="1443" t="str">
        <f>"Rows "&amp;ROW(B109)&amp;":"&amp;ROW(B136)</f>
        <v>Rows 109:136</v>
      </c>
      <c r="D22" s="1388" t="s">
        <v>1854</v>
      </c>
      <c r="E22" s="2564"/>
      <c r="F22" s="2565"/>
      <c r="G22" s="1493"/>
      <c r="H22" s="1493"/>
      <c r="I22" s="1493"/>
      <c r="J22" s="1493"/>
      <c r="K22" s="1493"/>
      <c r="L22" s="1493"/>
      <c r="M22" s="1493"/>
      <c r="N22" s="1493"/>
      <c r="O22" s="1493"/>
    </row>
    <row r="23" spans="2:15" s="1383" customFormat="1" ht="15.75" x14ac:dyDescent="0.25">
      <c r="B23" s="1448" t="s">
        <v>1847</v>
      </c>
      <c r="C23" s="1451" t="str">
        <f>"Rows "&amp;ROW(B140)&amp;":"&amp;ROW(B167)</f>
        <v>Rows 140:167</v>
      </c>
      <c r="D23" s="1405" t="s">
        <v>1854</v>
      </c>
      <c r="E23" s="2566"/>
      <c r="F23" s="2567"/>
      <c r="G23" s="1493"/>
      <c r="H23" s="1493"/>
      <c r="I23" s="1493"/>
      <c r="J23" s="1493"/>
      <c r="K23" s="1493"/>
      <c r="L23" s="1493"/>
      <c r="M23" s="1493"/>
      <c r="N23" s="1493"/>
      <c r="O23" s="1493"/>
    </row>
    <row r="24" spans="2:15" s="1383" customFormat="1" ht="15.75" x14ac:dyDescent="0.25">
      <c r="B24" s="1397" t="s">
        <v>2148</v>
      </c>
      <c r="C24" s="1436" t="str">
        <f>"Rows "&amp;ROW(B171)&amp;":"&amp;ROW(B197)</f>
        <v>Rows 171:197</v>
      </c>
      <c r="D24" s="1400" t="s">
        <v>1854</v>
      </c>
      <c r="E24" s="2282" t="str">
        <f>'Forklift RESULTS-Charts'!H28</f>
        <v>Net, Gross, and Displaced Economic Impact charts are only relevant for a "Net" analysis.</v>
      </c>
      <c r="F24" s="2284"/>
      <c r="G24" s="1493"/>
      <c r="H24" s="1493"/>
      <c r="I24" s="1493"/>
      <c r="J24" s="1493"/>
      <c r="K24" s="1493"/>
      <c r="L24" s="1493"/>
      <c r="M24" s="1493"/>
      <c r="N24" s="1493"/>
      <c r="O24" s="1493"/>
    </row>
    <row r="25" spans="2:15" s="1383" customFormat="1" ht="15.75" x14ac:dyDescent="0.25">
      <c r="B25" s="1382" t="s">
        <v>2149</v>
      </c>
      <c r="C25" s="1443" t="str">
        <f>"Rows "&amp;ROW(B200)&amp;":"&amp;ROW(B227)</f>
        <v>Rows 200:227</v>
      </c>
      <c r="D25" s="1388" t="s">
        <v>1854</v>
      </c>
      <c r="E25" s="2285"/>
      <c r="F25" s="2287"/>
      <c r="G25" s="1493"/>
      <c r="H25" s="1493"/>
      <c r="I25" s="1493"/>
      <c r="J25" s="1493"/>
      <c r="K25" s="1493"/>
      <c r="L25" s="1493"/>
      <c r="M25" s="1493"/>
      <c r="N25" s="1493"/>
      <c r="O25" s="1493"/>
    </row>
    <row r="26" spans="2:15" s="1383" customFormat="1" ht="15.75" x14ac:dyDescent="0.25">
      <c r="B26" s="1402" t="s">
        <v>2150</v>
      </c>
      <c r="C26" s="1451" t="str">
        <f>"Rows "&amp;ROW(B229)&amp;":"&amp;ROW(B256)</f>
        <v>Rows 229:256</v>
      </c>
      <c r="D26" s="1405" t="s">
        <v>1854</v>
      </c>
      <c r="E26" s="2288"/>
      <c r="F26" s="2290"/>
      <c r="G26" s="1493"/>
      <c r="H26" s="1493"/>
      <c r="I26" s="1493"/>
      <c r="J26" s="1493"/>
      <c r="K26" s="1493"/>
      <c r="L26" s="1493"/>
      <c r="M26" s="1493"/>
      <c r="N26" s="1493"/>
      <c r="O26" s="1493"/>
    </row>
    <row r="27" spans="2:15" s="1383" customFormat="1" ht="15.75" x14ac:dyDescent="0.25">
      <c r="G27" s="1493"/>
      <c r="H27" s="1493"/>
      <c r="I27" s="1493"/>
      <c r="J27" s="1493"/>
      <c r="K27" s="1493"/>
      <c r="L27" s="1493"/>
      <c r="M27" s="1493"/>
      <c r="N27" s="1493"/>
      <c r="O27" s="1493"/>
    </row>
    <row r="28" spans="2:15" s="1383" customFormat="1" ht="15.75" x14ac:dyDescent="0.25">
      <c r="B28" s="1372"/>
      <c r="C28" s="1372"/>
      <c r="D28" s="1717"/>
      <c r="E28" s="1420"/>
      <c r="F28" s="1493"/>
      <c r="G28" s="1493"/>
      <c r="H28" s="1493"/>
      <c r="I28" s="1493"/>
      <c r="J28" s="1493"/>
      <c r="K28" s="1493"/>
      <c r="L28" s="1493"/>
      <c r="M28" s="1493"/>
      <c r="N28" s="1493"/>
      <c r="O28" s="1493"/>
    </row>
    <row r="29" spans="2:15" s="1383" customFormat="1" ht="15.75" customHeight="1" x14ac:dyDescent="0.25">
      <c r="B29" s="1372"/>
      <c r="C29" s="1372"/>
      <c r="D29" s="1717"/>
      <c r="E29" s="1420"/>
      <c r="F29" s="1493"/>
      <c r="G29" s="1493"/>
      <c r="H29" s="1493"/>
      <c r="I29" s="1493"/>
      <c r="J29" s="1493"/>
      <c r="K29" s="1493"/>
      <c r="L29" s="1493"/>
      <c r="M29" s="1493"/>
      <c r="N29" s="1493"/>
      <c r="O29" s="1493"/>
    </row>
    <row r="30" spans="2:15" s="1383" customFormat="1" ht="15.75" customHeight="1" x14ac:dyDescent="0.25">
      <c r="B30" s="1372"/>
      <c r="C30" s="1372"/>
      <c r="D30" s="1717"/>
      <c r="E30" s="1420"/>
      <c r="F30" s="1493"/>
      <c r="G30" s="1493"/>
      <c r="H30" s="1493"/>
      <c r="I30" s="1493"/>
      <c r="J30" s="1493"/>
      <c r="K30" s="1493"/>
      <c r="L30" s="1493"/>
      <c r="M30" s="1493"/>
      <c r="N30" s="1493"/>
      <c r="O30" s="1493"/>
    </row>
    <row r="31" spans="2:15" s="1383" customFormat="1" ht="15.75" customHeight="1" x14ac:dyDescent="0.25">
      <c r="B31" s="1372"/>
      <c r="C31" s="1372"/>
      <c r="D31" s="1717"/>
      <c r="E31" s="1420"/>
      <c r="F31" s="1493"/>
      <c r="G31" s="1493"/>
      <c r="H31" s="1493"/>
      <c r="I31" s="1493"/>
      <c r="J31" s="1493"/>
      <c r="K31" s="1493"/>
      <c r="L31" s="1493"/>
      <c r="M31" s="1493"/>
      <c r="N31" s="1493"/>
      <c r="O31" s="1493"/>
    </row>
    <row r="32" spans="2:15" s="1383" customFormat="1" ht="15.75" customHeight="1" x14ac:dyDescent="0.25">
      <c r="B32" s="1372"/>
      <c r="C32" s="1372"/>
      <c r="D32" s="1717"/>
      <c r="E32" s="1420"/>
      <c r="F32" s="1493"/>
      <c r="G32" s="1493"/>
      <c r="H32" s="1493"/>
      <c r="I32" s="1493"/>
      <c r="J32" s="1493"/>
      <c r="K32" s="1493"/>
      <c r="L32" s="1493"/>
      <c r="M32" s="1493"/>
      <c r="N32" s="1493"/>
      <c r="O32" s="1493"/>
    </row>
    <row r="33" spans="2:39" s="1383" customFormat="1" ht="15.75" customHeight="1" x14ac:dyDescent="0.25">
      <c r="B33" s="1372"/>
      <c r="C33" s="1372"/>
      <c r="D33" s="1717"/>
      <c r="E33" s="1420"/>
      <c r="F33" s="1493"/>
      <c r="G33" s="1493"/>
      <c r="H33" s="1493"/>
      <c r="I33" s="1493"/>
      <c r="J33" s="1493"/>
      <c r="K33" s="1493"/>
      <c r="L33" s="1493"/>
      <c r="M33" s="1493"/>
      <c r="N33" s="1493"/>
      <c r="O33" s="1493"/>
    </row>
    <row r="34" spans="2:39" s="1383" customFormat="1" ht="15.75" customHeight="1" x14ac:dyDescent="0.25">
      <c r="B34" s="1372"/>
      <c r="C34" s="1372"/>
      <c r="D34" s="1717"/>
      <c r="E34" s="1420"/>
      <c r="F34" s="1493"/>
      <c r="G34" s="1493"/>
      <c r="H34" s="1493"/>
      <c r="I34" s="1493"/>
      <c r="J34" s="1493"/>
      <c r="K34" s="1493"/>
      <c r="L34" s="1493"/>
      <c r="M34" s="1493"/>
      <c r="N34" s="1493"/>
      <c r="O34" s="1493"/>
    </row>
    <row r="35" spans="2:39" s="1383" customFormat="1" ht="15.75" customHeight="1" x14ac:dyDescent="0.25">
      <c r="B35" s="1372"/>
      <c r="C35" s="1372"/>
      <c r="D35" s="1717"/>
      <c r="E35" s="1420"/>
      <c r="F35" s="1493"/>
      <c r="G35" s="1493"/>
      <c r="H35" s="1493"/>
      <c r="I35" s="1493"/>
      <c r="J35" s="1493"/>
      <c r="K35" s="1493"/>
      <c r="L35" s="1493"/>
      <c r="M35" s="1493"/>
      <c r="N35" s="1493"/>
      <c r="O35" s="1493"/>
    </row>
    <row r="36" spans="2:39" s="1383" customFormat="1" ht="15.75" x14ac:dyDescent="0.25">
      <c r="B36" s="1372"/>
      <c r="C36" s="1372"/>
      <c r="D36" s="1717"/>
      <c r="E36" s="1420"/>
      <c r="F36" s="1493"/>
      <c r="G36" s="1493"/>
      <c r="H36" s="1493"/>
      <c r="I36" s="1493"/>
      <c r="J36" s="1493"/>
      <c r="K36" s="1493"/>
      <c r="L36" s="1493"/>
      <c r="M36" s="1493"/>
      <c r="N36" s="1493"/>
      <c r="O36" s="1493"/>
    </row>
    <row r="37" spans="2:39" s="1383" customFormat="1" ht="15.75" customHeight="1" x14ac:dyDescent="0.25">
      <c r="B37" s="1372"/>
      <c r="C37" s="1372"/>
      <c r="D37" s="1717"/>
      <c r="E37" s="1420"/>
      <c r="F37" s="1493"/>
      <c r="G37" s="1493"/>
      <c r="H37" s="1493"/>
      <c r="I37" s="1493"/>
      <c r="J37" s="1493"/>
      <c r="K37" s="1493"/>
      <c r="L37" s="1493"/>
      <c r="M37" s="1493"/>
      <c r="N37" s="1493"/>
      <c r="O37" s="1493"/>
    </row>
    <row r="38" spans="2:39" s="1383" customFormat="1" ht="15.75" customHeight="1" x14ac:dyDescent="0.25">
      <c r="B38" s="1372"/>
      <c r="C38" s="1372"/>
      <c r="D38" s="1717"/>
      <c r="E38" s="1420"/>
      <c r="F38" s="1493"/>
      <c r="G38" s="1493"/>
      <c r="H38" s="1493"/>
      <c r="I38" s="1493"/>
      <c r="J38" s="1493"/>
      <c r="K38" s="1493"/>
      <c r="L38" s="1493"/>
      <c r="M38" s="1493"/>
      <c r="N38" s="1493"/>
      <c r="O38" s="1493"/>
    </row>
    <row r="39" spans="2:39" s="1383" customFormat="1" ht="15.75" customHeight="1" x14ac:dyDescent="0.25">
      <c r="B39" s="1372"/>
      <c r="C39" s="1372"/>
      <c r="D39" s="1717"/>
      <c r="E39" s="1420"/>
      <c r="F39" s="1493"/>
      <c r="G39" s="1493"/>
      <c r="H39" s="1493"/>
      <c r="I39" s="1493"/>
      <c r="J39" s="1493"/>
      <c r="K39" s="1493"/>
      <c r="L39" s="1493"/>
      <c r="M39" s="1493"/>
      <c r="N39" s="1493"/>
      <c r="O39" s="1493"/>
    </row>
    <row r="40" spans="2:39" s="1383" customFormat="1" ht="15.75" customHeight="1" x14ac:dyDescent="0.25">
      <c r="B40" s="1372"/>
      <c r="C40" s="1372"/>
      <c r="D40" s="1717"/>
      <c r="E40" s="1420"/>
      <c r="F40" s="1493"/>
      <c r="G40" s="1493"/>
      <c r="H40" s="1493"/>
      <c r="I40" s="1493"/>
      <c r="J40" s="1493"/>
      <c r="K40" s="1493"/>
      <c r="L40" s="1493"/>
      <c r="M40" s="1493"/>
      <c r="N40" s="1493"/>
      <c r="O40" s="1493"/>
    </row>
    <row r="41" spans="2:39" s="1383" customFormat="1" ht="15.75" customHeight="1" x14ac:dyDescent="0.25">
      <c r="B41" s="1372"/>
      <c r="C41" s="1372"/>
      <c r="D41" s="1717"/>
      <c r="E41" s="1420"/>
      <c r="F41" s="1493"/>
      <c r="G41" s="1493"/>
      <c r="H41" s="1493"/>
      <c r="I41" s="1493"/>
      <c r="J41" s="1493"/>
      <c r="K41" s="1493"/>
      <c r="L41" s="1493"/>
      <c r="M41" s="1493"/>
      <c r="N41" s="1493"/>
      <c r="O41" s="1493"/>
    </row>
    <row r="42" spans="2:39" s="1383" customFormat="1" ht="15.75" customHeight="1" x14ac:dyDescent="0.25">
      <c r="B42" s="1372"/>
      <c r="C42" s="1372"/>
      <c r="D42" s="1717"/>
      <c r="E42" s="1420"/>
      <c r="F42" s="1493"/>
      <c r="G42" s="1493"/>
      <c r="H42" s="1493"/>
      <c r="I42" s="1493"/>
      <c r="J42" s="1493"/>
      <c r="K42" s="1493"/>
      <c r="L42" s="1493"/>
      <c r="M42" s="1493"/>
      <c r="N42" s="1493"/>
      <c r="O42" s="1493"/>
    </row>
    <row r="43" spans="2:39" s="1383" customFormat="1" ht="15.75" customHeight="1" x14ac:dyDescent="0.25">
      <c r="B43" s="1372"/>
      <c r="C43" s="1372"/>
      <c r="D43" s="1717"/>
      <c r="E43" s="1420"/>
      <c r="F43" s="1493"/>
      <c r="G43" s="1493"/>
      <c r="H43" s="1493"/>
      <c r="I43" s="1493"/>
      <c r="J43" s="1493"/>
      <c r="K43" s="1493"/>
      <c r="L43" s="1493"/>
      <c r="M43" s="1493"/>
      <c r="N43" s="1493"/>
      <c r="O43" s="1493"/>
    </row>
    <row r="44" spans="2:39" s="1383" customFormat="1" ht="15.75" x14ac:dyDescent="0.25">
      <c r="B44" s="1372"/>
      <c r="C44" s="1372"/>
      <c r="D44" s="1717"/>
      <c r="E44" s="1420"/>
      <c r="F44" s="1493"/>
      <c r="G44" s="1493"/>
      <c r="H44" s="1493"/>
      <c r="I44" s="1493"/>
      <c r="J44" s="1493"/>
      <c r="K44" s="1493"/>
      <c r="L44" s="1493"/>
      <c r="M44" s="1493"/>
      <c r="N44" s="1493"/>
      <c r="O44" s="1493"/>
    </row>
    <row r="45" spans="2:39" s="1653" customFormat="1" ht="15.75" customHeight="1" x14ac:dyDescent="0.25">
      <c r="B45" s="1372"/>
      <c r="C45" s="1372"/>
      <c r="D45" s="1717"/>
      <c r="E45" s="1420"/>
      <c r="F45" s="1493"/>
      <c r="G45" s="1493"/>
      <c r="H45" s="1493"/>
      <c r="I45" s="1493"/>
      <c r="J45" s="1493"/>
      <c r="K45" s="1493"/>
      <c r="L45" s="1493"/>
      <c r="M45" s="1493"/>
      <c r="N45" s="1493"/>
      <c r="O45" s="149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row>
    <row r="46" spans="2:39" s="1383" customFormat="1" ht="15.75" customHeight="1" x14ac:dyDescent="0.25">
      <c r="B46" s="1372"/>
      <c r="C46" s="1372"/>
      <c r="D46" s="1717"/>
      <c r="E46" s="1420"/>
      <c r="F46" s="1493"/>
      <c r="G46" s="1493"/>
      <c r="H46" s="1493"/>
      <c r="I46" s="1493"/>
      <c r="J46" s="1493"/>
      <c r="K46" s="1493"/>
      <c r="L46" s="1493"/>
      <c r="M46" s="1493"/>
      <c r="N46" s="1493"/>
      <c r="O46" s="1493"/>
    </row>
    <row r="47" spans="2:39" s="1383" customFormat="1" ht="15.75" customHeight="1" x14ac:dyDescent="0.25">
      <c r="B47" s="1372"/>
      <c r="C47" s="1372"/>
      <c r="D47" s="1717"/>
      <c r="E47" s="1420"/>
      <c r="F47" s="1493"/>
      <c r="G47" s="1493"/>
      <c r="H47" s="1493"/>
      <c r="I47" s="1493"/>
      <c r="J47" s="1493"/>
      <c r="K47" s="1493"/>
      <c r="L47" s="1493"/>
      <c r="M47" s="1493"/>
      <c r="N47" s="1493"/>
      <c r="O47" s="1493"/>
    </row>
    <row r="48" spans="2:39" s="1383" customFormat="1" ht="15.75" customHeight="1" x14ac:dyDescent="0.25">
      <c r="B48" s="1372"/>
      <c r="C48" s="1372"/>
      <c r="D48" s="1717"/>
      <c r="E48" s="1420"/>
      <c r="F48" s="1493"/>
      <c r="G48" s="1493"/>
      <c r="H48" s="1493"/>
      <c r="I48" s="1493"/>
      <c r="J48" s="1493"/>
      <c r="K48" s="1493"/>
      <c r="L48" s="1493"/>
      <c r="M48" s="1493"/>
      <c r="N48" s="1493"/>
      <c r="O48" s="1493"/>
    </row>
    <row r="49" spans="2:39" s="1383" customFormat="1" ht="15.75" customHeight="1" x14ac:dyDescent="0.25">
      <c r="B49" s="1372"/>
      <c r="C49" s="1372"/>
      <c r="D49" s="1717"/>
      <c r="E49" s="1420"/>
      <c r="F49" s="1493"/>
      <c r="G49" s="1493"/>
      <c r="H49" s="1493"/>
      <c r="I49" s="1493"/>
      <c r="J49" s="1493"/>
      <c r="K49" s="1493"/>
      <c r="L49" s="1493"/>
      <c r="M49" s="1493"/>
      <c r="N49" s="1493"/>
      <c r="O49" s="1493"/>
    </row>
    <row r="50" spans="2:39" s="1383" customFormat="1" ht="15.75" customHeight="1" x14ac:dyDescent="0.25">
      <c r="B50" s="1372"/>
      <c r="C50" s="1372"/>
      <c r="D50" s="1717"/>
      <c r="E50" s="1420"/>
      <c r="F50" s="1493"/>
      <c r="G50" s="1493"/>
      <c r="H50" s="1493"/>
      <c r="I50" s="1493"/>
      <c r="J50" s="1493"/>
      <c r="K50" s="1493"/>
      <c r="L50" s="1493"/>
      <c r="M50" s="1493"/>
      <c r="N50" s="1493"/>
      <c r="O50" s="1493"/>
    </row>
    <row r="51" spans="2:39" s="1383" customFormat="1" ht="15.75" customHeight="1" x14ac:dyDescent="0.25">
      <c r="B51" s="1372"/>
      <c r="C51" s="1372"/>
      <c r="D51" s="1717"/>
      <c r="E51" s="1420"/>
      <c r="F51" s="1493"/>
      <c r="G51" s="1493"/>
      <c r="H51" s="1493"/>
      <c r="I51" s="1493"/>
      <c r="J51" s="1493"/>
      <c r="K51" s="1493"/>
      <c r="L51" s="1493"/>
      <c r="M51" s="1493"/>
      <c r="N51" s="1493"/>
      <c r="O51" s="1493"/>
    </row>
    <row r="52" spans="2:39" ht="15.75" x14ac:dyDescent="0.25">
      <c r="B52" s="1372"/>
      <c r="C52" s="1372"/>
      <c r="D52" s="1717"/>
      <c r="E52" s="1420"/>
      <c r="F52" s="1493"/>
      <c r="G52" s="1493"/>
      <c r="H52" s="1493"/>
      <c r="I52" s="1493"/>
      <c r="J52" s="1493"/>
      <c r="K52" s="1493"/>
      <c r="L52" s="1493"/>
      <c r="M52" s="1493"/>
      <c r="N52" s="1493"/>
      <c r="O52" s="1493"/>
      <c r="P52" s="1383"/>
      <c r="Q52" s="1383"/>
      <c r="R52" s="1383"/>
      <c r="S52" s="1383"/>
      <c r="T52" s="1383"/>
      <c r="U52" s="1383"/>
      <c r="V52" s="1383"/>
      <c r="W52" s="1383"/>
      <c r="X52" s="1383"/>
      <c r="Y52" s="1383"/>
      <c r="Z52" s="1383"/>
      <c r="AA52" s="1383"/>
      <c r="AB52" s="1383"/>
      <c r="AC52" s="1383"/>
      <c r="AD52" s="1383"/>
      <c r="AE52" s="1383"/>
      <c r="AF52" s="1383"/>
      <c r="AG52" s="1383"/>
      <c r="AH52" s="1383"/>
      <c r="AI52" s="1383"/>
      <c r="AJ52" s="1383"/>
      <c r="AK52" s="1383"/>
      <c r="AL52" s="1383"/>
      <c r="AM52" s="1383"/>
    </row>
    <row r="53" spans="2:39" ht="15.75" x14ac:dyDescent="0.25">
      <c r="B53" s="1372"/>
      <c r="C53" s="1372"/>
      <c r="D53" s="1717"/>
      <c r="E53" s="1420"/>
      <c r="F53" s="1493"/>
      <c r="G53" s="1493"/>
      <c r="H53" s="1493"/>
      <c r="I53" s="1493"/>
      <c r="J53" s="1493"/>
      <c r="K53" s="1493"/>
      <c r="L53" s="1493"/>
      <c r="M53" s="1493"/>
      <c r="N53" s="1493"/>
      <c r="O53" s="1493"/>
      <c r="P53" s="1383"/>
      <c r="Q53" s="1383"/>
      <c r="R53" s="1383"/>
      <c r="S53" s="1383"/>
      <c r="T53" s="1383"/>
      <c r="U53" s="1383"/>
      <c r="V53" s="1383"/>
      <c r="W53" s="1383"/>
      <c r="X53" s="1383"/>
      <c r="Y53" s="1383"/>
      <c r="Z53" s="1383"/>
      <c r="AA53" s="1383"/>
      <c r="AB53" s="1383"/>
      <c r="AC53" s="1383"/>
      <c r="AD53" s="1383"/>
      <c r="AE53" s="1383"/>
      <c r="AF53" s="1383"/>
      <c r="AG53" s="1383"/>
      <c r="AH53" s="1383"/>
      <c r="AI53" s="1383"/>
      <c r="AJ53" s="1383"/>
      <c r="AK53" s="1383"/>
      <c r="AL53" s="1383"/>
      <c r="AM53" s="1383"/>
    </row>
    <row r="54" spans="2:39" ht="15.75" x14ac:dyDescent="0.25">
      <c r="B54" s="1372"/>
      <c r="C54" s="1372"/>
      <c r="D54" s="1717"/>
      <c r="E54" s="1420"/>
      <c r="F54" s="1493"/>
      <c r="G54" s="1493"/>
      <c r="H54" s="1493"/>
      <c r="I54" s="1493"/>
      <c r="J54" s="1493"/>
      <c r="K54" s="1493"/>
      <c r="L54" s="1493"/>
      <c r="M54" s="1493"/>
      <c r="N54" s="1493"/>
      <c r="O54" s="1493"/>
      <c r="P54" s="1383"/>
      <c r="Q54" s="1383"/>
      <c r="R54" s="1383"/>
      <c r="S54" s="1383"/>
      <c r="T54" s="1383"/>
      <c r="U54" s="1383"/>
      <c r="V54" s="1383"/>
      <c r="W54" s="1383"/>
      <c r="X54" s="1383"/>
      <c r="Y54" s="1383"/>
      <c r="Z54" s="1383"/>
      <c r="AA54" s="1383"/>
      <c r="AB54" s="1383"/>
      <c r="AC54" s="1383"/>
      <c r="AD54" s="1383"/>
      <c r="AE54" s="1383"/>
      <c r="AF54" s="1383"/>
      <c r="AG54" s="1383"/>
      <c r="AH54" s="1383"/>
      <c r="AI54" s="1383"/>
      <c r="AJ54" s="1383"/>
      <c r="AK54" s="1383"/>
      <c r="AL54" s="1383"/>
      <c r="AM54" s="1383"/>
    </row>
    <row r="55" spans="2:39" ht="16.5" customHeight="1" x14ac:dyDescent="0.25">
      <c r="B55" s="1372"/>
      <c r="C55" s="1372"/>
      <c r="D55" s="1717"/>
      <c r="E55" s="1420"/>
      <c r="F55" s="1493"/>
      <c r="G55" s="1493"/>
      <c r="H55" s="1493"/>
      <c r="I55" s="1493"/>
      <c r="J55" s="1493"/>
      <c r="K55" s="1493"/>
      <c r="L55" s="1493"/>
      <c r="M55" s="1493"/>
      <c r="N55" s="1493"/>
      <c r="O55" s="1493"/>
      <c r="P55" s="1383"/>
      <c r="Q55" s="1383"/>
      <c r="R55" s="1383"/>
      <c r="S55" s="1383"/>
      <c r="T55" s="1383"/>
      <c r="U55" s="1383"/>
      <c r="V55" s="1383"/>
      <c r="W55" s="1383"/>
      <c r="X55" s="1383"/>
      <c r="Y55" s="1383"/>
      <c r="Z55" s="1383"/>
      <c r="AA55" s="1383"/>
      <c r="AB55" s="1383"/>
      <c r="AC55" s="1383"/>
      <c r="AD55" s="1383"/>
      <c r="AE55" s="1383"/>
      <c r="AF55" s="1383"/>
      <c r="AG55" s="1383"/>
      <c r="AH55" s="1383"/>
      <c r="AI55" s="1383"/>
      <c r="AJ55" s="1383"/>
      <c r="AK55" s="1383"/>
      <c r="AL55" s="1383"/>
      <c r="AM55" s="1383"/>
    </row>
    <row r="56" spans="2:39" ht="15.75" x14ac:dyDescent="0.25">
      <c r="B56" s="1372"/>
      <c r="C56" s="1372"/>
      <c r="D56" s="1717"/>
      <c r="E56" s="1420"/>
      <c r="F56" s="1493"/>
      <c r="G56" s="1493"/>
      <c r="H56" s="1493"/>
      <c r="I56" s="1493"/>
      <c r="J56" s="1493"/>
      <c r="K56" s="1493"/>
      <c r="L56" s="1493"/>
      <c r="M56" s="1493"/>
      <c r="N56" s="1493"/>
      <c r="O56" s="1493"/>
      <c r="P56" s="1383"/>
      <c r="Q56" s="1383"/>
      <c r="R56" s="1383"/>
      <c r="S56" s="1383"/>
      <c r="T56" s="1383"/>
      <c r="U56" s="1383"/>
      <c r="V56" s="1383"/>
      <c r="W56" s="1383"/>
      <c r="X56" s="1383"/>
      <c r="Y56" s="1383"/>
      <c r="Z56" s="1383"/>
      <c r="AA56" s="1383"/>
      <c r="AB56" s="1383"/>
      <c r="AC56" s="1383"/>
      <c r="AD56" s="1383"/>
      <c r="AE56" s="1383"/>
      <c r="AF56" s="1383"/>
      <c r="AG56" s="1383"/>
      <c r="AH56" s="1383"/>
      <c r="AI56" s="1383"/>
      <c r="AJ56" s="1383"/>
      <c r="AK56" s="1383"/>
      <c r="AL56" s="1383"/>
      <c r="AM56" s="1383"/>
    </row>
    <row r="57" spans="2:39" ht="15.75" customHeight="1" x14ac:dyDescent="0.25">
      <c r="B57" s="1372"/>
      <c r="C57" s="1372"/>
      <c r="D57" s="1717"/>
      <c r="E57" s="1420"/>
      <c r="F57" s="1493"/>
      <c r="G57" s="1493"/>
      <c r="H57" s="1493"/>
      <c r="I57" s="1493"/>
      <c r="J57" s="1493"/>
      <c r="K57" s="1493"/>
      <c r="L57" s="1493"/>
      <c r="M57" s="1493"/>
      <c r="N57" s="1493"/>
      <c r="O57" s="1493"/>
      <c r="P57" s="1383"/>
      <c r="Q57" s="1383"/>
      <c r="R57" s="1383"/>
      <c r="S57" s="1383"/>
      <c r="T57" s="1383"/>
      <c r="U57" s="1383"/>
      <c r="V57" s="1383"/>
      <c r="W57" s="1383"/>
      <c r="X57" s="1383"/>
      <c r="Y57" s="1383"/>
      <c r="Z57" s="1383"/>
      <c r="AA57" s="1383"/>
      <c r="AB57" s="1383"/>
      <c r="AC57" s="1383"/>
      <c r="AD57" s="1383"/>
      <c r="AE57" s="1383"/>
      <c r="AF57" s="1383"/>
      <c r="AG57" s="1383"/>
      <c r="AH57" s="1383"/>
      <c r="AI57" s="1383"/>
      <c r="AJ57" s="1383"/>
      <c r="AK57" s="1383"/>
      <c r="AL57" s="1383"/>
      <c r="AM57" s="1383"/>
    </row>
    <row r="58" spans="2:39" ht="15.75" x14ac:dyDescent="0.25">
      <c r="B58" s="1372"/>
      <c r="C58" s="1372"/>
      <c r="D58" s="1717"/>
      <c r="E58" s="1420"/>
      <c r="F58" s="1493"/>
      <c r="G58" s="1493"/>
      <c r="H58" s="1493"/>
      <c r="I58" s="1493"/>
      <c r="J58" s="1493"/>
      <c r="K58" s="1493"/>
      <c r="L58" s="1493"/>
      <c r="M58" s="1493"/>
      <c r="N58" s="1493"/>
      <c r="O58" s="1493"/>
      <c r="P58" s="1383"/>
      <c r="Q58" s="1383"/>
      <c r="R58" s="1383"/>
      <c r="S58" s="1383"/>
      <c r="T58" s="1383"/>
      <c r="U58" s="1383"/>
      <c r="V58" s="1383"/>
      <c r="W58" s="1383"/>
      <c r="X58" s="1383"/>
      <c r="Y58" s="1383"/>
      <c r="Z58" s="1383"/>
      <c r="AA58" s="1383"/>
      <c r="AB58" s="1383"/>
      <c r="AC58" s="1383"/>
      <c r="AD58" s="1383"/>
      <c r="AE58" s="1383"/>
      <c r="AF58" s="1383"/>
      <c r="AG58" s="1383"/>
      <c r="AH58" s="1383"/>
      <c r="AI58" s="1383"/>
      <c r="AJ58" s="1383"/>
      <c r="AK58" s="1383"/>
      <c r="AL58" s="1383"/>
      <c r="AM58" s="1383"/>
    </row>
    <row r="59" spans="2:39" ht="15.75" x14ac:dyDescent="0.25">
      <c r="B59" s="1372"/>
      <c r="C59" s="1372"/>
      <c r="D59" s="1717"/>
      <c r="E59" s="1420"/>
      <c r="F59" s="1493"/>
      <c r="G59" s="1493"/>
      <c r="H59" s="1493"/>
      <c r="I59" s="1493"/>
      <c r="J59" s="1493"/>
      <c r="K59" s="1493"/>
      <c r="L59" s="1493"/>
      <c r="M59" s="1493"/>
      <c r="N59" s="1493"/>
      <c r="O59" s="1493"/>
      <c r="P59" s="1383"/>
      <c r="Q59" s="1383"/>
      <c r="R59" s="1383"/>
      <c r="S59" s="1383"/>
      <c r="T59" s="1383"/>
      <c r="U59" s="1383"/>
      <c r="V59" s="1383"/>
      <c r="W59" s="1383"/>
      <c r="X59" s="1383"/>
      <c r="Y59" s="1383"/>
      <c r="Z59" s="1383"/>
      <c r="AA59" s="1383"/>
      <c r="AB59" s="1383"/>
      <c r="AC59" s="1383"/>
      <c r="AD59" s="1383"/>
      <c r="AE59" s="1383"/>
      <c r="AF59" s="1383"/>
      <c r="AG59" s="1383"/>
      <c r="AH59" s="1383"/>
      <c r="AI59" s="1383"/>
      <c r="AJ59" s="1383"/>
      <c r="AK59" s="1383"/>
      <c r="AL59" s="1383"/>
      <c r="AM59" s="1383"/>
    </row>
    <row r="60" spans="2:39" ht="15.75" x14ac:dyDescent="0.25">
      <c r="B60" s="1372"/>
      <c r="C60" s="1372"/>
      <c r="D60" s="1717"/>
      <c r="E60" s="1420"/>
      <c r="F60" s="1493"/>
      <c r="G60" s="1493"/>
      <c r="H60" s="1493"/>
      <c r="I60" s="1493"/>
      <c r="J60" s="1493"/>
      <c r="K60" s="1493"/>
      <c r="L60" s="1493"/>
      <c r="M60" s="1493"/>
      <c r="N60" s="1493"/>
      <c r="O60" s="1493"/>
      <c r="P60" s="1383"/>
      <c r="Q60" s="1383"/>
      <c r="R60" s="1383"/>
      <c r="S60" s="1383"/>
      <c r="T60" s="1383"/>
      <c r="U60" s="1383"/>
      <c r="V60" s="1383"/>
      <c r="W60" s="1383"/>
      <c r="X60" s="1383"/>
      <c r="Y60" s="1383"/>
      <c r="Z60" s="1383"/>
      <c r="AA60" s="1383"/>
      <c r="AB60" s="1383"/>
      <c r="AC60" s="1383"/>
      <c r="AD60" s="1383"/>
      <c r="AE60" s="1383"/>
      <c r="AF60" s="1383"/>
      <c r="AG60" s="1383"/>
      <c r="AH60" s="1383"/>
      <c r="AI60" s="1383"/>
      <c r="AJ60" s="1383"/>
      <c r="AK60" s="1383"/>
      <c r="AL60" s="1383"/>
      <c r="AM60" s="1383"/>
    </row>
    <row r="61" spans="2:39" ht="15.75" x14ac:dyDescent="0.25">
      <c r="B61" s="1372"/>
      <c r="C61" s="1372"/>
      <c r="D61" s="1717"/>
      <c r="E61" s="1420"/>
      <c r="F61" s="1493"/>
      <c r="G61" s="1493"/>
      <c r="H61" s="1493"/>
      <c r="I61" s="1493"/>
      <c r="J61" s="1493"/>
      <c r="K61" s="1493"/>
      <c r="L61" s="1493"/>
      <c r="M61" s="1493"/>
      <c r="N61" s="1493"/>
      <c r="O61" s="1493"/>
      <c r="P61" s="1383"/>
      <c r="Q61" s="1383"/>
      <c r="R61" s="1383"/>
      <c r="S61" s="1383"/>
      <c r="T61" s="1383"/>
      <c r="U61" s="1383"/>
      <c r="V61" s="1383"/>
      <c r="W61" s="1383"/>
      <c r="X61" s="1383"/>
      <c r="Y61" s="1383"/>
      <c r="Z61" s="1383"/>
      <c r="AA61" s="1383"/>
      <c r="AB61" s="1383"/>
      <c r="AC61" s="1383"/>
      <c r="AD61" s="1383"/>
      <c r="AE61" s="1383"/>
      <c r="AF61" s="1383"/>
      <c r="AG61" s="1383"/>
      <c r="AH61" s="1383"/>
      <c r="AI61" s="1383"/>
      <c r="AJ61" s="1383"/>
      <c r="AK61" s="1383"/>
      <c r="AL61" s="1383"/>
      <c r="AM61" s="1383"/>
    </row>
    <row r="62" spans="2:39" ht="15.75" x14ac:dyDescent="0.25">
      <c r="B62" s="1372"/>
      <c r="C62" s="1372"/>
      <c r="D62" s="1717"/>
      <c r="E62" s="1420"/>
      <c r="F62" s="1493"/>
      <c r="G62" s="1493"/>
      <c r="H62" s="1493"/>
      <c r="I62" s="1493"/>
      <c r="J62" s="1493"/>
      <c r="K62" s="1493"/>
      <c r="L62" s="1493"/>
      <c r="M62" s="1493"/>
      <c r="N62" s="1493"/>
      <c r="O62" s="1493"/>
      <c r="P62" s="1383"/>
      <c r="Q62" s="1383"/>
      <c r="R62" s="1383"/>
      <c r="S62" s="1383"/>
      <c r="T62" s="1383"/>
      <c r="U62" s="1383"/>
      <c r="V62" s="1383"/>
      <c r="W62" s="1383"/>
      <c r="X62" s="1383"/>
      <c r="Y62" s="1383"/>
      <c r="Z62" s="1383"/>
      <c r="AA62" s="1383"/>
      <c r="AB62" s="1383"/>
      <c r="AC62" s="1383"/>
      <c r="AD62" s="1383"/>
      <c r="AE62" s="1383"/>
      <c r="AF62" s="1383"/>
      <c r="AG62" s="1383"/>
      <c r="AH62" s="1383"/>
      <c r="AI62" s="1383"/>
      <c r="AJ62" s="1383"/>
      <c r="AK62" s="1383"/>
      <c r="AL62" s="1383"/>
      <c r="AM62" s="1383"/>
    </row>
    <row r="63" spans="2:39" ht="15.75" x14ac:dyDescent="0.25">
      <c r="B63" s="1372"/>
      <c r="C63" s="1372"/>
      <c r="D63" s="1717"/>
      <c r="E63" s="1420"/>
      <c r="F63" s="1493"/>
      <c r="G63" s="1493"/>
      <c r="H63" s="1493"/>
      <c r="I63" s="1493"/>
      <c r="J63" s="1493"/>
      <c r="K63" s="1493"/>
      <c r="L63" s="1493"/>
      <c r="M63" s="1493"/>
      <c r="N63" s="1493"/>
      <c r="O63" s="1493"/>
      <c r="P63" s="1383"/>
      <c r="Q63" s="1383"/>
      <c r="R63" s="1383"/>
      <c r="S63" s="1383"/>
      <c r="T63" s="1383"/>
      <c r="U63" s="1383"/>
      <c r="V63" s="1383"/>
      <c r="W63" s="1383"/>
      <c r="X63" s="1383"/>
      <c r="Y63" s="1383"/>
      <c r="Z63" s="1383"/>
      <c r="AA63" s="1383"/>
      <c r="AB63" s="1383"/>
      <c r="AC63" s="1383"/>
      <c r="AD63" s="1383"/>
      <c r="AE63" s="1383"/>
      <c r="AF63" s="1383"/>
      <c r="AG63" s="1383"/>
      <c r="AH63" s="1383"/>
      <c r="AI63" s="1383"/>
      <c r="AJ63" s="1383"/>
      <c r="AK63" s="1383"/>
      <c r="AL63" s="1383"/>
      <c r="AM63" s="1383"/>
    </row>
    <row r="64" spans="2:39" ht="15.75" x14ac:dyDescent="0.25">
      <c r="B64" s="1372"/>
      <c r="C64" s="1372"/>
      <c r="D64" s="1717"/>
      <c r="E64" s="1420"/>
      <c r="F64" s="1493"/>
      <c r="G64" s="1493"/>
      <c r="H64" s="1493"/>
      <c r="I64" s="1493"/>
      <c r="J64" s="1493"/>
      <c r="K64" s="1493"/>
      <c r="L64" s="1493"/>
      <c r="M64" s="1493"/>
      <c r="N64" s="1493"/>
      <c r="O64" s="1493"/>
      <c r="P64" s="1383"/>
      <c r="Q64" s="1383"/>
      <c r="R64" s="1383"/>
      <c r="S64" s="1383"/>
      <c r="T64" s="1383"/>
      <c r="U64" s="1383"/>
      <c r="V64" s="1383"/>
      <c r="W64" s="1383"/>
      <c r="X64" s="1383"/>
      <c r="Y64" s="1383"/>
      <c r="Z64" s="1383"/>
      <c r="AA64" s="1383"/>
      <c r="AB64" s="1383"/>
      <c r="AC64" s="1383"/>
      <c r="AD64" s="1383"/>
      <c r="AE64" s="1383"/>
      <c r="AF64" s="1383"/>
      <c r="AG64" s="1383"/>
      <c r="AH64" s="1383"/>
      <c r="AI64" s="1383"/>
      <c r="AJ64" s="1383"/>
      <c r="AK64" s="1383"/>
      <c r="AL64" s="1383"/>
      <c r="AM64" s="1383"/>
    </row>
    <row r="65" spans="2:39" ht="16.5" customHeight="1" x14ac:dyDescent="0.25">
      <c r="B65" s="1372"/>
      <c r="C65" s="1372"/>
      <c r="D65" s="1717"/>
      <c r="E65" s="1420"/>
      <c r="F65" s="1493"/>
      <c r="G65" s="1493"/>
      <c r="H65" s="1493"/>
      <c r="I65" s="1493"/>
      <c r="J65" s="1493"/>
      <c r="K65" s="1493"/>
      <c r="L65" s="1493"/>
      <c r="M65" s="1493"/>
      <c r="N65" s="1493"/>
      <c r="O65" s="1493"/>
      <c r="P65" s="1383"/>
      <c r="Q65" s="1383"/>
      <c r="R65" s="1383"/>
      <c r="S65" s="1383"/>
      <c r="T65" s="1383"/>
      <c r="U65" s="1383"/>
      <c r="V65" s="1383"/>
      <c r="W65" s="1383"/>
      <c r="X65" s="1383"/>
      <c r="Y65" s="1383"/>
      <c r="Z65" s="1383"/>
      <c r="AA65" s="1383"/>
      <c r="AB65" s="1383"/>
      <c r="AC65" s="1383"/>
      <c r="AD65" s="1383"/>
      <c r="AE65" s="1383"/>
      <c r="AF65" s="1383"/>
      <c r="AG65" s="1383"/>
      <c r="AH65" s="1383"/>
      <c r="AI65" s="1383"/>
      <c r="AJ65" s="1383"/>
      <c r="AK65" s="1383"/>
      <c r="AL65" s="1383"/>
      <c r="AM65" s="1383"/>
    </row>
    <row r="66" spans="2:39" ht="15.75" x14ac:dyDescent="0.25">
      <c r="B66" s="1372"/>
      <c r="C66" s="1372"/>
      <c r="D66" s="1717"/>
      <c r="E66" s="1420"/>
      <c r="F66" s="1493"/>
      <c r="G66" s="1493"/>
      <c r="H66" s="1493"/>
      <c r="I66" s="1493"/>
      <c r="J66" s="1493"/>
      <c r="K66" s="1493"/>
      <c r="L66" s="1493"/>
      <c r="M66" s="1493"/>
      <c r="N66" s="1493"/>
      <c r="O66" s="1493"/>
      <c r="P66" s="1383"/>
      <c r="Q66" s="1383"/>
      <c r="R66" s="1383"/>
      <c r="S66" s="1383"/>
      <c r="T66" s="1383"/>
      <c r="U66" s="1383"/>
      <c r="V66" s="1383"/>
      <c r="W66" s="1383"/>
      <c r="X66" s="1383"/>
      <c r="Y66" s="1383"/>
      <c r="Z66" s="1383"/>
      <c r="AA66" s="1383"/>
      <c r="AB66" s="1383"/>
      <c r="AC66" s="1383"/>
      <c r="AD66" s="1383"/>
      <c r="AE66" s="1383"/>
      <c r="AF66" s="1383"/>
      <c r="AG66" s="1383"/>
      <c r="AH66" s="1383"/>
      <c r="AI66" s="1383"/>
      <c r="AJ66" s="1383"/>
      <c r="AK66" s="1383"/>
      <c r="AL66" s="1383"/>
      <c r="AM66" s="1383"/>
    </row>
    <row r="67" spans="2:39" ht="15.75" customHeight="1" x14ac:dyDescent="0.25">
      <c r="B67" s="1372"/>
      <c r="C67" s="1372"/>
      <c r="D67" s="1717"/>
      <c r="E67" s="1420"/>
      <c r="F67" s="1493"/>
      <c r="G67" s="1493"/>
      <c r="H67" s="1493"/>
      <c r="I67" s="1493"/>
      <c r="J67" s="1493"/>
      <c r="K67" s="1493"/>
      <c r="L67" s="1493"/>
      <c r="M67" s="1493"/>
      <c r="N67" s="1493"/>
      <c r="O67" s="1493"/>
      <c r="P67" s="1383"/>
      <c r="Q67" s="1383"/>
      <c r="R67" s="1383"/>
      <c r="S67" s="1383"/>
      <c r="T67" s="1383"/>
      <c r="U67" s="1383"/>
      <c r="V67" s="1383"/>
      <c r="W67" s="1383"/>
      <c r="X67" s="1383"/>
      <c r="Y67" s="1383"/>
      <c r="Z67" s="1383"/>
      <c r="AA67" s="1383"/>
      <c r="AB67" s="1383"/>
      <c r="AC67" s="1383"/>
      <c r="AD67" s="1383"/>
      <c r="AE67" s="1383"/>
      <c r="AF67" s="1383"/>
      <c r="AG67" s="1383"/>
      <c r="AH67" s="1383"/>
      <c r="AI67" s="1383"/>
      <c r="AJ67" s="1383"/>
      <c r="AK67" s="1383"/>
      <c r="AL67" s="1383"/>
      <c r="AM67" s="1383"/>
    </row>
    <row r="68" spans="2:39" ht="15.75" x14ac:dyDescent="0.25">
      <c r="B68" s="1372"/>
      <c r="C68" s="1372"/>
      <c r="D68" s="1717"/>
      <c r="E68" s="1420"/>
      <c r="F68" s="1493"/>
      <c r="G68" s="1493"/>
      <c r="H68" s="1493"/>
      <c r="I68" s="1493"/>
      <c r="J68" s="1493"/>
      <c r="K68" s="1493"/>
      <c r="L68" s="1493"/>
      <c r="M68" s="1493"/>
      <c r="N68" s="1493"/>
      <c r="O68" s="1493"/>
      <c r="P68" s="1383"/>
      <c r="Q68" s="1383"/>
      <c r="R68" s="1383"/>
      <c r="S68" s="1383"/>
      <c r="T68" s="1383"/>
      <c r="U68" s="1383"/>
      <c r="V68" s="1383"/>
      <c r="W68" s="1383"/>
      <c r="X68" s="1383"/>
      <c r="Y68" s="1383"/>
      <c r="Z68" s="1383"/>
      <c r="AA68" s="1383"/>
      <c r="AB68" s="1383"/>
      <c r="AC68" s="1383"/>
      <c r="AD68" s="1383"/>
      <c r="AE68" s="1383"/>
      <c r="AF68" s="1383"/>
      <c r="AG68" s="1383"/>
      <c r="AH68" s="1383"/>
      <c r="AI68" s="1383"/>
      <c r="AJ68" s="1383"/>
      <c r="AK68" s="1383"/>
      <c r="AL68" s="1383"/>
      <c r="AM68" s="1383"/>
    </row>
    <row r="69" spans="2:39" ht="15.75" x14ac:dyDescent="0.25">
      <c r="B69" s="1372"/>
      <c r="C69" s="1372"/>
      <c r="D69" s="1717"/>
      <c r="E69" s="1420"/>
      <c r="F69" s="1493"/>
      <c r="G69" s="1493"/>
      <c r="H69" s="1493"/>
      <c r="I69" s="1493"/>
      <c r="J69" s="1493"/>
      <c r="K69" s="1493"/>
      <c r="L69" s="1493"/>
      <c r="M69" s="1493"/>
      <c r="N69" s="1493"/>
      <c r="O69" s="1493"/>
      <c r="P69" s="1383"/>
      <c r="Q69" s="1383"/>
      <c r="R69" s="1383"/>
      <c r="S69" s="1383"/>
      <c r="T69" s="1383"/>
      <c r="U69" s="1383"/>
      <c r="V69" s="1383"/>
      <c r="W69" s="1383"/>
      <c r="X69" s="1383"/>
      <c r="Y69" s="1383"/>
      <c r="Z69" s="1383"/>
      <c r="AA69" s="1383"/>
      <c r="AB69" s="1383"/>
      <c r="AC69" s="1383"/>
      <c r="AD69" s="1383"/>
      <c r="AE69" s="1383"/>
      <c r="AF69" s="1383"/>
      <c r="AG69" s="1383"/>
      <c r="AH69" s="1383"/>
      <c r="AI69" s="1383"/>
      <c r="AJ69" s="1383"/>
      <c r="AK69" s="1383"/>
      <c r="AL69" s="1383"/>
      <c r="AM69" s="1383"/>
    </row>
    <row r="70" spans="2:39" ht="15.75" x14ac:dyDescent="0.25">
      <c r="B70" s="1372"/>
      <c r="C70" s="1372"/>
      <c r="D70" s="1717"/>
      <c r="E70" s="1420"/>
      <c r="F70" s="1493"/>
      <c r="G70" s="1493"/>
      <c r="H70" s="1493"/>
      <c r="I70" s="1493"/>
      <c r="J70" s="1493"/>
      <c r="K70" s="1493"/>
      <c r="L70" s="1493"/>
      <c r="M70" s="1493"/>
      <c r="N70" s="1493"/>
      <c r="O70" s="1493"/>
      <c r="P70" s="1383"/>
      <c r="Q70" s="1383"/>
      <c r="R70" s="1383"/>
      <c r="S70" s="1383"/>
      <c r="T70" s="1383"/>
      <c r="U70" s="1383"/>
      <c r="V70" s="1383"/>
      <c r="W70" s="1383"/>
      <c r="X70" s="1383"/>
      <c r="Y70" s="1383"/>
      <c r="Z70" s="1383"/>
      <c r="AA70" s="1383"/>
      <c r="AB70" s="1383"/>
      <c r="AC70" s="1383"/>
      <c r="AD70" s="1383"/>
      <c r="AE70" s="1383"/>
      <c r="AF70" s="1383"/>
      <c r="AG70" s="1383"/>
      <c r="AH70" s="1383"/>
      <c r="AI70" s="1383"/>
      <c r="AJ70" s="1383"/>
      <c r="AK70" s="1383"/>
      <c r="AL70" s="1383"/>
      <c r="AM70" s="1383"/>
    </row>
    <row r="71" spans="2:39" ht="15.75" x14ac:dyDescent="0.25">
      <c r="B71" s="1372"/>
      <c r="C71" s="1372"/>
      <c r="D71" s="1717"/>
      <c r="E71" s="1420"/>
      <c r="F71" s="1493"/>
      <c r="G71" s="1493"/>
      <c r="H71" s="1493"/>
      <c r="I71" s="1493"/>
      <c r="J71" s="1493"/>
      <c r="K71" s="1493"/>
      <c r="L71" s="1493"/>
      <c r="M71" s="1493"/>
      <c r="N71" s="1493"/>
      <c r="O71" s="1493"/>
      <c r="P71" s="1383"/>
      <c r="Q71" s="1383"/>
      <c r="R71" s="1383"/>
      <c r="S71" s="1383"/>
      <c r="T71" s="1383"/>
      <c r="U71" s="1383"/>
      <c r="V71" s="1383"/>
      <c r="W71" s="1383"/>
      <c r="X71" s="1383"/>
      <c r="Y71" s="1383"/>
      <c r="Z71" s="1383"/>
      <c r="AA71" s="1383"/>
      <c r="AB71" s="1383"/>
      <c r="AC71" s="1383"/>
      <c r="AD71" s="1383"/>
      <c r="AE71" s="1383"/>
      <c r="AF71" s="1383"/>
      <c r="AG71" s="1383"/>
      <c r="AH71" s="1383"/>
      <c r="AI71" s="1383"/>
      <c r="AJ71" s="1383"/>
      <c r="AK71" s="1383"/>
      <c r="AL71" s="1383"/>
      <c r="AM71" s="1383"/>
    </row>
    <row r="72" spans="2:39" ht="15.75" x14ac:dyDescent="0.25">
      <c r="B72" s="1372"/>
      <c r="C72" s="1372"/>
      <c r="D72" s="1717"/>
      <c r="E72" s="1420"/>
      <c r="F72" s="1493"/>
      <c r="G72" s="1493"/>
      <c r="H72" s="1493"/>
      <c r="I72" s="1493"/>
      <c r="J72" s="1493"/>
      <c r="K72" s="1493"/>
      <c r="L72" s="1493"/>
      <c r="M72" s="1493"/>
      <c r="N72" s="1493"/>
      <c r="O72" s="1493"/>
      <c r="P72" s="1383"/>
      <c r="Q72" s="1383"/>
      <c r="R72" s="1383"/>
      <c r="S72" s="1383"/>
      <c r="T72" s="1383"/>
      <c r="U72" s="1383"/>
      <c r="V72" s="1383"/>
      <c r="W72" s="1383"/>
      <c r="X72" s="1383"/>
      <c r="Y72" s="1383"/>
      <c r="Z72" s="1383"/>
      <c r="AA72" s="1383"/>
      <c r="AB72" s="1383"/>
      <c r="AC72" s="1383"/>
      <c r="AD72" s="1383"/>
      <c r="AE72" s="1383"/>
      <c r="AF72" s="1383"/>
      <c r="AG72" s="1383"/>
      <c r="AH72" s="1383"/>
      <c r="AI72" s="1383"/>
      <c r="AJ72" s="1383"/>
      <c r="AK72" s="1383"/>
      <c r="AL72" s="1383"/>
      <c r="AM72" s="1383"/>
    </row>
    <row r="73" spans="2:39" ht="15.75" x14ac:dyDescent="0.25">
      <c r="B73" s="1372"/>
      <c r="C73" s="1372"/>
      <c r="D73" s="1717"/>
      <c r="E73" s="1420"/>
      <c r="F73" s="1493"/>
      <c r="G73" s="1493"/>
      <c r="H73" s="1493"/>
      <c r="I73" s="1493"/>
      <c r="J73" s="1493"/>
      <c r="K73" s="1493"/>
      <c r="L73" s="1493"/>
      <c r="M73" s="1493"/>
      <c r="N73" s="1493"/>
      <c r="O73" s="1493"/>
      <c r="P73" s="1383"/>
      <c r="Q73" s="1383"/>
      <c r="R73" s="1383"/>
      <c r="S73" s="1383"/>
      <c r="T73" s="1383"/>
      <c r="U73" s="1383"/>
      <c r="V73" s="1383"/>
      <c r="W73" s="1383"/>
      <c r="X73" s="1383"/>
      <c r="Y73" s="1383"/>
      <c r="Z73" s="1383"/>
      <c r="AA73" s="1383"/>
      <c r="AB73" s="1383"/>
      <c r="AC73" s="1383"/>
      <c r="AD73" s="1383"/>
      <c r="AE73" s="1383"/>
      <c r="AF73" s="1383"/>
      <c r="AG73" s="1383"/>
      <c r="AH73" s="1383"/>
      <c r="AI73" s="1383"/>
      <c r="AJ73" s="1383"/>
      <c r="AK73" s="1383"/>
      <c r="AL73" s="1383"/>
      <c r="AM73" s="1383"/>
    </row>
    <row r="74" spans="2:39" ht="15.75" x14ac:dyDescent="0.25">
      <c r="B74" s="1372"/>
      <c r="C74" s="1372"/>
      <c r="D74" s="1717"/>
      <c r="E74" s="1420"/>
      <c r="F74" s="1493"/>
      <c r="G74" s="1493"/>
      <c r="H74" s="1493"/>
      <c r="I74" s="1493"/>
      <c r="J74" s="1493"/>
      <c r="K74" s="1493"/>
      <c r="L74" s="1493"/>
      <c r="M74" s="1493"/>
      <c r="N74" s="1493"/>
      <c r="O74" s="1493"/>
      <c r="P74" s="1383"/>
      <c r="Q74" s="1383"/>
      <c r="R74" s="1383"/>
      <c r="S74" s="1383"/>
      <c r="T74" s="1383"/>
      <c r="U74" s="1383"/>
      <c r="V74" s="1383"/>
      <c r="W74" s="1383"/>
      <c r="X74" s="1383"/>
      <c r="Y74" s="1383"/>
      <c r="Z74" s="1383"/>
      <c r="AA74" s="1383"/>
      <c r="AB74" s="1383"/>
      <c r="AC74" s="1383"/>
      <c r="AD74" s="1383"/>
      <c r="AE74" s="1383"/>
      <c r="AF74" s="1383"/>
      <c r="AG74" s="1383"/>
      <c r="AH74" s="1383"/>
      <c r="AI74" s="1383"/>
      <c r="AJ74" s="1383"/>
      <c r="AK74" s="1383"/>
      <c r="AL74" s="1383"/>
      <c r="AM74" s="1383"/>
    </row>
    <row r="75" spans="2:39" ht="16.5" customHeight="1" x14ac:dyDescent="0.25">
      <c r="B75" s="1372"/>
      <c r="C75" s="1372"/>
      <c r="D75" s="1717"/>
      <c r="E75" s="1420"/>
      <c r="F75" s="1493"/>
      <c r="G75" s="1493"/>
      <c r="H75" s="1493"/>
      <c r="I75" s="1493"/>
      <c r="J75" s="1493"/>
      <c r="K75" s="1493"/>
      <c r="L75" s="1493"/>
      <c r="M75" s="1493"/>
      <c r="N75" s="1493"/>
      <c r="O75" s="1493"/>
      <c r="P75" s="1383"/>
      <c r="Q75" s="1383"/>
      <c r="R75" s="1383"/>
      <c r="S75" s="1383"/>
      <c r="T75" s="1383"/>
      <c r="U75" s="1383"/>
      <c r="V75" s="1383"/>
      <c r="W75" s="1383"/>
      <c r="X75" s="1383"/>
      <c r="Y75" s="1383"/>
      <c r="Z75" s="1383"/>
      <c r="AA75" s="1383"/>
      <c r="AB75" s="1383"/>
      <c r="AC75" s="1383"/>
      <c r="AD75" s="1383"/>
      <c r="AE75" s="1383"/>
      <c r="AF75" s="1383"/>
      <c r="AG75" s="1383"/>
      <c r="AH75" s="1383"/>
      <c r="AI75" s="1383"/>
      <c r="AJ75" s="1383"/>
      <c r="AK75" s="1383"/>
      <c r="AL75" s="1383"/>
      <c r="AM75" s="1383"/>
    </row>
    <row r="76" spans="2:39" ht="15.75" x14ac:dyDescent="0.25">
      <c r="B76" s="1372"/>
      <c r="C76" s="1372"/>
      <c r="D76" s="1717"/>
      <c r="E76" s="1420"/>
      <c r="F76" s="1493"/>
      <c r="G76" s="1493"/>
      <c r="H76" s="1493"/>
      <c r="I76" s="1493"/>
      <c r="J76" s="1493"/>
      <c r="K76" s="1493"/>
      <c r="L76" s="1493"/>
      <c r="M76" s="1493"/>
      <c r="N76" s="1493"/>
      <c r="O76" s="1493"/>
      <c r="P76" s="1383"/>
      <c r="Q76" s="1383"/>
      <c r="R76" s="1383"/>
      <c r="S76" s="1383"/>
      <c r="T76" s="1383"/>
      <c r="U76" s="1383"/>
      <c r="V76" s="1383"/>
      <c r="W76" s="1383"/>
      <c r="X76" s="1383"/>
      <c r="Y76" s="1383"/>
      <c r="Z76" s="1383"/>
      <c r="AA76" s="1383"/>
      <c r="AB76" s="1383"/>
      <c r="AC76" s="1383"/>
      <c r="AD76" s="1383"/>
      <c r="AE76" s="1383"/>
      <c r="AF76" s="1383"/>
      <c r="AG76" s="1383"/>
      <c r="AH76" s="1383"/>
      <c r="AI76" s="1383"/>
      <c r="AJ76" s="1383"/>
      <c r="AK76" s="1383"/>
      <c r="AL76" s="1383"/>
      <c r="AM76" s="1383"/>
    </row>
    <row r="77" spans="2:39" ht="15.75" customHeight="1" x14ac:dyDescent="0.25">
      <c r="B77" s="1372"/>
      <c r="C77" s="1372"/>
      <c r="D77" s="1717"/>
      <c r="E77" s="1420"/>
      <c r="F77" s="1493"/>
      <c r="G77" s="1493"/>
      <c r="H77" s="1493"/>
      <c r="I77" s="1493"/>
      <c r="J77" s="1493"/>
      <c r="K77" s="1493"/>
      <c r="L77" s="1493"/>
      <c r="M77" s="1493"/>
      <c r="N77" s="1493"/>
      <c r="O77" s="1493"/>
      <c r="P77" s="1383"/>
      <c r="Q77" s="1383"/>
      <c r="R77" s="1383"/>
      <c r="S77" s="1383"/>
      <c r="T77" s="1383"/>
      <c r="U77" s="1383"/>
      <c r="V77" s="1383"/>
      <c r="W77" s="1383"/>
      <c r="X77" s="1383"/>
      <c r="Y77" s="1383"/>
      <c r="Z77" s="1383"/>
      <c r="AA77" s="1383"/>
      <c r="AB77" s="1383"/>
      <c r="AC77" s="1383"/>
      <c r="AD77" s="1383"/>
      <c r="AE77" s="1383"/>
      <c r="AF77" s="1383"/>
      <c r="AG77" s="1383"/>
      <c r="AH77" s="1383"/>
      <c r="AI77" s="1383"/>
      <c r="AJ77" s="1383"/>
      <c r="AK77" s="1383"/>
      <c r="AL77" s="1383"/>
      <c r="AM77" s="1383"/>
    </row>
    <row r="78" spans="2:39" ht="15.75" x14ac:dyDescent="0.25">
      <c r="B78" s="1372"/>
      <c r="C78" s="1372"/>
      <c r="D78" s="1717"/>
      <c r="E78" s="1420"/>
      <c r="F78" s="1493"/>
      <c r="G78" s="1493"/>
      <c r="H78" s="1493"/>
      <c r="I78" s="1493"/>
      <c r="J78" s="1493"/>
      <c r="K78" s="1493"/>
      <c r="L78" s="1493"/>
      <c r="M78" s="1493"/>
      <c r="N78" s="1493"/>
      <c r="O78" s="1493"/>
      <c r="P78" s="1383"/>
      <c r="Q78" s="1383"/>
      <c r="R78" s="1383"/>
      <c r="S78" s="1383"/>
      <c r="T78" s="1383"/>
      <c r="U78" s="1383"/>
      <c r="V78" s="1383"/>
      <c r="W78" s="1383"/>
      <c r="X78" s="1383"/>
      <c r="Y78" s="1383"/>
      <c r="Z78" s="1383"/>
      <c r="AA78" s="1383"/>
      <c r="AB78" s="1383"/>
      <c r="AC78" s="1383"/>
      <c r="AD78" s="1383"/>
      <c r="AE78" s="1383"/>
      <c r="AF78" s="1383"/>
      <c r="AG78" s="1383"/>
      <c r="AH78" s="1383"/>
      <c r="AI78" s="1383"/>
      <c r="AJ78" s="1383"/>
      <c r="AK78" s="1383"/>
      <c r="AL78" s="1383"/>
      <c r="AM78" s="1383"/>
    </row>
    <row r="79" spans="2:39" ht="15.75" x14ac:dyDescent="0.25">
      <c r="B79" s="1372"/>
      <c r="C79" s="1372"/>
      <c r="D79" s="1717"/>
      <c r="E79" s="1420"/>
      <c r="F79" s="1493"/>
      <c r="G79" s="1493"/>
      <c r="H79" s="1493"/>
      <c r="I79" s="1493"/>
      <c r="J79" s="1493"/>
      <c r="K79" s="1493"/>
      <c r="L79" s="1493"/>
      <c r="M79" s="1493"/>
      <c r="N79" s="1493"/>
      <c r="O79" s="1493"/>
      <c r="P79" s="1383"/>
      <c r="Q79" s="1383"/>
      <c r="R79" s="1383"/>
      <c r="S79" s="1383"/>
      <c r="T79" s="1383"/>
      <c r="U79" s="1383"/>
      <c r="V79" s="1383"/>
      <c r="W79" s="1383"/>
      <c r="X79" s="1383"/>
      <c r="Y79" s="1383"/>
      <c r="Z79" s="1383"/>
      <c r="AA79" s="1383"/>
      <c r="AB79" s="1383"/>
      <c r="AC79" s="1383"/>
      <c r="AD79" s="1383"/>
      <c r="AE79" s="1383"/>
      <c r="AF79" s="1383"/>
      <c r="AG79" s="1383"/>
      <c r="AH79" s="1383"/>
      <c r="AI79" s="1383"/>
      <c r="AJ79" s="1383"/>
      <c r="AK79" s="1383"/>
      <c r="AL79" s="1383"/>
      <c r="AM79" s="1383"/>
    </row>
    <row r="80" spans="2:39" ht="15.75" x14ac:dyDescent="0.25">
      <c r="B80" s="1372"/>
      <c r="C80" s="1372"/>
      <c r="D80" s="1717"/>
      <c r="E80" s="1420"/>
      <c r="F80" s="1493"/>
      <c r="G80" s="1493"/>
      <c r="H80" s="1493"/>
      <c r="I80" s="1493"/>
      <c r="J80" s="1493"/>
      <c r="K80" s="1493"/>
      <c r="L80" s="1493"/>
      <c r="M80" s="1493"/>
      <c r="N80" s="1493"/>
      <c r="O80" s="1493"/>
      <c r="P80" s="1383"/>
      <c r="Q80" s="1383"/>
      <c r="R80" s="1383"/>
      <c r="S80" s="1383"/>
      <c r="T80" s="1383"/>
      <c r="U80" s="1383"/>
      <c r="V80" s="1383"/>
      <c r="W80" s="1383"/>
      <c r="X80" s="1383"/>
      <c r="Y80" s="1383"/>
      <c r="Z80" s="1383"/>
      <c r="AA80" s="1383"/>
      <c r="AB80" s="1383"/>
      <c r="AC80" s="1383"/>
      <c r="AD80" s="1383"/>
      <c r="AE80" s="1383"/>
      <c r="AF80" s="1383"/>
      <c r="AG80" s="1383"/>
      <c r="AH80" s="1383"/>
      <c r="AI80" s="1383"/>
      <c r="AJ80" s="1383"/>
      <c r="AK80" s="1383"/>
      <c r="AL80" s="1383"/>
      <c r="AM80" s="1383"/>
    </row>
    <row r="81" spans="2:47" ht="15.75" x14ac:dyDescent="0.25">
      <c r="B81" s="1372"/>
      <c r="C81" s="1372"/>
      <c r="D81" s="1717"/>
      <c r="E81" s="1420"/>
      <c r="F81" s="1493"/>
      <c r="G81" s="1493"/>
      <c r="H81" s="1493"/>
      <c r="I81" s="1493"/>
      <c r="J81" s="1493"/>
      <c r="K81" s="1493"/>
      <c r="L81" s="1493"/>
      <c r="M81" s="1493"/>
      <c r="N81" s="1493"/>
      <c r="O81" s="1493"/>
      <c r="P81" s="1383"/>
      <c r="Q81" s="1383"/>
      <c r="R81" s="1383"/>
      <c r="S81" s="1383"/>
      <c r="T81" s="1383"/>
      <c r="U81" s="1383"/>
      <c r="V81" s="1383"/>
      <c r="W81" s="1383"/>
      <c r="X81" s="1383"/>
      <c r="Y81" s="1383"/>
      <c r="Z81" s="1383"/>
      <c r="AA81" s="1383"/>
      <c r="AB81" s="1383"/>
      <c r="AC81" s="1383"/>
      <c r="AD81" s="1383"/>
      <c r="AE81" s="1383"/>
      <c r="AF81" s="1383"/>
      <c r="AG81" s="1383"/>
      <c r="AH81" s="1383"/>
      <c r="AI81" s="1383"/>
      <c r="AJ81" s="1383"/>
      <c r="AK81" s="1383"/>
      <c r="AL81" s="1383"/>
      <c r="AM81" s="1383"/>
    </row>
    <row r="82" spans="2:47" ht="15.75" x14ac:dyDescent="0.25">
      <c r="B82" s="1372"/>
      <c r="C82" s="1372"/>
      <c r="D82" s="1717"/>
      <c r="E82" s="1420"/>
      <c r="F82" s="1493"/>
      <c r="G82" s="1493"/>
      <c r="H82" s="1493"/>
      <c r="I82" s="1493"/>
      <c r="J82" s="1493"/>
      <c r="K82" s="1493"/>
      <c r="L82" s="1493"/>
      <c r="M82" s="1493"/>
      <c r="N82" s="1493"/>
      <c r="O82" s="1493"/>
      <c r="P82" s="1383"/>
      <c r="Q82" s="1383"/>
      <c r="R82" s="1383"/>
      <c r="S82" s="1383"/>
      <c r="T82" s="1383"/>
      <c r="U82" s="1383"/>
      <c r="V82" s="1383"/>
      <c r="W82" s="1383"/>
      <c r="X82" s="1383"/>
      <c r="Y82" s="1383"/>
      <c r="Z82" s="1383"/>
      <c r="AA82" s="1383"/>
      <c r="AB82" s="1383"/>
      <c r="AC82" s="1383"/>
      <c r="AD82" s="1383"/>
      <c r="AE82" s="1383"/>
      <c r="AF82" s="1383"/>
      <c r="AG82" s="1383"/>
      <c r="AH82" s="1383"/>
      <c r="AI82" s="1383"/>
      <c r="AJ82" s="1383"/>
      <c r="AK82" s="1383"/>
      <c r="AL82" s="1383"/>
      <c r="AM82" s="1383"/>
    </row>
    <row r="83" spans="2:47" ht="15.75" x14ac:dyDescent="0.25">
      <c r="B83" s="1372"/>
      <c r="C83" s="1372"/>
      <c r="D83" s="1717"/>
      <c r="E83" s="1420"/>
      <c r="F83" s="1493"/>
      <c r="G83" s="1493"/>
      <c r="H83" s="1493"/>
      <c r="I83" s="1493"/>
      <c r="J83" s="1493"/>
      <c r="K83" s="1493"/>
      <c r="L83" s="1493"/>
      <c r="M83" s="1493"/>
      <c r="N83" s="1493"/>
      <c r="O83" s="1493"/>
      <c r="P83" s="1383"/>
      <c r="Q83" s="1383"/>
      <c r="R83" s="1383"/>
      <c r="S83" s="1383"/>
      <c r="T83" s="1383"/>
      <c r="U83" s="1383"/>
      <c r="V83" s="1383"/>
      <c r="W83" s="1383"/>
      <c r="X83" s="1383"/>
      <c r="Y83" s="1383"/>
      <c r="Z83" s="1383"/>
      <c r="AA83" s="1383"/>
      <c r="AB83" s="1383"/>
      <c r="AC83" s="1383"/>
      <c r="AD83" s="1383"/>
      <c r="AE83" s="1383"/>
      <c r="AF83" s="1383"/>
      <c r="AG83" s="1383"/>
      <c r="AH83" s="1383"/>
      <c r="AI83" s="1383"/>
      <c r="AJ83" s="1383"/>
      <c r="AK83" s="1383"/>
      <c r="AL83" s="1383"/>
      <c r="AM83" s="1383"/>
    </row>
    <row r="84" spans="2:47" ht="15.75" x14ac:dyDescent="0.25">
      <c r="B84" s="1372"/>
      <c r="C84" s="1372"/>
      <c r="D84" s="1717"/>
      <c r="E84" s="1420"/>
      <c r="F84" s="1493"/>
      <c r="G84" s="1493"/>
      <c r="H84" s="1493"/>
      <c r="I84" s="1493"/>
      <c r="J84" s="1493"/>
      <c r="K84" s="1493"/>
      <c r="L84" s="1493"/>
      <c r="M84" s="1493"/>
      <c r="N84" s="1493"/>
      <c r="O84" s="1493"/>
      <c r="P84" s="1383"/>
      <c r="Q84" s="1383"/>
      <c r="R84" s="1383"/>
      <c r="S84" s="1383"/>
      <c r="T84" s="1383"/>
      <c r="U84" s="1383"/>
      <c r="V84" s="1383"/>
      <c r="W84" s="1383"/>
      <c r="X84" s="1383"/>
      <c r="Y84" s="1383"/>
      <c r="Z84" s="1383"/>
      <c r="AA84" s="1383"/>
      <c r="AB84" s="1383"/>
      <c r="AC84" s="1383"/>
      <c r="AD84" s="1383"/>
      <c r="AE84" s="1383"/>
      <c r="AF84" s="1383"/>
      <c r="AG84" s="1383"/>
      <c r="AH84" s="1383"/>
      <c r="AI84" s="1383"/>
      <c r="AJ84" s="1383"/>
      <c r="AK84" s="1383"/>
      <c r="AL84" s="1383"/>
      <c r="AM84" s="1383"/>
    </row>
    <row r="85" spans="2:47" ht="15.75" x14ac:dyDescent="0.25">
      <c r="B85" s="1372"/>
      <c r="C85" s="1372"/>
      <c r="D85" s="1717"/>
      <c r="E85" s="1420"/>
      <c r="F85" s="1493"/>
      <c r="G85" s="1493"/>
      <c r="H85" s="1493"/>
      <c r="I85" s="1493"/>
      <c r="J85" s="1493"/>
      <c r="K85" s="1493"/>
      <c r="L85" s="1493"/>
      <c r="M85" s="1493"/>
      <c r="N85" s="1493"/>
      <c r="O85" s="1493"/>
      <c r="P85" s="1383"/>
      <c r="Q85" s="1383"/>
      <c r="R85" s="1383"/>
      <c r="S85" s="1383"/>
      <c r="T85" s="1383"/>
      <c r="U85" s="1383"/>
      <c r="V85" s="1383"/>
      <c r="W85" s="1383"/>
      <c r="X85" s="1383"/>
      <c r="Y85" s="1383"/>
      <c r="Z85" s="1383"/>
      <c r="AA85" s="1383"/>
      <c r="AB85" s="1383"/>
      <c r="AC85" s="1383"/>
      <c r="AD85" s="1383"/>
      <c r="AE85" s="1383"/>
      <c r="AF85" s="1383"/>
      <c r="AG85" s="1383"/>
      <c r="AH85" s="1383"/>
      <c r="AI85" s="1383"/>
      <c r="AJ85" s="1383"/>
      <c r="AK85" s="1383"/>
      <c r="AL85" s="1383"/>
      <c r="AM85" s="1383"/>
    </row>
    <row r="86" spans="2:47" ht="15.75" x14ac:dyDescent="0.25">
      <c r="B86" s="1372"/>
      <c r="C86" s="1372"/>
      <c r="D86" s="1717"/>
      <c r="E86" s="1420"/>
      <c r="F86" s="1493"/>
      <c r="G86" s="1493"/>
      <c r="H86" s="1493"/>
      <c r="I86" s="1493"/>
      <c r="J86" s="1493"/>
      <c r="K86" s="1493"/>
      <c r="L86" s="1493"/>
      <c r="M86" s="1493"/>
      <c r="N86" s="1493"/>
      <c r="O86" s="1493"/>
      <c r="P86" s="1383"/>
      <c r="Q86" s="1383"/>
      <c r="R86" s="1383"/>
      <c r="S86" s="1383"/>
      <c r="T86" s="1383"/>
      <c r="U86" s="1383"/>
      <c r="V86" s="1383"/>
      <c r="W86" s="1383"/>
      <c r="X86" s="1383"/>
      <c r="Y86" s="1383"/>
      <c r="Z86" s="1383"/>
      <c r="AA86" s="1383"/>
      <c r="AB86" s="1383"/>
      <c r="AC86" s="1383"/>
      <c r="AD86" s="1383"/>
      <c r="AE86" s="1383"/>
      <c r="AF86" s="1383"/>
      <c r="AG86" s="1383"/>
      <c r="AH86" s="1383"/>
      <c r="AI86" s="1383"/>
      <c r="AJ86" s="1383"/>
      <c r="AK86" s="1383"/>
      <c r="AL86" s="1383"/>
      <c r="AM86" s="1383"/>
    </row>
    <row r="87" spans="2:47" s="1504" customFormat="1" ht="16.5" customHeight="1" x14ac:dyDescent="0.25">
      <c r="B87" s="1372"/>
      <c r="C87" s="1372"/>
      <c r="D87" s="1717"/>
      <c r="E87" s="1420"/>
      <c r="F87" s="1493"/>
      <c r="G87" s="1493"/>
      <c r="H87" s="1493"/>
      <c r="I87" s="1493"/>
      <c r="J87" s="1493"/>
      <c r="K87" s="1493"/>
      <c r="L87" s="1493"/>
      <c r="M87" s="1493"/>
      <c r="N87" s="1493"/>
      <c r="O87" s="1493"/>
      <c r="P87" s="1383"/>
      <c r="Q87" s="1383"/>
      <c r="R87" s="1383"/>
      <c r="S87" s="1383"/>
      <c r="T87" s="1383"/>
      <c r="U87" s="1383"/>
      <c r="V87" s="1383"/>
      <c r="W87" s="1383"/>
      <c r="X87" s="1383"/>
      <c r="Y87" s="1383"/>
      <c r="Z87" s="1383"/>
      <c r="AA87" s="1383"/>
      <c r="AB87" s="1383"/>
      <c r="AC87" s="1383"/>
      <c r="AD87" s="1383"/>
      <c r="AE87" s="1383"/>
      <c r="AF87" s="1383"/>
      <c r="AG87" s="1383"/>
      <c r="AH87" s="1383"/>
      <c r="AI87" s="1383"/>
      <c r="AJ87" s="1383"/>
      <c r="AK87" s="1383"/>
      <c r="AL87" s="1383"/>
      <c r="AM87" s="1383"/>
    </row>
    <row r="88" spans="2:47" s="1664" customFormat="1" ht="16.5" x14ac:dyDescent="0.25">
      <c r="B88" s="1372"/>
      <c r="C88" s="1372"/>
      <c r="D88" s="1717"/>
      <c r="E88" s="1420"/>
      <c r="F88" s="1493"/>
      <c r="G88" s="1493"/>
      <c r="H88" s="1493"/>
      <c r="I88" s="1493"/>
      <c r="J88" s="1493"/>
      <c r="K88" s="1493"/>
      <c r="L88" s="1493"/>
      <c r="M88" s="1493"/>
      <c r="N88" s="1493"/>
      <c r="O88" s="1493"/>
      <c r="P88" s="1383"/>
      <c r="Q88" s="1383"/>
      <c r="R88" s="1383"/>
      <c r="S88" s="1383"/>
      <c r="T88" s="1383"/>
      <c r="U88" s="1383"/>
      <c r="V88" s="1383"/>
      <c r="W88" s="1383"/>
      <c r="X88" s="1383"/>
      <c r="Y88" s="1383"/>
      <c r="Z88" s="1383"/>
      <c r="AA88" s="1383"/>
      <c r="AB88" s="1383"/>
      <c r="AC88" s="1383"/>
      <c r="AD88" s="1383"/>
      <c r="AE88" s="1383"/>
      <c r="AF88" s="1383"/>
      <c r="AG88" s="1383"/>
      <c r="AH88" s="1383"/>
      <c r="AI88" s="1383"/>
      <c r="AJ88" s="1383"/>
      <c r="AK88" s="1383"/>
      <c r="AL88" s="1383"/>
      <c r="AM88" s="1383"/>
      <c r="AR88" s="1718"/>
      <c r="AS88" s="1718"/>
      <c r="AT88" s="1718"/>
    </row>
    <row r="89" spans="2:47" s="1526" customFormat="1" ht="16.5" x14ac:dyDescent="0.25">
      <c r="B89" s="1372"/>
      <c r="C89" s="1372"/>
      <c r="D89" s="1717"/>
      <c r="E89" s="1420"/>
      <c r="F89" s="1493"/>
      <c r="G89" s="1493"/>
      <c r="H89" s="1493"/>
      <c r="I89" s="1493"/>
      <c r="J89" s="1493"/>
      <c r="K89" s="1493"/>
      <c r="L89" s="1493"/>
      <c r="M89" s="1493"/>
      <c r="N89" s="1493"/>
      <c r="O89" s="1493"/>
      <c r="P89" s="1383"/>
      <c r="Q89" s="1383"/>
      <c r="R89" s="1383"/>
      <c r="S89" s="1383"/>
      <c r="T89" s="1383"/>
      <c r="U89" s="1383"/>
      <c r="V89" s="1383"/>
      <c r="W89" s="1383"/>
      <c r="X89" s="1383"/>
      <c r="Y89" s="1383"/>
      <c r="Z89" s="1383"/>
      <c r="AA89" s="1383"/>
      <c r="AB89" s="1383"/>
      <c r="AC89" s="1383"/>
      <c r="AD89" s="1383"/>
      <c r="AE89" s="1383"/>
      <c r="AF89" s="1383"/>
      <c r="AG89" s="1383"/>
      <c r="AH89" s="1383"/>
      <c r="AI89" s="1383"/>
      <c r="AJ89" s="1383"/>
      <c r="AK89" s="1383"/>
      <c r="AL89" s="1383"/>
      <c r="AM89" s="1383"/>
      <c r="AN89" s="1504"/>
      <c r="AO89" s="1504"/>
      <c r="AP89" s="1504"/>
      <c r="AQ89" s="1504"/>
      <c r="AR89" s="1719"/>
      <c r="AS89" s="1719"/>
      <c r="AT89" s="1719"/>
      <c r="AU89" s="1504"/>
    </row>
    <row r="90" spans="2:47" s="1545" customFormat="1" ht="16.5" x14ac:dyDescent="0.25">
      <c r="B90" s="1372"/>
      <c r="C90" s="1372"/>
      <c r="D90" s="1717"/>
      <c r="E90" s="1420"/>
      <c r="F90" s="1493"/>
      <c r="G90" s="1493"/>
      <c r="H90" s="1493"/>
      <c r="I90" s="1493"/>
      <c r="J90" s="1493"/>
      <c r="K90" s="1493"/>
      <c r="L90" s="1493"/>
      <c r="M90" s="1493"/>
      <c r="N90" s="1493"/>
      <c r="O90" s="1493"/>
      <c r="P90" s="1383"/>
      <c r="Q90" s="1383"/>
      <c r="R90" s="1383"/>
      <c r="S90" s="1383"/>
      <c r="T90" s="1383"/>
      <c r="U90" s="1383"/>
      <c r="V90" s="1383"/>
      <c r="W90" s="1383"/>
      <c r="X90" s="1383"/>
      <c r="Y90" s="1383"/>
      <c r="Z90" s="1383"/>
      <c r="AA90" s="1383"/>
      <c r="AB90" s="1383"/>
      <c r="AC90" s="1383"/>
      <c r="AD90" s="1383"/>
      <c r="AE90" s="1383"/>
      <c r="AF90" s="1383"/>
      <c r="AG90" s="1383"/>
      <c r="AH90" s="1383"/>
      <c r="AI90" s="1383"/>
      <c r="AJ90" s="1383"/>
      <c r="AK90" s="1383"/>
      <c r="AL90" s="1383"/>
      <c r="AM90" s="1383"/>
      <c r="AN90" s="1684"/>
      <c r="AO90" s="1684"/>
      <c r="AP90" s="1684"/>
      <c r="AQ90" s="1684"/>
      <c r="AR90" s="1685"/>
      <c r="AS90" s="1685"/>
      <c r="AT90" s="1685"/>
      <c r="AU90" s="1684"/>
    </row>
    <row r="91" spans="2:47" s="1545" customFormat="1" ht="16.5" x14ac:dyDescent="0.25">
      <c r="B91" s="1372"/>
      <c r="C91" s="1372"/>
      <c r="D91" s="1717"/>
      <c r="E91" s="1420"/>
      <c r="F91" s="1493"/>
      <c r="G91" s="1493"/>
      <c r="H91" s="1493"/>
      <c r="I91" s="1493"/>
      <c r="J91" s="1493"/>
      <c r="K91" s="1493"/>
      <c r="L91" s="1493"/>
      <c r="M91" s="1493"/>
      <c r="N91" s="1493"/>
      <c r="O91" s="1493"/>
      <c r="P91" s="1383"/>
      <c r="Q91" s="1383"/>
      <c r="R91" s="1383"/>
      <c r="S91" s="1383"/>
      <c r="T91" s="1383"/>
      <c r="U91" s="1383"/>
      <c r="V91" s="1383"/>
      <c r="W91" s="1383"/>
      <c r="X91" s="1383"/>
      <c r="Y91" s="1383"/>
      <c r="Z91" s="1383"/>
      <c r="AA91" s="1383"/>
      <c r="AB91" s="1383"/>
      <c r="AC91" s="1383"/>
      <c r="AD91" s="1383"/>
      <c r="AE91" s="1383"/>
      <c r="AF91" s="1383"/>
      <c r="AG91" s="1383"/>
      <c r="AH91" s="1383"/>
      <c r="AI91" s="1383"/>
      <c r="AJ91" s="1383"/>
      <c r="AK91" s="1383"/>
      <c r="AL91" s="1383"/>
      <c r="AM91" s="1383"/>
      <c r="AN91" s="1684"/>
      <c r="AO91" s="1684"/>
      <c r="AP91" s="1684"/>
      <c r="AQ91" s="1684"/>
      <c r="AR91" s="1685"/>
      <c r="AS91" s="1685"/>
      <c r="AT91" s="1685"/>
      <c r="AU91" s="1684"/>
    </row>
    <row r="92" spans="2:47" s="1545" customFormat="1" ht="16.5" x14ac:dyDescent="0.25">
      <c r="B92" s="1372"/>
      <c r="C92" s="1372"/>
      <c r="D92" s="1717"/>
      <c r="E92" s="1420"/>
      <c r="F92" s="1493"/>
      <c r="G92" s="1493"/>
      <c r="H92" s="1493"/>
      <c r="I92" s="1493"/>
      <c r="J92" s="1493"/>
      <c r="K92" s="1493"/>
      <c r="L92" s="1493"/>
      <c r="M92" s="1493"/>
      <c r="N92" s="1493"/>
      <c r="O92" s="1493"/>
      <c r="P92" s="1383"/>
      <c r="Q92" s="1383"/>
      <c r="R92" s="1383"/>
      <c r="S92" s="1383"/>
      <c r="T92" s="1383"/>
      <c r="U92" s="1383"/>
      <c r="V92" s="1383"/>
      <c r="W92" s="1383"/>
      <c r="X92" s="1383"/>
      <c r="Y92" s="1383"/>
      <c r="Z92" s="1383"/>
      <c r="AA92" s="1383"/>
      <c r="AB92" s="1383"/>
      <c r="AC92" s="1383"/>
      <c r="AD92" s="1383"/>
      <c r="AE92" s="1383"/>
      <c r="AF92" s="1383"/>
      <c r="AG92" s="1383"/>
      <c r="AH92" s="1383"/>
      <c r="AI92" s="1383"/>
      <c r="AJ92" s="1383"/>
      <c r="AK92" s="1383"/>
      <c r="AL92" s="1383"/>
      <c r="AM92" s="1383"/>
      <c r="AN92" s="1684"/>
      <c r="AO92" s="1684"/>
      <c r="AP92" s="1684"/>
      <c r="AQ92" s="1684"/>
      <c r="AR92" s="1685"/>
      <c r="AS92" s="1685"/>
      <c r="AT92" s="1685"/>
      <c r="AU92" s="1684"/>
    </row>
    <row r="93" spans="2:47" s="1545" customFormat="1" ht="16.5" x14ac:dyDescent="0.25">
      <c r="B93" s="1372"/>
      <c r="C93" s="1372"/>
      <c r="D93" s="1717"/>
      <c r="E93" s="1420"/>
      <c r="F93" s="1493"/>
      <c r="G93" s="1493"/>
      <c r="H93" s="1493"/>
      <c r="I93" s="1493"/>
      <c r="J93" s="1493"/>
      <c r="K93" s="1493"/>
      <c r="L93" s="1493"/>
      <c r="M93" s="1493"/>
      <c r="N93" s="1493"/>
      <c r="O93" s="1493"/>
      <c r="P93" s="1383"/>
      <c r="Q93" s="1383"/>
      <c r="R93" s="1383"/>
      <c r="S93" s="1383"/>
      <c r="T93" s="1383"/>
      <c r="U93" s="1383"/>
      <c r="V93" s="1383"/>
      <c r="W93" s="1383"/>
      <c r="X93" s="1383"/>
      <c r="Y93" s="1383"/>
      <c r="Z93" s="1383"/>
      <c r="AA93" s="1383"/>
      <c r="AB93" s="1383"/>
      <c r="AC93" s="1383"/>
      <c r="AD93" s="1383"/>
      <c r="AE93" s="1383"/>
      <c r="AF93" s="1383"/>
      <c r="AG93" s="1383"/>
      <c r="AH93" s="1383"/>
      <c r="AI93" s="1383"/>
      <c r="AJ93" s="1383"/>
      <c r="AK93" s="1383"/>
      <c r="AL93" s="1383"/>
      <c r="AM93" s="1383"/>
      <c r="AN93" s="1684"/>
      <c r="AO93" s="1684"/>
      <c r="AP93" s="1684"/>
      <c r="AQ93" s="1684"/>
      <c r="AR93" s="1685"/>
      <c r="AS93" s="1685"/>
      <c r="AT93" s="1685"/>
      <c r="AU93" s="1684"/>
    </row>
    <row r="94" spans="2:47" s="1545" customFormat="1" ht="16.5" x14ac:dyDescent="0.25">
      <c r="B94" s="1372"/>
      <c r="C94" s="1372"/>
      <c r="D94" s="1717"/>
      <c r="E94" s="1420"/>
      <c r="F94" s="1493"/>
      <c r="G94" s="1493"/>
      <c r="H94" s="1493"/>
      <c r="I94" s="1493"/>
      <c r="J94" s="1493"/>
      <c r="K94" s="1493"/>
      <c r="L94" s="1493"/>
      <c r="M94" s="1493"/>
      <c r="N94" s="1493"/>
      <c r="O94" s="1493"/>
      <c r="P94" s="1383"/>
      <c r="Q94" s="1383"/>
      <c r="R94" s="1383"/>
      <c r="S94" s="1383"/>
      <c r="T94" s="1383"/>
      <c r="U94" s="1383"/>
      <c r="V94" s="1383"/>
      <c r="W94" s="1383"/>
      <c r="X94" s="1383"/>
      <c r="Y94" s="1383"/>
      <c r="Z94" s="1383"/>
      <c r="AA94" s="1383"/>
      <c r="AB94" s="1383"/>
      <c r="AC94" s="1383"/>
      <c r="AD94" s="1383"/>
      <c r="AE94" s="1383"/>
      <c r="AF94" s="1383"/>
      <c r="AG94" s="1383"/>
      <c r="AH94" s="1383"/>
      <c r="AI94" s="1383"/>
      <c r="AJ94" s="1383"/>
      <c r="AK94" s="1383"/>
      <c r="AL94" s="1383"/>
      <c r="AM94" s="1383"/>
      <c r="AN94" s="1684"/>
      <c r="AO94" s="1684"/>
      <c r="AP94" s="1684"/>
      <c r="AQ94" s="1684"/>
      <c r="AR94" s="1685"/>
      <c r="AS94" s="1685"/>
      <c r="AT94" s="1685"/>
      <c r="AU94" s="1684"/>
    </row>
    <row r="95" spans="2:47" s="1545" customFormat="1" ht="16.5" x14ac:dyDescent="0.25">
      <c r="B95" s="1372"/>
      <c r="C95" s="1372"/>
      <c r="D95" s="1717"/>
      <c r="E95" s="1420"/>
      <c r="F95" s="1493"/>
      <c r="G95" s="1493"/>
      <c r="H95" s="1493"/>
      <c r="I95" s="1493"/>
      <c r="J95" s="1493"/>
      <c r="K95" s="1493"/>
      <c r="L95" s="1493"/>
      <c r="M95" s="1493"/>
      <c r="N95" s="1493"/>
      <c r="O95" s="1493"/>
      <c r="P95" s="1383"/>
      <c r="Q95" s="1383"/>
      <c r="R95" s="1383"/>
      <c r="S95" s="1383"/>
      <c r="T95" s="1383"/>
      <c r="U95" s="1383"/>
      <c r="V95" s="1383"/>
      <c r="W95" s="1383"/>
      <c r="X95" s="1383"/>
      <c r="Y95" s="1383"/>
      <c r="Z95" s="1383"/>
      <c r="AA95" s="1383"/>
      <c r="AB95" s="1383"/>
      <c r="AC95" s="1383"/>
      <c r="AD95" s="1383"/>
      <c r="AE95" s="1383"/>
      <c r="AF95" s="1383"/>
      <c r="AG95" s="1383"/>
      <c r="AH95" s="1383"/>
      <c r="AI95" s="1383"/>
      <c r="AJ95" s="1383"/>
      <c r="AK95" s="1383"/>
      <c r="AL95" s="1383"/>
      <c r="AM95" s="1383"/>
      <c r="AN95" s="1684"/>
      <c r="AO95" s="1684"/>
      <c r="AP95" s="1684"/>
      <c r="AQ95" s="1684"/>
      <c r="AR95" s="1685"/>
      <c r="AS95" s="1685"/>
      <c r="AT95" s="1685"/>
      <c r="AU95" s="1684"/>
    </row>
    <row r="96" spans="2:47" s="1545" customFormat="1" ht="16.5" x14ac:dyDescent="0.25">
      <c r="B96" s="1372"/>
      <c r="C96" s="1372"/>
      <c r="D96" s="1717"/>
      <c r="E96" s="1420"/>
      <c r="F96" s="1493"/>
      <c r="G96" s="1493"/>
      <c r="H96" s="1493"/>
      <c r="I96" s="1493"/>
      <c r="J96" s="1493"/>
      <c r="K96" s="1493"/>
      <c r="L96" s="1493"/>
      <c r="M96" s="1493"/>
      <c r="N96" s="1493"/>
      <c r="O96" s="1493"/>
      <c r="P96" s="1383"/>
      <c r="Q96" s="1383"/>
      <c r="R96" s="1383"/>
      <c r="S96" s="1383"/>
      <c r="T96" s="1383"/>
      <c r="U96" s="1383"/>
      <c r="V96" s="1383"/>
      <c r="W96" s="1383"/>
      <c r="X96" s="1383"/>
      <c r="Y96" s="1383"/>
      <c r="Z96" s="1383"/>
      <c r="AA96" s="1383"/>
      <c r="AB96" s="1383"/>
      <c r="AC96" s="1383"/>
      <c r="AD96" s="1383"/>
      <c r="AE96" s="1383"/>
      <c r="AF96" s="1383"/>
      <c r="AG96" s="1383"/>
      <c r="AH96" s="1383"/>
      <c r="AI96" s="1383"/>
      <c r="AJ96" s="1383"/>
      <c r="AK96" s="1383"/>
      <c r="AL96" s="1383"/>
      <c r="AM96" s="1383"/>
      <c r="AN96" s="1684"/>
      <c r="AO96" s="1684"/>
      <c r="AP96" s="1684"/>
      <c r="AQ96" s="1684"/>
      <c r="AR96" s="1685"/>
      <c r="AS96" s="1685"/>
      <c r="AT96" s="1685"/>
      <c r="AU96" s="1684"/>
    </row>
    <row r="97" spans="2:47" s="1569" customFormat="1" ht="16.5" customHeight="1" x14ac:dyDescent="0.25">
      <c r="B97" s="1372"/>
      <c r="C97" s="1372"/>
      <c r="D97" s="1717"/>
      <c r="E97" s="1420"/>
      <c r="F97" s="1493"/>
      <c r="G97" s="1493"/>
      <c r="H97" s="1493"/>
      <c r="I97" s="1493"/>
      <c r="J97" s="1493"/>
      <c r="K97" s="1493"/>
      <c r="L97" s="1493"/>
      <c r="M97" s="1493"/>
      <c r="N97" s="1493"/>
      <c r="O97" s="1493"/>
      <c r="P97" s="1383"/>
      <c r="Q97" s="1383"/>
      <c r="R97" s="1383"/>
      <c r="S97" s="1383"/>
      <c r="T97" s="1383"/>
      <c r="U97" s="1383"/>
      <c r="V97" s="1383"/>
      <c r="W97" s="1383"/>
      <c r="X97" s="1383"/>
      <c r="Y97" s="1383"/>
      <c r="Z97" s="1383"/>
      <c r="AA97" s="1383"/>
      <c r="AB97" s="1383"/>
      <c r="AC97" s="1383"/>
      <c r="AD97" s="1383"/>
      <c r="AE97" s="1383"/>
      <c r="AF97" s="1383"/>
      <c r="AG97" s="1383"/>
      <c r="AH97" s="1383"/>
      <c r="AI97" s="1383"/>
      <c r="AJ97" s="1383"/>
      <c r="AK97" s="1383"/>
      <c r="AL97" s="1383"/>
      <c r="AM97" s="1383"/>
      <c r="AN97" s="1504"/>
      <c r="AO97" s="1504"/>
      <c r="AP97" s="1504"/>
      <c r="AQ97" s="1504"/>
      <c r="AR97" s="1719"/>
      <c r="AS97" s="1719"/>
      <c r="AT97" s="1719"/>
      <c r="AU97" s="1504"/>
    </row>
    <row r="98" spans="2:47" s="1688" customFormat="1" ht="16.5" x14ac:dyDescent="0.25">
      <c r="B98" s="1372"/>
      <c r="C98" s="1372"/>
      <c r="D98" s="1717"/>
      <c r="E98" s="1420"/>
      <c r="F98" s="1493"/>
      <c r="G98" s="1493"/>
      <c r="H98" s="1493"/>
      <c r="I98" s="1493"/>
      <c r="J98" s="1493"/>
      <c r="K98" s="1493"/>
      <c r="L98" s="1493"/>
      <c r="M98" s="1493"/>
      <c r="N98" s="1493"/>
      <c r="O98" s="1493"/>
      <c r="P98" s="1383"/>
      <c r="Q98" s="1383"/>
      <c r="R98" s="1383"/>
      <c r="S98" s="1383"/>
      <c r="T98" s="1383"/>
      <c r="U98" s="1383"/>
      <c r="V98" s="1383"/>
      <c r="W98" s="1383"/>
      <c r="X98" s="1383"/>
      <c r="Y98" s="1383"/>
      <c r="Z98" s="1383"/>
      <c r="AA98" s="1383"/>
      <c r="AB98" s="1383"/>
      <c r="AC98" s="1383"/>
      <c r="AD98" s="1383"/>
      <c r="AE98" s="1383"/>
      <c r="AF98" s="1383"/>
      <c r="AG98" s="1383"/>
      <c r="AH98" s="1383"/>
      <c r="AI98" s="1383"/>
      <c r="AJ98" s="1383"/>
      <c r="AK98" s="1383"/>
      <c r="AL98" s="1383"/>
      <c r="AM98" s="1383"/>
      <c r="AN98" s="1664"/>
      <c r="AO98" s="1664"/>
      <c r="AP98" s="1664"/>
      <c r="AQ98" s="1664"/>
      <c r="AR98" s="1718"/>
      <c r="AS98" s="1718"/>
      <c r="AT98" s="1718"/>
      <c r="AU98" s="1664"/>
    </row>
    <row r="99" spans="2:47" s="1589" customFormat="1" ht="16.5" x14ac:dyDescent="0.25">
      <c r="B99" s="1372"/>
      <c r="C99" s="1372"/>
      <c r="D99" s="1717"/>
      <c r="E99" s="1420"/>
      <c r="F99" s="1493"/>
      <c r="G99" s="1493"/>
      <c r="H99" s="1493"/>
      <c r="I99" s="1493"/>
      <c r="J99" s="1493"/>
      <c r="K99" s="1493"/>
      <c r="L99" s="1493"/>
      <c r="M99" s="1493"/>
      <c r="N99" s="1493"/>
      <c r="O99" s="1493"/>
      <c r="P99" s="1383"/>
      <c r="Q99" s="1383"/>
      <c r="R99" s="1383"/>
      <c r="S99" s="1383"/>
      <c r="T99" s="1383"/>
      <c r="U99" s="1383"/>
      <c r="V99" s="1383"/>
      <c r="W99" s="1383"/>
      <c r="X99" s="1383"/>
      <c r="Y99" s="1383"/>
      <c r="Z99" s="1383"/>
      <c r="AA99" s="1383"/>
      <c r="AB99" s="1383"/>
      <c r="AC99" s="1383"/>
      <c r="AD99" s="1383"/>
      <c r="AE99" s="1383"/>
      <c r="AF99" s="1383"/>
      <c r="AG99" s="1383"/>
      <c r="AH99" s="1383"/>
      <c r="AI99" s="1383"/>
      <c r="AJ99" s="1383"/>
      <c r="AK99" s="1383"/>
      <c r="AL99" s="1383"/>
      <c r="AM99" s="1383"/>
      <c r="AN99" s="1504"/>
      <c r="AO99" s="1504"/>
      <c r="AP99" s="1504"/>
      <c r="AQ99" s="1504"/>
      <c r="AR99" s="1719"/>
      <c r="AS99" s="1719"/>
      <c r="AT99" s="1719"/>
      <c r="AU99" s="1504"/>
    </row>
    <row r="100" spans="2:47" s="1545" customFormat="1" ht="16.5" x14ac:dyDescent="0.25">
      <c r="B100" s="1372"/>
      <c r="C100" s="1372"/>
      <c r="D100" s="1717"/>
      <c r="E100" s="1420"/>
      <c r="F100" s="1493"/>
      <c r="G100" s="1493"/>
      <c r="H100" s="1493"/>
      <c r="I100" s="1493"/>
      <c r="J100" s="1493"/>
      <c r="K100" s="1493"/>
      <c r="L100" s="1493"/>
      <c r="M100" s="1493"/>
      <c r="N100" s="1493"/>
      <c r="O100" s="1493"/>
      <c r="P100" s="1383"/>
      <c r="Q100" s="1383"/>
      <c r="R100" s="1383"/>
      <c r="S100" s="1383"/>
      <c r="T100" s="1383"/>
      <c r="U100" s="1383"/>
      <c r="V100" s="1383"/>
      <c r="W100" s="1383"/>
      <c r="X100" s="1383"/>
      <c r="Y100" s="1383"/>
      <c r="Z100" s="1383"/>
      <c r="AA100" s="1383"/>
      <c r="AB100" s="1383"/>
      <c r="AC100" s="1383"/>
      <c r="AD100" s="1383"/>
      <c r="AE100" s="1383"/>
      <c r="AF100" s="1383"/>
      <c r="AG100" s="1383"/>
      <c r="AH100" s="1383"/>
      <c r="AI100" s="1383"/>
      <c r="AJ100" s="1383"/>
      <c r="AK100" s="1383"/>
      <c r="AL100" s="1383"/>
      <c r="AM100" s="1383"/>
      <c r="AN100" s="1684"/>
      <c r="AO100" s="1684"/>
      <c r="AP100" s="1684"/>
      <c r="AQ100" s="1684"/>
      <c r="AR100" s="1685"/>
      <c r="AS100" s="1685"/>
      <c r="AT100" s="1685"/>
      <c r="AU100" s="1684"/>
    </row>
    <row r="101" spans="2:47" s="1545" customFormat="1" ht="16.5" x14ac:dyDescent="0.25">
      <c r="B101" s="1372"/>
      <c r="C101" s="1372"/>
      <c r="D101" s="1717"/>
      <c r="E101" s="1420"/>
      <c r="F101" s="1493"/>
      <c r="G101" s="1493"/>
      <c r="H101" s="1493"/>
      <c r="I101" s="1493"/>
      <c r="J101" s="1493"/>
      <c r="K101" s="1493"/>
      <c r="L101" s="1493"/>
      <c r="M101" s="1493"/>
      <c r="N101" s="1493"/>
      <c r="O101" s="1493"/>
      <c r="P101" s="1383"/>
      <c r="Q101" s="1383"/>
      <c r="R101" s="1383"/>
      <c r="S101" s="1383"/>
      <c r="T101" s="1383"/>
      <c r="U101" s="1383"/>
      <c r="V101" s="1383"/>
      <c r="W101" s="1383"/>
      <c r="X101" s="1383"/>
      <c r="Y101" s="1383"/>
      <c r="Z101" s="1383"/>
      <c r="AA101" s="1383"/>
      <c r="AB101" s="1383"/>
      <c r="AC101" s="1383"/>
      <c r="AD101" s="1383"/>
      <c r="AE101" s="1383"/>
      <c r="AF101" s="1383"/>
      <c r="AG101" s="1383"/>
      <c r="AH101" s="1383"/>
      <c r="AI101" s="1383"/>
      <c r="AJ101" s="1383"/>
      <c r="AK101" s="1383"/>
      <c r="AL101" s="1383"/>
      <c r="AM101" s="1383"/>
      <c r="AN101" s="1684"/>
      <c r="AO101" s="1684"/>
      <c r="AP101" s="1684"/>
      <c r="AQ101" s="1684"/>
      <c r="AR101" s="1685"/>
      <c r="AS101" s="1685"/>
      <c r="AT101" s="1685"/>
      <c r="AU101" s="1684"/>
    </row>
    <row r="102" spans="2:47" s="1545" customFormat="1" ht="16.5" x14ac:dyDescent="0.25">
      <c r="B102" s="1372"/>
      <c r="C102" s="1372"/>
      <c r="D102" s="1717"/>
      <c r="E102" s="1420"/>
      <c r="F102" s="1493"/>
      <c r="G102" s="1493"/>
      <c r="H102" s="1493"/>
      <c r="I102" s="1493"/>
      <c r="J102" s="1493"/>
      <c r="K102" s="1493"/>
      <c r="L102" s="1493"/>
      <c r="M102" s="1493"/>
      <c r="N102" s="1493"/>
      <c r="O102" s="1493"/>
      <c r="P102" s="1383"/>
      <c r="Q102" s="1383"/>
      <c r="R102" s="1383"/>
      <c r="S102" s="1383"/>
      <c r="T102" s="1383"/>
      <c r="U102" s="1383"/>
      <c r="V102" s="1383"/>
      <c r="W102" s="1383"/>
      <c r="X102" s="1383"/>
      <c r="Y102" s="1383"/>
      <c r="Z102" s="1383"/>
      <c r="AA102" s="1383"/>
      <c r="AB102" s="1383"/>
      <c r="AC102" s="1383"/>
      <c r="AD102" s="1383"/>
      <c r="AE102" s="1383"/>
      <c r="AF102" s="1383"/>
      <c r="AG102" s="1383"/>
      <c r="AH102" s="1383"/>
      <c r="AI102" s="1383"/>
      <c r="AJ102" s="1383"/>
      <c r="AK102" s="1383"/>
      <c r="AL102" s="1383"/>
      <c r="AM102" s="1383"/>
      <c r="AN102" s="1684"/>
      <c r="AO102" s="1684"/>
      <c r="AP102" s="1684"/>
      <c r="AQ102" s="1684"/>
      <c r="AR102" s="1685"/>
      <c r="AS102" s="1685"/>
      <c r="AT102" s="1685"/>
      <c r="AU102" s="1684"/>
    </row>
    <row r="103" spans="2:47" s="1545" customFormat="1" ht="16.5" x14ac:dyDescent="0.25">
      <c r="B103" s="1372"/>
      <c r="C103" s="1372"/>
      <c r="D103" s="1717"/>
      <c r="E103" s="1420"/>
      <c r="F103" s="1493"/>
      <c r="G103" s="1493"/>
      <c r="H103" s="1493"/>
      <c r="I103" s="1493"/>
      <c r="J103" s="1493"/>
      <c r="K103" s="1493"/>
      <c r="L103" s="1493"/>
      <c r="M103" s="1493"/>
      <c r="N103" s="1493"/>
      <c r="O103" s="1493"/>
      <c r="P103" s="1383"/>
      <c r="Q103" s="1383"/>
      <c r="R103" s="1383"/>
      <c r="S103" s="1383"/>
      <c r="T103" s="1383"/>
      <c r="U103" s="1383"/>
      <c r="V103" s="1383"/>
      <c r="W103" s="1383"/>
      <c r="X103" s="1383"/>
      <c r="Y103" s="1383"/>
      <c r="Z103" s="1383"/>
      <c r="AA103" s="1383"/>
      <c r="AB103" s="1383"/>
      <c r="AC103" s="1383"/>
      <c r="AD103" s="1383"/>
      <c r="AE103" s="1383"/>
      <c r="AF103" s="1383"/>
      <c r="AG103" s="1383"/>
      <c r="AH103" s="1383"/>
      <c r="AI103" s="1383"/>
      <c r="AJ103" s="1383"/>
      <c r="AK103" s="1383"/>
      <c r="AL103" s="1383"/>
      <c r="AM103" s="1383"/>
      <c r="AN103" s="1684"/>
      <c r="AO103" s="1684"/>
      <c r="AP103" s="1684"/>
      <c r="AQ103" s="1684"/>
      <c r="AR103" s="1685"/>
      <c r="AS103" s="1685"/>
      <c r="AT103" s="1685"/>
      <c r="AU103" s="1684"/>
    </row>
    <row r="104" spans="2:47" s="1545" customFormat="1" ht="16.5" x14ac:dyDescent="0.25">
      <c r="B104" s="1372"/>
      <c r="C104" s="1372"/>
      <c r="D104" s="1717"/>
      <c r="E104" s="1420"/>
      <c r="F104" s="1493"/>
      <c r="G104" s="1493"/>
      <c r="H104" s="1493"/>
      <c r="I104" s="1493"/>
      <c r="J104" s="1493"/>
      <c r="K104" s="1493"/>
      <c r="L104" s="1493"/>
      <c r="M104" s="1493"/>
      <c r="N104" s="1493"/>
      <c r="O104" s="1493"/>
      <c r="P104" s="1383"/>
      <c r="Q104" s="1383"/>
      <c r="R104" s="1383"/>
      <c r="S104" s="1383"/>
      <c r="T104" s="1383"/>
      <c r="U104" s="1383"/>
      <c r="V104" s="1383"/>
      <c r="W104" s="1383"/>
      <c r="X104" s="1383"/>
      <c r="Y104" s="1383"/>
      <c r="Z104" s="1383"/>
      <c r="AA104" s="1383"/>
      <c r="AB104" s="1383"/>
      <c r="AC104" s="1383"/>
      <c r="AD104" s="1383"/>
      <c r="AE104" s="1383"/>
      <c r="AF104" s="1383"/>
      <c r="AG104" s="1383"/>
      <c r="AH104" s="1383"/>
      <c r="AI104" s="1383"/>
      <c r="AJ104" s="1383"/>
      <c r="AK104" s="1383"/>
      <c r="AL104" s="1383"/>
      <c r="AM104" s="1383"/>
      <c r="AN104" s="1684"/>
      <c r="AO104" s="1684"/>
      <c r="AP104" s="1684"/>
      <c r="AQ104" s="1684"/>
      <c r="AR104" s="1685"/>
      <c r="AS104" s="1685"/>
      <c r="AT104" s="1685"/>
      <c r="AU104" s="1684"/>
    </row>
    <row r="105" spans="2:47" s="1545" customFormat="1" ht="16.5" x14ac:dyDescent="0.25">
      <c r="B105" s="1372"/>
      <c r="C105" s="1372"/>
      <c r="D105" s="1717"/>
      <c r="E105" s="1420"/>
      <c r="F105" s="1493"/>
      <c r="G105" s="1493"/>
      <c r="H105" s="1493"/>
      <c r="I105" s="1493"/>
      <c r="J105" s="1493"/>
      <c r="K105" s="1493"/>
      <c r="L105" s="1493"/>
      <c r="M105" s="1493"/>
      <c r="N105" s="1493"/>
      <c r="O105" s="1493"/>
      <c r="P105" s="1383"/>
      <c r="Q105" s="1383"/>
      <c r="R105" s="1383"/>
      <c r="S105" s="1383"/>
      <c r="T105" s="1383"/>
      <c r="U105" s="1383"/>
      <c r="V105" s="1383"/>
      <c r="W105" s="1383"/>
      <c r="X105" s="1383"/>
      <c r="Y105" s="1383"/>
      <c r="Z105" s="1383"/>
      <c r="AA105" s="1383"/>
      <c r="AB105" s="1383"/>
      <c r="AC105" s="1383"/>
      <c r="AD105" s="1383"/>
      <c r="AE105" s="1383"/>
      <c r="AF105" s="1383"/>
      <c r="AG105" s="1383"/>
      <c r="AH105" s="1383"/>
      <c r="AI105" s="1383"/>
      <c r="AJ105" s="1383"/>
      <c r="AK105" s="1383"/>
      <c r="AL105" s="1383"/>
      <c r="AM105" s="1383"/>
      <c r="AN105" s="1684"/>
      <c r="AO105" s="1684"/>
      <c r="AP105" s="1684"/>
      <c r="AQ105" s="1684"/>
      <c r="AR105" s="1685"/>
      <c r="AS105" s="1685"/>
      <c r="AT105" s="1685"/>
      <c r="AU105" s="1684"/>
    </row>
    <row r="106" spans="2:47" s="1545" customFormat="1" ht="16.5" x14ac:dyDescent="0.25">
      <c r="B106" s="1372"/>
      <c r="C106" s="1372"/>
      <c r="D106" s="1717"/>
      <c r="E106" s="1420"/>
      <c r="F106" s="1493"/>
      <c r="G106" s="1493"/>
      <c r="H106" s="1493"/>
      <c r="I106" s="1493"/>
      <c r="J106" s="1493"/>
      <c r="K106" s="1493"/>
      <c r="L106" s="1493"/>
      <c r="M106" s="1493"/>
      <c r="N106" s="1493"/>
      <c r="O106" s="1493"/>
      <c r="P106" s="1383"/>
      <c r="Q106" s="1383"/>
      <c r="R106" s="1383"/>
      <c r="S106" s="1383"/>
      <c r="T106" s="1383"/>
      <c r="U106" s="1383"/>
      <c r="V106" s="1383"/>
      <c r="W106" s="1383"/>
      <c r="X106" s="1383"/>
      <c r="Y106" s="1383"/>
      <c r="Z106" s="1383"/>
      <c r="AA106" s="1383"/>
      <c r="AB106" s="1383"/>
      <c r="AC106" s="1383"/>
      <c r="AD106" s="1383"/>
      <c r="AE106" s="1383"/>
      <c r="AF106" s="1383"/>
      <c r="AG106" s="1383"/>
      <c r="AH106" s="1383"/>
      <c r="AI106" s="1383"/>
      <c r="AJ106" s="1383"/>
      <c r="AK106" s="1383"/>
      <c r="AL106" s="1383"/>
      <c r="AM106" s="1383"/>
      <c r="AN106" s="1684"/>
      <c r="AO106" s="1684"/>
      <c r="AP106" s="1684"/>
      <c r="AQ106" s="1684"/>
      <c r="AR106" s="1685"/>
      <c r="AS106" s="1685"/>
      <c r="AT106" s="1685"/>
      <c r="AU106" s="1684"/>
    </row>
    <row r="107" spans="2:47" s="1589" customFormat="1" ht="16.5" customHeight="1" x14ac:dyDescent="0.25">
      <c r="B107" s="1372"/>
      <c r="C107" s="1372"/>
      <c r="D107" s="1717"/>
      <c r="E107" s="1420"/>
      <c r="F107" s="1493"/>
      <c r="G107" s="1493"/>
      <c r="H107" s="1493"/>
      <c r="I107" s="1493"/>
      <c r="J107" s="1493"/>
      <c r="K107" s="1493"/>
      <c r="L107" s="1493"/>
      <c r="M107" s="1493"/>
      <c r="N107" s="1493"/>
      <c r="O107" s="1493"/>
      <c r="P107" s="1383"/>
      <c r="Q107" s="1383"/>
      <c r="R107" s="1383"/>
      <c r="S107" s="1383"/>
      <c r="T107" s="1383"/>
      <c r="U107" s="1383"/>
      <c r="V107" s="1383"/>
      <c r="W107" s="1383"/>
      <c r="X107" s="1383"/>
      <c r="Y107" s="1383"/>
      <c r="Z107" s="1383"/>
      <c r="AA107" s="1383"/>
      <c r="AB107" s="1383"/>
      <c r="AC107" s="1383"/>
      <c r="AD107" s="1383"/>
      <c r="AE107" s="1383"/>
      <c r="AF107" s="1383"/>
      <c r="AG107" s="1383"/>
      <c r="AH107" s="1383"/>
      <c r="AI107" s="1383"/>
      <c r="AJ107" s="1383"/>
      <c r="AK107" s="1383"/>
      <c r="AL107" s="1383"/>
      <c r="AM107" s="1383"/>
    </row>
    <row r="108" spans="2:47" s="1688" customFormat="1" ht="16.5" x14ac:dyDescent="0.25">
      <c r="B108" s="1372"/>
      <c r="C108" s="1372"/>
      <c r="D108" s="1717"/>
      <c r="E108" s="1420"/>
      <c r="F108" s="1493"/>
      <c r="G108" s="1493"/>
      <c r="H108" s="1493"/>
      <c r="I108" s="1493"/>
      <c r="J108" s="1493"/>
      <c r="K108" s="1493"/>
      <c r="L108" s="1493"/>
      <c r="M108" s="1493"/>
      <c r="N108" s="1493"/>
      <c r="O108" s="1493"/>
      <c r="P108" s="1383"/>
      <c r="Q108" s="1383"/>
      <c r="R108" s="1383"/>
      <c r="S108" s="1383"/>
      <c r="T108" s="1383"/>
      <c r="U108" s="1383"/>
      <c r="V108" s="1383"/>
      <c r="W108" s="1383"/>
      <c r="X108" s="1383"/>
      <c r="Y108" s="1383"/>
      <c r="Z108" s="1383"/>
      <c r="AA108" s="1383"/>
      <c r="AB108" s="1383"/>
      <c r="AC108" s="1383"/>
      <c r="AD108" s="1383"/>
      <c r="AE108" s="1383"/>
      <c r="AF108" s="1383"/>
      <c r="AG108" s="1383"/>
      <c r="AH108" s="1383"/>
      <c r="AI108" s="1383"/>
      <c r="AJ108" s="1383"/>
      <c r="AK108" s="1383"/>
      <c r="AL108" s="1383"/>
      <c r="AM108" s="1383"/>
    </row>
    <row r="109" spans="2:47" s="1589" customFormat="1" ht="15.75" x14ac:dyDescent="0.25">
      <c r="B109" s="1372"/>
      <c r="C109" s="1372"/>
      <c r="D109" s="1717"/>
      <c r="E109" s="1420"/>
      <c r="F109" s="1493"/>
      <c r="G109" s="1493"/>
      <c r="H109" s="1493"/>
      <c r="I109" s="1493"/>
      <c r="J109" s="1493"/>
      <c r="K109" s="1493"/>
      <c r="L109" s="1493"/>
      <c r="M109" s="1493"/>
      <c r="N109" s="1493"/>
      <c r="O109" s="1493"/>
      <c r="P109" s="1383"/>
      <c r="Q109" s="1383"/>
      <c r="R109" s="1383"/>
      <c r="S109" s="1383"/>
      <c r="T109" s="1383"/>
      <c r="U109" s="1383"/>
      <c r="V109" s="1383"/>
      <c r="W109" s="1383"/>
      <c r="X109" s="1383"/>
      <c r="Y109" s="1383"/>
      <c r="Z109" s="1383"/>
      <c r="AA109" s="1383"/>
      <c r="AB109" s="1383"/>
      <c r="AC109" s="1383"/>
      <c r="AD109" s="1383"/>
      <c r="AE109" s="1383"/>
      <c r="AF109" s="1383"/>
      <c r="AG109" s="1383"/>
      <c r="AH109" s="1383"/>
      <c r="AI109" s="1383"/>
      <c r="AJ109" s="1383"/>
      <c r="AK109" s="1383"/>
      <c r="AL109" s="1383"/>
      <c r="AM109" s="1383"/>
    </row>
    <row r="110" spans="2:47" s="1545" customFormat="1" ht="15.75" x14ac:dyDescent="0.25">
      <c r="B110" s="1372"/>
      <c r="C110" s="1372"/>
      <c r="D110" s="1717"/>
      <c r="E110" s="1420"/>
      <c r="F110" s="1493"/>
      <c r="G110" s="1493"/>
      <c r="H110" s="1493"/>
      <c r="I110" s="1493"/>
      <c r="J110" s="1493"/>
      <c r="K110" s="1493"/>
      <c r="L110" s="1493"/>
      <c r="M110" s="1493"/>
      <c r="N110" s="1493"/>
      <c r="O110" s="1493"/>
      <c r="P110" s="1383"/>
      <c r="Q110" s="1383"/>
      <c r="R110" s="1383"/>
      <c r="S110" s="1383"/>
      <c r="T110" s="1383"/>
      <c r="U110" s="1383"/>
      <c r="V110" s="1383"/>
      <c r="W110" s="1383"/>
      <c r="X110" s="1383"/>
      <c r="Y110" s="1383"/>
      <c r="Z110" s="1383"/>
      <c r="AA110" s="1383"/>
      <c r="AB110" s="1383"/>
      <c r="AC110" s="1383"/>
      <c r="AD110" s="1383"/>
      <c r="AE110" s="1383"/>
      <c r="AF110" s="1383"/>
      <c r="AG110" s="1383"/>
      <c r="AH110" s="1383"/>
      <c r="AI110" s="1383"/>
      <c r="AJ110" s="1383"/>
      <c r="AK110" s="1383"/>
      <c r="AL110" s="1383"/>
      <c r="AM110" s="1383"/>
    </row>
    <row r="111" spans="2:47" s="1545" customFormat="1" ht="15.75" x14ac:dyDescent="0.25">
      <c r="B111" s="1372"/>
      <c r="C111" s="1372"/>
      <c r="D111" s="1717"/>
      <c r="E111" s="1420"/>
      <c r="F111" s="1493"/>
      <c r="G111" s="1493"/>
      <c r="H111" s="1493"/>
      <c r="I111" s="1493"/>
      <c r="J111" s="1493"/>
      <c r="K111" s="1493"/>
      <c r="L111" s="1493"/>
      <c r="M111" s="1493"/>
      <c r="N111" s="1493"/>
      <c r="O111" s="1493"/>
      <c r="P111" s="1383"/>
      <c r="Q111" s="1383"/>
      <c r="R111" s="1383"/>
      <c r="S111" s="1383"/>
      <c r="T111" s="1383"/>
      <c r="U111" s="1383"/>
      <c r="V111" s="1383"/>
      <c r="W111" s="1383"/>
      <c r="X111" s="1383"/>
      <c r="Y111" s="1383"/>
      <c r="Z111" s="1383"/>
      <c r="AA111" s="1383"/>
      <c r="AB111" s="1383"/>
      <c r="AC111" s="1383"/>
      <c r="AD111" s="1383"/>
      <c r="AE111" s="1383"/>
      <c r="AF111" s="1383"/>
      <c r="AG111" s="1383"/>
      <c r="AH111" s="1383"/>
      <c r="AI111" s="1383"/>
      <c r="AJ111" s="1383"/>
      <c r="AK111" s="1383"/>
      <c r="AL111" s="1383"/>
      <c r="AM111" s="1383"/>
    </row>
    <row r="112" spans="2:47" s="1545" customFormat="1" ht="15.75" x14ac:dyDescent="0.25">
      <c r="B112" s="1372"/>
      <c r="C112" s="1372"/>
      <c r="D112" s="1717"/>
      <c r="E112" s="1420"/>
      <c r="F112" s="1493"/>
      <c r="G112" s="1493"/>
      <c r="H112" s="1493"/>
      <c r="I112" s="1493"/>
      <c r="J112" s="1493"/>
      <c r="K112" s="1493"/>
      <c r="L112" s="1493"/>
      <c r="M112" s="1493"/>
      <c r="N112" s="1493"/>
      <c r="O112" s="1493"/>
      <c r="P112" s="1383"/>
      <c r="Q112" s="1383"/>
      <c r="R112" s="1383"/>
      <c r="S112" s="1383"/>
      <c r="T112" s="1383"/>
      <c r="U112" s="1383"/>
      <c r="V112" s="1383"/>
      <c r="W112" s="1383"/>
      <c r="X112" s="1383"/>
      <c r="Y112" s="1383"/>
      <c r="Z112" s="1383"/>
      <c r="AA112" s="1383"/>
      <c r="AB112" s="1383"/>
      <c r="AC112" s="1383"/>
      <c r="AD112" s="1383"/>
      <c r="AE112" s="1383"/>
      <c r="AF112" s="1383"/>
      <c r="AG112" s="1383"/>
      <c r="AH112" s="1383"/>
      <c r="AI112" s="1383"/>
      <c r="AJ112" s="1383"/>
      <c r="AK112" s="1383"/>
      <c r="AL112" s="1383"/>
      <c r="AM112" s="1383"/>
    </row>
    <row r="113" spans="2:39" s="1545" customFormat="1" ht="15.75" x14ac:dyDescent="0.25">
      <c r="B113" s="1372"/>
      <c r="C113" s="1372"/>
      <c r="D113" s="1717"/>
      <c r="E113" s="1420"/>
      <c r="F113" s="1493"/>
      <c r="G113" s="1493"/>
      <c r="H113" s="1493"/>
      <c r="I113" s="1493"/>
      <c r="J113" s="1493"/>
      <c r="K113" s="1493"/>
      <c r="L113" s="1493"/>
      <c r="M113" s="1493"/>
      <c r="N113" s="1493"/>
      <c r="O113" s="1493"/>
      <c r="P113" s="1383"/>
      <c r="Q113" s="1383"/>
      <c r="R113" s="1383"/>
      <c r="S113" s="1383"/>
      <c r="T113" s="1383"/>
      <c r="U113" s="1383"/>
      <c r="V113" s="1383"/>
      <c r="W113" s="1383"/>
      <c r="X113" s="1383"/>
      <c r="Y113" s="1383"/>
      <c r="Z113" s="1383"/>
      <c r="AA113" s="1383"/>
      <c r="AB113" s="1383"/>
      <c r="AC113" s="1383"/>
      <c r="AD113" s="1383"/>
      <c r="AE113" s="1383"/>
      <c r="AF113" s="1383"/>
      <c r="AG113" s="1383"/>
      <c r="AH113" s="1383"/>
      <c r="AI113" s="1383"/>
      <c r="AJ113" s="1383"/>
      <c r="AK113" s="1383"/>
      <c r="AL113" s="1383"/>
      <c r="AM113" s="1383"/>
    </row>
    <row r="114" spans="2:39" s="1545" customFormat="1" ht="15.75" x14ac:dyDescent="0.25">
      <c r="B114" s="1372"/>
      <c r="C114" s="1372"/>
      <c r="D114" s="1717"/>
      <c r="E114" s="1420"/>
      <c r="F114" s="1493"/>
      <c r="G114" s="1493"/>
      <c r="H114" s="1493"/>
      <c r="I114" s="1493"/>
      <c r="J114" s="1493"/>
      <c r="K114" s="1493"/>
      <c r="L114" s="1493"/>
      <c r="M114" s="1493"/>
      <c r="N114" s="1493"/>
      <c r="O114" s="1493"/>
      <c r="P114" s="1383"/>
      <c r="Q114" s="1383"/>
      <c r="R114" s="1383"/>
      <c r="S114" s="1383"/>
      <c r="T114" s="1383"/>
      <c r="U114" s="1383"/>
      <c r="V114" s="1383"/>
      <c r="W114" s="1383"/>
      <c r="X114" s="1383"/>
      <c r="Y114" s="1383"/>
      <c r="Z114" s="1383"/>
      <c r="AA114" s="1383"/>
      <c r="AB114" s="1383"/>
      <c r="AC114" s="1383"/>
      <c r="AD114" s="1383"/>
      <c r="AE114" s="1383"/>
      <c r="AF114" s="1383"/>
      <c r="AG114" s="1383"/>
      <c r="AH114" s="1383"/>
      <c r="AI114" s="1383"/>
      <c r="AJ114" s="1383"/>
      <c r="AK114" s="1383"/>
      <c r="AL114" s="1383"/>
      <c r="AM114" s="1383"/>
    </row>
    <row r="115" spans="2:39" s="1545" customFormat="1" ht="15.75" x14ac:dyDescent="0.25">
      <c r="B115" s="1372"/>
      <c r="C115" s="1372"/>
      <c r="D115" s="1717"/>
      <c r="E115" s="1420"/>
      <c r="F115" s="1493"/>
      <c r="G115" s="1493"/>
      <c r="H115" s="1493"/>
      <c r="I115" s="1493"/>
      <c r="J115" s="1493"/>
      <c r="K115" s="1493"/>
      <c r="L115" s="1493"/>
      <c r="M115" s="1493"/>
      <c r="N115" s="1493"/>
      <c r="O115" s="1493"/>
      <c r="P115" s="1383"/>
      <c r="Q115" s="1383"/>
      <c r="R115" s="1383"/>
      <c r="S115" s="1383"/>
      <c r="T115" s="1383"/>
      <c r="U115" s="1383"/>
      <c r="V115" s="1383"/>
      <c r="W115" s="1383"/>
      <c r="X115" s="1383"/>
      <c r="Y115" s="1383"/>
      <c r="Z115" s="1383"/>
      <c r="AA115" s="1383"/>
      <c r="AB115" s="1383"/>
      <c r="AC115" s="1383"/>
      <c r="AD115" s="1383"/>
      <c r="AE115" s="1383"/>
      <c r="AF115" s="1383"/>
      <c r="AG115" s="1383"/>
      <c r="AH115" s="1383"/>
      <c r="AI115" s="1383"/>
      <c r="AJ115" s="1383"/>
      <c r="AK115" s="1383"/>
      <c r="AL115" s="1383"/>
      <c r="AM115" s="1383"/>
    </row>
    <row r="116" spans="2:39" ht="15.75" x14ac:dyDescent="0.25">
      <c r="B116" s="1372"/>
      <c r="C116" s="1372"/>
      <c r="D116" s="1717"/>
      <c r="E116" s="1420"/>
      <c r="F116" s="1493"/>
      <c r="G116" s="1493"/>
      <c r="H116" s="1493"/>
      <c r="I116" s="1493"/>
      <c r="J116" s="1493"/>
      <c r="K116" s="1493"/>
      <c r="L116" s="1493"/>
      <c r="M116" s="1493"/>
      <c r="N116" s="1493"/>
      <c r="O116" s="1493"/>
      <c r="P116" s="1383"/>
      <c r="Q116" s="1383"/>
      <c r="R116" s="1383"/>
      <c r="S116" s="1383"/>
      <c r="T116" s="1383"/>
      <c r="U116" s="1383"/>
      <c r="V116" s="1383"/>
      <c r="W116" s="1383"/>
      <c r="X116" s="1383"/>
      <c r="Y116" s="1383"/>
      <c r="Z116" s="1383"/>
      <c r="AA116" s="1383"/>
      <c r="AB116" s="1383"/>
      <c r="AC116" s="1383"/>
      <c r="AD116" s="1383"/>
      <c r="AE116" s="1383"/>
      <c r="AF116" s="1383"/>
      <c r="AG116" s="1383"/>
      <c r="AH116" s="1383"/>
      <c r="AI116" s="1383"/>
      <c r="AJ116" s="1383"/>
      <c r="AK116" s="1383"/>
      <c r="AL116" s="1383"/>
      <c r="AM116" s="1383"/>
    </row>
    <row r="117" spans="2:39" ht="15.75" x14ac:dyDescent="0.25">
      <c r="B117" s="1372"/>
      <c r="C117" s="1372"/>
      <c r="D117" s="1717"/>
      <c r="E117" s="1420"/>
      <c r="F117" s="1493"/>
      <c r="G117" s="1493"/>
      <c r="H117" s="1493"/>
      <c r="I117" s="1493"/>
      <c r="J117" s="1493"/>
      <c r="K117" s="1493"/>
      <c r="L117" s="1493"/>
      <c r="M117" s="1493"/>
      <c r="N117" s="1493"/>
      <c r="O117" s="1493"/>
      <c r="P117" s="1383"/>
      <c r="Q117" s="1383"/>
      <c r="R117" s="1383"/>
      <c r="S117" s="1383"/>
      <c r="T117" s="1383"/>
      <c r="U117" s="1383"/>
      <c r="V117" s="1383"/>
      <c r="W117" s="1383"/>
      <c r="X117" s="1383"/>
      <c r="Y117" s="1383"/>
      <c r="Z117" s="1383"/>
      <c r="AA117" s="1383"/>
      <c r="AB117" s="1383"/>
      <c r="AC117" s="1383"/>
      <c r="AD117" s="1383"/>
      <c r="AE117" s="1383"/>
      <c r="AF117" s="1383"/>
      <c r="AG117" s="1383"/>
      <c r="AH117" s="1383"/>
      <c r="AI117" s="1383"/>
      <c r="AJ117" s="1383"/>
      <c r="AK117" s="1383"/>
      <c r="AL117" s="1383"/>
      <c r="AM117" s="1383"/>
    </row>
    <row r="118" spans="2:39" ht="15.75" x14ac:dyDescent="0.25">
      <c r="B118" s="1372"/>
      <c r="C118" s="1372"/>
      <c r="D118" s="1717"/>
      <c r="E118" s="1420"/>
      <c r="F118" s="1493"/>
      <c r="G118" s="1493"/>
      <c r="H118" s="1493"/>
      <c r="I118" s="1493"/>
      <c r="J118" s="1493"/>
      <c r="K118" s="1493"/>
      <c r="L118" s="1493"/>
      <c r="M118" s="1493"/>
      <c r="N118" s="1493"/>
      <c r="O118" s="1493"/>
      <c r="P118" s="1383"/>
      <c r="Q118" s="1383"/>
      <c r="R118" s="1383"/>
      <c r="S118" s="1383"/>
      <c r="T118" s="1383"/>
      <c r="U118" s="1383"/>
      <c r="V118" s="1383"/>
      <c r="W118" s="1383"/>
      <c r="X118" s="1383"/>
      <c r="Y118" s="1383"/>
      <c r="Z118" s="1383"/>
      <c r="AA118" s="1383"/>
      <c r="AB118" s="1383"/>
      <c r="AC118" s="1383"/>
      <c r="AD118" s="1383"/>
      <c r="AE118" s="1383"/>
      <c r="AF118" s="1383"/>
      <c r="AG118" s="1383"/>
      <c r="AH118" s="1383"/>
      <c r="AI118" s="1383"/>
      <c r="AJ118" s="1383"/>
      <c r="AK118" s="1383"/>
      <c r="AL118" s="1383"/>
      <c r="AM118" s="1383"/>
    </row>
    <row r="119" spans="2:39" ht="15.75" x14ac:dyDescent="0.25">
      <c r="B119" s="1372"/>
      <c r="C119" s="1372"/>
      <c r="D119" s="1717"/>
      <c r="E119" s="1420"/>
      <c r="F119" s="1493"/>
      <c r="G119" s="1493"/>
      <c r="H119" s="1493"/>
      <c r="I119" s="1493"/>
      <c r="J119" s="1493"/>
      <c r="K119" s="1493"/>
      <c r="L119" s="1493"/>
      <c r="M119" s="1493"/>
      <c r="N119" s="1493"/>
      <c r="O119" s="1493"/>
      <c r="P119" s="1383"/>
      <c r="Q119" s="1383"/>
      <c r="R119" s="1383"/>
      <c r="S119" s="1383"/>
      <c r="T119" s="1383"/>
      <c r="U119" s="1383"/>
      <c r="V119" s="1383"/>
      <c r="W119" s="1383"/>
      <c r="X119" s="1383"/>
      <c r="Y119" s="1383"/>
      <c r="Z119" s="1383"/>
      <c r="AA119" s="1383"/>
      <c r="AB119" s="1383"/>
      <c r="AC119" s="1383"/>
      <c r="AD119" s="1383"/>
      <c r="AE119" s="1383"/>
      <c r="AF119" s="1383"/>
      <c r="AG119" s="1383"/>
      <c r="AH119" s="1383"/>
      <c r="AI119" s="1383"/>
      <c r="AJ119" s="1383"/>
      <c r="AK119" s="1383"/>
      <c r="AL119" s="1383"/>
      <c r="AM119" s="1383"/>
    </row>
    <row r="120" spans="2:39" s="1605" customFormat="1" ht="15.75" x14ac:dyDescent="0.25">
      <c r="B120" s="1372"/>
      <c r="C120" s="1372"/>
      <c r="D120" s="1717"/>
      <c r="E120" s="1420"/>
      <c r="F120" s="1493"/>
      <c r="G120" s="1493"/>
      <c r="H120" s="1493"/>
      <c r="I120" s="1493"/>
      <c r="J120" s="1493"/>
      <c r="K120" s="1493"/>
      <c r="L120" s="1493"/>
      <c r="M120" s="1493"/>
      <c r="N120" s="1493"/>
      <c r="O120" s="1493"/>
      <c r="P120" s="1383"/>
      <c r="Q120" s="1383"/>
      <c r="R120" s="1383"/>
      <c r="S120" s="1383"/>
      <c r="T120" s="1383"/>
      <c r="U120" s="1383"/>
      <c r="V120" s="1383"/>
      <c r="W120" s="1383"/>
      <c r="X120" s="1383"/>
      <c r="Y120" s="1383"/>
      <c r="Z120" s="1383"/>
      <c r="AA120" s="1383"/>
      <c r="AB120" s="1383"/>
      <c r="AC120" s="1383"/>
      <c r="AD120" s="1383"/>
      <c r="AE120" s="1383"/>
      <c r="AF120" s="1383"/>
      <c r="AG120" s="1383"/>
      <c r="AH120" s="1383"/>
      <c r="AI120" s="1383"/>
      <c r="AJ120" s="1383"/>
      <c r="AK120" s="1383"/>
      <c r="AL120" s="1383"/>
      <c r="AM120" s="1383"/>
    </row>
    <row r="121" spans="2:39" s="1704" customFormat="1" ht="15.75" x14ac:dyDescent="0.25">
      <c r="B121" s="1372"/>
      <c r="C121" s="1372"/>
      <c r="D121" s="1717"/>
      <c r="E121" s="1420"/>
      <c r="F121" s="1493"/>
      <c r="G121" s="1493"/>
      <c r="H121" s="1493"/>
      <c r="I121" s="1493"/>
      <c r="J121" s="1493"/>
      <c r="K121" s="1493"/>
      <c r="L121" s="1493"/>
      <c r="M121" s="1493"/>
      <c r="N121" s="1493"/>
      <c r="O121" s="1493"/>
      <c r="P121" s="1383"/>
      <c r="Q121" s="1383"/>
      <c r="R121" s="1383"/>
      <c r="S121" s="1383"/>
      <c r="T121" s="1383"/>
      <c r="U121" s="1383"/>
      <c r="V121" s="1383"/>
      <c r="W121" s="1383"/>
      <c r="X121" s="1383"/>
      <c r="Y121" s="1383"/>
      <c r="Z121" s="1383"/>
      <c r="AA121" s="1383"/>
      <c r="AB121" s="1383"/>
      <c r="AC121" s="1383"/>
      <c r="AD121" s="1383"/>
      <c r="AE121" s="1383"/>
      <c r="AF121" s="1383"/>
      <c r="AG121" s="1383"/>
      <c r="AH121" s="1383"/>
      <c r="AI121" s="1383"/>
      <c r="AJ121" s="1383"/>
      <c r="AK121" s="1383"/>
      <c r="AL121" s="1383"/>
      <c r="AM121" s="1383"/>
    </row>
    <row r="122" spans="2:39" s="1605" customFormat="1" ht="15.75" x14ac:dyDescent="0.25">
      <c r="B122" s="1372"/>
      <c r="C122" s="1372"/>
      <c r="D122" s="1717"/>
      <c r="E122" s="1420"/>
      <c r="F122" s="1493"/>
      <c r="G122" s="1493"/>
      <c r="H122" s="1493"/>
      <c r="I122" s="1493"/>
      <c r="J122" s="1493"/>
      <c r="K122" s="1493"/>
      <c r="L122" s="1493"/>
      <c r="M122" s="1493"/>
      <c r="N122" s="1493"/>
      <c r="O122" s="1493"/>
      <c r="P122" s="1383"/>
      <c r="Q122" s="1383"/>
      <c r="R122" s="1383"/>
      <c r="S122" s="1383"/>
      <c r="T122" s="1383"/>
      <c r="U122" s="1383"/>
      <c r="V122" s="1383"/>
      <c r="W122" s="1383"/>
      <c r="X122" s="1383"/>
      <c r="Y122" s="1383"/>
      <c r="Z122" s="1383"/>
      <c r="AA122" s="1383"/>
      <c r="AB122" s="1383"/>
      <c r="AC122" s="1383"/>
      <c r="AD122" s="1383"/>
      <c r="AE122" s="1383"/>
      <c r="AF122" s="1383"/>
      <c r="AG122" s="1383"/>
      <c r="AH122" s="1383"/>
      <c r="AI122" s="1383"/>
      <c r="AJ122" s="1383"/>
      <c r="AK122" s="1383"/>
      <c r="AL122" s="1383"/>
      <c r="AM122" s="1383"/>
    </row>
    <row r="123" spans="2:39" s="1605" customFormat="1" ht="15.75" x14ac:dyDescent="0.25">
      <c r="B123" s="1372"/>
      <c r="C123" s="1372"/>
      <c r="D123" s="1717"/>
      <c r="E123" s="1420"/>
      <c r="F123" s="1493"/>
      <c r="G123" s="1493"/>
      <c r="H123" s="1493"/>
      <c r="I123" s="1493"/>
      <c r="J123" s="1493"/>
      <c r="K123" s="1493"/>
      <c r="L123" s="1493"/>
      <c r="M123" s="1493"/>
      <c r="N123" s="1493"/>
      <c r="O123" s="1493"/>
      <c r="P123" s="1383"/>
      <c r="Q123" s="1383"/>
      <c r="R123" s="1383"/>
      <c r="S123" s="1383"/>
      <c r="T123" s="1383"/>
      <c r="U123" s="1383"/>
      <c r="V123" s="1383"/>
      <c r="W123" s="1383"/>
      <c r="X123" s="1383"/>
      <c r="Y123" s="1383"/>
      <c r="Z123" s="1383"/>
      <c r="AA123" s="1383"/>
      <c r="AB123" s="1383"/>
      <c r="AC123" s="1383"/>
      <c r="AD123" s="1383"/>
      <c r="AE123" s="1383"/>
      <c r="AF123" s="1383"/>
      <c r="AG123" s="1383"/>
      <c r="AH123" s="1383"/>
      <c r="AI123" s="1383"/>
      <c r="AJ123" s="1383"/>
      <c r="AK123" s="1383"/>
      <c r="AL123" s="1383"/>
      <c r="AM123" s="1383"/>
    </row>
    <row r="124" spans="2:39" ht="15.75" x14ac:dyDescent="0.25">
      <c r="B124" s="1372"/>
      <c r="C124" s="1372"/>
      <c r="D124" s="1717"/>
      <c r="E124" s="1420"/>
      <c r="F124" s="1493"/>
      <c r="G124" s="1493"/>
      <c r="H124" s="1493"/>
      <c r="I124" s="1493"/>
      <c r="J124" s="1493"/>
      <c r="K124" s="1493"/>
      <c r="L124" s="1493"/>
      <c r="M124" s="1493"/>
      <c r="N124" s="1493"/>
      <c r="O124" s="1493"/>
      <c r="P124" s="1383"/>
      <c r="Q124" s="1383"/>
      <c r="R124" s="1383"/>
      <c r="S124" s="1383"/>
      <c r="T124" s="1383"/>
      <c r="U124" s="1383"/>
      <c r="V124" s="1383"/>
      <c r="W124" s="1383"/>
      <c r="X124" s="1383"/>
      <c r="Y124" s="1383"/>
      <c r="Z124" s="1383"/>
      <c r="AA124" s="1383"/>
      <c r="AB124" s="1383"/>
      <c r="AC124" s="1383"/>
      <c r="AD124" s="1383"/>
      <c r="AE124" s="1383"/>
      <c r="AF124" s="1383"/>
      <c r="AG124" s="1383"/>
      <c r="AH124" s="1383"/>
      <c r="AI124" s="1383"/>
      <c r="AJ124" s="1383"/>
      <c r="AK124" s="1383"/>
      <c r="AL124" s="1383"/>
      <c r="AM124" s="1383"/>
    </row>
    <row r="125" spans="2:39" ht="15.75" customHeight="1" x14ac:dyDescent="0.25">
      <c r="B125" s="1372"/>
      <c r="C125" s="1372"/>
      <c r="D125" s="1717"/>
      <c r="E125" s="1420"/>
      <c r="F125" s="1493"/>
      <c r="G125" s="1493"/>
      <c r="H125" s="1493"/>
      <c r="I125" s="1493"/>
      <c r="J125" s="1493"/>
      <c r="K125" s="1493"/>
      <c r="L125" s="1493"/>
      <c r="M125" s="1493"/>
      <c r="N125" s="1493"/>
      <c r="O125" s="1493"/>
      <c r="P125" s="1383"/>
      <c r="Q125" s="1383"/>
      <c r="R125" s="1383"/>
      <c r="S125" s="1383"/>
      <c r="T125" s="1383"/>
      <c r="U125" s="1383"/>
      <c r="V125" s="1383"/>
      <c r="W125" s="1383"/>
      <c r="X125" s="1383"/>
      <c r="Y125" s="1383"/>
      <c r="Z125" s="1383"/>
      <c r="AA125" s="1383"/>
      <c r="AB125" s="1383"/>
      <c r="AC125" s="1383"/>
      <c r="AD125" s="1383"/>
      <c r="AE125" s="1383"/>
      <c r="AF125" s="1383"/>
      <c r="AG125" s="1383"/>
      <c r="AH125" s="1383"/>
      <c r="AI125" s="1383"/>
      <c r="AJ125" s="1383"/>
      <c r="AK125" s="1383"/>
      <c r="AL125" s="1383"/>
      <c r="AM125" s="1383"/>
    </row>
    <row r="126" spans="2:39" ht="15.75" x14ac:dyDescent="0.25">
      <c r="B126" s="1372"/>
      <c r="C126" s="1372"/>
      <c r="D126" s="1717"/>
      <c r="E126" s="1420"/>
      <c r="F126" s="1493"/>
      <c r="G126" s="1493"/>
      <c r="H126" s="1493"/>
      <c r="I126" s="1493"/>
      <c r="J126" s="1493"/>
      <c r="K126" s="1493"/>
      <c r="L126" s="1493"/>
      <c r="M126" s="1493"/>
      <c r="N126" s="1493"/>
      <c r="O126" s="1493"/>
      <c r="P126" s="1383"/>
      <c r="Q126" s="1383"/>
      <c r="R126" s="1383"/>
      <c r="S126" s="1383"/>
      <c r="T126" s="1383"/>
      <c r="U126" s="1383"/>
      <c r="V126" s="1383"/>
      <c r="W126" s="1383"/>
      <c r="X126" s="1383"/>
      <c r="Y126" s="1383"/>
      <c r="Z126" s="1383"/>
      <c r="AA126" s="1383"/>
      <c r="AB126" s="1383"/>
      <c r="AC126" s="1383"/>
      <c r="AD126" s="1383"/>
      <c r="AE126" s="1383"/>
      <c r="AF126" s="1383"/>
      <c r="AG126" s="1383"/>
      <c r="AH126" s="1383"/>
      <c r="AI126" s="1383"/>
      <c r="AJ126" s="1383"/>
      <c r="AK126" s="1383"/>
      <c r="AL126" s="1383"/>
      <c r="AM126" s="1383"/>
    </row>
    <row r="127" spans="2:39" ht="15.75" x14ac:dyDescent="0.25">
      <c r="B127" s="1372"/>
      <c r="C127" s="1372"/>
      <c r="D127" s="1717"/>
      <c r="E127" s="1420"/>
      <c r="F127" s="1493"/>
      <c r="G127" s="1493"/>
      <c r="H127" s="1493"/>
      <c r="I127" s="1493"/>
      <c r="J127" s="1493"/>
      <c r="K127" s="1493"/>
      <c r="L127" s="1493"/>
      <c r="M127" s="1493"/>
      <c r="N127" s="1493"/>
      <c r="O127" s="1493"/>
      <c r="P127" s="1383"/>
      <c r="Q127" s="1383"/>
      <c r="R127" s="1383"/>
      <c r="S127" s="1383"/>
      <c r="T127" s="1383"/>
      <c r="U127" s="1383"/>
      <c r="V127" s="1383"/>
      <c r="W127" s="1383"/>
      <c r="X127" s="1383"/>
      <c r="Y127" s="1383"/>
      <c r="Z127" s="1383"/>
      <c r="AA127" s="1383"/>
      <c r="AB127" s="1383"/>
      <c r="AC127" s="1383"/>
      <c r="AD127" s="1383"/>
      <c r="AE127" s="1383"/>
      <c r="AF127" s="1383"/>
      <c r="AG127" s="1383"/>
      <c r="AH127" s="1383"/>
      <c r="AI127" s="1383"/>
      <c r="AJ127" s="1383"/>
      <c r="AK127" s="1383"/>
      <c r="AL127" s="1383"/>
      <c r="AM127" s="1383"/>
    </row>
    <row r="128" spans="2:39" ht="15.75" x14ac:dyDescent="0.25">
      <c r="B128" s="1372"/>
      <c r="C128" s="1372"/>
      <c r="D128" s="1717"/>
      <c r="E128" s="1420"/>
      <c r="F128" s="1493"/>
      <c r="G128" s="1493"/>
      <c r="H128" s="1493"/>
      <c r="I128" s="1493"/>
      <c r="J128" s="1493"/>
      <c r="K128" s="1493"/>
      <c r="L128" s="1493"/>
      <c r="M128" s="1493"/>
      <c r="N128" s="1493"/>
      <c r="O128" s="1493"/>
      <c r="P128" s="1383"/>
      <c r="Q128" s="1383"/>
      <c r="R128" s="1383"/>
      <c r="S128" s="1383"/>
      <c r="T128" s="1383"/>
      <c r="U128" s="1383"/>
      <c r="V128" s="1383"/>
      <c r="W128" s="1383"/>
      <c r="X128" s="1383"/>
      <c r="Y128" s="1383"/>
      <c r="Z128" s="1383"/>
      <c r="AA128" s="1383"/>
      <c r="AB128" s="1383"/>
      <c r="AC128" s="1383"/>
      <c r="AD128" s="1383"/>
      <c r="AE128" s="1383"/>
      <c r="AF128" s="1383"/>
      <c r="AG128" s="1383"/>
      <c r="AH128" s="1383"/>
      <c r="AI128" s="1383"/>
      <c r="AJ128" s="1383"/>
      <c r="AK128" s="1383"/>
      <c r="AL128" s="1383"/>
      <c r="AM128" s="1383"/>
    </row>
    <row r="129" spans="2:39" ht="15.75" x14ac:dyDescent="0.25">
      <c r="B129" s="1372"/>
      <c r="C129" s="1372"/>
      <c r="D129" s="1717"/>
      <c r="E129" s="1420"/>
      <c r="F129" s="1493"/>
      <c r="G129" s="1493"/>
      <c r="H129" s="1493"/>
      <c r="I129" s="1493"/>
      <c r="J129" s="1493"/>
      <c r="K129" s="1493"/>
      <c r="L129" s="1493"/>
      <c r="M129" s="1493"/>
      <c r="N129" s="1493"/>
      <c r="O129" s="1493"/>
      <c r="P129" s="1383"/>
      <c r="Q129" s="1383"/>
      <c r="R129" s="1383"/>
      <c r="S129" s="1383"/>
      <c r="T129" s="1383"/>
      <c r="U129" s="1383"/>
      <c r="V129" s="1383"/>
      <c r="W129" s="1383"/>
      <c r="X129" s="1383"/>
      <c r="Y129" s="1383"/>
      <c r="Z129" s="1383"/>
      <c r="AA129" s="1383"/>
      <c r="AB129" s="1383"/>
      <c r="AC129" s="1383"/>
      <c r="AD129" s="1383"/>
      <c r="AE129" s="1383"/>
      <c r="AF129" s="1383"/>
      <c r="AG129" s="1383"/>
      <c r="AH129" s="1383"/>
      <c r="AI129" s="1383"/>
      <c r="AJ129" s="1383"/>
      <c r="AK129" s="1383"/>
      <c r="AL129" s="1383"/>
      <c r="AM129" s="1383"/>
    </row>
    <row r="130" spans="2:39" ht="15.75" x14ac:dyDescent="0.25">
      <c r="B130" s="1372"/>
      <c r="C130" s="1372"/>
      <c r="D130" s="1717"/>
      <c r="E130" s="1420"/>
      <c r="F130" s="1493"/>
      <c r="G130" s="1493"/>
      <c r="H130" s="1493"/>
      <c r="I130" s="1493"/>
      <c r="J130" s="1493"/>
      <c r="K130" s="1493"/>
      <c r="L130" s="1493"/>
      <c r="M130" s="1493"/>
      <c r="N130" s="1493"/>
      <c r="O130" s="1493"/>
      <c r="P130" s="1383"/>
      <c r="Q130" s="1383"/>
      <c r="R130" s="1383"/>
      <c r="S130" s="1383"/>
      <c r="T130" s="1383"/>
      <c r="U130" s="1383"/>
      <c r="V130" s="1383"/>
      <c r="W130" s="1383"/>
      <c r="X130" s="1383"/>
      <c r="Y130" s="1383"/>
      <c r="Z130" s="1383"/>
      <c r="AA130" s="1383"/>
      <c r="AB130" s="1383"/>
      <c r="AC130" s="1383"/>
      <c r="AD130" s="1383"/>
      <c r="AE130" s="1383"/>
      <c r="AF130" s="1383"/>
      <c r="AG130" s="1383"/>
      <c r="AH130" s="1383"/>
      <c r="AI130" s="1383"/>
      <c r="AJ130" s="1383"/>
      <c r="AK130" s="1383"/>
      <c r="AL130" s="1383"/>
      <c r="AM130" s="1383"/>
    </row>
    <row r="131" spans="2:39" ht="15.75" x14ac:dyDescent="0.25">
      <c r="B131" s="1372"/>
      <c r="C131" s="1372"/>
      <c r="D131" s="1717"/>
      <c r="E131" s="1420"/>
      <c r="F131" s="1493"/>
      <c r="G131" s="1493"/>
      <c r="H131" s="1493"/>
      <c r="I131" s="1493"/>
      <c r="J131" s="1493"/>
      <c r="K131" s="1493"/>
      <c r="L131" s="1493"/>
      <c r="M131" s="1493"/>
      <c r="N131" s="1493"/>
      <c r="O131" s="1493"/>
      <c r="P131" s="1383"/>
      <c r="Q131" s="1383"/>
      <c r="R131" s="1383"/>
      <c r="S131" s="1383"/>
      <c r="T131" s="1383"/>
      <c r="U131" s="1383"/>
      <c r="V131" s="1383"/>
      <c r="W131" s="1383"/>
      <c r="X131" s="1383"/>
      <c r="Y131" s="1383"/>
      <c r="Z131" s="1383"/>
      <c r="AA131" s="1383"/>
      <c r="AB131" s="1383"/>
      <c r="AC131" s="1383"/>
      <c r="AD131" s="1383"/>
      <c r="AE131" s="1383"/>
      <c r="AF131" s="1383"/>
      <c r="AG131" s="1383"/>
      <c r="AH131" s="1383"/>
      <c r="AI131" s="1383"/>
      <c r="AJ131" s="1383"/>
      <c r="AK131" s="1383"/>
      <c r="AL131" s="1383"/>
      <c r="AM131" s="1383"/>
    </row>
    <row r="132" spans="2:39" ht="15.75" x14ac:dyDescent="0.25">
      <c r="B132" s="1372"/>
      <c r="C132" s="1372"/>
      <c r="D132" s="1717"/>
      <c r="E132" s="1420"/>
      <c r="F132" s="1493"/>
      <c r="G132" s="1493"/>
      <c r="H132" s="1493"/>
      <c r="I132" s="1493"/>
      <c r="J132" s="1493"/>
      <c r="K132" s="1493"/>
      <c r="L132" s="1493"/>
      <c r="M132" s="1493"/>
      <c r="N132" s="1493"/>
      <c r="O132" s="1493"/>
      <c r="P132" s="1383"/>
      <c r="Q132" s="1383"/>
      <c r="R132" s="1383"/>
      <c r="S132" s="1383"/>
      <c r="T132" s="1383"/>
      <c r="U132" s="1383"/>
      <c r="V132" s="1383"/>
      <c r="W132" s="1383"/>
      <c r="X132" s="1383"/>
      <c r="Y132" s="1383"/>
      <c r="Z132" s="1383"/>
      <c r="AA132" s="1383"/>
      <c r="AB132" s="1383"/>
      <c r="AC132" s="1383"/>
      <c r="AD132" s="1383"/>
      <c r="AE132" s="1383"/>
      <c r="AF132" s="1383"/>
      <c r="AG132" s="1383"/>
      <c r="AH132" s="1383"/>
      <c r="AI132" s="1383"/>
      <c r="AJ132" s="1383"/>
      <c r="AK132" s="1383"/>
      <c r="AL132" s="1383"/>
      <c r="AM132" s="1383"/>
    </row>
    <row r="133" spans="2:39" ht="16.5" customHeight="1" x14ac:dyDescent="0.25">
      <c r="B133" s="1372"/>
      <c r="C133" s="1372"/>
      <c r="D133" s="1717"/>
      <c r="E133" s="1420"/>
      <c r="F133" s="1493"/>
      <c r="G133" s="1493"/>
      <c r="H133" s="1493"/>
      <c r="I133" s="1493"/>
      <c r="J133" s="1493"/>
      <c r="K133" s="1493"/>
      <c r="L133" s="1493"/>
      <c r="M133" s="1493"/>
      <c r="N133" s="1493"/>
      <c r="O133" s="1493"/>
      <c r="P133" s="1383"/>
      <c r="Q133" s="1383"/>
      <c r="R133" s="1383"/>
      <c r="S133" s="1383"/>
      <c r="T133" s="1383"/>
      <c r="U133" s="1383"/>
      <c r="V133" s="1383"/>
      <c r="W133" s="1383"/>
      <c r="X133" s="1383"/>
      <c r="Y133" s="1383"/>
      <c r="Z133" s="1383"/>
      <c r="AA133" s="1383"/>
      <c r="AB133" s="1383"/>
      <c r="AC133" s="1383"/>
      <c r="AD133" s="1383"/>
      <c r="AE133" s="1383"/>
      <c r="AF133" s="1383"/>
      <c r="AG133" s="1383"/>
      <c r="AH133" s="1383"/>
      <c r="AI133" s="1383"/>
      <c r="AJ133" s="1383"/>
      <c r="AK133" s="1383"/>
      <c r="AL133" s="1383"/>
      <c r="AM133" s="1383"/>
    </row>
    <row r="134" spans="2:39" ht="15.75" x14ac:dyDescent="0.25">
      <c r="B134" s="1372"/>
      <c r="C134" s="1372"/>
      <c r="D134" s="1717"/>
      <c r="E134" s="1420"/>
      <c r="F134" s="1493"/>
      <c r="G134" s="1493"/>
      <c r="H134" s="1493"/>
      <c r="I134" s="1493"/>
      <c r="J134" s="1493"/>
      <c r="K134" s="1493"/>
      <c r="L134" s="1493"/>
      <c r="M134" s="1493"/>
      <c r="N134" s="1493"/>
      <c r="O134" s="1493"/>
      <c r="P134" s="1383"/>
      <c r="Q134" s="1383"/>
      <c r="R134" s="1383"/>
      <c r="S134" s="1383"/>
      <c r="T134" s="1383"/>
      <c r="U134" s="1383"/>
      <c r="V134" s="1383"/>
      <c r="W134" s="1383"/>
      <c r="X134" s="1383"/>
      <c r="Y134" s="1383"/>
      <c r="Z134" s="1383"/>
      <c r="AA134" s="1383"/>
      <c r="AB134" s="1383"/>
      <c r="AC134" s="1383"/>
      <c r="AD134" s="1383"/>
      <c r="AE134" s="1383"/>
      <c r="AF134" s="1383"/>
      <c r="AG134" s="1383"/>
      <c r="AH134" s="1383"/>
      <c r="AI134" s="1383"/>
      <c r="AJ134" s="1383"/>
      <c r="AK134" s="1383"/>
      <c r="AL134" s="1383"/>
      <c r="AM134" s="1383"/>
    </row>
    <row r="135" spans="2:39" ht="15.75" customHeight="1" x14ac:dyDescent="0.25">
      <c r="B135" s="1372"/>
      <c r="C135" s="1372"/>
      <c r="D135" s="1717"/>
      <c r="E135" s="1420"/>
      <c r="F135" s="1493"/>
      <c r="G135" s="1493"/>
      <c r="H135" s="1493"/>
      <c r="I135" s="1493"/>
      <c r="J135" s="1493"/>
      <c r="K135" s="1493"/>
      <c r="L135" s="1493"/>
      <c r="M135" s="1493"/>
      <c r="N135" s="1493"/>
      <c r="O135" s="1493"/>
      <c r="P135" s="1383"/>
      <c r="Q135" s="1383"/>
      <c r="R135" s="1383"/>
      <c r="S135" s="1383"/>
      <c r="T135" s="1383"/>
      <c r="U135" s="1383"/>
      <c r="V135" s="1383"/>
      <c r="W135" s="1383"/>
      <c r="X135" s="1383"/>
      <c r="Y135" s="1383"/>
      <c r="Z135" s="1383"/>
      <c r="AA135" s="1383"/>
      <c r="AB135" s="1383"/>
      <c r="AC135" s="1383"/>
      <c r="AD135" s="1383"/>
      <c r="AE135" s="1383"/>
      <c r="AF135" s="1383"/>
      <c r="AG135" s="1383"/>
      <c r="AH135" s="1383"/>
      <c r="AI135" s="1383"/>
      <c r="AJ135" s="1383"/>
      <c r="AK135" s="1383"/>
      <c r="AL135" s="1383"/>
      <c r="AM135" s="1383"/>
    </row>
    <row r="136" spans="2:39" ht="15.75" x14ac:dyDescent="0.25">
      <c r="B136" s="1372"/>
      <c r="C136" s="1372"/>
      <c r="D136" s="1717"/>
      <c r="E136" s="1420"/>
      <c r="F136" s="1493"/>
      <c r="G136" s="1493"/>
      <c r="H136" s="1493"/>
      <c r="I136" s="1493"/>
      <c r="J136" s="1493"/>
      <c r="K136" s="1493"/>
      <c r="L136" s="1493"/>
      <c r="M136" s="1493"/>
      <c r="N136" s="1493"/>
      <c r="O136" s="1493"/>
      <c r="P136" s="1383"/>
      <c r="Q136" s="1383"/>
      <c r="R136" s="1383"/>
      <c r="S136" s="1383"/>
      <c r="T136" s="1383"/>
      <c r="U136" s="1383"/>
      <c r="V136" s="1383"/>
      <c r="W136" s="1383"/>
      <c r="X136" s="1383"/>
      <c r="Y136" s="1383"/>
      <c r="Z136" s="1383"/>
      <c r="AA136" s="1383"/>
      <c r="AB136" s="1383"/>
      <c r="AC136" s="1383"/>
      <c r="AD136" s="1383"/>
      <c r="AE136" s="1383"/>
      <c r="AF136" s="1383"/>
      <c r="AG136" s="1383"/>
      <c r="AH136" s="1383"/>
      <c r="AI136" s="1383"/>
      <c r="AJ136" s="1383"/>
      <c r="AK136" s="1383"/>
      <c r="AL136" s="1383"/>
      <c r="AM136" s="1383"/>
    </row>
    <row r="137" spans="2:39" ht="15.75" x14ac:dyDescent="0.25">
      <c r="B137" s="1372"/>
      <c r="C137" s="1372"/>
      <c r="D137" s="1717"/>
      <c r="E137" s="1420"/>
      <c r="F137" s="1493"/>
      <c r="G137" s="1493"/>
      <c r="H137" s="1493"/>
      <c r="I137" s="1493"/>
      <c r="J137" s="1493"/>
      <c r="K137" s="1493"/>
      <c r="L137" s="1493"/>
      <c r="M137" s="1493"/>
      <c r="N137" s="1493"/>
      <c r="O137" s="1493"/>
      <c r="P137" s="1383"/>
      <c r="Q137" s="1383"/>
      <c r="R137" s="1383"/>
      <c r="S137" s="1383"/>
      <c r="T137" s="1383"/>
      <c r="U137" s="1383"/>
      <c r="V137" s="1383"/>
      <c r="W137" s="1383"/>
      <c r="X137" s="1383"/>
      <c r="Y137" s="1383"/>
      <c r="Z137" s="1383"/>
      <c r="AA137" s="1383"/>
      <c r="AB137" s="1383"/>
      <c r="AC137" s="1383"/>
      <c r="AD137" s="1383"/>
      <c r="AE137" s="1383"/>
      <c r="AF137" s="1383"/>
      <c r="AG137" s="1383"/>
      <c r="AH137" s="1383"/>
      <c r="AI137" s="1383"/>
      <c r="AJ137" s="1383"/>
      <c r="AK137" s="1383"/>
      <c r="AL137" s="1383"/>
      <c r="AM137" s="1383"/>
    </row>
    <row r="138" spans="2:39" ht="15.75" x14ac:dyDescent="0.25">
      <c r="B138" s="1372"/>
      <c r="C138" s="1372"/>
      <c r="D138" s="1717"/>
      <c r="E138" s="1420"/>
      <c r="F138" s="1493"/>
      <c r="G138" s="1493"/>
      <c r="H138" s="1493"/>
      <c r="I138" s="1493"/>
      <c r="J138" s="1493"/>
      <c r="K138" s="1493"/>
      <c r="L138" s="1493"/>
      <c r="M138" s="1493"/>
      <c r="N138" s="1493"/>
      <c r="O138" s="1493"/>
      <c r="P138" s="1383"/>
      <c r="Q138" s="1383"/>
      <c r="R138" s="1383"/>
      <c r="S138" s="1383"/>
      <c r="T138" s="1383"/>
      <c r="U138" s="1383"/>
      <c r="V138" s="1383"/>
      <c r="W138" s="1383"/>
      <c r="X138" s="1383"/>
      <c r="Y138" s="1383"/>
      <c r="Z138" s="1383"/>
      <c r="AA138" s="1383"/>
      <c r="AB138" s="1383"/>
      <c r="AC138" s="1383"/>
      <c r="AD138" s="1383"/>
      <c r="AE138" s="1383"/>
      <c r="AF138" s="1383"/>
      <c r="AG138" s="1383"/>
      <c r="AH138" s="1383"/>
      <c r="AI138" s="1383"/>
      <c r="AJ138" s="1383"/>
      <c r="AK138" s="1383"/>
      <c r="AL138" s="1383"/>
      <c r="AM138" s="1383"/>
    </row>
    <row r="139" spans="2:39" ht="15.75" x14ac:dyDescent="0.25">
      <c r="B139" s="1372"/>
      <c r="C139" s="1372"/>
      <c r="D139" s="1717"/>
      <c r="E139" s="1420"/>
      <c r="F139" s="1493"/>
      <c r="G139" s="1493"/>
      <c r="H139" s="1493"/>
      <c r="I139" s="1493"/>
      <c r="J139" s="1493"/>
      <c r="K139" s="1493"/>
      <c r="L139" s="1493"/>
      <c r="M139" s="1493"/>
      <c r="N139" s="1493"/>
      <c r="O139" s="1493"/>
      <c r="P139" s="1383"/>
      <c r="Q139" s="1383"/>
      <c r="R139" s="1383"/>
      <c r="S139" s="1383"/>
      <c r="T139" s="1383"/>
      <c r="U139" s="1383"/>
      <c r="V139" s="1383"/>
      <c r="W139" s="1383"/>
      <c r="X139" s="1383"/>
      <c r="Y139" s="1383"/>
      <c r="Z139" s="1383"/>
      <c r="AA139" s="1383"/>
      <c r="AB139" s="1383"/>
      <c r="AC139" s="1383"/>
      <c r="AD139" s="1383"/>
      <c r="AE139" s="1383"/>
      <c r="AF139" s="1383"/>
      <c r="AG139" s="1383"/>
      <c r="AH139" s="1383"/>
      <c r="AI139" s="1383"/>
      <c r="AJ139" s="1383"/>
      <c r="AK139" s="1383"/>
      <c r="AL139" s="1383"/>
      <c r="AM139" s="1383"/>
    </row>
    <row r="140" spans="2:39" ht="15.75" x14ac:dyDescent="0.25">
      <c r="B140" s="1372"/>
      <c r="C140" s="1372"/>
      <c r="D140" s="1717"/>
      <c r="E140" s="1420"/>
      <c r="F140" s="1493"/>
      <c r="G140" s="1493"/>
      <c r="H140" s="1493"/>
      <c r="I140" s="1493"/>
      <c r="J140" s="1493"/>
      <c r="K140" s="1493"/>
      <c r="L140" s="1493"/>
      <c r="M140" s="1493"/>
      <c r="N140" s="1493"/>
      <c r="O140" s="1493"/>
      <c r="P140" s="1383"/>
      <c r="Q140" s="1383"/>
      <c r="R140" s="1383"/>
      <c r="S140" s="1383"/>
      <c r="T140" s="1383"/>
      <c r="U140" s="1383"/>
      <c r="V140" s="1383"/>
      <c r="W140" s="1383"/>
      <c r="X140" s="1383"/>
      <c r="Y140" s="1383"/>
      <c r="Z140" s="1383"/>
      <c r="AA140" s="1383"/>
      <c r="AB140" s="1383"/>
      <c r="AC140" s="1383"/>
      <c r="AD140" s="1383"/>
      <c r="AE140" s="1383"/>
      <c r="AF140" s="1383"/>
      <c r="AG140" s="1383"/>
      <c r="AH140" s="1383"/>
      <c r="AI140" s="1383"/>
      <c r="AJ140" s="1383"/>
      <c r="AK140" s="1383"/>
      <c r="AL140" s="1383"/>
      <c r="AM140" s="1383"/>
    </row>
    <row r="141" spans="2:39" ht="15.75" x14ac:dyDescent="0.25">
      <c r="B141" s="1372"/>
      <c r="C141" s="1372"/>
      <c r="D141" s="1717"/>
      <c r="E141" s="1420"/>
      <c r="F141" s="1493"/>
      <c r="G141" s="1493"/>
      <c r="H141" s="1493"/>
      <c r="I141" s="1493"/>
      <c r="J141" s="1493"/>
      <c r="K141" s="1493"/>
      <c r="L141" s="1493"/>
      <c r="M141" s="1493"/>
      <c r="N141" s="1493"/>
      <c r="O141" s="1493"/>
      <c r="P141" s="1383"/>
      <c r="Q141" s="1383"/>
      <c r="R141" s="1383"/>
      <c r="S141" s="1383"/>
      <c r="T141" s="1383"/>
      <c r="U141" s="1383"/>
      <c r="V141" s="1383"/>
      <c r="W141" s="1383"/>
      <c r="X141" s="1383"/>
      <c r="Y141" s="1383"/>
      <c r="Z141" s="1383"/>
      <c r="AA141" s="1383"/>
      <c r="AB141" s="1383"/>
      <c r="AC141" s="1383"/>
      <c r="AD141" s="1383"/>
      <c r="AE141" s="1383"/>
      <c r="AF141" s="1383"/>
      <c r="AG141" s="1383"/>
      <c r="AH141" s="1383"/>
      <c r="AI141" s="1383"/>
      <c r="AJ141" s="1383"/>
      <c r="AK141" s="1383"/>
      <c r="AL141" s="1383"/>
      <c r="AM141" s="1383"/>
    </row>
    <row r="142" spans="2:39" ht="15.75" x14ac:dyDescent="0.25">
      <c r="B142" s="1372"/>
      <c r="C142" s="1372"/>
      <c r="D142" s="1717"/>
      <c r="E142" s="1420"/>
      <c r="F142" s="1493"/>
      <c r="G142" s="1493"/>
      <c r="H142" s="1493"/>
      <c r="I142" s="1493"/>
      <c r="J142" s="1493"/>
      <c r="K142" s="1493"/>
      <c r="L142" s="1493"/>
      <c r="M142" s="1493"/>
      <c r="N142" s="1493"/>
      <c r="O142" s="1493"/>
      <c r="P142" s="1383"/>
      <c r="Q142" s="1383"/>
      <c r="R142" s="1383"/>
      <c r="S142" s="1383"/>
      <c r="T142" s="1383"/>
      <c r="U142" s="1383"/>
      <c r="V142" s="1383"/>
      <c r="W142" s="1383"/>
      <c r="X142" s="1383"/>
      <c r="Y142" s="1383"/>
      <c r="Z142" s="1383"/>
      <c r="AA142" s="1383"/>
      <c r="AB142" s="1383"/>
      <c r="AC142" s="1383"/>
      <c r="AD142" s="1383"/>
      <c r="AE142" s="1383"/>
      <c r="AF142" s="1383"/>
      <c r="AG142" s="1383"/>
      <c r="AH142" s="1383"/>
      <c r="AI142" s="1383"/>
      <c r="AJ142" s="1383"/>
      <c r="AK142" s="1383"/>
      <c r="AL142" s="1383"/>
      <c r="AM142" s="1383"/>
    </row>
    <row r="143" spans="2:39" ht="16.5" customHeight="1" x14ac:dyDescent="0.25">
      <c r="B143" s="1372"/>
      <c r="C143" s="1372"/>
      <c r="D143" s="1717"/>
      <c r="E143" s="1420"/>
      <c r="F143" s="1493"/>
      <c r="G143" s="1493"/>
      <c r="H143" s="1493"/>
      <c r="I143" s="1493"/>
      <c r="J143" s="1493"/>
      <c r="K143" s="1493"/>
      <c r="L143" s="1493"/>
      <c r="M143" s="1493"/>
      <c r="N143" s="1493"/>
      <c r="O143" s="1493"/>
      <c r="P143" s="1383"/>
      <c r="Q143" s="1383"/>
      <c r="R143" s="1383"/>
      <c r="S143" s="1383"/>
      <c r="T143" s="1383"/>
      <c r="U143" s="1383"/>
      <c r="V143" s="1383"/>
      <c r="W143" s="1383"/>
      <c r="X143" s="1383"/>
      <c r="Y143" s="1383"/>
      <c r="Z143" s="1383"/>
      <c r="AA143" s="1383"/>
      <c r="AB143" s="1383"/>
      <c r="AC143" s="1383"/>
      <c r="AD143" s="1383"/>
      <c r="AE143" s="1383"/>
      <c r="AF143" s="1383"/>
      <c r="AG143" s="1383"/>
      <c r="AH143" s="1383"/>
      <c r="AI143" s="1383"/>
      <c r="AJ143" s="1383"/>
      <c r="AK143" s="1383"/>
      <c r="AL143" s="1383"/>
      <c r="AM143" s="1383"/>
    </row>
    <row r="144" spans="2:39" ht="15.75" x14ac:dyDescent="0.25">
      <c r="B144" s="1372"/>
      <c r="C144" s="1372"/>
      <c r="D144" s="1717"/>
      <c r="E144" s="1420"/>
      <c r="F144" s="1493"/>
      <c r="G144" s="1493"/>
      <c r="H144" s="1493"/>
      <c r="I144" s="1493"/>
      <c r="J144" s="1493"/>
      <c r="K144" s="1493"/>
      <c r="L144" s="1493"/>
      <c r="M144" s="1493"/>
      <c r="N144" s="1493"/>
      <c r="O144" s="1493"/>
      <c r="P144" s="1383"/>
      <c r="Q144" s="1383"/>
      <c r="R144" s="1383"/>
      <c r="S144" s="1383"/>
      <c r="T144" s="1383"/>
      <c r="U144" s="1383"/>
      <c r="V144" s="1383"/>
      <c r="W144" s="1383"/>
      <c r="X144" s="1383"/>
      <c r="Y144" s="1383"/>
      <c r="Z144" s="1383"/>
      <c r="AA144" s="1383"/>
      <c r="AB144" s="1383"/>
      <c r="AC144" s="1383"/>
      <c r="AD144" s="1383"/>
      <c r="AE144" s="1383"/>
      <c r="AF144" s="1383"/>
      <c r="AG144" s="1383"/>
      <c r="AH144" s="1383"/>
      <c r="AI144" s="1383"/>
      <c r="AJ144" s="1383"/>
      <c r="AK144" s="1383"/>
      <c r="AL144" s="1383"/>
      <c r="AM144" s="1383"/>
    </row>
    <row r="145" spans="2:39" ht="15.75" customHeight="1" x14ac:dyDescent="0.25">
      <c r="B145" s="1372"/>
      <c r="C145" s="1372"/>
      <c r="D145" s="1717"/>
      <c r="E145" s="1420"/>
      <c r="F145" s="1493"/>
      <c r="G145" s="1493"/>
      <c r="H145" s="1493"/>
      <c r="I145" s="1493"/>
      <c r="J145" s="1493"/>
      <c r="K145" s="1493"/>
      <c r="L145" s="1493"/>
      <c r="M145" s="1493"/>
      <c r="N145" s="1493"/>
      <c r="O145" s="1493"/>
      <c r="P145" s="1383"/>
      <c r="Q145" s="1383"/>
      <c r="R145" s="1383"/>
      <c r="S145" s="1383"/>
      <c r="T145" s="1383"/>
      <c r="U145" s="1383"/>
      <c r="V145" s="1383"/>
      <c r="W145" s="1383"/>
      <c r="X145" s="1383"/>
      <c r="Y145" s="1383"/>
      <c r="Z145" s="1383"/>
      <c r="AA145" s="1383"/>
      <c r="AB145" s="1383"/>
      <c r="AC145" s="1383"/>
      <c r="AD145" s="1383"/>
      <c r="AE145" s="1383"/>
      <c r="AF145" s="1383"/>
      <c r="AG145" s="1383"/>
      <c r="AH145" s="1383"/>
      <c r="AI145" s="1383"/>
      <c r="AJ145" s="1383"/>
      <c r="AK145" s="1383"/>
      <c r="AL145" s="1383"/>
      <c r="AM145" s="1383"/>
    </row>
    <row r="146" spans="2:39" ht="15.75" x14ac:dyDescent="0.25">
      <c r="B146" s="1372"/>
      <c r="C146" s="1372"/>
      <c r="D146" s="1717"/>
      <c r="E146" s="1420"/>
      <c r="F146" s="1493"/>
      <c r="G146" s="1493"/>
      <c r="H146" s="1493"/>
      <c r="I146" s="1493"/>
      <c r="J146" s="1493"/>
      <c r="K146" s="1493"/>
      <c r="L146" s="1493"/>
      <c r="M146" s="1493"/>
      <c r="N146" s="1493"/>
      <c r="O146" s="1493"/>
      <c r="P146" s="1383"/>
      <c r="Q146" s="1383"/>
      <c r="R146" s="1383"/>
      <c r="S146" s="1383"/>
      <c r="T146" s="1383"/>
      <c r="U146" s="1383"/>
      <c r="V146" s="1383"/>
      <c r="W146" s="1383"/>
      <c r="X146" s="1383"/>
      <c r="Y146" s="1383"/>
      <c r="Z146" s="1383"/>
      <c r="AA146" s="1383"/>
      <c r="AB146" s="1383"/>
      <c r="AC146" s="1383"/>
      <c r="AD146" s="1383"/>
      <c r="AE146" s="1383"/>
      <c r="AF146" s="1383"/>
      <c r="AG146" s="1383"/>
      <c r="AH146" s="1383"/>
      <c r="AI146" s="1383"/>
      <c r="AJ146" s="1383"/>
      <c r="AK146" s="1383"/>
      <c r="AL146" s="1383"/>
      <c r="AM146" s="1383"/>
    </row>
    <row r="147" spans="2:39" ht="15.75" x14ac:dyDescent="0.25">
      <c r="B147" s="1372"/>
      <c r="C147" s="1372"/>
      <c r="D147" s="1717"/>
      <c r="E147" s="1420"/>
      <c r="F147" s="1493"/>
      <c r="G147" s="1493"/>
      <c r="H147" s="1493"/>
      <c r="I147" s="1493"/>
      <c r="J147" s="1493"/>
      <c r="K147" s="1493"/>
      <c r="L147" s="1493"/>
      <c r="M147" s="1493"/>
      <c r="N147" s="1493"/>
      <c r="O147" s="1493"/>
      <c r="P147" s="1383"/>
      <c r="Q147" s="1383"/>
      <c r="R147" s="1383"/>
      <c r="S147" s="1383"/>
      <c r="T147" s="1383"/>
      <c r="U147" s="1383"/>
      <c r="V147" s="1383"/>
      <c r="W147" s="1383"/>
      <c r="X147" s="1383"/>
      <c r="Y147" s="1383"/>
      <c r="Z147" s="1383"/>
      <c r="AA147" s="1383"/>
      <c r="AB147" s="1383"/>
      <c r="AC147" s="1383"/>
      <c r="AD147" s="1383"/>
      <c r="AE147" s="1383"/>
      <c r="AF147" s="1383"/>
      <c r="AG147" s="1383"/>
      <c r="AH147" s="1383"/>
      <c r="AI147" s="1383"/>
      <c r="AJ147" s="1383"/>
      <c r="AK147" s="1383"/>
      <c r="AL147" s="1383"/>
      <c r="AM147" s="1383"/>
    </row>
    <row r="148" spans="2:39" ht="15.75" x14ac:dyDescent="0.25">
      <c r="B148" s="1372"/>
      <c r="C148" s="1372"/>
      <c r="D148" s="1717"/>
      <c r="E148" s="1420"/>
      <c r="F148" s="1493"/>
      <c r="G148" s="1493"/>
      <c r="H148" s="1493"/>
      <c r="I148" s="1493"/>
      <c r="J148" s="1493"/>
      <c r="K148" s="1493"/>
      <c r="L148" s="1493"/>
      <c r="M148" s="1493"/>
      <c r="N148" s="1493"/>
      <c r="O148" s="1493"/>
      <c r="P148" s="1383"/>
      <c r="Q148" s="1383"/>
      <c r="R148" s="1383"/>
      <c r="S148" s="1383"/>
      <c r="T148" s="1383"/>
      <c r="U148" s="1383"/>
      <c r="V148" s="1383"/>
      <c r="W148" s="1383"/>
      <c r="X148" s="1383"/>
      <c r="Y148" s="1383"/>
      <c r="Z148" s="1383"/>
      <c r="AA148" s="1383"/>
      <c r="AB148" s="1383"/>
      <c r="AC148" s="1383"/>
      <c r="AD148" s="1383"/>
      <c r="AE148" s="1383"/>
      <c r="AF148" s="1383"/>
      <c r="AG148" s="1383"/>
      <c r="AH148" s="1383"/>
      <c r="AI148" s="1383"/>
      <c r="AJ148" s="1383"/>
      <c r="AK148" s="1383"/>
      <c r="AL148" s="1383"/>
      <c r="AM148" s="1383"/>
    </row>
    <row r="149" spans="2:39" ht="15.75" x14ac:dyDescent="0.25">
      <c r="B149" s="1372"/>
      <c r="C149" s="1372"/>
      <c r="D149" s="1717"/>
      <c r="E149" s="1420"/>
      <c r="F149" s="1493"/>
      <c r="G149" s="1493"/>
      <c r="H149" s="1493"/>
      <c r="I149" s="1493"/>
      <c r="J149" s="1493"/>
      <c r="K149" s="1493"/>
      <c r="L149" s="1493"/>
      <c r="M149" s="1493"/>
      <c r="N149" s="1493"/>
      <c r="O149" s="1493"/>
      <c r="P149" s="1383"/>
      <c r="Q149" s="1383"/>
      <c r="R149" s="1383"/>
      <c r="S149" s="1383"/>
      <c r="T149" s="1383"/>
      <c r="U149" s="1383"/>
      <c r="V149" s="1383"/>
      <c r="W149" s="1383"/>
      <c r="X149" s="1383"/>
      <c r="Y149" s="1383"/>
      <c r="Z149" s="1383"/>
      <c r="AA149" s="1383"/>
      <c r="AB149" s="1383"/>
      <c r="AC149" s="1383"/>
      <c r="AD149" s="1383"/>
      <c r="AE149" s="1383"/>
      <c r="AF149" s="1383"/>
      <c r="AG149" s="1383"/>
      <c r="AH149" s="1383"/>
      <c r="AI149" s="1383"/>
      <c r="AJ149" s="1383"/>
      <c r="AK149" s="1383"/>
      <c r="AL149" s="1383"/>
      <c r="AM149" s="1383"/>
    </row>
    <row r="150" spans="2:39" ht="15.75" x14ac:dyDescent="0.25">
      <c r="B150" s="1372"/>
      <c r="C150" s="1372"/>
      <c r="D150" s="1717"/>
      <c r="E150" s="1420"/>
      <c r="F150" s="1493"/>
      <c r="G150" s="1493"/>
      <c r="H150" s="1493"/>
      <c r="I150" s="1493"/>
      <c r="J150" s="1493"/>
      <c r="K150" s="1493"/>
      <c r="L150" s="1493"/>
      <c r="M150" s="1493"/>
      <c r="N150" s="1493"/>
      <c r="O150" s="1493"/>
      <c r="P150" s="1383"/>
      <c r="Q150" s="1383"/>
      <c r="R150" s="1383"/>
      <c r="S150" s="1383"/>
      <c r="T150" s="1383"/>
      <c r="U150" s="1383"/>
      <c r="V150" s="1383"/>
      <c r="W150" s="1383"/>
      <c r="X150" s="1383"/>
      <c r="Y150" s="1383"/>
      <c r="Z150" s="1383"/>
      <c r="AA150" s="1383"/>
      <c r="AB150" s="1383"/>
      <c r="AC150" s="1383"/>
      <c r="AD150" s="1383"/>
      <c r="AE150" s="1383"/>
      <c r="AF150" s="1383"/>
      <c r="AG150" s="1383"/>
      <c r="AH150" s="1383"/>
      <c r="AI150" s="1383"/>
      <c r="AJ150" s="1383"/>
      <c r="AK150" s="1383"/>
      <c r="AL150" s="1383"/>
      <c r="AM150" s="1383"/>
    </row>
    <row r="151" spans="2:39" ht="15.75" x14ac:dyDescent="0.25">
      <c r="B151" s="1372"/>
      <c r="C151" s="1372"/>
      <c r="D151" s="1717"/>
      <c r="E151" s="1420"/>
      <c r="F151" s="1493"/>
      <c r="G151" s="1493"/>
      <c r="H151" s="1493"/>
      <c r="I151" s="1493"/>
      <c r="J151" s="1493"/>
      <c r="K151" s="1493"/>
      <c r="L151" s="1493"/>
      <c r="M151" s="1493"/>
      <c r="N151" s="1493"/>
      <c r="O151" s="1493"/>
      <c r="P151" s="1383"/>
      <c r="Q151" s="1383"/>
      <c r="R151" s="1383"/>
      <c r="S151" s="1383"/>
      <c r="T151" s="1383"/>
      <c r="U151" s="1383"/>
      <c r="V151" s="1383"/>
      <c r="W151" s="1383"/>
      <c r="X151" s="1383"/>
      <c r="Y151" s="1383"/>
      <c r="Z151" s="1383"/>
      <c r="AA151" s="1383"/>
      <c r="AB151" s="1383"/>
      <c r="AC151" s="1383"/>
      <c r="AD151" s="1383"/>
      <c r="AE151" s="1383"/>
      <c r="AF151" s="1383"/>
      <c r="AG151" s="1383"/>
      <c r="AH151" s="1383"/>
      <c r="AI151" s="1383"/>
      <c r="AJ151" s="1383"/>
      <c r="AK151" s="1383"/>
      <c r="AL151" s="1383"/>
      <c r="AM151" s="1383"/>
    </row>
    <row r="152" spans="2:39" ht="15.75" x14ac:dyDescent="0.25">
      <c r="B152" s="1372"/>
      <c r="C152" s="1372"/>
      <c r="D152" s="1717"/>
      <c r="E152" s="1420"/>
      <c r="F152" s="1493"/>
      <c r="G152" s="1493"/>
      <c r="H152" s="1493"/>
      <c r="I152" s="1493"/>
      <c r="J152" s="1493"/>
      <c r="K152" s="1493"/>
      <c r="L152" s="1493"/>
      <c r="M152" s="1493"/>
      <c r="N152" s="1493"/>
      <c r="O152" s="1493"/>
      <c r="P152" s="1383"/>
      <c r="Q152" s="1383"/>
      <c r="R152" s="1383"/>
      <c r="S152" s="1383"/>
      <c r="T152" s="1383"/>
      <c r="U152" s="1383"/>
      <c r="V152" s="1383"/>
      <c r="W152" s="1383"/>
      <c r="X152" s="1383"/>
      <c r="Y152" s="1383"/>
      <c r="Z152" s="1383"/>
      <c r="AA152" s="1383"/>
      <c r="AB152" s="1383"/>
      <c r="AC152" s="1383"/>
      <c r="AD152" s="1383"/>
      <c r="AE152" s="1383"/>
      <c r="AF152" s="1383"/>
      <c r="AG152" s="1383"/>
      <c r="AH152" s="1383"/>
      <c r="AI152" s="1383"/>
      <c r="AJ152" s="1383"/>
      <c r="AK152" s="1383"/>
      <c r="AL152" s="1383"/>
      <c r="AM152" s="1383"/>
    </row>
    <row r="153" spans="2:39" ht="15.75" x14ac:dyDescent="0.25">
      <c r="B153" s="1372"/>
      <c r="C153" s="1372"/>
      <c r="D153" s="1717"/>
      <c r="E153" s="1420"/>
      <c r="F153" s="1493"/>
      <c r="G153" s="1493"/>
      <c r="H153" s="1493"/>
      <c r="I153" s="1493"/>
      <c r="J153" s="1493"/>
      <c r="K153" s="1493"/>
      <c r="L153" s="1493"/>
      <c r="M153" s="1493"/>
      <c r="N153" s="1493"/>
      <c r="O153" s="1493"/>
      <c r="P153" s="1383"/>
      <c r="Q153" s="1383"/>
      <c r="R153" s="1383"/>
      <c r="S153" s="1383"/>
      <c r="T153" s="1383"/>
      <c r="U153" s="1383"/>
      <c r="V153" s="1383"/>
      <c r="W153" s="1383"/>
      <c r="X153" s="1383"/>
      <c r="Y153" s="1383"/>
      <c r="Z153" s="1383"/>
      <c r="AA153" s="1383"/>
      <c r="AB153" s="1383"/>
      <c r="AC153" s="1383"/>
      <c r="AD153" s="1383"/>
      <c r="AE153" s="1383"/>
      <c r="AF153" s="1383"/>
      <c r="AG153" s="1383"/>
      <c r="AH153" s="1383"/>
      <c r="AI153" s="1383"/>
      <c r="AJ153" s="1383"/>
      <c r="AK153" s="1383"/>
      <c r="AL153" s="1383"/>
      <c r="AM153" s="1383"/>
    </row>
    <row r="154" spans="2:39" ht="15.75" x14ac:dyDescent="0.25">
      <c r="B154" s="1372"/>
      <c r="C154" s="1372"/>
      <c r="D154" s="1717"/>
      <c r="E154" s="1420"/>
      <c r="F154" s="1493"/>
      <c r="G154" s="1493"/>
      <c r="H154" s="1493"/>
      <c r="I154" s="1493"/>
      <c r="J154" s="1493"/>
      <c r="K154" s="1493"/>
      <c r="L154" s="1493"/>
      <c r="M154" s="1493"/>
      <c r="N154" s="1493"/>
      <c r="O154" s="1493"/>
      <c r="P154" s="1383"/>
      <c r="Q154" s="1383"/>
      <c r="R154" s="1383"/>
      <c r="S154" s="1383"/>
      <c r="T154" s="1383"/>
      <c r="U154" s="1383"/>
      <c r="V154" s="1383"/>
      <c r="W154" s="1383"/>
      <c r="X154" s="1383"/>
      <c r="Y154" s="1383"/>
      <c r="Z154" s="1383"/>
      <c r="AA154" s="1383"/>
      <c r="AB154" s="1383"/>
      <c r="AC154" s="1383"/>
      <c r="AD154" s="1383"/>
      <c r="AE154" s="1383"/>
      <c r="AF154" s="1383"/>
      <c r="AG154" s="1383"/>
      <c r="AH154" s="1383"/>
      <c r="AI154" s="1383"/>
      <c r="AJ154" s="1383"/>
      <c r="AK154" s="1383"/>
      <c r="AL154" s="1383"/>
      <c r="AM154" s="1383"/>
    </row>
    <row r="155" spans="2:39" ht="16.5" customHeight="1" x14ac:dyDescent="0.25">
      <c r="B155" s="1372"/>
      <c r="C155" s="1372"/>
      <c r="D155" s="1717"/>
      <c r="E155" s="1420"/>
      <c r="F155" s="1493"/>
      <c r="G155" s="1493"/>
      <c r="H155" s="1493"/>
      <c r="I155" s="1493"/>
      <c r="J155" s="1493"/>
      <c r="K155" s="1493"/>
      <c r="L155" s="1493"/>
      <c r="M155" s="1493"/>
      <c r="N155" s="1493"/>
      <c r="O155" s="1493"/>
      <c r="P155" s="1383"/>
      <c r="Q155" s="1383"/>
      <c r="R155" s="1383"/>
      <c r="S155" s="1383"/>
      <c r="T155" s="1383"/>
      <c r="U155" s="1383"/>
      <c r="V155" s="1383"/>
      <c r="W155" s="1383"/>
      <c r="X155" s="1383"/>
      <c r="Y155" s="1383"/>
      <c r="Z155" s="1383"/>
      <c r="AA155" s="1383"/>
      <c r="AB155" s="1383"/>
      <c r="AC155" s="1383"/>
      <c r="AD155" s="1383"/>
      <c r="AE155" s="1383"/>
      <c r="AF155" s="1383"/>
      <c r="AG155" s="1383"/>
      <c r="AH155" s="1383"/>
      <c r="AI155" s="1383"/>
      <c r="AJ155" s="1383"/>
      <c r="AK155" s="1383"/>
      <c r="AL155" s="1383"/>
      <c r="AM155" s="1383"/>
    </row>
    <row r="156" spans="2:39" ht="15.75" x14ac:dyDescent="0.25">
      <c r="B156" s="1372"/>
      <c r="C156" s="1372"/>
      <c r="D156" s="1717"/>
      <c r="E156" s="1420"/>
      <c r="F156" s="1493"/>
      <c r="G156" s="1493"/>
      <c r="H156" s="1493"/>
      <c r="I156" s="1493"/>
      <c r="J156" s="1493"/>
      <c r="K156" s="1493"/>
      <c r="L156" s="1493"/>
      <c r="M156" s="1493"/>
      <c r="N156" s="1493"/>
      <c r="O156" s="1493"/>
      <c r="P156" s="1383"/>
      <c r="Q156" s="1383"/>
      <c r="R156" s="1383"/>
      <c r="S156" s="1383"/>
      <c r="T156" s="1383"/>
      <c r="U156" s="1383"/>
      <c r="V156" s="1383"/>
      <c r="W156" s="1383"/>
      <c r="X156" s="1383"/>
      <c r="Y156" s="1383"/>
      <c r="Z156" s="1383"/>
      <c r="AA156" s="1383"/>
      <c r="AB156" s="1383"/>
      <c r="AC156" s="1383"/>
      <c r="AD156" s="1383"/>
      <c r="AE156" s="1383"/>
      <c r="AF156" s="1383"/>
      <c r="AG156" s="1383"/>
      <c r="AH156" s="1383"/>
      <c r="AI156" s="1383"/>
      <c r="AJ156" s="1383"/>
      <c r="AK156" s="1383"/>
      <c r="AL156" s="1383"/>
      <c r="AM156" s="1383"/>
    </row>
    <row r="157" spans="2:39" ht="15.75" customHeight="1" x14ac:dyDescent="0.25">
      <c r="B157" s="1372"/>
      <c r="C157" s="1372"/>
      <c r="D157" s="1717"/>
      <c r="E157" s="1420"/>
      <c r="F157" s="1493"/>
      <c r="G157" s="1493"/>
      <c r="H157" s="1493"/>
      <c r="I157" s="1493"/>
      <c r="J157" s="1493"/>
      <c r="K157" s="1493"/>
      <c r="L157" s="1493"/>
      <c r="M157" s="1493"/>
      <c r="N157" s="1493"/>
      <c r="O157" s="1493"/>
      <c r="P157" s="1383"/>
      <c r="Q157" s="1383"/>
      <c r="R157" s="1383"/>
      <c r="S157" s="1383"/>
      <c r="T157" s="1383"/>
      <c r="U157" s="1383"/>
      <c r="V157" s="1383"/>
      <c r="W157" s="1383"/>
      <c r="X157" s="1383"/>
      <c r="Y157" s="1383"/>
      <c r="Z157" s="1383"/>
      <c r="AA157" s="1383"/>
      <c r="AB157" s="1383"/>
      <c r="AC157" s="1383"/>
      <c r="AD157" s="1383"/>
      <c r="AE157" s="1383"/>
      <c r="AF157" s="1383"/>
      <c r="AG157" s="1383"/>
      <c r="AH157" s="1383"/>
      <c r="AI157" s="1383"/>
      <c r="AJ157" s="1383"/>
      <c r="AK157" s="1383"/>
      <c r="AL157" s="1383"/>
      <c r="AM157" s="1383"/>
    </row>
    <row r="158" spans="2:39" ht="15.75" x14ac:dyDescent="0.25">
      <c r="B158" s="1372"/>
      <c r="C158" s="1372"/>
      <c r="D158" s="1717"/>
      <c r="E158" s="1420"/>
      <c r="F158" s="1493"/>
      <c r="G158" s="1493"/>
      <c r="H158" s="1493"/>
      <c r="I158" s="1493"/>
      <c r="J158" s="1493"/>
      <c r="K158" s="1493"/>
      <c r="L158" s="1493"/>
      <c r="M158" s="1493"/>
      <c r="N158" s="1493"/>
      <c r="O158" s="1493"/>
      <c r="P158" s="1383"/>
      <c r="Q158" s="1383"/>
      <c r="R158" s="1383"/>
      <c r="S158" s="1383"/>
      <c r="T158" s="1383"/>
      <c r="U158" s="1383"/>
      <c r="V158" s="1383"/>
      <c r="W158" s="1383"/>
      <c r="X158" s="1383"/>
      <c r="Y158" s="1383"/>
      <c r="Z158" s="1383"/>
      <c r="AA158" s="1383"/>
      <c r="AB158" s="1383"/>
      <c r="AC158" s="1383"/>
      <c r="AD158" s="1383"/>
      <c r="AE158" s="1383"/>
      <c r="AF158" s="1383"/>
      <c r="AG158" s="1383"/>
      <c r="AH158" s="1383"/>
      <c r="AI158" s="1383"/>
      <c r="AJ158" s="1383"/>
      <c r="AK158" s="1383"/>
      <c r="AL158" s="1383"/>
      <c r="AM158" s="1383"/>
    </row>
    <row r="159" spans="2:39" ht="15.75" x14ac:dyDescent="0.25">
      <c r="B159" s="1372"/>
      <c r="C159" s="1372"/>
      <c r="D159" s="1717"/>
      <c r="E159" s="1420"/>
      <c r="F159" s="1493"/>
      <c r="G159" s="1493"/>
      <c r="H159" s="1493"/>
      <c r="I159" s="1493"/>
      <c r="J159" s="1493"/>
      <c r="K159" s="1493"/>
      <c r="L159" s="1493"/>
      <c r="M159" s="1493"/>
      <c r="N159" s="1493"/>
      <c r="O159" s="1493"/>
      <c r="P159" s="1383"/>
      <c r="Q159" s="1383"/>
      <c r="R159" s="1383"/>
      <c r="S159" s="1383"/>
      <c r="T159" s="1383"/>
      <c r="U159" s="1383"/>
      <c r="V159" s="1383"/>
      <c r="W159" s="1383"/>
      <c r="X159" s="1383"/>
      <c r="Y159" s="1383"/>
      <c r="Z159" s="1383"/>
      <c r="AA159" s="1383"/>
      <c r="AB159" s="1383"/>
      <c r="AC159" s="1383"/>
      <c r="AD159" s="1383"/>
      <c r="AE159" s="1383"/>
      <c r="AF159" s="1383"/>
      <c r="AG159" s="1383"/>
      <c r="AH159" s="1383"/>
      <c r="AI159" s="1383"/>
      <c r="AJ159" s="1383"/>
      <c r="AK159" s="1383"/>
      <c r="AL159" s="1383"/>
      <c r="AM159" s="1383"/>
    </row>
    <row r="160" spans="2:39" ht="15.75" x14ac:dyDescent="0.25">
      <c r="B160" s="1372"/>
      <c r="C160" s="1372"/>
      <c r="D160" s="1717"/>
      <c r="E160" s="1420"/>
      <c r="F160" s="1493"/>
      <c r="G160" s="1493"/>
      <c r="H160" s="1493"/>
      <c r="I160" s="1493"/>
      <c r="J160" s="1493"/>
      <c r="K160" s="1493"/>
      <c r="L160" s="1493"/>
      <c r="M160" s="1493"/>
      <c r="N160" s="1493"/>
      <c r="O160" s="1493"/>
      <c r="P160" s="1383"/>
      <c r="Q160" s="1383"/>
      <c r="R160" s="1383"/>
      <c r="S160" s="1383"/>
      <c r="T160" s="1383"/>
      <c r="U160" s="1383"/>
      <c r="V160" s="1383"/>
      <c r="W160" s="1383"/>
      <c r="X160" s="1383"/>
      <c r="Y160" s="1383"/>
      <c r="Z160" s="1383"/>
      <c r="AA160" s="1383"/>
      <c r="AB160" s="1383"/>
      <c r="AC160" s="1383"/>
      <c r="AD160" s="1383"/>
      <c r="AE160" s="1383"/>
      <c r="AF160" s="1383"/>
      <c r="AG160" s="1383"/>
      <c r="AH160" s="1383"/>
      <c r="AI160" s="1383"/>
      <c r="AJ160" s="1383"/>
      <c r="AK160" s="1383"/>
      <c r="AL160" s="1383"/>
      <c r="AM160" s="1383"/>
    </row>
    <row r="161" spans="2:39" ht="15.75" x14ac:dyDescent="0.25">
      <c r="B161" s="1372"/>
      <c r="C161" s="1372"/>
      <c r="D161" s="1717"/>
      <c r="E161" s="1420"/>
      <c r="F161" s="1493"/>
      <c r="G161" s="1493"/>
      <c r="H161" s="1493"/>
      <c r="I161" s="1493"/>
      <c r="J161" s="1493"/>
      <c r="K161" s="1493"/>
      <c r="L161" s="1493"/>
      <c r="M161" s="1493"/>
      <c r="N161" s="1493"/>
      <c r="O161" s="1493"/>
      <c r="P161" s="1383"/>
      <c r="Q161" s="1383"/>
      <c r="R161" s="1383"/>
      <c r="S161" s="1383"/>
      <c r="T161" s="1383"/>
      <c r="U161" s="1383"/>
      <c r="V161" s="1383"/>
      <c r="W161" s="1383"/>
      <c r="X161" s="1383"/>
      <c r="Y161" s="1383"/>
      <c r="Z161" s="1383"/>
      <c r="AA161" s="1383"/>
      <c r="AB161" s="1383"/>
      <c r="AC161" s="1383"/>
      <c r="AD161" s="1383"/>
      <c r="AE161" s="1383"/>
      <c r="AF161" s="1383"/>
      <c r="AG161" s="1383"/>
      <c r="AH161" s="1383"/>
      <c r="AI161" s="1383"/>
      <c r="AJ161" s="1383"/>
      <c r="AK161" s="1383"/>
      <c r="AL161" s="1383"/>
      <c r="AM161" s="1383"/>
    </row>
    <row r="162" spans="2:39" ht="15.75" x14ac:dyDescent="0.25">
      <c r="B162" s="1372"/>
      <c r="C162" s="1372"/>
      <c r="D162" s="1717"/>
      <c r="E162" s="1420"/>
      <c r="F162" s="1493"/>
      <c r="G162" s="1493"/>
      <c r="H162" s="1493"/>
      <c r="I162" s="1493"/>
      <c r="J162" s="1493"/>
      <c r="K162" s="1493"/>
      <c r="L162" s="1493"/>
      <c r="M162" s="1493"/>
      <c r="N162" s="1493"/>
      <c r="O162" s="1493"/>
      <c r="P162" s="1383"/>
      <c r="Q162" s="1383"/>
      <c r="R162" s="1383"/>
      <c r="S162" s="1383"/>
      <c r="T162" s="1383"/>
      <c r="U162" s="1383"/>
      <c r="V162" s="1383"/>
      <c r="W162" s="1383"/>
      <c r="X162" s="1383"/>
      <c r="Y162" s="1383"/>
      <c r="Z162" s="1383"/>
      <c r="AA162" s="1383"/>
      <c r="AB162" s="1383"/>
      <c r="AC162" s="1383"/>
      <c r="AD162" s="1383"/>
      <c r="AE162" s="1383"/>
      <c r="AF162" s="1383"/>
      <c r="AG162" s="1383"/>
      <c r="AH162" s="1383"/>
      <c r="AI162" s="1383"/>
      <c r="AJ162" s="1383"/>
      <c r="AK162" s="1383"/>
      <c r="AL162" s="1383"/>
      <c r="AM162" s="1383"/>
    </row>
    <row r="163" spans="2:39" ht="15.75" x14ac:dyDescent="0.25">
      <c r="B163" s="1372"/>
      <c r="C163" s="1372"/>
      <c r="D163" s="1717"/>
      <c r="E163" s="1420"/>
      <c r="F163" s="1493"/>
      <c r="G163" s="1493"/>
      <c r="H163" s="1493"/>
      <c r="I163" s="1493"/>
      <c r="J163" s="1493"/>
      <c r="K163" s="1493"/>
      <c r="L163" s="1493"/>
      <c r="M163" s="1493"/>
      <c r="N163" s="1493"/>
      <c r="O163" s="1493"/>
      <c r="P163" s="1383"/>
      <c r="Q163" s="1383"/>
      <c r="R163" s="1383"/>
      <c r="S163" s="1383"/>
      <c r="T163" s="1383"/>
      <c r="U163" s="1383"/>
      <c r="V163" s="1383"/>
      <c r="W163" s="1383"/>
      <c r="X163" s="1383"/>
      <c r="Y163" s="1383"/>
      <c r="Z163" s="1383"/>
      <c r="AA163" s="1383"/>
      <c r="AB163" s="1383"/>
      <c r="AC163" s="1383"/>
      <c r="AD163" s="1383"/>
      <c r="AE163" s="1383"/>
      <c r="AF163" s="1383"/>
      <c r="AG163" s="1383"/>
      <c r="AH163" s="1383"/>
      <c r="AI163" s="1383"/>
      <c r="AJ163" s="1383"/>
      <c r="AK163" s="1383"/>
      <c r="AL163" s="1383"/>
      <c r="AM163" s="1383"/>
    </row>
    <row r="164" spans="2:39" ht="15.75" x14ac:dyDescent="0.25">
      <c r="B164" s="1372"/>
      <c r="C164" s="1372"/>
      <c r="D164" s="1717"/>
      <c r="E164" s="1420"/>
      <c r="F164" s="1493"/>
      <c r="G164" s="1493"/>
      <c r="H164" s="1493"/>
      <c r="I164" s="1493"/>
      <c r="J164" s="1493"/>
      <c r="K164" s="1493"/>
      <c r="L164" s="1493"/>
      <c r="M164" s="1493"/>
      <c r="N164" s="1493"/>
      <c r="O164" s="1493"/>
      <c r="P164" s="1383"/>
      <c r="Q164" s="1383"/>
      <c r="R164" s="1383"/>
      <c r="S164" s="1383"/>
      <c r="T164" s="1383"/>
      <c r="U164" s="1383"/>
      <c r="V164" s="1383"/>
      <c r="W164" s="1383"/>
      <c r="X164" s="1383"/>
      <c r="Y164" s="1383"/>
      <c r="Z164" s="1383"/>
      <c r="AA164" s="1383"/>
      <c r="AB164" s="1383"/>
      <c r="AC164" s="1383"/>
      <c r="AD164" s="1383"/>
      <c r="AE164" s="1383"/>
      <c r="AF164" s="1383"/>
      <c r="AG164" s="1383"/>
      <c r="AH164" s="1383"/>
      <c r="AI164" s="1383"/>
      <c r="AJ164" s="1383"/>
      <c r="AK164" s="1383"/>
      <c r="AL164" s="1383"/>
      <c r="AM164" s="1383"/>
    </row>
    <row r="165" spans="2:39" ht="16.5" customHeight="1" x14ac:dyDescent="0.25">
      <c r="B165" s="1372"/>
      <c r="C165" s="1372"/>
      <c r="D165" s="1717"/>
      <c r="E165" s="1420"/>
      <c r="F165" s="1493"/>
      <c r="G165" s="1493"/>
      <c r="H165" s="1493"/>
      <c r="I165" s="1493"/>
      <c r="J165" s="1493"/>
      <c r="K165" s="1493"/>
      <c r="L165" s="1493"/>
      <c r="M165" s="1493"/>
      <c r="N165" s="1493"/>
      <c r="O165" s="1493"/>
      <c r="P165" s="1383"/>
      <c r="Q165" s="1383"/>
      <c r="R165" s="1383"/>
      <c r="S165" s="1383"/>
      <c r="T165" s="1383"/>
      <c r="U165" s="1383"/>
      <c r="V165" s="1383"/>
      <c r="W165" s="1383"/>
      <c r="X165" s="1383"/>
      <c r="Y165" s="1383"/>
      <c r="Z165" s="1383"/>
      <c r="AA165" s="1383"/>
      <c r="AB165" s="1383"/>
      <c r="AC165" s="1383"/>
      <c r="AD165" s="1383"/>
      <c r="AE165" s="1383"/>
      <c r="AF165" s="1383"/>
      <c r="AG165" s="1383"/>
      <c r="AH165" s="1383"/>
      <c r="AI165" s="1383"/>
      <c r="AJ165" s="1383"/>
      <c r="AK165" s="1383"/>
      <c r="AL165" s="1383"/>
      <c r="AM165" s="1383"/>
    </row>
    <row r="166" spans="2:39" ht="15.75" x14ac:dyDescent="0.25">
      <c r="B166" s="1372"/>
      <c r="C166" s="1372"/>
      <c r="D166" s="1717"/>
      <c r="E166" s="1420"/>
      <c r="F166" s="1493"/>
      <c r="G166" s="1493"/>
      <c r="H166" s="1493"/>
      <c r="I166" s="1493"/>
      <c r="J166" s="1493"/>
      <c r="K166" s="1493"/>
      <c r="L166" s="1493"/>
      <c r="M166" s="1493"/>
      <c r="N166" s="1493"/>
      <c r="O166" s="1493"/>
      <c r="P166" s="1383"/>
      <c r="Q166" s="1383"/>
      <c r="R166" s="1383"/>
      <c r="S166" s="1383"/>
      <c r="T166" s="1383"/>
      <c r="U166" s="1383"/>
      <c r="V166" s="1383"/>
      <c r="W166" s="1383"/>
      <c r="X166" s="1383"/>
      <c r="Y166" s="1383"/>
      <c r="Z166" s="1383"/>
      <c r="AA166" s="1383"/>
      <c r="AB166" s="1383"/>
      <c r="AC166" s="1383"/>
      <c r="AD166" s="1383"/>
      <c r="AE166" s="1383"/>
      <c r="AF166" s="1383"/>
      <c r="AG166" s="1383"/>
      <c r="AH166" s="1383"/>
      <c r="AI166" s="1383"/>
      <c r="AJ166" s="1383"/>
      <c r="AK166" s="1383"/>
      <c r="AL166" s="1383"/>
      <c r="AM166" s="1383"/>
    </row>
    <row r="167" spans="2:39" ht="15.75" customHeight="1" x14ac:dyDescent="0.25">
      <c r="B167" s="1372"/>
      <c r="C167" s="1372"/>
      <c r="D167" s="1717"/>
      <c r="E167" s="1420"/>
      <c r="F167" s="1493"/>
      <c r="G167" s="1493"/>
      <c r="H167" s="1493"/>
      <c r="I167" s="1493"/>
      <c r="J167" s="1493"/>
      <c r="K167" s="1493"/>
      <c r="L167" s="1493"/>
      <c r="M167" s="1493"/>
      <c r="N167" s="1493"/>
      <c r="O167" s="1493"/>
      <c r="P167" s="1383"/>
      <c r="Q167" s="1383"/>
      <c r="R167" s="1383"/>
      <c r="S167" s="1383"/>
      <c r="T167" s="1383"/>
      <c r="U167" s="1383"/>
      <c r="V167" s="1383"/>
      <c r="W167" s="1383"/>
      <c r="X167" s="1383"/>
      <c r="Y167" s="1383"/>
      <c r="Z167" s="1383"/>
      <c r="AA167" s="1383"/>
      <c r="AB167" s="1383"/>
      <c r="AC167" s="1383"/>
      <c r="AD167" s="1383"/>
      <c r="AE167" s="1383"/>
      <c r="AF167" s="1383"/>
      <c r="AG167" s="1383"/>
      <c r="AH167" s="1383"/>
      <c r="AI167" s="1383"/>
      <c r="AJ167" s="1383"/>
      <c r="AK167" s="1383"/>
      <c r="AL167" s="1383"/>
      <c r="AM167" s="1383"/>
    </row>
    <row r="168" spans="2:39" ht="15.75" x14ac:dyDescent="0.25">
      <c r="B168" s="1372"/>
      <c r="C168" s="1372"/>
      <c r="D168" s="1717"/>
      <c r="E168" s="1420"/>
      <c r="F168" s="1493"/>
      <c r="G168" s="1493"/>
      <c r="H168" s="1493"/>
      <c r="I168" s="1493"/>
      <c r="J168" s="1493"/>
      <c r="K168" s="1493"/>
      <c r="L168" s="1493"/>
      <c r="M168" s="1493"/>
      <c r="N168" s="1493"/>
      <c r="O168" s="1493"/>
      <c r="P168" s="1383"/>
      <c r="Q168" s="1383"/>
      <c r="R168" s="1383"/>
      <c r="S168" s="1383"/>
      <c r="T168" s="1383"/>
      <c r="U168" s="1383"/>
      <c r="V168" s="1383"/>
      <c r="W168" s="1383"/>
      <c r="X168" s="1383"/>
      <c r="Y168" s="1383"/>
      <c r="Z168" s="1383"/>
      <c r="AA168" s="1383"/>
      <c r="AB168" s="1383"/>
      <c r="AC168" s="1383"/>
      <c r="AD168" s="1383"/>
      <c r="AE168" s="1383"/>
      <c r="AF168" s="1383"/>
      <c r="AG168" s="1383"/>
      <c r="AH168" s="1383"/>
      <c r="AI168" s="1383"/>
      <c r="AJ168" s="1383"/>
      <c r="AK168" s="1383"/>
      <c r="AL168" s="1383"/>
      <c r="AM168" s="1383"/>
    </row>
    <row r="169" spans="2:39" ht="15.75" x14ac:dyDescent="0.25">
      <c r="B169" s="1372"/>
      <c r="C169" s="1372"/>
      <c r="D169" s="1717"/>
      <c r="E169" s="1420"/>
      <c r="F169" s="1493"/>
      <c r="G169" s="1493"/>
      <c r="H169" s="1493"/>
      <c r="I169" s="1493"/>
      <c r="J169" s="1493"/>
      <c r="K169" s="1493"/>
      <c r="L169" s="1493"/>
      <c r="M169" s="1493"/>
      <c r="N169" s="1493"/>
      <c r="O169" s="1493"/>
      <c r="P169" s="1383"/>
      <c r="Q169" s="1383"/>
      <c r="R169" s="1383"/>
      <c r="S169" s="1383"/>
      <c r="T169" s="1383"/>
      <c r="U169" s="1383"/>
      <c r="V169" s="1383"/>
      <c r="W169" s="1383"/>
      <c r="X169" s="1383"/>
      <c r="Y169" s="1383"/>
      <c r="Z169" s="1383"/>
      <c r="AA169" s="1383"/>
      <c r="AB169" s="1383"/>
      <c r="AC169" s="1383"/>
      <c r="AD169" s="1383"/>
      <c r="AE169" s="1383"/>
      <c r="AF169" s="1383"/>
      <c r="AG169" s="1383"/>
      <c r="AH169" s="1383"/>
      <c r="AI169" s="1383"/>
      <c r="AJ169" s="1383"/>
      <c r="AK169" s="1383"/>
      <c r="AL169" s="1383"/>
      <c r="AM169" s="1383"/>
    </row>
    <row r="170" spans="2:39" ht="15.75" x14ac:dyDescent="0.25">
      <c r="B170" s="1372"/>
      <c r="C170" s="1372"/>
      <c r="D170" s="1717"/>
      <c r="E170" s="1420"/>
      <c r="F170" s="1493"/>
      <c r="G170" s="1493"/>
      <c r="H170" s="1493"/>
      <c r="I170" s="1493"/>
      <c r="J170" s="1493"/>
      <c r="K170" s="1493"/>
      <c r="L170" s="1493"/>
      <c r="M170" s="1493"/>
      <c r="N170" s="1493"/>
      <c r="O170" s="1493"/>
      <c r="P170" s="1383"/>
      <c r="Q170" s="1383"/>
      <c r="R170" s="1383"/>
      <c r="S170" s="1383"/>
      <c r="T170" s="1383"/>
      <c r="U170" s="1383"/>
      <c r="V170" s="1383"/>
      <c r="W170" s="1383"/>
      <c r="X170" s="1383"/>
      <c r="Y170" s="1383"/>
      <c r="Z170" s="1383"/>
      <c r="AA170" s="1383"/>
      <c r="AB170" s="1383"/>
      <c r="AC170" s="1383"/>
      <c r="AD170" s="1383"/>
      <c r="AE170" s="1383"/>
      <c r="AF170" s="1383"/>
      <c r="AG170" s="1383"/>
      <c r="AH170" s="1383"/>
      <c r="AI170" s="1383"/>
      <c r="AJ170" s="1383"/>
      <c r="AK170" s="1383"/>
      <c r="AL170" s="1383"/>
      <c r="AM170" s="1383"/>
    </row>
    <row r="171" spans="2:39" ht="15.75" x14ac:dyDescent="0.25">
      <c r="B171" s="1372"/>
      <c r="C171" s="1372"/>
      <c r="D171" s="1717"/>
      <c r="E171" s="1420"/>
      <c r="F171" s="1493"/>
      <c r="G171" s="1493"/>
      <c r="H171" s="1493"/>
      <c r="I171" s="1493"/>
      <c r="J171" s="1493"/>
      <c r="K171" s="1493"/>
      <c r="L171" s="1493"/>
      <c r="M171" s="1493"/>
      <c r="N171" s="1493"/>
      <c r="O171" s="1493"/>
      <c r="P171" s="1383"/>
      <c r="Q171" s="1383"/>
      <c r="R171" s="1383"/>
      <c r="S171" s="1383"/>
      <c r="T171" s="1383"/>
      <c r="U171" s="1383"/>
      <c r="V171" s="1383"/>
      <c r="W171" s="1383"/>
      <c r="X171" s="1383"/>
      <c r="Y171" s="1383"/>
      <c r="Z171" s="1383"/>
      <c r="AA171" s="1383"/>
      <c r="AB171" s="1383"/>
      <c r="AC171" s="1383"/>
      <c r="AD171" s="1383"/>
      <c r="AE171" s="1383"/>
      <c r="AF171" s="1383"/>
      <c r="AG171" s="1383"/>
      <c r="AH171" s="1383"/>
      <c r="AI171" s="1383"/>
      <c r="AJ171" s="1383"/>
      <c r="AK171" s="1383"/>
      <c r="AL171" s="1383"/>
      <c r="AM171" s="1383"/>
    </row>
    <row r="172" spans="2:39" ht="15.75" x14ac:dyDescent="0.25">
      <c r="B172" s="1372"/>
      <c r="C172" s="1372"/>
      <c r="D172" s="1717"/>
      <c r="E172" s="1420"/>
      <c r="F172" s="1493"/>
      <c r="G172" s="1493"/>
      <c r="H172" s="1493"/>
      <c r="I172" s="1493"/>
      <c r="J172" s="1493"/>
      <c r="K172" s="1493"/>
      <c r="L172" s="1493"/>
      <c r="M172" s="1493"/>
      <c r="N172" s="1493"/>
      <c r="O172" s="1493"/>
      <c r="P172" s="1383"/>
      <c r="Q172" s="1383"/>
      <c r="R172" s="1383"/>
      <c r="S172" s="1383"/>
      <c r="T172" s="1383"/>
      <c r="U172" s="1383"/>
      <c r="V172" s="1383"/>
      <c r="W172" s="1383"/>
      <c r="X172" s="1383"/>
      <c r="Y172" s="1383"/>
      <c r="Z172" s="1383"/>
      <c r="AA172" s="1383"/>
      <c r="AB172" s="1383"/>
      <c r="AC172" s="1383"/>
      <c r="AD172" s="1383"/>
      <c r="AE172" s="1383"/>
      <c r="AF172" s="1383"/>
      <c r="AG172" s="1383"/>
      <c r="AH172" s="1383"/>
      <c r="AI172" s="1383"/>
      <c r="AJ172" s="1383"/>
      <c r="AK172" s="1383"/>
      <c r="AL172" s="1383"/>
      <c r="AM172" s="1383"/>
    </row>
    <row r="173" spans="2:39" ht="15.75" x14ac:dyDescent="0.25">
      <c r="B173" s="1372"/>
      <c r="C173" s="1372"/>
      <c r="D173" s="1717"/>
      <c r="E173" s="1420"/>
      <c r="F173" s="1493"/>
      <c r="G173" s="1493"/>
      <c r="H173" s="1493"/>
      <c r="I173" s="1493"/>
      <c r="J173" s="1493"/>
      <c r="K173" s="1493"/>
      <c r="L173" s="1493"/>
      <c r="M173" s="1493"/>
      <c r="N173" s="1493"/>
      <c r="O173" s="1493"/>
      <c r="P173" s="1383"/>
      <c r="Q173" s="1383"/>
      <c r="R173" s="1383"/>
      <c r="S173" s="1383"/>
      <c r="T173" s="1383"/>
      <c r="U173" s="1383"/>
      <c r="V173" s="1383"/>
      <c r="W173" s="1383"/>
      <c r="X173" s="1383"/>
      <c r="Y173" s="1383"/>
      <c r="Z173" s="1383"/>
      <c r="AA173" s="1383"/>
      <c r="AB173" s="1383"/>
      <c r="AC173" s="1383"/>
      <c r="AD173" s="1383"/>
      <c r="AE173" s="1383"/>
      <c r="AF173" s="1383"/>
      <c r="AG173" s="1383"/>
      <c r="AH173" s="1383"/>
      <c r="AI173" s="1383"/>
      <c r="AJ173" s="1383"/>
      <c r="AK173" s="1383"/>
      <c r="AL173" s="1383"/>
      <c r="AM173" s="1383"/>
    </row>
    <row r="174" spans="2:39" ht="15.75" x14ac:dyDescent="0.25">
      <c r="B174" s="1372"/>
      <c r="C174" s="1372"/>
      <c r="D174" s="1717"/>
      <c r="E174" s="1420"/>
      <c r="F174" s="1493"/>
      <c r="G174" s="1493"/>
      <c r="H174" s="1493"/>
      <c r="I174" s="1493"/>
      <c r="J174" s="1493"/>
      <c r="K174" s="1493"/>
      <c r="L174" s="1493"/>
      <c r="M174" s="1493"/>
      <c r="N174" s="1493"/>
      <c r="O174" s="1493"/>
      <c r="P174" s="1383"/>
      <c r="Q174" s="1383"/>
      <c r="R174" s="1383"/>
      <c r="S174" s="1383"/>
      <c r="T174" s="1383"/>
      <c r="U174" s="1383"/>
      <c r="V174" s="1383"/>
      <c r="W174" s="1383"/>
      <c r="X174" s="1383"/>
      <c r="Y174" s="1383"/>
      <c r="Z174" s="1383"/>
      <c r="AA174" s="1383"/>
      <c r="AB174" s="1383"/>
      <c r="AC174" s="1383"/>
      <c r="AD174" s="1383"/>
      <c r="AE174" s="1383"/>
      <c r="AF174" s="1383"/>
      <c r="AG174" s="1383"/>
      <c r="AH174" s="1383"/>
      <c r="AI174" s="1383"/>
      <c r="AJ174" s="1383"/>
      <c r="AK174" s="1383"/>
      <c r="AL174" s="1383"/>
      <c r="AM174" s="1383"/>
    </row>
    <row r="175" spans="2:39" ht="16.5" customHeight="1" x14ac:dyDescent="0.25">
      <c r="B175" s="1372"/>
      <c r="C175" s="1372"/>
      <c r="D175" s="1717"/>
      <c r="E175" s="1420"/>
      <c r="F175" s="1493"/>
      <c r="G175" s="1493"/>
      <c r="H175" s="1493"/>
      <c r="I175" s="1493"/>
      <c r="J175" s="1493"/>
      <c r="K175" s="1493"/>
      <c r="L175" s="1493"/>
      <c r="M175" s="1493"/>
      <c r="N175" s="1493"/>
      <c r="O175" s="1493"/>
      <c r="P175" s="1383"/>
      <c r="Q175" s="1383"/>
      <c r="R175" s="1383"/>
      <c r="S175" s="1383"/>
      <c r="T175" s="1383"/>
      <c r="U175" s="1383"/>
      <c r="V175" s="1383"/>
      <c r="W175" s="1383"/>
      <c r="X175" s="1383"/>
      <c r="Y175" s="1383"/>
      <c r="Z175" s="1383"/>
      <c r="AA175" s="1383"/>
      <c r="AB175" s="1383"/>
      <c r="AC175" s="1383"/>
      <c r="AD175" s="1383"/>
      <c r="AE175" s="1383"/>
      <c r="AF175" s="1383"/>
      <c r="AG175" s="1383"/>
      <c r="AH175" s="1383"/>
      <c r="AI175" s="1383"/>
      <c r="AJ175" s="1383"/>
      <c r="AK175" s="1383"/>
      <c r="AL175" s="1383"/>
      <c r="AM175" s="1383"/>
    </row>
    <row r="176" spans="2:39" ht="15.75" x14ac:dyDescent="0.25">
      <c r="B176" s="1372"/>
      <c r="C176" s="1372"/>
      <c r="D176" s="1717"/>
      <c r="E176" s="1420"/>
      <c r="F176" s="1493"/>
      <c r="G176" s="1493"/>
      <c r="H176" s="1493"/>
      <c r="I176" s="1493"/>
      <c r="J176" s="1493"/>
      <c r="K176" s="1493"/>
      <c r="L176" s="1493"/>
      <c r="M176" s="1493"/>
      <c r="N176" s="1493"/>
      <c r="O176" s="1493"/>
      <c r="P176" s="1383"/>
      <c r="Q176" s="1383"/>
      <c r="R176" s="1383"/>
      <c r="S176" s="1383"/>
      <c r="T176" s="1383"/>
      <c r="U176" s="1383"/>
      <c r="V176" s="1383"/>
      <c r="W176" s="1383"/>
      <c r="X176" s="1383"/>
      <c r="Y176" s="1383"/>
      <c r="Z176" s="1383"/>
      <c r="AA176" s="1383"/>
      <c r="AB176" s="1383"/>
      <c r="AC176" s="1383"/>
      <c r="AD176" s="1383"/>
      <c r="AE176" s="1383"/>
      <c r="AF176" s="1383"/>
      <c r="AG176" s="1383"/>
      <c r="AH176" s="1383"/>
      <c r="AI176" s="1383"/>
      <c r="AJ176" s="1383"/>
      <c r="AK176" s="1383"/>
      <c r="AL176" s="1383"/>
      <c r="AM176" s="1383"/>
    </row>
    <row r="177" spans="2:39" ht="15.75" customHeight="1" x14ac:dyDescent="0.25">
      <c r="B177" s="1372"/>
      <c r="C177" s="1372"/>
      <c r="D177" s="1717"/>
      <c r="E177" s="1420"/>
      <c r="F177" s="1493"/>
      <c r="G177" s="1493"/>
      <c r="H177" s="1493"/>
      <c r="I177" s="1493"/>
      <c r="J177" s="1493"/>
      <c r="K177" s="1493"/>
      <c r="L177" s="1493"/>
      <c r="M177" s="1493"/>
      <c r="N177" s="1493"/>
      <c r="O177" s="1493"/>
      <c r="P177" s="1383"/>
      <c r="Q177" s="1383"/>
      <c r="R177" s="1383"/>
      <c r="S177" s="1383"/>
      <c r="T177" s="1383"/>
      <c r="U177" s="1383"/>
      <c r="V177" s="1383"/>
      <c r="W177" s="1383"/>
      <c r="X177" s="1383"/>
      <c r="Y177" s="1383"/>
      <c r="Z177" s="1383"/>
      <c r="AA177" s="1383"/>
      <c r="AB177" s="1383"/>
      <c r="AC177" s="1383"/>
      <c r="AD177" s="1383"/>
      <c r="AE177" s="1383"/>
      <c r="AF177" s="1383"/>
      <c r="AG177" s="1383"/>
      <c r="AH177" s="1383"/>
      <c r="AI177" s="1383"/>
      <c r="AJ177" s="1383"/>
      <c r="AK177" s="1383"/>
      <c r="AL177" s="1383"/>
      <c r="AM177" s="1383"/>
    </row>
    <row r="178" spans="2:39" ht="15.75" x14ac:dyDescent="0.25">
      <c r="B178" s="1372"/>
      <c r="C178" s="1372"/>
      <c r="D178" s="1717"/>
      <c r="E178" s="1420"/>
      <c r="F178" s="1493"/>
      <c r="G178" s="1493"/>
      <c r="H178" s="1493"/>
      <c r="I178" s="1493"/>
      <c r="J178" s="1493"/>
      <c r="K178" s="1493"/>
      <c r="L178" s="1493"/>
      <c r="M178" s="1493"/>
      <c r="N178" s="1493"/>
      <c r="O178" s="1493"/>
      <c r="P178" s="1383"/>
      <c r="Q178" s="1383"/>
      <c r="R178" s="1383"/>
      <c r="S178" s="1383"/>
      <c r="T178" s="1383"/>
      <c r="U178" s="1383"/>
      <c r="V178" s="1383"/>
      <c r="W178" s="1383"/>
      <c r="X178" s="1383"/>
      <c r="Y178" s="1383"/>
      <c r="Z178" s="1383"/>
      <c r="AA178" s="1383"/>
      <c r="AB178" s="1383"/>
      <c r="AC178" s="1383"/>
      <c r="AD178" s="1383"/>
      <c r="AE178" s="1383"/>
      <c r="AF178" s="1383"/>
      <c r="AG178" s="1383"/>
      <c r="AH178" s="1383"/>
      <c r="AI178" s="1383"/>
      <c r="AJ178" s="1383"/>
      <c r="AK178" s="1383"/>
      <c r="AL178" s="1383"/>
      <c r="AM178" s="1383"/>
    </row>
    <row r="179" spans="2:39" ht="15.75" x14ac:dyDescent="0.25">
      <c r="B179" s="1372"/>
      <c r="C179" s="1372"/>
      <c r="D179" s="1717"/>
      <c r="E179" s="1420"/>
      <c r="F179" s="1493"/>
      <c r="G179" s="1493"/>
      <c r="H179" s="1493"/>
      <c r="I179" s="1493"/>
      <c r="J179" s="1493"/>
      <c r="K179" s="1493"/>
      <c r="L179" s="1493"/>
      <c r="M179" s="1493"/>
      <c r="N179" s="1493"/>
      <c r="O179" s="1493"/>
      <c r="P179" s="1383"/>
      <c r="Q179" s="1383"/>
      <c r="R179" s="1383"/>
      <c r="S179" s="1383"/>
      <c r="T179" s="1383"/>
      <c r="U179" s="1383"/>
      <c r="V179" s="1383"/>
      <c r="W179" s="1383"/>
      <c r="X179" s="1383"/>
      <c r="Y179" s="1383"/>
      <c r="Z179" s="1383"/>
      <c r="AA179" s="1383"/>
      <c r="AB179" s="1383"/>
      <c r="AC179" s="1383"/>
      <c r="AD179" s="1383"/>
      <c r="AE179" s="1383"/>
      <c r="AF179" s="1383"/>
      <c r="AG179" s="1383"/>
      <c r="AH179" s="1383"/>
      <c r="AI179" s="1383"/>
      <c r="AJ179" s="1383"/>
      <c r="AK179" s="1383"/>
      <c r="AL179" s="1383"/>
      <c r="AM179" s="1383"/>
    </row>
    <row r="180" spans="2:39" ht="15.75" x14ac:dyDescent="0.25">
      <c r="B180" s="1372"/>
      <c r="C180" s="1372"/>
      <c r="D180" s="1717"/>
      <c r="E180" s="1420"/>
      <c r="F180" s="1493"/>
      <c r="G180" s="1493"/>
      <c r="H180" s="1493"/>
      <c r="I180" s="1493"/>
      <c r="J180" s="1493"/>
      <c r="K180" s="1493"/>
      <c r="L180" s="1493"/>
      <c r="M180" s="1493"/>
      <c r="N180" s="1493"/>
      <c r="O180" s="1493"/>
      <c r="P180" s="1383"/>
      <c r="Q180" s="1383"/>
      <c r="R180" s="1383"/>
      <c r="S180" s="1383"/>
      <c r="T180" s="1383"/>
      <c r="U180" s="1383"/>
      <c r="V180" s="1383"/>
      <c r="W180" s="1383"/>
      <c r="X180" s="1383"/>
      <c r="Y180" s="1383"/>
      <c r="Z180" s="1383"/>
      <c r="AA180" s="1383"/>
      <c r="AB180" s="1383"/>
      <c r="AC180" s="1383"/>
      <c r="AD180" s="1383"/>
      <c r="AE180" s="1383"/>
      <c r="AF180" s="1383"/>
      <c r="AG180" s="1383"/>
      <c r="AH180" s="1383"/>
      <c r="AI180" s="1383"/>
      <c r="AJ180" s="1383"/>
      <c r="AK180" s="1383"/>
      <c r="AL180" s="1383"/>
      <c r="AM180" s="1383"/>
    </row>
    <row r="181" spans="2:39" ht="15.75" x14ac:dyDescent="0.25">
      <c r="B181" s="1372"/>
      <c r="C181" s="1372"/>
      <c r="D181" s="1717"/>
      <c r="E181" s="1420"/>
      <c r="F181" s="1493"/>
      <c r="G181" s="1493"/>
      <c r="H181" s="1493"/>
      <c r="I181" s="1493"/>
      <c r="J181" s="1493"/>
      <c r="K181" s="1493"/>
      <c r="L181" s="1493"/>
      <c r="M181" s="1493"/>
      <c r="N181" s="1493"/>
      <c r="O181" s="1493"/>
      <c r="P181" s="1383"/>
      <c r="Q181" s="1383"/>
      <c r="R181" s="1383"/>
      <c r="S181" s="1383"/>
      <c r="T181" s="1383"/>
      <c r="U181" s="1383"/>
      <c r="V181" s="1383"/>
      <c r="W181" s="1383"/>
      <c r="X181" s="1383"/>
      <c r="Y181" s="1383"/>
      <c r="Z181" s="1383"/>
      <c r="AA181" s="1383"/>
      <c r="AB181" s="1383"/>
      <c r="AC181" s="1383"/>
      <c r="AD181" s="1383"/>
      <c r="AE181" s="1383"/>
      <c r="AF181" s="1383"/>
      <c r="AG181" s="1383"/>
      <c r="AH181" s="1383"/>
      <c r="AI181" s="1383"/>
      <c r="AJ181" s="1383"/>
      <c r="AK181" s="1383"/>
      <c r="AL181" s="1383"/>
      <c r="AM181" s="1383"/>
    </row>
    <row r="182" spans="2:39" ht="15.75" x14ac:dyDescent="0.25">
      <c r="B182" s="1372"/>
      <c r="C182" s="1372"/>
      <c r="D182" s="1717"/>
      <c r="E182" s="1420"/>
      <c r="F182" s="1493"/>
      <c r="G182" s="1493"/>
      <c r="H182" s="1493"/>
      <c r="I182" s="1493"/>
      <c r="J182" s="1493"/>
      <c r="K182" s="1493"/>
      <c r="L182" s="1493"/>
      <c r="M182" s="1493"/>
      <c r="N182" s="1493"/>
      <c r="O182" s="1493"/>
      <c r="P182" s="1383"/>
      <c r="Q182" s="1383"/>
      <c r="R182" s="1383"/>
      <c r="S182" s="1383"/>
      <c r="T182" s="1383"/>
      <c r="U182" s="1383"/>
      <c r="V182" s="1383"/>
      <c r="W182" s="1383"/>
      <c r="X182" s="1383"/>
      <c r="Y182" s="1383"/>
      <c r="Z182" s="1383"/>
      <c r="AA182" s="1383"/>
      <c r="AB182" s="1383"/>
      <c r="AC182" s="1383"/>
      <c r="AD182" s="1383"/>
      <c r="AE182" s="1383"/>
      <c r="AF182" s="1383"/>
      <c r="AG182" s="1383"/>
      <c r="AH182" s="1383"/>
      <c r="AI182" s="1383"/>
      <c r="AJ182" s="1383"/>
      <c r="AK182" s="1383"/>
      <c r="AL182" s="1383"/>
      <c r="AM182" s="1383"/>
    </row>
    <row r="183" spans="2:39" ht="15.75" x14ac:dyDescent="0.25">
      <c r="B183" s="1372"/>
      <c r="C183" s="1372"/>
      <c r="D183" s="1717"/>
      <c r="E183" s="1420"/>
      <c r="F183" s="1493"/>
      <c r="G183" s="1493"/>
      <c r="H183" s="1493"/>
      <c r="I183" s="1493"/>
      <c r="J183" s="1493"/>
      <c r="K183" s="1493"/>
      <c r="L183" s="1493"/>
      <c r="M183" s="1493"/>
      <c r="N183" s="1493"/>
      <c r="O183" s="1493"/>
      <c r="P183" s="1383"/>
      <c r="Q183" s="1383"/>
      <c r="R183" s="1383"/>
      <c r="S183" s="1383"/>
      <c r="T183" s="1383"/>
      <c r="U183" s="1383"/>
      <c r="V183" s="1383"/>
      <c r="W183" s="1383"/>
      <c r="X183" s="1383"/>
      <c r="Y183" s="1383"/>
      <c r="Z183" s="1383"/>
      <c r="AA183" s="1383"/>
      <c r="AB183" s="1383"/>
      <c r="AC183" s="1383"/>
      <c r="AD183" s="1383"/>
      <c r="AE183" s="1383"/>
      <c r="AF183" s="1383"/>
      <c r="AG183" s="1383"/>
      <c r="AH183" s="1383"/>
      <c r="AI183" s="1383"/>
      <c r="AJ183" s="1383"/>
      <c r="AK183" s="1383"/>
      <c r="AL183" s="1383"/>
      <c r="AM183" s="1383"/>
    </row>
    <row r="184" spans="2:39" ht="15.75" x14ac:dyDescent="0.25">
      <c r="B184" s="1372"/>
      <c r="C184" s="1372"/>
      <c r="D184" s="1717"/>
      <c r="E184" s="1420"/>
      <c r="F184" s="1493"/>
      <c r="G184" s="1493"/>
      <c r="H184" s="1493"/>
      <c r="I184" s="1493"/>
      <c r="J184" s="1493"/>
      <c r="K184" s="1493"/>
      <c r="L184" s="1493"/>
      <c r="M184" s="1493"/>
      <c r="N184" s="1493"/>
      <c r="O184" s="1493"/>
      <c r="P184" s="1383"/>
      <c r="Q184" s="1383"/>
      <c r="R184" s="1383"/>
      <c r="S184" s="1383"/>
      <c r="T184" s="1383"/>
      <c r="U184" s="1383"/>
      <c r="V184" s="1383"/>
      <c r="W184" s="1383"/>
      <c r="X184" s="1383"/>
      <c r="Y184" s="1383"/>
      <c r="Z184" s="1383"/>
      <c r="AA184" s="1383"/>
      <c r="AB184" s="1383"/>
      <c r="AC184" s="1383"/>
      <c r="AD184" s="1383"/>
      <c r="AE184" s="1383"/>
      <c r="AF184" s="1383"/>
      <c r="AG184" s="1383"/>
      <c r="AH184" s="1383"/>
      <c r="AI184" s="1383"/>
      <c r="AJ184" s="1383"/>
      <c r="AK184" s="1383"/>
      <c r="AL184" s="1383"/>
      <c r="AM184" s="1383"/>
    </row>
    <row r="185" spans="2:39" ht="15.75" x14ac:dyDescent="0.25">
      <c r="B185" s="1372"/>
      <c r="C185" s="1372"/>
      <c r="D185" s="1717"/>
      <c r="E185" s="1420"/>
      <c r="F185" s="1493"/>
      <c r="G185" s="1493"/>
      <c r="H185" s="1493"/>
      <c r="I185" s="1493"/>
      <c r="J185" s="1493"/>
      <c r="K185" s="1493"/>
      <c r="L185" s="1493"/>
      <c r="M185" s="1493"/>
      <c r="N185" s="1493"/>
      <c r="O185" s="1493"/>
      <c r="P185" s="1383"/>
      <c r="Q185" s="1383"/>
      <c r="R185" s="1383"/>
      <c r="S185" s="1383"/>
      <c r="T185" s="1383"/>
      <c r="U185" s="1383"/>
      <c r="V185" s="1383"/>
      <c r="W185" s="1383"/>
      <c r="X185" s="1383"/>
      <c r="Y185" s="1383"/>
      <c r="Z185" s="1383"/>
      <c r="AA185" s="1383"/>
      <c r="AB185" s="1383"/>
      <c r="AC185" s="1383"/>
      <c r="AD185" s="1383"/>
      <c r="AE185" s="1383"/>
      <c r="AF185" s="1383"/>
      <c r="AG185" s="1383"/>
      <c r="AH185" s="1383"/>
      <c r="AI185" s="1383"/>
      <c r="AJ185" s="1383"/>
      <c r="AK185" s="1383"/>
      <c r="AL185" s="1383"/>
      <c r="AM185" s="1383"/>
    </row>
    <row r="186" spans="2:39" ht="15.75" x14ac:dyDescent="0.25">
      <c r="B186" s="1372"/>
      <c r="C186" s="1372"/>
      <c r="D186" s="1717"/>
      <c r="E186" s="1420"/>
      <c r="F186" s="1493"/>
      <c r="G186" s="1493"/>
      <c r="H186" s="1493"/>
      <c r="I186" s="1493"/>
      <c r="J186" s="1493"/>
      <c r="K186" s="1493"/>
      <c r="L186" s="1493"/>
      <c r="M186" s="1493"/>
      <c r="N186" s="1493"/>
      <c r="O186" s="1493"/>
      <c r="P186" s="1383"/>
      <c r="Q186" s="1383"/>
      <c r="R186" s="1383"/>
      <c r="S186" s="1383"/>
      <c r="T186" s="1383"/>
      <c r="U186" s="1383"/>
      <c r="V186" s="1383"/>
      <c r="W186" s="1383"/>
      <c r="X186" s="1383"/>
      <c r="Y186" s="1383"/>
      <c r="Z186" s="1383"/>
      <c r="AA186" s="1383"/>
      <c r="AB186" s="1383"/>
      <c r="AC186" s="1383"/>
      <c r="AD186" s="1383"/>
      <c r="AE186" s="1383"/>
      <c r="AF186" s="1383"/>
      <c r="AG186" s="1383"/>
      <c r="AH186" s="1383"/>
      <c r="AI186" s="1383"/>
      <c r="AJ186" s="1383"/>
      <c r="AK186" s="1383"/>
      <c r="AL186" s="1383"/>
      <c r="AM186" s="1383"/>
    </row>
    <row r="187" spans="2:39" ht="15.75" x14ac:dyDescent="0.25">
      <c r="B187" s="1372"/>
      <c r="C187" s="1372"/>
      <c r="D187" s="1717"/>
      <c r="E187" s="1420"/>
      <c r="F187" s="1493"/>
      <c r="G187" s="1493"/>
      <c r="H187" s="1493"/>
      <c r="I187" s="1493"/>
      <c r="J187" s="1493"/>
      <c r="K187" s="1493"/>
      <c r="L187" s="1493"/>
      <c r="M187" s="1493"/>
      <c r="N187" s="1493"/>
      <c r="O187" s="1493"/>
      <c r="P187" s="1383"/>
      <c r="Q187" s="1383"/>
      <c r="R187" s="1383"/>
      <c r="S187" s="1383"/>
      <c r="T187" s="1383"/>
      <c r="U187" s="1383"/>
      <c r="V187" s="1383"/>
      <c r="W187" s="1383"/>
      <c r="X187" s="1383"/>
      <c r="Y187" s="1383"/>
      <c r="Z187" s="1383"/>
      <c r="AA187" s="1383"/>
      <c r="AB187" s="1383"/>
      <c r="AC187" s="1383"/>
      <c r="AD187" s="1383"/>
      <c r="AE187" s="1383"/>
      <c r="AF187" s="1383"/>
      <c r="AG187" s="1383"/>
      <c r="AH187" s="1383"/>
      <c r="AI187" s="1383"/>
      <c r="AJ187" s="1383"/>
      <c r="AK187" s="1383"/>
      <c r="AL187" s="1383"/>
      <c r="AM187" s="1383"/>
    </row>
    <row r="188" spans="2:39" ht="15.75" x14ac:dyDescent="0.25">
      <c r="B188" s="1372"/>
      <c r="C188" s="1372"/>
      <c r="D188" s="1717"/>
      <c r="E188" s="1420"/>
      <c r="F188" s="1493"/>
      <c r="G188" s="1493"/>
      <c r="H188" s="1493"/>
      <c r="I188" s="1493"/>
      <c r="J188" s="1493"/>
      <c r="K188" s="1493"/>
      <c r="L188" s="1493"/>
      <c r="M188" s="1493"/>
      <c r="N188" s="1493"/>
      <c r="O188" s="1493"/>
      <c r="P188" s="1383"/>
      <c r="Q188" s="1383"/>
      <c r="R188" s="1383"/>
      <c r="S188" s="1383"/>
      <c r="T188" s="1383"/>
      <c r="U188" s="1383"/>
      <c r="V188" s="1383"/>
      <c r="W188" s="1383"/>
      <c r="X188" s="1383"/>
      <c r="Y188" s="1383"/>
      <c r="Z188" s="1383"/>
      <c r="AA188" s="1383"/>
      <c r="AB188" s="1383"/>
      <c r="AC188" s="1383"/>
      <c r="AD188" s="1383"/>
      <c r="AE188" s="1383"/>
      <c r="AF188" s="1383"/>
      <c r="AG188" s="1383"/>
      <c r="AH188" s="1383"/>
      <c r="AI188" s="1383"/>
      <c r="AJ188" s="1383"/>
      <c r="AK188" s="1383"/>
      <c r="AL188" s="1383"/>
      <c r="AM188" s="1383"/>
    </row>
    <row r="189" spans="2:39" ht="15.75" x14ac:dyDescent="0.25">
      <c r="B189" s="1372"/>
      <c r="C189" s="1372"/>
      <c r="D189" s="1717"/>
      <c r="E189" s="1420"/>
      <c r="F189" s="1493"/>
      <c r="G189" s="1493"/>
      <c r="H189" s="1493"/>
      <c r="I189" s="1493"/>
      <c r="J189" s="1493"/>
      <c r="K189" s="1493"/>
      <c r="L189" s="1493"/>
      <c r="M189" s="1493"/>
      <c r="N189" s="1493"/>
      <c r="O189" s="1493"/>
      <c r="P189" s="1383"/>
      <c r="Q189" s="1383"/>
      <c r="R189" s="1383"/>
      <c r="S189" s="1383"/>
      <c r="T189" s="1383"/>
      <c r="U189" s="1383"/>
      <c r="V189" s="1383"/>
      <c r="W189" s="1383"/>
      <c r="X189" s="1383"/>
      <c r="Y189" s="1383"/>
      <c r="Z189" s="1383"/>
      <c r="AA189" s="1383"/>
      <c r="AB189" s="1383"/>
      <c r="AC189" s="1383"/>
      <c r="AD189" s="1383"/>
      <c r="AE189" s="1383"/>
      <c r="AF189" s="1383"/>
      <c r="AG189" s="1383"/>
      <c r="AH189" s="1383"/>
      <c r="AI189" s="1383"/>
      <c r="AJ189" s="1383"/>
      <c r="AK189" s="1383"/>
      <c r="AL189" s="1383"/>
      <c r="AM189" s="1383"/>
    </row>
    <row r="190" spans="2:39" ht="15.75" x14ac:dyDescent="0.25">
      <c r="B190" s="1372"/>
      <c r="C190" s="1372"/>
      <c r="D190" s="1717"/>
      <c r="E190" s="1420"/>
      <c r="F190" s="1493"/>
      <c r="G190" s="1493"/>
      <c r="H190" s="1493"/>
      <c r="I190" s="1493"/>
      <c r="J190" s="1493"/>
      <c r="K190" s="1493"/>
      <c r="L190" s="1493"/>
      <c r="M190" s="1493"/>
      <c r="N190" s="1493"/>
      <c r="O190" s="1493"/>
      <c r="P190" s="1383"/>
      <c r="Q190" s="1383"/>
      <c r="R190" s="1383"/>
      <c r="S190" s="1383"/>
      <c r="T190" s="1383"/>
      <c r="U190" s="1383"/>
      <c r="V190" s="1383"/>
      <c r="W190" s="1383"/>
      <c r="X190" s="1383"/>
      <c r="Y190" s="1383"/>
      <c r="Z190" s="1383"/>
      <c r="AA190" s="1383"/>
      <c r="AB190" s="1383"/>
      <c r="AC190" s="1383"/>
      <c r="AD190" s="1383"/>
      <c r="AE190" s="1383"/>
      <c r="AF190" s="1383"/>
      <c r="AG190" s="1383"/>
      <c r="AH190" s="1383"/>
      <c r="AI190" s="1383"/>
      <c r="AJ190" s="1383"/>
      <c r="AK190" s="1383"/>
      <c r="AL190" s="1383"/>
      <c r="AM190" s="1383"/>
    </row>
    <row r="191" spans="2:39" ht="15.75" x14ac:dyDescent="0.25">
      <c r="B191" s="1372"/>
      <c r="C191" s="1372"/>
      <c r="D191" s="1717"/>
      <c r="E191" s="1420"/>
      <c r="F191" s="1493"/>
      <c r="G191" s="1493"/>
      <c r="H191" s="1493"/>
      <c r="I191" s="1493"/>
      <c r="J191" s="1493"/>
      <c r="K191" s="1493"/>
      <c r="L191" s="1493"/>
      <c r="M191" s="1493"/>
      <c r="N191" s="1493"/>
      <c r="O191" s="1493"/>
      <c r="P191" s="1383"/>
      <c r="Q191" s="1383"/>
      <c r="R191" s="1383"/>
      <c r="S191" s="1383"/>
      <c r="T191" s="1383"/>
      <c r="U191" s="1383"/>
      <c r="V191" s="1383"/>
      <c r="W191" s="1383"/>
      <c r="X191" s="1383"/>
      <c r="Y191" s="1383"/>
      <c r="Z191" s="1383"/>
      <c r="AA191" s="1383"/>
      <c r="AB191" s="1383"/>
      <c r="AC191" s="1383"/>
      <c r="AD191" s="1383"/>
      <c r="AE191" s="1383"/>
      <c r="AF191" s="1383"/>
      <c r="AG191" s="1383"/>
      <c r="AH191" s="1383"/>
      <c r="AI191" s="1383"/>
      <c r="AJ191" s="1383"/>
      <c r="AK191" s="1383"/>
      <c r="AL191" s="1383"/>
      <c r="AM191" s="1383"/>
    </row>
    <row r="192" spans="2:39" ht="15.75" x14ac:dyDescent="0.25">
      <c r="B192" s="1372"/>
      <c r="C192" s="1372"/>
      <c r="D192" s="1717"/>
      <c r="E192" s="1420"/>
      <c r="F192" s="1493"/>
      <c r="G192" s="1493"/>
      <c r="H192" s="1493"/>
      <c r="I192" s="1493"/>
      <c r="J192" s="1493"/>
      <c r="K192" s="1493"/>
      <c r="L192" s="1493"/>
      <c r="M192" s="1493"/>
      <c r="N192" s="1493"/>
      <c r="O192" s="1493"/>
      <c r="P192" s="1383"/>
      <c r="Q192" s="1383"/>
      <c r="R192" s="1383"/>
      <c r="S192" s="1383"/>
      <c r="T192" s="1383"/>
      <c r="U192" s="1383"/>
      <c r="V192" s="1383"/>
      <c r="W192" s="1383"/>
      <c r="X192" s="1383"/>
      <c r="Y192" s="1383"/>
      <c r="Z192" s="1383"/>
      <c r="AA192" s="1383"/>
      <c r="AB192" s="1383"/>
      <c r="AC192" s="1383"/>
      <c r="AD192" s="1383"/>
      <c r="AE192" s="1383"/>
      <c r="AF192" s="1383"/>
      <c r="AG192" s="1383"/>
      <c r="AH192" s="1383"/>
      <c r="AI192" s="1383"/>
      <c r="AJ192" s="1383"/>
      <c r="AK192" s="1383"/>
      <c r="AL192" s="1383"/>
      <c r="AM192" s="1383"/>
    </row>
    <row r="193" spans="2:39" ht="15.75" x14ac:dyDescent="0.25">
      <c r="B193" s="1372"/>
      <c r="C193" s="1372"/>
      <c r="D193" s="1717"/>
      <c r="E193" s="1420"/>
      <c r="F193" s="1493"/>
      <c r="G193" s="1493"/>
      <c r="H193" s="1493"/>
      <c r="I193" s="1493"/>
      <c r="J193" s="1493"/>
      <c r="K193" s="1493"/>
      <c r="L193" s="1493"/>
      <c r="M193" s="1493"/>
      <c r="N193" s="1493"/>
      <c r="O193" s="1493"/>
      <c r="P193" s="1383"/>
      <c r="Q193" s="1383"/>
      <c r="R193" s="1383"/>
      <c r="S193" s="1383"/>
      <c r="T193" s="1383"/>
      <c r="U193" s="1383"/>
      <c r="V193" s="1383"/>
      <c r="W193" s="1383"/>
      <c r="X193" s="1383"/>
      <c r="Y193" s="1383"/>
      <c r="Z193" s="1383"/>
      <c r="AA193" s="1383"/>
      <c r="AB193" s="1383"/>
      <c r="AC193" s="1383"/>
      <c r="AD193" s="1383"/>
      <c r="AE193" s="1383"/>
      <c r="AF193" s="1383"/>
      <c r="AG193" s="1383"/>
      <c r="AH193" s="1383"/>
      <c r="AI193" s="1383"/>
      <c r="AJ193" s="1383"/>
      <c r="AK193" s="1383"/>
      <c r="AL193" s="1383"/>
      <c r="AM193" s="1383"/>
    </row>
    <row r="194" spans="2:39" ht="15.75" x14ac:dyDescent="0.25">
      <c r="B194" s="1372"/>
      <c r="C194" s="1372"/>
      <c r="D194" s="1717"/>
      <c r="E194" s="1420"/>
      <c r="F194" s="1493"/>
      <c r="G194" s="1493"/>
      <c r="H194" s="1493"/>
      <c r="I194" s="1493"/>
      <c r="J194" s="1493"/>
      <c r="K194" s="1493"/>
      <c r="L194" s="1493"/>
      <c r="M194" s="1493"/>
      <c r="N194" s="1493"/>
      <c r="O194" s="1493"/>
      <c r="P194" s="1383"/>
      <c r="Q194" s="1383"/>
      <c r="R194" s="1383"/>
      <c r="S194" s="1383"/>
      <c r="T194" s="1383"/>
      <c r="U194" s="1383"/>
      <c r="V194" s="1383"/>
      <c r="W194" s="1383"/>
      <c r="X194" s="1383"/>
      <c r="Y194" s="1383"/>
      <c r="Z194" s="1383"/>
      <c r="AA194" s="1383"/>
      <c r="AB194" s="1383"/>
      <c r="AC194" s="1383"/>
      <c r="AD194" s="1383"/>
      <c r="AE194" s="1383"/>
      <c r="AF194" s="1383"/>
      <c r="AG194" s="1383"/>
      <c r="AH194" s="1383"/>
      <c r="AI194" s="1383"/>
      <c r="AJ194" s="1383"/>
      <c r="AK194" s="1383"/>
      <c r="AL194" s="1383"/>
      <c r="AM194" s="1383"/>
    </row>
    <row r="195" spans="2:39" ht="15.75" x14ac:dyDescent="0.25">
      <c r="B195" s="1372"/>
      <c r="C195" s="1372"/>
      <c r="D195" s="1717"/>
      <c r="E195" s="1420"/>
      <c r="F195" s="1493"/>
      <c r="G195" s="1493"/>
      <c r="H195" s="1493"/>
      <c r="I195" s="1493"/>
      <c r="J195" s="1493"/>
      <c r="K195" s="1493"/>
      <c r="L195" s="1493"/>
      <c r="M195" s="1493"/>
      <c r="N195" s="1493"/>
      <c r="O195" s="1493"/>
      <c r="P195" s="1383"/>
      <c r="Q195" s="1383"/>
      <c r="R195" s="1383"/>
      <c r="S195" s="1383"/>
      <c r="T195" s="1383"/>
      <c r="U195" s="1383"/>
      <c r="V195" s="1383"/>
      <c r="W195" s="1383"/>
      <c r="X195" s="1383"/>
      <c r="Y195" s="1383"/>
      <c r="Z195" s="1383"/>
      <c r="AA195" s="1383"/>
      <c r="AB195" s="1383"/>
      <c r="AC195" s="1383"/>
      <c r="AD195" s="1383"/>
      <c r="AE195" s="1383"/>
      <c r="AF195" s="1383"/>
      <c r="AG195" s="1383"/>
      <c r="AH195" s="1383"/>
      <c r="AI195" s="1383"/>
      <c r="AJ195" s="1383"/>
      <c r="AK195" s="1383"/>
      <c r="AL195" s="1383"/>
      <c r="AM195" s="1383"/>
    </row>
    <row r="196" spans="2:39" ht="15.75" x14ac:dyDescent="0.25">
      <c r="B196" s="1372"/>
      <c r="C196" s="1372"/>
      <c r="D196" s="1717"/>
      <c r="E196" s="1420"/>
      <c r="F196" s="1493"/>
      <c r="G196" s="1493"/>
      <c r="H196" s="1493"/>
      <c r="I196" s="1493"/>
      <c r="J196" s="1493"/>
      <c r="K196" s="1493"/>
      <c r="L196" s="1493"/>
      <c r="M196" s="1493"/>
      <c r="N196" s="1493"/>
      <c r="O196" s="1493"/>
      <c r="P196" s="1383"/>
      <c r="Q196" s="1383"/>
      <c r="R196" s="1383"/>
      <c r="S196" s="1383"/>
      <c r="T196" s="1383"/>
      <c r="U196" s="1383"/>
      <c r="V196" s="1383"/>
      <c r="W196" s="1383"/>
      <c r="X196" s="1383"/>
      <c r="Y196" s="1383"/>
      <c r="Z196" s="1383"/>
      <c r="AA196" s="1383"/>
      <c r="AB196" s="1383"/>
      <c r="AC196" s="1383"/>
      <c r="AD196" s="1383"/>
      <c r="AE196" s="1383"/>
      <c r="AF196" s="1383"/>
      <c r="AG196" s="1383"/>
      <c r="AH196" s="1383"/>
      <c r="AI196" s="1383"/>
      <c r="AJ196" s="1383"/>
      <c r="AK196" s="1383"/>
      <c r="AL196" s="1383"/>
      <c r="AM196" s="1383"/>
    </row>
    <row r="197" spans="2:39" ht="15.75" x14ac:dyDescent="0.25">
      <c r="B197" s="1372"/>
      <c r="C197" s="1372"/>
      <c r="D197" s="1717"/>
      <c r="E197" s="1420"/>
      <c r="F197" s="1493"/>
      <c r="G197" s="1493"/>
      <c r="H197" s="1493"/>
      <c r="I197" s="1493"/>
      <c r="J197" s="1493"/>
      <c r="K197" s="1493"/>
      <c r="L197" s="1493"/>
      <c r="M197" s="1493"/>
      <c r="N197" s="1493"/>
      <c r="O197" s="1493"/>
      <c r="P197" s="1383"/>
      <c r="Q197" s="1383"/>
      <c r="R197" s="1383"/>
      <c r="S197" s="1383"/>
      <c r="T197" s="1383"/>
      <c r="U197" s="1383"/>
      <c r="V197" s="1383"/>
      <c r="W197" s="1383"/>
      <c r="X197" s="1383"/>
      <c r="Y197" s="1383"/>
      <c r="Z197" s="1383"/>
      <c r="AA197" s="1383"/>
      <c r="AB197" s="1383"/>
      <c r="AC197" s="1383"/>
      <c r="AD197" s="1383"/>
      <c r="AE197" s="1383"/>
      <c r="AF197" s="1383"/>
      <c r="AG197" s="1383"/>
      <c r="AH197" s="1383"/>
      <c r="AI197" s="1383"/>
      <c r="AJ197" s="1383"/>
      <c r="AK197" s="1383"/>
      <c r="AL197" s="1383"/>
      <c r="AM197" s="1383"/>
    </row>
    <row r="198" spans="2:39" ht="15.75" x14ac:dyDescent="0.25">
      <c r="B198" s="1372"/>
      <c r="C198" s="1372"/>
      <c r="D198" s="1717"/>
      <c r="E198" s="1420"/>
      <c r="F198" s="1493"/>
      <c r="G198" s="1493"/>
      <c r="H198" s="1493"/>
      <c r="I198" s="1493"/>
      <c r="J198" s="1493"/>
      <c r="K198" s="1493"/>
      <c r="L198" s="1493"/>
      <c r="M198" s="1493"/>
      <c r="N198" s="1493"/>
      <c r="O198" s="1493"/>
      <c r="P198" s="1383"/>
      <c r="Q198" s="1383"/>
      <c r="R198" s="1383"/>
      <c r="S198" s="1383"/>
      <c r="T198" s="1383"/>
      <c r="U198" s="1383"/>
      <c r="V198" s="1383"/>
      <c r="W198" s="1383"/>
      <c r="X198" s="1383"/>
      <c r="Y198" s="1383"/>
      <c r="Z198" s="1383"/>
      <c r="AA198" s="1383"/>
      <c r="AB198" s="1383"/>
      <c r="AC198" s="1383"/>
      <c r="AD198" s="1383"/>
      <c r="AE198" s="1383"/>
      <c r="AF198" s="1383"/>
      <c r="AG198" s="1383"/>
      <c r="AH198" s="1383"/>
      <c r="AI198" s="1383"/>
      <c r="AJ198" s="1383"/>
      <c r="AK198" s="1383"/>
      <c r="AL198" s="1383"/>
      <c r="AM198" s="1383"/>
    </row>
    <row r="199" spans="2:39" ht="15.75" x14ac:dyDescent="0.25">
      <c r="B199" s="1372"/>
      <c r="C199" s="1372"/>
      <c r="D199" s="1717"/>
      <c r="E199" s="1420"/>
      <c r="F199" s="1493"/>
      <c r="G199" s="1493"/>
      <c r="H199" s="1493"/>
      <c r="I199" s="1493"/>
      <c r="J199" s="1493"/>
      <c r="K199" s="1493"/>
      <c r="L199" s="1493"/>
      <c r="M199" s="1493"/>
      <c r="N199" s="1493"/>
      <c r="O199" s="1493"/>
      <c r="P199" s="1383"/>
      <c r="Q199" s="1383"/>
      <c r="R199" s="1383"/>
      <c r="S199" s="1383"/>
      <c r="T199" s="1383"/>
      <c r="U199" s="1383"/>
      <c r="V199" s="1383"/>
      <c r="W199" s="1383"/>
      <c r="X199" s="1383"/>
      <c r="Y199" s="1383"/>
      <c r="Z199" s="1383"/>
      <c r="AA199" s="1383"/>
      <c r="AB199" s="1383"/>
      <c r="AC199" s="1383"/>
      <c r="AD199" s="1383"/>
      <c r="AE199" s="1383"/>
      <c r="AF199" s="1383"/>
      <c r="AG199" s="1383"/>
      <c r="AH199" s="1383"/>
      <c r="AI199" s="1383"/>
      <c r="AJ199" s="1383"/>
      <c r="AK199" s="1383"/>
      <c r="AL199" s="1383"/>
      <c r="AM199" s="1383"/>
    </row>
    <row r="200" spans="2:39" ht="15.75" x14ac:dyDescent="0.25">
      <c r="B200" s="1372"/>
      <c r="C200" s="1372"/>
      <c r="D200" s="1717"/>
      <c r="E200" s="1420"/>
      <c r="F200" s="1493"/>
      <c r="G200" s="1493"/>
      <c r="H200" s="1493"/>
      <c r="I200" s="1493"/>
      <c r="J200" s="1493"/>
      <c r="K200" s="1493"/>
      <c r="L200" s="1493"/>
      <c r="M200" s="1493"/>
      <c r="N200" s="1493"/>
      <c r="O200" s="1493"/>
      <c r="P200" s="1383"/>
      <c r="Q200" s="1383"/>
      <c r="R200" s="1383"/>
      <c r="S200" s="1383"/>
      <c r="T200" s="1383"/>
      <c r="U200" s="1383"/>
      <c r="V200" s="1383"/>
      <c r="W200" s="1383"/>
      <c r="X200" s="1383"/>
      <c r="Y200" s="1383"/>
      <c r="Z200" s="1383"/>
      <c r="AA200" s="1383"/>
      <c r="AB200" s="1383"/>
      <c r="AC200" s="1383"/>
      <c r="AD200" s="1383"/>
      <c r="AE200" s="1383"/>
      <c r="AF200" s="1383"/>
      <c r="AG200" s="1383"/>
      <c r="AH200" s="1383"/>
      <c r="AI200" s="1383"/>
      <c r="AJ200" s="1383"/>
      <c r="AK200" s="1383"/>
      <c r="AL200" s="1383"/>
      <c r="AM200" s="1383"/>
    </row>
    <row r="201" spans="2:39" ht="15.75" x14ac:dyDescent="0.25">
      <c r="B201" s="1372"/>
      <c r="C201" s="1372"/>
      <c r="D201" s="1717"/>
      <c r="E201" s="1420"/>
      <c r="F201" s="1493"/>
      <c r="G201" s="1493"/>
      <c r="H201" s="1493"/>
      <c r="I201" s="1493"/>
      <c r="J201" s="1493"/>
      <c r="K201" s="1493"/>
      <c r="L201" s="1493"/>
      <c r="M201" s="1493"/>
      <c r="N201" s="1493"/>
      <c r="O201" s="1493"/>
      <c r="P201" s="1383"/>
      <c r="Q201" s="1383"/>
      <c r="R201" s="1383"/>
      <c r="S201" s="1383"/>
      <c r="T201" s="1383"/>
      <c r="U201" s="1383"/>
      <c r="V201" s="1383"/>
      <c r="W201" s="1383"/>
      <c r="X201" s="1383"/>
      <c r="Y201" s="1383"/>
      <c r="Z201" s="1383"/>
      <c r="AA201" s="1383"/>
      <c r="AB201" s="1383"/>
      <c r="AC201" s="1383"/>
      <c r="AD201" s="1383"/>
      <c r="AE201" s="1383"/>
      <c r="AF201" s="1383"/>
      <c r="AG201" s="1383"/>
      <c r="AH201" s="1383"/>
      <c r="AI201" s="1383"/>
      <c r="AJ201" s="1383"/>
      <c r="AK201" s="1383"/>
      <c r="AL201" s="1383"/>
      <c r="AM201" s="1383"/>
    </row>
    <row r="202" spans="2:39" ht="15.75" x14ac:dyDescent="0.25">
      <c r="B202" s="1372"/>
      <c r="C202" s="1372"/>
      <c r="D202" s="1717"/>
      <c r="E202" s="1420"/>
      <c r="F202" s="1493"/>
      <c r="G202" s="1493"/>
      <c r="H202" s="1493"/>
      <c r="I202" s="1493"/>
      <c r="J202" s="1493"/>
      <c r="K202" s="1493"/>
      <c r="L202" s="1493"/>
      <c r="M202" s="1493"/>
      <c r="N202" s="1493"/>
      <c r="O202" s="1493"/>
      <c r="P202" s="1383"/>
      <c r="Q202" s="1383"/>
      <c r="R202" s="1383"/>
      <c r="S202" s="1383"/>
      <c r="T202" s="1383"/>
      <c r="U202" s="1383"/>
      <c r="V202" s="1383"/>
      <c r="W202" s="1383"/>
      <c r="X202" s="1383"/>
      <c r="Y202" s="1383"/>
      <c r="Z202" s="1383"/>
      <c r="AA202" s="1383"/>
      <c r="AB202" s="1383"/>
      <c r="AC202" s="1383"/>
      <c r="AD202" s="1383"/>
      <c r="AE202" s="1383"/>
      <c r="AF202" s="1383"/>
      <c r="AG202" s="1383"/>
      <c r="AH202" s="1383"/>
      <c r="AI202" s="1383"/>
      <c r="AJ202" s="1383"/>
      <c r="AK202" s="1383"/>
      <c r="AL202" s="1383"/>
      <c r="AM202" s="1383"/>
    </row>
    <row r="203" spans="2:39" ht="15.75" x14ac:dyDescent="0.25">
      <c r="B203" s="1372"/>
      <c r="C203" s="1372"/>
      <c r="D203" s="1717"/>
      <c r="E203" s="1420"/>
      <c r="F203" s="1493"/>
      <c r="G203" s="1493"/>
      <c r="H203" s="1493"/>
      <c r="I203" s="1493"/>
      <c r="J203" s="1493"/>
      <c r="K203" s="1493"/>
      <c r="L203" s="1493"/>
      <c r="M203" s="1493"/>
      <c r="N203" s="1493"/>
      <c r="O203" s="1493"/>
      <c r="P203" s="1383"/>
      <c r="Q203" s="1383"/>
      <c r="R203" s="1383"/>
      <c r="S203" s="1383"/>
      <c r="T203" s="1383"/>
      <c r="U203" s="1383"/>
      <c r="V203" s="1383"/>
      <c r="W203" s="1383"/>
      <c r="X203" s="1383"/>
      <c r="Y203" s="1383"/>
      <c r="Z203" s="1383"/>
      <c r="AA203" s="1383"/>
      <c r="AB203" s="1383"/>
      <c r="AC203" s="1383"/>
      <c r="AD203" s="1383"/>
      <c r="AE203" s="1383"/>
      <c r="AF203" s="1383"/>
      <c r="AG203" s="1383"/>
      <c r="AH203" s="1383"/>
      <c r="AI203" s="1383"/>
      <c r="AJ203" s="1383"/>
      <c r="AK203" s="1383"/>
      <c r="AL203" s="1383"/>
      <c r="AM203" s="1383"/>
    </row>
    <row r="204" spans="2:39" ht="15.75" x14ac:dyDescent="0.25">
      <c r="B204" s="1372"/>
      <c r="C204" s="1372"/>
      <c r="D204" s="1717"/>
      <c r="E204" s="1420"/>
      <c r="F204" s="1493"/>
      <c r="G204" s="1493"/>
      <c r="H204" s="1493"/>
      <c r="I204" s="1493"/>
      <c r="J204" s="1493"/>
      <c r="K204" s="1493"/>
      <c r="L204" s="1493"/>
      <c r="M204" s="1493"/>
      <c r="N204" s="1493"/>
      <c r="O204" s="1493"/>
      <c r="P204" s="1383"/>
      <c r="Q204" s="1383"/>
      <c r="R204" s="1383"/>
      <c r="S204" s="1383"/>
      <c r="T204" s="1383"/>
      <c r="U204" s="1383"/>
      <c r="V204" s="1383"/>
      <c r="W204" s="1383"/>
      <c r="X204" s="1383"/>
      <c r="Y204" s="1383"/>
      <c r="Z204" s="1383"/>
      <c r="AA204" s="1383"/>
      <c r="AB204" s="1383"/>
      <c r="AC204" s="1383"/>
      <c r="AD204" s="1383"/>
      <c r="AE204" s="1383"/>
      <c r="AF204" s="1383"/>
      <c r="AG204" s="1383"/>
      <c r="AH204" s="1383"/>
      <c r="AI204" s="1383"/>
      <c r="AJ204" s="1383"/>
      <c r="AK204" s="1383"/>
      <c r="AL204" s="1383"/>
      <c r="AM204" s="1383"/>
    </row>
    <row r="205" spans="2:39" ht="15.75" x14ac:dyDescent="0.25">
      <c r="B205" s="1372"/>
      <c r="C205" s="1372"/>
      <c r="D205" s="1717"/>
      <c r="E205" s="1420"/>
      <c r="F205" s="1493"/>
      <c r="G205" s="1493"/>
      <c r="H205" s="1493"/>
      <c r="I205" s="1493"/>
      <c r="J205" s="1493"/>
      <c r="K205" s="1493"/>
      <c r="L205" s="1493"/>
      <c r="M205" s="1493"/>
      <c r="N205" s="1493"/>
      <c r="O205" s="1493"/>
      <c r="P205" s="1383"/>
      <c r="Q205" s="1383"/>
      <c r="R205" s="1383"/>
      <c r="S205" s="1383"/>
      <c r="T205" s="1383"/>
      <c r="U205" s="1383"/>
      <c r="V205" s="1383"/>
      <c r="W205" s="1383"/>
      <c r="X205" s="1383"/>
      <c r="Y205" s="1383"/>
      <c r="Z205" s="1383"/>
      <c r="AA205" s="1383"/>
      <c r="AB205" s="1383"/>
      <c r="AC205" s="1383"/>
      <c r="AD205" s="1383"/>
      <c r="AE205" s="1383"/>
      <c r="AF205" s="1383"/>
      <c r="AG205" s="1383"/>
      <c r="AH205" s="1383"/>
      <c r="AI205" s="1383"/>
      <c r="AJ205" s="1383"/>
      <c r="AK205" s="1383"/>
      <c r="AL205" s="1383"/>
      <c r="AM205" s="1383"/>
    </row>
    <row r="206" spans="2:39" ht="15.75" x14ac:dyDescent="0.25">
      <c r="B206" s="1372"/>
      <c r="C206" s="1372"/>
      <c r="D206" s="1717"/>
      <c r="E206" s="1420"/>
      <c r="F206" s="1493"/>
      <c r="G206" s="1493"/>
      <c r="H206" s="1493"/>
      <c r="I206" s="1493"/>
      <c r="J206" s="1493"/>
      <c r="K206" s="1493"/>
      <c r="L206" s="1493"/>
      <c r="M206" s="1493"/>
      <c r="N206" s="1493"/>
      <c r="O206" s="1493"/>
      <c r="P206" s="1383"/>
      <c r="Q206" s="1383"/>
      <c r="R206" s="1383"/>
      <c r="S206" s="1383"/>
      <c r="T206" s="1383"/>
      <c r="U206" s="1383"/>
      <c r="V206" s="1383"/>
      <c r="W206" s="1383"/>
      <c r="X206" s="1383"/>
      <c r="Y206" s="1383"/>
      <c r="Z206" s="1383"/>
      <c r="AA206" s="1383"/>
      <c r="AB206" s="1383"/>
      <c r="AC206" s="1383"/>
      <c r="AD206" s="1383"/>
      <c r="AE206" s="1383"/>
      <c r="AF206" s="1383"/>
      <c r="AG206" s="1383"/>
      <c r="AH206" s="1383"/>
      <c r="AI206" s="1383"/>
      <c r="AJ206" s="1383"/>
      <c r="AK206" s="1383"/>
      <c r="AL206" s="1383"/>
      <c r="AM206" s="1383"/>
    </row>
    <row r="207" spans="2:39" ht="15.75" x14ac:dyDescent="0.25">
      <c r="B207" s="1372"/>
      <c r="C207" s="1372"/>
      <c r="D207" s="1717"/>
      <c r="E207" s="1420"/>
      <c r="F207" s="1493"/>
      <c r="G207" s="1493"/>
      <c r="H207" s="1493"/>
      <c r="I207" s="1493"/>
      <c r="J207" s="1493"/>
      <c r="K207" s="1493"/>
      <c r="L207" s="1493"/>
      <c r="M207" s="1493"/>
      <c r="N207" s="1493"/>
      <c r="O207" s="1493"/>
      <c r="P207" s="1383"/>
      <c r="Q207" s="1383"/>
      <c r="R207" s="1383"/>
      <c r="S207" s="1383"/>
      <c r="T207" s="1383"/>
      <c r="U207" s="1383"/>
      <c r="V207" s="1383"/>
      <c r="W207" s="1383"/>
      <c r="X207" s="1383"/>
      <c r="Y207" s="1383"/>
      <c r="Z207" s="1383"/>
      <c r="AA207" s="1383"/>
      <c r="AB207" s="1383"/>
      <c r="AC207" s="1383"/>
      <c r="AD207" s="1383"/>
      <c r="AE207" s="1383"/>
      <c r="AF207" s="1383"/>
      <c r="AG207" s="1383"/>
      <c r="AH207" s="1383"/>
      <c r="AI207" s="1383"/>
      <c r="AJ207" s="1383"/>
      <c r="AK207" s="1383"/>
      <c r="AL207" s="1383"/>
      <c r="AM207" s="1383"/>
    </row>
    <row r="208" spans="2:39" ht="15.75" x14ac:dyDescent="0.25">
      <c r="B208" s="1372"/>
      <c r="C208" s="1372"/>
      <c r="D208" s="1717"/>
      <c r="E208" s="1420"/>
      <c r="F208" s="1493"/>
      <c r="G208" s="1493"/>
      <c r="H208" s="1493"/>
      <c r="I208" s="1493"/>
      <c r="J208" s="1493"/>
      <c r="K208" s="1493"/>
      <c r="L208" s="1493"/>
      <c r="M208" s="1493"/>
      <c r="N208" s="1493"/>
      <c r="O208" s="1493"/>
      <c r="P208" s="1383"/>
      <c r="Q208" s="1383"/>
      <c r="R208" s="1383"/>
      <c r="S208" s="1383"/>
      <c r="T208" s="1383"/>
      <c r="U208" s="1383"/>
      <c r="V208" s="1383"/>
      <c r="W208" s="1383"/>
      <c r="X208" s="1383"/>
      <c r="Y208" s="1383"/>
      <c r="Z208" s="1383"/>
      <c r="AA208" s="1383"/>
      <c r="AB208" s="1383"/>
      <c r="AC208" s="1383"/>
      <c r="AD208" s="1383"/>
      <c r="AE208" s="1383"/>
      <c r="AF208" s="1383"/>
      <c r="AG208" s="1383"/>
      <c r="AH208" s="1383"/>
      <c r="AI208" s="1383"/>
      <c r="AJ208" s="1383"/>
      <c r="AK208" s="1383"/>
      <c r="AL208" s="1383"/>
      <c r="AM208" s="1383"/>
    </row>
    <row r="209" spans="2:39" ht="15.75" x14ac:dyDescent="0.25">
      <c r="B209" s="1372"/>
      <c r="C209" s="1372"/>
      <c r="D209" s="1717"/>
      <c r="E209" s="1420"/>
      <c r="F209" s="1493"/>
      <c r="G209" s="1493"/>
      <c r="H209" s="1493"/>
      <c r="I209" s="1493"/>
      <c r="J209" s="1493"/>
      <c r="K209" s="1493"/>
      <c r="L209" s="1493"/>
      <c r="M209" s="1493"/>
      <c r="N209" s="1493"/>
      <c r="O209" s="1493"/>
      <c r="P209" s="1383"/>
      <c r="Q209" s="1383"/>
      <c r="R209" s="1383"/>
      <c r="S209" s="1383"/>
      <c r="T209" s="1383"/>
      <c r="U209" s="1383"/>
      <c r="V209" s="1383"/>
      <c r="W209" s="1383"/>
      <c r="X209" s="1383"/>
      <c r="Y209" s="1383"/>
      <c r="Z209" s="1383"/>
      <c r="AA209" s="1383"/>
      <c r="AB209" s="1383"/>
      <c r="AC209" s="1383"/>
      <c r="AD209" s="1383"/>
      <c r="AE209" s="1383"/>
      <c r="AF209" s="1383"/>
      <c r="AG209" s="1383"/>
      <c r="AH209" s="1383"/>
      <c r="AI209" s="1383"/>
      <c r="AJ209" s="1383"/>
      <c r="AK209" s="1383"/>
      <c r="AL209" s="1383"/>
      <c r="AM209" s="1383"/>
    </row>
    <row r="210" spans="2:39" ht="15.75" x14ac:dyDescent="0.25">
      <c r="B210" s="1372"/>
      <c r="C210" s="1372"/>
      <c r="D210" s="1717"/>
      <c r="E210" s="1420"/>
      <c r="F210" s="1493"/>
      <c r="G210" s="1493"/>
      <c r="H210" s="1493"/>
      <c r="I210" s="1493"/>
      <c r="J210" s="1493"/>
      <c r="K210" s="1493"/>
      <c r="L210" s="1493"/>
      <c r="M210" s="1493"/>
      <c r="N210" s="1493"/>
      <c r="O210" s="1493"/>
      <c r="P210" s="1383"/>
      <c r="Q210" s="1383"/>
      <c r="R210" s="1383"/>
      <c r="S210" s="1383"/>
      <c r="T210" s="1383"/>
      <c r="U210" s="1383"/>
      <c r="V210" s="1383"/>
      <c r="W210" s="1383"/>
      <c r="X210" s="1383"/>
      <c r="Y210" s="1383"/>
      <c r="Z210" s="1383"/>
      <c r="AA210" s="1383"/>
      <c r="AB210" s="1383"/>
      <c r="AC210" s="1383"/>
      <c r="AD210" s="1383"/>
      <c r="AE210" s="1383"/>
      <c r="AF210" s="1383"/>
      <c r="AG210" s="1383"/>
      <c r="AH210" s="1383"/>
      <c r="AI210" s="1383"/>
      <c r="AJ210" s="1383"/>
      <c r="AK210" s="1383"/>
      <c r="AL210" s="1383"/>
      <c r="AM210" s="1383"/>
    </row>
    <row r="211" spans="2:39" ht="15.75" x14ac:dyDescent="0.25">
      <c r="B211" s="1372"/>
      <c r="C211" s="1372"/>
      <c r="D211" s="1717"/>
      <c r="E211" s="1420"/>
      <c r="F211" s="1493"/>
      <c r="G211" s="1493"/>
      <c r="H211" s="1493"/>
      <c r="I211" s="1493"/>
      <c r="J211" s="1493"/>
      <c r="K211" s="1493"/>
      <c r="L211" s="1493"/>
      <c r="M211" s="1493"/>
      <c r="N211" s="1493"/>
      <c r="O211" s="1493"/>
      <c r="P211" s="1383"/>
      <c r="Q211" s="1383"/>
      <c r="R211" s="1383"/>
      <c r="S211" s="1383"/>
      <c r="T211" s="1383"/>
      <c r="U211" s="1383"/>
      <c r="V211" s="1383"/>
      <c r="W211" s="1383"/>
      <c r="X211" s="1383"/>
      <c r="Y211" s="1383"/>
      <c r="Z211" s="1383"/>
      <c r="AA211" s="1383"/>
      <c r="AB211" s="1383"/>
      <c r="AC211" s="1383"/>
      <c r="AD211" s="1383"/>
      <c r="AE211" s="1383"/>
      <c r="AF211" s="1383"/>
      <c r="AG211" s="1383"/>
      <c r="AH211" s="1383"/>
      <c r="AI211" s="1383"/>
      <c r="AJ211" s="1383"/>
      <c r="AK211" s="1383"/>
      <c r="AL211" s="1383"/>
      <c r="AM211" s="1383"/>
    </row>
    <row r="212" spans="2:39" ht="15.75" x14ac:dyDescent="0.25">
      <c r="B212" s="1372"/>
      <c r="C212" s="1372"/>
      <c r="D212" s="1717"/>
      <c r="E212" s="1420"/>
      <c r="F212" s="1493"/>
      <c r="G212" s="1493"/>
      <c r="H212" s="1493"/>
      <c r="I212" s="1493"/>
      <c r="J212" s="1493"/>
      <c r="K212" s="1493"/>
      <c r="L212" s="1493"/>
      <c r="M212" s="1493"/>
      <c r="N212" s="1493"/>
      <c r="O212" s="1493"/>
      <c r="P212" s="1383"/>
      <c r="Q212" s="1383"/>
      <c r="R212" s="1383"/>
      <c r="S212" s="1383"/>
      <c r="T212" s="1383"/>
      <c r="U212" s="1383"/>
      <c r="V212" s="1383"/>
      <c r="W212" s="1383"/>
      <c r="X212" s="1383"/>
      <c r="Y212" s="1383"/>
      <c r="Z212" s="1383"/>
      <c r="AA212" s="1383"/>
      <c r="AB212" s="1383"/>
      <c r="AC212" s="1383"/>
      <c r="AD212" s="1383"/>
      <c r="AE212" s="1383"/>
      <c r="AF212" s="1383"/>
      <c r="AG212" s="1383"/>
      <c r="AH212" s="1383"/>
      <c r="AI212" s="1383"/>
      <c r="AJ212" s="1383"/>
      <c r="AK212" s="1383"/>
      <c r="AL212" s="1383"/>
      <c r="AM212" s="1383"/>
    </row>
    <row r="213" spans="2:39" ht="15.75" x14ac:dyDescent="0.25">
      <c r="B213" s="1372"/>
      <c r="C213" s="1372"/>
      <c r="D213" s="1717"/>
      <c r="E213" s="1420"/>
      <c r="F213" s="1493"/>
      <c r="G213" s="1493"/>
      <c r="H213" s="1493"/>
      <c r="I213" s="1493"/>
      <c r="J213" s="1493"/>
      <c r="K213" s="1493"/>
      <c r="L213" s="1493"/>
      <c r="M213" s="1493"/>
      <c r="N213" s="1493"/>
      <c r="O213" s="1493"/>
      <c r="P213" s="1383"/>
      <c r="Q213" s="1383"/>
      <c r="R213" s="1383"/>
      <c r="S213" s="1383"/>
      <c r="T213" s="1383"/>
      <c r="U213" s="1383"/>
      <c r="V213" s="1383"/>
      <c r="W213" s="1383"/>
      <c r="X213" s="1383"/>
      <c r="Y213" s="1383"/>
      <c r="Z213" s="1383"/>
      <c r="AA213" s="1383"/>
      <c r="AB213" s="1383"/>
      <c r="AC213" s="1383"/>
      <c r="AD213" s="1383"/>
      <c r="AE213" s="1383"/>
      <c r="AF213" s="1383"/>
      <c r="AG213" s="1383"/>
      <c r="AH213" s="1383"/>
      <c r="AI213" s="1383"/>
      <c r="AJ213" s="1383"/>
      <c r="AK213" s="1383"/>
      <c r="AL213" s="1383"/>
      <c r="AM213" s="1383"/>
    </row>
    <row r="214" spans="2:39" ht="15.75" x14ac:dyDescent="0.25">
      <c r="B214" s="1372"/>
      <c r="C214" s="1372"/>
      <c r="D214" s="1717"/>
      <c r="E214" s="1420"/>
      <c r="F214" s="1493"/>
      <c r="G214" s="1493"/>
      <c r="H214" s="1493"/>
      <c r="I214" s="1493"/>
      <c r="J214" s="1493"/>
      <c r="K214" s="1493"/>
      <c r="L214" s="1493"/>
      <c r="M214" s="1493"/>
      <c r="N214" s="1493"/>
      <c r="O214" s="1493"/>
      <c r="P214" s="1383"/>
      <c r="Q214" s="1383"/>
      <c r="R214" s="1383"/>
      <c r="S214" s="1383"/>
      <c r="T214" s="1383"/>
      <c r="U214" s="1383"/>
      <c r="V214" s="1383"/>
      <c r="W214" s="1383"/>
      <c r="X214" s="1383"/>
      <c r="Y214" s="1383"/>
      <c r="Z214" s="1383"/>
      <c r="AA214" s="1383"/>
      <c r="AB214" s="1383"/>
      <c r="AC214" s="1383"/>
      <c r="AD214" s="1383"/>
      <c r="AE214" s="1383"/>
      <c r="AF214" s="1383"/>
      <c r="AG214" s="1383"/>
      <c r="AH214" s="1383"/>
      <c r="AI214" s="1383"/>
      <c r="AJ214" s="1383"/>
      <c r="AK214" s="1383"/>
      <c r="AL214" s="1383"/>
      <c r="AM214" s="1383"/>
    </row>
    <row r="215" spans="2:39" ht="15.75" x14ac:dyDescent="0.25">
      <c r="B215" s="1372"/>
      <c r="C215" s="1372"/>
      <c r="D215" s="1717"/>
      <c r="E215" s="1420"/>
      <c r="F215" s="1493"/>
      <c r="G215" s="1493"/>
      <c r="H215" s="1493"/>
      <c r="I215" s="1493"/>
      <c r="J215" s="1493"/>
      <c r="K215" s="1493"/>
      <c r="L215" s="1493"/>
      <c r="M215" s="1493"/>
      <c r="N215" s="1493"/>
      <c r="O215" s="1493"/>
      <c r="P215" s="1383"/>
      <c r="Q215" s="1383"/>
      <c r="R215" s="1383"/>
      <c r="S215" s="1383"/>
      <c r="T215" s="1383"/>
      <c r="U215" s="1383"/>
      <c r="V215" s="1383"/>
      <c r="W215" s="1383"/>
      <c r="X215" s="1383"/>
      <c r="Y215" s="1383"/>
      <c r="Z215" s="1383"/>
      <c r="AA215" s="1383"/>
      <c r="AB215" s="1383"/>
      <c r="AC215" s="1383"/>
      <c r="AD215" s="1383"/>
      <c r="AE215" s="1383"/>
      <c r="AF215" s="1383"/>
      <c r="AG215" s="1383"/>
      <c r="AH215" s="1383"/>
      <c r="AI215" s="1383"/>
      <c r="AJ215" s="1383"/>
      <c r="AK215" s="1383"/>
      <c r="AL215" s="1383"/>
      <c r="AM215" s="1383"/>
    </row>
    <row r="216" spans="2:39" ht="15.75" x14ac:dyDescent="0.25">
      <c r="B216" s="1372"/>
      <c r="C216" s="1372"/>
      <c r="D216" s="1717"/>
      <c r="E216" s="1420"/>
      <c r="F216" s="1493"/>
      <c r="G216" s="1493"/>
      <c r="H216" s="1493"/>
      <c r="I216" s="1493"/>
      <c r="J216" s="1493"/>
      <c r="K216" s="1493"/>
      <c r="L216" s="1493"/>
      <c r="M216" s="1493"/>
      <c r="N216" s="1493"/>
      <c r="O216" s="1493"/>
      <c r="P216" s="1383"/>
      <c r="Q216" s="1383"/>
      <c r="R216" s="1383"/>
      <c r="S216" s="1383"/>
      <c r="T216" s="1383"/>
      <c r="U216" s="1383"/>
      <c r="V216" s="1383"/>
      <c r="W216" s="1383"/>
      <c r="X216" s="1383"/>
      <c r="Y216" s="1383"/>
      <c r="Z216" s="1383"/>
      <c r="AA216" s="1383"/>
      <c r="AB216" s="1383"/>
      <c r="AC216" s="1383"/>
      <c r="AD216" s="1383"/>
      <c r="AE216" s="1383"/>
      <c r="AF216" s="1383"/>
      <c r="AG216" s="1383"/>
      <c r="AH216" s="1383"/>
      <c r="AI216" s="1383"/>
      <c r="AJ216" s="1383"/>
      <c r="AK216" s="1383"/>
      <c r="AL216" s="1383"/>
      <c r="AM216" s="1383"/>
    </row>
    <row r="217" spans="2:39" ht="15.75" x14ac:dyDescent="0.25">
      <c r="B217" s="1372"/>
      <c r="C217" s="1372"/>
      <c r="D217" s="1717"/>
      <c r="E217" s="1420"/>
      <c r="F217" s="1493"/>
      <c r="G217" s="1493"/>
      <c r="H217" s="1493"/>
      <c r="I217" s="1493"/>
      <c r="J217" s="1493"/>
      <c r="K217" s="1493"/>
      <c r="L217" s="1493"/>
      <c r="M217" s="1493"/>
      <c r="N217" s="1493"/>
      <c r="O217" s="1493"/>
      <c r="P217" s="1383"/>
      <c r="Q217" s="1383"/>
      <c r="R217" s="1383"/>
      <c r="S217" s="1383"/>
      <c r="T217" s="1383"/>
      <c r="U217" s="1383"/>
      <c r="V217" s="1383"/>
      <c r="W217" s="1383"/>
      <c r="X217" s="1383"/>
      <c r="Y217" s="1383"/>
      <c r="Z217" s="1383"/>
      <c r="AA217" s="1383"/>
      <c r="AB217" s="1383"/>
      <c r="AC217" s="1383"/>
      <c r="AD217" s="1383"/>
      <c r="AE217" s="1383"/>
      <c r="AF217" s="1383"/>
      <c r="AG217" s="1383"/>
      <c r="AH217" s="1383"/>
      <c r="AI217" s="1383"/>
      <c r="AJ217" s="1383"/>
      <c r="AK217" s="1383"/>
      <c r="AL217" s="1383"/>
      <c r="AM217" s="1383"/>
    </row>
    <row r="218" spans="2:39" ht="15.75" x14ac:dyDescent="0.25">
      <c r="B218" s="1372"/>
      <c r="C218" s="1372"/>
      <c r="D218" s="1717"/>
      <c r="E218" s="1420"/>
      <c r="F218" s="1493"/>
      <c r="G218" s="1493"/>
      <c r="H218" s="1493"/>
      <c r="I218" s="1493"/>
      <c r="J218" s="1493"/>
      <c r="K218" s="1493"/>
      <c r="L218" s="1493"/>
      <c r="M218" s="1493"/>
      <c r="N218" s="1493"/>
      <c r="O218" s="1493"/>
      <c r="P218" s="1383"/>
      <c r="Q218" s="1383"/>
      <c r="R218" s="1383"/>
      <c r="S218" s="1383"/>
      <c r="T218" s="1383"/>
      <c r="U218" s="1383"/>
      <c r="V218" s="1383"/>
      <c r="W218" s="1383"/>
      <c r="X218" s="1383"/>
      <c r="Y218" s="1383"/>
      <c r="Z218" s="1383"/>
      <c r="AA218" s="1383"/>
      <c r="AB218" s="1383"/>
      <c r="AC218" s="1383"/>
      <c r="AD218" s="1383"/>
      <c r="AE218" s="1383"/>
      <c r="AF218" s="1383"/>
      <c r="AG218" s="1383"/>
      <c r="AH218" s="1383"/>
      <c r="AI218" s="1383"/>
      <c r="AJ218" s="1383"/>
      <c r="AK218" s="1383"/>
      <c r="AL218" s="1383"/>
      <c r="AM218" s="1383"/>
    </row>
    <row r="219" spans="2:39" ht="15.75" x14ac:dyDescent="0.25">
      <c r="B219" s="1372"/>
      <c r="C219" s="1372"/>
      <c r="D219" s="1717"/>
      <c r="E219" s="1420"/>
      <c r="F219" s="1493"/>
      <c r="G219" s="1493"/>
      <c r="H219" s="1493"/>
      <c r="I219" s="1493"/>
      <c r="J219" s="1493"/>
      <c r="K219" s="1493"/>
      <c r="L219" s="1493"/>
      <c r="M219" s="1493"/>
      <c r="N219" s="1493"/>
      <c r="O219" s="1493"/>
      <c r="P219" s="1383"/>
      <c r="Q219" s="1383"/>
      <c r="R219" s="1383"/>
      <c r="S219" s="1383"/>
      <c r="T219" s="1383"/>
      <c r="U219" s="1383"/>
      <c r="V219" s="1383"/>
      <c r="W219" s="1383"/>
      <c r="X219" s="1383"/>
      <c r="Y219" s="1383"/>
      <c r="Z219" s="1383"/>
      <c r="AA219" s="1383"/>
      <c r="AB219" s="1383"/>
      <c r="AC219" s="1383"/>
      <c r="AD219" s="1383"/>
      <c r="AE219" s="1383"/>
      <c r="AF219" s="1383"/>
      <c r="AG219" s="1383"/>
      <c r="AH219" s="1383"/>
      <c r="AI219" s="1383"/>
      <c r="AJ219" s="1383"/>
      <c r="AK219" s="1383"/>
      <c r="AL219" s="1383"/>
      <c r="AM219" s="1383"/>
    </row>
    <row r="220" spans="2:39" ht="15.75" x14ac:dyDescent="0.25">
      <c r="B220" s="1372"/>
      <c r="C220" s="1372"/>
      <c r="D220" s="1717"/>
      <c r="E220" s="1420"/>
      <c r="F220" s="1493"/>
      <c r="G220" s="1493"/>
      <c r="H220" s="1493"/>
      <c r="I220" s="1493"/>
      <c r="J220" s="1493"/>
      <c r="K220" s="1493"/>
      <c r="L220" s="1493"/>
      <c r="M220" s="1493"/>
      <c r="N220" s="1493"/>
      <c r="O220" s="1493"/>
      <c r="P220" s="1383"/>
      <c r="Q220" s="1383"/>
      <c r="R220" s="1383"/>
      <c r="S220" s="1383"/>
      <c r="T220" s="1383"/>
      <c r="U220" s="1383"/>
      <c r="V220" s="1383"/>
      <c r="W220" s="1383"/>
      <c r="X220" s="1383"/>
      <c r="Y220" s="1383"/>
      <c r="Z220" s="1383"/>
      <c r="AA220" s="1383"/>
      <c r="AB220" s="1383"/>
      <c r="AC220" s="1383"/>
      <c r="AD220" s="1383"/>
      <c r="AE220" s="1383"/>
      <c r="AF220" s="1383"/>
      <c r="AG220" s="1383"/>
      <c r="AH220" s="1383"/>
      <c r="AI220" s="1383"/>
      <c r="AJ220" s="1383"/>
      <c r="AK220" s="1383"/>
      <c r="AL220" s="1383"/>
      <c r="AM220" s="1383"/>
    </row>
    <row r="221" spans="2:39" ht="15.75" x14ac:dyDescent="0.25">
      <c r="B221" s="1372"/>
      <c r="C221" s="1372"/>
      <c r="D221" s="1717"/>
      <c r="E221" s="1420"/>
      <c r="F221" s="1493"/>
      <c r="G221" s="1493"/>
      <c r="H221" s="1493"/>
      <c r="I221" s="1493"/>
      <c r="J221" s="1493"/>
      <c r="K221" s="1493"/>
      <c r="L221" s="1493"/>
      <c r="M221" s="1493"/>
      <c r="N221" s="1493"/>
      <c r="O221" s="1493"/>
      <c r="P221" s="1383"/>
      <c r="Q221" s="1383"/>
      <c r="R221" s="1383"/>
      <c r="S221" s="1383"/>
      <c r="T221" s="1383"/>
      <c r="U221" s="1383"/>
      <c r="V221" s="1383"/>
      <c r="W221" s="1383"/>
      <c r="X221" s="1383"/>
      <c r="Y221" s="1383"/>
      <c r="Z221" s="1383"/>
      <c r="AA221" s="1383"/>
      <c r="AB221" s="1383"/>
      <c r="AC221" s="1383"/>
      <c r="AD221" s="1383"/>
      <c r="AE221" s="1383"/>
      <c r="AF221" s="1383"/>
      <c r="AG221" s="1383"/>
      <c r="AH221" s="1383"/>
      <c r="AI221" s="1383"/>
      <c r="AJ221" s="1383"/>
      <c r="AK221" s="1383"/>
      <c r="AL221" s="1383"/>
      <c r="AM221" s="1383"/>
    </row>
    <row r="222" spans="2:39" ht="15.75" x14ac:dyDescent="0.25">
      <c r="B222" s="1372"/>
      <c r="C222" s="1372"/>
      <c r="D222" s="1717"/>
      <c r="E222" s="1420"/>
      <c r="F222" s="1493"/>
      <c r="G222" s="1493"/>
      <c r="H222" s="1493"/>
      <c r="I222" s="1493"/>
      <c r="J222" s="1493"/>
      <c r="K222" s="1493"/>
      <c r="L222" s="1493"/>
      <c r="M222" s="1493"/>
      <c r="N222" s="1493"/>
      <c r="O222" s="1493"/>
      <c r="P222" s="1383"/>
      <c r="Q222" s="1383"/>
      <c r="R222" s="1383"/>
      <c r="S222" s="1383"/>
      <c r="T222" s="1383"/>
      <c r="U222" s="1383"/>
      <c r="V222" s="1383"/>
      <c r="W222" s="1383"/>
      <c r="X222" s="1383"/>
      <c r="Y222" s="1383"/>
      <c r="Z222" s="1383"/>
      <c r="AA222" s="1383"/>
      <c r="AB222" s="1383"/>
      <c r="AC222" s="1383"/>
      <c r="AD222" s="1383"/>
      <c r="AE222" s="1383"/>
      <c r="AF222" s="1383"/>
      <c r="AG222" s="1383"/>
      <c r="AH222" s="1383"/>
      <c r="AI222" s="1383"/>
      <c r="AJ222" s="1383"/>
      <c r="AK222" s="1383"/>
      <c r="AL222" s="1383"/>
      <c r="AM222" s="1383"/>
    </row>
    <row r="223" spans="2:39" ht="15.75" x14ac:dyDescent="0.25">
      <c r="B223" s="1372"/>
      <c r="C223" s="1372"/>
      <c r="D223" s="1717"/>
      <c r="E223" s="1420"/>
      <c r="F223" s="1493"/>
      <c r="G223" s="1493"/>
      <c r="H223" s="1493"/>
      <c r="I223" s="1493"/>
      <c r="J223" s="1493"/>
      <c r="K223" s="1493"/>
      <c r="L223" s="1493"/>
      <c r="M223" s="1493"/>
      <c r="N223" s="1493"/>
      <c r="O223" s="1493"/>
      <c r="P223" s="1383"/>
      <c r="Q223" s="1383"/>
      <c r="R223" s="1383"/>
      <c r="S223" s="1383"/>
      <c r="T223" s="1383"/>
      <c r="U223" s="1383"/>
      <c r="V223" s="1383"/>
      <c r="W223" s="1383"/>
      <c r="X223" s="1383"/>
      <c r="Y223" s="1383"/>
      <c r="Z223" s="1383"/>
      <c r="AA223" s="1383"/>
      <c r="AB223" s="1383"/>
      <c r="AC223" s="1383"/>
      <c r="AD223" s="1383"/>
      <c r="AE223" s="1383"/>
      <c r="AF223" s="1383"/>
      <c r="AG223" s="1383"/>
      <c r="AH223" s="1383"/>
      <c r="AI223" s="1383"/>
      <c r="AJ223" s="1383"/>
      <c r="AK223" s="1383"/>
      <c r="AL223" s="1383"/>
      <c r="AM223" s="1383"/>
    </row>
    <row r="224" spans="2:39" ht="15.75" x14ac:dyDescent="0.25">
      <c r="B224" s="1372"/>
      <c r="C224" s="1372"/>
      <c r="D224" s="1717"/>
      <c r="E224" s="1420"/>
      <c r="F224" s="1493"/>
      <c r="G224" s="1493"/>
      <c r="H224" s="1493"/>
      <c r="I224" s="1493"/>
      <c r="J224" s="1493"/>
      <c r="K224" s="1493"/>
      <c r="L224" s="1493"/>
      <c r="M224" s="1493"/>
      <c r="N224" s="1493"/>
      <c r="O224" s="1493"/>
      <c r="P224" s="1383"/>
      <c r="Q224" s="1383"/>
      <c r="R224" s="1383"/>
      <c r="S224" s="1383"/>
      <c r="T224" s="1383"/>
      <c r="U224" s="1383"/>
      <c r="V224" s="1383"/>
      <c r="W224" s="1383"/>
      <c r="X224" s="1383"/>
      <c r="Y224" s="1383"/>
      <c r="Z224" s="1383"/>
      <c r="AA224" s="1383"/>
      <c r="AB224" s="1383"/>
      <c r="AC224" s="1383"/>
      <c r="AD224" s="1383"/>
      <c r="AE224" s="1383"/>
      <c r="AF224" s="1383"/>
      <c r="AG224" s="1383"/>
      <c r="AH224" s="1383"/>
      <c r="AI224" s="1383"/>
      <c r="AJ224" s="1383"/>
      <c r="AK224" s="1383"/>
      <c r="AL224" s="1383"/>
      <c r="AM224" s="1383"/>
    </row>
    <row r="225" spans="2:39" ht="15.75" x14ac:dyDescent="0.25">
      <c r="B225" s="1372"/>
      <c r="C225" s="1372"/>
      <c r="D225" s="1717"/>
      <c r="E225" s="1420"/>
      <c r="F225" s="1493"/>
      <c r="G225" s="1493"/>
      <c r="H225" s="1493"/>
      <c r="I225" s="1493"/>
      <c r="J225" s="1493"/>
      <c r="K225" s="1493"/>
      <c r="L225" s="1493"/>
      <c r="M225" s="1493"/>
      <c r="N225" s="1493"/>
      <c r="O225" s="1493"/>
      <c r="P225" s="1383"/>
      <c r="Q225" s="1383"/>
      <c r="R225" s="1383"/>
      <c r="S225" s="1383"/>
      <c r="T225" s="1383"/>
      <c r="U225" s="1383"/>
      <c r="V225" s="1383"/>
      <c r="W225" s="1383"/>
      <c r="X225" s="1383"/>
      <c r="Y225" s="1383"/>
      <c r="Z225" s="1383"/>
      <c r="AA225" s="1383"/>
      <c r="AB225" s="1383"/>
      <c r="AC225" s="1383"/>
      <c r="AD225" s="1383"/>
      <c r="AE225" s="1383"/>
      <c r="AF225" s="1383"/>
      <c r="AG225" s="1383"/>
      <c r="AH225" s="1383"/>
      <c r="AI225" s="1383"/>
      <c r="AJ225" s="1383"/>
      <c r="AK225" s="1383"/>
      <c r="AL225" s="1383"/>
      <c r="AM225" s="1383"/>
    </row>
    <row r="226" spans="2:39" ht="15.75" x14ac:dyDescent="0.25">
      <c r="B226" s="1372"/>
      <c r="C226" s="1372"/>
      <c r="D226" s="1717"/>
      <c r="E226" s="1420"/>
      <c r="F226" s="1493"/>
      <c r="G226" s="1493"/>
      <c r="H226" s="1493"/>
      <c r="I226" s="1493"/>
      <c r="J226" s="1493"/>
      <c r="K226" s="1493"/>
      <c r="L226" s="1493"/>
      <c r="M226" s="1493"/>
      <c r="N226" s="1493"/>
      <c r="O226" s="1493"/>
      <c r="P226" s="1383"/>
      <c r="Q226" s="1383"/>
      <c r="R226" s="1383"/>
      <c r="S226" s="1383"/>
      <c r="T226" s="1383"/>
      <c r="U226" s="1383"/>
      <c r="V226" s="1383"/>
      <c r="W226" s="1383"/>
      <c r="X226" s="1383"/>
      <c r="Y226" s="1383"/>
      <c r="Z226" s="1383"/>
      <c r="AA226" s="1383"/>
      <c r="AB226" s="1383"/>
      <c r="AC226" s="1383"/>
      <c r="AD226" s="1383"/>
      <c r="AE226" s="1383"/>
      <c r="AF226" s="1383"/>
      <c r="AG226" s="1383"/>
      <c r="AH226" s="1383"/>
      <c r="AI226" s="1383"/>
      <c r="AJ226" s="1383"/>
      <c r="AK226" s="1383"/>
      <c r="AL226" s="1383"/>
      <c r="AM226" s="1383"/>
    </row>
    <row r="227" spans="2:39" ht="15.75" x14ac:dyDescent="0.25">
      <c r="B227" s="1372"/>
      <c r="C227" s="1372"/>
      <c r="D227" s="1717"/>
      <c r="E227" s="1420"/>
      <c r="F227" s="1493"/>
      <c r="G227" s="1493"/>
      <c r="H227" s="1493"/>
      <c r="I227" s="1493"/>
      <c r="J227" s="1493"/>
      <c r="K227" s="1493"/>
      <c r="L227" s="1493"/>
      <c r="M227" s="1493"/>
      <c r="N227" s="1493"/>
      <c r="O227" s="1493"/>
      <c r="P227" s="1383"/>
      <c r="Q227" s="1383"/>
      <c r="R227" s="1383"/>
      <c r="S227" s="1383"/>
      <c r="T227" s="1383"/>
      <c r="U227" s="1383"/>
      <c r="V227" s="1383"/>
      <c r="W227" s="1383"/>
      <c r="X227" s="1383"/>
      <c r="Y227" s="1383"/>
      <c r="Z227" s="1383"/>
      <c r="AA227" s="1383"/>
      <c r="AB227" s="1383"/>
      <c r="AC227" s="1383"/>
      <c r="AD227" s="1383"/>
      <c r="AE227" s="1383"/>
      <c r="AF227" s="1383"/>
      <c r="AG227" s="1383"/>
      <c r="AH227" s="1383"/>
      <c r="AI227" s="1383"/>
      <c r="AJ227" s="1383"/>
      <c r="AK227" s="1383"/>
      <c r="AL227" s="1383"/>
      <c r="AM227" s="1383"/>
    </row>
    <row r="228" spans="2:39" ht="15.75" x14ac:dyDescent="0.25">
      <c r="B228" s="1372"/>
      <c r="C228" s="1372"/>
      <c r="D228" s="1717"/>
      <c r="E228" s="1420"/>
      <c r="F228" s="1493"/>
      <c r="G228" s="1493"/>
      <c r="H228" s="1493"/>
      <c r="I228" s="1493"/>
      <c r="J228" s="1493"/>
      <c r="K228" s="1493"/>
      <c r="L228" s="1493"/>
      <c r="M228" s="1493"/>
      <c r="N228" s="1493"/>
      <c r="O228" s="1493"/>
      <c r="P228" s="1383"/>
      <c r="Q228" s="1383"/>
      <c r="R228" s="1383"/>
      <c r="S228" s="1383"/>
      <c r="T228" s="1383"/>
      <c r="U228" s="1383"/>
      <c r="V228" s="1383"/>
      <c r="W228" s="1383"/>
      <c r="X228" s="1383"/>
      <c r="Y228" s="1383"/>
      <c r="Z228" s="1383"/>
      <c r="AA228" s="1383"/>
      <c r="AB228" s="1383"/>
      <c r="AC228" s="1383"/>
      <c r="AD228" s="1383"/>
      <c r="AE228" s="1383"/>
      <c r="AF228" s="1383"/>
      <c r="AG228" s="1383"/>
      <c r="AH228" s="1383"/>
      <c r="AI228" s="1383"/>
      <c r="AJ228" s="1383"/>
      <c r="AK228" s="1383"/>
      <c r="AL228" s="1383"/>
      <c r="AM228" s="1383"/>
    </row>
    <row r="229" spans="2:39" ht="15.75" x14ac:dyDescent="0.25">
      <c r="B229" s="1372"/>
      <c r="C229" s="1372"/>
      <c r="D229" s="1717"/>
      <c r="E229" s="1420"/>
      <c r="F229" s="1493"/>
      <c r="G229" s="1493"/>
      <c r="H229" s="1493"/>
      <c r="I229" s="1493"/>
      <c r="J229" s="1493"/>
      <c r="K229" s="1493"/>
      <c r="L229" s="1493"/>
      <c r="M229" s="1493"/>
      <c r="N229" s="1493"/>
      <c r="O229" s="1493"/>
      <c r="P229" s="1383"/>
      <c r="Q229" s="1383"/>
      <c r="R229" s="1383"/>
      <c r="S229" s="1383"/>
      <c r="T229" s="1383"/>
      <c r="U229" s="1383"/>
      <c r="V229" s="1383"/>
      <c r="W229" s="1383"/>
      <c r="X229" s="1383"/>
      <c r="Y229" s="1383"/>
      <c r="Z229" s="1383"/>
      <c r="AA229" s="1383"/>
      <c r="AB229" s="1383"/>
      <c r="AC229" s="1383"/>
      <c r="AD229" s="1383"/>
      <c r="AE229" s="1383"/>
      <c r="AF229" s="1383"/>
      <c r="AG229" s="1383"/>
      <c r="AH229" s="1383"/>
      <c r="AI229" s="1383"/>
      <c r="AJ229" s="1383"/>
      <c r="AK229" s="1383"/>
      <c r="AL229" s="1383"/>
      <c r="AM229" s="1383"/>
    </row>
    <row r="230" spans="2:39" ht="15.75" x14ac:dyDescent="0.25">
      <c r="B230" s="1372"/>
      <c r="C230" s="1372"/>
      <c r="D230" s="1717"/>
      <c r="E230" s="1420"/>
      <c r="F230" s="1493"/>
      <c r="G230" s="1493"/>
      <c r="H230" s="1493"/>
      <c r="I230" s="1493"/>
      <c r="J230" s="1493"/>
      <c r="K230" s="1493"/>
      <c r="L230" s="1493"/>
      <c r="M230" s="1493"/>
      <c r="N230" s="1493"/>
      <c r="O230" s="1493"/>
      <c r="P230" s="1383"/>
      <c r="Q230" s="1383"/>
      <c r="R230" s="1383"/>
      <c r="S230" s="1383"/>
      <c r="T230" s="1383"/>
      <c r="U230" s="1383"/>
      <c r="V230" s="1383"/>
      <c r="W230" s="1383"/>
      <c r="X230" s="1383"/>
      <c r="Y230" s="1383"/>
      <c r="Z230" s="1383"/>
      <c r="AA230" s="1383"/>
      <c r="AB230" s="1383"/>
      <c r="AC230" s="1383"/>
      <c r="AD230" s="1383"/>
      <c r="AE230" s="1383"/>
      <c r="AF230" s="1383"/>
      <c r="AG230" s="1383"/>
      <c r="AH230" s="1383"/>
      <c r="AI230" s="1383"/>
      <c r="AJ230" s="1383"/>
      <c r="AK230" s="1383"/>
      <c r="AL230" s="1383"/>
      <c r="AM230" s="1383"/>
    </row>
    <row r="231" spans="2:39" ht="15.75" x14ac:dyDescent="0.25">
      <c r="B231" s="1372"/>
      <c r="C231" s="1372"/>
      <c r="D231" s="1717"/>
      <c r="E231" s="1420"/>
      <c r="F231" s="1493"/>
      <c r="G231" s="1493"/>
      <c r="H231" s="1493"/>
      <c r="I231" s="1493"/>
      <c r="J231" s="1493"/>
      <c r="K231" s="1493"/>
      <c r="L231" s="1493"/>
      <c r="M231" s="1493"/>
      <c r="N231" s="1493"/>
      <c r="O231" s="1493"/>
      <c r="P231" s="1383"/>
      <c r="Q231" s="1383"/>
      <c r="R231" s="1383"/>
      <c r="S231" s="1383"/>
      <c r="T231" s="1383"/>
      <c r="U231" s="1383"/>
      <c r="V231" s="1383"/>
      <c r="W231" s="1383"/>
      <c r="X231" s="1383"/>
      <c r="Y231" s="1383"/>
      <c r="Z231" s="1383"/>
      <c r="AA231" s="1383"/>
      <c r="AB231" s="1383"/>
      <c r="AC231" s="1383"/>
      <c r="AD231" s="1383"/>
      <c r="AE231" s="1383"/>
      <c r="AF231" s="1383"/>
      <c r="AG231" s="1383"/>
      <c r="AH231" s="1383"/>
      <c r="AI231" s="1383"/>
      <c r="AJ231" s="1383"/>
      <c r="AK231" s="1383"/>
      <c r="AL231" s="1383"/>
      <c r="AM231" s="1383"/>
    </row>
    <row r="232" spans="2:39" ht="15.75" x14ac:dyDescent="0.25">
      <c r="B232" s="1372"/>
      <c r="C232" s="1372"/>
      <c r="D232" s="1717"/>
      <c r="E232" s="1420"/>
      <c r="F232" s="1493"/>
      <c r="G232" s="1493"/>
      <c r="H232" s="1493"/>
      <c r="I232" s="1493"/>
      <c r="J232" s="1493"/>
      <c r="K232" s="1493"/>
      <c r="L232" s="1493"/>
      <c r="M232" s="1493"/>
      <c r="N232" s="1493"/>
      <c r="O232" s="1493"/>
      <c r="P232" s="1383"/>
      <c r="Q232" s="1383"/>
      <c r="R232" s="1383"/>
      <c r="S232" s="1383"/>
      <c r="T232" s="1383"/>
      <c r="U232" s="1383"/>
      <c r="V232" s="1383"/>
      <c r="W232" s="1383"/>
      <c r="X232" s="1383"/>
      <c r="Y232" s="1383"/>
      <c r="Z232" s="1383"/>
      <c r="AA232" s="1383"/>
      <c r="AB232" s="1383"/>
      <c r="AC232" s="1383"/>
      <c r="AD232" s="1383"/>
      <c r="AE232" s="1383"/>
      <c r="AF232" s="1383"/>
      <c r="AG232" s="1383"/>
      <c r="AH232" s="1383"/>
      <c r="AI232" s="1383"/>
      <c r="AJ232" s="1383"/>
      <c r="AK232" s="1383"/>
      <c r="AL232" s="1383"/>
      <c r="AM232" s="1383"/>
    </row>
    <row r="233" spans="2:39" ht="15.75" x14ac:dyDescent="0.25">
      <c r="B233" s="1372"/>
      <c r="C233" s="1372"/>
      <c r="D233" s="1717"/>
      <c r="E233" s="1420"/>
      <c r="F233" s="1493"/>
      <c r="G233" s="1493"/>
      <c r="H233" s="1493"/>
      <c r="I233" s="1493"/>
      <c r="J233" s="1493"/>
      <c r="K233" s="1493"/>
      <c r="L233" s="1493"/>
      <c r="M233" s="1493"/>
      <c r="N233" s="1493"/>
      <c r="O233" s="1493"/>
      <c r="P233" s="1383"/>
      <c r="Q233" s="1383"/>
      <c r="R233" s="1383"/>
      <c r="S233" s="1383"/>
      <c r="T233" s="1383"/>
      <c r="U233" s="1383"/>
      <c r="V233" s="1383"/>
      <c r="W233" s="1383"/>
      <c r="X233" s="1383"/>
      <c r="Y233" s="1383"/>
      <c r="Z233" s="1383"/>
      <c r="AA233" s="1383"/>
      <c r="AB233" s="1383"/>
      <c r="AC233" s="1383"/>
      <c r="AD233" s="1383"/>
      <c r="AE233" s="1383"/>
      <c r="AF233" s="1383"/>
      <c r="AG233" s="1383"/>
      <c r="AH233" s="1383"/>
      <c r="AI233" s="1383"/>
      <c r="AJ233" s="1383"/>
      <c r="AK233" s="1383"/>
      <c r="AL233" s="1383"/>
      <c r="AM233" s="1383"/>
    </row>
    <row r="234" spans="2:39" ht="15.75" x14ac:dyDescent="0.25">
      <c r="B234" s="1372"/>
      <c r="C234" s="1372"/>
      <c r="D234" s="1717"/>
      <c r="E234" s="1420"/>
      <c r="F234" s="1493"/>
      <c r="G234" s="1493"/>
      <c r="H234" s="1493"/>
      <c r="I234" s="1493"/>
      <c r="J234" s="1493"/>
      <c r="K234" s="1493"/>
      <c r="L234" s="1493"/>
      <c r="M234" s="1493"/>
      <c r="N234" s="1493"/>
      <c r="O234" s="1493"/>
      <c r="P234" s="1383"/>
      <c r="Q234" s="1383"/>
      <c r="R234" s="1383"/>
      <c r="S234" s="1383"/>
      <c r="T234" s="1383"/>
      <c r="U234" s="1383"/>
      <c r="V234" s="1383"/>
      <c r="W234" s="1383"/>
      <c r="X234" s="1383"/>
      <c r="Y234" s="1383"/>
      <c r="Z234" s="1383"/>
      <c r="AA234" s="1383"/>
      <c r="AB234" s="1383"/>
      <c r="AC234" s="1383"/>
      <c r="AD234" s="1383"/>
      <c r="AE234" s="1383"/>
      <c r="AF234" s="1383"/>
      <c r="AG234" s="1383"/>
      <c r="AH234" s="1383"/>
      <c r="AI234" s="1383"/>
      <c r="AJ234" s="1383"/>
      <c r="AK234" s="1383"/>
      <c r="AL234" s="1383"/>
      <c r="AM234" s="1383"/>
    </row>
    <row r="235" spans="2:39" ht="15.75" x14ac:dyDescent="0.25">
      <c r="B235" s="1372"/>
      <c r="C235" s="1372"/>
      <c r="D235" s="1717"/>
      <c r="E235" s="1420"/>
      <c r="F235" s="1493"/>
      <c r="G235" s="1493"/>
      <c r="H235" s="1493"/>
      <c r="I235" s="1493"/>
      <c r="J235" s="1493"/>
      <c r="K235" s="1493"/>
      <c r="L235" s="1493"/>
      <c r="M235" s="1493"/>
      <c r="N235" s="1493"/>
      <c r="O235" s="1493"/>
      <c r="P235" s="1383"/>
      <c r="Q235" s="1383"/>
      <c r="R235" s="1383"/>
      <c r="S235" s="1383"/>
      <c r="T235" s="1383"/>
      <c r="U235" s="1383"/>
      <c r="V235" s="1383"/>
      <c r="W235" s="1383"/>
      <c r="X235" s="1383"/>
      <c r="Y235" s="1383"/>
      <c r="Z235" s="1383"/>
      <c r="AA235" s="1383"/>
      <c r="AB235" s="1383"/>
      <c r="AC235" s="1383"/>
      <c r="AD235" s="1383"/>
      <c r="AE235" s="1383"/>
      <c r="AF235" s="1383"/>
      <c r="AG235" s="1383"/>
      <c r="AH235" s="1383"/>
      <c r="AI235" s="1383"/>
      <c r="AJ235" s="1383"/>
      <c r="AK235" s="1383"/>
      <c r="AL235" s="1383"/>
      <c r="AM235" s="1383"/>
    </row>
    <row r="236" spans="2:39" ht="15.75" x14ac:dyDescent="0.25">
      <c r="B236" s="1372"/>
      <c r="C236" s="1372"/>
      <c r="D236" s="1717"/>
      <c r="E236" s="1420"/>
      <c r="F236" s="1493"/>
      <c r="G236" s="1493"/>
      <c r="H236" s="1493"/>
      <c r="I236" s="1493"/>
      <c r="J236" s="1493"/>
      <c r="K236" s="1493"/>
      <c r="L236" s="1493"/>
      <c r="M236" s="1493"/>
      <c r="N236" s="1493"/>
      <c r="O236" s="1493"/>
      <c r="P236" s="1383"/>
      <c r="Q236" s="1383"/>
      <c r="R236" s="1383"/>
      <c r="S236" s="1383"/>
      <c r="T236" s="1383"/>
      <c r="U236" s="1383"/>
      <c r="V236" s="1383"/>
      <c r="W236" s="1383"/>
      <c r="X236" s="1383"/>
      <c r="Y236" s="1383"/>
      <c r="Z236" s="1383"/>
      <c r="AA236" s="1383"/>
      <c r="AB236" s="1383"/>
      <c r="AC236" s="1383"/>
      <c r="AD236" s="1383"/>
      <c r="AE236" s="1383"/>
      <c r="AF236" s="1383"/>
      <c r="AG236" s="1383"/>
      <c r="AH236" s="1383"/>
      <c r="AI236" s="1383"/>
      <c r="AJ236" s="1383"/>
      <c r="AK236" s="1383"/>
      <c r="AL236" s="1383"/>
      <c r="AM236" s="1383"/>
    </row>
    <row r="237" spans="2:39" ht="15.75" x14ac:dyDescent="0.25">
      <c r="B237" s="1372"/>
      <c r="C237" s="1372"/>
      <c r="D237" s="1717"/>
      <c r="E237" s="1420"/>
      <c r="F237" s="1493"/>
      <c r="G237" s="1493"/>
      <c r="H237" s="1493"/>
      <c r="I237" s="1493"/>
      <c r="J237" s="1493"/>
      <c r="K237" s="1493"/>
      <c r="L237" s="1493"/>
      <c r="M237" s="1493"/>
      <c r="N237" s="1493"/>
      <c r="O237" s="1493"/>
      <c r="P237" s="1383"/>
      <c r="Q237" s="1383"/>
      <c r="R237" s="1383"/>
      <c r="S237" s="1383"/>
      <c r="T237" s="1383"/>
      <c r="U237" s="1383"/>
      <c r="V237" s="1383"/>
      <c r="W237" s="1383"/>
      <c r="X237" s="1383"/>
      <c r="Y237" s="1383"/>
      <c r="Z237" s="1383"/>
      <c r="AA237" s="1383"/>
      <c r="AB237" s="1383"/>
      <c r="AC237" s="1383"/>
      <c r="AD237" s="1383"/>
      <c r="AE237" s="1383"/>
      <c r="AF237" s="1383"/>
      <c r="AG237" s="1383"/>
      <c r="AH237" s="1383"/>
      <c r="AI237" s="1383"/>
      <c r="AJ237" s="1383"/>
      <c r="AK237" s="1383"/>
      <c r="AL237" s="1383"/>
      <c r="AM237" s="1383"/>
    </row>
    <row r="238" spans="2:39" ht="15.75" x14ac:dyDescent="0.25">
      <c r="B238" s="1372"/>
      <c r="C238" s="1372"/>
      <c r="D238" s="1717"/>
      <c r="E238" s="1420"/>
      <c r="F238" s="1493"/>
      <c r="G238" s="1493"/>
      <c r="H238" s="1493"/>
      <c r="I238" s="1493"/>
      <c r="J238" s="1493"/>
      <c r="K238" s="1493"/>
      <c r="L238" s="1493"/>
      <c r="M238" s="1493"/>
      <c r="N238" s="1493"/>
      <c r="O238" s="1493"/>
      <c r="P238" s="1383"/>
      <c r="Q238" s="1383"/>
      <c r="R238" s="1383"/>
      <c r="S238" s="1383"/>
      <c r="T238" s="1383"/>
      <c r="U238" s="1383"/>
      <c r="V238" s="1383"/>
      <c r="W238" s="1383"/>
      <c r="X238" s="1383"/>
      <c r="Y238" s="1383"/>
      <c r="Z238" s="1383"/>
      <c r="AA238" s="1383"/>
      <c r="AB238" s="1383"/>
      <c r="AC238" s="1383"/>
      <c r="AD238" s="1383"/>
      <c r="AE238" s="1383"/>
      <c r="AF238" s="1383"/>
      <c r="AG238" s="1383"/>
      <c r="AH238" s="1383"/>
      <c r="AI238" s="1383"/>
      <c r="AJ238" s="1383"/>
      <c r="AK238" s="1383"/>
      <c r="AL238" s="1383"/>
      <c r="AM238" s="1383"/>
    </row>
    <row r="239" spans="2:39" ht="15.75" x14ac:dyDescent="0.25">
      <c r="B239" s="1372"/>
      <c r="C239" s="1372"/>
      <c r="D239" s="1717"/>
      <c r="E239" s="1420"/>
      <c r="F239" s="1493"/>
      <c r="G239" s="1493"/>
      <c r="H239" s="1493"/>
      <c r="I239" s="1493"/>
      <c r="J239" s="1493"/>
      <c r="K239" s="1493"/>
      <c r="L239" s="1493"/>
      <c r="M239" s="1493"/>
      <c r="N239" s="1493"/>
      <c r="O239" s="1493"/>
      <c r="P239" s="1383"/>
      <c r="Q239" s="1383"/>
      <c r="R239" s="1383"/>
      <c r="S239" s="1383"/>
      <c r="T239" s="1383"/>
      <c r="U239" s="1383"/>
      <c r="V239" s="1383"/>
      <c r="W239" s="1383"/>
      <c r="X239" s="1383"/>
      <c r="Y239" s="1383"/>
      <c r="Z239" s="1383"/>
      <c r="AA239" s="1383"/>
      <c r="AB239" s="1383"/>
      <c r="AC239" s="1383"/>
      <c r="AD239" s="1383"/>
      <c r="AE239" s="1383"/>
      <c r="AF239" s="1383"/>
      <c r="AG239" s="1383"/>
      <c r="AH239" s="1383"/>
      <c r="AI239" s="1383"/>
      <c r="AJ239" s="1383"/>
      <c r="AK239" s="1383"/>
      <c r="AL239" s="1383"/>
      <c r="AM239" s="1383"/>
    </row>
    <row r="240" spans="2:39" ht="15.75" x14ac:dyDescent="0.25">
      <c r="B240" s="1372"/>
      <c r="C240" s="1372"/>
      <c r="D240" s="1717"/>
      <c r="E240" s="1420"/>
      <c r="F240" s="1493"/>
      <c r="G240" s="1493"/>
      <c r="H240" s="1493"/>
      <c r="I240" s="1493"/>
      <c r="J240" s="1493"/>
      <c r="K240" s="1493"/>
      <c r="L240" s="1493"/>
      <c r="M240" s="1493"/>
      <c r="N240" s="1493"/>
      <c r="O240" s="1493"/>
      <c r="P240" s="1383"/>
      <c r="Q240" s="1383"/>
      <c r="R240" s="1383"/>
      <c r="S240" s="1383"/>
      <c r="T240" s="1383"/>
      <c r="U240" s="1383"/>
      <c r="V240" s="1383"/>
      <c r="W240" s="1383"/>
      <c r="X240" s="1383"/>
      <c r="Y240" s="1383"/>
      <c r="Z240" s="1383"/>
      <c r="AA240" s="1383"/>
      <c r="AB240" s="1383"/>
      <c r="AC240" s="1383"/>
      <c r="AD240" s="1383"/>
      <c r="AE240" s="1383"/>
      <c r="AF240" s="1383"/>
      <c r="AG240" s="1383"/>
      <c r="AH240" s="1383"/>
      <c r="AI240" s="1383"/>
      <c r="AJ240" s="1383"/>
      <c r="AK240" s="1383"/>
      <c r="AL240" s="1383"/>
      <c r="AM240" s="1383"/>
    </row>
    <row r="241" spans="2:39" ht="15.75" x14ac:dyDescent="0.25">
      <c r="B241" s="1372"/>
      <c r="C241" s="1372"/>
      <c r="D241" s="1717"/>
      <c r="E241" s="1420"/>
      <c r="F241" s="1493"/>
      <c r="G241" s="1493"/>
      <c r="H241" s="1493"/>
      <c r="I241" s="1493"/>
      <c r="J241" s="1493"/>
      <c r="K241" s="1493"/>
      <c r="L241" s="1493"/>
      <c r="M241" s="1493"/>
      <c r="N241" s="1493"/>
      <c r="O241" s="1493"/>
      <c r="P241" s="1383"/>
      <c r="Q241" s="1383"/>
      <c r="R241" s="1383"/>
      <c r="S241" s="1383"/>
      <c r="T241" s="1383"/>
      <c r="U241" s="1383"/>
      <c r="V241" s="1383"/>
      <c r="W241" s="1383"/>
      <c r="X241" s="1383"/>
      <c r="Y241" s="1383"/>
      <c r="Z241" s="1383"/>
      <c r="AA241" s="1383"/>
      <c r="AB241" s="1383"/>
      <c r="AC241" s="1383"/>
      <c r="AD241" s="1383"/>
      <c r="AE241" s="1383"/>
      <c r="AF241" s="1383"/>
      <c r="AG241" s="1383"/>
      <c r="AH241" s="1383"/>
      <c r="AI241" s="1383"/>
      <c r="AJ241" s="1383"/>
      <c r="AK241" s="1383"/>
      <c r="AL241" s="1383"/>
      <c r="AM241" s="1383"/>
    </row>
    <row r="242" spans="2:39" ht="15.75" x14ac:dyDescent="0.25">
      <c r="B242" s="1372"/>
      <c r="C242" s="1372"/>
      <c r="D242" s="1717"/>
      <c r="E242" s="1420"/>
      <c r="F242" s="1493"/>
      <c r="G242" s="1493"/>
      <c r="H242" s="1493"/>
      <c r="I242" s="1493"/>
      <c r="J242" s="1493"/>
      <c r="K242" s="1493"/>
      <c r="L242" s="1493"/>
      <c r="M242" s="1493"/>
      <c r="N242" s="1493"/>
      <c r="O242" s="1493"/>
      <c r="P242" s="1383"/>
      <c r="Q242" s="1383"/>
      <c r="R242" s="1383"/>
      <c r="S242" s="1383"/>
      <c r="T242" s="1383"/>
      <c r="U242" s="1383"/>
      <c r="V242" s="1383"/>
      <c r="W242" s="1383"/>
      <c r="X242" s="1383"/>
      <c r="Y242" s="1383"/>
      <c r="Z242" s="1383"/>
      <c r="AA242" s="1383"/>
      <c r="AB242" s="1383"/>
      <c r="AC242" s="1383"/>
      <c r="AD242" s="1383"/>
      <c r="AE242" s="1383"/>
      <c r="AF242" s="1383"/>
      <c r="AG242" s="1383"/>
      <c r="AH242" s="1383"/>
      <c r="AI242" s="1383"/>
      <c r="AJ242" s="1383"/>
      <c r="AK242" s="1383"/>
      <c r="AL242" s="1383"/>
      <c r="AM242" s="1383"/>
    </row>
    <row r="243" spans="2:39" ht="15.75" x14ac:dyDescent="0.25">
      <c r="B243" s="1372"/>
      <c r="C243" s="1372"/>
      <c r="D243" s="1717"/>
      <c r="E243" s="1420"/>
      <c r="F243" s="1493"/>
      <c r="G243" s="1493"/>
      <c r="H243" s="1493"/>
      <c r="I243" s="1493"/>
      <c r="J243" s="1493"/>
      <c r="K243" s="1493"/>
      <c r="L243" s="1493"/>
      <c r="M243" s="1493"/>
      <c r="N243" s="1493"/>
      <c r="O243" s="1493"/>
      <c r="P243" s="1383"/>
      <c r="Q243" s="1383"/>
      <c r="R243" s="1383"/>
      <c r="S243" s="1383"/>
      <c r="T243" s="1383"/>
      <c r="U243" s="1383"/>
      <c r="V243" s="1383"/>
      <c r="W243" s="1383"/>
      <c r="X243" s="1383"/>
      <c r="Y243" s="1383"/>
      <c r="Z243" s="1383"/>
      <c r="AA243" s="1383"/>
      <c r="AB243" s="1383"/>
      <c r="AC243" s="1383"/>
      <c r="AD243" s="1383"/>
      <c r="AE243" s="1383"/>
      <c r="AF243" s="1383"/>
      <c r="AG243" s="1383"/>
      <c r="AH243" s="1383"/>
      <c r="AI243" s="1383"/>
      <c r="AJ243" s="1383"/>
      <c r="AK243" s="1383"/>
      <c r="AL243" s="1383"/>
      <c r="AM243" s="1383"/>
    </row>
    <row r="244" spans="2:39" ht="15.75" x14ac:dyDescent="0.25">
      <c r="B244" s="1372"/>
      <c r="C244" s="1372"/>
      <c r="D244" s="1717"/>
      <c r="E244" s="1420"/>
      <c r="F244" s="1493"/>
      <c r="G244" s="1493"/>
      <c r="H244" s="1493"/>
      <c r="I244" s="1493"/>
      <c r="J244" s="1493"/>
      <c r="K244" s="1493"/>
      <c r="L244" s="1493"/>
      <c r="M244" s="1493"/>
      <c r="N244" s="1493"/>
      <c r="O244" s="1493"/>
      <c r="P244" s="1383"/>
      <c r="Q244" s="1383"/>
      <c r="R244" s="1383"/>
      <c r="S244" s="1383"/>
      <c r="T244" s="1383"/>
      <c r="U244" s="1383"/>
      <c r="V244" s="1383"/>
      <c r="W244" s="1383"/>
      <c r="X244" s="1383"/>
      <c r="Y244" s="1383"/>
      <c r="Z244" s="1383"/>
      <c r="AA244" s="1383"/>
      <c r="AB244" s="1383"/>
      <c r="AC244" s="1383"/>
      <c r="AD244" s="1383"/>
      <c r="AE244" s="1383"/>
      <c r="AF244" s="1383"/>
      <c r="AG244" s="1383"/>
      <c r="AH244" s="1383"/>
      <c r="AI244" s="1383"/>
      <c r="AJ244" s="1383"/>
      <c r="AK244" s="1383"/>
      <c r="AL244" s="1383"/>
      <c r="AM244" s="1383"/>
    </row>
    <row r="245" spans="2:39" ht="15.75" x14ac:dyDescent="0.25">
      <c r="B245" s="1372"/>
      <c r="C245" s="1372"/>
      <c r="D245" s="1717"/>
      <c r="E245" s="1420"/>
      <c r="F245" s="1493"/>
      <c r="G245" s="1493"/>
      <c r="H245" s="1493"/>
      <c r="I245" s="1493"/>
      <c r="J245" s="1493"/>
      <c r="K245" s="1493"/>
      <c r="L245" s="1493"/>
      <c r="M245" s="1493"/>
      <c r="N245" s="1493"/>
      <c r="O245" s="1493"/>
      <c r="P245" s="1383"/>
      <c r="Q245" s="1383"/>
      <c r="R245" s="1383"/>
      <c r="S245" s="1383"/>
      <c r="T245" s="1383"/>
      <c r="U245" s="1383"/>
      <c r="V245" s="1383"/>
      <c r="W245" s="1383"/>
      <c r="X245" s="1383"/>
      <c r="Y245" s="1383"/>
      <c r="Z245" s="1383"/>
      <c r="AA245" s="1383"/>
      <c r="AB245" s="1383"/>
      <c r="AC245" s="1383"/>
      <c r="AD245" s="1383"/>
      <c r="AE245" s="1383"/>
      <c r="AF245" s="1383"/>
      <c r="AG245" s="1383"/>
      <c r="AH245" s="1383"/>
      <c r="AI245" s="1383"/>
      <c r="AJ245" s="1383"/>
      <c r="AK245" s="1383"/>
      <c r="AL245" s="1383"/>
      <c r="AM245" s="1383"/>
    </row>
    <row r="246" spans="2:39" ht="15.75" x14ac:dyDescent="0.25">
      <c r="B246" s="1372"/>
      <c r="C246" s="1372"/>
      <c r="D246" s="1717"/>
      <c r="E246" s="1420"/>
      <c r="F246" s="1493"/>
      <c r="G246" s="1493"/>
      <c r="H246" s="1493"/>
      <c r="I246" s="1493"/>
      <c r="J246" s="1493"/>
      <c r="K246" s="1493"/>
      <c r="L246" s="1493"/>
      <c r="M246" s="1493"/>
      <c r="N246" s="1493"/>
      <c r="O246" s="1493"/>
      <c r="P246" s="1383"/>
      <c r="Q246" s="1383"/>
      <c r="R246" s="1383"/>
      <c r="S246" s="1383"/>
      <c r="T246" s="1383"/>
      <c r="U246" s="1383"/>
      <c r="V246" s="1383"/>
      <c r="W246" s="1383"/>
      <c r="X246" s="1383"/>
      <c r="Y246" s="1383"/>
      <c r="Z246" s="1383"/>
      <c r="AA246" s="1383"/>
      <c r="AB246" s="1383"/>
      <c r="AC246" s="1383"/>
      <c r="AD246" s="1383"/>
      <c r="AE246" s="1383"/>
      <c r="AF246" s="1383"/>
      <c r="AG246" s="1383"/>
      <c r="AH246" s="1383"/>
      <c r="AI246" s="1383"/>
      <c r="AJ246" s="1383"/>
      <c r="AK246" s="1383"/>
      <c r="AL246" s="1383"/>
      <c r="AM246" s="1383"/>
    </row>
    <row r="247" spans="2:39" ht="15.75" x14ac:dyDescent="0.25">
      <c r="B247" s="1372"/>
      <c r="C247" s="1372"/>
      <c r="D247" s="1717"/>
      <c r="E247" s="1420"/>
      <c r="F247" s="1493"/>
      <c r="G247" s="1493"/>
      <c r="H247" s="1493"/>
      <c r="I247" s="1493"/>
      <c r="J247" s="1493"/>
      <c r="K247" s="1493"/>
      <c r="L247" s="1493"/>
      <c r="M247" s="1493"/>
      <c r="N247" s="1493"/>
      <c r="O247" s="1493"/>
      <c r="P247" s="1383"/>
      <c r="Q247" s="1383"/>
      <c r="R247" s="1383"/>
      <c r="S247" s="1383"/>
      <c r="T247" s="1383"/>
      <c r="U247" s="1383"/>
      <c r="V247" s="1383"/>
      <c r="W247" s="1383"/>
      <c r="X247" s="1383"/>
      <c r="Y247" s="1383"/>
      <c r="Z247" s="1383"/>
      <c r="AA247" s="1383"/>
      <c r="AB247" s="1383"/>
      <c r="AC247" s="1383"/>
      <c r="AD247" s="1383"/>
      <c r="AE247" s="1383"/>
      <c r="AF247" s="1383"/>
      <c r="AG247" s="1383"/>
      <c r="AH247" s="1383"/>
      <c r="AI247" s="1383"/>
      <c r="AJ247" s="1383"/>
      <c r="AK247" s="1383"/>
      <c r="AL247" s="1383"/>
      <c r="AM247" s="1383"/>
    </row>
    <row r="248" spans="2:39" ht="15.75" x14ac:dyDescent="0.25">
      <c r="B248" s="1372"/>
      <c r="C248" s="1372"/>
      <c r="D248" s="1717"/>
      <c r="E248" s="1420"/>
      <c r="F248" s="1493"/>
      <c r="G248" s="1493"/>
      <c r="H248" s="1493"/>
      <c r="I248" s="1493"/>
      <c r="J248" s="1493"/>
      <c r="K248" s="1493"/>
      <c r="L248" s="1493"/>
      <c r="M248" s="1493"/>
      <c r="N248" s="1493"/>
      <c r="O248" s="1493"/>
      <c r="P248" s="1383"/>
      <c r="Q248" s="1383"/>
      <c r="R248" s="1383"/>
      <c r="S248" s="1383"/>
      <c r="T248" s="1383"/>
      <c r="U248" s="1383"/>
      <c r="V248" s="1383"/>
      <c r="W248" s="1383"/>
      <c r="X248" s="1383"/>
      <c r="Y248" s="1383"/>
      <c r="Z248" s="1383"/>
      <c r="AA248" s="1383"/>
      <c r="AB248" s="1383"/>
      <c r="AC248" s="1383"/>
      <c r="AD248" s="1383"/>
      <c r="AE248" s="1383"/>
      <c r="AF248" s="1383"/>
      <c r="AG248" s="1383"/>
      <c r="AH248" s="1383"/>
      <c r="AI248" s="1383"/>
      <c r="AJ248" s="1383"/>
      <c r="AK248" s="1383"/>
      <c r="AL248" s="1383"/>
      <c r="AM248" s="1383"/>
    </row>
    <row r="249" spans="2:39" ht="15.75" x14ac:dyDescent="0.25">
      <c r="B249" s="1372"/>
      <c r="C249" s="1372"/>
      <c r="D249" s="1717"/>
      <c r="E249" s="1420"/>
      <c r="F249" s="1493"/>
      <c r="G249" s="1493"/>
      <c r="H249" s="1493"/>
      <c r="I249" s="1493"/>
      <c r="J249" s="1493"/>
      <c r="K249" s="1493"/>
      <c r="L249" s="1493"/>
      <c r="M249" s="1493"/>
      <c r="N249" s="1493"/>
      <c r="O249" s="1493"/>
      <c r="P249" s="1383"/>
      <c r="Q249" s="1383"/>
      <c r="R249" s="1383"/>
      <c r="S249" s="1383"/>
      <c r="T249" s="1383"/>
      <c r="U249" s="1383"/>
      <c r="V249" s="1383"/>
      <c r="W249" s="1383"/>
      <c r="X249" s="1383"/>
      <c r="Y249" s="1383"/>
      <c r="Z249" s="1383"/>
      <c r="AA249" s="1383"/>
      <c r="AB249" s="1383"/>
      <c r="AC249" s="1383"/>
      <c r="AD249" s="1383"/>
      <c r="AE249" s="1383"/>
      <c r="AF249" s="1383"/>
      <c r="AG249" s="1383"/>
      <c r="AH249" s="1383"/>
      <c r="AI249" s="1383"/>
      <c r="AJ249" s="1383"/>
      <c r="AK249" s="1383"/>
      <c r="AL249" s="1383"/>
      <c r="AM249" s="1383"/>
    </row>
    <row r="250" spans="2:39" ht="15.75" x14ac:dyDescent="0.25">
      <c r="B250" s="1372"/>
      <c r="C250" s="1372"/>
      <c r="D250" s="1717"/>
      <c r="E250" s="1420"/>
      <c r="F250" s="1493"/>
      <c r="G250" s="1493"/>
      <c r="H250" s="1493"/>
      <c r="I250" s="1493"/>
      <c r="J250" s="1493"/>
      <c r="K250" s="1493"/>
      <c r="L250" s="1493"/>
      <c r="M250" s="1493"/>
      <c r="N250" s="1493"/>
      <c r="O250" s="1493"/>
      <c r="P250" s="1383"/>
      <c r="Q250" s="1383"/>
      <c r="R250" s="1383"/>
      <c r="S250" s="1383"/>
      <c r="T250" s="1383"/>
      <c r="U250" s="1383"/>
      <c r="V250" s="1383"/>
      <c r="W250" s="1383"/>
      <c r="X250" s="1383"/>
      <c r="Y250" s="1383"/>
      <c r="Z250" s="1383"/>
      <c r="AA250" s="1383"/>
      <c r="AB250" s="1383"/>
      <c r="AC250" s="1383"/>
      <c r="AD250" s="1383"/>
      <c r="AE250" s="1383"/>
      <c r="AF250" s="1383"/>
      <c r="AG250" s="1383"/>
      <c r="AH250" s="1383"/>
      <c r="AI250" s="1383"/>
      <c r="AJ250" s="1383"/>
      <c r="AK250" s="1383"/>
      <c r="AL250" s="1383"/>
      <c r="AM250" s="1383"/>
    </row>
    <row r="251" spans="2:39" ht="15.75" x14ac:dyDescent="0.25">
      <c r="B251" s="1372"/>
      <c r="C251" s="1372"/>
      <c r="D251" s="1717"/>
      <c r="E251" s="1420"/>
      <c r="F251" s="1493"/>
      <c r="G251" s="1493"/>
      <c r="H251" s="1493"/>
      <c r="I251" s="1493"/>
      <c r="J251" s="1493"/>
      <c r="K251" s="1493"/>
      <c r="L251" s="1493"/>
      <c r="M251" s="1493"/>
      <c r="N251" s="1493"/>
      <c r="O251" s="1493"/>
      <c r="P251" s="1383"/>
      <c r="Q251" s="1383"/>
      <c r="R251" s="1383"/>
      <c r="S251" s="1383"/>
      <c r="T251" s="1383"/>
      <c r="U251" s="1383"/>
      <c r="V251" s="1383"/>
      <c r="W251" s="1383"/>
      <c r="X251" s="1383"/>
      <c r="Y251" s="1383"/>
      <c r="Z251" s="1383"/>
      <c r="AA251" s="1383"/>
      <c r="AB251" s="1383"/>
      <c r="AC251" s="1383"/>
      <c r="AD251" s="1383"/>
      <c r="AE251" s="1383"/>
      <c r="AF251" s="1383"/>
      <c r="AG251" s="1383"/>
      <c r="AH251" s="1383"/>
      <c r="AI251" s="1383"/>
      <c r="AJ251" s="1383"/>
      <c r="AK251" s="1383"/>
      <c r="AL251" s="1383"/>
      <c r="AM251" s="1383"/>
    </row>
    <row r="252" spans="2:39" ht="15.75" x14ac:dyDescent="0.25">
      <c r="B252" s="1372"/>
      <c r="C252" s="1372"/>
      <c r="D252" s="1717"/>
      <c r="E252" s="1420"/>
      <c r="F252" s="1493"/>
      <c r="G252" s="1493"/>
      <c r="H252" s="1493"/>
      <c r="I252" s="1493"/>
      <c r="J252" s="1493"/>
      <c r="K252" s="1493"/>
      <c r="L252" s="1493"/>
      <c r="M252" s="1493"/>
      <c r="N252" s="1493"/>
      <c r="O252" s="1493"/>
      <c r="P252" s="1383"/>
      <c r="Q252" s="1383"/>
      <c r="R252" s="1383"/>
      <c r="S252" s="1383"/>
      <c r="T252" s="1383"/>
      <c r="U252" s="1383"/>
      <c r="V252" s="1383"/>
      <c r="W252" s="1383"/>
      <c r="X252" s="1383"/>
      <c r="Y252" s="1383"/>
      <c r="Z252" s="1383"/>
      <c r="AA252" s="1383"/>
      <c r="AB252" s="1383"/>
      <c r="AC252" s="1383"/>
      <c r="AD252" s="1383"/>
      <c r="AE252" s="1383"/>
      <c r="AF252" s="1383"/>
      <c r="AG252" s="1383"/>
      <c r="AH252" s="1383"/>
      <c r="AI252" s="1383"/>
      <c r="AJ252" s="1383"/>
      <c r="AK252" s="1383"/>
      <c r="AL252" s="1383"/>
      <c r="AM252" s="1383"/>
    </row>
    <row r="253" spans="2:39" ht="15.75" x14ac:dyDescent="0.25">
      <c r="B253" s="1372"/>
      <c r="C253" s="1372"/>
      <c r="D253" s="1717"/>
      <c r="E253" s="1420"/>
      <c r="F253" s="1493"/>
      <c r="G253" s="1493"/>
      <c r="H253" s="1493"/>
      <c r="I253" s="1493"/>
      <c r="J253" s="1493"/>
      <c r="K253" s="1493"/>
      <c r="L253" s="1493"/>
      <c r="M253" s="1493"/>
      <c r="N253" s="1493"/>
      <c r="O253" s="1493"/>
      <c r="P253" s="1383"/>
      <c r="Q253" s="1383"/>
      <c r="R253" s="1383"/>
      <c r="S253" s="1383"/>
      <c r="T253" s="1383"/>
      <c r="U253" s="1383"/>
      <c r="V253" s="1383"/>
      <c r="W253" s="1383"/>
      <c r="X253" s="1383"/>
      <c r="Y253" s="1383"/>
      <c r="Z253" s="1383"/>
      <c r="AA253" s="1383"/>
      <c r="AB253" s="1383"/>
      <c r="AC253" s="1383"/>
      <c r="AD253" s="1383"/>
      <c r="AE253" s="1383"/>
      <c r="AF253" s="1383"/>
      <c r="AG253" s="1383"/>
      <c r="AH253" s="1383"/>
      <c r="AI253" s="1383"/>
      <c r="AJ253" s="1383"/>
      <c r="AK253" s="1383"/>
      <c r="AL253" s="1383"/>
      <c r="AM253" s="1383"/>
    </row>
    <row r="254" spans="2:39" ht="15.75" x14ac:dyDescent="0.25">
      <c r="B254" s="1372"/>
      <c r="C254" s="1372"/>
      <c r="D254" s="1717"/>
      <c r="E254" s="1420"/>
      <c r="F254" s="1493"/>
      <c r="G254" s="1493"/>
      <c r="H254" s="1493"/>
      <c r="I254" s="1493"/>
      <c r="J254" s="1493"/>
      <c r="K254" s="1493"/>
      <c r="L254" s="1493"/>
      <c r="M254" s="1493"/>
      <c r="N254" s="1493"/>
      <c r="O254" s="1493"/>
      <c r="P254" s="1383"/>
      <c r="Q254" s="1383"/>
      <c r="R254" s="1383"/>
      <c r="S254" s="1383"/>
      <c r="T254" s="1383"/>
      <c r="U254" s="1383"/>
      <c r="V254" s="1383"/>
      <c r="W254" s="1383"/>
      <c r="X254" s="1383"/>
      <c r="Y254" s="1383"/>
      <c r="Z254" s="1383"/>
      <c r="AA254" s="1383"/>
      <c r="AB254" s="1383"/>
      <c r="AC254" s="1383"/>
      <c r="AD254" s="1383"/>
      <c r="AE254" s="1383"/>
      <c r="AF254" s="1383"/>
      <c r="AG254" s="1383"/>
      <c r="AH254" s="1383"/>
      <c r="AI254" s="1383"/>
      <c r="AJ254" s="1383"/>
      <c r="AK254" s="1383"/>
      <c r="AL254" s="1383"/>
      <c r="AM254" s="1383"/>
    </row>
    <row r="255" spans="2:39" ht="15.75" x14ac:dyDescent="0.25">
      <c r="B255" s="1372"/>
      <c r="C255" s="1372"/>
      <c r="D255" s="1717"/>
      <c r="E255" s="1420"/>
      <c r="F255" s="1493"/>
      <c r="G255" s="1493"/>
      <c r="H255" s="1493"/>
      <c r="I255" s="1493"/>
      <c r="J255" s="1493"/>
      <c r="K255" s="1493"/>
      <c r="L255" s="1493"/>
      <c r="M255" s="1493"/>
      <c r="N255" s="1493"/>
      <c r="O255" s="1493"/>
      <c r="P255" s="1383"/>
      <c r="Q255" s="1383"/>
      <c r="R255" s="1383"/>
      <c r="S255" s="1383"/>
      <c r="T255" s="1383"/>
      <c r="U255" s="1383"/>
      <c r="V255" s="1383"/>
      <c r="W255" s="1383"/>
      <c r="X255" s="1383"/>
      <c r="Y255" s="1383"/>
      <c r="Z255" s="1383"/>
      <c r="AA255" s="1383"/>
      <c r="AB255" s="1383"/>
      <c r="AC255" s="1383"/>
      <c r="AD255" s="1383"/>
      <c r="AE255" s="1383"/>
      <c r="AF255" s="1383"/>
      <c r="AG255" s="1383"/>
      <c r="AH255" s="1383"/>
      <c r="AI255" s="1383"/>
      <c r="AJ255" s="1383"/>
      <c r="AK255" s="1383"/>
      <c r="AL255" s="1383"/>
      <c r="AM255" s="1383"/>
    </row>
    <row r="256" spans="2:39" ht="15.75" x14ac:dyDescent="0.25">
      <c r="B256" s="1372"/>
      <c r="C256" s="1372"/>
      <c r="D256" s="1717"/>
      <c r="E256" s="1420"/>
      <c r="F256" s="1493"/>
      <c r="G256" s="1493"/>
      <c r="H256" s="1493"/>
      <c r="I256" s="1493"/>
      <c r="J256" s="1493"/>
      <c r="K256" s="1493"/>
      <c r="L256" s="1493"/>
      <c r="M256" s="1493"/>
      <c r="N256" s="1493"/>
      <c r="O256" s="1493"/>
      <c r="P256" s="1383"/>
      <c r="Q256" s="1383"/>
      <c r="R256" s="1383"/>
      <c r="S256" s="1383"/>
      <c r="T256" s="1383"/>
      <c r="U256" s="1383"/>
      <c r="V256" s="1383"/>
      <c r="W256" s="1383"/>
      <c r="X256" s="1383"/>
      <c r="Y256" s="1383"/>
      <c r="Z256" s="1383"/>
      <c r="AA256" s="1383"/>
      <c r="AB256" s="1383"/>
      <c r="AC256" s="1383"/>
      <c r="AD256" s="1383"/>
      <c r="AE256" s="1383"/>
      <c r="AF256" s="1383"/>
      <c r="AG256" s="1383"/>
      <c r="AH256" s="1383"/>
      <c r="AI256" s="1383"/>
      <c r="AJ256" s="1383"/>
      <c r="AK256" s="1383"/>
      <c r="AL256" s="1383"/>
      <c r="AM256" s="1383"/>
    </row>
    <row r="257" spans="2:39" ht="15.75" x14ac:dyDescent="0.25">
      <c r="B257" s="1372"/>
      <c r="C257" s="1372"/>
      <c r="D257" s="1717"/>
      <c r="E257" s="1420"/>
      <c r="F257" s="1493"/>
      <c r="G257" s="1493"/>
      <c r="H257" s="1493"/>
      <c r="I257" s="1493"/>
      <c r="J257" s="1493"/>
      <c r="K257" s="1493"/>
      <c r="L257" s="1493"/>
      <c r="M257" s="1493"/>
      <c r="N257" s="1493"/>
      <c r="O257" s="1493"/>
      <c r="P257" s="1383"/>
      <c r="Q257" s="1383"/>
      <c r="R257" s="1383"/>
      <c r="S257" s="1383"/>
      <c r="T257" s="1383"/>
      <c r="U257" s="1383"/>
      <c r="V257" s="1383"/>
      <c r="W257" s="1383"/>
      <c r="X257" s="1383"/>
      <c r="Y257" s="1383"/>
      <c r="Z257" s="1383"/>
      <c r="AA257" s="1383"/>
      <c r="AB257" s="1383"/>
      <c r="AC257" s="1383"/>
      <c r="AD257" s="1383"/>
      <c r="AE257" s="1383"/>
      <c r="AF257" s="1383"/>
      <c r="AG257" s="1383"/>
      <c r="AH257" s="1383"/>
      <c r="AI257" s="1383"/>
      <c r="AJ257" s="1383"/>
      <c r="AK257" s="1383"/>
      <c r="AL257" s="1383"/>
      <c r="AM257" s="1383"/>
    </row>
    <row r="258" spans="2:39" ht="15.75" x14ac:dyDescent="0.25">
      <c r="B258" s="1372"/>
      <c r="C258" s="1372"/>
      <c r="D258" s="1717"/>
      <c r="E258" s="1420"/>
      <c r="F258" s="1493"/>
      <c r="G258" s="1493"/>
      <c r="H258" s="1493"/>
      <c r="I258" s="1493"/>
      <c r="J258" s="1493"/>
      <c r="K258" s="1493"/>
      <c r="L258" s="1493"/>
      <c r="M258" s="1493"/>
      <c r="N258" s="1493"/>
      <c r="O258" s="1493"/>
      <c r="P258" s="1383"/>
      <c r="Q258" s="1383"/>
      <c r="R258" s="1383"/>
      <c r="S258" s="1383"/>
      <c r="T258" s="1383"/>
      <c r="U258" s="1383"/>
      <c r="V258" s="1383"/>
      <c r="W258" s="1383"/>
      <c r="X258" s="1383"/>
      <c r="Y258" s="1383"/>
      <c r="Z258" s="1383"/>
      <c r="AA258" s="1383"/>
      <c r="AB258" s="1383"/>
      <c r="AC258" s="1383"/>
      <c r="AD258" s="1383"/>
      <c r="AE258" s="1383"/>
      <c r="AF258" s="1383"/>
      <c r="AG258" s="1383"/>
      <c r="AH258" s="1383"/>
      <c r="AI258" s="1383"/>
      <c r="AJ258" s="1383"/>
      <c r="AK258" s="1383"/>
      <c r="AL258" s="1383"/>
      <c r="AM258" s="1383"/>
    </row>
    <row r="259" spans="2:39" ht="15.75" x14ac:dyDescent="0.25">
      <c r="B259" s="1372"/>
      <c r="C259" s="1372"/>
      <c r="D259" s="1717"/>
      <c r="E259" s="1420"/>
      <c r="F259" s="1493"/>
      <c r="G259" s="1493"/>
      <c r="H259" s="1493"/>
      <c r="I259" s="1493"/>
      <c r="J259" s="1493"/>
      <c r="K259" s="1493"/>
      <c r="L259" s="1493"/>
      <c r="M259" s="1493"/>
      <c r="N259" s="1493"/>
      <c r="O259" s="1493"/>
      <c r="P259" s="1383"/>
      <c r="Q259" s="1383"/>
      <c r="R259" s="1383"/>
      <c r="S259" s="1383"/>
      <c r="T259" s="1383"/>
      <c r="U259" s="1383"/>
      <c r="V259" s="1383"/>
      <c r="W259" s="1383"/>
      <c r="X259" s="1383"/>
      <c r="Y259" s="1383"/>
      <c r="Z259" s="1383"/>
      <c r="AA259" s="1383"/>
      <c r="AB259" s="1383"/>
      <c r="AC259" s="1383"/>
      <c r="AD259" s="1383"/>
      <c r="AE259" s="1383"/>
      <c r="AF259" s="1383"/>
      <c r="AG259" s="1383"/>
      <c r="AH259" s="1383"/>
      <c r="AI259" s="1383"/>
      <c r="AJ259" s="1383"/>
      <c r="AK259" s="1383"/>
      <c r="AL259" s="1383"/>
      <c r="AM259" s="1383"/>
    </row>
    <row r="260" spans="2:39" ht="15.75" x14ac:dyDescent="0.25">
      <c r="B260" s="1372"/>
      <c r="C260" s="1372"/>
      <c r="D260" s="1717"/>
      <c r="E260" s="1420"/>
      <c r="F260" s="1493"/>
      <c r="G260" s="1493"/>
      <c r="H260" s="1493"/>
      <c r="I260" s="1493"/>
      <c r="J260" s="1493"/>
      <c r="K260" s="1493"/>
      <c r="L260" s="1493"/>
      <c r="M260" s="1493"/>
      <c r="N260" s="1493"/>
      <c r="O260" s="1493"/>
      <c r="P260" s="1383"/>
      <c r="Q260" s="1383"/>
      <c r="R260" s="1383"/>
      <c r="S260" s="1383"/>
      <c r="T260" s="1383"/>
      <c r="U260" s="1383"/>
      <c r="V260" s="1383"/>
      <c r="W260" s="1383"/>
      <c r="X260" s="1383"/>
      <c r="Y260" s="1383"/>
      <c r="Z260" s="1383"/>
      <c r="AA260" s="1383"/>
      <c r="AB260" s="1383"/>
      <c r="AC260" s="1383"/>
      <c r="AD260" s="1383"/>
      <c r="AE260" s="1383"/>
      <c r="AF260" s="1383"/>
      <c r="AG260" s="1383"/>
      <c r="AH260" s="1383"/>
      <c r="AI260" s="1383"/>
      <c r="AJ260" s="1383"/>
      <c r="AK260" s="1383"/>
      <c r="AL260" s="1383"/>
      <c r="AM260" s="1383"/>
    </row>
    <row r="261" spans="2:39" ht="15.75" x14ac:dyDescent="0.25">
      <c r="B261" s="1372"/>
      <c r="C261" s="1372"/>
      <c r="D261" s="1717"/>
      <c r="E261" s="1420"/>
      <c r="F261" s="1493"/>
      <c r="G261" s="1493"/>
      <c r="H261" s="1493"/>
      <c r="I261" s="1493"/>
      <c r="J261" s="1493"/>
      <c r="K261" s="1493"/>
      <c r="L261" s="1493"/>
      <c r="M261" s="1493"/>
      <c r="N261" s="1493"/>
      <c r="O261" s="1493"/>
      <c r="P261" s="1383"/>
      <c r="Q261" s="1383"/>
      <c r="R261" s="1383"/>
      <c r="S261" s="1383"/>
      <c r="T261" s="1383"/>
      <c r="U261" s="1383"/>
      <c r="V261" s="1383"/>
      <c r="W261" s="1383"/>
      <c r="X261" s="1383"/>
      <c r="Y261" s="1383"/>
      <c r="Z261" s="1383"/>
      <c r="AA261" s="1383"/>
      <c r="AB261" s="1383"/>
      <c r="AC261" s="1383"/>
      <c r="AD261" s="1383"/>
      <c r="AE261" s="1383"/>
      <c r="AF261" s="1383"/>
      <c r="AG261" s="1383"/>
      <c r="AH261" s="1383"/>
      <c r="AI261" s="1383"/>
      <c r="AJ261" s="1383"/>
      <c r="AK261" s="1383"/>
      <c r="AL261" s="1383"/>
      <c r="AM261" s="1383"/>
    </row>
    <row r="262" spans="2:39" ht="15.75" x14ac:dyDescent="0.25">
      <c r="B262" s="1372"/>
      <c r="C262" s="1372"/>
      <c r="D262" s="1717"/>
      <c r="E262" s="1420"/>
      <c r="F262" s="1493"/>
      <c r="G262" s="1493"/>
      <c r="H262" s="1493"/>
      <c r="I262" s="1493"/>
      <c r="J262" s="1493"/>
      <c r="K262" s="1493"/>
      <c r="L262" s="1493"/>
      <c r="M262" s="1493"/>
      <c r="N262" s="1493"/>
      <c r="O262" s="1493"/>
      <c r="P262" s="1383"/>
      <c r="Q262" s="1383"/>
      <c r="R262" s="1383"/>
      <c r="S262" s="1383"/>
      <c r="T262" s="1383"/>
      <c r="U262" s="1383"/>
      <c r="V262" s="1383"/>
      <c r="W262" s="1383"/>
      <c r="X262" s="1383"/>
      <c r="Y262" s="1383"/>
      <c r="Z262" s="1383"/>
      <c r="AA262" s="1383"/>
      <c r="AB262" s="1383"/>
      <c r="AC262" s="1383"/>
      <c r="AD262" s="1383"/>
      <c r="AE262" s="1383"/>
      <c r="AF262" s="1383"/>
      <c r="AG262" s="1383"/>
      <c r="AH262" s="1383"/>
      <c r="AI262" s="1383"/>
      <c r="AJ262" s="1383"/>
      <c r="AK262" s="1383"/>
      <c r="AL262" s="1383"/>
      <c r="AM262" s="1383"/>
    </row>
    <row r="263" spans="2:39" ht="15.75" x14ac:dyDescent="0.25">
      <c r="B263" s="1372"/>
      <c r="C263" s="1372"/>
      <c r="D263" s="1717"/>
      <c r="E263" s="1420"/>
      <c r="F263" s="1493"/>
      <c r="G263" s="1493"/>
      <c r="H263" s="1493"/>
      <c r="I263" s="1493"/>
      <c r="J263" s="1493"/>
      <c r="K263" s="1493"/>
      <c r="L263" s="1493"/>
      <c r="M263" s="1493"/>
      <c r="N263" s="1493"/>
      <c r="O263" s="1493"/>
      <c r="P263" s="1383"/>
      <c r="Q263" s="1383"/>
      <c r="R263" s="1383"/>
      <c r="S263" s="1383"/>
      <c r="T263" s="1383"/>
      <c r="U263" s="1383"/>
      <c r="V263" s="1383"/>
      <c r="W263" s="1383"/>
      <c r="X263" s="1383"/>
      <c r="Y263" s="1383"/>
      <c r="Z263" s="1383"/>
      <c r="AA263" s="1383"/>
      <c r="AB263" s="1383"/>
      <c r="AC263" s="1383"/>
      <c r="AD263" s="1383"/>
      <c r="AE263" s="1383"/>
      <c r="AF263" s="1383"/>
      <c r="AG263" s="1383"/>
      <c r="AH263" s="1383"/>
      <c r="AI263" s="1383"/>
      <c r="AJ263" s="1383"/>
      <c r="AK263" s="1383"/>
      <c r="AL263" s="1383"/>
      <c r="AM263" s="1383"/>
    </row>
    <row r="264" spans="2:39" ht="15.75" x14ac:dyDescent="0.25">
      <c r="B264" s="1372"/>
      <c r="C264" s="1372"/>
      <c r="D264" s="1717"/>
      <c r="E264" s="1420"/>
      <c r="F264" s="1493"/>
      <c r="G264" s="1493"/>
      <c r="H264" s="1493"/>
      <c r="I264" s="1493"/>
      <c r="J264" s="1493"/>
      <c r="K264" s="1493"/>
      <c r="L264" s="1493"/>
      <c r="M264" s="1493"/>
      <c r="N264" s="1493"/>
      <c r="O264" s="1493"/>
      <c r="P264" s="1383"/>
      <c r="Q264" s="1383"/>
      <c r="R264" s="1383"/>
      <c r="S264" s="1383"/>
      <c r="T264" s="1383"/>
      <c r="U264" s="1383"/>
      <c r="V264" s="1383"/>
      <c r="W264" s="1383"/>
      <c r="X264" s="1383"/>
      <c r="Y264" s="1383"/>
      <c r="Z264" s="1383"/>
      <c r="AA264" s="1383"/>
      <c r="AB264" s="1383"/>
      <c r="AC264" s="1383"/>
      <c r="AD264" s="1383"/>
      <c r="AE264" s="1383"/>
      <c r="AF264" s="1383"/>
      <c r="AG264" s="1383"/>
      <c r="AH264" s="1383"/>
      <c r="AI264" s="1383"/>
      <c r="AJ264" s="1383"/>
      <c r="AK264" s="1383"/>
      <c r="AL264" s="1383"/>
      <c r="AM264" s="1383"/>
    </row>
    <row r="265" spans="2:39" ht="15.75" x14ac:dyDescent="0.25">
      <c r="B265" s="1372"/>
      <c r="C265" s="1372"/>
      <c r="D265" s="1717"/>
      <c r="E265" s="1420"/>
      <c r="F265" s="1493"/>
      <c r="G265" s="1493"/>
      <c r="H265" s="1493"/>
      <c r="I265" s="1493"/>
      <c r="J265" s="1493"/>
      <c r="K265" s="1493"/>
      <c r="L265" s="1493"/>
      <c r="M265" s="1493"/>
      <c r="N265" s="1493"/>
      <c r="O265" s="1493"/>
      <c r="P265" s="1383"/>
      <c r="Q265" s="1383"/>
      <c r="R265" s="1383"/>
      <c r="S265" s="1383"/>
      <c r="T265" s="1383"/>
      <c r="U265" s="1383"/>
      <c r="V265" s="1383"/>
      <c r="W265" s="1383"/>
      <c r="X265" s="1383"/>
      <c r="Y265" s="1383"/>
      <c r="Z265" s="1383"/>
      <c r="AA265" s="1383"/>
      <c r="AB265" s="1383"/>
      <c r="AC265" s="1383"/>
      <c r="AD265" s="1383"/>
      <c r="AE265" s="1383"/>
      <c r="AF265" s="1383"/>
      <c r="AG265" s="1383"/>
      <c r="AH265" s="1383"/>
      <c r="AI265" s="1383"/>
      <c r="AJ265" s="1383"/>
      <c r="AK265" s="1383"/>
      <c r="AL265" s="1383"/>
      <c r="AM265" s="1383"/>
    </row>
    <row r="266" spans="2:39" ht="15.75" x14ac:dyDescent="0.25">
      <c r="B266" s="1372"/>
      <c r="C266" s="1372"/>
      <c r="D266" s="1717"/>
      <c r="E266" s="1420"/>
      <c r="F266" s="1493"/>
      <c r="G266" s="1493"/>
      <c r="H266" s="1493"/>
      <c r="I266" s="1493"/>
      <c r="J266" s="1493"/>
      <c r="K266" s="1493"/>
      <c r="L266" s="1493"/>
      <c r="M266" s="1493"/>
      <c r="N266" s="1493"/>
      <c r="O266" s="1493"/>
      <c r="P266" s="1383"/>
      <c r="Q266" s="1383"/>
      <c r="R266" s="1383"/>
      <c r="S266" s="1383"/>
      <c r="T266" s="1383"/>
      <c r="U266" s="1383"/>
      <c r="V266" s="1383"/>
      <c r="W266" s="1383"/>
      <c r="X266" s="1383"/>
      <c r="Y266" s="1383"/>
      <c r="Z266" s="1383"/>
      <c r="AA266" s="1383"/>
      <c r="AB266" s="1383"/>
      <c r="AC266" s="1383"/>
      <c r="AD266" s="1383"/>
      <c r="AE266" s="1383"/>
      <c r="AF266" s="1383"/>
      <c r="AG266" s="1383"/>
      <c r="AH266" s="1383"/>
      <c r="AI266" s="1383"/>
      <c r="AJ266" s="1383"/>
      <c r="AK266" s="1383"/>
      <c r="AL266" s="1383"/>
      <c r="AM266" s="1383"/>
    </row>
    <row r="267" spans="2:39" ht="15.75" x14ac:dyDescent="0.25">
      <c r="B267" s="1372"/>
      <c r="C267" s="1372"/>
      <c r="D267" s="1717"/>
      <c r="E267" s="1420"/>
      <c r="F267" s="1493"/>
      <c r="G267" s="1493"/>
      <c r="H267" s="1493"/>
      <c r="I267" s="1493"/>
      <c r="J267" s="1493"/>
      <c r="K267" s="1493"/>
      <c r="L267" s="1493"/>
      <c r="M267" s="1493"/>
      <c r="N267" s="1493"/>
      <c r="O267" s="1493"/>
      <c r="P267" s="1383"/>
      <c r="Q267" s="1383"/>
      <c r="R267" s="1383"/>
      <c r="S267" s="1383"/>
      <c r="T267" s="1383"/>
      <c r="U267" s="1383"/>
      <c r="V267" s="1383"/>
      <c r="W267" s="1383"/>
      <c r="X267" s="1383"/>
      <c r="Y267" s="1383"/>
      <c r="Z267" s="1383"/>
      <c r="AA267" s="1383"/>
      <c r="AB267" s="1383"/>
      <c r="AC267" s="1383"/>
      <c r="AD267" s="1383"/>
      <c r="AE267" s="1383"/>
      <c r="AF267" s="1383"/>
      <c r="AG267" s="1383"/>
      <c r="AH267" s="1383"/>
      <c r="AI267" s="1383"/>
      <c r="AJ267" s="1383"/>
      <c r="AK267" s="1383"/>
      <c r="AL267" s="1383"/>
      <c r="AM267" s="1383"/>
    </row>
    <row r="268" spans="2:39" ht="15.75" x14ac:dyDescent="0.25">
      <c r="B268" s="1372"/>
      <c r="C268" s="1372"/>
      <c r="D268" s="1717"/>
      <c r="E268" s="1420"/>
      <c r="F268" s="1493"/>
      <c r="G268" s="1493"/>
      <c r="H268" s="1493"/>
      <c r="I268" s="1493"/>
      <c r="J268" s="1493"/>
      <c r="K268" s="1493"/>
      <c r="L268" s="1493"/>
      <c r="M268" s="1493"/>
      <c r="N268" s="1493"/>
      <c r="O268" s="1493"/>
      <c r="P268" s="1383"/>
      <c r="Q268" s="1383"/>
      <c r="R268" s="1383"/>
      <c r="S268" s="1383"/>
      <c r="T268" s="1383"/>
      <c r="U268" s="1383"/>
      <c r="V268" s="1383"/>
      <c r="W268" s="1383"/>
      <c r="X268" s="1383"/>
      <c r="Y268" s="1383"/>
      <c r="Z268" s="1383"/>
      <c r="AA268" s="1383"/>
      <c r="AB268" s="1383"/>
      <c r="AC268" s="1383"/>
      <c r="AD268" s="1383"/>
      <c r="AE268" s="1383"/>
      <c r="AF268" s="1383"/>
      <c r="AG268" s="1383"/>
      <c r="AH268" s="1383"/>
      <c r="AI268" s="1383"/>
      <c r="AJ268" s="1383"/>
      <c r="AK268" s="1383"/>
      <c r="AL268" s="1383"/>
      <c r="AM268" s="1383"/>
    </row>
    <row r="269" spans="2:39" ht="15.75" x14ac:dyDescent="0.25">
      <c r="B269" s="1372"/>
      <c r="C269" s="1372"/>
      <c r="D269" s="1717"/>
      <c r="E269" s="1420"/>
      <c r="F269" s="1493"/>
      <c r="G269" s="1493"/>
      <c r="H269" s="1493"/>
      <c r="I269" s="1493"/>
      <c r="J269" s="1493"/>
      <c r="K269" s="1493"/>
      <c r="L269" s="1493"/>
      <c r="M269" s="1493"/>
      <c r="N269" s="1493"/>
      <c r="O269" s="1493"/>
      <c r="P269" s="1383"/>
      <c r="Q269" s="1383"/>
      <c r="R269" s="1383"/>
      <c r="S269" s="1383"/>
      <c r="T269" s="1383"/>
      <c r="U269" s="1383"/>
      <c r="V269" s="1383"/>
      <c r="W269" s="1383"/>
      <c r="X269" s="1383"/>
      <c r="Y269" s="1383"/>
      <c r="Z269" s="1383"/>
      <c r="AA269" s="1383"/>
      <c r="AB269" s="1383"/>
      <c r="AC269" s="1383"/>
      <c r="AD269" s="1383"/>
      <c r="AE269" s="1383"/>
      <c r="AF269" s="1383"/>
      <c r="AG269" s="1383"/>
      <c r="AH269" s="1383"/>
      <c r="AI269" s="1383"/>
      <c r="AJ269" s="1383"/>
      <c r="AK269" s="1383"/>
      <c r="AL269" s="1383"/>
      <c r="AM269" s="1383"/>
    </row>
    <row r="270" spans="2:39" ht="15.75" x14ac:dyDescent="0.25">
      <c r="B270" s="1372"/>
      <c r="C270" s="1372"/>
      <c r="D270" s="1717"/>
      <c r="E270" s="1420"/>
      <c r="F270" s="1493"/>
      <c r="G270" s="1493"/>
      <c r="H270" s="1493"/>
      <c r="I270" s="1493"/>
      <c r="J270" s="1493"/>
      <c r="K270" s="1493"/>
      <c r="L270" s="1493"/>
      <c r="M270" s="1493"/>
      <c r="N270" s="1493"/>
      <c r="O270" s="1493"/>
      <c r="P270" s="1383"/>
      <c r="Q270" s="1383"/>
      <c r="R270" s="1383"/>
      <c r="S270" s="1383"/>
      <c r="T270" s="1383"/>
      <c r="U270" s="1383"/>
      <c r="V270" s="1383"/>
      <c r="W270" s="1383"/>
      <c r="X270" s="1383"/>
      <c r="Y270" s="1383"/>
      <c r="Z270" s="1383"/>
      <c r="AA270" s="1383"/>
      <c r="AB270" s="1383"/>
      <c r="AC270" s="1383"/>
      <c r="AD270" s="1383"/>
      <c r="AE270" s="1383"/>
      <c r="AF270" s="1383"/>
      <c r="AG270" s="1383"/>
      <c r="AH270" s="1383"/>
      <c r="AI270" s="1383"/>
      <c r="AJ270" s="1383"/>
      <c r="AK270" s="1383"/>
      <c r="AL270" s="1383"/>
      <c r="AM270" s="1383"/>
    </row>
    <row r="271" spans="2:39" ht="15.75" x14ac:dyDescent="0.25">
      <c r="B271" s="1372"/>
      <c r="C271" s="1372"/>
      <c r="D271" s="1717"/>
      <c r="E271" s="1420"/>
      <c r="F271" s="1493"/>
      <c r="G271" s="1493"/>
      <c r="H271" s="1493"/>
      <c r="I271" s="1493"/>
      <c r="J271" s="1493"/>
      <c r="K271" s="1493"/>
      <c r="L271" s="1493"/>
      <c r="M271" s="1493"/>
      <c r="N271" s="1493"/>
      <c r="O271" s="1493"/>
      <c r="P271" s="1383"/>
      <c r="Q271" s="1383"/>
      <c r="R271" s="1383"/>
      <c r="S271" s="1383"/>
      <c r="T271" s="1383"/>
      <c r="U271" s="1383"/>
      <c r="V271" s="1383"/>
      <c r="W271" s="1383"/>
      <c r="X271" s="1383"/>
      <c r="Y271" s="1383"/>
      <c r="Z271" s="1383"/>
      <c r="AA271" s="1383"/>
      <c r="AB271" s="1383"/>
      <c r="AC271" s="1383"/>
      <c r="AD271" s="1383"/>
      <c r="AE271" s="1383"/>
      <c r="AF271" s="1383"/>
      <c r="AG271" s="1383"/>
      <c r="AH271" s="1383"/>
      <c r="AI271" s="1383"/>
      <c r="AJ271" s="1383"/>
      <c r="AK271" s="1383"/>
      <c r="AL271" s="1383"/>
      <c r="AM271" s="1383"/>
    </row>
    <row r="272" spans="2:39" ht="15.75" x14ac:dyDescent="0.25">
      <c r="B272" s="1372"/>
      <c r="C272" s="1372"/>
      <c r="D272" s="1717"/>
      <c r="E272" s="1420"/>
      <c r="F272" s="1493"/>
      <c r="G272" s="1493"/>
      <c r="H272" s="1493"/>
      <c r="I272" s="1493"/>
      <c r="J272" s="1493"/>
      <c r="K272" s="1493"/>
      <c r="L272" s="1493"/>
      <c r="M272" s="1493"/>
      <c r="N272" s="1493"/>
      <c r="O272" s="1493"/>
      <c r="P272" s="1383"/>
      <c r="Q272" s="1383"/>
      <c r="R272" s="1383"/>
      <c r="S272" s="1383"/>
      <c r="T272" s="1383"/>
      <c r="U272" s="1383"/>
      <c r="V272" s="1383"/>
      <c r="W272" s="1383"/>
      <c r="X272" s="1383"/>
      <c r="Y272" s="1383"/>
      <c r="Z272" s="1383"/>
      <c r="AA272" s="1383"/>
      <c r="AB272" s="1383"/>
      <c r="AC272" s="1383"/>
      <c r="AD272" s="1383"/>
      <c r="AE272" s="1383"/>
      <c r="AF272" s="1383"/>
      <c r="AG272" s="1383"/>
      <c r="AH272" s="1383"/>
      <c r="AI272" s="1383"/>
      <c r="AJ272" s="1383"/>
      <c r="AK272" s="1383"/>
      <c r="AL272" s="1383"/>
      <c r="AM272" s="1383"/>
    </row>
    <row r="273" spans="2:39" ht="15.75" x14ac:dyDescent="0.25">
      <c r="B273" s="1372"/>
      <c r="C273" s="1372"/>
      <c r="D273" s="1717"/>
      <c r="E273" s="1420"/>
      <c r="F273" s="1493"/>
      <c r="G273" s="1493"/>
      <c r="H273" s="1493"/>
      <c r="I273" s="1493"/>
      <c r="J273" s="1493"/>
      <c r="K273" s="1493"/>
      <c r="L273" s="1493"/>
      <c r="M273" s="1493"/>
      <c r="N273" s="1493"/>
      <c r="O273" s="1493"/>
      <c r="P273" s="1383"/>
      <c r="Q273" s="1383"/>
      <c r="R273" s="1383"/>
      <c r="S273" s="1383"/>
      <c r="T273" s="1383"/>
      <c r="U273" s="1383"/>
      <c r="V273" s="1383"/>
      <c r="W273" s="1383"/>
      <c r="X273" s="1383"/>
      <c r="Y273" s="1383"/>
      <c r="Z273" s="1383"/>
      <c r="AA273" s="1383"/>
      <c r="AB273" s="1383"/>
      <c r="AC273" s="1383"/>
      <c r="AD273" s="1383"/>
      <c r="AE273" s="1383"/>
      <c r="AF273" s="1383"/>
      <c r="AG273" s="1383"/>
      <c r="AH273" s="1383"/>
      <c r="AI273" s="1383"/>
      <c r="AJ273" s="1383"/>
      <c r="AK273" s="1383"/>
      <c r="AL273" s="1383"/>
      <c r="AM273" s="1383"/>
    </row>
    <row r="274" spans="2:39" ht="15.75" x14ac:dyDescent="0.25">
      <c r="B274" s="1372"/>
      <c r="C274" s="1372"/>
      <c r="D274" s="1717"/>
      <c r="E274" s="1420"/>
      <c r="F274" s="1493"/>
      <c r="G274" s="1493"/>
      <c r="H274" s="1493"/>
      <c r="I274" s="1493"/>
      <c r="J274" s="1493"/>
      <c r="K274" s="1493"/>
      <c r="L274" s="1493"/>
      <c r="M274" s="1493"/>
      <c r="N274" s="1493"/>
      <c r="O274" s="1493"/>
      <c r="P274" s="1383"/>
      <c r="Q274" s="1383"/>
      <c r="R274" s="1383"/>
      <c r="S274" s="1383"/>
      <c r="T274" s="1383"/>
      <c r="U274" s="1383"/>
      <c r="V274" s="1383"/>
      <c r="W274" s="1383"/>
      <c r="X274" s="1383"/>
      <c r="Y274" s="1383"/>
      <c r="Z274" s="1383"/>
      <c r="AA274" s="1383"/>
      <c r="AB274" s="1383"/>
      <c r="AC274" s="1383"/>
      <c r="AD274" s="1383"/>
      <c r="AE274" s="1383"/>
      <c r="AF274" s="1383"/>
      <c r="AG274" s="1383"/>
      <c r="AH274" s="1383"/>
      <c r="AI274" s="1383"/>
      <c r="AJ274" s="1383"/>
      <c r="AK274" s="1383"/>
      <c r="AL274" s="1383"/>
      <c r="AM274" s="1383"/>
    </row>
    <row r="275" spans="2:39" ht="15.75" x14ac:dyDescent="0.25">
      <c r="B275" s="1372"/>
      <c r="C275" s="1372"/>
      <c r="D275" s="1717"/>
      <c r="E275" s="1420"/>
      <c r="F275" s="1493"/>
      <c r="G275" s="1493"/>
      <c r="H275" s="1493"/>
      <c r="I275" s="1493"/>
      <c r="J275" s="1493"/>
      <c r="K275" s="1493"/>
      <c r="L275" s="1493"/>
      <c r="M275" s="1493"/>
      <c r="N275" s="1493"/>
      <c r="O275" s="1493"/>
      <c r="P275" s="1383"/>
      <c r="Q275" s="1383"/>
      <c r="R275" s="1383"/>
      <c r="S275" s="1383"/>
      <c r="T275" s="1383"/>
      <c r="U275" s="1383"/>
      <c r="V275" s="1383"/>
      <c r="W275" s="1383"/>
      <c r="X275" s="1383"/>
      <c r="Y275" s="1383"/>
      <c r="Z275" s="1383"/>
      <c r="AA275" s="1383"/>
      <c r="AB275" s="1383"/>
      <c r="AC275" s="1383"/>
      <c r="AD275" s="1383"/>
      <c r="AE275" s="1383"/>
      <c r="AF275" s="1383"/>
      <c r="AG275" s="1383"/>
      <c r="AH275" s="1383"/>
      <c r="AI275" s="1383"/>
      <c r="AJ275" s="1383"/>
      <c r="AK275" s="1383"/>
      <c r="AL275" s="1383"/>
      <c r="AM275" s="1383"/>
    </row>
    <row r="276" spans="2:39" ht="15.75" x14ac:dyDescent="0.25">
      <c r="B276" s="1372"/>
      <c r="C276" s="1372"/>
      <c r="D276" s="1717"/>
      <c r="E276" s="1420"/>
      <c r="F276" s="1493"/>
      <c r="G276" s="1493"/>
      <c r="H276" s="1493"/>
      <c r="I276" s="1493"/>
      <c r="J276" s="1493"/>
      <c r="K276" s="1493"/>
      <c r="L276" s="1493"/>
      <c r="M276" s="1493"/>
      <c r="N276" s="1493"/>
      <c r="O276" s="1493"/>
      <c r="P276" s="1383"/>
      <c r="Q276" s="1383"/>
      <c r="R276" s="1383"/>
      <c r="S276" s="1383"/>
      <c r="T276" s="1383"/>
      <c r="U276" s="1383"/>
      <c r="V276" s="1383"/>
      <c r="W276" s="1383"/>
      <c r="X276" s="1383"/>
      <c r="Y276" s="1383"/>
      <c r="Z276" s="1383"/>
      <c r="AA276" s="1383"/>
      <c r="AB276" s="1383"/>
      <c r="AC276" s="1383"/>
      <c r="AD276" s="1383"/>
      <c r="AE276" s="1383"/>
      <c r="AF276" s="1383"/>
      <c r="AG276" s="1383"/>
      <c r="AH276" s="1383"/>
      <c r="AI276" s="1383"/>
      <c r="AJ276" s="1383"/>
      <c r="AK276" s="1383"/>
      <c r="AL276" s="1383"/>
      <c r="AM276" s="1383"/>
    </row>
    <row r="277" spans="2:39" ht="15.75" x14ac:dyDescent="0.25">
      <c r="B277" s="1372"/>
      <c r="C277" s="1372"/>
      <c r="D277" s="1717"/>
      <c r="E277" s="1420"/>
      <c r="F277" s="1493"/>
      <c r="G277" s="1493"/>
      <c r="H277" s="1493"/>
      <c r="I277" s="1493"/>
      <c r="J277" s="1493"/>
      <c r="K277" s="1493"/>
      <c r="L277" s="1493"/>
      <c r="M277" s="1493"/>
      <c r="N277" s="1493"/>
      <c r="O277" s="1493"/>
      <c r="P277" s="1383"/>
      <c r="Q277" s="1383"/>
      <c r="R277" s="1383"/>
      <c r="S277" s="1383"/>
      <c r="T277" s="1383"/>
      <c r="U277" s="1383"/>
      <c r="V277" s="1383"/>
      <c r="W277" s="1383"/>
      <c r="X277" s="1383"/>
      <c r="Y277" s="1383"/>
      <c r="Z277" s="1383"/>
      <c r="AA277" s="1383"/>
      <c r="AB277" s="1383"/>
      <c r="AC277" s="1383"/>
      <c r="AD277" s="1383"/>
      <c r="AE277" s="1383"/>
      <c r="AF277" s="1383"/>
      <c r="AG277" s="1383"/>
      <c r="AH277" s="1383"/>
      <c r="AI277" s="1383"/>
      <c r="AJ277" s="1383"/>
      <c r="AK277" s="1383"/>
      <c r="AL277" s="1383"/>
      <c r="AM277" s="1383"/>
    </row>
    <row r="278" spans="2:39" ht="15.75" x14ac:dyDescent="0.25">
      <c r="B278" s="1372"/>
      <c r="C278" s="1372"/>
      <c r="D278" s="1717"/>
      <c r="E278" s="1420"/>
      <c r="F278" s="1493"/>
      <c r="G278" s="1493"/>
      <c r="H278" s="1493"/>
      <c r="I278" s="1493"/>
      <c r="J278" s="1493"/>
      <c r="K278" s="1493"/>
      <c r="L278" s="1493"/>
      <c r="M278" s="1493"/>
      <c r="N278" s="1493"/>
      <c r="O278" s="1493"/>
      <c r="P278" s="1383"/>
      <c r="Q278" s="1383"/>
      <c r="R278" s="1383"/>
      <c r="S278" s="1383"/>
      <c r="T278" s="1383"/>
      <c r="U278" s="1383"/>
      <c r="V278" s="1383"/>
      <c r="W278" s="1383"/>
      <c r="X278" s="1383"/>
      <c r="Y278" s="1383"/>
      <c r="Z278" s="1383"/>
      <c r="AA278" s="1383"/>
      <c r="AB278" s="1383"/>
      <c r="AC278" s="1383"/>
      <c r="AD278" s="1383"/>
      <c r="AE278" s="1383"/>
      <c r="AF278" s="1383"/>
      <c r="AG278" s="1383"/>
      <c r="AH278" s="1383"/>
      <c r="AI278" s="1383"/>
      <c r="AJ278" s="1383"/>
      <c r="AK278" s="1383"/>
      <c r="AL278" s="1383"/>
      <c r="AM278" s="1383"/>
    </row>
    <row r="279" spans="2:39" ht="15.75" x14ac:dyDescent="0.25">
      <c r="B279" s="1372"/>
      <c r="C279" s="1372"/>
      <c r="D279" s="1717"/>
      <c r="E279" s="1420"/>
      <c r="F279" s="1493"/>
      <c r="G279" s="1493"/>
      <c r="H279" s="1493"/>
      <c r="I279" s="1493"/>
      <c r="J279" s="1493"/>
      <c r="K279" s="1493"/>
      <c r="L279" s="1493"/>
      <c r="M279" s="1493"/>
      <c r="N279" s="1493"/>
      <c r="O279" s="1493"/>
      <c r="P279" s="1383"/>
      <c r="Q279" s="1383"/>
      <c r="R279" s="1383"/>
      <c r="S279" s="1383"/>
      <c r="T279" s="1383"/>
      <c r="U279" s="1383"/>
      <c r="V279" s="1383"/>
      <c r="W279" s="1383"/>
      <c r="X279" s="1383"/>
      <c r="Y279" s="1383"/>
      <c r="Z279" s="1383"/>
      <c r="AA279" s="1383"/>
      <c r="AB279" s="1383"/>
      <c r="AC279" s="1383"/>
      <c r="AD279" s="1383"/>
      <c r="AE279" s="1383"/>
      <c r="AF279" s="1383"/>
      <c r="AG279" s="1383"/>
      <c r="AH279" s="1383"/>
      <c r="AI279" s="1383"/>
      <c r="AJ279" s="1383"/>
      <c r="AK279" s="1383"/>
      <c r="AL279" s="1383"/>
      <c r="AM279" s="1383"/>
    </row>
    <row r="280" spans="2:39" ht="15.75" x14ac:dyDescent="0.25">
      <c r="B280" s="1372"/>
      <c r="C280" s="1372"/>
      <c r="D280" s="1717"/>
      <c r="E280" s="1420"/>
      <c r="F280" s="1493"/>
      <c r="G280" s="1493"/>
      <c r="H280" s="1493"/>
      <c r="I280" s="1493"/>
      <c r="J280" s="1493"/>
      <c r="K280" s="1493"/>
      <c r="L280" s="1493"/>
      <c r="M280" s="1493"/>
      <c r="N280" s="1493"/>
      <c r="O280" s="1493"/>
      <c r="P280" s="1383"/>
      <c r="Q280" s="1383"/>
      <c r="R280" s="1383"/>
      <c r="S280" s="1383"/>
      <c r="T280" s="1383"/>
      <c r="U280" s="1383"/>
      <c r="V280" s="1383"/>
      <c r="W280" s="1383"/>
      <c r="X280" s="1383"/>
      <c r="Y280" s="1383"/>
      <c r="Z280" s="1383"/>
      <c r="AA280" s="1383"/>
      <c r="AB280" s="1383"/>
      <c r="AC280" s="1383"/>
      <c r="AD280" s="1383"/>
      <c r="AE280" s="1383"/>
      <c r="AF280" s="1383"/>
      <c r="AG280" s="1383"/>
      <c r="AH280" s="1383"/>
      <c r="AI280" s="1383"/>
      <c r="AJ280" s="1383"/>
      <c r="AK280" s="1383"/>
      <c r="AL280" s="1383"/>
      <c r="AM280" s="1383"/>
    </row>
    <row r="281" spans="2:39" ht="15.75" x14ac:dyDescent="0.25">
      <c r="B281" s="1372"/>
      <c r="C281" s="1372"/>
      <c r="D281" s="1717"/>
      <c r="E281" s="1420"/>
      <c r="F281" s="1493"/>
      <c r="G281" s="1493"/>
      <c r="H281" s="1493"/>
      <c r="I281" s="1493"/>
      <c r="J281" s="1493"/>
      <c r="K281" s="1493"/>
      <c r="L281" s="1493"/>
      <c r="M281" s="1493"/>
      <c r="N281" s="1493"/>
      <c r="O281" s="1493"/>
      <c r="P281" s="1383"/>
      <c r="Q281" s="1383"/>
      <c r="R281" s="1383"/>
      <c r="S281" s="1383"/>
      <c r="T281" s="1383"/>
      <c r="U281" s="1383"/>
      <c r="V281" s="1383"/>
      <c r="W281" s="1383"/>
      <c r="X281" s="1383"/>
      <c r="Y281" s="1383"/>
      <c r="Z281" s="1383"/>
      <c r="AA281" s="1383"/>
      <c r="AB281" s="1383"/>
      <c r="AC281" s="1383"/>
      <c r="AD281" s="1383"/>
      <c r="AE281" s="1383"/>
      <c r="AF281" s="1383"/>
      <c r="AG281" s="1383"/>
      <c r="AH281" s="1383"/>
      <c r="AI281" s="1383"/>
      <c r="AJ281" s="1383"/>
      <c r="AK281" s="1383"/>
      <c r="AL281" s="1383"/>
      <c r="AM281" s="1383"/>
    </row>
    <row r="282" spans="2:39" ht="15.75" x14ac:dyDescent="0.25">
      <c r="B282" s="1372"/>
      <c r="C282" s="1372"/>
      <c r="D282" s="1717"/>
      <c r="E282" s="1420"/>
      <c r="F282" s="1493"/>
      <c r="G282" s="1493"/>
      <c r="H282" s="1493"/>
      <c r="I282" s="1493"/>
      <c r="J282" s="1493"/>
      <c r="K282" s="1493"/>
      <c r="L282" s="1493"/>
      <c r="M282" s="1493"/>
      <c r="N282" s="1493"/>
      <c r="O282" s="1493"/>
      <c r="P282" s="1383"/>
      <c r="Q282" s="1383"/>
      <c r="R282" s="1383"/>
      <c r="S282" s="1383"/>
      <c r="T282" s="1383"/>
      <c r="U282" s="1383"/>
      <c r="V282" s="1383"/>
      <c r="W282" s="1383"/>
      <c r="X282" s="1383"/>
      <c r="Y282" s="1383"/>
      <c r="Z282" s="1383"/>
      <c r="AA282" s="1383"/>
      <c r="AB282" s="1383"/>
      <c r="AC282" s="1383"/>
      <c r="AD282" s="1383"/>
      <c r="AE282" s="1383"/>
      <c r="AF282" s="1383"/>
      <c r="AG282" s="1383"/>
      <c r="AH282" s="1383"/>
      <c r="AI282" s="1383"/>
      <c r="AJ282" s="1383"/>
      <c r="AK282" s="1383"/>
      <c r="AL282" s="1383"/>
      <c r="AM282" s="1383"/>
    </row>
    <row r="283" spans="2:39" ht="15.75" x14ac:dyDescent="0.25">
      <c r="B283" s="1372"/>
      <c r="C283" s="1372"/>
      <c r="D283" s="1717"/>
      <c r="E283" s="1420"/>
      <c r="F283" s="1493"/>
      <c r="G283" s="1493"/>
      <c r="H283" s="1493"/>
      <c r="I283" s="1493"/>
      <c r="J283" s="1493"/>
      <c r="K283" s="1493"/>
      <c r="L283" s="1493"/>
      <c r="M283" s="1493"/>
      <c r="N283" s="1493"/>
      <c r="O283" s="1493"/>
      <c r="P283" s="1383"/>
      <c r="Q283" s="1383"/>
      <c r="R283" s="1383"/>
      <c r="S283" s="1383"/>
      <c r="T283" s="1383"/>
      <c r="U283" s="1383"/>
      <c r="V283" s="1383"/>
      <c r="W283" s="1383"/>
      <c r="X283" s="1383"/>
      <c r="Y283" s="1383"/>
      <c r="Z283" s="1383"/>
      <c r="AA283" s="1383"/>
      <c r="AB283" s="1383"/>
      <c r="AC283" s="1383"/>
      <c r="AD283" s="1383"/>
      <c r="AE283" s="1383"/>
      <c r="AF283" s="1383"/>
      <c r="AG283" s="1383"/>
      <c r="AH283" s="1383"/>
      <c r="AI283" s="1383"/>
      <c r="AJ283" s="1383"/>
      <c r="AK283" s="1383"/>
      <c r="AL283" s="1383"/>
      <c r="AM283" s="1383"/>
    </row>
    <row r="284" spans="2:39" ht="15.75" x14ac:dyDescent="0.25">
      <c r="B284" s="1372"/>
      <c r="C284" s="1372"/>
      <c r="D284" s="1717"/>
      <c r="E284" s="1420"/>
      <c r="F284" s="1493"/>
      <c r="G284" s="1493"/>
      <c r="H284" s="1493"/>
      <c r="I284" s="1493"/>
      <c r="J284" s="1493"/>
      <c r="K284" s="1493"/>
      <c r="L284" s="1493"/>
      <c r="M284" s="1493"/>
      <c r="N284" s="1493"/>
      <c r="O284" s="1493"/>
      <c r="P284" s="1383"/>
      <c r="Q284" s="1383"/>
      <c r="R284" s="1383"/>
      <c r="S284" s="1383"/>
      <c r="T284" s="1383"/>
      <c r="U284" s="1383"/>
      <c r="V284" s="1383"/>
      <c r="W284" s="1383"/>
      <c r="X284" s="1383"/>
      <c r="Y284" s="1383"/>
      <c r="Z284" s="1383"/>
      <c r="AA284" s="1383"/>
      <c r="AB284" s="1383"/>
      <c r="AC284" s="1383"/>
      <c r="AD284" s="1383"/>
      <c r="AE284" s="1383"/>
      <c r="AF284" s="1383"/>
      <c r="AG284" s="1383"/>
      <c r="AH284" s="1383"/>
      <c r="AI284" s="1383"/>
      <c r="AJ284" s="1383"/>
      <c r="AK284" s="1383"/>
      <c r="AL284" s="1383"/>
      <c r="AM284" s="1383"/>
    </row>
    <row r="285" spans="2:39" ht="15.75" x14ac:dyDescent="0.25">
      <c r="B285" s="1372"/>
      <c r="C285" s="1372"/>
      <c r="D285" s="1717"/>
      <c r="E285" s="1420"/>
      <c r="F285" s="1493"/>
      <c r="G285" s="1493"/>
      <c r="H285" s="1493"/>
      <c r="I285" s="1493"/>
      <c r="J285" s="1493"/>
      <c r="K285" s="1493"/>
      <c r="L285" s="1493"/>
      <c r="M285" s="1493"/>
      <c r="N285" s="1493"/>
      <c r="O285" s="1493"/>
      <c r="P285" s="1383"/>
      <c r="Q285" s="1383"/>
      <c r="R285" s="1383"/>
      <c r="S285" s="1383"/>
      <c r="T285" s="1383"/>
      <c r="U285" s="1383"/>
      <c r="V285" s="1383"/>
      <c r="W285" s="1383"/>
      <c r="X285" s="1383"/>
      <c r="Y285" s="1383"/>
      <c r="Z285" s="1383"/>
      <c r="AA285" s="1383"/>
      <c r="AB285" s="1383"/>
      <c r="AC285" s="1383"/>
      <c r="AD285" s="1383"/>
      <c r="AE285" s="1383"/>
      <c r="AF285" s="1383"/>
      <c r="AG285" s="1383"/>
      <c r="AH285" s="1383"/>
      <c r="AI285" s="1383"/>
      <c r="AJ285" s="1383"/>
      <c r="AK285" s="1383"/>
      <c r="AL285" s="1383"/>
      <c r="AM285" s="1383"/>
    </row>
    <row r="286" spans="2:39" ht="15.75" x14ac:dyDescent="0.25">
      <c r="B286" s="1372"/>
      <c r="C286" s="1372"/>
      <c r="D286" s="1717"/>
      <c r="E286" s="1420"/>
      <c r="F286" s="1493"/>
      <c r="G286" s="1493"/>
      <c r="H286" s="1493"/>
      <c r="I286" s="1493"/>
      <c r="J286" s="1493"/>
      <c r="K286" s="1493"/>
      <c r="L286" s="1493"/>
      <c r="M286" s="1493"/>
      <c r="N286" s="1493"/>
      <c r="O286" s="1493"/>
      <c r="P286" s="1383"/>
      <c r="Q286" s="1383"/>
      <c r="R286" s="1383"/>
      <c r="S286" s="1383"/>
      <c r="T286" s="1383"/>
      <c r="U286" s="1383"/>
      <c r="V286" s="1383"/>
      <c r="W286" s="1383"/>
      <c r="X286" s="1383"/>
      <c r="Y286" s="1383"/>
      <c r="Z286" s="1383"/>
      <c r="AA286" s="1383"/>
      <c r="AB286" s="1383"/>
      <c r="AC286" s="1383"/>
      <c r="AD286" s="1383"/>
      <c r="AE286" s="1383"/>
      <c r="AF286" s="1383"/>
      <c r="AG286" s="1383"/>
      <c r="AH286" s="1383"/>
      <c r="AI286" s="1383"/>
      <c r="AJ286" s="1383"/>
      <c r="AK286" s="1383"/>
      <c r="AL286" s="1383"/>
      <c r="AM286" s="1383"/>
    </row>
    <row r="287" spans="2:39" ht="15.75" x14ac:dyDescent="0.25">
      <c r="B287" s="1372"/>
      <c r="C287" s="1372"/>
      <c r="D287" s="1717"/>
      <c r="E287" s="1420"/>
      <c r="F287" s="1493"/>
      <c r="G287" s="1493"/>
      <c r="H287" s="1493"/>
      <c r="I287" s="1493"/>
      <c r="J287" s="1493"/>
      <c r="K287" s="1493"/>
      <c r="L287" s="1493"/>
      <c r="M287" s="1493"/>
      <c r="N287" s="1493"/>
      <c r="O287" s="1493"/>
      <c r="P287" s="1383"/>
      <c r="Q287" s="1383"/>
      <c r="R287" s="1383"/>
      <c r="S287" s="1383"/>
      <c r="T287" s="1383"/>
      <c r="U287" s="1383"/>
      <c r="V287" s="1383"/>
      <c r="W287" s="1383"/>
      <c r="X287" s="1383"/>
      <c r="Y287" s="1383"/>
      <c r="Z287" s="1383"/>
      <c r="AA287" s="1383"/>
      <c r="AB287" s="1383"/>
      <c r="AC287" s="1383"/>
      <c r="AD287" s="1383"/>
      <c r="AE287" s="1383"/>
      <c r="AF287" s="1383"/>
      <c r="AG287" s="1383"/>
      <c r="AH287" s="1383"/>
      <c r="AI287" s="1383"/>
      <c r="AJ287" s="1383"/>
      <c r="AK287" s="1383"/>
      <c r="AL287" s="1383"/>
      <c r="AM287" s="1383"/>
    </row>
    <row r="288" spans="2:39" ht="15.75" x14ac:dyDescent="0.25">
      <c r="B288" s="1372"/>
      <c r="C288" s="1372"/>
      <c r="D288" s="1717"/>
      <c r="E288" s="1420"/>
      <c r="F288" s="1493"/>
      <c r="G288" s="1493"/>
      <c r="H288" s="1493"/>
      <c r="I288" s="1493"/>
      <c r="J288" s="1493"/>
      <c r="K288" s="1493"/>
      <c r="L288" s="1493"/>
      <c r="M288" s="1493"/>
      <c r="N288" s="1493"/>
      <c r="O288" s="1493"/>
      <c r="P288" s="1383"/>
      <c r="Q288" s="1383"/>
      <c r="R288" s="1383"/>
      <c r="S288" s="1383"/>
      <c r="T288" s="1383"/>
      <c r="U288" s="1383"/>
      <c r="V288" s="1383"/>
      <c r="W288" s="1383"/>
      <c r="X288" s="1383"/>
      <c r="Y288" s="1383"/>
      <c r="Z288" s="1383"/>
      <c r="AA288" s="1383"/>
      <c r="AB288" s="1383"/>
      <c r="AC288" s="1383"/>
      <c r="AD288" s="1383"/>
      <c r="AE288" s="1383"/>
      <c r="AF288" s="1383"/>
      <c r="AG288" s="1383"/>
      <c r="AH288" s="1383"/>
      <c r="AI288" s="1383"/>
      <c r="AJ288" s="1383"/>
      <c r="AK288" s="1383"/>
      <c r="AL288" s="1383"/>
      <c r="AM288" s="1383"/>
    </row>
    <row r="289" spans="2:39" ht="15.75" x14ac:dyDescent="0.25">
      <c r="B289" s="1372"/>
      <c r="C289" s="1372"/>
      <c r="D289" s="1717"/>
      <c r="E289" s="1420"/>
      <c r="F289" s="1493"/>
      <c r="G289" s="1493"/>
      <c r="H289" s="1493"/>
      <c r="I289" s="1493"/>
      <c r="J289" s="1493"/>
      <c r="K289" s="1493"/>
      <c r="L289" s="1493"/>
      <c r="M289" s="1493"/>
      <c r="N289" s="1493"/>
      <c r="O289" s="1493"/>
      <c r="P289" s="1383"/>
      <c r="Q289" s="1383"/>
      <c r="R289" s="1383"/>
      <c r="S289" s="1383"/>
      <c r="T289" s="1383"/>
      <c r="U289" s="1383"/>
      <c r="V289" s="1383"/>
      <c r="W289" s="1383"/>
      <c r="X289" s="1383"/>
      <c r="Y289" s="1383"/>
      <c r="Z289" s="1383"/>
      <c r="AA289" s="1383"/>
      <c r="AB289" s="1383"/>
      <c r="AC289" s="1383"/>
      <c r="AD289" s="1383"/>
      <c r="AE289" s="1383"/>
      <c r="AF289" s="1383"/>
      <c r="AG289" s="1383"/>
      <c r="AH289" s="1383"/>
      <c r="AI289" s="1383"/>
      <c r="AJ289" s="1383"/>
      <c r="AK289" s="1383"/>
      <c r="AL289" s="1383"/>
      <c r="AM289" s="1383"/>
    </row>
    <row r="290" spans="2:39" ht="15.75" x14ac:dyDescent="0.25">
      <c r="B290" s="1372"/>
      <c r="C290" s="1372"/>
      <c r="D290" s="1717"/>
      <c r="E290" s="1420"/>
      <c r="F290" s="1493"/>
      <c r="G290" s="1493"/>
      <c r="H290" s="1493"/>
      <c r="I290" s="1493"/>
      <c r="J290" s="1493"/>
      <c r="K290" s="1493"/>
      <c r="L290" s="1493"/>
      <c r="M290" s="1493"/>
      <c r="N290" s="1493"/>
      <c r="O290" s="1493"/>
      <c r="P290" s="1383"/>
      <c r="Q290" s="1383"/>
      <c r="R290" s="1383"/>
      <c r="S290" s="1383"/>
      <c r="T290" s="1383"/>
      <c r="U290" s="1383"/>
      <c r="V290" s="1383"/>
      <c r="W290" s="1383"/>
      <c r="X290" s="1383"/>
      <c r="Y290" s="1383"/>
      <c r="Z290" s="1383"/>
      <c r="AA290" s="1383"/>
      <c r="AB290" s="1383"/>
      <c r="AC290" s="1383"/>
      <c r="AD290" s="1383"/>
      <c r="AE290" s="1383"/>
      <c r="AF290" s="1383"/>
      <c r="AG290" s="1383"/>
      <c r="AH290" s="1383"/>
      <c r="AI290" s="1383"/>
      <c r="AJ290" s="1383"/>
      <c r="AK290" s="1383"/>
      <c r="AL290" s="1383"/>
      <c r="AM290" s="1383"/>
    </row>
    <row r="291" spans="2:39" ht="15.75" x14ac:dyDescent="0.25">
      <c r="B291" s="1372"/>
      <c r="C291" s="1372"/>
      <c r="D291" s="1717"/>
      <c r="E291" s="1420"/>
      <c r="F291" s="1493"/>
      <c r="G291" s="1493"/>
      <c r="H291" s="1493"/>
      <c r="I291" s="1493"/>
      <c r="J291" s="1493"/>
      <c r="K291" s="1493"/>
      <c r="L291" s="1493"/>
      <c r="M291" s="1493"/>
      <c r="N291" s="1493"/>
      <c r="O291" s="1493"/>
      <c r="P291" s="1383"/>
      <c r="Q291" s="1383"/>
      <c r="R291" s="1383"/>
      <c r="S291" s="1383"/>
      <c r="T291" s="1383"/>
      <c r="U291" s="1383"/>
      <c r="V291" s="1383"/>
      <c r="W291" s="1383"/>
      <c r="X291" s="1383"/>
      <c r="Y291" s="1383"/>
      <c r="Z291" s="1383"/>
      <c r="AA291" s="1383"/>
      <c r="AB291" s="1383"/>
      <c r="AC291" s="1383"/>
      <c r="AD291" s="1383"/>
      <c r="AE291" s="1383"/>
      <c r="AF291" s="1383"/>
      <c r="AG291" s="1383"/>
      <c r="AH291" s="1383"/>
      <c r="AI291" s="1383"/>
      <c r="AJ291" s="1383"/>
      <c r="AK291" s="1383"/>
      <c r="AL291" s="1383"/>
      <c r="AM291" s="1383"/>
    </row>
    <row r="292" spans="2:39" ht="15.75" x14ac:dyDescent="0.25">
      <c r="B292" s="1372"/>
      <c r="C292" s="1372"/>
      <c r="D292" s="1717"/>
      <c r="E292" s="1420"/>
      <c r="F292" s="1493"/>
      <c r="G292" s="1493"/>
      <c r="H292" s="1493"/>
      <c r="I292" s="1493"/>
      <c r="J292" s="1493"/>
      <c r="K292" s="1493"/>
      <c r="L292" s="1493"/>
      <c r="M292" s="1493"/>
      <c r="N292" s="1493"/>
      <c r="O292" s="1493"/>
      <c r="P292" s="1383"/>
      <c r="Q292" s="1383"/>
      <c r="R292" s="1383"/>
      <c r="S292" s="1383"/>
      <c r="T292" s="1383"/>
      <c r="U292" s="1383"/>
      <c r="V292" s="1383"/>
      <c r="W292" s="1383"/>
      <c r="X292" s="1383"/>
      <c r="Y292" s="1383"/>
      <c r="Z292" s="1383"/>
      <c r="AA292" s="1383"/>
      <c r="AB292" s="1383"/>
      <c r="AC292" s="1383"/>
      <c r="AD292" s="1383"/>
      <c r="AE292" s="1383"/>
      <c r="AF292" s="1383"/>
      <c r="AG292" s="1383"/>
      <c r="AH292" s="1383"/>
      <c r="AI292" s="1383"/>
      <c r="AJ292" s="1383"/>
      <c r="AK292" s="1383"/>
      <c r="AL292" s="1383"/>
      <c r="AM292" s="1383"/>
    </row>
    <row r="293" spans="2:39" ht="15.75" x14ac:dyDescent="0.25">
      <c r="B293" s="1372"/>
      <c r="C293" s="1372"/>
      <c r="D293" s="1717"/>
      <c r="E293" s="1420"/>
      <c r="F293" s="1493"/>
      <c r="G293" s="1493"/>
      <c r="H293" s="1493"/>
      <c r="I293" s="1493"/>
      <c r="J293" s="1493"/>
      <c r="K293" s="1493"/>
      <c r="L293" s="1493"/>
      <c r="M293" s="1493"/>
      <c r="N293" s="1493"/>
      <c r="O293" s="1493"/>
      <c r="P293" s="1383"/>
      <c r="Q293" s="1383"/>
      <c r="R293" s="1383"/>
      <c r="S293" s="1383"/>
      <c r="T293" s="1383"/>
      <c r="U293" s="1383"/>
      <c r="V293" s="1383"/>
      <c r="W293" s="1383"/>
      <c r="X293" s="1383"/>
      <c r="Y293" s="1383"/>
      <c r="Z293" s="1383"/>
      <c r="AA293" s="1383"/>
      <c r="AB293" s="1383"/>
      <c r="AC293" s="1383"/>
      <c r="AD293" s="1383"/>
      <c r="AE293" s="1383"/>
      <c r="AF293" s="1383"/>
      <c r="AG293" s="1383"/>
      <c r="AH293" s="1383"/>
      <c r="AI293" s="1383"/>
      <c r="AJ293" s="1383"/>
      <c r="AK293" s="1383"/>
      <c r="AL293" s="1383"/>
      <c r="AM293" s="1383"/>
    </row>
    <row r="294" spans="2:39" ht="15.75" x14ac:dyDescent="0.25">
      <c r="B294" s="1372"/>
      <c r="C294" s="1372"/>
      <c r="D294" s="1717"/>
      <c r="E294" s="1420"/>
      <c r="F294" s="1493"/>
      <c r="G294" s="1493"/>
      <c r="H294" s="1493"/>
      <c r="I294" s="1493"/>
      <c r="J294" s="1493"/>
      <c r="K294" s="1493"/>
      <c r="L294" s="1493"/>
      <c r="M294" s="1493"/>
      <c r="N294" s="1493"/>
      <c r="O294" s="1493"/>
      <c r="P294" s="1383"/>
      <c r="Q294" s="1383"/>
      <c r="R294" s="1383"/>
      <c r="S294" s="1383"/>
      <c r="T294" s="1383"/>
      <c r="U294" s="1383"/>
      <c r="V294" s="1383"/>
      <c r="W294" s="1383"/>
      <c r="X294" s="1383"/>
      <c r="Y294" s="1383"/>
      <c r="Z294" s="1383"/>
      <c r="AA294" s="1383"/>
      <c r="AB294" s="1383"/>
      <c r="AC294" s="1383"/>
      <c r="AD294" s="1383"/>
      <c r="AE294" s="1383"/>
      <c r="AF294" s="1383"/>
      <c r="AG294" s="1383"/>
      <c r="AH294" s="1383"/>
      <c r="AI294" s="1383"/>
      <c r="AJ294" s="1383"/>
      <c r="AK294" s="1383"/>
      <c r="AL294" s="1383"/>
      <c r="AM294" s="1383"/>
    </row>
    <row r="295" spans="2:39" ht="15.75" x14ac:dyDescent="0.25">
      <c r="B295" s="1372"/>
      <c r="C295" s="1372"/>
      <c r="D295" s="1717"/>
      <c r="E295" s="1420"/>
      <c r="F295" s="1493"/>
      <c r="G295" s="1493"/>
      <c r="H295" s="1493"/>
      <c r="I295" s="1493"/>
      <c r="J295" s="1493"/>
      <c r="K295" s="1493"/>
      <c r="L295" s="1493"/>
      <c r="M295" s="1493"/>
      <c r="N295" s="1493"/>
      <c r="O295" s="1493"/>
      <c r="P295" s="1383"/>
      <c r="Q295" s="1383"/>
      <c r="R295" s="1383"/>
      <c r="S295" s="1383"/>
      <c r="T295" s="1383"/>
      <c r="U295" s="1383"/>
      <c r="V295" s="1383"/>
      <c r="W295" s="1383"/>
      <c r="X295" s="1383"/>
      <c r="Y295" s="1383"/>
      <c r="Z295" s="1383"/>
      <c r="AA295" s="1383"/>
      <c r="AB295" s="1383"/>
      <c r="AC295" s="1383"/>
      <c r="AD295" s="1383"/>
      <c r="AE295" s="1383"/>
      <c r="AF295" s="1383"/>
      <c r="AG295" s="1383"/>
      <c r="AH295" s="1383"/>
      <c r="AI295" s="1383"/>
      <c r="AJ295" s="1383"/>
      <c r="AK295" s="1383"/>
      <c r="AL295" s="1383"/>
      <c r="AM295" s="1383"/>
    </row>
    <row r="296" spans="2:39" ht="15.75" x14ac:dyDescent="0.25">
      <c r="B296" s="1372"/>
      <c r="C296" s="1372"/>
      <c r="D296" s="1717"/>
      <c r="E296" s="1420"/>
      <c r="F296" s="1493"/>
      <c r="G296" s="1493"/>
      <c r="H296" s="1493"/>
      <c r="I296" s="1493"/>
      <c r="J296" s="1493"/>
      <c r="K296" s="1493"/>
      <c r="L296" s="1493"/>
      <c r="M296" s="1493"/>
      <c r="N296" s="1493"/>
      <c r="O296" s="1493"/>
      <c r="P296" s="1383"/>
      <c r="Q296" s="1383"/>
      <c r="R296" s="1383"/>
      <c r="S296" s="1383"/>
      <c r="T296" s="1383"/>
      <c r="U296" s="1383"/>
      <c r="V296" s="1383"/>
      <c r="W296" s="1383"/>
      <c r="X296" s="1383"/>
      <c r="Y296" s="1383"/>
      <c r="Z296" s="1383"/>
      <c r="AA296" s="1383"/>
      <c r="AB296" s="1383"/>
      <c r="AC296" s="1383"/>
      <c r="AD296" s="1383"/>
      <c r="AE296" s="1383"/>
      <c r="AF296" s="1383"/>
      <c r="AG296" s="1383"/>
      <c r="AH296" s="1383"/>
      <c r="AI296" s="1383"/>
      <c r="AJ296" s="1383"/>
      <c r="AK296" s="1383"/>
      <c r="AL296" s="1383"/>
      <c r="AM296" s="1383"/>
    </row>
    <row r="297" spans="2:39" ht="15.75" x14ac:dyDescent="0.25">
      <c r="B297" s="1372"/>
      <c r="C297" s="1372"/>
      <c r="D297" s="1717"/>
      <c r="E297" s="1420"/>
      <c r="F297" s="1493"/>
      <c r="G297" s="1493"/>
      <c r="H297" s="1493"/>
      <c r="I297" s="1493"/>
      <c r="J297" s="1493"/>
      <c r="K297" s="1493"/>
      <c r="L297" s="1493"/>
      <c r="M297" s="1493"/>
      <c r="N297" s="1493"/>
      <c r="O297" s="1493"/>
      <c r="P297" s="1383"/>
      <c r="Q297" s="1383"/>
      <c r="R297" s="1383"/>
      <c r="S297" s="1383"/>
      <c r="T297" s="1383"/>
      <c r="U297" s="1383"/>
      <c r="V297" s="1383"/>
      <c r="W297" s="1383"/>
      <c r="X297" s="1383"/>
      <c r="Y297" s="1383"/>
      <c r="Z297" s="1383"/>
      <c r="AA297" s="1383"/>
      <c r="AB297" s="1383"/>
      <c r="AC297" s="1383"/>
      <c r="AD297" s="1383"/>
      <c r="AE297" s="1383"/>
      <c r="AF297" s="1383"/>
      <c r="AG297" s="1383"/>
      <c r="AH297" s="1383"/>
      <c r="AI297" s="1383"/>
      <c r="AJ297" s="1383"/>
      <c r="AK297" s="1383"/>
      <c r="AL297" s="1383"/>
      <c r="AM297" s="1383"/>
    </row>
    <row r="298" spans="2:39" ht="15.75" x14ac:dyDescent="0.25">
      <c r="B298" s="1372"/>
      <c r="C298" s="1372"/>
      <c r="D298" s="1717"/>
      <c r="E298" s="1420"/>
      <c r="F298" s="1493"/>
      <c r="G298" s="1493"/>
      <c r="H298" s="1493"/>
      <c r="I298" s="1493"/>
      <c r="J298" s="1493"/>
      <c r="K298" s="1493"/>
      <c r="L298" s="1493"/>
      <c r="M298" s="1493"/>
      <c r="N298" s="1493"/>
      <c r="O298" s="1493"/>
      <c r="P298" s="1383"/>
      <c r="Q298" s="1383"/>
      <c r="R298" s="1383"/>
      <c r="S298" s="1383"/>
      <c r="T298" s="1383"/>
      <c r="U298" s="1383"/>
      <c r="V298" s="1383"/>
      <c r="W298" s="1383"/>
      <c r="X298" s="1383"/>
      <c r="Y298" s="1383"/>
      <c r="Z298" s="1383"/>
      <c r="AA298" s="1383"/>
      <c r="AB298" s="1383"/>
      <c r="AC298" s="1383"/>
      <c r="AD298" s="1383"/>
      <c r="AE298" s="1383"/>
      <c r="AF298" s="1383"/>
      <c r="AG298" s="1383"/>
      <c r="AH298" s="1383"/>
      <c r="AI298" s="1383"/>
      <c r="AJ298" s="1383"/>
      <c r="AK298" s="1383"/>
      <c r="AL298" s="1383"/>
      <c r="AM298" s="1383"/>
    </row>
    <row r="299" spans="2:39" ht="15.75" x14ac:dyDescent="0.25">
      <c r="B299" s="1372"/>
      <c r="C299" s="1372"/>
      <c r="D299" s="1717"/>
      <c r="E299" s="1420"/>
      <c r="F299" s="1493"/>
      <c r="G299" s="1493"/>
      <c r="H299" s="1493"/>
      <c r="I299" s="1493"/>
      <c r="J299" s="1493"/>
      <c r="K299" s="1493"/>
      <c r="L299" s="1493"/>
      <c r="M299" s="1493"/>
      <c r="N299" s="1493"/>
      <c r="O299" s="1493"/>
      <c r="P299" s="1383"/>
      <c r="Q299" s="1383"/>
      <c r="R299" s="1383"/>
      <c r="S299" s="1383"/>
      <c r="T299" s="1383"/>
      <c r="U299" s="1383"/>
      <c r="V299" s="1383"/>
      <c r="W299" s="1383"/>
      <c r="X299" s="1383"/>
      <c r="Y299" s="1383"/>
      <c r="Z299" s="1383"/>
      <c r="AA299" s="1383"/>
      <c r="AB299" s="1383"/>
      <c r="AC299" s="1383"/>
      <c r="AD299" s="1383"/>
      <c r="AE299" s="1383"/>
      <c r="AF299" s="1383"/>
      <c r="AG299" s="1383"/>
      <c r="AH299" s="1383"/>
      <c r="AI299" s="1383"/>
      <c r="AJ299" s="1383"/>
      <c r="AK299" s="1383"/>
      <c r="AL299" s="1383"/>
      <c r="AM299" s="1383"/>
    </row>
    <row r="300" spans="2:39" ht="15.75" x14ac:dyDescent="0.25">
      <c r="B300" s="1372"/>
      <c r="C300" s="1372"/>
      <c r="D300" s="1717"/>
      <c r="E300" s="1420"/>
      <c r="F300" s="1493"/>
      <c r="G300" s="1493"/>
      <c r="H300" s="1493"/>
      <c r="I300" s="1493"/>
      <c r="J300" s="1493"/>
      <c r="K300" s="1493"/>
      <c r="L300" s="1493"/>
      <c r="M300" s="1493"/>
      <c r="N300" s="1493"/>
      <c r="O300" s="1493"/>
      <c r="P300" s="1383"/>
      <c r="Q300" s="1383"/>
      <c r="R300" s="1383"/>
      <c r="S300" s="1383"/>
      <c r="T300" s="1383"/>
      <c r="U300" s="1383"/>
      <c r="V300" s="1383"/>
      <c r="W300" s="1383"/>
      <c r="X300" s="1383"/>
      <c r="Y300" s="1383"/>
      <c r="Z300" s="1383"/>
      <c r="AA300" s="1383"/>
      <c r="AB300" s="1383"/>
      <c r="AC300" s="1383"/>
      <c r="AD300" s="1383"/>
      <c r="AE300" s="1383"/>
      <c r="AF300" s="1383"/>
      <c r="AG300" s="1383"/>
      <c r="AH300" s="1383"/>
      <c r="AI300" s="1383"/>
      <c r="AJ300" s="1383"/>
      <c r="AK300" s="1383"/>
      <c r="AL300" s="1383"/>
      <c r="AM300" s="1383"/>
    </row>
    <row r="301" spans="2:39" ht="15.75" x14ac:dyDescent="0.25">
      <c r="B301" s="1372"/>
      <c r="C301" s="1372"/>
      <c r="D301" s="1717"/>
      <c r="E301" s="1420"/>
      <c r="F301" s="1493"/>
      <c r="G301" s="1493"/>
      <c r="H301" s="1493"/>
      <c r="I301" s="1493"/>
      <c r="J301" s="1493"/>
      <c r="K301" s="1493"/>
      <c r="L301" s="1493"/>
      <c r="M301" s="1493"/>
      <c r="N301" s="1493"/>
      <c r="O301" s="1493"/>
      <c r="P301" s="1383"/>
      <c r="Q301" s="1383"/>
      <c r="R301" s="1383"/>
      <c r="S301" s="1383"/>
      <c r="T301" s="1383"/>
      <c r="U301" s="1383"/>
      <c r="V301" s="1383"/>
      <c r="W301" s="1383"/>
      <c r="X301" s="1383"/>
      <c r="Y301" s="1383"/>
      <c r="Z301" s="1383"/>
      <c r="AA301" s="1383"/>
      <c r="AB301" s="1383"/>
      <c r="AC301" s="1383"/>
      <c r="AD301" s="1383"/>
      <c r="AE301" s="1383"/>
      <c r="AF301" s="1383"/>
      <c r="AG301" s="1383"/>
      <c r="AH301" s="1383"/>
      <c r="AI301" s="1383"/>
      <c r="AJ301" s="1383"/>
      <c r="AK301" s="1383"/>
      <c r="AL301" s="1383"/>
      <c r="AM301" s="1383"/>
    </row>
    <row r="302" spans="2:39" ht="15.75" x14ac:dyDescent="0.25">
      <c r="B302" s="1372"/>
      <c r="C302" s="1372"/>
      <c r="D302" s="1717"/>
      <c r="E302" s="1420"/>
      <c r="F302" s="1493"/>
      <c r="G302" s="1493"/>
      <c r="H302" s="1493"/>
      <c r="I302" s="1493"/>
      <c r="J302" s="1493"/>
      <c r="K302" s="1493"/>
      <c r="L302" s="1493"/>
      <c r="M302" s="1493"/>
      <c r="N302" s="1493"/>
      <c r="O302" s="1493"/>
      <c r="P302" s="1383"/>
      <c r="Q302" s="1383"/>
      <c r="R302" s="1383"/>
      <c r="S302" s="1383"/>
      <c r="T302" s="1383"/>
      <c r="U302" s="1383"/>
      <c r="V302" s="1383"/>
      <c r="W302" s="1383"/>
      <c r="X302" s="1383"/>
      <c r="Y302" s="1383"/>
      <c r="Z302" s="1383"/>
      <c r="AA302" s="1383"/>
      <c r="AB302" s="1383"/>
      <c r="AC302" s="1383"/>
      <c r="AD302" s="1383"/>
      <c r="AE302" s="1383"/>
      <c r="AF302" s="1383"/>
      <c r="AG302" s="1383"/>
      <c r="AH302" s="1383"/>
      <c r="AI302" s="1383"/>
      <c r="AJ302" s="1383"/>
      <c r="AK302" s="1383"/>
      <c r="AL302" s="1383"/>
      <c r="AM302" s="1383"/>
    </row>
    <row r="303" spans="2:39" ht="15.75" x14ac:dyDescent="0.25">
      <c r="B303" s="1372"/>
      <c r="C303" s="1372"/>
      <c r="D303" s="1717"/>
      <c r="E303" s="1420"/>
      <c r="F303" s="1493"/>
      <c r="G303" s="1493"/>
      <c r="H303" s="1493"/>
      <c r="I303" s="1493"/>
      <c r="J303" s="1493"/>
      <c r="K303" s="1493"/>
      <c r="L303" s="1493"/>
      <c r="M303" s="1493"/>
      <c r="N303" s="1493"/>
      <c r="O303" s="1493"/>
      <c r="P303" s="1383"/>
      <c r="Q303" s="1383"/>
      <c r="R303" s="1383"/>
      <c r="S303" s="1383"/>
      <c r="T303" s="1383"/>
      <c r="U303" s="1383"/>
      <c r="V303" s="1383"/>
      <c r="W303" s="1383"/>
      <c r="X303" s="1383"/>
      <c r="Y303" s="1383"/>
      <c r="Z303" s="1383"/>
      <c r="AA303" s="1383"/>
      <c r="AB303" s="1383"/>
      <c r="AC303" s="1383"/>
      <c r="AD303" s="1383"/>
      <c r="AE303" s="1383"/>
      <c r="AF303" s="1383"/>
      <c r="AG303" s="1383"/>
      <c r="AH303" s="1383"/>
      <c r="AI303" s="1383"/>
      <c r="AJ303" s="1383"/>
      <c r="AK303" s="1383"/>
      <c r="AL303" s="1383"/>
      <c r="AM303" s="1383"/>
    </row>
    <row r="304" spans="2:39" ht="15.75" x14ac:dyDescent="0.25">
      <c r="B304" s="1372"/>
      <c r="C304" s="1372"/>
      <c r="D304" s="1717"/>
      <c r="E304" s="1420"/>
      <c r="F304" s="1493"/>
      <c r="G304" s="1493"/>
      <c r="H304" s="1493"/>
      <c r="I304" s="1493"/>
      <c r="J304" s="1493"/>
      <c r="K304" s="1493"/>
      <c r="L304" s="1493"/>
      <c r="M304" s="1493"/>
      <c r="N304" s="1493"/>
      <c r="O304" s="1493"/>
      <c r="P304" s="1383"/>
      <c r="Q304" s="1383"/>
      <c r="R304" s="1383"/>
      <c r="S304" s="1383"/>
      <c r="T304" s="1383"/>
      <c r="U304" s="1383"/>
      <c r="V304" s="1383"/>
      <c r="W304" s="1383"/>
      <c r="X304" s="1383"/>
      <c r="Y304" s="1383"/>
      <c r="Z304" s="1383"/>
      <c r="AA304" s="1383"/>
      <c r="AB304" s="1383"/>
      <c r="AC304" s="1383"/>
      <c r="AD304" s="1383"/>
      <c r="AE304" s="1383"/>
      <c r="AF304" s="1383"/>
      <c r="AG304" s="1383"/>
      <c r="AH304" s="1383"/>
      <c r="AI304" s="1383"/>
      <c r="AJ304" s="1383"/>
      <c r="AK304" s="1383"/>
      <c r="AL304" s="1383"/>
      <c r="AM304" s="1383"/>
    </row>
    <row r="305" spans="2:39" ht="15.75" x14ac:dyDescent="0.25">
      <c r="B305" s="1372"/>
      <c r="C305" s="1372"/>
      <c r="D305" s="1717"/>
      <c r="E305" s="1420"/>
      <c r="F305" s="1493"/>
      <c r="G305" s="1493"/>
      <c r="H305" s="1493"/>
      <c r="I305" s="1493"/>
      <c r="J305" s="1493"/>
      <c r="K305" s="1493"/>
      <c r="L305" s="1493"/>
      <c r="M305" s="1493"/>
      <c r="N305" s="1493"/>
      <c r="O305" s="1493"/>
      <c r="P305" s="1383"/>
      <c r="Q305" s="1383"/>
      <c r="R305" s="1383"/>
      <c r="S305" s="1383"/>
      <c r="T305" s="1383"/>
      <c r="U305" s="1383"/>
      <c r="V305" s="1383"/>
      <c r="W305" s="1383"/>
      <c r="X305" s="1383"/>
      <c r="Y305" s="1383"/>
      <c r="Z305" s="1383"/>
      <c r="AA305" s="1383"/>
      <c r="AB305" s="1383"/>
      <c r="AC305" s="1383"/>
      <c r="AD305" s="1383"/>
      <c r="AE305" s="1383"/>
      <c r="AF305" s="1383"/>
      <c r="AG305" s="1383"/>
      <c r="AH305" s="1383"/>
      <c r="AI305" s="1383"/>
      <c r="AJ305" s="1383"/>
      <c r="AK305" s="1383"/>
      <c r="AL305" s="1383"/>
      <c r="AM305" s="1383"/>
    </row>
    <row r="306" spans="2:39" ht="15.75" x14ac:dyDescent="0.25">
      <c r="B306" s="1372"/>
      <c r="C306" s="1372"/>
      <c r="D306" s="1717"/>
      <c r="E306" s="1420"/>
      <c r="F306" s="1493"/>
      <c r="G306" s="1493"/>
      <c r="H306" s="1493"/>
      <c r="I306" s="1493"/>
      <c r="J306" s="1493"/>
      <c r="K306" s="1493"/>
      <c r="L306" s="1493"/>
      <c r="M306" s="1493"/>
      <c r="N306" s="1493"/>
      <c r="O306" s="1493"/>
      <c r="P306" s="1383"/>
      <c r="Q306" s="1383"/>
      <c r="R306" s="1383"/>
      <c r="S306" s="1383"/>
      <c r="T306" s="1383"/>
      <c r="U306" s="1383"/>
      <c r="V306" s="1383"/>
      <c r="W306" s="1383"/>
      <c r="X306" s="1383"/>
      <c r="Y306" s="1383"/>
      <c r="Z306" s="1383"/>
      <c r="AA306" s="1383"/>
      <c r="AB306" s="1383"/>
      <c r="AC306" s="1383"/>
      <c r="AD306" s="1383"/>
      <c r="AE306" s="1383"/>
      <c r="AF306" s="1383"/>
      <c r="AG306" s="1383"/>
      <c r="AH306" s="1383"/>
      <c r="AI306" s="1383"/>
      <c r="AJ306" s="1383"/>
      <c r="AK306" s="1383"/>
      <c r="AL306" s="1383"/>
      <c r="AM306" s="1383"/>
    </row>
    <row r="307" spans="2:39" ht="15.75" x14ac:dyDescent="0.25">
      <c r="B307" s="1372"/>
      <c r="C307" s="1372"/>
      <c r="D307" s="1717"/>
      <c r="E307" s="1420"/>
      <c r="F307" s="1493"/>
      <c r="G307" s="1493"/>
      <c r="H307" s="1493"/>
      <c r="I307" s="1493"/>
      <c r="J307" s="1493"/>
      <c r="K307" s="1493"/>
      <c r="L307" s="1493"/>
      <c r="M307" s="1493"/>
      <c r="N307" s="1493"/>
      <c r="O307" s="1493"/>
      <c r="P307" s="1383"/>
      <c r="Q307" s="1383"/>
      <c r="R307" s="1383"/>
      <c r="S307" s="1383"/>
      <c r="T307" s="1383"/>
      <c r="U307" s="1383"/>
      <c r="V307" s="1383"/>
      <c r="W307" s="1383"/>
      <c r="X307" s="1383"/>
      <c r="Y307" s="1383"/>
      <c r="Z307" s="1383"/>
      <c r="AA307" s="1383"/>
      <c r="AB307" s="1383"/>
      <c r="AC307" s="1383"/>
      <c r="AD307" s="1383"/>
      <c r="AE307" s="1383"/>
      <c r="AF307" s="1383"/>
      <c r="AG307" s="1383"/>
      <c r="AH307" s="1383"/>
      <c r="AI307" s="1383"/>
      <c r="AJ307" s="1383"/>
      <c r="AK307" s="1383"/>
      <c r="AL307" s="1383"/>
      <c r="AM307" s="1383"/>
    </row>
    <row r="308" spans="2:39" ht="15.75" x14ac:dyDescent="0.25">
      <c r="B308" s="1372"/>
      <c r="C308" s="1372"/>
      <c r="D308" s="1717"/>
      <c r="E308" s="1420"/>
      <c r="F308" s="1493"/>
      <c r="G308" s="1493"/>
      <c r="H308" s="1493"/>
      <c r="I308" s="1493"/>
      <c r="J308" s="1493"/>
      <c r="K308" s="1493"/>
      <c r="L308" s="1493"/>
      <c r="M308" s="1493"/>
      <c r="N308" s="1493"/>
      <c r="O308" s="1493"/>
      <c r="P308" s="1383"/>
      <c r="Q308" s="1383"/>
      <c r="R308" s="1383"/>
      <c r="S308" s="1383"/>
      <c r="T308" s="1383"/>
      <c r="U308" s="1383"/>
      <c r="V308" s="1383"/>
      <c r="W308" s="1383"/>
      <c r="X308" s="1383"/>
      <c r="Y308" s="1383"/>
      <c r="Z308" s="1383"/>
      <c r="AA308" s="1383"/>
      <c r="AB308" s="1383"/>
      <c r="AC308" s="1383"/>
      <c r="AD308" s="1383"/>
      <c r="AE308" s="1383"/>
      <c r="AF308" s="1383"/>
      <c r="AG308" s="1383"/>
      <c r="AH308" s="1383"/>
      <c r="AI308" s="1383"/>
      <c r="AJ308" s="1383"/>
      <c r="AK308" s="1383"/>
      <c r="AL308" s="1383"/>
      <c r="AM308" s="1383"/>
    </row>
    <row r="309" spans="2:39" ht="15.75" x14ac:dyDescent="0.25">
      <c r="B309" s="1372"/>
      <c r="C309" s="1372"/>
      <c r="D309" s="1717"/>
      <c r="E309" s="1420"/>
      <c r="F309" s="1493"/>
      <c r="G309" s="1493"/>
      <c r="H309" s="1493"/>
      <c r="I309" s="1493"/>
      <c r="J309" s="1493"/>
      <c r="K309" s="1493"/>
      <c r="L309" s="1493"/>
      <c r="M309" s="1493"/>
      <c r="N309" s="1493"/>
      <c r="O309" s="1493"/>
      <c r="P309" s="1383"/>
      <c r="Q309" s="1383"/>
      <c r="R309" s="1383"/>
      <c r="S309" s="1383"/>
      <c r="T309" s="1383"/>
      <c r="U309" s="1383"/>
      <c r="V309" s="1383"/>
      <c r="W309" s="1383"/>
      <c r="X309" s="1383"/>
      <c r="Y309" s="1383"/>
      <c r="Z309" s="1383"/>
      <c r="AA309" s="1383"/>
      <c r="AB309" s="1383"/>
      <c r="AC309" s="1383"/>
      <c r="AD309" s="1383"/>
      <c r="AE309" s="1383"/>
      <c r="AF309" s="1383"/>
      <c r="AG309" s="1383"/>
      <c r="AH309" s="1383"/>
      <c r="AI309" s="1383"/>
      <c r="AJ309" s="1383"/>
      <c r="AK309" s="1383"/>
      <c r="AL309" s="1383"/>
      <c r="AM309" s="1383"/>
    </row>
    <row r="310" spans="2:39" ht="15.75" x14ac:dyDescent="0.25">
      <c r="B310" s="1372"/>
      <c r="C310" s="1372"/>
      <c r="D310" s="1717"/>
      <c r="E310" s="1420"/>
      <c r="F310" s="1493"/>
      <c r="G310" s="1493"/>
      <c r="H310" s="1493"/>
      <c r="I310" s="1493"/>
      <c r="J310" s="1493"/>
      <c r="K310" s="1493"/>
      <c r="L310" s="1493"/>
      <c r="M310" s="1493"/>
      <c r="N310" s="1493"/>
      <c r="O310" s="1493"/>
      <c r="P310" s="1383"/>
      <c r="Q310" s="1383"/>
      <c r="R310" s="1383"/>
      <c r="S310" s="1383"/>
      <c r="T310" s="1383"/>
      <c r="U310" s="1383"/>
      <c r="V310" s="1383"/>
      <c r="W310" s="1383"/>
      <c r="X310" s="1383"/>
      <c r="Y310" s="1383"/>
      <c r="Z310" s="1383"/>
      <c r="AA310" s="1383"/>
      <c r="AB310" s="1383"/>
      <c r="AC310" s="1383"/>
      <c r="AD310" s="1383"/>
      <c r="AE310" s="1383"/>
      <c r="AF310" s="1383"/>
      <c r="AG310" s="1383"/>
      <c r="AH310" s="1383"/>
      <c r="AI310" s="1383"/>
      <c r="AJ310" s="1383"/>
      <c r="AK310" s="1383"/>
      <c r="AL310" s="1383"/>
      <c r="AM310" s="1383"/>
    </row>
    <row r="311" spans="2:39" ht="15.75" x14ac:dyDescent="0.25">
      <c r="B311" s="1372"/>
      <c r="C311" s="1372"/>
      <c r="D311" s="1717"/>
      <c r="E311" s="1420"/>
      <c r="F311" s="1493"/>
      <c r="G311" s="1493"/>
      <c r="H311" s="1493"/>
      <c r="I311" s="1493"/>
      <c r="J311" s="1493"/>
      <c r="K311" s="1493"/>
      <c r="L311" s="1493"/>
      <c r="M311" s="1493"/>
      <c r="N311" s="1493"/>
      <c r="O311" s="1493"/>
      <c r="P311" s="1383"/>
      <c r="Q311" s="1383"/>
      <c r="R311" s="1383"/>
      <c r="S311" s="1383"/>
      <c r="T311" s="1383"/>
      <c r="U311" s="1383"/>
      <c r="V311" s="1383"/>
      <c r="W311" s="1383"/>
      <c r="X311" s="1383"/>
      <c r="Y311" s="1383"/>
      <c r="Z311" s="1383"/>
      <c r="AA311" s="1383"/>
      <c r="AB311" s="1383"/>
      <c r="AC311" s="1383"/>
      <c r="AD311" s="1383"/>
      <c r="AE311" s="1383"/>
      <c r="AF311" s="1383"/>
      <c r="AG311" s="1383"/>
      <c r="AH311" s="1383"/>
      <c r="AI311" s="1383"/>
      <c r="AJ311" s="1383"/>
      <c r="AK311" s="1383"/>
      <c r="AL311" s="1383"/>
      <c r="AM311" s="1383"/>
    </row>
    <row r="312" spans="2:39" ht="15.75" x14ac:dyDescent="0.25">
      <c r="B312" s="1372"/>
      <c r="C312" s="1372"/>
      <c r="D312" s="1717"/>
      <c r="E312" s="1420"/>
      <c r="F312" s="1493"/>
      <c r="G312" s="1493"/>
      <c r="H312" s="1493"/>
      <c r="I312" s="1493"/>
      <c r="J312" s="1493"/>
      <c r="K312" s="1493"/>
      <c r="L312" s="1493"/>
      <c r="M312" s="1493"/>
      <c r="N312" s="1493"/>
      <c r="O312" s="1493"/>
      <c r="P312" s="1383"/>
      <c r="Q312" s="1383"/>
      <c r="R312" s="1383"/>
      <c r="S312" s="1383"/>
      <c r="T312" s="1383"/>
      <c r="U312" s="1383"/>
      <c r="V312" s="1383"/>
      <c r="W312" s="1383"/>
      <c r="X312" s="1383"/>
      <c r="Y312" s="1383"/>
      <c r="Z312" s="1383"/>
      <c r="AA312" s="1383"/>
      <c r="AB312" s="1383"/>
      <c r="AC312" s="1383"/>
      <c r="AD312" s="1383"/>
      <c r="AE312" s="1383"/>
      <c r="AF312" s="1383"/>
      <c r="AG312" s="1383"/>
      <c r="AH312" s="1383"/>
      <c r="AI312" s="1383"/>
      <c r="AJ312" s="1383"/>
      <c r="AK312" s="1383"/>
      <c r="AL312" s="1383"/>
      <c r="AM312" s="1383"/>
    </row>
    <row r="313" spans="2:39" ht="15.75" x14ac:dyDescent="0.25">
      <c r="B313" s="1372"/>
      <c r="C313" s="1372"/>
      <c r="D313" s="1717"/>
      <c r="E313" s="1420"/>
      <c r="F313" s="1493"/>
      <c r="G313" s="1493"/>
      <c r="H313" s="1493"/>
      <c r="I313" s="1493"/>
      <c r="J313" s="1493"/>
      <c r="K313" s="1493"/>
      <c r="L313" s="1493"/>
      <c r="M313" s="1493"/>
      <c r="N313" s="1493"/>
      <c r="O313" s="1493"/>
      <c r="P313" s="1383"/>
      <c r="Q313" s="1383"/>
      <c r="R313" s="1383"/>
      <c r="S313" s="1383"/>
      <c r="T313" s="1383"/>
      <c r="U313" s="1383"/>
      <c r="V313" s="1383"/>
      <c r="W313" s="1383"/>
      <c r="X313" s="1383"/>
      <c r="Y313" s="1383"/>
      <c r="Z313" s="1383"/>
      <c r="AA313" s="1383"/>
      <c r="AB313" s="1383"/>
      <c r="AC313" s="1383"/>
      <c r="AD313" s="1383"/>
      <c r="AE313" s="1383"/>
      <c r="AF313" s="1383"/>
      <c r="AG313" s="1383"/>
      <c r="AH313" s="1383"/>
      <c r="AI313" s="1383"/>
      <c r="AJ313" s="1383"/>
      <c r="AK313" s="1383"/>
      <c r="AL313" s="1383"/>
      <c r="AM313" s="1383"/>
    </row>
    <row r="314" spans="2:39" ht="15.75" x14ac:dyDescent="0.25">
      <c r="B314" s="1372"/>
      <c r="C314" s="1372"/>
      <c r="D314" s="1717"/>
      <c r="E314" s="1420"/>
      <c r="F314" s="1493"/>
      <c r="G314" s="1493"/>
      <c r="H314" s="1493"/>
      <c r="I314" s="1493"/>
      <c r="J314" s="1493"/>
      <c r="K314" s="1493"/>
      <c r="L314" s="1493"/>
      <c r="M314" s="1493"/>
      <c r="N314" s="1493"/>
      <c r="O314" s="1493"/>
      <c r="P314" s="1383"/>
      <c r="Q314" s="1383"/>
      <c r="R314" s="1383"/>
      <c r="S314" s="1383"/>
      <c r="T314" s="1383"/>
      <c r="U314" s="1383"/>
      <c r="V314" s="1383"/>
      <c r="W314" s="1383"/>
      <c r="X314" s="1383"/>
      <c r="Y314" s="1383"/>
      <c r="Z314" s="1383"/>
      <c r="AA314" s="1383"/>
      <c r="AB314" s="1383"/>
      <c r="AC314" s="1383"/>
      <c r="AD314" s="1383"/>
      <c r="AE314" s="1383"/>
      <c r="AF314" s="1383"/>
      <c r="AG314" s="1383"/>
      <c r="AH314" s="1383"/>
      <c r="AI314" s="1383"/>
      <c r="AJ314" s="1383"/>
      <c r="AK314" s="1383"/>
      <c r="AL314" s="1383"/>
      <c r="AM314" s="1383"/>
    </row>
    <row r="315" spans="2:39" ht="15.75" x14ac:dyDescent="0.25">
      <c r="B315" s="1372"/>
      <c r="C315" s="1372"/>
      <c r="D315" s="1717"/>
      <c r="E315" s="1420"/>
      <c r="F315" s="1493"/>
      <c r="G315" s="1493"/>
      <c r="H315" s="1493"/>
      <c r="I315" s="1493"/>
      <c r="J315" s="1493"/>
      <c r="K315" s="1493"/>
      <c r="L315" s="1493"/>
      <c r="M315" s="1493"/>
      <c r="N315" s="1493"/>
      <c r="O315" s="1493"/>
      <c r="P315" s="1383"/>
      <c r="Q315" s="1383"/>
      <c r="R315" s="1383"/>
      <c r="S315" s="1383"/>
      <c r="T315" s="1383"/>
      <c r="U315" s="1383"/>
      <c r="V315" s="1383"/>
      <c r="W315" s="1383"/>
      <c r="X315" s="1383"/>
      <c r="Y315" s="1383"/>
      <c r="Z315" s="1383"/>
      <c r="AA315" s="1383"/>
      <c r="AB315" s="1383"/>
      <c r="AC315" s="1383"/>
      <c r="AD315" s="1383"/>
      <c r="AE315" s="1383"/>
      <c r="AF315" s="1383"/>
      <c r="AG315" s="1383"/>
      <c r="AH315" s="1383"/>
      <c r="AI315" s="1383"/>
      <c r="AJ315" s="1383"/>
      <c r="AK315" s="1383"/>
      <c r="AL315" s="1383"/>
      <c r="AM315" s="1383"/>
    </row>
    <row r="316" spans="2:39" ht="15.75" x14ac:dyDescent="0.25">
      <c r="B316" s="1372"/>
      <c r="C316" s="1372"/>
      <c r="D316" s="1717"/>
      <c r="E316" s="1420"/>
      <c r="F316" s="1493"/>
      <c r="G316" s="1493"/>
      <c r="H316" s="1493"/>
      <c r="I316" s="1493"/>
      <c r="J316" s="1493"/>
      <c r="K316" s="1493"/>
      <c r="L316" s="1493"/>
      <c r="M316" s="1493"/>
      <c r="N316" s="1493"/>
      <c r="O316" s="1493"/>
      <c r="P316" s="1383"/>
      <c r="Q316" s="1383"/>
      <c r="R316" s="1383"/>
      <c r="S316" s="1383"/>
      <c r="T316" s="1383"/>
      <c r="U316" s="1383"/>
      <c r="V316" s="1383"/>
      <c r="W316" s="1383"/>
      <c r="X316" s="1383"/>
      <c r="Y316" s="1383"/>
      <c r="Z316" s="1383"/>
      <c r="AA316" s="1383"/>
      <c r="AB316" s="1383"/>
      <c r="AC316" s="1383"/>
      <c r="AD316" s="1383"/>
      <c r="AE316" s="1383"/>
      <c r="AF316" s="1383"/>
      <c r="AG316" s="1383"/>
      <c r="AH316" s="1383"/>
      <c r="AI316" s="1383"/>
      <c r="AJ316" s="1383"/>
      <c r="AK316" s="1383"/>
      <c r="AL316" s="1383"/>
      <c r="AM316" s="1383"/>
    </row>
    <row r="317" spans="2:39" ht="15.75" x14ac:dyDescent="0.25">
      <c r="B317" s="1372"/>
      <c r="C317" s="1372"/>
      <c r="D317" s="1717"/>
      <c r="E317" s="1420"/>
      <c r="F317" s="1493"/>
      <c r="G317" s="1493"/>
      <c r="H317" s="1493"/>
      <c r="I317" s="1493"/>
      <c r="J317" s="1493"/>
      <c r="K317" s="1493"/>
      <c r="L317" s="1493"/>
      <c r="M317" s="1493"/>
      <c r="N317" s="1493"/>
      <c r="O317" s="1493"/>
      <c r="P317" s="1383"/>
      <c r="Q317" s="1383"/>
      <c r="R317" s="1383"/>
      <c r="S317" s="1383"/>
      <c r="T317" s="1383"/>
      <c r="U317" s="1383"/>
      <c r="V317" s="1383"/>
      <c r="W317" s="1383"/>
      <c r="X317" s="1383"/>
      <c r="Y317" s="1383"/>
      <c r="Z317" s="1383"/>
      <c r="AA317" s="1383"/>
      <c r="AB317" s="1383"/>
      <c r="AC317" s="1383"/>
      <c r="AD317" s="1383"/>
      <c r="AE317" s="1383"/>
      <c r="AF317" s="1383"/>
      <c r="AG317" s="1383"/>
      <c r="AH317" s="1383"/>
      <c r="AI317" s="1383"/>
      <c r="AJ317" s="1383"/>
      <c r="AK317" s="1383"/>
      <c r="AL317" s="1383"/>
      <c r="AM317" s="1383"/>
    </row>
    <row r="318" spans="2:39" ht="15.75" x14ac:dyDescent="0.25">
      <c r="B318" s="1372"/>
      <c r="C318" s="1372"/>
      <c r="D318" s="1717"/>
      <c r="E318" s="1420"/>
      <c r="F318" s="1493"/>
      <c r="G318" s="1493"/>
      <c r="H318" s="1493"/>
      <c r="I318" s="1493"/>
      <c r="J318" s="1493"/>
      <c r="K318" s="1493"/>
      <c r="L318" s="1493"/>
      <c r="M318" s="1493"/>
      <c r="N318" s="1493"/>
      <c r="O318" s="1493"/>
      <c r="P318" s="1383"/>
      <c r="Q318" s="1383"/>
      <c r="R318" s="1383"/>
      <c r="S318" s="1383"/>
      <c r="T318" s="1383"/>
      <c r="U318" s="1383"/>
      <c r="V318" s="1383"/>
      <c r="W318" s="1383"/>
      <c r="X318" s="1383"/>
      <c r="Y318" s="1383"/>
      <c r="Z318" s="1383"/>
      <c r="AA318" s="1383"/>
      <c r="AB318" s="1383"/>
      <c r="AC318" s="1383"/>
      <c r="AD318" s="1383"/>
      <c r="AE318" s="1383"/>
      <c r="AF318" s="1383"/>
      <c r="AG318" s="1383"/>
      <c r="AH318" s="1383"/>
      <c r="AI318" s="1383"/>
      <c r="AJ318" s="1383"/>
      <c r="AK318" s="1383"/>
      <c r="AL318" s="1383"/>
      <c r="AM318" s="1383"/>
    </row>
    <row r="319" spans="2:39" ht="15.75" x14ac:dyDescent="0.25">
      <c r="B319" s="1372"/>
      <c r="C319" s="1372"/>
      <c r="D319" s="1717"/>
      <c r="E319" s="1420"/>
      <c r="F319" s="1493"/>
      <c r="G319" s="1493"/>
      <c r="H319" s="1493"/>
      <c r="I319" s="1493"/>
      <c r="J319" s="1493"/>
      <c r="K319" s="1493"/>
      <c r="L319" s="1493"/>
      <c r="M319" s="1493"/>
      <c r="N319" s="1493"/>
      <c r="O319" s="1493"/>
      <c r="P319" s="1383"/>
      <c r="Q319" s="1383"/>
      <c r="R319" s="1383"/>
      <c r="S319" s="1383"/>
      <c r="T319" s="1383"/>
      <c r="U319" s="1383"/>
      <c r="V319" s="1383"/>
      <c r="W319" s="1383"/>
      <c r="X319" s="1383"/>
      <c r="Y319" s="1383"/>
      <c r="Z319" s="1383"/>
      <c r="AA319" s="1383"/>
      <c r="AB319" s="1383"/>
      <c r="AC319" s="1383"/>
      <c r="AD319" s="1383"/>
      <c r="AE319" s="1383"/>
      <c r="AF319" s="1383"/>
      <c r="AG319" s="1383"/>
      <c r="AH319" s="1383"/>
      <c r="AI319" s="1383"/>
      <c r="AJ319" s="1383"/>
      <c r="AK319" s="1383"/>
      <c r="AL319" s="1383"/>
      <c r="AM319" s="1383"/>
    </row>
    <row r="320" spans="2:39" ht="15.75" x14ac:dyDescent="0.25">
      <c r="B320" s="1372"/>
      <c r="C320" s="1372"/>
      <c r="D320" s="1717"/>
      <c r="E320" s="1420"/>
      <c r="F320" s="1493"/>
      <c r="G320" s="1493"/>
      <c r="H320" s="1493"/>
      <c r="I320" s="1493"/>
      <c r="J320" s="1493"/>
      <c r="K320" s="1493"/>
      <c r="L320" s="1493"/>
      <c r="M320" s="1493"/>
      <c r="N320" s="1493"/>
      <c r="O320" s="1493"/>
      <c r="P320" s="1383"/>
      <c r="Q320" s="1383"/>
      <c r="R320" s="1383"/>
      <c r="S320" s="1383"/>
      <c r="T320" s="1383"/>
      <c r="U320" s="1383"/>
      <c r="V320" s="1383"/>
      <c r="W320" s="1383"/>
      <c r="X320" s="1383"/>
      <c r="Y320" s="1383"/>
      <c r="Z320" s="1383"/>
      <c r="AA320" s="1383"/>
      <c r="AB320" s="1383"/>
      <c r="AC320" s="1383"/>
      <c r="AD320" s="1383"/>
      <c r="AE320" s="1383"/>
      <c r="AF320" s="1383"/>
      <c r="AG320" s="1383"/>
      <c r="AH320" s="1383"/>
      <c r="AI320" s="1383"/>
      <c r="AJ320" s="1383"/>
      <c r="AK320" s="1383"/>
      <c r="AL320" s="1383"/>
      <c r="AM320" s="1383"/>
    </row>
    <row r="321" spans="2:39" ht="15.75" x14ac:dyDescent="0.25">
      <c r="B321" s="1372"/>
      <c r="C321" s="1372"/>
      <c r="D321" s="1717"/>
      <c r="E321" s="1420"/>
      <c r="F321" s="1493"/>
      <c r="G321" s="1493"/>
      <c r="H321" s="1493"/>
      <c r="I321" s="1493"/>
      <c r="J321" s="1493"/>
      <c r="K321" s="1493"/>
      <c r="L321" s="1493"/>
      <c r="M321" s="1493"/>
      <c r="N321" s="1493"/>
      <c r="O321" s="1493"/>
      <c r="P321" s="1383"/>
      <c r="Q321" s="1383"/>
      <c r="R321" s="1383"/>
      <c r="S321" s="1383"/>
      <c r="T321" s="1383"/>
      <c r="U321" s="1383"/>
      <c r="V321" s="1383"/>
      <c r="W321" s="1383"/>
      <c r="X321" s="1383"/>
      <c r="Y321" s="1383"/>
      <c r="Z321" s="1383"/>
      <c r="AA321" s="1383"/>
      <c r="AB321" s="1383"/>
      <c r="AC321" s="1383"/>
      <c r="AD321" s="1383"/>
      <c r="AE321" s="1383"/>
      <c r="AF321" s="1383"/>
      <c r="AG321" s="1383"/>
      <c r="AH321" s="1383"/>
      <c r="AI321" s="1383"/>
      <c r="AJ321" s="1383"/>
      <c r="AK321" s="1383"/>
      <c r="AL321" s="1383"/>
      <c r="AM321" s="1383"/>
    </row>
    <row r="322" spans="2:39" ht="15.75" x14ac:dyDescent="0.25">
      <c r="B322" s="1372"/>
      <c r="C322" s="1372"/>
      <c r="D322" s="1717"/>
      <c r="E322" s="1420"/>
      <c r="F322" s="1493"/>
      <c r="G322" s="1493"/>
      <c r="H322" s="1493"/>
      <c r="I322" s="1493"/>
      <c r="J322" s="1493"/>
      <c r="K322" s="1493"/>
      <c r="L322" s="1493"/>
      <c r="M322" s="1493"/>
      <c r="N322" s="1493"/>
      <c r="O322" s="1493"/>
      <c r="P322" s="1383"/>
      <c r="Q322" s="1383"/>
      <c r="R322" s="1383"/>
      <c r="S322" s="1383"/>
      <c r="T322" s="1383"/>
      <c r="U322" s="1383"/>
      <c r="V322" s="1383"/>
      <c r="W322" s="1383"/>
      <c r="X322" s="1383"/>
      <c r="Y322" s="1383"/>
      <c r="Z322" s="1383"/>
      <c r="AA322" s="1383"/>
      <c r="AB322" s="1383"/>
      <c r="AC322" s="1383"/>
      <c r="AD322" s="1383"/>
      <c r="AE322" s="1383"/>
      <c r="AF322" s="1383"/>
      <c r="AG322" s="1383"/>
      <c r="AH322" s="1383"/>
      <c r="AI322" s="1383"/>
      <c r="AJ322" s="1383"/>
      <c r="AK322" s="1383"/>
      <c r="AL322" s="1383"/>
      <c r="AM322" s="1383"/>
    </row>
    <row r="323" spans="2:39" ht="15.75" x14ac:dyDescent="0.25">
      <c r="B323" s="1372"/>
      <c r="C323" s="1372"/>
      <c r="D323" s="1717"/>
      <c r="E323" s="1420"/>
      <c r="F323" s="1493"/>
      <c r="G323" s="1493"/>
      <c r="H323" s="1493"/>
      <c r="I323" s="1493"/>
      <c r="J323" s="1493"/>
      <c r="K323" s="1493"/>
      <c r="L323" s="1493"/>
      <c r="M323" s="1493"/>
      <c r="N323" s="1493"/>
      <c r="O323" s="1493"/>
      <c r="P323" s="1383"/>
      <c r="Q323" s="1383"/>
      <c r="R323" s="1383"/>
      <c r="S323" s="1383"/>
      <c r="T323" s="1383"/>
      <c r="U323" s="1383"/>
      <c r="V323" s="1383"/>
      <c r="W323" s="1383"/>
      <c r="X323" s="1383"/>
      <c r="Y323" s="1383"/>
      <c r="Z323" s="1383"/>
      <c r="AA323" s="1383"/>
      <c r="AB323" s="1383"/>
      <c r="AC323" s="1383"/>
      <c r="AD323" s="1383"/>
      <c r="AE323" s="1383"/>
      <c r="AF323" s="1383"/>
      <c r="AG323" s="1383"/>
      <c r="AH323" s="1383"/>
      <c r="AI323" s="1383"/>
      <c r="AJ323" s="1383"/>
      <c r="AK323" s="1383"/>
      <c r="AL323" s="1383"/>
      <c r="AM323" s="1383"/>
    </row>
    <row r="324" spans="2:39" ht="15.75" x14ac:dyDescent="0.25">
      <c r="B324" s="1372"/>
      <c r="C324" s="1372"/>
      <c r="D324" s="1717"/>
      <c r="E324" s="1420"/>
      <c r="F324" s="1493"/>
      <c r="G324" s="1493"/>
      <c r="H324" s="1493"/>
      <c r="I324" s="1493"/>
      <c r="J324" s="1493"/>
      <c r="K324" s="1493"/>
      <c r="L324" s="1493"/>
      <c r="M324" s="1493"/>
      <c r="N324" s="1493"/>
      <c r="O324" s="1493"/>
      <c r="P324" s="1383"/>
      <c r="Q324" s="1383"/>
      <c r="R324" s="1383"/>
      <c r="S324" s="1383"/>
      <c r="T324" s="1383"/>
      <c r="U324" s="1383"/>
      <c r="V324" s="1383"/>
      <c r="W324" s="1383"/>
      <c r="X324" s="1383"/>
      <c r="Y324" s="1383"/>
      <c r="Z324" s="1383"/>
      <c r="AA324" s="1383"/>
      <c r="AB324" s="1383"/>
      <c r="AC324" s="1383"/>
      <c r="AD324" s="1383"/>
      <c r="AE324" s="1383"/>
      <c r="AF324" s="1383"/>
      <c r="AG324" s="1383"/>
      <c r="AH324" s="1383"/>
      <c r="AI324" s="1383"/>
      <c r="AJ324" s="1383"/>
      <c r="AK324" s="1383"/>
      <c r="AL324" s="1383"/>
      <c r="AM324" s="1383"/>
    </row>
    <row r="325" spans="2:39" ht="15.75" x14ac:dyDescent="0.25">
      <c r="B325" s="1372"/>
      <c r="C325" s="1372"/>
      <c r="D325" s="1717"/>
      <c r="E325" s="1420"/>
      <c r="F325" s="1493"/>
      <c r="G325" s="1493"/>
      <c r="H325" s="1493"/>
      <c r="I325" s="1493"/>
      <c r="J325" s="1493"/>
      <c r="K325" s="1493"/>
      <c r="L325" s="1493"/>
      <c r="M325" s="1493"/>
      <c r="N325" s="1493"/>
      <c r="O325" s="1493"/>
      <c r="P325" s="1383"/>
      <c r="Q325" s="1383"/>
      <c r="R325" s="1383"/>
      <c r="S325" s="1383"/>
      <c r="T325" s="1383"/>
      <c r="U325" s="1383"/>
      <c r="V325" s="1383"/>
      <c r="W325" s="1383"/>
      <c r="X325" s="1383"/>
      <c r="Y325" s="1383"/>
      <c r="Z325" s="1383"/>
      <c r="AA325" s="1383"/>
      <c r="AB325" s="1383"/>
      <c r="AC325" s="1383"/>
      <c r="AD325" s="1383"/>
      <c r="AE325" s="1383"/>
      <c r="AF325" s="1383"/>
      <c r="AG325" s="1383"/>
      <c r="AH325" s="1383"/>
      <c r="AI325" s="1383"/>
      <c r="AJ325" s="1383"/>
      <c r="AK325" s="1383"/>
      <c r="AL325" s="1383"/>
      <c r="AM325" s="1383"/>
    </row>
    <row r="326" spans="2:39" ht="15.75" x14ac:dyDescent="0.25">
      <c r="B326" s="1372"/>
      <c r="C326" s="1372"/>
      <c r="D326" s="1717"/>
      <c r="E326" s="1420"/>
      <c r="F326" s="1493"/>
      <c r="G326" s="1493"/>
      <c r="H326" s="1493"/>
      <c r="I326" s="1493"/>
      <c r="J326" s="1493"/>
      <c r="K326" s="1493"/>
      <c r="L326" s="1493"/>
      <c r="M326" s="1493"/>
      <c r="N326" s="1493"/>
      <c r="O326" s="1493"/>
      <c r="P326" s="1383"/>
      <c r="Q326" s="1383"/>
      <c r="R326" s="1383"/>
      <c r="S326" s="1383"/>
      <c r="T326" s="1383"/>
      <c r="U326" s="1383"/>
      <c r="V326" s="1383"/>
      <c r="W326" s="1383"/>
      <c r="X326" s="1383"/>
      <c r="Y326" s="1383"/>
      <c r="Z326" s="1383"/>
      <c r="AA326" s="1383"/>
      <c r="AB326" s="1383"/>
      <c r="AC326" s="1383"/>
      <c r="AD326" s="1383"/>
      <c r="AE326" s="1383"/>
      <c r="AF326" s="1383"/>
      <c r="AG326" s="1383"/>
      <c r="AH326" s="1383"/>
      <c r="AI326" s="1383"/>
      <c r="AJ326" s="1383"/>
      <c r="AK326" s="1383"/>
      <c r="AL326" s="1383"/>
      <c r="AM326" s="1383"/>
    </row>
    <row r="327" spans="2:39" ht="15.75" x14ac:dyDescent="0.25">
      <c r="B327" s="1372"/>
      <c r="C327" s="1372"/>
      <c r="D327" s="1717"/>
      <c r="E327" s="1420"/>
      <c r="F327" s="1493"/>
      <c r="G327" s="1493"/>
      <c r="H327" s="1493"/>
      <c r="I327" s="1493"/>
      <c r="J327" s="1493"/>
      <c r="K327" s="1493"/>
      <c r="L327" s="1493"/>
      <c r="M327" s="1493"/>
      <c r="N327" s="1493"/>
      <c r="O327" s="1493"/>
      <c r="P327" s="1383"/>
      <c r="Q327" s="1383"/>
      <c r="R327" s="1383"/>
      <c r="S327" s="1383"/>
      <c r="T327" s="1383"/>
      <c r="U327" s="1383"/>
      <c r="V327" s="1383"/>
      <c r="W327" s="1383"/>
      <c r="X327" s="1383"/>
      <c r="Y327" s="1383"/>
      <c r="Z327" s="1383"/>
      <c r="AA327" s="1383"/>
      <c r="AB327" s="1383"/>
      <c r="AC327" s="1383"/>
      <c r="AD327" s="1383"/>
      <c r="AE327" s="1383"/>
      <c r="AF327" s="1383"/>
      <c r="AG327" s="1383"/>
      <c r="AH327" s="1383"/>
      <c r="AI327" s="1383"/>
      <c r="AJ327" s="1383"/>
      <c r="AK327" s="1383"/>
      <c r="AL327" s="1383"/>
      <c r="AM327" s="1383"/>
    </row>
    <row r="328" spans="2:39" ht="15.75" x14ac:dyDescent="0.25">
      <c r="B328" s="1372"/>
      <c r="C328" s="1372"/>
      <c r="D328" s="1717"/>
      <c r="E328" s="1420"/>
      <c r="F328" s="1493"/>
      <c r="G328" s="1493"/>
      <c r="H328" s="1493"/>
      <c r="I328" s="1493"/>
      <c r="J328" s="1493"/>
      <c r="K328" s="1493"/>
      <c r="L328" s="1493"/>
      <c r="M328" s="1493"/>
      <c r="N328" s="1493"/>
      <c r="O328" s="1493"/>
      <c r="P328" s="1383"/>
      <c r="Q328" s="1383"/>
      <c r="R328" s="1383"/>
      <c r="S328" s="1383"/>
      <c r="T328" s="1383"/>
      <c r="U328" s="1383"/>
      <c r="V328" s="1383"/>
      <c r="W328" s="1383"/>
      <c r="X328" s="1383"/>
      <c r="Y328" s="1383"/>
      <c r="Z328" s="1383"/>
      <c r="AA328" s="1383"/>
      <c r="AB328" s="1383"/>
      <c r="AC328" s="1383"/>
      <c r="AD328" s="1383"/>
      <c r="AE328" s="1383"/>
      <c r="AF328" s="1383"/>
      <c r="AG328" s="1383"/>
      <c r="AH328" s="1383"/>
      <c r="AI328" s="1383"/>
      <c r="AJ328" s="1383"/>
      <c r="AK328" s="1383"/>
      <c r="AL328" s="1383"/>
      <c r="AM328" s="1383"/>
    </row>
    <row r="329" spans="2:39" ht="15.75" x14ac:dyDescent="0.25">
      <c r="B329" s="1372"/>
      <c r="C329" s="1372"/>
      <c r="D329" s="1717"/>
      <c r="E329" s="1420"/>
      <c r="F329" s="1493"/>
      <c r="G329" s="1493"/>
      <c r="H329" s="1493"/>
      <c r="I329" s="1493"/>
      <c r="J329" s="1493"/>
      <c r="K329" s="1493"/>
      <c r="L329" s="1493"/>
      <c r="M329" s="1493"/>
      <c r="N329" s="1493"/>
      <c r="O329" s="1493"/>
      <c r="P329" s="1383"/>
      <c r="Q329" s="1383"/>
      <c r="R329" s="1383"/>
      <c r="S329" s="1383"/>
      <c r="T329" s="1383"/>
      <c r="U329" s="1383"/>
      <c r="V329" s="1383"/>
      <c r="W329" s="1383"/>
      <c r="X329" s="1383"/>
      <c r="Y329" s="1383"/>
      <c r="Z329" s="1383"/>
      <c r="AA329" s="1383"/>
      <c r="AB329" s="1383"/>
      <c r="AC329" s="1383"/>
      <c r="AD329" s="1383"/>
      <c r="AE329" s="1383"/>
      <c r="AF329" s="1383"/>
      <c r="AG329" s="1383"/>
      <c r="AH329" s="1383"/>
      <c r="AI329" s="1383"/>
      <c r="AJ329" s="1383"/>
      <c r="AK329" s="1383"/>
      <c r="AL329" s="1383"/>
      <c r="AM329" s="1383"/>
    </row>
    <row r="330" spans="2:39" ht="15.75" x14ac:dyDescent="0.25">
      <c r="B330" s="1372"/>
      <c r="C330" s="1372"/>
      <c r="D330" s="1717"/>
      <c r="E330" s="1420"/>
      <c r="F330" s="1493"/>
      <c r="G330" s="1493"/>
      <c r="H330" s="1493"/>
      <c r="I330" s="1493"/>
      <c r="J330" s="1493"/>
      <c r="K330" s="1493"/>
      <c r="L330" s="1493"/>
      <c r="M330" s="1493"/>
      <c r="N330" s="1493"/>
      <c r="O330" s="1493"/>
      <c r="P330" s="1383"/>
      <c r="Q330" s="1383"/>
      <c r="R330" s="1383"/>
      <c r="S330" s="1383"/>
      <c r="T330" s="1383"/>
      <c r="U330" s="1383"/>
      <c r="V330" s="1383"/>
      <c r="W330" s="1383"/>
      <c r="X330" s="1383"/>
      <c r="Y330" s="1383"/>
      <c r="Z330" s="1383"/>
      <c r="AA330" s="1383"/>
      <c r="AB330" s="1383"/>
      <c r="AC330" s="1383"/>
      <c r="AD330" s="1383"/>
      <c r="AE330" s="1383"/>
      <c r="AF330" s="1383"/>
      <c r="AG330" s="1383"/>
      <c r="AH330" s="1383"/>
      <c r="AI330" s="1383"/>
      <c r="AJ330" s="1383"/>
      <c r="AK330" s="1383"/>
      <c r="AL330" s="1383"/>
      <c r="AM330" s="1383"/>
    </row>
    <row r="331" spans="2:39" ht="15.75" x14ac:dyDescent="0.25">
      <c r="B331" s="1372"/>
      <c r="C331" s="1372"/>
      <c r="D331" s="1717"/>
      <c r="E331" s="1420"/>
      <c r="F331" s="1493"/>
      <c r="G331" s="1493"/>
      <c r="H331" s="1493"/>
      <c r="I331" s="1493"/>
      <c r="J331" s="1493"/>
      <c r="K331" s="1493"/>
      <c r="L331" s="1493"/>
      <c r="M331" s="1493"/>
      <c r="N331" s="1493"/>
      <c r="O331" s="1493"/>
      <c r="P331" s="1383"/>
      <c r="Q331" s="1383"/>
      <c r="R331" s="1383"/>
      <c r="S331" s="1383"/>
      <c r="T331" s="1383"/>
      <c r="U331" s="1383"/>
      <c r="V331" s="1383"/>
      <c r="W331" s="1383"/>
      <c r="X331" s="1383"/>
      <c r="Y331" s="1383"/>
      <c r="Z331" s="1383"/>
      <c r="AA331" s="1383"/>
      <c r="AB331" s="1383"/>
      <c r="AC331" s="1383"/>
      <c r="AD331" s="1383"/>
      <c r="AE331" s="1383"/>
      <c r="AF331" s="1383"/>
      <c r="AG331" s="1383"/>
      <c r="AH331" s="1383"/>
      <c r="AI331" s="1383"/>
      <c r="AJ331" s="1383"/>
      <c r="AK331" s="1383"/>
      <c r="AL331" s="1383"/>
      <c r="AM331" s="1383"/>
    </row>
    <row r="332" spans="2:39" ht="15.75" x14ac:dyDescent="0.25">
      <c r="B332" s="1372"/>
      <c r="C332" s="1372"/>
      <c r="D332" s="1717"/>
      <c r="E332" s="1420"/>
      <c r="F332" s="1493"/>
      <c r="G332" s="1493"/>
      <c r="H332" s="1493"/>
      <c r="I332" s="1493"/>
      <c r="J332" s="1493"/>
      <c r="K332" s="1493"/>
      <c r="L332" s="1493"/>
      <c r="M332" s="1493"/>
      <c r="N332" s="1493"/>
      <c r="O332" s="1493"/>
      <c r="P332" s="1383"/>
      <c r="Q332" s="1383"/>
      <c r="R332" s="1383"/>
      <c r="S332" s="1383"/>
      <c r="T332" s="1383"/>
      <c r="U332" s="1383"/>
      <c r="V332" s="1383"/>
      <c r="W332" s="1383"/>
      <c r="X332" s="1383"/>
      <c r="Y332" s="1383"/>
      <c r="Z332" s="1383"/>
      <c r="AA332" s="1383"/>
      <c r="AB332" s="1383"/>
      <c r="AC332" s="1383"/>
      <c r="AD332" s="1383"/>
      <c r="AE332" s="1383"/>
      <c r="AF332" s="1383"/>
      <c r="AG332" s="1383"/>
      <c r="AH332" s="1383"/>
      <c r="AI332" s="1383"/>
      <c r="AJ332" s="1383"/>
      <c r="AK332" s="1383"/>
      <c r="AL332" s="1383"/>
      <c r="AM332" s="1383"/>
    </row>
    <row r="333" spans="2:39" ht="15.75" x14ac:dyDescent="0.25">
      <c r="B333" s="1372"/>
      <c r="C333" s="1372"/>
      <c r="D333" s="1717"/>
      <c r="E333" s="1420"/>
      <c r="F333" s="1493"/>
      <c r="G333" s="1493"/>
      <c r="H333" s="1493"/>
      <c r="I333" s="1493"/>
      <c r="J333" s="1493"/>
      <c r="K333" s="1493"/>
      <c r="L333" s="1493"/>
      <c r="M333" s="1493"/>
      <c r="N333" s="1493"/>
      <c r="O333" s="1493"/>
      <c r="P333" s="1383"/>
      <c r="Q333" s="1383"/>
      <c r="R333" s="1383"/>
      <c r="S333" s="1383"/>
      <c r="T333" s="1383"/>
      <c r="U333" s="1383"/>
      <c r="V333" s="1383"/>
      <c r="W333" s="1383"/>
      <c r="X333" s="1383"/>
      <c r="Y333" s="1383"/>
      <c r="Z333" s="1383"/>
      <c r="AA333" s="1383"/>
      <c r="AB333" s="1383"/>
      <c r="AC333" s="1383"/>
      <c r="AD333" s="1383"/>
      <c r="AE333" s="1383"/>
      <c r="AF333" s="1383"/>
      <c r="AG333" s="1383"/>
      <c r="AH333" s="1383"/>
      <c r="AI333" s="1383"/>
      <c r="AJ333" s="1383"/>
      <c r="AK333" s="1383"/>
      <c r="AL333" s="1383"/>
      <c r="AM333" s="1383"/>
    </row>
    <row r="334" spans="2:39" ht="15.75" x14ac:dyDescent="0.25">
      <c r="B334" s="1372"/>
      <c r="C334" s="1372"/>
      <c r="D334" s="1717"/>
      <c r="E334" s="1420"/>
      <c r="F334" s="1493"/>
      <c r="G334" s="1493"/>
      <c r="H334" s="1493"/>
      <c r="I334" s="1493"/>
      <c r="J334" s="1493"/>
      <c r="K334" s="1493"/>
      <c r="L334" s="1493"/>
      <c r="M334" s="1493"/>
      <c r="N334" s="1493"/>
      <c r="O334" s="1493"/>
      <c r="P334" s="1383"/>
      <c r="Q334" s="1383"/>
      <c r="R334" s="1383"/>
      <c r="S334" s="1383"/>
      <c r="T334" s="1383"/>
      <c r="U334" s="1383"/>
      <c r="V334" s="1383"/>
      <c r="W334" s="1383"/>
      <c r="X334" s="1383"/>
      <c r="Y334" s="1383"/>
      <c r="Z334" s="1383"/>
      <c r="AA334" s="1383"/>
      <c r="AB334" s="1383"/>
      <c r="AC334" s="1383"/>
      <c r="AD334" s="1383"/>
      <c r="AE334" s="1383"/>
      <c r="AF334" s="1383"/>
      <c r="AG334" s="1383"/>
      <c r="AH334" s="1383"/>
      <c r="AI334" s="1383"/>
      <c r="AJ334" s="1383"/>
      <c r="AK334" s="1383"/>
      <c r="AL334" s="1383"/>
      <c r="AM334" s="1383"/>
    </row>
    <row r="335" spans="2:39" ht="15.75" x14ac:dyDescent="0.25">
      <c r="B335" s="1372"/>
      <c r="C335" s="1372"/>
      <c r="D335" s="1717"/>
      <c r="E335" s="1420"/>
      <c r="F335" s="1493"/>
      <c r="G335" s="1493"/>
      <c r="H335" s="1493"/>
      <c r="I335" s="1493"/>
      <c r="J335" s="1493"/>
      <c r="K335" s="1493"/>
      <c r="L335" s="1493"/>
      <c r="M335" s="1493"/>
      <c r="N335" s="1493"/>
      <c r="O335" s="1493"/>
      <c r="P335" s="1383"/>
      <c r="Q335" s="1383"/>
      <c r="R335" s="1383"/>
      <c r="S335" s="1383"/>
      <c r="T335" s="1383"/>
      <c r="U335" s="1383"/>
      <c r="V335" s="1383"/>
      <c r="W335" s="1383"/>
      <c r="X335" s="1383"/>
      <c r="Y335" s="1383"/>
      <c r="Z335" s="1383"/>
      <c r="AA335" s="1383"/>
      <c r="AB335" s="1383"/>
      <c r="AC335" s="1383"/>
      <c r="AD335" s="1383"/>
      <c r="AE335" s="1383"/>
      <c r="AF335" s="1383"/>
      <c r="AG335" s="1383"/>
      <c r="AH335" s="1383"/>
      <c r="AI335" s="1383"/>
      <c r="AJ335" s="1383"/>
      <c r="AK335" s="1383"/>
      <c r="AL335" s="1383"/>
      <c r="AM335" s="1383"/>
    </row>
    <row r="336" spans="2:39" ht="15.75" x14ac:dyDescent="0.25">
      <c r="B336" s="1372"/>
      <c r="C336" s="1372"/>
      <c r="D336" s="1717"/>
      <c r="E336" s="1420"/>
      <c r="F336" s="1493"/>
      <c r="G336" s="1493"/>
      <c r="H336" s="1493"/>
      <c r="I336" s="1493"/>
      <c r="J336" s="1493"/>
      <c r="K336" s="1493"/>
      <c r="L336" s="1493"/>
      <c r="M336" s="1493"/>
      <c r="N336" s="1493"/>
      <c r="O336" s="1493"/>
      <c r="P336" s="1383"/>
      <c r="Q336" s="1383"/>
      <c r="R336" s="1383"/>
      <c r="S336" s="1383"/>
      <c r="T336" s="1383"/>
      <c r="U336" s="1383"/>
      <c r="V336" s="1383"/>
      <c r="W336" s="1383"/>
      <c r="X336" s="1383"/>
      <c r="Y336" s="1383"/>
      <c r="Z336" s="1383"/>
      <c r="AA336" s="1383"/>
      <c r="AB336" s="1383"/>
      <c r="AC336" s="1383"/>
      <c r="AD336" s="1383"/>
      <c r="AE336" s="1383"/>
      <c r="AF336" s="1383"/>
      <c r="AG336" s="1383"/>
      <c r="AH336" s="1383"/>
      <c r="AI336" s="1383"/>
      <c r="AJ336" s="1383"/>
      <c r="AK336" s="1383"/>
      <c r="AL336" s="1383"/>
      <c r="AM336" s="1383"/>
    </row>
    <row r="337" spans="2:39" ht="15.75" x14ac:dyDescent="0.25">
      <c r="B337" s="1372"/>
      <c r="C337" s="1372"/>
      <c r="D337" s="1717"/>
      <c r="E337" s="1420"/>
      <c r="F337" s="1493"/>
      <c r="G337" s="1493"/>
      <c r="H337" s="1493"/>
      <c r="I337" s="1493"/>
      <c r="J337" s="1493"/>
      <c r="K337" s="1493"/>
      <c r="L337" s="1493"/>
      <c r="M337" s="1493"/>
      <c r="N337" s="1493"/>
      <c r="O337" s="1493"/>
      <c r="P337" s="1383"/>
      <c r="Q337" s="1383"/>
      <c r="R337" s="1383"/>
      <c r="S337" s="1383"/>
      <c r="T337" s="1383"/>
      <c r="U337" s="1383"/>
      <c r="V337" s="1383"/>
      <c r="W337" s="1383"/>
      <c r="X337" s="1383"/>
      <c r="Y337" s="1383"/>
      <c r="Z337" s="1383"/>
      <c r="AA337" s="1383"/>
      <c r="AB337" s="1383"/>
      <c r="AC337" s="1383"/>
      <c r="AD337" s="1383"/>
      <c r="AE337" s="1383"/>
      <c r="AF337" s="1383"/>
      <c r="AG337" s="1383"/>
      <c r="AH337" s="1383"/>
      <c r="AI337" s="1383"/>
      <c r="AJ337" s="1383"/>
      <c r="AK337" s="1383"/>
      <c r="AL337" s="1383"/>
      <c r="AM337" s="1383"/>
    </row>
    <row r="338" spans="2:39" ht="15.75" x14ac:dyDescent="0.25">
      <c r="B338" s="1372"/>
      <c r="C338" s="1372"/>
      <c r="D338" s="1717"/>
      <c r="E338" s="1420"/>
      <c r="F338" s="1493"/>
      <c r="G338" s="1493"/>
      <c r="H338" s="1493"/>
      <c r="I338" s="1493"/>
      <c r="J338" s="1493"/>
      <c r="K338" s="1493"/>
      <c r="L338" s="1493"/>
      <c r="M338" s="1493"/>
      <c r="N338" s="1493"/>
      <c r="O338" s="1493"/>
      <c r="P338" s="1383"/>
      <c r="Q338" s="1383"/>
      <c r="R338" s="1383"/>
      <c r="S338" s="1383"/>
      <c r="T338" s="1383"/>
      <c r="U338" s="1383"/>
      <c r="V338" s="1383"/>
      <c r="W338" s="1383"/>
      <c r="X338" s="1383"/>
      <c r="Y338" s="1383"/>
      <c r="Z338" s="1383"/>
      <c r="AA338" s="1383"/>
      <c r="AB338" s="1383"/>
      <c r="AC338" s="1383"/>
      <c r="AD338" s="1383"/>
      <c r="AE338" s="1383"/>
      <c r="AF338" s="1383"/>
      <c r="AG338" s="1383"/>
      <c r="AH338" s="1383"/>
      <c r="AI338" s="1383"/>
      <c r="AJ338" s="1383"/>
      <c r="AK338" s="1383"/>
      <c r="AL338" s="1383"/>
      <c r="AM338" s="1383"/>
    </row>
    <row r="339" spans="2:39" ht="15.75" x14ac:dyDescent="0.25">
      <c r="B339" s="1372"/>
      <c r="C339" s="1372"/>
      <c r="D339" s="1717"/>
      <c r="E339" s="1420"/>
      <c r="F339" s="1493"/>
      <c r="G339" s="1493"/>
      <c r="H339" s="1493"/>
      <c r="I339" s="1493"/>
      <c r="J339" s="1493"/>
      <c r="K339" s="1493"/>
      <c r="L339" s="1493"/>
      <c r="M339" s="1493"/>
      <c r="N339" s="1493"/>
      <c r="O339" s="1493"/>
      <c r="P339" s="1383"/>
      <c r="Q339" s="1383"/>
      <c r="R339" s="1383"/>
      <c r="S339" s="1383"/>
      <c r="T339" s="1383"/>
      <c r="U339" s="1383"/>
      <c r="V339" s="1383"/>
      <c r="W339" s="1383"/>
      <c r="X339" s="1383"/>
      <c r="Y339" s="1383"/>
      <c r="Z339" s="1383"/>
      <c r="AA339" s="1383"/>
      <c r="AB339" s="1383"/>
      <c r="AC339" s="1383"/>
      <c r="AD339" s="1383"/>
      <c r="AE339" s="1383"/>
      <c r="AF339" s="1383"/>
      <c r="AG339" s="1383"/>
      <c r="AH339" s="1383"/>
      <c r="AI339" s="1383"/>
      <c r="AJ339" s="1383"/>
      <c r="AK339" s="1383"/>
      <c r="AL339" s="1383"/>
      <c r="AM339" s="1383"/>
    </row>
    <row r="340" spans="2:39" ht="15.75" x14ac:dyDescent="0.25">
      <c r="B340" s="1372"/>
      <c r="C340" s="1372"/>
      <c r="D340" s="1717"/>
      <c r="E340" s="1420"/>
      <c r="F340" s="1493"/>
      <c r="G340" s="1493"/>
      <c r="H340" s="1493"/>
      <c r="I340" s="1493"/>
      <c r="J340" s="1493"/>
      <c r="K340" s="1493"/>
      <c r="L340" s="1493"/>
      <c r="M340" s="1493"/>
      <c r="N340" s="1493"/>
      <c r="O340" s="1493"/>
      <c r="P340" s="1383"/>
      <c r="Q340" s="1383"/>
      <c r="R340" s="1383"/>
      <c r="S340" s="1383"/>
      <c r="T340" s="1383"/>
      <c r="U340" s="1383"/>
      <c r="V340" s="1383"/>
      <c r="W340" s="1383"/>
      <c r="X340" s="1383"/>
      <c r="Y340" s="1383"/>
      <c r="Z340" s="1383"/>
      <c r="AA340" s="1383"/>
      <c r="AB340" s="1383"/>
      <c r="AC340" s="1383"/>
      <c r="AD340" s="1383"/>
      <c r="AE340" s="1383"/>
      <c r="AF340" s="1383"/>
      <c r="AG340" s="1383"/>
      <c r="AH340" s="1383"/>
      <c r="AI340" s="1383"/>
      <c r="AJ340" s="1383"/>
      <c r="AK340" s="1383"/>
      <c r="AL340" s="1383"/>
      <c r="AM340" s="1383"/>
    </row>
    <row r="341" spans="2:39" ht="15.75" x14ac:dyDescent="0.25">
      <c r="B341" s="1372"/>
      <c r="C341" s="1372"/>
      <c r="D341" s="1717"/>
      <c r="E341" s="1420"/>
      <c r="F341" s="1493"/>
      <c r="G341" s="1493"/>
      <c r="H341" s="1493"/>
      <c r="I341" s="1493"/>
      <c r="J341" s="1493"/>
      <c r="K341" s="1493"/>
      <c r="L341" s="1493"/>
      <c r="M341" s="1493"/>
      <c r="N341" s="1493"/>
      <c r="O341" s="1493"/>
      <c r="P341" s="1383"/>
      <c r="Q341" s="1383"/>
      <c r="R341" s="1383"/>
      <c r="S341" s="1383"/>
      <c r="T341" s="1383"/>
      <c r="U341" s="1383"/>
      <c r="V341" s="1383"/>
      <c r="W341" s="1383"/>
      <c r="X341" s="1383"/>
      <c r="Y341" s="1383"/>
      <c r="Z341" s="1383"/>
      <c r="AA341" s="1383"/>
      <c r="AB341" s="1383"/>
      <c r="AC341" s="1383"/>
      <c r="AD341" s="1383"/>
      <c r="AE341" s="1383"/>
      <c r="AF341" s="1383"/>
      <c r="AG341" s="1383"/>
      <c r="AH341" s="1383"/>
      <c r="AI341" s="1383"/>
      <c r="AJ341" s="1383"/>
      <c r="AK341" s="1383"/>
      <c r="AL341" s="1383"/>
      <c r="AM341" s="1383"/>
    </row>
    <row r="342" spans="2:39" ht="15.75" x14ac:dyDescent="0.25">
      <c r="B342" s="1372"/>
      <c r="C342" s="1372"/>
      <c r="D342" s="1717"/>
      <c r="E342" s="1420"/>
      <c r="F342" s="1493"/>
      <c r="G342" s="1493"/>
      <c r="H342" s="1493"/>
      <c r="I342" s="1493"/>
      <c r="J342" s="1493"/>
      <c r="K342" s="1493"/>
      <c r="L342" s="1493"/>
      <c r="M342" s="1493"/>
      <c r="N342" s="1493"/>
      <c r="O342" s="1493"/>
      <c r="P342" s="1383"/>
      <c r="Q342" s="1383"/>
      <c r="R342" s="1383"/>
      <c r="S342" s="1383"/>
      <c r="T342" s="1383"/>
      <c r="U342" s="1383"/>
      <c r="V342" s="1383"/>
      <c r="W342" s="1383"/>
      <c r="X342" s="1383"/>
      <c r="Y342" s="1383"/>
      <c r="Z342" s="1383"/>
      <c r="AA342" s="1383"/>
      <c r="AB342" s="1383"/>
      <c r="AC342" s="1383"/>
      <c r="AD342" s="1383"/>
      <c r="AE342" s="1383"/>
      <c r="AF342" s="1383"/>
      <c r="AG342" s="1383"/>
      <c r="AH342" s="1383"/>
      <c r="AI342" s="1383"/>
      <c r="AJ342" s="1383"/>
      <c r="AK342" s="1383"/>
      <c r="AL342" s="1383"/>
      <c r="AM342" s="1383"/>
    </row>
    <row r="343" spans="2:39" ht="15.75" x14ac:dyDescent="0.25">
      <c r="B343" s="1372"/>
      <c r="C343" s="1372"/>
      <c r="D343" s="1717"/>
      <c r="E343" s="1420"/>
      <c r="F343" s="1493"/>
      <c r="G343" s="1493"/>
      <c r="H343" s="1493"/>
      <c r="I343" s="1493"/>
      <c r="J343" s="1493"/>
      <c r="K343" s="1493"/>
      <c r="L343" s="1493"/>
      <c r="M343" s="1493"/>
      <c r="N343" s="1493"/>
      <c r="O343" s="1493"/>
      <c r="P343" s="1383"/>
      <c r="Q343" s="1383"/>
      <c r="R343" s="1383"/>
      <c r="S343" s="1383"/>
      <c r="T343" s="1383"/>
      <c r="U343" s="1383"/>
      <c r="V343" s="1383"/>
      <c r="W343" s="1383"/>
      <c r="X343" s="1383"/>
      <c r="Y343" s="1383"/>
      <c r="Z343" s="1383"/>
      <c r="AA343" s="1383"/>
      <c r="AB343" s="1383"/>
      <c r="AC343" s="1383"/>
      <c r="AD343" s="1383"/>
      <c r="AE343" s="1383"/>
      <c r="AF343" s="1383"/>
      <c r="AG343" s="1383"/>
      <c r="AH343" s="1383"/>
      <c r="AI343" s="1383"/>
      <c r="AJ343" s="1383"/>
      <c r="AK343" s="1383"/>
      <c r="AL343" s="1383"/>
      <c r="AM343" s="1383"/>
    </row>
    <row r="344" spans="2:39" ht="15.75" x14ac:dyDescent="0.25">
      <c r="B344" s="1372"/>
      <c r="C344" s="1372"/>
      <c r="D344" s="1717"/>
      <c r="E344" s="1420"/>
      <c r="F344" s="1493"/>
      <c r="G344" s="1493"/>
      <c r="H344" s="1493"/>
      <c r="I344" s="1493"/>
      <c r="J344" s="1493"/>
      <c r="K344" s="1493"/>
      <c r="L344" s="1493"/>
      <c r="M344" s="1493"/>
      <c r="N344" s="1493"/>
      <c r="O344" s="1493"/>
      <c r="P344" s="1383"/>
      <c r="Q344" s="1383"/>
      <c r="R344" s="1383"/>
      <c r="S344" s="1383"/>
      <c r="T344" s="1383"/>
      <c r="U344" s="1383"/>
      <c r="V344" s="1383"/>
      <c r="W344" s="1383"/>
      <c r="X344" s="1383"/>
      <c r="Y344" s="1383"/>
      <c r="Z344" s="1383"/>
      <c r="AA344" s="1383"/>
      <c r="AB344" s="1383"/>
      <c r="AC344" s="1383"/>
      <c r="AD344" s="1383"/>
      <c r="AE344" s="1383"/>
      <c r="AF344" s="1383"/>
      <c r="AG344" s="1383"/>
      <c r="AH344" s="1383"/>
      <c r="AI344" s="1383"/>
      <c r="AJ344" s="1383"/>
      <c r="AK344" s="1383"/>
      <c r="AL344" s="1383"/>
      <c r="AM344" s="1383"/>
    </row>
    <row r="345" spans="2:39" ht="15.75" x14ac:dyDescent="0.25">
      <c r="B345" s="1372"/>
      <c r="C345" s="1372"/>
      <c r="D345" s="1717"/>
      <c r="E345" s="1420"/>
      <c r="F345" s="1493"/>
      <c r="G345" s="1493"/>
      <c r="H345" s="1493"/>
      <c r="I345" s="1493"/>
      <c r="J345" s="1493"/>
      <c r="K345" s="1493"/>
      <c r="L345" s="1493"/>
      <c r="M345" s="1493"/>
      <c r="N345" s="1493"/>
      <c r="O345" s="1493"/>
      <c r="P345" s="1383"/>
      <c r="Q345" s="1383"/>
      <c r="R345" s="1383"/>
      <c r="S345" s="1383"/>
      <c r="T345" s="1383"/>
      <c r="U345" s="1383"/>
      <c r="V345" s="1383"/>
      <c r="W345" s="1383"/>
      <c r="X345" s="1383"/>
      <c r="Y345" s="1383"/>
      <c r="Z345" s="1383"/>
      <c r="AA345" s="1383"/>
      <c r="AB345" s="1383"/>
      <c r="AC345" s="1383"/>
      <c r="AD345" s="1383"/>
      <c r="AE345" s="1383"/>
      <c r="AF345" s="1383"/>
      <c r="AG345" s="1383"/>
      <c r="AH345" s="1383"/>
      <c r="AI345" s="1383"/>
      <c r="AJ345" s="1383"/>
      <c r="AK345" s="1383"/>
      <c r="AL345" s="1383"/>
      <c r="AM345" s="1383"/>
    </row>
    <row r="346" spans="2:39" ht="15.75" x14ac:dyDescent="0.25">
      <c r="B346" s="1372"/>
      <c r="C346" s="1372"/>
      <c r="D346" s="1717"/>
      <c r="E346" s="1420"/>
      <c r="F346" s="1493"/>
      <c r="G346" s="1493"/>
      <c r="H346" s="1493"/>
      <c r="I346" s="1493"/>
      <c r="J346" s="1493"/>
      <c r="K346" s="1493"/>
      <c r="L346" s="1493"/>
      <c r="M346" s="1493"/>
      <c r="N346" s="1493"/>
      <c r="O346" s="1493"/>
      <c r="P346" s="1383"/>
      <c r="Q346" s="1383"/>
      <c r="R346" s="1383"/>
      <c r="S346" s="1383"/>
      <c r="T346" s="1383"/>
      <c r="U346" s="1383"/>
      <c r="V346" s="1383"/>
      <c r="W346" s="1383"/>
      <c r="X346" s="1383"/>
      <c r="Y346" s="1383"/>
      <c r="Z346" s="1383"/>
      <c r="AA346" s="1383"/>
      <c r="AB346" s="1383"/>
      <c r="AC346" s="1383"/>
      <c r="AD346" s="1383"/>
      <c r="AE346" s="1383"/>
      <c r="AF346" s="1383"/>
      <c r="AG346" s="1383"/>
      <c r="AH346" s="1383"/>
      <c r="AI346" s="1383"/>
      <c r="AJ346" s="1383"/>
      <c r="AK346" s="1383"/>
      <c r="AL346" s="1383"/>
      <c r="AM346" s="1383"/>
    </row>
    <row r="347" spans="2:39" ht="15.75" x14ac:dyDescent="0.25">
      <c r="B347" s="1372"/>
      <c r="C347" s="1372"/>
      <c r="D347" s="1717"/>
      <c r="E347" s="1420"/>
      <c r="F347" s="1493"/>
      <c r="G347" s="1493"/>
      <c r="H347" s="1493"/>
      <c r="I347" s="1493"/>
      <c r="J347" s="1493"/>
      <c r="K347" s="1493"/>
      <c r="L347" s="1493"/>
      <c r="M347" s="1493"/>
      <c r="N347" s="1493"/>
      <c r="O347" s="1493"/>
      <c r="P347" s="1383"/>
      <c r="Q347" s="1383"/>
      <c r="R347" s="1383"/>
      <c r="S347" s="1383"/>
      <c r="T347" s="1383"/>
      <c r="U347" s="1383"/>
      <c r="V347" s="1383"/>
      <c r="W347" s="1383"/>
      <c r="X347" s="1383"/>
      <c r="Y347" s="1383"/>
      <c r="Z347" s="1383"/>
      <c r="AA347" s="1383"/>
      <c r="AB347" s="1383"/>
      <c r="AC347" s="1383"/>
      <c r="AD347" s="1383"/>
      <c r="AE347" s="1383"/>
      <c r="AF347" s="1383"/>
      <c r="AG347" s="1383"/>
      <c r="AH347" s="1383"/>
      <c r="AI347" s="1383"/>
      <c r="AJ347" s="1383"/>
      <c r="AK347" s="1383"/>
      <c r="AL347" s="1383"/>
      <c r="AM347" s="1383"/>
    </row>
    <row r="348" spans="2:39" ht="15.75" x14ac:dyDescent="0.25">
      <c r="B348" s="1372"/>
      <c r="C348" s="1372"/>
      <c r="D348" s="1717"/>
      <c r="E348" s="1420"/>
      <c r="F348" s="1493"/>
      <c r="G348" s="1493"/>
      <c r="H348" s="1493"/>
      <c r="I348" s="1493"/>
      <c r="J348" s="1493"/>
      <c r="K348" s="1493"/>
      <c r="L348" s="1493"/>
      <c r="M348" s="1493"/>
      <c r="N348" s="1493"/>
      <c r="O348" s="1493"/>
      <c r="P348" s="1383"/>
      <c r="Q348" s="1383"/>
      <c r="R348" s="1383"/>
      <c r="S348" s="1383"/>
      <c r="T348" s="1383"/>
      <c r="U348" s="1383"/>
      <c r="V348" s="1383"/>
      <c r="W348" s="1383"/>
      <c r="X348" s="1383"/>
      <c r="Y348" s="1383"/>
      <c r="Z348" s="1383"/>
      <c r="AA348" s="1383"/>
      <c r="AB348" s="1383"/>
      <c r="AC348" s="1383"/>
      <c r="AD348" s="1383"/>
      <c r="AE348" s="1383"/>
      <c r="AF348" s="1383"/>
      <c r="AG348" s="1383"/>
      <c r="AH348" s="1383"/>
      <c r="AI348" s="1383"/>
      <c r="AJ348" s="1383"/>
      <c r="AK348" s="1383"/>
      <c r="AL348" s="1383"/>
      <c r="AM348" s="1383"/>
    </row>
    <row r="349" spans="2:39" ht="15.75" x14ac:dyDescent="0.25">
      <c r="B349" s="1372"/>
      <c r="C349" s="1372"/>
      <c r="D349" s="1717"/>
      <c r="E349" s="1420"/>
      <c r="F349" s="1493"/>
      <c r="G349" s="1493"/>
      <c r="H349" s="1493"/>
      <c r="I349" s="1493"/>
      <c r="J349" s="1493"/>
      <c r="K349" s="1493"/>
      <c r="L349" s="1493"/>
      <c r="M349" s="1493"/>
      <c r="N349" s="1493"/>
      <c r="O349" s="1493"/>
      <c r="P349" s="1383"/>
      <c r="Q349" s="1383"/>
      <c r="R349" s="1383"/>
      <c r="S349" s="1383"/>
      <c r="T349" s="1383"/>
      <c r="U349" s="1383"/>
      <c r="V349" s="1383"/>
      <c r="W349" s="1383"/>
      <c r="X349" s="1383"/>
      <c r="Y349" s="1383"/>
      <c r="Z349" s="1383"/>
      <c r="AA349" s="1383"/>
      <c r="AB349" s="1383"/>
      <c r="AC349" s="1383"/>
      <c r="AD349" s="1383"/>
      <c r="AE349" s="1383"/>
      <c r="AF349" s="1383"/>
      <c r="AG349" s="1383"/>
      <c r="AH349" s="1383"/>
      <c r="AI349" s="1383"/>
      <c r="AJ349" s="1383"/>
      <c r="AK349" s="1383"/>
      <c r="AL349" s="1383"/>
      <c r="AM349" s="1383"/>
    </row>
    <row r="350" spans="2:39" ht="15.75" x14ac:dyDescent="0.25">
      <c r="B350" s="1372"/>
      <c r="C350" s="1372"/>
      <c r="D350" s="1717"/>
      <c r="E350" s="1420"/>
      <c r="F350" s="1493"/>
      <c r="G350" s="1493"/>
      <c r="H350" s="1493"/>
      <c r="I350" s="1493"/>
      <c r="J350" s="1493"/>
      <c r="K350" s="1493"/>
      <c r="L350" s="1493"/>
      <c r="M350" s="1493"/>
      <c r="N350" s="1493"/>
      <c r="O350" s="1493"/>
      <c r="P350" s="1383"/>
      <c r="Q350" s="1383"/>
      <c r="R350" s="1383"/>
      <c r="S350" s="1383"/>
      <c r="T350" s="1383"/>
      <c r="U350" s="1383"/>
      <c r="V350" s="1383"/>
      <c r="W350" s="1383"/>
      <c r="X350" s="1383"/>
      <c r="Y350" s="1383"/>
      <c r="Z350" s="1383"/>
      <c r="AA350" s="1383"/>
      <c r="AB350" s="1383"/>
      <c r="AC350" s="1383"/>
      <c r="AD350" s="1383"/>
      <c r="AE350" s="1383"/>
      <c r="AF350" s="1383"/>
      <c r="AG350" s="1383"/>
      <c r="AH350" s="1383"/>
      <c r="AI350" s="1383"/>
      <c r="AJ350" s="1383"/>
      <c r="AK350" s="1383"/>
      <c r="AL350" s="1383"/>
      <c r="AM350" s="1383"/>
    </row>
    <row r="351" spans="2:39" ht="15.75" x14ac:dyDescent="0.25">
      <c r="B351" s="1372"/>
      <c r="C351" s="1372"/>
      <c r="D351" s="1717"/>
      <c r="E351" s="1420"/>
      <c r="F351" s="1493"/>
      <c r="G351" s="1493"/>
      <c r="H351" s="1493"/>
      <c r="I351" s="1493"/>
      <c r="J351" s="1493"/>
      <c r="K351" s="1493"/>
      <c r="L351" s="1493"/>
      <c r="M351" s="1493"/>
      <c r="N351" s="1493"/>
      <c r="O351" s="1493"/>
      <c r="P351" s="1383"/>
      <c r="Q351" s="1383"/>
      <c r="R351" s="1383"/>
      <c r="S351" s="1383"/>
      <c r="T351" s="1383"/>
      <c r="U351" s="1383"/>
      <c r="V351" s="1383"/>
      <c r="W351" s="1383"/>
      <c r="X351" s="1383"/>
      <c r="Y351" s="1383"/>
      <c r="Z351" s="1383"/>
      <c r="AA351" s="1383"/>
      <c r="AB351" s="1383"/>
      <c r="AC351" s="1383"/>
      <c r="AD351" s="1383"/>
      <c r="AE351" s="1383"/>
      <c r="AF351" s="1383"/>
      <c r="AG351" s="1383"/>
      <c r="AH351" s="1383"/>
      <c r="AI351" s="1383"/>
      <c r="AJ351" s="1383"/>
      <c r="AK351" s="1383"/>
      <c r="AL351" s="1383"/>
      <c r="AM351" s="1383"/>
    </row>
    <row r="352" spans="2:39" ht="15.75" x14ac:dyDescent="0.25">
      <c r="B352" s="1372"/>
      <c r="C352" s="1372"/>
      <c r="D352" s="1717"/>
      <c r="E352" s="1420"/>
      <c r="F352" s="1493"/>
      <c r="G352" s="1493"/>
      <c r="H352" s="1493"/>
      <c r="I352" s="1493"/>
      <c r="J352" s="1493"/>
      <c r="K352" s="1493"/>
      <c r="L352" s="1493"/>
      <c r="M352" s="1493"/>
      <c r="N352" s="1493"/>
      <c r="O352" s="1493"/>
      <c r="P352" s="1383"/>
      <c r="Q352" s="1383"/>
      <c r="R352" s="1383"/>
      <c r="S352" s="1383"/>
      <c r="T352" s="1383"/>
      <c r="U352" s="1383"/>
      <c r="V352" s="1383"/>
      <c r="W352" s="1383"/>
      <c r="X352" s="1383"/>
      <c r="Y352" s="1383"/>
      <c r="Z352" s="1383"/>
      <c r="AA352" s="1383"/>
      <c r="AB352" s="1383"/>
      <c r="AC352" s="1383"/>
      <c r="AD352" s="1383"/>
      <c r="AE352" s="1383"/>
      <c r="AF352" s="1383"/>
      <c r="AG352" s="1383"/>
      <c r="AH352" s="1383"/>
      <c r="AI352" s="1383"/>
      <c r="AJ352" s="1383"/>
      <c r="AK352" s="1383"/>
      <c r="AL352" s="1383"/>
      <c r="AM352" s="1383"/>
    </row>
    <row r="353" spans="2:39" ht="15.75" x14ac:dyDescent="0.25">
      <c r="B353" s="1372"/>
      <c r="C353" s="1372"/>
      <c r="D353" s="1717"/>
      <c r="E353" s="1420"/>
      <c r="F353" s="1493"/>
      <c r="G353" s="1493"/>
      <c r="H353" s="1493"/>
      <c r="I353" s="1493"/>
      <c r="J353" s="1493"/>
      <c r="K353" s="1493"/>
      <c r="L353" s="1493"/>
      <c r="M353" s="1493"/>
      <c r="N353" s="1493"/>
      <c r="O353" s="1493"/>
      <c r="P353" s="1383"/>
      <c r="Q353" s="1383"/>
      <c r="R353" s="1383"/>
      <c r="S353" s="1383"/>
      <c r="T353" s="1383"/>
      <c r="U353" s="1383"/>
      <c r="V353" s="1383"/>
      <c r="W353" s="1383"/>
      <c r="X353" s="1383"/>
      <c r="Y353" s="1383"/>
      <c r="Z353" s="1383"/>
      <c r="AA353" s="1383"/>
      <c r="AB353" s="1383"/>
      <c r="AC353" s="1383"/>
      <c r="AD353" s="1383"/>
      <c r="AE353" s="1383"/>
      <c r="AF353" s="1383"/>
      <c r="AG353" s="1383"/>
      <c r="AH353" s="1383"/>
      <c r="AI353" s="1383"/>
      <c r="AJ353" s="1383"/>
      <c r="AK353" s="1383"/>
      <c r="AL353" s="1383"/>
      <c r="AM353" s="1383"/>
    </row>
    <row r="354" spans="2:39" ht="15.75" x14ac:dyDescent="0.25">
      <c r="B354" s="1372"/>
      <c r="C354" s="1372"/>
      <c r="D354" s="1717"/>
      <c r="E354" s="1420"/>
      <c r="F354" s="1493"/>
      <c r="G354" s="1493"/>
      <c r="H354" s="1493"/>
      <c r="I354" s="1493"/>
      <c r="J354" s="1493"/>
      <c r="K354" s="1493"/>
      <c r="L354" s="1493"/>
      <c r="M354" s="1493"/>
      <c r="N354" s="1493"/>
      <c r="O354" s="1493"/>
      <c r="P354" s="1383"/>
      <c r="Q354" s="1383"/>
      <c r="R354" s="1383"/>
      <c r="S354" s="1383"/>
      <c r="T354" s="1383"/>
      <c r="U354" s="1383"/>
      <c r="V354" s="1383"/>
      <c r="W354" s="1383"/>
      <c r="X354" s="1383"/>
      <c r="Y354" s="1383"/>
      <c r="Z354" s="1383"/>
      <c r="AA354" s="1383"/>
      <c r="AB354" s="1383"/>
      <c r="AC354" s="1383"/>
      <c r="AD354" s="1383"/>
      <c r="AE354" s="1383"/>
      <c r="AF354" s="1383"/>
      <c r="AG354" s="1383"/>
      <c r="AH354" s="1383"/>
      <c r="AI354" s="1383"/>
      <c r="AJ354" s="1383"/>
      <c r="AK354" s="1383"/>
      <c r="AL354" s="1383"/>
      <c r="AM354" s="1383"/>
    </row>
    <row r="355" spans="2:39" ht="15.75" x14ac:dyDescent="0.25">
      <c r="B355" s="1372"/>
      <c r="C355" s="1372"/>
      <c r="D355" s="1717"/>
      <c r="E355" s="1420"/>
      <c r="F355" s="1493"/>
      <c r="G355" s="1493"/>
      <c r="H355" s="1493"/>
      <c r="I355" s="1493"/>
      <c r="J355" s="1493"/>
      <c r="K355" s="1493"/>
      <c r="L355" s="1493"/>
      <c r="M355" s="1493"/>
      <c r="N355" s="1493"/>
      <c r="O355" s="1493"/>
      <c r="P355" s="1383"/>
      <c r="Q355" s="1383"/>
      <c r="R355" s="1383"/>
      <c r="S355" s="1383"/>
      <c r="T355" s="1383"/>
      <c r="U355" s="1383"/>
      <c r="V355" s="1383"/>
      <c r="W355" s="1383"/>
      <c r="X355" s="1383"/>
      <c r="Y355" s="1383"/>
      <c r="Z355" s="1383"/>
      <c r="AA355" s="1383"/>
      <c r="AB355" s="1383"/>
      <c r="AC355" s="1383"/>
      <c r="AD355" s="1383"/>
      <c r="AE355" s="1383"/>
      <c r="AF355" s="1383"/>
      <c r="AG355" s="1383"/>
      <c r="AH355" s="1383"/>
      <c r="AI355" s="1383"/>
      <c r="AJ355" s="1383"/>
      <c r="AK355" s="1383"/>
      <c r="AL355" s="1383"/>
      <c r="AM355" s="1383"/>
    </row>
    <row r="356" spans="2:39" ht="15.75" x14ac:dyDescent="0.25">
      <c r="B356" s="1372"/>
      <c r="C356" s="1372"/>
      <c r="D356" s="1717"/>
      <c r="E356" s="1420"/>
      <c r="F356" s="1493"/>
      <c r="G356" s="1493"/>
      <c r="H356" s="1493"/>
      <c r="I356" s="1493"/>
      <c r="J356" s="1493"/>
      <c r="K356" s="1493"/>
      <c r="L356" s="1493"/>
      <c r="M356" s="1493"/>
      <c r="N356" s="1493"/>
      <c r="O356" s="1493"/>
      <c r="P356" s="1383"/>
      <c r="Q356" s="1383"/>
      <c r="R356" s="1383"/>
      <c r="S356" s="1383"/>
      <c r="T356" s="1383"/>
      <c r="U356" s="1383"/>
      <c r="V356" s="1383"/>
      <c r="W356" s="1383"/>
      <c r="X356" s="1383"/>
      <c r="Y356" s="1383"/>
      <c r="Z356" s="1383"/>
      <c r="AA356" s="1383"/>
      <c r="AB356" s="1383"/>
      <c r="AC356" s="1383"/>
      <c r="AD356" s="1383"/>
      <c r="AE356" s="1383"/>
      <c r="AF356" s="1383"/>
      <c r="AG356" s="1383"/>
      <c r="AH356" s="1383"/>
      <c r="AI356" s="1383"/>
      <c r="AJ356" s="1383"/>
      <c r="AK356" s="1383"/>
      <c r="AL356" s="1383"/>
      <c r="AM356" s="1383"/>
    </row>
    <row r="357" spans="2:39" ht="15.75" x14ac:dyDescent="0.25">
      <c r="B357" s="1372"/>
      <c r="C357" s="1372"/>
      <c r="D357" s="1717"/>
      <c r="E357" s="1420"/>
      <c r="F357" s="1493"/>
      <c r="G357" s="1493"/>
      <c r="H357" s="1493"/>
      <c r="I357" s="1493"/>
      <c r="J357" s="1493"/>
      <c r="K357" s="1493"/>
      <c r="L357" s="1493"/>
      <c r="M357" s="1493"/>
      <c r="N357" s="1493"/>
      <c r="O357" s="1493"/>
      <c r="P357" s="1383"/>
      <c r="Q357" s="1383"/>
      <c r="R357" s="1383"/>
      <c r="S357" s="1383"/>
      <c r="T357" s="1383"/>
      <c r="U357" s="1383"/>
      <c r="V357" s="1383"/>
      <c r="W357" s="1383"/>
      <c r="X357" s="1383"/>
      <c r="Y357" s="1383"/>
      <c r="Z357" s="1383"/>
      <c r="AA357" s="1383"/>
      <c r="AB357" s="1383"/>
      <c r="AC357" s="1383"/>
      <c r="AD357" s="1383"/>
      <c r="AE357" s="1383"/>
      <c r="AF357" s="1383"/>
      <c r="AG357" s="1383"/>
      <c r="AH357" s="1383"/>
      <c r="AI357" s="1383"/>
      <c r="AJ357" s="1383"/>
      <c r="AK357" s="1383"/>
      <c r="AL357" s="1383"/>
      <c r="AM357" s="1383"/>
    </row>
    <row r="358" spans="2:39" ht="15.75" x14ac:dyDescent="0.25">
      <c r="B358" s="1372"/>
      <c r="C358" s="1372"/>
      <c r="D358" s="1717"/>
      <c r="E358" s="1420"/>
      <c r="F358" s="1493"/>
      <c r="G358" s="1493"/>
      <c r="H358" s="1493"/>
      <c r="I358" s="1493"/>
      <c r="J358" s="1493"/>
      <c r="K358" s="1493"/>
      <c r="L358" s="1493"/>
      <c r="M358" s="1493"/>
      <c r="N358" s="1493"/>
      <c r="O358" s="1493"/>
      <c r="P358" s="1383"/>
      <c r="Q358" s="1383"/>
      <c r="R358" s="1383"/>
      <c r="S358" s="1383"/>
      <c r="T358" s="1383"/>
      <c r="U358" s="1383"/>
      <c r="V358" s="1383"/>
      <c r="W358" s="1383"/>
      <c r="X358" s="1383"/>
      <c r="Y358" s="1383"/>
      <c r="Z358" s="1383"/>
      <c r="AA358" s="1383"/>
      <c r="AB358" s="1383"/>
      <c r="AC358" s="1383"/>
      <c r="AD358" s="1383"/>
      <c r="AE358" s="1383"/>
      <c r="AF358" s="1383"/>
      <c r="AG358" s="1383"/>
      <c r="AH358" s="1383"/>
      <c r="AI358" s="1383"/>
      <c r="AJ358" s="1383"/>
      <c r="AK358" s="1383"/>
      <c r="AL358" s="1383"/>
      <c r="AM358" s="1383"/>
    </row>
    <row r="359" spans="2:39" ht="15.75" x14ac:dyDescent="0.25">
      <c r="B359" s="1372"/>
      <c r="C359" s="1372"/>
      <c r="D359" s="1717"/>
      <c r="E359" s="1420"/>
      <c r="F359" s="1493"/>
      <c r="G359" s="1493"/>
      <c r="H359" s="1493"/>
      <c r="I359" s="1493"/>
      <c r="J359" s="1493"/>
      <c r="K359" s="1493"/>
      <c r="L359" s="1493"/>
      <c r="M359" s="1493"/>
      <c r="N359" s="1493"/>
      <c r="O359" s="1493"/>
      <c r="P359" s="1383"/>
      <c r="Q359" s="1383"/>
      <c r="R359" s="1383"/>
      <c r="S359" s="1383"/>
      <c r="T359" s="1383"/>
      <c r="U359" s="1383"/>
      <c r="V359" s="1383"/>
      <c r="W359" s="1383"/>
      <c r="X359" s="1383"/>
      <c r="Y359" s="1383"/>
      <c r="Z359" s="1383"/>
      <c r="AA359" s="1383"/>
      <c r="AB359" s="1383"/>
      <c r="AC359" s="1383"/>
      <c r="AD359" s="1383"/>
      <c r="AE359" s="1383"/>
      <c r="AF359" s="1383"/>
      <c r="AG359" s="1383"/>
      <c r="AH359" s="1383"/>
      <c r="AI359" s="1383"/>
      <c r="AJ359" s="1383"/>
      <c r="AK359" s="1383"/>
      <c r="AL359" s="1383"/>
      <c r="AM359" s="1383"/>
    </row>
    <row r="360" spans="2:39" ht="15.75" x14ac:dyDescent="0.25">
      <c r="B360" s="1372"/>
      <c r="C360" s="1372"/>
      <c r="D360" s="1717"/>
      <c r="E360" s="1420"/>
      <c r="F360" s="1493"/>
      <c r="G360" s="1493"/>
      <c r="H360" s="1493"/>
      <c r="I360" s="1493"/>
      <c r="J360" s="1493"/>
      <c r="K360" s="1493"/>
      <c r="L360" s="1493"/>
      <c r="M360" s="1493"/>
      <c r="N360" s="1493"/>
      <c r="O360" s="1493"/>
      <c r="P360" s="1383"/>
      <c r="Q360" s="1383"/>
      <c r="R360" s="1383"/>
      <c r="S360" s="1383"/>
      <c r="T360" s="1383"/>
      <c r="U360" s="1383"/>
      <c r="V360" s="1383"/>
      <c r="W360" s="1383"/>
      <c r="X360" s="1383"/>
      <c r="Y360" s="1383"/>
      <c r="Z360" s="1383"/>
      <c r="AA360" s="1383"/>
      <c r="AB360" s="1383"/>
      <c r="AC360" s="1383"/>
      <c r="AD360" s="1383"/>
      <c r="AE360" s="1383"/>
      <c r="AF360" s="1383"/>
      <c r="AG360" s="1383"/>
      <c r="AH360" s="1383"/>
      <c r="AI360" s="1383"/>
      <c r="AJ360" s="1383"/>
      <c r="AK360" s="1383"/>
      <c r="AL360" s="1383"/>
      <c r="AM360" s="1383"/>
    </row>
    <row r="361" spans="2:39" ht="15.75" x14ac:dyDescent="0.25">
      <c r="B361" s="1372"/>
      <c r="C361" s="1372"/>
      <c r="D361" s="1717"/>
      <c r="E361" s="1420"/>
      <c r="F361" s="1493"/>
      <c r="G361" s="1493"/>
      <c r="H361" s="1493"/>
      <c r="I361" s="1493"/>
      <c r="J361" s="1493"/>
      <c r="K361" s="1493"/>
      <c r="L361" s="1493"/>
      <c r="M361" s="1493"/>
      <c r="N361" s="1493"/>
      <c r="O361" s="1493"/>
      <c r="P361" s="1383"/>
      <c r="Q361" s="1383"/>
      <c r="R361" s="1383"/>
      <c r="S361" s="1383"/>
      <c r="T361" s="1383"/>
      <c r="U361" s="1383"/>
      <c r="V361" s="1383"/>
      <c r="W361" s="1383"/>
      <c r="X361" s="1383"/>
      <c r="Y361" s="1383"/>
      <c r="Z361" s="1383"/>
      <c r="AA361" s="1383"/>
      <c r="AB361" s="1383"/>
      <c r="AC361" s="1383"/>
      <c r="AD361" s="1383"/>
      <c r="AE361" s="1383"/>
      <c r="AF361" s="1383"/>
      <c r="AG361" s="1383"/>
      <c r="AH361" s="1383"/>
      <c r="AI361" s="1383"/>
      <c r="AJ361" s="1383"/>
      <c r="AK361" s="1383"/>
      <c r="AL361" s="1383"/>
      <c r="AM361" s="1383"/>
    </row>
    <row r="362" spans="2:39" ht="15.75" x14ac:dyDescent="0.25">
      <c r="B362" s="1372"/>
      <c r="C362" s="1372"/>
      <c r="D362" s="1717"/>
      <c r="E362" s="1420"/>
      <c r="F362" s="1493"/>
      <c r="G362" s="1493"/>
      <c r="H362" s="1493"/>
      <c r="I362" s="1493"/>
      <c r="J362" s="1493"/>
      <c r="K362" s="1493"/>
      <c r="L362" s="1493"/>
      <c r="M362" s="1493"/>
      <c r="N362" s="1493"/>
      <c r="O362" s="1493"/>
      <c r="P362" s="1383"/>
      <c r="Q362" s="1383"/>
      <c r="R362" s="1383"/>
      <c r="S362" s="1383"/>
      <c r="T362" s="1383"/>
      <c r="U362" s="1383"/>
      <c r="V362" s="1383"/>
      <c r="W362" s="1383"/>
      <c r="X362" s="1383"/>
      <c r="Y362" s="1383"/>
      <c r="Z362" s="1383"/>
      <c r="AA362" s="1383"/>
      <c r="AB362" s="1383"/>
      <c r="AC362" s="1383"/>
      <c r="AD362" s="1383"/>
      <c r="AE362" s="1383"/>
      <c r="AF362" s="1383"/>
      <c r="AG362" s="1383"/>
      <c r="AH362" s="1383"/>
      <c r="AI362" s="1383"/>
      <c r="AJ362" s="1383"/>
      <c r="AK362" s="1383"/>
      <c r="AL362" s="1383"/>
      <c r="AM362" s="1383"/>
    </row>
    <row r="363" spans="2:39" ht="15.75" x14ac:dyDescent="0.25">
      <c r="B363" s="1372"/>
      <c r="C363" s="1372"/>
      <c r="D363" s="1717"/>
      <c r="E363" s="1420"/>
      <c r="F363" s="1493"/>
      <c r="G363" s="1493"/>
      <c r="H363" s="1493"/>
      <c r="I363" s="1493"/>
      <c r="J363" s="1493"/>
      <c r="K363" s="1493"/>
      <c r="L363" s="1493"/>
      <c r="M363" s="1493"/>
      <c r="N363" s="1493"/>
      <c r="O363" s="1493"/>
      <c r="P363" s="1383"/>
      <c r="Q363" s="1383"/>
      <c r="R363" s="1383"/>
      <c r="S363" s="1383"/>
      <c r="T363" s="1383"/>
      <c r="U363" s="1383"/>
      <c r="V363" s="1383"/>
      <c r="W363" s="1383"/>
      <c r="X363" s="1383"/>
      <c r="Y363" s="1383"/>
      <c r="Z363" s="1383"/>
      <c r="AA363" s="1383"/>
      <c r="AB363" s="1383"/>
      <c r="AC363" s="1383"/>
      <c r="AD363" s="1383"/>
      <c r="AE363" s="1383"/>
      <c r="AF363" s="1383"/>
      <c r="AG363" s="1383"/>
      <c r="AH363" s="1383"/>
      <c r="AI363" s="1383"/>
      <c r="AJ363" s="1383"/>
      <c r="AK363" s="1383"/>
      <c r="AL363" s="1383"/>
      <c r="AM363" s="1383"/>
    </row>
    <row r="364" spans="2:39" ht="15.75" x14ac:dyDescent="0.25">
      <c r="B364" s="1372"/>
      <c r="C364" s="1372"/>
      <c r="D364" s="1717"/>
      <c r="E364" s="1420"/>
      <c r="F364" s="1493"/>
      <c r="G364" s="1493"/>
      <c r="H364" s="1493"/>
      <c r="I364" s="1493"/>
      <c r="J364" s="1493"/>
      <c r="K364" s="1493"/>
      <c r="L364" s="1493"/>
      <c r="M364" s="1493"/>
      <c r="N364" s="1493"/>
      <c r="O364" s="1493"/>
      <c r="P364" s="1383"/>
      <c r="Q364" s="1383"/>
      <c r="R364" s="1383"/>
      <c r="S364" s="1383"/>
      <c r="T364" s="1383"/>
      <c r="U364" s="1383"/>
      <c r="V364" s="1383"/>
      <c r="W364" s="1383"/>
      <c r="X364" s="1383"/>
      <c r="Y364" s="1383"/>
      <c r="Z364" s="1383"/>
      <c r="AA364" s="1383"/>
      <c r="AB364" s="1383"/>
      <c r="AC364" s="1383"/>
      <c r="AD364" s="1383"/>
      <c r="AE364" s="1383"/>
      <c r="AF364" s="1383"/>
      <c r="AG364" s="1383"/>
      <c r="AH364" s="1383"/>
      <c r="AI364" s="1383"/>
      <c r="AJ364" s="1383"/>
      <c r="AK364" s="1383"/>
      <c r="AL364" s="1383"/>
      <c r="AM364" s="1383"/>
    </row>
    <row r="365" spans="2:39" ht="15.75" x14ac:dyDescent="0.25">
      <c r="B365" s="1372"/>
      <c r="C365" s="1372"/>
      <c r="D365" s="1717"/>
      <c r="E365" s="1420"/>
      <c r="F365" s="1493"/>
      <c r="G365" s="1493"/>
      <c r="H365" s="1493"/>
      <c r="I365" s="1493"/>
      <c r="J365" s="1493"/>
      <c r="K365" s="1493"/>
      <c r="L365" s="1493"/>
      <c r="M365" s="1493"/>
      <c r="N365" s="1493"/>
      <c r="O365" s="1493"/>
      <c r="P365" s="1383"/>
      <c r="Q365" s="1383"/>
      <c r="R365" s="1383"/>
      <c r="S365" s="1383"/>
      <c r="T365" s="1383"/>
      <c r="U365" s="1383"/>
      <c r="V365" s="1383"/>
      <c r="W365" s="1383"/>
      <c r="X365" s="1383"/>
      <c r="Y365" s="1383"/>
      <c r="Z365" s="1383"/>
      <c r="AA365" s="1383"/>
      <c r="AB365" s="1383"/>
      <c r="AC365" s="1383"/>
      <c r="AD365" s="1383"/>
      <c r="AE365" s="1383"/>
      <c r="AF365" s="1383"/>
      <c r="AG365" s="1383"/>
      <c r="AH365" s="1383"/>
      <c r="AI365" s="1383"/>
      <c r="AJ365" s="1383"/>
      <c r="AK365" s="1383"/>
      <c r="AL365" s="1383"/>
      <c r="AM365" s="1383"/>
    </row>
    <row r="366" spans="2:39" ht="15.75" x14ac:dyDescent="0.25">
      <c r="B366" s="1372"/>
      <c r="C366" s="1372"/>
      <c r="D366" s="1717"/>
      <c r="E366" s="1420"/>
      <c r="F366" s="1493"/>
      <c r="G366" s="1493"/>
      <c r="H366" s="1493"/>
      <c r="I366" s="1493"/>
      <c r="J366" s="1493"/>
      <c r="K366" s="1493"/>
      <c r="L366" s="1493"/>
      <c r="M366" s="1493"/>
      <c r="N366" s="1493"/>
      <c r="O366" s="1493"/>
      <c r="P366" s="1383"/>
      <c r="Q366" s="1383"/>
      <c r="R366" s="1383"/>
      <c r="S366" s="1383"/>
      <c r="T366" s="1383"/>
      <c r="U366" s="1383"/>
      <c r="V366" s="1383"/>
      <c r="W366" s="1383"/>
      <c r="X366" s="1383"/>
      <c r="Y366" s="1383"/>
      <c r="Z366" s="1383"/>
      <c r="AA366" s="1383"/>
      <c r="AB366" s="1383"/>
      <c r="AC366" s="1383"/>
      <c r="AD366" s="1383"/>
      <c r="AE366" s="1383"/>
      <c r="AF366" s="1383"/>
      <c r="AG366" s="1383"/>
      <c r="AH366" s="1383"/>
      <c r="AI366" s="1383"/>
      <c r="AJ366" s="1383"/>
      <c r="AK366" s="1383"/>
      <c r="AL366" s="1383"/>
      <c r="AM366" s="1383"/>
    </row>
    <row r="367" spans="2:39" ht="15.75" x14ac:dyDescent="0.25">
      <c r="B367" s="1372"/>
      <c r="C367" s="1372"/>
      <c r="D367" s="1717"/>
      <c r="E367" s="1420"/>
      <c r="F367" s="1493"/>
      <c r="G367" s="1493"/>
      <c r="H367" s="1493"/>
      <c r="I367" s="1493"/>
      <c r="J367" s="1493"/>
      <c r="K367" s="1493"/>
      <c r="L367" s="1493"/>
      <c r="M367" s="1493"/>
      <c r="N367" s="1493"/>
      <c r="O367" s="1493"/>
      <c r="P367" s="1383"/>
      <c r="Q367" s="1383"/>
      <c r="R367" s="1383"/>
      <c r="S367" s="1383"/>
      <c r="T367" s="1383"/>
      <c r="U367" s="1383"/>
      <c r="V367" s="1383"/>
      <c r="W367" s="1383"/>
      <c r="X367" s="1383"/>
      <c r="Y367" s="1383"/>
      <c r="Z367" s="1383"/>
      <c r="AA367" s="1383"/>
      <c r="AB367" s="1383"/>
      <c r="AC367" s="1383"/>
      <c r="AD367" s="1383"/>
      <c r="AE367" s="1383"/>
      <c r="AF367" s="1383"/>
      <c r="AG367" s="1383"/>
      <c r="AH367" s="1383"/>
      <c r="AI367" s="1383"/>
      <c r="AJ367" s="1383"/>
      <c r="AK367" s="1383"/>
      <c r="AL367" s="1383"/>
      <c r="AM367" s="1383"/>
    </row>
    <row r="368" spans="2:39" ht="15.75" x14ac:dyDescent="0.25">
      <c r="B368" s="1372"/>
      <c r="C368" s="1372"/>
      <c r="D368" s="1717"/>
      <c r="E368" s="1420"/>
      <c r="F368" s="1493"/>
      <c r="G368" s="1493"/>
      <c r="H368" s="1493"/>
      <c r="I368" s="1493"/>
      <c r="J368" s="1493"/>
      <c r="K368" s="1493"/>
      <c r="L368" s="1493"/>
      <c r="M368" s="1493"/>
      <c r="N368" s="1493"/>
      <c r="O368" s="1493"/>
      <c r="P368" s="1383"/>
      <c r="Q368" s="1383"/>
      <c r="R368" s="1383"/>
      <c r="S368" s="1383"/>
      <c r="T368" s="1383"/>
      <c r="U368" s="1383"/>
      <c r="V368" s="1383"/>
      <c r="W368" s="1383"/>
      <c r="X368" s="1383"/>
      <c r="Y368" s="1383"/>
      <c r="Z368" s="1383"/>
      <c r="AA368" s="1383"/>
      <c r="AB368" s="1383"/>
      <c r="AC368" s="1383"/>
      <c r="AD368" s="1383"/>
      <c r="AE368" s="1383"/>
      <c r="AF368" s="1383"/>
      <c r="AG368" s="1383"/>
      <c r="AH368" s="1383"/>
      <c r="AI368" s="1383"/>
      <c r="AJ368" s="1383"/>
      <c r="AK368" s="1383"/>
      <c r="AL368" s="1383"/>
      <c r="AM368" s="1383"/>
    </row>
    <row r="369" spans="2:39" ht="15.75" x14ac:dyDescent="0.25">
      <c r="B369" s="1372"/>
      <c r="C369" s="1372"/>
      <c r="D369" s="1717"/>
      <c r="E369" s="1420"/>
      <c r="F369" s="1493"/>
      <c r="G369" s="1493"/>
      <c r="H369" s="1493"/>
      <c r="I369" s="1493"/>
      <c r="J369" s="1493"/>
      <c r="K369" s="1493"/>
      <c r="L369" s="1493"/>
      <c r="M369" s="1493"/>
      <c r="N369" s="1493"/>
      <c r="O369" s="1493"/>
      <c r="P369" s="1383"/>
      <c r="Q369" s="1383"/>
      <c r="R369" s="1383"/>
      <c r="S369" s="1383"/>
      <c r="T369" s="1383"/>
      <c r="U369" s="1383"/>
      <c r="V369" s="1383"/>
      <c r="W369" s="1383"/>
      <c r="X369" s="1383"/>
      <c r="Y369" s="1383"/>
      <c r="Z369" s="1383"/>
      <c r="AA369" s="1383"/>
      <c r="AB369" s="1383"/>
      <c r="AC369" s="1383"/>
      <c r="AD369" s="1383"/>
      <c r="AE369" s="1383"/>
      <c r="AF369" s="1383"/>
      <c r="AG369" s="1383"/>
      <c r="AH369" s="1383"/>
      <c r="AI369" s="1383"/>
      <c r="AJ369" s="1383"/>
      <c r="AK369" s="1383"/>
      <c r="AL369" s="1383"/>
      <c r="AM369" s="1383"/>
    </row>
    <row r="370" spans="2:39" ht="15.75" x14ac:dyDescent="0.25">
      <c r="B370" s="1372"/>
      <c r="C370" s="1372"/>
      <c r="D370" s="1717"/>
      <c r="E370" s="1420"/>
      <c r="F370" s="1493"/>
      <c r="G370" s="1493"/>
      <c r="H370" s="1493"/>
      <c r="I370" s="1493"/>
      <c r="J370" s="1493"/>
      <c r="K370" s="1493"/>
      <c r="L370" s="1493"/>
      <c r="M370" s="1493"/>
      <c r="N370" s="1493"/>
      <c r="O370" s="1493"/>
      <c r="P370" s="1383"/>
      <c r="Q370" s="1383"/>
      <c r="R370" s="1383"/>
      <c r="S370" s="1383"/>
      <c r="T370" s="1383"/>
      <c r="U370" s="1383"/>
      <c r="V370" s="1383"/>
      <c r="W370" s="1383"/>
      <c r="X370" s="1383"/>
      <c r="Y370" s="1383"/>
      <c r="Z370" s="1383"/>
      <c r="AA370" s="1383"/>
      <c r="AB370" s="1383"/>
      <c r="AC370" s="1383"/>
      <c r="AD370" s="1383"/>
      <c r="AE370" s="1383"/>
      <c r="AF370" s="1383"/>
      <c r="AG370" s="1383"/>
      <c r="AH370" s="1383"/>
      <c r="AI370" s="1383"/>
      <c r="AJ370" s="1383"/>
      <c r="AK370" s="1383"/>
      <c r="AL370" s="1383"/>
      <c r="AM370" s="1383"/>
    </row>
    <row r="371" spans="2:39" ht="15.75" x14ac:dyDescent="0.25">
      <c r="B371" s="1372"/>
      <c r="C371" s="1372"/>
      <c r="D371" s="1717"/>
      <c r="E371" s="1420"/>
      <c r="F371" s="1493"/>
      <c r="G371" s="1493"/>
      <c r="H371" s="1493"/>
      <c r="I371" s="1493"/>
      <c r="J371" s="1493"/>
      <c r="K371" s="1493"/>
      <c r="L371" s="1493"/>
      <c r="M371" s="1493"/>
      <c r="N371" s="1493"/>
      <c r="O371" s="1493"/>
      <c r="P371" s="1383"/>
      <c r="Q371" s="1383"/>
      <c r="R371" s="1383"/>
      <c r="S371" s="1383"/>
      <c r="T371" s="1383"/>
      <c r="U371" s="1383"/>
      <c r="V371" s="1383"/>
      <c r="W371" s="1383"/>
      <c r="X371" s="1383"/>
      <c r="Y371" s="1383"/>
      <c r="Z371" s="1383"/>
      <c r="AA371" s="1383"/>
      <c r="AB371" s="1383"/>
      <c r="AC371" s="1383"/>
      <c r="AD371" s="1383"/>
      <c r="AE371" s="1383"/>
      <c r="AF371" s="1383"/>
      <c r="AG371" s="1383"/>
      <c r="AH371" s="1383"/>
      <c r="AI371" s="1383"/>
      <c r="AJ371" s="1383"/>
      <c r="AK371" s="1383"/>
      <c r="AL371" s="1383"/>
      <c r="AM371" s="1383"/>
    </row>
    <row r="372" spans="2:39" ht="15.75" x14ac:dyDescent="0.25">
      <c r="B372" s="1372"/>
      <c r="C372" s="1372"/>
      <c r="D372" s="1717"/>
      <c r="E372" s="1420"/>
      <c r="F372" s="1493"/>
      <c r="G372" s="1493"/>
      <c r="H372" s="1493"/>
      <c r="I372" s="1493"/>
      <c r="J372" s="1493"/>
      <c r="K372" s="1493"/>
      <c r="L372" s="1493"/>
      <c r="M372" s="1493"/>
      <c r="N372" s="1493"/>
      <c r="O372" s="1493"/>
      <c r="P372" s="1383"/>
      <c r="Q372" s="1383"/>
      <c r="R372" s="1383"/>
      <c r="S372" s="1383"/>
      <c r="T372" s="1383"/>
      <c r="U372" s="1383"/>
      <c r="V372" s="1383"/>
      <c r="W372" s="1383"/>
      <c r="X372" s="1383"/>
      <c r="Y372" s="1383"/>
      <c r="Z372" s="1383"/>
      <c r="AA372" s="1383"/>
      <c r="AB372" s="1383"/>
      <c r="AC372" s="1383"/>
      <c r="AD372" s="1383"/>
      <c r="AE372" s="1383"/>
      <c r="AF372" s="1383"/>
      <c r="AG372" s="1383"/>
      <c r="AH372" s="1383"/>
      <c r="AI372" s="1383"/>
      <c r="AJ372" s="1383"/>
      <c r="AK372" s="1383"/>
      <c r="AL372" s="1383"/>
      <c r="AM372" s="1383"/>
    </row>
    <row r="373" spans="2:39" ht="15.75" x14ac:dyDescent="0.25">
      <c r="B373" s="1372"/>
      <c r="C373" s="1372"/>
      <c r="D373" s="1717"/>
      <c r="E373" s="1420"/>
      <c r="F373" s="1493"/>
      <c r="G373" s="1493"/>
      <c r="H373" s="1493"/>
      <c r="I373" s="1493"/>
      <c r="J373" s="1493"/>
      <c r="K373" s="1493"/>
      <c r="L373" s="1493"/>
      <c r="M373" s="1493"/>
      <c r="N373" s="1493"/>
      <c r="O373" s="1493"/>
      <c r="P373" s="1383"/>
      <c r="Q373" s="1383"/>
      <c r="R373" s="1383"/>
      <c r="S373" s="1383"/>
      <c r="T373" s="1383"/>
      <c r="U373" s="1383"/>
      <c r="V373" s="1383"/>
      <c r="W373" s="1383"/>
      <c r="X373" s="1383"/>
      <c r="Y373" s="1383"/>
      <c r="Z373" s="1383"/>
      <c r="AA373" s="1383"/>
      <c r="AB373" s="1383"/>
      <c r="AC373" s="1383"/>
      <c r="AD373" s="1383"/>
      <c r="AE373" s="1383"/>
      <c r="AF373" s="1383"/>
      <c r="AG373" s="1383"/>
      <c r="AH373" s="1383"/>
      <c r="AI373" s="1383"/>
      <c r="AJ373" s="1383"/>
      <c r="AK373" s="1383"/>
      <c r="AL373" s="1383"/>
      <c r="AM373" s="1383"/>
    </row>
    <row r="374" spans="2:39" ht="15.75" x14ac:dyDescent="0.25">
      <c r="B374" s="1372"/>
      <c r="C374" s="1372"/>
      <c r="D374" s="1717"/>
      <c r="E374" s="1420"/>
      <c r="F374" s="1493"/>
      <c r="G374" s="1493"/>
      <c r="H374" s="1493"/>
      <c r="I374" s="1493"/>
      <c r="J374" s="1493"/>
      <c r="K374" s="1493"/>
      <c r="L374" s="1493"/>
      <c r="M374" s="1493"/>
      <c r="N374" s="1493"/>
      <c r="O374" s="1493"/>
      <c r="P374" s="1383"/>
      <c r="Q374" s="1383"/>
      <c r="R374" s="1383"/>
      <c r="S374" s="1383"/>
      <c r="T374" s="1383"/>
      <c r="U374" s="1383"/>
      <c r="V374" s="1383"/>
      <c r="W374" s="1383"/>
      <c r="X374" s="1383"/>
      <c r="Y374" s="1383"/>
      <c r="Z374" s="1383"/>
      <c r="AA374" s="1383"/>
      <c r="AB374" s="1383"/>
      <c r="AC374" s="1383"/>
      <c r="AD374" s="1383"/>
      <c r="AE374" s="1383"/>
      <c r="AF374" s="1383"/>
      <c r="AG374" s="1383"/>
      <c r="AH374" s="1383"/>
      <c r="AI374" s="1383"/>
      <c r="AJ374" s="1383"/>
      <c r="AK374" s="1383"/>
      <c r="AL374" s="1383"/>
      <c r="AM374" s="1383"/>
    </row>
    <row r="375" spans="2:39" ht="15.75" x14ac:dyDescent="0.25">
      <c r="B375" s="1372"/>
      <c r="C375" s="1372"/>
      <c r="D375" s="1717"/>
      <c r="E375" s="1420"/>
      <c r="F375" s="1493"/>
      <c r="G375" s="1493"/>
      <c r="H375" s="1493"/>
      <c r="I375" s="1493"/>
      <c r="J375" s="1493"/>
      <c r="K375" s="1493"/>
      <c r="L375" s="1493"/>
      <c r="M375" s="1493"/>
      <c r="N375" s="1493"/>
      <c r="O375" s="1493"/>
      <c r="P375" s="1383"/>
      <c r="Q375" s="1383"/>
      <c r="R375" s="1383"/>
      <c r="S375" s="1383"/>
      <c r="T375" s="1383"/>
      <c r="U375" s="1383"/>
      <c r="V375" s="1383"/>
      <c r="W375" s="1383"/>
      <c r="X375" s="1383"/>
      <c r="Y375" s="1383"/>
      <c r="Z375" s="1383"/>
      <c r="AA375" s="1383"/>
      <c r="AB375" s="1383"/>
      <c r="AC375" s="1383"/>
      <c r="AD375" s="1383"/>
      <c r="AE375" s="1383"/>
      <c r="AF375" s="1383"/>
      <c r="AG375" s="1383"/>
      <c r="AH375" s="1383"/>
      <c r="AI375" s="1383"/>
      <c r="AJ375" s="1383"/>
      <c r="AK375" s="1383"/>
      <c r="AL375" s="1383"/>
      <c r="AM375" s="1383"/>
    </row>
    <row r="376" spans="2:39" ht="15.75" x14ac:dyDescent="0.25">
      <c r="B376" s="1372"/>
      <c r="C376" s="1372"/>
      <c r="D376" s="1717"/>
      <c r="E376" s="1420"/>
      <c r="F376" s="1493"/>
      <c r="G376" s="1493"/>
      <c r="H376" s="1493"/>
      <c r="I376" s="1493"/>
      <c r="J376" s="1493"/>
      <c r="K376" s="1493"/>
      <c r="L376" s="1493"/>
      <c r="M376" s="1493"/>
      <c r="N376" s="1493"/>
      <c r="O376" s="1493"/>
      <c r="P376" s="1383"/>
      <c r="Q376" s="1383"/>
      <c r="R376" s="1383"/>
      <c r="S376" s="1383"/>
      <c r="T376" s="1383"/>
      <c r="U376" s="1383"/>
      <c r="V376" s="1383"/>
      <c r="W376" s="1383"/>
      <c r="X376" s="1383"/>
      <c r="Y376" s="1383"/>
      <c r="Z376" s="1383"/>
      <c r="AA376" s="1383"/>
      <c r="AB376" s="1383"/>
      <c r="AC376" s="1383"/>
      <c r="AD376" s="1383"/>
      <c r="AE376" s="1383"/>
      <c r="AF376" s="1383"/>
      <c r="AG376" s="1383"/>
      <c r="AH376" s="1383"/>
      <c r="AI376" s="1383"/>
      <c r="AJ376" s="1383"/>
      <c r="AK376" s="1383"/>
      <c r="AL376" s="1383"/>
      <c r="AM376" s="1383"/>
    </row>
    <row r="377" spans="2:39" ht="15.75" x14ac:dyDescent="0.25">
      <c r="B377" s="1372"/>
      <c r="C377" s="1372"/>
      <c r="D377" s="1717"/>
      <c r="E377" s="1420"/>
      <c r="F377" s="1493"/>
      <c r="G377" s="1493"/>
      <c r="H377" s="1493"/>
      <c r="I377" s="1493"/>
      <c r="J377" s="1493"/>
      <c r="K377" s="1493"/>
      <c r="L377" s="1493"/>
      <c r="M377" s="1493"/>
      <c r="N377" s="1493"/>
      <c r="O377" s="1493"/>
      <c r="P377" s="1383"/>
      <c r="Q377" s="1383"/>
      <c r="R377" s="1383"/>
      <c r="S377" s="1383"/>
      <c r="T377" s="1383"/>
      <c r="U377" s="1383"/>
      <c r="V377" s="1383"/>
      <c r="W377" s="1383"/>
      <c r="X377" s="1383"/>
      <c r="Y377" s="1383"/>
      <c r="Z377" s="1383"/>
      <c r="AA377" s="1383"/>
      <c r="AB377" s="1383"/>
      <c r="AC377" s="1383"/>
      <c r="AD377" s="1383"/>
      <c r="AE377" s="1383"/>
      <c r="AF377" s="1383"/>
      <c r="AG377" s="1383"/>
      <c r="AH377" s="1383"/>
      <c r="AI377" s="1383"/>
      <c r="AJ377" s="1383"/>
      <c r="AK377" s="1383"/>
      <c r="AL377" s="1383"/>
      <c r="AM377" s="1383"/>
    </row>
    <row r="378" spans="2:39" ht="15.75" x14ac:dyDescent="0.25">
      <c r="B378" s="1372"/>
      <c r="C378" s="1372"/>
      <c r="D378" s="1717"/>
      <c r="E378" s="1420"/>
      <c r="F378" s="1493"/>
      <c r="G378" s="1493"/>
      <c r="H378" s="1493"/>
      <c r="I378" s="1493"/>
      <c r="J378" s="1493"/>
      <c r="K378" s="1493"/>
      <c r="L378" s="1493"/>
      <c r="M378" s="1493"/>
      <c r="N378" s="1493"/>
      <c r="O378" s="1493"/>
      <c r="P378" s="1383"/>
      <c r="Q378" s="1383"/>
      <c r="R378" s="1383"/>
      <c r="S378" s="1383"/>
      <c r="T378" s="1383"/>
      <c r="U378" s="1383"/>
      <c r="V378" s="1383"/>
      <c r="W378" s="1383"/>
      <c r="X378" s="1383"/>
      <c r="Y378" s="1383"/>
      <c r="Z378" s="1383"/>
      <c r="AA378" s="1383"/>
      <c r="AB378" s="1383"/>
      <c r="AC378" s="1383"/>
      <c r="AD378" s="1383"/>
      <c r="AE378" s="1383"/>
      <c r="AF378" s="1383"/>
      <c r="AG378" s="1383"/>
      <c r="AH378" s="1383"/>
      <c r="AI378" s="1383"/>
      <c r="AJ378" s="1383"/>
      <c r="AK378" s="1383"/>
      <c r="AL378" s="1383"/>
      <c r="AM378" s="1383"/>
    </row>
    <row r="379" spans="2:39" ht="15.75" x14ac:dyDescent="0.25">
      <c r="B379" s="1372"/>
      <c r="C379" s="1372"/>
      <c r="D379" s="1717"/>
      <c r="E379" s="1420"/>
      <c r="F379" s="1493"/>
      <c r="G379" s="1493"/>
      <c r="H379" s="1493"/>
      <c r="I379" s="1493"/>
      <c r="J379" s="1493"/>
      <c r="K379" s="1493"/>
      <c r="L379" s="1493"/>
      <c r="M379" s="1493"/>
      <c r="N379" s="1493"/>
      <c r="O379" s="1493"/>
      <c r="P379" s="1383"/>
      <c r="Q379" s="1383"/>
      <c r="R379" s="1383"/>
      <c r="S379" s="1383"/>
      <c r="T379" s="1383"/>
      <c r="U379" s="1383"/>
      <c r="V379" s="1383"/>
      <c r="W379" s="1383"/>
      <c r="X379" s="1383"/>
      <c r="Y379" s="1383"/>
      <c r="Z379" s="1383"/>
      <c r="AA379" s="1383"/>
      <c r="AB379" s="1383"/>
      <c r="AC379" s="1383"/>
      <c r="AD379" s="1383"/>
      <c r="AE379" s="1383"/>
      <c r="AF379" s="1383"/>
      <c r="AG379" s="1383"/>
      <c r="AH379" s="1383"/>
      <c r="AI379" s="1383"/>
      <c r="AJ379" s="1383"/>
      <c r="AK379" s="1383"/>
      <c r="AL379" s="1383"/>
      <c r="AM379" s="1383"/>
    </row>
    <row r="380" spans="2:39" ht="15.75" x14ac:dyDescent="0.25">
      <c r="B380" s="1372"/>
      <c r="C380" s="1372"/>
      <c r="D380" s="1717"/>
      <c r="E380" s="1420"/>
      <c r="F380" s="1493"/>
      <c r="G380" s="1493"/>
      <c r="H380" s="1493"/>
      <c r="I380" s="1493"/>
      <c r="J380" s="1493"/>
      <c r="K380" s="1493"/>
      <c r="L380" s="1493"/>
      <c r="M380" s="1493"/>
      <c r="N380" s="1493"/>
      <c r="O380" s="1493"/>
      <c r="P380" s="1383"/>
      <c r="Q380" s="1383"/>
      <c r="R380" s="1383"/>
      <c r="S380" s="1383"/>
      <c r="T380" s="1383"/>
      <c r="U380" s="1383"/>
      <c r="V380" s="1383"/>
      <c r="W380" s="1383"/>
      <c r="X380" s="1383"/>
      <c r="Y380" s="1383"/>
      <c r="Z380" s="1383"/>
      <c r="AA380" s="1383"/>
      <c r="AB380" s="1383"/>
      <c r="AC380" s="1383"/>
      <c r="AD380" s="1383"/>
      <c r="AE380" s="1383"/>
      <c r="AF380" s="1383"/>
      <c r="AG380" s="1383"/>
      <c r="AH380" s="1383"/>
      <c r="AI380" s="1383"/>
      <c r="AJ380" s="1383"/>
      <c r="AK380" s="1383"/>
      <c r="AL380" s="1383"/>
      <c r="AM380" s="1383"/>
    </row>
    <row r="381" spans="2:39" ht="15.75" x14ac:dyDescent="0.25">
      <c r="B381" s="1372"/>
      <c r="C381" s="1372"/>
      <c r="D381" s="1717"/>
      <c r="E381" s="1420"/>
      <c r="F381" s="1493"/>
      <c r="G381" s="1493"/>
      <c r="H381" s="1493"/>
      <c r="I381" s="1493"/>
      <c r="J381" s="1493"/>
      <c r="K381" s="1493"/>
      <c r="L381" s="1493"/>
      <c r="M381" s="1493"/>
      <c r="N381" s="1493"/>
      <c r="O381" s="1493"/>
      <c r="P381" s="1383"/>
      <c r="Q381" s="1383"/>
      <c r="R381" s="1383"/>
      <c r="S381" s="1383"/>
      <c r="T381" s="1383"/>
      <c r="U381" s="1383"/>
      <c r="V381" s="1383"/>
      <c r="W381" s="1383"/>
      <c r="X381" s="1383"/>
      <c r="Y381" s="1383"/>
      <c r="Z381" s="1383"/>
      <c r="AA381" s="1383"/>
      <c r="AB381" s="1383"/>
      <c r="AC381" s="1383"/>
      <c r="AD381" s="1383"/>
      <c r="AE381" s="1383"/>
      <c r="AF381" s="1383"/>
      <c r="AG381" s="1383"/>
      <c r="AH381" s="1383"/>
      <c r="AI381" s="1383"/>
      <c r="AJ381" s="1383"/>
      <c r="AK381" s="1383"/>
      <c r="AL381" s="1383"/>
      <c r="AM381" s="1383"/>
    </row>
    <row r="382" spans="2:39" ht="15.75" x14ac:dyDescent="0.25">
      <c r="B382" s="1372"/>
      <c r="C382" s="1372"/>
      <c r="D382" s="1717"/>
      <c r="E382" s="1420"/>
      <c r="F382" s="1493"/>
      <c r="G382" s="1493"/>
      <c r="H382" s="1493"/>
      <c r="I382" s="1493"/>
      <c r="J382" s="1493"/>
      <c r="K382" s="1493"/>
      <c r="L382" s="1493"/>
      <c r="M382" s="1493"/>
      <c r="N382" s="1493"/>
      <c r="O382" s="1493"/>
      <c r="P382" s="1383"/>
      <c r="Q382" s="1383"/>
      <c r="R382" s="1383"/>
      <c r="S382" s="1383"/>
      <c r="T382" s="1383"/>
      <c r="U382" s="1383"/>
      <c r="V382" s="1383"/>
      <c r="W382" s="1383"/>
      <c r="X382" s="1383"/>
      <c r="Y382" s="1383"/>
      <c r="Z382" s="1383"/>
      <c r="AA382" s="1383"/>
      <c r="AB382" s="1383"/>
      <c r="AC382" s="1383"/>
      <c r="AD382" s="1383"/>
      <c r="AE382" s="1383"/>
      <c r="AF382" s="1383"/>
      <c r="AG382" s="1383"/>
      <c r="AH382" s="1383"/>
      <c r="AI382" s="1383"/>
      <c r="AJ382" s="1383"/>
      <c r="AK382" s="1383"/>
      <c r="AL382" s="1383"/>
      <c r="AM382" s="1383"/>
    </row>
    <row r="383" spans="2:39" ht="15.75" x14ac:dyDescent="0.25">
      <c r="B383" s="1372"/>
      <c r="C383" s="1372"/>
      <c r="D383" s="1717"/>
      <c r="E383" s="1420"/>
      <c r="F383" s="1493"/>
      <c r="G383" s="1493"/>
      <c r="H383" s="1493"/>
      <c r="I383" s="1493"/>
      <c r="J383" s="1493"/>
      <c r="K383" s="1493"/>
      <c r="L383" s="1493"/>
      <c r="M383" s="1493"/>
      <c r="N383" s="1493"/>
      <c r="O383" s="1493"/>
      <c r="P383" s="1383"/>
      <c r="Q383" s="1383"/>
      <c r="R383" s="1383"/>
      <c r="S383" s="1383"/>
      <c r="T383" s="1383"/>
      <c r="U383" s="1383"/>
      <c r="V383" s="1383"/>
      <c r="W383" s="1383"/>
      <c r="X383" s="1383"/>
      <c r="Y383" s="1383"/>
      <c r="Z383" s="1383"/>
      <c r="AA383" s="1383"/>
      <c r="AB383" s="1383"/>
      <c r="AC383" s="1383"/>
      <c r="AD383" s="1383"/>
      <c r="AE383" s="1383"/>
      <c r="AF383" s="1383"/>
      <c r="AG383" s="1383"/>
      <c r="AH383" s="1383"/>
      <c r="AI383" s="1383"/>
      <c r="AJ383" s="1383"/>
      <c r="AK383" s="1383"/>
      <c r="AL383" s="1383"/>
      <c r="AM383" s="1383"/>
    </row>
    <row r="384" spans="2:39" ht="15.75" x14ac:dyDescent="0.25">
      <c r="B384" s="1372"/>
      <c r="C384" s="1372"/>
      <c r="D384" s="1717"/>
      <c r="E384" s="1420"/>
      <c r="F384" s="1493"/>
      <c r="G384" s="1493"/>
      <c r="H384" s="1493"/>
      <c r="I384" s="1493"/>
      <c r="J384" s="1493"/>
      <c r="K384" s="1493"/>
      <c r="L384" s="1493"/>
      <c r="M384" s="1493"/>
      <c r="N384" s="1493"/>
      <c r="O384" s="1493"/>
      <c r="P384" s="1383"/>
      <c r="Q384" s="1383"/>
      <c r="R384" s="1383"/>
      <c r="S384" s="1383"/>
      <c r="T384" s="1383"/>
      <c r="U384" s="1383"/>
      <c r="V384" s="1383"/>
      <c r="W384" s="1383"/>
      <c r="X384" s="1383"/>
      <c r="Y384" s="1383"/>
      <c r="Z384" s="1383"/>
      <c r="AA384" s="1383"/>
      <c r="AB384" s="1383"/>
      <c r="AC384" s="1383"/>
      <c r="AD384" s="1383"/>
      <c r="AE384" s="1383"/>
      <c r="AF384" s="1383"/>
      <c r="AG384" s="1383"/>
      <c r="AH384" s="1383"/>
      <c r="AI384" s="1383"/>
      <c r="AJ384" s="1383"/>
      <c r="AK384" s="1383"/>
      <c r="AL384" s="1383"/>
      <c r="AM384" s="1383"/>
    </row>
    <row r="385" spans="2:39" ht="15.75" x14ac:dyDescent="0.25">
      <c r="B385" s="1372"/>
      <c r="C385" s="1372"/>
      <c r="D385" s="1717"/>
      <c r="E385" s="1420"/>
      <c r="F385" s="1493"/>
      <c r="G385" s="1493"/>
      <c r="H385" s="1493"/>
      <c r="I385" s="1493"/>
      <c r="J385" s="1493"/>
      <c r="K385" s="1493"/>
      <c r="L385" s="1493"/>
      <c r="M385" s="1493"/>
      <c r="N385" s="1493"/>
      <c r="O385" s="1493"/>
      <c r="P385" s="1383"/>
      <c r="Q385" s="1383"/>
      <c r="R385" s="1383"/>
      <c r="S385" s="1383"/>
      <c r="T385" s="1383"/>
      <c r="U385" s="1383"/>
      <c r="V385" s="1383"/>
      <c r="W385" s="1383"/>
      <c r="X385" s="1383"/>
      <c r="Y385" s="1383"/>
      <c r="Z385" s="1383"/>
      <c r="AA385" s="1383"/>
      <c r="AB385" s="1383"/>
      <c r="AC385" s="1383"/>
      <c r="AD385" s="1383"/>
      <c r="AE385" s="1383"/>
      <c r="AF385" s="1383"/>
      <c r="AG385" s="1383"/>
      <c r="AH385" s="1383"/>
      <c r="AI385" s="1383"/>
      <c r="AJ385" s="1383"/>
      <c r="AK385" s="1383"/>
      <c r="AL385" s="1383"/>
      <c r="AM385" s="1383"/>
    </row>
    <row r="386" spans="2:39" ht="15.75" x14ac:dyDescent="0.25">
      <c r="B386" s="1372"/>
      <c r="C386" s="1372"/>
      <c r="D386" s="1717"/>
      <c r="E386" s="1420"/>
      <c r="F386" s="1493"/>
      <c r="G386" s="1493"/>
      <c r="H386" s="1493"/>
      <c r="I386" s="1493"/>
      <c r="J386" s="1493"/>
      <c r="K386" s="1493"/>
      <c r="L386" s="1493"/>
      <c r="M386" s="1493"/>
      <c r="N386" s="1493"/>
      <c r="O386" s="1493"/>
      <c r="P386" s="1383"/>
      <c r="Q386" s="1383"/>
      <c r="R386" s="1383"/>
      <c r="S386" s="1383"/>
      <c r="T386" s="1383"/>
      <c r="U386" s="1383"/>
      <c r="V386" s="1383"/>
      <c r="W386" s="1383"/>
      <c r="X386" s="1383"/>
      <c r="Y386" s="1383"/>
      <c r="Z386" s="1383"/>
      <c r="AA386" s="1383"/>
      <c r="AB386" s="1383"/>
      <c r="AC386" s="1383"/>
      <c r="AD386" s="1383"/>
      <c r="AE386" s="1383"/>
      <c r="AF386" s="1383"/>
      <c r="AG386" s="1383"/>
      <c r="AH386" s="1383"/>
      <c r="AI386" s="1383"/>
      <c r="AJ386" s="1383"/>
      <c r="AK386" s="1383"/>
      <c r="AL386" s="1383"/>
      <c r="AM386" s="1383"/>
    </row>
    <row r="387" spans="2:39" ht="15.75" x14ac:dyDescent="0.25">
      <c r="B387" s="1372"/>
      <c r="C387" s="1372"/>
      <c r="D387" s="1717"/>
      <c r="E387" s="1420"/>
      <c r="F387" s="1493"/>
      <c r="G387" s="1493"/>
      <c r="H387" s="1493"/>
      <c r="I387" s="1493"/>
      <c r="J387" s="1493"/>
      <c r="K387" s="1493"/>
      <c r="L387" s="1493"/>
      <c r="M387" s="1493"/>
      <c r="N387" s="1493"/>
      <c r="O387" s="1493"/>
      <c r="P387" s="1383"/>
      <c r="Q387" s="1383"/>
      <c r="R387" s="1383"/>
      <c r="S387" s="1383"/>
      <c r="T387" s="1383"/>
      <c r="U387" s="1383"/>
      <c r="V387" s="1383"/>
      <c r="W387" s="1383"/>
      <c r="X387" s="1383"/>
      <c r="Y387" s="1383"/>
      <c r="Z387" s="1383"/>
      <c r="AA387" s="1383"/>
      <c r="AB387" s="1383"/>
      <c r="AC387" s="1383"/>
      <c r="AD387" s="1383"/>
      <c r="AE387" s="1383"/>
      <c r="AF387" s="1383"/>
      <c r="AG387" s="1383"/>
      <c r="AH387" s="1383"/>
      <c r="AI387" s="1383"/>
      <c r="AJ387" s="1383"/>
      <c r="AK387" s="1383"/>
      <c r="AL387" s="1383"/>
      <c r="AM387" s="1383"/>
    </row>
    <row r="388" spans="2:39" ht="15.75" x14ac:dyDescent="0.25">
      <c r="B388" s="1372"/>
      <c r="C388" s="1372"/>
      <c r="D388" s="1717"/>
      <c r="E388" s="1420"/>
      <c r="F388" s="1493"/>
      <c r="G388" s="1493"/>
      <c r="H388" s="1493"/>
      <c r="I388" s="1493"/>
      <c r="J388" s="1493"/>
      <c r="K388" s="1493"/>
      <c r="L388" s="1493"/>
      <c r="M388" s="1493"/>
      <c r="N388" s="1493"/>
      <c r="O388" s="1493"/>
      <c r="P388" s="1383"/>
      <c r="Q388" s="1383"/>
      <c r="R388" s="1383"/>
      <c r="S388" s="1383"/>
      <c r="T388" s="1383"/>
      <c r="U388" s="1383"/>
      <c r="V388" s="1383"/>
      <c r="W388" s="1383"/>
      <c r="X388" s="1383"/>
      <c r="Y388" s="1383"/>
      <c r="Z388" s="1383"/>
      <c r="AA388" s="1383"/>
      <c r="AB388" s="1383"/>
      <c r="AC388" s="1383"/>
      <c r="AD388" s="1383"/>
      <c r="AE388" s="1383"/>
      <c r="AF388" s="1383"/>
      <c r="AG388" s="1383"/>
      <c r="AH388" s="1383"/>
      <c r="AI388" s="1383"/>
      <c r="AJ388" s="1383"/>
      <c r="AK388" s="1383"/>
      <c r="AL388" s="1383"/>
      <c r="AM388" s="1383"/>
    </row>
    <row r="389" spans="2:39" ht="15.75" x14ac:dyDescent="0.25">
      <c r="B389" s="1372"/>
      <c r="C389" s="1372"/>
      <c r="D389" s="1717"/>
      <c r="E389" s="1420"/>
      <c r="F389" s="1493"/>
      <c r="G389" s="1493"/>
      <c r="H389" s="1493"/>
      <c r="I389" s="1493"/>
      <c r="J389" s="1493"/>
      <c r="K389" s="1493"/>
      <c r="L389" s="1493"/>
      <c r="M389" s="1493"/>
      <c r="N389" s="1493"/>
      <c r="O389" s="1493"/>
      <c r="P389" s="1383"/>
      <c r="Q389" s="1383"/>
      <c r="R389" s="1383"/>
      <c r="S389" s="1383"/>
      <c r="T389" s="1383"/>
      <c r="U389" s="1383"/>
      <c r="V389" s="1383"/>
      <c r="W389" s="1383"/>
      <c r="X389" s="1383"/>
      <c r="Y389" s="1383"/>
      <c r="Z389" s="1383"/>
      <c r="AA389" s="1383"/>
      <c r="AB389" s="1383"/>
      <c r="AC389" s="1383"/>
      <c r="AD389" s="1383"/>
      <c r="AE389" s="1383"/>
      <c r="AF389" s="1383"/>
      <c r="AG389" s="1383"/>
      <c r="AH389" s="1383"/>
      <c r="AI389" s="1383"/>
      <c r="AJ389" s="1383"/>
      <c r="AK389" s="1383"/>
      <c r="AL389" s="1383"/>
      <c r="AM389" s="1383"/>
    </row>
    <row r="390" spans="2:39" ht="15.75" x14ac:dyDescent="0.25">
      <c r="B390" s="1372"/>
      <c r="C390" s="1372"/>
      <c r="D390" s="1717"/>
      <c r="E390" s="1420"/>
      <c r="F390" s="1493"/>
      <c r="G390" s="1493"/>
      <c r="H390" s="1493"/>
      <c r="I390" s="1493"/>
      <c r="J390" s="1493"/>
      <c r="K390" s="1493"/>
      <c r="L390" s="1493"/>
      <c r="M390" s="1493"/>
      <c r="N390" s="1493"/>
      <c r="O390" s="1493"/>
      <c r="P390" s="1383"/>
      <c r="Q390" s="1383"/>
      <c r="R390" s="1383"/>
      <c r="S390" s="1383"/>
      <c r="T390" s="1383"/>
      <c r="U390" s="1383"/>
      <c r="V390" s="1383"/>
      <c r="W390" s="1383"/>
      <c r="X390" s="1383"/>
      <c r="Y390" s="1383"/>
      <c r="Z390" s="1383"/>
      <c r="AA390" s="1383"/>
      <c r="AB390" s="1383"/>
      <c r="AC390" s="1383"/>
      <c r="AD390" s="1383"/>
      <c r="AE390" s="1383"/>
      <c r="AF390" s="1383"/>
      <c r="AG390" s="1383"/>
      <c r="AH390" s="1383"/>
      <c r="AI390" s="1383"/>
      <c r="AJ390" s="1383"/>
      <c r="AK390" s="1383"/>
      <c r="AL390" s="1383"/>
      <c r="AM390" s="1383"/>
    </row>
    <row r="391" spans="2:39" ht="15.75" x14ac:dyDescent="0.25">
      <c r="B391" s="1372"/>
      <c r="C391" s="1372"/>
      <c r="D391" s="1717"/>
      <c r="E391" s="1420"/>
      <c r="F391" s="1493"/>
      <c r="G391" s="1493"/>
      <c r="H391" s="1493"/>
      <c r="I391" s="1493"/>
      <c r="J391" s="1493"/>
      <c r="K391" s="1493"/>
      <c r="L391" s="1493"/>
      <c r="M391" s="1493"/>
      <c r="N391" s="1493"/>
      <c r="O391" s="1493"/>
      <c r="P391" s="1383"/>
      <c r="Q391" s="1383"/>
      <c r="R391" s="1383"/>
      <c r="S391" s="1383"/>
      <c r="T391" s="1383"/>
      <c r="U391" s="1383"/>
      <c r="V391" s="1383"/>
      <c r="W391" s="1383"/>
      <c r="X391" s="1383"/>
      <c r="Y391" s="1383"/>
      <c r="Z391" s="1383"/>
      <c r="AA391" s="1383"/>
      <c r="AB391" s="1383"/>
      <c r="AC391" s="1383"/>
      <c r="AD391" s="1383"/>
      <c r="AE391" s="1383"/>
      <c r="AF391" s="1383"/>
      <c r="AG391" s="1383"/>
      <c r="AH391" s="1383"/>
      <c r="AI391" s="1383"/>
      <c r="AJ391" s="1383"/>
      <c r="AK391" s="1383"/>
      <c r="AL391" s="1383"/>
      <c r="AM391" s="1383"/>
    </row>
    <row r="392" spans="2:39" ht="15.75" x14ac:dyDescent="0.25">
      <c r="B392" s="1372"/>
      <c r="C392" s="1372"/>
      <c r="D392" s="1717"/>
      <c r="E392" s="1420"/>
      <c r="F392" s="1493"/>
      <c r="G392" s="1493"/>
      <c r="H392" s="1493"/>
      <c r="I392" s="1493"/>
      <c r="J392" s="1493"/>
      <c r="K392" s="1493"/>
      <c r="L392" s="1493"/>
      <c r="M392" s="1493"/>
      <c r="N392" s="1493"/>
      <c r="O392" s="1493"/>
      <c r="P392" s="1383"/>
      <c r="Q392" s="1383"/>
      <c r="R392" s="1383"/>
      <c r="S392" s="1383"/>
      <c r="T392" s="1383"/>
      <c r="U392" s="1383"/>
      <c r="V392" s="1383"/>
      <c r="W392" s="1383"/>
      <c r="X392" s="1383"/>
      <c r="Y392" s="1383"/>
      <c r="Z392" s="1383"/>
      <c r="AA392" s="1383"/>
      <c r="AB392" s="1383"/>
      <c r="AC392" s="1383"/>
      <c r="AD392" s="1383"/>
      <c r="AE392" s="1383"/>
      <c r="AF392" s="1383"/>
      <c r="AG392" s="1383"/>
      <c r="AH392" s="1383"/>
      <c r="AI392" s="1383"/>
      <c r="AJ392" s="1383"/>
      <c r="AK392" s="1383"/>
      <c r="AL392" s="1383"/>
      <c r="AM392" s="1383"/>
    </row>
    <row r="393" spans="2:39" ht="15.75" x14ac:dyDescent="0.25">
      <c r="B393" s="1372"/>
      <c r="C393" s="1372"/>
      <c r="D393" s="1717"/>
      <c r="E393" s="1420"/>
      <c r="F393" s="1493"/>
      <c r="G393" s="1493"/>
      <c r="H393" s="1493"/>
      <c r="I393" s="1493"/>
      <c r="J393" s="1493"/>
      <c r="K393" s="1493"/>
      <c r="L393" s="1493"/>
      <c r="M393" s="1493"/>
      <c r="N393" s="1493"/>
      <c r="O393" s="1493"/>
      <c r="P393" s="1383"/>
      <c r="Q393" s="1383"/>
      <c r="R393" s="1383"/>
      <c r="S393" s="1383"/>
      <c r="T393" s="1383"/>
      <c r="U393" s="1383"/>
      <c r="V393" s="1383"/>
      <c r="W393" s="1383"/>
      <c r="X393" s="1383"/>
      <c r="Y393" s="1383"/>
      <c r="Z393" s="1383"/>
      <c r="AA393" s="1383"/>
      <c r="AB393" s="1383"/>
      <c r="AC393" s="1383"/>
      <c r="AD393" s="1383"/>
      <c r="AE393" s="1383"/>
      <c r="AF393" s="1383"/>
      <c r="AG393" s="1383"/>
      <c r="AH393" s="1383"/>
      <c r="AI393" s="1383"/>
      <c r="AJ393" s="1383"/>
      <c r="AK393" s="1383"/>
      <c r="AL393" s="1383"/>
      <c r="AM393" s="1383"/>
    </row>
    <row r="394" spans="2:39" ht="15.75" x14ac:dyDescent="0.25">
      <c r="B394" s="1372"/>
      <c r="C394" s="1372"/>
      <c r="D394" s="1717"/>
      <c r="E394" s="1420"/>
      <c r="F394" s="1493"/>
      <c r="G394" s="1493"/>
      <c r="H394" s="1493"/>
      <c r="I394" s="1493"/>
      <c r="J394" s="1493"/>
      <c r="K394" s="1493"/>
      <c r="L394" s="1493"/>
      <c r="M394" s="1493"/>
      <c r="N394" s="1493"/>
      <c r="O394" s="1493"/>
      <c r="P394" s="1383"/>
      <c r="Q394" s="1383"/>
      <c r="R394" s="1383"/>
      <c r="S394" s="1383"/>
      <c r="T394" s="1383"/>
      <c r="U394" s="1383"/>
      <c r="V394" s="1383"/>
      <c r="W394" s="1383"/>
      <c r="X394" s="1383"/>
      <c r="Y394" s="1383"/>
      <c r="Z394" s="1383"/>
      <c r="AA394" s="1383"/>
      <c r="AB394" s="1383"/>
      <c r="AC394" s="1383"/>
      <c r="AD394" s="1383"/>
      <c r="AE394" s="1383"/>
      <c r="AF394" s="1383"/>
      <c r="AG394" s="1383"/>
      <c r="AH394" s="1383"/>
      <c r="AI394" s="1383"/>
      <c r="AJ394" s="1383"/>
      <c r="AK394" s="1383"/>
      <c r="AL394" s="1383"/>
      <c r="AM394" s="1383"/>
    </row>
    <row r="395" spans="2:39" ht="15.75" x14ac:dyDescent="0.25">
      <c r="B395" s="1372"/>
      <c r="C395" s="1372"/>
      <c r="D395" s="1717"/>
      <c r="E395" s="1420"/>
      <c r="F395" s="1493"/>
      <c r="G395" s="1493"/>
      <c r="H395" s="1493"/>
      <c r="I395" s="1493"/>
      <c r="J395" s="1493"/>
      <c r="K395" s="1493"/>
      <c r="L395" s="1493"/>
      <c r="M395" s="1493"/>
      <c r="N395" s="1493"/>
      <c r="O395" s="1493"/>
      <c r="P395" s="1383"/>
      <c r="Q395" s="1383"/>
      <c r="R395" s="1383"/>
      <c r="S395" s="1383"/>
      <c r="T395" s="1383"/>
      <c r="U395" s="1383"/>
      <c r="V395" s="1383"/>
      <c r="W395" s="1383"/>
      <c r="X395" s="1383"/>
      <c r="Y395" s="1383"/>
      <c r="Z395" s="1383"/>
      <c r="AA395" s="1383"/>
      <c r="AB395" s="1383"/>
      <c r="AC395" s="1383"/>
      <c r="AD395" s="1383"/>
      <c r="AE395" s="1383"/>
      <c r="AF395" s="1383"/>
      <c r="AG395" s="1383"/>
      <c r="AH395" s="1383"/>
      <c r="AI395" s="1383"/>
      <c r="AJ395" s="1383"/>
      <c r="AK395" s="1383"/>
      <c r="AL395" s="1383"/>
      <c r="AM395" s="1383"/>
    </row>
    <row r="396" spans="2:39" ht="15.75" x14ac:dyDescent="0.25">
      <c r="B396" s="1372"/>
      <c r="C396" s="1372"/>
      <c r="D396" s="1717"/>
      <c r="E396" s="1420"/>
      <c r="F396" s="1493"/>
      <c r="G396" s="1493"/>
      <c r="H396" s="1493"/>
      <c r="I396" s="1493"/>
      <c r="J396" s="1493"/>
      <c r="K396" s="1493"/>
      <c r="L396" s="1493"/>
      <c r="M396" s="1493"/>
      <c r="N396" s="1493"/>
      <c r="O396" s="1493"/>
      <c r="P396" s="1383"/>
      <c r="Q396" s="1383"/>
      <c r="R396" s="1383"/>
      <c r="S396" s="1383"/>
      <c r="T396" s="1383"/>
      <c r="U396" s="1383"/>
      <c r="V396" s="1383"/>
      <c r="W396" s="1383"/>
      <c r="X396" s="1383"/>
      <c r="Y396" s="1383"/>
      <c r="Z396" s="1383"/>
      <c r="AA396" s="1383"/>
      <c r="AB396" s="1383"/>
      <c r="AC396" s="1383"/>
      <c r="AD396" s="1383"/>
      <c r="AE396" s="1383"/>
      <c r="AF396" s="1383"/>
      <c r="AG396" s="1383"/>
      <c r="AH396" s="1383"/>
      <c r="AI396" s="1383"/>
      <c r="AJ396" s="1383"/>
      <c r="AK396" s="1383"/>
      <c r="AL396" s="1383"/>
      <c r="AM396" s="1383"/>
    </row>
    <row r="397" spans="2:39" ht="15.75" x14ac:dyDescent="0.25">
      <c r="B397" s="1372"/>
      <c r="C397" s="1372"/>
      <c r="D397" s="1717"/>
      <c r="E397" s="1420"/>
      <c r="F397" s="1493"/>
      <c r="G397" s="1493"/>
      <c r="H397" s="1493"/>
      <c r="I397" s="1493"/>
      <c r="J397" s="1493"/>
      <c r="K397" s="1493"/>
      <c r="L397" s="1493"/>
      <c r="M397" s="1493"/>
      <c r="N397" s="1493"/>
      <c r="O397" s="1493"/>
      <c r="P397" s="1383"/>
      <c r="Q397" s="1383"/>
      <c r="R397" s="1383"/>
      <c r="S397" s="1383"/>
      <c r="T397" s="1383"/>
      <c r="U397" s="1383"/>
      <c r="V397" s="1383"/>
      <c r="W397" s="1383"/>
      <c r="X397" s="1383"/>
      <c r="Y397" s="1383"/>
      <c r="Z397" s="1383"/>
      <c r="AA397" s="1383"/>
      <c r="AB397" s="1383"/>
      <c r="AC397" s="1383"/>
      <c r="AD397" s="1383"/>
      <c r="AE397" s="1383"/>
      <c r="AF397" s="1383"/>
      <c r="AG397" s="1383"/>
      <c r="AH397" s="1383"/>
      <c r="AI397" s="1383"/>
      <c r="AJ397" s="1383"/>
      <c r="AK397" s="1383"/>
      <c r="AL397" s="1383"/>
      <c r="AM397" s="1383"/>
    </row>
    <row r="398" spans="2:39" ht="15.75" x14ac:dyDescent="0.25">
      <c r="B398" s="1372"/>
      <c r="C398" s="1372"/>
      <c r="D398" s="1717"/>
      <c r="E398" s="1420"/>
      <c r="F398" s="1493"/>
      <c r="G398" s="1493"/>
      <c r="H398" s="1493"/>
      <c r="I398" s="1493"/>
      <c r="J398" s="1493"/>
      <c r="K398" s="1493"/>
      <c r="L398" s="1493"/>
      <c r="M398" s="1493"/>
      <c r="N398" s="1493"/>
      <c r="O398" s="1493"/>
      <c r="P398" s="1383"/>
      <c r="Q398" s="1383"/>
      <c r="R398" s="1383"/>
      <c r="S398" s="1383"/>
      <c r="T398" s="1383"/>
      <c r="U398" s="1383"/>
      <c r="V398" s="1383"/>
      <c r="W398" s="1383"/>
      <c r="X398" s="1383"/>
      <c r="Y398" s="1383"/>
      <c r="Z398" s="1383"/>
      <c r="AA398" s="1383"/>
      <c r="AB398" s="1383"/>
      <c r="AC398" s="1383"/>
      <c r="AD398" s="1383"/>
      <c r="AE398" s="1383"/>
      <c r="AF398" s="1383"/>
      <c r="AG398" s="1383"/>
      <c r="AH398" s="1383"/>
      <c r="AI398" s="1383"/>
      <c r="AJ398" s="1383"/>
      <c r="AK398" s="1383"/>
      <c r="AL398" s="1383"/>
      <c r="AM398" s="1383"/>
    </row>
    <row r="399" spans="2:39" ht="15.75" x14ac:dyDescent="0.25">
      <c r="B399" s="1372"/>
      <c r="C399" s="1372"/>
      <c r="D399" s="1717"/>
      <c r="E399" s="1420"/>
      <c r="F399" s="1493"/>
      <c r="G399" s="1493"/>
      <c r="H399" s="1493"/>
      <c r="I399" s="1493"/>
      <c r="J399" s="1493"/>
      <c r="K399" s="1493"/>
      <c r="L399" s="1493"/>
      <c r="M399" s="1493"/>
      <c r="N399" s="1493"/>
      <c r="O399" s="1493"/>
      <c r="P399" s="1383"/>
      <c r="Q399" s="1383"/>
      <c r="R399" s="1383"/>
      <c r="S399" s="1383"/>
      <c r="T399" s="1383"/>
      <c r="U399" s="1383"/>
      <c r="V399" s="1383"/>
      <c r="W399" s="1383"/>
      <c r="X399" s="1383"/>
      <c r="Y399" s="1383"/>
      <c r="Z399" s="1383"/>
      <c r="AA399" s="1383"/>
      <c r="AB399" s="1383"/>
      <c r="AC399" s="1383"/>
      <c r="AD399" s="1383"/>
      <c r="AE399" s="1383"/>
      <c r="AF399" s="1383"/>
      <c r="AG399" s="1383"/>
      <c r="AH399" s="1383"/>
      <c r="AI399" s="1383"/>
      <c r="AJ399" s="1383"/>
      <c r="AK399" s="1383"/>
      <c r="AL399" s="1383"/>
      <c r="AM399" s="1383"/>
    </row>
    <row r="400" spans="2:39" ht="15.75" x14ac:dyDescent="0.25">
      <c r="B400" s="1372"/>
      <c r="C400" s="1372"/>
      <c r="D400" s="1717"/>
      <c r="E400" s="1420"/>
      <c r="F400" s="1493"/>
      <c r="G400" s="1493"/>
      <c r="H400" s="1493"/>
      <c r="I400" s="1493"/>
      <c r="J400" s="1493"/>
      <c r="K400" s="1493"/>
      <c r="L400" s="1493"/>
      <c r="M400" s="1493"/>
      <c r="N400" s="1493"/>
      <c r="O400" s="1493"/>
      <c r="P400" s="1383"/>
      <c r="Q400" s="1383"/>
      <c r="R400" s="1383"/>
      <c r="S400" s="1383"/>
      <c r="T400" s="1383"/>
      <c r="U400" s="1383"/>
      <c r="V400" s="1383"/>
      <c r="W400" s="1383"/>
      <c r="X400" s="1383"/>
      <c r="Y400" s="1383"/>
      <c r="Z400" s="1383"/>
      <c r="AA400" s="1383"/>
      <c r="AB400" s="1383"/>
      <c r="AC400" s="1383"/>
      <c r="AD400" s="1383"/>
      <c r="AE400" s="1383"/>
      <c r="AF400" s="1383"/>
      <c r="AG400" s="1383"/>
      <c r="AH400" s="1383"/>
      <c r="AI400" s="1383"/>
      <c r="AJ400" s="1383"/>
      <c r="AK400" s="1383"/>
      <c r="AL400" s="1383"/>
      <c r="AM400" s="1383"/>
    </row>
    <row r="401" spans="2:39" ht="15.75" x14ac:dyDescent="0.25">
      <c r="B401" s="1372"/>
      <c r="C401" s="1372"/>
      <c r="D401" s="1717"/>
      <c r="E401" s="1420"/>
      <c r="F401" s="1493"/>
      <c r="G401" s="1493"/>
      <c r="H401" s="1493"/>
      <c r="I401" s="1493"/>
      <c r="J401" s="1493"/>
      <c r="K401" s="1493"/>
      <c r="L401" s="1493"/>
      <c r="M401" s="1493"/>
      <c r="N401" s="1493"/>
      <c r="O401" s="1493"/>
      <c r="P401" s="1383"/>
      <c r="Q401" s="1383"/>
      <c r="R401" s="1383"/>
      <c r="S401" s="1383"/>
      <c r="T401" s="1383"/>
      <c r="U401" s="1383"/>
      <c r="V401" s="1383"/>
      <c r="W401" s="1383"/>
      <c r="X401" s="1383"/>
      <c r="Y401" s="1383"/>
      <c r="Z401" s="1383"/>
      <c r="AA401" s="1383"/>
      <c r="AB401" s="1383"/>
      <c r="AC401" s="1383"/>
      <c r="AD401" s="1383"/>
      <c r="AE401" s="1383"/>
      <c r="AF401" s="1383"/>
      <c r="AG401" s="1383"/>
      <c r="AH401" s="1383"/>
      <c r="AI401" s="1383"/>
      <c r="AJ401" s="1383"/>
      <c r="AK401" s="1383"/>
      <c r="AL401" s="1383"/>
      <c r="AM401" s="1383"/>
    </row>
    <row r="402" spans="2:39" ht="15.75" x14ac:dyDescent="0.25">
      <c r="B402" s="1372"/>
      <c r="C402" s="1372"/>
      <c r="D402" s="1717"/>
      <c r="E402" s="1420"/>
      <c r="F402" s="1493"/>
      <c r="G402" s="1493"/>
      <c r="H402" s="1493"/>
      <c r="I402" s="1493"/>
      <c r="J402" s="1493"/>
      <c r="K402" s="1493"/>
      <c r="L402" s="1493"/>
      <c r="M402" s="1493"/>
      <c r="N402" s="1493"/>
      <c r="O402" s="1493"/>
      <c r="P402" s="1383"/>
      <c r="Q402" s="1383"/>
      <c r="R402" s="1383"/>
      <c r="S402" s="1383"/>
      <c r="T402" s="1383"/>
      <c r="U402" s="1383"/>
      <c r="V402" s="1383"/>
      <c r="W402" s="1383"/>
      <c r="X402" s="1383"/>
      <c r="Y402" s="1383"/>
      <c r="Z402" s="1383"/>
      <c r="AA402" s="1383"/>
      <c r="AB402" s="1383"/>
      <c r="AC402" s="1383"/>
      <c r="AD402" s="1383"/>
      <c r="AE402" s="1383"/>
      <c r="AF402" s="1383"/>
      <c r="AG402" s="1383"/>
      <c r="AH402" s="1383"/>
      <c r="AI402" s="1383"/>
      <c r="AJ402" s="1383"/>
      <c r="AK402" s="1383"/>
      <c r="AL402" s="1383"/>
      <c r="AM402" s="1383"/>
    </row>
    <row r="403" spans="2:39" ht="15.75" x14ac:dyDescent="0.25">
      <c r="B403" s="1372"/>
      <c r="C403" s="1372"/>
      <c r="D403" s="1717"/>
      <c r="E403" s="1420"/>
      <c r="F403" s="1493"/>
      <c r="G403" s="1493"/>
      <c r="H403" s="1493"/>
      <c r="I403" s="1493"/>
      <c r="J403" s="1493"/>
      <c r="K403" s="1493"/>
      <c r="L403" s="1493"/>
      <c r="M403" s="1493"/>
      <c r="N403" s="1493"/>
      <c r="O403" s="1493"/>
      <c r="P403" s="1383"/>
      <c r="Q403" s="1383"/>
      <c r="R403" s="1383"/>
      <c r="S403" s="1383"/>
      <c r="T403" s="1383"/>
      <c r="U403" s="1383"/>
      <c r="V403" s="1383"/>
      <c r="W403" s="1383"/>
      <c r="X403" s="1383"/>
      <c r="Y403" s="1383"/>
      <c r="Z403" s="1383"/>
      <c r="AA403" s="1383"/>
      <c r="AB403" s="1383"/>
      <c r="AC403" s="1383"/>
      <c r="AD403" s="1383"/>
      <c r="AE403" s="1383"/>
      <c r="AF403" s="1383"/>
      <c r="AG403" s="1383"/>
      <c r="AH403" s="1383"/>
      <c r="AI403" s="1383"/>
      <c r="AJ403" s="1383"/>
      <c r="AK403" s="1383"/>
      <c r="AL403" s="1383"/>
      <c r="AM403" s="1383"/>
    </row>
    <row r="404" spans="2:39" ht="15.75" x14ac:dyDescent="0.25">
      <c r="B404" s="1372"/>
      <c r="C404" s="1372"/>
      <c r="D404" s="1717"/>
      <c r="E404" s="1420"/>
      <c r="F404" s="1493"/>
      <c r="G404" s="1493"/>
      <c r="H404" s="1493"/>
      <c r="I404" s="1493"/>
      <c r="J404" s="1493"/>
      <c r="K404" s="1493"/>
      <c r="L404" s="1493"/>
      <c r="M404" s="1493"/>
      <c r="N404" s="1493"/>
      <c r="O404" s="1493"/>
      <c r="P404" s="1383"/>
      <c r="Q404" s="1383"/>
      <c r="R404" s="1383"/>
      <c r="S404" s="1383"/>
      <c r="T404" s="1383"/>
      <c r="U404" s="1383"/>
      <c r="V404" s="1383"/>
      <c r="W404" s="1383"/>
      <c r="X404" s="1383"/>
      <c r="Y404" s="1383"/>
      <c r="Z404" s="1383"/>
      <c r="AA404" s="1383"/>
      <c r="AB404" s="1383"/>
      <c r="AC404" s="1383"/>
      <c r="AD404" s="1383"/>
      <c r="AE404" s="1383"/>
      <c r="AF404" s="1383"/>
      <c r="AG404" s="1383"/>
      <c r="AH404" s="1383"/>
      <c r="AI404" s="1383"/>
      <c r="AJ404" s="1383"/>
      <c r="AK404" s="1383"/>
      <c r="AL404" s="1383"/>
      <c r="AM404" s="1383"/>
    </row>
    <row r="405" spans="2:39" ht="15.75" x14ac:dyDescent="0.25">
      <c r="B405" s="1372"/>
      <c r="C405" s="1372"/>
      <c r="D405" s="1717"/>
      <c r="E405" s="1420"/>
      <c r="F405" s="1493"/>
      <c r="G405" s="1493"/>
      <c r="H405" s="1493"/>
      <c r="I405" s="1493"/>
      <c r="J405" s="1493"/>
      <c r="K405" s="1493"/>
      <c r="L405" s="1493"/>
      <c r="M405" s="1493"/>
      <c r="N405" s="1493"/>
      <c r="O405" s="1493"/>
      <c r="P405" s="1383"/>
      <c r="Q405" s="1383"/>
      <c r="R405" s="1383"/>
      <c r="S405" s="1383"/>
      <c r="T405" s="1383"/>
      <c r="U405" s="1383"/>
      <c r="V405" s="1383"/>
      <c r="W405" s="1383"/>
      <c r="X405" s="1383"/>
      <c r="Y405" s="1383"/>
      <c r="Z405" s="1383"/>
      <c r="AA405" s="1383"/>
      <c r="AB405" s="1383"/>
      <c r="AC405" s="1383"/>
      <c r="AD405" s="1383"/>
      <c r="AE405" s="1383"/>
      <c r="AF405" s="1383"/>
      <c r="AG405" s="1383"/>
      <c r="AH405" s="1383"/>
      <c r="AI405" s="1383"/>
      <c r="AJ405" s="1383"/>
      <c r="AK405" s="1383"/>
      <c r="AL405" s="1383"/>
      <c r="AM405" s="1383"/>
    </row>
    <row r="406" spans="2:39" ht="15.75" x14ac:dyDescent="0.25">
      <c r="B406" s="1372"/>
      <c r="C406" s="1372"/>
      <c r="D406" s="1717"/>
      <c r="E406" s="1420"/>
      <c r="F406" s="1493"/>
      <c r="G406" s="1493"/>
      <c r="H406" s="1493"/>
      <c r="I406" s="1493"/>
      <c r="J406" s="1493"/>
      <c r="K406" s="1493"/>
      <c r="L406" s="1493"/>
      <c r="M406" s="1493"/>
      <c r="N406" s="1493"/>
      <c r="O406" s="1493"/>
      <c r="P406" s="1383"/>
      <c r="Q406" s="1383"/>
      <c r="R406" s="1383"/>
      <c r="S406" s="1383"/>
      <c r="T406" s="1383"/>
      <c r="U406" s="1383"/>
      <c r="V406" s="1383"/>
      <c r="W406" s="1383"/>
      <c r="X406" s="1383"/>
      <c r="Y406" s="1383"/>
      <c r="Z406" s="1383"/>
      <c r="AA406" s="1383"/>
      <c r="AB406" s="1383"/>
      <c r="AC406" s="1383"/>
      <c r="AD406" s="1383"/>
      <c r="AE406" s="1383"/>
      <c r="AF406" s="1383"/>
      <c r="AG406" s="1383"/>
      <c r="AH406" s="1383"/>
      <c r="AI406" s="1383"/>
      <c r="AJ406" s="1383"/>
      <c r="AK406" s="1383"/>
      <c r="AL406" s="1383"/>
      <c r="AM406" s="1383"/>
    </row>
    <row r="407" spans="2:39" ht="15.75" x14ac:dyDescent="0.25">
      <c r="B407" s="1372"/>
      <c r="C407" s="1372"/>
      <c r="D407" s="1717"/>
      <c r="E407" s="1420"/>
      <c r="F407" s="1493"/>
      <c r="G407" s="1493"/>
      <c r="H407" s="1493"/>
      <c r="I407" s="1493"/>
      <c r="J407" s="1493"/>
      <c r="K407" s="1493"/>
      <c r="L407" s="1493"/>
      <c r="M407" s="1493"/>
      <c r="N407" s="1493"/>
      <c r="O407" s="1493"/>
      <c r="P407" s="1383"/>
      <c r="Q407" s="1383"/>
      <c r="R407" s="1383"/>
      <c r="S407" s="1383"/>
      <c r="T407" s="1383"/>
      <c r="U407" s="1383"/>
      <c r="V407" s="1383"/>
      <c r="W407" s="1383"/>
      <c r="X407" s="1383"/>
      <c r="Y407" s="1383"/>
      <c r="Z407" s="1383"/>
      <c r="AA407" s="1383"/>
      <c r="AB407" s="1383"/>
      <c r="AC407" s="1383"/>
      <c r="AD407" s="1383"/>
      <c r="AE407" s="1383"/>
      <c r="AF407" s="1383"/>
      <c r="AG407" s="1383"/>
      <c r="AH407" s="1383"/>
      <c r="AI407" s="1383"/>
      <c r="AJ407" s="1383"/>
      <c r="AK407" s="1383"/>
      <c r="AL407" s="1383"/>
      <c r="AM407" s="1383"/>
    </row>
    <row r="408" spans="2:39" ht="15.75" x14ac:dyDescent="0.25">
      <c r="B408" s="1372"/>
      <c r="C408" s="1372"/>
      <c r="D408" s="1717"/>
      <c r="E408" s="1420"/>
      <c r="F408" s="1493"/>
      <c r="G408" s="1493"/>
      <c r="H408" s="1493"/>
      <c r="I408" s="1493"/>
      <c r="J408" s="1493"/>
      <c r="K408" s="1493"/>
      <c r="L408" s="1493"/>
      <c r="M408" s="1493"/>
      <c r="N408" s="1493"/>
      <c r="O408" s="1493"/>
      <c r="P408" s="1383"/>
      <c r="Q408" s="1383"/>
      <c r="R408" s="1383"/>
      <c r="S408" s="1383"/>
      <c r="T408" s="1383"/>
      <c r="U408" s="1383"/>
      <c r="V408" s="1383"/>
      <c r="W408" s="1383"/>
      <c r="X408" s="1383"/>
      <c r="Y408" s="1383"/>
      <c r="Z408" s="1383"/>
      <c r="AA408" s="1383"/>
      <c r="AB408" s="1383"/>
      <c r="AC408" s="1383"/>
      <c r="AD408" s="1383"/>
      <c r="AE408" s="1383"/>
      <c r="AF408" s="1383"/>
      <c r="AG408" s="1383"/>
      <c r="AH408" s="1383"/>
      <c r="AI408" s="1383"/>
      <c r="AJ408" s="1383"/>
      <c r="AK408" s="1383"/>
      <c r="AL408" s="1383"/>
      <c r="AM408" s="1383"/>
    </row>
    <row r="409" spans="2:39" ht="15.75" x14ac:dyDescent="0.25">
      <c r="B409" s="1372"/>
      <c r="C409" s="1372"/>
      <c r="D409" s="1717"/>
      <c r="E409" s="1420"/>
      <c r="F409" s="1493"/>
      <c r="G409" s="1493"/>
      <c r="H409" s="1493"/>
      <c r="I409" s="1493"/>
      <c r="J409" s="1493"/>
      <c r="K409" s="1493"/>
      <c r="L409" s="1493"/>
      <c r="M409" s="1493"/>
      <c r="N409" s="1493"/>
      <c r="O409" s="1493"/>
      <c r="P409" s="1383"/>
      <c r="Q409" s="1383"/>
      <c r="R409" s="1383"/>
      <c r="S409" s="1383"/>
      <c r="T409" s="1383"/>
      <c r="U409" s="1383"/>
      <c r="V409" s="1383"/>
      <c r="W409" s="1383"/>
      <c r="X409" s="1383"/>
      <c r="Y409" s="1383"/>
      <c r="Z409" s="1383"/>
      <c r="AA409" s="1383"/>
      <c r="AB409" s="1383"/>
      <c r="AC409" s="1383"/>
      <c r="AD409" s="1383"/>
      <c r="AE409" s="1383"/>
      <c r="AF409" s="1383"/>
      <c r="AG409" s="1383"/>
      <c r="AH409" s="1383"/>
      <c r="AI409" s="1383"/>
      <c r="AJ409" s="1383"/>
      <c r="AK409" s="1383"/>
      <c r="AL409" s="1383"/>
      <c r="AM409" s="1383"/>
    </row>
    <row r="410" spans="2:39" ht="15.75" x14ac:dyDescent="0.25">
      <c r="B410" s="1372"/>
      <c r="C410" s="1372"/>
      <c r="D410" s="1717"/>
      <c r="E410" s="1420"/>
      <c r="F410" s="1493"/>
      <c r="G410" s="1493"/>
      <c r="H410" s="1493"/>
      <c r="I410" s="1493"/>
      <c r="J410" s="1493"/>
      <c r="K410" s="1493"/>
      <c r="L410" s="1493"/>
      <c r="M410" s="1493"/>
      <c r="N410" s="1493"/>
      <c r="O410" s="1493"/>
      <c r="P410" s="1383"/>
      <c r="Q410" s="1383"/>
      <c r="R410" s="1383"/>
      <c r="S410" s="1383"/>
      <c r="T410" s="1383"/>
      <c r="U410" s="1383"/>
      <c r="V410" s="1383"/>
      <c r="W410" s="1383"/>
      <c r="X410" s="1383"/>
      <c r="Y410" s="1383"/>
      <c r="Z410" s="1383"/>
      <c r="AA410" s="1383"/>
      <c r="AB410" s="1383"/>
      <c r="AC410" s="1383"/>
      <c r="AD410" s="1383"/>
      <c r="AE410" s="1383"/>
      <c r="AF410" s="1383"/>
      <c r="AG410" s="1383"/>
      <c r="AH410" s="1383"/>
      <c r="AI410" s="1383"/>
      <c r="AJ410" s="1383"/>
      <c r="AK410" s="1383"/>
      <c r="AL410" s="1383"/>
      <c r="AM410" s="1383"/>
    </row>
    <row r="411" spans="2:39" ht="15.75" x14ac:dyDescent="0.25">
      <c r="B411" s="1372"/>
      <c r="C411" s="1372"/>
      <c r="D411" s="1717"/>
      <c r="E411" s="1420"/>
      <c r="F411" s="1493"/>
      <c r="G411" s="1493"/>
      <c r="H411" s="1493"/>
      <c r="I411" s="1493"/>
      <c r="J411" s="1493"/>
      <c r="K411" s="1493"/>
      <c r="L411" s="1493"/>
      <c r="M411" s="1493"/>
      <c r="N411" s="1493"/>
      <c r="O411" s="1493"/>
      <c r="P411" s="1383"/>
      <c r="Q411" s="1383"/>
      <c r="R411" s="1383"/>
      <c r="S411" s="1383"/>
      <c r="T411" s="1383"/>
      <c r="U411" s="1383"/>
      <c r="V411" s="1383"/>
      <c r="W411" s="1383"/>
      <c r="X411" s="1383"/>
      <c r="Y411" s="1383"/>
      <c r="Z411" s="1383"/>
      <c r="AA411" s="1383"/>
      <c r="AB411" s="1383"/>
      <c r="AC411" s="1383"/>
      <c r="AD411" s="1383"/>
      <c r="AE411" s="1383"/>
      <c r="AF411" s="1383"/>
      <c r="AG411" s="1383"/>
      <c r="AH411" s="1383"/>
      <c r="AI411" s="1383"/>
      <c r="AJ411" s="1383"/>
      <c r="AK411" s="1383"/>
      <c r="AL411" s="1383"/>
      <c r="AM411" s="1383"/>
    </row>
    <row r="412" spans="2:39" ht="15.75" x14ac:dyDescent="0.25">
      <c r="B412" s="1372"/>
      <c r="C412" s="1372"/>
      <c r="D412" s="1717"/>
      <c r="E412" s="1420"/>
      <c r="F412" s="1493"/>
      <c r="G412" s="1493"/>
      <c r="H412" s="1493"/>
      <c r="I412" s="1493"/>
      <c r="J412" s="1493"/>
      <c r="K412" s="1493"/>
      <c r="L412" s="1493"/>
      <c r="M412" s="1493"/>
      <c r="N412" s="1493"/>
      <c r="O412" s="1493"/>
      <c r="P412" s="1383"/>
      <c r="Q412" s="1383"/>
      <c r="R412" s="1383"/>
      <c r="S412" s="1383"/>
      <c r="T412" s="1383"/>
      <c r="U412" s="1383"/>
      <c r="V412" s="1383"/>
      <c r="W412" s="1383"/>
      <c r="X412" s="1383"/>
      <c r="Y412" s="1383"/>
      <c r="Z412" s="1383"/>
      <c r="AA412" s="1383"/>
      <c r="AB412" s="1383"/>
      <c r="AC412" s="1383"/>
      <c r="AD412" s="1383"/>
      <c r="AE412" s="1383"/>
      <c r="AF412" s="1383"/>
      <c r="AG412" s="1383"/>
      <c r="AH412" s="1383"/>
      <c r="AI412" s="1383"/>
      <c r="AJ412" s="1383"/>
      <c r="AK412" s="1383"/>
      <c r="AL412" s="1383"/>
      <c r="AM412" s="1383"/>
    </row>
    <row r="413" spans="2:39" ht="15.75" x14ac:dyDescent="0.25">
      <c r="B413" s="1372"/>
      <c r="C413" s="1372"/>
      <c r="D413" s="1717"/>
      <c r="E413" s="1420"/>
      <c r="F413" s="1493"/>
      <c r="G413" s="1493"/>
      <c r="H413" s="1493"/>
      <c r="I413" s="1493"/>
      <c r="J413" s="1493"/>
      <c r="K413" s="1493"/>
      <c r="L413" s="1493"/>
      <c r="M413" s="1493"/>
      <c r="N413" s="1493"/>
      <c r="O413" s="1493"/>
      <c r="P413" s="1383"/>
      <c r="Q413" s="1383"/>
      <c r="R413" s="1383"/>
      <c r="S413" s="1383"/>
      <c r="T413" s="1383"/>
      <c r="U413" s="1383"/>
      <c r="V413" s="1383"/>
      <c r="W413" s="1383"/>
      <c r="X413" s="1383"/>
      <c r="Y413" s="1383"/>
      <c r="Z413" s="1383"/>
      <c r="AA413" s="1383"/>
      <c r="AB413" s="1383"/>
      <c r="AC413" s="1383"/>
      <c r="AD413" s="1383"/>
      <c r="AE413" s="1383"/>
      <c r="AF413" s="1383"/>
      <c r="AG413" s="1383"/>
      <c r="AH413" s="1383"/>
      <c r="AI413" s="1383"/>
      <c r="AJ413" s="1383"/>
      <c r="AK413" s="1383"/>
      <c r="AL413" s="1383"/>
      <c r="AM413" s="1383"/>
    </row>
    <row r="414" spans="2:39" ht="15.75" x14ac:dyDescent="0.25">
      <c r="B414" s="1372"/>
      <c r="C414" s="1372"/>
      <c r="D414" s="1717"/>
      <c r="E414" s="1420"/>
      <c r="F414" s="1493"/>
      <c r="G414" s="1493"/>
      <c r="H414" s="1493"/>
      <c r="I414" s="1493"/>
      <c r="J414" s="1493"/>
      <c r="K414" s="1493"/>
      <c r="L414" s="1493"/>
      <c r="M414" s="1493"/>
      <c r="N414" s="1493"/>
      <c r="O414" s="1493"/>
      <c r="P414" s="1383"/>
      <c r="Q414" s="1383"/>
      <c r="R414" s="1383"/>
      <c r="S414" s="1383"/>
      <c r="T414" s="1383"/>
      <c r="U414" s="1383"/>
      <c r="V414" s="1383"/>
      <c r="W414" s="1383"/>
      <c r="X414" s="1383"/>
      <c r="Y414" s="1383"/>
      <c r="Z414" s="1383"/>
      <c r="AA414" s="1383"/>
      <c r="AB414" s="1383"/>
      <c r="AC414" s="1383"/>
      <c r="AD414" s="1383"/>
      <c r="AE414" s="1383"/>
      <c r="AF414" s="1383"/>
      <c r="AG414" s="1383"/>
      <c r="AH414" s="1383"/>
      <c r="AI414" s="1383"/>
      <c r="AJ414" s="1383"/>
      <c r="AK414" s="1383"/>
      <c r="AL414" s="1383"/>
      <c r="AM414" s="1383"/>
    </row>
    <row r="415" spans="2:39" ht="15.75" x14ac:dyDescent="0.25">
      <c r="B415" s="1372"/>
      <c r="C415" s="1372"/>
      <c r="D415" s="1717"/>
      <c r="E415" s="1420"/>
      <c r="F415" s="1493"/>
      <c r="G415" s="1493"/>
      <c r="H415" s="1493"/>
      <c r="I415" s="1493"/>
      <c r="J415" s="1493"/>
      <c r="K415" s="1493"/>
      <c r="L415" s="1493"/>
      <c r="M415" s="1493"/>
      <c r="N415" s="1493"/>
      <c r="O415" s="1493"/>
      <c r="P415" s="1383"/>
      <c r="Q415" s="1383"/>
      <c r="R415" s="1383"/>
      <c r="S415" s="1383"/>
      <c r="T415" s="1383"/>
      <c r="U415" s="1383"/>
      <c r="V415" s="1383"/>
      <c r="W415" s="1383"/>
      <c r="X415" s="1383"/>
      <c r="Y415" s="1383"/>
      <c r="Z415" s="1383"/>
      <c r="AA415" s="1383"/>
      <c r="AB415" s="1383"/>
      <c r="AC415" s="1383"/>
      <c r="AD415" s="1383"/>
      <c r="AE415" s="1383"/>
      <c r="AF415" s="1383"/>
      <c r="AG415" s="1383"/>
      <c r="AH415" s="1383"/>
      <c r="AI415" s="1383"/>
      <c r="AJ415" s="1383"/>
      <c r="AK415" s="1383"/>
      <c r="AL415" s="1383"/>
      <c r="AM415" s="1383"/>
    </row>
    <row r="416" spans="2:39" ht="15.75" x14ac:dyDescent="0.25">
      <c r="B416" s="1372"/>
      <c r="C416" s="1372"/>
      <c r="D416" s="1717"/>
      <c r="E416" s="1420"/>
      <c r="F416" s="1493"/>
      <c r="G416" s="1493"/>
      <c r="H416" s="1493"/>
      <c r="I416" s="1493"/>
      <c r="J416" s="1493"/>
      <c r="K416" s="1493"/>
      <c r="L416" s="1493"/>
      <c r="M416" s="1493"/>
      <c r="N416" s="1493"/>
      <c r="O416" s="1493"/>
      <c r="P416" s="1383"/>
      <c r="Q416" s="1383"/>
      <c r="R416" s="1383"/>
      <c r="S416" s="1383"/>
      <c r="T416" s="1383"/>
      <c r="U416" s="1383"/>
      <c r="V416" s="1383"/>
      <c r="W416" s="1383"/>
      <c r="X416" s="1383"/>
      <c r="Y416" s="1383"/>
      <c r="Z416" s="1383"/>
      <c r="AA416" s="1383"/>
      <c r="AB416" s="1383"/>
      <c r="AC416" s="1383"/>
      <c r="AD416" s="1383"/>
      <c r="AE416" s="1383"/>
      <c r="AF416" s="1383"/>
      <c r="AG416" s="1383"/>
      <c r="AH416" s="1383"/>
      <c r="AI416" s="1383"/>
      <c r="AJ416" s="1383"/>
      <c r="AK416" s="1383"/>
      <c r="AL416" s="1383"/>
      <c r="AM416" s="1383"/>
    </row>
    <row r="417" spans="2:39" ht="15.75" x14ac:dyDescent="0.25">
      <c r="B417" s="1372"/>
      <c r="C417" s="1372"/>
      <c r="D417" s="1717"/>
      <c r="E417" s="1420"/>
      <c r="F417" s="1493"/>
      <c r="G417" s="1493"/>
      <c r="H417" s="1493"/>
      <c r="I417" s="1493"/>
      <c r="J417" s="1493"/>
      <c r="K417" s="1493"/>
      <c r="L417" s="1493"/>
      <c r="M417" s="1493"/>
      <c r="N417" s="1493"/>
      <c r="O417" s="1493"/>
      <c r="P417" s="1383"/>
      <c r="Q417" s="1383"/>
      <c r="R417" s="1383"/>
      <c r="S417" s="1383"/>
      <c r="T417" s="1383"/>
      <c r="U417" s="1383"/>
      <c r="V417" s="1383"/>
      <c r="W417" s="1383"/>
      <c r="X417" s="1383"/>
      <c r="Y417" s="1383"/>
      <c r="Z417" s="1383"/>
      <c r="AA417" s="1383"/>
      <c r="AB417" s="1383"/>
      <c r="AC417" s="1383"/>
      <c r="AD417" s="1383"/>
      <c r="AE417" s="1383"/>
      <c r="AF417" s="1383"/>
      <c r="AG417" s="1383"/>
      <c r="AH417" s="1383"/>
      <c r="AI417" s="1383"/>
      <c r="AJ417" s="1383"/>
      <c r="AK417" s="1383"/>
      <c r="AL417" s="1383"/>
      <c r="AM417" s="1383"/>
    </row>
    <row r="418" spans="2:39" ht="15.75" x14ac:dyDescent="0.25">
      <c r="B418" s="1372"/>
      <c r="C418" s="1372"/>
      <c r="D418" s="1717"/>
      <c r="E418" s="1420"/>
      <c r="F418" s="1493"/>
      <c r="G418" s="1493"/>
      <c r="H418" s="1493"/>
      <c r="I418" s="1493"/>
      <c r="J418" s="1493"/>
      <c r="K418" s="1493"/>
      <c r="L418" s="1493"/>
      <c r="M418" s="1493"/>
      <c r="N418" s="1493"/>
      <c r="O418" s="1493"/>
      <c r="P418" s="1383"/>
      <c r="Q418" s="1383"/>
      <c r="R418" s="1383"/>
      <c r="S418" s="1383"/>
      <c r="T418" s="1383"/>
      <c r="U418" s="1383"/>
      <c r="V418" s="1383"/>
      <c r="W418" s="1383"/>
      <c r="X418" s="1383"/>
      <c r="Y418" s="1383"/>
      <c r="Z418" s="1383"/>
      <c r="AA418" s="1383"/>
      <c r="AB418" s="1383"/>
      <c r="AC418" s="1383"/>
      <c r="AD418" s="1383"/>
      <c r="AE418" s="1383"/>
      <c r="AF418" s="1383"/>
      <c r="AG418" s="1383"/>
      <c r="AH418" s="1383"/>
      <c r="AI418" s="1383"/>
      <c r="AJ418" s="1383"/>
      <c r="AK418" s="1383"/>
      <c r="AL418" s="1383"/>
      <c r="AM418" s="1383"/>
    </row>
    <row r="419" spans="2:39" ht="15.75" x14ac:dyDescent="0.25">
      <c r="B419" s="1372"/>
      <c r="C419" s="1372"/>
      <c r="D419" s="1717"/>
      <c r="E419" s="1420"/>
      <c r="F419" s="1493"/>
      <c r="G419" s="1493"/>
      <c r="H419" s="1493"/>
      <c r="I419" s="1493"/>
      <c r="J419" s="1493"/>
      <c r="K419" s="1493"/>
      <c r="L419" s="1493"/>
      <c r="M419" s="1493"/>
      <c r="N419" s="1493"/>
      <c r="O419" s="1493"/>
      <c r="P419" s="1383"/>
      <c r="Q419" s="1383"/>
      <c r="R419" s="1383"/>
      <c r="S419" s="1383"/>
      <c r="T419" s="1383"/>
      <c r="U419" s="1383"/>
      <c r="V419" s="1383"/>
      <c r="W419" s="1383"/>
      <c r="X419" s="1383"/>
      <c r="Y419" s="1383"/>
      <c r="Z419" s="1383"/>
      <c r="AA419" s="1383"/>
      <c r="AB419" s="1383"/>
      <c r="AC419" s="1383"/>
      <c r="AD419" s="1383"/>
      <c r="AE419" s="1383"/>
      <c r="AF419" s="1383"/>
      <c r="AG419" s="1383"/>
      <c r="AH419" s="1383"/>
      <c r="AI419" s="1383"/>
      <c r="AJ419" s="1383"/>
      <c r="AK419" s="1383"/>
      <c r="AL419" s="1383"/>
      <c r="AM419" s="1383"/>
    </row>
    <row r="420" spans="2:39" ht="15.75" x14ac:dyDescent="0.25">
      <c r="B420" s="1372"/>
      <c r="C420" s="1372"/>
      <c r="D420" s="1717"/>
      <c r="E420" s="1420"/>
      <c r="F420" s="1493"/>
      <c r="G420" s="1493"/>
      <c r="H420" s="1493"/>
      <c r="I420" s="1493"/>
      <c r="J420" s="1493"/>
      <c r="K420" s="1493"/>
      <c r="L420" s="1493"/>
      <c r="M420" s="1493"/>
      <c r="N420" s="1493"/>
      <c r="O420" s="1493"/>
      <c r="P420" s="1383"/>
      <c r="Q420" s="1383"/>
      <c r="R420" s="1383"/>
      <c r="S420" s="1383"/>
      <c r="T420" s="1383"/>
      <c r="U420" s="1383"/>
      <c r="V420" s="1383"/>
      <c r="W420" s="1383"/>
      <c r="X420" s="1383"/>
      <c r="Y420" s="1383"/>
      <c r="Z420" s="1383"/>
      <c r="AA420" s="1383"/>
      <c r="AB420" s="1383"/>
      <c r="AC420" s="1383"/>
      <c r="AD420" s="1383"/>
      <c r="AE420" s="1383"/>
      <c r="AF420" s="1383"/>
      <c r="AG420" s="1383"/>
      <c r="AH420" s="1383"/>
      <c r="AI420" s="1383"/>
      <c r="AJ420" s="1383"/>
      <c r="AK420" s="1383"/>
      <c r="AL420" s="1383"/>
      <c r="AM420" s="1383"/>
    </row>
    <row r="421" spans="2:39" ht="15.75" x14ac:dyDescent="0.25">
      <c r="B421" s="1372"/>
      <c r="C421" s="1372"/>
      <c r="D421" s="1717"/>
      <c r="E421" s="1420"/>
      <c r="F421" s="1493"/>
      <c r="G421" s="1493"/>
      <c r="H421" s="1493"/>
      <c r="I421" s="1493"/>
      <c r="J421" s="1493"/>
      <c r="K421" s="1493"/>
      <c r="L421" s="1493"/>
      <c r="M421" s="1493"/>
      <c r="N421" s="1493"/>
      <c r="O421" s="1493"/>
      <c r="P421" s="1383"/>
      <c r="Q421" s="1383"/>
      <c r="R421" s="1383"/>
      <c r="S421" s="1383"/>
      <c r="T421" s="1383"/>
      <c r="U421" s="1383"/>
      <c r="V421" s="1383"/>
      <c r="W421" s="1383"/>
      <c r="X421" s="1383"/>
      <c r="Y421" s="1383"/>
      <c r="Z421" s="1383"/>
      <c r="AA421" s="1383"/>
      <c r="AB421" s="1383"/>
      <c r="AC421" s="1383"/>
      <c r="AD421" s="1383"/>
      <c r="AE421" s="1383"/>
      <c r="AF421" s="1383"/>
      <c r="AG421" s="1383"/>
      <c r="AH421" s="1383"/>
      <c r="AI421" s="1383"/>
      <c r="AJ421" s="1383"/>
      <c r="AK421" s="1383"/>
      <c r="AL421" s="1383"/>
      <c r="AM421" s="1383"/>
    </row>
    <row r="422" spans="2:39" ht="15.75" x14ac:dyDescent="0.25">
      <c r="B422" s="1372"/>
      <c r="C422" s="1372"/>
      <c r="D422" s="1717"/>
      <c r="E422" s="1420"/>
      <c r="F422" s="1493"/>
      <c r="G422" s="1493"/>
      <c r="H422" s="1493"/>
      <c r="I422" s="1493"/>
      <c r="J422" s="1493"/>
      <c r="K422" s="1493"/>
      <c r="L422" s="1493"/>
      <c r="M422" s="1493"/>
      <c r="N422" s="1493"/>
      <c r="O422" s="1493"/>
      <c r="P422" s="1383"/>
      <c r="Q422" s="1383"/>
      <c r="R422" s="1383"/>
      <c r="S422" s="1383"/>
      <c r="T422" s="1383"/>
      <c r="U422" s="1383"/>
      <c r="V422" s="1383"/>
      <c r="W422" s="1383"/>
      <c r="X422" s="1383"/>
      <c r="Y422" s="1383"/>
      <c r="Z422" s="1383"/>
      <c r="AA422" s="1383"/>
      <c r="AB422" s="1383"/>
      <c r="AC422" s="1383"/>
      <c r="AD422" s="1383"/>
      <c r="AE422" s="1383"/>
      <c r="AF422" s="1383"/>
      <c r="AG422" s="1383"/>
      <c r="AH422" s="1383"/>
      <c r="AI422" s="1383"/>
      <c r="AJ422" s="1383"/>
      <c r="AK422" s="1383"/>
      <c r="AL422" s="1383"/>
      <c r="AM422" s="1383"/>
    </row>
    <row r="423" spans="2:39" ht="15.75" x14ac:dyDescent="0.25">
      <c r="B423" s="1372"/>
      <c r="C423" s="1372"/>
      <c r="D423" s="1717"/>
      <c r="E423" s="1420"/>
      <c r="F423" s="1493"/>
      <c r="G423" s="1493"/>
      <c r="H423" s="1493"/>
      <c r="I423" s="1493"/>
      <c r="J423" s="1493"/>
      <c r="K423" s="1493"/>
      <c r="L423" s="1493"/>
      <c r="M423" s="1493"/>
      <c r="N423" s="1493"/>
      <c r="O423" s="1493"/>
      <c r="P423" s="1383"/>
      <c r="Q423" s="1383"/>
      <c r="R423" s="1383"/>
      <c r="S423" s="1383"/>
      <c r="T423" s="1383"/>
      <c r="U423" s="1383"/>
      <c r="V423" s="1383"/>
      <c r="W423" s="1383"/>
      <c r="X423" s="1383"/>
      <c r="Y423" s="1383"/>
      <c r="Z423" s="1383"/>
      <c r="AA423" s="1383"/>
      <c r="AB423" s="1383"/>
      <c r="AC423" s="1383"/>
      <c r="AD423" s="1383"/>
      <c r="AE423" s="1383"/>
      <c r="AF423" s="1383"/>
      <c r="AG423" s="1383"/>
      <c r="AH423" s="1383"/>
      <c r="AI423" s="1383"/>
      <c r="AJ423" s="1383"/>
      <c r="AK423" s="1383"/>
      <c r="AL423" s="1383"/>
      <c r="AM423" s="1383"/>
    </row>
    <row r="424" spans="2:39" ht="15.75" x14ac:dyDescent="0.25">
      <c r="B424" s="1372"/>
      <c r="C424" s="1372"/>
      <c r="D424" s="1717"/>
      <c r="E424" s="1420"/>
      <c r="F424" s="1493"/>
      <c r="G424" s="1493"/>
      <c r="H424" s="1493"/>
      <c r="I424" s="1493"/>
      <c r="J424" s="1493"/>
      <c r="K424" s="1493"/>
      <c r="L424" s="1493"/>
      <c r="M424" s="1493"/>
      <c r="N424" s="1493"/>
      <c r="O424" s="1493"/>
      <c r="P424" s="1383"/>
      <c r="Q424" s="1383"/>
      <c r="R424" s="1383"/>
      <c r="S424" s="1383"/>
      <c r="T424" s="1383"/>
      <c r="U424" s="1383"/>
      <c r="V424" s="1383"/>
      <c r="W424" s="1383"/>
      <c r="X424" s="1383"/>
      <c r="Y424" s="1383"/>
      <c r="Z424" s="1383"/>
      <c r="AA424" s="1383"/>
      <c r="AB424" s="1383"/>
      <c r="AC424" s="1383"/>
      <c r="AD424" s="1383"/>
      <c r="AE424" s="1383"/>
      <c r="AF424" s="1383"/>
      <c r="AG424" s="1383"/>
      <c r="AH424" s="1383"/>
      <c r="AI424" s="1383"/>
      <c r="AJ424" s="1383"/>
      <c r="AK424" s="1383"/>
      <c r="AL424" s="1383"/>
      <c r="AM424" s="1383"/>
    </row>
    <row r="425" spans="2:39" ht="15.75" x14ac:dyDescent="0.25">
      <c r="B425" s="1372"/>
      <c r="C425" s="1372"/>
      <c r="D425" s="1717"/>
      <c r="E425" s="1420"/>
      <c r="F425" s="1493"/>
      <c r="G425" s="1493"/>
      <c r="H425" s="1493"/>
      <c r="I425" s="1493"/>
      <c r="J425" s="1493"/>
      <c r="K425" s="1493"/>
      <c r="L425" s="1493"/>
      <c r="M425" s="1493"/>
      <c r="N425" s="1493"/>
      <c r="O425" s="1493"/>
      <c r="P425" s="1383"/>
      <c r="Q425" s="1383"/>
      <c r="R425" s="1383"/>
      <c r="S425" s="1383"/>
      <c r="T425" s="1383"/>
      <c r="U425" s="1383"/>
      <c r="V425" s="1383"/>
      <c r="W425" s="1383"/>
      <c r="X425" s="1383"/>
      <c r="Y425" s="1383"/>
      <c r="Z425" s="1383"/>
      <c r="AA425" s="1383"/>
      <c r="AB425" s="1383"/>
      <c r="AC425" s="1383"/>
      <c r="AD425" s="1383"/>
      <c r="AE425" s="1383"/>
      <c r="AF425" s="1383"/>
      <c r="AG425" s="1383"/>
      <c r="AH425" s="1383"/>
      <c r="AI425" s="1383"/>
      <c r="AJ425" s="1383"/>
      <c r="AK425" s="1383"/>
      <c r="AL425" s="1383"/>
      <c r="AM425" s="1383"/>
    </row>
    <row r="426" spans="2:39" ht="15.75" x14ac:dyDescent="0.25">
      <c r="B426" s="1372"/>
      <c r="C426" s="1372"/>
      <c r="D426" s="1717"/>
      <c r="E426" s="1420"/>
      <c r="F426" s="1493"/>
      <c r="G426" s="1493"/>
      <c r="H426" s="1493"/>
      <c r="I426" s="1493"/>
      <c r="J426" s="1493"/>
      <c r="K426" s="1493"/>
      <c r="L426" s="1493"/>
      <c r="M426" s="1493"/>
      <c r="N426" s="1493"/>
      <c r="O426" s="1493"/>
      <c r="P426" s="1383"/>
      <c r="Q426" s="1383"/>
      <c r="R426" s="1383"/>
      <c r="S426" s="1383"/>
      <c r="T426" s="1383"/>
      <c r="U426" s="1383"/>
      <c r="V426" s="1383"/>
      <c r="W426" s="1383"/>
      <c r="X426" s="1383"/>
      <c r="Y426" s="1383"/>
      <c r="Z426" s="1383"/>
      <c r="AA426" s="1383"/>
      <c r="AB426" s="1383"/>
      <c r="AC426" s="1383"/>
      <c r="AD426" s="1383"/>
      <c r="AE426" s="1383"/>
      <c r="AF426" s="1383"/>
      <c r="AG426" s="1383"/>
      <c r="AH426" s="1383"/>
      <c r="AI426" s="1383"/>
      <c r="AJ426" s="1383"/>
      <c r="AK426" s="1383"/>
      <c r="AL426" s="1383"/>
      <c r="AM426" s="1383"/>
    </row>
    <row r="427" spans="2:39" ht="15.75" x14ac:dyDescent="0.25">
      <c r="B427" s="1372"/>
      <c r="C427" s="1372"/>
      <c r="D427" s="1717"/>
      <c r="E427" s="1420"/>
      <c r="F427" s="1493"/>
      <c r="G427" s="1493"/>
      <c r="H427" s="1493"/>
      <c r="I427" s="1493"/>
      <c r="J427" s="1493"/>
      <c r="K427" s="1493"/>
      <c r="L427" s="1493"/>
      <c r="M427" s="1493"/>
      <c r="N427" s="1493"/>
      <c r="O427" s="1493"/>
      <c r="P427" s="1383"/>
      <c r="Q427" s="1383"/>
      <c r="R427" s="1383"/>
      <c r="S427" s="1383"/>
      <c r="T427" s="1383"/>
      <c r="U427" s="1383"/>
      <c r="V427" s="1383"/>
      <c r="W427" s="1383"/>
      <c r="X427" s="1383"/>
      <c r="Y427" s="1383"/>
      <c r="Z427" s="1383"/>
      <c r="AA427" s="1383"/>
      <c r="AB427" s="1383"/>
      <c r="AC427" s="1383"/>
      <c r="AD427" s="1383"/>
      <c r="AE427" s="1383"/>
      <c r="AF427" s="1383"/>
      <c r="AG427" s="1383"/>
      <c r="AH427" s="1383"/>
      <c r="AI427" s="1383"/>
      <c r="AJ427" s="1383"/>
      <c r="AK427" s="1383"/>
      <c r="AL427" s="1383"/>
      <c r="AM427" s="1383"/>
    </row>
    <row r="428" spans="2:39" ht="15.75" x14ac:dyDescent="0.25">
      <c r="B428" s="1372"/>
      <c r="C428" s="1372"/>
      <c r="D428" s="1717"/>
      <c r="E428" s="1420"/>
      <c r="F428" s="1493"/>
      <c r="G428" s="1493"/>
      <c r="H428" s="1493"/>
      <c r="I428" s="1493"/>
      <c r="J428" s="1493"/>
      <c r="K428" s="1493"/>
      <c r="L428" s="1493"/>
      <c r="M428" s="1493"/>
      <c r="N428" s="1493"/>
      <c r="O428" s="1493"/>
      <c r="P428" s="1383"/>
      <c r="Q428" s="1383"/>
      <c r="R428" s="1383"/>
      <c r="S428" s="1383"/>
      <c r="T428" s="1383"/>
      <c r="U428" s="1383"/>
      <c r="V428" s="1383"/>
      <c r="W428" s="1383"/>
      <c r="X428" s="1383"/>
      <c r="Y428" s="1383"/>
      <c r="Z428" s="1383"/>
      <c r="AA428" s="1383"/>
      <c r="AB428" s="1383"/>
      <c r="AC428" s="1383"/>
      <c r="AD428" s="1383"/>
      <c r="AE428" s="1383"/>
      <c r="AF428" s="1383"/>
      <c r="AG428" s="1383"/>
      <c r="AH428" s="1383"/>
      <c r="AI428" s="1383"/>
      <c r="AJ428" s="1383"/>
      <c r="AK428" s="1383"/>
      <c r="AL428" s="1383"/>
      <c r="AM428" s="1383"/>
    </row>
    <row r="429" spans="2:39" ht="15.75" x14ac:dyDescent="0.25">
      <c r="B429" s="1372"/>
      <c r="C429" s="1372"/>
      <c r="D429" s="1717"/>
      <c r="E429" s="1420"/>
      <c r="F429" s="1493"/>
      <c r="G429" s="1493"/>
      <c r="H429" s="1493"/>
      <c r="I429" s="1493"/>
      <c r="J429" s="1493"/>
      <c r="K429" s="1493"/>
      <c r="L429" s="1493"/>
      <c r="M429" s="1493"/>
      <c r="N429" s="1493"/>
      <c r="O429" s="1493"/>
      <c r="P429" s="1383"/>
      <c r="Q429" s="1383"/>
      <c r="R429" s="1383"/>
      <c r="S429" s="1383"/>
      <c r="T429" s="1383"/>
      <c r="U429" s="1383"/>
      <c r="V429" s="1383"/>
      <c r="W429" s="1383"/>
      <c r="X429" s="1383"/>
      <c r="Y429" s="1383"/>
      <c r="Z429" s="1383"/>
      <c r="AA429" s="1383"/>
      <c r="AB429" s="1383"/>
      <c r="AC429" s="1383"/>
      <c r="AD429" s="1383"/>
      <c r="AE429" s="1383"/>
      <c r="AF429" s="1383"/>
      <c r="AG429" s="1383"/>
      <c r="AH429" s="1383"/>
      <c r="AI429" s="1383"/>
      <c r="AJ429" s="1383"/>
      <c r="AK429" s="1383"/>
      <c r="AL429" s="1383"/>
      <c r="AM429" s="1383"/>
    </row>
    <row r="430" spans="2:39" ht="15.75" x14ac:dyDescent="0.25">
      <c r="B430" s="1372"/>
      <c r="C430" s="1372"/>
      <c r="D430" s="1717"/>
      <c r="E430" s="1420"/>
      <c r="F430" s="1493"/>
      <c r="G430" s="1493"/>
      <c r="H430" s="1493"/>
      <c r="I430" s="1493"/>
      <c r="J430" s="1493"/>
      <c r="K430" s="1493"/>
      <c r="L430" s="1493"/>
      <c r="M430" s="1493"/>
      <c r="N430" s="1493"/>
      <c r="O430" s="1493"/>
      <c r="P430" s="1383"/>
      <c r="Q430" s="1383"/>
      <c r="R430" s="1383"/>
      <c r="S430" s="1383"/>
      <c r="T430" s="1383"/>
      <c r="U430" s="1383"/>
      <c r="V430" s="1383"/>
      <c r="W430" s="1383"/>
      <c r="X430" s="1383"/>
      <c r="Y430" s="1383"/>
      <c r="Z430" s="1383"/>
      <c r="AA430" s="1383"/>
      <c r="AB430" s="1383"/>
      <c r="AC430" s="1383"/>
      <c r="AD430" s="1383"/>
      <c r="AE430" s="1383"/>
      <c r="AF430" s="1383"/>
      <c r="AG430" s="1383"/>
      <c r="AH430" s="1383"/>
      <c r="AI430" s="1383"/>
      <c r="AJ430" s="1383"/>
      <c r="AK430" s="1383"/>
      <c r="AL430" s="1383"/>
      <c r="AM430" s="1383"/>
    </row>
    <row r="431" spans="2:39" ht="15.75" x14ac:dyDescent="0.25">
      <c r="B431" s="1372"/>
      <c r="C431" s="1372"/>
      <c r="D431" s="1717"/>
      <c r="E431" s="1420"/>
      <c r="F431" s="1493"/>
      <c r="G431" s="1493"/>
      <c r="H431" s="1493"/>
      <c r="I431" s="1493"/>
      <c r="J431" s="1493"/>
      <c r="K431" s="1493"/>
      <c r="L431" s="1493"/>
      <c r="M431" s="1493"/>
      <c r="N431" s="1493"/>
      <c r="O431" s="1493"/>
      <c r="P431" s="1383"/>
      <c r="Q431" s="1383"/>
      <c r="R431" s="1383"/>
      <c r="S431" s="1383"/>
      <c r="T431" s="1383"/>
      <c r="U431" s="1383"/>
      <c r="V431" s="1383"/>
      <c r="W431" s="1383"/>
      <c r="X431" s="1383"/>
      <c r="Y431" s="1383"/>
      <c r="Z431" s="1383"/>
      <c r="AA431" s="1383"/>
      <c r="AB431" s="1383"/>
      <c r="AC431" s="1383"/>
      <c r="AD431" s="1383"/>
      <c r="AE431" s="1383"/>
      <c r="AF431" s="1383"/>
      <c r="AG431" s="1383"/>
      <c r="AH431" s="1383"/>
      <c r="AI431" s="1383"/>
      <c r="AJ431" s="1383"/>
      <c r="AK431" s="1383"/>
      <c r="AL431" s="1383"/>
      <c r="AM431" s="1383"/>
    </row>
    <row r="432" spans="2:39" ht="15.75" x14ac:dyDescent="0.25">
      <c r="B432" s="1372"/>
      <c r="C432" s="1372"/>
      <c r="D432" s="1717"/>
      <c r="E432" s="1420"/>
      <c r="F432" s="1493"/>
      <c r="G432" s="1493"/>
      <c r="H432" s="1493"/>
      <c r="I432" s="1493"/>
      <c r="J432" s="1493"/>
      <c r="K432" s="1493"/>
      <c r="L432" s="1493"/>
      <c r="M432" s="1493"/>
      <c r="N432" s="1493"/>
      <c r="O432" s="1493"/>
      <c r="P432" s="1383"/>
      <c r="Q432" s="1383"/>
      <c r="R432" s="1383"/>
      <c r="S432" s="1383"/>
      <c r="T432" s="1383"/>
      <c r="U432" s="1383"/>
      <c r="V432" s="1383"/>
      <c r="W432" s="1383"/>
      <c r="X432" s="1383"/>
      <c r="Y432" s="1383"/>
      <c r="Z432" s="1383"/>
      <c r="AA432" s="1383"/>
      <c r="AB432" s="1383"/>
      <c r="AC432" s="1383"/>
      <c r="AD432" s="1383"/>
      <c r="AE432" s="1383"/>
      <c r="AF432" s="1383"/>
      <c r="AG432" s="1383"/>
      <c r="AH432" s="1383"/>
      <c r="AI432" s="1383"/>
      <c r="AJ432" s="1383"/>
      <c r="AK432" s="1383"/>
      <c r="AL432" s="1383"/>
      <c r="AM432" s="1383"/>
    </row>
    <row r="433" spans="2:39" ht="15.75" x14ac:dyDescent="0.25">
      <c r="B433" s="1372"/>
      <c r="C433" s="1372"/>
      <c r="D433" s="1717"/>
      <c r="E433" s="1420"/>
      <c r="F433" s="1493"/>
      <c r="G433" s="1493"/>
      <c r="H433" s="1493"/>
      <c r="I433" s="1493"/>
      <c r="J433" s="1493"/>
      <c r="K433" s="1493"/>
      <c r="L433" s="1493"/>
      <c r="M433" s="1493"/>
      <c r="N433" s="1493"/>
      <c r="O433" s="1493"/>
      <c r="P433" s="1383"/>
      <c r="Q433" s="1383"/>
      <c r="R433" s="1383"/>
      <c r="S433" s="1383"/>
      <c r="T433" s="1383"/>
      <c r="U433" s="1383"/>
      <c r="V433" s="1383"/>
      <c r="W433" s="1383"/>
      <c r="X433" s="1383"/>
      <c r="Y433" s="1383"/>
      <c r="Z433" s="1383"/>
      <c r="AA433" s="1383"/>
      <c r="AB433" s="1383"/>
      <c r="AC433" s="1383"/>
      <c r="AD433" s="1383"/>
      <c r="AE433" s="1383"/>
      <c r="AF433" s="1383"/>
      <c r="AG433" s="1383"/>
      <c r="AH433" s="1383"/>
      <c r="AI433" s="1383"/>
      <c r="AJ433" s="1383"/>
      <c r="AK433" s="1383"/>
      <c r="AL433" s="1383"/>
      <c r="AM433" s="1383"/>
    </row>
    <row r="434" spans="2:39" ht="15.75" x14ac:dyDescent="0.25">
      <c r="B434" s="1372"/>
      <c r="C434" s="1372"/>
      <c r="D434" s="1717"/>
      <c r="E434" s="1420"/>
      <c r="F434" s="1493"/>
      <c r="G434" s="1493"/>
      <c r="H434" s="1493"/>
      <c r="I434" s="1493"/>
      <c r="J434" s="1493"/>
      <c r="K434" s="1493"/>
      <c r="L434" s="1493"/>
      <c r="M434" s="1493"/>
      <c r="N434" s="1493"/>
      <c r="O434" s="1493"/>
      <c r="P434" s="1383"/>
      <c r="Q434" s="1383"/>
      <c r="R434" s="1383"/>
      <c r="S434" s="1383"/>
      <c r="T434" s="1383"/>
      <c r="U434" s="1383"/>
      <c r="V434" s="1383"/>
      <c r="W434" s="1383"/>
      <c r="X434" s="1383"/>
      <c r="Y434" s="1383"/>
      <c r="Z434" s="1383"/>
      <c r="AA434" s="1383"/>
      <c r="AB434" s="1383"/>
      <c r="AC434" s="1383"/>
      <c r="AD434" s="1383"/>
      <c r="AE434" s="1383"/>
      <c r="AF434" s="1383"/>
      <c r="AG434" s="1383"/>
      <c r="AH434" s="1383"/>
      <c r="AI434" s="1383"/>
      <c r="AJ434" s="1383"/>
      <c r="AK434" s="1383"/>
      <c r="AL434" s="1383"/>
      <c r="AM434" s="1383"/>
    </row>
    <row r="435" spans="2:39" ht="15.75" x14ac:dyDescent="0.25">
      <c r="B435" s="1372"/>
      <c r="C435" s="1372"/>
      <c r="D435" s="1717"/>
      <c r="E435" s="1420"/>
      <c r="F435" s="1493"/>
      <c r="G435" s="1493"/>
      <c r="H435" s="1493"/>
      <c r="I435" s="1493"/>
      <c r="J435" s="1493"/>
      <c r="K435" s="1493"/>
      <c r="L435" s="1493"/>
      <c r="M435" s="1493"/>
      <c r="N435" s="1493"/>
      <c r="O435" s="1493"/>
      <c r="P435" s="1383"/>
      <c r="Q435" s="1383"/>
      <c r="R435" s="1383"/>
      <c r="S435" s="1383"/>
      <c r="T435" s="1383"/>
      <c r="U435" s="1383"/>
      <c r="V435" s="1383"/>
      <c r="W435" s="1383"/>
      <c r="X435" s="1383"/>
      <c r="Y435" s="1383"/>
      <c r="Z435" s="1383"/>
      <c r="AA435" s="1383"/>
      <c r="AB435" s="1383"/>
      <c r="AC435" s="1383"/>
      <c r="AD435" s="1383"/>
      <c r="AE435" s="1383"/>
      <c r="AF435" s="1383"/>
      <c r="AG435" s="1383"/>
      <c r="AH435" s="1383"/>
      <c r="AI435" s="1383"/>
      <c r="AJ435" s="1383"/>
      <c r="AK435" s="1383"/>
      <c r="AL435" s="1383"/>
      <c r="AM435" s="1383"/>
    </row>
    <row r="436" spans="2:39" ht="15.75" x14ac:dyDescent="0.25">
      <c r="B436" s="1372"/>
      <c r="C436" s="1372"/>
      <c r="D436" s="1717"/>
      <c r="E436" s="1420"/>
      <c r="F436" s="1493"/>
      <c r="G436" s="1493"/>
      <c r="H436" s="1493"/>
      <c r="I436" s="1493"/>
      <c r="J436" s="1493"/>
      <c r="K436" s="1493"/>
      <c r="L436" s="1493"/>
      <c r="M436" s="1493"/>
      <c r="N436" s="1493"/>
      <c r="O436" s="1493"/>
      <c r="P436" s="1383"/>
      <c r="Q436" s="1383"/>
      <c r="R436" s="1383"/>
      <c r="S436" s="1383"/>
      <c r="T436" s="1383"/>
      <c r="U436" s="1383"/>
      <c r="V436" s="1383"/>
      <c r="W436" s="1383"/>
      <c r="X436" s="1383"/>
      <c r="Y436" s="1383"/>
      <c r="Z436" s="1383"/>
      <c r="AA436" s="1383"/>
      <c r="AB436" s="1383"/>
      <c r="AC436" s="1383"/>
      <c r="AD436" s="1383"/>
      <c r="AE436" s="1383"/>
      <c r="AF436" s="1383"/>
      <c r="AG436" s="1383"/>
      <c r="AH436" s="1383"/>
      <c r="AI436" s="1383"/>
      <c r="AJ436" s="1383"/>
      <c r="AK436" s="1383"/>
      <c r="AL436" s="1383"/>
      <c r="AM436" s="1383"/>
    </row>
    <row r="437" spans="2:39" ht="15.75" x14ac:dyDescent="0.25">
      <c r="B437" s="1372"/>
      <c r="C437" s="1372"/>
      <c r="D437" s="1717"/>
      <c r="E437" s="1420"/>
      <c r="F437" s="1493"/>
      <c r="G437" s="1493"/>
      <c r="H437" s="1493"/>
      <c r="I437" s="1493"/>
      <c r="J437" s="1493"/>
      <c r="K437" s="1493"/>
      <c r="L437" s="1493"/>
      <c r="M437" s="1493"/>
      <c r="N437" s="1493"/>
      <c r="O437" s="1493"/>
      <c r="P437" s="1383"/>
      <c r="Q437" s="1383"/>
      <c r="R437" s="1383"/>
      <c r="S437" s="1383"/>
      <c r="T437" s="1383"/>
      <c r="U437" s="1383"/>
      <c r="V437" s="1383"/>
      <c r="W437" s="1383"/>
      <c r="X437" s="1383"/>
      <c r="Y437" s="1383"/>
      <c r="Z437" s="1383"/>
      <c r="AA437" s="1383"/>
      <c r="AB437" s="1383"/>
      <c r="AC437" s="1383"/>
      <c r="AD437" s="1383"/>
      <c r="AE437" s="1383"/>
      <c r="AF437" s="1383"/>
      <c r="AG437" s="1383"/>
      <c r="AH437" s="1383"/>
      <c r="AI437" s="1383"/>
      <c r="AJ437" s="1383"/>
      <c r="AK437" s="1383"/>
      <c r="AL437" s="1383"/>
      <c r="AM437" s="1383"/>
    </row>
    <row r="438" spans="2:39" ht="15.75" x14ac:dyDescent="0.25">
      <c r="B438" s="1372"/>
      <c r="C438" s="1372"/>
      <c r="D438" s="1717"/>
      <c r="E438" s="1420"/>
      <c r="F438" s="1493"/>
      <c r="G438" s="1493"/>
      <c r="H438" s="1493"/>
      <c r="I438" s="1493"/>
      <c r="J438" s="1493"/>
      <c r="K438" s="1493"/>
      <c r="L438" s="1493"/>
      <c r="M438" s="1493"/>
      <c r="N438" s="1493"/>
      <c r="O438" s="1493"/>
      <c r="P438" s="1383"/>
      <c r="Q438" s="1383"/>
      <c r="R438" s="1383"/>
      <c r="S438" s="1383"/>
      <c r="T438" s="1383"/>
      <c r="U438" s="1383"/>
      <c r="V438" s="1383"/>
      <c r="W438" s="1383"/>
      <c r="X438" s="1383"/>
      <c r="Y438" s="1383"/>
      <c r="Z438" s="1383"/>
      <c r="AA438" s="1383"/>
      <c r="AB438" s="1383"/>
      <c r="AC438" s="1383"/>
      <c r="AD438" s="1383"/>
      <c r="AE438" s="1383"/>
      <c r="AF438" s="1383"/>
      <c r="AG438" s="1383"/>
      <c r="AH438" s="1383"/>
      <c r="AI438" s="1383"/>
      <c r="AJ438" s="1383"/>
      <c r="AK438" s="1383"/>
      <c r="AL438" s="1383"/>
      <c r="AM438" s="1383"/>
    </row>
    <row r="439" spans="2:39" ht="15.75" x14ac:dyDescent="0.25">
      <c r="B439" s="1372"/>
      <c r="C439" s="1372"/>
      <c r="D439" s="1717"/>
      <c r="E439" s="1420"/>
      <c r="F439" s="1493"/>
      <c r="G439" s="1493"/>
      <c r="H439" s="1493"/>
      <c r="I439" s="1493"/>
      <c r="J439" s="1493"/>
      <c r="K439" s="1493"/>
      <c r="L439" s="1493"/>
      <c r="M439" s="1493"/>
      <c r="N439" s="1493"/>
      <c r="O439" s="1493"/>
      <c r="P439" s="1383"/>
      <c r="Q439" s="1383"/>
      <c r="R439" s="1383"/>
      <c r="S439" s="1383"/>
      <c r="T439" s="1383"/>
      <c r="U439" s="1383"/>
      <c r="V439" s="1383"/>
      <c r="W439" s="1383"/>
      <c r="X439" s="1383"/>
      <c r="Y439" s="1383"/>
      <c r="Z439" s="1383"/>
      <c r="AA439" s="1383"/>
      <c r="AB439" s="1383"/>
      <c r="AC439" s="1383"/>
      <c r="AD439" s="1383"/>
      <c r="AE439" s="1383"/>
      <c r="AF439" s="1383"/>
      <c r="AG439" s="1383"/>
      <c r="AH439" s="1383"/>
      <c r="AI439" s="1383"/>
      <c r="AJ439" s="1383"/>
      <c r="AK439" s="1383"/>
      <c r="AL439" s="1383"/>
      <c r="AM439" s="1383"/>
    </row>
    <row r="440" spans="2:39" ht="15.75" x14ac:dyDescent="0.25">
      <c r="B440" s="1372"/>
      <c r="C440" s="1372"/>
      <c r="D440" s="1717"/>
      <c r="E440" s="1420"/>
      <c r="F440" s="1493"/>
      <c r="G440" s="1493"/>
      <c r="H440" s="1493"/>
      <c r="I440" s="1493"/>
      <c r="J440" s="1493"/>
      <c r="K440" s="1493"/>
      <c r="L440" s="1493"/>
      <c r="M440" s="1493"/>
      <c r="N440" s="1493"/>
      <c r="O440" s="1493"/>
      <c r="P440" s="1383"/>
      <c r="Q440" s="1383"/>
      <c r="R440" s="1383"/>
      <c r="S440" s="1383"/>
      <c r="T440" s="1383"/>
      <c r="U440" s="1383"/>
      <c r="V440" s="1383"/>
      <c r="W440" s="1383"/>
      <c r="X440" s="1383"/>
      <c r="Y440" s="1383"/>
      <c r="Z440" s="1383"/>
      <c r="AA440" s="1383"/>
      <c r="AB440" s="1383"/>
      <c r="AC440" s="1383"/>
      <c r="AD440" s="1383"/>
      <c r="AE440" s="1383"/>
      <c r="AF440" s="1383"/>
      <c r="AG440" s="1383"/>
      <c r="AH440" s="1383"/>
      <c r="AI440" s="1383"/>
      <c r="AJ440" s="1383"/>
      <c r="AK440" s="1383"/>
      <c r="AL440" s="1383"/>
      <c r="AM440" s="1383"/>
    </row>
    <row r="441" spans="2:39" ht="15.75" x14ac:dyDescent="0.25">
      <c r="B441" s="1372"/>
      <c r="C441" s="1372"/>
      <c r="D441" s="1717"/>
      <c r="E441" s="1420"/>
      <c r="F441" s="1493"/>
      <c r="G441" s="1493"/>
      <c r="H441" s="1493"/>
      <c r="I441" s="1493"/>
      <c r="J441" s="1493"/>
      <c r="K441" s="1493"/>
      <c r="L441" s="1493"/>
      <c r="M441" s="1493"/>
      <c r="N441" s="1493"/>
      <c r="O441" s="1493"/>
      <c r="P441" s="1383"/>
      <c r="Q441" s="1383"/>
      <c r="R441" s="1383"/>
      <c r="S441" s="1383"/>
      <c r="T441" s="1383"/>
      <c r="U441" s="1383"/>
      <c r="V441" s="1383"/>
      <c r="W441" s="1383"/>
      <c r="X441" s="1383"/>
      <c r="Y441" s="1383"/>
      <c r="Z441" s="1383"/>
      <c r="AA441" s="1383"/>
      <c r="AB441" s="1383"/>
      <c r="AC441" s="1383"/>
      <c r="AD441" s="1383"/>
      <c r="AE441" s="1383"/>
      <c r="AF441" s="1383"/>
      <c r="AG441" s="1383"/>
      <c r="AH441" s="1383"/>
      <c r="AI441" s="1383"/>
      <c r="AJ441" s="1383"/>
      <c r="AK441" s="1383"/>
      <c r="AL441" s="1383"/>
      <c r="AM441" s="1383"/>
    </row>
    <row r="442" spans="2:39" ht="15.75" x14ac:dyDescent="0.25">
      <c r="B442" s="1372"/>
      <c r="C442" s="1372"/>
      <c r="D442" s="1717"/>
      <c r="E442" s="1420"/>
      <c r="F442" s="1493"/>
      <c r="G442" s="1493"/>
      <c r="H442" s="1493"/>
      <c r="I442" s="1493"/>
      <c r="J442" s="1493"/>
      <c r="K442" s="1493"/>
      <c r="L442" s="1493"/>
      <c r="M442" s="1493"/>
      <c r="N442" s="1493"/>
      <c r="O442" s="1493"/>
      <c r="P442" s="1383"/>
      <c r="Q442" s="1383"/>
      <c r="R442" s="1383"/>
      <c r="S442" s="1383"/>
      <c r="T442" s="1383"/>
      <c r="U442" s="1383"/>
      <c r="V442" s="1383"/>
      <c r="W442" s="1383"/>
      <c r="X442" s="1383"/>
      <c r="Y442" s="1383"/>
      <c r="Z442" s="1383"/>
      <c r="AA442" s="1383"/>
      <c r="AB442" s="1383"/>
      <c r="AC442" s="1383"/>
      <c r="AD442" s="1383"/>
      <c r="AE442" s="1383"/>
      <c r="AF442" s="1383"/>
      <c r="AG442" s="1383"/>
      <c r="AH442" s="1383"/>
      <c r="AI442" s="1383"/>
      <c r="AJ442" s="1383"/>
      <c r="AK442" s="1383"/>
      <c r="AL442" s="1383"/>
      <c r="AM442" s="1383"/>
    </row>
    <row r="443" spans="2:39" ht="15.75" x14ac:dyDescent="0.25">
      <c r="B443" s="1372"/>
      <c r="C443" s="1372"/>
      <c r="D443" s="1717"/>
      <c r="E443" s="1420"/>
      <c r="F443" s="1493"/>
      <c r="G443" s="1493"/>
      <c r="H443" s="1493"/>
      <c r="I443" s="1493"/>
      <c r="J443" s="1493"/>
      <c r="K443" s="1493"/>
      <c r="L443" s="1493"/>
      <c r="M443" s="1493"/>
      <c r="N443" s="1493"/>
      <c r="O443" s="1493"/>
      <c r="P443" s="1383"/>
      <c r="Q443" s="1383"/>
      <c r="R443" s="1383"/>
      <c r="S443" s="1383"/>
      <c r="T443" s="1383"/>
      <c r="U443" s="1383"/>
      <c r="V443" s="1383"/>
      <c r="W443" s="1383"/>
      <c r="X443" s="1383"/>
      <c r="Y443" s="1383"/>
      <c r="Z443" s="1383"/>
      <c r="AA443" s="1383"/>
      <c r="AB443" s="1383"/>
      <c r="AC443" s="1383"/>
      <c r="AD443" s="1383"/>
      <c r="AE443" s="1383"/>
      <c r="AF443" s="1383"/>
      <c r="AG443" s="1383"/>
      <c r="AH443" s="1383"/>
      <c r="AI443" s="1383"/>
      <c r="AJ443" s="1383"/>
      <c r="AK443" s="1383"/>
      <c r="AL443" s="1383"/>
      <c r="AM443" s="1383"/>
    </row>
    <row r="444" spans="2:39" ht="15.75" x14ac:dyDescent="0.25">
      <c r="B444" s="1372"/>
      <c r="C444" s="1372"/>
      <c r="D444" s="1717"/>
      <c r="E444" s="1420"/>
      <c r="F444" s="1493"/>
      <c r="G444" s="1493"/>
      <c r="H444" s="1493"/>
      <c r="I444" s="1493"/>
      <c r="J444" s="1493"/>
      <c r="K444" s="1493"/>
      <c r="L444" s="1493"/>
      <c r="M444" s="1493"/>
      <c r="N444" s="1493"/>
      <c r="O444" s="1493"/>
      <c r="P444" s="1383"/>
      <c r="Q444" s="1383"/>
      <c r="R444" s="1383"/>
      <c r="S444" s="1383"/>
      <c r="T444" s="1383"/>
      <c r="U444" s="1383"/>
      <c r="V444" s="1383"/>
      <c r="W444" s="1383"/>
      <c r="X444" s="1383"/>
      <c r="Y444" s="1383"/>
      <c r="Z444" s="1383"/>
      <c r="AA444" s="1383"/>
      <c r="AB444" s="1383"/>
      <c r="AC444" s="1383"/>
      <c r="AD444" s="1383"/>
      <c r="AE444" s="1383"/>
      <c r="AF444" s="1383"/>
      <c r="AG444" s="1383"/>
      <c r="AH444" s="1383"/>
      <c r="AI444" s="1383"/>
      <c r="AJ444" s="1383"/>
      <c r="AK444" s="1383"/>
      <c r="AL444" s="1383"/>
      <c r="AM444" s="1383"/>
    </row>
    <row r="445" spans="2:39" ht="15.75" x14ac:dyDescent="0.25">
      <c r="B445" s="1372"/>
      <c r="C445" s="1372"/>
      <c r="D445" s="1717"/>
      <c r="E445" s="1420"/>
      <c r="F445" s="1493"/>
      <c r="G445" s="1493"/>
      <c r="H445" s="1493"/>
      <c r="I445" s="1493"/>
      <c r="J445" s="1493"/>
      <c r="K445" s="1493"/>
      <c r="L445" s="1493"/>
      <c r="M445" s="1493"/>
      <c r="N445" s="1493"/>
      <c r="O445" s="1493"/>
      <c r="P445" s="1383"/>
      <c r="Q445" s="1383"/>
      <c r="R445" s="1383"/>
      <c r="S445" s="1383"/>
      <c r="T445" s="1383"/>
      <c r="U445" s="1383"/>
      <c r="V445" s="1383"/>
      <c r="W445" s="1383"/>
      <c r="X445" s="1383"/>
      <c r="Y445" s="1383"/>
      <c r="Z445" s="1383"/>
      <c r="AA445" s="1383"/>
      <c r="AB445" s="1383"/>
      <c r="AC445" s="1383"/>
      <c r="AD445" s="1383"/>
      <c r="AE445" s="1383"/>
      <c r="AF445" s="1383"/>
      <c r="AG445" s="1383"/>
      <c r="AH445" s="1383"/>
      <c r="AI445" s="1383"/>
      <c r="AJ445" s="1383"/>
      <c r="AK445" s="1383"/>
      <c r="AL445" s="1383"/>
      <c r="AM445" s="1383"/>
    </row>
    <row r="446" spans="2:39" ht="15.75" x14ac:dyDescent="0.25">
      <c r="B446" s="1372"/>
      <c r="C446" s="1372"/>
      <c r="D446" s="1717"/>
      <c r="E446" s="1420"/>
      <c r="F446" s="1493"/>
      <c r="G446" s="1493"/>
      <c r="H446" s="1493"/>
      <c r="I446" s="1493"/>
      <c r="J446" s="1493"/>
      <c r="K446" s="1493"/>
      <c r="L446" s="1493"/>
      <c r="M446" s="1493"/>
      <c r="N446" s="1493"/>
      <c r="O446" s="1493"/>
      <c r="P446" s="1383"/>
      <c r="Q446" s="1383"/>
      <c r="R446" s="1383"/>
      <c r="S446" s="1383"/>
      <c r="T446" s="1383"/>
      <c r="U446" s="1383"/>
      <c r="V446" s="1383"/>
      <c r="W446" s="1383"/>
      <c r="X446" s="1383"/>
      <c r="Y446" s="1383"/>
      <c r="Z446" s="1383"/>
      <c r="AA446" s="1383"/>
      <c r="AB446" s="1383"/>
      <c r="AC446" s="1383"/>
      <c r="AD446" s="1383"/>
      <c r="AE446" s="1383"/>
      <c r="AF446" s="1383"/>
      <c r="AG446" s="1383"/>
      <c r="AH446" s="1383"/>
      <c r="AI446" s="1383"/>
      <c r="AJ446" s="1383"/>
      <c r="AK446" s="1383"/>
      <c r="AL446" s="1383"/>
      <c r="AM446" s="1383"/>
    </row>
    <row r="447" spans="2:39" ht="15.75" x14ac:dyDescent="0.25">
      <c r="B447" s="1372"/>
      <c r="C447" s="1372"/>
      <c r="D447" s="1717"/>
      <c r="E447" s="1420"/>
      <c r="F447" s="1493"/>
      <c r="G447" s="1493"/>
      <c r="H447" s="1493"/>
      <c r="I447" s="1493"/>
      <c r="J447" s="1493"/>
      <c r="K447" s="1493"/>
      <c r="L447" s="1493"/>
      <c r="M447" s="1493"/>
      <c r="N447" s="1493"/>
      <c r="O447" s="1493"/>
      <c r="P447" s="1383"/>
      <c r="Q447" s="1383"/>
      <c r="R447" s="1383"/>
      <c r="S447" s="1383"/>
      <c r="T447" s="1383"/>
      <c r="U447" s="1383"/>
      <c r="V447" s="1383"/>
      <c r="W447" s="1383"/>
      <c r="X447" s="1383"/>
      <c r="Y447" s="1383"/>
      <c r="Z447" s="1383"/>
      <c r="AA447" s="1383"/>
      <c r="AB447" s="1383"/>
      <c r="AC447" s="1383"/>
      <c r="AD447" s="1383"/>
      <c r="AE447" s="1383"/>
      <c r="AF447" s="1383"/>
      <c r="AG447" s="1383"/>
      <c r="AH447" s="1383"/>
      <c r="AI447" s="1383"/>
      <c r="AJ447" s="1383"/>
      <c r="AK447" s="1383"/>
      <c r="AL447" s="1383"/>
      <c r="AM447" s="1383"/>
    </row>
    <row r="448" spans="2:39" ht="15.75" x14ac:dyDescent="0.25">
      <c r="B448" s="1372"/>
      <c r="C448" s="1372"/>
      <c r="D448" s="1717"/>
      <c r="E448" s="1420"/>
      <c r="F448" s="1493"/>
      <c r="G448" s="1493"/>
      <c r="H448" s="1493"/>
      <c r="I448" s="1493"/>
      <c r="J448" s="1493"/>
      <c r="K448" s="1493"/>
      <c r="L448" s="1493"/>
      <c r="M448" s="1493"/>
      <c r="N448" s="1493"/>
      <c r="O448" s="1493"/>
      <c r="P448" s="1383"/>
      <c r="Q448" s="1383"/>
      <c r="R448" s="1383"/>
      <c r="S448" s="1383"/>
      <c r="T448" s="1383"/>
      <c r="U448" s="1383"/>
      <c r="V448" s="1383"/>
      <c r="W448" s="1383"/>
      <c r="X448" s="1383"/>
      <c r="Y448" s="1383"/>
      <c r="Z448" s="1383"/>
      <c r="AA448" s="1383"/>
      <c r="AB448" s="1383"/>
      <c r="AC448" s="1383"/>
      <c r="AD448" s="1383"/>
      <c r="AE448" s="1383"/>
      <c r="AF448" s="1383"/>
      <c r="AG448" s="1383"/>
      <c r="AH448" s="1383"/>
      <c r="AI448" s="1383"/>
      <c r="AJ448" s="1383"/>
      <c r="AK448" s="1383"/>
      <c r="AL448" s="1383"/>
      <c r="AM448" s="1383"/>
    </row>
    <row r="449" spans="2:39" ht="15.75" x14ac:dyDescent="0.25">
      <c r="B449" s="1372"/>
      <c r="C449" s="1372"/>
      <c r="D449" s="1717"/>
      <c r="E449" s="1420"/>
      <c r="F449" s="1493"/>
      <c r="G449" s="1493"/>
      <c r="H449" s="1493"/>
      <c r="I449" s="1493"/>
      <c r="J449" s="1493"/>
      <c r="K449" s="1493"/>
      <c r="L449" s="1493"/>
      <c r="M449" s="1493"/>
      <c r="N449" s="1493"/>
      <c r="O449" s="1493"/>
      <c r="P449" s="1383"/>
      <c r="Q449" s="1383"/>
      <c r="R449" s="1383"/>
      <c r="S449" s="1383"/>
      <c r="T449" s="1383"/>
      <c r="U449" s="1383"/>
      <c r="V449" s="1383"/>
      <c r="W449" s="1383"/>
      <c r="X449" s="1383"/>
      <c r="Y449" s="1383"/>
      <c r="Z449" s="1383"/>
      <c r="AA449" s="1383"/>
      <c r="AB449" s="1383"/>
      <c r="AC449" s="1383"/>
      <c r="AD449" s="1383"/>
      <c r="AE449" s="1383"/>
      <c r="AF449" s="1383"/>
      <c r="AG449" s="1383"/>
      <c r="AH449" s="1383"/>
      <c r="AI449" s="1383"/>
      <c r="AJ449" s="1383"/>
      <c r="AK449" s="1383"/>
      <c r="AL449" s="1383"/>
      <c r="AM449" s="1383"/>
    </row>
    <row r="450" spans="2:39" ht="15.75" x14ac:dyDescent="0.25">
      <c r="B450" s="1372"/>
      <c r="C450" s="1372"/>
      <c r="D450" s="1717"/>
      <c r="E450" s="1420"/>
      <c r="F450" s="1493"/>
      <c r="G450" s="1493"/>
      <c r="H450" s="1493"/>
      <c r="I450" s="1493"/>
      <c r="J450" s="1493"/>
      <c r="K450" s="1493"/>
      <c r="L450" s="1493"/>
      <c r="M450" s="1493"/>
      <c r="N450" s="1493"/>
      <c r="O450" s="1493"/>
      <c r="P450" s="1383"/>
      <c r="Q450" s="1383"/>
      <c r="R450" s="1383"/>
      <c r="S450" s="1383"/>
      <c r="T450" s="1383"/>
      <c r="U450" s="1383"/>
      <c r="V450" s="1383"/>
      <c r="W450" s="1383"/>
      <c r="X450" s="1383"/>
      <c r="Y450" s="1383"/>
      <c r="Z450" s="1383"/>
      <c r="AA450" s="1383"/>
      <c r="AB450" s="1383"/>
      <c r="AC450" s="1383"/>
      <c r="AD450" s="1383"/>
      <c r="AE450" s="1383"/>
      <c r="AF450" s="1383"/>
      <c r="AG450" s="1383"/>
      <c r="AH450" s="1383"/>
      <c r="AI450" s="1383"/>
      <c r="AJ450" s="1383"/>
      <c r="AK450" s="1383"/>
      <c r="AL450" s="1383"/>
      <c r="AM450" s="1383"/>
    </row>
    <row r="451" spans="2:39" ht="15.75" x14ac:dyDescent="0.25">
      <c r="B451" s="1372"/>
      <c r="C451" s="1372"/>
      <c r="D451" s="1717"/>
      <c r="E451" s="1420"/>
      <c r="F451" s="1493"/>
      <c r="G451" s="1493"/>
      <c r="H451" s="1493"/>
      <c r="I451" s="1493"/>
      <c r="J451" s="1493"/>
      <c r="K451" s="1493"/>
      <c r="L451" s="1493"/>
      <c r="M451" s="1493"/>
      <c r="N451" s="1493"/>
      <c r="O451" s="1493"/>
      <c r="P451" s="1383"/>
      <c r="Q451" s="1383"/>
      <c r="R451" s="1383"/>
      <c r="S451" s="1383"/>
      <c r="T451" s="1383"/>
      <c r="U451" s="1383"/>
      <c r="V451" s="1383"/>
      <c r="W451" s="1383"/>
      <c r="X451" s="1383"/>
      <c r="Y451" s="1383"/>
      <c r="Z451" s="1383"/>
      <c r="AA451" s="1383"/>
      <c r="AB451" s="1383"/>
      <c r="AC451" s="1383"/>
      <c r="AD451" s="1383"/>
      <c r="AE451" s="1383"/>
      <c r="AF451" s="1383"/>
      <c r="AG451" s="1383"/>
      <c r="AH451" s="1383"/>
      <c r="AI451" s="1383"/>
      <c r="AJ451" s="1383"/>
      <c r="AK451" s="1383"/>
      <c r="AL451" s="1383"/>
      <c r="AM451" s="1383"/>
    </row>
    <row r="452" spans="2:39" ht="15.75" x14ac:dyDescent="0.25">
      <c r="B452" s="1372"/>
      <c r="C452" s="1372"/>
      <c r="D452" s="1717"/>
      <c r="E452" s="1420"/>
      <c r="F452" s="1493"/>
      <c r="G452" s="1493"/>
      <c r="H452" s="1493"/>
      <c r="I452" s="1493"/>
      <c r="J452" s="1493"/>
      <c r="K452" s="1493"/>
      <c r="L452" s="1493"/>
      <c r="M452" s="1493"/>
      <c r="N452" s="1493"/>
      <c r="O452" s="1493"/>
      <c r="P452" s="1383"/>
      <c r="Q452" s="1383"/>
      <c r="R452" s="1383"/>
      <c r="S452" s="1383"/>
      <c r="T452" s="1383"/>
      <c r="U452" s="1383"/>
      <c r="V452" s="1383"/>
      <c r="W452" s="1383"/>
      <c r="X452" s="1383"/>
      <c r="Y452" s="1383"/>
      <c r="Z452" s="1383"/>
      <c r="AA452" s="1383"/>
      <c r="AB452" s="1383"/>
      <c r="AC452" s="1383"/>
      <c r="AD452" s="1383"/>
      <c r="AE452" s="1383"/>
      <c r="AF452" s="1383"/>
      <c r="AG452" s="1383"/>
      <c r="AH452" s="1383"/>
      <c r="AI452" s="1383"/>
      <c r="AJ452" s="1383"/>
      <c r="AK452" s="1383"/>
      <c r="AL452" s="1383"/>
      <c r="AM452" s="1383"/>
    </row>
    <row r="453" spans="2:39" ht="15.75" x14ac:dyDescent="0.25">
      <c r="B453" s="1372"/>
      <c r="C453" s="1372"/>
      <c r="D453" s="1717"/>
      <c r="E453" s="1420"/>
      <c r="F453" s="1493"/>
      <c r="G453" s="1493"/>
      <c r="H453" s="1493"/>
      <c r="I453" s="1493"/>
      <c r="J453" s="1493"/>
      <c r="K453" s="1493"/>
      <c r="L453" s="1493"/>
      <c r="M453" s="1493"/>
      <c r="N453" s="1493"/>
      <c r="O453" s="1493"/>
      <c r="P453" s="1383"/>
      <c r="Q453" s="1383"/>
      <c r="R453" s="1383"/>
      <c r="S453" s="1383"/>
      <c r="T453" s="1383"/>
      <c r="U453" s="1383"/>
      <c r="V453" s="1383"/>
      <c r="W453" s="1383"/>
      <c r="X453" s="1383"/>
      <c r="Y453" s="1383"/>
      <c r="Z453" s="1383"/>
      <c r="AA453" s="1383"/>
      <c r="AB453" s="1383"/>
      <c r="AC453" s="1383"/>
      <c r="AD453" s="1383"/>
      <c r="AE453" s="1383"/>
      <c r="AF453" s="1383"/>
      <c r="AG453" s="1383"/>
      <c r="AH453" s="1383"/>
      <c r="AI453" s="1383"/>
      <c r="AJ453" s="1383"/>
      <c r="AK453" s="1383"/>
      <c r="AL453" s="1383"/>
      <c r="AM453" s="1383"/>
    </row>
    <row r="454" spans="2:39" ht="15.75" x14ac:dyDescent="0.25">
      <c r="B454" s="1372"/>
      <c r="C454" s="1372"/>
      <c r="D454" s="1717"/>
      <c r="E454" s="1420"/>
      <c r="F454" s="1493"/>
      <c r="G454" s="1493"/>
      <c r="H454" s="1493"/>
      <c r="I454" s="1493"/>
      <c r="J454" s="1493"/>
      <c r="K454" s="1493"/>
      <c r="L454" s="1493"/>
      <c r="M454" s="1493"/>
      <c r="N454" s="1493"/>
      <c r="O454" s="1493"/>
      <c r="P454" s="1383"/>
      <c r="Q454" s="1383"/>
      <c r="R454" s="1383"/>
      <c r="S454" s="1383"/>
      <c r="T454" s="1383"/>
      <c r="U454" s="1383"/>
      <c r="V454" s="1383"/>
      <c r="W454" s="1383"/>
      <c r="X454" s="1383"/>
      <c r="Y454" s="1383"/>
      <c r="Z454" s="1383"/>
      <c r="AA454" s="1383"/>
      <c r="AB454" s="1383"/>
      <c r="AC454" s="1383"/>
      <c r="AD454" s="1383"/>
      <c r="AE454" s="1383"/>
      <c r="AF454" s="1383"/>
      <c r="AG454" s="1383"/>
      <c r="AH454" s="1383"/>
      <c r="AI454" s="1383"/>
      <c r="AJ454" s="1383"/>
      <c r="AK454" s="1383"/>
      <c r="AL454" s="1383"/>
      <c r="AM454" s="1383"/>
    </row>
    <row r="455" spans="2:39" ht="15.75" x14ac:dyDescent="0.25">
      <c r="B455" s="1372"/>
      <c r="C455" s="1372"/>
      <c r="D455" s="1717"/>
      <c r="E455" s="1420"/>
      <c r="F455" s="1493"/>
      <c r="G455" s="1493"/>
      <c r="H455" s="1493"/>
      <c r="I455" s="1493"/>
      <c r="J455" s="1493"/>
      <c r="K455" s="1493"/>
      <c r="L455" s="1493"/>
      <c r="M455" s="1493"/>
      <c r="N455" s="1493"/>
      <c r="O455" s="1493"/>
      <c r="P455" s="1383"/>
      <c r="Q455" s="1383"/>
      <c r="R455" s="1383"/>
      <c r="S455" s="1383"/>
      <c r="T455" s="1383"/>
      <c r="U455" s="1383"/>
      <c r="V455" s="1383"/>
      <c r="W455" s="1383"/>
      <c r="X455" s="1383"/>
      <c r="Y455" s="1383"/>
      <c r="Z455" s="1383"/>
      <c r="AA455" s="1383"/>
      <c r="AB455" s="1383"/>
      <c r="AC455" s="1383"/>
      <c r="AD455" s="1383"/>
      <c r="AE455" s="1383"/>
      <c r="AF455" s="1383"/>
      <c r="AG455" s="1383"/>
      <c r="AH455" s="1383"/>
      <c r="AI455" s="1383"/>
      <c r="AJ455" s="1383"/>
      <c r="AK455" s="1383"/>
      <c r="AL455" s="1383"/>
      <c r="AM455" s="1383"/>
    </row>
    <row r="456" spans="2:39" ht="15.75" x14ac:dyDescent="0.25">
      <c r="B456" s="1372"/>
      <c r="C456" s="1372"/>
      <c r="D456" s="1717"/>
      <c r="E456" s="1420"/>
      <c r="F456" s="1493"/>
      <c r="G456" s="1493"/>
      <c r="H456" s="1493"/>
      <c r="I456" s="1493"/>
      <c r="J456" s="1493"/>
      <c r="K456" s="1493"/>
      <c r="L456" s="1493"/>
      <c r="M456" s="1493"/>
      <c r="N456" s="1493"/>
      <c r="O456" s="1493"/>
      <c r="P456" s="1383"/>
      <c r="Q456" s="1383"/>
      <c r="R456" s="1383"/>
      <c r="S456" s="1383"/>
      <c r="T456" s="1383"/>
      <c r="U456" s="1383"/>
      <c r="V456" s="1383"/>
      <c r="W456" s="1383"/>
      <c r="X456" s="1383"/>
      <c r="Y456" s="1383"/>
      <c r="Z456" s="1383"/>
      <c r="AA456" s="1383"/>
      <c r="AB456" s="1383"/>
      <c r="AC456" s="1383"/>
      <c r="AD456" s="1383"/>
      <c r="AE456" s="1383"/>
      <c r="AF456" s="1383"/>
      <c r="AG456" s="1383"/>
      <c r="AH456" s="1383"/>
      <c r="AI456" s="1383"/>
      <c r="AJ456" s="1383"/>
      <c r="AK456" s="1383"/>
      <c r="AL456" s="1383"/>
      <c r="AM456" s="1383"/>
    </row>
    <row r="457" spans="2:39" ht="15.75" x14ac:dyDescent="0.25">
      <c r="B457" s="1372"/>
      <c r="C457" s="1372"/>
      <c r="D457" s="1717"/>
      <c r="E457" s="1420"/>
      <c r="F457" s="1493"/>
      <c r="G457" s="1493"/>
      <c r="H457" s="1493"/>
      <c r="I457" s="1493"/>
      <c r="J457" s="1493"/>
      <c r="K457" s="1493"/>
      <c r="L457" s="1493"/>
      <c r="M457" s="1493"/>
      <c r="N457" s="1493"/>
      <c r="O457" s="1493"/>
      <c r="P457" s="1383"/>
      <c r="Q457" s="1383"/>
      <c r="R457" s="1383"/>
      <c r="S457" s="1383"/>
      <c r="T457" s="1383"/>
      <c r="U457" s="1383"/>
      <c r="V457" s="1383"/>
      <c r="W457" s="1383"/>
      <c r="X457" s="1383"/>
      <c r="Y457" s="1383"/>
      <c r="Z457" s="1383"/>
      <c r="AA457" s="1383"/>
      <c r="AB457" s="1383"/>
      <c r="AC457" s="1383"/>
      <c r="AD457" s="1383"/>
      <c r="AE457" s="1383"/>
      <c r="AF457" s="1383"/>
      <c r="AG457" s="1383"/>
      <c r="AH457" s="1383"/>
      <c r="AI457" s="1383"/>
      <c r="AJ457" s="1383"/>
      <c r="AK457" s="1383"/>
      <c r="AL457" s="1383"/>
      <c r="AM457" s="1383"/>
    </row>
    <row r="458" spans="2:39" ht="15.75" x14ac:dyDescent="0.25">
      <c r="B458" s="1372"/>
      <c r="C458" s="1372"/>
      <c r="D458" s="1717"/>
      <c r="E458" s="1420"/>
      <c r="F458" s="1493"/>
      <c r="G458" s="1493"/>
      <c r="H458" s="1493"/>
      <c r="I458" s="1493"/>
      <c r="J458" s="1493"/>
      <c r="K458" s="1493"/>
      <c r="L458" s="1493"/>
      <c r="M458" s="1493"/>
      <c r="N458" s="1493"/>
      <c r="O458" s="1493"/>
      <c r="P458" s="1383"/>
      <c r="Q458" s="1383"/>
      <c r="R458" s="1383"/>
      <c r="S458" s="1383"/>
      <c r="T458" s="1383"/>
      <c r="U458" s="1383"/>
      <c r="V458" s="1383"/>
      <c r="W458" s="1383"/>
      <c r="X458" s="1383"/>
      <c r="Y458" s="1383"/>
      <c r="Z458" s="1383"/>
      <c r="AA458" s="1383"/>
      <c r="AB458" s="1383"/>
      <c r="AC458" s="1383"/>
      <c r="AD458" s="1383"/>
      <c r="AE458" s="1383"/>
      <c r="AF458" s="1383"/>
      <c r="AG458" s="1383"/>
      <c r="AH458" s="1383"/>
      <c r="AI458" s="1383"/>
      <c r="AJ458" s="1383"/>
      <c r="AK458" s="1383"/>
      <c r="AL458" s="1383"/>
      <c r="AM458" s="1383"/>
    </row>
    <row r="459" spans="2:39" ht="15.75" x14ac:dyDescent="0.25">
      <c r="B459" s="1372"/>
      <c r="C459" s="1372"/>
      <c r="D459" s="1717"/>
      <c r="E459" s="1420"/>
      <c r="F459" s="1493"/>
      <c r="G459" s="1493"/>
      <c r="H459" s="1493"/>
      <c r="I459" s="1493"/>
      <c r="J459" s="1493"/>
      <c r="K459" s="1493"/>
      <c r="L459" s="1493"/>
      <c r="M459" s="1493"/>
      <c r="N459" s="1493"/>
      <c r="O459" s="1493"/>
      <c r="P459" s="1383"/>
      <c r="Q459" s="1383"/>
      <c r="R459" s="1383"/>
      <c r="S459" s="1383"/>
      <c r="T459" s="1383"/>
      <c r="U459" s="1383"/>
      <c r="V459" s="1383"/>
      <c r="W459" s="1383"/>
      <c r="X459" s="1383"/>
      <c r="Y459" s="1383"/>
      <c r="Z459" s="1383"/>
      <c r="AA459" s="1383"/>
      <c r="AB459" s="1383"/>
      <c r="AC459" s="1383"/>
      <c r="AD459" s="1383"/>
      <c r="AE459" s="1383"/>
      <c r="AF459" s="1383"/>
      <c r="AG459" s="1383"/>
      <c r="AH459" s="1383"/>
      <c r="AI459" s="1383"/>
      <c r="AJ459" s="1383"/>
      <c r="AK459" s="1383"/>
      <c r="AL459" s="1383"/>
      <c r="AM459" s="1383"/>
    </row>
    <row r="460" spans="2:39" ht="15.75" x14ac:dyDescent="0.25">
      <c r="B460" s="1372"/>
      <c r="C460" s="1372"/>
      <c r="D460" s="1717"/>
      <c r="E460" s="1420"/>
      <c r="F460" s="1493"/>
      <c r="G460" s="1493"/>
      <c r="H460" s="1493"/>
      <c r="I460" s="1493"/>
      <c r="J460" s="1493"/>
      <c r="K460" s="1493"/>
      <c r="L460" s="1493"/>
      <c r="M460" s="1493"/>
      <c r="N460" s="1493"/>
      <c r="O460" s="1493"/>
      <c r="P460" s="1383"/>
      <c r="Q460" s="1383"/>
      <c r="R460" s="1383"/>
      <c r="S460" s="1383"/>
      <c r="T460" s="1383"/>
      <c r="U460" s="1383"/>
      <c r="V460" s="1383"/>
      <c r="W460" s="1383"/>
      <c r="X460" s="1383"/>
      <c r="Y460" s="1383"/>
      <c r="Z460" s="1383"/>
      <c r="AA460" s="1383"/>
      <c r="AB460" s="1383"/>
      <c r="AC460" s="1383"/>
      <c r="AD460" s="1383"/>
      <c r="AE460" s="1383"/>
      <c r="AF460" s="1383"/>
      <c r="AG460" s="1383"/>
      <c r="AH460" s="1383"/>
      <c r="AI460" s="1383"/>
      <c r="AJ460" s="1383"/>
      <c r="AK460" s="1383"/>
      <c r="AL460" s="1383"/>
      <c r="AM460" s="1383"/>
    </row>
    <row r="461" spans="2:39" ht="15.75" x14ac:dyDescent="0.25">
      <c r="B461" s="1372"/>
      <c r="C461" s="1372"/>
      <c r="D461" s="1717"/>
      <c r="E461" s="1420"/>
      <c r="F461" s="1493"/>
      <c r="G461" s="1493"/>
      <c r="H461" s="1493"/>
      <c r="I461" s="1493"/>
      <c r="J461" s="1493"/>
      <c r="K461" s="1493"/>
      <c r="L461" s="1493"/>
      <c r="M461" s="1493"/>
      <c r="N461" s="1493"/>
      <c r="O461" s="1493"/>
      <c r="P461" s="1383"/>
      <c r="Q461" s="1383"/>
      <c r="R461" s="1383"/>
      <c r="S461" s="1383"/>
      <c r="T461" s="1383"/>
      <c r="U461" s="1383"/>
      <c r="V461" s="1383"/>
      <c r="W461" s="1383"/>
      <c r="X461" s="1383"/>
      <c r="Y461" s="1383"/>
      <c r="Z461" s="1383"/>
      <c r="AA461" s="1383"/>
      <c r="AB461" s="1383"/>
      <c r="AC461" s="1383"/>
      <c r="AD461" s="1383"/>
      <c r="AE461" s="1383"/>
      <c r="AF461" s="1383"/>
      <c r="AG461" s="1383"/>
      <c r="AH461" s="1383"/>
      <c r="AI461" s="1383"/>
      <c r="AJ461" s="1383"/>
      <c r="AK461" s="1383"/>
      <c r="AL461" s="1383"/>
      <c r="AM461" s="1383"/>
    </row>
    <row r="462" spans="2:39" ht="15.75" x14ac:dyDescent="0.25">
      <c r="B462" s="1372"/>
      <c r="C462" s="1372"/>
      <c r="D462" s="1717"/>
      <c r="E462" s="1420"/>
      <c r="F462" s="1493"/>
      <c r="G462" s="1493"/>
      <c r="H462" s="1493"/>
      <c r="I462" s="1493"/>
      <c r="J462" s="1493"/>
      <c r="K462" s="1493"/>
      <c r="L462" s="1493"/>
      <c r="M462" s="1493"/>
      <c r="N462" s="1493"/>
      <c r="O462" s="1493"/>
      <c r="P462" s="1383"/>
      <c r="Q462" s="1383"/>
      <c r="R462" s="1383"/>
      <c r="S462" s="1383"/>
      <c r="T462" s="1383"/>
      <c r="U462" s="1383"/>
      <c r="V462" s="1383"/>
      <c r="W462" s="1383"/>
      <c r="X462" s="1383"/>
      <c r="Y462" s="1383"/>
      <c r="Z462" s="1383"/>
      <c r="AA462" s="1383"/>
      <c r="AB462" s="1383"/>
      <c r="AC462" s="1383"/>
      <c r="AD462" s="1383"/>
      <c r="AE462" s="1383"/>
      <c r="AF462" s="1383"/>
      <c r="AG462" s="1383"/>
      <c r="AH462" s="1383"/>
      <c r="AI462" s="1383"/>
      <c r="AJ462" s="1383"/>
      <c r="AK462" s="1383"/>
      <c r="AL462" s="1383"/>
      <c r="AM462" s="1383"/>
    </row>
    <row r="463" spans="2:39" ht="15.75" x14ac:dyDescent="0.25">
      <c r="B463" s="1372"/>
      <c r="C463" s="1372"/>
      <c r="D463" s="1717"/>
      <c r="E463" s="1420"/>
      <c r="F463" s="1493"/>
      <c r="G463" s="1493"/>
      <c r="H463" s="1493"/>
      <c r="I463" s="1493"/>
      <c r="J463" s="1493"/>
      <c r="K463" s="1493"/>
      <c r="L463" s="1493"/>
      <c r="M463" s="1493"/>
      <c r="N463" s="1493"/>
      <c r="O463" s="1493"/>
      <c r="P463" s="1383"/>
      <c r="Q463" s="1383"/>
      <c r="R463" s="1383"/>
      <c r="S463" s="1383"/>
      <c r="T463" s="1383"/>
      <c r="U463" s="1383"/>
      <c r="V463" s="1383"/>
      <c r="W463" s="1383"/>
      <c r="X463" s="1383"/>
      <c r="Y463" s="1383"/>
      <c r="Z463" s="1383"/>
      <c r="AA463" s="1383"/>
      <c r="AB463" s="1383"/>
      <c r="AC463" s="1383"/>
      <c r="AD463" s="1383"/>
      <c r="AE463" s="1383"/>
      <c r="AF463" s="1383"/>
      <c r="AG463" s="1383"/>
      <c r="AH463" s="1383"/>
      <c r="AI463" s="1383"/>
      <c r="AJ463" s="1383"/>
      <c r="AK463" s="1383"/>
      <c r="AL463" s="1383"/>
      <c r="AM463" s="1383"/>
    </row>
    <row r="464" spans="2:39" ht="15.75" x14ac:dyDescent="0.25">
      <c r="B464" s="1372"/>
      <c r="C464" s="1372"/>
      <c r="D464" s="1717"/>
      <c r="E464" s="1420"/>
      <c r="F464" s="1493"/>
      <c r="G464" s="1493"/>
      <c r="H464" s="1493"/>
      <c r="I464" s="1493"/>
      <c r="J464" s="1493"/>
      <c r="K464" s="1493"/>
      <c r="L464" s="1493"/>
      <c r="M464" s="1493"/>
      <c r="N464" s="1493"/>
      <c r="O464" s="1493"/>
      <c r="P464" s="1383"/>
      <c r="Q464" s="1383"/>
      <c r="R464" s="1383"/>
      <c r="S464" s="1383"/>
      <c r="T464" s="1383"/>
      <c r="U464" s="1383"/>
      <c r="V464" s="1383"/>
      <c r="W464" s="1383"/>
      <c r="X464" s="1383"/>
      <c r="Y464" s="1383"/>
      <c r="Z464" s="1383"/>
      <c r="AA464" s="1383"/>
      <c r="AB464" s="1383"/>
      <c r="AC464" s="1383"/>
      <c r="AD464" s="1383"/>
      <c r="AE464" s="1383"/>
      <c r="AF464" s="1383"/>
      <c r="AG464" s="1383"/>
      <c r="AH464" s="1383"/>
      <c r="AI464" s="1383"/>
      <c r="AJ464" s="1383"/>
      <c r="AK464" s="1383"/>
      <c r="AL464" s="1383"/>
      <c r="AM464" s="1383"/>
    </row>
    <row r="465" spans="2:39" ht="15.75" x14ac:dyDescent="0.25">
      <c r="B465" s="1372"/>
      <c r="C465" s="1372"/>
      <c r="D465" s="1717"/>
      <c r="E465" s="1420"/>
      <c r="F465" s="1493"/>
      <c r="G465" s="1493"/>
      <c r="H465" s="1493"/>
      <c r="I465" s="1493"/>
      <c r="J465" s="1493"/>
      <c r="K465" s="1493"/>
      <c r="L465" s="1493"/>
      <c r="M465" s="1493"/>
      <c r="N465" s="1493"/>
      <c r="O465" s="1493"/>
      <c r="P465" s="1383"/>
      <c r="Q465" s="1383"/>
      <c r="R465" s="1383"/>
      <c r="S465" s="1383"/>
      <c r="T465" s="1383"/>
      <c r="U465" s="1383"/>
      <c r="V465" s="1383"/>
      <c r="W465" s="1383"/>
      <c r="X465" s="1383"/>
      <c r="Y465" s="1383"/>
      <c r="Z465" s="1383"/>
      <c r="AA465" s="1383"/>
      <c r="AB465" s="1383"/>
      <c r="AC465" s="1383"/>
      <c r="AD465" s="1383"/>
      <c r="AE465" s="1383"/>
      <c r="AF465" s="1383"/>
      <c r="AG465" s="1383"/>
      <c r="AH465" s="1383"/>
      <c r="AI465" s="1383"/>
      <c r="AJ465" s="1383"/>
      <c r="AK465" s="1383"/>
      <c r="AL465" s="1383"/>
      <c r="AM465" s="1383"/>
    </row>
    <row r="466" spans="2:39" ht="15.75" x14ac:dyDescent="0.25">
      <c r="B466" s="1372"/>
      <c r="C466" s="1372"/>
      <c r="D466" s="1717"/>
      <c r="E466" s="1420"/>
      <c r="F466" s="1493"/>
      <c r="G466" s="1493"/>
      <c r="H466" s="1493"/>
      <c r="I466" s="1493"/>
      <c r="J466" s="1493"/>
      <c r="K466" s="1493"/>
      <c r="L466" s="1493"/>
      <c r="M466" s="1493"/>
      <c r="N466" s="1493"/>
      <c r="O466" s="1493"/>
      <c r="P466" s="1383"/>
      <c r="Q466" s="1383"/>
      <c r="R466" s="1383"/>
      <c r="S466" s="1383"/>
      <c r="T466" s="1383"/>
      <c r="U466" s="1383"/>
      <c r="V466" s="1383"/>
      <c r="W466" s="1383"/>
      <c r="X466" s="1383"/>
      <c r="Y466" s="1383"/>
      <c r="Z466" s="1383"/>
      <c r="AA466" s="1383"/>
      <c r="AB466" s="1383"/>
      <c r="AC466" s="1383"/>
      <c r="AD466" s="1383"/>
      <c r="AE466" s="1383"/>
      <c r="AF466" s="1383"/>
      <c r="AG466" s="1383"/>
      <c r="AH466" s="1383"/>
      <c r="AI466" s="1383"/>
      <c r="AJ466" s="1383"/>
      <c r="AK466" s="1383"/>
      <c r="AL466" s="1383"/>
      <c r="AM466" s="1383"/>
    </row>
    <row r="467" spans="2:39" ht="15.75" x14ac:dyDescent="0.25">
      <c r="B467" s="1372"/>
      <c r="C467" s="1372"/>
      <c r="D467" s="1717"/>
      <c r="E467" s="1420"/>
      <c r="F467" s="1493"/>
      <c r="G467" s="1493"/>
      <c r="H467" s="1493"/>
      <c r="I467" s="1493"/>
      <c r="J467" s="1493"/>
      <c r="K467" s="1493"/>
      <c r="L467" s="1493"/>
      <c r="M467" s="1493"/>
      <c r="N467" s="1493"/>
      <c r="O467" s="1493"/>
      <c r="P467" s="1383"/>
      <c r="Q467" s="1383"/>
      <c r="R467" s="1383"/>
      <c r="S467" s="1383"/>
      <c r="T467" s="1383"/>
      <c r="U467" s="1383"/>
      <c r="V467" s="1383"/>
      <c r="W467" s="1383"/>
      <c r="X467" s="1383"/>
      <c r="Y467" s="1383"/>
      <c r="Z467" s="1383"/>
      <c r="AA467" s="1383"/>
      <c r="AB467" s="1383"/>
      <c r="AC467" s="1383"/>
      <c r="AD467" s="1383"/>
      <c r="AE467" s="1383"/>
      <c r="AF467" s="1383"/>
      <c r="AG467" s="1383"/>
      <c r="AH467" s="1383"/>
      <c r="AI467" s="1383"/>
      <c r="AJ467" s="1383"/>
      <c r="AK467" s="1383"/>
      <c r="AL467" s="1383"/>
      <c r="AM467" s="1383"/>
    </row>
    <row r="468" spans="2:39" ht="15.75" x14ac:dyDescent="0.25">
      <c r="B468" s="1372"/>
      <c r="C468" s="1372"/>
      <c r="D468" s="1717"/>
      <c r="E468" s="1420"/>
      <c r="F468" s="1493"/>
      <c r="G468" s="1493"/>
      <c r="H468" s="1493"/>
      <c r="I468" s="1493"/>
      <c r="J468" s="1493"/>
      <c r="K468" s="1493"/>
      <c r="L468" s="1493"/>
      <c r="M468" s="1493"/>
      <c r="N468" s="1493"/>
      <c r="O468" s="1493"/>
      <c r="P468" s="1383"/>
      <c r="Q468" s="1383"/>
      <c r="R468" s="1383"/>
      <c r="S468" s="1383"/>
      <c r="T468" s="1383"/>
      <c r="U468" s="1383"/>
      <c r="V468" s="1383"/>
      <c r="W468" s="1383"/>
      <c r="X468" s="1383"/>
      <c r="Y468" s="1383"/>
      <c r="Z468" s="1383"/>
      <c r="AA468" s="1383"/>
      <c r="AB468" s="1383"/>
      <c r="AC468" s="1383"/>
      <c r="AD468" s="1383"/>
      <c r="AE468" s="1383"/>
      <c r="AF468" s="1383"/>
      <c r="AG468" s="1383"/>
      <c r="AH468" s="1383"/>
      <c r="AI468" s="1383"/>
      <c r="AJ468" s="1383"/>
      <c r="AK468" s="1383"/>
      <c r="AL468" s="1383"/>
      <c r="AM468" s="1383"/>
    </row>
    <row r="469" spans="2:39" ht="15.75" x14ac:dyDescent="0.25">
      <c r="B469" s="1372"/>
      <c r="C469" s="1372"/>
      <c r="D469" s="1717"/>
      <c r="E469" s="1420"/>
      <c r="F469" s="1493"/>
      <c r="G469" s="1493"/>
      <c r="H469" s="1493"/>
      <c r="I469" s="1493"/>
      <c r="J469" s="1493"/>
      <c r="K469" s="1493"/>
      <c r="L469" s="1493"/>
      <c r="M469" s="1493"/>
      <c r="N469" s="1493"/>
      <c r="O469" s="1493"/>
      <c r="P469" s="1383"/>
      <c r="Q469" s="1383"/>
      <c r="R469" s="1383"/>
      <c r="S469" s="1383"/>
      <c r="T469" s="1383"/>
      <c r="U469" s="1383"/>
      <c r="V469" s="1383"/>
      <c r="W469" s="1383"/>
      <c r="X469" s="1383"/>
      <c r="Y469" s="1383"/>
      <c r="Z469" s="1383"/>
      <c r="AA469" s="1383"/>
      <c r="AB469" s="1383"/>
      <c r="AC469" s="1383"/>
      <c r="AD469" s="1383"/>
      <c r="AE469" s="1383"/>
      <c r="AF469" s="1383"/>
      <c r="AG469" s="1383"/>
      <c r="AH469" s="1383"/>
      <c r="AI469" s="1383"/>
      <c r="AJ469" s="1383"/>
      <c r="AK469" s="1383"/>
      <c r="AL469" s="1383"/>
      <c r="AM469" s="1383"/>
    </row>
    <row r="470" spans="2:39" ht="15.75" x14ac:dyDescent="0.25">
      <c r="B470" s="1372"/>
      <c r="C470" s="1372"/>
      <c r="D470" s="1717"/>
      <c r="E470" s="1420"/>
      <c r="F470" s="1493"/>
      <c r="G470" s="1493"/>
      <c r="H470" s="1493"/>
      <c r="I470" s="1493"/>
      <c r="J470" s="1493"/>
      <c r="K470" s="1493"/>
      <c r="L470" s="1493"/>
      <c r="M470" s="1493"/>
      <c r="N470" s="1493"/>
      <c r="O470" s="1493"/>
      <c r="P470" s="1383"/>
      <c r="Q470" s="1383"/>
      <c r="R470" s="1383"/>
      <c r="S470" s="1383"/>
      <c r="T470" s="1383"/>
      <c r="U470" s="1383"/>
      <c r="V470" s="1383"/>
      <c r="W470" s="1383"/>
      <c r="X470" s="1383"/>
      <c r="Y470" s="1383"/>
      <c r="Z470" s="1383"/>
      <c r="AA470" s="1383"/>
      <c r="AB470" s="1383"/>
      <c r="AC470" s="1383"/>
      <c r="AD470" s="1383"/>
      <c r="AE470" s="1383"/>
      <c r="AF470" s="1383"/>
      <c r="AG470" s="1383"/>
      <c r="AH470" s="1383"/>
      <c r="AI470" s="1383"/>
      <c r="AJ470" s="1383"/>
      <c r="AK470" s="1383"/>
      <c r="AL470" s="1383"/>
      <c r="AM470" s="1383"/>
    </row>
    <row r="471" spans="2:39" ht="15.75" x14ac:dyDescent="0.25">
      <c r="B471" s="1372"/>
      <c r="C471" s="1372"/>
      <c r="D471" s="1717"/>
      <c r="E471" s="1420"/>
      <c r="F471" s="1493"/>
      <c r="G471" s="1493"/>
      <c r="H471" s="1493"/>
      <c r="I471" s="1493"/>
      <c r="J471" s="1493"/>
      <c r="K471" s="1493"/>
      <c r="L471" s="1493"/>
      <c r="M471" s="1493"/>
      <c r="N471" s="1493"/>
      <c r="O471" s="1493"/>
      <c r="P471" s="1383"/>
      <c r="Q471" s="1383"/>
      <c r="R471" s="1383"/>
      <c r="S471" s="1383"/>
      <c r="T471" s="1383"/>
      <c r="U471" s="1383"/>
      <c r="V471" s="1383"/>
      <c r="W471" s="1383"/>
      <c r="X471" s="1383"/>
      <c r="Y471" s="1383"/>
      <c r="Z471" s="1383"/>
      <c r="AA471" s="1383"/>
      <c r="AB471" s="1383"/>
      <c r="AC471" s="1383"/>
      <c r="AD471" s="1383"/>
      <c r="AE471" s="1383"/>
      <c r="AF471" s="1383"/>
      <c r="AG471" s="1383"/>
      <c r="AH471" s="1383"/>
      <c r="AI471" s="1383"/>
      <c r="AJ471" s="1383"/>
      <c r="AK471" s="1383"/>
      <c r="AL471" s="1383"/>
      <c r="AM471" s="1383"/>
    </row>
    <row r="472" spans="2:39" ht="15.75" x14ac:dyDescent="0.25">
      <c r="B472" s="1372"/>
      <c r="C472" s="1372"/>
      <c r="D472" s="1717"/>
      <c r="E472" s="1420"/>
      <c r="F472" s="1493"/>
      <c r="G472" s="1493"/>
      <c r="H472" s="1493"/>
      <c r="I472" s="1493"/>
      <c r="J472" s="1493"/>
      <c r="K472" s="1493"/>
      <c r="L472" s="1493"/>
      <c r="M472" s="1493"/>
      <c r="N472" s="1493"/>
      <c r="O472" s="1493"/>
      <c r="P472" s="1383"/>
      <c r="Q472" s="1383"/>
      <c r="R472" s="1383"/>
      <c r="S472" s="1383"/>
      <c r="T472" s="1383"/>
      <c r="U472" s="1383"/>
      <c r="V472" s="1383"/>
      <c r="W472" s="1383"/>
      <c r="X472" s="1383"/>
      <c r="Y472" s="1383"/>
      <c r="Z472" s="1383"/>
      <c r="AA472" s="1383"/>
      <c r="AB472" s="1383"/>
      <c r="AC472" s="1383"/>
      <c r="AD472" s="1383"/>
      <c r="AE472" s="1383"/>
      <c r="AF472" s="1383"/>
      <c r="AG472" s="1383"/>
      <c r="AH472" s="1383"/>
      <c r="AI472" s="1383"/>
      <c r="AJ472" s="1383"/>
      <c r="AK472" s="1383"/>
      <c r="AL472" s="1383"/>
      <c r="AM472" s="1383"/>
    </row>
    <row r="473" spans="2:39" ht="15.75" x14ac:dyDescent="0.25">
      <c r="B473" s="1372"/>
      <c r="C473" s="1372"/>
      <c r="D473" s="1717"/>
      <c r="E473" s="1420"/>
      <c r="F473" s="1493"/>
      <c r="G473" s="1493"/>
      <c r="H473" s="1493"/>
      <c r="I473" s="1493"/>
      <c r="J473" s="1493"/>
      <c r="K473" s="1493"/>
      <c r="L473" s="1493"/>
      <c r="M473" s="1493"/>
      <c r="N473" s="1493"/>
      <c r="O473" s="1493"/>
      <c r="P473" s="1383"/>
      <c r="Q473" s="1383"/>
      <c r="R473" s="1383"/>
      <c r="S473" s="1383"/>
      <c r="T473" s="1383"/>
      <c r="U473" s="1383"/>
      <c r="V473" s="1383"/>
      <c r="W473" s="1383"/>
      <c r="X473" s="1383"/>
      <c r="Y473" s="1383"/>
      <c r="Z473" s="1383"/>
      <c r="AA473" s="1383"/>
      <c r="AB473" s="1383"/>
      <c r="AC473" s="1383"/>
      <c r="AD473" s="1383"/>
      <c r="AE473" s="1383"/>
      <c r="AF473" s="1383"/>
      <c r="AG473" s="1383"/>
      <c r="AH473" s="1383"/>
      <c r="AI473" s="1383"/>
      <c r="AJ473" s="1383"/>
      <c r="AK473" s="1383"/>
      <c r="AL473" s="1383"/>
      <c r="AM473" s="1383"/>
    </row>
    <row r="474" spans="2:39" ht="15.75" x14ac:dyDescent="0.25">
      <c r="B474" s="1372"/>
      <c r="C474" s="1372"/>
      <c r="D474" s="1717"/>
      <c r="E474" s="1420"/>
      <c r="F474" s="1493"/>
      <c r="G474" s="1493"/>
      <c r="H474" s="1493"/>
      <c r="I474" s="1493"/>
      <c r="J474" s="1493"/>
      <c r="K474" s="1493"/>
      <c r="L474" s="1493"/>
      <c r="M474" s="1493"/>
      <c r="N474" s="1493"/>
      <c r="O474" s="1493"/>
      <c r="P474" s="1383"/>
      <c r="Q474" s="1383"/>
      <c r="R474" s="1383"/>
      <c r="S474" s="1383"/>
      <c r="T474" s="1383"/>
      <c r="U474" s="1383"/>
      <c r="V474" s="1383"/>
      <c r="W474" s="1383"/>
      <c r="X474" s="1383"/>
      <c r="Y474" s="1383"/>
      <c r="Z474" s="1383"/>
      <c r="AA474" s="1383"/>
      <c r="AB474" s="1383"/>
      <c r="AC474" s="1383"/>
      <c r="AD474" s="1383"/>
      <c r="AE474" s="1383"/>
      <c r="AF474" s="1383"/>
      <c r="AG474" s="1383"/>
      <c r="AH474" s="1383"/>
      <c r="AI474" s="1383"/>
      <c r="AJ474" s="1383"/>
      <c r="AK474" s="1383"/>
      <c r="AL474" s="1383"/>
      <c r="AM474" s="1383"/>
    </row>
    <row r="475" spans="2:39" ht="15.75" x14ac:dyDescent="0.25">
      <c r="B475" s="1372"/>
      <c r="C475" s="1372"/>
      <c r="D475" s="1717"/>
      <c r="E475" s="1420"/>
      <c r="F475" s="1493"/>
      <c r="G475" s="1493"/>
      <c r="H475" s="1493"/>
      <c r="I475" s="1493"/>
      <c r="J475" s="1493"/>
      <c r="K475" s="1493"/>
      <c r="L475" s="1493"/>
      <c r="M475" s="1493"/>
      <c r="N475" s="1493"/>
      <c r="O475" s="1493"/>
      <c r="P475" s="1383"/>
      <c r="Q475" s="1383"/>
      <c r="R475" s="1383"/>
      <c r="S475" s="1383"/>
      <c r="T475" s="1383"/>
      <c r="U475" s="1383"/>
      <c r="V475" s="1383"/>
      <c r="W475" s="1383"/>
      <c r="X475" s="1383"/>
      <c r="Y475" s="1383"/>
      <c r="Z475" s="1383"/>
      <c r="AA475" s="1383"/>
      <c r="AB475" s="1383"/>
      <c r="AC475" s="1383"/>
      <c r="AD475" s="1383"/>
      <c r="AE475" s="1383"/>
      <c r="AF475" s="1383"/>
      <c r="AG475" s="1383"/>
      <c r="AH475" s="1383"/>
      <c r="AI475" s="1383"/>
      <c r="AJ475" s="1383"/>
      <c r="AK475" s="1383"/>
      <c r="AL475" s="1383"/>
      <c r="AM475" s="1383"/>
    </row>
    <row r="476" spans="2:39" ht="15.75" x14ac:dyDescent="0.25">
      <c r="B476" s="1372"/>
      <c r="C476" s="1372"/>
      <c r="D476" s="1717"/>
      <c r="E476" s="1420"/>
      <c r="F476" s="1493"/>
      <c r="G476" s="1493"/>
      <c r="H476" s="1493"/>
      <c r="I476" s="1493"/>
      <c r="J476" s="1493"/>
      <c r="K476" s="1493"/>
      <c r="L476" s="1493"/>
      <c r="M476" s="1493"/>
      <c r="N476" s="1493"/>
      <c r="O476" s="1493"/>
      <c r="P476" s="1383"/>
      <c r="Q476" s="1383"/>
      <c r="R476" s="1383"/>
      <c r="S476" s="1383"/>
      <c r="T476" s="1383"/>
      <c r="U476" s="1383"/>
      <c r="V476" s="1383"/>
      <c r="W476" s="1383"/>
      <c r="X476" s="1383"/>
      <c r="Y476" s="1383"/>
      <c r="Z476" s="1383"/>
      <c r="AA476" s="1383"/>
      <c r="AB476" s="1383"/>
      <c r="AC476" s="1383"/>
      <c r="AD476" s="1383"/>
      <c r="AE476" s="1383"/>
      <c r="AF476" s="1383"/>
      <c r="AG476" s="1383"/>
      <c r="AH476" s="1383"/>
      <c r="AI476" s="1383"/>
      <c r="AJ476" s="1383"/>
      <c r="AK476" s="1383"/>
      <c r="AL476" s="1383"/>
      <c r="AM476" s="1383"/>
    </row>
    <row r="477" spans="2:39" ht="15.75" x14ac:dyDescent="0.25">
      <c r="B477" s="1372"/>
      <c r="C477" s="1372"/>
      <c r="D477" s="1717"/>
      <c r="E477" s="1420"/>
      <c r="F477" s="1493"/>
      <c r="G477" s="1493"/>
      <c r="H477" s="1493"/>
      <c r="I477" s="1493"/>
      <c r="J477" s="1493"/>
      <c r="K477" s="1493"/>
      <c r="L477" s="1493"/>
      <c r="M477" s="1493"/>
      <c r="N477" s="1493"/>
      <c r="O477" s="1493"/>
      <c r="P477" s="1383"/>
      <c r="Q477" s="1383"/>
      <c r="R477" s="1383"/>
      <c r="S477" s="1383"/>
      <c r="T477" s="1383"/>
      <c r="U477" s="1383"/>
      <c r="V477" s="1383"/>
      <c r="W477" s="1383"/>
      <c r="X477" s="1383"/>
      <c r="Y477" s="1383"/>
      <c r="Z477" s="1383"/>
      <c r="AA477" s="1383"/>
      <c r="AB477" s="1383"/>
      <c r="AC477" s="1383"/>
      <c r="AD477" s="1383"/>
      <c r="AE477" s="1383"/>
      <c r="AF477" s="1383"/>
      <c r="AG477" s="1383"/>
      <c r="AH477" s="1383"/>
      <c r="AI477" s="1383"/>
      <c r="AJ477" s="1383"/>
      <c r="AK477" s="1383"/>
      <c r="AL477" s="1383"/>
      <c r="AM477" s="1383"/>
    </row>
    <row r="478" spans="2:39" ht="15.75" x14ac:dyDescent="0.25">
      <c r="B478" s="1372"/>
      <c r="C478" s="1372"/>
      <c r="D478" s="1717"/>
      <c r="E478" s="1420"/>
      <c r="F478" s="1493"/>
      <c r="G478" s="1493"/>
      <c r="H478" s="1493"/>
      <c r="I478" s="1493"/>
      <c r="J478" s="1493"/>
      <c r="K478" s="1493"/>
      <c r="L478" s="1493"/>
      <c r="M478" s="1493"/>
      <c r="N478" s="1493"/>
      <c r="O478" s="1493"/>
      <c r="P478" s="1383"/>
      <c r="Q478" s="1383"/>
      <c r="R478" s="1383"/>
      <c r="S478" s="1383"/>
      <c r="T478" s="1383"/>
      <c r="U478" s="1383"/>
      <c r="V478" s="1383"/>
      <c r="W478" s="1383"/>
      <c r="X478" s="1383"/>
      <c r="Y478" s="1383"/>
      <c r="Z478" s="1383"/>
      <c r="AA478" s="1383"/>
      <c r="AB478" s="1383"/>
      <c r="AC478" s="1383"/>
      <c r="AD478" s="1383"/>
      <c r="AE478" s="1383"/>
      <c r="AF478" s="1383"/>
      <c r="AG478" s="1383"/>
      <c r="AH478" s="1383"/>
      <c r="AI478" s="1383"/>
      <c r="AJ478" s="1383"/>
      <c r="AK478" s="1383"/>
      <c r="AL478" s="1383"/>
      <c r="AM478" s="1383"/>
    </row>
    <row r="479" spans="2:39" ht="15.75" x14ac:dyDescent="0.25">
      <c r="B479" s="1372"/>
      <c r="C479" s="1372"/>
      <c r="D479" s="1717"/>
      <c r="E479" s="1420"/>
      <c r="F479" s="1493"/>
      <c r="G479" s="1493"/>
      <c r="H479" s="1493"/>
      <c r="I479" s="1493"/>
      <c r="J479" s="1493"/>
      <c r="K479" s="1493"/>
      <c r="L479" s="1493"/>
      <c r="M479" s="1493"/>
      <c r="N479" s="1493"/>
      <c r="O479" s="1493"/>
      <c r="P479" s="1383"/>
      <c r="Q479" s="1383"/>
      <c r="R479" s="1383"/>
      <c r="S479" s="1383"/>
      <c r="T479" s="1383"/>
      <c r="U479" s="1383"/>
      <c r="V479" s="1383"/>
      <c r="W479" s="1383"/>
      <c r="X479" s="1383"/>
      <c r="Y479" s="1383"/>
      <c r="Z479" s="1383"/>
      <c r="AA479" s="1383"/>
      <c r="AB479" s="1383"/>
      <c r="AC479" s="1383"/>
      <c r="AD479" s="1383"/>
      <c r="AE479" s="1383"/>
      <c r="AF479" s="1383"/>
      <c r="AG479" s="1383"/>
      <c r="AH479" s="1383"/>
      <c r="AI479" s="1383"/>
      <c r="AJ479" s="1383"/>
      <c r="AK479" s="1383"/>
      <c r="AL479" s="1383"/>
      <c r="AM479" s="1383"/>
    </row>
    <row r="480" spans="2:39" ht="15.75" x14ac:dyDescent="0.25">
      <c r="B480" s="1372"/>
      <c r="C480" s="1372"/>
      <c r="D480" s="1717"/>
      <c r="E480" s="1420"/>
      <c r="F480" s="1493"/>
      <c r="G480" s="1493"/>
      <c r="H480" s="1493"/>
      <c r="I480" s="1493"/>
      <c r="J480" s="1493"/>
      <c r="K480" s="1493"/>
      <c r="L480" s="1493"/>
      <c r="M480" s="1493"/>
      <c r="N480" s="1493"/>
      <c r="O480" s="1493"/>
      <c r="P480" s="1383"/>
      <c r="Q480" s="1383"/>
      <c r="R480" s="1383"/>
      <c r="S480" s="1383"/>
      <c r="T480" s="1383"/>
      <c r="U480" s="1383"/>
      <c r="V480" s="1383"/>
      <c r="W480" s="1383"/>
      <c r="X480" s="1383"/>
      <c r="Y480" s="1383"/>
      <c r="Z480" s="1383"/>
      <c r="AA480" s="1383"/>
      <c r="AB480" s="1383"/>
      <c r="AC480" s="1383"/>
      <c r="AD480" s="1383"/>
      <c r="AE480" s="1383"/>
      <c r="AF480" s="1383"/>
      <c r="AG480" s="1383"/>
      <c r="AH480" s="1383"/>
      <c r="AI480" s="1383"/>
      <c r="AJ480" s="1383"/>
      <c r="AK480" s="1383"/>
      <c r="AL480" s="1383"/>
      <c r="AM480" s="1383"/>
    </row>
    <row r="481" spans="2:39" ht="15.75" x14ac:dyDescent="0.25">
      <c r="B481" s="1372"/>
      <c r="C481" s="1372"/>
      <c r="D481" s="1717"/>
      <c r="E481" s="1420"/>
      <c r="F481" s="1493"/>
      <c r="G481" s="1493"/>
      <c r="H481" s="1493"/>
      <c r="I481" s="1493"/>
      <c r="J481" s="1493"/>
      <c r="K481" s="1493"/>
      <c r="L481" s="1493"/>
      <c r="M481" s="1493"/>
      <c r="N481" s="1493"/>
      <c r="O481" s="1493"/>
      <c r="P481" s="1383"/>
      <c r="Q481" s="1383"/>
      <c r="R481" s="1383"/>
      <c r="S481" s="1383"/>
      <c r="T481" s="1383"/>
      <c r="U481" s="1383"/>
      <c r="V481" s="1383"/>
      <c r="W481" s="1383"/>
      <c r="X481" s="1383"/>
      <c r="Y481" s="1383"/>
      <c r="Z481" s="1383"/>
      <c r="AA481" s="1383"/>
      <c r="AB481" s="1383"/>
      <c r="AC481" s="1383"/>
      <c r="AD481" s="1383"/>
      <c r="AE481" s="1383"/>
      <c r="AF481" s="1383"/>
      <c r="AG481" s="1383"/>
      <c r="AH481" s="1383"/>
      <c r="AI481" s="1383"/>
      <c r="AJ481" s="1383"/>
      <c r="AK481" s="1383"/>
      <c r="AL481" s="1383"/>
      <c r="AM481" s="1383"/>
    </row>
    <row r="482" spans="2:39" ht="15.75" x14ac:dyDescent="0.25">
      <c r="B482" s="1372"/>
      <c r="C482" s="1372"/>
      <c r="D482" s="1717"/>
      <c r="E482" s="1420"/>
      <c r="F482" s="1493"/>
      <c r="G482" s="1493"/>
      <c r="H482" s="1493"/>
      <c r="I482" s="1493"/>
      <c r="J482" s="1493"/>
      <c r="K482" s="1493"/>
      <c r="L482" s="1493"/>
      <c r="M482" s="1493"/>
      <c r="N482" s="1493"/>
      <c r="O482" s="1493"/>
      <c r="P482" s="1383"/>
      <c r="Q482" s="1383"/>
      <c r="R482" s="1383"/>
      <c r="S482" s="1383"/>
      <c r="T482" s="1383"/>
      <c r="U482" s="1383"/>
      <c r="V482" s="1383"/>
      <c r="W482" s="1383"/>
      <c r="X482" s="1383"/>
      <c r="Y482" s="1383"/>
      <c r="Z482" s="1383"/>
      <c r="AA482" s="1383"/>
      <c r="AB482" s="1383"/>
      <c r="AC482" s="1383"/>
      <c r="AD482" s="1383"/>
      <c r="AE482" s="1383"/>
      <c r="AF482" s="1383"/>
      <c r="AG482" s="1383"/>
      <c r="AH482" s="1383"/>
      <c r="AI482" s="1383"/>
      <c r="AJ482" s="1383"/>
      <c r="AK482" s="1383"/>
      <c r="AL482" s="1383"/>
      <c r="AM482" s="1383"/>
    </row>
    <row r="483" spans="2:39" ht="15.75" x14ac:dyDescent="0.25">
      <c r="B483" s="1372"/>
      <c r="C483" s="1372"/>
      <c r="D483" s="1717"/>
      <c r="E483" s="1420"/>
      <c r="F483" s="1493"/>
      <c r="G483" s="1493"/>
      <c r="H483" s="1493"/>
      <c r="I483" s="1493"/>
      <c r="J483" s="1493"/>
      <c r="K483" s="1493"/>
      <c r="L483" s="1493"/>
      <c r="M483" s="1493"/>
      <c r="N483" s="1493"/>
      <c r="O483" s="1493"/>
      <c r="P483" s="1383"/>
      <c r="Q483" s="1383"/>
      <c r="R483" s="1383"/>
      <c r="S483" s="1383"/>
      <c r="T483" s="1383"/>
      <c r="U483" s="1383"/>
      <c r="V483" s="1383"/>
      <c r="W483" s="1383"/>
      <c r="X483" s="1383"/>
      <c r="Y483" s="1383"/>
      <c r="Z483" s="1383"/>
      <c r="AA483" s="1383"/>
      <c r="AB483" s="1383"/>
      <c r="AC483" s="1383"/>
      <c r="AD483" s="1383"/>
      <c r="AE483" s="1383"/>
      <c r="AF483" s="1383"/>
      <c r="AG483" s="1383"/>
      <c r="AH483" s="1383"/>
      <c r="AI483" s="1383"/>
      <c r="AJ483" s="1383"/>
      <c r="AK483" s="1383"/>
      <c r="AL483" s="1383"/>
      <c r="AM483" s="1383"/>
    </row>
    <row r="484" spans="2:39" ht="15.75" x14ac:dyDescent="0.25">
      <c r="B484" s="1372"/>
      <c r="C484" s="1372"/>
      <c r="D484" s="1717"/>
      <c r="E484" s="1420"/>
      <c r="F484" s="1493"/>
      <c r="G484" s="1493"/>
      <c r="H484" s="1493"/>
      <c r="I484" s="1493"/>
      <c r="J484" s="1493"/>
      <c r="K484" s="1493"/>
      <c r="L484" s="1493"/>
      <c r="M484" s="1493"/>
      <c r="N484" s="1493"/>
      <c r="O484" s="1493"/>
      <c r="P484" s="1383"/>
      <c r="Q484" s="1383"/>
      <c r="R484" s="1383"/>
      <c r="S484" s="1383"/>
      <c r="T484" s="1383"/>
      <c r="U484" s="1383"/>
      <c r="V484" s="1383"/>
      <c r="W484" s="1383"/>
      <c r="X484" s="1383"/>
      <c r="Y484" s="1383"/>
      <c r="Z484" s="1383"/>
      <c r="AA484" s="1383"/>
      <c r="AB484" s="1383"/>
      <c r="AC484" s="1383"/>
      <c r="AD484" s="1383"/>
      <c r="AE484" s="1383"/>
      <c r="AF484" s="1383"/>
      <c r="AG484" s="1383"/>
      <c r="AH484" s="1383"/>
      <c r="AI484" s="1383"/>
      <c r="AJ484" s="1383"/>
      <c r="AK484" s="1383"/>
      <c r="AL484" s="1383"/>
      <c r="AM484" s="1383"/>
    </row>
    <row r="485" spans="2:39" ht="15.75" x14ac:dyDescent="0.25">
      <c r="B485" s="1372"/>
      <c r="C485" s="1372"/>
      <c r="D485" s="1717"/>
      <c r="E485" s="1420"/>
      <c r="F485" s="1493"/>
      <c r="G485" s="1493"/>
      <c r="H485" s="1493"/>
      <c r="I485" s="1493"/>
      <c r="J485" s="1493"/>
      <c r="K485" s="1493"/>
      <c r="L485" s="1493"/>
      <c r="M485" s="1493"/>
      <c r="N485" s="1493"/>
      <c r="O485" s="1493"/>
      <c r="P485" s="1383"/>
      <c r="Q485" s="1383"/>
      <c r="R485" s="1383"/>
      <c r="S485" s="1383"/>
      <c r="T485" s="1383"/>
      <c r="U485" s="1383"/>
      <c r="V485" s="1383"/>
      <c r="W485" s="1383"/>
      <c r="X485" s="1383"/>
      <c r="Y485" s="1383"/>
      <c r="Z485" s="1383"/>
      <c r="AA485" s="1383"/>
      <c r="AB485" s="1383"/>
      <c r="AC485" s="1383"/>
      <c r="AD485" s="1383"/>
      <c r="AE485" s="1383"/>
      <c r="AF485" s="1383"/>
      <c r="AG485" s="1383"/>
      <c r="AH485" s="1383"/>
      <c r="AI485" s="1383"/>
      <c r="AJ485" s="1383"/>
      <c r="AK485" s="1383"/>
      <c r="AL485" s="1383"/>
      <c r="AM485" s="1383"/>
    </row>
    <row r="486" spans="2:39" ht="15.75" x14ac:dyDescent="0.25">
      <c r="B486" s="1372"/>
      <c r="C486" s="1372"/>
      <c r="D486" s="1717"/>
      <c r="E486" s="1420"/>
      <c r="F486" s="1493"/>
      <c r="G486" s="1493"/>
      <c r="H486" s="1493"/>
      <c r="I486" s="1493"/>
      <c r="J486" s="1493"/>
      <c r="K486" s="1493"/>
      <c r="L486" s="1493"/>
      <c r="M486" s="1493"/>
      <c r="N486" s="1493"/>
      <c r="O486" s="1493"/>
      <c r="P486" s="1383"/>
      <c r="Q486" s="1383"/>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383"/>
      <c r="AL486" s="1383"/>
      <c r="AM486" s="1383"/>
    </row>
    <row r="487" spans="2:39" ht="15.75" x14ac:dyDescent="0.25">
      <c r="B487" s="1372"/>
      <c r="C487" s="1372"/>
      <c r="D487" s="1717"/>
      <c r="E487" s="1420"/>
      <c r="F487" s="1493"/>
      <c r="G487" s="1493"/>
      <c r="H487" s="1493"/>
      <c r="I487" s="1493"/>
      <c r="J487" s="1493"/>
      <c r="K487" s="1493"/>
      <c r="L487" s="1493"/>
      <c r="M487" s="1493"/>
      <c r="N487" s="1493"/>
      <c r="O487" s="1493"/>
      <c r="P487" s="1383"/>
      <c r="Q487" s="1383"/>
      <c r="R487" s="1383"/>
      <c r="S487" s="1383"/>
      <c r="T487" s="1383"/>
      <c r="U487" s="1383"/>
      <c r="V487" s="1383"/>
      <c r="W487" s="1383"/>
      <c r="X487" s="1383"/>
      <c r="Y487" s="1383"/>
      <c r="Z487" s="1383"/>
      <c r="AA487" s="1383"/>
      <c r="AB487" s="1383"/>
      <c r="AC487" s="1383"/>
      <c r="AD487" s="1383"/>
      <c r="AE487" s="1383"/>
      <c r="AF487" s="1383"/>
      <c r="AG487" s="1383"/>
      <c r="AH487" s="1383"/>
      <c r="AI487" s="1383"/>
      <c r="AJ487" s="1383"/>
      <c r="AK487" s="1383"/>
      <c r="AL487" s="1383"/>
      <c r="AM487" s="1383"/>
    </row>
    <row r="488" spans="2:39" ht="15.75" x14ac:dyDescent="0.25">
      <c r="B488" s="1372"/>
      <c r="C488" s="1372"/>
      <c r="D488" s="1717"/>
      <c r="E488" s="1420"/>
      <c r="F488" s="1493"/>
      <c r="G488" s="1493"/>
      <c r="H488" s="1493"/>
      <c r="I488" s="1493"/>
      <c r="J488" s="1493"/>
      <c r="K488" s="1493"/>
      <c r="L488" s="1493"/>
      <c r="M488" s="1493"/>
      <c r="N488" s="1493"/>
      <c r="O488" s="1493"/>
      <c r="P488" s="1383"/>
      <c r="Q488" s="1383"/>
      <c r="R488" s="1383"/>
      <c r="S488" s="1383"/>
      <c r="T488" s="1383"/>
      <c r="U488" s="1383"/>
      <c r="V488" s="1383"/>
      <c r="W488" s="1383"/>
      <c r="X488" s="1383"/>
      <c r="Y488" s="1383"/>
      <c r="Z488" s="1383"/>
      <c r="AA488" s="1383"/>
      <c r="AB488" s="1383"/>
      <c r="AC488" s="1383"/>
      <c r="AD488" s="1383"/>
      <c r="AE488" s="1383"/>
      <c r="AF488" s="1383"/>
      <c r="AG488" s="1383"/>
      <c r="AH488" s="1383"/>
      <c r="AI488" s="1383"/>
      <c r="AJ488" s="1383"/>
      <c r="AK488" s="1383"/>
      <c r="AL488" s="1383"/>
      <c r="AM488" s="1383"/>
    </row>
    <row r="489" spans="2:39" ht="15.75" x14ac:dyDescent="0.25">
      <c r="B489" s="1372"/>
      <c r="C489" s="1372"/>
      <c r="D489" s="1717"/>
      <c r="E489" s="1420"/>
      <c r="F489" s="1493"/>
      <c r="G489" s="1493"/>
      <c r="H489" s="1493"/>
      <c r="I489" s="1493"/>
      <c r="J489" s="1493"/>
      <c r="K489" s="1493"/>
      <c r="L489" s="1493"/>
      <c r="M489" s="1493"/>
      <c r="N489" s="1493"/>
      <c r="O489" s="1493"/>
      <c r="P489" s="1383"/>
      <c r="Q489" s="1383"/>
      <c r="R489" s="1383"/>
      <c r="S489" s="1383"/>
      <c r="T489" s="1383"/>
      <c r="U489" s="1383"/>
      <c r="V489" s="1383"/>
      <c r="W489" s="1383"/>
      <c r="X489" s="1383"/>
      <c r="Y489" s="1383"/>
      <c r="Z489" s="1383"/>
      <c r="AA489" s="1383"/>
      <c r="AB489" s="1383"/>
      <c r="AC489" s="1383"/>
      <c r="AD489" s="1383"/>
      <c r="AE489" s="1383"/>
      <c r="AF489" s="1383"/>
      <c r="AG489" s="1383"/>
      <c r="AH489" s="1383"/>
      <c r="AI489" s="1383"/>
      <c r="AJ489" s="1383"/>
      <c r="AK489" s="1383"/>
      <c r="AL489" s="1383"/>
      <c r="AM489" s="1383"/>
    </row>
    <row r="490" spans="2:39" ht="15.75" x14ac:dyDescent="0.25">
      <c r="B490" s="1372"/>
      <c r="C490" s="1372"/>
      <c r="D490" s="1717"/>
      <c r="E490" s="1420"/>
      <c r="F490" s="1493"/>
      <c r="G490" s="1493"/>
      <c r="H490" s="1493"/>
      <c r="I490" s="1493"/>
      <c r="J490" s="1493"/>
      <c r="K490" s="1493"/>
      <c r="L490" s="1493"/>
      <c r="M490" s="1493"/>
      <c r="N490" s="1493"/>
      <c r="O490" s="1493"/>
      <c r="P490" s="1383"/>
      <c r="Q490" s="1383"/>
      <c r="R490" s="1383"/>
      <c r="S490" s="1383"/>
      <c r="T490" s="1383"/>
      <c r="U490" s="1383"/>
      <c r="V490" s="1383"/>
      <c r="W490" s="1383"/>
      <c r="X490" s="1383"/>
      <c r="Y490" s="1383"/>
      <c r="Z490" s="1383"/>
      <c r="AA490" s="1383"/>
      <c r="AB490" s="1383"/>
      <c r="AC490" s="1383"/>
      <c r="AD490" s="1383"/>
      <c r="AE490" s="1383"/>
      <c r="AF490" s="1383"/>
      <c r="AG490" s="1383"/>
      <c r="AH490" s="1383"/>
      <c r="AI490" s="1383"/>
      <c r="AJ490" s="1383"/>
      <c r="AK490" s="1383"/>
      <c r="AL490" s="1383"/>
      <c r="AM490" s="1383"/>
    </row>
    <row r="491" spans="2:39" ht="15.75" x14ac:dyDescent="0.25">
      <c r="B491" s="1372"/>
      <c r="C491" s="1372"/>
      <c r="D491" s="1717"/>
      <c r="E491" s="1420"/>
      <c r="F491" s="1493"/>
      <c r="G491" s="1493"/>
      <c r="H491" s="1493"/>
      <c r="I491" s="1493"/>
      <c r="J491" s="1493"/>
      <c r="K491" s="1493"/>
      <c r="L491" s="1493"/>
      <c r="M491" s="1493"/>
      <c r="N491" s="1493"/>
      <c r="O491" s="1493"/>
      <c r="P491" s="1383"/>
      <c r="Q491" s="1383"/>
      <c r="R491" s="1383"/>
      <c r="S491" s="1383"/>
      <c r="T491" s="1383"/>
      <c r="U491" s="1383"/>
      <c r="V491" s="1383"/>
      <c r="W491" s="1383"/>
      <c r="X491" s="1383"/>
      <c r="Y491" s="1383"/>
      <c r="Z491" s="1383"/>
      <c r="AA491" s="1383"/>
      <c r="AB491" s="1383"/>
      <c r="AC491" s="1383"/>
      <c r="AD491" s="1383"/>
      <c r="AE491" s="1383"/>
      <c r="AF491" s="1383"/>
      <c r="AG491" s="1383"/>
      <c r="AH491" s="1383"/>
      <c r="AI491" s="1383"/>
      <c r="AJ491" s="1383"/>
      <c r="AK491" s="1383"/>
      <c r="AL491" s="1383"/>
      <c r="AM491" s="1383"/>
    </row>
    <row r="492" spans="2:39" ht="15.75" x14ac:dyDescent="0.25">
      <c r="B492" s="1372"/>
      <c r="C492" s="1372"/>
      <c r="D492" s="1717"/>
      <c r="E492" s="1420"/>
      <c r="F492" s="1493"/>
      <c r="G492" s="1493"/>
      <c r="H492" s="1493"/>
      <c r="I492" s="1493"/>
      <c r="J492" s="1493"/>
      <c r="K492" s="1493"/>
      <c r="L492" s="1493"/>
      <c r="M492" s="1493"/>
      <c r="N492" s="1493"/>
      <c r="O492" s="1493"/>
      <c r="P492" s="1383"/>
      <c r="Q492" s="1383"/>
      <c r="R492" s="1383"/>
      <c r="S492" s="1383"/>
      <c r="T492" s="1383"/>
      <c r="U492" s="1383"/>
      <c r="V492" s="1383"/>
      <c r="W492" s="1383"/>
      <c r="X492" s="1383"/>
      <c r="Y492" s="1383"/>
      <c r="Z492" s="1383"/>
      <c r="AA492" s="1383"/>
      <c r="AB492" s="1383"/>
      <c r="AC492" s="1383"/>
      <c r="AD492" s="1383"/>
      <c r="AE492" s="1383"/>
      <c r="AF492" s="1383"/>
      <c r="AG492" s="1383"/>
      <c r="AH492" s="1383"/>
      <c r="AI492" s="1383"/>
      <c r="AJ492" s="1383"/>
      <c r="AK492" s="1383"/>
      <c r="AL492" s="1383"/>
      <c r="AM492" s="1383"/>
    </row>
    <row r="493" spans="2:39" ht="15.75" x14ac:dyDescent="0.25">
      <c r="B493" s="1372"/>
      <c r="C493" s="1372"/>
      <c r="D493" s="1717"/>
      <c r="E493" s="1420"/>
      <c r="F493" s="1493"/>
      <c r="G493" s="1493"/>
      <c r="H493" s="1493"/>
      <c r="I493" s="1493"/>
      <c r="J493" s="1493"/>
      <c r="K493" s="1493"/>
      <c r="L493" s="1493"/>
      <c r="M493" s="1493"/>
      <c r="N493" s="1493"/>
      <c r="O493" s="1493"/>
      <c r="P493" s="1383"/>
      <c r="Q493" s="1383"/>
      <c r="R493" s="1383"/>
      <c r="S493" s="1383"/>
      <c r="T493" s="1383"/>
      <c r="U493" s="1383"/>
      <c r="V493" s="1383"/>
      <c r="W493" s="1383"/>
      <c r="X493" s="1383"/>
      <c r="Y493" s="1383"/>
      <c r="Z493" s="1383"/>
      <c r="AA493" s="1383"/>
      <c r="AB493" s="1383"/>
      <c r="AC493" s="1383"/>
      <c r="AD493" s="1383"/>
      <c r="AE493" s="1383"/>
      <c r="AF493" s="1383"/>
      <c r="AG493" s="1383"/>
      <c r="AH493" s="1383"/>
      <c r="AI493" s="1383"/>
      <c r="AJ493" s="1383"/>
      <c r="AK493" s="1383"/>
      <c r="AL493" s="1383"/>
      <c r="AM493" s="1383"/>
    </row>
    <row r="494" spans="2:39" ht="15.75" x14ac:dyDescent="0.25">
      <c r="B494" s="1372"/>
      <c r="C494" s="1372"/>
      <c r="D494" s="1717"/>
      <c r="E494" s="1420"/>
      <c r="F494" s="1493"/>
      <c r="G494" s="1493"/>
      <c r="H494" s="1493"/>
      <c r="I494" s="1493"/>
      <c r="J494" s="1493"/>
      <c r="K494" s="1493"/>
      <c r="L494" s="1493"/>
      <c r="M494" s="1493"/>
      <c r="N494" s="1493"/>
      <c r="O494" s="1493"/>
      <c r="P494" s="1383"/>
      <c r="Q494" s="1383"/>
      <c r="R494" s="1383"/>
      <c r="S494" s="1383"/>
      <c r="T494" s="1383"/>
      <c r="U494" s="1383"/>
      <c r="V494" s="1383"/>
      <c r="W494" s="1383"/>
      <c r="X494" s="1383"/>
      <c r="Y494" s="1383"/>
      <c r="Z494" s="1383"/>
      <c r="AA494" s="1383"/>
      <c r="AB494" s="1383"/>
      <c r="AC494" s="1383"/>
      <c r="AD494" s="1383"/>
      <c r="AE494" s="1383"/>
      <c r="AF494" s="1383"/>
      <c r="AG494" s="1383"/>
      <c r="AH494" s="1383"/>
      <c r="AI494" s="1383"/>
      <c r="AJ494" s="1383"/>
      <c r="AK494" s="1383"/>
      <c r="AL494" s="1383"/>
      <c r="AM494" s="1383"/>
    </row>
    <row r="495" spans="2:39" ht="15.75" x14ac:dyDescent="0.25">
      <c r="B495" s="1372"/>
      <c r="C495" s="1372"/>
      <c r="D495" s="1717"/>
      <c r="E495" s="1420"/>
      <c r="F495" s="1493"/>
      <c r="G495" s="1493"/>
      <c r="H495" s="1493"/>
      <c r="I495" s="1493"/>
      <c r="J495" s="1493"/>
      <c r="K495" s="1493"/>
      <c r="L495" s="1493"/>
      <c r="M495" s="1493"/>
      <c r="N495" s="1493"/>
      <c r="O495" s="1493"/>
      <c r="P495" s="1383"/>
      <c r="Q495" s="1383"/>
      <c r="R495" s="1383"/>
      <c r="S495" s="1383"/>
      <c r="T495" s="1383"/>
      <c r="U495" s="1383"/>
      <c r="V495" s="1383"/>
      <c r="W495" s="1383"/>
      <c r="X495" s="1383"/>
      <c r="Y495" s="1383"/>
      <c r="Z495" s="1383"/>
      <c r="AA495" s="1383"/>
      <c r="AB495" s="1383"/>
      <c r="AC495" s="1383"/>
      <c r="AD495" s="1383"/>
      <c r="AE495" s="1383"/>
      <c r="AF495" s="1383"/>
      <c r="AG495" s="1383"/>
      <c r="AH495" s="1383"/>
      <c r="AI495" s="1383"/>
      <c r="AJ495" s="1383"/>
      <c r="AK495" s="1383"/>
      <c r="AL495" s="1383"/>
      <c r="AM495" s="1383"/>
    </row>
    <row r="496" spans="2:39" ht="15.75" x14ac:dyDescent="0.25">
      <c r="B496" s="1372"/>
      <c r="C496" s="1372"/>
      <c r="D496" s="1717"/>
      <c r="E496" s="1420"/>
      <c r="F496" s="1493"/>
      <c r="G496" s="1493"/>
      <c r="H496" s="1493"/>
      <c r="I496" s="1493"/>
      <c r="J496" s="1493"/>
      <c r="K496" s="1493"/>
      <c r="L496" s="1493"/>
      <c r="M496" s="1493"/>
      <c r="N496" s="1493"/>
      <c r="O496" s="1493"/>
      <c r="P496" s="1383"/>
      <c r="Q496" s="1383"/>
      <c r="R496" s="1383"/>
      <c r="S496" s="1383"/>
      <c r="T496" s="1383"/>
      <c r="U496" s="1383"/>
      <c r="V496" s="1383"/>
      <c r="W496" s="1383"/>
      <c r="X496" s="1383"/>
      <c r="Y496" s="1383"/>
      <c r="Z496" s="1383"/>
      <c r="AA496" s="1383"/>
      <c r="AB496" s="1383"/>
      <c r="AC496" s="1383"/>
      <c r="AD496" s="1383"/>
      <c r="AE496" s="1383"/>
      <c r="AF496" s="1383"/>
      <c r="AG496" s="1383"/>
      <c r="AH496" s="1383"/>
      <c r="AI496" s="1383"/>
      <c r="AJ496" s="1383"/>
      <c r="AK496" s="1383"/>
      <c r="AL496" s="1383"/>
      <c r="AM496" s="1383"/>
    </row>
    <row r="497" spans="2:39" ht="15.75" x14ac:dyDescent="0.25">
      <c r="B497" s="1372"/>
      <c r="C497" s="1372"/>
      <c r="D497" s="1717"/>
      <c r="E497" s="1420"/>
      <c r="F497" s="1493"/>
      <c r="G497" s="1493"/>
      <c r="H497" s="1493"/>
      <c r="I497" s="1493"/>
      <c r="J497" s="1493"/>
      <c r="K497" s="1493"/>
      <c r="L497" s="1493"/>
      <c r="M497" s="1493"/>
      <c r="N497" s="1493"/>
      <c r="O497" s="1493"/>
      <c r="P497" s="1383"/>
      <c r="Q497" s="1383"/>
      <c r="R497" s="1383"/>
      <c r="S497" s="1383"/>
      <c r="T497" s="1383"/>
      <c r="U497" s="1383"/>
      <c r="V497" s="1383"/>
      <c r="W497" s="1383"/>
      <c r="X497" s="1383"/>
      <c r="Y497" s="1383"/>
      <c r="Z497" s="1383"/>
      <c r="AA497" s="1383"/>
      <c r="AB497" s="1383"/>
      <c r="AC497" s="1383"/>
      <c r="AD497" s="1383"/>
      <c r="AE497" s="1383"/>
      <c r="AF497" s="1383"/>
      <c r="AG497" s="1383"/>
      <c r="AH497" s="1383"/>
      <c r="AI497" s="1383"/>
      <c r="AJ497" s="1383"/>
      <c r="AK497" s="1383"/>
      <c r="AL497" s="1383"/>
      <c r="AM497" s="1383"/>
    </row>
    <row r="498" spans="2:39" ht="15.75" x14ac:dyDescent="0.25">
      <c r="B498" s="1372"/>
      <c r="C498" s="1372"/>
      <c r="D498" s="1717"/>
      <c r="E498" s="1420"/>
      <c r="F498" s="1493"/>
      <c r="G498" s="1493"/>
      <c r="H498" s="1493"/>
      <c r="I498" s="1493"/>
      <c r="J498" s="1493"/>
      <c r="K498" s="1493"/>
      <c r="L498" s="1493"/>
      <c r="M498" s="1493"/>
      <c r="N498" s="1493"/>
      <c r="O498" s="1493"/>
      <c r="P498" s="1383"/>
      <c r="Q498" s="1383"/>
      <c r="R498" s="1383"/>
      <c r="S498" s="1383"/>
      <c r="T498" s="1383"/>
      <c r="U498" s="1383"/>
      <c r="V498" s="1383"/>
      <c r="W498" s="1383"/>
      <c r="X498" s="1383"/>
      <c r="Y498" s="1383"/>
      <c r="Z498" s="1383"/>
      <c r="AA498" s="1383"/>
      <c r="AB498" s="1383"/>
      <c r="AC498" s="1383"/>
      <c r="AD498" s="1383"/>
      <c r="AE498" s="1383"/>
      <c r="AF498" s="1383"/>
      <c r="AG498" s="1383"/>
      <c r="AH498" s="1383"/>
      <c r="AI498" s="1383"/>
      <c r="AJ498" s="1383"/>
      <c r="AK498" s="1383"/>
      <c r="AL498" s="1383"/>
      <c r="AM498" s="1383"/>
    </row>
    <row r="499" spans="2:39" ht="15.75" x14ac:dyDescent="0.25">
      <c r="B499" s="1372"/>
      <c r="C499" s="1372"/>
      <c r="D499" s="1717"/>
      <c r="E499" s="1420"/>
      <c r="F499" s="1493"/>
      <c r="G499" s="1493"/>
      <c r="H499" s="1493"/>
      <c r="I499" s="1493"/>
      <c r="J499" s="1493"/>
      <c r="K499" s="1493"/>
      <c r="L499" s="1493"/>
      <c r="M499" s="1493"/>
      <c r="N499" s="1493"/>
      <c r="O499" s="1493"/>
      <c r="P499" s="1383"/>
      <c r="Q499" s="1383"/>
      <c r="R499" s="1383"/>
      <c r="S499" s="1383"/>
      <c r="T499" s="1383"/>
      <c r="U499" s="1383"/>
      <c r="V499" s="1383"/>
      <c r="W499" s="1383"/>
      <c r="X499" s="1383"/>
      <c r="Y499" s="1383"/>
      <c r="Z499" s="1383"/>
      <c r="AA499" s="1383"/>
      <c r="AB499" s="1383"/>
      <c r="AC499" s="1383"/>
      <c r="AD499" s="1383"/>
      <c r="AE499" s="1383"/>
      <c r="AF499" s="1383"/>
      <c r="AG499" s="1383"/>
      <c r="AH499" s="1383"/>
      <c r="AI499" s="1383"/>
      <c r="AJ499" s="1383"/>
      <c r="AK499" s="1383"/>
      <c r="AL499" s="1383"/>
      <c r="AM499" s="1383"/>
    </row>
    <row r="500" spans="2:39" ht="15.75" x14ac:dyDescent="0.25">
      <c r="B500" s="1372"/>
      <c r="C500" s="1372"/>
      <c r="D500" s="1717"/>
      <c r="E500" s="1420"/>
      <c r="F500" s="1493"/>
      <c r="G500" s="1493"/>
      <c r="H500" s="1493"/>
      <c r="I500" s="1493"/>
      <c r="J500" s="1493"/>
      <c r="K500" s="1493"/>
      <c r="L500" s="1493"/>
      <c r="M500" s="1493"/>
      <c r="N500" s="1493"/>
      <c r="O500" s="1493"/>
      <c r="P500" s="1383"/>
      <c r="Q500" s="1383"/>
      <c r="R500" s="1383"/>
      <c r="S500" s="1383"/>
      <c r="T500" s="1383"/>
      <c r="U500" s="1383"/>
      <c r="V500" s="1383"/>
      <c r="W500" s="1383"/>
      <c r="X500" s="1383"/>
      <c r="Y500" s="1383"/>
      <c r="Z500" s="1383"/>
      <c r="AA500" s="1383"/>
      <c r="AB500" s="1383"/>
      <c r="AC500" s="1383"/>
      <c r="AD500" s="1383"/>
      <c r="AE500" s="1383"/>
      <c r="AF500" s="1383"/>
      <c r="AG500" s="1383"/>
      <c r="AH500" s="1383"/>
      <c r="AI500" s="1383"/>
      <c r="AJ500" s="1383"/>
      <c r="AK500" s="1383"/>
      <c r="AL500" s="1383"/>
      <c r="AM500" s="1383"/>
    </row>
    <row r="501" spans="2:39" ht="15.75" x14ac:dyDescent="0.25">
      <c r="B501" s="1372"/>
      <c r="C501" s="1372"/>
      <c r="D501" s="1717"/>
      <c r="E501" s="1420"/>
      <c r="F501" s="1493"/>
      <c r="G501" s="1493"/>
      <c r="H501" s="1493"/>
      <c r="I501" s="1493"/>
      <c r="J501" s="1493"/>
      <c r="K501" s="1493"/>
      <c r="L501" s="1493"/>
      <c r="M501" s="1493"/>
      <c r="N501" s="1493"/>
      <c r="O501" s="1493"/>
      <c r="P501" s="1383"/>
      <c r="Q501" s="1383"/>
      <c r="R501" s="1383"/>
      <c r="S501" s="1383"/>
      <c r="T501" s="1383"/>
      <c r="U501" s="1383"/>
      <c r="V501" s="1383"/>
      <c r="W501" s="1383"/>
      <c r="X501" s="1383"/>
      <c r="Y501" s="1383"/>
      <c r="Z501" s="1383"/>
      <c r="AA501" s="1383"/>
      <c r="AB501" s="1383"/>
      <c r="AC501" s="1383"/>
      <c r="AD501" s="1383"/>
      <c r="AE501" s="1383"/>
      <c r="AF501" s="1383"/>
      <c r="AG501" s="1383"/>
      <c r="AH501" s="1383"/>
      <c r="AI501" s="1383"/>
      <c r="AJ501" s="1383"/>
      <c r="AK501" s="1383"/>
      <c r="AL501" s="1383"/>
      <c r="AM501" s="1383"/>
    </row>
    <row r="502" spans="2:39" ht="15.75" x14ac:dyDescent="0.25">
      <c r="B502" s="1372"/>
      <c r="C502" s="1372"/>
      <c r="D502" s="1717"/>
      <c r="E502" s="1420"/>
      <c r="F502" s="1493"/>
      <c r="G502" s="1493"/>
      <c r="H502" s="1493"/>
      <c r="I502" s="1493"/>
      <c r="J502" s="1493"/>
      <c r="K502" s="1493"/>
      <c r="L502" s="1493"/>
      <c r="M502" s="1493"/>
      <c r="N502" s="1493"/>
      <c r="O502" s="1493"/>
      <c r="P502" s="1383"/>
      <c r="Q502" s="1383"/>
      <c r="R502" s="1383"/>
      <c r="S502" s="1383"/>
      <c r="T502" s="1383"/>
      <c r="U502" s="1383"/>
      <c r="V502" s="1383"/>
      <c r="W502" s="1383"/>
      <c r="X502" s="1383"/>
      <c r="Y502" s="1383"/>
      <c r="Z502" s="1383"/>
      <c r="AA502" s="1383"/>
      <c r="AB502" s="1383"/>
      <c r="AC502" s="1383"/>
      <c r="AD502" s="1383"/>
      <c r="AE502" s="1383"/>
      <c r="AF502" s="1383"/>
      <c r="AG502" s="1383"/>
      <c r="AH502" s="1383"/>
      <c r="AI502" s="1383"/>
      <c r="AJ502" s="1383"/>
      <c r="AK502" s="1383"/>
      <c r="AL502" s="1383"/>
      <c r="AM502" s="1383"/>
    </row>
    <row r="503" spans="2:39" ht="15.75" x14ac:dyDescent="0.25">
      <c r="B503" s="1372"/>
      <c r="C503" s="1372"/>
      <c r="D503" s="1717"/>
      <c r="E503" s="1420"/>
      <c r="F503" s="1493"/>
      <c r="G503" s="1493"/>
      <c r="H503" s="1493"/>
      <c r="I503" s="1493"/>
      <c r="J503" s="1493"/>
      <c r="K503" s="1493"/>
      <c r="L503" s="1493"/>
      <c r="M503" s="1493"/>
      <c r="N503" s="1493"/>
      <c r="O503" s="1493"/>
      <c r="P503" s="1383"/>
      <c r="Q503" s="1383"/>
      <c r="R503" s="1383"/>
      <c r="S503" s="1383"/>
      <c r="T503" s="1383"/>
      <c r="U503" s="1383"/>
      <c r="V503" s="1383"/>
      <c r="W503" s="1383"/>
      <c r="X503" s="1383"/>
      <c r="Y503" s="1383"/>
      <c r="Z503" s="1383"/>
      <c r="AA503" s="1383"/>
      <c r="AB503" s="1383"/>
      <c r="AC503" s="1383"/>
      <c r="AD503" s="1383"/>
      <c r="AE503" s="1383"/>
      <c r="AF503" s="1383"/>
      <c r="AG503" s="1383"/>
      <c r="AH503" s="1383"/>
      <c r="AI503" s="1383"/>
      <c r="AJ503" s="1383"/>
      <c r="AK503" s="1383"/>
      <c r="AL503" s="1383"/>
      <c r="AM503" s="1383"/>
    </row>
    <row r="504" spans="2:39" ht="15.75" x14ac:dyDescent="0.25">
      <c r="B504" s="1372"/>
      <c r="C504" s="1372"/>
      <c r="D504" s="1717"/>
      <c r="E504" s="1420"/>
      <c r="F504" s="1493"/>
      <c r="G504" s="1493"/>
      <c r="H504" s="1493"/>
      <c r="I504" s="1493"/>
      <c r="J504" s="1493"/>
      <c r="K504" s="1493"/>
      <c r="L504" s="1493"/>
      <c r="M504" s="1493"/>
      <c r="N504" s="1493"/>
      <c r="O504" s="1493"/>
      <c r="P504" s="1383"/>
      <c r="Q504" s="1383"/>
      <c r="R504" s="1383"/>
      <c r="S504" s="1383"/>
      <c r="T504" s="1383"/>
      <c r="U504" s="1383"/>
      <c r="V504" s="1383"/>
      <c r="W504" s="1383"/>
      <c r="X504" s="1383"/>
      <c r="Y504" s="1383"/>
      <c r="Z504" s="1383"/>
      <c r="AA504" s="1383"/>
      <c r="AB504" s="1383"/>
      <c r="AC504" s="1383"/>
      <c r="AD504" s="1383"/>
      <c r="AE504" s="1383"/>
      <c r="AF504" s="1383"/>
      <c r="AG504" s="1383"/>
      <c r="AH504" s="1383"/>
      <c r="AI504" s="1383"/>
      <c r="AJ504" s="1383"/>
      <c r="AK504" s="1383"/>
      <c r="AL504" s="1383"/>
      <c r="AM504" s="1383"/>
    </row>
    <row r="505" spans="2:39" ht="15.75" x14ac:dyDescent="0.25">
      <c r="B505" s="1372"/>
      <c r="C505" s="1372"/>
      <c r="D505" s="1717"/>
      <c r="E505" s="1420"/>
      <c r="F505" s="1493"/>
      <c r="G505" s="1493"/>
      <c r="H505" s="1493"/>
      <c r="I505" s="1493"/>
      <c r="J505" s="1493"/>
      <c r="K505" s="1493"/>
      <c r="L505" s="1493"/>
      <c r="M505" s="1493"/>
      <c r="N505" s="1493"/>
      <c r="O505" s="1493"/>
      <c r="P505" s="1383"/>
      <c r="Q505" s="1383"/>
      <c r="R505" s="1383"/>
      <c r="S505" s="1383"/>
      <c r="T505" s="1383"/>
      <c r="U505" s="1383"/>
      <c r="V505" s="1383"/>
      <c r="W505" s="1383"/>
      <c r="X505" s="1383"/>
      <c r="Y505" s="1383"/>
      <c r="Z505" s="1383"/>
      <c r="AA505" s="1383"/>
      <c r="AB505" s="1383"/>
      <c r="AC505" s="1383"/>
      <c r="AD505" s="1383"/>
      <c r="AE505" s="1383"/>
      <c r="AF505" s="1383"/>
      <c r="AG505" s="1383"/>
      <c r="AH505" s="1383"/>
      <c r="AI505" s="1383"/>
      <c r="AJ505" s="1383"/>
      <c r="AK505" s="1383"/>
      <c r="AL505" s="1383"/>
      <c r="AM505" s="1383"/>
    </row>
    <row r="506" spans="2:39" ht="15.75" x14ac:dyDescent="0.25">
      <c r="B506" s="1372"/>
      <c r="C506" s="1372"/>
      <c r="D506" s="1717"/>
      <c r="E506" s="1420"/>
      <c r="F506" s="1493"/>
      <c r="G506" s="1493"/>
      <c r="H506" s="1493"/>
      <c r="I506" s="1493"/>
      <c r="J506" s="1493"/>
      <c r="K506" s="1493"/>
      <c r="L506" s="1493"/>
      <c r="M506" s="1493"/>
      <c r="N506" s="1493"/>
      <c r="O506" s="1493"/>
      <c r="P506" s="1383"/>
      <c r="Q506" s="1383"/>
      <c r="R506" s="1383"/>
      <c r="S506" s="1383"/>
      <c r="T506" s="1383"/>
      <c r="U506" s="1383"/>
      <c r="V506" s="1383"/>
      <c r="W506" s="1383"/>
      <c r="X506" s="1383"/>
      <c r="Y506" s="1383"/>
      <c r="Z506" s="1383"/>
      <c r="AA506" s="1383"/>
      <c r="AB506" s="1383"/>
      <c r="AC506" s="1383"/>
      <c r="AD506" s="1383"/>
      <c r="AE506" s="1383"/>
      <c r="AF506" s="1383"/>
      <c r="AG506" s="1383"/>
      <c r="AH506" s="1383"/>
      <c r="AI506" s="1383"/>
      <c r="AJ506" s="1383"/>
      <c r="AK506" s="1383"/>
      <c r="AL506" s="1383"/>
      <c r="AM506" s="1383"/>
    </row>
    <row r="507" spans="2:39" ht="15.75" x14ac:dyDescent="0.25">
      <c r="B507" s="1372"/>
      <c r="C507" s="1372"/>
      <c r="D507" s="1717"/>
      <c r="E507" s="1420"/>
      <c r="F507" s="1493"/>
      <c r="G507" s="1493"/>
      <c r="H507" s="1493"/>
      <c r="I507" s="1493"/>
      <c r="J507" s="1493"/>
      <c r="K507" s="1493"/>
      <c r="L507" s="1493"/>
      <c r="M507" s="1493"/>
      <c r="N507" s="1493"/>
      <c r="O507" s="1493"/>
      <c r="P507" s="1383"/>
      <c r="Q507" s="1383"/>
      <c r="R507" s="1383"/>
      <c r="S507" s="1383"/>
      <c r="T507" s="1383"/>
      <c r="U507" s="1383"/>
      <c r="V507" s="1383"/>
      <c r="W507" s="1383"/>
      <c r="X507" s="1383"/>
      <c r="Y507" s="1383"/>
      <c r="Z507" s="1383"/>
      <c r="AA507" s="1383"/>
      <c r="AB507" s="1383"/>
      <c r="AC507" s="1383"/>
      <c r="AD507" s="1383"/>
      <c r="AE507" s="1383"/>
      <c r="AF507" s="1383"/>
      <c r="AG507" s="1383"/>
      <c r="AH507" s="1383"/>
      <c r="AI507" s="1383"/>
      <c r="AJ507" s="1383"/>
      <c r="AK507" s="1383"/>
      <c r="AL507" s="1383"/>
      <c r="AM507" s="1383"/>
    </row>
    <row r="508" spans="2:39" ht="15.75" x14ac:dyDescent="0.25">
      <c r="B508" s="1372"/>
      <c r="C508" s="1372"/>
      <c r="D508" s="1717"/>
      <c r="E508" s="1420"/>
      <c r="F508" s="1493"/>
      <c r="G508" s="1493"/>
      <c r="H508" s="1493"/>
      <c r="I508" s="1493"/>
      <c r="J508" s="1493"/>
      <c r="K508" s="1493"/>
      <c r="L508" s="1493"/>
      <c r="M508" s="1493"/>
      <c r="N508" s="1493"/>
      <c r="O508" s="1493"/>
      <c r="P508" s="1383"/>
      <c r="Q508" s="1383"/>
      <c r="R508" s="1383"/>
      <c r="S508" s="1383"/>
      <c r="T508" s="1383"/>
      <c r="U508" s="1383"/>
      <c r="V508" s="1383"/>
      <c r="W508" s="1383"/>
      <c r="X508" s="1383"/>
      <c r="Y508" s="1383"/>
      <c r="Z508" s="1383"/>
      <c r="AA508" s="1383"/>
      <c r="AB508" s="1383"/>
      <c r="AC508" s="1383"/>
      <c r="AD508" s="1383"/>
      <c r="AE508" s="1383"/>
      <c r="AF508" s="1383"/>
      <c r="AG508" s="1383"/>
      <c r="AH508" s="1383"/>
      <c r="AI508" s="1383"/>
      <c r="AJ508" s="1383"/>
      <c r="AK508" s="1383"/>
      <c r="AL508" s="1383"/>
      <c r="AM508" s="1383"/>
    </row>
    <row r="509" spans="2:39" ht="15.75" x14ac:dyDescent="0.25">
      <c r="B509" s="1372"/>
      <c r="C509" s="1372"/>
      <c r="D509" s="1717"/>
      <c r="E509" s="1420"/>
      <c r="F509" s="1493"/>
      <c r="G509" s="1493"/>
      <c r="H509" s="1493"/>
      <c r="I509" s="1493"/>
      <c r="J509" s="1493"/>
      <c r="K509" s="1493"/>
      <c r="L509" s="1493"/>
      <c r="M509" s="1493"/>
      <c r="N509" s="1493"/>
      <c r="O509" s="1493"/>
      <c r="P509" s="1383"/>
      <c r="Q509" s="1383"/>
      <c r="R509" s="1383"/>
      <c r="S509" s="1383"/>
      <c r="T509" s="1383"/>
      <c r="U509" s="1383"/>
      <c r="V509" s="1383"/>
      <c r="W509" s="1383"/>
      <c r="X509" s="1383"/>
      <c r="Y509" s="1383"/>
      <c r="Z509" s="1383"/>
      <c r="AA509" s="1383"/>
      <c r="AB509" s="1383"/>
      <c r="AC509" s="1383"/>
      <c r="AD509" s="1383"/>
      <c r="AE509" s="1383"/>
      <c r="AF509" s="1383"/>
      <c r="AG509" s="1383"/>
      <c r="AH509" s="1383"/>
      <c r="AI509" s="1383"/>
      <c r="AJ509" s="1383"/>
      <c r="AK509" s="1383"/>
      <c r="AL509" s="1383"/>
      <c r="AM509" s="1383"/>
    </row>
    <row r="510" spans="2:39" ht="15.75" x14ac:dyDescent="0.25">
      <c r="B510" s="1372"/>
      <c r="C510" s="1372"/>
      <c r="D510" s="1717"/>
      <c r="E510" s="1420"/>
      <c r="F510" s="1493"/>
      <c r="G510" s="1493"/>
      <c r="H510" s="1493"/>
      <c r="I510" s="1493"/>
      <c r="J510" s="1493"/>
      <c r="K510" s="1493"/>
      <c r="L510" s="1493"/>
      <c r="M510" s="1493"/>
      <c r="N510" s="1493"/>
      <c r="O510" s="1493"/>
      <c r="P510" s="1383"/>
      <c r="Q510" s="1383"/>
      <c r="R510" s="1383"/>
      <c r="S510" s="1383"/>
      <c r="T510" s="1383"/>
      <c r="U510" s="1383"/>
      <c r="V510" s="1383"/>
      <c r="W510" s="1383"/>
      <c r="X510" s="1383"/>
      <c r="Y510" s="1383"/>
      <c r="Z510" s="1383"/>
      <c r="AA510" s="1383"/>
      <c r="AB510" s="1383"/>
      <c r="AC510" s="1383"/>
      <c r="AD510" s="1383"/>
      <c r="AE510" s="1383"/>
      <c r="AF510" s="1383"/>
      <c r="AG510" s="1383"/>
      <c r="AH510" s="1383"/>
      <c r="AI510" s="1383"/>
      <c r="AJ510" s="1383"/>
      <c r="AK510" s="1383"/>
      <c r="AL510" s="1383"/>
      <c r="AM510" s="1383"/>
    </row>
    <row r="511" spans="2:39" ht="15.75" x14ac:dyDescent="0.25">
      <c r="B511" s="1372"/>
      <c r="C511" s="1372"/>
      <c r="D511" s="1717"/>
      <c r="E511" s="1420"/>
      <c r="F511" s="1493"/>
      <c r="G511" s="1493"/>
      <c r="H511" s="1493"/>
      <c r="I511" s="1493"/>
      <c r="J511" s="1493"/>
      <c r="K511" s="1493"/>
      <c r="L511" s="1493"/>
      <c r="M511" s="1493"/>
      <c r="N511" s="1493"/>
      <c r="O511" s="1493"/>
      <c r="P511" s="1383"/>
      <c r="Q511" s="1383"/>
      <c r="R511" s="1383"/>
      <c r="S511" s="1383"/>
      <c r="T511" s="1383"/>
      <c r="U511" s="1383"/>
      <c r="V511" s="1383"/>
      <c r="W511" s="1383"/>
      <c r="X511" s="1383"/>
      <c r="Y511" s="1383"/>
      <c r="Z511" s="1383"/>
      <c r="AA511" s="1383"/>
      <c r="AB511" s="1383"/>
      <c r="AC511" s="1383"/>
      <c r="AD511" s="1383"/>
      <c r="AE511" s="1383"/>
      <c r="AF511" s="1383"/>
      <c r="AG511" s="1383"/>
      <c r="AH511" s="1383"/>
      <c r="AI511" s="1383"/>
      <c r="AJ511" s="1383"/>
      <c r="AK511" s="1383"/>
      <c r="AL511" s="1383"/>
      <c r="AM511" s="1383"/>
    </row>
    <row r="512" spans="2:39" ht="15.75" x14ac:dyDescent="0.25">
      <c r="B512" s="1372"/>
      <c r="C512" s="1372"/>
      <c r="D512" s="1717"/>
      <c r="E512" s="1420"/>
      <c r="F512" s="1493"/>
      <c r="G512" s="1493"/>
      <c r="H512" s="1493"/>
      <c r="I512" s="1493"/>
      <c r="J512" s="1493"/>
      <c r="K512" s="1493"/>
      <c r="L512" s="1493"/>
      <c r="M512" s="1493"/>
      <c r="N512" s="1493"/>
      <c r="O512" s="1493"/>
      <c r="P512" s="1383"/>
      <c r="Q512" s="1383"/>
      <c r="R512" s="1383"/>
      <c r="S512" s="1383"/>
      <c r="T512" s="1383"/>
      <c r="U512" s="1383"/>
      <c r="V512" s="1383"/>
      <c r="W512" s="1383"/>
      <c r="X512" s="1383"/>
      <c r="Y512" s="1383"/>
      <c r="Z512" s="1383"/>
      <c r="AA512" s="1383"/>
      <c r="AB512" s="1383"/>
      <c r="AC512" s="1383"/>
      <c r="AD512" s="1383"/>
      <c r="AE512" s="1383"/>
      <c r="AF512" s="1383"/>
      <c r="AG512" s="1383"/>
      <c r="AH512" s="1383"/>
      <c r="AI512" s="1383"/>
      <c r="AJ512" s="1383"/>
      <c r="AK512" s="1383"/>
      <c r="AL512" s="1383"/>
      <c r="AM512" s="1383"/>
    </row>
    <row r="513" spans="2:39" ht="15.75" x14ac:dyDescent="0.25">
      <c r="B513" s="1372"/>
      <c r="C513" s="1372"/>
      <c r="D513" s="1717"/>
      <c r="E513" s="1420"/>
      <c r="F513" s="1493"/>
      <c r="G513" s="1493"/>
      <c r="H513" s="1493"/>
      <c r="I513" s="1493"/>
      <c r="J513" s="1493"/>
      <c r="K513" s="1493"/>
      <c r="L513" s="1493"/>
      <c r="M513" s="1493"/>
      <c r="N513" s="1493"/>
      <c r="O513" s="1493"/>
      <c r="P513" s="1383"/>
      <c r="Q513" s="1383"/>
      <c r="R513" s="1383"/>
      <c r="S513" s="1383"/>
      <c r="T513" s="1383"/>
      <c r="U513" s="1383"/>
      <c r="V513" s="1383"/>
      <c r="W513" s="1383"/>
      <c r="X513" s="1383"/>
      <c r="Y513" s="1383"/>
      <c r="Z513" s="1383"/>
      <c r="AA513" s="1383"/>
      <c r="AB513" s="1383"/>
      <c r="AC513" s="1383"/>
      <c r="AD513" s="1383"/>
      <c r="AE513" s="1383"/>
      <c r="AF513" s="1383"/>
      <c r="AG513" s="1383"/>
      <c r="AH513" s="1383"/>
      <c r="AI513" s="1383"/>
      <c r="AJ513" s="1383"/>
      <c r="AK513" s="1383"/>
      <c r="AL513" s="1383"/>
      <c r="AM513" s="1383"/>
    </row>
    <row r="514" spans="2:39" ht="15.75" x14ac:dyDescent="0.25">
      <c r="B514" s="1372"/>
      <c r="C514" s="1372"/>
      <c r="D514" s="1717"/>
      <c r="E514" s="1420"/>
      <c r="F514" s="1493"/>
      <c r="G514" s="1493"/>
      <c r="H514" s="1493"/>
      <c r="I514" s="1493"/>
      <c r="J514" s="1493"/>
      <c r="K514" s="1493"/>
      <c r="L514" s="1493"/>
      <c r="M514" s="1493"/>
      <c r="N514" s="1493"/>
      <c r="O514" s="1493"/>
      <c r="P514" s="1383"/>
      <c r="Q514" s="1383"/>
      <c r="R514" s="1383"/>
      <c r="S514" s="1383"/>
      <c r="T514" s="1383"/>
      <c r="U514" s="1383"/>
      <c r="V514" s="1383"/>
      <c r="W514" s="1383"/>
      <c r="X514" s="1383"/>
      <c r="Y514" s="1383"/>
      <c r="Z514" s="1383"/>
      <c r="AA514" s="1383"/>
      <c r="AB514" s="1383"/>
      <c r="AC514" s="1383"/>
      <c r="AD514" s="1383"/>
      <c r="AE514" s="1383"/>
      <c r="AF514" s="1383"/>
      <c r="AG514" s="1383"/>
      <c r="AH514" s="1383"/>
      <c r="AI514" s="1383"/>
      <c r="AJ514" s="1383"/>
      <c r="AK514" s="1383"/>
      <c r="AL514" s="1383"/>
      <c r="AM514" s="1383"/>
    </row>
    <row r="515" spans="2:39" ht="15.75" x14ac:dyDescent="0.25">
      <c r="B515" s="1372"/>
      <c r="C515" s="1372"/>
      <c r="D515" s="1717"/>
      <c r="E515" s="1420"/>
      <c r="F515" s="1493"/>
      <c r="G515" s="1493"/>
      <c r="H515" s="1493"/>
      <c r="I515" s="1493"/>
      <c r="J515" s="1493"/>
      <c r="K515" s="1493"/>
      <c r="L515" s="1493"/>
      <c r="M515" s="1493"/>
      <c r="N515" s="1493"/>
      <c r="O515" s="1493"/>
      <c r="P515" s="1383"/>
      <c r="Q515" s="1383"/>
      <c r="R515" s="1383"/>
      <c r="S515" s="1383"/>
      <c r="T515" s="1383"/>
      <c r="U515" s="1383"/>
      <c r="V515" s="1383"/>
      <c r="W515" s="1383"/>
      <c r="X515" s="1383"/>
      <c r="Y515" s="1383"/>
      <c r="Z515" s="1383"/>
      <c r="AA515" s="1383"/>
      <c r="AB515" s="1383"/>
      <c r="AC515" s="1383"/>
      <c r="AD515" s="1383"/>
      <c r="AE515" s="1383"/>
      <c r="AF515" s="1383"/>
      <c r="AG515" s="1383"/>
      <c r="AH515" s="1383"/>
      <c r="AI515" s="1383"/>
      <c r="AJ515" s="1383"/>
      <c r="AK515" s="1383"/>
      <c r="AL515" s="1383"/>
      <c r="AM515" s="1383"/>
    </row>
    <row r="516" spans="2:39" ht="15.75" x14ac:dyDescent="0.25">
      <c r="B516" s="1372"/>
      <c r="C516" s="1372"/>
      <c r="D516" s="1717"/>
      <c r="E516" s="1420"/>
      <c r="F516" s="1493"/>
      <c r="G516" s="1493"/>
      <c r="H516" s="1493"/>
      <c r="I516" s="1493"/>
      <c r="J516" s="1493"/>
      <c r="K516" s="1493"/>
      <c r="L516" s="1493"/>
      <c r="M516" s="1493"/>
      <c r="N516" s="1493"/>
      <c r="O516" s="1493"/>
      <c r="P516" s="1383"/>
      <c r="Q516" s="1383"/>
      <c r="R516" s="1383"/>
      <c r="S516" s="1383"/>
      <c r="T516" s="1383"/>
      <c r="U516" s="1383"/>
      <c r="V516" s="1383"/>
      <c r="W516" s="1383"/>
      <c r="X516" s="1383"/>
      <c r="Y516" s="1383"/>
      <c r="Z516" s="1383"/>
      <c r="AA516" s="1383"/>
      <c r="AB516" s="1383"/>
      <c r="AC516" s="1383"/>
      <c r="AD516" s="1383"/>
      <c r="AE516" s="1383"/>
      <c r="AF516" s="1383"/>
      <c r="AG516" s="1383"/>
      <c r="AH516" s="1383"/>
      <c r="AI516" s="1383"/>
      <c r="AJ516" s="1383"/>
      <c r="AK516" s="1383"/>
      <c r="AL516" s="1383"/>
      <c r="AM516" s="1383"/>
    </row>
    <row r="517" spans="2:39" ht="15.75" x14ac:dyDescent="0.25">
      <c r="B517" s="1372"/>
      <c r="C517" s="1372"/>
      <c r="D517" s="1717"/>
      <c r="E517" s="1420"/>
      <c r="F517" s="1493"/>
      <c r="G517" s="1493"/>
      <c r="H517" s="1493"/>
      <c r="I517" s="1493"/>
      <c r="J517" s="1493"/>
      <c r="K517" s="1493"/>
      <c r="L517" s="1493"/>
      <c r="M517" s="1493"/>
      <c r="N517" s="1493"/>
      <c r="O517" s="1493"/>
      <c r="P517" s="1383"/>
      <c r="Q517" s="1383"/>
      <c r="R517" s="1383"/>
      <c r="S517" s="1383"/>
      <c r="T517" s="1383"/>
      <c r="U517" s="1383"/>
      <c r="V517" s="1383"/>
      <c r="W517" s="1383"/>
      <c r="X517" s="1383"/>
      <c r="Y517" s="1383"/>
      <c r="Z517" s="1383"/>
      <c r="AA517" s="1383"/>
      <c r="AB517" s="1383"/>
      <c r="AC517" s="1383"/>
      <c r="AD517" s="1383"/>
      <c r="AE517" s="1383"/>
      <c r="AF517" s="1383"/>
      <c r="AG517" s="1383"/>
      <c r="AH517" s="1383"/>
      <c r="AI517" s="1383"/>
      <c r="AJ517" s="1383"/>
      <c r="AK517" s="1383"/>
      <c r="AL517" s="1383"/>
      <c r="AM517" s="1383"/>
    </row>
    <row r="518" spans="2:39" ht="15.75" x14ac:dyDescent="0.25">
      <c r="B518" s="1372"/>
      <c r="C518" s="1372"/>
      <c r="D518" s="1717"/>
      <c r="E518" s="1420"/>
      <c r="F518" s="1493"/>
      <c r="G518" s="1493"/>
      <c r="H518" s="1493"/>
      <c r="I518" s="1493"/>
      <c r="J518" s="1493"/>
      <c r="K518" s="1493"/>
      <c r="L518" s="1493"/>
      <c r="M518" s="1493"/>
      <c r="N518" s="1493"/>
      <c r="O518" s="1493"/>
      <c r="P518" s="1383"/>
      <c r="Q518" s="1383"/>
      <c r="R518" s="1383"/>
      <c r="S518" s="1383"/>
      <c r="T518" s="1383"/>
      <c r="U518" s="1383"/>
      <c r="V518" s="1383"/>
      <c r="W518" s="1383"/>
      <c r="X518" s="1383"/>
      <c r="Y518" s="1383"/>
      <c r="Z518" s="1383"/>
      <c r="AA518" s="1383"/>
      <c r="AB518" s="1383"/>
      <c r="AC518" s="1383"/>
      <c r="AD518" s="1383"/>
      <c r="AE518" s="1383"/>
      <c r="AF518" s="1383"/>
      <c r="AG518" s="1383"/>
      <c r="AH518" s="1383"/>
      <c r="AI518" s="1383"/>
      <c r="AJ518" s="1383"/>
      <c r="AK518" s="1383"/>
      <c r="AL518" s="1383"/>
      <c r="AM518" s="1383"/>
    </row>
    <row r="519" spans="2:39" ht="15.75" x14ac:dyDescent="0.25">
      <c r="B519" s="1372"/>
      <c r="C519" s="1372"/>
      <c r="D519" s="1717"/>
      <c r="E519" s="1420"/>
      <c r="F519" s="1493"/>
      <c r="G519" s="1493"/>
      <c r="H519" s="1493"/>
      <c r="I519" s="1493"/>
      <c r="J519" s="1493"/>
      <c r="K519" s="1493"/>
      <c r="L519" s="1493"/>
      <c r="M519" s="1493"/>
      <c r="N519" s="1493"/>
      <c r="O519" s="1493"/>
      <c r="P519" s="1383"/>
      <c r="Q519" s="1383"/>
      <c r="R519" s="1383"/>
      <c r="S519" s="1383"/>
      <c r="T519" s="1383"/>
      <c r="U519" s="1383"/>
      <c r="V519" s="1383"/>
      <c r="W519" s="1383"/>
      <c r="X519" s="1383"/>
      <c r="Y519" s="1383"/>
      <c r="Z519" s="1383"/>
      <c r="AA519" s="1383"/>
      <c r="AB519" s="1383"/>
      <c r="AC519" s="1383"/>
      <c r="AD519" s="1383"/>
      <c r="AE519" s="1383"/>
      <c r="AF519" s="1383"/>
      <c r="AG519" s="1383"/>
      <c r="AH519" s="1383"/>
      <c r="AI519" s="1383"/>
      <c r="AJ519" s="1383"/>
      <c r="AK519" s="1383"/>
      <c r="AL519" s="1383"/>
      <c r="AM519" s="1383"/>
    </row>
    <row r="520" spans="2:39" ht="15.75" x14ac:dyDescent="0.25">
      <c r="B520" s="1372"/>
      <c r="C520" s="1372"/>
      <c r="D520" s="1717"/>
      <c r="E520" s="1420"/>
      <c r="F520" s="1493"/>
      <c r="G520" s="1493"/>
      <c r="H520" s="1493"/>
      <c r="I520" s="1493"/>
      <c r="J520" s="1493"/>
      <c r="K520" s="1493"/>
      <c r="L520" s="1493"/>
      <c r="M520" s="1493"/>
      <c r="N520" s="1493"/>
      <c r="O520" s="1493"/>
      <c r="P520" s="1383"/>
      <c r="Q520" s="1383"/>
      <c r="R520" s="1383"/>
      <c r="S520" s="1383"/>
      <c r="T520" s="1383"/>
      <c r="U520" s="1383"/>
      <c r="V520" s="1383"/>
      <c r="W520" s="1383"/>
      <c r="X520" s="1383"/>
      <c r="Y520" s="1383"/>
      <c r="Z520" s="1383"/>
      <c r="AA520" s="1383"/>
      <c r="AB520" s="1383"/>
      <c r="AC520" s="1383"/>
      <c r="AD520" s="1383"/>
      <c r="AE520" s="1383"/>
      <c r="AF520" s="1383"/>
      <c r="AG520" s="1383"/>
      <c r="AH520" s="1383"/>
      <c r="AI520" s="1383"/>
      <c r="AJ520" s="1383"/>
      <c r="AK520" s="1383"/>
      <c r="AL520" s="1383"/>
      <c r="AM520" s="1383"/>
    </row>
    <row r="521" spans="2:39" ht="15.75" x14ac:dyDescent="0.25">
      <c r="B521" s="1372"/>
      <c r="C521" s="1372"/>
      <c r="D521" s="1717"/>
      <c r="E521" s="1420"/>
      <c r="F521" s="1493"/>
      <c r="G521" s="1493"/>
      <c r="H521" s="1493"/>
      <c r="I521" s="1493"/>
      <c r="J521" s="1493"/>
      <c r="K521" s="1493"/>
      <c r="L521" s="1493"/>
      <c r="M521" s="1493"/>
      <c r="N521" s="1493"/>
      <c r="O521" s="1493"/>
      <c r="P521" s="1383"/>
      <c r="Q521" s="1383"/>
      <c r="R521" s="1383"/>
      <c r="S521" s="1383"/>
      <c r="T521" s="1383"/>
      <c r="U521" s="1383"/>
      <c r="V521" s="1383"/>
      <c r="W521" s="1383"/>
      <c r="X521" s="1383"/>
      <c r="Y521" s="1383"/>
      <c r="Z521" s="1383"/>
      <c r="AA521" s="1383"/>
      <c r="AB521" s="1383"/>
      <c r="AC521" s="1383"/>
      <c r="AD521" s="1383"/>
      <c r="AE521" s="1383"/>
      <c r="AF521" s="1383"/>
      <c r="AG521" s="1383"/>
      <c r="AH521" s="1383"/>
      <c r="AI521" s="1383"/>
      <c r="AJ521" s="1383"/>
      <c r="AK521" s="1383"/>
      <c r="AL521" s="1383"/>
      <c r="AM521" s="1383"/>
    </row>
    <row r="522" spans="2:39" ht="15.75" x14ac:dyDescent="0.25">
      <c r="B522" s="1372"/>
      <c r="C522" s="1372"/>
      <c r="D522" s="1717"/>
      <c r="E522" s="1420"/>
      <c r="F522" s="1493"/>
      <c r="G522" s="1493"/>
      <c r="H522" s="1493"/>
      <c r="I522" s="1493"/>
      <c r="J522" s="1493"/>
      <c r="K522" s="1493"/>
      <c r="L522" s="1493"/>
      <c r="M522" s="1493"/>
      <c r="N522" s="1493"/>
      <c r="O522" s="1493"/>
      <c r="P522" s="1383"/>
      <c r="Q522" s="1383"/>
      <c r="R522" s="1383"/>
      <c r="S522" s="1383"/>
      <c r="T522" s="1383"/>
      <c r="U522" s="1383"/>
      <c r="V522" s="1383"/>
      <c r="W522" s="1383"/>
      <c r="X522" s="1383"/>
      <c r="Y522" s="1383"/>
      <c r="Z522" s="1383"/>
      <c r="AA522" s="1383"/>
      <c r="AB522" s="1383"/>
      <c r="AC522" s="1383"/>
      <c r="AD522" s="1383"/>
      <c r="AE522" s="1383"/>
      <c r="AF522" s="1383"/>
      <c r="AG522" s="1383"/>
      <c r="AH522" s="1383"/>
      <c r="AI522" s="1383"/>
      <c r="AJ522" s="1383"/>
      <c r="AK522" s="1383"/>
      <c r="AL522" s="1383"/>
      <c r="AM522" s="1383"/>
    </row>
    <row r="523" spans="2:39" ht="15.75" x14ac:dyDescent="0.25">
      <c r="B523" s="1372"/>
      <c r="C523" s="1372"/>
      <c r="D523" s="1717"/>
      <c r="E523" s="1420"/>
      <c r="F523" s="1493"/>
      <c r="G523" s="1493"/>
      <c r="H523" s="1493"/>
      <c r="I523" s="1493"/>
      <c r="J523" s="1493"/>
      <c r="K523" s="1493"/>
      <c r="L523" s="1493"/>
      <c r="M523" s="1493"/>
      <c r="N523" s="1493"/>
      <c r="O523" s="1493"/>
      <c r="P523" s="1383"/>
      <c r="Q523" s="1383"/>
      <c r="R523" s="1383"/>
      <c r="S523" s="1383"/>
      <c r="T523" s="1383"/>
      <c r="U523" s="1383"/>
      <c r="V523" s="1383"/>
      <c r="W523" s="1383"/>
      <c r="X523" s="1383"/>
      <c r="Y523" s="1383"/>
      <c r="Z523" s="1383"/>
      <c r="AA523" s="1383"/>
      <c r="AB523" s="1383"/>
      <c r="AC523" s="1383"/>
      <c r="AD523" s="1383"/>
      <c r="AE523" s="1383"/>
      <c r="AF523" s="1383"/>
      <c r="AG523" s="1383"/>
      <c r="AH523" s="1383"/>
      <c r="AI523" s="1383"/>
      <c r="AJ523" s="1383"/>
      <c r="AK523" s="1383"/>
      <c r="AL523" s="1383"/>
      <c r="AM523" s="1383"/>
    </row>
    <row r="524" spans="2:39" ht="15.75" x14ac:dyDescent="0.25">
      <c r="B524" s="1372"/>
      <c r="C524" s="1372"/>
      <c r="D524" s="1717"/>
      <c r="E524" s="1420"/>
      <c r="F524" s="1493"/>
      <c r="G524" s="1493"/>
      <c r="H524" s="1493"/>
      <c r="I524" s="1493"/>
      <c r="J524" s="1493"/>
      <c r="K524" s="1493"/>
      <c r="L524" s="1493"/>
      <c r="M524" s="1493"/>
      <c r="N524" s="1493"/>
      <c r="O524" s="1493"/>
      <c r="P524" s="1383"/>
      <c r="Q524" s="1383"/>
      <c r="R524" s="1383"/>
      <c r="S524" s="1383"/>
      <c r="T524" s="1383"/>
      <c r="U524" s="1383"/>
      <c r="V524" s="1383"/>
      <c r="W524" s="1383"/>
      <c r="X524" s="1383"/>
      <c r="Y524" s="1383"/>
      <c r="Z524" s="1383"/>
      <c r="AA524" s="1383"/>
      <c r="AB524" s="1383"/>
      <c r="AC524" s="1383"/>
      <c r="AD524" s="1383"/>
      <c r="AE524" s="1383"/>
      <c r="AF524" s="1383"/>
      <c r="AG524" s="1383"/>
      <c r="AH524" s="1383"/>
      <c r="AI524" s="1383"/>
      <c r="AJ524" s="1383"/>
      <c r="AK524" s="1383"/>
      <c r="AL524" s="1383"/>
      <c r="AM524" s="1383"/>
    </row>
    <row r="525" spans="2:39" ht="15.75" x14ac:dyDescent="0.25">
      <c r="B525" s="1372"/>
      <c r="C525" s="1372"/>
      <c r="D525" s="1717"/>
      <c r="E525" s="1420"/>
      <c r="F525" s="1493"/>
      <c r="G525" s="1493"/>
      <c r="H525" s="1493"/>
      <c r="I525" s="1493"/>
      <c r="J525" s="1493"/>
      <c r="K525" s="1493"/>
      <c r="L525" s="1493"/>
      <c r="M525" s="1493"/>
      <c r="N525" s="1493"/>
      <c r="O525" s="1493"/>
      <c r="P525" s="1383"/>
      <c r="Q525" s="1383"/>
      <c r="R525" s="1383"/>
      <c r="S525" s="1383"/>
      <c r="T525" s="1383"/>
      <c r="U525" s="1383"/>
      <c r="V525" s="1383"/>
      <c r="W525" s="1383"/>
      <c r="X525" s="1383"/>
      <c r="Y525" s="1383"/>
      <c r="Z525" s="1383"/>
      <c r="AA525" s="1383"/>
      <c r="AB525" s="1383"/>
      <c r="AC525" s="1383"/>
      <c r="AD525" s="1383"/>
      <c r="AE525" s="1383"/>
      <c r="AF525" s="1383"/>
      <c r="AG525" s="1383"/>
      <c r="AH525" s="1383"/>
      <c r="AI525" s="1383"/>
      <c r="AJ525" s="1383"/>
      <c r="AK525" s="1383"/>
      <c r="AL525" s="1383"/>
      <c r="AM525" s="1383"/>
    </row>
    <row r="526" spans="2:39" ht="15.75" x14ac:dyDescent="0.25">
      <c r="B526" s="1372"/>
      <c r="C526" s="1372"/>
      <c r="D526" s="1717"/>
      <c r="E526" s="1420"/>
      <c r="F526" s="1493"/>
      <c r="G526" s="1493"/>
      <c r="H526" s="1493"/>
      <c r="I526" s="1493"/>
      <c r="J526" s="1493"/>
      <c r="K526" s="1493"/>
      <c r="L526" s="1493"/>
      <c r="M526" s="1493"/>
      <c r="N526" s="1493"/>
      <c r="O526" s="1493"/>
      <c r="P526" s="1383"/>
      <c r="Q526" s="1383"/>
      <c r="R526" s="1383"/>
      <c r="S526" s="1383"/>
      <c r="T526" s="1383"/>
      <c r="U526" s="1383"/>
      <c r="V526" s="1383"/>
      <c r="W526" s="1383"/>
      <c r="X526" s="1383"/>
      <c r="Y526" s="1383"/>
      <c r="Z526" s="1383"/>
      <c r="AA526" s="1383"/>
      <c r="AB526" s="1383"/>
      <c r="AC526" s="1383"/>
      <c r="AD526" s="1383"/>
      <c r="AE526" s="1383"/>
      <c r="AF526" s="1383"/>
      <c r="AG526" s="1383"/>
      <c r="AH526" s="1383"/>
      <c r="AI526" s="1383"/>
      <c r="AJ526" s="1383"/>
      <c r="AK526" s="1383"/>
      <c r="AL526" s="1383"/>
      <c r="AM526" s="1383"/>
    </row>
    <row r="527" spans="2:39" ht="15.75" x14ac:dyDescent="0.25">
      <c r="B527" s="1372"/>
      <c r="C527" s="1372"/>
      <c r="D527" s="1717"/>
      <c r="E527" s="1420"/>
      <c r="F527" s="1493"/>
      <c r="G527" s="1493"/>
      <c r="H527" s="1493"/>
      <c r="I527" s="1493"/>
      <c r="J527" s="1493"/>
      <c r="K527" s="1493"/>
      <c r="L527" s="1493"/>
      <c r="M527" s="1493"/>
      <c r="N527" s="1493"/>
      <c r="O527" s="1493"/>
      <c r="P527" s="1383"/>
      <c r="Q527" s="1383"/>
      <c r="R527" s="1383"/>
      <c r="S527" s="1383"/>
      <c r="T527" s="1383"/>
      <c r="U527" s="1383"/>
      <c r="V527" s="1383"/>
      <c r="W527" s="1383"/>
      <c r="X527" s="1383"/>
      <c r="Y527" s="1383"/>
      <c r="Z527" s="1383"/>
      <c r="AA527" s="1383"/>
      <c r="AB527" s="1383"/>
      <c r="AC527" s="1383"/>
      <c r="AD527" s="1383"/>
      <c r="AE527" s="1383"/>
      <c r="AF527" s="1383"/>
      <c r="AG527" s="1383"/>
      <c r="AH527" s="1383"/>
      <c r="AI527" s="1383"/>
      <c r="AJ527" s="1383"/>
      <c r="AK527" s="1383"/>
      <c r="AL527" s="1383"/>
      <c r="AM527" s="1383"/>
    </row>
    <row r="528" spans="2:39" ht="15.75" x14ac:dyDescent="0.25">
      <c r="B528" s="1372"/>
      <c r="C528" s="1372"/>
      <c r="D528" s="1717"/>
      <c r="E528" s="1420"/>
      <c r="F528" s="1493"/>
      <c r="G528" s="1493"/>
      <c r="H528" s="1493"/>
      <c r="I528" s="1493"/>
      <c r="J528" s="1493"/>
      <c r="K528" s="1493"/>
      <c r="L528" s="1493"/>
      <c r="M528" s="1493"/>
      <c r="N528" s="1493"/>
      <c r="O528" s="1493"/>
      <c r="P528" s="1383"/>
      <c r="Q528" s="1383"/>
      <c r="R528" s="1383"/>
      <c r="S528" s="1383"/>
      <c r="T528" s="1383"/>
      <c r="U528" s="1383"/>
      <c r="V528" s="1383"/>
      <c r="W528" s="1383"/>
      <c r="X528" s="1383"/>
      <c r="Y528" s="1383"/>
      <c r="Z528" s="1383"/>
      <c r="AA528" s="1383"/>
      <c r="AB528" s="1383"/>
      <c r="AC528" s="1383"/>
      <c r="AD528" s="1383"/>
      <c r="AE528" s="1383"/>
      <c r="AF528" s="1383"/>
      <c r="AG528" s="1383"/>
      <c r="AH528" s="1383"/>
      <c r="AI528" s="1383"/>
      <c r="AJ528" s="1383"/>
      <c r="AK528" s="1383"/>
      <c r="AL528" s="1383"/>
      <c r="AM528" s="1383"/>
    </row>
    <row r="529" spans="2:39" ht="15.75" x14ac:dyDescent="0.25">
      <c r="B529" s="1372"/>
      <c r="C529" s="1372"/>
      <c r="D529" s="1717"/>
      <c r="E529" s="1420"/>
      <c r="F529" s="1493"/>
      <c r="G529" s="1493"/>
      <c r="H529" s="1493"/>
      <c r="I529" s="1493"/>
      <c r="J529" s="1493"/>
      <c r="K529" s="1493"/>
      <c r="L529" s="1493"/>
      <c r="M529" s="1493"/>
      <c r="N529" s="1493"/>
      <c r="O529" s="1493"/>
      <c r="P529" s="1383"/>
      <c r="Q529" s="1383"/>
      <c r="R529" s="1383"/>
      <c r="S529" s="1383"/>
      <c r="T529" s="1383"/>
      <c r="U529" s="1383"/>
      <c r="V529" s="1383"/>
      <c r="W529" s="1383"/>
      <c r="X529" s="1383"/>
      <c r="Y529" s="1383"/>
      <c r="Z529" s="1383"/>
      <c r="AA529" s="1383"/>
      <c r="AB529" s="1383"/>
      <c r="AC529" s="1383"/>
      <c r="AD529" s="1383"/>
      <c r="AE529" s="1383"/>
      <c r="AF529" s="1383"/>
      <c r="AG529" s="1383"/>
      <c r="AH529" s="1383"/>
      <c r="AI529" s="1383"/>
      <c r="AJ529" s="1383"/>
      <c r="AK529" s="1383"/>
      <c r="AL529" s="1383"/>
      <c r="AM529" s="1383"/>
    </row>
    <row r="530" spans="2:39" ht="15.75" x14ac:dyDescent="0.25">
      <c r="B530" s="1372"/>
      <c r="C530" s="1372"/>
      <c r="D530" s="1717"/>
      <c r="E530" s="1420"/>
      <c r="F530" s="1493"/>
      <c r="G530" s="1493"/>
      <c r="H530" s="1493"/>
      <c r="I530" s="1493"/>
      <c r="J530" s="1493"/>
      <c r="K530" s="1493"/>
      <c r="L530" s="1493"/>
      <c r="M530" s="1493"/>
      <c r="N530" s="1493"/>
      <c r="O530" s="1493"/>
      <c r="P530" s="1383"/>
      <c r="Q530" s="1383"/>
      <c r="R530" s="1383"/>
      <c r="S530" s="1383"/>
      <c r="T530" s="1383"/>
      <c r="U530" s="1383"/>
      <c r="V530" s="1383"/>
      <c r="W530" s="1383"/>
      <c r="X530" s="1383"/>
      <c r="Y530" s="1383"/>
      <c r="Z530" s="1383"/>
      <c r="AA530" s="1383"/>
      <c r="AB530" s="1383"/>
      <c r="AC530" s="1383"/>
      <c r="AD530" s="1383"/>
      <c r="AE530" s="1383"/>
      <c r="AF530" s="1383"/>
      <c r="AG530" s="1383"/>
      <c r="AH530" s="1383"/>
      <c r="AI530" s="1383"/>
      <c r="AJ530" s="1383"/>
      <c r="AK530" s="1383"/>
      <c r="AL530" s="1383"/>
      <c r="AM530" s="1383"/>
    </row>
    <row r="531" spans="2:39" ht="15.75" x14ac:dyDescent="0.25">
      <c r="B531" s="1372"/>
      <c r="C531" s="1372"/>
      <c r="D531" s="1717"/>
      <c r="E531" s="1420"/>
      <c r="F531" s="1493"/>
      <c r="G531" s="1493"/>
      <c r="H531" s="1493"/>
      <c r="I531" s="1493"/>
      <c r="J531" s="1493"/>
      <c r="K531" s="1493"/>
      <c r="L531" s="1493"/>
      <c r="M531" s="1493"/>
      <c r="N531" s="1493"/>
      <c r="O531" s="1493"/>
      <c r="P531" s="1383"/>
      <c r="Q531" s="1383"/>
      <c r="R531" s="1383"/>
      <c r="S531" s="1383"/>
      <c r="T531" s="1383"/>
      <c r="U531" s="1383"/>
      <c r="V531" s="1383"/>
      <c r="W531" s="1383"/>
      <c r="X531" s="1383"/>
      <c r="Y531" s="1383"/>
      <c r="Z531" s="1383"/>
      <c r="AA531" s="1383"/>
      <c r="AB531" s="1383"/>
      <c r="AC531" s="1383"/>
      <c r="AD531" s="1383"/>
      <c r="AE531" s="1383"/>
      <c r="AF531" s="1383"/>
      <c r="AG531" s="1383"/>
      <c r="AH531" s="1383"/>
      <c r="AI531" s="1383"/>
      <c r="AJ531" s="1383"/>
      <c r="AK531" s="1383"/>
      <c r="AL531" s="1383"/>
      <c r="AM531" s="1383"/>
    </row>
    <row r="532" spans="2:39" ht="15.75" x14ac:dyDescent="0.25">
      <c r="B532" s="1372"/>
      <c r="C532" s="1372"/>
      <c r="D532" s="1717"/>
      <c r="E532" s="1420"/>
      <c r="F532" s="1493"/>
      <c r="G532" s="1493"/>
      <c r="H532" s="1493"/>
      <c r="I532" s="1493"/>
      <c r="J532" s="1493"/>
      <c r="K532" s="1493"/>
      <c r="L532" s="1493"/>
      <c r="M532" s="1493"/>
      <c r="N532" s="1493"/>
      <c r="O532" s="1493"/>
      <c r="P532" s="1383"/>
      <c r="Q532" s="1383"/>
      <c r="R532" s="1383"/>
      <c r="S532" s="1383"/>
      <c r="T532" s="1383"/>
      <c r="U532" s="1383"/>
      <c r="V532" s="1383"/>
      <c r="W532" s="1383"/>
      <c r="X532" s="1383"/>
      <c r="Y532" s="1383"/>
      <c r="Z532" s="1383"/>
      <c r="AA532" s="1383"/>
      <c r="AB532" s="1383"/>
      <c r="AC532" s="1383"/>
      <c r="AD532" s="1383"/>
      <c r="AE532" s="1383"/>
      <c r="AF532" s="1383"/>
      <c r="AG532" s="1383"/>
      <c r="AH532" s="1383"/>
      <c r="AI532" s="1383"/>
      <c r="AJ532" s="1383"/>
      <c r="AK532" s="1383"/>
      <c r="AL532" s="1383"/>
      <c r="AM532" s="1383"/>
    </row>
    <row r="533" spans="2:39" ht="15.75" x14ac:dyDescent="0.25">
      <c r="B533" s="1372"/>
      <c r="C533" s="1372"/>
      <c r="D533" s="1717"/>
      <c r="E533" s="1420"/>
      <c r="F533" s="1493"/>
      <c r="G533" s="1493"/>
      <c r="H533" s="1493"/>
      <c r="I533" s="1493"/>
      <c r="J533" s="1493"/>
      <c r="K533" s="1493"/>
      <c r="L533" s="1493"/>
      <c r="M533" s="1493"/>
      <c r="N533" s="1493"/>
      <c r="O533" s="1493"/>
      <c r="P533" s="1383"/>
      <c r="Q533" s="1383"/>
      <c r="R533" s="1383"/>
      <c r="S533" s="1383"/>
      <c r="T533" s="1383"/>
      <c r="U533" s="1383"/>
      <c r="V533" s="1383"/>
      <c r="W533" s="1383"/>
      <c r="X533" s="1383"/>
      <c r="Y533" s="1383"/>
      <c r="Z533" s="1383"/>
      <c r="AA533" s="1383"/>
      <c r="AB533" s="1383"/>
      <c r="AC533" s="1383"/>
      <c r="AD533" s="1383"/>
      <c r="AE533" s="1383"/>
      <c r="AF533" s="1383"/>
      <c r="AG533" s="1383"/>
      <c r="AH533" s="1383"/>
      <c r="AI533" s="1383"/>
      <c r="AJ533" s="1383"/>
      <c r="AK533" s="1383"/>
      <c r="AL533" s="1383"/>
      <c r="AM533" s="1383"/>
    </row>
    <row r="534" spans="2:39" ht="15.75" x14ac:dyDescent="0.25">
      <c r="B534" s="1372"/>
      <c r="C534" s="1372"/>
      <c r="D534" s="1717"/>
      <c r="E534" s="1420"/>
      <c r="F534" s="1493"/>
      <c r="G534" s="1493"/>
      <c r="H534" s="1493"/>
      <c r="I534" s="1493"/>
      <c r="J534" s="1493"/>
      <c r="K534" s="1493"/>
      <c r="L534" s="1493"/>
      <c r="M534" s="1493"/>
      <c r="N534" s="1493"/>
      <c r="O534" s="1493"/>
      <c r="P534" s="1383"/>
      <c r="Q534" s="1383"/>
      <c r="R534" s="1383"/>
      <c r="S534" s="1383"/>
      <c r="T534" s="1383"/>
      <c r="U534" s="1383"/>
      <c r="V534" s="1383"/>
      <c r="W534" s="1383"/>
      <c r="X534" s="1383"/>
      <c r="Y534" s="1383"/>
      <c r="Z534" s="1383"/>
      <c r="AA534" s="1383"/>
      <c r="AB534" s="1383"/>
      <c r="AC534" s="1383"/>
      <c r="AD534" s="1383"/>
      <c r="AE534" s="1383"/>
      <c r="AF534" s="1383"/>
      <c r="AG534" s="1383"/>
      <c r="AH534" s="1383"/>
      <c r="AI534" s="1383"/>
      <c r="AJ534" s="1383"/>
      <c r="AK534" s="1383"/>
      <c r="AL534" s="1383"/>
      <c r="AM534" s="1383"/>
    </row>
    <row r="535" spans="2:39" ht="15.75" x14ac:dyDescent="0.25">
      <c r="B535" s="1372"/>
      <c r="C535" s="1372"/>
      <c r="D535" s="1717"/>
      <c r="E535" s="1420"/>
      <c r="F535" s="1493"/>
      <c r="G535" s="1493"/>
      <c r="H535" s="1493"/>
      <c r="I535" s="1493"/>
      <c r="J535" s="1493"/>
      <c r="K535" s="1493"/>
      <c r="L535" s="1493"/>
      <c r="M535" s="1493"/>
      <c r="N535" s="1493"/>
      <c r="O535" s="1493"/>
      <c r="P535" s="1383"/>
      <c r="Q535" s="1383"/>
      <c r="R535" s="1383"/>
      <c r="S535" s="1383"/>
      <c r="T535" s="1383"/>
      <c r="U535" s="1383"/>
      <c r="V535" s="1383"/>
      <c r="W535" s="1383"/>
      <c r="X535" s="1383"/>
      <c r="Y535" s="1383"/>
      <c r="Z535" s="1383"/>
      <c r="AA535" s="1383"/>
      <c r="AB535" s="1383"/>
      <c r="AC535" s="1383"/>
      <c r="AD535" s="1383"/>
      <c r="AE535" s="1383"/>
      <c r="AF535" s="1383"/>
      <c r="AG535" s="1383"/>
      <c r="AH535" s="1383"/>
      <c r="AI535" s="1383"/>
      <c r="AJ535" s="1383"/>
      <c r="AK535" s="1383"/>
      <c r="AL535" s="1383"/>
      <c r="AM535" s="1383"/>
    </row>
    <row r="536" spans="2:39" ht="15.75" x14ac:dyDescent="0.25">
      <c r="B536" s="1372"/>
      <c r="C536" s="1372"/>
      <c r="D536" s="1717"/>
      <c r="E536" s="1420"/>
      <c r="F536" s="1493"/>
      <c r="G536" s="1493"/>
      <c r="H536" s="1493"/>
      <c r="I536" s="1493"/>
      <c r="J536" s="1493"/>
      <c r="K536" s="1493"/>
      <c r="L536" s="1493"/>
      <c r="M536" s="1493"/>
      <c r="N536" s="1493"/>
      <c r="O536" s="1493"/>
      <c r="P536" s="1383"/>
      <c r="Q536" s="1383"/>
      <c r="R536" s="1383"/>
      <c r="S536" s="1383"/>
      <c r="T536" s="1383"/>
      <c r="U536" s="1383"/>
      <c r="V536" s="1383"/>
      <c r="W536" s="1383"/>
      <c r="X536" s="1383"/>
      <c r="Y536" s="1383"/>
      <c r="Z536" s="1383"/>
      <c r="AA536" s="1383"/>
      <c r="AB536" s="1383"/>
      <c r="AC536" s="1383"/>
      <c r="AD536" s="1383"/>
      <c r="AE536" s="1383"/>
      <c r="AF536" s="1383"/>
      <c r="AG536" s="1383"/>
      <c r="AH536" s="1383"/>
      <c r="AI536" s="1383"/>
      <c r="AJ536" s="1383"/>
      <c r="AK536" s="1383"/>
      <c r="AL536" s="1383"/>
      <c r="AM536" s="1383"/>
    </row>
    <row r="537" spans="2:39" ht="15.75" x14ac:dyDescent="0.25">
      <c r="B537" s="1372"/>
      <c r="C537" s="1372"/>
      <c r="D537" s="1717"/>
      <c r="E537" s="1420"/>
      <c r="F537" s="1493"/>
      <c r="G537" s="1493"/>
      <c r="H537" s="1493"/>
      <c r="I537" s="1493"/>
      <c r="J537" s="1493"/>
      <c r="K537" s="1493"/>
      <c r="L537" s="1493"/>
      <c r="M537" s="1493"/>
      <c r="N537" s="1493"/>
      <c r="O537" s="1493"/>
      <c r="P537" s="1383"/>
      <c r="Q537" s="1383"/>
      <c r="R537" s="1383"/>
      <c r="S537" s="1383"/>
      <c r="T537" s="1383"/>
      <c r="U537" s="1383"/>
      <c r="V537" s="1383"/>
      <c r="W537" s="1383"/>
      <c r="X537" s="1383"/>
      <c r="Y537" s="1383"/>
      <c r="Z537" s="1383"/>
      <c r="AA537" s="1383"/>
      <c r="AB537" s="1383"/>
      <c r="AC537" s="1383"/>
      <c r="AD537" s="1383"/>
      <c r="AE537" s="1383"/>
      <c r="AF537" s="1383"/>
      <c r="AG537" s="1383"/>
      <c r="AH537" s="1383"/>
      <c r="AI537" s="1383"/>
      <c r="AJ537" s="1383"/>
      <c r="AK537" s="1383"/>
      <c r="AL537" s="1383"/>
      <c r="AM537" s="1383"/>
    </row>
    <row r="538" spans="2:39" ht="15.75" x14ac:dyDescent="0.25">
      <c r="B538" s="1372"/>
      <c r="C538" s="1372"/>
      <c r="D538" s="1717"/>
      <c r="E538" s="1420"/>
      <c r="F538" s="1493"/>
      <c r="G538" s="1493"/>
      <c r="H538" s="1493"/>
      <c r="I538" s="1493"/>
      <c r="J538" s="1493"/>
      <c r="K538" s="1493"/>
      <c r="L538" s="1493"/>
      <c r="M538" s="1493"/>
      <c r="N538" s="1493"/>
      <c r="O538" s="1493"/>
      <c r="P538" s="1383"/>
      <c r="Q538" s="1383"/>
      <c r="R538" s="1383"/>
      <c r="S538" s="1383"/>
      <c r="T538" s="1383"/>
      <c r="U538" s="1383"/>
      <c r="V538" s="1383"/>
      <c r="W538" s="1383"/>
      <c r="X538" s="1383"/>
      <c r="Y538" s="1383"/>
      <c r="Z538" s="1383"/>
      <c r="AA538" s="1383"/>
      <c r="AB538" s="1383"/>
      <c r="AC538" s="1383"/>
      <c r="AD538" s="1383"/>
      <c r="AE538" s="1383"/>
      <c r="AF538" s="1383"/>
      <c r="AG538" s="1383"/>
      <c r="AH538" s="1383"/>
      <c r="AI538" s="1383"/>
      <c r="AJ538" s="1383"/>
      <c r="AK538" s="1383"/>
      <c r="AL538" s="1383"/>
      <c r="AM538" s="1383"/>
    </row>
    <row r="539" spans="2:39" ht="15.75" x14ac:dyDescent="0.25">
      <c r="B539" s="1372"/>
      <c r="C539" s="1372"/>
      <c r="D539" s="1717"/>
      <c r="E539" s="1420"/>
      <c r="F539" s="1493"/>
      <c r="G539" s="1493"/>
      <c r="H539" s="1493"/>
      <c r="I539" s="1493"/>
      <c r="J539" s="1493"/>
      <c r="K539" s="1493"/>
      <c r="L539" s="1493"/>
      <c r="M539" s="1493"/>
      <c r="N539" s="1493"/>
      <c r="O539" s="1493"/>
      <c r="P539" s="1383"/>
      <c r="Q539" s="1383"/>
      <c r="R539" s="1383"/>
      <c r="S539" s="1383"/>
      <c r="T539" s="1383"/>
      <c r="U539" s="1383"/>
      <c r="V539" s="1383"/>
      <c r="W539" s="1383"/>
      <c r="X539" s="1383"/>
      <c r="Y539" s="1383"/>
      <c r="Z539" s="1383"/>
      <c r="AA539" s="1383"/>
      <c r="AB539" s="1383"/>
      <c r="AC539" s="1383"/>
      <c r="AD539" s="1383"/>
      <c r="AE539" s="1383"/>
      <c r="AF539" s="1383"/>
      <c r="AG539" s="1383"/>
      <c r="AH539" s="1383"/>
      <c r="AI539" s="1383"/>
      <c r="AJ539" s="1383"/>
      <c r="AK539" s="1383"/>
      <c r="AL539" s="1383"/>
      <c r="AM539" s="1383"/>
    </row>
    <row r="540" spans="2:39" ht="15.75" x14ac:dyDescent="0.25">
      <c r="B540" s="1372"/>
      <c r="C540" s="1372"/>
      <c r="D540" s="1717"/>
      <c r="E540" s="1420"/>
      <c r="F540" s="1493"/>
      <c r="G540" s="1493"/>
      <c r="H540" s="1493"/>
      <c r="I540" s="1493"/>
      <c r="J540" s="1493"/>
      <c r="K540" s="1493"/>
      <c r="L540" s="1493"/>
      <c r="M540" s="1493"/>
      <c r="N540" s="1493"/>
      <c r="O540" s="1493"/>
      <c r="P540" s="1383"/>
      <c r="Q540" s="1383"/>
      <c r="R540" s="1383"/>
      <c r="S540" s="1383"/>
      <c r="T540" s="1383"/>
      <c r="U540" s="1383"/>
      <c r="V540" s="1383"/>
      <c r="W540" s="1383"/>
      <c r="X540" s="1383"/>
      <c r="Y540" s="1383"/>
      <c r="Z540" s="1383"/>
      <c r="AA540" s="1383"/>
      <c r="AB540" s="1383"/>
      <c r="AC540" s="1383"/>
      <c r="AD540" s="1383"/>
      <c r="AE540" s="1383"/>
      <c r="AF540" s="1383"/>
      <c r="AG540" s="1383"/>
      <c r="AH540" s="1383"/>
      <c r="AI540" s="1383"/>
      <c r="AJ540" s="1383"/>
      <c r="AK540" s="1383"/>
      <c r="AL540" s="1383"/>
      <c r="AM540" s="1383"/>
    </row>
    <row r="541" spans="2:39" ht="15.75" x14ac:dyDescent="0.25">
      <c r="B541" s="1372"/>
      <c r="C541" s="1372"/>
      <c r="D541" s="1717"/>
      <c r="E541" s="1420"/>
      <c r="F541" s="1493"/>
      <c r="G541" s="1493"/>
      <c r="H541" s="1493"/>
      <c r="I541" s="1493"/>
      <c r="J541" s="1493"/>
      <c r="K541" s="1493"/>
      <c r="L541" s="1493"/>
      <c r="M541" s="1493"/>
      <c r="N541" s="1493"/>
      <c r="O541" s="1493"/>
      <c r="P541" s="1383"/>
      <c r="Q541" s="1383"/>
      <c r="R541" s="1383"/>
      <c r="S541" s="1383"/>
      <c r="T541" s="1383"/>
      <c r="U541" s="1383"/>
      <c r="V541" s="1383"/>
      <c r="W541" s="1383"/>
      <c r="X541" s="1383"/>
      <c r="Y541" s="1383"/>
      <c r="Z541" s="1383"/>
      <c r="AA541" s="1383"/>
      <c r="AB541" s="1383"/>
      <c r="AC541" s="1383"/>
      <c r="AD541" s="1383"/>
      <c r="AE541" s="1383"/>
      <c r="AF541" s="1383"/>
      <c r="AG541" s="1383"/>
      <c r="AH541" s="1383"/>
      <c r="AI541" s="1383"/>
      <c r="AJ541" s="1383"/>
      <c r="AK541" s="1383"/>
      <c r="AL541" s="1383"/>
      <c r="AM541" s="1383"/>
    </row>
    <row r="542" spans="2:39" ht="15.75" x14ac:dyDescent="0.25">
      <c r="B542" s="1372"/>
      <c r="C542" s="1372"/>
      <c r="D542" s="1717"/>
      <c r="E542" s="1420"/>
      <c r="F542" s="1493"/>
      <c r="G542" s="1493"/>
      <c r="H542" s="1493"/>
      <c r="I542" s="1493"/>
      <c r="J542" s="1493"/>
      <c r="K542" s="1493"/>
      <c r="L542" s="1493"/>
      <c r="M542" s="1493"/>
      <c r="N542" s="1493"/>
      <c r="O542" s="1493"/>
      <c r="P542" s="1383"/>
      <c r="Q542" s="1383"/>
      <c r="R542" s="1383"/>
      <c r="S542" s="1383"/>
      <c r="T542" s="1383"/>
      <c r="U542" s="1383"/>
      <c r="V542" s="1383"/>
      <c r="W542" s="1383"/>
      <c r="X542" s="1383"/>
      <c r="Y542" s="1383"/>
      <c r="Z542" s="1383"/>
      <c r="AA542" s="1383"/>
      <c r="AB542" s="1383"/>
      <c r="AC542" s="1383"/>
      <c r="AD542" s="1383"/>
      <c r="AE542" s="1383"/>
      <c r="AF542" s="1383"/>
      <c r="AG542" s="1383"/>
      <c r="AH542" s="1383"/>
      <c r="AI542" s="1383"/>
      <c r="AJ542" s="1383"/>
      <c r="AK542" s="1383"/>
      <c r="AL542" s="1383"/>
      <c r="AM542" s="1383"/>
    </row>
    <row r="543" spans="2:39" ht="15.75" x14ac:dyDescent="0.25">
      <c r="B543" s="1372"/>
      <c r="C543" s="1372"/>
      <c r="D543" s="1717"/>
      <c r="E543" s="1420"/>
      <c r="F543" s="1493"/>
      <c r="G543" s="1493"/>
      <c r="H543" s="1493"/>
      <c r="I543" s="1493"/>
      <c r="J543" s="1493"/>
      <c r="K543" s="1493"/>
      <c r="L543" s="1493"/>
      <c r="M543" s="1493"/>
      <c r="N543" s="1493"/>
      <c r="O543" s="1493"/>
      <c r="P543" s="1383"/>
      <c r="Q543" s="1383"/>
      <c r="R543" s="1383"/>
      <c r="S543" s="1383"/>
      <c r="T543" s="1383"/>
      <c r="U543" s="1383"/>
      <c r="V543" s="1383"/>
      <c r="W543" s="1383"/>
      <c r="X543" s="1383"/>
      <c r="Y543" s="1383"/>
      <c r="Z543" s="1383"/>
      <c r="AA543" s="1383"/>
      <c r="AB543" s="1383"/>
      <c r="AC543" s="1383"/>
      <c r="AD543" s="1383"/>
      <c r="AE543" s="1383"/>
      <c r="AF543" s="1383"/>
      <c r="AG543" s="1383"/>
      <c r="AH543" s="1383"/>
      <c r="AI543" s="1383"/>
      <c r="AJ543" s="1383"/>
      <c r="AK543" s="1383"/>
      <c r="AL543" s="1383"/>
      <c r="AM543" s="1383"/>
    </row>
    <row r="544" spans="2:39" ht="15.75" x14ac:dyDescent="0.25">
      <c r="B544" s="1372"/>
      <c r="C544" s="1372"/>
      <c r="D544" s="1717"/>
      <c r="E544" s="1420"/>
      <c r="F544" s="1493"/>
      <c r="G544" s="1493"/>
      <c r="H544" s="1493"/>
      <c r="I544" s="1493"/>
      <c r="J544" s="1493"/>
      <c r="K544" s="1493"/>
      <c r="L544" s="1493"/>
      <c r="M544" s="1493"/>
      <c r="N544" s="1493"/>
      <c r="O544" s="1493"/>
      <c r="P544" s="1383"/>
      <c r="Q544" s="1383"/>
      <c r="R544" s="1383"/>
      <c r="S544" s="1383"/>
      <c r="T544" s="1383"/>
      <c r="U544" s="1383"/>
      <c r="V544" s="1383"/>
      <c r="W544" s="1383"/>
      <c r="X544" s="1383"/>
      <c r="Y544" s="1383"/>
      <c r="Z544" s="1383"/>
      <c r="AA544" s="1383"/>
      <c r="AB544" s="1383"/>
      <c r="AC544" s="1383"/>
      <c r="AD544" s="1383"/>
      <c r="AE544" s="1383"/>
      <c r="AF544" s="1383"/>
      <c r="AG544" s="1383"/>
      <c r="AH544" s="1383"/>
      <c r="AI544" s="1383"/>
      <c r="AJ544" s="1383"/>
      <c r="AK544" s="1383"/>
      <c r="AL544" s="1383"/>
      <c r="AM544" s="1383"/>
    </row>
    <row r="545" spans="2:39" ht="15.75" x14ac:dyDescent="0.25">
      <c r="B545" s="1372"/>
      <c r="C545" s="1372"/>
      <c r="D545" s="1717"/>
      <c r="E545" s="1420"/>
      <c r="F545" s="1493"/>
      <c r="G545" s="1493"/>
      <c r="H545" s="1493"/>
      <c r="I545" s="1493"/>
      <c r="J545" s="1493"/>
      <c r="K545" s="1493"/>
      <c r="L545" s="1493"/>
      <c r="M545" s="1493"/>
      <c r="N545" s="1493"/>
      <c r="O545" s="1493"/>
      <c r="P545" s="1383"/>
      <c r="Q545" s="1383"/>
      <c r="R545" s="1383"/>
      <c r="S545" s="1383"/>
      <c r="T545" s="1383"/>
      <c r="U545" s="1383"/>
      <c r="V545" s="1383"/>
      <c r="W545" s="1383"/>
      <c r="X545" s="1383"/>
      <c r="Y545" s="1383"/>
      <c r="Z545" s="1383"/>
      <c r="AA545" s="1383"/>
      <c r="AB545" s="1383"/>
      <c r="AC545" s="1383"/>
      <c r="AD545" s="1383"/>
      <c r="AE545" s="1383"/>
      <c r="AF545" s="1383"/>
      <c r="AG545" s="1383"/>
      <c r="AH545" s="1383"/>
      <c r="AI545" s="1383"/>
      <c r="AJ545" s="1383"/>
      <c r="AK545" s="1383"/>
      <c r="AL545" s="1383"/>
      <c r="AM545" s="1383"/>
    </row>
    <row r="546" spans="2:39" ht="15.75" x14ac:dyDescent="0.25">
      <c r="B546" s="1372"/>
      <c r="C546" s="1372"/>
      <c r="D546" s="1717"/>
      <c r="E546" s="1420"/>
      <c r="F546" s="1493"/>
      <c r="G546" s="1493"/>
      <c r="H546" s="1493"/>
      <c r="I546" s="1493"/>
      <c r="J546" s="1493"/>
      <c r="K546" s="1493"/>
      <c r="L546" s="1493"/>
      <c r="M546" s="1493"/>
      <c r="N546" s="1493"/>
      <c r="O546" s="1493"/>
      <c r="P546" s="1383"/>
      <c r="Q546" s="1383"/>
      <c r="R546" s="1383"/>
      <c r="S546" s="1383"/>
      <c r="T546" s="1383"/>
      <c r="U546" s="1383"/>
      <c r="V546" s="1383"/>
      <c r="W546" s="1383"/>
      <c r="X546" s="1383"/>
      <c r="Y546" s="1383"/>
      <c r="Z546" s="1383"/>
      <c r="AA546" s="1383"/>
      <c r="AB546" s="1383"/>
      <c r="AC546" s="1383"/>
      <c r="AD546" s="1383"/>
      <c r="AE546" s="1383"/>
      <c r="AF546" s="1383"/>
      <c r="AG546" s="1383"/>
      <c r="AH546" s="1383"/>
      <c r="AI546" s="1383"/>
      <c r="AJ546" s="1383"/>
      <c r="AK546" s="1383"/>
      <c r="AL546" s="1383"/>
      <c r="AM546" s="1383"/>
    </row>
    <row r="547" spans="2:39" ht="15.75" x14ac:dyDescent="0.25">
      <c r="B547" s="1372"/>
      <c r="C547" s="1372"/>
      <c r="D547" s="1717"/>
      <c r="E547" s="1420"/>
      <c r="F547" s="1493"/>
      <c r="G547" s="1493"/>
      <c r="H547" s="1493"/>
      <c r="I547" s="1493"/>
      <c r="J547" s="1493"/>
      <c r="K547" s="1493"/>
      <c r="L547" s="1493"/>
      <c r="M547" s="1493"/>
      <c r="N547" s="1493"/>
      <c r="O547" s="1493"/>
      <c r="P547" s="1383"/>
      <c r="Q547" s="1383"/>
      <c r="R547" s="1383"/>
      <c r="S547" s="1383"/>
      <c r="T547" s="1383"/>
      <c r="U547" s="1383"/>
      <c r="V547" s="1383"/>
      <c r="W547" s="1383"/>
      <c r="X547" s="1383"/>
      <c r="Y547" s="1383"/>
      <c r="Z547" s="1383"/>
      <c r="AA547" s="1383"/>
      <c r="AB547" s="1383"/>
      <c r="AC547" s="1383"/>
      <c r="AD547" s="1383"/>
      <c r="AE547" s="1383"/>
      <c r="AF547" s="1383"/>
      <c r="AG547" s="1383"/>
      <c r="AH547" s="1383"/>
      <c r="AI547" s="1383"/>
      <c r="AJ547" s="1383"/>
      <c r="AK547" s="1383"/>
      <c r="AL547" s="1383"/>
      <c r="AM547" s="1383"/>
    </row>
    <row r="548" spans="2:39" ht="15.75" x14ac:dyDescent="0.25">
      <c r="B548" s="1372"/>
      <c r="C548" s="1372"/>
      <c r="D548" s="1717"/>
      <c r="E548" s="1420"/>
      <c r="F548" s="1493"/>
      <c r="G548" s="1493"/>
      <c r="H548" s="1493"/>
      <c r="I548" s="1493"/>
      <c r="J548" s="1493"/>
      <c r="K548" s="1493"/>
      <c r="L548" s="1493"/>
      <c r="M548" s="1493"/>
      <c r="N548" s="1493"/>
      <c r="O548" s="1493"/>
      <c r="P548" s="1383"/>
      <c r="Q548" s="1383"/>
      <c r="R548" s="1383"/>
      <c r="S548" s="1383"/>
      <c r="T548" s="1383"/>
      <c r="U548" s="1383"/>
      <c r="V548" s="1383"/>
      <c r="W548" s="1383"/>
      <c r="X548" s="1383"/>
      <c r="Y548" s="1383"/>
      <c r="Z548" s="1383"/>
      <c r="AA548" s="1383"/>
      <c r="AB548" s="1383"/>
      <c r="AC548" s="1383"/>
      <c r="AD548" s="1383"/>
      <c r="AE548" s="1383"/>
      <c r="AF548" s="1383"/>
      <c r="AG548" s="1383"/>
      <c r="AH548" s="1383"/>
      <c r="AI548" s="1383"/>
      <c r="AJ548" s="1383"/>
      <c r="AK548" s="1383"/>
      <c r="AL548" s="1383"/>
      <c r="AM548" s="1383"/>
    </row>
    <row r="549" spans="2:39" ht="15.75" x14ac:dyDescent="0.25">
      <c r="B549" s="1372"/>
      <c r="C549" s="1372"/>
      <c r="D549" s="1717"/>
      <c r="E549" s="1420"/>
      <c r="F549" s="1493"/>
      <c r="G549" s="1493"/>
      <c r="H549" s="1493"/>
      <c r="I549" s="1493"/>
      <c r="J549" s="1493"/>
      <c r="K549" s="1493"/>
      <c r="L549" s="1493"/>
      <c r="M549" s="1493"/>
      <c r="N549" s="1493"/>
      <c r="O549" s="1493"/>
      <c r="P549" s="1383"/>
      <c r="Q549" s="1383"/>
      <c r="R549" s="1383"/>
      <c r="S549" s="1383"/>
      <c r="T549" s="1383"/>
      <c r="U549" s="1383"/>
      <c r="V549" s="1383"/>
      <c r="W549" s="1383"/>
      <c r="X549" s="1383"/>
      <c r="Y549" s="1383"/>
      <c r="Z549" s="1383"/>
      <c r="AA549" s="1383"/>
      <c r="AB549" s="1383"/>
      <c r="AC549" s="1383"/>
      <c r="AD549" s="1383"/>
      <c r="AE549" s="1383"/>
      <c r="AF549" s="1383"/>
      <c r="AG549" s="1383"/>
      <c r="AH549" s="1383"/>
      <c r="AI549" s="1383"/>
      <c r="AJ549" s="1383"/>
      <c r="AK549" s="1383"/>
      <c r="AL549" s="1383"/>
      <c r="AM549" s="1383"/>
    </row>
    <row r="550" spans="2:39" ht="15.75" x14ac:dyDescent="0.25">
      <c r="B550" s="1372"/>
      <c r="C550" s="1372"/>
      <c r="D550" s="1717"/>
      <c r="E550" s="1420"/>
      <c r="F550" s="1493"/>
      <c r="G550" s="1493"/>
      <c r="H550" s="1493"/>
      <c r="I550" s="1493"/>
      <c r="J550" s="1493"/>
      <c r="K550" s="1493"/>
      <c r="L550" s="1493"/>
      <c r="M550" s="1493"/>
      <c r="N550" s="1493"/>
      <c r="O550" s="1493"/>
      <c r="P550" s="1383"/>
      <c r="Q550" s="1383"/>
      <c r="R550" s="1383"/>
      <c r="S550" s="1383"/>
      <c r="T550" s="1383"/>
      <c r="U550" s="1383"/>
      <c r="V550" s="1383"/>
      <c r="W550" s="1383"/>
      <c r="X550" s="1383"/>
      <c r="Y550" s="1383"/>
      <c r="Z550" s="1383"/>
      <c r="AA550" s="1383"/>
      <c r="AB550" s="1383"/>
      <c r="AC550" s="1383"/>
      <c r="AD550" s="1383"/>
      <c r="AE550" s="1383"/>
      <c r="AF550" s="1383"/>
      <c r="AG550" s="1383"/>
      <c r="AH550" s="1383"/>
      <c r="AI550" s="1383"/>
      <c r="AJ550" s="1383"/>
      <c r="AK550" s="1383"/>
      <c r="AL550" s="1383"/>
      <c r="AM550" s="1383"/>
    </row>
    <row r="551" spans="2:39" ht="15.75" x14ac:dyDescent="0.25">
      <c r="B551" s="1372"/>
      <c r="C551" s="1372"/>
      <c r="D551" s="1717"/>
      <c r="E551" s="1420"/>
      <c r="F551" s="1493"/>
      <c r="G551" s="1493"/>
      <c r="H551" s="1493"/>
      <c r="I551" s="1493"/>
      <c r="J551" s="1493"/>
      <c r="K551" s="1493"/>
      <c r="L551" s="1493"/>
      <c r="M551" s="1493"/>
      <c r="N551" s="1493"/>
      <c r="O551" s="1493"/>
      <c r="P551" s="1383"/>
      <c r="Q551" s="1383"/>
      <c r="R551" s="1383"/>
      <c r="S551" s="1383"/>
      <c r="T551" s="1383"/>
      <c r="U551" s="1383"/>
      <c r="V551" s="1383"/>
      <c r="W551" s="1383"/>
      <c r="X551" s="1383"/>
      <c r="Y551" s="1383"/>
      <c r="Z551" s="1383"/>
      <c r="AA551" s="1383"/>
      <c r="AB551" s="1383"/>
      <c r="AC551" s="1383"/>
      <c r="AD551" s="1383"/>
      <c r="AE551" s="1383"/>
      <c r="AF551" s="1383"/>
      <c r="AG551" s="1383"/>
      <c r="AH551" s="1383"/>
      <c r="AI551" s="1383"/>
      <c r="AJ551" s="1383"/>
      <c r="AK551" s="1383"/>
      <c r="AL551" s="1383"/>
      <c r="AM551" s="1383"/>
    </row>
    <row r="552" spans="2:39" ht="15.75" x14ac:dyDescent="0.25">
      <c r="B552" s="1372"/>
      <c r="C552" s="1372"/>
      <c r="D552" s="1717"/>
      <c r="E552" s="1420"/>
      <c r="F552" s="1493"/>
      <c r="G552" s="1493"/>
      <c r="H552" s="1493"/>
      <c r="I552" s="1493"/>
      <c r="J552" s="1493"/>
      <c r="K552" s="1493"/>
      <c r="L552" s="1493"/>
      <c r="M552" s="1493"/>
      <c r="N552" s="1493"/>
      <c r="O552" s="1493"/>
      <c r="P552" s="1383"/>
      <c r="Q552" s="1383"/>
      <c r="R552" s="1383"/>
      <c r="S552" s="1383"/>
      <c r="T552" s="1383"/>
      <c r="U552" s="1383"/>
      <c r="V552" s="1383"/>
      <c r="W552" s="1383"/>
      <c r="X552" s="1383"/>
      <c r="Y552" s="1383"/>
      <c r="Z552" s="1383"/>
      <c r="AA552" s="1383"/>
      <c r="AB552" s="1383"/>
      <c r="AC552" s="1383"/>
      <c r="AD552" s="1383"/>
      <c r="AE552" s="1383"/>
      <c r="AF552" s="1383"/>
      <c r="AG552" s="1383"/>
      <c r="AH552" s="1383"/>
      <c r="AI552" s="1383"/>
      <c r="AJ552" s="1383"/>
      <c r="AK552" s="1383"/>
      <c r="AL552" s="1383"/>
      <c r="AM552" s="1383"/>
    </row>
    <row r="553" spans="2:39" ht="15.75" x14ac:dyDescent="0.25">
      <c r="B553" s="1372"/>
      <c r="C553" s="1372"/>
      <c r="D553" s="1717"/>
      <c r="E553" s="1420"/>
      <c r="F553" s="1493"/>
      <c r="G553" s="1493"/>
      <c r="H553" s="1493"/>
      <c r="I553" s="1493"/>
      <c r="J553" s="1493"/>
      <c r="K553" s="1493"/>
      <c r="L553" s="1493"/>
      <c r="M553" s="1493"/>
      <c r="N553" s="1493"/>
      <c r="O553" s="1493"/>
      <c r="P553" s="1383"/>
      <c r="Q553" s="1383"/>
      <c r="R553" s="1383"/>
      <c r="S553" s="1383"/>
      <c r="T553" s="1383"/>
      <c r="U553" s="1383"/>
      <c r="V553" s="1383"/>
      <c r="W553" s="1383"/>
      <c r="X553" s="1383"/>
      <c r="Y553" s="1383"/>
      <c r="Z553" s="1383"/>
      <c r="AA553" s="1383"/>
      <c r="AB553" s="1383"/>
      <c r="AC553" s="1383"/>
      <c r="AD553" s="1383"/>
      <c r="AE553" s="1383"/>
      <c r="AF553" s="1383"/>
      <c r="AG553" s="1383"/>
      <c r="AH553" s="1383"/>
      <c r="AI553" s="1383"/>
      <c r="AJ553" s="1383"/>
      <c r="AK553" s="1383"/>
      <c r="AL553" s="1383"/>
      <c r="AM553" s="1383"/>
    </row>
    <row r="554" spans="2:39" ht="15.75" x14ac:dyDescent="0.25">
      <c r="B554" s="1372"/>
      <c r="C554" s="1372"/>
      <c r="D554" s="1717"/>
      <c r="E554" s="1420"/>
      <c r="F554" s="1493"/>
      <c r="G554" s="1493"/>
      <c r="H554" s="1493"/>
      <c r="I554" s="1493"/>
      <c r="J554" s="1493"/>
      <c r="K554" s="1493"/>
      <c r="L554" s="1493"/>
      <c r="M554" s="1493"/>
      <c r="N554" s="1493"/>
      <c r="O554" s="1493"/>
      <c r="P554" s="1383"/>
      <c r="Q554" s="1383"/>
      <c r="R554" s="1383"/>
      <c r="S554" s="1383"/>
      <c r="T554" s="1383"/>
      <c r="U554" s="1383"/>
      <c r="V554" s="1383"/>
      <c r="W554" s="1383"/>
      <c r="X554" s="1383"/>
      <c r="Y554" s="1383"/>
      <c r="Z554" s="1383"/>
      <c r="AA554" s="1383"/>
      <c r="AB554" s="1383"/>
      <c r="AC554" s="1383"/>
      <c r="AD554" s="1383"/>
      <c r="AE554" s="1383"/>
      <c r="AF554" s="1383"/>
      <c r="AG554" s="1383"/>
      <c r="AH554" s="1383"/>
      <c r="AI554" s="1383"/>
      <c r="AJ554" s="1383"/>
      <c r="AK554" s="1383"/>
      <c r="AL554" s="1383"/>
      <c r="AM554" s="1383"/>
    </row>
    <row r="555" spans="2:39" ht="15.75" x14ac:dyDescent="0.25">
      <c r="B555" s="1372"/>
      <c r="C555" s="1372"/>
      <c r="D555" s="1717"/>
      <c r="E555" s="1420"/>
      <c r="F555" s="1493"/>
      <c r="G555" s="1493"/>
      <c r="H555" s="1493"/>
      <c r="I555" s="1493"/>
      <c r="J555" s="1493"/>
      <c r="K555" s="1493"/>
      <c r="L555" s="1493"/>
      <c r="M555" s="1493"/>
      <c r="N555" s="1493"/>
      <c r="O555" s="1493"/>
      <c r="P555" s="1383"/>
      <c r="Q555" s="1383"/>
      <c r="R555" s="1383"/>
      <c r="S555" s="1383"/>
      <c r="T555" s="1383"/>
      <c r="U555" s="1383"/>
      <c r="V555" s="1383"/>
      <c r="W555" s="1383"/>
      <c r="X555" s="1383"/>
      <c r="Y555" s="1383"/>
      <c r="Z555" s="1383"/>
      <c r="AA555" s="1383"/>
      <c r="AB555" s="1383"/>
      <c r="AC555" s="1383"/>
      <c r="AD555" s="1383"/>
      <c r="AE555" s="1383"/>
      <c r="AF555" s="1383"/>
      <c r="AG555" s="1383"/>
      <c r="AH555" s="1383"/>
      <c r="AI555" s="1383"/>
      <c r="AJ555" s="1383"/>
      <c r="AK555" s="1383"/>
      <c r="AL555" s="1383"/>
      <c r="AM555" s="1383"/>
    </row>
  </sheetData>
  <sheetProtection password="C411" sheet="1" scenarios="1"/>
  <mergeCells count="8">
    <mergeCell ref="B1:F1"/>
    <mergeCell ref="E24:F26"/>
    <mergeCell ref="E21:F23"/>
    <mergeCell ref="B3:F3"/>
    <mergeCell ref="D11:F11"/>
    <mergeCell ref="B16:F16"/>
    <mergeCell ref="D12:F14"/>
    <mergeCell ref="B14:C1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659137" r:id="rId3" name="Button 1">
              <controlPr defaultSize="0" print="0" autoFill="0" autoPict="0" macro="[0]!Prime_inputs">
                <anchor moveWithCells="1">
                  <from>
                    <xdr:col>1</xdr:col>
                    <xdr:colOff>447675</xdr:colOff>
                    <xdr:row>1</xdr:row>
                    <xdr:rowOff>161925</xdr:rowOff>
                  </from>
                  <to>
                    <xdr:col>1</xdr:col>
                    <xdr:colOff>3267075</xdr:colOff>
                    <xdr:row>1</xdr:row>
                    <xdr:rowOff>428625</xdr:rowOff>
                  </to>
                </anchor>
              </controlPr>
            </control>
          </mc:Choice>
        </mc:AlternateContent>
        <mc:AlternateContent xmlns:mc="http://schemas.openxmlformats.org/markup-compatibility/2006">
          <mc:Choice Requires="x14">
            <control shapeId="13659138" r:id="rId4" name="Button 2">
              <controlPr defaultSize="0" print="0" autoFill="0" autoPict="0" macro="[0]!Prime_tables">
                <anchor moveWithCells="1">
                  <from>
                    <xdr:col>2</xdr:col>
                    <xdr:colOff>390525</xdr:colOff>
                    <xdr:row>1</xdr:row>
                    <xdr:rowOff>161925</xdr:rowOff>
                  </from>
                  <to>
                    <xdr:col>3</xdr:col>
                    <xdr:colOff>742950</xdr:colOff>
                    <xdr:row>1</xdr:row>
                    <xdr:rowOff>428625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FF99"/>
  </sheetPr>
  <dimension ref="A1:BA224"/>
  <sheetViews>
    <sheetView zoomScale="90" zoomScaleNormal="90" workbookViewId="0">
      <selection activeCell="B1" sqref="B1:L1"/>
    </sheetView>
  </sheetViews>
  <sheetFormatPr defaultColWidth="9.140625" defaultRowHeight="15" x14ac:dyDescent="0.25"/>
  <cols>
    <col min="1" max="1" width="1.85546875" style="1407" customWidth="1"/>
    <col min="2" max="2" width="31" style="1408" customWidth="1"/>
    <col min="3" max="3" width="10.28515625" style="1408" customWidth="1"/>
    <col min="4" max="4" width="17" style="1408" bestFit="1" customWidth="1"/>
    <col min="5" max="5" width="15.85546875" style="1616" bestFit="1" customWidth="1"/>
    <col min="6" max="6" width="22" style="1616" customWidth="1"/>
    <col min="7" max="7" width="22.140625" style="1616" customWidth="1"/>
    <col min="8" max="8" width="18.140625" style="1616" customWidth="1"/>
    <col min="9" max="9" width="5.42578125" style="1616" customWidth="1"/>
    <col min="10" max="10" width="15.42578125" style="1616" customWidth="1"/>
    <col min="11" max="11" width="17" style="1617" customWidth="1"/>
    <col min="12" max="12" width="18.7109375" style="1617" customWidth="1"/>
    <col min="13" max="13" width="16.7109375" style="1617" customWidth="1"/>
    <col min="14" max="14" width="23.28515625" style="1617" customWidth="1"/>
    <col min="15" max="15" width="20.42578125" style="1617" customWidth="1"/>
    <col min="16" max="16" width="3.7109375" style="1617" customWidth="1"/>
    <col min="17" max="17" width="9.140625" style="1617" bestFit="1" customWidth="1"/>
    <col min="18" max="18" width="18.5703125" style="1617" customWidth="1"/>
    <col min="19" max="19" width="21.7109375" style="1617" customWidth="1"/>
    <col min="20" max="20" width="16.5703125" style="1617" customWidth="1"/>
    <col min="21" max="21" width="17.140625" style="1617" customWidth="1"/>
    <col min="22" max="22" width="18.85546875" style="1408" customWidth="1"/>
    <col min="23" max="23" width="4" style="1408" customWidth="1"/>
    <col min="24" max="24" width="5.5703125" style="1408" bestFit="1" customWidth="1"/>
    <col min="25" max="25" width="19.28515625" style="1408" customWidth="1"/>
    <col min="26" max="26" width="17.42578125" style="1408" customWidth="1"/>
    <col min="27" max="27" width="16.85546875" style="1408" customWidth="1"/>
    <col min="28" max="28" width="19.5703125" style="1408" customWidth="1"/>
    <col min="29" max="29" width="16.28515625" style="1408" customWidth="1"/>
    <col min="30" max="30" width="3.85546875" style="1408" customWidth="1"/>
    <col min="31" max="31" width="5.5703125" style="1408" bestFit="1" customWidth="1"/>
    <col min="32" max="32" width="16.85546875" style="1408" customWidth="1"/>
    <col min="33" max="33" width="16.5703125" style="1408" customWidth="1"/>
    <col min="34" max="34" width="19.28515625" style="1408" customWidth="1"/>
    <col min="35" max="35" width="18.85546875" style="1408" customWidth="1"/>
    <col min="36" max="36" width="17.85546875" style="1408" customWidth="1"/>
    <col min="37" max="37" width="3" style="1408" customWidth="1"/>
    <col min="38" max="40" width="9.140625" style="1408"/>
    <col min="41" max="41" width="15.140625" style="1408" customWidth="1"/>
    <col min="42" max="42" width="9.140625" style="1408"/>
    <col min="43" max="43" width="15.7109375" style="1408" customWidth="1"/>
    <col min="44" max="44" width="9.140625" style="1408"/>
    <col min="45" max="45" width="14.28515625" style="1408" customWidth="1"/>
    <col min="46" max="46" width="9.140625" style="1408"/>
    <col min="47" max="47" width="10.5703125" style="1408" customWidth="1"/>
    <col min="48" max="48" width="9.140625" style="1408"/>
    <col min="49" max="49" width="13.85546875" style="1408" customWidth="1"/>
    <col min="50" max="50" width="11" style="1408" customWidth="1"/>
    <col min="51" max="16384" width="9.140625" style="1408"/>
  </cols>
  <sheetData>
    <row r="1" spans="2:21" s="1383" customFormat="1" ht="37.5" customHeight="1" x14ac:dyDescent="0.25">
      <c r="B1" s="2726" t="s">
        <v>2147</v>
      </c>
      <c r="C1" s="2727"/>
      <c r="D1" s="2727"/>
      <c r="E1" s="2727"/>
      <c r="F1" s="2727"/>
      <c r="G1" s="2727"/>
      <c r="H1" s="2727"/>
      <c r="I1" s="2727"/>
      <c r="J1" s="2727"/>
      <c r="K1" s="2727"/>
      <c r="L1" s="2728"/>
      <c r="M1" s="1493"/>
      <c r="N1" s="1493"/>
      <c r="O1" s="1493"/>
      <c r="P1" s="1493"/>
      <c r="Q1" s="1493"/>
      <c r="R1" s="1493"/>
      <c r="S1" s="1493"/>
      <c r="T1" s="1493"/>
      <c r="U1" s="1493"/>
    </row>
    <row r="2" spans="2:21" s="1383" customFormat="1" ht="51.75" customHeight="1" x14ac:dyDescent="0.25">
      <c r="B2" s="1374"/>
      <c r="C2" s="1375"/>
      <c r="D2" s="1375"/>
      <c r="E2" s="1618"/>
      <c r="F2" s="1618"/>
      <c r="G2" s="1618"/>
      <c r="H2" s="1618"/>
      <c r="I2" s="1618"/>
      <c r="J2" s="1618"/>
      <c r="K2" s="1618"/>
      <c r="L2" s="1633"/>
      <c r="M2" s="1493"/>
      <c r="N2" s="1493"/>
      <c r="O2" s="1493"/>
      <c r="P2" s="1493"/>
      <c r="Q2" s="1493"/>
      <c r="R2" s="1493"/>
      <c r="S2" s="1493"/>
      <c r="T2" s="1493"/>
      <c r="U2" s="1493"/>
    </row>
    <row r="3" spans="2:21" s="1383" customFormat="1" ht="21" x14ac:dyDescent="0.35">
      <c r="B3" s="2297" t="s">
        <v>1551</v>
      </c>
      <c r="C3" s="2298"/>
      <c r="D3" s="2298"/>
      <c r="E3" s="2298"/>
      <c r="F3" s="2298"/>
      <c r="G3" s="2298"/>
      <c r="H3" s="2298"/>
      <c r="I3" s="2298"/>
      <c r="J3" s="2298"/>
      <c r="K3" s="2298"/>
      <c r="L3" s="2299"/>
      <c r="M3" s="1493"/>
      <c r="N3" s="1493"/>
      <c r="O3" s="1493"/>
      <c r="P3" s="1493"/>
      <c r="Q3" s="1493"/>
      <c r="R3" s="1493"/>
      <c r="S3" s="1493"/>
      <c r="T3" s="1493"/>
      <c r="U3" s="1493"/>
    </row>
    <row r="4" spans="2:21" s="1383" customFormat="1" ht="15.75" x14ac:dyDescent="0.25">
      <c r="B4" s="2300" t="s">
        <v>957</v>
      </c>
      <c r="C4" s="2300"/>
      <c r="D4" s="2300"/>
      <c r="E4" s="2300"/>
      <c r="F4" s="1378" t="s">
        <v>452</v>
      </c>
      <c r="G4" s="1720" t="s">
        <v>433</v>
      </c>
      <c r="H4" s="2575" t="str">
        <f>D39</f>
        <v>Annual Units Mfg. (&lt;Please select&gt;)</v>
      </c>
      <c r="I4" s="2725"/>
      <c r="J4" s="2576"/>
      <c r="K4" s="2573" t="str">
        <f>D47</f>
        <v>Annual Units Installed (&lt;Please select&gt;)</v>
      </c>
      <c r="L4" s="2574"/>
      <c r="M4" s="1493"/>
      <c r="N4" s="1493"/>
      <c r="O4" s="1493"/>
      <c r="P4" s="1493"/>
      <c r="Q4" s="1493"/>
      <c r="R4" s="1493"/>
      <c r="S4" s="1493"/>
      <c r="T4" s="1493"/>
      <c r="U4" s="1493"/>
    </row>
    <row r="5" spans="2:21" s="1383" customFormat="1" ht="15.75" x14ac:dyDescent="0.25">
      <c r="B5" s="1397" t="s">
        <v>1550</v>
      </c>
      <c r="C5" s="1398"/>
      <c r="D5" s="1398"/>
      <c r="E5" s="1416"/>
      <c r="F5" s="1385" t="str">
        <f>'Prime INPUTS'!State</f>
        <v>&lt;Please select&gt;</v>
      </c>
      <c r="G5" s="1383">
        <v>2015</v>
      </c>
      <c r="H5" s="1382"/>
      <c r="J5" s="1625">
        <f t="shared" ref="J5:J10" si="0">D40</f>
        <v>0</v>
      </c>
      <c r="K5" s="1397"/>
      <c r="L5" s="1637">
        <f>D48</f>
        <v>0</v>
      </c>
      <c r="M5" s="1493"/>
      <c r="N5" s="1493"/>
      <c r="O5" s="1493"/>
      <c r="P5" s="1493"/>
      <c r="Q5" s="1493"/>
      <c r="R5" s="1493"/>
      <c r="S5" s="1493"/>
      <c r="T5" s="1493"/>
      <c r="U5" s="1493"/>
    </row>
    <row r="6" spans="2:21" s="1383" customFormat="1" ht="15.75" x14ac:dyDescent="0.25">
      <c r="B6" s="1382" t="s">
        <v>1552</v>
      </c>
      <c r="E6" s="1384"/>
      <c r="F6" s="1385" t="str">
        <f>IF(AND('Prime INPUTS'!$E$6=RIMS_lists!$C$1,'Prime INPUTS'!$E$7=Lists!$C$4), Lists!$C$4,Lists!$C$3)</f>
        <v>Gross</v>
      </c>
      <c r="G6" s="1383">
        <v>2016</v>
      </c>
      <c r="H6" s="1382"/>
      <c r="J6" s="1625">
        <f t="shared" si="0"/>
        <v>0</v>
      </c>
      <c r="K6" s="1382"/>
      <c r="L6" s="1625">
        <f>D49</f>
        <v>0</v>
      </c>
      <c r="M6" s="1493"/>
      <c r="N6" s="1493"/>
      <c r="O6" s="1493"/>
      <c r="P6" s="1493"/>
      <c r="Q6" s="1493"/>
      <c r="R6" s="1493"/>
      <c r="S6" s="1493"/>
      <c r="T6" s="1493"/>
      <c r="U6" s="1493"/>
    </row>
    <row r="7" spans="2:21" s="1383" customFormat="1" ht="15.75" x14ac:dyDescent="0.25">
      <c r="B7" s="1382" t="s">
        <v>1763</v>
      </c>
      <c r="E7" s="1384"/>
      <c r="F7" s="1385" t="str">
        <f>'Prime INPUTS'!E8</f>
        <v>&lt;Please select&gt;</v>
      </c>
      <c r="G7" s="1383">
        <v>2017</v>
      </c>
      <c r="H7" s="1382"/>
      <c r="J7" s="1625">
        <f t="shared" si="0"/>
        <v>0</v>
      </c>
      <c r="K7" s="1382"/>
      <c r="L7" s="1625">
        <f t="shared" ref="L7:L10" si="1">D50</f>
        <v>0</v>
      </c>
      <c r="M7" s="1493"/>
      <c r="N7" s="1493"/>
      <c r="O7" s="1493"/>
      <c r="P7" s="1493"/>
      <c r="Q7" s="1493"/>
      <c r="R7" s="1493"/>
      <c r="S7" s="1493"/>
      <c r="T7" s="1493"/>
      <c r="U7" s="1493"/>
    </row>
    <row r="8" spans="2:21" s="1383" customFormat="1" ht="15.75" x14ac:dyDescent="0.25">
      <c r="B8" s="1382" t="str">
        <f>'Prime INPUTS'!B12</f>
        <v>Fuel cell unit size (kW/unit)</v>
      </c>
      <c r="E8" s="1384"/>
      <c r="F8" s="1388">
        <f>'Prime INPUTS'!avgSize</f>
        <v>0</v>
      </c>
      <c r="G8" s="1383">
        <v>2018</v>
      </c>
      <c r="H8" s="1382"/>
      <c r="J8" s="1625">
        <f t="shared" si="0"/>
        <v>0</v>
      </c>
      <c r="K8" s="1382"/>
      <c r="L8" s="1625">
        <f t="shared" si="1"/>
        <v>0</v>
      </c>
      <c r="M8" s="1493"/>
      <c r="N8" s="1493"/>
      <c r="O8" s="1493"/>
      <c r="P8" s="1493"/>
      <c r="Q8" s="1493"/>
      <c r="R8" s="1493"/>
      <c r="S8" s="1493"/>
      <c r="T8" s="1493"/>
      <c r="U8" s="1493"/>
    </row>
    <row r="9" spans="2:21" s="1383" customFormat="1" ht="15.75" x14ac:dyDescent="0.25">
      <c r="B9" s="1382" t="str">
        <f>'Prime INPUTS'!B57</f>
        <v>Total installation expense ($/installed fuel cell)</v>
      </c>
      <c r="E9" s="1384"/>
      <c r="F9" s="1389">
        <f>'Prime INPUTS'!J57</f>
        <v>0</v>
      </c>
      <c r="G9" s="1383">
        <v>2019</v>
      </c>
      <c r="H9" s="1382"/>
      <c r="J9" s="1625">
        <f t="shared" si="0"/>
        <v>0</v>
      </c>
      <c r="K9" s="1382"/>
      <c r="L9" s="1625">
        <f t="shared" si="1"/>
        <v>0</v>
      </c>
      <c r="M9" s="1493"/>
      <c r="N9" s="1493"/>
      <c r="O9" s="1493"/>
      <c r="P9" s="1493"/>
      <c r="Q9" s="1493"/>
      <c r="R9" s="1493"/>
      <c r="S9" s="1493"/>
      <c r="T9" s="1493"/>
      <c r="U9" s="1493"/>
    </row>
    <row r="10" spans="2:21" s="1383" customFormat="1" ht="15.75" x14ac:dyDescent="0.25">
      <c r="B10" s="1382" t="str">
        <f>'Prime INPUTS'!B64</f>
        <v>Annual fuel expense per fuel cell ($/fuel cell/year)</v>
      </c>
      <c r="E10" s="1384"/>
      <c r="F10" s="1389">
        <f>'Prime INPUTS'!J64</f>
        <v>0</v>
      </c>
      <c r="G10" s="1383">
        <v>2020</v>
      </c>
      <c r="H10" s="1382"/>
      <c r="J10" s="1625">
        <f t="shared" si="0"/>
        <v>0</v>
      </c>
      <c r="K10" s="1382"/>
      <c r="L10" s="1625">
        <f t="shared" si="1"/>
        <v>0</v>
      </c>
      <c r="M10" s="1493"/>
      <c r="N10" s="1493"/>
      <c r="O10" s="1493"/>
      <c r="P10" s="1493"/>
      <c r="Q10" s="1493"/>
      <c r="R10" s="1493"/>
      <c r="S10" s="1493"/>
      <c r="T10" s="1493"/>
      <c r="U10" s="1493"/>
    </row>
    <row r="11" spans="2:21" s="1383" customFormat="1" ht="15.75" x14ac:dyDescent="0.25">
      <c r="B11" s="1402" t="str">
        <f>'Prime INPUTS'!B69</f>
        <v>Annual maintenance expense per fuel cell ($/fuel cell/year)</v>
      </c>
      <c r="C11" s="1403"/>
      <c r="D11" s="1403"/>
      <c r="E11" s="1390"/>
      <c r="F11" s="1626" t="e">
        <f>'Prime INPUTS'!J69</f>
        <v>#DIV/0!</v>
      </c>
      <c r="G11" s="2304" t="str">
        <f>'Forklift RESULTS-Charts'!G11</f>
        <v>Notes</v>
      </c>
      <c r="H11" s="2305"/>
      <c r="I11" s="2305"/>
      <c r="J11" s="2305"/>
      <c r="K11" s="2305"/>
      <c r="L11" s="2306"/>
      <c r="M11" s="1493"/>
      <c r="N11" s="1493"/>
      <c r="O11" s="1493"/>
      <c r="P11" s="1493"/>
      <c r="Q11" s="1493"/>
      <c r="R11" s="1493"/>
      <c r="S11" s="1493"/>
      <c r="T11" s="1493"/>
      <c r="U11" s="1493"/>
    </row>
    <row r="12" spans="2:21" s="1383" customFormat="1" ht="15.75" customHeight="1" x14ac:dyDescent="0.25">
      <c r="B12" s="1397" t="str">
        <f>'Prime INPUTS'!B81</f>
        <v>Annual displaced electricity expense ($/FC/year)</v>
      </c>
      <c r="C12" s="1398"/>
      <c r="D12" s="1398"/>
      <c r="E12" s="1398"/>
      <c r="F12" s="1711">
        <f>'Prime INPUTS'!J81</f>
        <v>0</v>
      </c>
      <c r="G12" s="2282" t="str">
        <f>'Forklift RESULTS-Charts'!G12</f>
        <v xml:space="preserve">(1) All dollar values are in 2010$. (2) Economic impacts are assumed to occur in the same year that expenditures occur.  For each year's expenditures, the economic impacts include direct, indirect, and induced effects for employment, earnings, and output. (3) Total economic impacts = Direct + Indirect + Induced; Supply chain impacts = Direct + Indirect. (4) Employment includes both full and part-time jobs. (5) Earnings and Output results are in thousands of 2010$. </v>
      </c>
      <c r="H12" s="2283"/>
      <c r="I12" s="2283"/>
      <c r="J12" s="2283"/>
      <c r="K12" s="2283"/>
      <c r="L12" s="2284"/>
      <c r="M12" s="1493"/>
      <c r="N12" s="1493"/>
      <c r="O12" s="1493"/>
      <c r="P12" s="1493"/>
      <c r="Q12" s="1493"/>
      <c r="R12" s="1493"/>
      <c r="S12" s="1493"/>
      <c r="T12" s="1493"/>
      <c r="U12" s="1493"/>
    </row>
    <row r="13" spans="2:21" s="1383" customFormat="1" ht="15.75" customHeight="1" x14ac:dyDescent="0.25">
      <c r="B13" s="1382" t="str">
        <f>'Prime INPUTS'!B86</f>
        <v>Annual displaced natural gas expense ($/FC/year)</v>
      </c>
      <c r="F13" s="1389">
        <f>'Prime INPUTS'!J86</f>
        <v>0</v>
      </c>
      <c r="G13" s="2285"/>
      <c r="H13" s="2286"/>
      <c r="I13" s="2286"/>
      <c r="J13" s="2286"/>
      <c r="K13" s="2286"/>
      <c r="L13" s="2287"/>
      <c r="M13" s="1493"/>
      <c r="N13" s="1493"/>
      <c r="O13" s="1493"/>
      <c r="P13" s="1493"/>
      <c r="Q13" s="1493"/>
      <c r="R13" s="1493"/>
      <c r="S13" s="1493"/>
      <c r="T13" s="1493"/>
      <c r="U13" s="1493"/>
    </row>
    <row r="14" spans="2:21" s="1383" customFormat="1" ht="48.75" customHeight="1" x14ac:dyDescent="0.25">
      <c r="B14" s="2581" t="s">
        <v>2242</v>
      </c>
      <c r="C14" s="2582"/>
      <c r="D14" s="2582"/>
      <c r="E14" s="2582"/>
      <c r="F14" s="2583"/>
      <c r="G14" s="2288"/>
      <c r="H14" s="2289"/>
      <c r="I14" s="2289"/>
      <c r="J14" s="2289"/>
      <c r="K14" s="2289"/>
      <c r="L14" s="2290"/>
      <c r="M14" s="1493"/>
      <c r="N14" s="1493"/>
      <c r="O14" s="1493"/>
      <c r="P14" s="1493"/>
      <c r="Q14" s="1493"/>
      <c r="R14" s="1493"/>
      <c r="S14" s="1493"/>
      <c r="T14" s="1493"/>
      <c r="U14" s="1493"/>
    </row>
    <row r="15" spans="2:21" s="1383" customFormat="1" ht="15.75" x14ac:dyDescent="0.25">
      <c r="M15" s="1493"/>
      <c r="N15" s="1493"/>
      <c r="O15" s="1493"/>
      <c r="P15" s="1493"/>
      <c r="Q15" s="1493"/>
      <c r="R15" s="1493"/>
      <c r="S15" s="1493"/>
      <c r="T15" s="1493"/>
      <c r="U15" s="1493"/>
    </row>
    <row r="16" spans="2:21" s="1383" customFormat="1" ht="21" x14ac:dyDescent="0.35">
      <c r="B16" s="2578" t="s">
        <v>1826</v>
      </c>
      <c r="C16" s="2579"/>
      <c r="D16" s="2579"/>
      <c r="E16" s="2579"/>
      <c r="F16" s="2579"/>
      <c r="G16" s="2579"/>
      <c r="H16" s="2579"/>
      <c r="I16" s="2579"/>
      <c r="J16" s="2579"/>
      <c r="K16" s="2579"/>
      <c r="L16" s="2580"/>
      <c r="M16" s="1493"/>
      <c r="N16" s="1493"/>
      <c r="O16" s="1493"/>
      <c r="P16" s="1493"/>
      <c r="Q16" s="1493"/>
      <c r="R16" s="1493"/>
      <c r="S16" s="1493"/>
      <c r="T16" s="1493"/>
      <c r="U16" s="1493"/>
    </row>
    <row r="17" spans="1:47" s="1383" customFormat="1" ht="15.75" x14ac:dyDescent="0.25">
      <c r="B17" s="1392" t="s">
        <v>1817</v>
      </c>
      <c r="C17" s="1393"/>
      <c r="D17" s="1393"/>
      <c r="E17" s="1395"/>
      <c r="F17" s="1394" t="s">
        <v>1841</v>
      </c>
      <c r="G17" s="1394" t="s">
        <v>1840</v>
      </c>
      <c r="H17" s="1431" t="s">
        <v>451</v>
      </c>
      <c r="I17" s="1638"/>
      <c r="J17" s="1638"/>
      <c r="K17" s="1638"/>
      <c r="L17" s="1632"/>
      <c r="M17" s="1493"/>
      <c r="N17" s="1493"/>
      <c r="O17" s="1493"/>
      <c r="P17" s="1493"/>
      <c r="Q17" s="1493"/>
      <c r="R17" s="1493"/>
      <c r="S17" s="1493"/>
      <c r="T17" s="1493"/>
      <c r="U17" s="1493"/>
    </row>
    <row r="18" spans="1:47" s="1383" customFormat="1" ht="15.75" customHeight="1" x14ac:dyDescent="0.25">
      <c r="B18" s="1433" t="str">
        <f>B31</f>
        <v>Retail Price ($/kW) (0 kW &lt;Please select&gt; unit)</v>
      </c>
      <c r="C18" s="1434"/>
      <c r="D18" s="1434"/>
      <c r="E18" s="1437"/>
      <c r="F18" s="1443" t="str">
        <f>"Rows "&amp;ROW(C31)&amp;":"&amp;ROW(C37)</f>
        <v>Rows 31:37</v>
      </c>
      <c r="G18" s="1721" t="s">
        <v>1843</v>
      </c>
      <c r="H18" s="1640"/>
      <c r="I18" s="1641"/>
      <c r="J18" s="1641"/>
      <c r="K18" s="1641"/>
      <c r="L18" s="1642"/>
      <c r="M18" s="1493"/>
      <c r="N18" s="1493"/>
      <c r="O18" s="1493"/>
      <c r="P18" s="1493"/>
      <c r="Q18" s="1493"/>
      <c r="R18" s="1493"/>
      <c r="S18" s="1493"/>
      <c r="T18" s="1493"/>
      <c r="U18" s="1493"/>
    </row>
    <row r="19" spans="1:47" s="1383" customFormat="1" ht="15.75" x14ac:dyDescent="0.25">
      <c r="B19" s="1441" t="str">
        <f>B39</f>
        <v>Units Manufactured in Region (0 kW &lt;Please select&gt; units)</v>
      </c>
      <c r="C19" s="1442"/>
      <c r="D19" s="1442"/>
      <c r="E19" s="1444"/>
      <c r="F19" s="1443" t="str">
        <f>"Rows "&amp;ROW(C39)&amp;":"&amp;ROW(C45)</f>
        <v>Rows 39:45</v>
      </c>
      <c r="G19" s="1722" t="str">
        <f>G18</f>
        <v>Prime RESULTS-Charts</v>
      </c>
      <c r="H19" s="1492"/>
      <c r="I19" s="1482"/>
      <c r="J19" s="1482"/>
      <c r="K19" s="1482"/>
      <c r="L19" s="1489"/>
      <c r="M19" s="1493"/>
      <c r="N19" s="1493"/>
      <c r="O19" s="1493"/>
      <c r="P19" s="1493"/>
      <c r="Q19" s="1493"/>
      <c r="R19" s="1493"/>
      <c r="S19" s="1493"/>
      <c r="T19" s="1493"/>
      <c r="U19" s="1493"/>
    </row>
    <row r="20" spans="1:47" s="1383" customFormat="1" ht="15.75" x14ac:dyDescent="0.25">
      <c r="B20" s="1441" t="str">
        <f>B47</f>
        <v>Units Installed in Region (0 kW &lt;Please select&gt; units)</v>
      </c>
      <c r="C20" s="1442"/>
      <c r="D20" s="1442"/>
      <c r="E20" s="1444"/>
      <c r="F20" s="1443" t="str">
        <f>"Rows "&amp;ROW(C47)&amp;":"&amp;ROW(C53)</f>
        <v>Rows 47:53</v>
      </c>
      <c r="G20" s="1722" t="str">
        <f t="shared" ref="G20:G26" si="2">G19</f>
        <v>Prime RESULTS-Charts</v>
      </c>
      <c r="H20" s="1492"/>
      <c r="I20" s="1482"/>
      <c r="J20" s="1482"/>
      <c r="K20" s="1482"/>
      <c r="L20" s="1489"/>
      <c r="M20" s="1493"/>
      <c r="N20" s="1493"/>
      <c r="O20" s="1493"/>
      <c r="P20" s="1493"/>
      <c r="Q20" s="1493"/>
      <c r="R20" s="1493"/>
      <c r="S20" s="1493"/>
      <c r="T20" s="1493"/>
      <c r="U20" s="1493"/>
    </row>
    <row r="21" spans="1:47" s="1383" customFormat="1" ht="15.75" customHeight="1" x14ac:dyDescent="0.25">
      <c r="B21" s="1433" t="str">
        <f>$F$6&amp;" Prime Power Fuel Cell-related Employment Impacts"</f>
        <v>Gross Prime Power Fuel Cell-related Employment Impacts</v>
      </c>
      <c r="C21" s="1435"/>
      <c r="D21" s="1435"/>
      <c r="E21" s="1437"/>
      <c r="F21" s="1436" t="str">
        <f>"Rows "&amp;ROW(C58)&amp;":"&amp;ROW(C65)</f>
        <v>Rows 58:65</v>
      </c>
      <c r="G21" s="1721" t="str">
        <f t="shared" si="2"/>
        <v>Prime RESULTS-Charts</v>
      </c>
      <c r="H21" s="2282"/>
      <c r="I21" s="2283"/>
      <c r="J21" s="2283"/>
      <c r="K21" s="2283"/>
      <c r="L21" s="2284"/>
      <c r="M21" s="1493"/>
      <c r="N21" s="1493"/>
      <c r="O21" s="1493"/>
      <c r="P21" s="1493"/>
      <c r="Q21" s="1493"/>
      <c r="R21" s="1493"/>
      <c r="S21" s="1493"/>
      <c r="T21" s="1493"/>
      <c r="U21" s="1493"/>
    </row>
    <row r="22" spans="1:47" s="1383" customFormat="1" ht="15.75" x14ac:dyDescent="0.25">
      <c r="B22" s="1441" t="str">
        <f>$F$6&amp;" Prime Power Fuel Cell-related Earnings Impacts"</f>
        <v>Gross Prime Power Fuel Cell-related Earnings Impacts</v>
      </c>
      <c r="C22" s="1428"/>
      <c r="D22" s="1428"/>
      <c r="E22" s="1444"/>
      <c r="F22" s="1443" t="str">
        <f>"Rows "&amp;ROW(C67)&amp;":"&amp;ROW(C74)</f>
        <v>Rows 67:74</v>
      </c>
      <c r="G22" s="1722" t="str">
        <f t="shared" si="2"/>
        <v>Prime RESULTS-Charts</v>
      </c>
      <c r="H22" s="2285"/>
      <c r="I22" s="2286"/>
      <c r="J22" s="2286"/>
      <c r="K22" s="2286"/>
      <c r="L22" s="2287"/>
      <c r="M22" s="1493"/>
      <c r="N22" s="1493"/>
      <c r="O22" s="1493"/>
      <c r="P22" s="1493"/>
      <c r="Q22" s="1493"/>
      <c r="R22" s="1493"/>
      <c r="S22" s="1493"/>
      <c r="T22" s="1493"/>
      <c r="U22" s="1493"/>
    </row>
    <row r="23" spans="1:47" s="1383" customFormat="1" ht="15.75" x14ac:dyDescent="0.25">
      <c r="B23" s="1441" t="str">
        <f>$F$6&amp;" Prime Power Fuel Cell-related Output Impacts"</f>
        <v>Gross Prime Power Fuel Cell-related Output Impacts</v>
      </c>
      <c r="C23" s="1428"/>
      <c r="D23" s="1428"/>
      <c r="E23" s="1444"/>
      <c r="F23" s="1443" t="str">
        <f>"Rows "&amp;ROW(C76)&amp;":"&amp;ROW(C83)</f>
        <v>Rows 76:83</v>
      </c>
      <c r="G23" s="1722" t="str">
        <f t="shared" si="2"/>
        <v>Prime RESULTS-Charts</v>
      </c>
      <c r="H23" s="2285"/>
      <c r="I23" s="2286"/>
      <c r="J23" s="2286"/>
      <c r="K23" s="2286"/>
      <c r="L23" s="2287"/>
      <c r="M23" s="1493"/>
      <c r="N23" s="1493"/>
      <c r="O23" s="1493"/>
      <c r="P23" s="1493"/>
      <c r="Q23" s="1493"/>
      <c r="R23" s="1493"/>
      <c r="S23" s="1493"/>
      <c r="T23" s="1493"/>
      <c r="U23" s="1493"/>
    </row>
    <row r="24" spans="1:47" s="1383" customFormat="1" ht="30" customHeight="1" x14ac:dyDescent="0.25">
      <c r="B24" s="1456" t="s">
        <v>1861</v>
      </c>
      <c r="C24" s="1457"/>
      <c r="D24" s="1457"/>
      <c r="E24" s="1723"/>
      <c r="F24" s="1458" t="str">
        <f>"Rows "&amp;ROW(C88)&amp;":"&amp;ROW(C116)</f>
        <v>Rows 88:116</v>
      </c>
      <c r="G24" s="1724" t="str">
        <f t="shared" si="2"/>
        <v>Prime RESULTS-Charts</v>
      </c>
      <c r="H24" s="2581" t="s">
        <v>1853</v>
      </c>
      <c r="I24" s="2582"/>
      <c r="J24" s="2582"/>
      <c r="K24" s="2582"/>
      <c r="L24" s="2583"/>
      <c r="M24" s="1493"/>
      <c r="N24" s="1493"/>
      <c r="O24" s="1493"/>
      <c r="P24" s="1493"/>
      <c r="Q24" s="1493"/>
      <c r="R24" s="1493"/>
      <c r="S24" s="1493"/>
      <c r="T24" s="1493"/>
      <c r="U24" s="1493"/>
    </row>
    <row r="25" spans="1:47" s="1383" customFormat="1" ht="15.75" x14ac:dyDescent="0.25">
      <c r="B25" s="1433" t="s">
        <v>1827</v>
      </c>
      <c r="C25" s="1435"/>
      <c r="D25" s="1435"/>
      <c r="E25" s="1437"/>
      <c r="F25" s="1436" t="str">
        <f>"Rows "&amp;ROW(C121)&amp;":"&amp;ROW(C146)</f>
        <v>Rows 121:146</v>
      </c>
      <c r="G25" s="1721" t="str">
        <f t="shared" si="2"/>
        <v>Prime RESULTS-Charts</v>
      </c>
      <c r="H25" s="2282" t="s">
        <v>1860</v>
      </c>
      <c r="I25" s="2283"/>
      <c r="J25" s="2283"/>
      <c r="K25" s="2283"/>
      <c r="L25" s="2284"/>
      <c r="M25" s="1493"/>
      <c r="N25" s="1493"/>
      <c r="O25" s="1493"/>
      <c r="P25" s="1493"/>
      <c r="Q25" s="1493"/>
      <c r="R25" s="1493"/>
      <c r="S25" s="1493"/>
      <c r="T25" s="1493"/>
      <c r="U25" s="1493"/>
    </row>
    <row r="26" spans="1:47" s="1383" customFormat="1" ht="15.75" x14ac:dyDescent="0.25">
      <c r="B26" s="1448" t="s">
        <v>1879</v>
      </c>
      <c r="C26" s="1450"/>
      <c r="D26" s="1450"/>
      <c r="E26" s="1452"/>
      <c r="F26" s="1451" t="str">
        <f>"Rows "&amp;ROW(C152)&amp;":"&amp;ROW(C176)</f>
        <v>Rows 152:176</v>
      </c>
      <c r="G26" s="1725" t="str">
        <f t="shared" si="2"/>
        <v>Prime RESULTS-Charts</v>
      </c>
      <c r="H26" s="2288"/>
      <c r="I26" s="2289"/>
      <c r="J26" s="2289"/>
      <c r="K26" s="2289"/>
      <c r="L26" s="2290"/>
      <c r="M26" s="1493"/>
      <c r="N26" s="1493"/>
      <c r="O26" s="1493"/>
      <c r="P26" s="1493"/>
      <c r="Q26" s="1493"/>
      <c r="R26" s="1493"/>
      <c r="S26" s="1493"/>
      <c r="T26" s="1493"/>
      <c r="U26" s="1493"/>
    </row>
    <row r="27" spans="1:47" s="1383" customFormat="1" ht="15.75" x14ac:dyDescent="0.25">
      <c r="B27" s="1372"/>
      <c r="C27" s="1372"/>
      <c r="D27" s="1372"/>
      <c r="E27" s="1372"/>
      <c r="F27" s="1372"/>
      <c r="G27" s="1646"/>
      <c r="H27" s="1717"/>
      <c r="I27" s="1717"/>
      <c r="J27" s="1420"/>
      <c r="K27" s="1493"/>
      <c r="L27" s="1493"/>
      <c r="M27" s="1493"/>
      <c r="N27" s="1493"/>
      <c r="O27" s="1493"/>
      <c r="P27" s="1493"/>
      <c r="Q27" s="1493"/>
      <c r="R27" s="1493"/>
      <c r="S27" s="1493"/>
      <c r="T27" s="1493"/>
      <c r="U27" s="1493"/>
    </row>
    <row r="28" spans="1:47" s="1383" customFormat="1" ht="15.75" x14ac:dyDescent="0.25">
      <c r="B28" s="1372"/>
      <c r="C28" s="1372"/>
      <c r="D28" s="1372"/>
      <c r="E28" s="1372"/>
      <c r="F28" s="1372"/>
      <c r="G28" s="1646"/>
      <c r="H28" s="1717"/>
      <c r="I28" s="1717"/>
      <c r="J28" s="1420"/>
      <c r="K28" s="1493"/>
      <c r="L28" s="1493"/>
      <c r="M28" s="1493"/>
      <c r="N28" s="1493"/>
      <c r="O28" s="1493"/>
      <c r="P28" s="1493"/>
      <c r="Q28" s="1493"/>
      <c r="R28" s="1493"/>
      <c r="S28" s="1493"/>
      <c r="T28" s="1493"/>
      <c r="U28" s="1493"/>
    </row>
    <row r="29" spans="1:47" s="1383" customFormat="1" ht="21" x14ac:dyDescent="0.35">
      <c r="B29" s="1466" t="s">
        <v>1865</v>
      </c>
      <c r="C29" s="1467"/>
      <c r="D29" s="1467"/>
      <c r="E29" s="1467"/>
      <c r="F29" s="1467"/>
      <c r="G29" s="1468"/>
      <c r="H29" s="1469"/>
      <c r="I29" s="1469"/>
      <c r="J29" s="1470"/>
      <c r="K29" s="1471"/>
      <c r="L29" s="1472"/>
      <c r="M29" s="1493"/>
      <c r="N29" s="1493"/>
      <c r="O29" s="1493"/>
      <c r="P29" s="1493"/>
      <c r="Q29" s="1493"/>
      <c r="R29" s="1493"/>
      <c r="S29" s="1493"/>
      <c r="T29" s="1493"/>
      <c r="U29" s="1493"/>
    </row>
    <row r="30" spans="1:47" s="1383" customFormat="1" ht="15.75" x14ac:dyDescent="0.25">
      <c r="B30" s="1382"/>
      <c r="G30" s="1646"/>
      <c r="H30" s="1429"/>
      <c r="I30" s="1429"/>
      <c r="J30" s="1420"/>
      <c r="K30" s="1493"/>
      <c r="L30" s="1648"/>
      <c r="M30" s="1493"/>
      <c r="N30" s="1493"/>
      <c r="O30" s="1493"/>
      <c r="P30" s="1493"/>
      <c r="Q30" s="1493"/>
      <c r="R30" s="1493"/>
      <c r="S30" s="1493"/>
      <c r="T30" s="1493"/>
      <c r="U30" s="1493"/>
    </row>
    <row r="31" spans="1:47" s="1494" customFormat="1" ht="63" x14ac:dyDescent="0.25">
      <c r="A31" s="1383"/>
      <c r="B31" s="2569" t="str">
        <f>"Retail Price ($/kW) ("&amp;F8&amp;" kW "&amp;F7&amp;" unit)"</f>
        <v>Retail Price ($/kW) (0 kW &lt;Please select&gt; unit)</v>
      </c>
      <c r="C31" s="1474" t="s">
        <v>433</v>
      </c>
      <c r="D31" s="1726" t="str">
        <f>"Retail Price ($/kW) ("&amp;F7&amp;")"</f>
        <v>Retail Price ($/kW) (&lt;Please select&gt;)</v>
      </c>
      <c r="E31" s="1383"/>
      <c r="F31" s="1383"/>
      <c r="G31" s="1383"/>
      <c r="H31" s="1383"/>
      <c r="I31" s="1383"/>
      <c r="J31" s="1383"/>
      <c r="K31" s="1493"/>
      <c r="L31" s="1648"/>
      <c r="M31" s="1493"/>
      <c r="N31" s="1493"/>
      <c r="O31" s="1493"/>
      <c r="P31" s="1493"/>
      <c r="Q31" s="1493"/>
      <c r="R31" s="1493"/>
      <c r="S31" s="1493"/>
      <c r="T31" s="1493"/>
      <c r="U31" s="149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383"/>
    </row>
    <row r="32" spans="1:47" s="1494" customFormat="1" ht="15.75" x14ac:dyDescent="0.25">
      <c r="A32" s="1383"/>
      <c r="B32" s="2313"/>
      <c r="C32" s="1477">
        <v>2015</v>
      </c>
      <c r="D32" s="1992">
        <f>'Prime INPUTS'!J39</f>
        <v>0</v>
      </c>
      <c r="E32" s="1383"/>
      <c r="F32" s="1383"/>
      <c r="G32" s="1383"/>
      <c r="H32" s="1383"/>
      <c r="I32" s="1383"/>
      <c r="J32" s="1383"/>
      <c r="K32" s="1493"/>
      <c r="L32" s="1648"/>
      <c r="M32" s="1493"/>
      <c r="N32" s="1493"/>
      <c r="O32" s="1493"/>
      <c r="P32" s="1493"/>
      <c r="Q32" s="1493"/>
      <c r="R32" s="1493"/>
      <c r="S32" s="1493"/>
      <c r="T32" s="1493"/>
      <c r="U32" s="1493"/>
      <c r="V32" s="1383"/>
      <c r="W32" s="1383"/>
      <c r="X32" s="1383"/>
      <c r="Y32" s="1383"/>
      <c r="Z32" s="1383"/>
      <c r="AA32" s="1383"/>
      <c r="AB32" s="1383"/>
      <c r="AC32" s="1383"/>
      <c r="AD32" s="1383"/>
      <c r="AE32" s="1383"/>
      <c r="AF32" s="1383"/>
      <c r="AG32" s="1383"/>
      <c r="AH32" s="1383"/>
      <c r="AI32" s="1383"/>
      <c r="AJ32" s="1383"/>
      <c r="AK32" s="1383"/>
      <c r="AL32" s="1383"/>
      <c r="AM32" s="1383"/>
      <c r="AN32" s="1383"/>
      <c r="AO32" s="1383"/>
      <c r="AP32" s="1383"/>
      <c r="AQ32" s="1383"/>
      <c r="AR32" s="1383"/>
      <c r="AS32" s="1383"/>
      <c r="AT32" s="1383"/>
      <c r="AU32" s="1383"/>
    </row>
    <row r="33" spans="1:47" s="1494" customFormat="1" ht="15.75" x14ac:dyDescent="0.25">
      <c r="A33" s="1383"/>
      <c r="B33" s="2313"/>
      <c r="C33" s="1477">
        <v>2016</v>
      </c>
      <c r="D33" s="1992">
        <f>'Prime INPUTS'!J40</f>
        <v>0</v>
      </c>
      <c r="E33" s="1383"/>
      <c r="F33" s="1383"/>
      <c r="G33" s="1383"/>
      <c r="H33" s="1383"/>
      <c r="I33" s="1383"/>
      <c r="J33" s="1383"/>
      <c r="K33" s="1493"/>
      <c r="L33" s="1648"/>
      <c r="M33" s="1493"/>
      <c r="N33" s="1493"/>
      <c r="O33" s="1493"/>
      <c r="P33" s="1493"/>
      <c r="Q33" s="1493"/>
      <c r="R33" s="1493"/>
      <c r="S33" s="1493"/>
      <c r="T33" s="1493"/>
      <c r="U33" s="1493"/>
      <c r="V33" s="1383"/>
      <c r="W33" s="1383"/>
      <c r="X33" s="1383"/>
      <c r="Y33" s="1383"/>
      <c r="Z33" s="1383"/>
      <c r="AA33" s="1383"/>
      <c r="AB33" s="1383"/>
      <c r="AC33" s="1383"/>
      <c r="AD33" s="1383"/>
      <c r="AE33" s="1383"/>
      <c r="AF33" s="1383"/>
      <c r="AG33" s="1383"/>
      <c r="AH33" s="1383"/>
      <c r="AI33" s="1383"/>
      <c r="AJ33" s="1383"/>
      <c r="AK33" s="1383"/>
      <c r="AL33" s="1383"/>
      <c r="AM33" s="1383"/>
      <c r="AN33" s="1383"/>
      <c r="AO33" s="1383"/>
      <c r="AP33" s="1383"/>
      <c r="AQ33" s="1383"/>
      <c r="AR33" s="1383"/>
      <c r="AS33" s="1383"/>
      <c r="AT33" s="1383"/>
      <c r="AU33" s="1383"/>
    </row>
    <row r="34" spans="1:47" s="1494" customFormat="1" ht="15.75" x14ac:dyDescent="0.25">
      <c r="A34" s="1383"/>
      <c r="B34" s="2313"/>
      <c r="C34" s="1477">
        <v>2017</v>
      </c>
      <c r="D34" s="1992">
        <f>'Prime INPUTS'!J41</f>
        <v>0</v>
      </c>
      <c r="E34" s="1383"/>
      <c r="F34" s="1383"/>
      <c r="G34" s="1383"/>
      <c r="H34" s="1383"/>
      <c r="I34" s="1383"/>
      <c r="J34" s="1383"/>
      <c r="K34" s="1493"/>
      <c r="L34" s="1648"/>
      <c r="M34" s="1493"/>
      <c r="N34" s="1493"/>
      <c r="O34" s="1493"/>
      <c r="P34" s="1493"/>
      <c r="Q34" s="1493"/>
      <c r="R34" s="1493"/>
      <c r="S34" s="1493"/>
      <c r="T34" s="1493"/>
      <c r="U34" s="1493"/>
      <c r="V34" s="1383"/>
      <c r="W34" s="1383"/>
      <c r="X34" s="1383"/>
      <c r="Y34" s="1383"/>
      <c r="Z34" s="1383"/>
      <c r="AA34" s="1383"/>
      <c r="AB34" s="1383"/>
      <c r="AC34" s="1383"/>
      <c r="AD34" s="1383"/>
      <c r="AE34" s="1383"/>
      <c r="AF34" s="1383"/>
      <c r="AG34" s="1383"/>
      <c r="AH34" s="1383"/>
      <c r="AI34" s="1383"/>
      <c r="AJ34" s="1383"/>
      <c r="AK34" s="1383"/>
      <c r="AL34" s="1383"/>
      <c r="AM34" s="1383"/>
      <c r="AN34" s="1383"/>
      <c r="AO34" s="1383"/>
      <c r="AP34" s="1383"/>
      <c r="AQ34" s="1383"/>
      <c r="AR34" s="1383"/>
      <c r="AS34" s="1383"/>
      <c r="AT34" s="1383"/>
      <c r="AU34" s="1383"/>
    </row>
    <row r="35" spans="1:47" s="1494" customFormat="1" ht="15.75" x14ac:dyDescent="0.25">
      <c r="A35" s="1383"/>
      <c r="B35" s="2313"/>
      <c r="C35" s="1477">
        <v>2018</v>
      </c>
      <c r="D35" s="1992">
        <f>'Prime INPUTS'!J42</f>
        <v>0</v>
      </c>
      <c r="E35" s="1383"/>
      <c r="F35" s="1383"/>
      <c r="G35" s="1383"/>
      <c r="H35" s="1383"/>
      <c r="I35" s="1383"/>
      <c r="J35" s="1383"/>
      <c r="K35" s="1493"/>
      <c r="L35" s="1648"/>
      <c r="M35" s="1493"/>
      <c r="N35" s="1493"/>
      <c r="O35" s="1493"/>
      <c r="P35" s="1493"/>
      <c r="Q35" s="1493"/>
      <c r="R35" s="1493"/>
      <c r="S35" s="1493"/>
      <c r="T35" s="1493"/>
      <c r="U35" s="1493"/>
      <c r="V35" s="1383"/>
      <c r="W35" s="1383"/>
      <c r="X35" s="1383"/>
      <c r="Y35" s="1383"/>
      <c r="Z35" s="1383"/>
      <c r="AA35" s="1383"/>
      <c r="AB35" s="1383"/>
      <c r="AC35" s="1383"/>
      <c r="AD35" s="1383"/>
      <c r="AE35" s="1383"/>
      <c r="AF35" s="1383"/>
      <c r="AG35" s="1383"/>
      <c r="AH35" s="1383"/>
      <c r="AI35" s="1383"/>
      <c r="AJ35" s="1383"/>
      <c r="AK35" s="1383"/>
      <c r="AL35" s="1383"/>
      <c r="AM35" s="1383"/>
      <c r="AN35" s="1383"/>
      <c r="AO35" s="1383"/>
      <c r="AP35" s="1383"/>
      <c r="AQ35" s="1383"/>
      <c r="AR35" s="1383"/>
      <c r="AS35" s="1383"/>
      <c r="AT35" s="1383"/>
      <c r="AU35" s="1383"/>
    </row>
    <row r="36" spans="1:47" s="1494" customFormat="1" ht="15.75" x14ac:dyDescent="0.25">
      <c r="A36" s="1383"/>
      <c r="B36" s="2313" t="s">
        <v>2085</v>
      </c>
      <c r="C36" s="1477">
        <v>2019</v>
      </c>
      <c r="D36" s="1992">
        <f>'Prime INPUTS'!J43</f>
        <v>0</v>
      </c>
      <c r="E36" s="1383"/>
      <c r="F36" s="1383"/>
      <c r="G36" s="1383"/>
      <c r="H36" s="1383"/>
      <c r="I36" s="1383"/>
      <c r="J36" s="1383"/>
      <c r="K36" s="1493"/>
      <c r="L36" s="1648"/>
      <c r="M36" s="1493"/>
      <c r="N36" s="1493"/>
      <c r="O36" s="1493"/>
      <c r="P36" s="1493"/>
      <c r="Q36" s="1493"/>
      <c r="R36" s="1493"/>
      <c r="S36" s="1493"/>
      <c r="T36" s="1493"/>
      <c r="U36" s="1493"/>
      <c r="V36" s="1383"/>
      <c r="W36" s="1383"/>
      <c r="X36" s="1383"/>
      <c r="Y36" s="1383"/>
      <c r="Z36" s="1383"/>
      <c r="AA36" s="1383"/>
      <c r="AB36" s="1383"/>
      <c r="AC36" s="1383"/>
      <c r="AD36" s="1383"/>
      <c r="AE36" s="1383"/>
      <c r="AF36" s="1383"/>
      <c r="AG36" s="1383"/>
      <c r="AH36" s="1383"/>
      <c r="AI36" s="1383"/>
      <c r="AJ36" s="1383"/>
      <c r="AK36" s="1383"/>
      <c r="AL36" s="1383"/>
      <c r="AM36" s="1383"/>
      <c r="AN36" s="1383"/>
      <c r="AO36" s="1383"/>
      <c r="AP36" s="1383"/>
      <c r="AQ36" s="1383"/>
      <c r="AR36" s="1383"/>
      <c r="AS36" s="1383"/>
      <c r="AT36" s="1383"/>
      <c r="AU36" s="1383"/>
    </row>
    <row r="37" spans="1:47" s="1494" customFormat="1" ht="15.75" x14ac:dyDescent="0.25">
      <c r="A37" s="1383"/>
      <c r="B37" s="2322"/>
      <c r="C37" s="1477">
        <v>2020</v>
      </c>
      <c r="D37" s="1992">
        <f>'Prime INPUTS'!J44</f>
        <v>0</v>
      </c>
      <c r="E37" s="1383"/>
      <c r="F37" s="1383"/>
      <c r="G37" s="1383"/>
      <c r="H37" s="1383"/>
      <c r="I37" s="1383"/>
      <c r="J37" s="1383"/>
      <c r="K37" s="1493"/>
      <c r="L37" s="1648"/>
      <c r="M37" s="1493"/>
      <c r="N37" s="1493"/>
      <c r="O37" s="1493"/>
      <c r="P37" s="1493"/>
      <c r="Q37" s="1493"/>
      <c r="R37" s="1493"/>
      <c r="S37" s="1493"/>
      <c r="T37" s="1493"/>
      <c r="U37" s="1493"/>
      <c r="V37" s="1383"/>
      <c r="W37" s="1383"/>
      <c r="X37" s="1383"/>
      <c r="Y37" s="1383"/>
      <c r="Z37" s="1383"/>
      <c r="AA37" s="1383"/>
      <c r="AB37" s="1383"/>
      <c r="AC37" s="1383"/>
      <c r="AD37" s="1383"/>
      <c r="AE37" s="1383"/>
      <c r="AF37" s="1383"/>
      <c r="AG37" s="1383"/>
      <c r="AH37" s="1383"/>
      <c r="AI37" s="1383"/>
      <c r="AJ37" s="1383"/>
      <c r="AK37" s="1383"/>
      <c r="AL37" s="1383"/>
      <c r="AM37" s="1383"/>
      <c r="AN37" s="1383"/>
      <c r="AO37" s="1383"/>
      <c r="AP37" s="1383"/>
      <c r="AQ37" s="1383"/>
      <c r="AR37" s="1383"/>
      <c r="AS37" s="1383"/>
      <c r="AT37" s="1383"/>
      <c r="AU37" s="1383"/>
    </row>
    <row r="38" spans="1:47" s="1383" customFormat="1" ht="15.75" x14ac:dyDescent="0.25">
      <c r="B38" s="1382"/>
      <c r="E38" s="1420"/>
      <c r="F38" s="1420"/>
      <c r="G38" s="1420"/>
      <c r="H38" s="1420"/>
      <c r="I38" s="1420"/>
      <c r="J38" s="1420"/>
      <c r="K38" s="1493"/>
      <c r="L38" s="1648"/>
      <c r="M38" s="1493"/>
      <c r="N38" s="1493"/>
      <c r="O38" s="1493"/>
      <c r="P38" s="1493"/>
      <c r="Q38" s="1493"/>
      <c r="R38" s="1493"/>
      <c r="S38" s="1493"/>
      <c r="T38" s="1493"/>
      <c r="U38" s="1493"/>
    </row>
    <row r="39" spans="1:47" s="1494" customFormat="1" ht="47.25" x14ac:dyDescent="0.25">
      <c r="A39" s="1383"/>
      <c r="B39" s="2569" t="str">
        <f>"Units Manufactured in Region ("&amp;F8&amp;" kW "&amp;F7&amp;" units)"</f>
        <v>Units Manufactured in Region (0 kW &lt;Please select&gt; units)</v>
      </c>
      <c r="C39" s="1474" t="str">
        <f>C31</f>
        <v>Year</v>
      </c>
      <c r="D39" s="1726" t="str">
        <f>"Annual Units Mfg. ("&amp;F7&amp;")"</f>
        <v>Annual Units Mfg. (&lt;Please select&gt;)</v>
      </c>
      <c r="E39" s="1726" t="str">
        <f>"Cum. Units Mfg. ("&amp;F7&amp;")"</f>
        <v>Cum. Units Mfg. (&lt;Please select&gt;)</v>
      </c>
      <c r="F39" s="1420"/>
      <c r="G39" s="1420"/>
      <c r="H39" s="1420"/>
      <c r="I39" s="1420"/>
      <c r="J39" s="1420"/>
      <c r="K39" s="1493"/>
      <c r="L39" s="1648"/>
      <c r="M39" s="1493"/>
      <c r="N39" s="1493"/>
      <c r="O39" s="1493"/>
      <c r="P39" s="1493"/>
      <c r="Q39" s="1493"/>
      <c r="R39" s="1493"/>
      <c r="S39" s="1493"/>
      <c r="T39" s="1493"/>
      <c r="U39" s="1493"/>
      <c r="V39" s="1383"/>
      <c r="W39" s="1383"/>
      <c r="X39" s="1383"/>
      <c r="Y39" s="1383"/>
      <c r="Z39" s="1383"/>
      <c r="AA39" s="1383"/>
      <c r="AB39" s="1383"/>
      <c r="AC39" s="1383"/>
      <c r="AD39" s="1383"/>
      <c r="AE39" s="1383"/>
      <c r="AF39" s="1383"/>
      <c r="AG39" s="1383"/>
      <c r="AH39" s="1383"/>
      <c r="AI39" s="1383"/>
      <c r="AJ39" s="1383"/>
      <c r="AK39" s="1383"/>
      <c r="AL39" s="1383"/>
      <c r="AM39" s="1383"/>
      <c r="AN39" s="1383"/>
      <c r="AO39" s="1383"/>
      <c r="AP39" s="1383"/>
      <c r="AQ39" s="1383"/>
      <c r="AR39" s="1383"/>
      <c r="AS39" s="1383"/>
      <c r="AT39" s="1383"/>
      <c r="AU39" s="1383"/>
    </row>
    <row r="40" spans="1:47" s="1494" customFormat="1" ht="15.75" x14ac:dyDescent="0.25">
      <c r="A40" s="1383"/>
      <c r="B40" s="2313"/>
      <c r="C40" s="1477">
        <f>C32</f>
        <v>2015</v>
      </c>
      <c r="D40" s="1727">
        <f>'Prime INPUTS'!H25</f>
        <v>0</v>
      </c>
      <c r="E40" s="1728">
        <f>D40</f>
        <v>0</v>
      </c>
      <c r="F40" s="1420"/>
      <c r="G40" s="1420"/>
      <c r="H40" s="1420"/>
      <c r="I40" s="1420"/>
      <c r="J40" s="1420"/>
      <c r="K40" s="1493"/>
      <c r="L40" s="1648"/>
      <c r="M40" s="1493"/>
      <c r="N40" s="1493"/>
      <c r="O40" s="1493"/>
      <c r="P40" s="1493"/>
      <c r="Q40" s="1493"/>
      <c r="R40" s="1493"/>
      <c r="S40" s="1493"/>
      <c r="T40" s="1493"/>
      <c r="U40" s="1493"/>
      <c r="V40" s="1383"/>
      <c r="W40" s="1383"/>
      <c r="X40" s="1383"/>
      <c r="Y40" s="1383"/>
      <c r="Z40" s="1383"/>
      <c r="AA40" s="1383"/>
      <c r="AB40" s="1383"/>
      <c r="AC40" s="1383"/>
      <c r="AD40" s="1383"/>
      <c r="AE40" s="1383"/>
      <c r="AF40" s="1383"/>
      <c r="AG40" s="1383"/>
      <c r="AH40" s="1383"/>
      <c r="AI40" s="1383"/>
      <c r="AJ40" s="1383"/>
      <c r="AK40" s="1383"/>
      <c r="AL40" s="1383"/>
      <c r="AM40" s="1383"/>
      <c r="AN40" s="1383"/>
      <c r="AO40" s="1383"/>
      <c r="AP40" s="1383"/>
      <c r="AQ40" s="1383"/>
      <c r="AR40" s="1383"/>
      <c r="AS40" s="1383"/>
      <c r="AT40" s="1383"/>
      <c r="AU40" s="1383"/>
    </row>
    <row r="41" spans="1:47" s="1494" customFormat="1" ht="15.75" x14ac:dyDescent="0.25">
      <c r="A41" s="1383"/>
      <c r="B41" s="2313"/>
      <c r="C41" s="1477">
        <f t="shared" ref="C41:C45" si="3">C33</f>
        <v>2016</v>
      </c>
      <c r="D41" s="1727">
        <f>'Prime INPUTS'!H26</f>
        <v>0</v>
      </c>
      <c r="E41" s="1728">
        <f>D41+E40</f>
        <v>0</v>
      </c>
      <c r="F41" s="1420"/>
      <c r="G41" s="1420"/>
      <c r="H41" s="1420"/>
      <c r="I41" s="1420"/>
      <c r="J41" s="1420"/>
      <c r="K41" s="1493"/>
      <c r="L41" s="1648"/>
      <c r="M41" s="1493"/>
      <c r="N41" s="1493"/>
      <c r="O41" s="1493"/>
      <c r="P41" s="1493"/>
      <c r="Q41" s="1493"/>
      <c r="R41" s="1493"/>
      <c r="S41" s="1493"/>
      <c r="T41" s="1493"/>
      <c r="U41" s="1493"/>
      <c r="V41" s="1383"/>
      <c r="W41" s="1383"/>
      <c r="X41" s="1383"/>
      <c r="Y41" s="1383"/>
      <c r="Z41" s="1383"/>
      <c r="AA41" s="1383"/>
      <c r="AB41" s="1383"/>
      <c r="AC41" s="1383"/>
      <c r="AD41" s="1383"/>
      <c r="AE41" s="1383"/>
      <c r="AF41" s="1383"/>
      <c r="AG41" s="1383"/>
      <c r="AH41" s="1383"/>
      <c r="AI41" s="1383"/>
      <c r="AJ41" s="1383"/>
      <c r="AK41" s="1383"/>
      <c r="AL41" s="1383"/>
      <c r="AM41" s="1383"/>
      <c r="AN41" s="1383"/>
      <c r="AO41" s="1383"/>
      <c r="AP41" s="1383"/>
      <c r="AQ41" s="1383"/>
      <c r="AR41" s="1383"/>
      <c r="AS41" s="1383"/>
      <c r="AT41" s="1383"/>
      <c r="AU41" s="1383"/>
    </row>
    <row r="42" spans="1:47" s="1494" customFormat="1" ht="15.75" x14ac:dyDescent="0.25">
      <c r="A42" s="1383"/>
      <c r="B42" s="2313"/>
      <c r="C42" s="1477">
        <f t="shared" si="3"/>
        <v>2017</v>
      </c>
      <c r="D42" s="1727">
        <f>'Prime INPUTS'!H27</f>
        <v>0</v>
      </c>
      <c r="E42" s="1728">
        <f>D42+E41</f>
        <v>0</v>
      </c>
      <c r="F42" s="1420"/>
      <c r="G42" s="1420"/>
      <c r="H42" s="1420"/>
      <c r="I42" s="1420"/>
      <c r="J42" s="1420"/>
      <c r="K42" s="1493"/>
      <c r="L42" s="1648"/>
      <c r="M42" s="1493"/>
      <c r="N42" s="1493"/>
      <c r="O42" s="1493"/>
      <c r="P42" s="1493"/>
      <c r="Q42" s="1493"/>
      <c r="R42" s="1493"/>
      <c r="S42" s="1493"/>
      <c r="T42" s="1493"/>
      <c r="U42" s="1493"/>
      <c r="V42" s="1383"/>
      <c r="W42" s="1383"/>
      <c r="X42" s="1383"/>
      <c r="Y42" s="1383"/>
      <c r="Z42" s="1383"/>
      <c r="AA42" s="1383"/>
      <c r="AB42" s="1383"/>
      <c r="AC42" s="1383"/>
      <c r="AD42" s="1383"/>
      <c r="AE42" s="1383"/>
      <c r="AF42" s="1383"/>
      <c r="AG42" s="1383"/>
      <c r="AH42" s="1383"/>
      <c r="AI42" s="1383"/>
      <c r="AJ42" s="1383"/>
      <c r="AK42" s="1383"/>
      <c r="AL42" s="1383"/>
      <c r="AM42" s="1383"/>
      <c r="AN42" s="1383"/>
      <c r="AO42" s="1383"/>
      <c r="AP42" s="1383"/>
      <c r="AQ42" s="1383"/>
      <c r="AR42" s="1383"/>
      <c r="AS42" s="1383"/>
      <c r="AT42" s="1383"/>
      <c r="AU42" s="1383"/>
    </row>
    <row r="43" spans="1:47" s="1494" customFormat="1" ht="15.75" x14ac:dyDescent="0.25">
      <c r="A43" s="1383"/>
      <c r="B43" s="2313"/>
      <c r="C43" s="1477">
        <f t="shared" si="3"/>
        <v>2018</v>
      </c>
      <c r="D43" s="1727">
        <f>'Prime INPUTS'!H28</f>
        <v>0</v>
      </c>
      <c r="E43" s="1728">
        <f>D43+E42</f>
        <v>0</v>
      </c>
      <c r="F43" s="1420"/>
      <c r="G43" s="1420"/>
      <c r="H43" s="1420"/>
      <c r="I43" s="1420"/>
      <c r="J43" s="1420"/>
      <c r="K43" s="1493"/>
      <c r="L43" s="1648"/>
      <c r="M43" s="1493"/>
      <c r="N43" s="1493"/>
      <c r="O43" s="1493"/>
      <c r="P43" s="1493"/>
      <c r="Q43" s="1493"/>
      <c r="R43" s="1493"/>
      <c r="S43" s="1493"/>
      <c r="T43" s="1493"/>
      <c r="U43" s="1493"/>
      <c r="V43" s="1383"/>
      <c r="W43" s="1383"/>
      <c r="X43" s="1383"/>
      <c r="Y43" s="1383"/>
      <c r="Z43" s="1383"/>
      <c r="AA43" s="1383"/>
      <c r="AB43" s="1383"/>
      <c r="AC43" s="1383"/>
      <c r="AD43" s="1383"/>
      <c r="AE43" s="1383"/>
      <c r="AF43" s="1383"/>
      <c r="AG43" s="1383"/>
      <c r="AH43" s="1383"/>
      <c r="AI43" s="1383"/>
      <c r="AJ43" s="1383"/>
      <c r="AK43" s="1383"/>
      <c r="AL43" s="1383"/>
      <c r="AM43" s="1383"/>
      <c r="AN43" s="1383"/>
      <c r="AO43" s="1383"/>
      <c r="AP43" s="1383"/>
      <c r="AQ43" s="1383"/>
      <c r="AR43" s="1383"/>
      <c r="AS43" s="1383"/>
      <c r="AT43" s="1383"/>
      <c r="AU43" s="1383"/>
    </row>
    <row r="44" spans="1:47" s="1494" customFormat="1" ht="15.75" x14ac:dyDescent="0.25">
      <c r="A44" s="1383"/>
      <c r="B44" s="2313"/>
      <c r="C44" s="1477">
        <f t="shared" si="3"/>
        <v>2019</v>
      </c>
      <c r="D44" s="1727">
        <f>'Prime INPUTS'!H29</f>
        <v>0</v>
      </c>
      <c r="E44" s="1728">
        <f>D44+E43</f>
        <v>0</v>
      </c>
      <c r="F44" s="1420"/>
      <c r="G44" s="1420"/>
      <c r="H44" s="1420"/>
      <c r="I44" s="1420"/>
      <c r="J44" s="1420"/>
      <c r="K44" s="1493"/>
      <c r="L44" s="1648"/>
      <c r="M44" s="1493"/>
      <c r="N44" s="1493"/>
      <c r="O44" s="1493"/>
      <c r="P44" s="1493"/>
      <c r="Q44" s="1493"/>
      <c r="R44" s="1493"/>
      <c r="S44" s="1493"/>
      <c r="T44" s="1493"/>
      <c r="U44" s="1493"/>
      <c r="V44" s="1383"/>
      <c r="W44" s="1383"/>
      <c r="X44" s="1383"/>
      <c r="Y44" s="1383"/>
      <c r="Z44" s="1383"/>
      <c r="AA44" s="1383"/>
      <c r="AB44" s="1383"/>
      <c r="AC44" s="1383"/>
      <c r="AD44" s="1383"/>
      <c r="AE44" s="1383"/>
      <c r="AF44" s="1383"/>
      <c r="AG44" s="1383"/>
      <c r="AH44" s="1383"/>
      <c r="AI44" s="1383"/>
      <c r="AJ44" s="1383"/>
      <c r="AK44" s="1383"/>
      <c r="AL44" s="1383"/>
      <c r="AM44" s="1383"/>
      <c r="AN44" s="1383"/>
      <c r="AO44" s="1383"/>
      <c r="AP44" s="1383"/>
      <c r="AQ44" s="1383"/>
      <c r="AR44" s="1383"/>
      <c r="AS44" s="1383"/>
      <c r="AT44" s="1383"/>
      <c r="AU44" s="1383"/>
    </row>
    <row r="45" spans="1:47" s="1494" customFormat="1" ht="15.75" x14ac:dyDescent="0.25">
      <c r="A45" s="1383"/>
      <c r="B45" s="2322"/>
      <c r="C45" s="1477">
        <f t="shared" si="3"/>
        <v>2020</v>
      </c>
      <c r="D45" s="1727">
        <f>'Prime INPUTS'!H30</f>
        <v>0</v>
      </c>
      <c r="E45" s="1728">
        <f>D45+E44</f>
        <v>0</v>
      </c>
      <c r="F45" s="1420"/>
      <c r="G45" s="1420"/>
      <c r="H45" s="1420"/>
      <c r="I45" s="1420"/>
      <c r="J45" s="1420"/>
      <c r="K45" s="1493"/>
      <c r="L45" s="1648"/>
      <c r="M45" s="1493"/>
      <c r="N45" s="1493"/>
      <c r="O45" s="1493"/>
      <c r="P45" s="1493"/>
      <c r="Q45" s="1493"/>
      <c r="R45" s="1493"/>
      <c r="S45" s="1493"/>
      <c r="T45" s="1493"/>
      <c r="U45" s="149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row>
    <row r="46" spans="1:47" s="1383" customFormat="1" ht="15.75" x14ac:dyDescent="0.25">
      <c r="B46" s="1382"/>
      <c r="E46" s="1420"/>
      <c r="F46" s="1420"/>
      <c r="G46" s="1420"/>
      <c r="H46" s="1420"/>
      <c r="I46" s="1420"/>
      <c r="J46" s="1420"/>
      <c r="K46" s="1493"/>
      <c r="L46" s="1648"/>
      <c r="M46" s="1493"/>
      <c r="N46" s="1493"/>
      <c r="O46" s="1493"/>
      <c r="P46" s="1493"/>
      <c r="Q46" s="1493"/>
      <c r="R46" s="1493"/>
      <c r="S46" s="1493"/>
      <c r="T46" s="1493"/>
      <c r="U46" s="1493"/>
    </row>
    <row r="47" spans="1:47" s="1657" customFormat="1" ht="63" x14ac:dyDescent="0.25">
      <c r="A47" s="1653"/>
      <c r="B47" s="2569" t="str">
        <f>"Units Installed in Region ("&amp;F8&amp;" kW "&amp;F7&amp;" units)"</f>
        <v>Units Installed in Region (0 kW &lt;Please select&gt; units)</v>
      </c>
      <c r="C47" s="1474" t="str">
        <f>C39</f>
        <v>Year</v>
      </c>
      <c r="D47" s="1726" t="str">
        <f>"Annual Units Installed ("&amp;F7&amp;")"</f>
        <v>Annual Units Installed (&lt;Please select&gt;)</v>
      </c>
      <c r="E47" s="1726" t="str">
        <f>"Cum. Units in Operation ("&amp;F7&amp;")"</f>
        <v>Cum. Units in Operation (&lt;Please select&gt;)</v>
      </c>
      <c r="F47" s="1653"/>
      <c r="G47" s="1653"/>
      <c r="H47" s="1653"/>
      <c r="I47" s="1653"/>
      <c r="J47" s="1653"/>
      <c r="K47" s="1653"/>
      <c r="L47" s="1654"/>
      <c r="M47" s="1655"/>
      <c r="N47" s="1653"/>
      <c r="O47" s="1653"/>
      <c r="P47" s="1653"/>
      <c r="Q47" s="1656"/>
      <c r="R47" s="1653"/>
      <c r="S47" s="1653"/>
      <c r="T47" s="1656"/>
      <c r="U47" s="1656"/>
      <c r="V47" s="1653"/>
      <c r="W47" s="1653"/>
      <c r="X47" s="1653"/>
      <c r="Y47" s="1653"/>
      <c r="Z47" s="1653"/>
      <c r="AA47" s="1653"/>
      <c r="AB47" s="1653"/>
      <c r="AC47" s="1653"/>
      <c r="AD47" s="1653"/>
      <c r="AE47" s="1653"/>
      <c r="AF47" s="1653"/>
      <c r="AG47" s="1653"/>
      <c r="AH47" s="1653"/>
      <c r="AI47" s="1653"/>
      <c r="AJ47" s="1653"/>
      <c r="AK47" s="1653"/>
      <c r="AL47" s="1653"/>
      <c r="AM47" s="1653"/>
      <c r="AN47" s="1653"/>
      <c r="AO47" s="1653"/>
      <c r="AP47" s="1653"/>
      <c r="AQ47" s="1653"/>
      <c r="AR47" s="1653"/>
      <c r="AS47" s="1653"/>
      <c r="AT47" s="1653"/>
      <c r="AU47" s="1653"/>
    </row>
    <row r="48" spans="1:47" s="1494" customFormat="1" ht="15.75" x14ac:dyDescent="0.25">
      <c r="A48" s="1383"/>
      <c r="B48" s="2313"/>
      <c r="C48" s="1477">
        <f>C40</f>
        <v>2015</v>
      </c>
      <c r="D48" s="1729">
        <f>'Prime INPUTS'!H25-'Prime INPUTS'!I25+'Prime INPUTS'!J25</f>
        <v>0</v>
      </c>
      <c r="E48" s="1729">
        <f>'Backup INPUTS'!J84+D48</f>
        <v>0</v>
      </c>
      <c r="F48" s="1383"/>
      <c r="G48" s="1383"/>
      <c r="H48" s="1383"/>
      <c r="I48" s="1383"/>
      <c r="J48" s="1383"/>
      <c r="K48" s="1383"/>
      <c r="L48" s="1384"/>
      <c r="M48" s="1659"/>
      <c r="N48" s="1383"/>
      <c r="O48" s="1383"/>
      <c r="P48" s="1383"/>
      <c r="Q48" s="1493"/>
      <c r="R48" s="1383"/>
      <c r="S48" s="1383"/>
      <c r="T48" s="1493"/>
      <c r="U48" s="1493"/>
      <c r="V48" s="1383"/>
      <c r="W48" s="1383"/>
      <c r="X48" s="1383"/>
      <c r="Y48" s="1383"/>
      <c r="Z48" s="1383"/>
      <c r="AA48" s="1383"/>
      <c r="AB48" s="1383"/>
      <c r="AC48" s="1383"/>
      <c r="AD48" s="1383"/>
      <c r="AE48" s="1383"/>
      <c r="AF48" s="1383"/>
      <c r="AG48" s="1383"/>
      <c r="AH48" s="1383"/>
      <c r="AI48" s="1383"/>
      <c r="AJ48" s="1383"/>
      <c r="AK48" s="1383"/>
      <c r="AL48" s="1383"/>
      <c r="AM48" s="1383"/>
      <c r="AN48" s="1383"/>
      <c r="AO48" s="1383"/>
      <c r="AP48" s="1383"/>
      <c r="AQ48" s="1383"/>
      <c r="AR48" s="1383"/>
      <c r="AS48" s="1383"/>
      <c r="AT48" s="1383"/>
      <c r="AU48" s="1383"/>
    </row>
    <row r="49" spans="1:47" s="1494" customFormat="1" ht="15.75" x14ac:dyDescent="0.25">
      <c r="A49" s="1383"/>
      <c r="B49" s="2313"/>
      <c r="C49" s="1477">
        <f t="shared" ref="C49:C53" si="4">C41</f>
        <v>2016</v>
      </c>
      <c r="D49" s="1729">
        <f>'Prime INPUTS'!H26-'Prime INPUTS'!I26+'Prime INPUTS'!J26</f>
        <v>0</v>
      </c>
      <c r="E49" s="1729">
        <f>E48+D49</f>
        <v>0</v>
      </c>
      <c r="F49" s="1383"/>
      <c r="G49" s="1383"/>
      <c r="H49" s="1383"/>
      <c r="I49" s="1383"/>
      <c r="J49" s="1383"/>
      <c r="K49" s="1383"/>
      <c r="L49" s="1384"/>
      <c r="M49" s="1659"/>
      <c r="N49" s="1383"/>
      <c r="O49" s="1383"/>
      <c r="P49" s="1383"/>
      <c r="Q49" s="1493"/>
      <c r="R49" s="1383"/>
      <c r="S49" s="1383"/>
      <c r="T49" s="1493"/>
      <c r="U49" s="1493"/>
      <c r="V49" s="1383"/>
      <c r="W49" s="1383"/>
      <c r="X49" s="1383"/>
      <c r="Y49" s="1383"/>
      <c r="Z49" s="1383"/>
      <c r="AA49" s="1383"/>
      <c r="AB49" s="1383"/>
      <c r="AC49" s="1383"/>
      <c r="AD49" s="1383"/>
      <c r="AE49" s="1383"/>
      <c r="AF49" s="1383"/>
      <c r="AG49" s="1383"/>
      <c r="AH49" s="1383"/>
      <c r="AI49" s="1383"/>
      <c r="AJ49" s="1383"/>
      <c r="AK49" s="1383"/>
      <c r="AL49" s="1383"/>
      <c r="AM49" s="1383"/>
      <c r="AN49" s="1383"/>
      <c r="AO49" s="1383"/>
      <c r="AP49" s="1383"/>
      <c r="AQ49" s="1383"/>
      <c r="AR49" s="1383"/>
      <c r="AS49" s="1383"/>
      <c r="AT49" s="1383"/>
      <c r="AU49" s="1383"/>
    </row>
    <row r="50" spans="1:47" s="1494" customFormat="1" ht="15.75" x14ac:dyDescent="0.25">
      <c r="A50" s="1383"/>
      <c r="B50" s="2313"/>
      <c r="C50" s="1477">
        <f t="shared" si="4"/>
        <v>2017</v>
      </c>
      <c r="D50" s="1729">
        <f>'Prime INPUTS'!H27-'Prime INPUTS'!I27+'Prime INPUTS'!J27</f>
        <v>0</v>
      </c>
      <c r="E50" s="1729">
        <f>E49+D50</f>
        <v>0</v>
      </c>
      <c r="F50" s="1383"/>
      <c r="G50" s="1383"/>
      <c r="H50" s="1383"/>
      <c r="I50" s="1383"/>
      <c r="J50" s="1383"/>
      <c r="K50" s="1383"/>
      <c r="L50" s="1384"/>
      <c r="M50" s="1659"/>
      <c r="N50" s="1383"/>
      <c r="O50" s="1383"/>
      <c r="P50" s="1383"/>
      <c r="Q50" s="1493"/>
      <c r="R50" s="1383"/>
      <c r="S50" s="1383"/>
      <c r="T50" s="1493"/>
      <c r="U50" s="1493"/>
      <c r="V50" s="1383"/>
      <c r="W50" s="1383"/>
      <c r="X50" s="1383"/>
      <c r="Y50" s="1383"/>
      <c r="Z50" s="1383"/>
      <c r="AA50" s="1383"/>
      <c r="AB50" s="1383"/>
      <c r="AC50" s="1383"/>
      <c r="AD50" s="1383"/>
      <c r="AE50" s="1383"/>
      <c r="AF50" s="1383"/>
      <c r="AG50" s="1383"/>
      <c r="AH50" s="1383"/>
      <c r="AI50" s="1383"/>
      <c r="AJ50" s="1383"/>
      <c r="AK50" s="1383"/>
      <c r="AL50" s="1383"/>
      <c r="AM50" s="1383"/>
      <c r="AN50" s="1383"/>
      <c r="AO50" s="1383"/>
      <c r="AP50" s="1383"/>
      <c r="AQ50" s="1383"/>
      <c r="AR50" s="1383"/>
      <c r="AS50" s="1383"/>
      <c r="AT50" s="1383"/>
      <c r="AU50" s="1383"/>
    </row>
    <row r="51" spans="1:47" s="1494" customFormat="1" ht="15.75" x14ac:dyDescent="0.25">
      <c r="A51" s="1383"/>
      <c r="B51" s="2313"/>
      <c r="C51" s="1477">
        <f t="shared" si="4"/>
        <v>2018</v>
      </c>
      <c r="D51" s="1729">
        <f>'Prime INPUTS'!H28-'Prime INPUTS'!I28+'Prime INPUTS'!J28</f>
        <v>0</v>
      </c>
      <c r="E51" s="1729">
        <f>E50+D51</f>
        <v>0</v>
      </c>
      <c r="F51" s="1383"/>
      <c r="G51" s="1383"/>
      <c r="H51" s="1383"/>
      <c r="I51" s="1383"/>
      <c r="J51" s="1383"/>
      <c r="K51" s="1383"/>
      <c r="L51" s="1384"/>
      <c r="M51" s="1659"/>
      <c r="N51" s="1383"/>
      <c r="O51" s="1383"/>
      <c r="P51" s="1383"/>
      <c r="Q51" s="1493"/>
      <c r="R51" s="1383"/>
      <c r="S51" s="1383"/>
      <c r="T51" s="1493"/>
      <c r="U51" s="1493"/>
      <c r="V51" s="1383"/>
      <c r="W51" s="1383"/>
      <c r="X51" s="1383"/>
      <c r="Y51" s="1383"/>
      <c r="Z51" s="1383"/>
      <c r="AA51" s="1383"/>
      <c r="AB51" s="1383"/>
      <c r="AC51" s="1383"/>
      <c r="AD51" s="1383"/>
      <c r="AE51" s="1383"/>
      <c r="AF51" s="1383"/>
      <c r="AG51" s="1383"/>
      <c r="AH51" s="1383"/>
      <c r="AI51" s="1383"/>
      <c r="AJ51" s="1383"/>
      <c r="AK51" s="1383"/>
      <c r="AL51" s="1383"/>
      <c r="AM51" s="1383"/>
      <c r="AN51" s="1383"/>
      <c r="AO51" s="1383"/>
      <c r="AP51" s="1383"/>
      <c r="AQ51" s="1383"/>
      <c r="AR51" s="1383"/>
      <c r="AS51" s="1383"/>
      <c r="AT51" s="1383"/>
      <c r="AU51" s="1383"/>
    </row>
    <row r="52" spans="1:47" s="1494" customFormat="1" ht="15.75" x14ac:dyDescent="0.25">
      <c r="A52" s="1383"/>
      <c r="B52" s="2313"/>
      <c r="C52" s="1477">
        <f t="shared" si="4"/>
        <v>2019</v>
      </c>
      <c r="D52" s="1729">
        <f>'Prime INPUTS'!H29-'Prime INPUTS'!I29+'Prime INPUTS'!J29</f>
        <v>0</v>
      </c>
      <c r="E52" s="1729">
        <f>E51+D52</f>
        <v>0</v>
      </c>
      <c r="F52" s="1383"/>
      <c r="G52" s="1383"/>
      <c r="H52" s="1383"/>
      <c r="I52" s="1383"/>
      <c r="J52" s="1383"/>
      <c r="K52" s="1383"/>
      <c r="L52" s="1384"/>
      <c r="M52" s="1659"/>
      <c r="N52" s="1383"/>
      <c r="O52" s="1383"/>
      <c r="P52" s="1383"/>
      <c r="Q52" s="1493"/>
      <c r="R52" s="1383"/>
      <c r="S52" s="1383"/>
      <c r="T52" s="1493"/>
      <c r="U52" s="1493"/>
      <c r="V52" s="1383"/>
      <c r="W52" s="1383"/>
      <c r="X52" s="1383"/>
      <c r="Y52" s="1383"/>
      <c r="Z52" s="1383"/>
      <c r="AA52" s="1383"/>
      <c r="AB52" s="1383"/>
      <c r="AC52" s="1383"/>
      <c r="AD52" s="1383"/>
      <c r="AE52" s="1383"/>
      <c r="AF52" s="1383"/>
      <c r="AG52" s="1383"/>
      <c r="AH52" s="1383"/>
      <c r="AI52" s="1383"/>
      <c r="AJ52" s="1383"/>
      <c r="AK52" s="1383"/>
      <c r="AL52" s="1383"/>
      <c r="AM52" s="1383"/>
      <c r="AN52" s="1383"/>
      <c r="AO52" s="1383"/>
      <c r="AP52" s="1383"/>
      <c r="AQ52" s="1383"/>
      <c r="AR52" s="1383"/>
      <c r="AS52" s="1383"/>
      <c r="AT52" s="1383"/>
      <c r="AU52" s="1383"/>
    </row>
    <row r="53" spans="1:47" s="1494" customFormat="1" ht="15.75" x14ac:dyDescent="0.25">
      <c r="A53" s="1383"/>
      <c r="B53" s="2322"/>
      <c r="C53" s="1477">
        <f t="shared" si="4"/>
        <v>2020</v>
      </c>
      <c r="D53" s="1729">
        <f>'Prime INPUTS'!H30-'Prime INPUTS'!I30+'Prime INPUTS'!J30</f>
        <v>0</v>
      </c>
      <c r="E53" s="1729">
        <f>E52+D53</f>
        <v>0</v>
      </c>
      <c r="F53" s="1383"/>
      <c r="G53" s="1383"/>
      <c r="H53" s="1383"/>
      <c r="I53" s="1383"/>
      <c r="J53" s="1383"/>
      <c r="K53" s="1383"/>
      <c r="L53" s="1384"/>
      <c r="M53" s="1659"/>
      <c r="N53" s="1383"/>
      <c r="O53" s="1383"/>
      <c r="P53" s="1383"/>
      <c r="Q53" s="1493"/>
      <c r="R53" s="1383"/>
      <c r="S53" s="1383"/>
      <c r="T53" s="1493"/>
      <c r="U53" s="1493"/>
      <c r="V53" s="1383"/>
      <c r="W53" s="1383"/>
      <c r="X53" s="1383"/>
      <c r="Y53" s="1383"/>
      <c r="Z53" s="1383"/>
      <c r="AA53" s="1383"/>
      <c r="AB53" s="1383"/>
      <c r="AC53" s="1383"/>
      <c r="AD53" s="1383"/>
      <c r="AE53" s="1383"/>
      <c r="AF53" s="1383"/>
      <c r="AG53" s="1383"/>
      <c r="AH53" s="1383"/>
      <c r="AI53" s="1383"/>
      <c r="AJ53" s="1383"/>
      <c r="AK53" s="1383"/>
      <c r="AL53" s="1383"/>
      <c r="AM53" s="1383"/>
      <c r="AN53" s="1383"/>
      <c r="AO53" s="1383"/>
      <c r="AP53" s="1383"/>
      <c r="AQ53" s="1383"/>
      <c r="AR53" s="1383"/>
      <c r="AS53" s="1383"/>
      <c r="AT53" s="1383"/>
      <c r="AU53" s="1383"/>
    </row>
    <row r="54" spans="1:47" s="1407" customFormat="1" ht="15.75" x14ac:dyDescent="0.25">
      <c r="B54" s="1730"/>
      <c r="E54" s="1487"/>
      <c r="F54" s="1383"/>
      <c r="G54" s="1383"/>
      <c r="H54" s="1383"/>
      <c r="I54" s="1383"/>
      <c r="J54" s="1383"/>
      <c r="K54" s="1383"/>
      <c r="L54" s="1384"/>
      <c r="M54" s="1488"/>
      <c r="N54" s="1488"/>
      <c r="O54" s="1488"/>
      <c r="P54" s="1488"/>
      <c r="Q54" s="1488"/>
      <c r="R54" s="1488"/>
      <c r="S54" s="1488"/>
      <c r="T54" s="1488"/>
      <c r="U54" s="1488"/>
    </row>
    <row r="55" spans="1:47" s="1407" customFormat="1" ht="15.75" x14ac:dyDescent="0.25">
      <c r="B55" s="1409"/>
      <c r="C55" s="1410"/>
      <c r="D55" s="1410"/>
      <c r="E55" s="1731"/>
      <c r="F55" s="1403"/>
      <c r="G55" s="1403"/>
      <c r="H55" s="1403"/>
      <c r="I55" s="1403"/>
      <c r="J55" s="1403"/>
      <c r="K55" s="1403"/>
      <c r="L55" s="1390"/>
      <c r="M55" s="1488"/>
      <c r="N55" s="1488"/>
      <c r="O55" s="1488"/>
      <c r="P55" s="1488"/>
      <c r="Q55" s="1488"/>
      <c r="R55" s="1488"/>
      <c r="S55" s="1488"/>
      <c r="T55" s="1488"/>
      <c r="U55" s="1488"/>
    </row>
    <row r="56" spans="1:47" s="1500" customFormat="1" ht="21" x14ac:dyDescent="0.35">
      <c r="A56" s="1407"/>
      <c r="B56" s="1499" t="str">
        <f>F6&amp; " Economic Impacts"</f>
        <v>Gross Economic Impacts</v>
      </c>
      <c r="E56" s="1501"/>
      <c r="F56" s="1501"/>
      <c r="G56" s="1501"/>
      <c r="H56" s="1501"/>
      <c r="I56" s="1501"/>
      <c r="J56" s="1501"/>
      <c r="K56" s="1502"/>
      <c r="L56" s="1502"/>
      <c r="M56" s="1502"/>
      <c r="N56" s="1502"/>
      <c r="O56" s="1502"/>
      <c r="P56" s="1502"/>
      <c r="Q56" s="1502"/>
      <c r="R56" s="1502"/>
      <c r="S56" s="1502"/>
      <c r="T56" s="1502"/>
      <c r="U56" s="1502"/>
    </row>
    <row r="57" spans="1:47" s="1407" customFormat="1" x14ac:dyDescent="0.25">
      <c r="E57" s="1487"/>
      <c r="F57" s="1487"/>
      <c r="G57" s="1487"/>
      <c r="H57" s="1487"/>
      <c r="I57" s="1487"/>
      <c r="J57" s="1487"/>
      <c r="K57" s="1488"/>
      <c r="L57" s="1488"/>
      <c r="M57" s="1488"/>
      <c r="N57" s="1488"/>
      <c r="O57" s="1488"/>
      <c r="P57" s="1488"/>
      <c r="Q57" s="1488"/>
      <c r="R57" s="1488"/>
      <c r="S57" s="1488"/>
      <c r="T57" s="1488"/>
      <c r="U57" s="1488"/>
    </row>
    <row r="58" spans="1:47" ht="16.5" x14ac:dyDescent="0.25">
      <c r="B58" s="2570" t="str">
        <f>IF($F$6=Lists!$C$4, "Net "&amp;F7&amp;"-related Employment (Job-years)", B88)</f>
        <v>Gross &lt;Please select&gt;-related Employment (Job-years)</v>
      </c>
      <c r="C58" s="1732"/>
      <c r="D58" s="1733" t="str">
        <f>B58</f>
        <v>Gross &lt;Please select&gt;-related Employment (Job-years)</v>
      </c>
      <c r="E58" s="1734"/>
      <c r="F58" s="1734"/>
      <c r="G58" s="1734"/>
      <c r="H58" s="1734"/>
      <c r="I58" s="1487"/>
      <c r="J58" s="1407"/>
      <c r="K58" s="1488"/>
      <c r="L58" s="1488"/>
      <c r="M58" s="1488"/>
      <c r="N58" s="1488"/>
      <c r="O58" s="1488"/>
      <c r="P58" s="1488"/>
      <c r="Q58" s="1488"/>
      <c r="R58" s="1488"/>
      <c r="S58" s="1488"/>
      <c r="T58" s="1488"/>
      <c r="U58" s="1488"/>
      <c r="V58" s="1407"/>
      <c r="W58" s="1407"/>
      <c r="X58" s="1407"/>
      <c r="Y58" s="1407"/>
      <c r="Z58" s="1407"/>
      <c r="AA58" s="1407"/>
      <c r="AB58" s="1407"/>
      <c r="AC58" s="1407"/>
      <c r="AD58" s="1407"/>
      <c r="AE58" s="1407"/>
      <c r="AF58" s="1407"/>
      <c r="AG58" s="1407"/>
      <c r="AH58" s="1407"/>
      <c r="AI58" s="1407"/>
      <c r="AJ58" s="1407"/>
      <c r="AK58" s="1407"/>
    </row>
    <row r="59" spans="1:47" ht="33" customHeight="1" x14ac:dyDescent="0.25">
      <c r="B59" s="2571"/>
      <c r="C59" s="1527" t="s">
        <v>433</v>
      </c>
      <c r="D59" s="1528" t="str">
        <f>D$180&amp;" "&amp;D$181</f>
        <v>Gross &lt;Please select&gt;-related Direct</v>
      </c>
      <c r="E59" s="1528" t="str">
        <f>E$180&amp;" "&amp;E$181</f>
        <v>Gross &lt;Please select&gt;-related Indirect</v>
      </c>
      <c r="F59" s="1528" t="str">
        <f>F$180&amp;" "&amp;F$181</f>
        <v>Gross &lt;Please select&gt;-related Induced</v>
      </c>
      <c r="G59" s="1529" t="str">
        <f>G$180&amp;" "&amp;G$181</f>
        <v>Gross &lt;Please select&gt;-related Supply Chain</v>
      </c>
      <c r="H59" s="1529" t="str">
        <f>H$180&amp;" "&amp;H$181</f>
        <v>Gross &lt;Please select&gt;-related Total</v>
      </c>
      <c r="I59" s="1487"/>
      <c r="J59" s="1407"/>
      <c r="K59" s="1488"/>
      <c r="L59" s="1488"/>
      <c r="M59" s="1488"/>
      <c r="N59" s="1488"/>
      <c r="O59" s="1488"/>
      <c r="P59" s="1488"/>
      <c r="Q59" s="1488"/>
      <c r="R59" s="1488"/>
      <c r="S59" s="1488"/>
      <c r="T59" s="1488"/>
      <c r="U59" s="1488"/>
      <c r="V59" s="1407"/>
      <c r="W59" s="1407"/>
      <c r="X59" s="1407"/>
      <c r="Y59" s="1407"/>
      <c r="Z59" s="1407"/>
      <c r="AA59" s="1407"/>
      <c r="AB59" s="1407"/>
      <c r="AC59" s="1407"/>
      <c r="AD59" s="1407"/>
      <c r="AE59" s="1407"/>
      <c r="AF59" s="1407"/>
      <c r="AG59" s="1407"/>
      <c r="AH59" s="1407"/>
      <c r="AI59" s="1407"/>
      <c r="AJ59" s="1407"/>
      <c r="AK59" s="1407"/>
    </row>
    <row r="60" spans="1:47" ht="15.75" customHeight="1" x14ac:dyDescent="0.25">
      <c r="B60" s="2571"/>
      <c r="C60" s="1546">
        <v>2015</v>
      </c>
      <c r="D60" s="1547" t="e">
        <f t="shared" ref="D60:F65" si="5">D91+D123+D153</f>
        <v>#N/A</v>
      </c>
      <c r="E60" s="1547" t="e">
        <f t="shared" si="5"/>
        <v>#N/A</v>
      </c>
      <c r="F60" s="1547" t="e">
        <f t="shared" si="5"/>
        <v>#N/A</v>
      </c>
      <c r="G60" s="1547" t="e">
        <f t="shared" ref="G60:G65" si="6">D60+E60</f>
        <v>#N/A</v>
      </c>
      <c r="H60" s="1548" t="e">
        <f t="shared" ref="H60:H65" si="7">D60+E60+F60</f>
        <v>#N/A</v>
      </c>
      <c r="I60" s="1487"/>
      <c r="J60" s="1407"/>
      <c r="K60" s="1488"/>
      <c r="L60" s="1488"/>
      <c r="M60" s="1488"/>
      <c r="N60" s="1488"/>
      <c r="O60" s="1488"/>
      <c r="P60" s="1488"/>
      <c r="Q60" s="1488"/>
      <c r="R60" s="1488"/>
      <c r="S60" s="1488"/>
      <c r="T60" s="1488"/>
      <c r="U60" s="1488"/>
      <c r="V60" s="1407"/>
      <c r="W60" s="1407"/>
      <c r="X60" s="1407"/>
      <c r="Y60" s="1407"/>
      <c r="Z60" s="1407"/>
      <c r="AA60" s="1407"/>
      <c r="AB60" s="1407"/>
      <c r="AC60" s="1407"/>
      <c r="AD60" s="1407"/>
      <c r="AE60" s="1407"/>
      <c r="AF60" s="1407"/>
      <c r="AG60" s="1407"/>
      <c r="AH60" s="1407"/>
      <c r="AI60" s="1407"/>
      <c r="AJ60" s="1407"/>
      <c r="AK60" s="1407"/>
    </row>
    <row r="61" spans="1:47" ht="15.75" customHeight="1" x14ac:dyDescent="0.25">
      <c r="B61" s="2571"/>
      <c r="C61" s="1546">
        <v>2016</v>
      </c>
      <c r="D61" s="1547" t="e">
        <f t="shared" si="5"/>
        <v>#N/A</v>
      </c>
      <c r="E61" s="1547" t="e">
        <f t="shared" si="5"/>
        <v>#N/A</v>
      </c>
      <c r="F61" s="1547" t="e">
        <f t="shared" si="5"/>
        <v>#N/A</v>
      </c>
      <c r="G61" s="1547" t="e">
        <f t="shared" si="6"/>
        <v>#N/A</v>
      </c>
      <c r="H61" s="1548" t="e">
        <f t="shared" si="7"/>
        <v>#N/A</v>
      </c>
      <c r="I61" s="1487"/>
      <c r="J61" s="1407"/>
      <c r="K61" s="1488"/>
      <c r="L61" s="1488"/>
      <c r="M61" s="1488"/>
      <c r="N61" s="1488"/>
      <c r="O61" s="1488"/>
      <c r="P61" s="1488"/>
      <c r="Q61" s="1488"/>
      <c r="R61" s="1488"/>
      <c r="S61" s="1488"/>
      <c r="T61" s="1488"/>
      <c r="U61" s="1488"/>
      <c r="V61" s="1407"/>
      <c r="W61" s="1407"/>
      <c r="X61" s="1407"/>
      <c r="Y61" s="1407"/>
      <c r="Z61" s="1407"/>
      <c r="AA61" s="1407"/>
      <c r="AB61" s="1407"/>
      <c r="AC61" s="1407"/>
      <c r="AD61" s="1407"/>
      <c r="AE61" s="1407"/>
      <c r="AF61" s="1407"/>
      <c r="AG61" s="1407"/>
      <c r="AH61" s="1407"/>
      <c r="AI61" s="1407"/>
      <c r="AJ61" s="1407"/>
      <c r="AK61" s="1407"/>
    </row>
    <row r="62" spans="1:47" ht="15.75" customHeight="1" x14ac:dyDescent="0.25">
      <c r="B62" s="2571"/>
      <c r="C62" s="1546">
        <v>2017</v>
      </c>
      <c r="D62" s="1547" t="e">
        <f t="shared" si="5"/>
        <v>#N/A</v>
      </c>
      <c r="E62" s="1547" t="e">
        <f t="shared" si="5"/>
        <v>#N/A</v>
      </c>
      <c r="F62" s="1547" t="e">
        <f t="shared" si="5"/>
        <v>#N/A</v>
      </c>
      <c r="G62" s="1547" t="e">
        <f t="shared" si="6"/>
        <v>#N/A</v>
      </c>
      <c r="H62" s="1548" t="e">
        <f t="shared" si="7"/>
        <v>#N/A</v>
      </c>
      <c r="I62" s="1487"/>
      <c r="J62" s="1407"/>
      <c r="K62" s="1488"/>
      <c r="L62" s="1488"/>
      <c r="M62" s="1488"/>
      <c r="N62" s="1488"/>
      <c r="O62" s="1488"/>
      <c r="P62" s="1488"/>
      <c r="Q62" s="1488"/>
      <c r="R62" s="1488"/>
      <c r="S62" s="1488"/>
      <c r="T62" s="1488"/>
      <c r="U62" s="1488"/>
      <c r="V62" s="1407"/>
      <c r="W62" s="1407"/>
      <c r="X62" s="1407"/>
      <c r="Y62" s="1407"/>
      <c r="Z62" s="1407"/>
      <c r="AA62" s="1407"/>
      <c r="AB62" s="1407"/>
      <c r="AC62" s="1407"/>
      <c r="AD62" s="1407"/>
      <c r="AE62" s="1407"/>
      <c r="AF62" s="1407"/>
      <c r="AG62" s="1407"/>
      <c r="AH62" s="1407"/>
      <c r="AI62" s="1407"/>
      <c r="AJ62" s="1407"/>
      <c r="AK62" s="1407"/>
    </row>
    <row r="63" spans="1:47" ht="15.75" customHeight="1" x14ac:dyDescent="0.25">
      <c r="B63" s="2571"/>
      <c r="C63" s="1546">
        <v>2018</v>
      </c>
      <c r="D63" s="1547" t="e">
        <f t="shared" si="5"/>
        <v>#N/A</v>
      </c>
      <c r="E63" s="1547" t="e">
        <f t="shared" si="5"/>
        <v>#N/A</v>
      </c>
      <c r="F63" s="1547" t="e">
        <f t="shared" si="5"/>
        <v>#N/A</v>
      </c>
      <c r="G63" s="1547" t="e">
        <f t="shared" si="6"/>
        <v>#N/A</v>
      </c>
      <c r="H63" s="1548" t="e">
        <f t="shared" si="7"/>
        <v>#N/A</v>
      </c>
      <c r="I63" s="1487"/>
      <c r="J63" s="1407"/>
      <c r="K63" s="1488"/>
      <c r="L63" s="1488"/>
      <c r="M63" s="1488"/>
      <c r="N63" s="1488"/>
      <c r="O63" s="1488"/>
      <c r="P63" s="1488"/>
      <c r="Q63" s="1488"/>
      <c r="R63" s="1488"/>
      <c r="S63" s="1488"/>
      <c r="T63" s="1488"/>
      <c r="U63" s="1488"/>
      <c r="V63" s="1407"/>
      <c r="W63" s="1407"/>
      <c r="X63" s="1407"/>
      <c r="Y63" s="1407"/>
      <c r="Z63" s="1407"/>
      <c r="AA63" s="1407"/>
      <c r="AB63" s="1407"/>
      <c r="AC63" s="1407"/>
      <c r="AD63" s="1407"/>
      <c r="AE63" s="1407"/>
      <c r="AF63" s="1407"/>
      <c r="AG63" s="1407"/>
      <c r="AH63" s="1407"/>
      <c r="AI63" s="1407"/>
      <c r="AJ63" s="1407"/>
      <c r="AK63" s="1407"/>
    </row>
    <row r="64" spans="1:47" ht="15.75" customHeight="1" x14ac:dyDescent="0.25">
      <c r="B64" s="2571"/>
      <c r="C64" s="1546">
        <v>2019</v>
      </c>
      <c r="D64" s="1547" t="e">
        <f t="shared" si="5"/>
        <v>#N/A</v>
      </c>
      <c r="E64" s="1547" t="e">
        <f t="shared" si="5"/>
        <v>#N/A</v>
      </c>
      <c r="F64" s="1547" t="e">
        <f t="shared" si="5"/>
        <v>#N/A</v>
      </c>
      <c r="G64" s="1547" t="e">
        <f t="shared" si="6"/>
        <v>#N/A</v>
      </c>
      <c r="H64" s="1548" t="e">
        <f t="shared" si="7"/>
        <v>#N/A</v>
      </c>
      <c r="I64" s="1487"/>
      <c r="J64" s="1407"/>
      <c r="K64" s="1488"/>
      <c r="L64" s="1488"/>
      <c r="M64" s="1488"/>
      <c r="N64" s="1488"/>
      <c r="O64" s="1488"/>
      <c r="P64" s="1488"/>
      <c r="Q64" s="1488"/>
      <c r="R64" s="1488"/>
      <c r="S64" s="1488"/>
      <c r="T64" s="1488"/>
      <c r="U64" s="1488"/>
      <c r="V64" s="1407"/>
      <c r="W64" s="1407"/>
      <c r="X64" s="1407"/>
      <c r="Y64" s="1407"/>
      <c r="Z64" s="1407"/>
      <c r="AA64" s="1407"/>
      <c r="AB64" s="1407"/>
      <c r="AC64" s="1407"/>
      <c r="AD64" s="1407"/>
      <c r="AE64" s="1407"/>
      <c r="AF64" s="1407"/>
      <c r="AG64" s="1407"/>
      <c r="AH64" s="1407"/>
      <c r="AI64" s="1407"/>
      <c r="AJ64" s="1407"/>
      <c r="AK64" s="1407"/>
    </row>
    <row r="65" spans="2:37" ht="15.75" customHeight="1" x14ac:dyDescent="0.25">
      <c r="B65" s="2572"/>
      <c r="C65" s="1546">
        <v>2020</v>
      </c>
      <c r="D65" s="1547" t="e">
        <f t="shared" si="5"/>
        <v>#N/A</v>
      </c>
      <c r="E65" s="1547" t="e">
        <f t="shared" si="5"/>
        <v>#N/A</v>
      </c>
      <c r="F65" s="1547" t="e">
        <f t="shared" si="5"/>
        <v>#N/A</v>
      </c>
      <c r="G65" s="1547" t="e">
        <f t="shared" si="6"/>
        <v>#N/A</v>
      </c>
      <c r="H65" s="1548" t="e">
        <f t="shared" si="7"/>
        <v>#N/A</v>
      </c>
      <c r="I65" s="1487"/>
      <c r="J65" s="1407"/>
      <c r="K65" s="1488"/>
      <c r="L65" s="1488"/>
      <c r="M65" s="1488"/>
      <c r="N65" s="1488"/>
      <c r="O65" s="1488"/>
      <c r="P65" s="1488"/>
      <c r="Q65" s="1488"/>
      <c r="R65" s="1488"/>
      <c r="S65" s="1488"/>
      <c r="T65" s="1488"/>
      <c r="U65" s="1488"/>
      <c r="V65" s="1407"/>
      <c r="W65" s="1407"/>
      <c r="X65" s="1407"/>
      <c r="Y65" s="1407"/>
      <c r="Z65" s="1407"/>
      <c r="AA65" s="1407"/>
      <c r="AB65" s="1407"/>
      <c r="AC65" s="1407"/>
      <c r="AD65" s="1407"/>
      <c r="AE65" s="1407"/>
      <c r="AF65" s="1407"/>
      <c r="AG65" s="1407"/>
      <c r="AH65" s="1407"/>
      <c r="AI65" s="1407"/>
      <c r="AJ65" s="1407"/>
      <c r="AK65" s="1407"/>
    </row>
    <row r="66" spans="2:37" s="1407" customFormat="1" ht="15.75" x14ac:dyDescent="0.25">
      <c r="B66" s="1564"/>
      <c r="C66" s="1565"/>
      <c r="D66" s="1565"/>
      <c r="E66" s="1566"/>
      <c r="F66" s="1566"/>
      <c r="G66" s="1566"/>
      <c r="H66" s="1566"/>
      <c r="I66" s="1487"/>
      <c r="K66" s="1488"/>
      <c r="L66" s="1488"/>
      <c r="M66" s="1488"/>
      <c r="N66" s="1488"/>
      <c r="O66" s="1488"/>
      <c r="P66" s="1488"/>
      <c r="Q66" s="1488"/>
      <c r="R66" s="1488"/>
      <c r="S66" s="1488"/>
      <c r="T66" s="1488"/>
      <c r="U66" s="1488"/>
    </row>
    <row r="67" spans="2:37" ht="16.5" x14ac:dyDescent="0.25">
      <c r="B67" s="2570" t="str">
        <f>IF($F$6=Lists!$C$4, "Net "&amp;F7&amp;"-related Earnings (Thousands of 2010$)",B98)</f>
        <v>Gross &lt;Please select&gt;-related Earnings (Thousands of 2010$)</v>
      </c>
      <c r="C67" s="1689"/>
      <c r="D67" s="1733" t="str">
        <f>B67</f>
        <v>Gross &lt;Please select&gt;-related Earnings (Thousands of 2010$)</v>
      </c>
      <c r="E67" s="1735"/>
      <c r="F67" s="1735"/>
      <c r="G67" s="1735"/>
      <c r="H67" s="1735"/>
      <c r="I67" s="1487"/>
      <c r="J67" s="1407"/>
      <c r="K67" s="1407"/>
      <c r="L67" s="1407"/>
      <c r="M67" s="1407"/>
      <c r="N67" s="1407"/>
      <c r="O67" s="1407"/>
      <c r="P67" s="1407"/>
      <c r="Q67" s="1407"/>
      <c r="R67" s="1407"/>
      <c r="S67" s="1407"/>
      <c r="T67" s="1407"/>
      <c r="U67" s="1407"/>
      <c r="V67" s="1407"/>
      <c r="W67" s="1407"/>
      <c r="X67" s="1407"/>
      <c r="Y67" s="1407"/>
      <c r="Z67" s="1407"/>
      <c r="AA67" s="1407"/>
      <c r="AB67" s="1407"/>
      <c r="AC67" s="1407"/>
      <c r="AD67" s="1407"/>
      <c r="AE67" s="1407"/>
      <c r="AF67" s="1407"/>
      <c r="AG67" s="1407"/>
      <c r="AH67" s="1407"/>
      <c r="AI67" s="1407"/>
      <c r="AJ67" s="1407"/>
      <c r="AK67" s="1407"/>
    </row>
    <row r="68" spans="2:37" ht="32.25" customHeight="1" x14ac:dyDescent="0.25">
      <c r="B68" s="2571"/>
      <c r="C68" s="1585" t="str">
        <f t="shared" ref="C68:C74" si="8">C59</f>
        <v>Year</v>
      </c>
      <c r="D68" s="1528" t="str">
        <f>D$180&amp;" "&amp;D$181</f>
        <v>Gross &lt;Please select&gt;-related Direct</v>
      </c>
      <c r="E68" s="1528" t="str">
        <f>E$180&amp;" "&amp;E$181</f>
        <v>Gross &lt;Please select&gt;-related Indirect</v>
      </c>
      <c r="F68" s="1528" t="str">
        <f>F$180&amp;" "&amp;F$181</f>
        <v>Gross &lt;Please select&gt;-related Induced</v>
      </c>
      <c r="G68" s="1529" t="str">
        <f>G$180&amp;" "&amp;G$181</f>
        <v>Gross &lt;Please select&gt;-related Supply Chain</v>
      </c>
      <c r="H68" s="1529" t="str">
        <f>H$180&amp;" "&amp;H$181</f>
        <v>Gross &lt;Please select&gt;-related Total</v>
      </c>
      <c r="I68" s="1487"/>
      <c r="J68" s="1407"/>
      <c r="K68" s="1407"/>
      <c r="L68" s="1407"/>
      <c r="M68" s="1407"/>
      <c r="N68" s="1407"/>
      <c r="O68" s="1407"/>
      <c r="P68" s="1407"/>
      <c r="Q68" s="1407"/>
      <c r="R68" s="1407"/>
      <c r="S68" s="1407"/>
      <c r="T68" s="1407"/>
      <c r="U68" s="1407"/>
      <c r="V68" s="1407"/>
      <c r="W68" s="1407"/>
      <c r="X68" s="1407"/>
      <c r="Y68" s="1407"/>
      <c r="Z68" s="1407"/>
      <c r="AA68" s="1407"/>
      <c r="AB68" s="1407"/>
      <c r="AC68" s="1407"/>
      <c r="AD68" s="1407"/>
      <c r="AE68" s="1407"/>
      <c r="AF68" s="1407"/>
      <c r="AG68" s="1407"/>
      <c r="AH68" s="1407"/>
      <c r="AI68" s="1407"/>
      <c r="AJ68" s="1407"/>
      <c r="AK68" s="1407"/>
    </row>
    <row r="69" spans="2:37" ht="15.75" customHeight="1" x14ac:dyDescent="0.25">
      <c r="B69" s="2571"/>
      <c r="C69" s="1546">
        <f t="shared" si="8"/>
        <v>2015</v>
      </c>
      <c r="D69" s="1591" t="e">
        <f t="shared" ref="D69:F74" si="9">D101+D132+D162</f>
        <v>#N/A</v>
      </c>
      <c r="E69" s="1591" t="e">
        <f t="shared" si="9"/>
        <v>#N/A</v>
      </c>
      <c r="F69" s="1591" t="e">
        <f t="shared" si="9"/>
        <v>#N/A</v>
      </c>
      <c r="G69" s="1591" t="e">
        <f t="shared" ref="G69:G74" si="10">D69+E69</f>
        <v>#N/A</v>
      </c>
      <c r="H69" s="1592" t="e">
        <f t="shared" ref="H69:H74" si="11">D69+E69+F69</f>
        <v>#N/A</v>
      </c>
      <c r="I69" s="1487"/>
      <c r="J69" s="1407"/>
      <c r="K69" s="1407"/>
      <c r="L69" s="1407"/>
      <c r="M69" s="1407"/>
      <c r="N69" s="1407"/>
      <c r="O69" s="1407"/>
      <c r="P69" s="1407"/>
      <c r="Q69" s="1407"/>
      <c r="R69" s="1407"/>
      <c r="S69" s="1407"/>
      <c r="T69" s="1407"/>
      <c r="U69" s="1407"/>
      <c r="V69" s="1407"/>
      <c r="W69" s="1407"/>
      <c r="X69" s="1407"/>
      <c r="Y69" s="1407"/>
      <c r="Z69" s="1407"/>
      <c r="AA69" s="1407"/>
      <c r="AB69" s="1407"/>
      <c r="AC69" s="1407"/>
      <c r="AD69" s="1407"/>
      <c r="AE69" s="1407"/>
      <c r="AF69" s="1407"/>
      <c r="AG69" s="1407"/>
      <c r="AH69" s="1407"/>
      <c r="AI69" s="1407"/>
      <c r="AJ69" s="1407"/>
      <c r="AK69" s="1407"/>
    </row>
    <row r="70" spans="2:37" ht="15.75" customHeight="1" x14ac:dyDescent="0.25">
      <c r="B70" s="2571"/>
      <c r="C70" s="1546">
        <f t="shared" si="8"/>
        <v>2016</v>
      </c>
      <c r="D70" s="1591" t="e">
        <f t="shared" si="9"/>
        <v>#N/A</v>
      </c>
      <c r="E70" s="1591" t="e">
        <f t="shared" si="9"/>
        <v>#N/A</v>
      </c>
      <c r="F70" s="1591" t="e">
        <f t="shared" si="9"/>
        <v>#N/A</v>
      </c>
      <c r="G70" s="1591" t="e">
        <f t="shared" si="10"/>
        <v>#N/A</v>
      </c>
      <c r="H70" s="1592" t="e">
        <f t="shared" si="11"/>
        <v>#N/A</v>
      </c>
      <c r="I70" s="1487"/>
      <c r="J70" s="1407"/>
      <c r="K70" s="1407"/>
      <c r="L70" s="1407"/>
      <c r="M70" s="1407"/>
      <c r="N70" s="1407"/>
      <c r="O70" s="1407"/>
      <c r="P70" s="1407"/>
      <c r="Q70" s="1407"/>
      <c r="R70" s="1407"/>
      <c r="S70" s="1407"/>
      <c r="T70" s="1407"/>
      <c r="U70" s="1407"/>
      <c r="V70" s="1407"/>
      <c r="W70" s="1407"/>
      <c r="X70" s="1407"/>
      <c r="Y70" s="1407"/>
      <c r="Z70" s="1407"/>
      <c r="AA70" s="1407"/>
      <c r="AB70" s="1407"/>
      <c r="AC70" s="1407"/>
      <c r="AD70" s="1407"/>
      <c r="AE70" s="1407"/>
      <c r="AF70" s="1407"/>
      <c r="AG70" s="1407"/>
      <c r="AH70" s="1407"/>
      <c r="AI70" s="1407"/>
      <c r="AJ70" s="1407"/>
      <c r="AK70" s="1407"/>
    </row>
    <row r="71" spans="2:37" ht="15.75" customHeight="1" x14ac:dyDescent="0.25">
      <c r="B71" s="2571"/>
      <c r="C71" s="1546">
        <f t="shared" si="8"/>
        <v>2017</v>
      </c>
      <c r="D71" s="1591" t="e">
        <f t="shared" si="9"/>
        <v>#N/A</v>
      </c>
      <c r="E71" s="1591" t="e">
        <f t="shared" si="9"/>
        <v>#N/A</v>
      </c>
      <c r="F71" s="1591" t="e">
        <f t="shared" si="9"/>
        <v>#N/A</v>
      </c>
      <c r="G71" s="1591" t="e">
        <f t="shared" si="10"/>
        <v>#N/A</v>
      </c>
      <c r="H71" s="1592" t="e">
        <f t="shared" si="11"/>
        <v>#N/A</v>
      </c>
      <c r="I71" s="1487"/>
      <c r="J71" s="1407"/>
      <c r="K71" s="1407"/>
      <c r="L71" s="1407"/>
      <c r="M71" s="1407"/>
      <c r="N71" s="1407"/>
      <c r="O71" s="1407"/>
      <c r="P71" s="1407"/>
      <c r="Q71" s="1407"/>
      <c r="R71" s="1407"/>
      <c r="S71" s="1407"/>
      <c r="T71" s="1407"/>
      <c r="U71" s="1407"/>
      <c r="V71" s="1407"/>
      <c r="W71" s="1407"/>
      <c r="X71" s="1407"/>
      <c r="Y71" s="1407"/>
      <c r="Z71" s="1407"/>
      <c r="AA71" s="1407"/>
      <c r="AB71" s="1407"/>
      <c r="AC71" s="1407"/>
      <c r="AD71" s="1407"/>
      <c r="AE71" s="1407"/>
      <c r="AF71" s="1407"/>
      <c r="AG71" s="1407"/>
      <c r="AH71" s="1407"/>
      <c r="AI71" s="1407"/>
      <c r="AJ71" s="1407"/>
      <c r="AK71" s="1407"/>
    </row>
    <row r="72" spans="2:37" ht="15.75" customHeight="1" x14ac:dyDescent="0.25">
      <c r="B72" s="2571"/>
      <c r="C72" s="1546">
        <f t="shared" si="8"/>
        <v>2018</v>
      </c>
      <c r="D72" s="1591" t="e">
        <f t="shared" si="9"/>
        <v>#N/A</v>
      </c>
      <c r="E72" s="1591" t="e">
        <f t="shared" si="9"/>
        <v>#N/A</v>
      </c>
      <c r="F72" s="1591" t="e">
        <f t="shared" si="9"/>
        <v>#N/A</v>
      </c>
      <c r="G72" s="1591" t="e">
        <f t="shared" si="10"/>
        <v>#N/A</v>
      </c>
      <c r="H72" s="1592" t="e">
        <f t="shared" si="11"/>
        <v>#N/A</v>
      </c>
      <c r="I72" s="1487"/>
      <c r="J72" s="1407"/>
      <c r="K72" s="1407"/>
      <c r="L72" s="1407"/>
      <c r="M72" s="1407"/>
      <c r="N72" s="1407"/>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1407"/>
    </row>
    <row r="73" spans="2:37" ht="15.75" customHeight="1" x14ac:dyDescent="0.25">
      <c r="B73" s="2571"/>
      <c r="C73" s="1546">
        <f t="shared" si="8"/>
        <v>2019</v>
      </c>
      <c r="D73" s="1591" t="e">
        <f t="shared" si="9"/>
        <v>#N/A</v>
      </c>
      <c r="E73" s="1591" t="e">
        <f t="shared" si="9"/>
        <v>#N/A</v>
      </c>
      <c r="F73" s="1591" t="e">
        <f t="shared" si="9"/>
        <v>#N/A</v>
      </c>
      <c r="G73" s="1591" t="e">
        <f t="shared" si="10"/>
        <v>#N/A</v>
      </c>
      <c r="H73" s="1592" t="e">
        <f t="shared" si="11"/>
        <v>#N/A</v>
      </c>
      <c r="I73" s="1487"/>
      <c r="J73" s="1407"/>
      <c r="K73" s="1407"/>
      <c r="L73" s="1407"/>
      <c r="M73" s="1407"/>
      <c r="N73" s="1407"/>
      <c r="O73" s="1407"/>
      <c r="P73" s="1407"/>
      <c r="Q73" s="1407"/>
      <c r="R73" s="1407"/>
      <c r="S73" s="1407"/>
      <c r="T73" s="1407"/>
      <c r="U73" s="1407"/>
      <c r="V73" s="1407"/>
      <c r="W73" s="1407"/>
      <c r="X73" s="1407"/>
      <c r="Y73" s="1407"/>
      <c r="Z73" s="1407"/>
      <c r="AA73" s="1407"/>
      <c r="AB73" s="1407"/>
      <c r="AC73" s="1407"/>
      <c r="AD73" s="1407"/>
      <c r="AE73" s="1407"/>
      <c r="AF73" s="1407"/>
      <c r="AG73" s="1407"/>
      <c r="AH73" s="1407"/>
      <c r="AI73" s="1407"/>
      <c r="AJ73" s="1407"/>
      <c r="AK73" s="1407"/>
    </row>
    <row r="74" spans="2:37" ht="15.75" customHeight="1" x14ac:dyDescent="0.25">
      <c r="B74" s="2572"/>
      <c r="C74" s="1546">
        <f t="shared" si="8"/>
        <v>2020</v>
      </c>
      <c r="D74" s="1591" t="e">
        <f t="shared" si="9"/>
        <v>#N/A</v>
      </c>
      <c r="E74" s="1591" t="e">
        <f t="shared" si="9"/>
        <v>#N/A</v>
      </c>
      <c r="F74" s="1591" t="e">
        <f t="shared" si="9"/>
        <v>#N/A</v>
      </c>
      <c r="G74" s="1591" t="e">
        <f t="shared" si="10"/>
        <v>#N/A</v>
      </c>
      <c r="H74" s="1592" t="e">
        <f t="shared" si="11"/>
        <v>#N/A</v>
      </c>
      <c r="I74" s="1487"/>
      <c r="J74" s="1407"/>
      <c r="K74" s="1407"/>
      <c r="L74" s="1407"/>
      <c r="M74" s="1407"/>
      <c r="N74" s="1407"/>
      <c r="O74" s="1407"/>
      <c r="P74" s="1407"/>
      <c r="Q74" s="1407"/>
      <c r="R74" s="1407"/>
      <c r="S74" s="1407"/>
      <c r="T74" s="1407"/>
      <c r="U74" s="1407"/>
      <c r="V74" s="1407"/>
      <c r="W74" s="1407"/>
      <c r="X74" s="1407"/>
      <c r="Y74" s="1407"/>
      <c r="Z74" s="1407"/>
      <c r="AA74" s="1407"/>
      <c r="AB74" s="1407"/>
      <c r="AC74" s="1407"/>
      <c r="AD74" s="1407"/>
      <c r="AE74" s="1407"/>
      <c r="AF74" s="1407"/>
      <c r="AG74" s="1407"/>
      <c r="AH74" s="1407"/>
      <c r="AI74" s="1407"/>
      <c r="AJ74" s="1407"/>
      <c r="AK74" s="1407"/>
    </row>
    <row r="75" spans="2:37" s="1407" customFormat="1" ht="15.75" x14ac:dyDescent="0.25">
      <c r="B75" s="1564"/>
      <c r="C75" s="1565"/>
      <c r="D75" s="1565"/>
      <c r="E75" s="1566"/>
      <c r="F75" s="1566"/>
      <c r="G75" s="1566"/>
      <c r="H75" s="1566"/>
      <c r="I75" s="1487"/>
    </row>
    <row r="76" spans="2:37" ht="16.5" x14ac:dyDescent="0.25">
      <c r="B76" s="2570" t="str">
        <f>IF($F$6=Lists!$C$4, "Net "&amp;F7&amp;"-related Output (Thousands of 2010$)", B108)</f>
        <v>Gross &lt;Please select&gt;-related Output (Thousands of 2010$)</v>
      </c>
      <c r="C76" s="1689"/>
      <c r="D76" s="1733" t="str">
        <f>B76</f>
        <v>Gross &lt;Please select&gt;-related Output (Thousands of 2010$)</v>
      </c>
      <c r="E76" s="1735"/>
      <c r="F76" s="1735"/>
      <c r="G76" s="1735"/>
      <c r="H76" s="1735"/>
      <c r="I76" s="1487"/>
      <c r="J76" s="1407"/>
      <c r="K76" s="1407"/>
      <c r="L76" s="1407"/>
      <c r="M76" s="1407"/>
      <c r="N76" s="1407"/>
      <c r="O76" s="1407"/>
      <c r="P76" s="1407"/>
      <c r="Q76" s="1407"/>
      <c r="R76" s="1407"/>
      <c r="S76" s="1407"/>
      <c r="T76" s="1407"/>
      <c r="U76" s="1407"/>
      <c r="V76" s="1407"/>
      <c r="W76" s="1407"/>
      <c r="X76" s="1407"/>
      <c r="Y76" s="1407"/>
      <c r="Z76" s="1407"/>
      <c r="AA76" s="1407"/>
      <c r="AB76" s="1407"/>
      <c r="AC76" s="1407"/>
      <c r="AD76" s="1407"/>
      <c r="AE76" s="1407"/>
      <c r="AF76" s="1407"/>
      <c r="AG76" s="1407"/>
      <c r="AH76" s="1407"/>
      <c r="AI76" s="1407"/>
      <c r="AJ76" s="1407"/>
      <c r="AK76" s="1407"/>
    </row>
    <row r="77" spans="2:37" ht="31.5" customHeight="1" x14ac:dyDescent="0.25">
      <c r="B77" s="2571"/>
      <c r="C77" s="1585" t="str">
        <f t="shared" ref="C77:C83" si="12">C68</f>
        <v>Year</v>
      </c>
      <c r="D77" s="1528" t="str">
        <f>D$180&amp;" "&amp;D$181</f>
        <v>Gross &lt;Please select&gt;-related Direct</v>
      </c>
      <c r="E77" s="1528" t="str">
        <f>E$180&amp;" "&amp;E$181</f>
        <v>Gross &lt;Please select&gt;-related Indirect</v>
      </c>
      <c r="F77" s="1528" t="str">
        <f>F$180&amp;" "&amp;F$181</f>
        <v>Gross &lt;Please select&gt;-related Induced</v>
      </c>
      <c r="G77" s="1529" t="str">
        <f>G$180&amp;" "&amp;G$181</f>
        <v>Gross &lt;Please select&gt;-related Supply Chain</v>
      </c>
      <c r="H77" s="1529" t="str">
        <f>H$180&amp;" "&amp;H$181</f>
        <v>Gross &lt;Please select&gt;-related Total</v>
      </c>
      <c r="I77" s="1487"/>
      <c r="J77" s="1407"/>
      <c r="K77" s="1407"/>
      <c r="L77" s="1407"/>
      <c r="M77" s="1407"/>
      <c r="N77" s="1407"/>
      <c r="O77" s="1407"/>
      <c r="P77" s="1407"/>
      <c r="Q77" s="1407"/>
      <c r="R77" s="1407"/>
      <c r="S77" s="1407"/>
      <c r="T77" s="1407"/>
      <c r="U77" s="1407"/>
      <c r="V77" s="1407"/>
      <c r="W77" s="1407"/>
      <c r="X77" s="1407"/>
      <c r="Y77" s="1407"/>
      <c r="Z77" s="1407"/>
      <c r="AA77" s="1407"/>
      <c r="AB77" s="1407"/>
      <c r="AC77" s="1407"/>
      <c r="AD77" s="1407"/>
      <c r="AE77" s="1407"/>
      <c r="AF77" s="1407"/>
      <c r="AG77" s="1407"/>
      <c r="AH77" s="1407"/>
      <c r="AI77" s="1407"/>
      <c r="AJ77" s="1407"/>
      <c r="AK77" s="1407"/>
    </row>
    <row r="78" spans="2:37" ht="15.75" customHeight="1" x14ac:dyDescent="0.25">
      <c r="B78" s="2571"/>
      <c r="C78" s="1546">
        <f t="shared" si="12"/>
        <v>2015</v>
      </c>
      <c r="D78" s="1591" t="e">
        <f t="shared" ref="D78:F83" si="13">D111+D141+D171</f>
        <v>#DIV/0!</v>
      </c>
      <c r="E78" s="1591" t="e">
        <f t="shared" si="13"/>
        <v>#N/A</v>
      </c>
      <c r="F78" s="1591" t="e">
        <f t="shared" si="13"/>
        <v>#N/A</v>
      </c>
      <c r="G78" s="1591" t="e">
        <f t="shared" ref="G78:G83" si="14">D78+E78</f>
        <v>#DIV/0!</v>
      </c>
      <c r="H78" s="1592" t="e">
        <f t="shared" ref="H78:H83" si="15">D78+E78+F78</f>
        <v>#DIV/0!</v>
      </c>
      <c r="I78" s="1487"/>
      <c r="J78" s="1407"/>
      <c r="K78" s="1407"/>
      <c r="L78" s="1407"/>
      <c r="M78" s="1407"/>
      <c r="N78" s="1407"/>
      <c r="O78" s="1407"/>
      <c r="P78" s="1407"/>
      <c r="Q78" s="1407"/>
      <c r="R78" s="1407"/>
      <c r="S78" s="1407"/>
      <c r="T78" s="1407"/>
      <c r="U78" s="1407"/>
      <c r="V78" s="1407"/>
      <c r="W78" s="1407"/>
      <c r="X78" s="1407"/>
      <c r="Y78" s="1407"/>
      <c r="Z78" s="1407"/>
      <c r="AA78" s="1407"/>
      <c r="AB78" s="1407"/>
      <c r="AC78" s="1407"/>
      <c r="AD78" s="1407"/>
      <c r="AE78" s="1407"/>
      <c r="AF78" s="1407"/>
      <c r="AG78" s="1407"/>
      <c r="AH78" s="1407"/>
      <c r="AI78" s="1407"/>
      <c r="AJ78" s="1407"/>
      <c r="AK78" s="1407"/>
    </row>
    <row r="79" spans="2:37" ht="15.75" customHeight="1" x14ac:dyDescent="0.25">
      <c r="B79" s="2571"/>
      <c r="C79" s="1546">
        <f t="shared" si="12"/>
        <v>2016</v>
      </c>
      <c r="D79" s="1591" t="e">
        <f t="shared" si="13"/>
        <v>#DIV/0!</v>
      </c>
      <c r="E79" s="1591" t="e">
        <f t="shared" si="13"/>
        <v>#N/A</v>
      </c>
      <c r="F79" s="1591" t="e">
        <f t="shared" si="13"/>
        <v>#N/A</v>
      </c>
      <c r="G79" s="1591" t="e">
        <f t="shared" si="14"/>
        <v>#DIV/0!</v>
      </c>
      <c r="H79" s="1592" t="e">
        <f t="shared" si="15"/>
        <v>#DIV/0!</v>
      </c>
      <c r="I79" s="1487"/>
      <c r="J79" s="1407"/>
      <c r="K79" s="1407"/>
      <c r="L79" s="1407"/>
      <c r="M79" s="1407"/>
      <c r="N79" s="1407"/>
      <c r="O79" s="1407"/>
      <c r="P79" s="1407"/>
      <c r="Q79" s="1407"/>
      <c r="R79" s="1407"/>
      <c r="S79" s="1407"/>
      <c r="T79" s="1407"/>
      <c r="U79" s="1407"/>
      <c r="V79" s="1407"/>
      <c r="W79" s="1407"/>
      <c r="X79" s="1407"/>
      <c r="Y79" s="1407"/>
      <c r="Z79" s="1407"/>
      <c r="AA79" s="1407"/>
      <c r="AB79" s="1407"/>
      <c r="AC79" s="1407"/>
      <c r="AD79" s="1407"/>
      <c r="AE79" s="1407"/>
      <c r="AF79" s="1407"/>
      <c r="AG79" s="1407"/>
      <c r="AH79" s="1407"/>
      <c r="AI79" s="1407"/>
      <c r="AJ79" s="1407"/>
      <c r="AK79" s="1407"/>
    </row>
    <row r="80" spans="2:37" ht="15.75" customHeight="1" x14ac:dyDescent="0.25">
      <c r="B80" s="2571"/>
      <c r="C80" s="1546">
        <f t="shared" si="12"/>
        <v>2017</v>
      </c>
      <c r="D80" s="1591" t="e">
        <f t="shared" si="13"/>
        <v>#DIV/0!</v>
      </c>
      <c r="E80" s="1591" t="e">
        <f t="shared" si="13"/>
        <v>#N/A</v>
      </c>
      <c r="F80" s="1591" t="e">
        <f t="shared" si="13"/>
        <v>#N/A</v>
      </c>
      <c r="G80" s="1591" t="e">
        <f t="shared" si="14"/>
        <v>#DIV/0!</v>
      </c>
      <c r="H80" s="1592" t="e">
        <f t="shared" si="15"/>
        <v>#DIV/0!</v>
      </c>
      <c r="I80" s="1487"/>
      <c r="J80" s="1407"/>
      <c r="K80" s="1407"/>
      <c r="L80" s="1407"/>
      <c r="M80" s="1407"/>
      <c r="N80" s="1407"/>
      <c r="O80" s="1407"/>
      <c r="P80" s="1407"/>
      <c r="Q80" s="1407"/>
      <c r="R80" s="1407"/>
      <c r="S80" s="1407"/>
      <c r="T80" s="1407"/>
      <c r="U80" s="1407"/>
      <c r="V80" s="1407"/>
      <c r="W80" s="1407"/>
      <c r="X80" s="1407"/>
      <c r="Y80" s="1407"/>
      <c r="Z80" s="1407"/>
      <c r="AA80" s="1407"/>
      <c r="AB80" s="1407"/>
      <c r="AC80" s="1407"/>
      <c r="AD80" s="1407"/>
      <c r="AE80" s="1407"/>
      <c r="AF80" s="1407"/>
      <c r="AG80" s="1407"/>
      <c r="AH80" s="1407"/>
      <c r="AI80" s="1407"/>
      <c r="AJ80" s="1407"/>
      <c r="AK80" s="1407"/>
    </row>
    <row r="81" spans="1:53" ht="15.75" customHeight="1" x14ac:dyDescent="0.25">
      <c r="B81" s="2571"/>
      <c r="C81" s="1546">
        <f t="shared" si="12"/>
        <v>2018</v>
      </c>
      <c r="D81" s="1591" t="e">
        <f t="shared" si="13"/>
        <v>#DIV/0!</v>
      </c>
      <c r="E81" s="1591" t="e">
        <f t="shared" si="13"/>
        <v>#N/A</v>
      </c>
      <c r="F81" s="1591" t="e">
        <f t="shared" si="13"/>
        <v>#N/A</v>
      </c>
      <c r="G81" s="1591" t="e">
        <f t="shared" si="14"/>
        <v>#DIV/0!</v>
      </c>
      <c r="H81" s="1592" t="e">
        <f t="shared" si="15"/>
        <v>#DIV/0!</v>
      </c>
      <c r="I81" s="1487"/>
      <c r="J81" s="1407"/>
      <c r="K81" s="1407"/>
      <c r="L81" s="1407"/>
      <c r="M81" s="1407"/>
      <c r="N81" s="1407"/>
      <c r="O81" s="1407"/>
      <c r="P81" s="1407"/>
      <c r="Q81" s="1407"/>
      <c r="R81" s="1407"/>
      <c r="S81" s="1407"/>
      <c r="T81" s="1407"/>
      <c r="U81" s="1407"/>
      <c r="V81" s="1407"/>
      <c r="W81" s="1407"/>
      <c r="X81" s="1407"/>
      <c r="Y81" s="1407"/>
      <c r="Z81" s="1407"/>
      <c r="AA81" s="1407"/>
      <c r="AB81" s="1407"/>
      <c r="AC81" s="1407"/>
      <c r="AD81" s="1407"/>
      <c r="AE81" s="1407"/>
      <c r="AF81" s="1407"/>
      <c r="AG81" s="1407"/>
      <c r="AH81" s="1407"/>
      <c r="AI81" s="1407"/>
      <c r="AJ81" s="1407"/>
      <c r="AK81" s="1407"/>
    </row>
    <row r="82" spans="1:53" ht="15.75" customHeight="1" x14ac:dyDescent="0.25">
      <c r="B82" s="2571"/>
      <c r="C82" s="1546">
        <f t="shared" si="12"/>
        <v>2019</v>
      </c>
      <c r="D82" s="1591" t="e">
        <f t="shared" si="13"/>
        <v>#DIV/0!</v>
      </c>
      <c r="E82" s="1591" t="e">
        <f t="shared" si="13"/>
        <v>#N/A</v>
      </c>
      <c r="F82" s="1591" t="e">
        <f t="shared" si="13"/>
        <v>#N/A</v>
      </c>
      <c r="G82" s="1591" t="e">
        <f t="shared" si="14"/>
        <v>#DIV/0!</v>
      </c>
      <c r="H82" s="1592" t="e">
        <f t="shared" si="15"/>
        <v>#DIV/0!</v>
      </c>
      <c r="I82" s="1487"/>
      <c r="J82" s="1407"/>
      <c r="K82" s="1488"/>
      <c r="L82" s="1488"/>
      <c r="M82" s="1488"/>
      <c r="N82" s="1488"/>
      <c r="O82" s="1488"/>
      <c r="P82" s="1488"/>
      <c r="Q82" s="1488"/>
      <c r="R82" s="1488"/>
      <c r="S82" s="1488"/>
      <c r="T82" s="1488"/>
      <c r="U82" s="1488"/>
      <c r="V82" s="1407"/>
      <c r="W82" s="1407"/>
      <c r="X82" s="1407"/>
      <c r="Y82" s="1407"/>
      <c r="Z82" s="1407"/>
      <c r="AA82" s="1407"/>
      <c r="AB82" s="1407"/>
      <c r="AC82" s="1407"/>
      <c r="AD82" s="1407"/>
      <c r="AE82" s="1407"/>
      <c r="AF82" s="1407"/>
      <c r="AG82" s="1407"/>
      <c r="AH82" s="1407"/>
      <c r="AI82" s="1407"/>
      <c r="AJ82" s="1407"/>
      <c r="AK82" s="1407"/>
    </row>
    <row r="83" spans="1:53" ht="15.75" customHeight="1" x14ac:dyDescent="0.25">
      <c r="B83" s="2572"/>
      <c r="C83" s="1546">
        <f t="shared" si="12"/>
        <v>2020</v>
      </c>
      <c r="D83" s="1591" t="e">
        <f t="shared" si="13"/>
        <v>#DIV/0!</v>
      </c>
      <c r="E83" s="1591" t="e">
        <f t="shared" si="13"/>
        <v>#N/A</v>
      </c>
      <c r="F83" s="1591" t="e">
        <f t="shared" si="13"/>
        <v>#N/A</v>
      </c>
      <c r="G83" s="1591" t="e">
        <f t="shared" si="14"/>
        <v>#DIV/0!</v>
      </c>
      <c r="H83" s="1592" t="e">
        <f t="shared" si="15"/>
        <v>#DIV/0!</v>
      </c>
      <c r="I83" s="1487"/>
      <c r="J83" s="1407"/>
      <c r="K83" s="1488"/>
      <c r="L83" s="1488"/>
      <c r="M83" s="1488"/>
      <c r="N83" s="1488"/>
      <c r="O83" s="1488"/>
      <c r="P83" s="1488"/>
      <c r="Q83" s="1488"/>
      <c r="R83" s="1488"/>
      <c r="S83" s="1488"/>
      <c r="T83" s="1488"/>
      <c r="U83" s="1488"/>
      <c r="V83" s="1407"/>
      <c r="W83" s="1407"/>
      <c r="X83" s="1407"/>
      <c r="Y83" s="1407"/>
      <c r="Z83" s="1407"/>
      <c r="AA83" s="1407"/>
      <c r="AB83" s="1407"/>
      <c r="AC83" s="1407"/>
      <c r="AD83" s="1407"/>
      <c r="AE83" s="1407"/>
      <c r="AF83" s="1407"/>
      <c r="AG83" s="1407"/>
      <c r="AH83" s="1407"/>
      <c r="AI83" s="1407"/>
      <c r="AJ83" s="1407"/>
      <c r="AK83" s="1407"/>
    </row>
    <row r="84" spans="1:53" s="1407" customFormat="1" x14ac:dyDescent="0.25">
      <c r="E84" s="1487"/>
      <c r="F84" s="1487"/>
      <c r="G84" s="1487"/>
      <c r="H84" s="1487"/>
      <c r="I84" s="1487"/>
      <c r="K84" s="1488"/>
      <c r="L84" s="1488"/>
      <c r="M84" s="1488"/>
      <c r="N84" s="1488"/>
      <c r="O84" s="1488"/>
      <c r="P84" s="1488"/>
      <c r="Q84" s="1488"/>
      <c r="R84" s="1488"/>
      <c r="S84" s="1488"/>
      <c r="T84" s="1488"/>
      <c r="U84" s="1488"/>
    </row>
    <row r="85" spans="1:53" s="1407" customFormat="1" x14ac:dyDescent="0.25">
      <c r="E85" s="1487"/>
      <c r="F85" s="1487"/>
      <c r="G85" s="1487"/>
      <c r="H85" s="1487"/>
      <c r="I85" s="1487"/>
      <c r="K85" s="1488"/>
      <c r="L85" s="1488"/>
      <c r="M85" s="1488"/>
      <c r="N85" s="1488"/>
      <c r="O85" s="1488"/>
      <c r="P85" s="1488"/>
      <c r="Q85" s="1488"/>
      <c r="R85" s="1488"/>
      <c r="S85" s="1488"/>
      <c r="T85" s="1488"/>
      <c r="U85" s="1488"/>
    </row>
    <row r="86" spans="1:53" s="1500" customFormat="1" ht="21" x14ac:dyDescent="0.35">
      <c r="A86" s="1407"/>
      <c r="B86" s="1499" t="s">
        <v>1863</v>
      </c>
      <c r="E86" s="1501"/>
      <c r="F86" s="1501"/>
      <c r="G86" s="1501"/>
      <c r="H86" s="1501"/>
      <c r="I86" s="1501"/>
      <c r="K86" s="1502"/>
      <c r="L86" s="1502"/>
      <c r="M86" s="1502"/>
      <c r="N86" s="1502"/>
      <c r="O86" s="1502"/>
      <c r="P86" s="1502"/>
      <c r="Q86" s="1502"/>
      <c r="R86" s="1502"/>
      <c r="S86" s="1502"/>
      <c r="T86" s="1502"/>
      <c r="U86" s="1502"/>
    </row>
    <row r="87" spans="1:53" s="1407" customFormat="1" x14ac:dyDescent="0.25">
      <c r="E87" s="1487"/>
      <c r="F87" s="1487"/>
      <c r="G87" s="1487"/>
      <c r="H87" s="1487"/>
      <c r="I87" s="1487"/>
      <c r="K87" s="1488"/>
      <c r="L87" s="1488"/>
      <c r="M87" s="1488"/>
      <c r="N87" s="1488"/>
      <c r="O87" s="1488"/>
      <c r="P87" s="1488"/>
      <c r="Q87" s="1488"/>
      <c r="R87" s="1488"/>
      <c r="S87" s="1488"/>
      <c r="T87" s="1488"/>
      <c r="U87" s="1488"/>
    </row>
    <row r="88" spans="1:53" s="1520" customFormat="1" ht="16.5" customHeight="1" x14ac:dyDescent="0.25">
      <c r="A88" s="1504"/>
      <c r="B88" s="2570" t="str">
        <f>"Gross "&amp;F7&amp;"-related Employment (Job-years)"</f>
        <v>Gross &lt;Please select&gt;-related Employment (Job-years)</v>
      </c>
      <c r="C88" s="1736"/>
      <c r="D88" s="1733" t="s">
        <v>1749</v>
      </c>
      <c r="E88" s="1737"/>
      <c r="F88" s="1737"/>
      <c r="G88" s="1737"/>
      <c r="H88" s="1737"/>
      <c r="I88" s="1504"/>
      <c r="J88" s="1736"/>
      <c r="K88" s="1738" t="s">
        <v>1917</v>
      </c>
      <c r="L88" s="1739"/>
      <c r="M88" s="1739"/>
      <c r="N88" s="1739"/>
      <c r="O88" s="1739"/>
      <c r="Q88" s="1736"/>
      <c r="R88" s="1740" t="s">
        <v>1764</v>
      </c>
      <c r="S88" s="1741"/>
      <c r="T88" s="1741"/>
      <c r="U88" s="1741"/>
      <c r="V88" s="1741"/>
      <c r="X88" s="1736"/>
      <c r="Y88" s="1742" t="s">
        <v>1765</v>
      </c>
      <c r="Z88" s="1743"/>
      <c r="AA88" s="1743"/>
      <c r="AB88" s="1743"/>
      <c r="AC88" s="1743"/>
      <c r="AE88" s="1736"/>
      <c r="AF88" s="1744" t="s">
        <v>1766</v>
      </c>
      <c r="AG88" s="1745"/>
      <c r="AH88" s="1745"/>
      <c r="AI88" s="1745"/>
      <c r="AJ88" s="1746"/>
    </row>
    <row r="89" spans="1:53" s="1674" customFormat="1" ht="16.5" x14ac:dyDescent="0.25">
      <c r="A89" s="1664"/>
      <c r="B89" s="2571"/>
      <c r="C89" s="1732"/>
      <c r="D89" s="1733" t="str">
        <f>B88</f>
        <v>Gross &lt;Please select&gt;-related Employment (Job-years)</v>
      </c>
      <c r="E89" s="1734"/>
      <c r="F89" s="1734"/>
      <c r="G89" s="1734"/>
      <c r="H89" s="1734"/>
      <c r="I89" s="1664"/>
      <c r="J89" s="1732"/>
      <c r="K89" s="1747" t="str">
        <f>D89</f>
        <v>Gross &lt;Please select&gt;-related Employment (Job-years)</v>
      </c>
      <c r="L89" s="1748"/>
      <c r="M89" s="1748"/>
      <c r="N89" s="1748"/>
      <c r="O89" s="1748"/>
      <c r="Q89" s="1732"/>
      <c r="R89" s="1749" t="str">
        <f>K89</f>
        <v>Gross &lt;Please select&gt;-related Employment (Job-years)</v>
      </c>
      <c r="S89" s="1750"/>
      <c r="T89" s="1750"/>
      <c r="U89" s="1750"/>
      <c r="V89" s="1750"/>
      <c r="X89" s="1732"/>
      <c r="Y89" s="1751" t="str">
        <f>R89</f>
        <v>Gross &lt;Please select&gt;-related Employment (Job-years)</v>
      </c>
      <c r="Z89" s="1752"/>
      <c r="AA89" s="1752"/>
      <c r="AB89" s="1752"/>
      <c r="AC89" s="1752"/>
      <c r="AE89" s="1732"/>
      <c r="AF89" s="1753" t="str">
        <f>Y89</f>
        <v>Gross &lt;Please select&gt;-related Employment (Job-years)</v>
      </c>
      <c r="AG89" s="1754"/>
      <c r="AH89" s="1754"/>
      <c r="AI89" s="1754"/>
      <c r="AJ89" s="1753"/>
      <c r="AX89" s="1675"/>
      <c r="AY89" s="1675"/>
      <c r="AZ89" s="1675"/>
    </row>
    <row r="90" spans="1:53" s="1543" customFormat="1" ht="63" x14ac:dyDescent="0.25">
      <c r="A90" s="1526"/>
      <c r="B90" s="2571"/>
      <c r="C90" s="1527" t="s">
        <v>433</v>
      </c>
      <c r="D90" s="1528" t="str">
        <f>D$183&amp;" "&amp;D$184</f>
        <v>Gross &lt;Please select&gt;-related Direct</v>
      </c>
      <c r="E90" s="1528" t="str">
        <f t="shared" ref="E90:H90" si="16">E$183&amp;" "&amp;E$184</f>
        <v>Gross &lt;Please select&gt;-related Indirect</v>
      </c>
      <c r="F90" s="1528" t="str">
        <f t="shared" si="16"/>
        <v>Gross &lt;Please select&gt;-related Induced</v>
      </c>
      <c r="G90" s="1755" t="str">
        <f t="shared" si="16"/>
        <v>Gross &lt;Please select&gt;-related Supply Chain</v>
      </c>
      <c r="H90" s="1755" t="str">
        <f t="shared" si="16"/>
        <v>Gross &lt;Please select&gt;-related Total</v>
      </c>
      <c r="I90" s="1530"/>
      <c r="J90" s="1527" t="str">
        <f t="shared" ref="J90:J96" si="17">C90</f>
        <v>Year</v>
      </c>
      <c r="K90" s="1756" t="str">
        <f>K$180&amp;" "&amp;K$181</f>
        <v>Gross &lt;Please select&gt; Unit Direct</v>
      </c>
      <c r="L90" s="1756" t="str">
        <f>L$180&amp;" "&amp;L$181</f>
        <v>Gross &lt;Please select&gt; Unit Indirect</v>
      </c>
      <c r="M90" s="1756" t="str">
        <f>M$180&amp;" "&amp;M$181</f>
        <v>Gross &lt;Please select&gt; Unit Induced</v>
      </c>
      <c r="N90" s="1757" t="str">
        <f>N$180&amp;" "&amp;N$181</f>
        <v>Gross &lt;Please select&gt; Unit Supply Chain</v>
      </c>
      <c r="O90" s="1757" t="str">
        <f>O$180&amp;" "&amp;O$181</f>
        <v>Gross &lt;Please select&gt; Unit Total</v>
      </c>
      <c r="P90" s="1533"/>
      <c r="Q90" s="1527" t="str">
        <f t="shared" ref="Q90:Q96" si="18">J90</f>
        <v>Year</v>
      </c>
      <c r="R90" s="1534" t="str">
        <f>R$180&amp;" "&amp;R$181</f>
        <v>Gross &lt;Please select&gt; Installation Direct</v>
      </c>
      <c r="S90" s="1534" t="str">
        <f>S$180&amp;" "&amp;S$181</f>
        <v>Gross &lt;Please select&gt; Installation Indirect</v>
      </c>
      <c r="T90" s="1534" t="str">
        <f>T$180&amp;" "&amp;T$181</f>
        <v>Gross &lt;Please select&gt; Installation Induced</v>
      </c>
      <c r="U90" s="1535" t="str">
        <f>U$180&amp;" "&amp;U$181</f>
        <v>Gross &lt;Please select&gt; Installation Supply Chain</v>
      </c>
      <c r="V90" s="1535" t="str">
        <f>V$180&amp;" "&amp;V$181</f>
        <v>Gross &lt;Please select&gt; Installation Total</v>
      </c>
      <c r="W90" s="1533"/>
      <c r="X90" s="1527" t="str">
        <f t="shared" ref="X90:X96" si="19">Q90</f>
        <v>Year</v>
      </c>
      <c r="Y90" s="1536" t="str">
        <f>Y$180&amp;" "&amp;Y$181</f>
        <v>Gross &lt;Please select&gt; Fuel Direct</v>
      </c>
      <c r="Z90" s="1536" t="str">
        <f>Z$180&amp;" "&amp;Z$181</f>
        <v>Gross &lt;Please select&gt; Fuel Indirect</v>
      </c>
      <c r="AA90" s="1536" t="str">
        <f>AA$180&amp;" "&amp;AA$181</f>
        <v>Gross &lt;Please select&gt; Fuel Induced</v>
      </c>
      <c r="AB90" s="1537" t="str">
        <f>AB$180&amp;" "&amp;AB$181</f>
        <v>Gross &lt;Please select&gt; Fuel Supply Chain</v>
      </c>
      <c r="AC90" s="1537" t="str">
        <f>AC$180&amp;" "&amp;AC$181</f>
        <v>Gross &lt;Please select&gt; Fuel Total</v>
      </c>
      <c r="AD90" s="1533"/>
      <c r="AE90" s="1527" t="str">
        <f t="shared" ref="AE90:AE96" si="20">X90</f>
        <v>Year</v>
      </c>
      <c r="AF90" s="1538" t="str">
        <f>AF$180&amp;" "&amp;AF$181</f>
        <v>Gross &lt;Please select&gt; Maintenance Direct</v>
      </c>
      <c r="AG90" s="1538" t="str">
        <f>AG$180&amp;" "&amp;AG$181</f>
        <v>Gross &lt;Please select&gt; Maintenance Indirect</v>
      </c>
      <c r="AH90" s="1538" t="str">
        <f>AH$180&amp;" "&amp;AH$181</f>
        <v>Gross &lt;Please select&gt; Maintenance Induced</v>
      </c>
      <c r="AI90" s="1539" t="str">
        <f>AI$180&amp;" "&amp;AI$181</f>
        <v>Gross &lt;Please select&gt; Maintenance Supply Chain</v>
      </c>
      <c r="AJ90" s="1539" t="str">
        <f>AJ$180&amp;" "&amp;AJ$181</f>
        <v>Gross &lt;Please select&gt; Maintenance Total</v>
      </c>
      <c r="AL90" s="1520"/>
      <c r="AM90" s="1520"/>
      <c r="AN90" s="1520"/>
      <c r="AO90" s="1520"/>
      <c r="AP90" s="1520"/>
      <c r="AQ90" s="1520"/>
      <c r="AR90" s="1520"/>
      <c r="AS90" s="1520"/>
      <c r="AT90" s="1520"/>
      <c r="AU90" s="1520"/>
      <c r="AV90" s="1520"/>
      <c r="AW90" s="1520"/>
      <c r="AX90" s="1678"/>
      <c r="AY90" s="1678"/>
      <c r="AZ90" s="1678"/>
      <c r="BA90" s="1520"/>
    </row>
    <row r="91" spans="1:53" s="1562" customFormat="1" ht="16.5" x14ac:dyDescent="0.25">
      <c r="A91" s="1545"/>
      <c r="B91" s="2571"/>
      <c r="C91" s="1546">
        <v>2015</v>
      </c>
      <c r="D91" s="1547" t="e">
        <f>K91+R91+Y91+AF91</f>
        <v>#N/A</v>
      </c>
      <c r="E91" s="1547" t="e">
        <f t="shared" ref="D91:F96" si="21">L91+S91+Z91+AG91</f>
        <v>#N/A</v>
      </c>
      <c r="F91" s="1547" t="e">
        <f t="shared" si="21"/>
        <v>#N/A</v>
      </c>
      <c r="G91" s="1547" t="e">
        <f t="shared" ref="G91:G96" si="22">D91+E91</f>
        <v>#N/A</v>
      </c>
      <c r="H91" s="1548" t="e">
        <f t="shared" ref="H91:H96" si="23">D91+E91+F91</f>
        <v>#N/A</v>
      </c>
      <c r="I91" s="1549"/>
      <c r="J91" s="1546">
        <f t="shared" si="17"/>
        <v>2015</v>
      </c>
      <c r="K91" s="1758" t="e">
        <f>'Prime INPUTS'!K231</f>
        <v>#N/A</v>
      </c>
      <c r="L91" s="1758" t="e">
        <f>'Prime INPUTS'!L231</f>
        <v>#N/A</v>
      </c>
      <c r="M91" s="1758" t="e">
        <f>'Prime INPUTS'!M231</f>
        <v>#N/A</v>
      </c>
      <c r="N91" s="1758" t="e">
        <f>K91+L91</f>
        <v>#N/A</v>
      </c>
      <c r="O91" s="1759" t="e">
        <f t="shared" ref="O91:O96" si="24">K91+L91+M91</f>
        <v>#N/A</v>
      </c>
      <c r="P91" s="1552"/>
      <c r="Q91" s="1546">
        <f t="shared" si="18"/>
        <v>2015</v>
      </c>
      <c r="R91" s="1553" t="e">
        <f>'Prime INPUTS'!K251</f>
        <v>#N/A</v>
      </c>
      <c r="S91" s="1553" t="e">
        <f>'Prime INPUTS'!L251</f>
        <v>#N/A</v>
      </c>
      <c r="T91" s="1553" t="e">
        <f>'Prime INPUTS'!M251</f>
        <v>#N/A</v>
      </c>
      <c r="U91" s="1553" t="e">
        <f t="shared" ref="U91:U96" si="25">R91+S91</f>
        <v>#N/A</v>
      </c>
      <c r="V91" s="1554" t="e">
        <f t="shared" ref="V91:V96" si="26">R91+S91+T91</f>
        <v>#N/A</v>
      </c>
      <c r="W91" s="1552"/>
      <c r="X91" s="1546">
        <f t="shared" si="19"/>
        <v>2015</v>
      </c>
      <c r="Y91" s="1555" t="e">
        <f>'Prime INPUTS'!K264</f>
        <v>#N/A</v>
      </c>
      <c r="Z91" s="1555" t="e">
        <f>'Prime INPUTS'!L264</f>
        <v>#N/A</v>
      </c>
      <c r="AA91" s="1555" t="e">
        <f>'Prime INPUTS'!M264</f>
        <v>#N/A</v>
      </c>
      <c r="AB91" s="1555" t="e">
        <f t="shared" ref="AB91:AB96" si="27">Y91+Z91</f>
        <v>#N/A</v>
      </c>
      <c r="AC91" s="1556" t="e">
        <f t="shared" ref="AC91:AC96" si="28">Y91+Z91+AA91</f>
        <v>#N/A</v>
      </c>
      <c r="AD91" s="1552"/>
      <c r="AE91" s="1546">
        <f t="shared" si="20"/>
        <v>2015</v>
      </c>
      <c r="AF91" s="1557" t="e">
        <f>'Prime INPUTS'!K276</f>
        <v>#DIV/0!</v>
      </c>
      <c r="AG91" s="1557" t="e">
        <f>'Prime INPUTS'!L276</f>
        <v>#DIV/0!</v>
      </c>
      <c r="AH91" s="1557" t="e">
        <f>'Prime INPUTS'!M276</f>
        <v>#DIV/0!</v>
      </c>
      <c r="AI91" s="1557" t="e">
        <f t="shared" ref="AI91:AI96" si="29">AF91+AG91</f>
        <v>#DIV/0!</v>
      </c>
      <c r="AJ91" s="1558" t="e">
        <f t="shared" ref="AJ91:AJ96" si="30">AF91+AG91+AH91</f>
        <v>#DIV/0!</v>
      </c>
      <c r="AL91" s="1681"/>
      <c r="AM91" s="1681"/>
      <c r="AN91" s="1681"/>
      <c r="AO91" s="1681"/>
      <c r="AP91" s="1681"/>
      <c r="AQ91" s="1681"/>
      <c r="AR91" s="1681"/>
      <c r="AS91" s="1681"/>
      <c r="AT91" s="1681"/>
      <c r="AU91" s="1681"/>
      <c r="AV91" s="1681"/>
      <c r="AW91" s="1681"/>
      <c r="AX91" s="1683"/>
      <c r="AY91" s="1683"/>
      <c r="AZ91" s="1683"/>
      <c r="BA91" s="1681"/>
    </row>
    <row r="92" spans="1:53" s="1562" customFormat="1" ht="16.5" x14ac:dyDescent="0.25">
      <c r="A92" s="1545"/>
      <c r="B92" s="2571"/>
      <c r="C92" s="1546">
        <v>2016</v>
      </c>
      <c r="D92" s="1547" t="e">
        <f t="shared" si="21"/>
        <v>#N/A</v>
      </c>
      <c r="E92" s="1547" t="e">
        <f t="shared" si="21"/>
        <v>#N/A</v>
      </c>
      <c r="F92" s="1547" t="e">
        <f t="shared" si="21"/>
        <v>#N/A</v>
      </c>
      <c r="G92" s="1547" t="e">
        <f t="shared" si="22"/>
        <v>#N/A</v>
      </c>
      <c r="H92" s="1548" t="e">
        <f t="shared" si="23"/>
        <v>#N/A</v>
      </c>
      <c r="I92" s="1549"/>
      <c r="J92" s="1546">
        <f t="shared" si="17"/>
        <v>2016</v>
      </c>
      <c r="K92" s="1758" t="e">
        <f>'Prime INPUTS'!K232</f>
        <v>#N/A</v>
      </c>
      <c r="L92" s="1758" t="e">
        <f>'Prime INPUTS'!L232</f>
        <v>#N/A</v>
      </c>
      <c r="M92" s="1758" t="e">
        <f>'Prime INPUTS'!M232</f>
        <v>#N/A</v>
      </c>
      <c r="N92" s="1758" t="e">
        <f t="shared" ref="N92:N96" si="31">K92+L92</f>
        <v>#N/A</v>
      </c>
      <c r="O92" s="1759" t="e">
        <f t="shared" si="24"/>
        <v>#N/A</v>
      </c>
      <c r="P92" s="1552"/>
      <c r="Q92" s="1546">
        <f t="shared" si="18"/>
        <v>2016</v>
      </c>
      <c r="R92" s="1553" t="e">
        <f>'Prime INPUTS'!K252</f>
        <v>#N/A</v>
      </c>
      <c r="S92" s="1553" t="e">
        <f>'Prime INPUTS'!L252</f>
        <v>#N/A</v>
      </c>
      <c r="T92" s="1553" t="e">
        <f>'Prime INPUTS'!M252</f>
        <v>#N/A</v>
      </c>
      <c r="U92" s="1553" t="e">
        <f t="shared" si="25"/>
        <v>#N/A</v>
      </c>
      <c r="V92" s="1554" t="e">
        <f t="shared" si="26"/>
        <v>#N/A</v>
      </c>
      <c r="W92" s="1552"/>
      <c r="X92" s="1546">
        <f t="shared" si="19"/>
        <v>2016</v>
      </c>
      <c r="Y92" s="1555" t="e">
        <f>'Prime INPUTS'!K265</f>
        <v>#N/A</v>
      </c>
      <c r="Z92" s="1555" t="e">
        <f>'Prime INPUTS'!L265</f>
        <v>#N/A</v>
      </c>
      <c r="AA92" s="1555" t="e">
        <f>'Prime INPUTS'!M265</f>
        <v>#N/A</v>
      </c>
      <c r="AB92" s="1555" t="e">
        <f t="shared" si="27"/>
        <v>#N/A</v>
      </c>
      <c r="AC92" s="1556" t="e">
        <f t="shared" si="28"/>
        <v>#N/A</v>
      </c>
      <c r="AD92" s="1552"/>
      <c r="AE92" s="1546">
        <f t="shared" si="20"/>
        <v>2016</v>
      </c>
      <c r="AF92" s="1557" t="e">
        <f>'Prime INPUTS'!K277</f>
        <v>#DIV/0!</v>
      </c>
      <c r="AG92" s="1557" t="e">
        <f>'Prime INPUTS'!L277</f>
        <v>#DIV/0!</v>
      </c>
      <c r="AH92" s="1557" t="e">
        <f>'Prime INPUTS'!M277</f>
        <v>#DIV/0!</v>
      </c>
      <c r="AI92" s="1557" t="e">
        <f t="shared" si="29"/>
        <v>#DIV/0!</v>
      </c>
      <c r="AJ92" s="1558" t="e">
        <f t="shared" si="30"/>
        <v>#DIV/0!</v>
      </c>
      <c r="AL92" s="1681"/>
      <c r="AM92" s="1681"/>
      <c r="AN92" s="1681"/>
      <c r="AO92" s="1681"/>
      <c r="AP92" s="1681"/>
      <c r="AQ92" s="1681"/>
      <c r="AR92" s="1681"/>
      <c r="AS92" s="1681"/>
      <c r="AT92" s="1681"/>
      <c r="AU92" s="1681"/>
      <c r="AV92" s="1681"/>
      <c r="AW92" s="1681"/>
      <c r="AX92" s="1683"/>
      <c r="AY92" s="1683"/>
      <c r="AZ92" s="1683"/>
      <c r="BA92" s="1681"/>
    </row>
    <row r="93" spans="1:53" s="1562" customFormat="1" ht="16.5" x14ac:dyDescent="0.25">
      <c r="A93" s="1545"/>
      <c r="B93" s="2571"/>
      <c r="C93" s="1546">
        <v>2017</v>
      </c>
      <c r="D93" s="1547" t="e">
        <f t="shared" si="21"/>
        <v>#N/A</v>
      </c>
      <c r="E93" s="1547" t="e">
        <f t="shared" si="21"/>
        <v>#N/A</v>
      </c>
      <c r="F93" s="1547" t="e">
        <f t="shared" si="21"/>
        <v>#N/A</v>
      </c>
      <c r="G93" s="1547" t="e">
        <f t="shared" si="22"/>
        <v>#N/A</v>
      </c>
      <c r="H93" s="1548" t="e">
        <f t="shared" si="23"/>
        <v>#N/A</v>
      </c>
      <c r="I93" s="1549"/>
      <c r="J93" s="1546">
        <f t="shared" si="17"/>
        <v>2017</v>
      </c>
      <c r="K93" s="1758" t="e">
        <f>'Prime INPUTS'!K233</f>
        <v>#N/A</v>
      </c>
      <c r="L93" s="1758" t="e">
        <f>'Prime INPUTS'!L233</f>
        <v>#N/A</v>
      </c>
      <c r="M93" s="1758" t="e">
        <f>'Prime INPUTS'!M233</f>
        <v>#N/A</v>
      </c>
      <c r="N93" s="1758" t="e">
        <f t="shared" si="31"/>
        <v>#N/A</v>
      </c>
      <c r="O93" s="1759" t="e">
        <f t="shared" si="24"/>
        <v>#N/A</v>
      </c>
      <c r="P93" s="1552"/>
      <c r="Q93" s="1546">
        <f t="shared" si="18"/>
        <v>2017</v>
      </c>
      <c r="R93" s="1553" t="e">
        <f>'Prime INPUTS'!K253</f>
        <v>#N/A</v>
      </c>
      <c r="S93" s="1553" t="e">
        <f>'Prime INPUTS'!L253</f>
        <v>#N/A</v>
      </c>
      <c r="T93" s="1553" t="e">
        <f>'Prime INPUTS'!M253</f>
        <v>#N/A</v>
      </c>
      <c r="U93" s="1553" t="e">
        <f t="shared" si="25"/>
        <v>#N/A</v>
      </c>
      <c r="V93" s="1554" t="e">
        <f t="shared" si="26"/>
        <v>#N/A</v>
      </c>
      <c r="W93" s="1552"/>
      <c r="X93" s="1546">
        <f t="shared" si="19"/>
        <v>2017</v>
      </c>
      <c r="Y93" s="1555" t="e">
        <f>'Prime INPUTS'!K266</f>
        <v>#N/A</v>
      </c>
      <c r="Z93" s="1555" t="e">
        <f>'Prime INPUTS'!L266</f>
        <v>#N/A</v>
      </c>
      <c r="AA93" s="1555" t="e">
        <f>'Prime INPUTS'!M266</f>
        <v>#N/A</v>
      </c>
      <c r="AB93" s="1555" t="e">
        <f t="shared" si="27"/>
        <v>#N/A</v>
      </c>
      <c r="AC93" s="1556" t="e">
        <f t="shared" si="28"/>
        <v>#N/A</v>
      </c>
      <c r="AD93" s="1552"/>
      <c r="AE93" s="1546">
        <f t="shared" si="20"/>
        <v>2017</v>
      </c>
      <c r="AF93" s="1557" t="e">
        <f>'Prime INPUTS'!K278</f>
        <v>#DIV/0!</v>
      </c>
      <c r="AG93" s="1557" t="e">
        <f>'Prime INPUTS'!L278</f>
        <v>#DIV/0!</v>
      </c>
      <c r="AH93" s="1557" t="e">
        <f>'Prime INPUTS'!M278</f>
        <v>#DIV/0!</v>
      </c>
      <c r="AI93" s="1557" t="e">
        <f t="shared" si="29"/>
        <v>#DIV/0!</v>
      </c>
      <c r="AJ93" s="1558" t="e">
        <f t="shared" si="30"/>
        <v>#DIV/0!</v>
      </c>
      <c r="AL93" s="1681"/>
      <c r="AM93" s="1681"/>
      <c r="AN93" s="1681"/>
      <c r="AO93" s="1681"/>
      <c r="AP93" s="1681"/>
      <c r="AQ93" s="1681"/>
      <c r="AR93" s="1681"/>
      <c r="AS93" s="1681"/>
      <c r="AT93" s="1681"/>
      <c r="AU93" s="1681"/>
      <c r="AV93" s="1681"/>
      <c r="AW93" s="1681"/>
      <c r="AX93" s="1683"/>
      <c r="AY93" s="1683"/>
      <c r="AZ93" s="1683"/>
      <c r="BA93" s="1681"/>
    </row>
    <row r="94" spans="1:53" s="1562" customFormat="1" ht="16.5" x14ac:dyDescent="0.25">
      <c r="A94" s="1545"/>
      <c r="B94" s="2571"/>
      <c r="C94" s="1546">
        <v>2018</v>
      </c>
      <c r="D94" s="1547" t="e">
        <f t="shared" si="21"/>
        <v>#N/A</v>
      </c>
      <c r="E94" s="1547" t="e">
        <f t="shared" si="21"/>
        <v>#N/A</v>
      </c>
      <c r="F94" s="1547" t="e">
        <f t="shared" si="21"/>
        <v>#N/A</v>
      </c>
      <c r="G94" s="1547" t="e">
        <f t="shared" si="22"/>
        <v>#N/A</v>
      </c>
      <c r="H94" s="1548" t="e">
        <f t="shared" si="23"/>
        <v>#N/A</v>
      </c>
      <c r="I94" s="1549"/>
      <c r="J94" s="1546">
        <f t="shared" si="17"/>
        <v>2018</v>
      </c>
      <c r="K94" s="1758" t="e">
        <f>'Prime INPUTS'!K234</f>
        <v>#N/A</v>
      </c>
      <c r="L94" s="1758" t="e">
        <f>'Prime INPUTS'!L234</f>
        <v>#N/A</v>
      </c>
      <c r="M94" s="1758" t="e">
        <f>'Prime INPUTS'!M234</f>
        <v>#N/A</v>
      </c>
      <c r="N94" s="1758" t="e">
        <f t="shared" si="31"/>
        <v>#N/A</v>
      </c>
      <c r="O94" s="1759" t="e">
        <f t="shared" si="24"/>
        <v>#N/A</v>
      </c>
      <c r="P94" s="1552"/>
      <c r="Q94" s="1546">
        <f t="shared" si="18"/>
        <v>2018</v>
      </c>
      <c r="R94" s="1553" t="e">
        <f>'Prime INPUTS'!K254</f>
        <v>#N/A</v>
      </c>
      <c r="S94" s="1553" t="e">
        <f>'Prime INPUTS'!L254</f>
        <v>#N/A</v>
      </c>
      <c r="T94" s="1553" t="e">
        <f>'Prime INPUTS'!M254</f>
        <v>#N/A</v>
      </c>
      <c r="U94" s="1553" t="e">
        <f t="shared" si="25"/>
        <v>#N/A</v>
      </c>
      <c r="V94" s="1554" t="e">
        <f t="shared" si="26"/>
        <v>#N/A</v>
      </c>
      <c r="W94" s="1552"/>
      <c r="X94" s="1546">
        <f t="shared" si="19"/>
        <v>2018</v>
      </c>
      <c r="Y94" s="1555" t="e">
        <f>'Prime INPUTS'!K267</f>
        <v>#N/A</v>
      </c>
      <c r="Z94" s="1555" t="e">
        <f>'Prime INPUTS'!L267</f>
        <v>#N/A</v>
      </c>
      <c r="AA94" s="1555" t="e">
        <f>'Prime INPUTS'!M267</f>
        <v>#N/A</v>
      </c>
      <c r="AB94" s="1555" t="e">
        <f t="shared" si="27"/>
        <v>#N/A</v>
      </c>
      <c r="AC94" s="1556" t="e">
        <f t="shared" si="28"/>
        <v>#N/A</v>
      </c>
      <c r="AD94" s="1552"/>
      <c r="AE94" s="1546">
        <f t="shared" si="20"/>
        <v>2018</v>
      </c>
      <c r="AF94" s="1557" t="e">
        <f>'Prime INPUTS'!K279</f>
        <v>#DIV/0!</v>
      </c>
      <c r="AG94" s="1557" t="e">
        <f>'Prime INPUTS'!L279</f>
        <v>#DIV/0!</v>
      </c>
      <c r="AH94" s="1557" t="e">
        <f>'Prime INPUTS'!M279</f>
        <v>#DIV/0!</v>
      </c>
      <c r="AI94" s="1557" t="e">
        <f t="shared" si="29"/>
        <v>#DIV/0!</v>
      </c>
      <c r="AJ94" s="1558" t="e">
        <f t="shared" si="30"/>
        <v>#DIV/0!</v>
      </c>
      <c r="AL94" s="1681"/>
      <c r="AM94" s="1681"/>
      <c r="AN94" s="1681"/>
      <c r="AO94" s="1681"/>
      <c r="AP94" s="1681"/>
      <c r="AQ94" s="1681"/>
      <c r="AR94" s="1681"/>
      <c r="AS94" s="1681"/>
      <c r="AT94" s="1681"/>
      <c r="AU94" s="1681"/>
      <c r="AV94" s="1681"/>
      <c r="AW94" s="1681"/>
      <c r="AX94" s="1683"/>
      <c r="AY94" s="1683"/>
      <c r="AZ94" s="1683"/>
      <c r="BA94" s="1681"/>
    </row>
    <row r="95" spans="1:53" s="1562" customFormat="1" ht="16.5" x14ac:dyDescent="0.25">
      <c r="A95" s="1545"/>
      <c r="B95" s="2571"/>
      <c r="C95" s="1546">
        <v>2019</v>
      </c>
      <c r="D95" s="1547" t="e">
        <f t="shared" si="21"/>
        <v>#N/A</v>
      </c>
      <c r="E95" s="1547" t="e">
        <f t="shared" si="21"/>
        <v>#N/A</v>
      </c>
      <c r="F95" s="1547" t="e">
        <f t="shared" si="21"/>
        <v>#N/A</v>
      </c>
      <c r="G95" s="1547" t="e">
        <f t="shared" si="22"/>
        <v>#N/A</v>
      </c>
      <c r="H95" s="1548" t="e">
        <f t="shared" si="23"/>
        <v>#N/A</v>
      </c>
      <c r="I95" s="1549"/>
      <c r="J95" s="1546">
        <f t="shared" si="17"/>
        <v>2019</v>
      </c>
      <c r="K95" s="1758" t="e">
        <f>'Prime INPUTS'!K235</f>
        <v>#N/A</v>
      </c>
      <c r="L95" s="1758" t="e">
        <f>'Prime INPUTS'!L235</f>
        <v>#N/A</v>
      </c>
      <c r="M95" s="1758" t="e">
        <f>'Prime INPUTS'!M235</f>
        <v>#N/A</v>
      </c>
      <c r="N95" s="1758" t="e">
        <f t="shared" si="31"/>
        <v>#N/A</v>
      </c>
      <c r="O95" s="1759" t="e">
        <f t="shared" si="24"/>
        <v>#N/A</v>
      </c>
      <c r="P95" s="1552"/>
      <c r="Q95" s="1546">
        <f t="shared" si="18"/>
        <v>2019</v>
      </c>
      <c r="R95" s="1553" t="e">
        <f>'Prime INPUTS'!K255</f>
        <v>#N/A</v>
      </c>
      <c r="S95" s="1553" t="e">
        <f>'Prime INPUTS'!L255</f>
        <v>#N/A</v>
      </c>
      <c r="T95" s="1553" t="e">
        <f>'Prime INPUTS'!M255</f>
        <v>#N/A</v>
      </c>
      <c r="U95" s="1553" t="e">
        <f t="shared" si="25"/>
        <v>#N/A</v>
      </c>
      <c r="V95" s="1554" t="e">
        <f t="shared" si="26"/>
        <v>#N/A</v>
      </c>
      <c r="W95" s="1552"/>
      <c r="X95" s="1546">
        <f t="shared" si="19"/>
        <v>2019</v>
      </c>
      <c r="Y95" s="1555" t="e">
        <f>'Prime INPUTS'!K268</f>
        <v>#N/A</v>
      </c>
      <c r="Z95" s="1555" t="e">
        <f>'Prime INPUTS'!L268</f>
        <v>#N/A</v>
      </c>
      <c r="AA95" s="1555" t="e">
        <f>'Prime INPUTS'!M268</f>
        <v>#N/A</v>
      </c>
      <c r="AB95" s="1555" t="e">
        <f t="shared" si="27"/>
        <v>#N/A</v>
      </c>
      <c r="AC95" s="1556" t="e">
        <f t="shared" si="28"/>
        <v>#N/A</v>
      </c>
      <c r="AD95" s="1552"/>
      <c r="AE95" s="1546">
        <f t="shared" si="20"/>
        <v>2019</v>
      </c>
      <c r="AF95" s="1557" t="e">
        <f>'Prime INPUTS'!K280</f>
        <v>#DIV/0!</v>
      </c>
      <c r="AG95" s="1557" t="e">
        <f>'Prime INPUTS'!L280</f>
        <v>#DIV/0!</v>
      </c>
      <c r="AH95" s="1557" t="e">
        <f>'Prime INPUTS'!M280</f>
        <v>#DIV/0!</v>
      </c>
      <c r="AI95" s="1557" t="e">
        <f t="shared" si="29"/>
        <v>#DIV/0!</v>
      </c>
      <c r="AJ95" s="1558" t="e">
        <f t="shared" si="30"/>
        <v>#DIV/0!</v>
      </c>
      <c r="AL95" s="1681"/>
      <c r="AM95" s="1681"/>
      <c r="AN95" s="1681"/>
      <c r="AO95" s="1681"/>
      <c r="AP95" s="1681"/>
      <c r="AQ95" s="1681"/>
      <c r="AR95" s="1681"/>
      <c r="AS95" s="1681"/>
      <c r="AT95" s="1681"/>
      <c r="AU95" s="1681"/>
      <c r="AV95" s="1681"/>
      <c r="AW95" s="1681"/>
      <c r="AX95" s="1683"/>
      <c r="AY95" s="1683"/>
      <c r="AZ95" s="1683"/>
      <c r="BA95" s="1681"/>
    </row>
    <row r="96" spans="1:53" s="1562" customFormat="1" ht="16.5" x14ac:dyDescent="0.25">
      <c r="A96" s="1545"/>
      <c r="B96" s="2572"/>
      <c r="C96" s="1546">
        <v>2020</v>
      </c>
      <c r="D96" s="1547" t="e">
        <f t="shared" si="21"/>
        <v>#N/A</v>
      </c>
      <c r="E96" s="1547" t="e">
        <f t="shared" si="21"/>
        <v>#N/A</v>
      </c>
      <c r="F96" s="1547" t="e">
        <f t="shared" si="21"/>
        <v>#N/A</v>
      </c>
      <c r="G96" s="1547" t="e">
        <f t="shared" si="22"/>
        <v>#N/A</v>
      </c>
      <c r="H96" s="1548" t="e">
        <f t="shared" si="23"/>
        <v>#N/A</v>
      </c>
      <c r="I96" s="1549"/>
      <c r="J96" s="1546">
        <f t="shared" si="17"/>
        <v>2020</v>
      </c>
      <c r="K96" s="1758" t="e">
        <f>'Prime INPUTS'!K236</f>
        <v>#N/A</v>
      </c>
      <c r="L96" s="1758" t="e">
        <f>'Prime INPUTS'!L236</f>
        <v>#N/A</v>
      </c>
      <c r="M96" s="1758" t="e">
        <f>'Prime INPUTS'!M236</f>
        <v>#N/A</v>
      </c>
      <c r="N96" s="1758" t="e">
        <f t="shared" si="31"/>
        <v>#N/A</v>
      </c>
      <c r="O96" s="1759" t="e">
        <f t="shared" si="24"/>
        <v>#N/A</v>
      </c>
      <c r="P96" s="1552"/>
      <c r="Q96" s="1546">
        <f t="shared" si="18"/>
        <v>2020</v>
      </c>
      <c r="R96" s="1553" t="e">
        <f>'Prime INPUTS'!K256</f>
        <v>#N/A</v>
      </c>
      <c r="S96" s="1553" t="e">
        <f>'Prime INPUTS'!L256</f>
        <v>#N/A</v>
      </c>
      <c r="T96" s="1553" t="e">
        <f>'Prime INPUTS'!M256</f>
        <v>#N/A</v>
      </c>
      <c r="U96" s="1553" t="e">
        <f t="shared" si="25"/>
        <v>#N/A</v>
      </c>
      <c r="V96" s="1554" t="e">
        <f t="shared" si="26"/>
        <v>#N/A</v>
      </c>
      <c r="W96" s="1552"/>
      <c r="X96" s="1546">
        <f t="shared" si="19"/>
        <v>2020</v>
      </c>
      <c r="Y96" s="1555" t="e">
        <f>'Prime INPUTS'!K269</f>
        <v>#N/A</v>
      </c>
      <c r="Z96" s="1555" t="e">
        <f>'Prime INPUTS'!L269</f>
        <v>#N/A</v>
      </c>
      <c r="AA96" s="1555" t="e">
        <f>'Prime INPUTS'!M269</f>
        <v>#N/A</v>
      </c>
      <c r="AB96" s="1555" t="e">
        <f t="shared" si="27"/>
        <v>#N/A</v>
      </c>
      <c r="AC96" s="1556" t="e">
        <f t="shared" si="28"/>
        <v>#N/A</v>
      </c>
      <c r="AD96" s="1552"/>
      <c r="AE96" s="1546">
        <f t="shared" si="20"/>
        <v>2020</v>
      </c>
      <c r="AF96" s="1557" t="e">
        <f>'Prime INPUTS'!K281</f>
        <v>#DIV/0!</v>
      </c>
      <c r="AG96" s="1557" t="e">
        <f>'Prime INPUTS'!L281</f>
        <v>#DIV/0!</v>
      </c>
      <c r="AH96" s="1557" t="e">
        <f>'Prime INPUTS'!M281</f>
        <v>#DIV/0!</v>
      </c>
      <c r="AI96" s="1557" t="e">
        <f t="shared" si="29"/>
        <v>#DIV/0!</v>
      </c>
      <c r="AJ96" s="1558" t="e">
        <f t="shared" si="30"/>
        <v>#DIV/0!</v>
      </c>
      <c r="AL96" s="1681"/>
      <c r="AM96" s="1681"/>
      <c r="AN96" s="1681"/>
      <c r="AO96" s="1681"/>
      <c r="AP96" s="1681"/>
      <c r="AQ96" s="1681"/>
      <c r="AR96" s="1681"/>
      <c r="AS96" s="1681"/>
      <c r="AT96" s="1681"/>
      <c r="AU96" s="1681"/>
      <c r="AV96" s="1681"/>
      <c r="AW96" s="1681"/>
      <c r="AX96" s="1683"/>
      <c r="AY96" s="1683"/>
      <c r="AZ96" s="1683"/>
      <c r="BA96" s="1681"/>
    </row>
    <row r="97" spans="1:53" s="1545" customFormat="1" ht="16.5" x14ac:dyDescent="0.25">
      <c r="B97" s="1564"/>
      <c r="C97" s="1565"/>
      <c r="D97" s="1565"/>
      <c r="E97" s="1566"/>
      <c r="F97" s="1566"/>
      <c r="G97" s="1566"/>
      <c r="H97" s="1566"/>
      <c r="I97" s="1566"/>
      <c r="J97" s="1565"/>
      <c r="K97" s="1567"/>
      <c r="L97" s="1567"/>
      <c r="M97" s="1567"/>
      <c r="N97" s="1567"/>
      <c r="O97" s="1567"/>
      <c r="P97" s="1567"/>
      <c r="Q97" s="1565"/>
      <c r="R97" s="1567"/>
      <c r="S97" s="1567"/>
      <c r="T97" s="1567"/>
      <c r="U97" s="1567"/>
      <c r="V97" s="1565"/>
      <c r="W97" s="1565"/>
      <c r="X97" s="1565"/>
      <c r="Y97" s="1565"/>
      <c r="Z97" s="1565"/>
      <c r="AA97" s="1565"/>
      <c r="AB97" s="1565"/>
      <c r="AC97" s="1565"/>
      <c r="AD97" s="1565"/>
      <c r="AE97" s="1565"/>
      <c r="AF97" s="1565"/>
      <c r="AG97" s="1565"/>
      <c r="AH97" s="1565"/>
      <c r="AI97" s="1565"/>
      <c r="AJ97" s="1565"/>
      <c r="AL97" s="1684"/>
      <c r="AM97" s="1684"/>
      <c r="AN97" s="1684"/>
      <c r="AO97" s="1684"/>
      <c r="AP97" s="1684"/>
      <c r="AQ97" s="1684"/>
      <c r="AR97" s="1684"/>
      <c r="AS97" s="1684"/>
      <c r="AT97" s="1684"/>
      <c r="AU97" s="1684"/>
      <c r="AV97" s="1684"/>
      <c r="AW97" s="1684"/>
      <c r="AX97" s="1685"/>
      <c r="AY97" s="1685"/>
      <c r="AZ97" s="1685"/>
      <c r="BA97" s="1684"/>
    </row>
    <row r="98" spans="1:53" s="1584" customFormat="1" ht="16.5" customHeight="1" x14ac:dyDescent="0.25">
      <c r="A98" s="1569"/>
      <c r="B98" s="2570" t="str">
        <f>"Gross "&amp;F7&amp;"-related Earnings (Thousands of 2010$)"</f>
        <v>Gross &lt;Please select&gt;-related Earnings (Thousands of 2010$)</v>
      </c>
      <c r="C98" s="1570"/>
      <c r="D98" s="1760" t="str">
        <f>D$88</f>
        <v>Total (Manufacturing, Installation, Fuel, and Maintenance)</v>
      </c>
      <c r="E98" s="1761"/>
      <c r="F98" s="1761"/>
      <c r="G98" s="1761"/>
      <c r="H98" s="1761"/>
      <c r="I98" s="1569"/>
      <c r="J98" s="1762"/>
      <c r="K98" s="1763" t="str">
        <f>K88</f>
        <v>Fuel Cell Manufacturing, Development, Sales, and Shipping</v>
      </c>
      <c r="L98" s="1764"/>
      <c r="M98" s="1764"/>
      <c r="N98" s="1764"/>
      <c r="O98" s="1764"/>
      <c r="Q98" s="1762"/>
      <c r="R98" s="1765" t="str">
        <f>R88</f>
        <v>Prime Power Fuel Cell Installation and Fuel Storage</v>
      </c>
      <c r="S98" s="1766"/>
      <c r="T98" s="1766"/>
      <c r="U98" s="1766"/>
      <c r="V98" s="1766"/>
      <c r="X98" s="1762"/>
      <c r="Y98" s="1767" t="str">
        <f>Y88</f>
        <v xml:space="preserve"> Fuel Production and Delivery</v>
      </c>
      <c r="Z98" s="1768"/>
      <c r="AA98" s="1768"/>
      <c r="AB98" s="1768"/>
      <c r="AC98" s="1768"/>
      <c r="AE98" s="1762"/>
      <c r="AF98" s="1769" t="str">
        <f>AF88</f>
        <v>Prime Power Fuel Cell Maintenance</v>
      </c>
      <c r="AG98" s="1770"/>
      <c r="AH98" s="1770"/>
      <c r="AI98" s="1770"/>
      <c r="AJ98" s="1770"/>
      <c r="AL98" s="1520"/>
      <c r="AM98" s="1520"/>
      <c r="AN98" s="1520"/>
      <c r="AO98" s="1520"/>
      <c r="AP98" s="1520"/>
      <c r="AQ98" s="1520"/>
      <c r="AR98" s="1520"/>
      <c r="AS98" s="1520"/>
      <c r="AT98" s="1520"/>
      <c r="AU98" s="1520"/>
      <c r="AV98" s="1520"/>
      <c r="AW98" s="1520"/>
      <c r="AX98" s="1678"/>
      <c r="AY98" s="1678"/>
      <c r="AZ98" s="1678"/>
      <c r="BA98" s="1520"/>
    </row>
    <row r="99" spans="1:53" s="1695" customFormat="1" ht="16.5" x14ac:dyDescent="0.25">
      <c r="A99" s="1688"/>
      <c r="B99" s="2571"/>
      <c r="C99" s="1689"/>
      <c r="D99" s="1733" t="str">
        <f>B98</f>
        <v>Gross &lt;Please select&gt;-related Earnings (Thousands of 2010$)</v>
      </c>
      <c r="E99" s="1735"/>
      <c r="F99" s="1735"/>
      <c r="G99" s="1735"/>
      <c r="H99" s="1735"/>
      <c r="I99" s="1688"/>
      <c r="J99" s="1771"/>
      <c r="K99" s="1747" t="str">
        <f>D99</f>
        <v>Gross &lt;Please select&gt;-related Earnings (Thousands of 2010$)</v>
      </c>
      <c r="L99" s="1748"/>
      <c r="M99" s="1772"/>
      <c r="N99" s="1772"/>
      <c r="O99" s="1772"/>
      <c r="Q99" s="1771"/>
      <c r="R99" s="1749" t="str">
        <f>K99</f>
        <v>Gross &lt;Please select&gt;-related Earnings (Thousands of 2010$)</v>
      </c>
      <c r="S99" s="1750"/>
      <c r="T99" s="1773"/>
      <c r="U99" s="1773"/>
      <c r="V99" s="1773"/>
      <c r="X99" s="1771"/>
      <c r="Y99" s="1751" t="str">
        <f>R99</f>
        <v>Gross &lt;Please select&gt;-related Earnings (Thousands of 2010$)</v>
      </c>
      <c r="Z99" s="1752"/>
      <c r="AA99" s="1774"/>
      <c r="AB99" s="1774"/>
      <c r="AC99" s="1774"/>
      <c r="AE99" s="1771"/>
      <c r="AF99" s="1753" t="str">
        <f>Y99</f>
        <v>Gross &lt;Please select&gt;-related Earnings (Thousands of 2010$)</v>
      </c>
      <c r="AG99" s="1754"/>
      <c r="AH99" s="1775"/>
      <c r="AI99" s="1775"/>
      <c r="AJ99" s="1775"/>
      <c r="AL99" s="1674"/>
      <c r="AM99" s="1674"/>
      <c r="AN99" s="1674"/>
      <c r="AO99" s="1674"/>
      <c r="AP99" s="1674"/>
      <c r="AQ99" s="1674"/>
      <c r="AR99" s="1674"/>
      <c r="AS99" s="1674"/>
      <c r="AT99" s="1674"/>
      <c r="AU99" s="1674"/>
      <c r="AV99" s="1674"/>
      <c r="AW99" s="1674"/>
      <c r="AX99" s="1675"/>
      <c r="AY99" s="1675"/>
      <c r="AZ99" s="1675"/>
      <c r="BA99" s="1674"/>
    </row>
    <row r="100" spans="1:53" s="1590" customFormat="1" ht="63" x14ac:dyDescent="0.25">
      <c r="A100" s="1589"/>
      <c r="B100" s="2571"/>
      <c r="C100" s="1585" t="str">
        <f t="shared" ref="C100:C106" si="32">C90</f>
        <v>Year</v>
      </c>
      <c r="D100" s="1528" t="str">
        <f>D90</f>
        <v>Gross &lt;Please select&gt;-related Direct</v>
      </c>
      <c r="E100" s="1528" t="str">
        <f t="shared" ref="E100:H100" si="33">E90</f>
        <v>Gross &lt;Please select&gt;-related Indirect</v>
      </c>
      <c r="F100" s="1528" t="str">
        <f t="shared" si="33"/>
        <v>Gross &lt;Please select&gt;-related Induced</v>
      </c>
      <c r="G100" s="1755" t="str">
        <f t="shared" si="33"/>
        <v>Gross &lt;Please select&gt;-related Supply Chain</v>
      </c>
      <c r="H100" s="1755" t="str">
        <f t="shared" si="33"/>
        <v>Gross &lt;Please select&gt;-related Total</v>
      </c>
      <c r="I100" s="1530"/>
      <c r="J100" s="1527" t="str">
        <f t="shared" ref="J100:J106" si="34">C100</f>
        <v>Year</v>
      </c>
      <c r="K100" s="1756" t="str">
        <f>K$180&amp;" "&amp;K$181</f>
        <v>Gross &lt;Please select&gt; Unit Direct</v>
      </c>
      <c r="L100" s="1756" t="str">
        <f>L$180&amp;" "&amp;L$181</f>
        <v>Gross &lt;Please select&gt; Unit Indirect</v>
      </c>
      <c r="M100" s="1756" t="str">
        <f>M$180&amp;" "&amp;M$181</f>
        <v>Gross &lt;Please select&gt; Unit Induced</v>
      </c>
      <c r="N100" s="1757" t="str">
        <f>N$180&amp;" "&amp;N$181</f>
        <v>Gross &lt;Please select&gt; Unit Supply Chain</v>
      </c>
      <c r="O100" s="1757" t="str">
        <f>O$180&amp;" "&amp;O$181</f>
        <v>Gross &lt;Please select&gt; Unit Total</v>
      </c>
      <c r="P100" s="1533"/>
      <c r="Q100" s="1527" t="str">
        <f t="shared" ref="Q100:Q106" si="35">J100</f>
        <v>Year</v>
      </c>
      <c r="R100" s="1534" t="str">
        <f>R$180&amp;" "&amp;R$181</f>
        <v>Gross &lt;Please select&gt; Installation Direct</v>
      </c>
      <c r="S100" s="1534" t="str">
        <f>S$180&amp;" "&amp;S$181</f>
        <v>Gross &lt;Please select&gt; Installation Indirect</v>
      </c>
      <c r="T100" s="1534" t="str">
        <f>T$180&amp;" "&amp;T$181</f>
        <v>Gross &lt;Please select&gt; Installation Induced</v>
      </c>
      <c r="U100" s="1535" t="str">
        <f>U$180&amp;" "&amp;U$181</f>
        <v>Gross &lt;Please select&gt; Installation Supply Chain</v>
      </c>
      <c r="V100" s="1535" t="str">
        <f>V$180&amp;" "&amp;V$181</f>
        <v>Gross &lt;Please select&gt; Installation Total</v>
      </c>
      <c r="W100" s="1533"/>
      <c r="X100" s="1527" t="str">
        <f t="shared" ref="X100:X106" si="36">Q100</f>
        <v>Year</v>
      </c>
      <c r="Y100" s="1536" t="str">
        <f>Y$180&amp;" "&amp;Y$181</f>
        <v>Gross &lt;Please select&gt; Fuel Direct</v>
      </c>
      <c r="Z100" s="1536" t="str">
        <f>Z$180&amp;" "&amp;Z$181</f>
        <v>Gross &lt;Please select&gt; Fuel Indirect</v>
      </c>
      <c r="AA100" s="1536" t="str">
        <f>AA$180&amp;" "&amp;AA$181</f>
        <v>Gross &lt;Please select&gt; Fuel Induced</v>
      </c>
      <c r="AB100" s="1537" t="str">
        <f>AB$180&amp;" "&amp;AB$181</f>
        <v>Gross &lt;Please select&gt; Fuel Supply Chain</v>
      </c>
      <c r="AC100" s="1537" t="str">
        <f>AC$180&amp;" "&amp;AC$181</f>
        <v>Gross &lt;Please select&gt; Fuel Total</v>
      </c>
      <c r="AD100" s="1533"/>
      <c r="AE100" s="1527" t="str">
        <f t="shared" ref="AE100:AE106" si="37">X100</f>
        <v>Year</v>
      </c>
      <c r="AF100" s="1538" t="str">
        <f>AF$180&amp;" "&amp;AF$181</f>
        <v>Gross &lt;Please select&gt; Maintenance Direct</v>
      </c>
      <c r="AG100" s="1538" t="str">
        <f>AG$180&amp;" "&amp;AG$181</f>
        <v>Gross &lt;Please select&gt; Maintenance Indirect</v>
      </c>
      <c r="AH100" s="1538" t="str">
        <f>AH$180&amp;" "&amp;AH$181</f>
        <v>Gross &lt;Please select&gt; Maintenance Induced</v>
      </c>
      <c r="AI100" s="1539" t="str">
        <f>AI$180&amp;" "&amp;AI$181</f>
        <v>Gross &lt;Please select&gt; Maintenance Supply Chain</v>
      </c>
      <c r="AJ100" s="1539" t="str">
        <f>AJ$180&amp;" "&amp;AJ$181</f>
        <v>Gross &lt;Please select&gt; Maintenance Total</v>
      </c>
      <c r="AL100" s="1520"/>
      <c r="AM100" s="1520"/>
      <c r="AN100" s="1520"/>
      <c r="AO100" s="1520"/>
      <c r="AP100" s="1520"/>
      <c r="AQ100" s="1520"/>
      <c r="AR100" s="1520"/>
      <c r="AS100" s="1520"/>
      <c r="AT100" s="1520"/>
      <c r="AU100" s="1520"/>
      <c r="AV100" s="1520"/>
      <c r="AW100" s="1520"/>
      <c r="AX100" s="1678"/>
      <c r="AY100" s="1678"/>
      <c r="AZ100" s="1678"/>
      <c r="BA100" s="1520"/>
    </row>
    <row r="101" spans="1:53" s="1562" customFormat="1" ht="16.5" x14ac:dyDescent="0.25">
      <c r="A101" s="1545"/>
      <c r="B101" s="2571"/>
      <c r="C101" s="1546">
        <f t="shared" si="32"/>
        <v>2015</v>
      </c>
      <c r="D101" s="1591" t="e">
        <f t="shared" ref="D101:F106" si="38">K101+R101+Y101+AF101</f>
        <v>#N/A</v>
      </c>
      <c r="E101" s="1591" t="e">
        <f t="shared" si="38"/>
        <v>#N/A</v>
      </c>
      <c r="F101" s="1591" t="e">
        <f t="shared" si="38"/>
        <v>#N/A</v>
      </c>
      <c r="G101" s="1591" t="e">
        <f t="shared" ref="G101:G106" si="39">D101+E101</f>
        <v>#N/A</v>
      </c>
      <c r="H101" s="1592" t="e">
        <f t="shared" ref="H101:H106" si="40">D101+E101+F101</f>
        <v>#N/A</v>
      </c>
      <c r="I101" s="1593"/>
      <c r="J101" s="1546">
        <f t="shared" si="34"/>
        <v>2015</v>
      </c>
      <c r="K101" s="1776" t="e">
        <f>'Prime INPUTS'!Q231/'Prime INPUTS'!$C$332/1000</f>
        <v>#N/A</v>
      </c>
      <c r="L101" s="1776" t="e">
        <f>'Prime INPUTS'!R231/'Prime INPUTS'!$C$332/1000</f>
        <v>#N/A</v>
      </c>
      <c r="M101" s="1776" t="e">
        <f>'Prime INPUTS'!S231/'Prime INPUTS'!$C$332/1000</f>
        <v>#N/A</v>
      </c>
      <c r="N101" s="1777" t="e">
        <f t="shared" ref="N101:N106" si="41">K101+L101</f>
        <v>#N/A</v>
      </c>
      <c r="O101" s="1778" t="e">
        <f t="shared" ref="O101:O106" si="42">K101+L101+M101</f>
        <v>#N/A</v>
      </c>
      <c r="P101" s="1596"/>
      <c r="Q101" s="1546">
        <f t="shared" si="35"/>
        <v>2015</v>
      </c>
      <c r="R101" s="1597" t="e">
        <f>'Prime INPUTS'!Q251/'Prime INPUTS'!$C$332/1000</f>
        <v>#N/A</v>
      </c>
      <c r="S101" s="1597" t="e">
        <f>'Prime INPUTS'!R251/'Prime INPUTS'!$C$332/1000</f>
        <v>#N/A</v>
      </c>
      <c r="T101" s="1597" t="e">
        <f>'Prime INPUTS'!S251/'Prime INPUTS'!$C$332/1000</f>
        <v>#N/A</v>
      </c>
      <c r="U101" s="1597" t="e">
        <f t="shared" ref="U101:U106" si="43">R101+S101</f>
        <v>#N/A</v>
      </c>
      <c r="V101" s="1598" t="e">
        <f t="shared" ref="V101:V106" si="44">R101+S101+T101</f>
        <v>#N/A</v>
      </c>
      <c r="W101" s="1596"/>
      <c r="X101" s="1546">
        <f t="shared" si="36"/>
        <v>2015</v>
      </c>
      <c r="Y101" s="1599" t="e">
        <f>'Prime INPUTS'!Q264/'Prime INPUTS'!$C$332/1000</f>
        <v>#N/A</v>
      </c>
      <c r="Z101" s="1599" t="e">
        <f>'Prime INPUTS'!R264/'Prime INPUTS'!$C$332/1000</f>
        <v>#N/A</v>
      </c>
      <c r="AA101" s="1599" t="e">
        <f>'Prime INPUTS'!S264/'Prime INPUTS'!$C$332/1000</f>
        <v>#N/A</v>
      </c>
      <c r="AB101" s="1599" t="e">
        <f t="shared" ref="AB101:AB106" si="45">Y101+Z101</f>
        <v>#N/A</v>
      </c>
      <c r="AC101" s="1600" t="e">
        <f t="shared" ref="AC101:AC106" si="46">Y101+Z101+AA101</f>
        <v>#N/A</v>
      </c>
      <c r="AD101" s="1596"/>
      <c r="AE101" s="1546">
        <f t="shared" si="37"/>
        <v>2015</v>
      </c>
      <c r="AF101" s="1601" t="e">
        <f>'Prime INPUTS'!Q276/'Prime INPUTS'!$C$332/1000</f>
        <v>#DIV/0!</v>
      </c>
      <c r="AG101" s="1601" t="e">
        <f>'Prime INPUTS'!R276/'Prime INPUTS'!$C$332/1000</f>
        <v>#DIV/0!</v>
      </c>
      <c r="AH101" s="1601" t="e">
        <f>'Prime INPUTS'!S276/'Prime INPUTS'!$C$332/1000</f>
        <v>#DIV/0!</v>
      </c>
      <c r="AI101" s="1601" t="e">
        <f t="shared" ref="AI101:AI106" si="47">AF101+AG101</f>
        <v>#DIV/0!</v>
      </c>
      <c r="AJ101" s="1602" t="e">
        <f t="shared" ref="AJ101:AJ106" si="48">AF101+AG101+AH101</f>
        <v>#DIV/0!</v>
      </c>
      <c r="AL101" s="1681"/>
      <c r="AM101" s="1681"/>
      <c r="AN101" s="1681"/>
      <c r="AO101" s="1681"/>
      <c r="AP101" s="1681"/>
      <c r="AQ101" s="1681"/>
      <c r="AR101" s="1681"/>
      <c r="AS101" s="1681"/>
      <c r="AT101" s="1681"/>
      <c r="AU101" s="1681"/>
      <c r="AV101" s="1681"/>
      <c r="AW101" s="1681"/>
      <c r="AX101" s="1683"/>
      <c r="AY101" s="1683"/>
      <c r="AZ101" s="1683"/>
      <c r="BA101" s="1681"/>
    </row>
    <row r="102" spans="1:53" s="1562" customFormat="1" ht="16.5" x14ac:dyDescent="0.25">
      <c r="A102" s="1545"/>
      <c r="B102" s="2571"/>
      <c r="C102" s="1546">
        <f t="shared" si="32"/>
        <v>2016</v>
      </c>
      <c r="D102" s="1591" t="e">
        <f t="shared" si="38"/>
        <v>#N/A</v>
      </c>
      <c r="E102" s="1591" t="e">
        <f t="shared" si="38"/>
        <v>#N/A</v>
      </c>
      <c r="F102" s="1591" t="e">
        <f t="shared" si="38"/>
        <v>#N/A</v>
      </c>
      <c r="G102" s="1591" t="e">
        <f t="shared" si="39"/>
        <v>#N/A</v>
      </c>
      <c r="H102" s="1592" t="e">
        <f t="shared" si="40"/>
        <v>#N/A</v>
      </c>
      <c r="I102" s="1593"/>
      <c r="J102" s="1546">
        <f t="shared" si="34"/>
        <v>2016</v>
      </c>
      <c r="K102" s="1776" t="e">
        <f>'Prime INPUTS'!Q232/'Prime INPUTS'!$C$332/1000</f>
        <v>#N/A</v>
      </c>
      <c r="L102" s="1776" t="e">
        <f>'Prime INPUTS'!R232/'Prime INPUTS'!$C$332/1000</f>
        <v>#N/A</v>
      </c>
      <c r="M102" s="1776" t="e">
        <f>'Prime INPUTS'!S232/'Prime INPUTS'!$C$332/1000</f>
        <v>#N/A</v>
      </c>
      <c r="N102" s="1777" t="e">
        <f t="shared" si="41"/>
        <v>#N/A</v>
      </c>
      <c r="O102" s="1778" t="e">
        <f t="shared" si="42"/>
        <v>#N/A</v>
      </c>
      <c r="P102" s="1596"/>
      <c r="Q102" s="1546">
        <f t="shared" si="35"/>
        <v>2016</v>
      </c>
      <c r="R102" s="1597" t="e">
        <f>'Prime INPUTS'!Q252/'Prime INPUTS'!$C$332/1000</f>
        <v>#N/A</v>
      </c>
      <c r="S102" s="1597" t="e">
        <f>'Prime INPUTS'!R252/'Prime INPUTS'!$C$332/1000</f>
        <v>#N/A</v>
      </c>
      <c r="T102" s="1597" t="e">
        <f>'Prime INPUTS'!S252/'Prime INPUTS'!$C$332/1000</f>
        <v>#N/A</v>
      </c>
      <c r="U102" s="1597" t="e">
        <f t="shared" si="43"/>
        <v>#N/A</v>
      </c>
      <c r="V102" s="1598" t="e">
        <f t="shared" si="44"/>
        <v>#N/A</v>
      </c>
      <c r="W102" s="1596"/>
      <c r="X102" s="1546">
        <f t="shared" si="36"/>
        <v>2016</v>
      </c>
      <c r="Y102" s="1599" t="e">
        <f>'Prime INPUTS'!Q265/'Prime INPUTS'!$C$332/1000</f>
        <v>#N/A</v>
      </c>
      <c r="Z102" s="1599" t="e">
        <f>'Prime INPUTS'!R265/'Prime INPUTS'!$C$332/1000</f>
        <v>#N/A</v>
      </c>
      <c r="AA102" s="1599" t="e">
        <f>'Prime INPUTS'!S265/'Prime INPUTS'!$C$332/1000</f>
        <v>#N/A</v>
      </c>
      <c r="AB102" s="1599" t="e">
        <f t="shared" si="45"/>
        <v>#N/A</v>
      </c>
      <c r="AC102" s="1600" t="e">
        <f t="shared" si="46"/>
        <v>#N/A</v>
      </c>
      <c r="AD102" s="1596"/>
      <c r="AE102" s="1546">
        <f t="shared" si="37"/>
        <v>2016</v>
      </c>
      <c r="AF102" s="1601" t="e">
        <f>'Prime INPUTS'!Q277/'Prime INPUTS'!$C$332/1000</f>
        <v>#DIV/0!</v>
      </c>
      <c r="AG102" s="1601" t="e">
        <f>'Prime INPUTS'!R277/'Prime INPUTS'!$C$332/1000</f>
        <v>#DIV/0!</v>
      </c>
      <c r="AH102" s="1601" t="e">
        <f>'Prime INPUTS'!S277/'Prime INPUTS'!$C$332/1000</f>
        <v>#DIV/0!</v>
      </c>
      <c r="AI102" s="1601" t="e">
        <f t="shared" si="47"/>
        <v>#DIV/0!</v>
      </c>
      <c r="AJ102" s="1602" t="e">
        <f t="shared" si="48"/>
        <v>#DIV/0!</v>
      </c>
      <c r="AL102" s="1681"/>
      <c r="AM102" s="1681"/>
      <c r="AN102" s="1681"/>
      <c r="AO102" s="1681"/>
      <c r="AP102" s="1681"/>
      <c r="AQ102" s="1681"/>
      <c r="AR102" s="1681"/>
      <c r="AS102" s="1681"/>
      <c r="AT102" s="1681"/>
      <c r="AU102" s="1681"/>
      <c r="AV102" s="1681"/>
      <c r="AW102" s="1681"/>
      <c r="AX102" s="1683"/>
      <c r="AY102" s="1683"/>
      <c r="AZ102" s="1683"/>
      <c r="BA102" s="1681"/>
    </row>
    <row r="103" spans="1:53" s="1562" customFormat="1" ht="16.5" x14ac:dyDescent="0.25">
      <c r="A103" s="1545"/>
      <c r="B103" s="2571"/>
      <c r="C103" s="1546">
        <f t="shared" si="32"/>
        <v>2017</v>
      </c>
      <c r="D103" s="1591" t="e">
        <f t="shared" si="38"/>
        <v>#N/A</v>
      </c>
      <c r="E103" s="1591" t="e">
        <f t="shared" si="38"/>
        <v>#N/A</v>
      </c>
      <c r="F103" s="1591" t="e">
        <f t="shared" si="38"/>
        <v>#N/A</v>
      </c>
      <c r="G103" s="1591" t="e">
        <f t="shared" si="39"/>
        <v>#N/A</v>
      </c>
      <c r="H103" s="1592" t="e">
        <f t="shared" si="40"/>
        <v>#N/A</v>
      </c>
      <c r="I103" s="1593"/>
      <c r="J103" s="1546">
        <f t="shared" si="34"/>
        <v>2017</v>
      </c>
      <c r="K103" s="1776" t="e">
        <f>'Prime INPUTS'!Q233/'Prime INPUTS'!$C$332/1000</f>
        <v>#N/A</v>
      </c>
      <c r="L103" s="1776" t="e">
        <f>'Prime INPUTS'!R233/'Prime INPUTS'!$C$332/1000</f>
        <v>#N/A</v>
      </c>
      <c r="M103" s="1776" t="e">
        <f>'Prime INPUTS'!S233/'Prime INPUTS'!$C$332/1000</f>
        <v>#N/A</v>
      </c>
      <c r="N103" s="1777" t="e">
        <f t="shared" si="41"/>
        <v>#N/A</v>
      </c>
      <c r="O103" s="1778" t="e">
        <f t="shared" si="42"/>
        <v>#N/A</v>
      </c>
      <c r="P103" s="1596"/>
      <c r="Q103" s="1546">
        <f t="shared" si="35"/>
        <v>2017</v>
      </c>
      <c r="R103" s="1597" t="e">
        <f>'Prime INPUTS'!Q253/'Prime INPUTS'!$C$332/1000</f>
        <v>#N/A</v>
      </c>
      <c r="S103" s="1597" t="e">
        <f>'Prime INPUTS'!R253/'Prime INPUTS'!$C$332/1000</f>
        <v>#N/A</v>
      </c>
      <c r="T103" s="1597" t="e">
        <f>'Prime INPUTS'!S253/'Prime INPUTS'!$C$332/1000</f>
        <v>#N/A</v>
      </c>
      <c r="U103" s="1597" t="e">
        <f t="shared" si="43"/>
        <v>#N/A</v>
      </c>
      <c r="V103" s="1598" t="e">
        <f t="shared" si="44"/>
        <v>#N/A</v>
      </c>
      <c r="W103" s="1596"/>
      <c r="X103" s="1546">
        <f t="shared" si="36"/>
        <v>2017</v>
      </c>
      <c r="Y103" s="1599" t="e">
        <f>'Prime INPUTS'!Q266/'Prime INPUTS'!$C$332/1000</f>
        <v>#N/A</v>
      </c>
      <c r="Z103" s="1599" t="e">
        <f>'Prime INPUTS'!R266/'Prime INPUTS'!$C$332/1000</f>
        <v>#N/A</v>
      </c>
      <c r="AA103" s="1599" t="e">
        <f>'Prime INPUTS'!S266/'Prime INPUTS'!$C$332/1000</f>
        <v>#N/A</v>
      </c>
      <c r="AB103" s="1599" t="e">
        <f t="shared" si="45"/>
        <v>#N/A</v>
      </c>
      <c r="AC103" s="1600" t="e">
        <f t="shared" si="46"/>
        <v>#N/A</v>
      </c>
      <c r="AD103" s="1596"/>
      <c r="AE103" s="1546">
        <f t="shared" si="37"/>
        <v>2017</v>
      </c>
      <c r="AF103" s="1601" t="e">
        <f>'Prime INPUTS'!Q278/'Prime INPUTS'!$C$332/1000</f>
        <v>#DIV/0!</v>
      </c>
      <c r="AG103" s="1601" t="e">
        <f>'Prime INPUTS'!R278/'Prime INPUTS'!$C$332/1000</f>
        <v>#DIV/0!</v>
      </c>
      <c r="AH103" s="1601" t="e">
        <f>'Prime INPUTS'!S278/'Prime INPUTS'!$C$332/1000</f>
        <v>#DIV/0!</v>
      </c>
      <c r="AI103" s="1601" t="e">
        <f t="shared" si="47"/>
        <v>#DIV/0!</v>
      </c>
      <c r="AJ103" s="1602" t="e">
        <f t="shared" si="48"/>
        <v>#DIV/0!</v>
      </c>
      <c r="AL103" s="1681"/>
      <c r="AM103" s="1681"/>
      <c r="AN103" s="1681"/>
      <c r="AO103" s="1681"/>
      <c r="AP103" s="1681"/>
      <c r="AQ103" s="1681"/>
      <c r="AR103" s="1681"/>
      <c r="AS103" s="1681"/>
      <c r="AT103" s="1681"/>
      <c r="AU103" s="1681"/>
      <c r="AV103" s="1681"/>
      <c r="AW103" s="1681"/>
      <c r="AX103" s="1683"/>
      <c r="AY103" s="1683"/>
      <c r="AZ103" s="1683"/>
      <c r="BA103" s="1681"/>
    </row>
    <row r="104" spans="1:53" s="1562" customFormat="1" ht="16.5" x14ac:dyDescent="0.25">
      <c r="A104" s="1545"/>
      <c r="B104" s="2571"/>
      <c r="C104" s="1546">
        <f t="shared" si="32"/>
        <v>2018</v>
      </c>
      <c r="D104" s="1591" t="e">
        <f t="shared" si="38"/>
        <v>#N/A</v>
      </c>
      <c r="E104" s="1591" t="e">
        <f t="shared" si="38"/>
        <v>#N/A</v>
      </c>
      <c r="F104" s="1591" t="e">
        <f t="shared" si="38"/>
        <v>#N/A</v>
      </c>
      <c r="G104" s="1591" t="e">
        <f t="shared" si="39"/>
        <v>#N/A</v>
      </c>
      <c r="H104" s="1592" t="e">
        <f t="shared" si="40"/>
        <v>#N/A</v>
      </c>
      <c r="I104" s="1593"/>
      <c r="J104" s="1546">
        <f t="shared" si="34"/>
        <v>2018</v>
      </c>
      <c r="K104" s="1776" t="e">
        <f>'Prime INPUTS'!Q234/'Prime INPUTS'!$C$332/1000</f>
        <v>#N/A</v>
      </c>
      <c r="L104" s="1776" t="e">
        <f>'Prime INPUTS'!R234/'Prime INPUTS'!$C$332/1000</f>
        <v>#N/A</v>
      </c>
      <c r="M104" s="1776" t="e">
        <f>'Prime INPUTS'!S234/'Prime INPUTS'!$C$332/1000</f>
        <v>#N/A</v>
      </c>
      <c r="N104" s="1777" t="e">
        <f t="shared" si="41"/>
        <v>#N/A</v>
      </c>
      <c r="O104" s="1778" t="e">
        <f t="shared" si="42"/>
        <v>#N/A</v>
      </c>
      <c r="P104" s="1596"/>
      <c r="Q104" s="1546">
        <f t="shared" si="35"/>
        <v>2018</v>
      </c>
      <c r="R104" s="1597" t="e">
        <f>'Prime INPUTS'!Q254/'Prime INPUTS'!$C$332/1000</f>
        <v>#N/A</v>
      </c>
      <c r="S104" s="1597" t="e">
        <f>'Prime INPUTS'!R254/'Prime INPUTS'!$C$332/1000</f>
        <v>#N/A</v>
      </c>
      <c r="T104" s="1597" t="e">
        <f>'Prime INPUTS'!S254/'Prime INPUTS'!$C$332/1000</f>
        <v>#N/A</v>
      </c>
      <c r="U104" s="1597" t="e">
        <f t="shared" si="43"/>
        <v>#N/A</v>
      </c>
      <c r="V104" s="1598" t="e">
        <f t="shared" si="44"/>
        <v>#N/A</v>
      </c>
      <c r="W104" s="1596"/>
      <c r="X104" s="1546">
        <f t="shared" si="36"/>
        <v>2018</v>
      </c>
      <c r="Y104" s="1599" t="e">
        <f>'Prime INPUTS'!Q267/'Prime INPUTS'!$C$332/1000</f>
        <v>#N/A</v>
      </c>
      <c r="Z104" s="1599" t="e">
        <f>'Prime INPUTS'!R267/'Prime INPUTS'!$C$332/1000</f>
        <v>#N/A</v>
      </c>
      <c r="AA104" s="1599" t="e">
        <f>'Prime INPUTS'!S267/'Prime INPUTS'!$C$332/1000</f>
        <v>#N/A</v>
      </c>
      <c r="AB104" s="1599" t="e">
        <f t="shared" si="45"/>
        <v>#N/A</v>
      </c>
      <c r="AC104" s="1600" t="e">
        <f t="shared" si="46"/>
        <v>#N/A</v>
      </c>
      <c r="AD104" s="1596"/>
      <c r="AE104" s="1546">
        <f t="shared" si="37"/>
        <v>2018</v>
      </c>
      <c r="AF104" s="1601" t="e">
        <f>'Prime INPUTS'!Q279/'Prime INPUTS'!$C$332/1000</f>
        <v>#DIV/0!</v>
      </c>
      <c r="AG104" s="1601" t="e">
        <f>'Prime INPUTS'!R279/'Prime INPUTS'!$C$332/1000</f>
        <v>#DIV/0!</v>
      </c>
      <c r="AH104" s="1601" t="e">
        <f>'Prime INPUTS'!S279/'Prime INPUTS'!$C$332/1000</f>
        <v>#DIV/0!</v>
      </c>
      <c r="AI104" s="1601" t="e">
        <f t="shared" si="47"/>
        <v>#DIV/0!</v>
      </c>
      <c r="AJ104" s="1602" t="e">
        <f t="shared" si="48"/>
        <v>#DIV/0!</v>
      </c>
      <c r="AL104" s="1681"/>
      <c r="AM104" s="1681"/>
      <c r="AN104" s="1681"/>
      <c r="AO104" s="1681"/>
      <c r="AP104" s="1681"/>
      <c r="AQ104" s="1681"/>
      <c r="AR104" s="1681"/>
      <c r="AS104" s="1681"/>
      <c r="AT104" s="1681"/>
      <c r="AU104" s="1681"/>
      <c r="AV104" s="1681"/>
      <c r="AW104" s="1681"/>
      <c r="AX104" s="1683"/>
      <c r="AY104" s="1683"/>
      <c r="AZ104" s="1683"/>
      <c r="BA104" s="1681"/>
    </row>
    <row r="105" spans="1:53" s="1562" customFormat="1" ht="16.5" x14ac:dyDescent="0.25">
      <c r="A105" s="1545"/>
      <c r="B105" s="2571"/>
      <c r="C105" s="1546">
        <f t="shared" si="32"/>
        <v>2019</v>
      </c>
      <c r="D105" s="1591" t="e">
        <f t="shared" si="38"/>
        <v>#N/A</v>
      </c>
      <c r="E105" s="1591" t="e">
        <f t="shared" si="38"/>
        <v>#N/A</v>
      </c>
      <c r="F105" s="1591" t="e">
        <f t="shared" si="38"/>
        <v>#N/A</v>
      </c>
      <c r="G105" s="1591" t="e">
        <f t="shared" si="39"/>
        <v>#N/A</v>
      </c>
      <c r="H105" s="1592" t="e">
        <f t="shared" si="40"/>
        <v>#N/A</v>
      </c>
      <c r="I105" s="1593"/>
      <c r="J105" s="1546">
        <f t="shared" si="34"/>
        <v>2019</v>
      </c>
      <c r="K105" s="1776" t="e">
        <f>'Prime INPUTS'!Q235/'Prime INPUTS'!$C$332/1000</f>
        <v>#N/A</v>
      </c>
      <c r="L105" s="1776" t="e">
        <f>'Prime INPUTS'!R235/'Prime INPUTS'!$C$332/1000</f>
        <v>#N/A</v>
      </c>
      <c r="M105" s="1776" t="e">
        <f>'Prime INPUTS'!S235/'Prime INPUTS'!$C$332/1000</f>
        <v>#N/A</v>
      </c>
      <c r="N105" s="1777" t="e">
        <f t="shared" si="41"/>
        <v>#N/A</v>
      </c>
      <c r="O105" s="1778" t="e">
        <f t="shared" si="42"/>
        <v>#N/A</v>
      </c>
      <c r="P105" s="1596"/>
      <c r="Q105" s="1546">
        <f t="shared" si="35"/>
        <v>2019</v>
      </c>
      <c r="R105" s="1597" t="e">
        <f>'Prime INPUTS'!Q255/'Prime INPUTS'!$C$332/1000</f>
        <v>#N/A</v>
      </c>
      <c r="S105" s="1597" t="e">
        <f>'Prime INPUTS'!R255/'Prime INPUTS'!$C$332/1000</f>
        <v>#N/A</v>
      </c>
      <c r="T105" s="1597" t="e">
        <f>'Prime INPUTS'!S255/'Prime INPUTS'!$C$332/1000</f>
        <v>#N/A</v>
      </c>
      <c r="U105" s="1597" t="e">
        <f t="shared" si="43"/>
        <v>#N/A</v>
      </c>
      <c r="V105" s="1598" t="e">
        <f t="shared" si="44"/>
        <v>#N/A</v>
      </c>
      <c r="W105" s="1596"/>
      <c r="X105" s="1546">
        <f t="shared" si="36"/>
        <v>2019</v>
      </c>
      <c r="Y105" s="1599" t="e">
        <f>'Prime INPUTS'!Q268/'Prime INPUTS'!$C$332/1000</f>
        <v>#N/A</v>
      </c>
      <c r="Z105" s="1599" t="e">
        <f>'Prime INPUTS'!R268/'Prime INPUTS'!$C$332/1000</f>
        <v>#N/A</v>
      </c>
      <c r="AA105" s="1599" t="e">
        <f>'Prime INPUTS'!S268/'Prime INPUTS'!$C$332/1000</f>
        <v>#N/A</v>
      </c>
      <c r="AB105" s="1599" t="e">
        <f t="shared" si="45"/>
        <v>#N/A</v>
      </c>
      <c r="AC105" s="1600" t="e">
        <f t="shared" si="46"/>
        <v>#N/A</v>
      </c>
      <c r="AD105" s="1596"/>
      <c r="AE105" s="1546">
        <f t="shared" si="37"/>
        <v>2019</v>
      </c>
      <c r="AF105" s="1601" t="e">
        <f>'Prime INPUTS'!Q280/'Prime INPUTS'!$C$332/1000</f>
        <v>#DIV/0!</v>
      </c>
      <c r="AG105" s="1601" t="e">
        <f>'Prime INPUTS'!R280/'Prime INPUTS'!$C$332/1000</f>
        <v>#DIV/0!</v>
      </c>
      <c r="AH105" s="1601" t="e">
        <f>'Prime INPUTS'!S280/'Prime INPUTS'!$C$332/1000</f>
        <v>#DIV/0!</v>
      </c>
      <c r="AI105" s="1601" t="e">
        <f t="shared" si="47"/>
        <v>#DIV/0!</v>
      </c>
      <c r="AJ105" s="1602" t="e">
        <f t="shared" si="48"/>
        <v>#DIV/0!</v>
      </c>
      <c r="AL105" s="1681"/>
      <c r="AM105" s="1681"/>
      <c r="AN105" s="1681"/>
      <c r="AO105" s="1681"/>
      <c r="AP105" s="1681"/>
      <c r="AQ105" s="1681"/>
      <c r="AR105" s="1681"/>
      <c r="AS105" s="1681"/>
      <c r="AT105" s="1681"/>
      <c r="AU105" s="1681"/>
      <c r="AV105" s="1681"/>
      <c r="AW105" s="1681"/>
      <c r="AX105" s="1683"/>
      <c r="AY105" s="1683"/>
      <c r="AZ105" s="1683"/>
      <c r="BA105" s="1681"/>
    </row>
    <row r="106" spans="1:53" s="1562" customFormat="1" ht="16.5" x14ac:dyDescent="0.25">
      <c r="A106" s="1545"/>
      <c r="B106" s="2572"/>
      <c r="C106" s="1546">
        <f t="shared" si="32"/>
        <v>2020</v>
      </c>
      <c r="D106" s="1591" t="e">
        <f t="shared" si="38"/>
        <v>#N/A</v>
      </c>
      <c r="E106" s="1591" t="e">
        <f t="shared" si="38"/>
        <v>#N/A</v>
      </c>
      <c r="F106" s="1591" t="e">
        <f t="shared" si="38"/>
        <v>#N/A</v>
      </c>
      <c r="G106" s="1591" t="e">
        <f t="shared" si="39"/>
        <v>#N/A</v>
      </c>
      <c r="H106" s="1592" t="e">
        <f t="shared" si="40"/>
        <v>#N/A</v>
      </c>
      <c r="I106" s="1593"/>
      <c r="J106" s="1546">
        <f t="shared" si="34"/>
        <v>2020</v>
      </c>
      <c r="K106" s="1776" t="e">
        <f>'Prime INPUTS'!Q236/'Prime INPUTS'!$C$332/1000</f>
        <v>#N/A</v>
      </c>
      <c r="L106" s="1776" t="e">
        <f>'Prime INPUTS'!R236/'Prime INPUTS'!$C$332/1000</f>
        <v>#N/A</v>
      </c>
      <c r="M106" s="1776" t="e">
        <f>'Prime INPUTS'!S236/'Prime INPUTS'!$C$332/1000</f>
        <v>#N/A</v>
      </c>
      <c r="N106" s="1777" t="e">
        <f t="shared" si="41"/>
        <v>#N/A</v>
      </c>
      <c r="O106" s="1778" t="e">
        <f t="shared" si="42"/>
        <v>#N/A</v>
      </c>
      <c r="P106" s="1596"/>
      <c r="Q106" s="1546">
        <f t="shared" si="35"/>
        <v>2020</v>
      </c>
      <c r="R106" s="1597" t="e">
        <f>'Prime INPUTS'!Q256/'Prime INPUTS'!$C$332/1000</f>
        <v>#N/A</v>
      </c>
      <c r="S106" s="1597" t="e">
        <f>'Prime INPUTS'!R256/'Prime INPUTS'!$C$332/1000</f>
        <v>#N/A</v>
      </c>
      <c r="T106" s="1597" t="e">
        <f>'Prime INPUTS'!S256/'Prime INPUTS'!$C$332/1000</f>
        <v>#N/A</v>
      </c>
      <c r="U106" s="1597" t="e">
        <f t="shared" si="43"/>
        <v>#N/A</v>
      </c>
      <c r="V106" s="1598" t="e">
        <f t="shared" si="44"/>
        <v>#N/A</v>
      </c>
      <c r="W106" s="1596"/>
      <c r="X106" s="1546">
        <f t="shared" si="36"/>
        <v>2020</v>
      </c>
      <c r="Y106" s="1599" t="e">
        <f>'Prime INPUTS'!Q269/'Prime INPUTS'!$C$332/1000</f>
        <v>#N/A</v>
      </c>
      <c r="Z106" s="1599" t="e">
        <f>'Prime INPUTS'!R269/'Prime INPUTS'!$C$332/1000</f>
        <v>#N/A</v>
      </c>
      <c r="AA106" s="1599" t="e">
        <f>'Prime INPUTS'!S269/'Prime INPUTS'!$C$332/1000</f>
        <v>#N/A</v>
      </c>
      <c r="AB106" s="1599" t="e">
        <f t="shared" si="45"/>
        <v>#N/A</v>
      </c>
      <c r="AC106" s="1600" t="e">
        <f t="shared" si="46"/>
        <v>#N/A</v>
      </c>
      <c r="AD106" s="1596"/>
      <c r="AE106" s="1546">
        <f t="shared" si="37"/>
        <v>2020</v>
      </c>
      <c r="AF106" s="1601" t="e">
        <f>'Prime INPUTS'!Q281/'Prime INPUTS'!$C$332/1000</f>
        <v>#DIV/0!</v>
      </c>
      <c r="AG106" s="1601" t="e">
        <f>'Prime INPUTS'!R281/'Prime INPUTS'!$C$332/1000</f>
        <v>#DIV/0!</v>
      </c>
      <c r="AH106" s="1601" t="e">
        <f>'Prime INPUTS'!S281/'Prime INPUTS'!$C$332/1000</f>
        <v>#DIV/0!</v>
      </c>
      <c r="AI106" s="1601" t="e">
        <f t="shared" si="47"/>
        <v>#DIV/0!</v>
      </c>
      <c r="AJ106" s="1602" t="e">
        <f t="shared" si="48"/>
        <v>#DIV/0!</v>
      </c>
      <c r="AL106" s="1681"/>
      <c r="AM106" s="1681"/>
      <c r="AN106" s="1681"/>
      <c r="AO106" s="1681"/>
      <c r="AP106" s="1681"/>
      <c r="AQ106" s="1681"/>
      <c r="AR106" s="1681"/>
      <c r="AS106" s="1681"/>
      <c r="AT106" s="1681"/>
      <c r="AU106" s="1681"/>
      <c r="AV106" s="1681"/>
      <c r="AW106" s="1681"/>
      <c r="AX106" s="1683"/>
      <c r="AY106" s="1683"/>
      <c r="AZ106" s="1683"/>
      <c r="BA106" s="1681"/>
    </row>
    <row r="107" spans="1:53" s="1545" customFormat="1" ht="16.5" x14ac:dyDescent="0.25">
      <c r="B107" s="1564"/>
      <c r="C107" s="1565"/>
      <c r="D107" s="1565"/>
      <c r="E107" s="1566"/>
      <c r="F107" s="1566"/>
      <c r="G107" s="1566"/>
      <c r="H107" s="1566"/>
      <c r="I107" s="1566"/>
      <c r="J107" s="1565"/>
      <c r="K107" s="1565"/>
      <c r="L107" s="1567"/>
      <c r="M107" s="1567"/>
      <c r="N107" s="1567"/>
      <c r="O107" s="1567"/>
      <c r="P107" s="1567"/>
      <c r="Q107" s="1565"/>
      <c r="R107" s="1567"/>
      <c r="S107" s="1567"/>
      <c r="T107" s="1567"/>
      <c r="U107" s="1567"/>
      <c r="V107" s="1565"/>
      <c r="W107" s="1565"/>
      <c r="X107" s="1565"/>
      <c r="Y107" s="1565"/>
      <c r="Z107" s="1565"/>
      <c r="AA107" s="1565"/>
      <c r="AB107" s="1565"/>
      <c r="AC107" s="1565"/>
      <c r="AD107" s="1565"/>
      <c r="AE107" s="1565"/>
      <c r="AF107" s="1565"/>
      <c r="AG107" s="1565"/>
      <c r="AH107" s="1565"/>
      <c r="AI107" s="1565"/>
      <c r="AJ107" s="1565"/>
      <c r="AL107" s="1684"/>
      <c r="AM107" s="1684"/>
      <c r="AN107" s="1684"/>
      <c r="AO107" s="1684"/>
      <c r="AP107" s="1684"/>
      <c r="AQ107" s="1684"/>
      <c r="AR107" s="1684"/>
      <c r="AS107" s="1684"/>
      <c r="AT107" s="1684"/>
      <c r="AU107" s="1684"/>
      <c r="AV107" s="1684"/>
      <c r="AW107" s="1684"/>
      <c r="AX107" s="1685"/>
      <c r="AY107" s="1685"/>
      <c r="AZ107" s="1685"/>
      <c r="BA107" s="1684"/>
    </row>
    <row r="108" spans="1:53" s="1590" customFormat="1" ht="16.5" customHeight="1" x14ac:dyDescent="0.25">
      <c r="A108" s="1589"/>
      <c r="B108" s="2569" t="str">
        <f>"Gross "&amp;F7&amp;"-related Output (Thousands of 2010$)"</f>
        <v>Gross &lt;Please select&gt;-related Output (Thousands of 2010$)</v>
      </c>
      <c r="C108" s="1699"/>
      <c r="D108" s="1760" t="str">
        <f>D$88</f>
        <v>Total (Manufacturing, Installation, Fuel, and Maintenance)</v>
      </c>
      <c r="E108" s="1779"/>
      <c r="F108" s="1779"/>
      <c r="G108" s="1779"/>
      <c r="H108" s="1780"/>
      <c r="I108" s="1569"/>
      <c r="J108" s="1762"/>
      <c r="K108" s="1738" t="str">
        <f>K98</f>
        <v>Fuel Cell Manufacturing, Development, Sales, and Shipping</v>
      </c>
      <c r="L108" s="1764"/>
      <c r="M108" s="1764"/>
      <c r="N108" s="1764"/>
      <c r="O108" s="1764"/>
      <c r="P108" s="1584"/>
      <c r="Q108" s="1762"/>
      <c r="R108" s="1765" t="str">
        <f>R98</f>
        <v>Prime Power Fuel Cell Installation and Fuel Storage</v>
      </c>
      <c r="S108" s="1766"/>
      <c r="T108" s="1766"/>
      <c r="U108" s="1766"/>
      <c r="V108" s="1766"/>
      <c r="W108" s="1584"/>
      <c r="X108" s="1762"/>
      <c r="Y108" s="1767" t="str">
        <f>Y98</f>
        <v xml:space="preserve"> Fuel Production and Delivery</v>
      </c>
      <c r="Z108" s="1768"/>
      <c r="AA108" s="1768"/>
      <c r="AB108" s="1768"/>
      <c r="AC108" s="1768"/>
      <c r="AD108" s="1584"/>
      <c r="AE108" s="1762"/>
      <c r="AF108" s="1769" t="str">
        <f>AF98</f>
        <v>Prime Power Fuel Cell Maintenance</v>
      </c>
      <c r="AG108" s="1770"/>
      <c r="AH108" s="1770"/>
      <c r="AI108" s="1770"/>
      <c r="AJ108" s="1770"/>
    </row>
    <row r="109" spans="1:53" s="1695" customFormat="1" ht="16.5" x14ac:dyDescent="0.25">
      <c r="A109" s="1688"/>
      <c r="B109" s="2313"/>
      <c r="C109" s="1689"/>
      <c r="D109" s="1733" t="str">
        <f>B108</f>
        <v>Gross &lt;Please select&gt;-related Output (Thousands of 2010$)</v>
      </c>
      <c r="E109" s="1735"/>
      <c r="F109" s="1735"/>
      <c r="G109" s="1735"/>
      <c r="H109" s="1735"/>
      <c r="I109" s="1688"/>
      <c r="J109" s="1771"/>
      <c r="K109" s="1747" t="str">
        <f>D109</f>
        <v>Gross &lt;Please select&gt;-related Output (Thousands of 2010$)</v>
      </c>
      <c r="L109" s="1748"/>
      <c r="M109" s="1772"/>
      <c r="N109" s="1772"/>
      <c r="O109" s="1772"/>
      <c r="Q109" s="1771"/>
      <c r="R109" s="1749" t="str">
        <f>K109</f>
        <v>Gross &lt;Please select&gt;-related Output (Thousands of 2010$)</v>
      </c>
      <c r="S109" s="1750"/>
      <c r="T109" s="1773"/>
      <c r="U109" s="1773"/>
      <c r="V109" s="1773"/>
      <c r="X109" s="1771"/>
      <c r="Y109" s="1751" t="str">
        <f>R109</f>
        <v>Gross &lt;Please select&gt;-related Output (Thousands of 2010$)</v>
      </c>
      <c r="Z109" s="1752"/>
      <c r="AA109" s="1774"/>
      <c r="AB109" s="1774"/>
      <c r="AC109" s="1774"/>
      <c r="AE109" s="1771"/>
      <c r="AF109" s="1753" t="str">
        <f>Y109</f>
        <v>Gross &lt;Please select&gt;-related Output (Thousands of 2010$)</v>
      </c>
      <c r="AG109" s="1754"/>
      <c r="AH109" s="1775"/>
      <c r="AI109" s="1775"/>
      <c r="AJ109" s="1775"/>
    </row>
    <row r="110" spans="1:53" s="1590" customFormat="1" ht="63" x14ac:dyDescent="0.25">
      <c r="A110" s="1589"/>
      <c r="B110" s="2313"/>
      <c r="C110" s="1585" t="str">
        <f t="shared" ref="C110:C116" si="49">C100</f>
        <v>Year</v>
      </c>
      <c r="D110" s="1528" t="str">
        <f>D90</f>
        <v>Gross &lt;Please select&gt;-related Direct</v>
      </c>
      <c r="E110" s="1528" t="str">
        <f t="shared" ref="E110:H110" si="50">E90</f>
        <v>Gross &lt;Please select&gt;-related Indirect</v>
      </c>
      <c r="F110" s="1528" t="str">
        <f t="shared" si="50"/>
        <v>Gross &lt;Please select&gt;-related Induced</v>
      </c>
      <c r="G110" s="1755" t="str">
        <f t="shared" si="50"/>
        <v>Gross &lt;Please select&gt;-related Supply Chain</v>
      </c>
      <c r="H110" s="1755" t="str">
        <f t="shared" si="50"/>
        <v>Gross &lt;Please select&gt;-related Total</v>
      </c>
      <c r="I110" s="1530"/>
      <c r="J110" s="1527" t="str">
        <f t="shared" ref="J110:J116" si="51">C110</f>
        <v>Year</v>
      </c>
      <c r="K110" s="1756" t="str">
        <f>K$180&amp;" "&amp;K$181</f>
        <v>Gross &lt;Please select&gt; Unit Direct</v>
      </c>
      <c r="L110" s="1756" t="str">
        <f>L$180&amp;" "&amp;L$181</f>
        <v>Gross &lt;Please select&gt; Unit Indirect</v>
      </c>
      <c r="M110" s="1756" t="str">
        <f>M$180&amp;" "&amp;M$181</f>
        <v>Gross &lt;Please select&gt; Unit Induced</v>
      </c>
      <c r="N110" s="1757" t="str">
        <f>N$180&amp;" "&amp;N$181</f>
        <v>Gross &lt;Please select&gt; Unit Supply Chain</v>
      </c>
      <c r="O110" s="1757" t="str">
        <f>O$180&amp;" "&amp;O$181</f>
        <v>Gross &lt;Please select&gt; Unit Total</v>
      </c>
      <c r="P110" s="1533"/>
      <c r="Q110" s="1527" t="str">
        <f t="shared" ref="Q110:Q116" si="52">J110</f>
        <v>Year</v>
      </c>
      <c r="R110" s="1534" t="str">
        <f>R$180&amp;" "&amp;R$181</f>
        <v>Gross &lt;Please select&gt; Installation Direct</v>
      </c>
      <c r="S110" s="1534" t="str">
        <f>S$180&amp;" "&amp;S$181</f>
        <v>Gross &lt;Please select&gt; Installation Indirect</v>
      </c>
      <c r="T110" s="1534" t="str">
        <f>T$180&amp;" "&amp;T$181</f>
        <v>Gross &lt;Please select&gt; Installation Induced</v>
      </c>
      <c r="U110" s="1535" t="str">
        <f>U$180&amp;" "&amp;U$181</f>
        <v>Gross &lt;Please select&gt; Installation Supply Chain</v>
      </c>
      <c r="V110" s="1535" t="str">
        <f>V$180&amp;" "&amp;V$181</f>
        <v>Gross &lt;Please select&gt; Installation Total</v>
      </c>
      <c r="W110" s="1533"/>
      <c r="X110" s="1527" t="str">
        <f t="shared" ref="X110:X116" si="53">Q110</f>
        <v>Year</v>
      </c>
      <c r="Y110" s="1536" t="str">
        <f>Y$180&amp;" "&amp;Y$181</f>
        <v>Gross &lt;Please select&gt; Fuel Direct</v>
      </c>
      <c r="Z110" s="1536" t="str">
        <f>Z$180&amp;" "&amp;Z$181</f>
        <v>Gross &lt;Please select&gt; Fuel Indirect</v>
      </c>
      <c r="AA110" s="1536" t="str">
        <f>AA$180&amp;" "&amp;AA$181</f>
        <v>Gross &lt;Please select&gt; Fuel Induced</v>
      </c>
      <c r="AB110" s="1537" t="str">
        <f>AB$180&amp;" "&amp;AB$181</f>
        <v>Gross &lt;Please select&gt; Fuel Supply Chain</v>
      </c>
      <c r="AC110" s="1537" t="str">
        <f>AC$180&amp;" "&amp;AC$181</f>
        <v>Gross &lt;Please select&gt; Fuel Total</v>
      </c>
      <c r="AD110" s="1533"/>
      <c r="AE110" s="1527" t="str">
        <f t="shared" ref="AE110:AE116" si="54">X110</f>
        <v>Year</v>
      </c>
      <c r="AF110" s="1538" t="str">
        <f>AF$180&amp;" "&amp;AF$181</f>
        <v>Gross &lt;Please select&gt; Maintenance Direct</v>
      </c>
      <c r="AG110" s="1538" t="str">
        <f>AG$180&amp;" "&amp;AG$181</f>
        <v>Gross &lt;Please select&gt; Maintenance Indirect</v>
      </c>
      <c r="AH110" s="1538" t="str">
        <f>AH$180&amp;" "&amp;AH$181</f>
        <v>Gross &lt;Please select&gt; Maintenance Induced</v>
      </c>
      <c r="AI110" s="1539" t="str">
        <f>AI$180&amp;" "&amp;AI$181</f>
        <v>Gross &lt;Please select&gt; Maintenance Supply Chain</v>
      </c>
      <c r="AJ110" s="1539" t="str">
        <f>AJ$180&amp;" "&amp;AJ$181</f>
        <v>Gross &lt;Please select&gt; Maintenance Total</v>
      </c>
    </row>
    <row r="111" spans="1:53" s="1562" customFormat="1" ht="15.75" x14ac:dyDescent="0.25">
      <c r="A111" s="1545"/>
      <c r="B111" s="2313"/>
      <c r="C111" s="1546">
        <f t="shared" si="49"/>
        <v>2015</v>
      </c>
      <c r="D111" s="1591" t="e">
        <f t="shared" ref="D111:F116" si="55">K111+R111+Y111+AF111</f>
        <v>#DIV/0!</v>
      </c>
      <c r="E111" s="1591" t="e">
        <f t="shared" si="55"/>
        <v>#N/A</v>
      </c>
      <c r="F111" s="1591" t="e">
        <f t="shared" si="55"/>
        <v>#N/A</v>
      </c>
      <c r="G111" s="1591" t="e">
        <f t="shared" ref="G111:G116" si="56">D111+E111</f>
        <v>#DIV/0!</v>
      </c>
      <c r="H111" s="1592" t="e">
        <f t="shared" ref="H111:H116" si="57">D111+E111+F111</f>
        <v>#DIV/0!</v>
      </c>
      <c r="I111" s="1593"/>
      <c r="J111" s="1546">
        <f t="shared" si="51"/>
        <v>2015</v>
      </c>
      <c r="K111" s="1776" t="e">
        <f>'Prime INPUTS'!W231/'Prime INPUTS'!$C$332/1000</f>
        <v>#DIV/0!</v>
      </c>
      <c r="L111" s="1776" t="e">
        <f>'Prime INPUTS'!X231/'Prime INPUTS'!$C$332/1000</f>
        <v>#N/A</v>
      </c>
      <c r="M111" s="1776" t="e">
        <f>'Prime INPUTS'!Y231/'Prime INPUTS'!$C$332/1000</f>
        <v>#N/A</v>
      </c>
      <c r="N111" s="1777" t="e">
        <f t="shared" ref="N111:N116" si="58">K111+L111</f>
        <v>#DIV/0!</v>
      </c>
      <c r="O111" s="1778" t="e">
        <f t="shared" ref="O111:O116" si="59">K111+L111+M111</f>
        <v>#DIV/0!</v>
      </c>
      <c r="P111" s="1596"/>
      <c r="Q111" s="1546">
        <f t="shared" si="52"/>
        <v>2015</v>
      </c>
      <c r="R111" s="1597" t="e">
        <f>'Prime INPUTS'!W251/'Prime INPUTS'!$C$332/1000</f>
        <v>#N/A</v>
      </c>
      <c r="S111" s="1597" t="e">
        <f>'Prime INPUTS'!X251/'Prime INPUTS'!$C$332/1000</f>
        <v>#N/A</v>
      </c>
      <c r="T111" s="1597" t="e">
        <f>'Prime INPUTS'!Y251/'Prime INPUTS'!$C$332/1000</f>
        <v>#N/A</v>
      </c>
      <c r="U111" s="1597" t="e">
        <f t="shared" ref="U111:U116" si="60">R111+S111</f>
        <v>#N/A</v>
      </c>
      <c r="V111" s="1598" t="e">
        <f t="shared" ref="V111:V116" si="61">R111+S111+T111</f>
        <v>#N/A</v>
      </c>
      <c r="W111" s="1596"/>
      <c r="X111" s="1546">
        <f t="shared" si="53"/>
        <v>2015</v>
      </c>
      <c r="Y111" s="1599" t="e">
        <f>'Prime INPUTS'!W264/'Prime INPUTS'!$C$332/1000</f>
        <v>#N/A</v>
      </c>
      <c r="Z111" s="1599" t="e">
        <f>'Prime INPUTS'!X264/'Prime INPUTS'!$C$332/1000</f>
        <v>#N/A</v>
      </c>
      <c r="AA111" s="1599" t="e">
        <f>'Prime INPUTS'!Y264/'Prime INPUTS'!$C$332/1000</f>
        <v>#N/A</v>
      </c>
      <c r="AB111" s="1599" t="e">
        <f t="shared" ref="AB111:AB116" si="62">Y111+Z111</f>
        <v>#N/A</v>
      </c>
      <c r="AC111" s="1600" t="e">
        <f t="shared" ref="AC111:AC116" si="63">Y111+Z111+AA111</f>
        <v>#N/A</v>
      </c>
      <c r="AD111" s="1596"/>
      <c r="AE111" s="1546">
        <f t="shared" si="54"/>
        <v>2015</v>
      </c>
      <c r="AF111" s="1601" t="e">
        <f>'Prime INPUTS'!W276/'Prime INPUTS'!$C$332/1000</f>
        <v>#DIV/0!</v>
      </c>
      <c r="AG111" s="1601" t="e">
        <f>'Prime INPUTS'!X276/'Prime INPUTS'!$C$332/1000</f>
        <v>#DIV/0!</v>
      </c>
      <c r="AH111" s="1601" t="e">
        <f>'Prime INPUTS'!Y276/'Prime INPUTS'!$C$332/1000</f>
        <v>#DIV/0!</v>
      </c>
      <c r="AI111" s="1601" t="e">
        <f t="shared" ref="AI111:AI116" si="64">AF111+AG111</f>
        <v>#DIV/0!</v>
      </c>
      <c r="AJ111" s="1602" t="e">
        <f t="shared" ref="AJ111:AJ116" si="65">AF111+AG111+AH111</f>
        <v>#DIV/0!</v>
      </c>
    </row>
    <row r="112" spans="1:53" s="1562" customFormat="1" ht="15.75" x14ac:dyDescent="0.25">
      <c r="A112" s="1545"/>
      <c r="B112" s="2313"/>
      <c r="C112" s="1546">
        <f t="shared" si="49"/>
        <v>2016</v>
      </c>
      <c r="D112" s="1591" t="e">
        <f t="shared" si="55"/>
        <v>#DIV/0!</v>
      </c>
      <c r="E112" s="1591" t="e">
        <f t="shared" si="55"/>
        <v>#N/A</v>
      </c>
      <c r="F112" s="1591" t="e">
        <f t="shared" si="55"/>
        <v>#N/A</v>
      </c>
      <c r="G112" s="1591" t="e">
        <f t="shared" si="56"/>
        <v>#DIV/0!</v>
      </c>
      <c r="H112" s="1592" t="e">
        <f t="shared" si="57"/>
        <v>#DIV/0!</v>
      </c>
      <c r="I112" s="1593"/>
      <c r="J112" s="1546">
        <f t="shared" si="51"/>
        <v>2016</v>
      </c>
      <c r="K112" s="1776" t="e">
        <f>'Prime INPUTS'!W232/'Prime INPUTS'!$C$332/1000</f>
        <v>#DIV/0!</v>
      </c>
      <c r="L112" s="1776" t="e">
        <f>'Prime INPUTS'!X232/'Prime INPUTS'!$C$332/1000</f>
        <v>#N/A</v>
      </c>
      <c r="M112" s="1776" t="e">
        <f>'Prime INPUTS'!Y232/'Prime INPUTS'!$C$332/1000</f>
        <v>#N/A</v>
      </c>
      <c r="N112" s="1777" t="e">
        <f t="shared" si="58"/>
        <v>#DIV/0!</v>
      </c>
      <c r="O112" s="1778" t="e">
        <f t="shared" si="59"/>
        <v>#DIV/0!</v>
      </c>
      <c r="P112" s="1596"/>
      <c r="Q112" s="1546">
        <f t="shared" si="52"/>
        <v>2016</v>
      </c>
      <c r="R112" s="1597" t="e">
        <f>'Prime INPUTS'!W252/'Prime INPUTS'!$C$332/1000</f>
        <v>#N/A</v>
      </c>
      <c r="S112" s="1597" t="e">
        <f>'Prime INPUTS'!X252/'Prime INPUTS'!$C$332/1000</f>
        <v>#N/A</v>
      </c>
      <c r="T112" s="1597" t="e">
        <f>'Prime INPUTS'!Y252/'Prime INPUTS'!$C$332/1000</f>
        <v>#N/A</v>
      </c>
      <c r="U112" s="1597" t="e">
        <f t="shared" si="60"/>
        <v>#N/A</v>
      </c>
      <c r="V112" s="1598" t="e">
        <f t="shared" si="61"/>
        <v>#N/A</v>
      </c>
      <c r="W112" s="1596"/>
      <c r="X112" s="1546">
        <f t="shared" si="53"/>
        <v>2016</v>
      </c>
      <c r="Y112" s="1599" t="e">
        <f>'Prime INPUTS'!W265/'Prime INPUTS'!$C$332/1000</f>
        <v>#N/A</v>
      </c>
      <c r="Z112" s="1599" t="e">
        <f>'Prime INPUTS'!X265/'Prime INPUTS'!$C$332/1000</f>
        <v>#N/A</v>
      </c>
      <c r="AA112" s="1599" t="e">
        <f>'Prime INPUTS'!Y265/'Prime INPUTS'!$C$332/1000</f>
        <v>#N/A</v>
      </c>
      <c r="AB112" s="1599" t="e">
        <f t="shared" si="62"/>
        <v>#N/A</v>
      </c>
      <c r="AC112" s="1600" t="e">
        <f t="shared" si="63"/>
        <v>#N/A</v>
      </c>
      <c r="AD112" s="1596"/>
      <c r="AE112" s="1546">
        <f t="shared" si="54"/>
        <v>2016</v>
      </c>
      <c r="AF112" s="1601" t="e">
        <f>'Prime INPUTS'!W277/'Prime INPUTS'!$C$332/1000</f>
        <v>#DIV/0!</v>
      </c>
      <c r="AG112" s="1601" t="e">
        <f>'Prime INPUTS'!X277/'Prime INPUTS'!$C$332/1000</f>
        <v>#DIV/0!</v>
      </c>
      <c r="AH112" s="1601" t="e">
        <f>'Prime INPUTS'!Y277/'Prime INPUTS'!$C$332/1000</f>
        <v>#DIV/0!</v>
      </c>
      <c r="AI112" s="1601" t="e">
        <f t="shared" si="64"/>
        <v>#DIV/0!</v>
      </c>
      <c r="AJ112" s="1602" t="e">
        <f t="shared" si="65"/>
        <v>#DIV/0!</v>
      </c>
    </row>
    <row r="113" spans="1:36" s="1562" customFormat="1" ht="15.75" x14ac:dyDescent="0.25">
      <c r="A113" s="1545"/>
      <c r="B113" s="2313"/>
      <c r="C113" s="1546">
        <f t="shared" si="49"/>
        <v>2017</v>
      </c>
      <c r="D113" s="1591" t="e">
        <f t="shared" si="55"/>
        <v>#DIV/0!</v>
      </c>
      <c r="E113" s="1591" t="e">
        <f t="shared" si="55"/>
        <v>#N/A</v>
      </c>
      <c r="F113" s="1591" t="e">
        <f t="shared" si="55"/>
        <v>#N/A</v>
      </c>
      <c r="G113" s="1591" t="e">
        <f t="shared" si="56"/>
        <v>#DIV/0!</v>
      </c>
      <c r="H113" s="1592" t="e">
        <f t="shared" si="57"/>
        <v>#DIV/0!</v>
      </c>
      <c r="I113" s="1593"/>
      <c r="J113" s="1546">
        <f t="shared" si="51"/>
        <v>2017</v>
      </c>
      <c r="K113" s="1776" t="e">
        <f>'Prime INPUTS'!W233/'Prime INPUTS'!$C$332/1000</f>
        <v>#DIV/0!</v>
      </c>
      <c r="L113" s="1776" t="e">
        <f>'Prime INPUTS'!X233/'Prime INPUTS'!$C$332/1000</f>
        <v>#N/A</v>
      </c>
      <c r="M113" s="1776" t="e">
        <f>'Prime INPUTS'!Y233/'Prime INPUTS'!$C$332/1000</f>
        <v>#N/A</v>
      </c>
      <c r="N113" s="1777" t="e">
        <f t="shared" si="58"/>
        <v>#DIV/0!</v>
      </c>
      <c r="O113" s="1778" t="e">
        <f t="shared" si="59"/>
        <v>#DIV/0!</v>
      </c>
      <c r="P113" s="1596"/>
      <c r="Q113" s="1546">
        <f t="shared" si="52"/>
        <v>2017</v>
      </c>
      <c r="R113" s="1597" t="e">
        <f>'Prime INPUTS'!W253/'Prime INPUTS'!$C$332/1000</f>
        <v>#N/A</v>
      </c>
      <c r="S113" s="1597" t="e">
        <f>'Prime INPUTS'!X253/'Prime INPUTS'!$C$332/1000</f>
        <v>#N/A</v>
      </c>
      <c r="T113" s="1597" t="e">
        <f>'Prime INPUTS'!Y253/'Prime INPUTS'!$C$332/1000</f>
        <v>#N/A</v>
      </c>
      <c r="U113" s="1597" t="e">
        <f t="shared" si="60"/>
        <v>#N/A</v>
      </c>
      <c r="V113" s="1598" t="e">
        <f t="shared" si="61"/>
        <v>#N/A</v>
      </c>
      <c r="W113" s="1596"/>
      <c r="X113" s="1546">
        <f t="shared" si="53"/>
        <v>2017</v>
      </c>
      <c r="Y113" s="1599" t="e">
        <f>'Prime INPUTS'!W266/'Prime INPUTS'!$C$332/1000</f>
        <v>#N/A</v>
      </c>
      <c r="Z113" s="1599" t="e">
        <f>'Prime INPUTS'!X266/'Prime INPUTS'!$C$332/1000</f>
        <v>#N/A</v>
      </c>
      <c r="AA113" s="1599" t="e">
        <f>'Prime INPUTS'!Y266/'Prime INPUTS'!$C$332/1000</f>
        <v>#N/A</v>
      </c>
      <c r="AB113" s="1599" t="e">
        <f t="shared" si="62"/>
        <v>#N/A</v>
      </c>
      <c r="AC113" s="1600" t="e">
        <f t="shared" si="63"/>
        <v>#N/A</v>
      </c>
      <c r="AD113" s="1596"/>
      <c r="AE113" s="1546">
        <f t="shared" si="54"/>
        <v>2017</v>
      </c>
      <c r="AF113" s="1601" t="e">
        <f>'Prime INPUTS'!W278/'Prime INPUTS'!$C$332/1000</f>
        <v>#DIV/0!</v>
      </c>
      <c r="AG113" s="1601" t="e">
        <f>'Prime INPUTS'!X278/'Prime INPUTS'!$C$332/1000</f>
        <v>#DIV/0!</v>
      </c>
      <c r="AH113" s="1601" t="e">
        <f>'Prime INPUTS'!Y278/'Prime INPUTS'!$C$332/1000</f>
        <v>#DIV/0!</v>
      </c>
      <c r="AI113" s="1601" t="e">
        <f t="shared" si="64"/>
        <v>#DIV/0!</v>
      </c>
      <c r="AJ113" s="1602" t="e">
        <f t="shared" si="65"/>
        <v>#DIV/0!</v>
      </c>
    </row>
    <row r="114" spans="1:36" s="1562" customFormat="1" ht="15.75" x14ac:dyDescent="0.25">
      <c r="A114" s="1545"/>
      <c r="B114" s="2313"/>
      <c r="C114" s="1546">
        <f t="shared" si="49"/>
        <v>2018</v>
      </c>
      <c r="D114" s="1591" t="e">
        <f t="shared" si="55"/>
        <v>#DIV/0!</v>
      </c>
      <c r="E114" s="1591" t="e">
        <f t="shared" si="55"/>
        <v>#N/A</v>
      </c>
      <c r="F114" s="1591" t="e">
        <f t="shared" si="55"/>
        <v>#N/A</v>
      </c>
      <c r="G114" s="1591" t="e">
        <f t="shared" si="56"/>
        <v>#DIV/0!</v>
      </c>
      <c r="H114" s="1592" t="e">
        <f t="shared" si="57"/>
        <v>#DIV/0!</v>
      </c>
      <c r="I114" s="1593"/>
      <c r="J114" s="1546">
        <f t="shared" si="51"/>
        <v>2018</v>
      </c>
      <c r="K114" s="1776" t="e">
        <f>'Prime INPUTS'!W234/'Prime INPUTS'!$C$332/1000</f>
        <v>#DIV/0!</v>
      </c>
      <c r="L114" s="1776" t="e">
        <f>'Prime INPUTS'!X234/'Prime INPUTS'!$C$332/1000</f>
        <v>#N/A</v>
      </c>
      <c r="M114" s="1776" t="e">
        <f>'Prime INPUTS'!Y234/'Prime INPUTS'!$C$332/1000</f>
        <v>#N/A</v>
      </c>
      <c r="N114" s="1777" t="e">
        <f t="shared" si="58"/>
        <v>#DIV/0!</v>
      </c>
      <c r="O114" s="1778" t="e">
        <f t="shared" si="59"/>
        <v>#DIV/0!</v>
      </c>
      <c r="P114" s="1596"/>
      <c r="Q114" s="1546">
        <f t="shared" si="52"/>
        <v>2018</v>
      </c>
      <c r="R114" s="1597" t="e">
        <f>'Prime INPUTS'!W254/'Prime INPUTS'!$C$332/1000</f>
        <v>#N/A</v>
      </c>
      <c r="S114" s="1597" t="e">
        <f>'Prime INPUTS'!X254/'Prime INPUTS'!$C$332/1000</f>
        <v>#N/A</v>
      </c>
      <c r="T114" s="1597" t="e">
        <f>'Prime INPUTS'!Y254/'Prime INPUTS'!$C$332/1000</f>
        <v>#N/A</v>
      </c>
      <c r="U114" s="1597" t="e">
        <f t="shared" si="60"/>
        <v>#N/A</v>
      </c>
      <c r="V114" s="1598" t="e">
        <f t="shared" si="61"/>
        <v>#N/A</v>
      </c>
      <c r="W114" s="1596"/>
      <c r="X114" s="1546">
        <f t="shared" si="53"/>
        <v>2018</v>
      </c>
      <c r="Y114" s="1599" t="e">
        <f>'Prime INPUTS'!W267/'Prime INPUTS'!$C$332/1000</f>
        <v>#N/A</v>
      </c>
      <c r="Z114" s="1599" t="e">
        <f>'Prime INPUTS'!X267/'Prime INPUTS'!$C$332/1000</f>
        <v>#N/A</v>
      </c>
      <c r="AA114" s="1599" t="e">
        <f>'Prime INPUTS'!Y267/'Prime INPUTS'!$C$332/1000</f>
        <v>#N/A</v>
      </c>
      <c r="AB114" s="1599" t="e">
        <f t="shared" si="62"/>
        <v>#N/A</v>
      </c>
      <c r="AC114" s="1600" t="e">
        <f t="shared" si="63"/>
        <v>#N/A</v>
      </c>
      <c r="AD114" s="1596"/>
      <c r="AE114" s="1546">
        <f t="shared" si="54"/>
        <v>2018</v>
      </c>
      <c r="AF114" s="1601" t="e">
        <f>'Prime INPUTS'!W279/'Prime INPUTS'!$C$332/1000</f>
        <v>#DIV/0!</v>
      </c>
      <c r="AG114" s="1601" t="e">
        <f>'Prime INPUTS'!X279/'Prime INPUTS'!$C$332/1000</f>
        <v>#DIV/0!</v>
      </c>
      <c r="AH114" s="1601" t="e">
        <f>'Prime INPUTS'!Y279/'Prime INPUTS'!$C$332/1000</f>
        <v>#DIV/0!</v>
      </c>
      <c r="AI114" s="1601" t="e">
        <f t="shared" si="64"/>
        <v>#DIV/0!</v>
      </c>
      <c r="AJ114" s="1602" t="e">
        <f t="shared" si="65"/>
        <v>#DIV/0!</v>
      </c>
    </row>
    <row r="115" spans="1:36" s="1562" customFormat="1" ht="15.75" x14ac:dyDescent="0.25">
      <c r="A115" s="1545"/>
      <c r="B115" s="2313"/>
      <c r="C115" s="1546">
        <f t="shared" si="49"/>
        <v>2019</v>
      </c>
      <c r="D115" s="1591" t="e">
        <f t="shared" si="55"/>
        <v>#DIV/0!</v>
      </c>
      <c r="E115" s="1591" t="e">
        <f t="shared" si="55"/>
        <v>#N/A</v>
      </c>
      <c r="F115" s="1591" t="e">
        <f t="shared" si="55"/>
        <v>#N/A</v>
      </c>
      <c r="G115" s="1591" t="e">
        <f t="shared" si="56"/>
        <v>#DIV/0!</v>
      </c>
      <c r="H115" s="1592" t="e">
        <f t="shared" si="57"/>
        <v>#DIV/0!</v>
      </c>
      <c r="I115" s="1593"/>
      <c r="J115" s="1546">
        <f t="shared" si="51"/>
        <v>2019</v>
      </c>
      <c r="K115" s="1776" t="e">
        <f>'Prime INPUTS'!W235/'Prime INPUTS'!$C$332/1000</f>
        <v>#DIV/0!</v>
      </c>
      <c r="L115" s="1776" t="e">
        <f>'Prime INPUTS'!X235/'Prime INPUTS'!$C$332/1000</f>
        <v>#N/A</v>
      </c>
      <c r="M115" s="1776" t="e">
        <f>'Prime INPUTS'!Y235/'Prime INPUTS'!$C$332/1000</f>
        <v>#N/A</v>
      </c>
      <c r="N115" s="1777" t="e">
        <f t="shared" si="58"/>
        <v>#DIV/0!</v>
      </c>
      <c r="O115" s="1778" t="e">
        <f t="shared" si="59"/>
        <v>#DIV/0!</v>
      </c>
      <c r="P115" s="1596"/>
      <c r="Q115" s="1546">
        <f t="shared" si="52"/>
        <v>2019</v>
      </c>
      <c r="R115" s="1597" t="e">
        <f>'Prime INPUTS'!W255/'Prime INPUTS'!$C$332/1000</f>
        <v>#N/A</v>
      </c>
      <c r="S115" s="1597" t="e">
        <f>'Prime INPUTS'!X255/'Prime INPUTS'!$C$332/1000</f>
        <v>#N/A</v>
      </c>
      <c r="T115" s="1597" t="e">
        <f>'Prime INPUTS'!Y255/'Prime INPUTS'!$C$332/1000</f>
        <v>#N/A</v>
      </c>
      <c r="U115" s="1597" t="e">
        <f t="shared" si="60"/>
        <v>#N/A</v>
      </c>
      <c r="V115" s="1598" t="e">
        <f t="shared" si="61"/>
        <v>#N/A</v>
      </c>
      <c r="W115" s="1596"/>
      <c r="X115" s="1546">
        <f t="shared" si="53"/>
        <v>2019</v>
      </c>
      <c r="Y115" s="1599" t="e">
        <f>'Prime INPUTS'!W268/'Prime INPUTS'!$C$332/1000</f>
        <v>#N/A</v>
      </c>
      <c r="Z115" s="1599" t="e">
        <f>'Prime INPUTS'!X268/'Prime INPUTS'!$C$332/1000</f>
        <v>#N/A</v>
      </c>
      <c r="AA115" s="1599" t="e">
        <f>'Prime INPUTS'!Y268/'Prime INPUTS'!$C$332/1000</f>
        <v>#N/A</v>
      </c>
      <c r="AB115" s="1599" t="e">
        <f t="shared" si="62"/>
        <v>#N/A</v>
      </c>
      <c r="AC115" s="1600" t="e">
        <f t="shared" si="63"/>
        <v>#N/A</v>
      </c>
      <c r="AD115" s="1596"/>
      <c r="AE115" s="1546">
        <f t="shared" si="54"/>
        <v>2019</v>
      </c>
      <c r="AF115" s="1601" t="e">
        <f>'Prime INPUTS'!W280/'Prime INPUTS'!$C$332/1000</f>
        <v>#DIV/0!</v>
      </c>
      <c r="AG115" s="1601" t="e">
        <f>'Prime INPUTS'!X280/'Prime INPUTS'!$C$332/1000</f>
        <v>#DIV/0!</v>
      </c>
      <c r="AH115" s="1601" t="e">
        <f>'Prime INPUTS'!Y280/'Prime INPUTS'!$C$332/1000</f>
        <v>#DIV/0!</v>
      </c>
      <c r="AI115" s="1601" t="e">
        <f t="shared" si="64"/>
        <v>#DIV/0!</v>
      </c>
      <c r="AJ115" s="1602" t="e">
        <f t="shared" si="65"/>
        <v>#DIV/0!</v>
      </c>
    </row>
    <row r="116" spans="1:36" s="1562" customFormat="1" ht="15.75" x14ac:dyDescent="0.25">
      <c r="A116" s="1545"/>
      <c r="B116" s="2322"/>
      <c r="C116" s="1546">
        <f t="shared" si="49"/>
        <v>2020</v>
      </c>
      <c r="D116" s="1591" t="e">
        <f t="shared" si="55"/>
        <v>#DIV/0!</v>
      </c>
      <c r="E116" s="1591" t="e">
        <f t="shared" si="55"/>
        <v>#N/A</v>
      </c>
      <c r="F116" s="1591" t="e">
        <f t="shared" si="55"/>
        <v>#N/A</v>
      </c>
      <c r="G116" s="1591" t="e">
        <f t="shared" si="56"/>
        <v>#DIV/0!</v>
      </c>
      <c r="H116" s="1592" t="e">
        <f t="shared" si="57"/>
        <v>#DIV/0!</v>
      </c>
      <c r="I116" s="1593"/>
      <c r="J116" s="1546">
        <f t="shared" si="51"/>
        <v>2020</v>
      </c>
      <c r="K116" s="1776" t="e">
        <f>'Prime INPUTS'!W236/'Prime INPUTS'!$C$332/1000</f>
        <v>#DIV/0!</v>
      </c>
      <c r="L116" s="1776" t="e">
        <f>'Prime INPUTS'!X236/'Prime INPUTS'!$C$332/1000</f>
        <v>#N/A</v>
      </c>
      <c r="M116" s="1776" t="e">
        <f>'Prime INPUTS'!Y236/'Prime INPUTS'!$C$332/1000</f>
        <v>#N/A</v>
      </c>
      <c r="N116" s="1777" t="e">
        <f t="shared" si="58"/>
        <v>#DIV/0!</v>
      </c>
      <c r="O116" s="1778" t="e">
        <f t="shared" si="59"/>
        <v>#DIV/0!</v>
      </c>
      <c r="P116" s="1596"/>
      <c r="Q116" s="1546">
        <f t="shared" si="52"/>
        <v>2020</v>
      </c>
      <c r="R116" s="1597" t="e">
        <f>'Prime INPUTS'!W256/'Prime INPUTS'!$C$332/1000</f>
        <v>#N/A</v>
      </c>
      <c r="S116" s="1597" t="e">
        <f>'Prime INPUTS'!X256/'Prime INPUTS'!$C$332/1000</f>
        <v>#N/A</v>
      </c>
      <c r="T116" s="1597" t="e">
        <f>'Prime INPUTS'!Y256/'Prime INPUTS'!$C$332/1000</f>
        <v>#N/A</v>
      </c>
      <c r="U116" s="1597" t="e">
        <f t="shared" si="60"/>
        <v>#N/A</v>
      </c>
      <c r="V116" s="1598" t="e">
        <f t="shared" si="61"/>
        <v>#N/A</v>
      </c>
      <c r="W116" s="1596"/>
      <c r="X116" s="1546">
        <f t="shared" si="53"/>
        <v>2020</v>
      </c>
      <c r="Y116" s="1599" t="e">
        <f>'Prime INPUTS'!W269/'Prime INPUTS'!$C$332/1000</f>
        <v>#N/A</v>
      </c>
      <c r="Z116" s="1599" t="e">
        <f>'Prime INPUTS'!X269/'Prime INPUTS'!$C$332/1000</f>
        <v>#N/A</v>
      </c>
      <c r="AA116" s="1599" t="e">
        <f>'Prime INPUTS'!Y269/'Prime INPUTS'!$C$332/1000</f>
        <v>#N/A</v>
      </c>
      <c r="AB116" s="1599" t="e">
        <f t="shared" si="62"/>
        <v>#N/A</v>
      </c>
      <c r="AC116" s="1600" t="e">
        <f t="shared" si="63"/>
        <v>#N/A</v>
      </c>
      <c r="AD116" s="1596"/>
      <c r="AE116" s="1546">
        <f t="shared" si="54"/>
        <v>2020</v>
      </c>
      <c r="AF116" s="1601" t="e">
        <f>'Prime INPUTS'!W281/'Prime INPUTS'!$C$332/1000</f>
        <v>#DIV/0!</v>
      </c>
      <c r="AG116" s="1601" t="e">
        <f>'Prime INPUTS'!X281/'Prime INPUTS'!$C$332/1000</f>
        <v>#DIV/0!</v>
      </c>
      <c r="AH116" s="1601" t="e">
        <f>'Prime INPUTS'!Y281/'Prime INPUTS'!$C$332/1000</f>
        <v>#DIV/0!</v>
      </c>
      <c r="AI116" s="1601" t="e">
        <f t="shared" si="64"/>
        <v>#DIV/0!</v>
      </c>
      <c r="AJ116" s="1602" t="e">
        <f t="shared" si="65"/>
        <v>#DIV/0!</v>
      </c>
    </row>
    <row r="117" spans="1:36" s="1407" customFormat="1" x14ac:dyDescent="0.25">
      <c r="E117" s="1487"/>
      <c r="F117" s="1487"/>
      <c r="G117" s="1487"/>
      <c r="H117" s="1487"/>
      <c r="I117" s="1487"/>
      <c r="K117" s="1488"/>
      <c r="L117" s="1488"/>
      <c r="M117" s="1488"/>
      <c r="N117" s="1488"/>
      <c r="O117" s="1488"/>
      <c r="P117" s="1488"/>
      <c r="Q117" s="1610"/>
      <c r="R117" s="1488"/>
      <c r="S117" s="1488"/>
      <c r="T117" s="1488"/>
      <c r="U117" s="1488"/>
    </row>
    <row r="118" spans="1:36" s="1407" customFormat="1" x14ac:dyDescent="0.25">
      <c r="D118" s="1487"/>
      <c r="E118" s="1487"/>
      <c r="F118" s="1487"/>
      <c r="G118" s="1487"/>
      <c r="H118" s="1609"/>
      <c r="I118" s="1609"/>
      <c r="K118" s="1488"/>
      <c r="L118" s="1488"/>
      <c r="M118" s="1488"/>
      <c r="N118" s="1610"/>
      <c r="O118" s="1488"/>
      <c r="P118" s="1488"/>
      <c r="Q118" s="1488"/>
      <c r="R118" s="1488"/>
      <c r="S118" s="1488"/>
      <c r="T118" s="1610"/>
    </row>
    <row r="119" spans="1:36" s="1500" customFormat="1" ht="21" x14ac:dyDescent="0.35">
      <c r="A119" s="1407"/>
      <c r="B119" s="1499" t="str">
        <f>IF($F$6=Lists!$C$4,"Displaced Economic Impacts", "The tables below are only relevant for a Net analysis.")</f>
        <v>The tables below are only relevant for a Net analysis.</v>
      </c>
      <c r="E119" s="1501"/>
      <c r="F119" s="1501"/>
      <c r="G119" s="1501"/>
      <c r="H119" s="1501"/>
      <c r="I119" s="1501"/>
      <c r="K119" s="1502"/>
      <c r="L119" s="1502"/>
      <c r="M119" s="1502"/>
      <c r="N119" s="1502"/>
      <c r="O119" s="1502"/>
      <c r="P119" s="1502"/>
      <c r="Q119" s="1781"/>
      <c r="R119" s="1502"/>
      <c r="S119" s="1502"/>
      <c r="T119" s="1502"/>
      <c r="U119" s="1502"/>
    </row>
    <row r="120" spans="1:36" s="1407" customFormat="1" x14ac:dyDescent="0.25">
      <c r="E120" s="1487"/>
      <c r="F120" s="1487"/>
      <c r="G120" s="1487"/>
      <c r="H120" s="1487"/>
      <c r="I120" s="1487"/>
      <c r="J120" s="1487"/>
      <c r="K120" s="1488"/>
      <c r="L120" s="1488"/>
      <c r="M120" s="1488"/>
      <c r="N120" s="1488"/>
      <c r="O120" s="1488"/>
      <c r="P120" s="1488"/>
      <c r="Q120" s="1488"/>
      <c r="R120" s="1488"/>
      <c r="S120" s="1488"/>
      <c r="T120" s="1488"/>
      <c r="U120" s="1488"/>
    </row>
    <row r="121" spans="1:36" ht="16.5" x14ac:dyDescent="0.25">
      <c r="B121" s="2570" t="s">
        <v>1771</v>
      </c>
      <c r="C121" s="1732"/>
      <c r="D121" s="1733" t="str">
        <f>B121</f>
        <v>Displaced Electricity-related Employment (Job-years)</v>
      </c>
      <c r="E121" s="1734"/>
      <c r="F121" s="1734"/>
      <c r="G121" s="1734"/>
      <c r="H121" s="1734"/>
      <c r="I121" s="1487"/>
      <c r="J121" s="1487"/>
      <c r="K121" s="1488"/>
      <c r="L121" s="1488"/>
      <c r="M121" s="1488"/>
      <c r="N121" s="1488"/>
      <c r="O121" s="1488"/>
      <c r="P121" s="1488"/>
      <c r="Q121" s="1488"/>
      <c r="R121" s="1488"/>
      <c r="S121" s="1488"/>
      <c r="T121" s="1488"/>
      <c r="U121" s="1488"/>
      <c r="V121" s="1407"/>
      <c r="W121" s="1407"/>
      <c r="X121" s="1407"/>
      <c r="Y121" s="1407"/>
      <c r="Z121" s="1407"/>
      <c r="AA121" s="1407"/>
      <c r="AB121" s="1407"/>
      <c r="AC121" s="1407"/>
      <c r="AD121" s="1407"/>
      <c r="AE121" s="1407"/>
      <c r="AF121" s="1407"/>
      <c r="AG121" s="1407"/>
      <c r="AH121" s="1407"/>
      <c r="AI121" s="1407"/>
      <c r="AJ121" s="1407"/>
    </row>
    <row r="122" spans="1:36" ht="47.25" x14ac:dyDescent="0.25">
      <c r="B122" s="2571"/>
      <c r="C122" s="1527" t="s">
        <v>433</v>
      </c>
      <c r="D122" s="1528" t="str">
        <f>D$186&amp;" "&amp;D$187</f>
        <v>Displaced Electricity Direct</v>
      </c>
      <c r="E122" s="1528" t="str">
        <f t="shared" ref="E122:H122" si="66">E$186&amp;" "&amp;E$187</f>
        <v>Displaced Electricity Indirect</v>
      </c>
      <c r="F122" s="1528" t="str">
        <f t="shared" si="66"/>
        <v>Displaced Electricity Induced</v>
      </c>
      <c r="G122" s="1755" t="str">
        <f t="shared" si="66"/>
        <v>Displaced Electricity Supply Chain</v>
      </c>
      <c r="H122" s="1755" t="str">
        <f t="shared" si="66"/>
        <v>Displaced Electricity Total</v>
      </c>
      <c r="I122" s="1487"/>
      <c r="J122" s="1487"/>
      <c r="K122" s="1488"/>
      <c r="L122" s="1488"/>
      <c r="M122" s="1488"/>
      <c r="N122" s="1488"/>
      <c r="O122" s="1488"/>
      <c r="P122" s="1488"/>
      <c r="Q122" s="1488"/>
      <c r="R122" s="1488"/>
      <c r="S122" s="1488"/>
      <c r="T122" s="1488"/>
      <c r="U122" s="1488"/>
      <c r="V122" s="1407"/>
      <c r="W122" s="1407"/>
      <c r="X122" s="1407"/>
      <c r="Y122" s="1407"/>
      <c r="Z122" s="1407"/>
      <c r="AA122" s="1407"/>
      <c r="AB122" s="1407"/>
      <c r="AC122" s="1407"/>
      <c r="AD122" s="1407"/>
      <c r="AE122" s="1407"/>
      <c r="AF122" s="1407"/>
      <c r="AG122" s="1407"/>
      <c r="AH122" s="1407"/>
      <c r="AI122" s="1407"/>
      <c r="AJ122" s="1407"/>
    </row>
    <row r="123" spans="1:36" ht="15.75" customHeight="1" x14ac:dyDescent="0.25">
      <c r="B123" s="2571"/>
      <c r="C123" s="1546">
        <v>2015</v>
      </c>
      <c r="D123" s="1547" t="e">
        <f>-'Prime INPUTS'!K288</f>
        <v>#N/A</v>
      </c>
      <c r="E123" s="1547" t="e">
        <f>-'Prime INPUTS'!L288</f>
        <v>#N/A</v>
      </c>
      <c r="F123" s="1547" t="e">
        <f>-'Prime INPUTS'!M288</f>
        <v>#N/A</v>
      </c>
      <c r="G123" s="1547" t="e">
        <f t="shared" ref="G123:G128" si="67">D123+E123</f>
        <v>#N/A</v>
      </c>
      <c r="H123" s="1548" t="e">
        <f t="shared" ref="H123:H128" si="68">D123+E123+F123</f>
        <v>#N/A</v>
      </c>
      <c r="I123" s="1487"/>
      <c r="J123" s="1487"/>
      <c r="K123" s="1488"/>
      <c r="L123" s="1488"/>
      <c r="M123" s="1488"/>
      <c r="N123" s="1488"/>
      <c r="O123" s="1488"/>
      <c r="P123" s="1488"/>
      <c r="Q123" s="1488"/>
      <c r="R123" s="1488"/>
      <c r="S123" s="1488"/>
      <c r="T123" s="1488"/>
      <c r="U123" s="1488"/>
      <c r="V123" s="1407"/>
      <c r="W123" s="1407"/>
      <c r="X123" s="1407"/>
      <c r="Y123" s="1407"/>
      <c r="Z123" s="1407"/>
      <c r="AA123" s="1407"/>
      <c r="AB123" s="1407"/>
      <c r="AC123" s="1407"/>
      <c r="AD123" s="1407"/>
      <c r="AE123" s="1407"/>
      <c r="AF123" s="1407"/>
      <c r="AG123" s="1407"/>
      <c r="AH123" s="1407"/>
      <c r="AI123" s="1407"/>
      <c r="AJ123" s="1407"/>
    </row>
    <row r="124" spans="1:36" ht="15.75" customHeight="1" x14ac:dyDescent="0.25">
      <c r="B124" s="2571"/>
      <c r="C124" s="1546">
        <v>2016</v>
      </c>
      <c r="D124" s="1547" t="e">
        <f>-'Prime INPUTS'!K289</f>
        <v>#N/A</v>
      </c>
      <c r="E124" s="1547" t="e">
        <f>-'Prime INPUTS'!L289</f>
        <v>#N/A</v>
      </c>
      <c r="F124" s="1547" t="e">
        <f>-'Prime INPUTS'!M289</f>
        <v>#N/A</v>
      </c>
      <c r="G124" s="1547" t="e">
        <f t="shared" si="67"/>
        <v>#N/A</v>
      </c>
      <c r="H124" s="1548" t="e">
        <f t="shared" si="68"/>
        <v>#N/A</v>
      </c>
      <c r="I124" s="1487"/>
      <c r="J124" s="1487"/>
      <c r="K124" s="1488"/>
      <c r="L124" s="1488"/>
      <c r="M124" s="1488"/>
      <c r="N124" s="1488"/>
      <c r="O124" s="1488"/>
      <c r="P124" s="1488"/>
      <c r="Q124" s="1488"/>
      <c r="R124" s="1488"/>
      <c r="S124" s="1488"/>
      <c r="T124" s="1488"/>
      <c r="U124" s="1488"/>
      <c r="V124" s="1407"/>
      <c r="W124" s="1407"/>
      <c r="X124" s="1407"/>
      <c r="Y124" s="1407"/>
      <c r="Z124" s="1407"/>
      <c r="AA124" s="1407"/>
      <c r="AB124" s="1407"/>
      <c r="AC124" s="1407"/>
      <c r="AD124" s="1407"/>
      <c r="AE124" s="1407"/>
      <c r="AF124" s="1407"/>
      <c r="AG124" s="1407"/>
      <c r="AH124" s="1407"/>
      <c r="AI124" s="1407"/>
      <c r="AJ124" s="1407"/>
    </row>
    <row r="125" spans="1:36" ht="15.75" customHeight="1" x14ac:dyDescent="0.25">
      <c r="B125" s="2571"/>
      <c r="C125" s="1546">
        <v>2017</v>
      </c>
      <c r="D125" s="1547" t="e">
        <f>-'Prime INPUTS'!K290</f>
        <v>#N/A</v>
      </c>
      <c r="E125" s="1547" t="e">
        <f>-'Prime INPUTS'!L290</f>
        <v>#N/A</v>
      </c>
      <c r="F125" s="1547" t="e">
        <f>-'Prime INPUTS'!M290</f>
        <v>#N/A</v>
      </c>
      <c r="G125" s="1547" t="e">
        <f t="shared" si="67"/>
        <v>#N/A</v>
      </c>
      <c r="H125" s="1548" t="e">
        <f t="shared" si="68"/>
        <v>#N/A</v>
      </c>
      <c r="I125" s="1487"/>
      <c r="J125" s="1487"/>
      <c r="K125" s="1488"/>
      <c r="L125" s="1488"/>
      <c r="M125" s="1488"/>
      <c r="N125" s="1488"/>
      <c r="O125" s="1488"/>
      <c r="P125" s="1488"/>
      <c r="Q125" s="1488"/>
      <c r="R125" s="1488"/>
      <c r="S125" s="1488"/>
      <c r="T125" s="1488"/>
      <c r="U125" s="1488"/>
      <c r="V125" s="1407"/>
      <c r="W125" s="1407"/>
      <c r="X125" s="1407"/>
      <c r="Y125" s="1407"/>
      <c r="Z125" s="1407"/>
      <c r="AA125" s="1407"/>
      <c r="AB125" s="1407"/>
      <c r="AC125" s="1407"/>
      <c r="AD125" s="1407"/>
      <c r="AE125" s="1407"/>
      <c r="AF125" s="1407"/>
      <c r="AG125" s="1407"/>
      <c r="AH125" s="1407"/>
      <c r="AI125" s="1407"/>
      <c r="AJ125" s="1407"/>
    </row>
    <row r="126" spans="1:36" ht="15.75" customHeight="1" x14ac:dyDescent="0.25">
      <c r="B126" s="2571"/>
      <c r="C126" s="1546">
        <v>2018</v>
      </c>
      <c r="D126" s="1547" t="e">
        <f>-'Prime INPUTS'!K291</f>
        <v>#N/A</v>
      </c>
      <c r="E126" s="1547" t="e">
        <f>-'Prime INPUTS'!L291</f>
        <v>#N/A</v>
      </c>
      <c r="F126" s="1547" t="e">
        <f>-'Prime INPUTS'!M291</f>
        <v>#N/A</v>
      </c>
      <c r="G126" s="1547" t="e">
        <f t="shared" si="67"/>
        <v>#N/A</v>
      </c>
      <c r="H126" s="1548" t="e">
        <f t="shared" si="68"/>
        <v>#N/A</v>
      </c>
      <c r="I126" s="1487"/>
      <c r="J126" s="1487"/>
      <c r="K126" s="1488"/>
      <c r="L126" s="1488"/>
      <c r="M126" s="1488"/>
      <c r="N126" s="1488"/>
      <c r="O126" s="1488"/>
      <c r="P126" s="1488"/>
      <c r="Q126" s="1488"/>
      <c r="R126" s="1488"/>
      <c r="S126" s="1488"/>
      <c r="T126" s="1488"/>
      <c r="U126" s="1488"/>
      <c r="V126" s="1407"/>
      <c r="W126" s="1407"/>
      <c r="X126" s="1407"/>
      <c r="Y126" s="1407"/>
      <c r="Z126" s="1407"/>
      <c r="AA126" s="1407"/>
      <c r="AB126" s="1407"/>
      <c r="AC126" s="1407"/>
      <c r="AD126" s="1407"/>
      <c r="AE126" s="1407"/>
      <c r="AF126" s="1407"/>
      <c r="AG126" s="1407"/>
      <c r="AH126" s="1407"/>
      <c r="AI126" s="1407"/>
      <c r="AJ126" s="1407"/>
    </row>
    <row r="127" spans="1:36" ht="15.75" customHeight="1" x14ac:dyDescent="0.25">
      <c r="B127" s="2571"/>
      <c r="C127" s="1546">
        <v>2019</v>
      </c>
      <c r="D127" s="1547" t="e">
        <f>-'Prime INPUTS'!K292</f>
        <v>#N/A</v>
      </c>
      <c r="E127" s="1547" t="e">
        <f>-'Prime INPUTS'!L292</f>
        <v>#N/A</v>
      </c>
      <c r="F127" s="1547" t="e">
        <f>-'Prime INPUTS'!M292</f>
        <v>#N/A</v>
      </c>
      <c r="G127" s="1547" t="e">
        <f t="shared" si="67"/>
        <v>#N/A</v>
      </c>
      <c r="H127" s="1548" t="e">
        <f t="shared" si="68"/>
        <v>#N/A</v>
      </c>
      <c r="I127" s="1407"/>
      <c r="J127" s="1407"/>
      <c r="K127" s="1407"/>
      <c r="L127" s="1407"/>
      <c r="M127" s="1407"/>
      <c r="N127" s="1407"/>
      <c r="O127" s="1407"/>
      <c r="P127" s="1407"/>
      <c r="Q127" s="1407"/>
      <c r="R127" s="1407"/>
      <c r="S127" s="1407"/>
      <c r="T127" s="1407"/>
      <c r="U127" s="1407"/>
      <c r="V127" s="1407"/>
      <c r="W127" s="1407"/>
      <c r="X127" s="1407"/>
      <c r="Y127" s="1407"/>
      <c r="Z127" s="1407"/>
      <c r="AA127" s="1407"/>
      <c r="AB127" s="1407"/>
      <c r="AC127" s="1407"/>
      <c r="AD127" s="1407"/>
      <c r="AE127" s="1407"/>
      <c r="AF127" s="1407"/>
      <c r="AG127" s="1407"/>
      <c r="AH127" s="1407"/>
      <c r="AI127" s="1407"/>
      <c r="AJ127" s="1407"/>
    </row>
    <row r="128" spans="1:36" ht="15.75" customHeight="1" x14ac:dyDescent="0.25">
      <c r="B128" s="2572"/>
      <c r="C128" s="1546">
        <v>2020</v>
      </c>
      <c r="D128" s="1547" t="e">
        <f>-'Prime INPUTS'!K293</f>
        <v>#N/A</v>
      </c>
      <c r="E128" s="1547" t="e">
        <f>-'Prime INPUTS'!L293</f>
        <v>#N/A</v>
      </c>
      <c r="F128" s="1547" t="e">
        <f>-'Prime INPUTS'!M293</f>
        <v>#N/A</v>
      </c>
      <c r="G128" s="1547" t="e">
        <f t="shared" si="67"/>
        <v>#N/A</v>
      </c>
      <c r="H128" s="1548" t="e">
        <f t="shared" si="68"/>
        <v>#N/A</v>
      </c>
      <c r="I128" s="1407"/>
      <c r="J128" s="1407"/>
      <c r="K128" s="1407"/>
      <c r="L128" s="1407"/>
      <c r="M128" s="1407"/>
      <c r="N128" s="1407"/>
      <c r="O128" s="1407"/>
      <c r="P128" s="1407"/>
      <c r="Q128" s="1407"/>
      <c r="R128" s="1407"/>
      <c r="S128" s="1407"/>
      <c r="T128" s="1407"/>
      <c r="U128" s="1407"/>
      <c r="V128" s="1407"/>
      <c r="W128" s="1407"/>
      <c r="X128" s="1407"/>
      <c r="Y128" s="1407"/>
      <c r="Z128" s="1407"/>
      <c r="AA128" s="1407"/>
      <c r="AB128" s="1407"/>
      <c r="AC128" s="1407"/>
      <c r="AD128" s="1407"/>
      <c r="AE128" s="1407"/>
      <c r="AF128" s="1407"/>
      <c r="AG128" s="1407"/>
      <c r="AH128" s="1407"/>
      <c r="AI128" s="1407"/>
      <c r="AJ128" s="1407"/>
    </row>
    <row r="129" spans="2:36" s="1407" customFormat="1" ht="15.75" x14ac:dyDescent="0.25">
      <c r="B129" s="1564"/>
      <c r="C129" s="1565"/>
      <c r="D129" s="1565"/>
      <c r="E129" s="1566"/>
      <c r="F129" s="1566"/>
      <c r="G129" s="1566"/>
      <c r="H129" s="1566"/>
    </row>
    <row r="130" spans="2:36" ht="16.5" x14ac:dyDescent="0.25">
      <c r="B130" s="2570" t="s">
        <v>1772</v>
      </c>
      <c r="C130" s="1689"/>
      <c r="D130" s="1733" t="str">
        <f>B130</f>
        <v>Displaced Electricity-related Earnings (Thousands of 2010$)</v>
      </c>
      <c r="E130" s="1735"/>
      <c r="F130" s="1735"/>
      <c r="G130" s="1735"/>
      <c r="H130" s="1735"/>
      <c r="I130" s="1407"/>
      <c r="J130" s="1407"/>
      <c r="K130" s="1407"/>
      <c r="L130" s="1407"/>
      <c r="M130" s="1407"/>
      <c r="N130" s="1407"/>
      <c r="O130" s="1407"/>
      <c r="P130" s="1407"/>
      <c r="Q130" s="1407"/>
      <c r="R130" s="1407"/>
      <c r="S130" s="1407"/>
      <c r="T130" s="1407"/>
      <c r="U130" s="1407"/>
      <c r="V130" s="1407"/>
      <c r="W130" s="1407"/>
      <c r="X130" s="1407"/>
      <c r="Y130" s="1407"/>
      <c r="Z130" s="1407"/>
      <c r="AA130" s="1407"/>
      <c r="AB130" s="1407"/>
      <c r="AC130" s="1407"/>
      <c r="AD130" s="1407"/>
      <c r="AE130" s="1407"/>
      <c r="AF130" s="1407"/>
      <c r="AG130" s="1407"/>
      <c r="AH130" s="1407"/>
      <c r="AI130" s="1407"/>
      <c r="AJ130" s="1407"/>
    </row>
    <row r="131" spans="2:36" ht="47.25" x14ac:dyDescent="0.25">
      <c r="B131" s="2571"/>
      <c r="C131" s="1585" t="str">
        <f t="shared" ref="C131:H131" si="69">C122</f>
        <v>Year</v>
      </c>
      <c r="D131" s="1528" t="str">
        <f t="shared" si="69"/>
        <v>Displaced Electricity Direct</v>
      </c>
      <c r="E131" s="1528" t="str">
        <f t="shared" si="69"/>
        <v>Displaced Electricity Indirect</v>
      </c>
      <c r="F131" s="1528" t="str">
        <f t="shared" si="69"/>
        <v>Displaced Electricity Induced</v>
      </c>
      <c r="G131" s="1755" t="str">
        <f t="shared" si="69"/>
        <v>Displaced Electricity Supply Chain</v>
      </c>
      <c r="H131" s="1755" t="str">
        <f t="shared" si="69"/>
        <v>Displaced Electricity Total</v>
      </c>
      <c r="I131" s="1407"/>
      <c r="J131" s="1407"/>
      <c r="K131" s="1407"/>
      <c r="L131" s="1407"/>
      <c r="M131" s="1407"/>
      <c r="N131" s="1407"/>
      <c r="O131" s="1407"/>
      <c r="P131" s="1407"/>
      <c r="Q131" s="1407"/>
      <c r="R131" s="1407"/>
      <c r="S131" s="1407"/>
      <c r="T131" s="1407"/>
      <c r="U131" s="1407"/>
      <c r="V131" s="1407"/>
      <c r="W131" s="1407"/>
      <c r="X131" s="1407"/>
      <c r="Y131" s="1407"/>
      <c r="Z131" s="1407"/>
      <c r="AA131" s="1407"/>
      <c r="AB131" s="1407"/>
      <c r="AC131" s="1407"/>
      <c r="AD131" s="1407"/>
      <c r="AE131" s="1407"/>
      <c r="AF131" s="1407"/>
      <c r="AG131" s="1407"/>
      <c r="AH131" s="1407"/>
      <c r="AI131" s="1407"/>
      <c r="AJ131" s="1407"/>
    </row>
    <row r="132" spans="2:36" ht="15.75" customHeight="1" x14ac:dyDescent="0.25">
      <c r="B132" s="2571"/>
      <c r="C132" s="1546">
        <f t="shared" ref="C132:C137" si="70">C123</f>
        <v>2015</v>
      </c>
      <c r="D132" s="1591" t="e">
        <f>-'Prime INPUTS'!Q288/'Prime INPUTS'!$C$332/1000</f>
        <v>#N/A</v>
      </c>
      <c r="E132" s="1591" t="e">
        <f>-'Prime INPUTS'!R288/'Prime INPUTS'!$C$332/1000</f>
        <v>#N/A</v>
      </c>
      <c r="F132" s="1591" t="e">
        <f>-'Prime INPUTS'!S288/'Prime INPUTS'!$C$332/1000</f>
        <v>#N/A</v>
      </c>
      <c r="G132" s="1591" t="e">
        <f t="shared" ref="G132:G137" si="71">D132+E132</f>
        <v>#N/A</v>
      </c>
      <c r="H132" s="1592" t="e">
        <f t="shared" ref="H132:H137" si="72">D132+E132+F132</f>
        <v>#N/A</v>
      </c>
      <c r="I132" s="1407"/>
      <c r="J132" s="1407"/>
      <c r="K132" s="1407"/>
      <c r="L132" s="1407"/>
      <c r="M132" s="1407"/>
      <c r="N132" s="1407"/>
      <c r="O132" s="1407"/>
      <c r="P132" s="1407"/>
      <c r="Q132" s="1407"/>
      <c r="R132" s="1407"/>
      <c r="S132" s="1407"/>
      <c r="T132" s="1407"/>
      <c r="U132" s="1407"/>
      <c r="V132" s="1407"/>
      <c r="W132" s="1407"/>
      <c r="X132" s="1407"/>
      <c r="Y132" s="1407"/>
      <c r="Z132" s="1407"/>
      <c r="AA132" s="1407"/>
      <c r="AB132" s="1407"/>
      <c r="AC132" s="1407"/>
      <c r="AD132" s="1407"/>
      <c r="AE132" s="1407"/>
      <c r="AF132" s="1407"/>
      <c r="AG132" s="1407"/>
      <c r="AH132" s="1407"/>
      <c r="AI132" s="1407"/>
      <c r="AJ132" s="1407"/>
    </row>
    <row r="133" spans="2:36" ht="15.75" customHeight="1" x14ac:dyDescent="0.25">
      <c r="B133" s="2571"/>
      <c r="C133" s="1546">
        <f t="shared" si="70"/>
        <v>2016</v>
      </c>
      <c r="D133" s="1591" t="e">
        <f>-'Prime INPUTS'!Q289/'Prime INPUTS'!$C$332/1000</f>
        <v>#N/A</v>
      </c>
      <c r="E133" s="1591" t="e">
        <f>-'Prime INPUTS'!R289/'Prime INPUTS'!$C$332/1000</f>
        <v>#N/A</v>
      </c>
      <c r="F133" s="1591" t="e">
        <f>-'Prime INPUTS'!S289/'Prime INPUTS'!$C$332/1000</f>
        <v>#N/A</v>
      </c>
      <c r="G133" s="1591" t="e">
        <f t="shared" si="71"/>
        <v>#N/A</v>
      </c>
      <c r="H133" s="1592" t="e">
        <f t="shared" si="72"/>
        <v>#N/A</v>
      </c>
      <c r="I133" s="1407"/>
      <c r="J133" s="1407"/>
      <c r="K133" s="1407"/>
      <c r="L133" s="1407"/>
      <c r="M133" s="1407"/>
      <c r="N133" s="1407"/>
      <c r="O133" s="1407"/>
      <c r="P133" s="1407"/>
      <c r="Q133" s="1407"/>
      <c r="R133" s="1407"/>
      <c r="S133" s="1407"/>
      <c r="T133" s="1407"/>
      <c r="U133" s="1407"/>
      <c r="V133" s="1407"/>
      <c r="W133" s="1407"/>
      <c r="X133" s="1407"/>
      <c r="Y133" s="1407"/>
      <c r="Z133" s="1407"/>
      <c r="AA133" s="1407"/>
      <c r="AB133" s="1407"/>
      <c r="AC133" s="1407"/>
      <c r="AD133" s="1407"/>
      <c r="AE133" s="1407"/>
      <c r="AF133" s="1407"/>
      <c r="AG133" s="1407"/>
      <c r="AH133" s="1407"/>
      <c r="AI133" s="1407"/>
      <c r="AJ133" s="1407"/>
    </row>
    <row r="134" spans="2:36" ht="15.75" customHeight="1" x14ac:dyDescent="0.25">
      <c r="B134" s="2571"/>
      <c r="C134" s="1546">
        <f t="shared" si="70"/>
        <v>2017</v>
      </c>
      <c r="D134" s="1591" t="e">
        <f>-'Prime INPUTS'!Q290/'Prime INPUTS'!$C$332/1000</f>
        <v>#N/A</v>
      </c>
      <c r="E134" s="1591" t="e">
        <f>-'Prime INPUTS'!R290/'Prime INPUTS'!$C$332/1000</f>
        <v>#N/A</v>
      </c>
      <c r="F134" s="1591" t="e">
        <f>-'Prime INPUTS'!S290/'Prime INPUTS'!$C$332/1000</f>
        <v>#N/A</v>
      </c>
      <c r="G134" s="1591" t="e">
        <f t="shared" si="71"/>
        <v>#N/A</v>
      </c>
      <c r="H134" s="1592" t="e">
        <f t="shared" si="72"/>
        <v>#N/A</v>
      </c>
      <c r="I134" s="1407"/>
      <c r="J134" s="1407"/>
      <c r="K134" s="1407"/>
      <c r="L134" s="1407"/>
      <c r="M134" s="1407"/>
      <c r="N134" s="1407"/>
      <c r="O134" s="1407"/>
      <c r="P134" s="1407"/>
      <c r="Q134" s="1407"/>
      <c r="R134" s="1407"/>
      <c r="S134" s="1407"/>
      <c r="T134" s="1407"/>
      <c r="U134" s="1407"/>
      <c r="V134" s="1407"/>
      <c r="W134" s="1407"/>
      <c r="X134" s="1407"/>
      <c r="Y134" s="1407"/>
      <c r="Z134" s="1407"/>
      <c r="AA134" s="1407"/>
      <c r="AB134" s="1407"/>
      <c r="AC134" s="1407"/>
      <c r="AD134" s="1407"/>
      <c r="AE134" s="1407"/>
      <c r="AF134" s="1407"/>
      <c r="AG134" s="1407"/>
      <c r="AH134" s="1407"/>
      <c r="AI134" s="1407"/>
      <c r="AJ134" s="1407"/>
    </row>
    <row r="135" spans="2:36" ht="15.75" customHeight="1" x14ac:dyDescent="0.25">
      <c r="B135" s="2571"/>
      <c r="C135" s="1546">
        <f t="shared" si="70"/>
        <v>2018</v>
      </c>
      <c r="D135" s="1591" t="e">
        <f>-'Prime INPUTS'!Q291/'Prime INPUTS'!$C$332/1000</f>
        <v>#N/A</v>
      </c>
      <c r="E135" s="1591" t="e">
        <f>-'Prime INPUTS'!R291/'Prime INPUTS'!$C$332/1000</f>
        <v>#N/A</v>
      </c>
      <c r="F135" s="1591" t="e">
        <f>-'Prime INPUTS'!S291/'Prime INPUTS'!$C$332/1000</f>
        <v>#N/A</v>
      </c>
      <c r="G135" s="1591" t="e">
        <f t="shared" si="71"/>
        <v>#N/A</v>
      </c>
      <c r="H135" s="1592" t="e">
        <f t="shared" si="72"/>
        <v>#N/A</v>
      </c>
      <c r="I135" s="1407"/>
      <c r="J135" s="1407"/>
      <c r="K135" s="1407"/>
      <c r="L135" s="1407"/>
      <c r="M135" s="1407"/>
      <c r="N135" s="1407"/>
      <c r="O135" s="1407"/>
      <c r="P135" s="1407"/>
      <c r="Q135" s="1407"/>
      <c r="R135" s="1407"/>
      <c r="S135" s="1407"/>
      <c r="T135" s="1407"/>
      <c r="U135" s="1407"/>
      <c r="V135" s="1407"/>
      <c r="W135" s="1407"/>
      <c r="X135" s="1407"/>
      <c r="Y135" s="1407"/>
      <c r="Z135" s="1407"/>
      <c r="AA135" s="1407"/>
      <c r="AB135" s="1407"/>
      <c r="AC135" s="1407"/>
      <c r="AD135" s="1407"/>
      <c r="AE135" s="1407"/>
      <c r="AF135" s="1407"/>
      <c r="AG135" s="1407"/>
      <c r="AH135" s="1407"/>
      <c r="AI135" s="1407"/>
      <c r="AJ135" s="1407"/>
    </row>
    <row r="136" spans="2:36" ht="15.75" customHeight="1" x14ac:dyDescent="0.25">
      <c r="B136" s="2571"/>
      <c r="C136" s="1546">
        <f t="shared" si="70"/>
        <v>2019</v>
      </c>
      <c r="D136" s="1591" t="e">
        <f>-'Prime INPUTS'!Q292/'Prime INPUTS'!$C$332/1000</f>
        <v>#N/A</v>
      </c>
      <c r="E136" s="1591" t="e">
        <f>-'Prime INPUTS'!R292/'Prime INPUTS'!$C$332/1000</f>
        <v>#N/A</v>
      </c>
      <c r="F136" s="1591" t="e">
        <f>-'Prime INPUTS'!S292/'Prime INPUTS'!$C$332/1000</f>
        <v>#N/A</v>
      </c>
      <c r="G136" s="1591" t="e">
        <f t="shared" si="71"/>
        <v>#N/A</v>
      </c>
      <c r="H136" s="1592" t="e">
        <f t="shared" si="72"/>
        <v>#N/A</v>
      </c>
      <c r="I136" s="1407"/>
      <c r="J136" s="1407"/>
      <c r="K136" s="1407"/>
      <c r="L136" s="1407"/>
      <c r="M136" s="1407"/>
      <c r="N136" s="1407"/>
      <c r="O136" s="1407"/>
      <c r="P136" s="1407"/>
      <c r="Q136" s="1407"/>
      <c r="R136" s="1407"/>
      <c r="S136" s="1407"/>
      <c r="T136" s="1407"/>
      <c r="U136" s="1407"/>
      <c r="V136" s="1407"/>
      <c r="W136" s="1407"/>
      <c r="X136" s="1407"/>
      <c r="Y136" s="1407"/>
      <c r="Z136" s="1407"/>
      <c r="AA136" s="1407"/>
      <c r="AB136" s="1407"/>
      <c r="AC136" s="1407"/>
      <c r="AD136" s="1407"/>
      <c r="AE136" s="1407"/>
      <c r="AF136" s="1407"/>
      <c r="AG136" s="1407"/>
      <c r="AH136" s="1407"/>
      <c r="AI136" s="1407"/>
      <c r="AJ136" s="1407"/>
    </row>
    <row r="137" spans="2:36" ht="15.75" customHeight="1" x14ac:dyDescent="0.25">
      <c r="B137" s="2572"/>
      <c r="C137" s="1546">
        <f t="shared" si="70"/>
        <v>2020</v>
      </c>
      <c r="D137" s="1591" t="e">
        <f>-'Prime INPUTS'!Q293/'Prime INPUTS'!$C$332/1000</f>
        <v>#N/A</v>
      </c>
      <c r="E137" s="1591" t="e">
        <f>-'Prime INPUTS'!R293/'Prime INPUTS'!$C$332/1000</f>
        <v>#N/A</v>
      </c>
      <c r="F137" s="1591" t="e">
        <f>-'Prime INPUTS'!S293/'Prime INPUTS'!$C$332/1000</f>
        <v>#N/A</v>
      </c>
      <c r="G137" s="1591" t="e">
        <f t="shared" si="71"/>
        <v>#N/A</v>
      </c>
      <c r="H137" s="1592" t="e">
        <f t="shared" si="72"/>
        <v>#N/A</v>
      </c>
      <c r="I137" s="1407"/>
      <c r="J137" s="1407"/>
      <c r="K137" s="1407"/>
      <c r="L137" s="1407"/>
      <c r="M137" s="1407"/>
      <c r="N137" s="1407"/>
      <c r="O137" s="1407"/>
      <c r="P137" s="1407"/>
      <c r="Q137" s="1407"/>
      <c r="R137" s="1407"/>
      <c r="S137" s="1407"/>
      <c r="T137" s="1407"/>
      <c r="U137" s="1407"/>
      <c r="V137" s="1407"/>
      <c r="W137" s="1407"/>
      <c r="X137" s="1407"/>
      <c r="Y137" s="1407"/>
      <c r="Z137" s="1407"/>
      <c r="AA137" s="1407"/>
      <c r="AB137" s="1407"/>
      <c r="AC137" s="1407"/>
      <c r="AD137" s="1407"/>
      <c r="AE137" s="1407"/>
      <c r="AF137" s="1407"/>
      <c r="AG137" s="1407"/>
      <c r="AH137" s="1407"/>
      <c r="AI137" s="1407"/>
      <c r="AJ137" s="1407"/>
    </row>
    <row r="138" spans="2:36" s="1407" customFormat="1" ht="15.75" x14ac:dyDescent="0.25">
      <c r="B138" s="1564"/>
      <c r="C138" s="1565"/>
      <c r="D138" s="1565"/>
      <c r="E138" s="1566"/>
      <c r="F138" s="1566"/>
      <c r="G138" s="1566"/>
      <c r="H138" s="1566"/>
    </row>
    <row r="139" spans="2:36" ht="16.5" x14ac:dyDescent="0.25">
      <c r="B139" s="2570" t="s">
        <v>1773</v>
      </c>
      <c r="C139" s="1689"/>
      <c r="D139" s="1733" t="str">
        <f>B139</f>
        <v>Displaced Electricity-related Output (Thousands of 2010$)</v>
      </c>
      <c r="E139" s="1735"/>
      <c r="F139" s="1735"/>
      <c r="G139" s="1735"/>
      <c r="H139" s="1735"/>
      <c r="I139" s="1407"/>
      <c r="J139" s="1407"/>
      <c r="K139" s="1407"/>
      <c r="L139" s="1407"/>
      <c r="M139" s="1407"/>
      <c r="N139" s="1407"/>
      <c r="O139" s="1407"/>
      <c r="P139" s="1407"/>
      <c r="Q139" s="1407"/>
      <c r="R139" s="1407"/>
      <c r="S139" s="1407"/>
      <c r="T139" s="1407"/>
      <c r="U139" s="1407"/>
      <c r="V139" s="1407"/>
      <c r="W139" s="1407"/>
      <c r="X139" s="1407"/>
      <c r="Y139" s="1407"/>
      <c r="Z139" s="1407"/>
      <c r="AA139" s="1407"/>
      <c r="AB139" s="1407"/>
      <c r="AC139" s="1407"/>
      <c r="AD139" s="1407"/>
      <c r="AE139" s="1407"/>
      <c r="AF139" s="1407"/>
      <c r="AG139" s="1407"/>
      <c r="AH139" s="1407"/>
      <c r="AI139" s="1407"/>
      <c r="AJ139" s="1407"/>
    </row>
    <row r="140" spans="2:36" ht="47.25" x14ac:dyDescent="0.25">
      <c r="B140" s="2571"/>
      <c r="C140" s="1585" t="str">
        <f t="shared" ref="C140:C146" si="73">C131</f>
        <v>Year</v>
      </c>
      <c r="D140" s="1528" t="str">
        <f>D122</f>
        <v>Displaced Electricity Direct</v>
      </c>
      <c r="E140" s="1528" t="str">
        <f>E122</f>
        <v>Displaced Electricity Indirect</v>
      </c>
      <c r="F140" s="1528" t="str">
        <f>F122</f>
        <v>Displaced Electricity Induced</v>
      </c>
      <c r="G140" s="1755" t="str">
        <f>G122</f>
        <v>Displaced Electricity Supply Chain</v>
      </c>
      <c r="H140" s="1755" t="str">
        <f>H122</f>
        <v>Displaced Electricity Total</v>
      </c>
      <c r="I140" s="1407"/>
      <c r="J140" s="1407"/>
      <c r="K140" s="1407"/>
      <c r="L140" s="1407"/>
      <c r="M140" s="1407"/>
      <c r="N140" s="1407"/>
      <c r="O140" s="1407"/>
      <c r="P140" s="1407"/>
      <c r="Q140" s="1407"/>
      <c r="R140" s="1407"/>
      <c r="S140" s="1407"/>
      <c r="T140" s="1407"/>
      <c r="U140" s="1407"/>
      <c r="V140" s="1407"/>
      <c r="W140" s="1407"/>
      <c r="X140" s="1407"/>
      <c r="Y140" s="1407"/>
      <c r="Z140" s="1407"/>
      <c r="AA140" s="1407"/>
      <c r="AB140" s="1407"/>
      <c r="AC140" s="1407"/>
      <c r="AD140" s="1407"/>
      <c r="AE140" s="1407"/>
      <c r="AF140" s="1407"/>
      <c r="AG140" s="1407"/>
      <c r="AH140" s="1407"/>
      <c r="AI140" s="1407"/>
      <c r="AJ140" s="1407"/>
    </row>
    <row r="141" spans="2:36" ht="15.75" customHeight="1" x14ac:dyDescent="0.25">
      <c r="B141" s="2571"/>
      <c r="C141" s="1546">
        <f t="shared" si="73"/>
        <v>2015</v>
      </c>
      <c r="D141" s="1591" t="e">
        <f>-'Prime INPUTS'!W288/'Prime INPUTS'!$C$332/1000</f>
        <v>#N/A</v>
      </c>
      <c r="E141" s="1591" t="e">
        <f>-'Prime INPUTS'!X288/'Prime INPUTS'!$C$332/1000</f>
        <v>#N/A</v>
      </c>
      <c r="F141" s="1591" t="e">
        <f>-'Prime INPUTS'!Y288/'Prime INPUTS'!$C$332/1000</f>
        <v>#N/A</v>
      </c>
      <c r="G141" s="1591" t="e">
        <f t="shared" ref="G141:G146" si="74">D141+E141</f>
        <v>#N/A</v>
      </c>
      <c r="H141" s="1592" t="e">
        <f t="shared" ref="H141:H146" si="75">D141+E141+F141</f>
        <v>#N/A</v>
      </c>
      <c r="I141" s="1487"/>
      <c r="J141" s="1487"/>
      <c r="K141" s="1488"/>
      <c r="L141" s="1488"/>
      <c r="M141" s="1488"/>
      <c r="N141" s="1488"/>
      <c r="O141" s="1488"/>
      <c r="P141" s="1488"/>
      <c r="Q141" s="1488"/>
      <c r="R141" s="1488"/>
      <c r="S141" s="1488"/>
      <c r="T141" s="1488"/>
      <c r="U141" s="1488"/>
      <c r="V141" s="1407"/>
      <c r="W141" s="1407"/>
      <c r="X141" s="1407"/>
      <c r="Y141" s="1407"/>
      <c r="Z141" s="1407"/>
      <c r="AA141" s="1407"/>
      <c r="AB141" s="1407"/>
      <c r="AC141" s="1407"/>
      <c r="AD141" s="1407"/>
      <c r="AE141" s="1407"/>
      <c r="AF141" s="1407"/>
      <c r="AG141" s="1407"/>
      <c r="AH141" s="1407"/>
      <c r="AI141" s="1407"/>
      <c r="AJ141" s="1407"/>
    </row>
    <row r="142" spans="2:36" ht="15.75" customHeight="1" x14ac:dyDescent="0.25">
      <c r="B142" s="2571"/>
      <c r="C142" s="1546">
        <f t="shared" si="73"/>
        <v>2016</v>
      </c>
      <c r="D142" s="1591" t="e">
        <f>-'Prime INPUTS'!W289/'Prime INPUTS'!$C$332/1000</f>
        <v>#N/A</v>
      </c>
      <c r="E142" s="1591" t="e">
        <f>-'Prime INPUTS'!X289/'Prime INPUTS'!$C$332/1000</f>
        <v>#N/A</v>
      </c>
      <c r="F142" s="1591" t="e">
        <f>-'Prime INPUTS'!Y289/'Prime INPUTS'!$C$332/1000</f>
        <v>#N/A</v>
      </c>
      <c r="G142" s="1591" t="e">
        <f t="shared" si="74"/>
        <v>#N/A</v>
      </c>
      <c r="H142" s="1592" t="e">
        <f t="shared" si="75"/>
        <v>#N/A</v>
      </c>
      <c r="I142" s="1487"/>
      <c r="J142" s="1487"/>
      <c r="K142" s="1488"/>
      <c r="L142" s="1488"/>
      <c r="M142" s="1488"/>
      <c r="N142" s="1488"/>
      <c r="O142" s="1488"/>
      <c r="P142" s="1488"/>
      <c r="Q142" s="1488"/>
      <c r="R142" s="1488"/>
      <c r="S142" s="1488"/>
      <c r="T142" s="1488"/>
      <c r="U142" s="1488"/>
      <c r="V142" s="1407"/>
      <c r="W142" s="1407"/>
      <c r="X142" s="1407"/>
      <c r="Y142" s="1407"/>
      <c r="Z142" s="1407"/>
      <c r="AA142" s="1407"/>
      <c r="AB142" s="1407"/>
      <c r="AC142" s="1407"/>
      <c r="AD142" s="1407"/>
      <c r="AE142" s="1407"/>
      <c r="AF142" s="1407"/>
      <c r="AG142" s="1407"/>
      <c r="AH142" s="1407"/>
      <c r="AI142" s="1407"/>
      <c r="AJ142" s="1407"/>
    </row>
    <row r="143" spans="2:36" ht="15.75" customHeight="1" x14ac:dyDescent="0.25">
      <c r="B143" s="2571"/>
      <c r="C143" s="1546">
        <f t="shared" si="73"/>
        <v>2017</v>
      </c>
      <c r="D143" s="1591" t="e">
        <f>-'Prime INPUTS'!W290/'Prime INPUTS'!$C$332/1000</f>
        <v>#N/A</v>
      </c>
      <c r="E143" s="1591" t="e">
        <f>-'Prime INPUTS'!X290/'Prime INPUTS'!$C$332/1000</f>
        <v>#N/A</v>
      </c>
      <c r="F143" s="1591" t="e">
        <f>-'Prime INPUTS'!Y290/'Prime INPUTS'!$C$332/1000</f>
        <v>#N/A</v>
      </c>
      <c r="G143" s="1591" t="e">
        <f t="shared" si="74"/>
        <v>#N/A</v>
      </c>
      <c r="H143" s="1592" t="e">
        <f t="shared" si="75"/>
        <v>#N/A</v>
      </c>
      <c r="I143" s="1487"/>
      <c r="J143" s="1487"/>
      <c r="K143" s="1488"/>
      <c r="L143" s="1488"/>
      <c r="M143" s="1488"/>
      <c r="N143" s="1488"/>
      <c r="O143" s="1488"/>
      <c r="P143" s="1488"/>
      <c r="Q143" s="1488"/>
      <c r="R143" s="1488"/>
      <c r="S143" s="1488"/>
      <c r="T143" s="1488"/>
      <c r="U143" s="1488"/>
      <c r="V143" s="1407"/>
      <c r="W143" s="1407"/>
      <c r="X143" s="1407"/>
      <c r="Y143" s="1407"/>
      <c r="Z143" s="1407"/>
      <c r="AA143" s="1407"/>
      <c r="AB143" s="1407"/>
      <c r="AC143" s="1407"/>
      <c r="AD143" s="1407"/>
      <c r="AE143" s="1407"/>
      <c r="AF143" s="1407"/>
      <c r="AG143" s="1407"/>
      <c r="AH143" s="1407"/>
      <c r="AI143" s="1407"/>
      <c r="AJ143" s="1407"/>
    </row>
    <row r="144" spans="2:36" ht="15.75" customHeight="1" x14ac:dyDescent="0.25">
      <c r="B144" s="2571"/>
      <c r="C144" s="1546">
        <f t="shared" si="73"/>
        <v>2018</v>
      </c>
      <c r="D144" s="1591" t="e">
        <f>-'Prime INPUTS'!W291/'Prime INPUTS'!$C$332/1000</f>
        <v>#N/A</v>
      </c>
      <c r="E144" s="1591" t="e">
        <f>-'Prime INPUTS'!X291/'Prime INPUTS'!$C$332/1000</f>
        <v>#N/A</v>
      </c>
      <c r="F144" s="1591" t="e">
        <f>-'Prime INPUTS'!Y291/'Prime INPUTS'!$C$332/1000</f>
        <v>#N/A</v>
      </c>
      <c r="G144" s="1591" t="e">
        <f t="shared" si="74"/>
        <v>#N/A</v>
      </c>
      <c r="H144" s="1592" t="e">
        <f t="shared" si="75"/>
        <v>#N/A</v>
      </c>
      <c r="I144" s="1487"/>
      <c r="J144" s="1487"/>
      <c r="K144" s="1488"/>
      <c r="L144" s="1488"/>
      <c r="M144" s="1488"/>
      <c r="N144" s="1488"/>
      <c r="O144" s="1488"/>
      <c r="P144" s="1488"/>
      <c r="Q144" s="1488"/>
      <c r="R144" s="1488"/>
      <c r="S144" s="1488"/>
      <c r="T144" s="1488"/>
      <c r="U144" s="1488"/>
      <c r="V144" s="1407"/>
      <c r="W144" s="1407"/>
      <c r="X144" s="1407"/>
      <c r="Y144" s="1407"/>
      <c r="Z144" s="1407"/>
      <c r="AA144" s="1407"/>
      <c r="AB144" s="1407"/>
      <c r="AC144" s="1407"/>
      <c r="AD144" s="1407"/>
      <c r="AE144" s="1407"/>
      <c r="AF144" s="1407"/>
      <c r="AG144" s="1407"/>
      <c r="AH144" s="1407"/>
      <c r="AI144" s="1407"/>
      <c r="AJ144" s="1407"/>
    </row>
    <row r="145" spans="1:36" ht="15.75" customHeight="1" x14ac:dyDescent="0.25">
      <c r="B145" s="2571"/>
      <c r="C145" s="1546">
        <f t="shared" si="73"/>
        <v>2019</v>
      </c>
      <c r="D145" s="1591" t="e">
        <f>-'Prime INPUTS'!W292/'Prime INPUTS'!$C$332/1000</f>
        <v>#N/A</v>
      </c>
      <c r="E145" s="1591" t="e">
        <f>-'Prime INPUTS'!X292/'Prime INPUTS'!$C$332/1000</f>
        <v>#N/A</v>
      </c>
      <c r="F145" s="1591" t="e">
        <f>-'Prime INPUTS'!Y292/'Prime INPUTS'!$C$332/1000</f>
        <v>#N/A</v>
      </c>
      <c r="G145" s="1591" t="e">
        <f t="shared" si="74"/>
        <v>#N/A</v>
      </c>
      <c r="H145" s="1592" t="e">
        <f t="shared" si="75"/>
        <v>#N/A</v>
      </c>
      <c r="I145" s="1487"/>
      <c r="J145" s="1487"/>
      <c r="K145" s="1488"/>
      <c r="L145" s="1488"/>
      <c r="M145" s="1488"/>
      <c r="N145" s="1488"/>
      <c r="O145" s="1488"/>
      <c r="P145" s="1488"/>
      <c r="Q145" s="1488"/>
      <c r="R145" s="1488"/>
      <c r="S145" s="1488"/>
      <c r="T145" s="1488"/>
      <c r="U145" s="1488"/>
      <c r="V145" s="1407"/>
      <c r="W145" s="1407"/>
      <c r="X145" s="1407"/>
      <c r="Y145" s="1407"/>
      <c r="Z145" s="1407"/>
      <c r="AA145" s="1407"/>
      <c r="AB145" s="1407"/>
      <c r="AC145" s="1407"/>
      <c r="AD145" s="1407"/>
      <c r="AE145" s="1407"/>
      <c r="AF145" s="1407"/>
      <c r="AG145" s="1407"/>
      <c r="AH145" s="1407"/>
      <c r="AI145" s="1407"/>
      <c r="AJ145" s="1407"/>
    </row>
    <row r="146" spans="1:36" ht="15.75" customHeight="1" x14ac:dyDescent="0.25">
      <c r="B146" s="2572"/>
      <c r="C146" s="1546">
        <f t="shared" si="73"/>
        <v>2020</v>
      </c>
      <c r="D146" s="1591" t="e">
        <f>-'Prime INPUTS'!W293/'Prime INPUTS'!$C$332/1000</f>
        <v>#N/A</v>
      </c>
      <c r="E146" s="1591" t="e">
        <f>-'Prime INPUTS'!X293/'Prime INPUTS'!$C$332/1000</f>
        <v>#N/A</v>
      </c>
      <c r="F146" s="1591" t="e">
        <f>-'Prime INPUTS'!Y293/'Prime INPUTS'!$C$332/1000</f>
        <v>#N/A</v>
      </c>
      <c r="G146" s="1591" t="e">
        <f t="shared" si="74"/>
        <v>#N/A</v>
      </c>
      <c r="H146" s="1592" t="e">
        <f t="shared" si="75"/>
        <v>#N/A</v>
      </c>
      <c r="I146" s="1487"/>
      <c r="J146" s="1487"/>
      <c r="K146" s="1488"/>
      <c r="L146" s="1488"/>
      <c r="M146" s="1488"/>
      <c r="N146" s="1488"/>
      <c r="O146" s="1488"/>
      <c r="P146" s="1488"/>
      <c r="Q146" s="1488"/>
      <c r="R146" s="1488"/>
      <c r="S146" s="1488"/>
      <c r="T146" s="1488"/>
      <c r="U146" s="1488"/>
      <c r="V146" s="1407"/>
      <c r="W146" s="1407"/>
      <c r="X146" s="1407"/>
      <c r="Y146" s="1407"/>
      <c r="Z146" s="1407"/>
      <c r="AA146" s="1407"/>
      <c r="AB146" s="1407"/>
      <c r="AC146" s="1407"/>
      <c r="AD146" s="1407"/>
      <c r="AE146" s="1407"/>
      <c r="AF146" s="1407"/>
      <c r="AG146" s="1407"/>
      <c r="AH146" s="1407"/>
      <c r="AI146" s="1407"/>
      <c r="AJ146" s="1407"/>
    </row>
    <row r="147" spans="1:36" s="1407" customFormat="1" x14ac:dyDescent="0.25">
      <c r="E147" s="1487"/>
      <c r="F147" s="1487"/>
      <c r="G147" s="1487"/>
      <c r="H147" s="1487"/>
      <c r="I147" s="1487"/>
      <c r="J147" s="1487"/>
      <c r="K147" s="1488"/>
      <c r="L147" s="1488"/>
      <c r="M147" s="1488"/>
      <c r="N147" s="1488"/>
      <c r="O147" s="1488"/>
      <c r="P147" s="1488"/>
      <c r="Q147" s="1488"/>
      <c r="R147" s="1488"/>
      <c r="S147" s="1488"/>
      <c r="T147" s="1488"/>
      <c r="U147" s="1488"/>
    </row>
    <row r="148" spans="1:36" s="1407" customFormat="1" x14ac:dyDescent="0.25">
      <c r="E148" s="1487"/>
      <c r="F148" s="1487"/>
      <c r="G148" s="1487"/>
      <c r="H148" s="1487"/>
      <c r="I148" s="1487"/>
      <c r="J148" s="1487"/>
      <c r="K148" s="1488"/>
      <c r="L148" s="1488"/>
      <c r="M148" s="1488"/>
      <c r="N148" s="1488"/>
      <c r="O148" s="1488"/>
      <c r="P148" s="1488"/>
      <c r="Q148" s="1488"/>
      <c r="R148" s="1488"/>
      <c r="S148" s="1488"/>
      <c r="T148" s="1488"/>
      <c r="U148" s="1488"/>
    </row>
    <row r="149" spans="1:36" s="1500" customFormat="1" ht="21" x14ac:dyDescent="0.35">
      <c r="A149" s="1407"/>
      <c r="B149" s="1499" t="str">
        <f>IF($F$6=Lists!$C$4,"Displaced Economic Impacts", "The tables below are only relevant for a Net analysis.")</f>
        <v>The tables below are only relevant for a Net analysis.</v>
      </c>
      <c r="E149" s="1501"/>
      <c r="F149" s="1501"/>
      <c r="G149" s="1501"/>
      <c r="H149" s="1501"/>
      <c r="I149" s="1501"/>
      <c r="J149" s="1501"/>
      <c r="K149" s="1502"/>
      <c r="L149" s="1502"/>
      <c r="M149" s="1502"/>
      <c r="N149" s="1502"/>
      <c r="O149" s="1502"/>
      <c r="P149" s="1502"/>
      <c r="Q149" s="1502"/>
      <c r="R149" s="1502"/>
      <c r="S149" s="1502"/>
      <c r="T149" s="1502"/>
      <c r="U149" s="1502"/>
    </row>
    <row r="150" spans="1:36" s="1407" customFormat="1" x14ac:dyDescent="0.25">
      <c r="E150" s="1487"/>
      <c r="F150" s="1487"/>
      <c r="G150" s="1487"/>
      <c r="H150" s="1487"/>
      <c r="I150" s="1487"/>
      <c r="J150" s="1487"/>
      <c r="K150" s="1488"/>
      <c r="L150" s="1488"/>
      <c r="M150" s="1488"/>
      <c r="N150" s="1488"/>
      <c r="O150" s="1488"/>
      <c r="P150" s="1488"/>
      <c r="Q150" s="1488"/>
      <c r="R150" s="1488"/>
      <c r="S150" s="1488"/>
      <c r="T150" s="1488"/>
      <c r="U150" s="1488"/>
    </row>
    <row r="151" spans="1:36" ht="16.5" x14ac:dyDescent="0.25">
      <c r="B151" s="2570" t="s">
        <v>1774</v>
      </c>
      <c r="C151" s="1732"/>
      <c r="D151" s="1733" t="str">
        <f>B151</f>
        <v>Displaced Natural Gas for Heating-related Employment (Job-years)</v>
      </c>
      <c r="E151" s="1734"/>
      <c r="F151" s="1734"/>
      <c r="G151" s="1734"/>
      <c r="H151" s="1734"/>
      <c r="I151" s="1487"/>
      <c r="J151" s="1487"/>
      <c r="K151" s="1488"/>
      <c r="L151" s="1488"/>
      <c r="M151" s="1488"/>
      <c r="N151" s="1488"/>
      <c r="O151" s="1488"/>
      <c r="P151" s="1488"/>
      <c r="Q151" s="1488"/>
      <c r="R151" s="1488"/>
      <c r="S151" s="1488"/>
      <c r="T151" s="1488"/>
      <c r="U151" s="1488"/>
      <c r="V151" s="1407"/>
      <c r="W151" s="1407"/>
      <c r="X151" s="1407"/>
      <c r="Y151" s="1407"/>
      <c r="Z151" s="1407"/>
      <c r="AA151" s="1407"/>
      <c r="AB151" s="1407"/>
      <c r="AC151" s="1407"/>
      <c r="AD151" s="1407"/>
      <c r="AE151" s="1407"/>
      <c r="AF151" s="1407"/>
      <c r="AG151" s="1407"/>
      <c r="AH151" s="1407"/>
      <c r="AI151" s="1407"/>
      <c r="AJ151" s="1407"/>
    </row>
    <row r="152" spans="1:36" ht="47.25" x14ac:dyDescent="0.25">
      <c r="B152" s="2571"/>
      <c r="C152" s="1527" t="s">
        <v>433</v>
      </c>
      <c r="D152" s="1528" t="str">
        <f>D$189&amp;" "&amp;D$190</f>
        <v>Displaced Natural Gas Direct</v>
      </c>
      <c r="E152" s="1528" t="str">
        <f t="shared" ref="E152:H152" si="76">E$189&amp;" "&amp;E$190</f>
        <v>Displaced Natural Gas Indirect</v>
      </c>
      <c r="F152" s="1528" t="str">
        <f t="shared" si="76"/>
        <v>Displaced Natural Gas Induced</v>
      </c>
      <c r="G152" s="1755" t="str">
        <f t="shared" si="76"/>
        <v>Displaced Natural Gas Supply Chain</v>
      </c>
      <c r="H152" s="1755" t="str">
        <f t="shared" si="76"/>
        <v>Displaced Natural Gas Total</v>
      </c>
      <c r="I152" s="1487"/>
      <c r="J152" s="1487"/>
      <c r="K152" s="1488"/>
      <c r="L152" s="1488"/>
      <c r="M152" s="1488"/>
      <c r="N152" s="1488"/>
      <c r="O152" s="1488"/>
      <c r="P152" s="1488"/>
      <c r="Q152" s="1488"/>
      <c r="R152" s="1488"/>
      <c r="S152" s="1488"/>
      <c r="T152" s="1488"/>
      <c r="U152" s="1488"/>
      <c r="V152" s="1407"/>
      <c r="W152" s="1407"/>
      <c r="X152" s="1407"/>
      <c r="Y152" s="1407"/>
      <c r="Z152" s="1407"/>
      <c r="AA152" s="1407"/>
      <c r="AB152" s="1407"/>
      <c r="AC152" s="1407"/>
      <c r="AD152" s="1407"/>
      <c r="AE152" s="1407"/>
      <c r="AF152" s="1407"/>
      <c r="AG152" s="1407"/>
      <c r="AH152" s="1407"/>
      <c r="AI152" s="1407"/>
      <c r="AJ152" s="1407"/>
    </row>
    <row r="153" spans="1:36" ht="15.75" customHeight="1" x14ac:dyDescent="0.25">
      <c r="B153" s="2571"/>
      <c r="C153" s="1546">
        <v>2015</v>
      </c>
      <c r="D153" s="1547" t="e">
        <f>-'Prime INPUTS'!K295</f>
        <v>#N/A</v>
      </c>
      <c r="E153" s="1547" t="e">
        <f>-'Prime INPUTS'!L295</f>
        <v>#N/A</v>
      </c>
      <c r="F153" s="1547" t="e">
        <f>-'Prime INPUTS'!M295</f>
        <v>#N/A</v>
      </c>
      <c r="G153" s="1547" t="e">
        <f t="shared" ref="G153:G158" si="77">D153+E153</f>
        <v>#N/A</v>
      </c>
      <c r="H153" s="1548" t="e">
        <f t="shared" ref="H153:H158" si="78">D153+E153+F153</f>
        <v>#N/A</v>
      </c>
      <c r="I153" s="1487"/>
      <c r="J153" s="1487"/>
      <c r="K153" s="1488"/>
      <c r="L153" s="1488"/>
      <c r="M153" s="1488"/>
      <c r="N153" s="1488"/>
      <c r="O153" s="1488"/>
      <c r="P153" s="1488"/>
      <c r="Q153" s="1488"/>
      <c r="R153" s="1488"/>
      <c r="S153" s="1488"/>
      <c r="T153" s="1488"/>
      <c r="U153" s="1488"/>
      <c r="V153" s="1407"/>
      <c r="W153" s="1407"/>
      <c r="X153" s="1407"/>
      <c r="Y153" s="1407"/>
      <c r="Z153" s="1407"/>
      <c r="AA153" s="1407"/>
      <c r="AB153" s="1407"/>
      <c r="AC153" s="1407"/>
      <c r="AD153" s="1407"/>
      <c r="AE153" s="1407"/>
      <c r="AF153" s="1407"/>
      <c r="AG153" s="1407"/>
      <c r="AH153" s="1407"/>
      <c r="AI153" s="1407"/>
      <c r="AJ153" s="1407"/>
    </row>
    <row r="154" spans="1:36" ht="15.75" customHeight="1" x14ac:dyDescent="0.25">
      <c r="B154" s="2571"/>
      <c r="C154" s="1546">
        <v>2016</v>
      </c>
      <c r="D154" s="1547" t="e">
        <f>-'Prime INPUTS'!K296</f>
        <v>#N/A</v>
      </c>
      <c r="E154" s="1547" t="e">
        <f>-'Prime INPUTS'!L296</f>
        <v>#N/A</v>
      </c>
      <c r="F154" s="1547" t="e">
        <f>-'Prime INPUTS'!M296</f>
        <v>#N/A</v>
      </c>
      <c r="G154" s="1547" t="e">
        <f t="shared" si="77"/>
        <v>#N/A</v>
      </c>
      <c r="H154" s="1548" t="e">
        <f t="shared" si="78"/>
        <v>#N/A</v>
      </c>
      <c r="I154" s="1487"/>
      <c r="J154" s="1487"/>
      <c r="K154" s="1488"/>
      <c r="L154" s="1488"/>
      <c r="M154" s="1488"/>
      <c r="N154" s="1488"/>
      <c r="O154" s="1488"/>
      <c r="P154" s="1488"/>
      <c r="Q154" s="1488"/>
      <c r="R154" s="1488"/>
      <c r="S154" s="1488"/>
      <c r="T154" s="1488"/>
      <c r="U154" s="1488"/>
      <c r="V154" s="1407"/>
      <c r="W154" s="1407"/>
      <c r="X154" s="1407"/>
      <c r="Y154" s="1407"/>
      <c r="Z154" s="1407"/>
      <c r="AA154" s="1407"/>
      <c r="AB154" s="1407"/>
      <c r="AC154" s="1407"/>
      <c r="AD154" s="1407"/>
      <c r="AE154" s="1407"/>
      <c r="AF154" s="1407"/>
      <c r="AG154" s="1407"/>
      <c r="AH154" s="1407"/>
      <c r="AI154" s="1407"/>
      <c r="AJ154" s="1407"/>
    </row>
    <row r="155" spans="1:36" ht="15.75" customHeight="1" x14ac:dyDescent="0.25">
      <c r="B155" s="2571"/>
      <c r="C155" s="1546">
        <v>2017</v>
      </c>
      <c r="D155" s="1547" t="e">
        <f>-'Prime INPUTS'!K297</f>
        <v>#N/A</v>
      </c>
      <c r="E155" s="1547" t="e">
        <f>-'Prime INPUTS'!L297</f>
        <v>#N/A</v>
      </c>
      <c r="F155" s="1547" t="e">
        <f>-'Prime INPUTS'!M297</f>
        <v>#N/A</v>
      </c>
      <c r="G155" s="1547" t="e">
        <f t="shared" si="77"/>
        <v>#N/A</v>
      </c>
      <c r="H155" s="1548" t="e">
        <f t="shared" si="78"/>
        <v>#N/A</v>
      </c>
      <c r="I155" s="1487"/>
      <c r="J155" s="1487"/>
      <c r="K155" s="1488"/>
      <c r="L155" s="1488"/>
      <c r="M155" s="1488"/>
      <c r="N155" s="1488"/>
      <c r="O155" s="1488"/>
      <c r="P155" s="1488"/>
      <c r="Q155" s="1488"/>
      <c r="R155" s="1488"/>
      <c r="S155" s="1488"/>
      <c r="T155" s="1488"/>
      <c r="U155" s="1488"/>
      <c r="V155" s="1407"/>
      <c r="W155" s="1407"/>
      <c r="X155" s="1407"/>
      <c r="Y155" s="1407"/>
      <c r="Z155" s="1407"/>
      <c r="AA155" s="1407"/>
      <c r="AB155" s="1407"/>
      <c r="AC155" s="1407"/>
      <c r="AD155" s="1407"/>
      <c r="AE155" s="1407"/>
      <c r="AF155" s="1407"/>
      <c r="AG155" s="1407"/>
      <c r="AH155" s="1407"/>
      <c r="AI155" s="1407"/>
      <c r="AJ155" s="1407"/>
    </row>
    <row r="156" spans="1:36" ht="15.75" customHeight="1" x14ac:dyDescent="0.25">
      <c r="B156" s="2571"/>
      <c r="C156" s="1546">
        <v>2018</v>
      </c>
      <c r="D156" s="1547" t="e">
        <f>-'Prime INPUTS'!K298</f>
        <v>#N/A</v>
      </c>
      <c r="E156" s="1547" t="e">
        <f>-'Prime INPUTS'!L298</f>
        <v>#N/A</v>
      </c>
      <c r="F156" s="1547" t="e">
        <f>-'Prime INPUTS'!M298</f>
        <v>#N/A</v>
      </c>
      <c r="G156" s="1547" t="e">
        <f t="shared" si="77"/>
        <v>#N/A</v>
      </c>
      <c r="H156" s="1548" t="e">
        <f t="shared" si="78"/>
        <v>#N/A</v>
      </c>
      <c r="I156" s="1487"/>
      <c r="J156" s="1487"/>
      <c r="K156" s="1488"/>
      <c r="L156" s="1488"/>
      <c r="M156" s="1488"/>
      <c r="N156" s="1488"/>
      <c r="O156" s="1488"/>
      <c r="P156" s="1488"/>
      <c r="Q156" s="1488"/>
      <c r="R156" s="1488"/>
      <c r="S156" s="1488"/>
      <c r="T156" s="1488"/>
      <c r="U156" s="1488"/>
      <c r="V156" s="1407"/>
      <c r="W156" s="1407"/>
      <c r="X156" s="1407"/>
      <c r="Y156" s="1407"/>
      <c r="Z156" s="1407"/>
      <c r="AA156" s="1407"/>
      <c r="AB156" s="1407"/>
      <c r="AC156" s="1407"/>
      <c r="AD156" s="1407"/>
      <c r="AE156" s="1407"/>
      <c r="AF156" s="1407"/>
      <c r="AG156" s="1407"/>
      <c r="AH156" s="1407"/>
      <c r="AI156" s="1407"/>
      <c r="AJ156" s="1407"/>
    </row>
    <row r="157" spans="1:36" ht="15.75" customHeight="1" x14ac:dyDescent="0.25">
      <c r="B157" s="2571"/>
      <c r="C157" s="1546">
        <v>2019</v>
      </c>
      <c r="D157" s="1547" t="e">
        <f>-'Prime INPUTS'!K299</f>
        <v>#N/A</v>
      </c>
      <c r="E157" s="1547" t="e">
        <f>-'Prime INPUTS'!L299</f>
        <v>#N/A</v>
      </c>
      <c r="F157" s="1547" t="e">
        <f>-'Prime INPUTS'!M299</f>
        <v>#N/A</v>
      </c>
      <c r="G157" s="1547" t="e">
        <f t="shared" si="77"/>
        <v>#N/A</v>
      </c>
      <c r="H157" s="1548" t="e">
        <f t="shared" si="78"/>
        <v>#N/A</v>
      </c>
      <c r="I157" s="1407"/>
      <c r="J157" s="1407"/>
      <c r="K157" s="1407"/>
      <c r="L157" s="1407"/>
      <c r="M157" s="1407"/>
      <c r="N157" s="1407"/>
      <c r="O157" s="1407"/>
      <c r="P157" s="1407"/>
      <c r="Q157" s="1407"/>
      <c r="R157" s="1407"/>
      <c r="S157" s="1407"/>
      <c r="T157" s="1407"/>
      <c r="U157" s="1407"/>
      <c r="V157" s="1407"/>
      <c r="W157" s="1407"/>
      <c r="X157" s="1407"/>
      <c r="Y157" s="1407"/>
      <c r="Z157" s="1407"/>
      <c r="AA157" s="1407"/>
      <c r="AB157" s="1407"/>
      <c r="AC157" s="1407"/>
      <c r="AD157" s="1407"/>
      <c r="AE157" s="1407"/>
      <c r="AF157" s="1407"/>
      <c r="AG157" s="1407"/>
      <c r="AH157" s="1407"/>
      <c r="AI157" s="1407"/>
      <c r="AJ157" s="1407"/>
    </row>
    <row r="158" spans="1:36" ht="15.75" customHeight="1" x14ac:dyDescent="0.25">
      <c r="B158" s="2572"/>
      <c r="C158" s="1546">
        <v>2020</v>
      </c>
      <c r="D158" s="1547" t="e">
        <f>-'Prime INPUTS'!K300</f>
        <v>#N/A</v>
      </c>
      <c r="E158" s="1547" t="e">
        <f>-'Prime INPUTS'!L300</f>
        <v>#N/A</v>
      </c>
      <c r="F158" s="1547" t="e">
        <f>-'Prime INPUTS'!M300</f>
        <v>#N/A</v>
      </c>
      <c r="G158" s="1547" t="e">
        <f t="shared" si="77"/>
        <v>#N/A</v>
      </c>
      <c r="H158" s="1548" t="e">
        <f t="shared" si="78"/>
        <v>#N/A</v>
      </c>
      <c r="I158" s="1407"/>
      <c r="J158" s="1407"/>
      <c r="K158" s="1407"/>
      <c r="L158" s="1407"/>
      <c r="M158" s="1407"/>
      <c r="N158" s="1407"/>
      <c r="O158" s="1407"/>
      <c r="P158" s="1407"/>
      <c r="Q158" s="1407"/>
      <c r="R158" s="1407"/>
      <c r="S158" s="1407"/>
      <c r="T158" s="1407"/>
      <c r="U158" s="1407"/>
      <c r="V158" s="1407"/>
      <c r="W158" s="1407"/>
      <c r="X158" s="1407"/>
      <c r="Y158" s="1407"/>
      <c r="Z158" s="1407"/>
      <c r="AA158" s="1407"/>
      <c r="AB158" s="1407"/>
      <c r="AC158" s="1407"/>
      <c r="AD158" s="1407"/>
      <c r="AE158" s="1407"/>
      <c r="AF158" s="1407"/>
      <c r="AG158" s="1407"/>
      <c r="AH158" s="1407"/>
      <c r="AI158" s="1407"/>
      <c r="AJ158" s="1407"/>
    </row>
    <row r="159" spans="1:36" s="1407" customFormat="1" ht="15.75" x14ac:dyDescent="0.25">
      <c r="B159" s="1564"/>
      <c r="C159" s="1565"/>
      <c r="D159" s="1565"/>
      <c r="E159" s="1566"/>
      <c r="F159" s="1566"/>
      <c r="G159" s="1566"/>
      <c r="H159" s="1566"/>
    </row>
    <row r="160" spans="1:36" ht="16.5" x14ac:dyDescent="0.25">
      <c r="B160" s="2570" t="s">
        <v>1775</v>
      </c>
      <c r="C160" s="1689"/>
      <c r="D160" s="1733" t="str">
        <f>B160</f>
        <v>Displaced Natural Gas for Heating-related Earnings (Thousands of 2010$)</v>
      </c>
      <c r="E160" s="1735"/>
      <c r="F160" s="1735"/>
      <c r="G160" s="1735"/>
      <c r="H160" s="1735"/>
      <c r="I160" s="1407"/>
      <c r="J160" s="1407"/>
      <c r="K160" s="1407"/>
      <c r="L160" s="1407"/>
      <c r="M160" s="1407"/>
      <c r="N160" s="1407"/>
      <c r="O160" s="1407"/>
      <c r="P160" s="1407"/>
      <c r="Q160" s="1407"/>
      <c r="R160" s="1407"/>
      <c r="S160" s="1407"/>
      <c r="T160" s="1407"/>
      <c r="U160" s="1407"/>
      <c r="V160" s="1407"/>
      <c r="W160" s="1407"/>
      <c r="X160" s="1407"/>
      <c r="Y160" s="1407"/>
      <c r="Z160" s="1407"/>
      <c r="AA160" s="1407"/>
      <c r="AB160" s="1407"/>
      <c r="AC160" s="1407"/>
      <c r="AD160" s="1407"/>
      <c r="AE160" s="1407"/>
      <c r="AF160" s="1407"/>
      <c r="AG160" s="1407"/>
      <c r="AH160" s="1407"/>
      <c r="AI160" s="1407"/>
      <c r="AJ160" s="1407"/>
    </row>
    <row r="161" spans="2:36" ht="47.25" x14ac:dyDescent="0.25">
      <c r="B161" s="2571"/>
      <c r="C161" s="1585" t="str">
        <f t="shared" ref="C161:H161" si="79">C152</f>
        <v>Year</v>
      </c>
      <c r="D161" s="1528" t="str">
        <f t="shared" si="79"/>
        <v>Displaced Natural Gas Direct</v>
      </c>
      <c r="E161" s="1528" t="str">
        <f t="shared" si="79"/>
        <v>Displaced Natural Gas Indirect</v>
      </c>
      <c r="F161" s="1528" t="str">
        <f t="shared" si="79"/>
        <v>Displaced Natural Gas Induced</v>
      </c>
      <c r="G161" s="1755" t="str">
        <f t="shared" si="79"/>
        <v>Displaced Natural Gas Supply Chain</v>
      </c>
      <c r="H161" s="1755" t="str">
        <f t="shared" si="79"/>
        <v>Displaced Natural Gas Total</v>
      </c>
      <c r="I161" s="1407"/>
      <c r="J161" s="1407"/>
      <c r="K161" s="1407"/>
      <c r="L161" s="1407"/>
      <c r="M161" s="1407"/>
      <c r="N161" s="1407"/>
      <c r="O161" s="1407"/>
      <c r="P161" s="1407"/>
      <c r="Q161" s="1407"/>
      <c r="R161" s="1407"/>
      <c r="S161" s="1407"/>
      <c r="T161" s="1407"/>
      <c r="U161" s="1407"/>
      <c r="V161" s="1407"/>
      <c r="W161" s="1407"/>
      <c r="X161" s="1407"/>
      <c r="Y161" s="1407"/>
      <c r="Z161" s="1407"/>
      <c r="AA161" s="1407"/>
      <c r="AB161" s="1407"/>
      <c r="AC161" s="1407"/>
      <c r="AD161" s="1407"/>
      <c r="AE161" s="1407"/>
      <c r="AF161" s="1407"/>
      <c r="AG161" s="1407"/>
      <c r="AH161" s="1407"/>
      <c r="AI161" s="1407"/>
      <c r="AJ161" s="1407"/>
    </row>
    <row r="162" spans="2:36" ht="15.75" customHeight="1" x14ac:dyDescent="0.25">
      <c r="B162" s="2571"/>
      <c r="C162" s="1546">
        <f t="shared" ref="C162:C167" si="80">C153</f>
        <v>2015</v>
      </c>
      <c r="D162" s="1591" t="e">
        <f>-'Prime INPUTS'!Q295/'Prime INPUTS'!$C$332/1000</f>
        <v>#N/A</v>
      </c>
      <c r="E162" s="1591" t="e">
        <f>-'Prime INPUTS'!R295/'Prime INPUTS'!$C$332/1000</f>
        <v>#N/A</v>
      </c>
      <c r="F162" s="1591" t="e">
        <f>-'Prime INPUTS'!S295/'Prime INPUTS'!$C$332/1000</f>
        <v>#N/A</v>
      </c>
      <c r="G162" s="1591" t="e">
        <f t="shared" ref="G162:G167" si="81">D162+E162</f>
        <v>#N/A</v>
      </c>
      <c r="H162" s="1592" t="e">
        <f t="shared" ref="H162:H167" si="82">D162+E162+F162</f>
        <v>#N/A</v>
      </c>
      <c r="I162" s="1407"/>
      <c r="J162" s="1407"/>
      <c r="K162" s="1407"/>
      <c r="L162" s="1407"/>
      <c r="M162" s="1407"/>
      <c r="N162" s="1407"/>
      <c r="O162" s="1407"/>
      <c r="P162" s="1407"/>
      <c r="Q162" s="1407"/>
      <c r="R162" s="1407"/>
      <c r="S162" s="1407"/>
      <c r="T162" s="1407"/>
      <c r="U162" s="1407"/>
      <c r="V162" s="1407"/>
      <c r="W162" s="1407"/>
      <c r="X162" s="1407"/>
      <c r="Y162" s="1407"/>
      <c r="Z162" s="1407"/>
      <c r="AA162" s="1407"/>
      <c r="AB162" s="1407"/>
      <c r="AC162" s="1407"/>
      <c r="AD162" s="1407"/>
      <c r="AE162" s="1407"/>
      <c r="AF162" s="1407"/>
      <c r="AG162" s="1407"/>
      <c r="AH162" s="1407"/>
      <c r="AI162" s="1407"/>
      <c r="AJ162" s="1407"/>
    </row>
    <row r="163" spans="2:36" ht="15.75" customHeight="1" x14ac:dyDescent="0.25">
      <c r="B163" s="2571"/>
      <c r="C163" s="1546">
        <f t="shared" si="80"/>
        <v>2016</v>
      </c>
      <c r="D163" s="1591" t="e">
        <f>-'Prime INPUTS'!Q296/'Prime INPUTS'!$C$332/1000</f>
        <v>#N/A</v>
      </c>
      <c r="E163" s="1591" t="e">
        <f>-'Prime INPUTS'!R296/'Prime INPUTS'!$C$332/1000</f>
        <v>#N/A</v>
      </c>
      <c r="F163" s="1591" t="e">
        <f>-'Prime INPUTS'!S296/'Prime INPUTS'!$C$332/1000</f>
        <v>#N/A</v>
      </c>
      <c r="G163" s="1591" t="e">
        <f t="shared" si="81"/>
        <v>#N/A</v>
      </c>
      <c r="H163" s="1592" t="e">
        <f t="shared" si="82"/>
        <v>#N/A</v>
      </c>
      <c r="I163" s="1407"/>
      <c r="J163" s="1407"/>
      <c r="K163" s="1407"/>
      <c r="L163" s="1407"/>
      <c r="M163" s="1407"/>
      <c r="N163" s="1407"/>
      <c r="O163" s="1407"/>
      <c r="P163" s="1407"/>
      <c r="Q163" s="1407"/>
      <c r="R163" s="1407"/>
      <c r="S163" s="1407"/>
      <c r="T163" s="1407"/>
      <c r="U163" s="1407"/>
      <c r="V163" s="1407"/>
      <c r="W163" s="1407"/>
      <c r="X163" s="1407"/>
      <c r="Y163" s="1407"/>
      <c r="Z163" s="1407"/>
      <c r="AA163" s="1407"/>
      <c r="AB163" s="1407"/>
      <c r="AC163" s="1407"/>
      <c r="AD163" s="1407"/>
      <c r="AE163" s="1407"/>
      <c r="AF163" s="1407"/>
      <c r="AG163" s="1407"/>
      <c r="AH163" s="1407"/>
      <c r="AI163" s="1407"/>
      <c r="AJ163" s="1407"/>
    </row>
    <row r="164" spans="2:36" ht="15.75" customHeight="1" x14ac:dyDescent="0.25">
      <c r="B164" s="2571"/>
      <c r="C164" s="1546">
        <f t="shared" si="80"/>
        <v>2017</v>
      </c>
      <c r="D164" s="1591" t="e">
        <f>-'Prime INPUTS'!Q297/'Prime INPUTS'!$C$332/1000</f>
        <v>#N/A</v>
      </c>
      <c r="E164" s="1591" t="e">
        <f>-'Prime INPUTS'!R297/'Prime INPUTS'!$C$332/1000</f>
        <v>#N/A</v>
      </c>
      <c r="F164" s="1591" t="e">
        <f>-'Prime INPUTS'!S297/'Prime INPUTS'!$C$332/1000</f>
        <v>#N/A</v>
      </c>
      <c r="G164" s="1591" t="e">
        <f t="shared" si="81"/>
        <v>#N/A</v>
      </c>
      <c r="H164" s="1592" t="e">
        <f t="shared" si="82"/>
        <v>#N/A</v>
      </c>
      <c r="I164" s="1407"/>
      <c r="J164" s="1407"/>
      <c r="K164" s="1407"/>
      <c r="L164" s="1407"/>
      <c r="M164" s="1407"/>
      <c r="N164" s="1407"/>
      <c r="O164" s="1407"/>
      <c r="P164" s="1407"/>
      <c r="Q164" s="1407"/>
      <c r="R164" s="1407"/>
      <c r="S164" s="1407"/>
      <c r="T164" s="1407"/>
      <c r="U164" s="1407"/>
      <c r="V164" s="1407"/>
      <c r="W164" s="1407"/>
      <c r="X164" s="1407"/>
      <c r="Y164" s="1407"/>
      <c r="Z164" s="1407"/>
      <c r="AA164" s="1407"/>
      <c r="AB164" s="1407"/>
      <c r="AC164" s="1407"/>
      <c r="AD164" s="1407"/>
      <c r="AE164" s="1407"/>
      <c r="AF164" s="1407"/>
      <c r="AG164" s="1407"/>
      <c r="AH164" s="1407"/>
      <c r="AI164" s="1407"/>
      <c r="AJ164" s="1407"/>
    </row>
    <row r="165" spans="2:36" ht="15.75" customHeight="1" x14ac:dyDescent="0.25">
      <c r="B165" s="2571"/>
      <c r="C165" s="1546">
        <f t="shared" si="80"/>
        <v>2018</v>
      </c>
      <c r="D165" s="1591" t="e">
        <f>-'Prime INPUTS'!Q298/'Prime INPUTS'!$C$332/1000</f>
        <v>#N/A</v>
      </c>
      <c r="E165" s="1591" t="e">
        <f>-'Prime INPUTS'!R298/'Prime INPUTS'!$C$332/1000</f>
        <v>#N/A</v>
      </c>
      <c r="F165" s="1591" t="e">
        <f>-'Prime INPUTS'!S298/'Prime INPUTS'!$C$332/1000</f>
        <v>#N/A</v>
      </c>
      <c r="G165" s="1591" t="e">
        <f t="shared" si="81"/>
        <v>#N/A</v>
      </c>
      <c r="H165" s="1592" t="e">
        <f t="shared" si="82"/>
        <v>#N/A</v>
      </c>
      <c r="I165" s="1407"/>
      <c r="J165" s="1407"/>
      <c r="K165" s="1407"/>
      <c r="L165" s="1407"/>
      <c r="M165" s="1407"/>
      <c r="N165" s="1407"/>
      <c r="O165" s="1407"/>
      <c r="P165" s="1407"/>
      <c r="Q165" s="1407"/>
      <c r="R165" s="1407"/>
      <c r="S165" s="1407"/>
      <c r="T165" s="1407"/>
      <c r="U165" s="1407"/>
      <c r="V165" s="1407"/>
      <c r="W165" s="1407"/>
      <c r="X165" s="1407"/>
      <c r="Y165" s="1407"/>
      <c r="Z165" s="1407"/>
      <c r="AA165" s="1407"/>
      <c r="AB165" s="1407"/>
      <c r="AC165" s="1407"/>
      <c r="AD165" s="1407"/>
      <c r="AE165" s="1407"/>
      <c r="AF165" s="1407"/>
      <c r="AG165" s="1407"/>
      <c r="AH165" s="1407"/>
      <c r="AI165" s="1407"/>
      <c r="AJ165" s="1407"/>
    </row>
    <row r="166" spans="2:36" ht="15.75" customHeight="1" x14ac:dyDescent="0.25">
      <c r="B166" s="2571"/>
      <c r="C166" s="1546">
        <f t="shared" si="80"/>
        <v>2019</v>
      </c>
      <c r="D166" s="1591" t="e">
        <f>-'Prime INPUTS'!Q299/'Prime INPUTS'!$C$332/1000</f>
        <v>#N/A</v>
      </c>
      <c r="E166" s="1591" t="e">
        <f>-'Prime INPUTS'!R299/'Prime INPUTS'!$C$332/1000</f>
        <v>#N/A</v>
      </c>
      <c r="F166" s="1591" t="e">
        <f>-'Prime INPUTS'!S299/'Prime INPUTS'!$C$332/1000</f>
        <v>#N/A</v>
      </c>
      <c r="G166" s="1591" t="e">
        <f t="shared" si="81"/>
        <v>#N/A</v>
      </c>
      <c r="H166" s="1592" t="e">
        <f t="shared" si="82"/>
        <v>#N/A</v>
      </c>
      <c r="I166" s="1407"/>
      <c r="J166" s="1407"/>
      <c r="K166" s="1407"/>
      <c r="L166" s="1407"/>
      <c r="M166" s="1407"/>
      <c r="N166" s="1407"/>
      <c r="O166" s="1407"/>
      <c r="P166" s="1407"/>
      <c r="Q166" s="1407"/>
      <c r="R166" s="1407"/>
      <c r="S166" s="1407"/>
      <c r="T166" s="1407"/>
      <c r="U166" s="1407"/>
      <c r="V166" s="1407"/>
      <c r="W166" s="1407"/>
      <c r="X166" s="1407"/>
      <c r="Y166" s="1407"/>
      <c r="Z166" s="1407"/>
      <c r="AA166" s="1407"/>
      <c r="AB166" s="1407"/>
      <c r="AC166" s="1407"/>
      <c r="AD166" s="1407"/>
      <c r="AE166" s="1407"/>
      <c r="AF166" s="1407"/>
      <c r="AG166" s="1407"/>
      <c r="AH166" s="1407"/>
      <c r="AI166" s="1407"/>
      <c r="AJ166" s="1407"/>
    </row>
    <row r="167" spans="2:36" ht="15.75" customHeight="1" x14ac:dyDescent="0.25">
      <c r="B167" s="2572"/>
      <c r="C167" s="1546">
        <f t="shared" si="80"/>
        <v>2020</v>
      </c>
      <c r="D167" s="1591" t="e">
        <f>-'Prime INPUTS'!Q300/'Prime INPUTS'!$C$332/1000</f>
        <v>#N/A</v>
      </c>
      <c r="E167" s="1591" t="e">
        <f>-'Prime INPUTS'!R300/'Prime INPUTS'!$C$332/1000</f>
        <v>#N/A</v>
      </c>
      <c r="F167" s="1591" t="e">
        <f>-'Prime INPUTS'!S300/'Prime INPUTS'!$C$332/1000</f>
        <v>#N/A</v>
      </c>
      <c r="G167" s="1591" t="e">
        <f t="shared" si="81"/>
        <v>#N/A</v>
      </c>
      <c r="H167" s="1592" t="e">
        <f t="shared" si="82"/>
        <v>#N/A</v>
      </c>
      <c r="I167" s="1407"/>
      <c r="J167" s="1407"/>
      <c r="K167" s="1407"/>
      <c r="L167" s="1407"/>
      <c r="M167" s="1407"/>
      <c r="N167" s="1407"/>
      <c r="O167" s="1407"/>
      <c r="P167" s="1407"/>
      <c r="Q167" s="1407"/>
      <c r="R167" s="1407"/>
      <c r="S167" s="1407"/>
      <c r="T167" s="1407"/>
      <c r="U167" s="1407"/>
      <c r="V167" s="1407"/>
      <c r="W167" s="1407"/>
      <c r="X167" s="1407"/>
      <c r="Y167" s="1407"/>
      <c r="Z167" s="1407"/>
      <c r="AA167" s="1407"/>
      <c r="AB167" s="1407"/>
      <c r="AC167" s="1407"/>
      <c r="AD167" s="1407"/>
      <c r="AE167" s="1407"/>
      <c r="AF167" s="1407"/>
      <c r="AG167" s="1407"/>
      <c r="AH167" s="1407"/>
      <c r="AI167" s="1407"/>
      <c r="AJ167" s="1407"/>
    </row>
    <row r="168" spans="2:36" s="1407" customFormat="1" ht="15.75" x14ac:dyDescent="0.25">
      <c r="B168" s="1564"/>
      <c r="C168" s="1565"/>
      <c r="D168" s="1565"/>
      <c r="E168" s="1566"/>
      <c r="F168" s="1566"/>
      <c r="G168" s="1566"/>
      <c r="H168" s="1566"/>
    </row>
    <row r="169" spans="2:36" ht="16.5" x14ac:dyDescent="0.25">
      <c r="B169" s="2570" t="s">
        <v>1776</v>
      </c>
      <c r="C169" s="1689"/>
      <c r="D169" s="1733" t="str">
        <f>B169</f>
        <v>Displaced Natural Gas for Heating-related Output (Thousands of 2010$)</v>
      </c>
      <c r="E169" s="1735"/>
      <c r="F169" s="1735"/>
      <c r="G169" s="1735"/>
      <c r="H169" s="1735"/>
      <c r="I169" s="1407"/>
      <c r="J169" s="1407"/>
      <c r="K169" s="1407"/>
      <c r="L169" s="1407"/>
      <c r="M169" s="1407"/>
      <c r="N169" s="1407"/>
      <c r="O169" s="1407"/>
      <c r="P169" s="1407"/>
      <c r="Q169" s="1407"/>
      <c r="R169" s="1407"/>
      <c r="S169" s="1407"/>
      <c r="T169" s="1407"/>
      <c r="U169" s="1407"/>
      <c r="V169" s="1407"/>
      <c r="W169" s="1407"/>
      <c r="X169" s="1407"/>
      <c r="Y169" s="1407"/>
      <c r="Z169" s="1407"/>
      <c r="AA169" s="1407"/>
      <c r="AB169" s="1407"/>
      <c r="AC169" s="1407"/>
      <c r="AD169" s="1407"/>
      <c r="AE169" s="1407"/>
      <c r="AF169" s="1407"/>
      <c r="AG169" s="1407"/>
      <c r="AH169" s="1407"/>
      <c r="AI169" s="1407"/>
      <c r="AJ169" s="1407"/>
    </row>
    <row r="170" spans="2:36" ht="47.25" x14ac:dyDescent="0.25">
      <c r="B170" s="2571"/>
      <c r="C170" s="1585" t="str">
        <f t="shared" ref="C170:C176" si="83">C161</f>
        <v>Year</v>
      </c>
      <c r="D170" s="1528" t="str">
        <f>D152</f>
        <v>Displaced Natural Gas Direct</v>
      </c>
      <c r="E170" s="1528" t="str">
        <f>E152</f>
        <v>Displaced Natural Gas Indirect</v>
      </c>
      <c r="F170" s="1528" t="str">
        <f>F152</f>
        <v>Displaced Natural Gas Induced</v>
      </c>
      <c r="G170" s="1755" t="str">
        <f>G152</f>
        <v>Displaced Natural Gas Supply Chain</v>
      </c>
      <c r="H170" s="1755" t="str">
        <f>H152</f>
        <v>Displaced Natural Gas Total</v>
      </c>
      <c r="I170" s="1407"/>
      <c r="J170" s="1407"/>
      <c r="K170" s="1407"/>
      <c r="L170" s="1407"/>
      <c r="M170" s="1407"/>
      <c r="N170" s="1407"/>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row>
    <row r="171" spans="2:36" ht="15.75" customHeight="1" x14ac:dyDescent="0.25">
      <c r="B171" s="2571"/>
      <c r="C171" s="1546">
        <f t="shared" si="83"/>
        <v>2015</v>
      </c>
      <c r="D171" s="1591" t="e">
        <f>-'Prime INPUTS'!W295/'Prime INPUTS'!$C$332/1000</f>
        <v>#N/A</v>
      </c>
      <c r="E171" s="1591" t="e">
        <f>-'Prime INPUTS'!X295/'Prime INPUTS'!$C$332/1000</f>
        <v>#N/A</v>
      </c>
      <c r="F171" s="1591" t="e">
        <f>-'Prime INPUTS'!Y295/'Prime INPUTS'!$C$332/1000</f>
        <v>#N/A</v>
      </c>
      <c r="G171" s="1591" t="e">
        <f t="shared" ref="G171:G176" si="84">D171+E171</f>
        <v>#N/A</v>
      </c>
      <c r="H171" s="1592" t="e">
        <f t="shared" ref="H171:H176" si="85">D171+E171+F171</f>
        <v>#N/A</v>
      </c>
      <c r="I171" s="1407"/>
      <c r="J171" s="1407"/>
      <c r="K171" s="1407"/>
      <c r="L171" s="1407"/>
      <c r="M171" s="1407"/>
      <c r="N171" s="1407"/>
      <c r="O171" s="1407"/>
      <c r="P171" s="1407"/>
      <c r="Q171" s="1407"/>
      <c r="R171" s="1407"/>
      <c r="S171" s="1407"/>
      <c r="T171" s="1407"/>
      <c r="U171" s="1407"/>
      <c r="V171" s="1407"/>
      <c r="W171" s="1407"/>
      <c r="X171" s="1407"/>
      <c r="Y171" s="1407"/>
      <c r="Z171" s="1407"/>
      <c r="AA171" s="1407"/>
      <c r="AB171" s="1407"/>
      <c r="AC171" s="1407"/>
      <c r="AD171" s="1407"/>
      <c r="AE171" s="1407"/>
      <c r="AF171" s="1407"/>
      <c r="AG171" s="1407"/>
      <c r="AH171" s="1407"/>
      <c r="AI171" s="1407"/>
      <c r="AJ171" s="1407"/>
    </row>
    <row r="172" spans="2:36" ht="15.75" customHeight="1" x14ac:dyDescent="0.25">
      <c r="B172" s="2571"/>
      <c r="C172" s="1546">
        <f t="shared" si="83"/>
        <v>2016</v>
      </c>
      <c r="D172" s="1591" t="e">
        <f>-'Prime INPUTS'!W296/'Prime INPUTS'!$C$332/1000</f>
        <v>#N/A</v>
      </c>
      <c r="E172" s="1591" t="e">
        <f>-'Prime INPUTS'!X296/'Prime INPUTS'!$C$332/1000</f>
        <v>#N/A</v>
      </c>
      <c r="F172" s="1591" t="e">
        <f>-'Prime INPUTS'!Y296/'Prime INPUTS'!$C$332/1000</f>
        <v>#N/A</v>
      </c>
      <c r="G172" s="1591" t="e">
        <f t="shared" si="84"/>
        <v>#N/A</v>
      </c>
      <c r="H172" s="1592" t="e">
        <f t="shared" si="85"/>
        <v>#N/A</v>
      </c>
      <c r="I172" s="1407"/>
      <c r="J172" s="1407"/>
      <c r="K172" s="1407"/>
      <c r="L172" s="1407"/>
      <c r="M172" s="1407"/>
      <c r="N172" s="1407"/>
      <c r="O172" s="1407"/>
      <c r="P172" s="1407"/>
      <c r="Q172" s="1407"/>
      <c r="R172" s="1407"/>
      <c r="S172" s="1407"/>
      <c r="T172" s="1407"/>
      <c r="U172" s="1407"/>
      <c r="V172" s="1407"/>
      <c r="W172" s="1407"/>
      <c r="X172" s="1407"/>
      <c r="Y172" s="1407"/>
      <c r="Z172" s="1407"/>
      <c r="AA172" s="1407"/>
      <c r="AB172" s="1407"/>
      <c r="AC172" s="1407"/>
      <c r="AD172" s="1407"/>
      <c r="AE172" s="1407"/>
      <c r="AF172" s="1407"/>
      <c r="AG172" s="1407"/>
      <c r="AH172" s="1407"/>
      <c r="AI172" s="1407"/>
      <c r="AJ172" s="1407"/>
    </row>
    <row r="173" spans="2:36" ht="15.75" customHeight="1" x14ac:dyDescent="0.25">
      <c r="B173" s="2571"/>
      <c r="C173" s="1546">
        <f t="shared" si="83"/>
        <v>2017</v>
      </c>
      <c r="D173" s="1591" t="e">
        <f>-'Prime INPUTS'!W297/'Prime INPUTS'!$C$332/1000</f>
        <v>#N/A</v>
      </c>
      <c r="E173" s="1591" t="e">
        <f>-'Prime INPUTS'!X297/'Prime INPUTS'!$C$332/1000</f>
        <v>#N/A</v>
      </c>
      <c r="F173" s="1591" t="e">
        <f>-'Prime INPUTS'!Y297/'Prime INPUTS'!$C$332/1000</f>
        <v>#N/A</v>
      </c>
      <c r="G173" s="1591" t="e">
        <f t="shared" si="84"/>
        <v>#N/A</v>
      </c>
      <c r="H173" s="1592" t="e">
        <f t="shared" si="85"/>
        <v>#N/A</v>
      </c>
      <c r="I173" s="1407"/>
      <c r="J173" s="1407"/>
      <c r="K173" s="1407"/>
      <c r="L173" s="1407"/>
      <c r="M173" s="1407"/>
      <c r="N173" s="1407"/>
      <c r="O173" s="1407"/>
      <c r="P173" s="1407"/>
      <c r="Q173" s="1407"/>
      <c r="R173" s="1407"/>
      <c r="S173" s="1407"/>
      <c r="T173" s="1407"/>
      <c r="U173" s="1407"/>
      <c r="V173" s="1407"/>
      <c r="W173" s="1407"/>
      <c r="X173" s="1407"/>
      <c r="Y173" s="1407"/>
      <c r="Z173" s="1407"/>
      <c r="AA173" s="1407"/>
      <c r="AB173" s="1407"/>
      <c r="AC173" s="1407"/>
      <c r="AD173" s="1407"/>
      <c r="AE173" s="1407"/>
      <c r="AF173" s="1407"/>
      <c r="AG173" s="1407"/>
      <c r="AH173" s="1407"/>
      <c r="AI173" s="1407"/>
      <c r="AJ173" s="1407"/>
    </row>
    <row r="174" spans="2:36" ht="15.75" customHeight="1" x14ac:dyDescent="0.25">
      <c r="B174" s="2571"/>
      <c r="C174" s="1546">
        <f t="shared" si="83"/>
        <v>2018</v>
      </c>
      <c r="D174" s="1591" t="e">
        <f>-'Prime INPUTS'!W298/'Prime INPUTS'!$C$332/1000</f>
        <v>#N/A</v>
      </c>
      <c r="E174" s="1591" t="e">
        <f>-'Prime INPUTS'!X298/'Prime INPUTS'!$C$332/1000</f>
        <v>#N/A</v>
      </c>
      <c r="F174" s="1591" t="e">
        <f>-'Prime INPUTS'!Y298/'Prime INPUTS'!$C$332/1000</f>
        <v>#N/A</v>
      </c>
      <c r="G174" s="1591" t="e">
        <f t="shared" si="84"/>
        <v>#N/A</v>
      </c>
      <c r="H174" s="1592" t="e">
        <f t="shared" si="85"/>
        <v>#N/A</v>
      </c>
      <c r="I174" s="1407"/>
      <c r="J174" s="1407"/>
      <c r="K174" s="1407"/>
      <c r="L174" s="1407"/>
      <c r="M174" s="1407"/>
      <c r="N174" s="1407"/>
      <c r="O174" s="1407"/>
      <c r="P174" s="1407"/>
      <c r="Q174" s="1407"/>
      <c r="R174" s="1407"/>
      <c r="S174" s="1407"/>
      <c r="T174" s="1407"/>
      <c r="U174" s="1407"/>
      <c r="V174" s="1407"/>
      <c r="W174" s="1407"/>
      <c r="X174" s="1407"/>
      <c r="Y174" s="1407"/>
      <c r="Z174" s="1407"/>
      <c r="AA174" s="1407"/>
      <c r="AB174" s="1407"/>
      <c r="AC174" s="1407"/>
      <c r="AD174" s="1407"/>
      <c r="AE174" s="1407"/>
      <c r="AF174" s="1407"/>
      <c r="AG174" s="1407"/>
      <c r="AH174" s="1407"/>
      <c r="AI174" s="1407"/>
      <c r="AJ174" s="1407"/>
    </row>
    <row r="175" spans="2:36" ht="15.75" customHeight="1" x14ac:dyDescent="0.25">
      <c r="B175" s="2571"/>
      <c r="C175" s="1546">
        <f t="shared" si="83"/>
        <v>2019</v>
      </c>
      <c r="D175" s="1591" t="e">
        <f>-'Prime INPUTS'!W299/'Prime INPUTS'!$C$332/1000</f>
        <v>#N/A</v>
      </c>
      <c r="E175" s="1591" t="e">
        <f>-'Prime INPUTS'!X299/'Prime INPUTS'!$C$332/1000</f>
        <v>#N/A</v>
      </c>
      <c r="F175" s="1591" t="e">
        <f>-'Prime INPUTS'!Y299/'Prime INPUTS'!$C$332/1000</f>
        <v>#N/A</v>
      </c>
      <c r="G175" s="1591" t="e">
        <f t="shared" si="84"/>
        <v>#N/A</v>
      </c>
      <c r="H175" s="1592" t="e">
        <f t="shared" si="85"/>
        <v>#N/A</v>
      </c>
      <c r="I175" s="1407"/>
      <c r="J175" s="1407"/>
      <c r="K175" s="1407"/>
      <c r="L175" s="1407"/>
      <c r="M175" s="1407"/>
      <c r="N175" s="1407"/>
      <c r="O175" s="1407"/>
      <c r="P175" s="1407"/>
      <c r="Q175" s="1407"/>
      <c r="R175" s="1407"/>
      <c r="S175" s="1407"/>
      <c r="T175" s="1407"/>
      <c r="U175" s="1407"/>
      <c r="V175" s="1407"/>
      <c r="W175" s="1407"/>
      <c r="X175" s="1407"/>
      <c r="Y175" s="1407"/>
      <c r="Z175" s="1407"/>
      <c r="AA175" s="1407"/>
      <c r="AB175" s="1407"/>
      <c r="AC175" s="1407"/>
      <c r="AD175" s="1407"/>
      <c r="AE175" s="1407"/>
      <c r="AF175" s="1407"/>
      <c r="AG175" s="1407"/>
      <c r="AH175" s="1407"/>
      <c r="AI175" s="1407"/>
      <c r="AJ175" s="1407"/>
    </row>
    <row r="176" spans="2:36" ht="15.75" customHeight="1" x14ac:dyDescent="0.25">
      <c r="B176" s="2572"/>
      <c r="C176" s="1546">
        <f t="shared" si="83"/>
        <v>2020</v>
      </c>
      <c r="D176" s="1591" t="e">
        <f>-'Prime INPUTS'!W300/'Prime INPUTS'!$C$332/1000</f>
        <v>#N/A</v>
      </c>
      <c r="E176" s="1591" t="e">
        <f>-'Prime INPUTS'!X300/'Prime INPUTS'!$C$332/1000</f>
        <v>#N/A</v>
      </c>
      <c r="F176" s="1591" t="e">
        <f>-'Prime INPUTS'!Y300/'Prime INPUTS'!$C$332/1000</f>
        <v>#N/A</v>
      </c>
      <c r="G176" s="1591" t="e">
        <f t="shared" si="84"/>
        <v>#N/A</v>
      </c>
      <c r="H176" s="1592" t="e">
        <f t="shared" si="85"/>
        <v>#N/A</v>
      </c>
      <c r="I176" s="1407"/>
      <c r="J176" s="1407"/>
      <c r="K176" s="1407"/>
      <c r="L176" s="1407"/>
      <c r="M176" s="1407"/>
      <c r="N176" s="1407"/>
      <c r="O176" s="1407"/>
      <c r="P176" s="1407"/>
      <c r="Q176" s="1407"/>
      <c r="R176" s="1407"/>
      <c r="S176" s="1407"/>
      <c r="T176" s="1407"/>
      <c r="U176" s="1407"/>
      <c r="V176" s="1407"/>
      <c r="W176" s="1407"/>
      <c r="X176" s="1407"/>
      <c r="Y176" s="1407"/>
      <c r="Z176" s="1407"/>
      <c r="AA176" s="1407"/>
      <c r="AB176" s="1407"/>
      <c r="AC176" s="1407"/>
      <c r="AD176" s="1407"/>
      <c r="AE176" s="1407"/>
      <c r="AF176" s="1407"/>
      <c r="AG176" s="1407"/>
      <c r="AH176" s="1407"/>
      <c r="AI176" s="1407"/>
      <c r="AJ176" s="1407"/>
    </row>
    <row r="177" spans="1:36" s="1612" customFormat="1" x14ac:dyDescent="0.25">
      <c r="A177" s="1605"/>
      <c r="E177" s="1613"/>
      <c r="F177" s="1613"/>
      <c r="G177" s="1613"/>
      <c r="H177" s="1613"/>
      <c r="I177" s="1613"/>
      <c r="J177" s="1613"/>
      <c r="K177" s="1614"/>
      <c r="L177" s="1614"/>
      <c r="M177" s="1614"/>
      <c r="N177" s="1614"/>
      <c r="O177" s="1614"/>
      <c r="P177" s="1614"/>
      <c r="Q177" s="1614"/>
      <c r="R177" s="1614"/>
      <c r="S177" s="1614"/>
      <c r="T177" s="1614"/>
      <c r="U177" s="1614"/>
    </row>
    <row r="178" spans="1:36" s="1612" customFormat="1" x14ac:dyDescent="0.25">
      <c r="A178" s="1605"/>
      <c r="E178" s="1613"/>
      <c r="F178" s="1613"/>
      <c r="G178" s="1613"/>
      <c r="H178" s="1613"/>
      <c r="I178" s="1613"/>
      <c r="J178" s="1613"/>
      <c r="K178" s="1614"/>
      <c r="L178" s="1614"/>
      <c r="M178" s="1614"/>
      <c r="N178" s="1614"/>
      <c r="O178" s="1614"/>
      <c r="P178" s="1614"/>
      <c r="Q178" s="1614"/>
      <c r="R178" s="1614"/>
      <c r="S178" s="1614"/>
      <c r="T178" s="1614"/>
      <c r="U178" s="1614"/>
    </row>
    <row r="179" spans="1:36" s="1846" customFormat="1" x14ac:dyDescent="0.25">
      <c r="B179" s="1847" t="s">
        <v>2111</v>
      </c>
      <c r="E179" s="1848"/>
      <c r="F179" s="1848"/>
      <c r="G179" s="1848"/>
      <c r="H179" s="1848"/>
      <c r="I179" s="1848"/>
      <c r="J179" s="1848"/>
      <c r="K179" s="1849"/>
      <c r="L179" s="1849"/>
      <c r="M179" s="1849"/>
      <c r="N179" s="1849"/>
      <c r="O179" s="1849"/>
      <c r="P179" s="1849"/>
      <c r="Q179" s="1849"/>
      <c r="R179" s="1849"/>
      <c r="S179" s="1849"/>
      <c r="T179" s="1849"/>
      <c r="U179" s="1849"/>
    </row>
    <row r="180" spans="1:36" s="1846" customFormat="1" ht="15.75" x14ac:dyDescent="0.25">
      <c r="B180" s="1855"/>
      <c r="D180" s="1846" t="str">
        <f>IF($F$6=Lists!$C$4,"Net "&amp;F7&amp;"-related",D183)</f>
        <v>Gross &lt;Please select&gt;-related</v>
      </c>
      <c r="E180" s="1846" t="str">
        <f>D180</f>
        <v>Gross &lt;Please select&gt;-related</v>
      </c>
      <c r="F180" s="1846" t="str">
        <f>E180</f>
        <v>Gross &lt;Please select&gt;-related</v>
      </c>
      <c r="G180" s="1846" t="str">
        <f>F180</f>
        <v>Gross &lt;Please select&gt;-related</v>
      </c>
      <c r="H180" s="1846" t="str">
        <f>G180</f>
        <v>Gross &lt;Please select&gt;-related</v>
      </c>
      <c r="K180" s="1849" t="str">
        <f>"Gross "&amp;F7&amp;" Unit"</f>
        <v>Gross &lt;Please select&gt; Unit</v>
      </c>
      <c r="L180" s="1849" t="str">
        <f>K180</f>
        <v>Gross &lt;Please select&gt; Unit</v>
      </c>
      <c r="M180" s="1849" t="str">
        <f>L180</f>
        <v>Gross &lt;Please select&gt; Unit</v>
      </c>
      <c r="N180" s="1849" t="str">
        <f>M180</f>
        <v>Gross &lt;Please select&gt; Unit</v>
      </c>
      <c r="O180" s="1849" t="str">
        <f>N180</f>
        <v>Gross &lt;Please select&gt; Unit</v>
      </c>
      <c r="P180" s="1849"/>
      <c r="Q180" s="1850"/>
      <c r="R180" s="1849" t="str">
        <f>"Gross "&amp;F7&amp;" Installation"</f>
        <v>Gross &lt;Please select&gt; Installation</v>
      </c>
      <c r="S180" s="1849" t="str">
        <f>R180</f>
        <v>Gross &lt;Please select&gt; Installation</v>
      </c>
      <c r="T180" s="1849" t="str">
        <f>S180</f>
        <v>Gross &lt;Please select&gt; Installation</v>
      </c>
      <c r="U180" s="1849" t="str">
        <f>T180</f>
        <v>Gross &lt;Please select&gt; Installation</v>
      </c>
      <c r="V180" s="1849" t="str">
        <f>U180</f>
        <v>Gross &lt;Please select&gt; Installation</v>
      </c>
      <c r="W180" s="1849"/>
      <c r="Y180" s="1849" t="str">
        <f>"Gross "&amp;F7&amp;" Fuel"</f>
        <v>Gross &lt;Please select&gt; Fuel</v>
      </c>
      <c r="Z180" s="1849" t="str">
        <f>Y180</f>
        <v>Gross &lt;Please select&gt; Fuel</v>
      </c>
      <c r="AA180" s="1849" t="str">
        <f>Z180</f>
        <v>Gross &lt;Please select&gt; Fuel</v>
      </c>
      <c r="AB180" s="1849" t="str">
        <f>AA180</f>
        <v>Gross &lt;Please select&gt; Fuel</v>
      </c>
      <c r="AC180" s="1849" t="str">
        <f>AB180</f>
        <v>Gross &lt;Please select&gt; Fuel</v>
      </c>
      <c r="AD180" s="1849"/>
      <c r="AF180" s="1856" t="str">
        <f>"Gross "&amp;F7&amp;" Maintenance"</f>
        <v>Gross &lt;Please select&gt; Maintenance</v>
      </c>
      <c r="AG180" s="1849" t="str">
        <f>AF180</f>
        <v>Gross &lt;Please select&gt; Maintenance</v>
      </c>
      <c r="AH180" s="1849" t="str">
        <f>AG180</f>
        <v>Gross &lt;Please select&gt; Maintenance</v>
      </c>
      <c r="AI180" s="1849" t="str">
        <f>AH180</f>
        <v>Gross &lt;Please select&gt; Maintenance</v>
      </c>
      <c r="AJ180" s="1849" t="str">
        <f>AI180</f>
        <v>Gross &lt;Please select&gt; Maintenance</v>
      </c>
    </row>
    <row r="181" spans="1:36" s="1851" customFormat="1" x14ac:dyDescent="0.25">
      <c r="D181" s="1851" t="s">
        <v>410</v>
      </c>
      <c r="E181" s="1851" t="s">
        <v>411</v>
      </c>
      <c r="F181" s="1851" t="s">
        <v>418</v>
      </c>
      <c r="G181" s="1851" t="s">
        <v>1442</v>
      </c>
      <c r="H181" s="1851" t="s">
        <v>448</v>
      </c>
      <c r="K181" s="1851" t="str">
        <f>D181</f>
        <v>Direct</v>
      </c>
      <c r="L181" s="1851" t="str">
        <f>E181</f>
        <v>Indirect</v>
      </c>
      <c r="M181" s="1851" t="str">
        <f>F181</f>
        <v>Induced</v>
      </c>
      <c r="N181" s="1851" t="str">
        <f>G181</f>
        <v>Supply Chain</v>
      </c>
      <c r="O181" s="1851" t="s">
        <v>448</v>
      </c>
      <c r="R181" s="1851" t="str">
        <f>K181</f>
        <v>Direct</v>
      </c>
      <c r="S181" s="1851" t="str">
        <f>L181</f>
        <v>Indirect</v>
      </c>
      <c r="T181" s="1851" t="str">
        <f>M181</f>
        <v>Induced</v>
      </c>
      <c r="U181" s="1851" t="str">
        <f>N181</f>
        <v>Supply Chain</v>
      </c>
      <c r="V181" s="1851" t="str">
        <f>O181</f>
        <v>Total</v>
      </c>
      <c r="Y181" s="1851" t="str">
        <f>R181</f>
        <v>Direct</v>
      </c>
      <c r="Z181" s="1851" t="str">
        <f>S181</f>
        <v>Indirect</v>
      </c>
      <c r="AA181" s="1851" t="str">
        <f>T181</f>
        <v>Induced</v>
      </c>
      <c r="AB181" s="1851" t="str">
        <f>U181</f>
        <v>Supply Chain</v>
      </c>
      <c r="AC181" s="1851" t="str">
        <f>V181</f>
        <v>Total</v>
      </c>
      <c r="AF181" s="1851" t="str">
        <f>Y181</f>
        <v>Direct</v>
      </c>
      <c r="AG181" s="1851" t="str">
        <f>Z181</f>
        <v>Indirect</v>
      </c>
      <c r="AH181" s="1851" t="str">
        <f>AA181</f>
        <v>Induced</v>
      </c>
      <c r="AI181" s="1851" t="str">
        <f>AB181</f>
        <v>Supply Chain</v>
      </c>
      <c r="AJ181" s="1851" t="str">
        <f>AC181</f>
        <v>Total</v>
      </c>
    </row>
    <row r="182" spans="1:36" s="1851" customFormat="1" x14ac:dyDescent="0.25"/>
    <row r="183" spans="1:36" s="1851" customFormat="1" x14ac:dyDescent="0.25">
      <c r="D183" s="1851" t="str">
        <f>"Gross "&amp;F7&amp;"-related"</f>
        <v>Gross &lt;Please select&gt;-related</v>
      </c>
      <c r="E183" s="1851" t="str">
        <f>D183</f>
        <v>Gross &lt;Please select&gt;-related</v>
      </c>
      <c r="F183" s="1851" t="str">
        <f t="shared" ref="F183:H183" si="86">E183</f>
        <v>Gross &lt;Please select&gt;-related</v>
      </c>
      <c r="G183" s="1851" t="str">
        <f t="shared" si="86"/>
        <v>Gross &lt;Please select&gt;-related</v>
      </c>
      <c r="H183" s="1851" t="str">
        <f t="shared" si="86"/>
        <v>Gross &lt;Please select&gt;-related</v>
      </c>
    </row>
    <row r="184" spans="1:36" s="1851" customFormat="1" x14ac:dyDescent="0.25">
      <c r="D184" s="1851" t="str">
        <f>D181</f>
        <v>Direct</v>
      </c>
      <c r="E184" s="1851" t="str">
        <f t="shared" ref="E184:H184" si="87">E181</f>
        <v>Indirect</v>
      </c>
      <c r="F184" s="1851" t="str">
        <f t="shared" si="87"/>
        <v>Induced</v>
      </c>
      <c r="G184" s="1851" t="str">
        <f t="shared" si="87"/>
        <v>Supply Chain</v>
      </c>
      <c r="H184" s="1851" t="str">
        <f t="shared" si="87"/>
        <v>Total</v>
      </c>
    </row>
    <row r="185" spans="1:36" s="1851" customFormat="1" x14ac:dyDescent="0.25"/>
    <row r="186" spans="1:36" s="1851" customFormat="1" ht="30" x14ac:dyDescent="0.25">
      <c r="D186" s="1851" t="s">
        <v>1881</v>
      </c>
      <c r="E186" s="1851" t="str">
        <f>D186</f>
        <v>Displaced Electricity</v>
      </c>
      <c r="F186" s="1851" t="str">
        <f t="shared" ref="F186:H186" si="88">E186</f>
        <v>Displaced Electricity</v>
      </c>
      <c r="G186" s="1851" t="str">
        <f t="shared" si="88"/>
        <v>Displaced Electricity</v>
      </c>
      <c r="H186" s="1851" t="str">
        <f t="shared" si="88"/>
        <v>Displaced Electricity</v>
      </c>
    </row>
    <row r="187" spans="1:36" s="1851" customFormat="1" x14ac:dyDescent="0.25">
      <c r="D187" s="1851" t="str">
        <f>D184</f>
        <v>Direct</v>
      </c>
      <c r="E187" s="1851" t="str">
        <f t="shared" ref="E187:H187" si="89">E184</f>
        <v>Indirect</v>
      </c>
      <c r="F187" s="1851" t="str">
        <f t="shared" si="89"/>
        <v>Induced</v>
      </c>
      <c r="G187" s="1851" t="str">
        <f t="shared" si="89"/>
        <v>Supply Chain</v>
      </c>
      <c r="H187" s="1851" t="str">
        <f t="shared" si="89"/>
        <v>Total</v>
      </c>
    </row>
    <row r="188" spans="1:36" s="1851" customFormat="1" x14ac:dyDescent="0.25"/>
    <row r="189" spans="1:36" s="1851" customFormat="1" ht="30" x14ac:dyDescent="0.25">
      <c r="D189" s="1851" t="s">
        <v>1880</v>
      </c>
      <c r="E189" s="1851" t="str">
        <f>D189</f>
        <v>Displaced Natural Gas</v>
      </c>
      <c r="F189" s="1851" t="str">
        <f t="shared" ref="F189:H189" si="90">E189</f>
        <v>Displaced Natural Gas</v>
      </c>
      <c r="G189" s="1851" t="str">
        <f t="shared" si="90"/>
        <v>Displaced Natural Gas</v>
      </c>
      <c r="H189" s="1851" t="str">
        <f t="shared" si="90"/>
        <v>Displaced Natural Gas</v>
      </c>
    </row>
    <row r="190" spans="1:36" s="1851" customFormat="1" x14ac:dyDescent="0.25">
      <c r="D190" s="1851" t="str">
        <f>D187</f>
        <v>Direct</v>
      </c>
      <c r="E190" s="1851" t="str">
        <f t="shared" ref="E190:H190" si="91">E187</f>
        <v>Indirect</v>
      </c>
      <c r="F190" s="1851" t="str">
        <f t="shared" si="91"/>
        <v>Induced</v>
      </c>
      <c r="G190" s="1851" t="str">
        <f t="shared" si="91"/>
        <v>Supply Chain</v>
      </c>
      <c r="H190" s="1851" t="str">
        <f t="shared" si="91"/>
        <v>Total</v>
      </c>
    </row>
    <row r="191" spans="1:36" s="1851" customFormat="1" x14ac:dyDescent="0.25"/>
    <row r="192" spans="1:36" s="1846" customFormat="1" x14ac:dyDescent="0.25">
      <c r="E192" s="1848"/>
      <c r="F192" s="1848"/>
      <c r="G192" s="1848"/>
      <c r="H192" s="1848"/>
      <c r="I192" s="1848"/>
      <c r="J192" s="1848"/>
      <c r="K192" s="1849"/>
      <c r="L192" s="1849"/>
      <c r="M192" s="1849"/>
      <c r="N192" s="1849"/>
      <c r="O192" s="1849"/>
      <c r="P192" s="1849"/>
      <c r="Q192" s="1849"/>
      <c r="R192" s="1849"/>
      <c r="S192" s="1849"/>
      <c r="T192" s="1849"/>
      <c r="U192" s="1849"/>
    </row>
    <row r="193" spans="2:24" s="1846" customFormat="1" x14ac:dyDescent="0.25">
      <c r="E193" s="1848"/>
      <c r="F193" s="1848"/>
      <c r="G193" s="1848"/>
      <c r="H193" s="1848"/>
      <c r="I193" s="1848"/>
      <c r="J193" s="1848"/>
      <c r="K193" s="1849"/>
      <c r="L193" s="1849"/>
      <c r="M193" s="1849"/>
      <c r="N193" s="1849"/>
      <c r="O193" s="1849"/>
      <c r="P193" s="1849"/>
      <c r="Q193" s="1849"/>
      <c r="R193" s="1849"/>
      <c r="S193" s="1849"/>
      <c r="T193" s="1849"/>
      <c r="U193" s="1849"/>
    </row>
    <row r="194" spans="2:24" s="1846" customFormat="1" x14ac:dyDescent="0.25">
      <c r="E194" s="1848"/>
      <c r="F194" s="1848"/>
      <c r="G194" s="1848"/>
      <c r="H194" s="1848"/>
      <c r="I194" s="1848"/>
      <c r="J194" s="1848"/>
      <c r="K194" s="1849"/>
      <c r="L194" s="1849"/>
      <c r="M194" s="1849"/>
      <c r="N194" s="1849"/>
      <c r="O194" s="1849"/>
      <c r="P194" s="1849"/>
      <c r="Q194" s="1849"/>
      <c r="R194" s="1849"/>
      <c r="S194" s="1849"/>
      <c r="T194" s="1849"/>
      <c r="U194" s="1849"/>
    </row>
    <row r="195" spans="2:24" s="1846" customFormat="1" x14ac:dyDescent="0.25">
      <c r="B195" s="1847" t="s">
        <v>2112</v>
      </c>
      <c r="I195" s="1848" t="str">
        <f t="shared" ref="I195:I203" si="92">D88</f>
        <v>Total (Manufacturing, Installation, Fuel, and Maintenance)</v>
      </c>
      <c r="J195" s="1848"/>
      <c r="K195" s="1848"/>
      <c r="L195" s="1848"/>
      <c r="M195" s="1848"/>
    </row>
    <row r="196" spans="2:24" s="1846" customFormat="1" x14ac:dyDescent="0.25">
      <c r="D196" s="1846" t="str">
        <f t="shared" ref="D196:D203" si="93">D58</f>
        <v>Gross &lt;Please select&gt;-related Employment (Job-years)</v>
      </c>
      <c r="I196" s="1848" t="str">
        <f t="shared" si="92"/>
        <v>Gross &lt;Please select&gt;-related Employment (Job-years)</v>
      </c>
      <c r="J196" s="1848"/>
      <c r="K196" s="1848"/>
      <c r="L196" s="1848"/>
      <c r="M196" s="1848"/>
      <c r="N196" s="1846" t="str">
        <f t="shared" ref="N196:N203" si="94">D121</f>
        <v>Displaced Electricity-related Employment (Job-years)</v>
      </c>
      <c r="S196" s="1849" t="str">
        <f t="shared" ref="S196:S203" si="95">D151</f>
        <v>Displaced Natural Gas for Heating-related Employment (Job-years)</v>
      </c>
      <c r="T196" s="1849"/>
      <c r="U196" s="1849"/>
      <c r="V196" s="1849"/>
      <c r="W196" s="1849"/>
      <c r="X196" s="1849"/>
    </row>
    <row r="197" spans="2:24" s="1846" customFormat="1" x14ac:dyDescent="0.25">
      <c r="C197" s="1846" t="str">
        <f t="shared" ref="C197:C203" si="96">C59</f>
        <v>Year</v>
      </c>
      <c r="D197" s="1846" t="str">
        <f t="shared" si="93"/>
        <v>Gross &lt;Please select&gt;-related Direct</v>
      </c>
      <c r="E197" s="1846" t="str">
        <f t="shared" ref="E197:H203" si="97">E59</f>
        <v>Gross &lt;Please select&gt;-related Indirect</v>
      </c>
      <c r="F197" s="1846" t="str">
        <f t="shared" si="97"/>
        <v>Gross &lt;Please select&gt;-related Induced</v>
      </c>
      <c r="G197" s="1846" t="str">
        <f t="shared" si="97"/>
        <v>Gross &lt;Please select&gt;-related Supply Chain</v>
      </c>
      <c r="H197" s="1846" t="str">
        <f t="shared" si="97"/>
        <v>Gross &lt;Please select&gt;-related Total</v>
      </c>
      <c r="I197" s="1848" t="str">
        <f t="shared" si="92"/>
        <v>Gross &lt;Please select&gt;-related Direct</v>
      </c>
      <c r="J197" s="1848" t="str">
        <f t="shared" ref="J197:M203" si="98">E90</f>
        <v>Gross &lt;Please select&gt;-related Indirect</v>
      </c>
      <c r="K197" s="1848" t="str">
        <f t="shared" si="98"/>
        <v>Gross &lt;Please select&gt;-related Induced</v>
      </c>
      <c r="L197" s="1848" t="str">
        <f t="shared" si="98"/>
        <v>Gross &lt;Please select&gt;-related Supply Chain</v>
      </c>
      <c r="M197" s="1848" t="str">
        <f t="shared" si="98"/>
        <v>Gross &lt;Please select&gt;-related Total</v>
      </c>
      <c r="N197" s="1846" t="str">
        <f t="shared" si="94"/>
        <v>Displaced Electricity Direct</v>
      </c>
      <c r="O197" s="1846" t="str">
        <f t="shared" ref="O197:R203" si="99">E122</f>
        <v>Displaced Electricity Indirect</v>
      </c>
      <c r="P197" s="1846" t="str">
        <f t="shared" si="99"/>
        <v>Displaced Electricity Induced</v>
      </c>
      <c r="Q197" s="1846" t="str">
        <f t="shared" si="99"/>
        <v>Displaced Electricity Supply Chain</v>
      </c>
      <c r="R197" s="1846" t="str">
        <f t="shared" si="99"/>
        <v>Displaced Electricity Total</v>
      </c>
      <c r="S197" s="1849" t="str">
        <f t="shared" si="95"/>
        <v>Displaced Natural Gas Direct</v>
      </c>
      <c r="T197" s="1849" t="str">
        <f t="shared" ref="T197:W203" si="100">E152</f>
        <v>Displaced Natural Gas Indirect</v>
      </c>
      <c r="U197" s="1849" t="str">
        <f t="shared" si="100"/>
        <v>Displaced Natural Gas Induced</v>
      </c>
      <c r="V197" s="1849" t="str">
        <f t="shared" si="100"/>
        <v>Displaced Natural Gas Supply Chain</v>
      </c>
      <c r="W197" s="1849" t="str">
        <f t="shared" si="100"/>
        <v>Displaced Natural Gas Total</v>
      </c>
      <c r="X197" s="1849"/>
    </row>
    <row r="198" spans="2:24" s="1846" customFormat="1" x14ac:dyDescent="0.25">
      <c r="C198" s="1846">
        <f t="shared" si="96"/>
        <v>2015</v>
      </c>
      <c r="D198" s="1852" t="e">
        <f t="shared" si="93"/>
        <v>#N/A</v>
      </c>
      <c r="E198" s="1852" t="e">
        <f t="shared" si="97"/>
        <v>#N/A</v>
      </c>
      <c r="F198" s="1852" t="e">
        <f t="shared" si="97"/>
        <v>#N/A</v>
      </c>
      <c r="G198" s="1852" t="e">
        <f t="shared" si="97"/>
        <v>#N/A</v>
      </c>
      <c r="H198" s="1852" t="e">
        <f t="shared" si="97"/>
        <v>#N/A</v>
      </c>
      <c r="I198" s="1852" t="e">
        <f t="shared" si="92"/>
        <v>#N/A</v>
      </c>
      <c r="J198" s="1852" t="e">
        <f t="shared" si="98"/>
        <v>#N/A</v>
      </c>
      <c r="K198" s="1852" t="e">
        <f t="shared" si="98"/>
        <v>#N/A</v>
      </c>
      <c r="L198" s="1852" t="e">
        <f t="shared" si="98"/>
        <v>#N/A</v>
      </c>
      <c r="M198" s="1852" t="e">
        <f t="shared" si="98"/>
        <v>#N/A</v>
      </c>
      <c r="N198" s="1852" t="e">
        <f t="shared" si="94"/>
        <v>#N/A</v>
      </c>
      <c r="O198" s="1852" t="e">
        <f t="shared" si="99"/>
        <v>#N/A</v>
      </c>
      <c r="P198" s="1852" t="e">
        <f t="shared" si="99"/>
        <v>#N/A</v>
      </c>
      <c r="Q198" s="1852" t="e">
        <f t="shared" si="99"/>
        <v>#N/A</v>
      </c>
      <c r="R198" s="1852" t="e">
        <f t="shared" si="99"/>
        <v>#N/A</v>
      </c>
      <c r="S198" s="1852" t="e">
        <f t="shared" si="95"/>
        <v>#N/A</v>
      </c>
      <c r="T198" s="1852" t="e">
        <f t="shared" si="100"/>
        <v>#N/A</v>
      </c>
      <c r="U198" s="1852" t="e">
        <f t="shared" si="100"/>
        <v>#N/A</v>
      </c>
      <c r="V198" s="1852" t="e">
        <f t="shared" si="100"/>
        <v>#N/A</v>
      </c>
      <c r="W198" s="1852" t="e">
        <f t="shared" si="100"/>
        <v>#N/A</v>
      </c>
      <c r="X198" s="1849"/>
    </row>
    <row r="199" spans="2:24" s="1846" customFormat="1" x14ac:dyDescent="0.25">
      <c r="C199" s="1846">
        <f t="shared" si="96"/>
        <v>2016</v>
      </c>
      <c r="D199" s="1852" t="e">
        <f t="shared" si="93"/>
        <v>#N/A</v>
      </c>
      <c r="E199" s="1852" t="e">
        <f t="shared" si="97"/>
        <v>#N/A</v>
      </c>
      <c r="F199" s="1852" t="e">
        <f t="shared" si="97"/>
        <v>#N/A</v>
      </c>
      <c r="G199" s="1852" t="e">
        <f t="shared" si="97"/>
        <v>#N/A</v>
      </c>
      <c r="H199" s="1852" t="e">
        <f t="shared" si="97"/>
        <v>#N/A</v>
      </c>
      <c r="I199" s="1852" t="e">
        <f t="shared" si="92"/>
        <v>#N/A</v>
      </c>
      <c r="J199" s="1852" t="e">
        <f t="shared" si="98"/>
        <v>#N/A</v>
      </c>
      <c r="K199" s="1852" t="e">
        <f t="shared" si="98"/>
        <v>#N/A</v>
      </c>
      <c r="L199" s="1852" t="e">
        <f t="shared" si="98"/>
        <v>#N/A</v>
      </c>
      <c r="M199" s="1852" t="e">
        <f t="shared" si="98"/>
        <v>#N/A</v>
      </c>
      <c r="N199" s="1852" t="e">
        <f t="shared" si="94"/>
        <v>#N/A</v>
      </c>
      <c r="O199" s="1852" t="e">
        <f t="shared" si="99"/>
        <v>#N/A</v>
      </c>
      <c r="P199" s="1852" t="e">
        <f t="shared" si="99"/>
        <v>#N/A</v>
      </c>
      <c r="Q199" s="1852" t="e">
        <f t="shared" si="99"/>
        <v>#N/A</v>
      </c>
      <c r="R199" s="1852" t="e">
        <f t="shared" si="99"/>
        <v>#N/A</v>
      </c>
      <c r="S199" s="1852" t="e">
        <f t="shared" si="95"/>
        <v>#N/A</v>
      </c>
      <c r="T199" s="1852" t="e">
        <f t="shared" si="100"/>
        <v>#N/A</v>
      </c>
      <c r="U199" s="1852" t="e">
        <f t="shared" si="100"/>
        <v>#N/A</v>
      </c>
      <c r="V199" s="1852" t="e">
        <f t="shared" si="100"/>
        <v>#N/A</v>
      </c>
      <c r="W199" s="1852" t="e">
        <f t="shared" si="100"/>
        <v>#N/A</v>
      </c>
      <c r="X199" s="1849"/>
    </row>
    <row r="200" spans="2:24" s="1846" customFormat="1" x14ac:dyDescent="0.25">
      <c r="C200" s="1846">
        <f t="shared" si="96"/>
        <v>2017</v>
      </c>
      <c r="D200" s="1852" t="e">
        <f t="shared" si="93"/>
        <v>#N/A</v>
      </c>
      <c r="E200" s="1852" t="e">
        <f t="shared" si="97"/>
        <v>#N/A</v>
      </c>
      <c r="F200" s="1852" t="e">
        <f t="shared" si="97"/>
        <v>#N/A</v>
      </c>
      <c r="G200" s="1852" t="e">
        <f t="shared" si="97"/>
        <v>#N/A</v>
      </c>
      <c r="H200" s="1852" t="e">
        <f t="shared" si="97"/>
        <v>#N/A</v>
      </c>
      <c r="I200" s="1852" t="e">
        <f t="shared" si="92"/>
        <v>#N/A</v>
      </c>
      <c r="J200" s="1852" t="e">
        <f t="shared" si="98"/>
        <v>#N/A</v>
      </c>
      <c r="K200" s="1852" t="e">
        <f t="shared" si="98"/>
        <v>#N/A</v>
      </c>
      <c r="L200" s="1852" t="e">
        <f t="shared" si="98"/>
        <v>#N/A</v>
      </c>
      <c r="M200" s="1852" t="e">
        <f t="shared" si="98"/>
        <v>#N/A</v>
      </c>
      <c r="N200" s="1852" t="e">
        <f t="shared" si="94"/>
        <v>#N/A</v>
      </c>
      <c r="O200" s="1852" t="e">
        <f t="shared" si="99"/>
        <v>#N/A</v>
      </c>
      <c r="P200" s="1852" t="e">
        <f t="shared" si="99"/>
        <v>#N/A</v>
      </c>
      <c r="Q200" s="1852" t="e">
        <f t="shared" si="99"/>
        <v>#N/A</v>
      </c>
      <c r="R200" s="1852" t="e">
        <f t="shared" si="99"/>
        <v>#N/A</v>
      </c>
      <c r="S200" s="1852" t="e">
        <f t="shared" si="95"/>
        <v>#N/A</v>
      </c>
      <c r="T200" s="1852" t="e">
        <f t="shared" si="100"/>
        <v>#N/A</v>
      </c>
      <c r="U200" s="1852" t="e">
        <f t="shared" si="100"/>
        <v>#N/A</v>
      </c>
      <c r="V200" s="1852" t="e">
        <f t="shared" si="100"/>
        <v>#N/A</v>
      </c>
      <c r="W200" s="1852" t="e">
        <f t="shared" si="100"/>
        <v>#N/A</v>
      </c>
      <c r="X200" s="1849"/>
    </row>
    <row r="201" spans="2:24" s="1846" customFormat="1" x14ac:dyDescent="0.25">
      <c r="C201" s="1846">
        <f t="shared" si="96"/>
        <v>2018</v>
      </c>
      <c r="D201" s="1852" t="e">
        <f t="shared" si="93"/>
        <v>#N/A</v>
      </c>
      <c r="E201" s="1852" t="e">
        <f t="shared" si="97"/>
        <v>#N/A</v>
      </c>
      <c r="F201" s="1852" t="e">
        <f t="shared" si="97"/>
        <v>#N/A</v>
      </c>
      <c r="G201" s="1852" t="e">
        <f t="shared" si="97"/>
        <v>#N/A</v>
      </c>
      <c r="H201" s="1852" t="e">
        <f t="shared" si="97"/>
        <v>#N/A</v>
      </c>
      <c r="I201" s="1852" t="e">
        <f t="shared" si="92"/>
        <v>#N/A</v>
      </c>
      <c r="J201" s="1852" t="e">
        <f t="shared" si="98"/>
        <v>#N/A</v>
      </c>
      <c r="K201" s="1852" t="e">
        <f t="shared" si="98"/>
        <v>#N/A</v>
      </c>
      <c r="L201" s="1852" t="e">
        <f t="shared" si="98"/>
        <v>#N/A</v>
      </c>
      <c r="M201" s="1852" t="e">
        <f t="shared" si="98"/>
        <v>#N/A</v>
      </c>
      <c r="N201" s="1852" t="e">
        <f t="shared" si="94"/>
        <v>#N/A</v>
      </c>
      <c r="O201" s="1852" t="e">
        <f t="shared" si="99"/>
        <v>#N/A</v>
      </c>
      <c r="P201" s="1852" t="e">
        <f t="shared" si="99"/>
        <v>#N/A</v>
      </c>
      <c r="Q201" s="1852" t="e">
        <f t="shared" si="99"/>
        <v>#N/A</v>
      </c>
      <c r="R201" s="1852" t="e">
        <f t="shared" si="99"/>
        <v>#N/A</v>
      </c>
      <c r="S201" s="1852" t="e">
        <f t="shared" si="95"/>
        <v>#N/A</v>
      </c>
      <c r="T201" s="1852" t="e">
        <f t="shared" si="100"/>
        <v>#N/A</v>
      </c>
      <c r="U201" s="1852" t="e">
        <f t="shared" si="100"/>
        <v>#N/A</v>
      </c>
      <c r="V201" s="1852" t="e">
        <f t="shared" si="100"/>
        <v>#N/A</v>
      </c>
      <c r="W201" s="1852" t="e">
        <f t="shared" si="100"/>
        <v>#N/A</v>
      </c>
      <c r="X201" s="1849"/>
    </row>
    <row r="202" spans="2:24" s="1846" customFormat="1" x14ac:dyDescent="0.25">
      <c r="C202" s="1846">
        <f t="shared" si="96"/>
        <v>2019</v>
      </c>
      <c r="D202" s="1852" t="e">
        <f t="shared" si="93"/>
        <v>#N/A</v>
      </c>
      <c r="E202" s="1852" t="e">
        <f t="shared" si="97"/>
        <v>#N/A</v>
      </c>
      <c r="F202" s="1852" t="e">
        <f t="shared" si="97"/>
        <v>#N/A</v>
      </c>
      <c r="G202" s="1852" t="e">
        <f t="shared" si="97"/>
        <v>#N/A</v>
      </c>
      <c r="H202" s="1852" t="e">
        <f t="shared" si="97"/>
        <v>#N/A</v>
      </c>
      <c r="I202" s="1852" t="e">
        <f t="shared" si="92"/>
        <v>#N/A</v>
      </c>
      <c r="J202" s="1852" t="e">
        <f t="shared" si="98"/>
        <v>#N/A</v>
      </c>
      <c r="K202" s="1852" t="e">
        <f t="shared" si="98"/>
        <v>#N/A</v>
      </c>
      <c r="L202" s="1852" t="e">
        <f t="shared" si="98"/>
        <v>#N/A</v>
      </c>
      <c r="M202" s="1852" t="e">
        <f t="shared" si="98"/>
        <v>#N/A</v>
      </c>
      <c r="N202" s="1852" t="e">
        <f t="shared" si="94"/>
        <v>#N/A</v>
      </c>
      <c r="O202" s="1852" t="e">
        <f t="shared" si="99"/>
        <v>#N/A</v>
      </c>
      <c r="P202" s="1852" t="e">
        <f t="shared" si="99"/>
        <v>#N/A</v>
      </c>
      <c r="Q202" s="1852" t="e">
        <f t="shared" si="99"/>
        <v>#N/A</v>
      </c>
      <c r="R202" s="1852" t="e">
        <f t="shared" si="99"/>
        <v>#N/A</v>
      </c>
      <c r="S202" s="1852" t="e">
        <f t="shared" si="95"/>
        <v>#N/A</v>
      </c>
      <c r="T202" s="1852" t="e">
        <f t="shared" si="100"/>
        <v>#N/A</v>
      </c>
      <c r="U202" s="1852" t="e">
        <f t="shared" si="100"/>
        <v>#N/A</v>
      </c>
      <c r="V202" s="1852" t="e">
        <f t="shared" si="100"/>
        <v>#N/A</v>
      </c>
      <c r="W202" s="1852" t="e">
        <f t="shared" si="100"/>
        <v>#N/A</v>
      </c>
      <c r="X202" s="1849"/>
    </row>
    <row r="203" spans="2:24" s="1846" customFormat="1" x14ac:dyDescent="0.25">
      <c r="C203" s="1846">
        <f t="shared" si="96"/>
        <v>2020</v>
      </c>
      <c r="D203" s="1852" t="e">
        <f t="shared" si="93"/>
        <v>#N/A</v>
      </c>
      <c r="E203" s="1852" t="e">
        <f t="shared" si="97"/>
        <v>#N/A</v>
      </c>
      <c r="F203" s="1852" t="e">
        <f t="shared" si="97"/>
        <v>#N/A</v>
      </c>
      <c r="G203" s="1852" t="e">
        <f t="shared" si="97"/>
        <v>#N/A</v>
      </c>
      <c r="H203" s="1852" t="e">
        <f t="shared" si="97"/>
        <v>#N/A</v>
      </c>
      <c r="I203" s="1852" t="e">
        <f t="shared" si="92"/>
        <v>#N/A</v>
      </c>
      <c r="J203" s="1852" t="e">
        <f t="shared" si="98"/>
        <v>#N/A</v>
      </c>
      <c r="K203" s="1852" t="e">
        <f t="shared" si="98"/>
        <v>#N/A</v>
      </c>
      <c r="L203" s="1852" t="e">
        <f t="shared" si="98"/>
        <v>#N/A</v>
      </c>
      <c r="M203" s="1852" t="e">
        <f t="shared" si="98"/>
        <v>#N/A</v>
      </c>
      <c r="N203" s="1852" t="e">
        <f t="shared" si="94"/>
        <v>#N/A</v>
      </c>
      <c r="O203" s="1852" t="e">
        <f t="shared" si="99"/>
        <v>#N/A</v>
      </c>
      <c r="P203" s="1852" t="e">
        <f t="shared" si="99"/>
        <v>#N/A</v>
      </c>
      <c r="Q203" s="1852" t="e">
        <f t="shared" si="99"/>
        <v>#N/A</v>
      </c>
      <c r="R203" s="1852" t="e">
        <f t="shared" si="99"/>
        <v>#N/A</v>
      </c>
      <c r="S203" s="1852" t="e">
        <f t="shared" si="95"/>
        <v>#N/A</v>
      </c>
      <c r="T203" s="1852" t="e">
        <f t="shared" si="100"/>
        <v>#N/A</v>
      </c>
      <c r="U203" s="1852" t="e">
        <f t="shared" si="100"/>
        <v>#N/A</v>
      </c>
      <c r="V203" s="1852" t="e">
        <f t="shared" si="100"/>
        <v>#N/A</v>
      </c>
      <c r="W203" s="1852" t="e">
        <f t="shared" si="100"/>
        <v>#N/A</v>
      </c>
      <c r="X203" s="1849"/>
    </row>
    <row r="204" spans="2:24" s="1846" customFormat="1" x14ac:dyDescent="0.25">
      <c r="I204" s="1848"/>
      <c r="J204" s="1848"/>
      <c r="K204" s="1848"/>
      <c r="L204" s="1848"/>
      <c r="M204" s="1848"/>
      <c r="S204" s="1849"/>
      <c r="T204" s="1849"/>
      <c r="U204" s="1849"/>
      <c r="V204" s="1849"/>
      <c r="W204" s="1849"/>
    </row>
    <row r="205" spans="2:24" s="1846" customFormat="1" x14ac:dyDescent="0.25">
      <c r="I205" s="1848" t="str">
        <f t="shared" ref="I205:I213" si="101">D98</f>
        <v>Total (Manufacturing, Installation, Fuel, and Maintenance)</v>
      </c>
      <c r="J205" s="1848"/>
      <c r="K205" s="1848"/>
      <c r="L205" s="1848"/>
      <c r="M205" s="1848"/>
      <c r="S205" s="1849"/>
      <c r="T205" s="1849"/>
      <c r="U205" s="1849"/>
      <c r="V205" s="1849"/>
      <c r="W205" s="1849"/>
    </row>
    <row r="206" spans="2:24" s="1846" customFormat="1" x14ac:dyDescent="0.25">
      <c r="D206" s="1846" t="str">
        <f t="shared" ref="D206:D213" si="102">D67</f>
        <v>Gross &lt;Please select&gt;-related Earnings (Thousands of 2010$)</v>
      </c>
      <c r="I206" s="1848" t="str">
        <f t="shared" si="101"/>
        <v>Gross &lt;Please select&gt;-related Earnings (Thousands of 2010$)</v>
      </c>
      <c r="J206" s="1848"/>
      <c r="K206" s="1848"/>
      <c r="L206" s="1848"/>
      <c r="M206" s="1848"/>
      <c r="N206" s="1846" t="str">
        <f t="shared" ref="N206:N213" si="103">D130</f>
        <v>Displaced Electricity-related Earnings (Thousands of 2010$)</v>
      </c>
      <c r="S206" s="1849" t="str">
        <f t="shared" ref="S206:S213" si="104">D160</f>
        <v>Displaced Natural Gas for Heating-related Earnings (Thousands of 2010$)</v>
      </c>
      <c r="T206" s="1849"/>
      <c r="U206" s="1849"/>
      <c r="V206" s="1849"/>
      <c r="W206" s="1849"/>
    </row>
    <row r="207" spans="2:24" s="1846" customFormat="1" x14ac:dyDescent="0.25">
      <c r="C207" s="1846" t="str">
        <f t="shared" ref="C207:C213" si="105">C68</f>
        <v>Year</v>
      </c>
      <c r="D207" s="1846" t="str">
        <f t="shared" si="102"/>
        <v>Gross &lt;Please select&gt;-related Direct</v>
      </c>
      <c r="E207" s="1846" t="str">
        <f t="shared" ref="E207:H213" si="106">E68</f>
        <v>Gross &lt;Please select&gt;-related Indirect</v>
      </c>
      <c r="F207" s="1846" t="str">
        <f t="shared" si="106"/>
        <v>Gross &lt;Please select&gt;-related Induced</v>
      </c>
      <c r="G207" s="1846" t="str">
        <f t="shared" si="106"/>
        <v>Gross &lt;Please select&gt;-related Supply Chain</v>
      </c>
      <c r="H207" s="1846" t="str">
        <f t="shared" si="106"/>
        <v>Gross &lt;Please select&gt;-related Total</v>
      </c>
      <c r="I207" s="1848" t="str">
        <f t="shared" si="101"/>
        <v>Gross &lt;Please select&gt;-related Direct</v>
      </c>
      <c r="J207" s="1848" t="str">
        <f t="shared" ref="J207:M213" si="107">E100</f>
        <v>Gross &lt;Please select&gt;-related Indirect</v>
      </c>
      <c r="K207" s="1848" t="str">
        <f t="shared" si="107"/>
        <v>Gross &lt;Please select&gt;-related Induced</v>
      </c>
      <c r="L207" s="1848" t="str">
        <f t="shared" si="107"/>
        <v>Gross &lt;Please select&gt;-related Supply Chain</v>
      </c>
      <c r="M207" s="1848" t="str">
        <f t="shared" si="107"/>
        <v>Gross &lt;Please select&gt;-related Total</v>
      </c>
      <c r="N207" s="1846" t="str">
        <f t="shared" si="103"/>
        <v>Displaced Electricity Direct</v>
      </c>
      <c r="O207" s="1846" t="str">
        <f t="shared" ref="O207:R213" si="108">E131</f>
        <v>Displaced Electricity Indirect</v>
      </c>
      <c r="P207" s="1846" t="str">
        <f t="shared" si="108"/>
        <v>Displaced Electricity Induced</v>
      </c>
      <c r="Q207" s="1846" t="str">
        <f t="shared" si="108"/>
        <v>Displaced Electricity Supply Chain</v>
      </c>
      <c r="R207" s="1846" t="str">
        <f t="shared" si="108"/>
        <v>Displaced Electricity Total</v>
      </c>
      <c r="S207" s="1849" t="str">
        <f t="shared" si="104"/>
        <v>Displaced Natural Gas Direct</v>
      </c>
      <c r="T207" s="1849" t="str">
        <f t="shared" ref="T207:W213" si="109">E161</f>
        <v>Displaced Natural Gas Indirect</v>
      </c>
      <c r="U207" s="1849" t="str">
        <f t="shared" si="109"/>
        <v>Displaced Natural Gas Induced</v>
      </c>
      <c r="V207" s="1849" t="str">
        <f t="shared" si="109"/>
        <v>Displaced Natural Gas Supply Chain</v>
      </c>
      <c r="W207" s="1849" t="str">
        <f t="shared" si="109"/>
        <v>Displaced Natural Gas Total</v>
      </c>
    </row>
    <row r="208" spans="2:24" s="1846" customFormat="1" x14ac:dyDescent="0.25">
      <c r="C208" s="1846">
        <f t="shared" si="105"/>
        <v>2015</v>
      </c>
      <c r="D208" s="1853" t="e">
        <f t="shared" si="102"/>
        <v>#N/A</v>
      </c>
      <c r="E208" s="1853" t="e">
        <f t="shared" si="106"/>
        <v>#N/A</v>
      </c>
      <c r="F208" s="1853" t="e">
        <f t="shared" si="106"/>
        <v>#N/A</v>
      </c>
      <c r="G208" s="1853" t="e">
        <f t="shared" si="106"/>
        <v>#N/A</v>
      </c>
      <c r="H208" s="1853" t="e">
        <f t="shared" si="106"/>
        <v>#N/A</v>
      </c>
      <c r="I208" s="1853" t="e">
        <f t="shared" si="101"/>
        <v>#N/A</v>
      </c>
      <c r="J208" s="1853" t="e">
        <f t="shared" si="107"/>
        <v>#N/A</v>
      </c>
      <c r="K208" s="1853" t="e">
        <f t="shared" si="107"/>
        <v>#N/A</v>
      </c>
      <c r="L208" s="1853" t="e">
        <f t="shared" si="107"/>
        <v>#N/A</v>
      </c>
      <c r="M208" s="1853" t="e">
        <f t="shared" si="107"/>
        <v>#N/A</v>
      </c>
      <c r="N208" s="1853" t="e">
        <f t="shared" si="103"/>
        <v>#N/A</v>
      </c>
      <c r="O208" s="1853" t="e">
        <f t="shared" si="108"/>
        <v>#N/A</v>
      </c>
      <c r="P208" s="1853" t="e">
        <f t="shared" si="108"/>
        <v>#N/A</v>
      </c>
      <c r="Q208" s="1853" t="e">
        <f t="shared" si="108"/>
        <v>#N/A</v>
      </c>
      <c r="R208" s="1853" t="e">
        <f t="shared" si="108"/>
        <v>#N/A</v>
      </c>
      <c r="S208" s="1853" t="e">
        <f t="shared" si="104"/>
        <v>#N/A</v>
      </c>
      <c r="T208" s="1853" t="e">
        <f t="shared" si="109"/>
        <v>#N/A</v>
      </c>
      <c r="U208" s="1853" t="e">
        <f t="shared" si="109"/>
        <v>#N/A</v>
      </c>
      <c r="V208" s="1853" t="e">
        <f t="shared" si="109"/>
        <v>#N/A</v>
      </c>
      <c r="W208" s="1853" t="e">
        <f t="shared" si="109"/>
        <v>#N/A</v>
      </c>
    </row>
    <row r="209" spans="1:23" s="1846" customFormat="1" x14ac:dyDescent="0.25">
      <c r="C209" s="1846">
        <f t="shared" si="105"/>
        <v>2016</v>
      </c>
      <c r="D209" s="1853" t="e">
        <f t="shared" si="102"/>
        <v>#N/A</v>
      </c>
      <c r="E209" s="1853" t="e">
        <f t="shared" si="106"/>
        <v>#N/A</v>
      </c>
      <c r="F209" s="1853" t="e">
        <f t="shared" si="106"/>
        <v>#N/A</v>
      </c>
      <c r="G209" s="1853" t="e">
        <f t="shared" si="106"/>
        <v>#N/A</v>
      </c>
      <c r="H209" s="1853" t="e">
        <f t="shared" si="106"/>
        <v>#N/A</v>
      </c>
      <c r="I209" s="1853" t="e">
        <f t="shared" si="101"/>
        <v>#N/A</v>
      </c>
      <c r="J209" s="1853" t="e">
        <f t="shared" si="107"/>
        <v>#N/A</v>
      </c>
      <c r="K209" s="1853" t="e">
        <f t="shared" si="107"/>
        <v>#N/A</v>
      </c>
      <c r="L209" s="1853" t="e">
        <f t="shared" si="107"/>
        <v>#N/A</v>
      </c>
      <c r="M209" s="1853" t="e">
        <f t="shared" si="107"/>
        <v>#N/A</v>
      </c>
      <c r="N209" s="1853" t="e">
        <f t="shared" si="103"/>
        <v>#N/A</v>
      </c>
      <c r="O209" s="1853" t="e">
        <f t="shared" si="108"/>
        <v>#N/A</v>
      </c>
      <c r="P209" s="1853" t="e">
        <f t="shared" si="108"/>
        <v>#N/A</v>
      </c>
      <c r="Q209" s="1853" t="e">
        <f t="shared" si="108"/>
        <v>#N/A</v>
      </c>
      <c r="R209" s="1853" t="e">
        <f t="shared" si="108"/>
        <v>#N/A</v>
      </c>
      <c r="S209" s="1853" t="e">
        <f t="shared" si="104"/>
        <v>#N/A</v>
      </c>
      <c r="T209" s="1853" t="e">
        <f t="shared" si="109"/>
        <v>#N/A</v>
      </c>
      <c r="U209" s="1853" t="e">
        <f t="shared" si="109"/>
        <v>#N/A</v>
      </c>
      <c r="V209" s="1853" t="e">
        <f t="shared" si="109"/>
        <v>#N/A</v>
      </c>
      <c r="W209" s="1853" t="e">
        <f t="shared" si="109"/>
        <v>#N/A</v>
      </c>
    </row>
    <row r="210" spans="1:23" s="1846" customFormat="1" x14ac:dyDescent="0.25">
      <c r="C210" s="1846">
        <f t="shared" si="105"/>
        <v>2017</v>
      </c>
      <c r="D210" s="1853" t="e">
        <f t="shared" si="102"/>
        <v>#N/A</v>
      </c>
      <c r="E210" s="1853" t="e">
        <f t="shared" si="106"/>
        <v>#N/A</v>
      </c>
      <c r="F210" s="1853" t="e">
        <f t="shared" si="106"/>
        <v>#N/A</v>
      </c>
      <c r="G210" s="1853" t="e">
        <f t="shared" si="106"/>
        <v>#N/A</v>
      </c>
      <c r="H210" s="1853" t="e">
        <f t="shared" si="106"/>
        <v>#N/A</v>
      </c>
      <c r="I210" s="1853" t="e">
        <f t="shared" si="101"/>
        <v>#N/A</v>
      </c>
      <c r="J210" s="1853" t="e">
        <f t="shared" si="107"/>
        <v>#N/A</v>
      </c>
      <c r="K210" s="1853" t="e">
        <f t="shared" si="107"/>
        <v>#N/A</v>
      </c>
      <c r="L210" s="1853" t="e">
        <f t="shared" si="107"/>
        <v>#N/A</v>
      </c>
      <c r="M210" s="1853" t="e">
        <f t="shared" si="107"/>
        <v>#N/A</v>
      </c>
      <c r="N210" s="1853" t="e">
        <f t="shared" si="103"/>
        <v>#N/A</v>
      </c>
      <c r="O210" s="1853" t="e">
        <f t="shared" si="108"/>
        <v>#N/A</v>
      </c>
      <c r="P210" s="1853" t="e">
        <f t="shared" si="108"/>
        <v>#N/A</v>
      </c>
      <c r="Q210" s="1853" t="e">
        <f t="shared" si="108"/>
        <v>#N/A</v>
      </c>
      <c r="R210" s="1853" t="e">
        <f t="shared" si="108"/>
        <v>#N/A</v>
      </c>
      <c r="S210" s="1853" t="e">
        <f t="shared" si="104"/>
        <v>#N/A</v>
      </c>
      <c r="T210" s="1853" t="e">
        <f t="shared" si="109"/>
        <v>#N/A</v>
      </c>
      <c r="U210" s="1853" t="e">
        <f t="shared" si="109"/>
        <v>#N/A</v>
      </c>
      <c r="V210" s="1853" t="e">
        <f t="shared" si="109"/>
        <v>#N/A</v>
      </c>
      <c r="W210" s="1853" t="e">
        <f t="shared" si="109"/>
        <v>#N/A</v>
      </c>
    </row>
    <row r="211" spans="1:23" s="1846" customFormat="1" x14ac:dyDescent="0.25">
      <c r="C211" s="1846">
        <f t="shared" si="105"/>
        <v>2018</v>
      </c>
      <c r="D211" s="1853" t="e">
        <f t="shared" si="102"/>
        <v>#N/A</v>
      </c>
      <c r="E211" s="1853" t="e">
        <f t="shared" si="106"/>
        <v>#N/A</v>
      </c>
      <c r="F211" s="1853" t="e">
        <f t="shared" si="106"/>
        <v>#N/A</v>
      </c>
      <c r="G211" s="1853" t="e">
        <f t="shared" si="106"/>
        <v>#N/A</v>
      </c>
      <c r="H211" s="1853" t="e">
        <f t="shared" si="106"/>
        <v>#N/A</v>
      </c>
      <c r="I211" s="1853" t="e">
        <f t="shared" si="101"/>
        <v>#N/A</v>
      </c>
      <c r="J211" s="1853" t="e">
        <f t="shared" si="107"/>
        <v>#N/A</v>
      </c>
      <c r="K211" s="1853" t="e">
        <f t="shared" si="107"/>
        <v>#N/A</v>
      </c>
      <c r="L211" s="1853" t="e">
        <f t="shared" si="107"/>
        <v>#N/A</v>
      </c>
      <c r="M211" s="1853" t="e">
        <f t="shared" si="107"/>
        <v>#N/A</v>
      </c>
      <c r="N211" s="1853" t="e">
        <f t="shared" si="103"/>
        <v>#N/A</v>
      </c>
      <c r="O211" s="1853" t="e">
        <f t="shared" si="108"/>
        <v>#N/A</v>
      </c>
      <c r="P211" s="1853" t="e">
        <f t="shared" si="108"/>
        <v>#N/A</v>
      </c>
      <c r="Q211" s="1853" t="e">
        <f t="shared" si="108"/>
        <v>#N/A</v>
      </c>
      <c r="R211" s="1853" t="e">
        <f t="shared" si="108"/>
        <v>#N/A</v>
      </c>
      <c r="S211" s="1853" t="e">
        <f t="shared" si="104"/>
        <v>#N/A</v>
      </c>
      <c r="T211" s="1853" t="e">
        <f t="shared" si="109"/>
        <v>#N/A</v>
      </c>
      <c r="U211" s="1853" t="e">
        <f t="shared" si="109"/>
        <v>#N/A</v>
      </c>
      <c r="V211" s="1853" t="e">
        <f t="shared" si="109"/>
        <v>#N/A</v>
      </c>
      <c r="W211" s="1853" t="e">
        <f t="shared" si="109"/>
        <v>#N/A</v>
      </c>
    </row>
    <row r="212" spans="1:23" s="1846" customFormat="1" x14ac:dyDescent="0.25">
      <c r="C212" s="1846">
        <f t="shared" si="105"/>
        <v>2019</v>
      </c>
      <c r="D212" s="1853" t="e">
        <f t="shared" si="102"/>
        <v>#N/A</v>
      </c>
      <c r="E212" s="1853" t="e">
        <f t="shared" si="106"/>
        <v>#N/A</v>
      </c>
      <c r="F212" s="1853" t="e">
        <f t="shared" si="106"/>
        <v>#N/A</v>
      </c>
      <c r="G212" s="1853" t="e">
        <f t="shared" si="106"/>
        <v>#N/A</v>
      </c>
      <c r="H212" s="1853" t="e">
        <f t="shared" si="106"/>
        <v>#N/A</v>
      </c>
      <c r="I212" s="1853" t="e">
        <f t="shared" si="101"/>
        <v>#N/A</v>
      </c>
      <c r="J212" s="1853" t="e">
        <f t="shared" si="107"/>
        <v>#N/A</v>
      </c>
      <c r="K212" s="1853" t="e">
        <f t="shared" si="107"/>
        <v>#N/A</v>
      </c>
      <c r="L212" s="1853" t="e">
        <f t="shared" si="107"/>
        <v>#N/A</v>
      </c>
      <c r="M212" s="1853" t="e">
        <f t="shared" si="107"/>
        <v>#N/A</v>
      </c>
      <c r="N212" s="1853" t="e">
        <f t="shared" si="103"/>
        <v>#N/A</v>
      </c>
      <c r="O212" s="1853" t="e">
        <f t="shared" si="108"/>
        <v>#N/A</v>
      </c>
      <c r="P212" s="1853" t="e">
        <f t="shared" si="108"/>
        <v>#N/A</v>
      </c>
      <c r="Q212" s="1853" t="e">
        <f t="shared" si="108"/>
        <v>#N/A</v>
      </c>
      <c r="R212" s="1853" t="e">
        <f t="shared" si="108"/>
        <v>#N/A</v>
      </c>
      <c r="S212" s="1853" t="e">
        <f t="shared" si="104"/>
        <v>#N/A</v>
      </c>
      <c r="T212" s="1853" t="e">
        <f t="shared" si="109"/>
        <v>#N/A</v>
      </c>
      <c r="U212" s="1853" t="e">
        <f t="shared" si="109"/>
        <v>#N/A</v>
      </c>
      <c r="V212" s="1853" t="e">
        <f t="shared" si="109"/>
        <v>#N/A</v>
      </c>
      <c r="W212" s="1853" t="e">
        <f t="shared" si="109"/>
        <v>#N/A</v>
      </c>
    </row>
    <row r="213" spans="1:23" s="1846" customFormat="1" x14ac:dyDescent="0.25">
      <c r="C213" s="1846">
        <f t="shared" si="105"/>
        <v>2020</v>
      </c>
      <c r="D213" s="1853" t="e">
        <f t="shared" si="102"/>
        <v>#N/A</v>
      </c>
      <c r="E213" s="1853" t="e">
        <f t="shared" si="106"/>
        <v>#N/A</v>
      </c>
      <c r="F213" s="1853" t="e">
        <f t="shared" si="106"/>
        <v>#N/A</v>
      </c>
      <c r="G213" s="1853" t="e">
        <f t="shared" si="106"/>
        <v>#N/A</v>
      </c>
      <c r="H213" s="1853" t="e">
        <f t="shared" si="106"/>
        <v>#N/A</v>
      </c>
      <c r="I213" s="1853" t="e">
        <f t="shared" si="101"/>
        <v>#N/A</v>
      </c>
      <c r="J213" s="1853" t="e">
        <f t="shared" si="107"/>
        <v>#N/A</v>
      </c>
      <c r="K213" s="1853" t="e">
        <f t="shared" si="107"/>
        <v>#N/A</v>
      </c>
      <c r="L213" s="1853" t="e">
        <f t="shared" si="107"/>
        <v>#N/A</v>
      </c>
      <c r="M213" s="1853" t="e">
        <f t="shared" si="107"/>
        <v>#N/A</v>
      </c>
      <c r="N213" s="1853" t="e">
        <f t="shared" si="103"/>
        <v>#N/A</v>
      </c>
      <c r="O213" s="1853" t="e">
        <f t="shared" si="108"/>
        <v>#N/A</v>
      </c>
      <c r="P213" s="1853" t="e">
        <f t="shared" si="108"/>
        <v>#N/A</v>
      </c>
      <c r="Q213" s="1853" t="e">
        <f t="shared" si="108"/>
        <v>#N/A</v>
      </c>
      <c r="R213" s="1853" t="e">
        <f t="shared" si="108"/>
        <v>#N/A</v>
      </c>
      <c r="S213" s="1853" t="e">
        <f t="shared" si="104"/>
        <v>#N/A</v>
      </c>
      <c r="T213" s="1853" t="e">
        <f t="shared" si="109"/>
        <v>#N/A</v>
      </c>
      <c r="U213" s="1853" t="e">
        <f t="shared" si="109"/>
        <v>#N/A</v>
      </c>
      <c r="V213" s="1853" t="e">
        <f t="shared" si="109"/>
        <v>#N/A</v>
      </c>
      <c r="W213" s="1853" t="e">
        <f t="shared" si="109"/>
        <v>#N/A</v>
      </c>
    </row>
    <row r="214" spans="1:23" s="1846" customFormat="1" x14ac:dyDescent="0.25">
      <c r="D214" s="1858"/>
      <c r="E214" s="1858"/>
      <c r="F214" s="1858"/>
      <c r="G214" s="1858"/>
      <c r="H214" s="1858"/>
      <c r="I214" s="1858"/>
      <c r="J214" s="1858"/>
      <c r="K214" s="1858"/>
      <c r="L214" s="1858"/>
      <c r="M214" s="1858"/>
      <c r="N214" s="1858"/>
      <c r="O214" s="1858"/>
      <c r="P214" s="1858"/>
      <c r="Q214" s="1858"/>
      <c r="R214" s="1858"/>
      <c r="S214" s="1858"/>
      <c r="T214" s="1858"/>
      <c r="U214" s="1858"/>
      <c r="V214" s="1858"/>
      <c r="W214" s="1858"/>
    </row>
    <row r="215" spans="1:23" s="1846" customFormat="1" x14ac:dyDescent="0.25">
      <c r="D215" s="1858"/>
      <c r="E215" s="1858"/>
      <c r="F215" s="1858"/>
      <c r="G215" s="1858"/>
      <c r="H215" s="1858"/>
      <c r="I215" s="1858" t="str">
        <f t="shared" ref="I215:I223" si="110">D108</f>
        <v>Total (Manufacturing, Installation, Fuel, and Maintenance)</v>
      </c>
      <c r="J215" s="1858"/>
      <c r="K215" s="1858"/>
      <c r="L215" s="1858"/>
      <c r="M215" s="1858"/>
      <c r="N215" s="1858"/>
      <c r="O215" s="1858"/>
      <c r="P215" s="1858"/>
      <c r="Q215" s="1858"/>
      <c r="R215" s="1858"/>
      <c r="S215" s="1858"/>
      <c r="T215" s="1858"/>
      <c r="U215" s="1858"/>
      <c r="V215" s="1858"/>
      <c r="W215" s="1858"/>
    </row>
    <row r="216" spans="1:23" s="1846" customFormat="1" x14ac:dyDescent="0.25">
      <c r="D216" s="1858" t="str">
        <f t="shared" ref="D216:D223" si="111">D76</f>
        <v>Gross &lt;Please select&gt;-related Output (Thousands of 2010$)</v>
      </c>
      <c r="E216" s="1858"/>
      <c r="F216" s="1858"/>
      <c r="G216" s="1858"/>
      <c r="H216" s="1858"/>
      <c r="I216" s="1858" t="str">
        <f t="shared" si="110"/>
        <v>Gross &lt;Please select&gt;-related Output (Thousands of 2010$)</v>
      </c>
      <c r="J216" s="1858"/>
      <c r="K216" s="1858"/>
      <c r="L216" s="1858"/>
      <c r="M216" s="1858"/>
      <c r="N216" s="1858" t="str">
        <f t="shared" ref="N216:N223" si="112">D139</f>
        <v>Displaced Electricity-related Output (Thousands of 2010$)</v>
      </c>
      <c r="O216" s="1858"/>
      <c r="P216" s="1858"/>
      <c r="Q216" s="1858"/>
      <c r="R216" s="1858"/>
      <c r="S216" s="1858" t="str">
        <f>D169</f>
        <v>Displaced Natural Gas for Heating-related Output (Thousands of 2010$)</v>
      </c>
      <c r="T216" s="1858"/>
      <c r="U216" s="1858"/>
      <c r="V216" s="1858"/>
      <c r="W216" s="1858"/>
    </row>
    <row r="217" spans="1:23" s="1846" customFormat="1" x14ac:dyDescent="0.25">
      <c r="C217" s="1846" t="str">
        <f t="shared" ref="C217:C223" si="113">C77</f>
        <v>Year</v>
      </c>
      <c r="D217" s="1858" t="str">
        <f t="shared" si="111"/>
        <v>Gross &lt;Please select&gt;-related Direct</v>
      </c>
      <c r="E217" s="1858" t="str">
        <f t="shared" ref="E217:H223" si="114">E77</f>
        <v>Gross &lt;Please select&gt;-related Indirect</v>
      </c>
      <c r="F217" s="1858" t="str">
        <f t="shared" si="114"/>
        <v>Gross &lt;Please select&gt;-related Induced</v>
      </c>
      <c r="G217" s="1858" t="str">
        <f t="shared" si="114"/>
        <v>Gross &lt;Please select&gt;-related Supply Chain</v>
      </c>
      <c r="H217" s="1858" t="str">
        <f t="shared" si="114"/>
        <v>Gross &lt;Please select&gt;-related Total</v>
      </c>
      <c r="I217" s="1858" t="str">
        <f t="shared" si="110"/>
        <v>Gross &lt;Please select&gt;-related Direct</v>
      </c>
      <c r="J217" s="1858" t="str">
        <f t="shared" ref="J217:M223" si="115">E110</f>
        <v>Gross &lt;Please select&gt;-related Indirect</v>
      </c>
      <c r="K217" s="1858" t="str">
        <f t="shared" si="115"/>
        <v>Gross &lt;Please select&gt;-related Induced</v>
      </c>
      <c r="L217" s="1858" t="str">
        <f t="shared" si="115"/>
        <v>Gross &lt;Please select&gt;-related Supply Chain</v>
      </c>
      <c r="M217" s="1858" t="str">
        <f t="shared" si="115"/>
        <v>Gross &lt;Please select&gt;-related Total</v>
      </c>
      <c r="N217" s="1858" t="str">
        <f t="shared" si="112"/>
        <v>Displaced Electricity Direct</v>
      </c>
      <c r="O217" s="1858" t="str">
        <f t="shared" ref="O217:R223" si="116">E140</f>
        <v>Displaced Electricity Indirect</v>
      </c>
      <c r="P217" s="1858" t="str">
        <f t="shared" si="116"/>
        <v>Displaced Electricity Induced</v>
      </c>
      <c r="Q217" s="1858" t="str">
        <f t="shared" si="116"/>
        <v>Displaced Electricity Supply Chain</v>
      </c>
      <c r="R217" s="1858" t="str">
        <f t="shared" si="116"/>
        <v>Displaced Electricity Total</v>
      </c>
      <c r="S217" s="1858" t="str">
        <f t="shared" ref="S217:W217" si="117">D170</f>
        <v>Displaced Natural Gas Direct</v>
      </c>
      <c r="T217" s="1858" t="str">
        <f t="shared" si="117"/>
        <v>Displaced Natural Gas Indirect</v>
      </c>
      <c r="U217" s="1858" t="str">
        <f t="shared" si="117"/>
        <v>Displaced Natural Gas Induced</v>
      </c>
      <c r="V217" s="1858" t="str">
        <f t="shared" si="117"/>
        <v>Displaced Natural Gas Supply Chain</v>
      </c>
      <c r="W217" s="1858" t="str">
        <f t="shared" si="117"/>
        <v>Displaced Natural Gas Total</v>
      </c>
    </row>
    <row r="218" spans="1:23" s="1846" customFormat="1" x14ac:dyDescent="0.25">
      <c r="C218" s="1846">
        <f t="shared" si="113"/>
        <v>2015</v>
      </c>
      <c r="D218" s="1853" t="e">
        <f t="shared" si="111"/>
        <v>#DIV/0!</v>
      </c>
      <c r="E218" s="1853" t="e">
        <f t="shared" si="114"/>
        <v>#N/A</v>
      </c>
      <c r="F218" s="1853" t="e">
        <f t="shared" si="114"/>
        <v>#N/A</v>
      </c>
      <c r="G218" s="1853" t="e">
        <f t="shared" si="114"/>
        <v>#DIV/0!</v>
      </c>
      <c r="H218" s="1853" t="e">
        <f t="shared" si="114"/>
        <v>#DIV/0!</v>
      </c>
      <c r="I218" s="1853" t="e">
        <f t="shared" si="110"/>
        <v>#DIV/0!</v>
      </c>
      <c r="J218" s="1853" t="e">
        <f t="shared" si="115"/>
        <v>#N/A</v>
      </c>
      <c r="K218" s="1853" t="e">
        <f t="shared" si="115"/>
        <v>#N/A</v>
      </c>
      <c r="L218" s="1853" t="e">
        <f t="shared" si="115"/>
        <v>#DIV/0!</v>
      </c>
      <c r="M218" s="1853" t="e">
        <f t="shared" si="115"/>
        <v>#DIV/0!</v>
      </c>
      <c r="N218" s="1853" t="e">
        <f t="shared" si="112"/>
        <v>#N/A</v>
      </c>
      <c r="O218" s="1853" t="e">
        <f t="shared" si="116"/>
        <v>#N/A</v>
      </c>
      <c r="P218" s="1853" t="e">
        <f t="shared" si="116"/>
        <v>#N/A</v>
      </c>
      <c r="Q218" s="1853" t="e">
        <f t="shared" si="116"/>
        <v>#N/A</v>
      </c>
      <c r="R218" s="1853" t="e">
        <f t="shared" si="116"/>
        <v>#N/A</v>
      </c>
      <c r="S218" s="1853" t="e">
        <f t="shared" ref="S218:W218" si="118">D171</f>
        <v>#N/A</v>
      </c>
      <c r="T218" s="1853" t="e">
        <f t="shared" si="118"/>
        <v>#N/A</v>
      </c>
      <c r="U218" s="1853" t="e">
        <f t="shared" si="118"/>
        <v>#N/A</v>
      </c>
      <c r="V218" s="1853" t="e">
        <f t="shared" si="118"/>
        <v>#N/A</v>
      </c>
      <c r="W218" s="1853" t="e">
        <f t="shared" si="118"/>
        <v>#N/A</v>
      </c>
    </row>
    <row r="219" spans="1:23" s="1846" customFormat="1" x14ac:dyDescent="0.25">
      <c r="C219" s="1846">
        <f t="shared" si="113"/>
        <v>2016</v>
      </c>
      <c r="D219" s="1853" t="e">
        <f t="shared" si="111"/>
        <v>#DIV/0!</v>
      </c>
      <c r="E219" s="1853" t="e">
        <f t="shared" si="114"/>
        <v>#N/A</v>
      </c>
      <c r="F219" s="1853" t="e">
        <f t="shared" si="114"/>
        <v>#N/A</v>
      </c>
      <c r="G219" s="1853" t="e">
        <f t="shared" si="114"/>
        <v>#DIV/0!</v>
      </c>
      <c r="H219" s="1853" t="e">
        <f t="shared" si="114"/>
        <v>#DIV/0!</v>
      </c>
      <c r="I219" s="1853" t="e">
        <f t="shared" si="110"/>
        <v>#DIV/0!</v>
      </c>
      <c r="J219" s="1853" t="e">
        <f t="shared" si="115"/>
        <v>#N/A</v>
      </c>
      <c r="K219" s="1853" t="e">
        <f t="shared" si="115"/>
        <v>#N/A</v>
      </c>
      <c r="L219" s="1853" t="e">
        <f t="shared" si="115"/>
        <v>#DIV/0!</v>
      </c>
      <c r="M219" s="1853" t="e">
        <f t="shared" si="115"/>
        <v>#DIV/0!</v>
      </c>
      <c r="N219" s="1853" t="e">
        <f t="shared" si="112"/>
        <v>#N/A</v>
      </c>
      <c r="O219" s="1853" t="e">
        <f t="shared" si="116"/>
        <v>#N/A</v>
      </c>
      <c r="P219" s="1853" t="e">
        <f t="shared" si="116"/>
        <v>#N/A</v>
      </c>
      <c r="Q219" s="1853" t="e">
        <f t="shared" si="116"/>
        <v>#N/A</v>
      </c>
      <c r="R219" s="1853" t="e">
        <f t="shared" si="116"/>
        <v>#N/A</v>
      </c>
      <c r="S219" s="1853" t="e">
        <f t="shared" ref="S219:W219" si="119">D172</f>
        <v>#N/A</v>
      </c>
      <c r="T219" s="1853" t="e">
        <f t="shared" si="119"/>
        <v>#N/A</v>
      </c>
      <c r="U219" s="1853" t="e">
        <f t="shared" si="119"/>
        <v>#N/A</v>
      </c>
      <c r="V219" s="1853" t="e">
        <f t="shared" si="119"/>
        <v>#N/A</v>
      </c>
      <c r="W219" s="1853" t="e">
        <f t="shared" si="119"/>
        <v>#N/A</v>
      </c>
    </row>
    <row r="220" spans="1:23" s="1846" customFormat="1" x14ac:dyDescent="0.25">
      <c r="C220" s="1846">
        <f t="shared" si="113"/>
        <v>2017</v>
      </c>
      <c r="D220" s="1853" t="e">
        <f t="shared" si="111"/>
        <v>#DIV/0!</v>
      </c>
      <c r="E220" s="1853" t="e">
        <f t="shared" si="114"/>
        <v>#N/A</v>
      </c>
      <c r="F220" s="1853" t="e">
        <f t="shared" si="114"/>
        <v>#N/A</v>
      </c>
      <c r="G220" s="1853" t="e">
        <f t="shared" si="114"/>
        <v>#DIV/0!</v>
      </c>
      <c r="H220" s="1853" t="e">
        <f t="shared" si="114"/>
        <v>#DIV/0!</v>
      </c>
      <c r="I220" s="1853" t="e">
        <f t="shared" si="110"/>
        <v>#DIV/0!</v>
      </c>
      <c r="J220" s="1853" t="e">
        <f t="shared" si="115"/>
        <v>#N/A</v>
      </c>
      <c r="K220" s="1853" t="e">
        <f t="shared" si="115"/>
        <v>#N/A</v>
      </c>
      <c r="L220" s="1853" t="e">
        <f t="shared" si="115"/>
        <v>#DIV/0!</v>
      </c>
      <c r="M220" s="1853" t="e">
        <f t="shared" si="115"/>
        <v>#DIV/0!</v>
      </c>
      <c r="N220" s="1853" t="e">
        <f t="shared" si="112"/>
        <v>#N/A</v>
      </c>
      <c r="O220" s="1853" t="e">
        <f t="shared" si="116"/>
        <v>#N/A</v>
      </c>
      <c r="P220" s="1853" t="e">
        <f t="shared" si="116"/>
        <v>#N/A</v>
      </c>
      <c r="Q220" s="1853" t="e">
        <f t="shared" si="116"/>
        <v>#N/A</v>
      </c>
      <c r="R220" s="1853" t="e">
        <f t="shared" si="116"/>
        <v>#N/A</v>
      </c>
      <c r="S220" s="1853" t="e">
        <f t="shared" ref="S220:W220" si="120">D173</f>
        <v>#N/A</v>
      </c>
      <c r="T220" s="1853" t="e">
        <f t="shared" si="120"/>
        <v>#N/A</v>
      </c>
      <c r="U220" s="1853" t="e">
        <f t="shared" si="120"/>
        <v>#N/A</v>
      </c>
      <c r="V220" s="1853" t="e">
        <f t="shared" si="120"/>
        <v>#N/A</v>
      </c>
      <c r="W220" s="1853" t="e">
        <f t="shared" si="120"/>
        <v>#N/A</v>
      </c>
    </row>
    <row r="221" spans="1:23" s="1846" customFormat="1" x14ac:dyDescent="0.25">
      <c r="C221" s="1846">
        <f t="shared" si="113"/>
        <v>2018</v>
      </c>
      <c r="D221" s="1853" t="e">
        <f t="shared" si="111"/>
        <v>#DIV/0!</v>
      </c>
      <c r="E221" s="1853" t="e">
        <f t="shared" si="114"/>
        <v>#N/A</v>
      </c>
      <c r="F221" s="1853" t="e">
        <f t="shared" si="114"/>
        <v>#N/A</v>
      </c>
      <c r="G221" s="1853" t="e">
        <f t="shared" si="114"/>
        <v>#DIV/0!</v>
      </c>
      <c r="H221" s="1853" t="e">
        <f t="shared" si="114"/>
        <v>#DIV/0!</v>
      </c>
      <c r="I221" s="1853" t="e">
        <f t="shared" si="110"/>
        <v>#DIV/0!</v>
      </c>
      <c r="J221" s="1853" t="e">
        <f t="shared" si="115"/>
        <v>#N/A</v>
      </c>
      <c r="K221" s="1853" t="e">
        <f t="shared" si="115"/>
        <v>#N/A</v>
      </c>
      <c r="L221" s="1853" t="e">
        <f t="shared" si="115"/>
        <v>#DIV/0!</v>
      </c>
      <c r="M221" s="1853" t="e">
        <f t="shared" si="115"/>
        <v>#DIV/0!</v>
      </c>
      <c r="N221" s="1853" t="e">
        <f t="shared" si="112"/>
        <v>#N/A</v>
      </c>
      <c r="O221" s="1853" t="e">
        <f t="shared" si="116"/>
        <v>#N/A</v>
      </c>
      <c r="P221" s="1853" t="e">
        <f t="shared" si="116"/>
        <v>#N/A</v>
      </c>
      <c r="Q221" s="1853" t="e">
        <f t="shared" si="116"/>
        <v>#N/A</v>
      </c>
      <c r="R221" s="1853" t="e">
        <f t="shared" si="116"/>
        <v>#N/A</v>
      </c>
      <c r="S221" s="1853" t="e">
        <f t="shared" ref="S221:W221" si="121">D174</f>
        <v>#N/A</v>
      </c>
      <c r="T221" s="1853" t="e">
        <f t="shared" si="121"/>
        <v>#N/A</v>
      </c>
      <c r="U221" s="1853" t="e">
        <f t="shared" si="121"/>
        <v>#N/A</v>
      </c>
      <c r="V221" s="1853" t="e">
        <f t="shared" si="121"/>
        <v>#N/A</v>
      </c>
      <c r="W221" s="1853" t="e">
        <f t="shared" si="121"/>
        <v>#N/A</v>
      </c>
    </row>
    <row r="222" spans="1:23" s="1846" customFormat="1" x14ac:dyDescent="0.25">
      <c r="C222" s="1846">
        <f t="shared" si="113"/>
        <v>2019</v>
      </c>
      <c r="D222" s="1853" t="e">
        <f t="shared" si="111"/>
        <v>#DIV/0!</v>
      </c>
      <c r="E222" s="1853" t="e">
        <f t="shared" si="114"/>
        <v>#N/A</v>
      </c>
      <c r="F222" s="1853" t="e">
        <f t="shared" si="114"/>
        <v>#N/A</v>
      </c>
      <c r="G222" s="1853" t="e">
        <f t="shared" si="114"/>
        <v>#DIV/0!</v>
      </c>
      <c r="H222" s="1853" t="e">
        <f t="shared" si="114"/>
        <v>#DIV/0!</v>
      </c>
      <c r="I222" s="1853" t="e">
        <f t="shared" si="110"/>
        <v>#DIV/0!</v>
      </c>
      <c r="J222" s="1853" t="e">
        <f t="shared" si="115"/>
        <v>#N/A</v>
      </c>
      <c r="K222" s="1853" t="e">
        <f t="shared" si="115"/>
        <v>#N/A</v>
      </c>
      <c r="L222" s="1853" t="e">
        <f t="shared" si="115"/>
        <v>#DIV/0!</v>
      </c>
      <c r="M222" s="1853" t="e">
        <f t="shared" si="115"/>
        <v>#DIV/0!</v>
      </c>
      <c r="N222" s="1853" t="e">
        <f t="shared" si="112"/>
        <v>#N/A</v>
      </c>
      <c r="O222" s="1853" t="e">
        <f t="shared" si="116"/>
        <v>#N/A</v>
      </c>
      <c r="P222" s="1853" t="e">
        <f t="shared" si="116"/>
        <v>#N/A</v>
      </c>
      <c r="Q222" s="1853" t="e">
        <f t="shared" si="116"/>
        <v>#N/A</v>
      </c>
      <c r="R222" s="1853" t="e">
        <f t="shared" si="116"/>
        <v>#N/A</v>
      </c>
      <c r="S222" s="1853" t="e">
        <f t="shared" ref="S222:W222" si="122">D175</f>
        <v>#N/A</v>
      </c>
      <c r="T222" s="1853" t="e">
        <f t="shared" si="122"/>
        <v>#N/A</v>
      </c>
      <c r="U222" s="1853" t="e">
        <f t="shared" si="122"/>
        <v>#N/A</v>
      </c>
      <c r="V222" s="1853" t="e">
        <f t="shared" si="122"/>
        <v>#N/A</v>
      </c>
      <c r="W222" s="1853" t="e">
        <f t="shared" si="122"/>
        <v>#N/A</v>
      </c>
    </row>
    <row r="223" spans="1:23" s="1846" customFormat="1" x14ac:dyDescent="0.25">
      <c r="C223" s="1846">
        <f t="shared" si="113"/>
        <v>2020</v>
      </c>
      <c r="D223" s="1853" t="e">
        <f t="shared" si="111"/>
        <v>#DIV/0!</v>
      </c>
      <c r="E223" s="1853" t="e">
        <f t="shared" si="114"/>
        <v>#N/A</v>
      </c>
      <c r="F223" s="1853" t="e">
        <f t="shared" si="114"/>
        <v>#N/A</v>
      </c>
      <c r="G223" s="1853" t="e">
        <f t="shared" si="114"/>
        <v>#DIV/0!</v>
      </c>
      <c r="H223" s="1853" t="e">
        <f t="shared" si="114"/>
        <v>#DIV/0!</v>
      </c>
      <c r="I223" s="1853" t="e">
        <f t="shared" si="110"/>
        <v>#DIV/0!</v>
      </c>
      <c r="J223" s="1853" t="e">
        <f t="shared" si="115"/>
        <v>#N/A</v>
      </c>
      <c r="K223" s="1853" t="e">
        <f t="shared" si="115"/>
        <v>#N/A</v>
      </c>
      <c r="L223" s="1853" t="e">
        <f t="shared" si="115"/>
        <v>#DIV/0!</v>
      </c>
      <c r="M223" s="1853" t="e">
        <f t="shared" si="115"/>
        <v>#DIV/0!</v>
      </c>
      <c r="N223" s="1853" t="e">
        <f t="shared" si="112"/>
        <v>#N/A</v>
      </c>
      <c r="O223" s="1853" t="e">
        <f t="shared" si="116"/>
        <v>#N/A</v>
      </c>
      <c r="P223" s="1853" t="e">
        <f t="shared" si="116"/>
        <v>#N/A</v>
      </c>
      <c r="Q223" s="1853" t="e">
        <f t="shared" si="116"/>
        <v>#N/A</v>
      </c>
      <c r="R223" s="1853" t="e">
        <f t="shared" si="116"/>
        <v>#N/A</v>
      </c>
      <c r="S223" s="1853" t="e">
        <f t="shared" ref="S223:W223" si="123">D176</f>
        <v>#N/A</v>
      </c>
      <c r="T223" s="1853" t="e">
        <f t="shared" si="123"/>
        <v>#N/A</v>
      </c>
      <c r="U223" s="1853" t="e">
        <f t="shared" si="123"/>
        <v>#N/A</v>
      </c>
      <c r="V223" s="1853" t="e">
        <f t="shared" si="123"/>
        <v>#N/A</v>
      </c>
      <c r="W223" s="1853" t="e">
        <f t="shared" si="123"/>
        <v>#N/A</v>
      </c>
    </row>
    <row r="224" spans="1:23" s="1612" customFormat="1" x14ac:dyDescent="0.25">
      <c r="A224" s="1605"/>
      <c r="E224" s="1613"/>
      <c r="F224" s="1613"/>
      <c r="G224" s="1613"/>
      <c r="H224" s="1613"/>
      <c r="I224" s="1613"/>
      <c r="J224" s="1613"/>
      <c r="K224" s="1614"/>
      <c r="L224" s="1614"/>
      <c r="M224" s="1614"/>
      <c r="N224" s="1614"/>
      <c r="O224" s="1614"/>
      <c r="P224" s="1614"/>
      <c r="Q224" s="1614"/>
      <c r="R224" s="1614"/>
      <c r="S224" s="1614"/>
      <c r="T224" s="1614"/>
      <c r="U224" s="1614"/>
    </row>
  </sheetData>
  <sheetProtection password="C411" sheet="1" objects="1" scenarios="1"/>
  <mergeCells count="28">
    <mergeCell ref="B14:F14"/>
    <mergeCell ref="G11:L11"/>
    <mergeCell ref="G12:L14"/>
    <mergeCell ref="B47:B53"/>
    <mergeCell ref="B169:B176"/>
    <mergeCell ref="B160:B167"/>
    <mergeCell ref="B151:B158"/>
    <mergeCell ref="B139:B146"/>
    <mergeCell ref="B130:B137"/>
    <mergeCell ref="B121:B128"/>
    <mergeCell ref="B58:B65"/>
    <mergeCell ref="B67:B74"/>
    <mergeCell ref="B76:B83"/>
    <mergeCell ref="B108:B116"/>
    <mergeCell ref="B88:B96"/>
    <mergeCell ref="B98:B106"/>
    <mergeCell ref="B31:B35"/>
    <mergeCell ref="B36:B37"/>
    <mergeCell ref="B39:B45"/>
    <mergeCell ref="B16:L16"/>
    <mergeCell ref="H25:L26"/>
    <mergeCell ref="H21:L23"/>
    <mergeCell ref="H24:L24"/>
    <mergeCell ref="B3:L3"/>
    <mergeCell ref="B4:E4"/>
    <mergeCell ref="K4:L4"/>
    <mergeCell ref="H4:J4"/>
    <mergeCell ref="B1:L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663233" r:id="rId3" name="Button 1">
              <controlPr defaultSize="0" print="0" autoFill="0" autoPict="0" macro="[0]!Prime_inputs">
                <anchor moveWithCells="1">
                  <from>
                    <xdr:col>1</xdr:col>
                    <xdr:colOff>495300</xdr:colOff>
                    <xdr:row>1</xdr:row>
                    <xdr:rowOff>200025</xdr:rowOff>
                  </from>
                  <to>
                    <xdr:col>3</xdr:col>
                    <xdr:colOff>561975</xdr:colOff>
                    <xdr:row>1</xdr:row>
                    <xdr:rowOff>466725</xdr:rowOff>
                  </to>
                </anchor>
              </controlPr>
            </control>
          </mc:Choice>
        </mc:AlternateContent>
        <mc:AlternateContent xmlns:mc="http://schemas.openxmlformats.org/markup-compatibility/2006">
          <mc:Choice Requires="x14">
            <control shapeId="13663234" r:id="rId4" name="Button 2">
              <controlPr defaultSize="0" print="0" autoFill="0" autoPict="0" macro="[0]!Prime_charts">
                <anchor moveWithCells="1">
                  <from>
                    <xdr:col>4</xdr:col>
                    <xdr:colOff>323850</xdr:colOff>
                    <xdr:row>1</xdr:row>
                    <xdr:rowOff>209550</xdr:rowOff>
                  </from>
                  <to>
                    <xdr:col>6</xdr:col>
                    <xdr:colOff>600075</xdr:colOff>
                    <xdr:row>1</xdr:row>
                    <xdr:rowOff>495300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2" tint="-0.249977111117893"/>
    <pageSetUpPr fitToPage="1"/>
  </sheetPr>
  <dimension ref="A1:BO141"/>
  <sheetViews>
    <sheetView zoomScale="90" zoomScaleNormal="90" workbookViewId="0">
      <selection activeCell="B1" sqref="B1:J1"/>
    </sheetView>
  </sheetViews>
  <sheetFormatPr defaultColWidth="9.140625" defaultRowHeight="15.75" x14ac:dyDescent="0.25"/>
  <cols>
    <col min="1" max="1" width="4" style="131" customWidth="1"/>
    <col min="2" max="2" width="16" style="1094" customWidth="1"/>
    <col min="3" max="3" width="16.42578125" style="1094" customWidth="1"/>
    <col min="4" max="4" width="18.85546875" style="1094" customWidth="1"/>
    <col min="5" max="5" width="22.42578125" style="1094" customWidth="1"/>
    <col min="6" max="6" width="22" style="1094" customWidth="1"/>
    <col min="7" max="8" width="21.140625" style="1094" customWidth="1"/>
    <col min="9" max="9" width="23.42578125" style="1094" customWidth="1"/>
    <col min="10" max="10" width="21.140625" style="1094" customWidth="1"/>
    <col min="11" max="11" width="20.85546875" style="1094" bestFit="1" customWidth="1"/>
    <col min="12" max="13" width="15.5703125" style="1094" bestFit="1" customWidth="1"/>
    <col min="14" max="14" width="15.85546875" style="1094" bestFit="1" customWidth="1"/>
    <col min="15" max="15" width="15.5703125" style="1094" bestFit="1" customWidth="1"/>
    <col min="16" max="16" width="16.28515625" style="1094" bestFit="1" customWidth="1"/>
    <col min="17" max="17" width="16.5703125" style="1094" bestFit="1" customWidth="1"/>
    <col min="18" max="18" width="15.5703125" style="1094" bestFit="1" customWidth="1"/>
    <col min="19" max="20" width="16.7109375" style="1094" bestFit="1" customWidth="1"/>
    <col min="21" max="22" width="15.5703125" style="1094" bestFit="1" customWidth="1"/>
    <col min="23" max="23" width="16.7109375" style="1094" bestFit="1" customWidth="1"/>
    <col min="24" max="16384" width="9.140625" style="1094"/>
  </cols>
  <sheetData>
    <row r="1" spans="1:67" s="123" customFormat="1" ht="37.5" customHeight="1" x14ac:dyDescent="0.45">
      <c r="A1" s="125"/>
      <c r="B1" s="2749" t="s">
        <v>1075</v>
      </c>
      <c r="C1" s="2750"/>
      <c r="D1" s="2750"/>
      <c r="E1" s="2750"/>
      <c r="F1" s="2750"/>
      <c r="G1" s="2750"/>
      <c r="H1" s="2750"/>
      <c r="I1" s="2750"/>
      <c r="J1" s="2751"/>
      <c r="K1" s="986"/>
      <c r="L1" s="986"/>
      <c r="M1" s="1088"/>
      <c r="N1" s="986"/>
      <c r="O1" s="986"/>
      <c r="P1" s="986"/>
      <c r="Q1" s="986"/>
      <c r="R1" s="986"/>
      <c r="S1" s="127"/>
      <c r="T1" s="126"/>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row>
    <row r="2" spans="1:67" s="988" customFormat="1" ht="38.25" customHeight="1" x14ac:dyDescent="0.25">
      <c r="A2" s="125"/>
      <c r="B2" s="992"/>
      <c r="C2" s="128"/>
      <c r="D2" s="128"/>
      <c r="E2" s="128"/>
      <c r="F2" s="128"/>
      <c r="G2" s="128"/>
      <c r="H2" s="128"/>
      <c r="I2" s="128"/>
      <c r="J2" s="993"/>
      <c r="K2" s="128"/>
      <c r="L2" s="128"/>
      <c r="M2" s="128"/>
      <c r="N2" s="128"/>
      <c r="O2" s="128"/>
      <c r="P2" s="128"/>
      <c r="Q2" s="128"/>
      <c r="R2" s="128"/>
      <c r="S2" s="2735"/>
      <c r="T2" s="2735"/>
      <c r="U2" s="2735"/>
      <c r="V2" s="2735"/>
      <c r="W2" s="2735"/>
      <c r="X2" s="2735"/>
      <c r="Y2" s="2735"/>
      <c r="Z2" s="987"/>
      <c r="AA2" s="987"/>
      <c r="AB2" s="987"/>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87"/>
      <c r="BM2" s="987"/>
      <c r="BN2" s="987"/>
      <c r="BO2" s="987"/>
    </row>
    <row r="3" spans="1:67" s="130" customFormat="1" ht="30.75" customHeight="1" x14ac:dyDescent="0.25">
      <c r="A3" s="125"/>
      <c r="B3" s="2063" t="s">
        <v>422</v>
      </c>
      <c r="C3" s="2064"/>
      <c r="D3" s="2064"/>
      <c r="E3" s="2064"/>
      <c r="F3" s="2064"/>
      <c r="G3" s="2064"/>
      <c r="H3" s="2064"/>
      <c r="I3" s="2064"/>
      <c r="J3" s="2065"/>
      <c r="K3" s="128"/>
      <c r="L3" s="128"/>
      <c r="M3" s="128"/>
      <c r="N3" s="128"/>
      <c r="O3" s="128"/>
      <c r="P3" s="128"/>
      <c r="Q3" s="128"/>
      <c r="R3" s="128"/>
      <c r="S3" s="129"/>
      <c r="T3" s="129"/>
      <c r="U3" s="129"/>
      <c r="V3" s="129"/>
      <c r="W3" s="129"/>
      <c r="X3" s="129"/>
      <c r="Y3" s="129"/>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row>
    <row r="4" spans="1:67" s="1092" customFormat="1" x14ac:dyDescent="0.25">
      <c r="A4" s="125"/>
      <c r="B4" s="1089" t="s">
        <v>527</v>
      </c>
      <c r="C4" s="1090"/>
      <c r="D4" s="1090"/>
      <c r="E4" s="1090"/>
      <c r="F4" s="1090"/>
      <c r="G4" s="1090"/>
      <c r="H4" s="1090"/>
      <c r="I4" s="1090"/>
      <c r="J4" s="1091"/>
      <c r="K4" s="128"/>
      <c r="L4" s="128"/>
      <c r="M4" s="128"/>
      <c r="N4" s="128"/>
      <c r="O4" s="128"/>
      <c r="P4" s="128"/>
      <c r="Q4" s="128"/>
      <c r="R4" s="128"/>
    </row>
    <row r="5" spans="1:67" ht="19.5" customHeight="1" x14ac:dyDescent="0.3">
      <c r="A5" s="125"/>
      <c r="B5" s="2745" t="s">
        <v>1835</v>
      </c>
      <c r="C5" s="2746"/>
      <c r="D5" s="2746"/>
      <c r="E5" s="2746"/>
      <c r="F5" s="2746"/>
      <c r="G5" s="2746"/>
      <c r="H5" s="2746"/>
      <c r="I5" s="2746"/>
      <c r="J5" s="2747"/>
      <c r="K5" s="128"/>
      <c r="L5" s="128"/>
      <c r="M5" s="128"/>
      <c r="N5" s="128"/>
      <c r="O5" s="128"/>
      <c r="P5" s="128"/>
      <c r="Q5" s="128"/>
      <c r="R5" s="1093"/>
    </row>
    <row r="6" spans="1:67" ht="18.75" customHeight="1" x14ac:dyDescent="0.25">
      <c r="A6" s="125"/>
      <c r="B6" s="2739" t="s">
        <v>1836</v>
      </c>
      <c r="C6" s="2740"/>
      <c r="D6" s="2741"/>
      <c r="E6" s="2732" t="str">
        <f>Please</f>
        <v>&lt;Please select&gt;</v>
      </c>
      <c r="F6" s="2733"/>
      <c r="G6" s="576"/>
      <c r="H6" s="576"/>
      <c r="I6" s="576"/>
      <c r="J6" s="1095"/>
      <c r="K6" s="128"/>
      <c r="L6" s="128"/>
      <c r="M6" s="128"/>
      <c r="N6" s="128"/>
      <c r="O6" s="128"/>
      <c r="P6" s="128"/>
      <c r="Q6" s="128"/>
      <c r="R6" s="1093"/>
    </row>
    <row r="7" spans="1:67" s="1092" customFormat="1" x14ac:dyDescent="0.25">
      <c r="A7" s="125"/>
      <c r="B7" s="1096"/>
      <c r="J7" s="1097"/>
      <c r="K7" s="128"/>
      <c r="L7" s="128"/>
      <c r="M7" s="128"/>
      <c r="N7" s="128"/>
      <c r="O7" s="128"/>
      <c r="P7" s="128"/>
      <c r="Q7" s="128"/>
      <c r="R7" s="128"/>
    </row>
    <row r="8" spans="1:67" ht="18.75" customHeight="1" x14ac:dyDescent="0.3">
      <c r="A8" s="125"/>
      <c r="B8" s="2745" t="s">
        <v>1505</v>
      </c>
      <c r="C8" s="2746"/>
      <c r="D8" s="2746"/>
      <c r="E8" s="2746"/>
      <c r="F8" s="2746"/>
      <c r="G8" s="2746"/>
      <c r="H8" s="2746"/>
      <c r="I8" s="2746"/>
      <c r="J8" s="2747"/>
      <c r="K8" s="128"/>
      <c r="L8" s="128"/>
      <c r="M8" s="128"/>
      <c r="N8" s="128"/>
      <c r="O8" s="128"/>
      <c r="P8" s="128"/>
      <c r="Q8" s="128"/>
      <c r="R8" s="1093"/>
    </row>
    <row r="9" spans="1:67" ht="16.5" x14ac:dyDescent="0.25">
      <c r="B9" s="2742" t="s">
        <v>546</v>
      </c>
      <c r="C9" s="2743"/>
      <c r="D9" s="2743"/>
      <c r="E9" s="2743"/>
      <c r="F9" s="2743"/>
      <c r="G9" s="2743"/>
      <c r="H9" s="2743"/>
      <c r="I9" s="2743"/>
      <c r="J9" s="2744"/>
      <c r="K9" s="128"/>
      <c r="L9" s="128"/>
      <c r="M9" s="128"/>
      <c r="N9" s="128"/>
      <c r="O9" s="128"/>
      <c r="P9" s="128"/>
      <c r="Q9" s="128"/>
      <c r="R9" s="1093"/>
    </row>
    <row r="10" spans="1:67" ht="16.5" x14ac:dyDescent="0.25">
      <c r="A10" s="125"/>
      <c r="B10" s="2739" t="s">
        <v>2200</v>
      </c>
      <c r="C10" s="2740"/>
      <c r="D10" s="2741"/>
      <c r="E10" s="2615" t="str">
        <f>Please</f>
        <v>&lt;Please select&gt;</v>
      </c>
      <c r="F10" s="2616"/>
      <c r="G10" s="576"/>
      <c r="H10" s="576"/>
      <c r="I10" s="576"/>
      <c r="J10" s="1095"/>
      <c r="K10" s="128"/>
      <c r="L10" s="128"/>
      <c r="M10" s="128"/>
      <c r="N10" s="128"/>
      <c r="O10" s="128"/>
      <c r="P10" s="128"/>
      <c r="Q10" s="128"/>
      <c r="R10" s="1093"/>
    </row>
    <row r="11" spans="1:67" s="1092" customFormat="1" x14ac:dyDescent="0.25">
      <c r="A11" s="125"/>
      <c r="B11" s="1096"/>
      <c r="J11" s="1097"/>
      <c r="K11" s="128"/>
      <c r="L11" s="128"/>
      <c r="M11" s="128"/>
      <c r="N11" s="128"/>
      <c r="O11" s="128"/>
      <c r="P11" s="128"/>
      <c r="Q11" s="128"/>
      <c r="R11" s="128"/>
    </row>
    <row r="12" spans="1:67" ht="18.75" customHeight="1" x14ac:dyDescent="0.3">
      <c r="A12" s="125"/>
      <c r="B12" s="2761" t="s">
        <v>1506</v>
      </c>
      <c r="C12" s="2762"/>
      <c r="D12" s="2762"/>
      <c r="E12" s="2762"/>
      <c r="F12" s="2762"/>
      <c r="G12" s="2762"/>
      <c r="H12" s="2762"/>
      <c r="I12" s="2762"/>
      <c r="J12" s="2763"/>
      <c r="K12" s="128"/>
      <c r="L12" s="128"/>
      <c r="M12" s="128"/>
      <c r="N12" s="128"/>
      <c r="O12" s="128"/>
      <c r="P12" s="128"/>
      <c r="Q12" s="128"/>
      <c r="R12" s="1093"/>
    </row>
    <row r="13" spans="1:67" ht="16.5" x14ac:dyDescent="0.25">
      <c r="A13" s="125"/>
      <c r="B13" s="2742" t="str">
        <f>IF(E10&lt;&gt;"Expand existing PEM prodution facility(s) in region", "What is the maximium number of PEM units that the new facility will be able to produce annually?", "What is the maximum number of PEM units that the expanded facility be able to produce annually?")</f>
        <v>What is the maximium number of PEM units that the new facility will be able to produce annually?</v>
      </c>
      <c r="C13" s="2743"/>
      <c r="D13" s="2743"/>
      <c r="E13" s="2743"/>
      <c r="F13" s="2743"/>
      <c r="G13" s="2743"/>
      <c r="H13" s="2743"/>
      <c r="I13" s="2743"/>
      <c r="J13" s="2744"/>
      <c r="K13" s="128"/>
      <c r="L13" s="128"/>
      <c r="M13" s="128"/>
      <c r="N13" s="128"/>
      <c r="O13" s="128"/>
      <c r="P13" s="128"/>
      <c r="Q13" s="128"/>
      <c r="R13" s="1093"/>
    </row>
    <row r="14" spans="1:67" ht="16.5" x14ac:dyDescent="0.25">
      <c r="A14" s="125"/>
      <c r="B14" s="2736" t="s">
        <v>1509</v>
      </c>
      <c r="C14" s="2737"/>
      <c r="D14" s="2738"/>
      <c r="E14" s="1356" t="s">
        <v>429</v>
      </c>
      <c r="F14" s="2729" t="s">
        <v>451</v>
      </c>
      <c r="G14" s="2730"/>
      <c r="H14" s="2730"/>
      <c r="I14" s="2731"/>
      <c r="J14" s="994" t="s">
        <v>509</v>
      </c>
      <c r="K14" s="128"/>
      <c r="L14" s="128"/>
      <c r="M14" s="128"/>
      <c r="N14" s="128"/>
      <c r="O14" s="128"/>
      <c r="P14" s="128"/>
      <c r="Q14" s="128"/>
      <c r="R14" s="1093"/>
    </row>
    <row r="15" spans="1:67" ht="31.5" customHeight="1" x14ac:dyDescent="0.25">
      <c r="A15" s="125"/>
      <c r="B15" s="2748" t="s">
        <v>2213</v>
      </c>
      <c r="C15" s="2734"/>
      <c r="D15" s="2734"/>
      <c r="E15" s="1972"/>
      <c r="F15" s="2734" t="s">
        <v>2206</v>
      </c>
      <c r="G15" s="2734"/>
      <c r="H15" s="2734"/>
      <c r="I15" s="2734"/>
      <c r="J15" s="1911">
        <f>IF(E15&gt;=0,E15, 0)</f>
        <v>0</v>
      </c>
      <c r="K15" s="128"/>
      <c r="L15" s="128"/>
      <c r="M15" s="128"/>
      <c r="N15" s="128"/>
      <c r="O15" s="128"/>
      <c r="P15" s="128"/>
      <c r="Q15" s="128"/>
      <c r="R15" s="1093"/>
    </row>
    <row r="16" spans="1:67" ht="16.5" x14ac:dyDescent="0.25">
      <c r="A16" s="125"/>
      <c r="B16" s="2764" t="s">
        <v>1510</v>
      </c>
      <c r="C16" s="2765"/>
      <c r="D16" s="2766"/>
      <c r="E16" s="1356" t="str">
        <f>E14</f>
        <v>User-specified value</v>
      </c>
      <c r="F16" s="2729" t="str">
        <f>F14</f>
        <v>Notes</v>
      </c>
      <c r="G16" s="2730"/>
      <c r="H16" s="2730"/>
      <c r="I16" s="2731"/>
      <c r="J16" s="1101" t="str">
        <f>J14</f>
        <v>Value used in model</v>
      </c>
      <c r="K16" s="128"/>
      <c r="L16" s="128"/>
      <c r="M16" s="128"/>
      <c r="N16" s="128"/>
      <c r="O16" s="128"/>
      <c r="P16" s="128"/>
      <c r="Q16" s="128"/>
      <c r="R16" s="1093"/>
    </row>
    <row r="17" spans="1:18" ht="33.75" customHeight="1" x14ac:dyDescent="0.25">
      <c r="A17" s="125"/>
      <c r="B17" s="2748" t="s">
        <v>2214</v>
      </c>
      <c r="C17" s="2734"/>
      <c r="D17" s="2734"/>
      <c r="E17" s="1973"/>
      <c r="F17" s="2734" t="str">
        <f>F15</f>
        <v>Capital capacity requirements are based off of a 5 kW PEM backup power fuel manufacturing facility as outlined in Battelle (2011). Values should be entered in 5 kW BuP unit equivalents.</v>
      </c>
      <c r="G17" s="2734"/>
      <c r="H17" s="2734"/>
      <c r="I17" s="2734"/>
      <c r="J17" s="1912">
        <f>IF(AND(E10=Lists!$B$20,E17&gt;=0,E17&lt;=J15),E17, 0)</f>
        <v>0</v>
      </c>
      <c r="K17" s="128"/>
      <c r="L17" s="128"/>
      <c r="M17" s="128"/>
      <c r="N17" s="128"/>
      <c r="O17" s="128"/>
      <c r="P17" s="128"/>
      <c r="Q17" s="128"/>
      <c r="R17" s="1093"/>
    </row>
    <row r="18" spans="1:18" s="1092" customFormat="1" ht="40.5" customHeight="1" x14ac:dyDescent="0.25">
      <c r="A18" s="125"/>
      <c r="B18" s="1102"/>
      <c r="C18" s="1088"/>
      <c r="D18" s="1088"/>
      <c r="E18" s="1088"/>
      <c r="F18" s="1088"/>
      <c r="G18" s="1088"/>
      <c r="H18" s="1088"/>
      <c r="I18" s="1088"/>
      <c r="J18" s="1103"/>
      <c r="K18" s="128"/>
      <c r="L18" s="128"/>
      <c r="M18" s="128"/>
      <c r="N18" s="128"/>
      <c r="O18" s="128"/>
      <c r="P18" s="128"/>
      <c r="Q18" s="128"/>
      <c r="R18" s="128"/>
    </row>
    <row r="19" spans="1:18" ht="30.75" customHeight="1" x14ac:dyDescent="0.25">
      <c r="A19" s="125"/>
      <c r="B19" s="2063" t="s">
        <v>539</v>
      </c>
      <c r="C19" s="2064"/>
      <c r="D19" s="2064"/>
      <c r="E19" s="2064"/>
      <c r="F19" s="2064"/>
      <c r="G19" s="2064"/>
      <c r="H19" s="2064"/>
      <c r="I19" s="2064"/>
      <c r="J19" s="2065"/>
      <c r="K19" s="128"/>
      <c r="L19" s="128"/>
      <c r="M19" s="128"/>
      <c r="N19" s="128"/>
      <c r="O19" s="128"/>
      <c r="P19" s="128"/>
      <c r="Q19" s="128"/>
      <c r="R19" s="1093"/>
    </row>
    <row r="20" spans="1:18" s="1092" customFormat="1" x14ac:dyDescent="0.25">
      <c r="A20" s="125"/>
      <c r="B20" s="992"/>
      <c r="C20" s="128"/>
      <c r="D20" s="128"/>
      <c r="E20" s="128"/>
      <c r="F20" s="128"/>
      <c r="G20" s="128"/>
      <c r="H20" s="128"/>
      <c r="I20" s="128"/>
      <c r="J20" s="993"/>
      <c r="K20" s="128"/>
      <c r="L20" s="128"/>
      <c r="M20" s="128"/>
      <c r="N20" s="128"/>
      <c r="O20" s="128"/>
      <c r="P20" s="128"/>
      <c r="Q20" s="128"/>
      <c r="R20" s="128"/>
    </row>
    <row r="21" spans="1:18" ht="32.25" customHeight="1" x14ac:dyDescent="0.25">
      <c r="A21" s="125"/>
      <c r="B21" s="2066" t="str">
        <f>'Backup INPUTS'!B37</f>
        <v>All dollar values are in 2010$. All user-specified entries must be entered in 2010$.</v>
      </c>
      <c r="C21" s="2067"/>
      <c r="D21" s="2067"/>
      <c r="E21" s="2067"/>
      <c r="F21" s="2067"/>
      <c r="G21" s="2067"/>
      <c r="H21" s="2067"/>
      <c r="I21" s="2067"/>
      <c r="J21" s="2068"/>
      <c r="K21" s="128"/>
      <c r="L21" s="128"/>
      <c r="M21" s="128"/>
      <c r="N21" s="128"/>
      <c r="O21" s="128"/>
      <c r="P21" s="128"/>
      <c r="Q21" s="128"/>
      <c r="R21" s="1093"/>
    </row>
    <row r="22" spans="1:18" s="1092" customFormat="1" x14ac:dyDescent="0.25">
      <c r="A22" s="125"/>
      <c r="B22" s="1104"/>
      <c r="C22" s="1090"/>
      <c r="D22" s="1090"/>
      <c r="E22" s="1090"/>
      <c r="F22" s="1090"/>
      <c r="G22" s="1090"/>
      <c r="H22" s="1090"/>
      <c r="I22" s="1090"/>
      <c r="J22" s="1091"/>
      <c r="K22" s="128"/>
      <c r="L22" s="128"/>
      <c r="M22" s="128"/>
      <c r="N22" s="128"/>
      <c r="O22" s="128"/>
      <c r="P22" s="128"/>
      <c r="Q22" s="128"/>
      <c r="R22" s="128"/>
    </row>
    <row r="23" spans="1:18" ht="18.75" customHeight="1" x14ac:dyDescent="0.3">
      <c r="A23" s="125"/>
      <c r="B23" s="2745" t="str">
        <f>IF($E$10=Lists!$B$20, Lists!C18&amp;" "&amp;Lists!$E$18,  Lists!C18 )</f>
        <v>Step 4 - Land and Real Estate Expenses</v>
      </c>
      <c r="C23" s="2746"/>
      <c r="D23" s="2746"/>
      <c r="E23" s="2746"/>
      <c r="F23" s="2746"/>
      <c r="G23" s="2746"/>
      <c r="H23" s="2746"/>
      <c r="I23" s="2746"/>
      <c r="J23" s="2747"/>
      <c r="K23" s="128"/>
      <c r="L23" s="128"/>
      <c r="M23" s="128"/>
      <c r="N23" s="128"/>
      <c r="O23" s="128"/>
      <c r="P23" s="128"/>
      <c r="Q23" s="128"/>
      <c r="R23" s="1093"/>
    </row>
    <row r="24" spans="1:18" ht="16.5" x14ac:dyDescent="0.25">
      <c r="A24" s="125"/>
      <c r="B24" s="2736" t="s">
        <v>1828</v>
      </c>
      <c r="C24" s="2737"/>
      <c r="D24" s="2738"/>
      <c r="E24" s="1355" t="s">
        <v>429</v>
      </c>
      <c r="F24" s="1357" t="s">
        <v>504</v>
      </c>
      <c r="G24" s="2752" t="s">
        <v>451</v>
      </c>
      <c r="H24" s="2753"/>
      <c r="I24" s="2754"/>
      <c r="J24" s="994" t="s">
        <v>509</v>
      </c>
      <c r="K24" s="128"/>
      <c r="L24" s="128"/>
      <c r="M24" s="128"/>
      <c r="N24" s="128"/>
      <c r="O24" s="128"/>
      <c r="P24" s="128"/>
      <c r="Q24" s="128"/>
      <c r="R24" s="1093"/>
    </row>
    <row r="25" spans="1:18" x14ac:dyDescent="0.25">
      <c r="A25" s="125"/>
      <c r="B25" s="1105" t="s">
        <v>1609</v>
      </c>
      <c r="C25" s="1106"/>
      <c r="D25" s="1107"/>
      <c r="E25" s="1974"/>
      <c r="F25" s="575">
        <f>IF($E$10=Lists!$B$19,MROUND('Capital Cost'!D4/1.06,1000),0)</f>
        <v>0</v>
      </c>
      <c r="G25" s="2755" t="s">
        <v>1628</v>
      </c>
      <c r="H25" s="2756"/>
      <c r="I25" s="2757"/>
      <c r="J25" s="789">
        <f>IF(E25&lt;&gt;"", E25, F25)</f>
        <v>0</v>
      </c>
      <c r="K25" s="128"/>
      <c r="L25" s="128"/>
      <c r="M25" s="128"/>
      <c r="N25" s="128"/>
      <c r="O25" s="128"/>
      <c r="P25" s="128"/>
      <c r="Q25" s="128"/>
      <c r="R25" s="1093"/>
    </row>
    <row r="26" spans="1:18" x14ac:dyDescent="0.25">
      <c r="A26" s="125"/>
      <c r="B26" s="1105" t="s">
        <v>1611</v>
      </c>
      <c r="C26" s="1108"/>
      <c r="D26" s="1107"/>
      <c r="E26" s="1974"/>
      <c r="F26" s="575">
        <f>IF($E$10=Lists!$B$19, MROUND(0.06*F25, 100), 0)</f>
        <v>0</v>
      </c>
      <c r="G26" s="2758"/>
      <c r="H26" s="2759"/>
      <c r="I26" s="2760"/>
      <c r="J26" s="789">
        <f>IF(E26&lt;&gt;"", E26, MROUND(J25*0.06, 100))</f>
        <v>0</v>
      </c>
      <c r="K26" s="128"/>
      <c r="L26" s="128"/>
      <c r="M26" s="128"/>
      <c r="N26" s="128"/>
      <c r="O26" s="128"/>
      <c r="P26" s="128"/>
      <c r="Q26" s="128"/>
      <c r="R26" s="1093"/>
    </row>
    <row r="27" spans="1:18" s="1092" customFormat="1" x14ac:dyDescent="0.25">
      <c r="A27" s="125"/>
      <c r="B27" s="1096"/>
      <c r="J27" s="1097"/>
      <c r="K27" s="128"/>
      <c r="L27" s="128"/>
      <c r="M27" s="128"/>
      <c r="N27" s="128"/>
      <c r="O27" s="128"/>
      <c r="P27" s="128"/>
      <c r="Q27" s="128"/>
      <c r="R27" s="128"/>
    </row>
    <row r="28" spans="1:18" ht="18.75" customHeight="1" x14ac:dyDescent="0.3">
      <c r="A28" s="125"/>
      <c r="B28" s="2745" t="str">
        <f>IF($E$10=Lists!$B$20, Lists!C19&amp;" "&amp;Lists!$E$18,  Lists!C19)</f>
        <v>Step 5 - Building Construction Expenses</v>
      </c>
      <c r="C28" s="2746"/>
      <c r="D28" s="2746"/>
      <c r="E28" s="2746"/>
      <c r="F28" s="2746"/>
      <c r="G28" s="2746"/>
      <c r="H28" s="2746"/>
      <c r="I28" s="2746"/>
      <c r="J28" s="2747"/>
      <c r="K28" s="128"/>
      <c r="L28" s="128"/>
      <c r="M28" s="128"/>
      <c r="N28" s="128"/>
      <c r="O28" s="128"/>
      <c r="P28" s="128"/>
      <c r="Q28" s="128"/>
      <c r="R28" s="1093"/>
    </row>
    <row r="29" spans="1:18" ht="16.5" x14ac:dyDescent="0.25">
      <c r="A29" s="125"/>
      <c r="B29" s="2736" t="s">
        <v>2202</v>
      </c>
      <c r="C29" s="2737"/>
      <c r="D29" s="2738"/>
      <c r="E29" s="1355" t="s">
        <v>429</v>
      </c>
      <c r="F29" s="1357" t="s">
        <v>504</v>
      </c>
      <c r="G29" s="2752" t="s">
        <v>451</v>
      </c>
      <c r="H29" s="2753"/>
      <c r="I29" s="2754"/>
      <c r="J29" s="994" t="s">
        <v>509</v>
      </c>
      <c r="K29" s="128"/>
      <c r="L29" s="128"/>
      <c r="M29" s="128"/>
      <c r="N29" s="128"/>
      <c r="O29" s="128"/>
      <c r="P29" s="128"/>
      <c r="Q29" s="128"/>
      <c r="R29" s="1093"/>
    </row>
    <row r="30" spans="1:18" x14ac:dyDescent="0.25">
      <c r="A30" s="125"/>
      <c r="B30" s="1133" t="s">
        <v>2203</v>
      </c>
      <c r="C30" s="1106"/>
      <c r="D30" s="1107"/>
      <c r="E30" s="1974"/>
      <c r="F30" s="575">
        <f>IF($E$10=Lists!$B$19, F33*F32, 0)</f>
        <v>0</v>
      </c>
      <c r="G30" s="2767" t="s">
        <v>2207</v>
      </c>
      <c r="H30" s="2768"/>
      <c r="I30" s="2769"/>
      <c r="J30" s="789">
        <f>IF(E30="", J33*J32, E30)</f>
        <v>0</v>
      </c>
      <c r="K30" s="128"/>
      <c r="L30" s="128"/>
      <c r="M30" s="128"/>
      <c r="N30" s="128"/>
      <c r="O30" s="128"/>
      <c r="P30" s="128"/>
      <c r="Q30" s="128"/>
      <c r="R30" s="1093"/>
    </row>
    <row r="31" spans="1:18" x14ac:dyDescent="0.25">
      <c r="A31" s="125"/>
      <c r="B31" s="1105"/>
      <c r="C31" s="1108" t="s">
        <v>397</v>
      </c>
      <c r="D31" s="1107"/>
      <c r="E31" s="1985"/>
      <c r="F31" s="576"/>
      <c r="G31" s="2770"/>
      <c r="H31" s="2771"/>
      <c r="I31" s="2772"/>
      <c r="J31" s="995"/>
      <c r="K31" s="128"/>
      <c r="L31" s="128"/>
      <c r="M31" s="128"/>
      <c r="N31" s="128"/>
      <c r="O31" s="128"/>
      <c r="P31" s="128"/>
      <c r="Q31" s="128"/>
      <c r="R31" s="1093"/>
    </row>
    <row r="32" spans="1:18" x14ac:dyDescent="0.25">
      <c r="A32" s="125"/>
      <c r="B32" s="1105" t="s">
        <v>2204</v>
      </c>
      <c r="C32" s="1106"/>
      <c r="D32" s="1107"/>
      <c r="E32" s="1974"/>
      <c r="F32" s="575">
        <f>IF($E$10=Lists!$B$19, 'Capital Cost'!C5, 0)</f>
        <v>0</v>
      </c>
      <c r="G32" s="1109"/>
      <c r="H32" s="1106"/>
      <c r="I32" s="1107"/>
      <c r="J32" s="789">
        <f>IF(E32&lt;&gt;"", E32, F32)</f>
        <v>0</v>
      </c>
      <c r="K32" s="128"/>
      <c r="L32" s="128"/>
      <c r="M32" s="128"/>
      <c r="N32" s="128"/>
      <c r="O32" s="128"/>
      <c r="P32" s="128"/>
      <c r="Q32" s="128"/>
      <c r="R32" s="1093"/>
    </row>
    <row r="33" spans="1:18" x14ac:dyDescent="0.25">
      <c r="A33" s="125"/>
      <c r="B33" s="1105" t="s">
        <v>2205</v>
      </c>
      <c r="C33" s="1106"/>
      <c r="D33" s="1107"/>
      <c r="E33" s="1975"/>
      <c r="F33" s="577">
        <f>IF($E$10=Lists!$B$19, MROUND('Capital Cost'!B5, 100), 0)</f>
        <v>0</v>
      </c>
      <c r="G33" s="1110"/>
      <c r="H33" s="1106"/>
      <c r="I33" s="1107"/>
      <c r="J33" s="996">
        <f>IF(E33&lt;&gt;"", E33, F33)</f>
        <v>0</v>
      </c>
      <c r="K33" s="128"/>
      <c r="L33" s="128"/>
      <c r="M33" s="128"/>
      <c r="N33" s="128"/>
      <c r="O33" s="128"/>
      <c r="P33" s="128"/>
      <c r="Q33" s="128"/>
      <c r="R33" s="1093"/>
    </row>
    <row r="34" spans="1:18" s="1092" customFormat="1" x14ac:dyDescent="0.25">
      <c r="A34" s="125"/>
      <c r="B34" s="1096"/>
      <c r="J34" s="1097"/>
      <c r="K34" s="128"/>
      <c r="L34" s="128"/>
      <c r="M34" s="128"/>
      <c r="N34" s="128"/>
      <c r="O34" s="128"/>
      <c r="P34" s="128"/>
      <c r="Q34" s="128"/>
      <c r="R34" s="128"/>
    </row>
    <row r="35" spans="1:18" ht="18.75" customHeight="1" x14ac:dyDescent="0.3">
      <c r="A35" s="125"/>
      <c r="B35" s="2745" t="str">
        <f>IF($E$10=Lists!$B$20, Lists!C20&amp;" "&amp;Lists!$E$18, Lists!C20)</f>
        <v>Step 6 - Facility Materials Handling Expenses</v>
      </c>
      <c r="C35" s="2746"/>
      <c r="D35" s="2746"/>
      <c r="E35" s="2746"/>
      <c r="F35" s="2746"/>
      <c r="G35" s="2746"/>
      <c r="H35" s="2746"/>
      <c r="I35" s="2746"/>
      <c r="J35" s="2747"/>
      <c r="K35" s="128"/>
      <c r="L35" s="128"/>
      <c r="M35" s="128"/>
      <c r="N35" s="128"/>
      <c r="O35" s="128"/>
      <c r="P35" s="128"/>
      <c r="Q35" s="128"/>
      <c r="R35" s="1093"/>
    </row>
    <row r="36" spans="1:18" ht="16.5" x14ac:dyDescent="0.25">
      <c r="A36" s="125"/>
      <c r="B36" s="2736" t="s">
        <v>1829</v>
      </c>
      <c r="C36" s="2737"/>
      <c r="D36" s="2738"/>
      <c r="E36" s="1355" t="s">
        <v>429</v>
      </c>
      <c r="F36" s="1357" t="s">
        <v>504</v>
      </c>
      <c r="G36" s="2752" t="s">
        <v>451</v>
      </c>
      <c r="H36" s="2753"/>
      <c r="I36" s="2754"/>
      <c r="J36" s="994" t="s">
        <v>509</v>
      </c>
      <c r="K36" s="128"/>
      <c r="L36" s="128"/>
      <c r="M36" s="128"/>
      <c r="N36" s="128"/>
      <c r="O36" s="128"/>
      <c r="P36" s="128"/>
      <c r="Q36" s="128"/>
      <c r="R36" s="1093"/>
    </row>
    <row r="37" spans="1:18" x14ac:dyDescent="0.25">
      <c r="A37" s="125"/>
      <c r="B37" s="1133" t="s">
        <v>538</v>
      </c>
      <c r="C37" s="1106"/>
      <c r="D37" s="1107"/>
      <c r="E37" s="1974"/>
      <c r="F37" s="575">
        <f>IF($E$10=Lists!$B$19, (F40*F39+F42*F41),0)</f>
        <v>0</v>
      </c>
      <c r="G37" s="2767" t="s">
        <v>2208</v>
      </c>
      <c r="H37" s="2768"/>
      <c r="I37" s="2769"/>
      <c r="J37" s="789">
        <f>IF(E37="", J40*J39+J42*J41, E37)</f>
        <v>0</v>
      </c>
      <c r="K37" s="128"/>
      <c r="L37" s="128"/>
      <c r="M37" s="128"/>
      <c r="N37" s="128"/>
      <c r="O37" s="128"/>
      <c r="P37" s="128"/>
      <c r="Q37" s="128"/>
      <c r="R37" s="1093"/>
    </row>
    <row r="38" spans="1:18" x14ac:dyDescent="0.25">
      <c r="A38" s="125"/>
      <c r="B38" s="1105"/>
      <c r="C38" s="1108" t="str">
        <f>C31</f>
        <v>OR</v>
      </c>
      <c r="D38" s="1107"/>
      <c r="E38" s="1985"/>
      <c r="F38" s="576"/>
      <c r="G38" s="2770"/>
      <c r="H38" s="2771"/>
      <c r="I38" s="2772"/>
      <c r="J38" s="995"/>
      <c r="K38" s="128"/>
      <c r="L38" s="128"/>
      <c r="M38" s="128"/>
      <c r="N38" s="128"/>
      <c r="O38" s="128"/>
      <c r="P38" s="128"/>
      <c r="Q38" s="128"/>
      <c r="R38" s="1093"/>
    </row>
    <row r="39" spans="1:18" x14ac:dyDescent="0.25">
      <c r="A39" s="125"/>
      <c r="B39" s="1105" t="s">
        <v>518</v>
      </c>
      <c r="C39" s="1106"/>
      <c r="D39" s="1107"/>
      <c r="E39" s="1974"/>
      <c r="F39" s="575">
        <f>IF($E$10=Lists!$B$19,'Capital Cost'!C7, 0)</f>
        <v>0</v>
      </c>
      <c r="G39" s="1109"/>
      <c r="H39" s="1106"/>
      <c r="I39" s="1107"/>
      <c r="J39" s="789">
        <f>IF(E39&lt;&gt;"", E39, F39)</f>
        <v>0</v>
      </c>
      <c r="K39" s="128"/>
      <c r="L39" s="128"/>
      <c r="M39" s="128"/>
      <c r="N39" s="128"/>
      <c r="O39" s="128"/>
      <c r="P39" s="128"/>
      <c r="Q39" s="128"/>
      <c r="R39" s="1093"/>
    </row>
    <row r="40" spans="1:18" x14ac:dyDescent="0.25">
      <c r="A40" s="125"/>
      <c r="B40" s="1105" t="s">
        <v>517</v>
      </c>
      <c r="C40" s="1106"/>
      <c r="D40" s="1107"/>
      <c r="E40" s="1975"/>
      <c r="F40" s="577">
        <f>IF($E$10=Lists!$B$19, 'Capital Cost'!B7, 0)</f>
        <v>0</v>
      </c>
      <c r="G40" s="1109" t="s">
        <v>540</v>
      </c>
      <c r="H40" s="1106"/>
      <c r="I40" s="1107"/>
      <c r="J40" s="997">
        <f>IF(E40&lt;&gt;"", E40, F40)</f>
        <v>0</v>
      </c>
      <c r="K40" s="128"/>
      <c r="L40" s="128"/>
      <c r="M40" s="128"/>
      <c r="N40" s="128"/>
      <c r="O40" s="128"/>
      <c r="P40" s="128"/>
      <c r="Q40" s="128"/>
      <c r="R40" s="1093"/>
    </row>
    <row r="41" spans="1:18" x14ac:dyDescent="0.25">
      <c r="A41" s="125"/>
      <c r="B41" s="1105" t="s">
        <v>519</v>
      </c>
      <c r="C41" s="1106"/>
      <c r="D41" s="1107"/>
      <c r="E41" s="1974"/>
      <c r="F41" s="575">
        <f>IF($E$10=Lists!$B$19, 'Capital Cost'!C6, 0)</f>
        <v>0</v>
      </c>
      <c r="G41" s="1109"/>
      <c r="H41" s="1106"/>
      <c r="I41" s="1107"/>
      <c r="J41" s="789">
        <f>IF(E41&lt;&gt;"", E41, F41)</f>
        <v>0</v>
      </c>
      <c r="K41" s="128"/>
      <c r="L41" s="128"/>
      <c r="M41" s="128"/>
      <c r="N41" s="128"/>
      <c r="O41" s="128"/>
      <c r="P41" s="128"/>
      <c r="Q41" s="128"/>
      <c r="R41" s="1093"/>
    </row>
    <row r="42" spans="1:18" x14ac:dyDescent="0.25">
      <c r="A42" s="125"/>
      <c r="B42" s="1105" t="s">
        <v>516</v>
      </c>
      <c r="C42" s="1106"/>
      <c r="D42" s="1107"/>
      <c r="E42" s="1975"/>
      <c r="F42" s="577">
        <f>IF($E$10=Lists!$B$19, 'Capital Cost'!B6,0)</f>
        <v>0</v>
      </c>
      <c r="G42" s="1109" t="str">
        <f>G$40</f>
        <v>Assumed fixed at all production levels.</v>
      </c>
      <c r="H42" s="1106"/>
      <c r="I42" s="1107"/>
      <c r="J42" s="997">
        <f>IF(E42&lt;&gt;"", E42, F42)</f>
        <v>0</v>
      </c>
      <c r="K42" s="128"/>
      <c r="L42" s="128"/>
      <c r="M42" s="128"/>
      <c r="N42" s="128"/>
      <c r="O42" s="128"/>
      <c r="P42" s="128"/>
      <c r="Q42" s="128"/>
      <c r="R42" s="1093"/>
    </row>
    <row r="43" spans="1:18" s="1092" customFormat="1" x14ac:dyDescent="0.25">
      <c r="A43" s="125"/>
      <c r="B43" s="1096"/>
      <c r="J43" s="1097"/>
      <c r="K43" s="128"/>
      <c r="L43" s="128"/>
      <c r="M43" s="128"/>
      <c r="N43" s="128"/>
      <c r="O43" s="128"/>
      <c r="P43" s="128"/>
      <c r="Q43" s="128"/>
      <c r="R43" s="128"/>
    </row>
    <row r="44" spans="1:18" ht="18.75" customHeight="1" x14ac:dyDescent="0.3">
      <c r="A44" s="125"/>
      <c r="B44" s="2745" t="str">
        <f>IF($E$10=Lists!$B$20, Lists!C21&amp;" "&amp;Lists!$E$18,  Lists!C21)</f>
        <v>Step 7 - Fixed Production Line Equipment Expenses</v>
      </c>
      <c r="C44" s="2746"/>
      <c r="D44" s="2746"/>
      <c r="E44" s="2746"/>
      <c r="F44" s="2746"/>
      <c r="G44" s="2746"/>
      <c r="H44" s="2746"/>
      <c r="I44" s="2746"/>
      <c r="J44" s="2747"/>
      <c r="K44" s="128"/>
      <c r="L44" s="128"/>
      <c r="M44" s="128"/>
      <c r="N44" s="128"/>
      <c r="O44" s="128"/>
      <c r="P44" s="128"/>
      <c r="Q44" s="128"/>
      <c r="R44" s="1093"/>
    </row>
    <row r="45" spans="1:18" ht="16.5" x14ac:dyDescent="0.25">
      <c r="A45" s="125"/>
      <c r="B45" s="2736" t="s">
        <v>1833</v>
      </c>
      <c r="C45" s="2737"/>
      <c r="D45" s="2738"/>
      <c r="E45" s="1355" t="s">
        <v>429</v>
      </c>
      <c r="F45" s="1357" t="s">
        <v>504</v>
      </c>
      <c r="G45" s="2752" t="s">
        <v>451</v>
      </c>
      <c r="H45" s="2753"/>
      <c r="I45" s="2754"/>
      <c r="J45" s="994" t="s">
        <v>509</v>
      </c>
      <c r="K45" s="128"/>
      <c r="L45" s="128"/>
      <c r="M45" s="128"/>
      <c r="N45" s="128"/>
      <c r="O45" s="128"/>
      <c r="P45" s="128"/>
      <c r="Q45" s="128"/>
      <c r="R45" s="1093"/>
    </row>
    <row r="46" spans="1:18" ht="15.6" customHeight="1" x14ac:dyDescent="0.25">
      <c r="A46" s="125"/>
      <c r="B46" s="1105" t="s">
        <v>1574</v>
      </c>
      <c r="C46" s="1106"/>
      <c r="D46" s="1107"/>
      <c r="E46" s="1976"/>
      <c r="F46" s="575">
        <f>IF($E$10=Lists!$B$19, 'Capital Cost'!C49,0)</f>
        <v>0</v>
      </c>
      <c r="G46" s="2767" t="s">
        <v>2208</v>
      </c>
      <c r="H46" s="2768"/>
      <c r="I46" s="2769"/>
      <c r="J46" s="789">
        <f t="shared" ref="J46:J53" si="0">IF(E46&lt;&gt;"", E46, F46)</f>
        <v>0</v>
      </c>
      <c r="K46" s="128"/>
      <c r="L46" s="128"/>
      <c r="M46" s="128"/>
      <c r="N46" s="128"/>
      <c r="O46" s="128"/>
      <c r="P46" s="128"/>
      <c r="Q46" s="128"/>
      <c r="R46" s="1093"/>
    </row>
    <row r="47" spans="1:18" ht="15.6" customHeight="1" x14ac:dyDescent="0.25">
      <c r="A47" s="125"/>
      <c r="B47" s="1105" t="s">
        <v>1654</v>
      </c>
      <c r="C47" s="1106"/>
      <c r="D47" s="1107"/>
      <c r="E47" s="1977"/>
      <c r="F47" s="577">
        <f>IF($E$10=Lists!$B$19,1, 0)</f>
        <v>0</v>
      </c>
      <c r="G47" s="2773"/>
      <c r="H47" s="2774"/>
      <c r="I47" s="2775"/>
      <c r="J47" s="794">
        <f t="shared" si="0"/>
        <v>0</v>
      </c>
      <c r="K47" s="128"/>
      <c r="L47" s="128"/>
      <c r="M47" s="128"/>
      <c r="N47" s="128"/>
      <c r="O47" s="128"/>
      <c r="P47" s="128"/>
      <c r="Q47" s="128"/>
      <c r="R47" s="1093"/>
    </row>
    <row r="48" spans="1:18" ht="15.6" customHeight="1" x14ac:dyDescent="0.25">
      <c r="A48" s="125"/>
      <c r="B48" s="1105" t="s">
        <v>1575</v>
      </c>
      <c r="C48" s="1106"/>
      <c r="D48" s="1107"/>
      <c r="E48" s="1976"/>
      <c r="F48" s="575">
        <f>IF($E$10=Lists!$B$19, 'Capital Cost'!C50,0)</f>
        <v>0</v>
      </c>
      <c r="G48" s="2773"/>
      <c r="H48" s="2774"/>
      <c r="I48" s="2775"/>
      <c r="J48" s="789">
        <f t="shared" si="0"/>
        <v>0</v>
      </c>
      <c r="K48" s="128"/>
      <c r="L48" s="128"/>
      <c r="M48" s="128"/>
      <c r="N48" s="128"/>
      <c r="O48" s="128"/>
      <c r="P48" s="128"/>
      <c r="Q48" s="128"/>
      <c r="R48" s="1093"/>
    </row>
    <row r="49" spans="1:18" ht="15.6" customHeight="1" x14ac:dyDescent="0.25">
      <c r="A49" s="125"/>
      <c r="B49" s="1105" t="s">
        <v>1655</v>
      </c>
      <c r="C49" s="1106"/>
      <c r="D49" s="1107"/>
      <c r="E49" s="1977"/>
      <c r="F49" s="577">
        <f>IF($E$10=Lists!$B$19,1,0)</f>
        <v>0</v>
      </c>
      <c r="G49" s="2773"/>
      <c r="H49" s="2774"/>
      <c r="I49" s="2775"/>
      <c r="J49" s="794">
        <f t="shared" si="0"/>
        <v>0</v>
      </c>
      <c r="K49" s="128"/>
      <c r="L49" s="128"/>
      <c r="M49" s="128"/>
      <c r="N49" s="128"/>
      <c r="O49" s="128"/>
      <c r="P49" s="128"/>
      <c r="Q49" s="128"/>
      <c r="R49" s="1093"/>
    </row>
    <row r="50" spans="1:18" ht="15.6" customHeight="1" x14ac:dyDescent="0.25">
      <c r="A50" s="125"/>
      <c r="B50" s="1105" t="s">
        <v>1576</v>
      </c>
      <c r="C50" s="1106"/>
      <c r="D50" s="1107"/>
      <c r="E50" s="1976"/>
      <c r="F50" s="575">
        <f>IF($E$10=Lists!$B$19,'Capital Cost'!C51,0)</f>
        <v>0</v>
      </c>
      <c r="G50" s="2773"/>
      <c r="H50" s="2774"/>
      <c r="I50" s="2775"/>
      <c r="J50" s="789">
        <f t="shared" si="0"/>
        <v>0</v>
      </c>
      <c r="K50" s="128"/>
      <c r="L50" s="128"/>
      <c r="M50" s="128"/>
      <c r="N50" s="128"/>
      <c r="O50" s="128"/>
      <c r="P50" s="128"/>
      <c r="Q50" s="128"/>
      <c r="R50" s="1093"/>
    </row>
    <row r="51" spans="1:18" ht="15.6" customHeight="1" x14ac:dyDescent="0.25">
      <c r="A51" s="125"/>
      <c r="B51" s="1105" t="s">
        <v>1656</v>
      </c>
      <c r="C51" s="1106"/>
      <c r="D51" s="1107"/>
      <c r="E51" s="1977"/>
      <c r="F51" s="577">
        <f>IF($E$10=Lists!$B$19,1,0)</f>
        <v>0</v>
      </c>
      <c r="G51" s="2773"/>
      <c r="H51" s="2774"/>
      <c r="I51" s="2775"/>
      <c r="J51" s="794">
        <f t="shared" si="0"/>
        <v>0</v>
      </c>
      <c r="K51" s="128"/>
      <c r="L51" s="128"/>
      <c r="M51" s="128"/>
      <c r="N51" s="128"/>
      <c r="O51" s="128"/>
      <c r="P51" s="128"/>
      <c r="Q51" s="128"/>
      <c r="R51" s="1093"/>
    </row>
    <row r="52" spans="1:18" ht="15.6" customHeight="1" x14ac:dyDescent="0.25">
      <c r="A52" s="125"/>
      <c r="B52" s="1105" t="s">
        <v>1577</v>
      </c>
      <c r="C52" s="1106"/>
      <c r="D52" s="1107"/>
      <c r="E52" s="1976"/>
      <c r="F52" s="575">
        <f>IF($E$10=Lists!$B$19,'Capital Cost'!C52,0)</f>
        <v>0</v>
      </c>
      <c r="G52" s="2773"/>
      <c r="H52" s="2774"/>
      <c r="I52" s="2775"/>
      <c r="J52" s="789">
        <f t="shared" si="0"/>
        <v>0</v>
      </c>
      <c r="K52" s="128"/>
      <c r="L52" s="128"/>
      <c r="M52" s="128"/>
      <c r="N52" s="128"/>
      <c r="O52" s="128"/>
      <c r="P52" s="128"/>
      <c r="Q52" s="128"/>
      <c r="R52" s="1093"/>
    </row>
    <row r="53" spans="1:18" ht="15.6" customHeight="1" x14ac:dyDescent="0.25">
      <c r="A53" s="125"/>
      <c r="B53" s="1105" t="s">
        <v>1657</v>
      </c>
      <c r="C53" s="1106"/>
      <c r="D53" s="1107"/>
      <c r="E53" s="1977"/>
      <c r="F53" s="577">
        <f>IF($E$10=Lists!$B$19,1,0)</f>
        <v>0</v>
      </c>
      <c r="G53" s="2770"/>
      <c r="H53" s="2771"/>
      <c r="I53" s="2772"/>
      <c r="J53" s="794">
        <f t="shared" si="0"/>
        <v>0</v>
      </c>
      <c r="K53" s="128"/>
      <c r="L53" s="128"/>
      <c r="M53" s="128"/>
      <c r="N53" s="128"/>
      <c r="O53" s="128"/>
      <c r="P53" s="128"/>
      <c r="Q53" s="128"/>
      <c r="R53" s="1093"/>
    </row>
    <row r="54" spans="1:18" x14ac:dyDescent="0.25">
      <c r="A54" s="125"/>
      <c r="B54" s="1098"/>
      <c r="C54" s="1099"/>
      <c r="D54" s="1099"/>
      <c r="E54" s="1099"/>
      <c r="F54" s="1099"/>
      <c r="G54" s="1099"/>
      <c r="H54" s="1100" t="s">
        <v>1523</v>
      </c>
      <c r="I54" s="1099"/>
      <c r="J54" s="998">
        <f>J46*J47+J48*J49+J50*J51+J52*J53</f>
        <v>0</v>
      </c>
      <c r="K54" s="128"/>
      <c r="L54" s="128"/>
      <c r="M54" s="128"/>
      <c r="N54" s="128"/>
      <c r="O54" s="128"/>
      <c r="P54" s="128"/>
      <c r="Q54" s="128"/>
      <c r="R54" s="1093"/>
    </row>
    <row r="55" spans="1:18" s="1092" customFormat="1" x14ac:dyDescent="0.25">
      <c r="A55" s="125"/>
      <c r="B55" s="1096"/>
      <c r="J55" s="1097"/>
      <c r="K55" s="128"/>
      <c r="L55" s="128"/>
      <c r="M55" s="128"/>
      <c r="N55" s="128"/>
      <c r="O55" s="128"/>
      <c r="P55" s="128"/>
      <c r="Q55" s="128"/>
      <c r="R55" s="128"/>
    </row>
    <row r="56" spans="1:18" ht="18.75" x14ac:dyDescent="0.3">
      <c r="A56" s="125"/>
      <c r="B56" s="2745" t="s">
        <v>2215</v>
      </c>
      <c r="C56" s="2746"/>
      <c r="D56" s="2746"/>
      <c r="E56" s="2746"/>
      <c r="F56" s="2746"/>
      <c r="G56" s="2746"/>
      <c r="H56" s="2746"/>
      <c r="I56" s="2746"/>
      <c r="J56" s="2747"/>
      <c r="K56" s="128"/>
      <c r="L56" s="128"/>
      <c r="M56" s="128"/>
      <c r="N56" s="128"/>
      <c r="O56" s="128"/>
      <c r="P56" s="128"/>
      <c r="Q56" s="128"/>
      <c r="R56" s="1093"/>
    </row>
    <row r="57" spans="1:18" ht="16.5" x14ac:dyDescent="0.25">
      <c r="A57" s="125"/>
      <c r="B57" s="2736" t="s">
        <v>1834</v>
      </c>
      <c r="C57" s="2737"/>
      <c r="D57" s="2738"/>
      <c r="E57" s="1355" t="s">
        <v>429</v>
      </c>
      <c r="F57" s="1357" t="s">
        <v>504</v>
      </c>
      <c r="G57" s="2752" t="s">
        <v>451</v>
      </c>
      <c r="H57" s="2753"/>
      <c r="I57" s="2754"/>
      <c r="J57" s="994" t="s">
        <v>509</v>
      </c>
      <c r="K57" s="128"/>
      <c r="L57" s="128"/>
      <c r="M57" s="128"/>
      <c r="N57" s="128"/>
      <c r="O57" s="128"/>
      <c r="P57" s="128"/>
      <c r="Q57" s="128"/>
      <c r="R57" s="1093"/>
    </row>
    <row r="58" spans="1:18" ht="15.75" customHeight="1" x14ac:dyDescent="0.25">
      <c r="A58" s="125"/>
      <c r="B58" s="1105" t="s">
        <v>953</v>
      </c>
      <c r="C58" s="1108"/>
      <c r="D58" s="1107"/>
      <c r="E58" s="1967"/>
      <c r="F58" s="575">
        <f>'Capital Cost'!C54</f>
        <v>260000</v>
      </c>
      <c r="G58" s="2767" t="s">
        <v>2209</v>
      </c>
      <c r="H58" s="2768"/>
      <c r="I58" s="2769"/>
      <c r="J58" s="789">
        <f>IF(E58&lt;&gt;"", E58, F58)</f>
        <v>260000</v>
      </c>
      <c r="K58" s="128"/>
      <c r="L58" s="128"/>
      <c r="M58" s="128"/>
      <c r="N58" s="128"/>
      <c r="O58" s="128"/>
      <c r="P58" s="128"/>
      <c r="Q58" s="128"/>
      <c r="R58" s="1093"/>
    </row>
    <row r="59" spans="1:18" ht="15.75" customHeight="1" x14ac:dyDescent="0.25">
      <c r="A59" s="125"/>
      <c r="B59" s="1105" t="s">
        <v>1658</v>
      </c>
      <c r="C59" s="1108"/>
      <c r="D59" s="1107"/>
      <c r="E59" s="1978"/>
      <c r="F59" s="578">
        <f>ROUNDUP((($J$15-$J$17)/'Capital Cost'!B54), 0)</f>
        <v>0</v>
      </c>
      <c r="G59" s="2773"/>
      <c r="H59" s="2774"/>
      <c r="I59" s="2775"/>
      <c r="J59" s="999">
        <f t="shared" ref="J59" si="1">IF(E59&lt;&gt;"", E59, F59)</f>
        <v>0</v>
      </c>
      <c r="K59" s="128"/>
      <c r="L59" s="128"/>
      <c r="M59" s="128"/>
      <c r="N59" s="128"/>
      <c r="O59" s="128"/>
      <c r="P59" s="128"/>
      <c r="Q59" s="128"/>
      <c r="R59" s="1093"/>
    </row>
    <row r="60" spans="1:18" ht="15.75" customHeight="1" x14ac:dyDescent="0.25">
      <c r="A60" s="125"/>
      <c r="B60" s="1105" t="s">
        <v>954</v>
      </c>
      <c r="C60" s="1108"/>
      <c r="D60" s="1107"/>
      <c r="E60" s="1967"/>
      <c r="F60" s="575">
        <f>'Capital Cost'!C55</f>
        <v>535000</v>
      </c>
      <c r="G60" s="2773"/>
      <c r="H60" s="2774"/>
      <c r="I60" s="2775"/>
      <c r="J60" s="789">
        <f>IF(E60&lt;&gt;"", E60, F60)</f>
        <v>535000</v>
      </c>
      <c r="K60" s="128"/>
      <c r="L60" s="128"/>
      <c r="M60" s="128"/>
      <c r="N60" s="128"/>
      <c r="O60" s="128"/>
      <c r="P60" s="128"/>
      <c r="Q60" s="128"/>
      <c r="R60" s="1093"/>
    </row>
    <row r="61" spans="1:18" ht="15.75" customHeight="1" x14ac:dyDescent="0.25">
      <c r="A61" s="125"/>
      <c r="B61" s="1105" t="s">
        <v>1659</v>
      </c>
      <c r="C61" s="1108"/>
      <c r="D61" s="1107"/>
      <c r="E61" s="1978"/>
      <c r="F61" s="578">
        <f>ROUNDUP((($J$15-$J$17)/'Capital Cost'!B55), 0)</f>
        <v>0</v>
      </c>
      <c r="G61" s="2773"/>
      <c r="H61" s="2774"/>
      <c r="I61" s="2775"/>
      <c r="J61" s="999">
        <f>IF(E61&lt;&gt;"", E61, F61)</f>
        <v>0</v>
      </c>
      <c r="K61" s="128"/>
      <c r="L61" s="128"/>
      <c r="M61" s="128"/>
      <c r="N61" s="128"/>
      <c r="O61" s="128"/>
      <c r="P61" s="128"/>
      <c r="Q61" s="128"/>
      <c r="R61" s="1093"/>
    </row>
    <row r="62" spans="1:18" ht="15.75" customHeight="1" x14ac:dyDescent="0.25">
      <c r="A62" s="125"/>
      <c r="B62" s="1105" t="s">
        <v>521</v>
      </c>
      <c r="C62" s="1106"/>
      <c r="D62" s="1107"/>
      <c r="E62" s="1974"/>
      <c r="F62" s="575">
        <f>'Capital Cost'!C56</f>
        <v>750000</v>
      </c>
      <c r="G62" s="2773"/>
      <c r="H62" s="2774"/>
      <c r="I62" s="2775"/>
      <c r="J62" s="789">
        <f>IF(E62&lt;&gt;"", E62, F62)</f>
        <v>750000</v>
      </c>
      <c r="K62" s="128"/>
      <c r="L62" s="128"/>
      <c r="M62" s="128"/>
      <c r="N62" s="128"/>
      <c r="O62" s="128"/>
      <c r="P62" s="128"/>
      <c r="Q62" s="128"/>
      <c r="R62" s="1093"/>
    </row>
    <row r="63" spans="1:18" ht="15.75" customHeight="1" x14ac:dyDescent="0.25">
      <c r="A63" s="125"/>
      <c r="B63" s="1105" t="s">
        <v>1660</v>
      </c>
      <c r="C63" s="1106"/>
      <c r="D63" s="1107"/>
      <c r="E63" s="1975"/>
      <c r="F63" s="578">
        <f>ROUNDUP((($J$15-$J$17)/'Capital Cost'!B56), 0)</f>
        <v>0</v>
      </c>
      <c r="G63" s="2773"/>
      <c r="H63" s="2774"/>
      <c r="I63" s="2775"/>
      <c r="J63" s="999">
        <f>IF(E63&lt;&gt;"", E63, F63)</f>
        <v>0</v>
      </c>
      <c r="K63" s="128"/>
      <c r="L63" s="128"/>
      <c r="M63" s="128"/>
      <c r="N63" s="128"/>
      <c r="O63" s="128"/>
      <c r="P63" s="128"/>
      <c r="Q63" s="128"/>
      <c r="R63" s="1093"/>
    </row>
    <row r="64" spans="1:18" ht="15.75" customHeight="1" x14ac:dyDescent="0.25">
      <c r="A64" s="125"/>
      <c r="B64" s="1105" t="s">
        <v>522</v>
      </c>
      <c r="C64" s="1106"/>
      <c r="D64" s="1107"/>
      <c r="E64" s="1974"/>
      <c r="F64" s="575">
        <f>'Capital Cost'!C57</f>
        <v>25000</v>
      </c>
      <c r="G64" s="2773"/>
      <c r="H64" s="2774"/>
      <c r="I64" s="2775"/>
      <c r="J64" s="789">
        <f>IF(E64&lt;&gt;"", E64, F64)</f>
        <v>25000</v>
      </c>
      <c r="K64" s="128"/>
      <c r="L64" s="128"/>
      <c r="M64" s="128"/>
      <c r="N64" s="128"/>
      <c r="O64" s="128"/>
      <c r="P64" s="128"/>
      <c r="Q64" s="128"/>
      <c r="R64" s="1093"/>
    </row>
    <row r="65" spans="1:18" ht="15.75" customHeight="1" x14ac:dyDescent="0.25">
      <c r="A65" s="125"/>
      <c r="B65" s="1105" t="s">
        <v>1661</v>
      </c>
      <c r="C65" s="1106"/>
      <c r="D65" s="1107"/>
      <c r="E65" s="1975"/>
      <c r="F65" s="578">
        <f>ROUNDUP((($J$15-$J$17)/'Capital Cost'!B57), 0)</f>
        <v>0</v>
      </c>
      <c r="G65" s="2773"/>
      <c r="H65" s="2774"/>
      <c r="I65" s="2775"/>
      <c r="J65" s="999">
        <f t="shared" ref="J65:J67" si="2">IF(E65&lt;&gt;"", E65, F65)</f>
        <v>0</v>
      </c>
      <c r="K65" s="128"/>
      <c r="L65" s="128"/>
      <c r="M65" s="128"/>
      <c r="N65" s="128"/>
      <c r="O65" s="128"/>
      <c r="P65" s="128"/>
      <c r="Q65" s="128"/>
      <c r="R65" s="1093"/>
    </row>
    <row r="66" spans="1:18" ht="15.75" customHeight="1" x14ac:dyDescent="0.25">
      <c r="A66" s="125"/>
      <c r="B66" s="1105" t="s">
        <v>520</v>
      </c>
      <c r="C66" s="1106"/>
      <c r="D66" s="1107"/>
      <c r="E66" s="1974"/>
      <c r="F66" s="575">
        <f>'Capital Cost'!C58</f>
        <v>25000</v>
      </c>
      <c r="G66" s="2773"/>
      <c r="H66" s="2774"/>
      <c r="I66" s="2775"/>
      <c r="J66" s="789">
        <f>IF(E66&lt;&gt;"", E66, F66)</f>
        <v>25000</v>
      </c>
      <c r="K66" s="128"/>
      <c r="L66" s="128"/>
      <c r="M66" s="128"/>
      <c r="N66" s="128"/>
      <c r="O66" s="128"/>
      <c r="P66" s="128"/>
      <c r="Q66" s="128"/>
      <c r="R66" s="1093"/>
    </row>
    <row r="67" spans="1:18" ht="15.75" customHeight="1" x14ac:dyDescent="0.25">
      <c r="B67" s="1105" t="s">
        <v>1662</v>
      </c>
      <c r="C67" s="1106"/>
      <c r="D67" s="1107"/>
      <c r="E67" s="1975"/>
      <c r="F67" s="578">
        <f>ROUNDUP((($J$15-$J$17)/'Capital Cost'!B58), 0)</f>
        <v>0</v>
      </c>
      <c r="G67" s="2770"/>
      <c r="H67" s="2771"/>
      <c r="I67" s="2772"/>
      <c r="J67" s="999">
        <f t="shared" si="2"/>
        <v>0</v>
      </c>
      <c r="K67" s="128"/>
      <c r="L67" s="128"/>
      <c r="M67" s="128"/>
      <c r="N67" s="128"/>
      <c r="O67" s="128"/>
      <c r="P67" s="128"/>
      <c r="Q67" s="128"/>
      <c r="R67" s="1093"/>
    </row>
    <row r="68" spans="1:18" x14ac:dyDescent="0.25">
      <c r="A68" s="125"/>
      <c r="B68" s="1098"/>
      <c r="C68" s="1099"/>
      <c r="D68" s="1099"/>
      <c r="E68" s="1099"/>
      <c r="F68" s="1099"/>
      <c r="G68" s="1099"/>
      <c r="H68" s="1100" t="s">
        <v>1524</v>
      </c>
      <c r="I68" s="1099"/>
      <c r="J68" s="998">
        <f>J58*J59+J60*J61+J62*J63+J64*J65+J66*J67</f>
        <v>0</v>
      </c>
      <c r="K68" s="128"/>
      <c r="L68" s="128"/>
      <c r="M68" s="128"/>
      <c r="N68" s="128"/>
      <c r="O68" s="128"/>
      <c r="P68" s="128"/>
      <c r="Q68" s="128"/>
      <c r="R68" s="1093"/>
    </row>
    <row r="69" spans="1:18" s="1088" customFormat="1" ht="56.25" customHeight="1" x14ac:dyDescent="0.25">
      <c r="A69" s="125"/>
      <c r="B69" s="1111"/>
      <c r="C69" s="1112"/>
      <c r="D69" s="1112"/>
      <c r="E69" s="1112"/>
      <c r="F69" s="1112"/>
      <c r="G69" s="1112"/>
      <c r="H69" s="1112"/>
      <c r="I69" s="1112"/>
      <c r="J69" s="1113"/>
      <c r="K69" s="128"/>
      <c r="L69" s="128"/>
      <c r="M69" s="128"/>
      <c r="N69" s="128"/>
      <c r="O69" s="128"/>
      <c r="P69" s="128"/>
      <c r="Q69" s="128"/>
      <c r="R69" s="128"/>
    </row>
    <row r="70" spans="1:18" s="128" customFormat="1" x14ac:dyDescent="0.25">
      <c r="A70" s="125"/>
      <c r="J70" s="1114"/>
    </row>
    <row r="71" spans="1:18" s="128" customFormat="1" x14ac:dyDescent="0.25">
      <c r="A71" s="125"/>
      <c r="J71" s="1114"/>
    </row>
    <row r="72" spans="1:18" s="128" customFormat="1" x14ac:dyDescent="0.25">
      <c r="A72" s="125"/>
      <c r="J72" s="1114"/>
    </row>
    <row r="73" spans="1:18" s="128" customFormat="1" x14ac:dyDescent="0.25">
      <c r="A73" s="125"/>
      <c r="J73" s="1114"/>
    </row>
    <row r="74" spans="1:18" s="128" customFormat="1" x14ac:dyDescent="0.25">
      <c r="A74" s="125"/>
      <c r="J74" s="1114"/>
    </row>
    <row r="75" spans="1:18" s="128" customFormat="1" x14ac:dyDescent="0.25">
      <c r="A75" s="125"/>
      <c r="J75" s="1114"/>
    </row>
    <row r="76" spans="1:18" s="128" customFormat="1" x14ac:dyDescent="0.25">
      <c r="A76" s="125"/>
      <c r="J76" s="1114"/>
    </row>
    <row r="77" spans="1:18" s="128" customFormat="1" x14ac:dyDescent="0.25">
      <c r="A77" s="125"/>
      <c r="J77" s="1114"/>
    </row>
    <row r="78" spans="1:18" s="128" customFormat="1" x14ac:dyDescent="0.25">
      <c r="A78" s="125"/>
      <c r="J78" s="1114"/>
    </row>
    <row r="79" spans="1:18" s="128" customFormat="1" x14ac:dyDescent="0.25">
      <c r="A79" s="125"/>
      <c r="J79" s="1114"/>
    </row>
    <row r="80" spans="1:18" s="128" customFormat="1" x14ac:dyDescent="0.25">
      <c r="A80" s="125"/>
      <c r="J80" s="1114"/>
    </row>
    <row r="81" spans="1:10" s="128" customFormat="1" x14ac:dyDescent="0.25">
      <c r="A81" s="125"/>
      <c r="J81" s="1114"/>
    </row>
    <row r="82" spans="1:10" s="128" customFormat="1" x14ac:dyDescent="0.25">
      <c r="A82" s="125"/>
      <c r="J82" s="1114"/>
    </row>
    <row r="83" spans="1:10" s="128" customFormat="1" x14ac:dyDescent="0.25">
      <c r="A83" s="125"/>
      <c r="J83" s="1114"/>
    </row>
    <row r="84" spans="1:10" s="128" customFormat="1" x14ac:dyDescent="0.25">
      <c r="A84" s="125"/>
      <c r="J84" s="1114"/>
    </row>
    <row r="85" spans="1:10" s="128" customFormat="1" x14ac:dyDescent="0.25">
      <c r="A85" s="125"/>
      <c r="J85" s="1114"/>
    </row>
    <row r="86" spans="1:10" s="128" customFormat="1" x14ac:dyDescent="0.25">
      <c r="A86" s="125"/>
      <c r="J86" s="1114"/>
    </row>
    <row r="87" spans="1:10" s="128" customFormat="1" x14ac:dyDescent="0.25">
      <c r="A87" s="125"/>
      <c r="J87" s="1114"/>
    </row>
    <row r="88" spans="1:10" s="128" customFormat="1" x14ac:dyDescent="0.25">
      <c r="A88" s="125"/>
      <c r="J88" s="1114"/>
    </row>
    <row r="89" spans="1:10" s="128" customFormat="1" x14ac:dyDescent="0.25">
      <c r="A89" s="125"/>
      <c r="J89" s="1114"/>
    </row>
    <row r="90" spans="1:10" s="128" customFormat="1" x14ac:dyDescent="0.25">
      <c r="A90" s="125"/>
      <c r="J90" s="1114"/>
    </row>
    <row r="91" spans="1:10" s="128" customFormat="1" x14ac:dyDescent="0.25">
      <c r="A91" s="125"/>
      <c r="J91" s="1114"/>
    </row>
    <row r="92" spans="1:10" s="128" customFormat="1" x14ac:dyDescent="0.25">
      <c r="A92" s="125"/>
      <c r="J92" s="1114"/>
    </row>
    <row r="93" spans="1:10" s="128" customFormat="1" x14ac:dyDescent="0.25">
      <c r="A93" s="125"/>
      <c r="J93" s="1114"/>
    </row>
    <row r="94" spans="1:10" s="128" customFormat="1" x14ac:dyDescent="0.25">
      <c r="A94" s="125"/>
      <c r="J94" s="1114"/>
    </row>
    <row r="95" spans="1:10" s="128" customFormat="1" x14ac:dyDescent="0.25">
      <c r="A95" s="125"/>
      <c r="J95" s="1114"/>
    </row>
    <row r="96" spans="1:10" s="128" customFormat="1" x14ac:dyDescent="0.25">
      <c r="A96" s="125"/>
      <c r="J96" s="1114"/>
    </row>
    <row r="97" spans="1:23" s="128" customFormat="1" x14ac:dyDescent="0.25">
      <c r="A97" s="125"/>
      <c r="J97" s="1114"/>
    </row>
    <row r="98" spans="1:23" s="128" customFormat="1" x14ac:dyDescent="0.25">
      <c r="A98" s="125"/>
      <c r="J98" s="1114"/>
    </row>
    <row r="99" spans="1:23" s="128" customFormat="1" x14ac:dyDescent="0.25">
      <c r="A99" s="125"/>
      <c r="J99" s="1114"/>
    </row>
    <row r="100" spans="1:23" s="128" customFormat="1" x14ac:dyDescent="0.25">
      <c r="A100" s="125"/>
      <c r="J100" s="1114"/>
    </row>
    <row r="101" spans="1:23" s="128" customFormat="1" x14ac:dyDescent="0.25">
      <c r="A101" s="125"/>
      <c r="J101" s="1114"/>
    </row>
    <row r="102" spans="1:23" s="128" customFormat="1" x14ac:dyDescent="0.25">
      <c r="A102" s="125"/>
      <c r="J102" s="1114"/>
    </row>
    <row r="103" spans="1:23" s="128" customFormat="1" x14ac:dyDescent="0.25">
      <c r="A103" s="125"/>
      <c r="J103" s="1114"/>
    </row>
    <row r="104" spans="1:23" s="128" customFormat="1" x14ac:dyDescent="0.25">
      <c r="A104" s="125"/>
      <c r="J104" s="1114"/>
    </row>
    <row r="105" spans="1:23" s="128" customFormat="1" x14ac:dyDescent="0.25">
      <c r="A105" s="125"/>
      <c r="J105" s="1114"/>
    </row>
    <row r="106" spans="1:23" s="1090" customFormat="1" x14ac:dyDescent="0.25">
      <c r="A106" s="131"/>
    </row>
    <row r="107" spans="1:23" hidden="1" x14ac:dyDescent="0.25">
      <c r="A107" s="125"/>
    </row>
    <row r="108" spans="1:23" hidden="1" x14ac:dyDescent="0.25">
      <c r="A108" s="125"/>
    </row>
    <row r="109" spans="1:23" hidden="1" x14ac:dyDescent="0.25"/>
    <row r="110" spans="1:23" s="1116" customFormat="1" hidden="1" x14ac:dyDescent="0.25">
      <c r="A110" s="317"/>
      <c r="B110" s="1115" t="s">
        <v>412</v>
      </c>
      <c r="C110" s="1115" t="s">
        <v>10</v>
      </c>
      <c r="D110" s="1115" t="s">
        <v>1443</v>
      </c>
      <c r="E110" s="1115" t="s">
        <v>2253</v>
      </c>
      <c r="F110" s="1115" t="s">
        <v>583</v>
      </c>
      <c r="G110" s="1115" t="s">
        <v>584</v>
      </c>
      <c r="H110" s="1115" t="s">
        <v>585</v>
      </c>
      <c r="I110" s="1115" t="s">
        <v>586</v>
      </c>
      <c r="J110" s="1115" t="s">
        <v>413</v>
      </c>
      <c r="K110" s="1115" t="s">
        <v>414</v>
      </c>
      <c r="L110" s="1115" t="s">
        <v>592</v>
      </c>
      <c r="M110" s="1115" t="s">
        <v>587</v>
      </c>
      <c r="N110" s="1115" t="s">
        <v>588</v>
      </c>
      <c r="O110" s="1115" t="s">
        <v>589</v>
      </c>
      <c r="P110" s="1115" t="s">
        <v>590</v>
      </c>
      <c r="Q110" s="1115" t="s">
        <v>591</v>
      </c>
      <c r="R110" s="1115" t="s">
        <v>593</v>
      </c>
      <c r="S110" s="1115" t="s">
        <v>594</v>
      </c>
      <c r="T110" s="1115" t="s">
        <v>595</v>
      </c>
      <c r="U110" s="1115" t="s">
        <v>596</v>
      </c>
      <c r="V110" s="1115" t="s">
        <v>597</v>
      </c>
      <c r="W110" s="1115" t="s">
        <v>598</v>
      </c>
    </row>
    <row r="111" spans="1:23" s="1116" customFormat="1" hidden="1" x14ac:dyDescent="0.25">
      <c r="A111" s="317"/>
      <c r="B111" s="1115"/>
      <c r="C111" s="1115"/>
      <c r="D111" s="1117" t="s">
        <v>1059</v>
      </c>
      <c r="E111" s="1094">
        <f>CPI!N20/CPI!N22</f>
        <v>0.98737480280294965</v>
      </c>
      <c r="F111" s="1115"/>
      <c r="G111" s="1115"/>
      <c r="H111" s="1115"/>
      <c r="I111" s="1115"/>
      <c r="J111" s="1115"/>
      <c r="K111" s="1115"/>
      <c r="L111" s="1115"/>
      <c r="M111" s="1115"/>
      <c r="N111" s="1115"/>
      <c r="O111" s="1115"/>
      <c r="P111" s="1115"/>
      <c r="Q111" s="1115"/>
      <c r="R111" s="1115"/>
      <c r="S111" s="1115"/>
      <c r="T111" s="1115"/>
      <c r="U111" s="1115"/>
      <c r="V111" s="1115"/>
      <c r="W111" s="1115"/>
    </row>
    <row r="112" spans="1:23" hidden="1" x14ac:dyDescent="0.25">
      <c r="B112" s="1118">
        <v>531000</v>
      </c>
      <c r="C112" s="1119" t="s">
        <v>416</v>
      </c>
      <c r="D112" s="1120">
        <f>J26</f>
        <v>0</v>
      </c>
      <c r="E112" s="1120">
        <f>D112*$E$111</f>
        <v>0</v>
      </c>
      <c r="F112" s="1121" t="e">
        <f t="shared" ref="F112:F123" si="3">$E112*INDEX(tier_emp_mult, MATCH($B112, tier_emp_code,0), MATCH(State, R_emp, 0))/1000000</f>
        <v>#N/A</v>
      </c>
      <c r="G112" s="1121" t="e">
        <f t="shared" ref="G112:G123" si="4">$E112*INDEX(typeI_emp_mult, MATCH($B112, typeI_emp_code,0), MATCH(State, R_emp, 0))/1000000</f>
        <v>#N/A</v>
      </c>
      <c r="H112" s="1121" t="e">
        <f t="shared" ref="H112:H123" si="5">$E112*INDEX(typeII_emp_mult, MATCH($B112, typeII_emp_code,0), MATCH(State, R_emp, 0))/1000000</f>
        <v>#N/A</v>
      </c>
      <c r="I112" s="1121" t="e">
        <f>F112</f>
        <v>#N/A</v>
      </c>
      <c r="J112" s="1121" t="e">
        <f>G112-F112</f>
        <v>#N/A</v>
      </c>
      <c r="K112" s="1121" t="e">
        <f>H112-G112</f>
        <v>#N/A</v>
      </c>
      <c r="L112" s="1122" t="e">
        <f t="shared" ref="L112:L123" si="6">$E112*INDEX(tier_earn_mult, MATCH($B112, tier_earn_code,0), MATCH(State, R_earn, 0))</f>
        <v>#N/A</v>
      </c>
      <c r="M112" s="1122" t="e">
        <f t="shared" ref="M112:M123" si="7">$E112*INDEX(typeI_earn_mult, MATCH($B112, typeI_earn_code,0), MATCH(State, R_earn, 0))</f>
        <v>#N/A</v>
      </c>
      <c r="N112" s="1122" t="e">
        <f t="shared" ref="N112:N123" si="8">$E112*INDEX(typeII_earn_mult, MATCH($B112, typeII_earn_code,0), MATCH(State, R_earn, 0))</f>
        <v>#N/A</v>
      </c>
      <c r="O112" s="1122" t="e">
        <f>L112</f>
        <v>#N/A</v>
      </c>
      <c r="P112" s="1122" t="e">
        <f>M112-L112</f>
        <v>#N/A</v>
      </c>
      <c r="Q112" s="1122" t="e">
        <f>N112-M112</f>
        <v>#N/A</v>
      </c>
      <c r="R112" s="1122" t="e">
        <f t="shared" ref="R112:R123" si="9">$E112*INDEX(tier_out_mult, MATCH($B112, tier_out_code,0), MATCH(State, R_out, 0))</f>
        <v>#N/A</v>
      </c>
      <c r="S112" s="1122" t="e">
        <f t="shared" ref="S112:S123" si="10">$E112*INDEX(typeI_out_mult, MATCH($B112, typeI_out_code,0), MATCH(State, R_out, 0))</f>
        <v>#N/A</v>
      </c>
      <c r="T112" s="1122" t="e">
        <f t="shared" ref="T112:T123" si="11">$E112*INDEX(typeII_out_mult, MATCH($B112, typeII_out_code,0), MATCH(State, R_out, 0))</f>
        <v>#N/A</v>
      </c>
      <c r="U112" s="1122" t="e">
        <f>R112</f>
        <v>#N/A</v>
      </c>
      <c r="V112" s="1122" t="e">
        <f>S112-R112</f>
        <v>#N/A</v>
      </c>
      <c r="W112" s="1122" t="e">
        <f>T112-S112</f>
        <v>#N/A</v>
      </c>
    </row>
    <row r="113" spans="2:23" hidden="1" x14ac:dyDescent="0.25">
      <c r="B113" s="1118">
        <v>230000</v>
      </c>
      <c r="C113" s="1119" t="s">
        <v>426</v>
      </c>
      <c r="D113" s="1120">
        <f>J30</f>
        <v>0</v>
      </c>
      <c r="E113" s="1120">
        <f>D113*$E$111</f>
        <v>0</v>
      </c>
      <c r="F113" s="1121" t="e">
        <f t="shared" si="3"/>
        <v>#N/A</v>
      </c>
      <c r="G113" s="1121" t="e">
        <f t="shared" si="4"/>
        <v>#N/A</v>
      </c>
      <c r="H113" s="1121" t="e">
        <f t="shared" si="5"/>
        <v>#N/A</v>
      </c>
      <c r="I113" s="1121" t="e">
        <f t="shared" ref="I113:I123" si="12">F113</f>
        <v>#N/A</v>
      </c>
      <c r="J113" s="1121" t="e">
        <f t="shared" ref="J113:J123" si="13">G113-F113</f>
        <v>#N/A</v>
      </c>
      <c r="K113" s="1121" t="e">
        <f t="shared" ref="K113:K123" si="14">H113-G113</f>
        <v>#N/A</v>
      </c>
      <c r="L113" s="1122" t="e">
        <f t="shared" si="6"/>
        <v>#N/A</v>
      </c>
      <c r="M113" s="1122" t="e">
        <f t="shared" si="7"/>
        <v>#N/A</v>
      </c>
      <c r="N113" s="1122" t="e">
        <f t="shared" si="8"/>
        <v>#N/A</v>
      </c>
      <c r="O113" s="1122" t="e">
        <f t="shared" ref="O113:O124" si="15">L113</f>
        <v>#N/A</v>
      </c>
      <c r="P113" s="1122" t="e">
        <f t="shared" ref="P113:P123" si="16">M113-L113</f>
        <v>#N/A</v>
      </c>
      <c r="Q113" s="1122" t="e">
        <f t="shared" ref="Q113:Q123" si="17">N113-M113</f>
        <v>#N/A</v>
      </c>
      <c r="R113" s="1122" t="e">
        <f t="shared" si="9"/>
        <v>#N/A</v>
      </c>
      <c r="S113" s="1122" t="e">
        <f t="shared" si="10"/>
        <v>#N/A</v>
      </c>
      <c r="T113" s="1122" t="e">
        <f t="shared" si="11"/>
        <v>#N/A</v>
      </c>
      <c r="U113" s="1122" t="e">
        <f t="shared" ref="U113:U124" si="18">R113</f>
        <v>#N/A</v>
      </c>
      <c r="V113" s="1122" t="e">
        <f t="shared" ref="V113:V124" si="19">S113-R113</f>
        <v>#N/A</v>
      </c>
      <c r="W113" s="1122" t="e">
        <f t="shared" ref="W113:W124" si="20">T113-S113</f>
        <v>#N/A</v>
      </c>
    </row>
    <row r="114" spans="2:23" hidden="1" x14ac:dyDescent="0.25">
      <c r="B114" s="1118">
        <v>333920</v>
      </c>
      <c r="C114" s="1119" t="s">
        <v>204</v>
      </c>
      <c r="D114" s="1120">
        <f>J37</f>
        <v>0</v>
      </c>
      <c r="E114" s="1120">
        <f>D114*$E$111</f>
        <v>0</v>
      </c>
      <c r="F114" s="1121" t="e">
        <f t="shared" si="3"/>
        <v>#N/A</v>
      </c>
      <c r="G114" s="1121" t="e">
        <f t="shared" si="4"/>
        <v>#N/A</v>
      </c>
      <c r="H114" s="1121" t="e">
        <f t="shared" si="5"/>
        <v>#N/A</v>
      </c>
      <c r="I114" s="1121" t="e">
        <f t="shared" si="12"/>
        <v>#N/A</v>
      </c>
      <c r="J114" s="1121" t="e">
        <f t="shared" si="13"/>
        <v>#N/A</v>
      </c>
      <c r="K114" s="1121" t="e">
        <f t="shared" si="14"/>
        <v>#N/A</v>
      </c>
      <c r="L114" s="1122" t="e">
        <f t="shared" si="6"/>
        <v>#N/A</v>
      </c>
      <c r="M114" s="1122" t="e">
        <f t="shared" si="7"/>
        <v>#N/A</v>
      </c>
      <c r="N114" s="1122" t="e">
        <f t="shared" si="8"/>
        <v>#N/A</v>
      </c>
      <c r="O114" s="1122" t="e">
        <f t="shared" si="15"/>
        <v>#N/A</v>
      </c>
      <c r="P114" s="1122" t="e">
        <f t="shared" si="16"/>
        <v>#N/A</v>
      </c>
      <c r="Q114" s="1122" t="e">
        <f t="shared" si="17"/>
        <v>#N/A</v>
      </c>
      <c r="R114" s="1122" t="e">
        <f t="shared" si="9"/>
        <v>#N/A</v>
      </c>
      <c r="S114" s="1122" t="e">
        <f t="shared" si="10"/>
        <v>#N/A</v>
      </c>
      <c r="T114" s="1122" t="e">
        <f t="shared" si="11"/>
        <v>#N/A</v>
      </c>
      <c r="U114" s="1122" t="e">
        <f t="shared" si="18"/>
        <v>#N/A</v>
      </c>
      <c r="V114" s="1122" t="e">
        <f t="shared" si="19"/>
        <v>#N/A</v>
      </c>
      <c r="W114" s="1122" t="e">
        <f t="shared" si="20"/>
        <v>#N/A</v>
      </c>
    </row>
    <row r="115" spans="2:23" hidden="1" x14ac:dyDescent="0.25">
      <c r="B115" s="1118" t="s">
        <v>730</v>
      </c>
      <c r="C115" s="1119" t="s">
        <v>184</v>
      </c>
      <c r="D115" s="1120">
        <f>J46*J47</f>
        <v>0</v>
      </c>
      <c r="E115" s="1120">
        <f t="shared" ref="E115:E124" si="21">D115*$E$111</f>
        <v>0</v>
      </c>
      <c r="F115" s="1121" t="e">
        <f t="shared" si="3"/>
        <v>#N/A</v>
      </c>
      <c r="G115" s="1121" t="e">
        <f t="shared" si="4"/>
        <v>#N/A</v>
      </c>
      <c r="H115" s="1121" t="e">
        <f t="shared" si="5"/>
        <v>#N/A</v>
      </c>
      <c r="I115" s="1121" t="e">
        <f t="shared" si="12"/>
        <v>#N/A</v>
      </c>
      <c r="J115" s="1121" t="e">
        <f t="shared" si="13"/>
        <v>#N/A</v>
      </c>
      <c r="K115" s="1121" t="e">
        <f t="shared" si="14"/>
        <v>#N/A</v>
      </c>
      <c r="L115" s="1122" t="e">
        <f t="shared" si="6"/>
        <v>#N/A</v>
      </c>
      <c r="M115" s="1122" t="e">
        <f t="shared" si="7"/>
        <v>#N/A</v>
      </c>
      <c r="N115" s="1122" t="e">
        <f t="shared" si="8"/>
        <v>#N/A</v>
      </c>
      <c r="O115" s="1122" t="e">
        <f t="shared" si="15"/>
        <v>#N/A</v>
      </c>
      <c r="P115" s="1122" t="e">
        <f t="shared" si="16"/>
        <v>#N/A</v>
      </c>
      <c r="Q115" s="1122" t="e">
        <f t="shared" si="17"/>
        <v>#N/A</v>
      </c>
      <c r="R115" s="1122" t="e">
        <f t="shared" si="9"/>
        <v>#N/A</v>
      </c>
      <c r="S115" s="1122" t="e">
        <f t="shared" si="10"/>
        <v>#N/A</v>
      </c>
      <c r="T115" s="1122" t="e">
        <f t="shared" si="11"/>
        <v>#N/A</v>
      </c>
      <c r="U115" s="1122" t="e">
        <f t="shared" si="18"/>
        <v>#N/A</v>
      </c>
      <c r="V115" s="1122" t="e">
        <f t="shared" si="19"/>
        <v>#N/A</v>
      </c>
      <c r="W115" s="1122" t="e">
        <f t="shared" si="20"/>
        <v>#N/A</v>
      </c>
    </row>
    <row r="116" spans="2:23" hidden="1" x14ac:dyDescent="0.25">
      <c r="B116" s="1118" t="s">
        <v>730</v>
      </c>
      <c r="C116" s="1119" t="s">
        <v>184</v>
      </c>
      <c r="D116" s="1120">
        <f>J48*J49</f>
        <v>0</v>
      </c>
      <c r="E116" s="1120">
        <f t="shared" si="21"/>
        <v>0</v>
      </c>
      <c r="F116" s="1121" t="e">
        <f t="shared" si="3"/>
        <v>#N/A</v>
      </c>
      <c r="G116" s="1121" t="e">
        <f t="shared" si="4"/>
        <v>#N/A</v>
      </c>
      <c r="H116" s="1121" t="e">
        <f t="shared" si="5"/>
        <v>#N/A</v>
      </c>
      <c r="I116" s="1121" t="e">
        <f t="shared" si="12"/>
        <v>#N/A</v>
      </c>
      <c r="J116" s="1121" t="e">
        <f t="shared" si="13"/>
        <v>#N/A</v>
      </c>
      <c r="K116" s="1121" t="e">
        <f t="shared" si="14"/>
        <v>#N/A</v>
      </c>
      <c r="L116" s="1122" t="e">
        <f t="shared" si="6"/>
        <v>#N/A</v>
      </c>
      <c r="M116" s="1122" t="e">
        <f t="shared" si="7"/>
        <v>#N/A</v>
      </c>
      <c r="N116" s="1122" t="e">
        <f t="shared" si="8"/>
        <v>#N/A</v>
      </c>
      <c r="O116" s="1122" t="e">
        <f t="shared" si="15"/>
        <v>#N/A</v>
      </c>
      <c r="P116" s="1122" t="e">
        <f t="shared" si="16"/>
        <v>#N/A</v>
      </c>
      <c r="Q116" s="1122" t="e">
        <f t="shared" si="17"/>
        <v>#N/A</v>
      </c>
      <c r="R116" s="1122" t="e">
        <f t="shared" si="9"/>
        <v>#N/A</v>
      </c>
      <c r="S116" s="1122" t="e">
        <f t="shared" si="10"/>
        <v>#N/A</v>
      </c>
      <c r="T116" s="1122" t="e">
        <f t="shared" si="11"/>
        <v>#N/A</v>
      </c>
      <c r="U116" s="1122" t="e">
        <f t="shared" si="18"/>
        <v>#N/A</v>
      </c>
      <c r="V116" s="1122" t="e">
        <f t="shared" si="19"/>
        <v>#N/A</v>
      </c>
      <c r="W116" s="1122" t="e">
        <f t="shared" si="20"/>
        <v>#N/A</v>
      </c>
    </row>
    <row r="117" spans="2:23" hidden="1" x14ac:dyDescent="0.25">
      <c r="B117" s="1118" t="s">
        <v>732</v>
      </c>
      <c r="C117" s="1119" t="s">
        <v>194</v>
      </c>
      <c r="D117" s="1120">
        <f>J50*J51</f>
        <v>0</v>
      </c>
      <c r="E117" s="1120">
        <f t="shared" si="21"/>
        <v>0</v>
      </c>
      <c r="F117" s="1121" t="e">
        <f t="shared" si="3"/>
        <v>#N/A</v>
      </c>
      <c r="G117" s="1121" t="e">
        <f t="shared" si="4"/>
        <v>#N/A</v>
      </c>
      <c r="H117" s="1121" t="e">
        <f t="shared" si="5"/>
        <v>#N/A</v>
      </c>
      <c r="I117" s="1121" t="e">
        <f t="shared" si="12"/>
        <v>#N/A</v>
      </c>
      <c r="J117" s="1121" t="e">
        <f t="shared" si="13"/>
        <v>#N/A</v>
      </c>
      <c r="K117" s="1121" t="e">
        <f t="shared" si="14"/>
        <v>#N/A</v>
      </c>
      <c r="L117" s="1122" t="e">
        <f t="shared" si="6"/>
        <v>#N/A</v>
      </c>
      <c r="M117" s="1122" t="e">
        <f t="shared" si="7"/>
        <v>#N/A</v>
      </c>
      <c r="N117" s="1122" t="e">
        <f t="shared" si="8"/>
        <v>#N/A</v>
      </c>
      <c r="O117" s="1122" t="e">
        <f t="shared" si="15"/>
        <v>#N/A</v>
      </c>
      <c r="P117" s="1122" t="e">
        <f t="shared" si="16"/>
        <v>#N/A</v>
      </c>
      <c r="Q117" s="1122" t="e">
        <f t="shared" si="17"/>
        <v>#N/A</v>
      </c>
      <c r="R117" s="1122" t="e">
        <f t="shared" si="9"/>
        <v>#N/A</v>
      </c>
      <c r="S117" s="1122" t="e">
        <f t="shared" si="10"/>
        <v>#N/A</v>
      </c>
      <c r="T117" s="1122" t="e">
        <f t="shared" si="11"/>
        <v>#N/A</v>
      </c>
      <c r="U117" s="1122" t="e">
        <f t="shared" si="18"/>
        <v>#N/A</v>
      </c>
      <c r="V117" s="1122" t="e">
        <f t="shared" si="19"/>
        <v>#N/A</v>
      </c>
      <c r="W117" s="1122" t="e">
        <f t="shared" si="20"/>
        <v>#N/A</v>
      </c>
    </row>
    <row r="118" spans="2:23" hidden="1" x14ac:dyDescent="0.25">
      <c r="B118" s="1118" t="s">
        <v>732</v>
      </c>
      <c r="C118" s="1119" t="s">
        <v>194</v>
      </c>
      <c r="D118" s="1120">
        <f>J52*J53</f>
        <v>0</v>
      </c>
      <c r="E118" s="1120">
        <f t="shared" si="21"/>
        <v>0</v>
      </c>
      <c r="F118" s="1121" t="e">
        <f t="shared" si="3"/>
        <v>#N/A</v>
      </c>
      <c r="G118" s="1121" t="e">
        <f t="shared" si="4"/>
        <v>#N/A</v>
      </c>
      <c r="H118" s="1121" t="e">
        <f t="shared" si="5"/>
        <v>#N/A</v>
      </c>
      <c r="I118" s="1121" t="e">
        <f t="shared" si="12"/>
        <v>#N/A</v>
      </c>
      <c r="J118" s="1121" t="e">
        <f t="shared" si="13"/>
        <v>#N/A</v>
      </c>
      <c r="K118" s="1121" t="e">
        <f t="shared" si="14"/>
        <v>#N/A</v>
      </c>
      <c r="L118" s="1122" t="e">
        <f t="shared" si="6"/>
        <v>#N/A</v>
      </c>
      <c r="M118" s="1122" t="e">
        <f t="shared" si="7"/>
        <v>#N/A</v>
      </c>
      <c r="N118" s="1122" t="e">
        <f t="shared" si="8"/>
        <v>#N/A</v>
      </c>
      <c r="O118" s="1122" t="e">
        <f t="shared" si="15"/>
        <v>#N/A</v>
      </c>
      <c r="P118" s="1122" t="e">
        <f t="shared" si="16"/>
        <v>#N/A</v>
      </c>
      <c r="Q118" s="1122" t="e">
        <f t="shared" si="17"/>
        <v>#N/A</v>
      </c>
      <c r="R118" s="1122" t="e">
        <f t="shared" si="9"/>
        <v>#N/A</v>
      </c>
      <c r="S118" s="1122" t="e">
        <f t="shared" si="10"/>
        <v>#N/A</v>
      </c>
      <c r="T118" s="1122" t="e">
        <f t="shared" si="11"/>
        <v>#N/A</v>
      </c>
      <c r="U118" s="1122" t="e">
        <f t="shared" si="18"/>
        <v>#N/A</v>
      </c>
      <c r="V118" s="1122" t="e">
        <f t="shared" si="19"/>
        <v>#N/A</v>
      </c>
      <c r="W118" s="1122" t="e">
        <f t="shared" si="20"/>
        <v>#N/A</v>
      </c>
    </row>
    <row r="119" spans="2:23" hidden="1" x14ac:dyDescent="0.25">
      <c r="B119" s="1118" t="s">
        <v>732</v>
      </c>
      <c r="C119" s="1119" t="s">
        <v>194</v>
      </c>
      <c r="D119" s="1120">
        <f>J58*J59</f>
        <v>0</v>
      </c>
      <c r="E119" s="1120">
        <f t="shared" si="21"/>
        <v>0</v>
      </c>
      <c r="F119" s="1121" t="e">
        <f t="shared" si="3"/>
        <v>#N/A</v>
      </c>
      <c r="G119" s="1121" t="e">
        <f t="shared" si="4"/>
        <v>#N/A</v>
      </c>
      <c r="H119" s="1121" t="e">
        <f t="shared" si="5"/>
        <v>#N/A</v>
      </c>
      <c r="I119" s="1121" t="e">
        <f t="shared" si="12"/>
        <v>#N/A</v>
      </c>
      <c r="J119" s="1121" t="e">
        <f t="shared" si="13"/>
        <v>#N/A</v>
      </c>
      <c r="K119" s="1121" t="e">
        <f t="shared" si="14"/>
        <v>#N/A</v>
      </c>
      <c r="L119" s="1122" t="e">
        <f t="shared" si="6"/>
        <v>#N/A</v>
      </c>
      <c r="M119" s="1122" t="e">
        <f t="shared" si="7"/>
        <v>#N/A</v>
      </c>
      <c r="N119" s="1122" t="e">
        <f t="shared" si="8"/>
        <v>#N/A</v>
      </c>
      <c r="O119" s="1122" t="e">
        <f t="shared" si="15"/>
        <v>#N/A</v>
      </c>
      <c r="P119" s="1122" t="e">
        <f t="shared" si="16"/>
        <v>#N/A</v>
      </c>
      <c r="Q119" s="1122" t="e">
        <f t="shared" si="17"/>
        <v>#N/A</v>
      </c>
      <c r="R119" s="1122" t="e">
        <f t="shared" si="9"/>
        <v>#N/A</v>
      </c>
      <c r="S119" s="1122" t="e">
        <f t="shared" si="10"/>
        <v>#N/A</v>
      </c>
      <c r="T119" s="1122" t="e">
        <f t="shared" si="11"/>
        <v>#N/A</v>
      </c>
      <c r="U119" s="1122" t="e">
        <f t="shared" si="18"/>
        <v>#N/A</v>
      </c>
      <c r="V119" s="1122" t="e">
        <f t="shared" si="19"/>
        <v>#N/A</v>
      </c>
      <c r="W119" s="1122" t="e">
        <f t="shared" si="20"/>
        <v>#N/A</v>
      </c>
    </row>
    <row r="120" spans="2:23" hidden="1" x14ac:dyDescent="0.25">
      <c r="B120" s="1118" t="s">
        <v>732</v>
      </c>
      <c r="C120" s="1119" t="s">
        <v>194</v>
      </c>
      <c r="D120" s="1120">
        <f>J60*J61</f>
        <v>0</v>
      </c>
      <c r="E120" s="1120">
        <f t="shared" si="21"/>
        <v>0</v>
      </c>
      <c r="F120" s="1121" t="e">
        <f t="shared" si="3"/>
        <v>#N/A</v>
      </c>
      <c r="G120" s="1121" t="e">
        <f t="shared" si="4"/>
        <v>#N/A</v>
      </c>
      <c r="H120" s="1121" t="e">
        <f t="shared" si="5"/>
        <v>#N/A</v>
      </c>
      <c r="I120" s="1121" t="e">
        <f t="shared" si="12"/>
        <v>#N/A</v>
      </c>
      <c r="J120" s="1121" t="e">
        <f t="shared" si="13"/>
        <v>#N/A</v>
      </c>
      <c r="K120" s="1121" t="e">
        <f t="shared" si="14"/>
        <v>#N/A</v>
      </c>
      <c r="L120" s="1122" t="e">
        <f t="shared" si="6"/>
        <v>#N/A</v>
      </c>
      <c r="M120" s="1122" t="e">
        <f t="shared" si="7"/>
        <v>#N/A</v>
      </c>
      <c r="N120" s="1122" t="e">
        <f t="shared" si="8"/>
        <v>#N/A</v>
      </c>
      <c r="O120" s="1122" t="e">
        <f t="shared" si="15"/>
        <v>#N/A</v>
      </c>
      <c r="P120" s="1122" t="e">
        <f t="shared" si="16"/>
        <v>#N/A</v>
      </c>
      <c r="Q120" s="1122" t="e">
        <f t="shared" si="17"/>
        <v>#N/A</v>
      </c>
      <c r="R120" s="1122" t="e">
        <f t="shared" si="9"/>
        <v>#N/A</v>
      </c>
      <c r="S120" s="1122" t="e">
        <f t="shared" si="10"/>
        <v>#N/A</v>
      </c>
      <c r="T120" s="1122" t="e">
        <f t="shared" si="11"/>
        <v>#N/A</v>
      </c>
      <c r="U120" s="1122" t="e">
        <f t="shared" si="18"/>
        <v>#N/A</v>
      </c>
      <c r="V120" s="1122" t="e">
        <f t="shared" si="19"/>
        <v>#N/A</v>
      </c>
      <c r="W120" s="1122" t="e">
        <f t="shared" si="20"/>
        <v>#N/A</v>
      </c>
    </row>
    <row r="121" spans="2:23" hidden="1" x14ac:dyDescent="0.25">
      <c r="B121" s="1118" t="s">
        <v>732</v>
      </c>
      <c r="C121" s="1119" t="s">
        <v>194</v>
      </c>
      <c r="D121" s="1120">
        <f>J62*J63</f>
        <v>0</v>
      </c>
      <c r="E121" s="1120">
        <f t="shared" si="21"/>
        <v>0</v>
      </c>
      <c r="F121" s="1121" t="e">
        <f t="shared" si="3"/>
        <v>#N/A</v>
      </c>
      <c r="G121" s="1121" t="e">
        <f t="shared" si="4"/>
        <v>#N/A</v>
      </c>
      <c r="H121" s="1121" t="e">
        <f t="shared" si="5"/>
        <v>#N/A</v>
      </c>
      <c r="I121" s="1121" t="e">
        <f t="shared" si="12"/>
        <v>#N/A</v>
      </c>
      <c r="J121" s="1121" t="e">
        <f t="shared" si="13"/>
        <v>#N/A</v>
      </c>
      <c r="K121" s="1121" t="e">
        <f t="shared" si="14"/>
        <v>#N/A</v>
      </c>
      <c r="L121" s="1122" t="e">
        <f t="shared" si="6"/>
        <v>#N/A</v>
      </c>
      <c r="M121" s="1122" t="e">
        <f t="shared" si="7"/>
        <v>#N/A</v>
      </c>
      <c r="N121" s="1122" t="e">
        <f t="shared" si="8"/>
        <v>#N/A</v>
      </c>
      <c r="O121" s="1122" t="e">
        <f t="shared" si="15"/>
        <v>#N/A</v>
      </c>
      <c r="P121" s="1122" t="e">
        <f t="shared" si="16"/>
        <v>#N/A</v>
      </c>
      <c r="Q121" s="1122" t="e">
        <f t="shared" si="17"/>
        <v>#N/A</v>
      </c>
      <c r="R121" s="1122" t="e">
        <f t="shared" si="9"/>
        <v>#N/A</v>
      </c>
      <c r="S121" s="1122" t="e">
        <f t="shared" si="10"/>
        <v>#N/A</v>
      </c>
      <c r="T121" s="1122" t="e">
        <f t="shared" si="11"/>
        <v>#N/A</v>
      </c>
      <c r="U121" s="1122" t="e">
        <f t="shared" si="18"/>
        <v>#N/A</v>
      </c>
      <c r="V121" s="1122" t="e">
        <f t="shared" si="19"/>
        <v>#N/A</v>
      </c>
      <c r="W121" s="1122" t="e">
        <f t="shared" si="20"/>
        <v>#N/A</v>
      </c>
    </row>
    <row r="122" spans="2:23" hidden="1" x14ac:dyDescent="0.25">
      <c r="B122" s="1118" t="s">
        <v>733</v>
      </c>
      <c r="C122" s="1119" t="s">
        <v>197</v>
      </c>
      <c r="D122" s="1120">
        <f>J64*J65</f>
        <v>0</v>
      </c>
      <c r="E122" s="1120">
        <f t="shared" si="21"/>
        <v>0</v>
      </c>
      <c r="F122" s="1121" t="e">
        <f t="shared" si="3"/>
        <v>#N/A</v>
      </c>
      <c r="G122" s="1121" t="e">
        <f t="shared" si="4"/>
        <v>#N/A</v>
      </c>
      <c r="H122" s="1121" t="e">
        <f t="shared" si="5"/>
        <v>#N/A</v>
      </c>
      <c r="I122" s="1121" t="e">
        <f t="shared" si="12"/>
        <v>#N/A</v>
      </c>
      <c r="J122" s="1121" t="e">
        <f t="shared" si="13"/>
        <v>#N/A</v>
      </c>
      <c r="K122" s="1121" t="e">
        <f t="shared" si="14"/>
        <v>#N/A</v>
      </c>
      <c r="L122" s="1122" t="e">
        <f t="shared" si="6"/>
        <v>#N/A</v>
      </c>
      <c r="M122" s="1122" t="e">
        <f t="shared" si="7"/>
        <v>#N/A</v>
      </c>
      <c r="N122" s="1122" t="e">
        <f t="shared" si="8"/>
        <v>#N/A</v>
      </c>
      <c r="O122" s="1122" t="e">
        <f t="shared" si="15"/>
        <v>#N/A</v>
      </c>
      <c r="P122" s="1122" t="e">
        <f t="shared" si="16"/>
        <v>#N/A</v>
      </c>
      <c r="Q122" s="1122" t="e">
        <f t="shared" si="17"/>
        <v>#N/A</v>
      </c>
      <c r="R122" s="1122" t="e">
        <f t="shared" si="9"/>
        <v>#N/A</v>
      </c>
      <c r="S122" s="1122" t="e">
        <f t="shared" si="10"/>
        <v>#N/A</v>
      </c>
      <c r="T122" s="1122" t="e">
        <f t="shared" si="11"/>
        <v>#N/A</v>
      </c>
      <c r="U122" s="1122" t="e">
        <f t="shared" si="18"/>
        <v>#N/A</v>
      </c>
      <c r="V122" s="1122" t="e">
        <f t="shared" si="19"/>
        <v>#N/A</v>
      </c>
      <c r="W122" s="1122" t="e">
        <f t="shared" si="20"/>
        <v>#N/A</v>
      </c>
    </row>
    <row r="123" spans="2:23" hidden="1" x14ac:dyDescent="0.25">
      <c r="B123" s="1118" t="s">
        <v>733</v>
      </c>
      <c r="C123" s="1123" t="s">
        <v>197</v>
      </c>
      <c r="D123" s="1120">
        <f>J66*J67</f>
        <v>0</v>
      </c>
      <c r="E123" s="1120">
        <f t="shared" si="21"/>
        <v>0</v>
      </c>
      <c r="F123" s="1121" t="e">
        <f t="shared" si="3"/>
        <v>#N/A</v>
      </c>
      <c r="G123" s="1121" t="e">
        <f t="shared" si="4"/>
        <v>#N/A</v>
      </c>
      <c r="H123" s="1121" t="e">
        <f t="shared" si="5"/>
        <v>#N/A</v>
      </c>
      <c r="I123" s="1121" t="e">
        <f t="shared" si="12"/>
        <v>#N/A</v>
      </c>
      <c r="J123" s="1121" t="e">
        <f t="shared" si="13"/>
        <v>#N/A</v>
      </c>
      <c r="K123" s="1121" t="e">
        <f t="shared" si="14"/>
        <v>#N/A</v>
      </c>
      <c r="L123" s="1122" t="e">
        <f t="shared" si="6"/>
        <v>#N/A</v>
      </c>
      <c r="M123" s="1122" t="e">
        <f t="shared" si="7"/>
        <v>#N/A</v>
      </c>
      <c r="N123" s="1122" t="e">
        <f t="shared" si="8"/>
        <v>#N/A</v>
      </c>
      <c r="O123" s="1122" t="e">
        <f t="shared" si="15"/>
        <v>#N/A</v>
      </c>
      <c r="P123" s="1122" t="e">
        <f t="shared" si="16"/>
        <v>#N/A</v>
      </c>
      <c r="Q123" s="1122" t="e">
        <f t="shared" si="17"/>
        <v>#N/A</v>
      </c>
      <c r="R123" s="1122" t="e">
        <f t="shared" si="9"/>
        <v>#N/A</v>
      </c>
      <c r="S123" s="1122" t="e">
        <f t="shared" si="10"/>
        <v>#N/A</v>
      </c>
      <c r="T123" s="1122" t="e">
        <f t="shared" si="11"/>
        <v>#N/A</v>
      </c>
      <c r="U123" s="1122" t="e">
        <f t="shared" si="18"/>
        <v>#N/A</v>
      </c>
      <c r="V123" s="1122" t="e">
        <f t="shared" si="19"/>
        <v>#N/A</v>
      </c>
      <c r="W123" s="1122" t="e">
        <f t="shared" si="20"/>
        <v>#N/A</v>
      </c>
    </row>
    <row r="124" spans="2:23" hidden="1" x14ac:dyDescent="0.25">
      <c r="B124" s="1119"/>
      <c r="C124" s="1124"/>
      <c r="D124" s="1125">
        <f>SUM(D112:D123)</f>
        <v>0</v>
      </c>
      <c r="E124" s="1120">
        <f t="shared" si="21"/>
        <v>0</v>
      </c>
      <c r="F124" s="1121" t="e">
        <f>SUM(F112:F123)</f>
        <v>#N/A</v>
      </c>
      <c r="G124" s="1121" t="e">
        <f t="shared" ref="G124:H124" si="22">SUM(G112:G123)</f>
        <v>#N/A</v>
      </c>
      <c r="H124" s="1121" t="e">
        <f t="shared" si="22"/>
        <v>#N/A</v>
      </c>
      <c r="I124" s="1121" t="e">
        <f t="shared" ref="I124" si="23">F124</f>
        <v>#N/A</v>
      </c>
      <c r="J124" s="1121" t="e">
        <f t="shared" ref="J124" si="24">G124-F124</f>
        <v>#N/A</v>
      </c>
      <c r="K124" s="1121" t="e">
        <f t="shared" ref="K124" si="25">H124-G124</f>
        <v>#N/A</v>
      </c>
      <c r="L124" s="1122" t="e">
        <f>SUM(L112:L123)</f>
        <v>#N/A</v>
      </c>
      <c r="M124" s="1122" t="e">
        <f t="shared" ref="M124:N124" si="26">SUM(M112:M123)</f>
        <v>#N/A</v>
      </c>
      <c r="N124" s="1122" t="e">
        <f t="shared" si="26"/>
        <v>#N/A</v>
      </c>
      <c r="O124" s="1122" t="e">
        <f t="shared" si="15"/>
        <v>#N/A</v>
      </c>
      <c r="P124" s="1122" t="e">
        <f t="shared" ref="P124" si="27">M124-L124</f>
        <v>#N/A</v>
      </c>
      <c r="Q124" s="1122" t="e">
        <f t="shared" ref="Q124" si="28">N124-M124</f>
        <v>#N/A</v>
      </c>
      <c r="R124" s="1122" t="e">
        <f>SUM(R112:R123)</f>
        <v>#N/A</v>
      </c>
      <c r="S124" s="1122" t="e">
        <f t="shared" ref="S124" si="29">SUM(S112:S123)</f>
        <v>#N/A</v>
      </c>
      <c r="T124" s="1122" t="e">
        <f t="shared" ref="T124" si="30">SUM(T112:T123)</f>
        <v>#N/A</v>
      </c>
      <c r="U124" s="1122" t="e">
        <f t="shared" si="18"/>
        <v>#N/A</v>
      </c>
      <c r="V124" s="1122" t="e">
        <f t="shared" si="19"/>
        <v>#N/A</v>
      </c>
      <c r="W124" s="1122" t="e">
        <f t="shared" si="20"/>
        <v>#N/A</v>
      </c>
    </row>
    <row r="125" spans="2:23" hidden="1" x14ac:dyDescent="0.25">
      <c r="B125" s="1119"/>
      <c r="C125" s="1120"/>
      <c r="D125" s="1120"/>
      <c r="E125" s="1120"/>
      <c r="F125" s="1121"/>
      <c r="G125" s="1121"/>
      <c r="H125" s="1121"/>
      <c r="I125" s="1121"/>
      <c r="J125" s="1121"/>
      <c r="K125" s="1121"/>
      <c r="L125" s="1122"/>
      <c r="M125" s="1122"/>
      <c r="N125" s="1122"/>
      <c r="O125" s="1122"/>
      <c r="P125" s="1122"/>
      <c r="Q125" s="1122"/>
      <c r="R125" s="1122"/>
      <c r="S125" s="1122"/>
      <c r="T125" s="1122"/>
      <c r="U125" s="1122"/>
      <c r="V125" s="1122"/>
      <c r="W125" s="1122"/>
    </row>
    <row r="126" spans="2:23" hidden="1" x14ac:dyDescent="0.25">
      <c r="B126" s="1119"/>
      <c r="C126" s="1124"/>
      <c r="D126" s="1120"/>
      <c r="E126" s="1120"/>
      <c r="F126" s="1121"/>
      <c r="G126" s="1121"/>
      <c r="H126" s="1121"/>
      <c r="I126" s="1121"/>
      <c r="J126" s="1121"/>
      <c r="K126" s="1121"/>
      <c r="L126" s="1122"/>
      <c r="M126" s="1122"/>
      <c r="N126" s="1122"/>
      <c r="O126" s="1122"/>
      <c r="P126" s="1122"/>
      <c r="Q126" s="1122"/>
      <c r="R126" s="1122"/>
      <c r="S126" s="1122"/>
      <c r="T126" s="1122"/>
      <c r="U126" s="1122"/>
      <c r="V126" s="1122"/>
      <c r="W126" s="1122"/>
    </row>
    <row r="127" spans="2:23" hidden="1" x14ac:dyDescent="0.25">
      <c r="B127" s="1119"/>
      <c r="C127" s="1124"/>
      <c r="D127" s="1120"/>
      <c r="E127" s="1120"/>
      <c r="F127" s="1126"/>
      <c r="G127" s="1126"/>
      <c r="H127" s="1126"/>
      <c r="I127" s="1127" t="str">
        <f>I110</f>
        <v>Direct employment</v>
      </c>
      <c r="J127" s="1127" t="str">
        <f>J110</f>
        <v>Indirect Employment</v>
      </c>
      <c r="K127" s="1127" t="str">
        <f>K110</f>
        <v>Induced Employment</v>
      </c>
      <c r="L127" s="1128" t="s">
        <v>1442</v>
      </c>
      <c r="M127" s="1128" t="s">
        <v>448</v>
      </c>
      <c r="N127" s="1122"/>
      <c r="O127" s="1127" t="str">
        <f>O110</f>
        <v>Direct earnings</v>
      </c>
      <c r="P127" s="1127" t="str">
        <f>P110</f>
        <v>Indirect earnings</v>
      </c>
      <c r="Q127" s="1127" t="str">
        <f>Q110</f>
        <v>Induced earnings</v>
      </c>
      <c r="R127" s="1122"/>
      <c r="S127" s="1122"/>
      <c r="T127" s="1122"/>
      <c r="U127" s="1127" t="str">
        <f>U110</f>
        <v>Direct output</v>
      </c>
      <c r="V127" s="1127" t="str">
        <f>V110</f>
        <v>Indirect output</v>
      </c>
      <c r="W127" s="1127" t="str">
        <f>W110</f>
        <v>Induced output</v>
      </c>
    </row>
    <row r="128" spans="2:23" hidden="1" x14ac:dyDescent="0.25">
      <c r="B128" s="1119"/>
      <c r="C128" s="1124"/>
      <c r="D128" s="1120"/>
      <c r="E128" s="1120"/>
      <c r="F128" s="1126"/>
      <c r="G128" s="1126"/>
      <c r="H128" s="1126" t="s">
        <v>416</v>
      </c>
      <c r="I128" s="1129" t="e">
        <f>I112</f>
        <v>#N/A</v>
      </c>
      <c r="J128" s="1129" t="e">
        <f t="shared" ref="J128:K129" si="31">J112</f>
        <v>#N/A</v>
      </c>
      <c r="K128" s="1129" t="e">
        <f t="shared" si="31"/>
        <v>#N/A</v>
      </c>
      <c r="L128" s="1130" t="e">
        <f>I128+J128</f>
        <v>#N/A</v>
      </c>
      <c r="M128" s="1130" t="e">
        <f>SUM(I128:K128)</f>
        <v>#N/A</v>
      </c>
      <c r="N128" s="1122"/>
      <c r="O128" s="1122" t="e">
        <f>O112</f>
        <v>#N/A</v>
      </c>
      <c r="P128" s="1122" t="e">
        <f t="shared" ref="P128:Q128" si="32">P112</f>
        <v>#N/A</v>
      </c>
      <c r="Q128" s="1122" t="e">
        <f t="shared" si="32"/>
        <v>#N/A</v>
      </c>
      <c r="R128" s="1122"/>
      <c r="S128" s="1122"/>
      <c r="T128" s="1122"/>
      <c r="U128" s="1122" t="e">
        <f>U112</f>
        <v>#N/A</v>
      </c>
      <c r="V128" s="1122" t="e">
        <f t="shared" ref="V128:W128" si="33">V112</f>
        <v>#N/A</v>
      </c>
      <c r="W128" s="1122" t="e">
        <f t="shared" si="33"/>
        <v>#N/A</v>
      </c>
    </row>
    <row r="129" spans="2:23" hidden="1" x14ac:dyDescent="0.25">
      <c r="B129" s="1119"/>
      <c r="C129" s="1124"/>
      <c r="D129" s="1120"/>
      <c r="E129" s="1120"/>
      <c r="F129" s="1126"/>
      <c r="G129" s="1126"/>
      <c r="H129" s="1126" t="s">
        <v>426</v>
      </c>
      <c r="I129" s="1129" t="e">
        <f>I113</f>
        <v>#N/A</v>
      </c>
      <c r="J129" s="1129" t="e">
        <f t="shared" si="31"/>
        <v>#N/A</v>
      </c>
      <c r="K129" s="1129" t="e">
        <f t="shared" si="31"/>
        <v>#N/A</v>
      </c>
      <c r="L129" s="1130" t="e">
        <f>I129+J129</f>
        <v>#N/A</v>
      </c>
      <c r="M129" s="1130" t="e">
        <f>SUM(I129:K129)</f>
        <v>#N/A</v>
      </c>
      <c r="N129" s="1122"/>
      <c r="O129" s="1122" t="e">
        <f>O113</f>
        <v>#N/A</v>
      </c>
      <c r="P129" s="1122" t="e">
        <f t="shared" ref="P129:Q129" si="34">P113</f>
        <v>#N/A</v>
      </c>
      <c r="Q129" s="1122" t="e">
        <f t="shared" si="34"/>
        <v>#N/A</v>
      </c>
      <c r="R129" s="1122"/>
      <c r="S129" s="1122"/>
      <c r="T129" s="1122"/>
      <c r="U129" s="1122" t="e">
        <f>U113</f>
        <v>#N/A</v>
      </c>
      <c r="V129" s="1122" t="e">
        <f t="shared" ref="V129:W129" si="35">V113</f>
        <v>#N/A</v>
      </c>
      <c r="W129" s="1122" t="e">
        <f t="shared" si="35"/>
        <v>#N/A</v>
      </c>
    </row>
    <row r="130" spans="2:23" hidden="1" x14ac:dyDescent="0.25">
      <c r="H130" s="1126" t="s">
        <v>1578</v>
      </c>
      <c r="I130" s="1131" t="e">
        <f>SUM(I114:I123)</f>
        <v>#N/A</v>
      </c>
      <c r="J130" s="1132" t="e">
        <f t="shared" ref="J130:K130" si="36">SUM(J114:J123)</f>
        <v>#N/A</v>
      </c>
      <c r="K130" s="1132" t="e">
        <f t="shared" si="36"/>
        <v>#N/A</v>
      </c>
      <c r="L130" s="1130" t="e">
        <f t="shared" ref="L130" si="37">I130+J130</f>
        <v>#N/A</v>
      </c>
      <c r="M130" s="1130" t="e">
        <f>SUM(I130:K130)</f>
        <v>#N/A</v>
      </c>
      <c r="N130" s="1122"/>
      <c r="O130" s="1122" t="e">
        <f>SUM(O114:O123)</f>
        <v>#N/A</v>
      </c>
      <c r="P130" s="1122" t="e">
        <f t="shared" ref="P130:Q130" si="38">SUM(P114:P123)</f>
        <v>#N/A</v>
      </c>
      <c r="Q130" s="1122" t="e">
        <f t="shared" si="38"/>
        <v>#N/A</v>
      </c>
      <c r="R130" s="1122"/>
      <c r="S130" s="1122"/>
      <c r="T130" s="1122"/>
      <c r="U130" s="1122" t="e">
        <f>SUM(U114:U123)</f>
        <v>#N/A</v>
      </c>
      <c r="V130" s="1122" t="e">
        <f t="shared" ref="V130:W130" si="39">SUM(V114:V123)</f>
        <v>#N/A</v>
      </c>
      <c r="W130" s="1122" t="e">
        <f t="shared" si="39"/>
        <v>#N/A</v>
      </c>
    </row>
    <row r="131" spans="2:23" hidden="1" x14ac:dyDescent="0.25">
      <c r="H131" s="1126"/>
      <c r="I131" s="1132"/>
      <c r="J131" s="1132"/>
      <c r="K131" s="1132"/>
      <c r="L131" s="1130"/>
      <c r="M131" s="1130"/>
      <c r="N131" s="1122"/>
      <c r="O131" s="1122"/>
      <c r="P131" s="1122"/>
      <c r="Q131" s="1122"/>
      <c r="R131" s="1122"/>
      <c r="S131" s="1122"/>
      <c r="T131" s="1122"/>
      <c r="U131" s="1122"/>
      <c r="V131" s="1122"/>
      <c r="W131" s="1122"/>
    </row>
    <row r="132" spans="2:23" hidden="1" x14ac:dyDescent="0.25">
      <c r="H132" s="1126"/>
      <c r="I132" s="1132"/>
      <c r="J132" s="1132"/>
      <c r="K132" s="1132"/>
      <c r="L132" s="1130"/>
      <c r="M132" s="1130"/>
      <c r="N132" s="1122"/>
      <c r="O132" s="1122"/>
      <c r="P132" s="1122"/>
      <c r="Q132" s="1122"/>
      <c r="R132" s="1122"/>
      <c r="S132" s="1122"/>
      <c r="T132" s="1122"/>
      <c r="U132" s="1122"/>
      <c r="V132" s="1122"/>
      <c r="W132" s="1122"/>
    </row>
    <row r="133" spans="2:23" hidden="1" x14ac:dyDescent="0.25"/>
    <row r="134" spans="2:23" hidden="1" x14ac:dyDescent="0.25"/>
    <row r="135" spans="2:23" hidden="1" x14ac:dyDescent="0.25"/>
    <row r="136" spans="2:23" hidden="1" x14ac:dyDescent="0.25"/>
    <row r="137" spans="2:23" hidden="1" x14ac:dyDescent="0.25">
      <c r="C137" s="1094" t="str">
        <f>TEXT(ROUND('Capital Cost'!B54, 0), "0,000")&amp;" FC units per "&amp;'Capital Cost'!A54</f>
        <v>50,000 FC units per MEA mfg (hot press)</v>
      </c>
    </row>
    <row r="138" spans="2:23" hidden="1" x14ac:dyDescent="0.25"/>
    <row r="139" spans="2:23" hidden="1" x14ac:dyDescent="0.25"/>
    <row r="140" spans="2:23" hidden="1" x14ac:dyDescent="0.25"/>
    <row r="141" spans="2:23" hidden="1" x14ac:dyDescent="0.25"/>
  </sheetData>
  <sheetProtection password="C411" sheet="1" objects="1" scenarios="1" selectLockedCells="1"/>
  <mergeCells count="42">
    <mergeCell ref="G58:I67"/>
    <mergeCell ref="G46:I53"/>
    <mergeCell ref="B57:D57"/>
    <mergeCell ref="B35:J35"/>
    <mergeCell ref="B36:D36"/>
    <mergeCell ref="B44:J44"/>
    <mergeCell ref="B45:D45"/>
    <mergeCell ref="B56:J56"/>
    <mergeCell ref="G57:I57"/>
    <mergeCell ref="G37:I38"/>
    <mergeCell ref="B1:J1"/>
    <mergeCell ref="G29:I29"/>
    <mergeCell ref="G36:I36"/>
    <mergeCell ref="G45:I45"/>
    <mergeCell ref="B24:D24"/>
    <mergeCell ref="B23:J23"/>
    <mergeCell ref="B28:J28"/>
    <mergeCell ref="B29:D29"/>
    <mergeCell ref="G24:I24"/>
    <mergeCell ref="G25:I26"/>
    <mergeCell ref="B3:J3"/>
    <mergeCell ref="B19:J19"/>
    <mergeCell ref="B8:J8"/>
    <mergeCell ref="B12:J12"/>
    <mergeCell ref="B16:D16"/>
    <mergeCell ref="G30:I31"/>
    <mergeCell ref="F16:I16"/>
    <mergeCell ref="E6:F6"/>
    <mergeCell ref="F15:I15"/>
    <mergeCell ref="B21:J21"/>
    <mergeCell ref="S2:Y2"/>
    <mergeCell ref="B14:D14"/>
    <mergeCell ref="B6:D6"/>
    <mergeCell ref="E10:F10"/>
    <mergeCell ref="B10:D10"/>
    <mergeCell ref="B9:J9"/>
    <mergeCell ref="B13:J13"/>
    <mergeCell ref="B5:J5"/>
    <mergeCell ref="F14:I14"/>
    <mergeCell ref="F17:I17"/>
    <mergeCell ref="B15:D15"/>
    <mergeCell ref="B17:D17"/>
  </mergeCells>
  <conditionalFormatting sqref="B6">
    <cfRule type="expression" dxfId="11" priority="553" stopIfTrue="1">
      <formula>#REF!=Please</formula>
    </cfRule>
  </conditionalFormatting>
  <conditionalFormatting sqref="B10:D10 B6">
    <cfRule type="expression" dxfId="10" priority="13">
      <formula>E6=Please</formula>
    </cfRule>
  </conditionalFormatting>
  <conditionalFormatting sqref="B24:D24">
    <cfRule type="expression" dxfId="9" priority="8">
      <formula>OR(E25:E26="")</formula>
    </cfRule>
  </conditionalFormatting>
  <conditionalFormatting sqref="B29:D29">
    <cfRule type="expression" dxfId="8" priority="597">
      <formula>AND(E30="",OR(E33:E33=""))</formula>
    </cfRule>
  </conditionalFormatting>
  <conditionalFormatting sqref="B45:D45">
    <cfRule type="expression" dxfId="7" priority="5">
      <formula>OR(E46:E53="")</formula>
    </cfRule>
  </conditionalFormatting>
  <conditionalFormatting sqref="B57:D57">
    <cfRule type="expression" dxfId="6" priority="4">
      <formula>OR(E58:E67="")</formula>
    </cfRule>
  </conditionalFormatting>
  <conditionalFormatting sqref="J25:J26 J30:J33 J46:J53 J58:J67 J37:J42">
    <cfRule type="expression" dxfId="5" priority="3">
      <formula>J25&lt;&gt;F25</formula>
    </cfRule>
  </conditionalFormatting>
  <conditionalFormatting sqref="B36:D36">
    <cfRule type="expression" dxfId="4" priority="605">
      <formula>AND(E37="", OR(E39:E41=""))</formula>
    </cfRule>
  </conditionalFormatting>
  <conditionalFormatting sqref="B14">
    <cfRule type="expression" dxfId="3" priority="751" stopIfTrue="1">
      <formula>E15=""</formula>
    </cfRule>
  </conditionalFormatting>
  <conditionalFormatting sqref="B16">
    <cfRule type="expression" dxfId="2" priority="752" stopIfTrue="1">
      <formula>E17=""</formula>
    </cfRule>
  </conditionalFormatting>
  <conditionalFormatting sqref="J17">
    <cfRule type="expression" dxfId="1" priority="560">
      <formula>AND(E17&lt;&gt;"",J17=0)</formula>
    </cfRule>
  </conditionalFormatting>
  <dataValidations count="5">
    <dataValidation type="list" allowBlank="1" showInputMessage="1" showErrorMessage="1" sqref="E6">
      <formula1>Regions</formula1>
    </dataValidation>
    <dataValidation type="list" allowBlank="1" showInputMessage="1" showErrorMessage="1" sqref="E10">
      <formula1>IF(E6=Please, Please,Facility)</formula1>
    </dataValidation>
    <dataValidation type="whole" operator="greaterThanOrEqual" allowBlank="1" showInputMessage="1" showErrorMessage="1" errorTitle="Please enter a different value" error="Please enter a whole number greater than or equal to 0." sqref="E25:E26 E58:E67 E46:E53 E39:E42 E37 E32:E33 E30 B3">
      <formula1>0</formula1>
    </dataValidation>
    <dataValidation type="whole" allowBlank="1" showInputMessage="1" showErrorMessage="1" errorTitle="Please enter a different value" error="Please enter a whole number greater than or equal to 0 and less than or equal to the value specified in Step 3a." sqref="E17">
      <formula1>0</formula1>
      <formula2>J15</formula2>
    </dataValidation>
    <dataValidation type="whole" operator="greaterThanOrEqual" allowBlank="1" showInputMessage="1" showErrorMessage="1" errorTitle="Please enter a different value" error="Please enter a whole number greater than or equal to 0 or the current annual capacity if a value is specified in Step 3b." sqref="E15">
      <formula1>E17</formula1>
    </dataValidation>
  </dataValidations>
  <pageMargins left="0.7" right="0.7" top="0.75" bottom="0.75" header="0.3" footer="0.3"/>
  <pageSetup scale="1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025290" r:id="rId4" name="Button 10">
              <controlPr defaultSize="0" print="0" autoFill="0" autoPict="0" macro="[0]!CLEAR_mfg">
                <anchor moveWithCells="1">
                  <from>
                    <xdr:col>4</xdr:col>
                    <xdr:colOff>885825</xdr:colOff>
                    <xdr:row>1</xdr:row>
                    <xdr:rowOff>95250</xdr:rowOff>
                  </from>
                  <to>
                    <xdr:col>7</xdr:col>
                    <xdr:colOff>47625</xdr:colOff>
                    <xdr:row>1</xdr:row>
                    <xdr:rowOff>361950</xdr:rowOff>
                  </to>
                </anchor>
              </controlPr>
            </control>
          </mc:Choice>
        </mc:AlternateContent>
        <mc:AlternateContent xmlns:mc="http://schemas.openxmlformats.org/markup-compatibility/2006">
          <mc:Choice Requires="x14">
            <control shapeId="13025293" r:id="rId5" name="Button 13">
              <controlPr defaultSize="0" print="0" autoFill="0" autoPict="0" macro="[0]!Facility_results">
                <anchor moveWithCells="1">
                  <from>
                    <xdr:col>4</xdr:col>
                    <xdr:colOff>1076325</xdr:colOff>
                    <xdr:row>17</xdr:row>
                    <xdr:rowOff>133350</xdr:rowOff>
                  </from>
                  <to>
                    <xdr:col>6</xdr:col>
                    <xdr:colOff>923925</xdr:colOff>
                    <xdr:row>17</xdr:row>
                    <xdr:rowOff>400050</xdr:rowOff>
                  </to>
                </anchor>
              </controlPr>
            </control>
          </mc:Choice>
        </mc:AlternateContent>
        <mc:AlternateContent xmlns:mc="http://schemas.openxmlformats.org/markup-compatibility/2006">
          <mc:Choice Requires="x14">
            <control shapeId="13025294" r:id="rId6" name="Button 14">
              <controlPr defaultSize="0" print="0" autoFill="0" autoPict="0" macro="[0]!Facility_results">
                <anchor moveWithCells="1">
                  <from>
                    <xdr:col>4</xdr:col>
                    <xdr:colOff>1095375</xdr:colOff>
                    <xdr:row>68</xdr:row>
                    <xdr:rowOff>266700</xdr:rowOff>
                  </from>
                  <to>
                    <xdr:col>6</xdr:col>
                    <xdr:colOff>942975</xdr:colOff>
                    <xdr:row>68</xdr:row>
                    <xdr:rowOff>533400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A620C35F-2241-450A-B096-8211D7CEAED6}">
            <xm:f>$E$10&lt;&gt;Lists!$B$20</xm:f>
            <x14:dxf>
              <font>
                <color theme="0" tint="-0.499984740745262"/>
              </font>
              <fill>
                <patternFill>
                  <bgColor theme="2" tint="-0.24994659260841701"/>
                </patternFill>
              </fill>
            </x14:dxf>
          </x14:cfRule>
          <xm:sqref>B16:B17 J16:J17 E16:F17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FF99"/>
    <pageSetUpPr fitToPage="1"/>
  </sheetPr>
  <dimension ref="A1:S76"/>
  <sheetViews>
    <sheetView zoomScale="90" zoomScaleNormal="90" workbookViewId="0">
      <selection activeCell="B1" sqref="B1:N1"/>
    </sheetView>
  </sheetViews>
  <sheetFormatPr defaultRowHeight="15" x14ac:dyDescent="0.25"/>
  <cols>
    <col min="1" max="1" width="2" style="1783" customWidth="1"/>
    <col min="2" max="2" width="43.7109375" style="1783" customWidth="1"/>
    <col min="3" max="3" width="11.85546875" style="1783" customWidth="1"/>
    <col min="4" max="4" width="12.42578125" style="1783" customWidth="1"/>
    <col min="5" max="5" width="16.7109375" style="1783" customWidth="1"/>
    <col min="6" max="6" width="18.42578125" style="1783" customWidth="1"/>
    <col min="7" max="7" width="12.85546875" style="1783" customWidth="1"/>
    <col min="8" max="8" width="10.7109375" style="1783" customWidth="1"/>
    <col min="9" max="9" width="14.140625" style="1783" customWidth="1"/>
    <col min="10" max="10" width="10" style="1783" bestFit="1" customWidth="1"/>
    <col min="11" max="11" width="9.140625" style="1783"/>
    <col min="12" max="12" width="10.85546875" style="1783" bestFit="1" customWidth="1"/>
    <col min="13" max="16384" width="9.140625" style="1783"/>
  </cols>
  <sheetData>
    <row r="1" spans="1:19" ht="34.5" customHeight="1" x14ac:dyDescent="0.45">
      <c r="A1" s="1782"/>
      <c r="B1" s="2776" t="s">
        <v>1606</v>
      </c>
      <c r="C1" s="2777"/>
      <c r="D1" s="2777"/>
      <c r="E1" s="2777"/>
      <c r="F1" s="2777"/>
      <c r="G1" s="2777"/>
      <c r="H1" s="2777"/>
      <c r="I1" s="2777"/>
      <c r="J1" s="2777"/>
      <c r="K1" s="2777"/>
      <c r="L1" s="2777"/>
      <c r="M1" s="2777"/>
      <c r="N1" s="2778"/>
      <c r="O1" s="1782"/>
      <c r="P1" s="1782"/>
      <c r="Q1" s="1782"/>
      <c r="R1" s="1782"/>
      <c r="S1" s="1782"/>
    </row>
    <row r="2" spans="1:19" ht="38.25" customHeight="1" x14ac:dyDescent="0.25">
      <c r="A2" s="1782"/>
      <c r="B2" s="1730"/>
      <c r="C2" s="1407"/>
      <c r="D2" s="1407"/>
      <c r="E2" s="1407"/>
      <c r="F2" s="1407"/>
      <c r="G2" s="1407"/>
      <c r="H2" s="1407"/>
      <c r="I2" s="1407"/>
      <c r="J2" s="1407"/>
      <c r="K2" s="1407"/>
      <c r="L2" s="1407"/>
      <c r="M2" s="1407"/>
      <c r="N2" s="1473"/>
      <c r="O2" s="1782"/>
      <c r="P2" s="1782"/>
      <c r="Q2" s="1782"/>
      <c r="R2" s="1782"/>
      <c r="S2" s="1782"/>
    </row>
    <row r="3" spans="1:19" ht="21" x14ac:dyDescent="0.35">
      <c r="A3" s="1782"/>
      <c r="B3" s="2297" t="s">
        <v>1551</v>
      </c>
      <c r="C3" s="2298"/>
      <c r="D3" s="2298"/>
      <c r="E3" s="2298"/>
      <c r="F3" s="2298"/>
      <c r="G3" s="2298"/>
      <c r="H3" s="2298"/>
      <c r="I3" s="2298"/>
      <c r="J3" s="2298"/>
      <c r="K3" s="2298"/>
      <c r="L3" s="2298"/>
      <c r="M3" s="2298"/>
      <c r="N3" s="2299"/>
      <c r="O3" s="1782"/>
      <c r="P3" s="1782"/>
      <c r="Q3" s="1782"/>
      <c r="R3" s="1782"/>
      <c r="S3" s="1782"/>
    </row>
    <row r="4" spans="1:19" ht="15.75" x14ac:dyDescent="0.25">
      <c r="A4" s="1782"/>
      <c r="B4" s="1784" t="s">
        <v>957</v>
      </c>
      <c r="C4" s="1785"/>
      <c r="D4" s="1786"/>
      <c r="E4" s="2788" t="s">
        <v>452</v>
      </c>
      <c r="F4" s="2789"/>
      <c r="G4" s="2792" t="str">
        <f>'Forklift RESULTS-Charts'!G11</f>
        <v>Notes</v>
      </c>
      <c r="H4" s="2793"/>
      <c r="I4" s="2793"/>
      <c r="J4" s="2793"/>
      <c r="K4" s="2793"/>
      <c r="L4" s="2793"/>
      <c r="M4" s="2793"/>
      <c r="N4" s="2794"/>
      <c r="O4" s="1782"/>
      <c r="P4" s="1782"/>
      <c r="Q4" s="1782"/>
      <c r="R4" s="1782"/>
      <c r="S4" s="1782"/>
    </row>
    <row r="5" spans="1:19" ht="23.25" customHeight="1" x14ac:dyDescent="0.25">
      <c r="A5" s="1782"/>
      <c r="B5" s="1824" t="s">
        <v>1550</v>
      </c>
      <c r="C5" s="1825"/>
      <c r="D5" s="1826"/>
      <c r="E5" s="1824"/>
      <c r="F5" s="1827" t="str">
        <f>'PEM Facility Const. INPUTS'!State</f>
        <v>&lt;Please select&gt;</v>
      </c>
      <c r="G5" s="2779" t="s">
        <v>2162</v>
      </c>
      <c r="H5" s="2780"/>
      <c r="I5" s="2780"/>
      <c r="J5" s="2780"/>
      <c r="K5" s="2780"/>
      <c r="L5" s="2780"/>
      <c r="M5" s="2780"/>
      <c r="N5" s="2781"/>
      <c r="O5" s="1782"/>
      <c r="P5" s="1782"/>
      <c r="Q5" s="1782"/>
      <c r="R5" s="1782"/>
      <c r="S5" s="1782"/>
    </row>
    <row r="6" spans="1:19" ht="23.25" customHeight="1" x14ac:dyDescent="0.25">
      <c r="A6" s="1782"/>
      <c r="B6" s="1819" t="s">
        <v>1607</v>
      </c>
      <c r="C6" s="1820"/>
      <c r="D6" s="1821"/>
      <c r="E6" s="2795" t="str">
        <f>'PEM Facility Const. INPUTS'!E10</f>
        <v>&lt;Please select&gt;</v>
      </c>
      <c r="F6" s="2796"/>
      <c r="G6" s="2782"/>
      <c r="H6" s="2783"/>
      <c r="I6" s="2783"/>
      <c r="J6" s="2783"/>
      <c r="K6" s="2783"/>
      <c r="L6" s="2783"/>
      <c r="M6" s="2783"/>
      <c r="N6" s="2784"/>
      <c r="O6" s="1782"/>
      <c r="P6" s="1782"/>
      <c r="Q6" s="1782"/>
      <c r="R6" s="1782"/>
      <c r="S6" s="1782"/>
    </row>
    <row r="7" spans="1:19" ht="23.25" customHeight="1" x14ac:dyDescent="0.25">
      <c r="A7" s="1782"/>
      <c r="B7" s="1819" t="s">
        <v>1610</v>
      </c>
      <c r="C7" s="1820"/>
      <c r="D7" s="1821"/>
      <c r="E7" s="1819"/>
      <c r="F7" s="1822">
        <f>'PEM Facility Const. INPUTS'!J15</f>
        <v>0</v>
      </c>
      <c r="G7" s="2782"/>
      <c r="H7" s="2783"/>
      <c r="I7" s="2783"/>
      <c r="J7" s="2783"/>
      <c r="K7" s="2783"/>
      <c r="L7" s="2783"/>
      <c r="M7" s="2783"/>
      <c r="N7" s="2784"/>
      <c r="O7" s="1782"/>
      <c r="P7" s="1782"/>
      <c r="Q7" s="1782"/>
      <c r="R7" s="1782"/>
      <c r="S7" s="1782"/>
    </row>
    <row r="8" spans="1:19" ht="23.25" customHeight="1" x14ac:dyDescent="0.25">
      <c r="A8" s="1782"/>
      <c r="B8" s="1819" t="s">
        <v>1608</v>
      </c>
      <c r="C8" s="1820"/>
      <c r="D8" s="1821"/>
      <c r="E8" s="1819"/>
      <c r="F8" s="1822">
        <f>'PEM Facility Const. INPUTS'!J17</f>
        <v>0</v>
      </c>
      <c r="G8" s="2782"/>
      <c r="H8" s="2783"/>
      <c r="I8" s="2783"/>
      <c r="J8" s="2783"/>
      <c r="K8" s="2783"/>
      <c r="L8" s="2783"/>
      <c r="M8" s="2783"/>
      <c r="N8" s="2784"/>
      <c r="O8" s="1782"/>
      <c r="P8" s="1782"/>
      <c r="Q8" s="1782"/>
      <c r="R8" s="1782"/>
      <c r="S8" s="1782"/>
    </row>
    <row r="9" spans="1:19" ht="23.25" customHeight="1" x14ac:dyDescent="0.25">
      <c r="A9" s="1782"/>
      <c r="B9" s="1819" t="s">
        <v>1857</v>
      </c>
      <c r="C9" s="1820"/>
      <c r="D9" s="1821"/>
      <c r="E9" s="1819"/>
      <c r="F9" s="1823">
        <f>'PEM Facility Const. INPUTS'!J26+'PEM Facility Const. INPUTS'!J30</f>
        <v>0</v>
      </c>
      <c r="G9" s="2782"/>
      <c r="H9" s="2783"/>
      <c r="I9" s="2783"/>
      <c r="J9" s="2783"/>
      <c r="K9" s="2783"/>
      <c r="L9" s="2783"/>
      <c r="M9" s="2783"/>
      <c r="N9" s="2784"/>
      <c r="O9" s="1782"/>
      <c r="P9" s="1782"/>
      <c r="Q9" s="1782"/>
      <c r="R9" s="1782"/>
      <c r="S9" s="1782"/>
    </row>
    <row r="10" spans="1:19" ht="23.25" customHeight="1" x14ac:dyDescent="0.25">
      <c r="A10" s="1782"/>
      <c r="B10" s="1828" t="s">
        <v>1858</v>
      </c>
      <c r="C10" s="1829"/>
      <c r="D10" s="1645"/>
      <c r="E10" s="1828"/>
      <c r="F10" s="1830">
        <f>SUM('PEM Facility Const. INPUTS'!D114:D123)</f>
        <v>0</v>
      </c>
      <c r="G10" s="2785"/>
      <c r="H10" s="2786"/>
      <c r="I10" s="2786"/>
      <c r="J10" s="2786"/>
      <c r="K10" s="2786"/>
      <c r="L10" s="2786"/>
      <c r="M10" s="2786"/>
      <c r="N10" s="2787"/>
      <c r="O10" s="1782"/>
      <c r="P10" s="1782"/>
      <c r="Q10" s="1782"/>
      <c r="R10" s="1782"/>
      <c r="S10" s="1782"/>
    </row>
    <row r="11" spans="1:19" s="1782" customFormat="1" x14ac:dyDescent="0.25"/>
    <row r="12" spans="1:19" s="1782" customFormat="1" x14ac:dyDescent="0.25"/>
    <row r="13" spans="1:19" s="1782" customFormat="1" ht="15.75" x14ac:dyDescent="0.25">
      <c r="B13" s="2790" t="s">
        <v>957</v>
      </c>
      <c r="C13" s="2304" t="s">
        <v>417</v>
      </c>
      <c r="D13" s="2306"/>
      <c r="E13" s="2304" t="s">
        <v>1614</v>
      </c>
      <c r="F13" s="2306"/>
      <c r="G13" s="2304" t="s">
        <v>1616</v>
      </c>
      <c r="H13" s="2306"/>
    </row>
    <row r="14" spans="1:19" s="1782" customFormat="1" ht="15.75" x14ac:dyDescent="0.25">
      <c r="B14" s="2791"/>
      <c r="C14" s="1787" t="s">
        <v>2241</v>
      </c>
      <c r="D14" s="1787" t="s">
        <v>1583</v>
      </c>
      <c r="E14" s="1788" t="s">
        <v>1615</v>
      </c>
      <c r="F14" s="1788" t="s">
        <v>1583</v>
      </c>
      <c r="G14" s="1788" t="s">
        <v>1615</v>
      </c>
      <c r="H14" s="1788" t="s">
        <v>1583</v>
      </c>
    </row>
    <row r="15" spans="1:19" ht="15.75" x14ac:dyDescent="0.25">
      <c r="A15" s="1782"/>
      <c r="B15" s="1789" t="s">
        <v>1623</v>
      </c>
      <c r="C15" s="1790" t="e">
        <f>SUM('PEM Facility Const. INPUTS'!I128:J129)</f>
        <v>#N/A</v>
      </c>
      <c r="D15" s="1791" t="e">
        <f t="shared" ref="D15:D23" si="0">C15/C$23</f>
        <v>#N/A</v>
      </c>
      <c r="E15" s="1792" t="e">
        <f>SUM('PEM Facility Const. INPUTS'!O128:P129)/'PEM Facility Const. INPUTS'!$E$111/1000</f>
        <v>#N/A</v>
      </c>
      <c r="F15" s="1793" t="e">
        <f t="shared" ref="F15:F23" si="1">E15/E$23</f>
        <v>#N/A</v>
      </c>
      <c r="G15" s="1792" t="e">
        <f>SUM('PEM Facility Const. INPUTS'!U128:V129)/'PEM Facility Const. INPUTS'!$E$111/1000</f>
        <v>#N/A</v>
      </c>
      <c r="H15" s="1793" t="e">
        <f t="shared" ref="H15:H23" si="2">G15/G$23</f>
        <v>#N/A</v>
      </c>
      <c r="I15" s="1782"/>
      <c r="J15" s="1782"/>
      <c r="K15" s="1782"/>
      <c r="L15" s="1782"/>
      <c r="M15" s="1782"/>
      <c r="N15" s="1782"/>
      <c r="O15" s="1782"/>
      <c r="P15" s="1782"/>
      <c r="Q15" s="1782"/>
      <c r="R15" s="1782"/>
      <c r="S15" s="1782"/>
    </row>
    <row r="16" spans="1:19" ht="15.75" x14ac:dyDescent="0.25">
      <c r="A16" s="1782"/>
      <c r="B16" s="1789" t="s">
        <v>1624</v>
      </c>
      <c r="C16" s="1790" t="e">
        <f>SUM('PEM Facility Const. INPUTS'!K128:K129)</f>
        <v>#N/A</v>
      </c>
      <c r="D16" s="1791" t="e">
        <f t="shared" si="0"/>
        <v>#N/A</v>
      </c>
      <c r="E16" s="1792" t="e">
        <f>SUM('PEM Facility Const. INPUTS'!Q128:Q129)/'PEM Facility Const. INPUTS'!$E$111/1000</f>
        <v>#N/A</v>
      </c>
      <c r="F16" s="1793" t="e">
        <f t="shared" si="1"/>
        <v>#N/A</v>
      </c>
      <c r="G16" s="1792" t="e">
        <f>SUM('PEM Facility Const. INPUTS'!W128:W129)/'PEM Facility Const. INPUTS'!$E$111/1000</f>
        <v>#N/A</v>
      </c>
      <c r="H16" s="1793" t="e">
        <f t="shared" si="2"/>
        <v>#N/A</v>
      </c>
      <c r="I16" s="1782"/>
      <c r="J16" s="1782"/>
      <c r="K16" s="1782"/>
      <c r="L16" s="1782"/>
      <c r="M16" s="1782"/>
      <c r="N16" s="1782"/>
      <c r="O16" s="1782"/>
      <c r="P16" s="1782"/>
      <c r="Q16" s="1782"/>
      <c r="R16" s="1782"/>
      <c r="S16" s="1782"/>
    </row>
    <row r="17" spans="1:19" ht="15.75" x14ac:dyDescent="0.25">
      <c r="A17" s="1782"/>
      <c r="B17" s="1794" t="s">
        <v>1625</v>
      </c>
      <c r="C17" s="1795" t="e">
        <f>SUM(C15:C16)</f>
        <v>#N/A</v>
      </c>
      <c r="D17" s="1796" t="e">
        <f t="shared" si="0"/>
        <v>#N/A</v>
      </c>
      <c r="E17" s="1797" t="e">
        <f>SUM(E15:E16)</f>
        <v>#N/A</v>
      </c>
      <c r="F17" s="1798" t="e">
        <f t="shared" si="1"/>
        <v>#N/A</v>
      </c>
      <c r="G17" s="1797" t="e">
        <f>SUM(G15:G16)</f>
        <v>#N/A</v>
      </c>
      <c r="H17" s="1798" t="e">
        <f t="shared" si="2"/>
        <v>#N/A</v>
      </c>
      <c r="I17" s="1782"/>
      <c r="J17" s="1782"/>
      <c r="K17" s="1782"/>
      <c r="L17" s="1782"/>
      <c r="M17" s="1782"/>
      <c r="N17" s="1782"/>
      <c r="O17" s="1782"/>
      <c r="P17" s="1782"/>
      <c r="Q17" s="1782"/>
      <c r="R17" s="1782"/>
      <c r="S17" s="1782"/>
    </row>
    <row r="18" spans="1:19" ht="15.75" x14ac:dyDescent="0.25">
      <c r="A18" s="1782"/>
      <c r="B18" s="1799" t="s">
        <v>1579</v>
      </c>
      <c r="C18" s="1800" t="e">
        <f>SUM('PEM Facility Const. INPUTS'!I130:J130)</f>
        <v>#N/A</v>
      </c>
      <c r="D18" s="1801" t="e">
        <f t="shared" si="0"/>
        <v>#N/A</v>
      </c>
      <c r="E18" s="1802" t="e">
        <f>SUM('PEM Facility Const. INPUTS'!O130:P130)/'PEM Facility Const. INPUTS'!$E$111/1000</f>
        <v>#N/A</v>
      </c>
      <c r="F18" s="1803" t="e">
        <f t="shared" si="1"/>
        <v>#N/A</v>
      </c>
      <c r="G18" s="1802" t="e">
        <f>SUM('PEM Facility Const. INPUTS'!U130:V130)/'PEM Facility Const. INPUTS'!$E$111/1000</f>
        <v>#N/A</v>
      </c>
      <c r="H18" s="1803" t="e">
        <f t="shared" si="2"/>
        <v>#N/A</v>
      </c>
      <c r="I18" s="1782"/>
      <c r="J18" s="1782"/>
      <c r="K18" s="1782"/>
      <c r="L18" s="1782"/>
      <c r="M18" s="1782"/>
      <c r="N18" s="1782"/>
      <c r="O18" s="1782"/>
      <c r="P18" s="1782"/>
      <c r="Q18" s="1782"/>
      <c r="R18" s="1782"/>
      <c r="S18" s="1782"/>
    </row>
    <row r="19" spans="1:19" ht="15.75" x14ac:dyDescent="0.25">
      <c r="A19" s="1782"/>
      <c r="B19" s="1799" t="s">
        <v>1580</v>
      </c>
      <c r="C19" s="1800" t="e">
        <f>'PEM Facility Const. INPUTS'!K130</f>
        <v>#N/A</v>
      </c>
      <c r="D19" s="1801" t="e">
        <f t="shared" si="0"/>
        <v>#N/A</v>
      </c>
      <c r="E19" s="1802" t="e">
        <f>'PEM Facility Const. INPUTS'!Q130/'PEM Facility Const. INPUTS'!$E$111/1000</f>
        <v>#N/A</v>
      </c>
      <c r="F19" s="1803" t="e">
        <f t="shared" si="1"/>
        <v>#N/A</v>
      </c>
      <c r="G19" s="1802" t="e">
        <f>'PEM Facility Const. INPUTS'!W130/'PEM Facility Const. INPUTS'!$E$111/1000</f>
        <v>#N/A</v>
      </c>
      <c r="H19" s="1803" t="e">
        <f t="shared" si="2"/>
        <v>#N/A</v>
      </c>
      <c r="I19" s="1782"/>
      <c r="J19" s="1782"/>
      <c r="K19" s="1782"/>
      <c r="L19" s="1782"/>
      <c r="M19" s="1782"/>
      <c r="N19" s="1782"/>
      <c r="O19" s="1782"/>
      <c r="P19" s="1782"/>
      <c r="Q19" s="1782"/>
      <c r="R19" s="1782"/>
      <c r="S19" s="1782"/>
    </row>
    <row r="20" spans="1:19" ht="15.75" x14ac:dyDescent="0.25">
      <c r="A20" s="1782"/>
      <c r="B20" s="1804" t="s">
        <v>1581</v>
      </c>
      <c r="C20" s="1805" t="e">
        <f>SUM(C18:C19)</f>
        <v>#N/A</v>
      </c>
      <c r="D20" s="1806" t="e">
        <f t="shared" si="0"/>
        <v>#N/A</v>
      </c>
      <c r="E20" s="1807" t="e">
        <f>SUM(E18:E19)</f>
        <v>#N/A</v>
      </c>
      <c r="F20" s="1808" t="e">
        <f t="shared" si="1"/>
        <v>#N/A</v>
      </c>
      <c r="G20" s="1807" t="e">
        <f>SUM(G18:G19)</f>
        <v>#N/A</v>
      </c>
      <c r="H20" s="1808" t="e">
        <f t="shared" si="2"/>
        <v>#N/A</v>
      </c>
      <c r="I20" s="1782"/>
      <c r="J20" s="1782"/>
      <c r="K20" s="1782"/>
      <c r="L20" s="1782"/>
      <c r="M20" s="1782"/>
      <c r="N20" s="1782"/>
      <c r="O20" s="1782"/>
      <c r="P20" s="1782"/>
      <c r="Q20" s="1782"/>
      <c r="R20" s="1782"/>
      <c r="S20" s="1782"/>
    </row>
    <row r="21" spans="1:19" ht="15.75" x14ac:dyDescent="0.25">
      <c r="A21" s="1782"/>
      <c r="B21" s="1809" t="s">
        <v>1612</v>
      </c>
      <c r="C21" s="1810" t="e">
        <f>C15+C18</f>
        <v>#N/A</v>
      </c>
      <c r="D21" s="1811" t="e">
        <f t="shared" si="0"/>
        <v>#N/A</v>
      </c>
      <c r="E21" s="1812" t="e">
        <f>E15+E18</f>
        <v>#N/A</v>
      </c>
      <c r="F21" s="1813" t="e">
        <f t="shared" si="1"/>
        <v>#N/A</v>
      </c>
      <c r="G21" s="1812" t="e">
        <f>G15+G18</f>
        <v>#N/A</v>
      </c>
      <c r="H21" s="1813" t="e">
        <f t="shared" si="2"/>
        <v>#N/A</v>
      </c>
      <c r="I21" s="1782"/>
      <c r="J21" s="1782"/>
      <c r="K21" s="1782"/>
      <c r="L21" s="1782"/>
      <c r="M21" s="1782"/>
      <c r="N21" s="1782"/>
      <c r="O21" s="1782"/>
      <c r="P21" s="1782"/>
      <c r="Q21" s="1782"/>
      <c r="R21" s="1782"/>
      <c r="S21" s="1782"/>
    </row>
    <row r="22" spans="1:19" ht="15.75" x14ac:dyDescent="0.25">
      <c r="A22" s="1782"/>
      <c r="B22" s="1809" t="s">
        <v>1613</v>
      </c>
      <c r="C22" s="1810" t="e">
        <f>C16+C19</f>
        <v>#N/A</v>
      </c>
      <c r="D22" s="1811" t="e">
        <f t="shared" si="0"/>
        <v>#N/A</v>
      </c>
      <c r="E22" s="1812" t="e">
        <f>E16+E19</f>
        <v>#N/A</v>
      </c>
      <c r="F22" s="1813" t="e">
        <f t="shared" si="1"/>
        <v>#N/A</v>
      </c>
      <c r="G22" s="1812" t="e">
        <f>G16+G19</f>
        <v>#N/A</v>
      </c>
      <c r="H22" s="1813" t="e">
        <f t="shared" si="2"/>
        <v>#N/A</v>
      </c>
      <c r="I22" s="1782"/>
      <c r="J22" s="1782"/>
      <c r="K22" s="1782"/>
      <c r="L22" s="1782"/>
      <c r="M22" s="1782"/>
      <c r="N22" s="1782"/>
      <c r="O22" s="1782"/>
      <c r="P22" s="1782"/>
      <c r="Q22" s="1782"/>
      <c r="R22" s="1782"/>
      <c r="S22" s="1782"/>
    </row>
    <row r="23" spans="1:19" ht="15.75" x14ac:dyDescent="0.25">
      <c r="A23" s="1782"/>
      <c r="B23" s="1814" t="s">
        <v>1582</v>
      </c>
      <c r="C23" s="1815" t="e">
        <f>C17+C20</f>
        <v>#N/A</v>
      </c>
      <c r="D23" s="1816" t="e">
        <f t="shared" si="0"/>
        <v>#N/A</v>
      </c>
      <c r="E23" s="1817" t="e">
        <f>E17+E20</f>
        <v>#N/A</v>
      </c>
      <c r="F23" s="1818" t="e">
        <f t="shared" si="1"/>
        <v>#N/A</v>
      </c>
      <c r="G23" s="1817" t="e">
        <f>G17+G20</f>
        <v>#N/A</v>
      </c>
      <c r="H23" s="1818" t="e">
        <f t="shared" si="2"/>
        <v>#N/A</v>
      </c>
      <c r="I23" s="1782"/>
      <c r="J23" s="1782"/>
      <c r="K23" s="1782"/>
      <c r="L23" s="1782"/>
      <c r="M23" s="1782"/>
      <c r="N23" s="1782"/>
      <c r="O23" s="1782"/>
      <c r="P23" s="1782"/>
      <c r="Q23" s="1782"/>
      <c r="R23" s="1782"/>
      <c r="S23" s="1782"/>
    </row>
    <row r="24" spans="1:19" x14ac:dyDescent="0.25">
      <c r="A24" s="1782"/>
      <c r="B24" s="1782"/>
      <c r="C24" s="1782"/>
      <c r="D24" s="1782"/>
      <c r="E24" s="1782"/>
      <c r="F24" s="1782"/>
      <c r="G24" s="1782"/>
      <c r="H24" s="1782"/>
      <c r="I24" s="1782"/>
      <c r="J24" s="1782"/>
      <c r="K24" s="1782"/>
      <c r="L24" s="1782"/>
      <c r="M24" s="1782"/>
      <c r="N24" s="1782"/>
      <c r="O24" s="1782"/>
      <c r="P24" s="1782"/>
      <c r="Q24" s="1782"/>
      <c r="R24" s="1782"/>
      <c r="S24" s="1782"/>
    </row>
    <row r="25" spans="1:19" x14ac:dyDescent="0.25">
      <c r="A25" s="1782"/>
      <c r="B25" s="1782"/>
      <c r="C25" s="1782"/>
      <c r="D25" s="1782"/>
      <c r="E25" s="1782"/>
      <c r="F25" s="1782"/>
      <c r="G25" s="1782"/>
      <c r="H25" s="1782"/>
      <c r="I25" s="1782"/>
      <c r="J25" s="1782"/>
      <c r="K25" s="1782"/>
      <c r="L25" s="1782"/>
      <c r="M25" s="1782"/>
      <c r="N25" s="1782"/>
      <c r="O25" s="1782"/>
      <c r="P25" s="1782"/>
      <c r="Q25" s="1782"/>
      <c r="R25" s="1782"/>
      <c r="S25" s="1782"/>
    </row>
    <row r="26" spans="1:19" x14ac:dyDescent="0.25">
      <c r="A26" s="1782"/>
      <c r="B26" s="1782"/>
      <c r="C26" s="1782"/>
      <c r="D26" s="1782"/>
      <c r="E26" s="1782"/>
      <c r="F26" s="1782"/>
      <c r="G26" s="1782"/>
      <c r="H26" s="1782"/>
      <c r="I26" s="1782"/>
      <c r="J26" s="1782"/>
      <c r="K26" s="1782"/>
      <c r="L26" s="1782"/>
      <c r="M26" s="1782"/>
      <c r="N26" s="1782"/>
      <c r="O26" s="1782"/>
      <c r="P26" s="1782"/>
      <c r="Q26" s="1782"/>
      <c r="R26" s="1782"/>
      <c r="S26" s="1782"/>
    </row>
    <row r="27" spans="1:19" x14ac:dyDescent="0.25">
      <c r="A27" s="1782"/>
      <c r="B27" s="1782"/>
      <c r="C27" s="1782"/>
      <c r="D27" s="1782"/>
      <c r="E27" s="1782"/>
      <c r="F27" s="1782"/>
      <c r="G27" s="1782"/>
      <c r="H27" s="1782"/>
      <c r="I27" s="1782"/>
      <c r="J27" s="1782"/>
      <c r="K27" s="1782"/>
      <c r="L27" s="1782"/>
      <c r="M27" s="1782"/>
      <c r="N27" s="1782"/>
      <c r="O27" s="1782"/>
      <c r="P27" s="1782"/>
      <c r="Q27" s="1782"/>
      <c r="R27" s="1782"/>
      <c r="S27" s="1782"/>
    </row>
    <row r="28" spans="1:19" x14ac:dyDescent="0.25">
      <c r="A28" s="1782"/>
      <c r="B28" s="1782"/>
      <c r="C28" s="1782"/>
      <c r="D28" s="1782"/>
      <c r="E28" s="1782"/>
      <c r="F28" s="1782"/>
      <c r="G28" s="1782"/>
      <c r="H28" s="1782"/>
      <c r="I28" s="1782"/>
      <c r="J28" s="1782"/>
      <c r="K28" s="1782"/>
      <c r="L28" s="1782"/>
      <c r="M28" s="1782"/>
      <c r="N28" s="1782"/>
      <c r="O28" s="1782"/>
      <c r="P28" s="1782"/>
      <c r="Q28" s="1782"/>
      <c r="R28" s="1782"/>
      <c r="S28" s="1782"/>
    </row>
    <row r="29" spans="1:19" x14ac:dyDescent="0.25">
      <c r="A29" s="1782"/>
      <c r="B29" s="1782"/>
      <c r="C29" s="1782"/>
      <c r="D29" s="1782"/>
      <c r="E29" s="1782"/>
      <c r="F29" s="1782"/>
      <c r="G29" s="1782"/>
      <c r="H29" s="1782"/>
      <c r="I29" s="1782"/>
      <c r="J29" s="1782"/>
      <c r="K29" s="1782"/>
      <c r="L29" s="1782"/>
      <c r="M29" s="1782"/>
      <c r="N29" s="1782"/>
      <c r="O29" s="1782"/>
      <c r="P29" s="1782"/>
      <c r="Q29" s="1782"/>
      <c r="R29" s="1782"/>
      <c r="S29" s="1782"/>
    </row>
    <row r="30" spans="1:19" x14ac:dyDescent="0.25">
      <c r="A30" s="1782"/>
      <c r="B30" s="1782"/>
      <c r="C30" s="1782"/>
      <c r="D30" s="1782"/>
      <c r="E30" s="1782"/>
      <c r="F30" s="1782"/>
      <c r="G30" s="1782"/>
      <c r="H30" s="1782"/>
      <c r="I30" s="1782"/>
      <c r="J30" s="1782"/>
      <c r="K30" s="1782"/>
      <c r="L30" s="1782"/>
      <c r="M30" s="1782"/>
      <c r="N30" s="1782"/>
      <c r="O30" s="1782"/>
      <c r="P30" s="1782"/>
      <c r="Q30" s="1782"/>
      <c r="R30" s="1782"/>
      <c r="S30" s="1782"/>
    </row>
    <row r="31" spans="1:19" x14ac:dyDescent="0.25">
      <c r="A31" s="1782"/>
      <c r="B31" s="1782"/>
      <c r="C31" s="1782"/>
      <c r="D31" s="1782"/>
      <c r="E31" s="1782"/>
      <c r="F31" s="1782"/>
      <c r="G31" s="1782"/>
      <c r="H31" s="1782"/>
      <c r="I31" s="1782"/>
      <c r="J31" s="1782"/>
      <c r="K31" s="1782"/>
      <c r="L31" s="1782"/>
      <c r="M31" s="1782"/>
      <c r="N31" s="1782"/>
      <c r="O31" s="1782"/>
      <c r="P31" s="1782"/>
      <c r="Q31" s="1782"/>
      <c r="R31" s="1782"/>
      <c r="S31" s="1782"/>
    </row>
    <row r="32" spans="1:19" x14ac:dyDescent="0.25">
      <c r="A32" s="1782"/>
      <c r="B32" s="1782"/>
      <c r="C32" s="1782"/>
      <c r="D32" s="1782"/>
      <c r="E32" s="1782"/>
      <c r="F32" s="1782"/>
      <c r="G32" s="1782"/>
      <c r="H32" s="1782"/>
      <c r="I32" s="1782"/>
      <c r="J32" s="1782"/>
      <c r="K32" s="1782"/>
      <c r="L32" s="1782"/>
      <c r="M32" s="1782"/>
      <c r="N32" s="1782"/>
      <c r="O32" s="1782"/>
      <c r="P32" s="1782"/>
      <c r="Q32" s="1782"/>
      <c r="R32" s="1782"/>
      <c r="S32" s="1782"/>
    </row>
    <row r="33" spans="1:19" x14ac:dyDescent="0.25">
      <c r="A33" s="1782"/>
      <c r="B33" s="1782"/>
      <c r="C33" s="1782"/>
      <c r="D33" s="1782"/>
      <c r="E33" s="1782"/>
      <c r="F33" s="1782"/>
      <c r="G33" s="1782"/>
      <c r="H33" s="1782"/>
      <c r="I33" s="1782"/>
      <c r="J33" s="1782"/>
      <c r="K33" s="1782"/>
      <c r="L33" s="1782"/>
      <c r="M33" s="1782"/>
      <c r="N33" s="1782"/>
      <c r="O33" s="1782"/>
      <c r="P33" s="1782"/>
      <c r="Q33" s="1782"/>
      <c r="R33" s="1782"/>
      <c r="S33" s="1782"/>
    </row>
    <row r="34" spans="1:19" x14ac:dyDescent="0.25">
      <c r="A34" s="1782"/>
      <c r="B34" s="1782"/>
      <c r="C34" s="1782"/>
      <c r="D34" s="1782"/>
      <c r="E34" s="1782"/>
      <c r="F34" s="1782"/>
      <c r="G34" s="1782"/>
      <c r="H34" s="1782"/>
      <c r="I34" s="1782"/>
      <c r="J34" s="1782"/>
      <c r="K34" s="1782"/>
      <c r="L34" s="1782"/>
      <c r="M34" s="1782"/>
      <c r="N34" s="1782"/>
      <c r="O34" s="1782"/>
      <c r="P34" s="1782"/>
      <c r="Q34" s="1782"/>
      <c r="R34" s="1782"/>
      <c r="S34" s="1782"/>
    </row>
    <row r="35" spans="1:19" x14ac:dyDescent="0.25">
      <c r="A35" s="1782"/>
      <c r="B35" s="1782"/>
      <c r="C35" s="1782"/>
      <c r="D35" s="1782"/>
      <c r="E35" s="1782"/>
      <c r="F35" s="1782"/>
      <c r="G35" s="1782"/>
      <c r="H35" s="1782"/>
      <c r="I35" s="1782"/>
      <c r="J35" s="1782"/>
      <c r="K35" s="1782"/>
      <c r="L35" s="1782"/>
      <c r="M35" s="1782"/>
      <c r="N35" s="1782"/>
      <c r="O35" s="1782"/>
      <c r="P35" s="1782"/>
      <c r="Q35" s="1782"/>
      <c r="R35" s="1782"/>
      <c r="S35" s="1782"/>
    </row>
    <row r="36" spans="1:19" x14ac:dyDescent="0.25">
      <c r="A36" s="1782"/>
      <c r="B36" s="1782"/>
      <c r="C36" s="1782"/>
      <c r="D36" s="1782"/>
      <c r="E36" s="1782"/>
      <c r="F36" s="1782"/>
      <c r="G36" s="1782"/>
      <c r="H36" s="1782"/>
      <c r="I36" s="1782"/>
      <c r="J36" s="1782"/>
      <c r="K36" s="1782"/>
      <c r="L36" s="1782"/>
      <c r="M36" s="1782"/>
      <c r="N36" s="1782"/>
      <c r="O36" s="1782"/>
      <c r="P36" s="1782"/>
      <c r="Q36" s="1782"/>
      <c r="R36" s="1782"/>
      <c r="S36" s="1782"/>
    </row>
    <row r="37" spans="1:19" x14ac:dyDescent="0.25">
      <c r="A37" s="1782"/>
      <c r="B37" s="1782"/>
      <c r="C37" s="1782"/>
      <c r="D37" s="1782"/>
      <c r="E37" s="1782"/>
      <c r="F37" s="1782"/>
      <c r="G37" s="1782"/>
      <c r="H37" s="1782"/>
      <c r="I37" s="1782"/>
      <c r="J37" s="1782"/>
      <c r="K37" s="1782"/>
      <c r="L37" s="1782"/>
      <c r="M37" s="1782"/>
      <c r="N37" s="1782"/>
      <c r="O37" s="1782"/>
      <c r="P37" s="1782"/>
      <c r="Q37" s="1782"/>
      <c r="R37" s="1782"/>
      <c r="S37" s="1782"/>
    </row>
    <row r="38" spans="1:19" x14ac:dyDescent="0.25">
      <c r="A38" s="1782"/>
      <c r="B38" s="1782"/>
      <c r="C38" s="1782"/>
      <c r="D38" s="1782"/>
      <c r="E38" s="1782"/>
      <c r="F38" s="1782"/>
      <c r="G38" s="1782"/>
      <c r="H38" s="1782"/>
      <c r="I38" s="1782"/>
      <c r="J38" s="1782"/>
      <c r="K38" s="1782"/>
      <c r="L38" s="1782"/>
      <c r="M38" s="1782"/>
      <c r="N38" s="1782"/>
      <c r="O38" s="1782"/>
      <c r="P38" s="1782"/>
      <c r="Q38" s="1782"/>
      <c r="R38" s="1782"/>
      <c r="S38" s="1782"/>
    </row>
    <row r="39" spans="1:19" x14ac:dyDescent="0.25">
      <c r="A39" s="1782"/>
      <c r="B39" s="1782"/>
      <c r="C39" s="1782"/>
      <c r="D39" s="1782"/>
      <c r="E39" s="1782"/>
      <c r="F39" s="1782"/>
      <c r="G39" s="1782"/>
      <c r="H39" s="1782"/>
      <c r="I39" s="1782"/>
      <c r="J39" s="1782"/>
      <c r="K39" s="1782"/>
      <c r="L39" s="1782"/>
      <c r="M39" s="1782"/>
      <c r="N39" s="1782"/>
      <c r="O39" s="1782"/>
      <c r="P39" s="1782"/>
      <c r="Q39" s="1782"/>
      <c r="R39" s="1782"/>
      <c r="S39" s="1782"/>
    </row>
    <row r="40" spans="1:19" x14ac:dyDescent="0.25">
      <c r="A40" s="1782"/>
      <c r="B40" s="1782"/>
      <c r="C40" s="1782"/>
      <c r="D40" s="1782"/>
      <c r="E40" s="1782"/>
      <c r="F40" s="1782"/>
      <c r="G40" s="1782"/>
      <c r="H40" s="1782"/>
      <c r="I40" s="1782"/>
      <c r="J40" s="1782"/>
      <c r="K40" s="1782"/>
      <c r="L40" s="1782"/>
      <c r="M40" s="1782"/>
      <c r="N40" s="1782"/>
      <c r="O40" s="1782"/>
      <c r="P40" s="1782"/>
      <c r="Q40" s="1782"/>
      <c r="R40" s="1782"/>
      <c r="S40" s="1782"/>
    </row>
    <row r="41" spans="1:19" x14ac:dyDescent="0.25">
      <c r="A41" s="1782"/>
      <c r="B41" s="1782"/>
      <c r="C41" s="1782"/>
      <c r="D41" s="1782"/>
      <c r="E41" s="1782"/>
      <c r="F41" s="1782"/>
      <c r="G41" s="1782"/>
      <c r="H41" s="1782"/>
      <c r="I41" s="1782"/>
      <c r="J41" s="1782"/>
      <c r="K41" s="1782"/>
      <c r="L41" s="1782"/>
      <c r="M41" s="1782"/>
      <c r="N41" s="1782"/>
      <c r="O41" s="1782"/>
      <c r="P41" s="1782"/>
      <c r="Q41" s="1782"/>
      <c r="R41" s="1782"/>
      <c r="S41" s="1782"/>
    </row>
    <row r="42" spans="1:19" x14ac:dyDescent="0.25">
      <c r="A42" s="1782"/>
      <c r="B42" s="1782"/>
      <c r="C42" s="1782"/>
      <c r="D42" s="1782"/>
      <c r="E42" s="1782"/>
      <c r="F42" s="1782"/>
      <c r="G42" s="1782"/>
      <c r="H42" s="1782"/>
      <c r="I42" s="1782"/>
      <c r="J42" s="1782"/>
      <c r="K42" s="1782"/>
      <c r="L42" s="1782"/>
      <c r="M42" s="1782"/>
      <c r="N42" s="1782"/>
      <c r="O42" s="1782"/>
      <c r="P42" s="1782"/>
      <c r="Q42" s="1782"/>
      <c r="R42" s="1782"/>
      <c r="S42" s="1782"/>
    </row>
    <row r="43" spans="1:19" x14ac:dyDescent="0.25">
      <c r="A43" s="1782"/>
      <c r="B43" s="1782"/>
      <c r="C43" s="1782"/>
      <c r="D43" s="1782"/>
      <c r="E43" s="1782"/>
      <c r="F43" s="1782"/>
      <c r="G43" s="1782"/>
      <c r="H43" s="1782"/>
      <c r="I43" s="1782"/>
      <c r="J43" s="1782"/>
      <c r="K43" s="1782"/>
      <c r="L43" s="1782"/>
      <c r="M43" s="1782"/>
      <c r="N43" s="1782"/>
      <c r="O43" s="1782"/>
      <c r="P43" s="1782"/>
      <c r="Q43" s="1782"/>
      <c r="R43" s="1782"/>
      <c r="S43" s="1782"/>
    </row>
    <row r="44" spans="1:19" x14ac:dyDescent="0.25">
      <c r="A44" s="1782"/>
      <c r="B44" s="1782"/>
      <c r="C44" s="1782"/>
      <c r="D44" s="1782"/>
      <c r="E44" s="1782"/>
      <c r="F44" s="1782"/>
      <c r="G44" s="1782"/>
      <c r="H44" s="1782"/>
      <c r="I44" s="1782"/>
      <c r="J44" s="1782"/>
      <c r="K44" s="1782"/>
      <c r="L44" s="1782"/>
      <c r="M44" s="1782"/>
      <c r="N44" s="1782"/>
      <c r="O44" s="1782"/>
      <c r="P44" s="1782"/>
      <c r="Q44" s="1782"/>
      <c r="R44" s="1782"/>
      <c r="S44" s="1782"/>
    </row>
    <row r="45" spans="1:19" x14ac:dyDescent="0.25">
      <c r="A45" s="1782"/>
      <c r="B45" s="1782"/>
      <c r="C45" s="1782"/>
      <c r="D45" s="1782"/>
      <c r="E45" s="1782"/>
      <c r="F45" s="1782"/>
      <c r="G45" s="1782"/>
      <c r="H45" s="1782"/>
      <c r="I45" s="1782"/>
      <c r="J45" s="1782"/>
      <c r="K45" s="1782"/>
      <c r="L45" s="1782"/>
      <c r="M45" s="1782"/>
      <c r="N45" s="1782"/>
      <c r="O45" s="1782"/>
      <c r="P45" s="1782"/>
      <c r="Q45" s="1782"/>
      <c r="R45" s="1782"/>
      <c r="S45" s="1782"/>
    </row>
    <row r="46" spans="1:19" x14ac:dyDescent="0.25">
      <c r="A46" s="1782"/>
      <c r="B46" s="1782"/>
      <c r="C46" s="1782"/>
      <c r="D46" s="1782"/>
      <c r="E46" s="1782"/>
      <c r="F46" s="1782"/>
      <c r="G46" s="1782"/>
      <c r="H46" s="1782"/>
      <c r="I46" s="1782"/>
      <c r="J46" s="1782"/>
      <c r="K46" s="1782"/>
      <c r="L46" s="1782"/>
      <c r="M46" s="1782"/>
      <c r="N46" s="1782"/>
      <c r="O46" s="1782"/>
      <c r="P46" s="1782"/>
      <c r="Q46" s="1782"/>
      <c r="R46" s="1782"/>
      <c r="S46" s="1782"/>
    </row>
    <row r="47" spans="1:19" x14ac:dyDescent="0.25">
      <c r="A47" s="1782"/>
      <c r="B47" s="1782"/>
      <c r="C47" s="1782"/>
      <c r="D47" s="1782"/>
      <c r="E47" s="1782"/>
      <c r="F47" s="1782"/>
      <c r="G47" s="1782"/>
      <c r="H47" s="1782"/>
      <c r="I47" s="1782"/>
      <c r="J47" s="1782"/>
      <c r="K47" s="1782"/>
      <c r="L47" s="1782"/>
      <c r="M47" s="1782"/>
      <c r="N47" s="1782"/>
      <c r="O47" s="1782"/>
      <c r="P47" s="1782"/>
      <c r="Q47" s="1782"/>
      <c r="R47" s="1782"/>
      <c r="S47" s="1782"/>
    </row>
    <row r="48" spans="1:19" x14ac:dyDescent="0.25">
      <c r="A48" s="1782"/>
      <c r="B48" s="1782"/>
      <c r="C48" s="1782"/>
      <c r="D48" s="1782"/>
      <c r="E48" s="1782"/>
      <c r="F48" s="1782"/>
      <c r="G48" s="1782"/>
      <c r="H48" s="1782"/>
      <c r="I48" s="1782"/>
      <c r="J48" s="1782"/>
      <c r="K48" s="1782"/>
      <c r="L48" s="1782"/>
      <c r="M48" s="1782"/>
      <c r="N48" s="1782"/>
      <c r="O48" s="1782"/>
      <c r="P48" s="1782"/>
      <c r="Q48" s="1782"/>
      <c r="R48" s="1782"/>
      <c r="S48" s="1782"/>
    </row>
    <row r="49" spans="1:19" x14ac:dyDescent="0.25">
      <c r="A49" s="1782"/>
      <c r="B49" s="1782"/>
      <c r="C49" s="1782"/>
      <c r="D49" s="1782"/>
      <c r="E49" s="1782"/>
      <c r="F49" s="1782"/>
      <c r="G49" s="1782"/>
      <c r="H49" s="1782"/>
      <c r="I49" s="1782"/>
      <c r="J49" s="1782"/>
      <c r="K49" s="1782"/>
      <c r="L49" s="1782"/>
      <c r="M49" s="1782"/>
      <c r="N49" s="1782"/>
      <c r="O49" s="1782"/>
      <c r="P49" s="1782"/>
      <c r="Q49" s="1782"/>
      <c r="R49" s="1782"/>
      <c r="S49" s="1782"/>
    </row>
    <row r="50" spans="1:19" x14ac:dyDescent="0.25">
      <c r="A50" s="1782"/>
      <c r="B50" s="1782"/>
      <c r="C50" s="1782"/>
      <c r="D50" s="1782"/>
      <c r="E50" s="1782"/>
      <c r="F50" s="1782"/>
      <c r="G50" s="1782"/>
      <c r="H50" s="1782"/>
      <c r="I50" s="1782"/>
      <c r="J50" s="1782"/>
      <c r="K50" s="1782"/>
      <c r="L50" s="1782"/>
      <c r="M50" s="1782"/>
      <c r="N50" s="1782"/>
      <c r="O50" s="1782"/>
      <c r="P50" s="1782"/>
      <c r="Q50" s="1782"/>
      <c r="R50" s="1782"/>
      <c r="S50" s="1782"/>
    </row>
    <row r="51" spans="1:19" x14ac:dyDescent="0.25">
      <c r="A51" s="1782"/>
      <c r="B51" s="1782"/>
      <c r="C51" s="1782"/>
      <c r="D51" s="1782"/>
      <c r="E51" s="1782"/>
      <c r="F51" s="1782"/>
      <c r="G51" s="1782"/>
      <c r="H51" s="1782"/>
      <c r="I51" s="1782"/>
      <c r="J51" s="1782"/>
      <c r="K51" s="1782"/>
      <c r="L51" s="1782"/>
      <c r="M51" s="1782"/>
      <c r="N51" s="1782"/>
      <c r="O51" s="1782"/>
      <c r="P51" s="1782"/>
      <c r="Q51" s="1782"/>
      <c r="R51" s="1782"/>
      <c r="S51" s="1782"/>
    </row>
    <row r="52" spans="1:19" x14ac:dyDescent="0.25">
      <c r="A52" s="1782"/>
      <c r="B52" s="1782"/>
      <c r="C52" s="1782"/>
      <c r="D52" s="1782"/>
      <c r="E52" s="1782"/>
      <c r="F52" s="1782"/>
      <c r="G52" s="1782"/>
      <c r="H52" s="1782"/>
      <c r="I52" s="1782"/>
      <c r="J52" s="1782"/>
      <c r="K52" s="1782"/>
      <c r="L52" s="1782"/>
      <c r="M52" s="1782"/>
      <c r="N52" s="1782"/>
      <c r="O52" s="1782"/>
      <c r="P52" s="1782"/>
      <c r="Q52" s="1782"/>
      <c r="R52" s="1782"/>
      <c r="S52" s="1782"/>
    </row>
    <row r="53" spans="1:19" x14ac:dyDescent="0.25">
      <c r="A53" s="1782"/>
      <c r="B53" s="1782"/>
      <c r="C53" s="1782"/>
      <c r="D53" s="1782"/>
      <c r="E53" s="1782"/>
      <c r="F53" s="1782"/>
      <c r="G53" s="1782"/>
      <c r="H53" s="1782"/>
      <c r="I53" s="1782"/>
      <c r="J53" s="1782"/>
      <c r="K53" s="1782"/>
      <c r="L53" s="1782"/>
      <c r="M53" s="1782"/>
      <c r="N53" s="1782"/>
      <c r="O53" s="1782"/>
      <c r="P53" s="1782"/>
      <c r="Q53" s="1782"/>
      <c r="R53" s="1782"/>
      <c r="S53" s="1782"/>
    </row>
    <row r="54" spans="1:19" x14ac:dyDescent="0.25">
      <c r="A54" s="1782"/>
      <c r="B54" s="1782"/>
      <c r="C54" s="1782"/>
      <c r="D54" s="1782"/>
      <c r="E54" s="1782"/>
      <c r="F54" s="1782"/>
      <c r="G54" s="1782"/>
      <c r="H54" s="1782"/>
      <c r="I54" s="1782"/>
      <c r="J54" s="1782"/>
      <c r="K54" s="1782"/>
      <c r="L54" s="1782"/>
      <c r="M54" s="1782"/>
      <c r="N54" s="1782"/>
      <c r="O54" s="1782"/>
      <c r="P54" s="1782"/>
      <c r="Q54" s="1782"/>
      <c r="R54" s="1782"/>
      <c r="S54" s="1782"/>
    </row>
    <row r="55" spans="1:19" x14ac:dyDescent="0.25">
      <c r="A55" s="1782"/>
      <c r="B55" s="1782"/>
      <c r="C55" s="1782"/>
      <c r="D55" s="1782"/>
      <c r="E55" s="1782"/>
      <c r="F55" s="1782"/>
      <c r="G55" s="1782"/>
      <c r="H55" s="1782"/>
      <c r="I55" s="1782"/>
      <c r="J55" s="1782"/>
      <c r="K55" s="1782"/>
      <c r="L55" s="1782"/>
      <c r="M55" s="1782"/>
      <c r="N55" s="1782"/>
      <c r="O55" s="1782"/>
      <c r="P55" s="1782"/>
      <c r="Q55" s="1782"/>
      <c r="R55" s="1782"/>
      <c r="S55" s="1782"/>
    </row>
    <row r="56" spans="1:19" x14ac:dyDescent="0.25">
      <c r="A56" s="1782"/>
      <c r="B56" s="1782"/>
      <c r="C56" s="1782"/>
      <c r="D56" s="1782"/>
      <c r="E56" s="1782"/>
      <c r="F56" s="1782"/>
      <c r="G56" s="1782"/>
      <c r="H56" s="1782"/>
      <c r="I56" s="1782"/>
      <c r="J56" s="1782"/>
      <c r="K56" s="1782"/>
      <c r="L56" s="1782"/>
      <c r="M56" s="1782"/>
      <c r="N56" s="1782"/>
      <c r="O56" s="1782"/>
      <c r="P56" s="1782"/>
      <c r="Q56" s="1782"/>
      <c r="R56" s="1782"/>
      <c r="S56" s="1782"/>
    </row>
    <row r="57" spans="1:19" x14ac:dyDescent="0.25">
      <c r="A57" s="1782"/>
      <c r="B57" s="1782"/>
      <c r="C57" s="1782"/>
      <c r="D57" s="1782"/>
      <c r="E57" s="1782"/>
      <c r="F57" s="1782"/>
      <c r="G57" s="1782"/>
      <c r="H57" s="1782"/>
      <c r="I57" s="1782"/>
      <c r="J57" s="1782"/>
      <c r="K57" s="1782"/>
      <c r="L57" s="1782"/>
      <c r="M57" s="1782"/>
      <c r="N57" s="1782"/>
      <c r="O57" s="1782"/>
      <c r="P57" s="1782"/>
      <c r="Q57" s="1782"/>
      <c r="R57" s="1782"/>
      <c r="S57" s="1782"/>
    </row>
    <row r="58" spans="1:19" x14ac:dyDescent="0.25">
      <c r="A58" s="1782"/>
      <c r="B58" s="1782"/>
      <c r="C58" s="1782"/>
      <c r="D58" s="1782"/>
      <c r="E58" s="1782"/>
      <c r="F58" s="1782"/>
      <c r="G58" s="1782"/>
      <c r="H58" s="1782"/>
      <c r="I58" s="1782"/>
      <c r="J58" s="1782"/>
      <c r="K58" s="1782"/>
      <c r="L58" s="1782"/>
      <c r="M58" s="1782"/>
      <c r="N58" s="1782"/>
      <c r="O58" s="1782"/>
      <c r="P58" s="1782"/>
      <c r="Q58" s="1782"/>
      <c r="R58" s="1782"/>
      <c r="S58" s="1782"/>
    </row>
    <row r="59" spans="1:19" x14ac:dyDescent="0.25">
      <c r="A59" s="1782"/>
      <c r="B59" s="1782"/>
      <c r="C59" s="1782"/>
      <c r="D59" s="1782"/>
      <c r="E59" s="1782"/>
      <c r="F59" s="1782"/>
      <c r="G59" s="1782"/>
      <c r="H59" s="1782"/>
      <c r="I59" s="1782"/>
      <c r="J59" s="1782"/>
      <c r="K59" s="1782"/>
      <c r="L59" s="1782"/>
      <c r="M59" s="1782"/>
      <c r="N59" s="1782"/>
      <c r="O59" s="1782"/>
      <c r="P59" s="1782"/>
      <c r="Q59" s="1782"/>
      <c r="R59" s="1782"/>
      <c r="S59" s="1782"/>
    </row>
    <row r="60" spans="1:19" x14ac:dyDescent="0.25">
      <c r="A60" s="1782"/>
      <c r="B60" s="1782"/>
      <c r="C60" s="1782"/>
      <c r="D60" s="1782"/>
      <c r="E60" s="1782"/>
      <c r="F60" s="1782"/>
      <c r="G60" s="1782"/>
      <c r="H60" s="1782"/>
      <c r="I60" s="1782"/>
      <c r="J60" s="1782"/>
      <c r="K60" s="1782"/>
      <c r="L60" s="1782"/>
      <c r="M60" s="1782"/>
      <c r="N60" s="1782"/>
      <c r="O60" s="1782"/>
      <c r="P60" s="1782"/>
      <c r="Q60" s="1782"/>
      <c r="R60" s="1782"/>
      <c r="S60" s="1782"/>
    </row>
    <row r="61" spans="1:19" x14ac:dyDescent="0.25">
      <c r="A61" s="1782"/>
      <c r="B61" s="1782"/>
      <c r="C61" s="1782"/>
      <c r="D61" s="1782"/>
      <c r="E61" s="1782"/>
      <c r="F61" s="1782"/>
      <c r="G61" s="1782"/>
      <c r="H61" s="1782"/>
      <c r="I61" s="1782"/>
      <c r="J61" s="1782"/>
      <c r="K61" s="1782"/>
      <c r="L61" s="1782"/>
      <c r="M61" s="1782"/>
      <c r="N61" s="1782"/>
      <c r="O61" s="1782"/>
      <c r="P61" s="1782"/>
      <c r="Q61" s="1782"/>
      <c r="R61" s="1782"/>
      <c r="S61" s="1782"/>
    </row>
    <row r="62" spans="1:19" x14ac:dyDescent="0.25">
      <c r="A62" s="1782"/>
      <c r="B62" s="1782"/>
      <c r="C62" s="1782"/>
      <c r="D62" s="1782"/>
      <c r="E62" s="1782"/>
      <c r="F62" s="1782"/>
      <c r="G62" s="1782"/>
      <c r="H62" s="1782"/>
      <c r="I62" s="1782"/>
      <c r="J62" s="1782"/>
      <c r="K62" s="1782"/>
      <c r="L62" s="1782"/>
      <c r="M62" s="1782"/>
      <c r="N62" s="1782"/>
      <c r="O62" s="1782"/>
      <c r="P62" s="1782"/>
      <c r="Q62" s="1782"/>
      <c r="R62" s="1782"/>
      <c r="S62" s="1782"/>
    </row>
    <row r="63" spans="1:19" x14ac:dyDescent="0.25">
      <c r="A63" s="1782"/>
      <c r="B63" s="1782"/>
      <c r="C63" s="1782"/>
      <c r="D63" s="1782"/>
      <c r="E63" s="1782"/>
      <c r="F63" s="1782"/>
      <c r="G63" s="1782"/>
      <c r="H63" s="1782"/>
      <c r="I63" s="1782"/>
      <c r="J63" s="1782"/>
      <c r="K63" s="1782"/>
      <c r="L63" s="1782"/>
      <c r="M63" s="1782"/>
      <c r="N63" s="1782"/>
      <c r="O63" s="1782"/>
      <c r="P63" s="1782"/>
      <c r="Q63" s="1782"/>
      <c r="R63" s="1782"/>
      <c r="S63" s="1782"/>
    </row>
    <row r="64" spans="1:19" x14ac:dyDescent="0.25">
      <c r="A64" s="1782"/>
      <c r="B64" s="1782"/>
      <c r="C64" s="1782"/>
      <c r="D64" s="1782"/>
      <c r="E64" s="1782"/>
      <c r="F64" s="1782"/>
      <c r="G64" s="1782"/>
      <c r="H64" s="1782"/>
      <c r="I64" s="1782"/>
      <c r="J64" s="1782"/>
      <c r="K64" s="1782"/>
      <c r="L64" s="1782"/>
      <c r="M64" s="1782"/>
      <c r="N64" s="1782"/>
      <c r="O64" s="1782"/>
      <c r="P64" s="1782"/>
      <c r="Q64" s="1782"/>
      <c r="R64" s="1782"/>
      <c r="S64" s="1782"/>
    </row>
    <row r="65" spans="1:19" x14ac:dyDescent="0.25">
      <c r="A65" s="1782"/>
      <c r="B65" s="1782"/>
      <c r="C65" s="1782"/>
      <c r="D65" s="1782"/>
      <c r="E65" s="1782"/>
      <c r="F65" s="1782"/>
      <c r="G65" s="1782"/>
      <c r="H65" s="1782"/>
      <c r="I65" s="1782"/>
      <c r="J65" s="1782"/>
      <c r="K65" s="1782"/>
      <c r="L65" s="1782"/>
      <c r="M65" s="1782"/>
      <c r="N65" s="1782"/>
      <c r="O65" s="1782"/>
      <c r="P65" s="1782"/>
      <c r="Q65" s="1782"/>
      <c r="R65" s="1782"/>
      <c r="S65" s="1782"/>
    </row>
    <row r="66" spans="1:19" x14ac:dyDescent="0.25">
      <c r="A66" s="1782"/>
      <c r="B66" s="1782"/>
      <c r="C66" s="1782"/>
      <c r="D66" s="1782"/>
      <c r="E66" s="1782"/>
      <c r="F66" s="1782"/>
      <c r="G66" s="1782"/>
      <c r="H66" s="1782"/>
      <c r="I66" s="1782"/>
      <c r="J66" s="1782"/>
      <c r="K66" s="1782"/>
      <c r="L66" s="1782"/>
      <c r="M66" s="1782"/>
      <c r="N66" s="1782"/>
      <c r="O66" s="1782"/>
      <c r="P66" s="1782"/>
      <c r="Q66" s="1782"/>
      <c r="R66" s="1782"/>
      <c r="S66" s="1782"/>
    </row>
    <row r="67" spans="1:19" x14ac:dyDescent="0.25">
      <c r="A67" s="1782"/>
      <c r="B67" s="1782"/>
      <c r="C67" s="1782"/>
      <c r="D67" s="1782"/>
      <c r="E67" s="1782"/>
      <c r="F67" s="1782"/>
      <c r="G67" s="1782"/>
      <c r="H67" s="1782"/>
      <c r="I67" s="1782"/>
      <c r="J67" s="1782"/>
      <c r="K67" s="1782"/>
      <c r="L67" s="1782"/>
      <c r="M67" s="1782"/>
      <c r="N67" s="1782"/>
      <c r="O67" s="1782"/>
      <c r="P67" s="1782"/>
      <c r="Q67" s="1782"/>
      <c r="R67" s="1782"/>
      <c r="S67" s="1782"/>
    </row>
    <row r="68" spans="1:19" x14ac:dyDescent="0.25">
      <c r="A68" s="1782"/>
      <c r="B68" s="1782"/>
      <c r="C68" s="1782"/>
      <c r="D68" s="1782"/>
      <c r="E68" s="1782"/>
      <c r="F68" s="1782"/>
      <c r="G68" s="1782"/>
      <c r="H68" s="1782"/>
      <c r="I68" s="1782"/>
      <c r="J68" s="1782"/>
      <c r="K68" s="1782"/>
      <c r="L68" s="1782"/>
      <c r="M68" s="1782"/>
      <c r="N68" s="1782"/>
      <c r="O68" s="1782"/>
      <c r="P68" s="1782"/>
      <c r="Q68" s="1782"/>
      <c r="R68" s="1782"/>
      <c r="S68" s="1782"/>
    </row>
    <row r="69" spans="1:19" x14ac:dyDescent="0.25">
      <c r="A69" s="1782"/>
      <c r="B69" s="1782"/>
      <c r="C69" s="1782"/>
      <c r="D69" s="1782"/>
      <c r="E69" s="1782"/>
      <c r="F69" s="1782"/>
      <c r="G69" s="1782"/>
      <c r="H69" s="1782"/>
      <c r="I69" s="1782"/>
      <c r="J69" s="1782"/>
      <c r="K69" s="1782"/>
      <c r="L69" s="1782"/>
      <c r="M69" s="1782"/>
      <c r="N69" s="1782"/>
      <c r="O69" s="1782"/>
      <c r="P69" s="1782"/>
      <c r="Q69" s="1782"/>
      <c r="R69" s="1782"/>
      <c r="S69" s="1782"/>
    </row>
    <row r="70" spans="1:19" x14ac:dyDescent="0.25">
      <c r="A70" s="1782"/>
      <c r="B70" s="1782"/>
      <c r="C70" s="1782"/>
      <c r="D70" s="1782"/>
      <c r="E70" s="1782"/>
      <c r="F70" s="1782"/>
      <c r="G70" s="1782"/>
      <c r="H70" s="1782"/>
      <c r="I70" s="1782"/>
      <c r="J70" s="1782"/>
      <c r="K70" s="1782"/>
      <c r="L70" s="1782"/>
      <c r="M70" s="1782"/>
      <c r="N70" s="1782"/>
      <c r="O70" s="1782"/>
      <c r="P70" s="1782"/>
      <c r="Q70" s="1782"/>
      <c r="R70" s="1782"/>
      <c r="S70" s="1782"/>
    </row>
    <row r="71" spans="1:19" x14ac:dyDescent="0.25">
      <c r="A71" s="1782"/>
      <c r="B71" s="1782"/>
      <c r="C71" s="1782"/>
      <c r="D71" s="1782"/>
      <c r="E71" s="1782"/>
      <c r="F71" s="1782"/>
      <c r="G71" s="1782"/>
      <c r="H71" s="1782"/>
      <c r="I71" s="1782"/>
      <c r="J71" s="1782"/>
      <c r="K71" s="1782"/>
      <c r="L71" s="1782"/>
      <c r="M71" s="1782"/>
      <c r="N71" s="1782"/>
      <c r="O71" s="1782"/>
      <c r="P71" s="1782"/>
      <c r="Q71" s="1782"/>
      <c r="R71" s="1782"/>
      <c r="S71" s="1782"/>
    </row>
    <row r="72" spans="1:19" x14ac:dyDescent="0.25">
      <c r="A72" s="1782"/>
      <c r="B72" s="1782"/>
      <c r="C72" s="1782"/>
      <c r="D72" s="1782"/>
      <c r="E72" s="1782"/>
      <c r="F72" s="1782"/>
      <c r="G72" s="1782"/>
      <c r="H72" s="1782"/>
      <c r="I72" s="1782"/>
      <c r="J72" s="1782"/>
      <c r="K72" s="1782"/>
      <c r="L72" s="1782"/>
      <c r="M72" s="1782"/>
      <c r="N72" s="1782"/>
      <c r="O72" s="1782"/>
      <c r="P72" s="1782"/>
      <c r="Q72" s="1782"/>
      <c r="R72" s="1782"/>
      <c r="S72" s="1782"/>
    </row>
    <row r="73" spans="1:19" x14ac:dyDescent="0.25">
      <c r="A73" s="1782"/>
      <c r="B73" s="1782"/>
      <c r="C73" s="1782"/>
      <c r="D73" s="1782"/>
      <c r="E73" s="1782"/>
      <c r="F73" s="1782"/>
      <c r="G73" s="1782"/>
      <c r="H73" s="1782"/>
      <c r="I73" s="1782"/>
      <c r="J73" s="1782"/>
      <c r="K73" s="1782"/>
      <c r="L73" s="1782"/>
      <c r="M73" s="1782"/>
      <c r="N73" s="1782"/>
      <c r="O73" s="1782"/>
      <c r="P73" s="1782"/>
      <c r="Q73" s="1782"/>
      <c r="R73" s="1782"/>
      <c r="S73" s="1782"/>
    </row>
    <row r="74" spans="1:19" x14ac:dyDescent="0.25">
      <c r="A74" s="1782"/>
      <c r="B74" s="1782"/>
      <c r="C74" s="1782"/>
      <c r="D74" s="1782"/>
      <c r="E74" s="1782"/>
      <c r="F74" s="1782"/>
      <c r="G74" s="1782"/>
      <c r="H74" s="1782"/>
      <c r="I74" s="1782"/>
      <c r="J74" s="1782"/>
      <c r="K74" s="1782"/>
      <c r="L74" s="1782"/>
      <c r="M74" s="1782"/>
      <c r="N74" s="1782"/>
      <c r="O74" s="1782"/>
      <c r="P74" s="1782"/>
      <c r="Q74" s="1782"/>
      <c r="R74" s="1782"/>
      <c r="S74" s="1782"/>
    </row>
    <row r="75" spans="1:19" x14ac:dyDescent="0.25">
      <c r="A75" s="1782"/>
      <c r="B75" s="1782"/>
      <c r="C75" s="1782"/>
      <c r="D75" s="1782"/>
      <c r="E75" s="1782"/>
      <c r="F75" s="1782"/>
      <c r="G75" s="1782"/>
      <c r="H75" s="1782"/>
      <c r="I75" s="1782"/>
      <c r="J75" s="1782"/>
      <c r="K75" s="1782"/>
      <c r="L75" s="1782"/>
      <c r="M75" s="1782"/>
      <c r="N75" s="1782"/>
      <c r="O75" s="1782"/>
      <c r="P75" s="1782"/>
      <c r="Q75" s="1782"/>
      <c r="R75" s="1782"/>
      <c r="S75" s="1782"/>
    </row>
    <row r="76" spans="1:19" x14ac:dyDescent="0.25">
      <c r="A76" s="1782"/>
      <c r="B76" s="1782"/>
      <c r="C76" s="1782"/>
      <c r="D76" s="1782"/>
      <c r="E76" s="1782"/>
      <c r="F76" s="1782"/>
      <c r="G76" s="1782"/>
      <c r="H76" s="1782"/>
      <c r="I76" s="1782"/>
      <c r="J76" s="1782"/>
      <c r="K76" s="1782"/>
      <c r="L76" s="1782"/>
      <c r="M76" s="1782"/>
      <c r="N76" s="1782"/>
      <c r="O76" s="1782"/>
      <c r="P76" s="1782"/>
      <c r="Q76" s="1782"/>
      <c r="R76" s="1782"/>
      <c r="S76" s="1782"/>
    </row>
  </sheetData>
  <sheetProtection password="C411" sheet="1" scenarios="1"/>
  <mergeCells count="10">
    <mergeCell ref="B1:N1"/>
    <mergeCell ref="G5:N10"/>
    <mergeCell ref="E4:F4"/>
    <mergeCell ref="B13:B14"/>
    <mergeCell ref="G4:N4"/>
    <mergeCell ref="B3:N3"/>
    <mergeCell ref="E6:F6"/>
    <mergeCell ref="C13:D13"/>
    <mergeCell ref="E13:F13"/>
    <mergeCell ref="G13:H13"/>
  </mergeCells>
  <pageMargins left="0.7" right="0.7" top="0.75" bottom="0.75" header="0.3" footer="0.3"/>
  <pageSetup scale="70" orientation="landscape" r:id="rId1"/>
  <headerFooter>
    <oddHeader>&amp;L&amp;"Garamond,Bold"&amp;14JOBS FC Beta 1.0&amp;C&amp;"Garamond,Bold"&amp;14Scenario Results&amp;R&amp;"Garamond,Bold"&amp;14Run date: &amp;D</oddHeader>
    <oddFooter>&amp;L&amp;"Garamond,Bold"&amp;12Scenario inputs provided on page 1 of this report&amp;R&amp;"Garamond,Bold"&amp;12Page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645825" r:id="rId4" name="Button 1">
              <controlPr defaultSize="0" print="0" autoFill="0" autoPict="0" macro="[0]!Facility_inputs">
                <anchor moveWithCells="1">
                  <from>
                    <xdr:col>1</xdr:col>
                    <xdr:colOff>104775</xdr:colOff>
                    <xdr:row>1</xdr:row>
                    <xdr:rowOff>123825</xdr:rowOff>
                  </from>
                  <to>
                    <xdr:col>2</xdr:col>
                    <xdr:colOff>276225</xdr:colOff>
                    <xdr:row>1</xdr:row>
                    <xdr:rowOff>371475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pageSetUpPr fitToPage="1"/>
  </sheetPr>
  <dimension ref="B1:G52"/>
  <sheetViews>
    <sheetView zoomScale="90" zoomScaleNormal="90" workbookViewId="0">
      <selection activeCell="H20" sqref="H20"/>
    </sheetView>
  </sheetViews>
  <sheetFormatPr defaultColWidth="9.140625" defaultRowHeight="15.75" x14ac:dyDescent="0.25"/>
  <cols>
    <col min="1" max="1" width="3.42578125" style="1918" customWidth="1"/>
    <col min="2" max="2" width="20.7109375" style="1918" customWidth="1"/>
    <col min="3" max="3" width="14.42578125" style="1918" customWidth="1"/>
    <col min="4" max="4" width="16" style="1918" customWidth="1"/>
    <col min="5" max="5" width="23.42578125" style="1918" customWidth="1"/>
    <col min="6" max="6" width="72.85546875" style="1918" customWidth="1"/>
    <col min="7" max="7" width="26.5703125" style="1918" customWidth="1"/>
    <col min="8" max="16384" width="9.140625" style="1918"/>
  </cols>
  <sheetData>
    <row r="1" spans="2:7" ht="21" x14ac:dyDescent="0.35">
      <c r="B1" s="1917" t="s">
        <v>2217</v>
      </c>
    </row>
    <row r="3" spans="2:7" ht="15.75" customHeight="1" x14ac:dyDescent="0.25">
      <c r="B3" s="2797" t="s">
        <v>2216</v>
      </c>
      <c r="C3" s="2798"/>
      <c r="D3" s="2798"/>
      <c r="E3" s="2798"/>
      <c r="F3" s="2798"/>
      <c r="G3" s="2799"/>
    </row>
    <row r="4" spans="2:7" ht="15.75" customHeight="1" x14ac:dyDescent="0.25">
      <c r="B4" s="2800" t="s">
        <v>2222</v>
      </c>
      <c r="C4" s="2801"/>
      <c r="D4" s="2801"/>
      <c r="E4" s="2801"/>
      <c r="F4" s="2801"/>
      <c r="G4" s="2802"/>
    </row>
    <row r="5" spans="2:7" s="1921" customFormat="1" ht="30" customHeight="1" x14ac:dyDescent="0.25">
      <c r="B5" s="1919" t="s">
        <v>433</v>
      </c>
      <c r="C5" s="1920" t="s">
        <v>1632</v>
      </c>
      <c r="D5" s="1920" t="s">
        <v>1633</v>
      </c>
      <c r="E5" s="1920" t="s">
        <v>1634</v>
      </c>
      <c r="F5" s="2803" t="s">
        <v>1635</v>
      </c>
      <c r="G5" s="2804"/>
    </row>
    <row r="6" spans="2:7" ht="15.75" customHeight="1" x14ac:dyDescent="0.25">
      <c r="B6" s="1436">
        <f>Markets!A16</f>
        <v>2015</v>
      </c>
      <c r="C6" s="1922">
        <f>Markets!B16</f>
        <v>51000</v>
      </c>
      <c r="D6" s="1922">
        <f>Markets!C16</f>
        <v>51000</v>
      </c>
      <c r="E6" s="1922">
        <f>Markets!D16</f>
        <v>17500</v>
      </c>
      <c r="F6" s="2805" t="s">
        <v>2220</v>
      </c>
      <c r="G6" s="2806"/>
    </row>
    <row r="7" spans="2:7" x14ac:dyDescent="0.25">
      <c r="B7" s="1443">
        <f>Markets!A17</f>
        <v>2016</v>
      </c>
      <c r="C7" s="1923">
        <f>Markets!B17</f>
        <v>54000</v>
      </c>
      <c r="D7" s="1923">
        <f>Markets!C17</f>
        <v>54000</v>
      </c>
      <c r="E7" s="1923">
        <f>Markets!D17</f>
        <v>17750</v>
      </c>
      <c r="F7" s="2805"/>
      <c r="G7" s="2806"/>
    </row>
    <row r="8" spans="2:7" x14ac:dyDescent="0.25">
      <c r="B8" s="1443">
        <f>Markets!A18</f>
        <v>2017</v>
      </c>
      <c r="C8" s="1923">
        <f>Markets!B18</f>
        <v>56250</v>
      </c>
      <c r="D8" s="1923">
        <f>Markets!C18</f>
        <v>56250</v>
      </c>
      <c r="E8" s="1923">
        <f>Markets!D18</f>
        <v>18000</v>
      </c>
      <c r="F8" s="2805"/>
      <c r="G8" s="2806"/>
    </row>
    <row r="9" spans="2:7" x14ac:dyDescent="0.25">
      <c r="B9" s="1443">
        <f>Markets!A19</f>
        <v>2018</v>
      </c>
      <c r="C9" s="1923">
        <f>Markets!B19</f>
        <v>57750</v>
      </c>
      <c r="D9" s="1923">
        <f>Markets!C19</f>
        <v>57750</v>
      </c>
      <c r="E9" s="1923">
        <f>Markets!D19</f>
        <v>18250</v>
      </c>
      <c r="F9" s="2805"/>
      <c r="G9" s="2806"/>
    </row>
    <row r="10" spans="2:7" x14ac:dyDescent="0.25">
      <c r="B10" s="1443">
        <f>Markets!A20</f>
        <v>2019</v>
      </c>
      <c r="C10" s="1923">
        <f>Markets!B20</f>
        <v>59250</v>
      </c>
      <c r="D10" s="1923">
        <f>Markets!C20</f>
        <v>59250</v>
      </c>
      <c r="E10" s="1923">
        <f>Markets!D20</f>
        <v>18500</v>
      </c>
      <c r="F10" s="2805"/>
      <c r="G10" s="2806"/>
    </row>
    <row r="11" spans="2:7" x14ac:dyDescent="0.25">
      <c r="B11" s="1451">
        <f>Markets!A21</f>
        <v>2020</v>
      </c>
      <c r="C11" s="1924">
        <f>Markets!B21</f>
        <v>60750</v>
      </c>
      <c r="D11" s="1924">
        <f>Markets!C21</f>
        <v>60750</v>
      </c>
      <c r="E11" s="1924">
        <f>Markets!D21</f>
        <v>18750</v>
      </c>
      <c r="F11" s="2807"/>
      <c r="G11" s="2808"/>
    </row>
    <row r="13" spans="2:7" ht="15.75" customHeight="1" x14ac:dyDescent="0.25">
      <c r="B13" s="1925"/>
      <c r="C13" s="1925"/>
      <c r="D13" s="1925"/>
    </row>
    <row r="14" spans="2:7" x14ac:dyDescent="0.25">
      <c r="B14" s="1925"/>
      <c r="C14" s="1925"/>
      <c r="D14" s="1925"/>
    </row>
    <row r="15" spans="2:7" x14ac:dyDescent="0.25">
      <c r="B15" s="1925"/>
      <c r="C15" s="1925"/>
      <c r="D15" s="1925"/>
    </row>
    <row r="16" spans="2:7" x14ac:dyDescent="0.25">
      <c r="B16" s="1925"/>
      <c r="C16" s="1925"/>
      <c r="D16" s="1925"/>
    </row>
    <row r="17" spans="2:4" x14ac:dyDescent="0.25">
      <c r="B17" s="1925"/>
      <c r="C17" s="1925"/>
      <c r="D17" s="1925"/>
    </row>
    <row r="18" spans="2:4" x14ac:dyDescent="0.25">
      <c r="B18" s="1925"/>
      <c r="C18" s="1925"/>
      <c r="D18" s="1925"/>
    </row>
    <row r="19" spans="2:4" x14ac:dyDescent="0.25">
      <c r="B19" s="1925"/>
      <c r="C19" s="1925"/>
      <c r="D19" s="1925"/>
    </row>
    <row r="44" ht="15.75" customHeight="1" x14ac:dyDescent="0.25"/>
    <row r="45" ht="33" customHeight="1" x14ac:dyDescent="0.25"/>
    <row r="46" ht="33.6" customHeight="1" x14ac:dyDescent="0.25"/>
    <row r="47" ht="15.75" customHeight="1" x14ac:dyDescent="0.25"/>
    <row r="48" ht="36" customHeight="1" x14ac:dyDescent="0.25"/>
    <row r="49" ht="32.450000000000003" customHeight="1" x14ac:dyDescent="0.25"/>
    <row r="50" ht="15.75" customHeight="1" x14ac:dyDescent="0.25"/>
    <row r="51" ht="17.45" customHeight="1" x14ac:dyDescent="0.25"/>
    <row r="52" ht="36.6" customHeight="1" x14ac:dyDescent="0.25"/>
  </sheetData>
  <sheetProtection password="C411" sheet="1" objects="1" scenarios="1"/>
  <mergeCells count="4">
    <mergeCell ref="B3:G3"/>
    <mergeCell ref="B4:G4"/>
    <mergeCell ref="F5:G5"/>
    <mergeCell ref="F6:G11"/>
  </mergeCells>
  <pageMargins left="0.7" right="0.7" top="0.75" bottom="0.75" header="0.3" footer="0.3"/>
  <pageSetup scale="76"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Q80"/>
  <sheetViews>
    <sheetView zoomScale="90" zoomScaleNormal="90" workbookViewId="0">
      <selection activeCell="G37" sqref="G37"/>
    </sheetView>
  </sheetViews>
  <sheetFormatPr defaultRowHeight="15" x14ac:dyDescent="0.25"/>
  <cols>
    <col min="1" max="1" width="41.5703125" customWidth="1"/>
    <col min="2" max="2" width="20.5703125" bestFit="1" customWidth="1"/>
    <col min="3" max="3" width="43" customWidth="1"/>
    <col min="4" max="4" width="4.7109375" style="135" customWidth="1"/>
    <col min="5" max="5" width="42.85546875" style="215" customWidth="1"/>
    <col min="6" max="6" width="23.85546875" style="215" bestFit="1" customWidth="1"/>
    <col min="7" max="7" width="21" customWidth="1"/>
  </cols>
  <sheetData>
    <row r="1" spans="1:11" x14ac:dyDescent="0.25">
      <c r="A1" s="386" t="s">
        <v>1931</v>
      </c>
      <c r="B1" s="1899"/>
      <c r="C1" s="1899"/>
      <c r="D1" s="1219"/>
      <c r="E1" s="386" t="s">
        <v>1932</v>
      </c>
      <c r="F1" s="1900"/>
      <c r="G1" s="1900"/>
    </row>
    <row r="2" spans="1:11" x14ac:dyDescent="0.25">
      <c r="A2" s="216" t="s">
        <v>2172</v>
      </c>
      <c r="D2" s="1220"/>
      <c r="E2" s="216"/>
    </row>
    <row r="3" spans="1:11" x14ac:dyDescent="0.25">
      <c r="A3" s="1317" t="s">
        <v>2163</v>
      </c>
      <c r="B3" s="385"/>
      <c r="C3" s="385"/>
      <c r="D3" s="1221"/>
      <c r="E3" s="1200" t="s">
        <v>2018</v>
      </c>
      <c r="F3" s="385"/>
    </row>
    <row r="4" spans="1:11" x14ac:dyDescent="0.25">
      <c r="A4" s="1317" t="s">
        <v>2022</v>
      </c>
      <c r="B4" s="385"/>
      <c r="C4" s="385"/>
      <c r="E4"/>
      <c r="F4"/>
      <c r="H4" t="s">
        <v>1691</v>
      </c>
    </row>
    <row r="5" spans="1:11" x14ac:dyDescent="0.25">
      <c r="A5" s="216"/>
      <c r="B5" s="24"/>
      <c r="C5" s="22"/>
      <c r="D5" s="1222"/>
      <c r="E5"/>
      <c r="F5" t="s">
        <v>1724</v>
      </c>
      <c r="H5" t="s">
        <v>1725</v>
      </c>
      <c r="J5" t="s">
        <v>1726</v>
      </c>
    </row>
    <row r="6" spans="1:11" x14ac:dyDescent="0.25">
      <c r="A6" s="22" t="s">
        <v>1051</v>
      </c>
      <c r="B6" s="22">
        <v>-0.40500000000000003</v>
      </c>
      <c r="C6" s="22" t="s">
        <v>1055</v>
      </c>
      <c r="D6" s="1221"/>
      <c r="E6" t="s">
        <v>445</v>
      </c>
      <c r="F6" s="2">
        <v>2400</v>
      </c>
      <c r="G6" s="744">
        <f>F6/F$8</f>
        <v>0.52363636363636357</v>
      </c>
      <c r="H6" s="2">
        <v>2400</v>
      </c>
      <c r="I6" s="744">
        <f>H6/H$8</f>
        <v>0.68571428571428572</v>
      </c>
      <c r="J6" s="2">
        <v>2400</v>
      </c>
      <c r="K6" s="744">
        <f>J6/J$8</f>
        <v>0.82285714285714273</v>
      </c>
    </row>
    <row r="7" spans="1:11" x14ac:dyDescent="0.25">
      <c r="B7" s="17" t="s">
        <v>1073</v>
      </c>
      <c r="E7" t="s">
        <v>976</v>
      </c>
      <c r="F7" s="1318">
        <f>F11-F6-F10</f>
        <v>2183.3333333333335</v>
      </c>
      <c r="G7" s="744">
        <f>F7/F$8</f>
        <v>0.47636363636363632</v>
      </c>
      <c r="H7">
        <v>1100</v>
      </c>
      <c r="I7" s="744">
        <f>H7/H$8</f>
        <v>0.31428571428571428</v>
      </c>
      <c r="J7" s="1318">
        <f>J11-J6-J10</f>
        <v>516.66666666666674</v>
      </c>
      <c r="K7" s="744">
        <f>J7/J$8</f>
        <v>0.17714285714285716</v>
      </c>
    </row>
    <row r="8" spans="1:11" x14ac:dyDescent="0.25">
      <c r="A8" s="22" t="s">
        <v>1067</v>
      </c>
      <c r="B8" s="209">
        <f>'PEM sectors'!P62</f>
        <v>1379.2</v>
      </c>
      <c r="C8" s="1201" t="s">
        <v>1056</v>
      </c>
      <c r="E8" t="s">
        <v>1727</v>
      </c>
      <c r="F8" s="1318">
        <f>SUM(F6:F7)</f>
        <v>4583.3333333333339</v>
      </c>
      <c r="G8" s="744">
        <f>F8/F$8</f>
        <v>1</v>
      </c>
      <c r="H8">
        <f>SUM(H6:H7)</f>
        <v>3500</v>
      </c>
      <c r="I8" s="744">
        <f>H8/H$8</f>
        <v>1</v>
      </c>
      <c r="J8" s="1318">
        <f>SUM(J6:J7)</f>
        <v>2916.666666666667</v>
      </c>
      <c r="K8" s="744">
        <f>J8/J$8</f>
        <v>1</v>
      </c>
    </row>
    <row r="9" spans="1:11" x14ac:dyDescent="0.25">
      <c r="A9" s="22" t="s">
        <v>2010</v>
      </c>
      <c r="B9" s="1314">
        <f>B8/5^B$6</f>
        <v>2646.7328047080241</v>
      </c>
      <c r="C9" s="22"/>
      <c r="E9" s="974"/>
      <c r="F9"/>
    </row>
    <row r="10" spans="1:11" x14ac:dyDescent="0.25">
      <c r="A10" s="1842" t="s">
        <v>2026</v>
      </c>
      <c r="B10" s="209">
        <f>$B$9*'Backup INPUTS'!avgSize^$B$6</f>
        <v>1379.2</v>
      </c>
      <c r="E10" t="s">
        <v>1465</v>
      </c>
      <c r="F10" s="1319">
        <f>(1/6)*F11</f>
        <v>916.66666666666663</v>
      </c>
      <c r="G10" s="744">
        <f>F10/F$11</f>
        <v>0.16666666666666666</v>
      </c>
      <c r="H10" s="2">
        <v>700</v>
      </c>
      <c r="I10" s="744">
        <f>H10/H$11</f>
        <v>0.16666666666666666</v>
      </c>
      <c r="J10" s="1319">
        <f>(1/6)*J11</f>
        <v>583.33333333333326</v>
      </c>
      <c r="K10" s="744">
        <f>J10/J$11</f>
        <v>0.16666666666666666</v>
      </c>
    </row>
    <row r="11" spans="1:11" x14ac:dyDescent="0.25">
      <c r="E11" t="s">
        <v>448</v>
      </c>
      <c r="F11" s="2">
        <v>5500</v>
      </c>
      <c r="H11" s="2">
        <v>4200</v>
      </c>
      <c r="J11" s="2">
        <v>3500</v>
      </c>
      <c r="K11" s="2" t="s">
        <v>1728</v>
      </c>
    </row>
    <row r="12" spans="1:11" x14ac:dyDescent="0.25">
      <c r="A12" t="s">
        <v>2020</v>
      </c>
    </row>
    <row r="13" spans="1:11" x14ac:dyDescent="0.25">
      <c r="A13" s="287" t="s">
        <v>2073</v>
      </c>
      <c r="B13" s="289">
        <v>2</v>
      </c>
      <c r="E13" s="2809" t="s">
        <v>2019</v>
      </c>
      <c r="F13" t="s">
        <v>1729</v>
      </c>
      <c r="G13" t="s">
        <v>1730</v>
      </c>
    </row>
    <row r="14" spans="1:11" x14ac:dyDescent="0.25">
      <c r="A14" s="287" t="s">
        <v>1070</v>
      </c>
      <c r="B14" s="288">
        <f>B8*B13</f>
        <v>2758.4</v>
      </c>
      <c r="E14" s="2809"/>
      <c r="F14">
        <v>300</v>
      </c>
      <c r="G14" s="1318">
        <f>F8</f>
        <v>4583.3333333333339</v>
      </c>
    </row>
    <row r="15" spans="1:11" x14ac:dyDescent="0.25">
      <c r="A15" s="287" t="s">
        <v>2011</v>
      </c>
      <c r="B15" s="1314">
        <f>B14/5^B$6</f>
        <v>5293.4656094160482</v>
      </c>
      <c r="D15" s="1221"/>
      <c r="E15"/>
      <c r="F15">
        <v>1400</v>
      </c>
      <c r="G15" s="1318">
        <v>3500</v>
      </c>
    </row>
    <row r="16" spans="1:11" x14ac:dyDescent="0.25">
      <c r="A16" s="1843" t="s">
        <v>2027</v>
      </c>
      <c r="B16" s="209">
        <f>$B$15*'Forklift INPUTS'!avgSize^$B$6</f>
        <v>2083.2437900082487</v>
      </c>
      <c r="E16"/>
      <c r="F16">
        <v>2800</v>
      </c>
      <c r="G16" s="1318">
        <f>J8</f>
        <v>2916.666666666667</v>
      </c>
    </row>
    <row r="17" spans="1:8" ht="17.25" x14ac:dyDescent="0.25">
      <c r="A17" s="1844" t="s">
        <v>2028</v>
      </c>
      <c r="B17" s="209">
        <f>$B$15*'Forklift INPUTS'!avgSize_c3^$B$6</f>
        <v>3997.8173428212776</v>
      </c>
      <c r="D17" s="1223"/>
      <c r="E17" s="17" t="s">
        <v>2023</v>
      </c>
      <c r="F17" t="s">
        <v>1731</v>
      </c>
    </row>
    <row r="18" spans="1:8" x14ac:dyDescent="0.25">
      <c r="A18" s="22"/>
      <c r="B18" s="209"/>
      <c r="C18" s="22"/>
      <c r="E18" s="1200" t="s">
        <v>2119</v>
      </c>
      <c r="F18" s="385"/>
    </row>
    <row r="19" spans="1:8" x14ac:dyDescent="0.25">
      <c r="A19" s="1831" t="s">
        <v>1054</v>
      </c>
      <c r="B19" s="17" t="s">
        <v>1073</v>
      </c>
      <c r="D19" s="1221"/>
      <c r="F19"/>
    </row>
    <row r="20" spans="1:8" x14ac:dyDescent="0.25">
      <c r="A20" s="22"/>
      <c r="B20" s="104" t="s">
        <v>446</v>
      </c>
      <c r="C20" s="290" t="s">
        <v>1069</v>
      </c>
      <c r="D20" s="1221"/>
      <c r="E20" s="758" t="s">
        <v>2170</v>
      </c>
      <c r="F20" t="s">
        <v>2012</v>
      </c>
      <c r="G20" s="758" t="s">
        <v>1732</v>
      </c>
      <c r="H20" t="s">
        <v>2012</v>
      </c>
    </row>
    <row r="21" spans="1:8" x14ac:dyDescent="0.25">
      <c r="A21" s="22" t="s">
        <v>1068</v>
      </c>
      <c r="B21" s="210">
        <f>B8*5</f>
        <v>6896</v>
      </c>
      <c r="D21" s="1223"/>
      <c r="E21" s="1227">
        <v>3500</v>
      </c>
      <c r="F21" t="str">
        <f>IF('Prime INPUTS'!E8=Lists!$B$24,E21/(1400^-0.198), "NA")</f>
        <v>NA</v>
      </c>
      <c r="G21" s="1227">
        <v>4250</v>
      </c>
      <c r="H21" t="str">
        <f>IF('Prime INPUTS'!E8=Lists!$B$25,G21/(400^-0.198),"NA")</f>
        <v>NA</v>
      </c>
    </row>
    <row r="22" spans="1:8" x14ac:dyDescent="0.25">
      <c r="A22" s="1842" t="s">
        <v>2173</v>
      </c>
      <c r="B22" s="210">
        <f>B10*'Backup INPUTS'!avgSize</f>
        <v>6896</v>
      </c>
      <c r="C22" s="22">
        <f>B22/B$21</f>
        <v>1</v>
      </c>
      <c r="D22" s="1221"/>
      <c r="E22" s="215" t="s">
        <v>2171</v>
      </c>
      <c r="G22" t="s">
        <v>2060</v>
      </c>
    </row>
    <row r="23" spans="1:8" x14ac:dyDescent="0.25">
      <c r="A23" s="22"/>
      <c r="B23" s="210"/>
      <c r="C23" s="22"/>
      <c r="D23" s="1221"/>
    </row>
    <row r="24" spans="1:8" x14ac:dyDescent="0.25">
      <c r="A24" s="22" t="s">
        <v>1071</v>
      </c>
      <c r="B24" s="210">
        <f>B14*5</f>
        <v>13792</v>
      </c>
      <c r="C24" s="290" t="s">
        <v>1072</v>
      </c>
      <c r="E24" s="1317" t="s">
        <v>2021</v>
      </c>
      <c r="F24" s="385"/>
      <c r="G24" s="385"/>
    </row>
    <row r="25" spans="1:8" x14ac:dyDescent="0.25">
      <c r="A25" s="1843" t="s">
        <v>2174</v>
      </c>
      <c r="B25" s="210">
        <f>B16*'Forklift INPUTS'!avgSize</f>
        <v>20832.437900082485</v>
      </c>
      <c r="C25" s="22">
        <f>B25/B$24</f>
        <v>1.5104725855628252</v>
      </c>
      <c r="E25"/>
      <c r="F25" t="s">
        <v>1691</v>
      </c>
      <c r="G25" t="s">
        <v>1690</v>
      </c>
    </row>
    <row r="26" spans="1:8" x14ac:dyDescent="0.25">
      <c r="A26" s="1844" t="s">
        <v>2175</v>
      </c>
      <c r="B26" s="210">
        <f>B17*'Forklift INPUTS'!avgSize_c3</f>
        <v>7995.6346856425553</v>
      </c>
      <c r="C26" s="22">
        <f>B26/B$24</f>
        <v>0.57972989310053324</v>
      </c>
      <c r="E26"/>
      <c r="F26" s="2" t="s">
        <v>1694</v>
      </c>
    </row>
    <row r="27" spans="1:8" x14ac:dyDescent="0.25">
      <c r="E27" t="s">
        <v>2029</v>
      </c>
      <c r="F27" t="e">
        <f>Costs!F21*'Prime INPUTS'!avgSize^-0.198</f>
        <v>#VALUE!</v>
      </c>
      <c r="G27" t="e">
        <f>Costs!H21*'Prime INPUTS'!avgSize^-0.198</f>
        <v>#VALUE!</v>
      </c>
    </row>
    <row r="28" spans="1:8" x14ac:dyDescent="0.25">
      <c r="E28"/>
      <c r="F28"/>
    </row>
    <row r="30" spans="1:8" x14ac:dyDescent="0.25">
      <c r="A30" s="386" t="s">
        <v>1931</v>
      </c>
      <c r="E30" s="386" t="s">
        <v>1932</v>
      </c>
    </row>
    <row r="31" spans="1:8" x14ac:dyDescent="0.25">
      <c r="A31" s="1831" t="s">
        <v>511</v>
      </c>
      <c r="B31" s="22"/>
      <c r="E31" s="1832" t="str">
        <f>A31</f>
        <v>Cost function parameters</v>
      </c>
    </row>
    <row r="32" spans="1:8" x14ac:dyDescent="0.25">
      <c r="A32" s="1833" t="s">
        <v>1938</v>
      </c>
      <c r="B32" s="22"/>
      <c r="C32" s="2" t="s">
        <v>444</v>
      </c>
      <c r="E32" s="1834" t="str">
        <f t="shared" ref="E32:E46" si="0">A32</f>
        <v>Learning effects</v>
      </c>
      <c r="F32" s="1228"/>
      <c r="G32" s="17" t="s">
        <v>444</v>
      </c>
    </row>
    <row r="33" spans="1:17" x14ac:dyDescent="0.25">
      <c r="A33" s="22" t="s">
        <v>415</v>
      </c>
      <c r="B33" s="212">
        <v>0.9</v>
      </c>
      <c r="C33" t="s">
        <v>568</v>
      </c>
      <c r="E33" s="1230" t="str">
        <f t="shared" si="0"/>
        <v>Progress Ratio</v>
      </c>
      <c r="F33" t="s">
        <v>2024</v>
      </c>
      <c r="G33" s="215"/>
    </row>
    <row r="34" spans="1:17" x14ac:dyDescent="0.25">
      <c r="A34" s="22" t="s">
        <v>1456</v>
      </c>
      <c r="B34" s="325">
        <f>LN(progressRatio)/LN(2)</f>
        <v>-0.15200309344504997</v>
      </c>
      <c r="C34" t="s">
        <v>568</v>
      </c>
      <c r="E34" s="1230" t="str">
        <f t="shared" si="0"/>
        <v>Learning exponent</v>
      </c>
      <c r="F34" t="s">
        <v>2024</v>
      </c>
      <c r="G34" s="215"/>
    </row>
    <row r="35" spans="1:17" x14ac:dyDescent="0.25">
      <c r="A35" s="22"/>
      <c r="B35" s="325"/>
      <c r="E35" s="1230"/>
      <c r="F35"/>
      <c r="G35" s="215"/>
    </row>
    <row r="36" spans="1:17" x14ac:dyDescent="0.25">
      <c r="A36" s="1833" t="s">
        <v>1939</v>
      </c>
      <c r="B36" s="325"/>
      <c r="E36" s="1834" t="str">
        <f t="shared" si="0"/>
        <v>Scale effects</v>
      </c>
      <c r="G36" s="17"/>
    </row>
    <row r="37" spans="1:17" x14ac:dyDescent="0.25">
      <c r="A37" s="22" t="s">
        <v>2166</v>
      </c>
      <c r="B37" s="213">
        <v>2000</v>
      </c>
      <c r="C37" s="215" t="s">
        <v>2165</v>
      </c>
      <c r="E37" s="1230" t="str">
        <f t="shared" si="0"/>
        <v>Production Volume for Initial Cost (units/firm/year)</v>
      </c>
      <c r="F37" s="215">
        <f>IF('Prime INPUTS'!E8=Lists!$B$24,22,IF('Prime INPUTS'!E8=Lists!$B$25,35*0.4,0))</f>
        <v>0</v>
      </c>
      <c r="G37" t="s">
        <v>2115</v>
      </c>
      <c r="I37" s="215" t="s">
        <v>2061</v>
      </c>
    </row>
    <row r="38" spans="1:17" x14ac:dyDescent="0.25">
      <c r="A38" s="22" t="s">
        <v>2164</v>
      </c>
      <c r="B38" s="213">
        <v>5000</v>
      </c>
      <c r="C38" s="215" t="s">
        <v>568</v>
      </c>
      <c r="E38" s="22" t="s">
        <v>1942</v>
      </c>
      <c r="F38" s="215">
        <f>IF('Prime INPUTS'!E8=Lists!$B$24,200,IF('Prime INPUTS'!E8=Lists!$B$25,200*0.4,0))</f>
        <v>0</v>
      </c>
      <c r="G38" s="1" t="s">
        <v>568</v>
      </c>
      <c r="H38" s="215" t="s">
        <v>2063</v>
      </c>
      <c r="L38" s="215" t="s">
        <v>2062</v>
      </c>
    </row>
    <row r="39" spans="1:17" x14ac:dyDescent="0.25">
      <c r="A39" s="22" t="s">
        <v>1941</v>
      </c>
      <c r="B39" s="213">
        <v>3</v>
      </c>
      <c r="C39" s="215" t="s">
        <v>568</v>
      </c>
      <c r="E39" s="1230" t="str">
        <f t="shared" si="0"/>
        <v>Number of manufacturers</v>
      </c>
      <c r="F39">
        <v>1</v>
      </c>
      <c r="G39" s="1" t="s">
        <v>568</v>
      </c>
    </row>
    <row r="40" spans="1:17" x14ac:dyDescent="0.25">
      <c r="A40" s="22" t="s">
        <v>419</v>
      </c>
      <c r="B40" s="214">
        <v>-0.2</v>
      </c>
      <c r="C40" s="215" t="s">
        <v>568</v>
      </c>
      <c r="E40" s="1230" t="str">
        <f t="shared" si="0"/>
        <v>Scale Elasticity</v>
      </c>
      <c r="F40" t="s">
        <v>2024</v>
      </c>
      <c r="G40" s="215"/>
    </row>
    <row r="41" spans="1:17" x14ac:dyDescent="0.25">
      <c r="A41" s="22"/>
      <c r="B41" s="214"/>
      <c r="E41" s="211"/>
      <c r="F41"/>
      <c r="G41" s="215"/>
    </row>
    <row r="42" spans="1:17" x14ac:dyDescent="0.25">
      <c r="A42" s="1833" t="s">
        <v>1940</v>
      </c>
      <c r="B42" s="214"/>
      <c r="E42" s="1834" t="str">
        <f t="shared" si="0"/>
        <v>Technological progress</v>
      </c>
      <c r="F42"/>
      <c r="G42" s="215"/>
    </row>
    <row r="43" spans="1:17" x14ac:dyDescent="0.25">
      <c r="A43" s="22" t="s">
        <v>420</v>
      </c>
      <c r="B43" s="214">
        <v>0.02</v>
      </c>
      <c r="C43" s="215" t="s">
        <v>568</v>
      </c>
      <c r="E43" s="1230" t="str">
        <f t="shared" si="0"/>
        <v>Annual Rate of Technological Progress</v>
      </c>
      <c r="F43" t="s">
        <v>2024</v>
      </c>
      <c r="G43" s="215"/>
    </row>
    <row r="44" spans="1:17" x14ac:dyDescent="0.25">
      <c r="A44" s="1224"/>
      <c r="B44" s="1229"/>
      <c r="E44" s="211"/>
      <c r="F44"/>
      <c r="G44" s="215"/>
    </row>
    <row r="45" spans="1:17" x14ac:dyDescent="0.25">
      <c r="A45" s="1224"/>
      <c r="B45" s="1229"/>
      <c r="E45" s="211"/>
      <c r="F45"/>
      <c r="G45" s="215"/>
    </row>
    <row r="46" spans="1:17" x14ac:dyDescent="0.25">
      <c r="A46" s="1835" t="s">
        <v>1937</v>
      </c>
      <c r="B46" s="215">
        <v>2010</v>
      </c>
      <c r="C46" t="s">
        <v>2165</v>
      </c>
      <c r="E46" s="1836" t="str">
        <f t="shared" si="0"/>
        <v>Starting year</v>
      </c>
      <c r="F46">
        <v>2010</v>
      </c>
      <c r="G46" s="215" t="s">
        <v>2169</v>
      </c>
    </row>
    <row r="47" spans="1:17" x14ac:dyDescent="0.25">
      <c r="A47" s="1837" t="s">
        <v>566</v>
      </c>
      <c r="B47" s="215"/>
      <c r="E47" s="1312"/>
      <c r="G47" s="215"/>
    </row>
    <row r="48" spans="1:17" x14ac:dyDescent="0.25">
      <c r="A48" s="1838" t="s">
        <v>1953</v>
      </c>
      <c r="B48" s="1226">
        <f>MROUND(Markets!K11,100)</f>
        <v>3200</v>
      </c>
      <c r="C48" t="s">
        <v>2167</v>
      </c>
      <c r="E48" s="1841" t="s">
        <v>2013</v>
      </c>
      <c r="F48" s="1226">
        <f>IF('Prime INPUTS'!E8=Lists!$B$24,(182-56),IF('Prime INPUTS'!E8=Lists!$B$25,(270*0.2+35*0.4),0))</f>
        <v>0</v>
      </c>
      <c r="G48" t="s">
        <v>2116</v>
      </c>
      <c r="Q48" s="215" t="s">
        <v>2117</v>
      </c>
    </row>
    <row r="49" spans="1:11" x14ac:dyDescent="0.25">
      <c r="A49" s="1838" t="s">
        <v>2008</v>
      </c>
      <c r="B49" s="1226">
        <v>3000</v>
      </c>
      <c r="C49" t="s">
        <v>1955</v>
      </c>
      <c r="E49" s="1841" t="s">
        <v>2037</v>
      </c>
      <c r="F49" s="1226">
        <f>IF('Prime INPUTS'!$E$8=Lists!$B$24,60,IF('Prime INPUTS'!$E$8=Lists!$B$25,60/22*F37,0))</f>
        <v>0</v>
      </c>
      <c r="G49" t="s">
        <v>2118</v>
      </c>
      <c r="K49" s="215" t="s">
        <v>2064</v>
      </c>
    </row>
    <row r="50" spans="1:11" x14ac:dyDescent="0.25">
      <c r="A50" s="1838" t="s">
        <v>2009</v>
      </c>
      <c r="B50" s="1226">
        <v>3000</v>
      </c>
      <c r="C50" t="s">
        <v>1955</v>
      </c>
      <c r="E50" s="1841" t="s">
        <v>1956</v>
      </c>
      <c r="F50" s="1226">
        <f>IF('Prime INPUTS'!$E$8=Lists!$B$24,60,IF('Prime INPUTS'!$E$8=Lists!$B$25,60/22*F37,0))</f>
        <v>0</v>
      </c>
      <c r="G50" t="s">
        <v>1955</v>
      </c>
    </row>
    <row r="51" spans="1:11" x14ac:dyDescent="0.25">
      <c r="A51" s="1225"/>
      <c r="B51" s="1226"/>
      <c r="C51" s="215"/>
      <c r="D51" s="215"/>
      <c r="E51" s="1225"/>
      <c r="F51" s="1234"/>
      <c r="G51" s="215"/>
    </row>
    <row r="52" spans="1:11" x14ac:dyDescent="0.25">
      <c r="A52" s="1839" t="s">
        <v>1454</v>
      </c>
      <c r="B52" s="1226"/>
      <c r="C52" s="215"/>
      <c r="D52" s="215"/>
      <c r="E52" s="1225"/>
      <c r="F52" s="1234"/>
      <c r="G52" s="215"/>
    </row>
    <row r="53" spans="1:11" x14ac:dyDescent="0.25">
      <c r="A53" s="1840" t="s">
        <v>1954</v>
      </c>
      <c r="B53" s="1226">
        <f>MROUND(Markets!H11+Markets!H11*Costs!C26,100)</f>
        <v>2700</v>
      </c>
      <c r="C53" s="215" t="s">
        <v>2168</v>
      </c>
      <c r="D53" s="215"/>
    </row>
    <row r="54" spans="1:11" x14ac:dyDescent="0.25">
      <c r="A54" s="1840" t="s">
        <v>2008</v>
      </c>
      <c r="B54" s="215">
        <v>3000</v>
      </c>
      <c r="C54" s="215" t="s">
        <v>1955</v>
      </c>
      <c r="D54" s="215"/>
    </row>
    <row r="55" spans="1:11" x14ac:dyDescent="0.25">
      <c r="A55" s="1840" t="s">
        <v>2009</v>
      </c>
      <c r="B55" s="215">
        <v>3000</v>
      </c>
      <c r="C55" s="215" t="s">
        <v>1955</v>
      </c>
      <c r="D55" s="215"/>
    </row>
    <row r="56" spans="1:11" x14ac:dyDescent="0.25">
      <c r="A56" s="1234"/>
      <c r="B56" s="215"/>
      <c r="C56" s="215"/>
      <c r="D56" s="215"/>
    </row>
    <row r="57" spans="1:11" ht="15.75" x14ac:dyDescent="0.25">
      <c r="A57" s="17" t="s">
        <v>1482</v>
      </c>
      <c r="B57" s="242">
        <v>0.5</v>
      </c>
      <c r="C57" s="215" t="s">
        <v>2165</v>
      </c>
      <c r="D57" s="215"/>
      <c r="G57" s="215"/>
    </row>
    <row r="58" spans="1:11" x14ac:dyDescent="0.25">
      <c r="A58" s="17" t="s">
        <v>1483</v>
      </c>
      <c r="B58" s="215">
        <v>0.5</v>
      </c>
      <c r="C58" s="215" t="s">
        <v>2165</v>
      </c>
      <c r="D58" s="215"/>
      <c r="G58" s="215"/>
    </row>
    <row r="59" spans="1:11" x14ac:dyDescent="0.25">
      <c r="C59" s="215"/>
      <c r="D59" s="215"/>
    </row>
    <row r="60" spans="1:11" x14ac:dyDescent="0.25">
      <c r="C60" s="215"/>
      <c r="D60" s="215"/>
    </row>
    <row r="61" spans="1:11" x14ac:dyDescent="0.25">
      <c r="C61" s="215"/>
      <c r="D61" s="215"/>
    </row>
    <row r="62" spans="1:11" x14ac:dyDescent="0.25">
      <c r="B62" s="744"/>
      <c r="C62" s="215"/>
      <c r="D62" s="215"/>
    </row>
    <row r="63" spans="1:11" x14ac:dyDescent="0.25">
      <c r="C63" s="215"/>
      <c r="D63" s="215"/>
    </row>
    <row r="64" spans="1:11" x14ac:dyDescent="0.25">
      <c r="C64" s="215"/>
      <c r="D64" s="215"/>
    </row>
    <row r="65" spans="3:4" x14ac:dyDescent="0.25">
      <c r="C65" s="215"/>
      <c r="D65" s="215"/>
    </row>
    <row r="66" spans="3:4" x14ac:dyDescent="0.25">
      <c r="C66" s="215"/>
      <c r="D66" s="215"/>
    </row>
    <row r="67" spans="3:4" x14ac:dyDescent="0.25">
      <c r="C67" s="215"/>
      <c r="D67" s="215"/>
    </row>
    <row r="68" spans="3:4" x14ac:dyDescent="0.25">
      <c r="C68" s="215"/>
      <c r="D68" s="215"/>
    </row>
    <row r="69" spans="3:4" x14ac:dyDescent="0.25">
      <c r="C69" s="215"/>
      <c r="D69" s="215"/>
    </row>
    <row r="70" spans="3:4" x14ac:dyDescent="0.25">
      <c r="C70" s="215"/>
      <c r="D70" s="215"/>
    </row>
    <row r="71" spans="3:4" x14ac:dyDescent="0.25">
      <c r="C71" s="215"/>
      <c r="D71" s="215"/>
    </row>
    <row r="72" spans="3:4" x14ac:dyDescent="0.25">
      <c r="C72" s="215"/>
      <c r="D72" s="215"/>
    </row>
    <row r="73" spans="3:4" x14ac:dyDescent="0.25">
      <c r="C73" s="215"/>
      <c r="D73" s="215"/>
    </row>
    <row r="74" spans="3:4" x14ac:dyDescent="0.25">
      <c r="C74" s="215"/>
      <c r="D74" s="215"/>
    </row>
    <row r="75" spans="3:4" x14ac:dyDescent="0.25">
      <c r="C75" s="215"/>
      <c r="D75" s="215"/>
    </row>
    <row r="76" spans="3:4" x14ac:dyDescent="0.25">
      <c r="C76" s="215"/>
      <c r="D76" s="215"/>
    </row>
    <row r="77" spans="3:4" x14ac:dyDescent="0.25">
      <c r="C77" s="215"/>
      <c r="D77" s="215"/>
    </row>
    <row r="78" spans="3:4" x14ac:dyDescent="0.25">
      <c r="C78" s="215"/>
      <c r="D78" s="215"/>
    </row>
    <row r="79" spans="3:4" x14ac:dyDescent="0.25">
      <c r="C79" s="215"/>
      <c r="D79" s="215"/>
    </row>
    <row r="80" spans="3:4" x14ac:dyDescent="0.25">
      <c r="C80" s="215"/>
      <c r="D80" s="215"/>
    </row>
  </sheetData>
  <mergeCells count="1">
    <mergeCell ref="E13:E14"/>
  </mergeCells>
  <pageMargins left="0.7" right="0.7" top="0.75" bottom="0.75" header="0.3" footer="0.3"/>
  <pageSetup orientation="portrait" verticalDpi="0"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4:G49"/>
  <sheetViews>
    <sheetView zoomScaleNormal="100" workbookViewId="0">
      <selection activeCell="I18" sqref="I18"/>
    </sheetView>
  </sheetViews>
  <sheetFormatPr defaultRowHeight="15" x14ac:dyDescent="0.25"/>
  <cols>
    <col min="2" max="2" width="24.5703125" customWidth="1"/>
    <col min="3" max="3" width="15.140625" customWidth="1"/>
    <col min="4" max="4" width="18.42578125" customWidth="1"/>
    <col min="5" max="5" width="16.7109375" customWidth="1"/>
    <col min="6" max="6" width="11" customWidth="1"/>
    <col min="7" max="7" width="10.7109375" customWidth="1"/>
  </cols>
  <sheetData>
    <row r="4" spans="1:6" x14ac:dyDescent="0.25">
      <c r="A4" s="1307" t="s">
        <v>2004</v>
      </c>
      <c r="B4" s="1308"/>
    </row>
    <row r="5" spans="1:6" s="1304" customFormat="1" x14ac:dyDescent="0.25">
      <c r="B5" s="1305" t="s">
        <v>2003</v>
      </c>
    </row>
    <row r="6" spans="1:6" s="11" customFormat="1" ht="30" x14ac:dyDescent="0.25">
      <c r="A6" s="1303" t="s">
        <v>433</v>
      </c>
      <c r="B6" s="1303" t="s">
        <v>2015</v>
      </c>
      <c r="C6" s="1303" t="s">
        <v>2016</v>
      </c>
      <c r="D6" s="1303" t="s">
        <v>2017</v>
      </c>
      <c r="E6" s="1303" t="s">
        <v>2002</v>
      </c>
      <c r="F6" s="1303" t="s">
        <v>2025</v>
      </c>
    </row>
    <row r="7" spans="1:6" x14ac:dyDescent="0.25">
      <c r="A7">
        <v>2010</v>
      </c>
      <c r="B7" s="744">
        <f>('Backup INPUTS'!G554/'Backup INPUTS'!G$554)^Costs!$B$34</f>
        <v>1</v>
      </c>
      <c r="C7" s="744">
        <f>IF('Backup INPUTS'!F554&lt;=FullScale,(('Backup INPUTS'!F554/productionCostLevel)^scaleElasticity),((FullScale/productionCostLevel)^scaleElasticity))</f>
        <v>1</v>
      </c>
      <c r="D7" s="1313">
        <v>1</v>
      </c>
      <c r="E7" s="744">
        <f>B7*C7*D7</f>
        <v>1</v>
      </c>
      <c r="F7" s="1320">
        <f>E7*Costs!$B$10</f>
        <v>1379.2</v>
      </c>
    </row>
    <row r="8" spans="1:6" x14ac:dyDescent="0.25">
      <c r="A8">
        <v>2011</v>
      </c>
      <c r="B8" s="744">
        <f>('Backup INPUTS'!G555/'Backup INPUTS'!G$554)^Costs!$B$34</f>
        <v>0.90435380739156235</v>
      </c>
      <c r="C8" s="744">
        <f>IF('Backup INPUTS'!F555&lt;=FullScale,(('Backup INPUTS'!F555/productionCostLevel)^scaleElasticity),((FullScale/productionCostLevel)^scaleElasticity))</f>
        <v>1.1486983549970351</v>
      </c>
      <c r="D8" s="1313">
        <f t="shared" ref="D8:D17" si="0">(1-technologicalProgressRate)^(A8-A$7)</f>
        <v>0.98</v>
      </c>
      <c r="E8" s="744">
        <f t="shared" ref="E8:E17" si="1">B8*C8*D8</f>
        <v>1.0180531362682734</v>
      </c>
      <c r="F8" s="1320">
        <f>E8*Costs!$B$10</f>
        <v>1404.0988855412027</v>
      </c>
    </row>
    <row r="9" spans="1:6" x14ac:dyDescent="0.25">
      <c r="A9">
        <v>2012</v>
      </c>
      <c r="B9" s="744">
        <f>('Backup INPUTS'!G556/'Backup INPUTS'!G$554)^Costs!$B$34</f>
        <v>0.85169800149535402</v>
      </c>
      <c r="C9" s="744">
        <f>IF('Backup INPUTS'!F556&lt;=FullScale,(('Backup INPUTS'!F556/productionCostLevel)^scaleElasticity),((FullScale/productionCostLevel)^scaleElasticity))</f>
        <v>1.1486983549970351</v>
      </c>
      <c r="D9" s="1313">
        <f t="shared" si="0"/>
        <v>0.96039999999999992</v>
      </c>
      <c r="E9" s="744">
        <f t="shared" si="1"/>
        <v>0.93960166717840521</v>
      </c>
      <c r="F9" s="1320">
        <f>E9*Costs!$B$10</f>
        <v>1295.8986193724566</v>
      </c>
    </row>
    <row r="10" spans="1:6" x14ac:dyDescent="0.25">
      <c r="A10">
        <v>2013</v>
      </c>
      <c r="B10" s="744">
        <f>('Backup INPUTS'!G557/'Backup INPUTS'!G$554)^Costs!$B$34</f>
        <v>0.81593263588733345</v>
      </c>
      <c r="C10" s="744">
        <f>IF('Backup INPUTS'!F557&lt;=FullScale,(('Backup INPUTS'!F557/productionCostLevel)^scaleElasticity),((FullScale/productionCostLevel)^scaleElasticity))</f>
        <v>1.1486983549970351</v>
      </c>
      <c r="D10" s="1313">
        <f t="shared" si="0"/>
        <v>0.94119199999999992</v>
      </c>
      <c r="E10" s="744">
        <f t="shared" si="1"/>
        <v>0.88214206252238969</v>
      </c>
      <c r="F10" s="1320">
        <f>E10*Costs!$B$10</f>
        <v>1216.6503326308798</v>
      </c>
    </row>
    <row r="11" spans="1:6" x14ac:dyDescent="0.25">
      <c r="A11">
        <v>2014</v>
      </c>
      <c r="B11" s="744">
        <f>('Backup INPUTS'!G558/'Backup INPUTS'!G$554)^Costs!$B$34</f>
        <v>0.78911532563657305</v>
      </c>
      <c r="C11" s="744">
        <f>IF('Backup INPUTS'!F558&lt;=FullScale,(('Backup INPUTS'!F558/productionCostLevel)^scaleElasticity),((FullScale/productionCostLevel)^scaleElasticity))</f>
        <v>1.1486983549970351</v>
      </c>
      <c r="D11" s="1313">
        <f t="shared" si="0"/>
        <v>0.92236815999999988</v>
      </c>
      <c r="E11" s="744">
        <f t="shared" si="1"/>
        <v>0.83608566994588407</v>
      </c>
      <c r="F11" s="1320">
        <f>E11*Costs!$B$10</f>
        <v>1153.1293559893634</v>
      </c>
    </row>
    <row r="12" spans="1:6" x14ac:dyDescent="0.25">
      <c r="A12">
        <v>2015</v>
      </c>
      <c r="B12" s="744">
        <f>('Backup INPUTS'!G559/'Backup INPUTS'!G$554)^Costs!$B$34</f>
        <v>0.76780265656201596</v>
      </c>
      <c r="C12" s="744">
        <f>IF('Backup INPUTS'!F559&lt;=FullScale,(('Backup INPUTS'!F559/productionCostLevel)^scaleElasticity),((FullScale/productionCostLevel)^scaleElasticity))</f>
        <v>1.1486983549970351</v>
      </c>
      <c r="D12" s="1313">
        <f t="shared" si="0"/>
        <v>0.90392079679999982</v>
      </c>
      <c r="E12" s="744">
        <f t="shared" si="1"/>
        <v>0.79723432315856635</v>
      </c>
      <c r="F12" s="1320">
        <f>E12*Costs!$B$10</f>
        <v>1099.5455785002948</v>
      </c>
    </row>
    <row r="13" spans="1:6" x14ac:dyDescent="0.25">
      <c r="A13">
        <v>2016</v>
      </c>
      <c r="B13" s="744">
        <f>('Backup INPUTS'!G560/'Backup INPUTS'!G$554)^Costs!$B$34</f>
        <v>0.7502002517431855</v>
      </c>
      <c r="C13" s="744">
        <f>IF('Backup INPUTS'!F560&lt;=FullScale,(('Backup INPUTS'!F560/productionCostLevel)^scaleElasticity),((FullScale/productionCostLevel)^scaleElasticity))</f>
        <v>1.1486983549970351</v>
      </c>
      <c r="D13" s="1313">
        <f t="shared" si="0"/>
        <v>0.8858423808639998</v>
      </c>
      <c r="E13" s="744">
        <f t="shared" si="1"/>
        <v>0.76337803356621436</v>
      </c>
      <c r="F13" s="1320">
        <f>E13*Costs!$B$10</f>
        <v>1052.8509838945229</v>
      </c>
    </row>
    <row r="14" spans="1:6" x14ac:dyDescent="0.25">
      <c r="A14">
        <v>2017</v>
      </c>
      <c r="B14" s="744">
        <f>('Backup INPUTS'!G561/'Backup INPUTS'!G$554)^Costs!$B$34</f>
        <v>0.73525865080689523</v>
      </c>
      <c r="C14" s="744">
        <f>IF('Backup INPUTS'!F561&lt;=FullScale,(('Backup INPUTS'!F561/productionCostLevel)^scaleElasticity),((FullScale/productionCostLevel)^scaleElasticity))</f>
        <v>1.1486983549970351</v>
      </c>
      <c r="D14" s="1313">
        <f t="shared" si="0"/>
        <v>0.86812553324671982</v>
      </c>
      <c r="E14" s="744">
        <f t="shared" si="1"/>
        <v>0.7332104937009597</v>
      </c>
      <c r="F14" s="1320">
        <f>E14*Costs!$B$10</f>
        <v>1011.2439129123636</v>
      </c>
    </row>
    <row r="15" spans="1:6" x14ac:dyDescent="0.25">
      <c r="A15">
        <v>2018</v>
      </c>
      <c r="B15" s="744">
        <f>('Backup INPUTS'!G562/'Backup INPUTS'!G$554)^Costs!$B$34</f>
        <v>0.72231302816806853</v>
      </c>
      <c r="C15" s="744">
        <f>IF('Backup INPUTS'!F562&lt;=FullScale,(('Backup INPUTS'!F562/productionCostLevel)^scaleElasticity),((FullScale/productionCostLevel)^scaleElasticity))</f>
        <v>1.1486983549970351</v>
      </c>
      <c r="D15" s="1313">
        <f t="shared" si="0"/>
        <v>0.85076302258178538</v>
      </c>
      <c r="E15" s="744">
        <f t="shared" si="1"/>
        <v>0.70589491409637484</v>
      </c>
      <c r="F15" s="1320">
        <f>E15*Costs!$B$10</f>
        <v>973.57026552172022</v>
      </c>
    </row>
    <row r="16" spans="1:6" x14ac:dyDescent="0.25">
      <c r="A16">
        <v>2019</v>
      </c>
      <c r="B16" s="744">
        <f>('Backup INPUTS'!G563/'Backup INPUTS'!G$554)^Costs!$B$34</f>
        <v>0.71091671544792423</v>
      </c>
      <c r="C16" s="744">
        <f>IF('Backup INPUTS'!F563&lt;=FullScale,(('Backup INPUTS'!F563/productionCostLevel)^scaleElasticity),((FullScale/productionCostLevel)^scaleElasticity))</f>
        <v>1.1486983549970351</v>
      </c>
      <c r="D16" s="1313">
        <f t="shared" si="0"/>
        <v>0.83374776213014967</v>
      </c>
      <c r="E16" s="744">
        <f t="shared" si="1"/>
        <v>0.68086248582898623</v>
      </c>
      <c r="F16" s="1320">
        <f>E16*Costs!$B$10</f>
        <v>939.0455404553378</v>
      </c>
    </row>
    <row r="17" spans="1:7" x14ac:dyDescent="0.25">
      <c r="A17">
        <v>2020</v>
      </c>
      <c r="B17" s="744">
        <f>('Backup INPUTS'!G564/'Backup INPUTS'!G$554)^Costs!$B$34</f>
        <v>0.70075574202861046</v>
      </c>
      <c r="C17" s="744">
        <f>IF('Backup INPUTS'!F564&lt;=FullScale,(('Backup INPUTS'!F564/productionCostLevel)^scaleElasticity),((FullScale/productionCostLevel)^scaleElasticity))</f>
        <v>1.1486983549970351</v>
      </c>
      <c r="D17" s="1313">
        <f t="shared" si="0"/>
        <v>0.81707280688754658</v>
      </c>
      <c r="E17" s="744">
        <f t="shared" si="1"/>
        <v>0.65770844936794204</v>
      </c>
      <c r="F17" s="1320">
        <f>E17*Costs!$B$10</f>
        <v>907.11149336826566</v>
      </c>
    </row>
    <row r="20" spans="1:7" x14ac:dyDescent="0.25">
      <c r="A20" s="1310" t="s">
        <v>1454</v>
      </c>
      <c r="B20" s="1309"/>
    </row>
    <row r="21" spans="1:7" ht="36" customHeight="1" x14ac:dyDescent="0.25">
      <c r="A21" s="1304"/>
      <c r="B21" s="1303" t="str">
        <f>B5</f>
        <v>Percentage of Base Manufacturing Cost</v>
      </c>
      <c r="C21" s="1304"/>
      <c r="D21" s="1304"/>
      <c r="E21" s="1304"/>
      <c r="F21" t="s">
        <v>440</v>
      </c>
      <c r="G21" t="s">
        <v>441</v>
      </c>
    </row>
    <row r="22" spans="1:7" ht="30" x14ac:dyDescent="0.25">
      <c r="A22" s="1303" t="str">
        <f>A6</f>
        <v>Year</v>
      </c>
      <c r="B22" s="1303" t="str">
        <f>B6</f>
        <v>% Change Due to Learning</v>
      </c>
      <c r="C22" s="1303" t="str">
        <f t="shared" ref="C22:E22" si="2">C6</f>
        <v>% Change Due to Scale</v>
      </c>
      <c r="D22" s="1303" t="str">
        <f t="shared" si="2"/>
        <v>% Change Due to Technology</v>
      </c>
      <c r="E22" s="1303" t="str">
        <f t="shared" si="2"/>
        <v>Combined effect</v>
      </c>
      <c r="F22" s="1303" t="str">
        <f>F6</f>
        <v>Mfg. Cost</v>
      </c>
      <c r="G22" s="1303" t="str">
        <f>F22</f>
        <v>Mfg. Cost</v>
      </c>
    </row>
    <row r="23" spans="1:7" x14ac:dyDescent="0.25">
      <c r="A23">
        <v>2010</v>
      </c>
      <c r="B23" s="744">
        <f>('Forklift INPUTS'!G560/'Forklift INPUTS'!G$560)^Costs!B$34</f>
        <v>1</v>
      </c>
      <c r="C23" s="744">
        <f>(IF('Forklift INPUTS'!F560&lt;=FullScale,(('Forklift INPUTS'!F560/productionCostLevel)^scaleElasticity), ((FullScale/productionCostLevel)^scaleElasticity)))</f>
        <v>1</v>
      </c>
      <c r="D23" s="744">
        <v>1</v>
      </c>
      <c r="E23" s="744">
        <f>B23*C23*D23</f>
        <v>1</v>
      </c>
      <c r="F23" s="1320">
        <f>E23*Costs!B$16</f>
        <v>2083.2437900082487</v>
      </c>
      <c r="G23" s="162">
        <f>E23*Costs!B$17</f>
        <v>3997.8173428212776</v>
      </c>
    </row>
    <row r="24" spans="1:7" x14ac:dyDescent="0.25">
      <c r="A24">
        <v>2011</v>
      </c>
      <c r="B24" s="744">
        <f>('Forklift INPUTS'!G561/'Forklift INPUTS'!G$560)^Costs!B$34</f>
        <v>0.89263376434226682</v>
      </c>
      <c r="C24" s="744">
        <f>(IF('Forklift INPUTS'!F561&lt;=FullScale,(('Forklift INPUTS'!F561/productionCostLevel)^scaleElasticity), ((FullScale/productionCostLevel)^scaleElasticity)))</f>
        <v>1.1486983549970351</v>
      </c>
      <c r="D24" s="744">
        <f t="shared" ref="D24:D33" si="3">(1-technologicalProgressRate)^(A24-A$23)</f>
        <v>0.98</v>
      </c>
      <c r="E24" s="744">
        <f t="shared" ref="E24:E33" si="4">B24*C24*D24</f>
        <v>1.0048595979804775</v>
      </c>
      <c r="F24" s="1320">
        <f>E24*Costs!B$16</f>
        <v>2093.3675173230149</v>
      </c>
      <c r="G24" s="162">
        <f>E24*Costs!B$17</f>
        <v>4017.24512790677</v>
      </c>
    </row>
    <row r="25" spans="1:7" x14ac:dyDescent="0.25">
      <c r="A25">
        <v>2012</v>
      </c>
      <c r="B25" s="744">
        <f>('Forklift INPUTS'!G562/'Forklift INPUTS'!G$560)^Costs!B$34</f>
        <v>0.83706424936270252</v>
      </c>
      <c r="C25" s="744">
        <f>(IF('Forklift INPUTS'!F562&lt;=FullScale,(('Forklift INPUTS'!F562/productionCostLevel)^scaleElasticity), ((FullScale/productionCostLevel)^scaleElasticity)))</f>
        <v>1.1486983549970351</v>
      </c>
      <c r="D25" s="744">
        <f t="shared" si="3"/>
        <v>0.96039999999999992</v>
      </c>
      <c r="E25" s="744">
        <f t="shared" si="4"/>
        <v>0.92345756694948156</v>
      </c>
      <c r="F25" s="1320">
        <f>E25*Costs!B$16</f>
        <v>1923.787241683634</v>
      </c>
      <c r="G25" s="162">
        <f>E25*Costs!B$17</f>
        <v>3691.8146765101783</v>
      </c>
    </row>
    <row r="26" spans="1:7" x14ac:dyDescent="0.25">
      <c r="A26">
        <v>2013</v>
      </c>
      <c r="B26" s="744">
        <f>('Forklift INPUTS'!G563/'Forklift INPUTS'!G$560)^Costs!B$34</f>
        <v>0.80020465083133285</v>
      </c>
      <c r="C26" s="744">
        <f>(IF('Forklift INPUTS'!F563&lt;=FullScale,(('Forklift INPUTS'!F563/productionCostLevel)^scaleElasticity), ((FullScale/productionCostLevel)^scaleElasticity)))</f>
        <v>1.1486983549970351</v>
      </c>
      <c r="D26" s="744">
        <f t="shared" si="3"/>
        <v>0.94119199999999992</v>
      </c>
      <c r="E26" s="744">
        <f t="shared" si="4"/>
        <v>0.86513781907582965</v>
      </c>
      <c r="F26" s="1320">
        <f>E26*Costs!B$16</f>
        <v>1802.2929890910018</v>
      </c>
      <c r="G26" s="162">
        <f>E26*Costs!B$17</f>
        <v>3458.6629770319287</v>
      </c>
    </row>
    <row r="27" spans="1:7" x14ac:dyDescent="0.25">
      <c r="A27">
        <v>2014</v>
      </c>
      <c r="B27" s="744">
        <f>('Forklift INPUTS'!G564/'Forklift INPUTS'!G$560)^Costs!B$34</f>
        <v>0.77291685958518153</v>
      </c>
      <c r="C27" s="744">
        <f>(IF('Forklift INPUTS'!F564&lt;=FullScale,(('Forklift INPUTS'!F564/productionCostLevel)^scaleElasticity), ((FullScale/productionCostLevel)^scaleElasticity)))</f>
        <v>1.1486983549970351</v>
      </c>
      <c r="D27" s="744">
        <f t="shared" si="3"/>
        <v>0.92236815999999988</v>
      </c>
      <c r="E27" s="744">
        <f t="shared" si="4"/>
        <v>0.81892302603227352</v>
      </c>
      <c r="F27" s="1320">
        <f>E27*Costs!B$16</f>
        <v>1706.0163084764972</v>
      </c>
      <c r="G27" s="162">
        <f>E27*Costs!B$17</f>
        <v>3273.9046759075036</v>
      </c>
    </row>
    <row r="28" spans="1:7" x14ac:dyDescent="0.25">
      <c r="A28">
        <v>2015</v>
      </c>
      <c r="B28" s="744">
        <f>('Forklift INPUTS'!G565/'Forklift INPUTS'!G$560)^Costs!B$34</f>
        <v>0.75140283539760178</v>
      </c>
      <c r="C28" s="744">
        <f>(IF('Forklift INPUTS'!F565&lt;=FullScale,(('Forklift INPUTS'!F565/productionCostLevel)^scaleElasticity), ((FullScale/productionCostLevel)^scaleElasticity)))</f>
        <v>1.1486983549970351</v>
      </c>
      <c r="D28" s="744">
        <f t="shared" si="3"/>
        <v>0.90392079679999982</v>
      </c>
      <c r="E28" s="744">
        <f t="shared" si="4"/>
        <v>0.78020585859909619</v>
      </c>
      <c r="F28" s="1320">
        <f>E28*Costs!B$16</f>
        <v>1625.3590098546208</v>
      </c>
      <c r="G28" s="162">
        <f>E28*Costs!B$17</f>
        <v>3119.1205124782323</v>
      </c>
    </row>
    <row r="29" spans="1:7" x14ac:dyDescent="0.25">
      <c r="A29">
        <v>2016</v>
      </c>
      <c r="B29" s="744">
        <f>('Forklift INPUTS'!G566/'Forklift INPUTS'!G$560)^Costs!B$34</f>
        <v>0.73373132917182904</v>
      </c>
      <c r="C29" s="744">
        <f>(IF('Forklift INPUTS'!F566&lt;=FullScale,(('Forklift INPUTS'!F566/productionCostLevel)^scaleElasticity), ((FullScale/productionCostLevel)^scaleElasticity)))</f>
        <v>1.1486983549970351</v>
      </c>
      <c r="D29" s="744">
        <f t="shared" si="3"/>
        <v>0.8858423808639998</v>
      </c>
      <c r="E29" s="744">
        <f t="shared" si="4"/>
        <v>0.7466198230773966</v>
      </c>
      <c r="F29" s="1320">
        <f>E29*Costs!B$16</f>
        <v>1555.3911099230438</v>
      </c>
      <c r="G29" s="162">
        <f>E29*Costs!B$17</f>
        <v>2984.8496771929699</v>
      </c>
    </row>
    <row r="30" spans="1:7" x14ac:dyDescent="0.25">
      <c r="A30">
        <v>2017</v>
      </c>
      <c r="B30" s="744">
        <f>('Forklift INPUTS'!G567/'Forklift INPUTS'!G$560)^Costs!B$34</f>
        <v>0.71879099104818656</v>
      </c>
      <c r="C30" s="744">
        <f>(IF('Forklift INPUTS'!F567&lt;=FullScale,(('Forklift INPUTS'!F567/productionCostLevel)^scaleElasticity), ((FullScale/productionCostLevel)^scaleElasticity)))</f>
        <v>1.1486983549970351</v>
      </c>
      <c r="D30" s="744">
        <f t="shared" si="3"/>
        <v>0.86812553324671982</v>
      </c>
      <c r="E30" s="744">
        <f t="shared" si="4"/>
        <v>0.71678870671683981</v>
      </c>
      <c r="F30" s="1320">
        <f>E30*Costs!B$16</f>
        <v>1493.2456220159004</v>
      </c>
      <c r="G30" s="162">
        <f>E30*Costs!B$17</f>
        <v>2865.5903228510165</v>
      </c>
    </row>
    <row r="31" spans="1:7" x14ac:dyDescent="0.25">
      <c r="A31">
        <v>2018</v>
      </c>
      <c r="B31" s="744">
        <f>('Forklift INPUTS'!G568/'Forklift INPUTS'!G$560)^Costs!B$34</f>
        <v>0.70588589186833184</v>
      </c>
      <c r="C31" s="744">
        <f>(IF('Forklift INPUTS'!F568&lt;=FullScale,(('Forklift INPUTS'!F568/productionCostLevel)^scaleElasticity), ((FullScale/productionCostLevel)^scaleElasticity)))</f>
        <v>1.1486983549970351</v>
      </c>
      <c r="D31" s="744">
        <f t="shared" si="3"/>
        <v>0.85076302258178538</v>
      </c>
      <c r="E31" s="744">
        <f t="shared" si="4"/>
        <v>0.6898411652161125</v>
      </c>
      <c r="F31" s="1320">
        <f>E31*Costs!B$16</f>
        <v>1437.1073235285205</v>
      </c>
      <c r="G31" s="162">
        <f>E31*Costs!B$17</f>
        <v>2757.8589740930129</v>
      </c>
    </row>
    <row r="32" spans="1:7" x14ac:dyDescent="0.25">
      <c r="A32">
        <v>2019</v>
      </c>
      <c r="B32" s="744">
        <f>('Forklift INPUTS'!G569/'Forklift INPUTS'!G$560)^Costs!B$34</f>
        <v>0.69455251838460985</v>
      </c>
      <c r="C32" s="744">
        <f>(IF('Forklift INPUTS'!F569&lt;=FullScale,(('Forklift INPUTS'!F569/productionCostLevel)^scaleElasticity), ((FullScale/productionCostLevel)^scaleElasticity)))</f>
        <v>1.1486983549970351</v>
      </c>
      <c r="D32" s="744">
        <f t="shared" si="3"/>
        <v>0.83374776213014967</v>
      </c>
      <c r="E32" s="744">
        <f t="shared" si="4"/>
        <v>0.66519009038656984</v>
      </c>
      <c r="F32" s="1320">
        <f>E32*Costs!B$16</f>
        <v>1385.7531249728472</v>
      </c>
      <c r="G32" s="162">
        <f>E32*Costs!B$17</f>
        <v>2659.308479620282</v>
      </c>
    </row>
    <row r="33" spans="1:7" x14ac:dyDescent="0.25">
      <c r="A33">
        <v>2020</v>
      </c>
      <c r="B33" s="744">
        <f>('Forklift INPUTS'!G570/'Forklift INPUTS'!G$560)^Costs!B$34</f>
        <v>0.68446726558092008</v>
      </c>
      <c r="C33" s="744">
        <f>(IF('Forklift INPUTS'!F570&lt;=FullScale,(('Forklift INPUTS'!F570/productionCostLevel)^scaleElasticity), ((FullScale/productionCostLevel)^scaleElasticity)))</f>
        <v>1.1486983549970351</v>
      </c>
      <c r="D33" s="744">
        <f t="shared" si="3"/>
        <v>0.81707280688754658</v>
      </c>
      <c r="E33" s="744">
        <f t="shared" si="4"/>
        <v>0.64242057094690552</v>
      </c>
      <c r="F33" s="1320">
        <f>E33*Costs!B$16</f>
        <v>1338.3186649986944</v>
      </c>
      <c r="G33" s="162">
        <f>E33*Costs!B$17</f>
        <v>2568.2800999166857</v>
      </c>
    </row>
    <row r="36" spans="1:7" x14ac:dyDescent="0.25">
      <c r="A36" s="1316" t="s">
        <v>1932</v>
      </c>
      <c r="B36" s="1315"/>
    </row>
    <row r="37" spans="1:7" ht="30" x14ac:dyDescent="0.25">
      <c r="B37" s="1303" t="str">
        <f>B5</f>
        <v>Percentage of Base Manufacturing Cost</v>
      </c>
    </row>
    <row r="38" spans="1:7" ht="30" x14ac:dyDescent="0.25">
      <c r="A38" s="1303" t="str">
        <f>A6</f>
        <v>Year</v>
      </c>
      <c r="B38" s="1303" t="str">
        <f>B6</f>
        <v>% Change Due to Learning</v>
      </c>
      <c r="C38" s="1303" t="str">
        <f>C6</f>
        <v>% Change Due to Scale</v>
      </c>
      <c r="D38" s="1303" t="str">
        <f>D6</f>
        <v>% Change Due to Technology</v>
      </c>
      <c r="E38" s="1303" t="str">
        <f>E6</f>
        <v>Combined effect</v>
      </c>
      <c r="F38" s="1303" t="str">
        <f>F22</f>
        <v>Mfg. Cost</v>
      </c>
    </row>
    <row r="39" spans="1:7" x14ac:dyDescent="0.25">
      <c r="A39">
        <v>2010</v>
      </c>
      <c r="B39" s="744" t="e">
        <f>('Prime INPUTS'!G309/'Prime INPUTS'!G$309)^Costs!B$34</f>
        <v>#DIV/0!</v>
      </c>
      <c r="C39" s="744" t="e">
        <f>(IF('Prime INPUTS'!F309&lt;=Costs!$F$38,(('Prime INPUTS'!F309/Costs!$F$37)^scaleElasticity),((Costs!$F$38/Costs!$F$37)^scaleElasticity)))</f>
        <v>#DIV/0!</v>
      </c>
      <c r="D39" s="744">
        <f t="shared" ref="D39:D49" si="5">(1-technologicalProgressRate)^(A39-A$39)</f>
        <v>1</v>
      </c>
      <c r="E39" s="744" t="e">
        <f t="shared" ref="E39:E49" si="6">B39*C39*D39</f>
        <v>#DIV/0!</v>
      </c>
      <c r="F39" s="1320" t="e">
        <f>E39*IF('Prime INPUTS'!$E$8=Lists!$B$24,Costs!$F$27,IF('Prime INPUTS'!$E$8=Lists!$B$25,Costs!$G$27,0))</f>
        <v>#DIV/0!</v>
      </c>
    </row>
    <row r="40" spans="1:7" x14ac:dyDescent="0.25">
      <c r="A40">
        <v>2011</v>
      </c>
      <c r="B40" s="744" t="e">
        <f>('Prime INPUTS'!G310/'Prime INPUTS'!G$309)^Costs!B$34</f>
        <v>#DIV/0!</v>
      </c>
      <c r="C40" s="744" t="e">
        <f>(IF('Prime INPUTS'!F310&lt;=Costs!$F$38,(('Prime INPUTS'!F310/Costs!$F$37)^scaleElasticity),((Costs!$F$38/Costs!$F$37)^scaleElasticity)))</f>
        <v>#DIV/0!</v>
      </c>
      <c r="D40" s="744">
        <f t="shared" si="5"/>
        <v>0.98</v>
      </c>
      <c r="E40" s="744" t="e">
        <f t="shared" si="6"/>
        <v>#DIV/0!</v>
      </c>
      <c r="F40" s="1320" t="e">
        <f>E40*IF('Prime INPUTS'!$E$8=Lists!$B$24,Costs!$F$27,IF('Prime INPUTS'!$E$8=Lists!$B$25,Costs!$G$27,0))</f>
        <v>#DIV/0!</v>
      </c>
    </row>
    <row r="41" spans="1:7" x14ac:dyDescent="0.25">
      <c r="A41">
        <v>2012</v>
      </c>
      <c r="B41" s="744" t="e">
        <f>('Prime INPUTS'!G311/'Prime INPUTS'!G$309)^Costs!B$34</f>
        <v>#DIV/0!</v>
      </c>
      <c r="C41" s="744" t="e">
        <f>(IF('Prime INPUTS'!F311&lt;=Costs!$F$38,(('Prime INPUTS'!F311/Costs!$F$37)^scaleElasticity),((Costs!$F$38/Costs!$F$37)^scaleElasticity)))</f>
        <v>#DIV/0!</v>
      </c>
      <c r="D41" s="744">
        <f t="shared" si="5"/>
        <v>0.96039999999999992</v>
      </c>
      <c r="E41" s="744" t="e">
        <f t="shared" si="6"/>
        <v>#DIV/0!</v>
      </c>
      <c r="F41" s="1320" t="e">
        <f>E41*IF('Prime INPUTS'!$E$8=Lists!$B$24,Costs!$F$27,IF('Prime INPUTS'!$E$8=Lists!$B$25,Costs!$G$27,0))</f>
        <v>#DIV/0!</v>
      </c>
    </row>
    <row r="42" spans="1:7" x14ac:dyDescent="0.25">
      <c r="A42">
        <v>2013</v>
      </c>
      <c r="B42" s="744" t="e">
        <f>('Prime INPUTS'!G312/'Prime INPUTS'!G$309)^Costs!B$34</f>
        <v>#DIV/0!</v>
      </c>
      <c r="C42" s="744" t="e">
        <f>(IF('Prime INPUTS'!F312&lt;=Costs!$F$38,(('Prime INPUTS'!F312/Costs!$F$37)^scaleElasticity),((Costs!$F$38/Costs!$F$37)^scaleElasticity)))</f>
        <v>#DIV/0!</v>
      </c>
      <c r="D42" s="744">
        <f t="shared" si="5"/>
        <v>0.94119199999999992</v>
      </c>
      <c r="E42" s="744" t="e">
        <f t="shared" si="6"/>
        <v>#DIV/0!</v>
      </c>
      <c r="F42" s="1320" t="e">
        <f>E42*IF('Prime INPUTS'!$E$8=Lists!$B$24,Costs!$F$27,IF('Prime INPUTS'!$E$8=Lists!$B$25,Costs!$G$27,0))</f>
        <v>#DIV/0!</v>
      </c>
    </row>
    <row r="43" spans="1:7" x14ac:dyDescent="0.25">
      <c r="A43">
        <v>2014</v>
      </c>
      <c r="B43" s="744" t="e">
        <f>('Prime INPUTS'!G313/'Prime INPUTS'!G$309)^Costs!B$34</f>
        <v>#DIV/0!</v>
      </c>
      <c r="C43" s="744" t="e">
        <f>(IF('Prime INPUTS'!F313&lt;=Costs!$F$38,(('Prime INPUTS'!F313/Costs!$F$37)^scaleElasticity),((Costs!$F$38/Costs!$F$37)^scaleElasticity)))</f>
        <v>#DIV/0!</v>
      </c>
      <c r="D43" s="744">
        <f t="shared" si="5"/>
        <v>0.92236815999999988</v>
      </c>
      <c r="E43" s="744" t="e">
        <f t="shared" si="6"/>
        <v>#DIV/0!</v>
      </c>
      <c r="F43" s="1320" t="e">
        <f>E43*IF('Prime INPUTS'!$E$8=Lists!$B$24,Costs!$F$27,IF('Prime INPUTS'!$E$8=Lists!$B$25,Costs!$G$27,0))</f>
        <v>#DIV/0!</v>
      </c>
    </row>
    <row r="44" spans="1:7" x14ac:dyDescent="0.25">
      <c r="A44">
        <v>2015</v>
      </c>
      <c r="B44" s="744" t="e">
        <f>('Prime INPUTS'!G314/'Prime INPUTS'!G$309)^Costs!B$34</f>
        <v>#DIV/0!</v>
      </c>
      <c r="C44" s="744" t="e">
        <f>(IF('Prime INPUTS'!F314&lt;=Costs!$F$38,(('Prime INPUTS'!F314/Costs!$F$37)^scaleElasticity),((Costs!$F$38/Costs!$F$37)^scaleElasticity)))</f>
        <v>#DIV/0!</v>
      </c>
      <c r="D44" s="744">
        <f t="shared" si="5"/>
        <v>0.90392079679999982</v>
      </c>
      <c r="E44" s="744" t="e">
        <f t="shared" si="6"/>
        <v>#DIV/0!</v>
      </c>
      <c r="F44" s="1320" t="e">
        <f>E44*IF('Prime INPUTS'!$E$8=Lists!$B$24,Costs!$F$27,IF('Prime INPUTS'!$E$8=Lists!$B$25,Costs!$G$27,0))</f>
        <v>#DIV/0!</v>
      </c>
    </row>
    <row r="45" spans="1:7" x14ac:dyDescent="0.25">
      <c r="A45">
        <v>2016</v>
      </c>
      <c r="B45" s="744" t="e">
        <f>('Prime INPUTS'!G315/'Prime INPUTS'!G$309)^Costs!B$34</f>
        <v>#DIV/0!</v>
      </c>
      <c r="C45" s="744" t="e">
        <f>(IF('Prime INPUTS'!F315&lt;=Costs!$F$38,(('Prime INPUTS'!F315/Costs!$F$37)^scaleElasticity),((Costs!$F$38/Costs!$F$37)^scaleElasticity)))</f>
        <v>#DIV/0!</v>
      </c>
      <c r="D45" s="744">
        <f t="shared" si="5"/>
        <v>0.8858423808639998</v>
      </c>
      <c r="E45" s="744" t="e">
        <f t="shared" si="6"/>
        <v>#DIV/0!</v>
      </c>
      <c r="F45" s="1320" t="e">
        <f>E45*IF('Prime INPUTS'!$E$8=Lists!$B$24,Costs!$F$27,IF('Prime INPUTS'!$E$8=Lists!$B$25,Costs!$G$27,0))</f>
        <v>#DIV/0!</v>
      </c>
    </row>
    <row r="46" spans="1:7" x14ac:dyDescent="0.25">
      <c r="A46">
        <v>2017</v>
      </c>
      <c r="B46" s="744" t="e">
        <f>('Prime INPUTS'!G316/'Prime INPUTS'!G$309)^Costs!B$34</f>
        <v>#DIV/0!</v>
      </c>
      <c r="C46" s="744" t="e">
        <f>(IF('Prime INPUTS'!F316&lt;=Costs!$F$38,(('Prime INPUTS'!F316/Costs!$F$37)^scaleElasticity),((Costs!$F$38/Costs!$F$37)^scaleElasticity)))</f>
        <v>#DIV/0!</v>
      </c>
      <c r="D46" s="744">
        <f t="shared" si="5"/>
        <v>0.86812553324671982</v>
      </c>
      <c r="E46" s="744" t="e">
        <f t="shared" si="6"/>
        <v>#DIV/0!</v>
      </c>
      <c r="F46" s="1320" t="e">
        <f>E46*IF('Prime INPUTS'!$E$8=Lists!$B$24,Costs!$F$27,IF('Prime INPUTS'!$E$8=Lists!$B$25,Costs!$G$27,0))</f>
        <v>#DIV/0!</v>
      </c>
    </row>
    <row r="47" spans="1:7" x14ac:dyDescent="0.25">
      <c r="A47">
        <v>2018</v>
      </c>
      <c r="B47" s="744" t="e">
        <f>('Prime INPUTS'!G317/'Prime INPUTS'!G$309)^Costs!B$34</f>
        <v>#DIV/0!</v>
      </c>
      <c r="C47" s="744" t="e">
        <f>(IF('Prime INPUTS'!F317&lt;=Costs!$F$38,(('Prime INPUTS'!F317/Costs!$F$37)^scaleElasticity),((Costs!$F$38/Costs!$F$37)^scaleElasticity)))</f>
        <v>#DIV/0!</v>
      </c>
      <c r="D47" s="744">
        <f t="shared" si="5"/>
        <v>0.85076302258178538</v>
      </c>
      <c r="E47" s="744" t="e">
        <f t="shared" si="6"/>
        <v>#DIV/0!</v>
      </c>
      <c r="F47" s="1320" t="e">
        <f>E47*IF('Prime INPUTS'!$E$8=Lists!$B$24,Costs!$F$27,IF('Prime INPUTS'!$E$8=Lists!$B$25,Costs!$G$27,0))</f>
        <v>#DIV/0!</v>
      </c>
    </row>
    <row r="48" spans="1:7" x14ac:dyDescent="0.25">
      <c r="A48">
        <v>2019</v>
      </c>
      <c r="B48" s="744" t="e">
        <f>('Prime INPUTS'!G318/'Prime INPUTS'!G$309)^Costs!B$34</f>
        <v>#DIV/0!</v>
      </c>
      <c r="C48" s="744" t="e">
        <f>(IF('Prime INPUTS'!F318&lt;=Costs!$F$38,(('Prime INPUTS'!F318/Costs!$F$37)^scaleElasticity),((Costs!$F$38/Costs!$F$37)^scaleElasticity)))</f>
        <v>#DIV/0!</v>
      </c>
      <c r="D48" s="744">
        <f t="shared" si="5"/>
        <v>0.83374776213014967</v>
      </c>
      <c r="E48" s="744" t="e">
        <f t="shared" si="6"/>
        <v>#DIV/0!</v>
      </c>
      <c r="F48" s="1320" t="e">
        <f>E48*IF('Prime INPUTS'!$E$8=Lists!$B$24,Costs!$F$27,IF('Prime INPUTS'!$E$8=Lists!$B$25,Costs!$G$27,0))</f>
        <v>#DIV/0!</v>
      </c>
    </row>
    <row r="49" spans="1:6" x14ac:dyDescent="0.25">
      <c r="A49">
        <v>2020</v>
      </c>
      <c r="B49" s="744" t="e">
        <f>('Prime INPUTS'!G319/'Prime INPUTS'!G$309)^Costs!B$34</f>
        <v>#DIV/0!</v>
      </c>
      <c r="C49" s="744" t="e">
        <f>(IF('Prime INPUTS'!F319&lt;=Costs!$F$38,(('Prime INPUTS'!F319/Costs!$F$37)^scaleElasticity),((Costs!$F$38/Costs!$F$37)^scaleElasticity)))</f>
        <v>#DIV/0!</v>
      </c>
      <c r="D49" s="744">
        <f t="shared" si="5"/>
        <v>0.81707280688754658</v>
      </c>
      <c r="E49" s="744" t="e">
        <f t="shared" si="6"/>
        <v>#DIV/0!</v>
      </c>
      <c r="F49" s="1320" t="e">
        <f>E49*IF('Prime INPUTS'!$E$8=Lists!$B$24,Costs!$F$27,IF('Prime INPUTS'!$E$8=Lists!$B$25,Costs!$G$27,0))</f>
        <v>#DIV/0!</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P27"/>
  <sheetViews>
    <sheetView workbookViewId="0">
      <selection activeCell="R8" sqref="R8"/>
    </sheetView>
  </sheetViews>
  <sheetFormatPr defaultRowHeight="15" x14ac:dyDescent="0.25"/>
  <cols>
    <col min="2" max="4" width="10" bestFit="1" customWidth="1"/>
    <col min="5" max="5" width="10" customWidth="1"/>
    <col min="7" max="7" width="10.85546875" bestFit="1" customWidth="1"/>
    <col min="8" max="8" width="10.28515625" bestFit="1" customWidth="1"/>
    <col min="10" max="10" width="10.85546875" bestFit="1" customWidth="1"/>
    <col min="11" max="11" width="10.28515625" bestFit="1" customWidth="1"/>
    <col min="17" max="17" width="21.140625" bestFit="1" customWidth="1"/>
    <col min="18" max="18" width="20.42578125" bestFit="1" customWidth="1"/>
  </cols>
  <sheetData>
    <row r="2" spans="1:16" x14ac:dyDescent="0.25">
      <c r="G2" s="1845" t="s">
        <v>2177</v>
      </c>
      <c r="H2" s="1845"/>
      <c r="I2" s="1845"/>
      <c r="J2" s="1845"/>
      <c r="K2" s="1845"/>
      <c r="L2" s="1845"/>
      <c r="M2" s="1845"/>
      <c r="N2" s="1845"/>
      <c r="O2" s="1845"/>
      <c r="P2" s="1845"/>
    </row>
    <row r="3" spans="1:16" x14ac:dyDescent="0.25">
      <c r="B3" s="2" t="s">
        <v>1453</v>
      </c>
      <c r="G3" s="2" t="s">
        <v>2113</v>
      </c>
      <c r="J3" s="2" t="s">
        <v>566</v>
      </c>
      <c r="M3" t="s">
        <v>1663</v>
      </c>
      <c r="O3" t="s">
        <v>2114</v>
      </c>
    </row>
    <row r="4" spans="1:16" x14ac:dyDescent="0.25">
      <c r="A4" t="s">
        <v>433</v>
      </c>
      <c r="B4" t="s">
        <v>440</v>
      </c>
      <c r="C4" t="s">
        <v>441</v>
      </c>
      <c r="D4" t="s">
        <v>566</v>
      </c>
      <c r="G4" t="s">
        <v>1455</v>
      </c>
      <c r="H4" t="s">
        <v>438</v>
      </c>
      <c r="J4" t="str">
        <f>G4</f>
        <v>Annual sales</v>
      </c>
      <c r="K4" t="str">
        <f>H4</f>
        <v>Cumulative</v>
      </c>
      <c r="M4" t="s">
        <v>1455</v>
      </c>
      <c r="N4" t="s">
        <v>438</v>
      </c>
      <c r="O4" t="str">
        <f>M4</f>
        <v>Annual sales</v>
      </c>
      <c r="P4" t="str">
        <f>N4</f>
        <v>Cumulative</v>
      </c>
    </row>
    <row r="5" spans="1:16" x14ac:dyDescent="0.25">
      <c r="A5">
        <v>2004</v>
      </c>
      <c r="B5" s="120">
        <f>MROUND(Markets_MH!B22,250)</f>
        <v>47000</v>
      </c>
      <c r="C5" s="120">
        <f>MROUND(Markets_MH!C22,250)</f>
        <v>44250</v>
      </c>
      <c r="D5" s="120">
        <f>Markets_BU!D4</f>
        <v>0</v>
      </c>
      <c r="E5" s="120"/>
      <c r="G5" s="163"/>
      <c r="H5" s="163">
        <v>100</v>
      </c>
      <c r="I5" s="163"/>
      <c r="J5" s="320">
        <v>100</v>
      </c>
      <c r="K5" s="320">
        <v>100</v>
      </c>
      <c r="N5">
        <v>50</v>
      </c>
      <c r="P5">
        <v>50</v>
      </c>
    </row>
    <row r="6" spans="1:16" x14ac:dyDescent="0.25">
      <c r="A6">
        <v>2005</v>
      </c>
      <c r="B6" s="120">
        <f>MROUND(Markets_MH!B23,250)</f>
        <v>50500</v>
      </c>
      <c r="C6" s="120">
        <f>MROUND(Markets_MH!C23,250)</f>
        <v>46250</v>
      </c>
      <c r="D6" s="120">
        <f>Markets_BU!D5</f>
        <v>15000</v>
      </c>
      <c r="E6" s="120"/>
      <c r="G6" s="163">
        <v>1</v>
      </c>
      <c r="H6" s="163">
        <f>G6+H5</f>
        <v>101</v>
      </c>
      <c r="I6" s="163"/>
      <c r="J6" s="163">
        <v>135</v>
      </c>
      <c r="K6" s="163">
        <f>J6+K5</f>
        <v>235</v>
      </c>
      <c r="M6">
        <v>6</v>
      </c>
      <c r="N6">
        <v>56</v>
      </c>
      <c r="O6">
        <v>10</v>
      </c>
      <c r="P6">
        <v>60</v>
      </c>
    </row>
    <row r="7" spans="1:16" x14ac:dyDescent="0.25">
      <c r="A7">
        <v>2006</v>
      </c>
      <c r="B7" s="120">
        <f>MROUND(Markets_MH!B24,250)</f>
        <v>53750</v>
      </c>
      <c r="C7" s="120">
        <f>MROUND(Markets_MH!C24,250)</f>
        <v>51000</v>
      </c>
      <c r="D7" s="120">
        <f>Markets_BU!D6</f>
        <v>15250</v>
      </c>
      <c r="E7" s="120"/>
      <c r="G7" s="163">
        <v>1</v>
      </c>
      <c r="H7" s="163">
        <f t="shared" ref="H7:H21" si="0">G7+H6</f>
        <v>102</v>
      </c>
      <c r="I7" s="163"/>
      <c r="J7" s="163">
        <v>158</v>
      </c>
      <c r="K7" s="163">
        <f t="shared" ref="K7:K21" si="1">J7+K6</f>
        <v>393</v>
      </c>
      <c r="M7">
        <v>5</v>
      </c>
      <c r="N7">
        <v>61</v>
      </c>
      <c r="O7">
        <v>10</v>
      </c>
      <c r="P7">
        <v>70</v>
      </c>
    </row>
    <row r="8" spans="1:16" x14ac:dyDescent="0.25">
      <c r="A8">
        <v>2007</v>
      </c>
      <c r="B8" s="120">
        <f>MROUND(Markets_MH!B25,250)</f>
        <v>50250</v>
      </c>
      <c r="C8" s="120">
        <f>MROUND(Markets_MH!C25,250)</f>
        <v>48500</v>
      </c>
      <c r="D8" s="120">
        <f>Markets_BU!D7</f>
        <v>15500</v>
      </c>
      <c r="E8" s="120"/>
      <c r="G8" s="163">
        <v>123</v>
      </c>
      <c r="H8" s="163">
        <f t="shared" si="0"/>
        <v>225</v>
      </c>
      <c r="I8" s="163"/>
      <c r="J8" s="163">
        <v>219</v>
      </c>
      <c r="K8" s="163">
        <f t="shared" si="1"/>
        <v>612</v>
      </c>
      <c r="M8">
        <v>11</v>
      </c>
      <c r="N8">
        <v>72</v>
      </c>
      <c r="O8">
        <v>10</v>
      </c>
      <c r="P8">
        <v>80</v>
      </c>
    </row>
    <row r="9" spans="1:16" x14ac:dyDescent="0.25">
      <c r="A9">
        <v>2008</v>
      </c>
      <c r="B9" s="120">
        <f>MROUND(Markets_MH!B26,250)</f>
        <v>45250</v>
      </c>
      <c r="C9" s="120">
        <f>MROUND(Markets_MH!C26,250)</f>
        <v>43750</v>
      </c>
      <c r="D9" s="120">
        <f>Markets_BU!D8</f>
        <v>15750</v>
      </c>
      <c r="E9" s="120"/>
      <c r="G9" s="163">
        <v>211</v>
      </c>
      <c r="H9" s="163">
        <f t="shared" si="0"/>
        <v>436</v>
      </c>
      <c r="I9" s="163"/>
      <c r="J9" s="163">
        <v>435</v>
      </c>
      <c r="K9" s="163">
        <f t="shared" si="1"/>
        <v>1047</v>
      </c>
      <c r="M9">
        <v>24</v>
      </c>
      <c r="N9">
        <v>96</v>
      </c>
      <c r="O9">
        <v>10</v>
      </c>
      <c r="P9">
        <v>90</v>
      </c>
    </row>
    <row r="10" spans="1:16" x14ac:dyDescent="0.25">
      <c r="A10">
        <v>2009</v>
      </c>
      <c r="B10" s="120">
        <f>MROUND(Markets_MH!B27,250)</f>
        <v>28500</v>
      </c>
      <c r="C10" s="120">
        <f>MROUND(Markets_MH!C27,250)</f>
        <v>28750</v>
      </c>
      <c r="D10" s="120">
        <f>Markets_BU!D9</f>
        <v>16000</v>
      </c>
      <c r="E10" s="120"/>
      <c r="G10" s="163">
        <v>477</v>
      </c>
      <c r="H10" s="163">
        <f t="shared" si="0"/>
        <v>913</v>
      </c>
      <c r="I10" s="163"/>
      <c r="J10" s="163">
        <v>894</v>
      </c>
      <c r="K10" s="163">
        <f t="shared" si="1"/>
        <v>1941</v>
      </c>
      <c r="M10">
        <v>32</v>
      </c>
      <c r="N10">
        <v>128</v>
      </c>
      <c r="O10">
        <v>50</v>
      </c>
      <c r="P10">
        <v>140</v>
      </c>
    </row>
    <row r="11" spans="1:16" x14ac:dyDescent="0.25">
      <c r="A11">
        <v>2010</v>
      </c>
      <c r="B11" s="120">
        <f>MROUND(Markets_MH!B28,250)</f>
        <v>31750</v>
      </c>
      <c r="C11" s="120">
        <f>MROUND(Markets_MH!C28,250)</f>
        <v>36750</v>
      </c>
      <c r="D11" s="120">
        <f>Markets_BU!D10</f>
        <v>16250</v>
      </c>
      <c r="E11" s="120"/>
      <c r="G11" s="163">
        <v>803</v>
      </c>
      <c r="H11" s="163">
        <f t="shared" si="0"/>
        <v>1716</v>
      </c>
      <c r="I11" s="163"/>
      <c r="J11" s="163">
        <v>1221</v>
      </c>
      <c r="K11" s="163">
        <f t="shared" si="1"/>
        <v>3162</v>
      </c>
      <c r="M11">
        <v>32</v>
      </c>
      <c r="N11">
        <v>160</v>
      </c>
      <c r="O11">
        <v>75</v>
      </c>
      <c r="P11">
        <v>215</v>
      </c>
    </row>
    <row r="12" spans="1:16" x14ac:dyDescent="0.25">
      <c r="A12">
        <v>2011</v>
      </c>
      <c r="B12" s="120">
        <f>MROUND(Markets_MH!B29,250)</f>
        <v>36750</v>
      </c>
      <c r="C12" s="120">
        <f>MROUND(Markets_MH!C29,250)</f>
        <v>36750</v>
      </c>
      <c r="D12" s="120">
        <f>Markets_BU!D11</f>
        <v>16500</v>
      </c>
      <c r="E12" s="120"/>
      <c r="G12" s="163">
        <v>643.12667974736928</v>
      </c>
      <c r="H12" s="163">
        <f t="shared" si="0"/>
        <v>2359.1266797473691</v>
      </c>
      <c r="I12" s="163"/>
      <c r="J12" s="163">
        <v>2375.3020663188208</v>
      </c>
      <c r="K12" s="163">
        <f t="shared" si="1"/>
        <v>5537.3020663188208</v>
      </c>
      <c r="M12">
        <v>52</v>
      </c>
      <c r="N12">
        <v>212</v>
      </c>
      <c r="O12">
        <v>95</v>
      </c>
      <c r="P12">
        <v>310</v>
      </c>
    </row>
    <row r="13" spans="1:16" x14ac:dyDescent="0.25">
      <c r="A13">
        <v>2012</v>
      </c>
      <c r="B13" s="120">
        <f>MROUND(Markets_MH!B30,250)</f>
        <v>38750</v>
      </c>
      <c r="C13" s="120">
        <f>MROUND(Markets_MH!C30,250)</f>
        <v>38750</v>
      </c>
      <c r="D13" s="120">
        <f>Markets_BU!D12</f>
        <v>16750</v>
      </c>
      <c r="E13" s="120"/>
      <c r="G13" s="163">
        <v>878.09725800474985</v>
      </c>
      <c r="H13" s="163">
        <f t="shared" si="0"/>
        <v>3237.2239377521191</v>
      </c>
      <c r="I13" s="163"/>
      <c r="J13" s="163">
        <v>3267.4313432325871</v>
      </c>
      <c r="K13" s="163">
        <f t="shared" si="1"/>
        <v>8804.7334095514088</v>
      </c>
      <c r="M13">
        <v>72</v>
      </c>
      <c r="N13">
        <v>284</v>
      </c>
      <c r="O13">
        <v>115</v>
      </c>
      <c r="P13">
        <v>425</v>
      </c>
    </row>
    <row r="14" spans="1:16" x14ac:dyDescent="0.25">
      <c r="A14">
        <v>2013</v>
      </c>
      <c r="B14" s="120">
        <f>MROUND(Markets_MH!B31,250)</f>
        <v>42000</v>
      </c>
      <c r="C14" s="120">
        <f>MROUND(Markets_MH!C31,250)</f>
        <v>42000</v>
      </c>
      <c r="D14" s="120">
        <f>Markets_BU!D13</f>
        <v>17000</v>
      </c>
      <c r="E14" s="120"/>
      <c r="G14" s="163">
        <v>1209.7215921087636</v>
      </c>
      <c r="H14" s="163">
        <f t="shared" si="0"/>
        <v>4446.9455298608827</v>
      </c>
      <c r="I14" s="163"/>
      <c r="J14" s="163">
        <v>3994.0696972189562</v>
      </c>
      <c r="K14" s="163">
        <f t="shared" si="1"/>
        <v>12798.803106770365</v>
      </c>
      <c r="M14">
        <v>92</v>
      </c>
      <c r="N14">
        <v>376</v>
      </c>
      <c r="O14">
        <v>135</v>
      </c>
      <c r="P14">
        <v>560</v>
      </c>
    </row>
    <row r="15" spans="1:16" x14ac:dyDescent="0.25">
      <c r="A15">
        <v>2014</v>
      </c>
      <c r="B15" s="120">
        <f>MROUND(Markets_MH!B32,250)</f>
        <v>47250</v>
      </c>
      <c r="C15" s="120">
        <f>MROUND(Markets_MH!C32,250)</f>
        <v>47250</v>
      </c>
      <c r="D15" s="120">
        <f>Markets_BU!D14</f>
        <v>17250</v>
      </c>
      <c r="E15" s="120"/>
      <c r="G15" s="163">
        <v>1707.3762212262357</v>
      </c>
      <c r="H15" s="163">
        <f t="shared" si="0"/>
        <v>6154.3217510871182</v>
      </c>
      <c r="I15" s="163"/>
      <c r="J15" s="163">
        <v>4464.9763825870878</v>
      </c>
      <c r="K15" s="163">
        <f t="shared" si="1"/>
        <v>17263.779489357454</v>
      </c>
      <c r="M15">
        <v>112</v>
      </c>
      <c r="N15">
        <v>488</v>
      </c>
      <c r="O15">
        <v>155</v>
      </c>
      <c r="P15">
        <v>715</v>
      </c>
    </row>
    <row r="16" spans="1:16" x14ac:dyDescent="0.25">
      <c r="A16">
        <f>Markets_MH!A33</f>
        <v>2015</v>
      </c>
      <c r="B16" s="120">
        <f>MROUND(Markets_MH!B33,250)</f>
        <v>51000</v>
      </c>
      <c r="C16" s="120">
        <f>MROUND(Markets_MH!C33,250)</f>
        <v>51000</v>
      </c>
      <c r="D16" s="120">
        <f>Markets_BU!D15</f>
        <v>17500</v>
      </c>
      <c r="E16" s="120"/>
      <c r="G16" s="163">
        <v>2230.2556499426787</v>
      </c>
      <c r="H16" s="163">
        <f t="shared" si="0"/>
        <v>8384.5774010297973</v>
      </c>
      <c r="I16" s="163"/>
      <c r="J16" s="163">
        <v>4929.1301535891635</v>
      </c>
      <c r="K16" s="163">
        <f t="shared" si="1"/>
        <v>22192.909642946615</v>
      </c>
      <c r="M16">
        <v>132</v>
      </c>
      <c r="N16">
        <v>620</v>
      </c>
      <c r="O16">
        <v>175</v>
      </c>
      <c r="P16">
        <v>890</v>
      </c>
    </row>
    <row r="17" spans="1:16" x14ac:dyDescent="0.25">
      <c r="A17">
        <f>Markets_MH!A34</f>
        <v>2016</v>
      </c>
      <c r="B17" s="120">
        <f>MROUND(Markets_MH!B34,250)</f>
        <v>54000</v>
      </c>
      <c r="C17" s="120">
        <f>MROUND(Markets_MH!C34,250)</f>
        <v>54000</v>
      </c>
      <c r="D17" s="120">
        <f>Markets_BU!D16</f>
        <v>17750</v>
      </c>
      <c r="E17" s="120"/>
      <c r="G17" s="163">
        <v>2804.3826291510527</v>
      </c>
      <c r="H17" s="163">
        <f t="shared" si="0"/>
        <v>11188.96003018085</v>
      </c>
      <c r="I17" s="163"/>
      <c r="J17" s="163">
        <v>5286.2755240835722</v>
      </c>
      <c r="K17" s="163">
        <f t="shared" si="1"/>
        <v>27479.185167030188</v>
      </c>
      <c r="M17">
        <v>152</v>
      </c>
      <c r="N17">
        <v>772</v>
      </c>
      <c r="O17">
        <v>195</v>
      </c>
      <c r="P17">
        <v>1085</v>
      </c>
    </row>
    <row r="18" spans="1:16" x14ac:dyDescent="0.25">
      <c r="A18">
        <f>Markets_MH!A35</f>
        <v>2017</v>
      </c>
      <c r="B18" s="120">
        <f>MROUND(Markets_MH!B35,250)</f>
        <v>56250</v>
      </c>
      <c r="C18" s="120">
        <f>MROUND(Markets_MH!C35,250)</f>
        <v>56250</v>
      </c>
      <c r="D18" s="120">
        <f>Markets_BU!D17</f>
        <v>18000</v>
      </c>
      <c r="E18" s="120"/>
      <c r="G18" s="163">
        <v>2248.7893652894822</v>
      </c>
      <c r="H18" s="163">
        <f t="shared" si="0"/>
        <v>13437.749395470331</v>
      </c>
      <c r="I18" s="163"/>
      <c r="J18" s="163">
        <v>4621.8193590235514</v>
      </c>
      <c r="K18" s="163">
        <f t="shared" si="1"/>
        <v>32101.004526053737</v>
      </c>
      <c r="M18">
        <v>172</v>
      </c>
      <c r="N18">
        <v>944</v>
      </c>
      <c r="O18">
        <v>215</v>
      </c>
      <c r="P18">
        <v>1300</v>
      </c>
    </row>
    <row r="19" spans="1:16" x14ac:dyDescent="0.25">
      <c r="A19">
        <f>Markets_MH!A36</f>
        <v>2018</v>
      </c>
      <c r="B19" s="120">
        <f>MROUND(Markets_MH!B36,250)</f>
        <v>57750</v>
      </c>
      <c r="C19" s="120">
        <f>MROUND(Markets_MH!C36,250)</f>
        <v>57750</v>
      </c>
      <c r="D19" s="120">
        <f>Markets_BU!D18</f>
        <v>18250</v>
      </c>
      <c r="E19" s="120"/>
      <c r="G19" s="163">
        <v>2526.9266635690628</v>
      </c>
      <c r="H19" s="163">
        <f t="shared" si="0"/>
        <v>15964.676059039393</v>
      </c>
      <c r="I19" s="163"/>
      <c r="J19" s="163">
        <v>4914.1874848543966</v>
      </c>
      <c r="K19" s="163">
        <f t="shared" si="1"/>
        <v>37015.192010908133</v>
      </c>
      <c r="M19">
        <v>192</v>
      </c>
      <c r="N19">
        <v>1136</v>
      </c>
      <c r="O19">
        <v>235</v>
      </c>
      <c r="P19">
        <v>1535</v>
      </c>
    </row>
    <row r="20" spans="1:16" x14ac:dyDescent="0.25">
      <c r="A20">
        <f>Markets_MH!A37</f>
        <v>2019</v>
      </c>
      <c r="B20" s="120">
        <f>MROUND(Markets_MH!B37,250)</f>
        <v>59250</v>
      </c>
      <c r="C20" s="120">
        <f>MROUND(Markets_MH!C37,250)</f>
        <v>59250</v>
      </c>
      <c r="D20" s="120">
        <f>Markets_BU!D19</f>
        <v>18500</v>
      </c>
      <c r="E20" s="120"/>
      <c r="G20" s="163">
        <v>3038.113883474603</v>
      </c>
      <c r="H20" s="163">
        <f t="shared" si="0"/>
        <v>19002.789942513995</v>
      </c>
      <c r="I20" s="163"/>
      <c r="J20" s="163">
        <v>5308.2001210936269</v>
      </c>
      <c r="K20" s="163">
        <f t="shared" si="1"/>
        <v>42323.392132001762</v>
      </c>
      <c r="M20">
        <v>212</v>
      </c>
      <c r="N20">
        <v>1348</v>
      </c>
      <c r="O20">
        <v>255</v>
      </c>
      <c r="P20">
        <v>1790</v>
      </c>
    </row>
    <row r="21" spans="1:16" x14ac:dyDescent="0.25">
      <c r="A21">
        <f>Markets_MH!A38</f>
        <v>2020</v>
      </c>
      <c r="B21" s="120">
        <f>MROUND(Markets_MH!B38,250)</f>
        <v>60750</v>
      </c>
      <c r="C21" s="120">
        <f>MROUND(Markets_MH!C38,250)</f>
        <v>60750</v>
      </c>
      <c r="D21" s="120">
        <f>Markets_BU!D20</f>
        <v>18750</v>
      </c>
      <c r="E21" s="120"/>
      <c r="G21" s="163">
        <v>3681.2886949625599</v>
      </c>
      <c r="H21" s="163">
        <f t="shared" si="0"/>
        <v>22684.078637476556</v>
      </c>
      <c r="I21" s="163"/>
      <c r="J21" s="163">
        <v>5721.0951110108763</v>
      </c>
      <c r="K21" s="163">
        <f t="shared" si="1"/>
        <v>48044.487243012642</v>
      </c>
      <c r="M21">
        <v>232</v>
      </c>
      <c r="N21">
        <v>1580</v>
      </c>
      <c r="O21">
        <v>275</v>
      </c>
      <c r="P21">
        <v>2065</v>
      </c>
    </row>
    <row r="23" spans="1:16" x14ac:dyDescent="0.25">
      <c r="B23" t="s">
        <v>2176</v>
      </c>
      <c r="D23" t="s">
        <v>568</v>
      </c>
      <c r="G23" t="s">
        <v>568</v>
      </c>
      <c r="J23" t="s">
        <v>568</v>
      </c>
    </row>
    <row r="24" spans="1:16" x14ac:dyDescent="0.25">
      <c r="M24" s="385" t="s">
        <v>1934</v>
      </c>
      <c r="O24" s="385" t="s">
        <v>1934</v>
      </c>
    </row>
    <row r="25" spans="1:16" x14ac:dyDescent="0.25">
      <c r="E25" t="s">
        <v>2007</v>
      </c>
      <c r="G25" s="1311">
        <f>AVERAGE(G12:G15)</f>
        <v>1109.5804377717795</v>
      </c>
      <c r="J25" s="1311">
        <f>AVERAGE(J12:J15)</f>
        <v>3525.4448723393625</v>
      </c>
      <c r="M25" s="1311">
        <f>AVERAGE(M12:M15)</f>
        <v>82</v>
      </c>
      <c r="O25" s="1311">
        <f>AVERAGE(O12:O15)*0.4</f>
        <v>50</v>
      </c>
    </row>
    <row r="26" spans="1:16" x14ac:dyDescent="0.25">
      <c r="E26" t="s">
        <v>2005</v>
      </c>
      <c r="G26" s="1311">
        <f>AVERAGE(G16:G21)</f>
        <v>2754.9594810649064</v>
      </c>
      <c r="J26" s="1311">
        <f>AVERAGE(J16:J21)</f>
        <v>5130.117958942531</v>
      </c>
      <c r="M26" s="1311">
        <f>AVERAGE(M16:M21)</f>
        <v>182</v>
      </c>
      <c r="O26" s="1311">
        <f>AVERAGE(O16:O21)*0.4</f>
        <v>90</v>
      </c>
    </row>
    <row r="27" spans="1:16" x14ac:dyDescent="0.25">
      <c r="E27" t="s">
        <v>2006</v>
      </c>
      <c r="G27" s="1311">
        <f>AVERAGE(G12:G21)</f>
        <v>2096.8078637476556</v>
      </c>
      <c r="J27" s="1311">
        <f>AVERAGE(J12:J21)</f>
        <v>4488.2487243012638</v>
      </c>
      <c r="M27" s="1311">
        <f>AVERAGE(M12:M21)</f>
        <v>142</v>
      </c>
      <c r="O27" s="1311">
        <f>AVERAGE(O12:O21)*0.4</f>
        <v>74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F36"/>
  <sheetViews>
    <sheetView workbookViewId="0">
      <selection activeCell="F23" sqref="F23"/>
    </sheetView>
  </sheetViews>
  <sheetFormatPr defaultRowHeight="15" x14ac:dyDescent="0.25"/>
  <cols>
    <col min="1" max="1" width="15.85546875" bestFit="1" customWidth="1"/>
    <col min="2" max="2" width="36.28515625" bestFit="1" customWidth="1"/>
    <col min="3" max="3" width="25.28515625" bestFit="1" customWidth="1"/>
    <col min="4" max="4" width="20.28515625" customWidth="1"/>
    <col min="5" max="5" width="29.85546875" bestFit="1" customWidth="1"/>
    <col min="6" max="6" width="34" bestFit="1" customWidth="1"/>
    <col min="7" max="7" width="13.7109375" bestFit="1" customWidth="1"/>
  </cols>
  <sheetData>
    <row r="1" spans="2:6" s="374" customFormat="1" x14ac:dyDescent="0.25">
      <c r="B1" s="374" t="s">
        <v>528</v>
      </c>
      <c r="C1" s="374" t="s">
        <v>529</v>
      </c>
      <c r="D1" s="374" t="s">
        <v>532</v>
      </c>
      <c r="E1" s="374" t="s">
        <v>533</v>
      </c>
      <c r="F1" s="374" t="s">
        <v>541</v>
      </c>
    </row>
    <row r="2" spans="2:6" s="374" customFormat="1" x14ac:dyDescent="0.25">
      <c r="B2" s="374" t="s">
        <v>527</v>
      </c>
      <c r="C2" s="374" t="s">
        <v>527</v>
      </c>
      <c r="D2" s="374" t="s">
        <v>435</v>
      </c>
      <c r="E2" s="374" t="str">
        <f>C2</f>
        <v>&lt;Please select&gt;</v>
      </c>
      <c r="F2" s="374" t="s">
        <v>1671</v>
      </c>
    </row>
    <row r="3" spans="2:6" s="374" customFormat="1" x14ac:dyDescent="0.25">
      <c r="C3" s="374" t="s">
        <v>435</v>
      </c>
      <c r="E3" s="374" t="s">
        <v>2141</v>
      </c>
      <c r="F3" s="374" t="s">
        <v>1673</v>
      </c>
    </row>
    <row r="4" spans="2:6" s="374" customFormat="1" x14ac:dyDescent="0.25">
      <c r="C4" s="374" t="s">
        <v>434</v>
      </c>
      <c r="E4" s="374" t="s">
        <v>2142</v>
      </c>
      <c r="F4" s="374" t="s">
        <v>1672</v>
      </c>
    </row>
    <row r="5" spans="2:6" x14ac:dyDescent="0.25">
      <c r="E5" t="s">
        <v>2074</v>
      </c>
    </row>
    <row r="6" spans="2:6" s="376" customFormat="1" x14ac:dyDescent="0.25">
      <c r="B6" s="376" t="s">
        <v>530</v>
      </c>
      <c r="C6" s="376" t="s">
        <v>531</v>
      </c>
      <c r="D6" s="376" t="s">
        <v>542</v>
      </c>
      <c r="E6" s="376" t="s">
        <v>569</v>
      </c>
    </row>
    <row r="7" spans="2:6" s="376" customFormat="1" x14ac:dyDescent="0.25">
      <c r="B7" s="376" t="s">
        <v>527</v>
      </c>
      <c r="C7" s="376" t="str">
        <f>B8</f>
        <v>NUMBER of forklift fuel cell units manufactured in region</v>
      </c>
      <c r="D7" s="376" t="s">
        <v>2218</v>
      </c>
      <c r="E7" s="376" t="s">
        <v>1784</v>
      </c>
      <c r="F7" s="376" t="s">
        <v>1478</v>
      </c>
    </row>
    <row r="8" spans="2:6" s="376" customFormat="1" x14ac:dyDescent="0.25">
      <c r="B8" s="376" t="s">
        <v>2137</v>
      </c>
      <c r="D8" s="376" t="s">
        <v>2219</v>
      </c>
      <c r="E8" s="376" t="s">
        <v>1468</v>
      </c>
    </row>
    <row r="9" spans="2:6" s="376" customFormat="1" x14ac:dyDescent="0.25">
      <c r="B9" s="376" t="s">
        <v>2138</v>
      </c>
      <c r="E9" s="376" t="s">
        <v>1525</v>
      </c>
    </row>
    <row r="11" spans="2:6" x14ac:dyDescent="0.25">
      <c r="F11" t="s">
        <v>1859</v>
      </c>
    </row>
    <row r="12" spans="2:6" s="626" customFormat="1" x14ac:dyDescent="0.25">
      <c r="B12" s="626" t="s">
        <v>547</v>
      </c>
      <c r="C12" s="626" t="s">
        <v>548</v>
      </c>
      <c r="E12" s="626" t="s">
        <v>1502</v>
      </c>
      <c r="F12" s="627" t="s">
        <v>1692</v>
      </c>
    </row>
    <row r="13" spans="2:6" s="626" customFormat="1" x14ac:dyDescent="0.25">
      <c r="B13" s="626" t="s">
        <v>527</v>
      </c>
      <c r="C13" s="626" t="str">
        <f>B14</f>
        <v>NUMBER of backup power fuel cell units manufactured in region</v>
      </c>
      <c r="D13" s="626" t="s">
        <v>2221</v>
      </c>
      <c r="E13" s="626" t="s">
        <v>1790</v>
      </c>
      <c r="F13" s="627" t="s">
        <v>1700</v>
      </c>
    </row>
    <row r="14" spans="2:6" s="626" customFormat="1" x14ac:dyDescent="0.25">
      <c r="B14" s="626" t="s">
        <v>2139</v>
      </c>
      <c r="E14" s="626" t="s">
        <v>1499</v>
      </c>
      <c r="F14" s="627" t="s">
        <v>1977</v>
      </c>
    </row>
    <row r="15" spans="2:6" s="626" customFormat="1" x14ac:dyDescent="0.25">
      <c r="B15" s="626" t="s">
        <v>2140</v>
      </c>
      <c r="E15" s="626" t="s">
        <v>1791</v>
      </c>
      <c r="F15" s="627" t="s">
        <v>1701</v>
      </c>
    </row>
    <row r="17" spans="2:5" s="377" customFormat="1" x14ac:dyDescent="0.25">
      <c r="B17" s="377" t="s">
        <v>537</v>
      </c>
      <c r="C17" s="377" t="s">
        <v>1515</v>
      </c>
    </row>
    <row r="18" spans="2:5" s="377" customFormat="1" x14ac:dyDescent="0.25">
      <c r="B18" s="377" t="s">
        <v>527</v>
      </c>
      <c r="C18" s="377" t="s">
        <v>1830</v>
      </c>
      <c r="E18" s="377" t="s">
        <v>1516</v>
      </c>
    </row>
    <row r="19" spans="2:5" s="377" customFormat="1" x14ac:dyDescent="0.25">
      <c r="B19" s="378" t="s">
        <v>1512</v>
      </c>
      <c r="C19" s="377" t="s">
        <v>2201</v>
      </c>
    </row>
    <row r="20" spans="2:5" s="377" customFormat="1" x14ac:dyDescent="0.25">
      <c r="B20" s="378" t="s">
        <v>1511</v>
      </c>
      <c r="C20" s="377" t="s">
        <v>1831</v>
      </c>
    </row>
    <row r="21" spans="2:5" x14ac:dyDescent="0.25">
      <c r="C21" t="s">
        <v>1832</v>
      </c>
    </row>
    <row r="22" spans="2:5" x14ac:dyDescent="0.25">
      <c r="B22" s="616" t="s">
        <v>1693</v>
      </c>
      <c r="C22" s="758" t="s">
        <v>1740</v>
      </c>
      <c r="D22" s="616" t="s">
        <v>1739</v>
      </c>
      <c r="E22" s="616"/>
    </row>
    <row r="23" spans="2:5" x14ac:dyDescent="0.25">
      <c r="B23" s="616" t="s">
        <v>527</v>
      </c>
      <c r="C23" s="758">
        <v>300</v>
      </c>
      <c r="D23" s="758">
        <v>400</v>
      </c>
      <c r="E23" s="616" t="s">
        <v>2057</v>
      </c>
    </row>
    <row r="24" spans="2:5" x14ac:dyDescent="0.25">
      <c r="B24" s="616" t="s">
        <v>1691</v>
      </c>
      <c r="C24" s="758">
        <v>1400</v>
      </c>
      <c r="D24" s="758"/>
      <c r="E24" s="616" t="s">
        <v>2056</v>
      </c>
    </row>
    <row r="25" spans="2:5" x14ac:dyDescent="0.25">
      <c r="B25" s="616" t="s">
        <v>1690</v>
      </c>
      <c r="C25" s="758">
        <v>2800</v>
      </c>
      <c r="D25" s="758"/>
      <c r="E25" s="616" t="s">
        <v>2143</v>
      </c>
    </row>
    <row r="30" spans="2:5" x14ac:dyDescent="0.25">
      <c r="B30" t="s">
        <v>1484</v>
      </c>
    </row>
    <row r="32" spans="2:5" x14ac:dyDescent="0.25">
      <c r="B32" t="s">
        <v>1485</v>
      </c>
    </row>
    <row r="34" spans="2:2" x14ac:dyDescent="0.25">
      <c r="B34" t="s">
        <v>1486</v>
      </c>
    </row>
    <row r="36" spans="2:2" x14ac:dyDescent="0.25">
      <c r="B36" t="s">
        <v>1487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2:S68"/>
  <sheetViews>
    <sheetView zoomScaleNormal="100" workbookViewId="0">
      <pane xSplit="2" ySplit="3" topLeftCell="C36" activePane="bottomRight" state="frozen"/>
      <selection pane="topRight" activeCell="C1" sqref="C1"/>
      <selection pane="bottomLeft" activeCell="A4" sqref="A4"/>
      <selection pane="bottomRight" activeCell="P55" sqref="P55"/>
    </sheetView>
  </sheetViews>
  <sheetFormatPr defaultColWidth="9.140625" defaultRowHeight="15" x14ac:dyDescent="0.25"/>
  <cols>
    <col min="1" max="1" width="11.5703125" style="166" customWidth="1"/>
    <col min="2" max="2" width="20.28515625" style="166" customWidth="1"/>
    <col min="3" max="3" width="7.42578125" style="166" bestFit="1" customWidth="1"/>
    <col min="4" max="4" width="31" style="166" customWidth="1"/>
    <col min="5" max="5" width="9.28515625" style="396" customWidth="1"/>
    <col min="6" max="10" width="11.5703125" style="396" customWidth="1"/>
    <col min="11" max="11" width="7.7109375" style="159" customWidth="1"/>
    <col min="12" max="12" width="8.42578125" style="173" hidden="1" customWidth="1"/>
    <col min="13" max="13" width="7.85546875" style="166" hidden="1" customWidth="1"/>
    <col min="14" max="14" width="7.28515625" style="166" hidden="1" customWidth="1"/>
    <col min="15" max="15" width="1.42578125" style="159" hidden="1" customWidth="1"/>
    <col min="16" max="16" width="8.42578125" style="173" customWidth="1"/>
    <col min="17" max="17" width="7.28515625" style="174" customWidth="1"/>
    <col min="18" max="18" width="8.140625" style="174" customWidth="1"/>
    <col min="19" max="19" width="22.85546875" style="148" customWidth="1"/>
    <col min="20" max="16384" width="9.140625" style="166"/>
  </cols>
  <sheetData>
    <row r="2" spans="1:19" x14ac:dyDescent="0.25">
      <c r="L2" s="167"/>
      <c r="M2" s="167" t="s">
        <v>955</v>
      </c>
      <c r="N2" s="168"/>
      <c r="P2" s="169" t="s">
        <v>956</v>
      </c>
      <c r="Q2" s="170"/>
      <c r="R2" s="170"/>
    </row>
    <row r="3" spans="1:19" s="171" customFormat="1" ht="46.5" customHeight="1" x14ac:dyDescent="0.25">
      <c r="A3" s="143" t="s">
        <v>957</v>
      </c>
      <c r="B3" s="143" t="s">
        <v>958</v>
      </c>
      <c r="C3" s="143" t="s">
        <v>961</v>
      </c>
      <c r="D3" s="143" t="s">
        <v>962</v>
      </c>
      <c r="E3" s="397" t="s">
        <v>1561</v>
      </c>
      <c r="F3" s="397" t="s">
        <v>1562</v>
      </c>
      <c r="G3" s="397" t="s">
        <v>1563</v>
      </c>
      <c r="H3" s="397" t="s">
        <v>1559</v>
      </c>
      <c r="I3" s="397" t="s">
        <v>1560</v>
      </c>
      <c r="J3" s="397" t="s">
        <v>1564</v>
      </c>
      <c r="K3" s="159"/>
      <c r="L3" s="144" t="s">
        <v>959</v>
      </c>
      <c r="M3" s="145" t="s">
        <v>1002</v>
      </c>
      <c r="N3" s="145" t="s">
        <v>960</v>
      </c>
      <c r="O3" s="146"/>
      <c r="P3" s="144" t="str">
        <f>L3</f>
        <v>Cost ($/FC)</v>
      </c>
      <c r="Q3" s="147" t="str">
        <f>M3</f>
        <v>% of stack</v>
      </c>
      <c r="R3" s="147" t="str">
        <f>N3</f>
        <v>% of total</v>
      </c>
      <c r="S3" s="148"/>
    </row>
    <row r="4" spans="1:19" s="175" customFormat="1" x14ac:dyDescent="0.25">
      <c r="A4" s="175" t="s">
        <v>445</v>
      </c>
      <c r="B4" s="175" t="s">
        <v>963</v>
      </c>
      <c r="C4" s="175">
        <v>339991</v>
      </c>
      <c r="D4" s="175" t="s">
        <v>604</v>
      </c>
      <c r="E4" s="177">
        <f>H4*$R4</f>
        <v>1.492169373549884E-3</v>
      </c>
      <c r="F4" s="177">
        <f>I4*$R4</f>
        <v>3.9791183294663572E-3</v>
      </c>
      <c r="G4" s="177">
        <f>J4*$R4</f>
        <v>1.6342807424593968E-3</v>
      </c>
      <c r="H4" s="398">
        <v>0.21</v>
      </c>
      <c r="I4" s="398">
        <v>0.56000000000000005</v>
      </c>
      <c r="J4" s="398">
        <v>0.23</v>
      </c>
      <c r="K4" s="159"/>
      <c r="L4" s="176">
        <v>49</v>
      </c>
      <c r="M4" s="177">
        <f t="shared" ref="M4:M15" si="0">L4/$L$19</f>
        <v>2.2780102278010229E-2</v>
      </c>
      <c r="N4" s="177">
        <f t="shared" ref="N4:N16" si="1">L4/L$61</f>
        <v>7.6063334368208632E-3</v>
      </c>
      <c r="O4" s="177"/>
      <c r="P4" s="176">
        <v>49</v>
      </c>
      <c r="Q4" s="177">
        <f>P4/P$19</f>
        <v>1.8595825426944972E-2</v>
      </c>
      <c r="R4" s="177">
        <f t="shared" ref="R4:R16" si="2">P4/P$61</f>
        <v>7.1055684454756378E-3</v>
      </c>
      <c r="S4" s="148"/>
    </row>
    <row r="5" spans="1:19" s="175" customFormat="1" x14ac:dyDescent="0.25">
      <c r="A5" s="175" t="s">
        <v>445</v>
      </c>
      <c r="B5" s="175" t="s">
        <v>964</v>
      </c>
      <c r="C5" s="175">
        <v>339991</v>
      </c>
      <c r="D5" s="175" t="s">
        <v>604</v>
      </c>
      <c r="E5" s="177">
        <f t="shared" ref="E5:E8" si="3">H5*$R5</f>
        <v>1.4327146171693734E-3</v>
      </c>
      <c r="F5" s="177">
        <f t="shared" ref="F5:F8" si="4">I5*$R5</f>
        <v>4.0719257540603251E-3</v>
      </c>
      <c r="G5" s="177">
        <f t="shared" ref="G5:G15" si="5">J5*$R5</f>
        <v>2.0359628770301626E-3</v>
      </c>
      <c r="H5" s="398">
        <v>0.19</v>
      </c>
      <c r="I5" s="398">
        <v>0.54</v>
      </c>
      <c r="J5" s="398">
        <v>0.27</v>
      </c>
      <c r="K5" s="159"/>
      <c r="L5" s="176">
        <v>52</v>
      </c>
      <c r="M5" s="177">
        <f t="shared" si="0"/>
        <v>2.417480241748024E-2</v>
      </c>
      <c r="N5" s="177">
        <f t="shared" si="1"/>
        <v>8.0720273207078551E-3</v>
      </c>
      <c r="O5" s="177"/>
      <c r="P5" s="176">
        <v>52</v>
      </c>
      <c r="Q5" s="177">
        <f>P5/P$19</f>
        <v>1.9734345351043642E-2</v>
      </c>
      <c r="R5" s="177">
        <f t="shared" si="2"/>
        <v>7.5406032482598605E-3</v>
      </c>
      <c r="S5" s="148"/>
    </row>
    <row r="6" spans="1:19" s="175" customFormat="1" x14ac:dyDescent="0.25">
      <c r="A6" s="175" t="s">
        <v>445</v>
      </c>
      <c r="B6" s="175" t="s">
        <v>965</v>
      </c>
      <c r="C6" s="175">
        <v>339991</v>
      </c>
      <c r="D6" s="175" t="s">
        <v>604</v>
      </c>
      <c r="E6" s="177">
        <f t="shared" si="3"/>
        <v>1.492169373549884E-3</v>
      </c>
      <c r="F6" s="177">
        <f t="shared" si="4"/>
        <v>3.9791183294663572E-3</v>
      </c>
      <c r="G6" s="177">
        <f t="shared" si="5"/>
        <v>1.6342807424593968E-3</v>
      </c>
      <c r="H6" s="398">
        <v>0.21</v>
      </c>
      <c r="I6" s="398">
        <v>0.56000000000000005</v>
      </c>
      <c r="J6" s="398">
        <v>0.23</v>
      </c>
      <c r="K6" s="159"/>
      <c r="L6" s="176">
        <v>49</v>
      </c>
      <c r="M6" s="177">
        <f t="shared" si="0"/>
        <v>2.2780102278010229E-2</v>
      </c>
      <c r="N6" s="177">
        <f t="shared" si="1"/>
        <v>7.6063334368208632E-3</v>
      </c>
      <c r="O6" s="177"/>
      <c r="P6" s="176">
        <v>49</v>
      </c>
      <c r="Q6" s="177">
        <f>P6/P$19</f>
        <v>1.8595825426944972E-2</v>
      </c>
      <c r="R6" s="177">
        <f t="shared" si="2"/>
        <v>7.1055684454756378E-3</v>
      </c>
      <c r="S6" s="148"/>
    </row>
    <row r="7" spans="1:19" s="175" customFormat="1" x14ac:dyDescent="0.25">
      <c r="A7" s="175" t="s">
        <v>445</v>
      </c>
      <c r="B7" s="175" t="s">
        <v>966</v>
      </c>
      <c r="C7" s="175">
        <v>339991</v>
      </c>
      <c r="D7" s="175" t="s">
        <v>604</v>
      </c>
      <c r="E7" s="177">
        <f t="shared" si="3"/>
        <v>3.0452436194895588E-5</v>
      </c>
      <c r="F7" s="177">
        <f t="shared" si="4"/>
        <v>8.1206496519721586E-5</v>
      </c>
      <c r="G7" s="177">
        <f t="shared" si="5"/>
        <v>3.3352668213457076E-5</v>
      </c>
      <c r="H7" s="398">
        <v>0.21</v>
      </c>
      <c r="I7" s="398">
        <v>0.56000000000000005</v>
      </c>
      <c r="J7" s="398">
        <v>0.23</v>
      </c>
      <c r="K7" s="159"/>
      <c r="L7" s="176">
        <v>1</v>
      </c>
      <c r="M7" s="177">
        <f t="shared" si="0"/>
        <v>4.6490004649000463E-4</v>
      </c>
      <c r="N7" s="177">
        <f t="shared" si="1"/>
        <v>1.552312946289972E-4</v>
      </c>
      <c r="O7" s="177"/>
      <c r="P7" s="176">
        <v>1</v>
      </c>
      <c r="Q7" s="177">
        <v>0</v>
      </c>
      <c r="R7" s="177">
        <f t="shared" si="2"/>
        <v>1.4501160092807424E-4</v>
      </c>
      <c r="S7" s="148"/>
    </row>
    <row r="8" spans="1:19" s="175" customFormat="1" x14ac:dyDescent="0.25">
      <c r="A8" s="175" t="s">
        <v>445</v>
      </c>
      <c r="B8" s="175" t="s">
        <v>968</v>
      </c>
      <c r="C8" s="175" t="s">
        <v>723</v>
      </c>
      <c r="D8" s="175" t="s">
        <v>154</v>
      </c>
      <c r="E8" s="177">
        <f t="shared" si="3"/>
        <v>6.4965197215777258E-4</v>
      </c>
      <c r="F8" s="177">
        <f t="shared" si="4"/>
        <v>1.8677494199535963E-3</v>
      </c>
      <c r="G8" s="177">
        <f t="shared" si="5"/>
        <v>1.5429234338747099E-3</v>
      </c>
      <c r="H8" s="398">
        <v>0.16</v>
      </c>
      <c r="I8" s="398">
        <v>0.46</v>
      </c>
      <c r="J8" s="398">
        <v>0.38</v>
      </c>
      <c r="K8" s="159"/>
      <c r="L8" s="176">
        <v>30</v>
      </c>
      <c r="M8" s="177">
        <f t="shared" si="0"/>
        <v>1.3947001394700139E-2</v>
      </c>
      <c r="N8" s="177">
        <f t="shared" si="1"/>
        <v>4.6569388388699165E-3</v>
      </c>
      <c r="O8" s="177"/>
      <c r="P8" s="176">
        <v>28</v>
      </c>
      <c r="Q8" s="177">
        <f t="shared" ref="Q8:Q16" si="6">P8/P$19</f>
        <v>1.0626185958254269E-2</v>
      </c>
      <c r="R8" s="177">
        <f t="shared" si="2"/>
        <v>4.0603248259860787E-3</v>
      </c>
      <c r="S8" s="148"/>
    </row>
    <row r="9" spans="1:19" s="200" customFormat="1" x14ac:dyDescent="0.25">
      <c r="A9" s="200" t="s">
        <v>445</v>
      </c>
      <c r="B9" s="200" t="s">
        <v>969</v>
      </c>
      <c r="C9" s="200">
        <v>335991</v>
      </c>
      <c r="D9" s="200" t="s">
        <v>603</v>
      </c>
      <c r="E9" s="405">
        <f t="shared" ref="E9" si="7">H9*$R9</f>
        <v>4.1250000000000002E-2</v>
      </c>
      <c r="F9" s="405">
        <f t="shared" ref="F9" si="8">I9*$R9</f>
        <v>0.05</v>
      </c>
      <c r="G9" s="177">
        <f t="shared" si="5"/>
        <v>3.3750000000000002E-2</v>
      </c>
      <c r="H9" s="406">
        <v>0.33</v>
      </c>
      <c r="I9" s="406">
        <v>0.4</v>
      </c>
      <c r="J9" s="406">
        <v>0.27</v>
      </c>
      <c r="K9" s="159"/>
      <c r="L9" s="407">
        <v>876</v>
      </c>
      <c r="M9" s="405">
        <f t="shared" si="0"/>
        <v>0.40725244072524408</v>
      </c>
      <c r="N9" s="405">
        <f t="shared" si="1"/>
        <v>0.13598261409500156</v>
      </c>
      <c r="O9" s="405"/>
      <c r="P9" s="407">
        <v>862</v>
      </c>
      <c r="Q9" s="405">
        <f t="shared" si="6"/>
        <v>0.32713472485768502</v>
      </c>
      <c r="R9" s="405">
        <f t="shared" si="2"/>
        <v>0.125</v>
      </c>
      <c r="S9" s="148"/>
    </row>
    <row r="10" spans="1:19" s="175" customFormat="1" x14ac:dyDescent="0.25">
      <c r="A10" s="175" t="s">
        <v>445</v>
      </c>
      <c r="B10" s="175" t="s">
        <v>967</v>
      </c>
      <c r="C10" s="175">
        <v>331200</v>
      </c>
      <c r="D10" s="175" t="s">
        <v>607</v>
      </c>
      <c r="E10" s="405">
        <f t="shared" ref="E10:E11" si="9">H10*$R10</f>
        <v>0</v>
      </c>
      <c r="F10" s="405">
        <f t="shared" ref="F10:F11" si="10">I10*$R10</f>
        <v>5.8004640371229696E-3</v>
      </c>
      <c r="G10" s="177">
        <f t="shared" si="5"/>
        <v>0</v>
      </c>
      <c r="H10" s="398">
        <v>0</v>
      </c>
      <c r="I10" s="398">
        <v>1</v>
      </c>
      <c r="J10" s="398">
        <v>0</v>
      </c>
      <c r="K10" s="159"/>
      <c r="L10" s="176">
        <v>40</v>
      </c>
      <c r="M10" s="177">
        <f t="shared" si="0"/>
        <v>1.8596001859600187E-2</v>
      </c>
      <c r="N10" s="177">
        <f t="shared" si="1"/>
        <v>6.2092517851598883E-3</v>
      </c>
      <c r="O10" s="177"/>
      <c r="P10" s="176">
        <v>40</v>
      </c>
      <c r="Q10" s="177">
        <f t="shared" si="6"/>
        <v>1.5180265654648957E-2</v>
      </c>
      <c r="R10" s="177">
        <f t="shared" si="2"/>
        <v>5.8004640371229696E-3</v>
      </c>
      <c r="S10" s="148"/>
    </row>
    <row r="11" spans="1:19" s="206" customFormat="1" x14ac:dyDescent="0.25">
      <c r="A11" s="205" t="s">
        <v>970</v>
      </c>
      <c r="B11" s="206" t="s">
        <v>971</v>
      </c>
      <c r="C11" s="206">
        <v>335991</v>
      </c>
      <c r="D11" s="206" t="s">
        <v>603</v>
      </c>
      <c r="E11" s="405">
        <f t="shared" si="9"/>
        <v>3.9153132250580045E-3</v>
      </c>
      <c r="F11" s="405">
        <f t="shared" si="10"/>
        <v>2.6537122969837589E-2</v>
      </c>
      <c r="G11" s="177">
        <f t="shared" si="5"/>
        <v>0</v>
      </c>
      <c r="H11" s="400">
        <v>0.09</v>
      </c>
      <c r="I11" s="400">
        <v>0.61</v>
      </c>
      <c r="J11" s="400">
        <v>0</v>
      </c>
      <c r="K11" s="159"/>
      <c r="L11" s="207">
        <v>328.4</v>
      </c>
      <c r="M11" s="184">
        <f t="shared" si="0"/>
        <v>0.15267317526731752</v>
      </c>
      <c r="N11" s="184">
        <f t="shared" si="1"/>
        <v>5.0977957156162677E-2</v>
      </c>
      <c r="O11" s="184"/>
      <c r="P11" s="182">
        <v>300</v>
      </c>
      <c r="Q11" s="183">
        <f t="shared" si="6"/>
        <v>0.11385199240986717</v>
      </c>
      <c r="R11" s="184">
        <f t="shared" si="2"/>
        <v>4.3503480278422275E-2</v>
      </c>
      <c r="S11" s="148"/>
    </row>
    <row r="12" spans="1:19" s="206" customFormat="1" x14ac:dyDescent="0.25">
      <c r="A12" s="205" t="s">
        <v>970</v>
      </c>
      <c r="B12" s="206" t="s">
        <v>1517</v>
      </c>
      <c r="C12" s="206">
        <v>325211</v>
      </c>
      <c r="D12" s="206" t="s">
        <v>606</v>
      </c>
      <c r="E12" s="177">
        <f t="shared" ref="E12:E14" si="11">H12*$R12</f>
        <v>0</v>
      </c>
      <c r="F12" s="177">
        <f t="shared" ref="F12:F14" si="12">I12*$R12</f>
        <v>0</v>
      </c>
      <c r="G12" s="177">
        <f t="shared" si="5"/>
        <v>0</v>
      </c>
      <c r="H12" s="400">
        <v>0</v>
      </c>
      <c r="I12" s="400">
        <v>0.3</v>
      </c>
      <c r="J12" s="400">
        <v>0</v>
      </c>
      <c r="K12" s="159"/>
      <c r="L12" s="207">
        <v>53.6</v>
      </c>
      <c r="M12" s="184">
        <f t="shared" si="0"/>
        <v>2.4918642491864249E-2</v>
      </c>
      <c r="N12" s="184">
        <f t="shared" si="1"/>
        <v>8.320397392114251E-3</v>
      </c>
      <c r="O12" s="184"/>
      <c r="P12" s="182">
        <v>0</v>
      </c>
      <c r="Q12" s="183">
        <f t="shared" si="6"/>
        <v>0</v>
      </c>
      <c r="R12" s="184">
        <f t="shared" si="2"/>
        <v>0</v>
      </c>
      <c r="S12" s="148"/>
    </row>
    <row r="13" spans="1:19" s="206" customFormat="1" x14ac:dyDescent="0.25">
      <c r="A13" s="205" t="s">
        <v>970</v>
      </c>
      <c r="B13" s="206" t="s">
        <v>972</v>
      </c>
      <c r="C13" s="206">
        <v>325211</v>
      </c>
      <c r="D13" s="206" t="s">
        <v>606</v>
      </c>
      <c r="E13" s="177">
        <f t="shared" si="11"/>
        <v>0</v>
      </c>
      <c r="F13" s="177">
        <f t="shared" si="12"/>
        <v>9.1357308584686769E-2</v>
      </c>
      <c r="G13" s="177">
        <f t="shared" si="5"/>
        <v>0</v>
      </c>
      <c r="H13" s="400">
        <v>0</v>
      </c>
      <c r="I13" s="400">
        <v>1</v>
      </c>
      <c r="J13" s="400">
        <v>0</v>
      </c>
      <c r="K13" s="159"/>
      <c r="L13" s="207">
        <v>43.1</v>
      </c>
      <c r="M13" s="184">
        <f t="shared" si="0"/>
        <v>2.0037192003719201E-2</v>
      </c>
      <c r="N13" s="184">
        <f t="shared" si="1"/>
        <v>6.6904687985097798E-3</v>
      </c>
      <c r="O13" s="184"/>
      <c r="P13" s="182">
        <v>630</v>
      </c>
      <c r="Q13" s="183">
        <f t="shared" si="6"/>
        <v>0.23908918406072105</v>
      </c>
      <c r="R13" s="184">
        <f t="shared" si="2"/>
        <v>9.1357308584686769E-2</v>
      </c>
      <c r="S13" s="148"/>
    </row>
    <row r="14" spans="1:19" s="206" customFormat="1" x14ac:dyDescent="0.25">
      <c r="A14" s="205" t="s">
        <v>970</v>
      </c>
      <c r="B14" s="208" t="s">
        <v>973</v>
      </c>
      <c r="C14" s="206">
        <v>331490</v>
      </c>
      <c r="D14" s="206" t="s">
        <v>605</v>
      </c>
      <c r="E14" s="405">
        <f t="shared" si="11"/>
        <v>0</v>
      </c>
      <c r="F14" s="405">
        <f t="shared" si="12"/>
        <v>7.8306264501160086E-2</v>
      </c>
      <c r="G14" s="177">
        <f t="shared" si="5"/>
        <v>0</v>
      </c>
      <c r="H14" s="400">
        <v>0</v>
      </c>
      <c r="I14" s="400">
        <v>1</v>
      </c>
      <c r="J14" s="400">
        <v>0</v>
      </c>
      <c r="K14" s="159"/>
      <c r="L14" s="207">
        <v>467.1</v>
      </c>
      <c r="M14" s="184">
        <f t="shared" si="0"/>
        <v>0.21715481171548118</v>
      </c>
      <c r="N14" s="184">
        <f t="shared" si="1"/>
        <v>7.2508537721204594E-2</v>
      </c>
      <c r="O14" s="184"/>
      <c r="P14" s="182">
        <v>540</v>
      </c>
      <c r="Q14" s="183">
        <f t="shared" si="6"/>
        <v>0.2049335863377609</v>
      </c>
      <c r="R14" s="184">
        <f t="shared" si="2"/>
        <v>7.8306264501160086E-2</v>
      </c>
      <c r="S14" s="148"/>
    </row>
    <row r="15" spans="1:19" s="206" customFormat="1" x14ac:dyDescent="0.25">
      <c r="A15" s="205" t="s">
        <v>970</v>
      </c>
      <c r="B15" s="208" t="s">
        <v>1518</v>
      </c>
      <c r="C15" s="206">
        <v>334419</v>
      </c>
      <c r="D15" s="206" t="s">
        <v>221</v>
      </c>
      <c r="E15" s="177">
        <f t="shared" ref="E15" si="13">H15*$R15</f>
        <v>6.17314385150812E-3</v>
      </c>
      <c r="F15" s="177">
        <f t="shared" ref="F15" si="14">I15*$R15</f>
        <v>0</v>
      </c>
      <c r="G15" s="177">
        <f t="shared" si="5"/>
        <v>6.2354988399071918E-5</v>
      </c>
      <c r="H15" s="400">
        <v>0.99</v>
      </c>
      <c r="I15" s="400">
        <v>0</v>
      </c>
      <c r="J15" s="400">
        <v>0.01</v>
      </c>
      <c r="K15" s="159"/>
      <c r="L15" s="207">
        <v>160.79999999999995</v>
      </c>
      <c r="M15" s="184">
        <f t="shared" si="0"/>
        <v>7.4755927475592732E-2</v>
      </c>
      <c r="N15" s="184">
        <f t="shared" si="1"/>
        <v>2.4961192176342743E-2</v>
      </c>
      <c r="O15" s="184"/>
      <c r="P15" s="182">
        <v>43</v>
      </c>
      <c r="Q15" s="183">
        <f t="shared" si="6"/>
        <v>1.6318785578747629E-2</v>
      </c>
      <c r="R15" s="184">
        <f t="shared" si="2"/>
        <v>6.2354988399071923E-3</v>
      </c>
      <c r="S15" s="148"/>
    </row>
    <row r="16" spans="1:19" x14ac:dyDescent="0.25">
      <c r="A16" s="152"/>
      <c r="B16" s="153" t="s">
        <v>974</v>
      </c>
      <c r="C16" s="152"/>
      <c r="D16" s="152"/>
      <c r="E16" s="401"/>
      <c r="F16" s="401"/>
      <c r="G16" s="401"/>
      <c r="H16" s="401"/>
      <c r="I16" s="401"/>
      <c r="J16" s="401"/>
      <c r="L16" s="154">
        <f>SUM(L11:L15)</f>
        <v>1053</v>
      </c>
      <c r="M16" s="155">
        <f>L16/L19</f>
        <v>0.4895397489539749</v>
      </c>
      <c r="N16" s="155">
        <f t="shared" si="1"/>
        <v>0.16345855324433406</v>
      </c>
      <c r="O16" s="148"/>
      <c r="P16" s="156">
        <f>SUM(P11:P15)</f>
        <v>1513</v>
      </c>
      <c r="Q16" s="155">
        <f t="shared" si="6"/>
        <v>0.5741935483870968</v>
      </c>
      <c r="R16" s="155">
        <f t="shared" si="2"/>
        <v>0.21940255220417634</v>
      </c>
    </row>
    <row r="17" spans="1:19" x14ac:dyDescent="0.25">
      <c r="A17" s="152"/>
      <c r="B17" s="153"/>
      <c r="C17" s="152"/>
      <c r="D17" s="152"/>
      <c r="E17" s="401"/>
      <c r="F17" s="401"/>
      <c r="G17" s="401"/>
      <c r="H17" s="401"/>
      <c r="I17" s="401"/>
      <c r="J17" s="401"/>
      <c r="L17" s="154"/>
      <c r="M17" s="155"/>
      <c r="N17" s="155"/>
      <c r="O17" s="148"/>
      <c r="P17" s="156">
        <f>P16/5</f>
        <v>302.60000000000002</v>
      </c>
      <c r="Q17" s="155"/>
      <c r="R17" s="155"/>
    </row>
    <row r="18" spans="1:19" s="175" customFormat="1" x14ac:dyDescent="0.25">
      <c r="A18" s="175" t="s">
        <v>445</v>
      </c>
      <c r="B18" s="204" t="s">
        <v>1042</v>
      </c>
      <c r="C18" s="175">
        <v>334419</v>
      </c>
      <c r="D18" s="175" t="s">
        <v>221</v>
      </c>
      <c r="E18" s="177">
        <f t="shared" ref="E18" si="15">H18*$R18</f>
        <v>5.9454756380510438E-3</v>
      </c>
      <c r="F18" s="177">
        <f t="shared" ref="F18:G18" si="16">I18*$R18</f>
        <v>0</v>
      </c>
      <c r="G18" s="177">
        <f t="shared" si="16"/>
        <v>0</v>
      </c>
      <c r="H18" s="398">
        <v>1</v>
      </c>
      <c r="I18" s="398">
        <v>0</v>
      </c>
      <c r="J18" s="398">
        <v>0</v>
      </c>
      <c r="K18" s="159"/>
      <c r="L18" s="176">
        <v>41</v>
      </c>
      <c r="M18" s="177">
        <f>L18/$L$19</f>
        <v>1.9060901906090191E-2</v>
      </c>
      <c r="N18" s="177">
        <f>L18/L$61</f>
        <v>6.3644830797888853E-3</v>
      </c>
      <c r="O18" s="177"/>
      <c r="P18" s="176">
        <v>41</v>
      </c>
      <c r="Q18" s="177">
        <f>P18/P$19</f>
        <v>1.5559772296015181E-2</v>
      </c>
      <c r="R18" s="177">
        <f>P18/P$61</f>
        <v>5.9454756380510438E-3</v>
      </c>
      <c r="S18" s="148"/>
    </row>
    <row r="19" spans="1:19" s="189" customFormat="1" x14ac:dyDescent="0.25">
      <c r="A19" s="2810" t="s">
        <v>975</v>
      </c>
      <c r="B19" s="2810"/>
      <c r="E19" s="402"/>
      <c r="F19" s="402"/>
      <c r="G19" s="402"/>
      <c r="H19" s="402"/>
      <c r="I19" s="402"/>
      <c r="J19" s="402"/>
      <c r="K19" s="159"/>
      <c r="L19" s="186">
        <f>SUM(L4:L9)+L16+SUM(L18:L18)</f>
        <v>2151</v>
      </c>
      <c r="M19" s="187">
        <f>L19/$L$19</f>
        <v>1</v>
      </c>
      <c r="N19" s="187">
        <f>L19/L$61</f>
        <v>0.33390251474697297</v>
      </c>
      <c r="O19" s="187"/>
      <c r="P19" s="186">
        <f>SUM(P4:P15)+P18</f>
        <v>2635</v>
      </c>
      <c r="Q19" s="187">
        <f>SUM(Q4:Q15)+Q18</f>
        <v>0.9996204933586339</v>
      </c>
      <c r="R19" s="187">
        <f>P19/P$61</f>
        <v>0.38210556844547566</v>
      </c>
      <c r="S19" s="148"/>
    </row>
    <row r="20" spans="1:19" s="189" customFormat="1" x14ac:dyDescent="0.25">
      <c r="A20" s="185"/>
      <c r="B20" s="185" t="s">
        <v>1046</v>
      </c>
      <c r="E20" s="402"/>
      <c r="F20" s="402"/>
      <c r="G20" s="402"/>
      <c r="H20" s="402"/>
      <c r="I20" s="402"/>
      <c r="J20" s="402"/>
      <c r="K20" s="159"/>
      <c r="L20" s="186">
        <f>L19/5</f>
        <v>430.2</v>
      </c>
      <c r="M20" s="187"/>
      <c r="N20" s="187"/>
      <c r="O20" s="187"/>
      <c r="P20" s="186">
        <f>P19/5</f>
        <v>527</v>
      </c>
      <c r="Q20" s="187"/>
      <c r="R20" s="187"/>
      <c r="S20" s="148"/>
    </row>
    <row r="21" spans="1:19" s="159" customFormat="1" x14ac:dyDescent="0.25">
      <c r="A21" s="172"/>
      <c r="B21" s="172"/>
      <c r="E21" s="403"/>
      <c r="F21" s="403"/>
      <c r="G21" s="403"/>
      <c r="H21" s="403"/>
      <c r="I21" s="403"/>
      <c r="J21" s="403"/>
      <c r="L21" s="158"/>
      <c r="M21" s="148"/>
      <c r="N21" s="148"/>
      <c r="O21" s="148"/>
      <c r="P21" s="158"/>
      <c r="Q21" s="148"/>
      <c r="R21" s="157"/>
      <c r="S21" s="148"/>
    </row>
    <row r="22" spans="1:19" s="171" customFormat="1" ht="27" customHeight="1" x14ac:dyDescent="0.25">
      <c r="A22" s="143" t="str">
        <f>A3</f>
        <v>Category</v>
      </c>
      <c r="B22" s="143" t="str">
        <f t="shared" ref="B22:J22" si="17">B3</f>
        <v>Sub-category</v>
      </c>
      <c r="C22" s="143" t="str">
        <f t="shared" si="17"/>
        <v>RIMS-II</v>
      </c>
      <c r="D22" s="143" t="str">
        <f t="shared" si="17"/>
        <v>RIMS-II Description</v>
      </c>
      <c r="E22" s="143" t="str">
        <f t="shared" si="17"/>
        <v>Weighted Labor %</v>
      </c>
      <c r="F22" s="143" t="str">
        <f t="shared" si="17"/>
        <v>Weighted Materials %</v>
      </c>
      <c r="G22" s="143" t="str">
        <f t="shared" si="17"/>
        <v>Weighted Tooling %</v>
      </c>
      <c r="H22" s="143" t="str">
        <f t="shared" si="17"/>
        <v>Labor % of line item</v>
      </c>
      <c r="I22" s="143" t="str">
        <f t="shared" si="17"/>
        <v>Materials % of line item</v>
      </c>
      <c r="J22" s="143" t="str">
        <f t="shared" si="17"/>
        <v>Tooling % of line item</v>
      </c>
      <c r="K22" s="159"/>
      <c r="L22" s="144" t="s">
        <v>959</v>
      </c>
      <c r="M22" s="145" t="s">
        <v>1043</v>
      </c>
      <c r="N22" s="145" t="s">
        <v>960</v>
      </c>
      <c r="O22" s="146"/>
      <c r="P22" s="144" t="str">
        <f>L22</f>
        <v>Cost ($/FC)</v>
      </c>
      <c r="Q22" s="147" t="str">
        <f>M22</f>
        <v>% of BoP</v>
      </c>
      <c r="R22" s="147" t="str">
        <f>N22</f>
        <v>% of total</v>
      </c>
      <c r="S22" s="148"/>
    </row>
    <row r="23" spans="1:19" s="149" customFormat="1" x14ac:dyDescent="0.25">
      <c r="A23" s="149" t="s">
        <v>976</v>
      </c>
      <c r="B23" s="149" t="s">
        <v>977</v>
      </c>
      <c r="C23" s="149" t="s">
        <v>599</v>
      </c>
      <c r="D23" s="149" t="s">
        <v>608</v>
      </c>
      <c r="E23" s="151">
        <f t="shared" ref="E23" si="18">H23*$R23</f>
        <v>0</v>
      </c>
      <c r="F23" s="151">
        <f t="shared" ref="F23:G38" si="19">I23*$R23</f>
        <v>4.0603248259860787E-3</v>
      </c>
      <c r="G23" s="151">
        <f t="shared" si="19"/>
        <v>0</v>
      </c>
      <c r="H23" s="399">
        <v>0</v>
      </c>
      <c r="I23" s="399">
        <v>1</v>
      </c>
      <c r="J23" s="399">
        <v>0</v>
      </c>
      <c r="K23" s="159"/>
      <c r="L23" s="150">
        <v>28</v>
      </c>
      <c r="M23" s="151">
        <f>L23/L$45</f>
        <v>8.2280340875697921E-3</v>
      </c>
      <c r="N23" s="151">
        <f t="shared" ref="N23:N45" si="20">L23/L$61</f>
        <v>4.3464762496119216E-3</v>
      </c>
      <c r="O23" s="151"/>
      <c r="P23" s="150">
        <v>28</v>
      </c>
      <c r="Q23" s="151">
        <f>P23/P$45</f>
        <v>8.2280340875697921E-3</v>
      </c>
      <c r="R23" s="151">
        <f t="shared" ref="R23:R45" si="21">P23/P$61</f>
        <v>4.0603248259860787E-3</v>
      </c>
      <c r="S23" s="148"/>
    </row>
    <row r="24" spans="1:19" s="149" customFormat="1" x14ac:dyDescent="0.25">
      <c r="A24" s="149" t="s">
        <v>976</v>
      </c>
      <c r="B24" s="149" t="s">
        <v>978</v>
      </c>
      <c r="C24" s="149" t="s">
        <v>599</v>
      </c>
      <c r="D24" s="149" t="s">
        <v>608</v>
      </c>
      <c r="E24" s="151">
        <f t="shared" ref="E24:E44" si="22">H24*$R24</f>
        <v>0</v>
      </c>
      <c r="F24" s="151">
        <f t="shared" ref="F24:G44" si="23">I24*$R24</f>
        <v>1.2035962877030163E-2</v>
      </c>
      <c r="G24" s="151">
        <f t="shared" si="19"/>
        <v>0</v>
      </c>
      <c r="H24" s="399">
        <v>0</v>
      </c>
      <c r="I24" s="399">
        <v>1</v>
      </c>
      <c r="J24" s="399">
        <v>0</v>
      </c>
      <c r="K24" s="159"/>
      <c r="L24" s="150">
        <v>83</v>
      </c>
      <c r="M24" s="151">
        <f t="shared" ref="M24:M44" si="24">L24/L$45</f>
        <v>2.4390243902439025E-2</v>
      </c>
      <c r="N24" s="151">
        <f t="shared" si="20"/>
        <v>1.2884197454206768E-2</v>
      </c>
      <c r="O24" s="151"/>
      <c r="P24" s="150">
        <v>83</v>
      </c>
      <c r="Q24" s="151">
        <f t="shared" ref="Q24:Q44" si="25">P24/P$45</f>
        <v>2.4390243902439025E-2</v>
      </c>
      <c r="R24" s="151">
        <f t="shared" si="21"/>
        <v>1.2035962877030163E-2</v>
      </c>
      <c r="S24" s="148"/>
    </row>
    <row r="25" spans="1:19" s="149" customFormat="1" x14ac:dyDescent="0.25">
      <c r="A25" s="149" t="s">
        <v>976</v>
      </c>
      <c r="B25" s="149" t="s">
        <v>979</v>
      </c>
      <c r="C25" s="149" t="s">
        <v>599</v>
      </c>
      <c r="D25" s="149" t="s">
        <v>608</v>
      </c>
      <c r="E25" s="151">
        <f t="shared" si="22"/>
        <v>0</v>
      </c>
      <c r="F25" s="151">
        <f t="shared" si="23"/>
        <v>2.1751740139211138E-2</v>
      </c>
      <c r="G25" s="151">
        <f t="shared" si="19"/>
        <v>0</v>
      </c>
      <c r="H25" s="399">
        <v>0</v>
      </c>
      <c r="I25" s="399">
        <v>1</v>
      </c>
      <c r="J25" s="399">
        <v>0</v>
      </c>
      <c r="K25" s="159"/>
      <c r="L25" s="150">
        <v>150</v>
      </c>
      <c r="M25" s="151">
        <f t="shared" si="24"/>
        <v>4.4078754040552455E-2</v>
      </c>
      <c r="N25" s="151">
        <f t="shared" si="20"/>
        <v>2.328469419434958E-2</v>
      </c>
      <c r="O25" s="151"/>
      <c r="P25" s="150">
        <v>150</v>
      </c>
      <c r="Q25" s="151">
        <f t="shared" si="25"/>
        <v>4.4078754040552455E-2</v>
      </c>
      <c r="R25" s="151">
        <f t="shared" si="21"/>
        <v>2.1751740139211138E-2</v>
      </c>
      <c r="S25" s="148"/>
    </row>
    <row r="26" spans="1:19" s="149" customFormat="1" x14ac:dyDescent="0.25">
      <c r="A26" s="149" t="s">
        <v>976</v>
      </c>
      <c r="B26" s="149" t="s">
        <v>980</v>
      </c>
      <c r="C26" s="149" t="s">
        <v>599</v>
      </c>
      <c r="D26" s="149" t="s">
        <v>608</v>
      </c>
      <c r="E26" s="151">
        <f t="shared" si="22"/>
        <v>0</v>
      </c>
      <c r="F26" s="151">
        <f t="shared" si="23"/>
        <v>4.6403712296983757E-2</v>
      </c>
      <c r="G26" s="151">
        <f t="shared" si="19"/>
        <v>0</v>
      </c>
      <c r="H26" s="399">
        <v>0</v>
      </c>
      <c r="I26" s="399">
        <v>1</v>
      </c>
      <c r="J26" s="399">
        <v>0</v>
      </c>
      <c r="K26" s="159"/>
      <c r="L26" s="150">
        <v>320</v>
      </c>
      <c r="M26" s="151">
        <f t="shared" si="24"/>
        <v>9.4034675286511896E-2</v>
      </c>
      <c r="N26" s="151">
        <f t="shared" si="20"/>
        <v>4.9674014281279107E-2</v>
      </c>
      <c r="O26" s="151"/>
      <c r="P26" s="150">
        <v>320</v>
      </c>
      <c r="Q26" s="151">
        <f t="shared" si="25"/>
        <v>9.4034675286511896E-2</v>
      </c>
      <c r="R26" s="151">
        <f t="shared" si="21"/>
        <v>4.6403712296983757E-2</v>
      </c>
      <c r="S26" s="148"/>
    </row>
    <row r="27" spans="1:19" s="149" customFormat="1" x14ac:dyDescent="0.25">
      <c r="A27" s="149" t="s">
        <v>976</v>
      </c>
      <c r="B27" s="149" t="s">
        <v>981</v>
      </c>
      <c r="C27" s="149" t="s">
        <v>599</v>
      </c>
      <c r="D27" s="149" t="s">
        <v>608</v>
      </c>
      <c r="E27" s="151">
        <f t="shared" si="22"/>
        <v>0</v>
      </c>
      <c r="F27" s="151">
        <f t="shared" si="23"/>
        <v>2.247679814385151E-2</v>
      </c>
      <c r="G27" s="151">
        <f t="shared" si="19"/>
        <v>0</v>
      </c>
      <c r="H27" s="399">
        <v>0</v>
      </c>
      <c r="I27" s="399">
        <v>1</v>
      </c>
      <c r="J27" s="399">
        <v>0</v>
      </c>
      <c r="K27" s="159"/>
      <c r="L27" s="150">
        <v>155</v>
      </c>
      <c r="M27" s="151">
        <f t="shared" si="24"/>
        <v>4.5548045841904201E-2</v>
      </c>
      <c r="N27" s="151">
        <f t="shared" si="20"/>
        <v>2.4060850667494568E-2</v>
      </c>
      <c r="O27" s="151"/>
      <c r="P27" s="150">
        <v>155</v>
      </c>
      <c r="Q27" s="151">
        <f t="shared" si="25"/>
        <v>4.5548045841904201E-2</v>
      </c>
      <c r="R27" s="151">
        <f t="shared" si="21"/>
        <v>2.247679814385151E-2</v>
      </c>
      <c r="S27" s="148"/>
    </row>
    <row r="28" spans="1:19" s="149" customFormat="1" x14ac:dyDescent="0.25">
      <c r="A28" s="149" t="s">
        <v>976</v>
      </c>
      <c r="B28" s="149" t="s">
        <v>982</v>
      </c>
      <c r="C28" s="149">
        <v>335999</v>
      </c>
      <c r="D28" s="149" t="s">
        <v>609</v>
      </c>
      <c r="E28" s="151">
        <f t="shared" si="22"/>
        <v>0</v>
      </c>
      <c r="F28" s="151">
        <f t="shared" si="23"/>
        <v>0.18126450116009279</v>
      </c>
      <c r="G28" s="151">
        <f t="shared" si="19"/>
        <v>0</v>
      </c>
      <c r="H28" s="399">
        <v>0</v>
      </c>
      <c r="I28" s="399">
        <v>1</v>
      </c>
      <c r="J28" s="399">
        <v>0</v>
      </c>
      <c r="K28" s="159"/>
      <c r="L28" s="150">
        <v>1250</v>
      </c>
      <c r="M28" s="151">
        <f t="shared" si="24"/>
        <v>0.3673229503379371</v>
      </c>
      <c r="N28" s="151">
        <f t="shared" si="20"/>
        <v>0.19403911828624651</v>
      </c>
      <c r="O28" s="151"/>
      <c r="P28" s="150">
        <v>1250</v>
      </c>
      <c r="Q28" s="151">
        <f t="shared" si="25"/>
        <v>0.3673229503379371</v>
      </c>
      <c r="R28" s="151">
        <f t="shared" si="21"/>
        <v>0.18126450116009279</v>
      </c>
      <c r="S28" s="148"/>
    </row>
    <row r="29" spans="1:19" s="149" customFormat="1" x14ac:dyDescent="0.25">
      <c r="A29" s="149" t="s">
        <v>976</v>
      </c>
      <c r="B29" s="149" t="s">
        <v>983</v>
      </c>
      <c r="C29" s="149">
        <v>334515</v>
      </c>
      <c r="D29" s="149" t="s">
        <v>610</v>
      </c>
      <c r="E29" s="151">
        <f t="shared" si="22"/>
        <v>0</v>
      </c>
      <c r="F29" s="151">
        <f t="shared" si="23"/>
        <v>2.1751740139211136E-3</v>
      </c>
      <c r="G29" s="151">
        <f t="shared" si="19"/>
        <v>0</v>
      </c>
      <c r="H29" s="399">
        <v>0</v>
      </c>
      <c r="I29" s="399">
        <v>1</v>
      </c>
      <c r="J29" s="399">
        <v>0</v>
      </c>
      <c r="K29" s="159"/>
      <c r="L29" s="150">
        <v>15</v>
      </c>
      <c r="M29" s="151">
        <f t="shared" si="24"/>
        <v>4.4078754040552453E-3</v>
      </c>
      <c r="N29" s="151">
        <f t="shared" si="20"/>
        <v>2.3284694194349582E-3</v>
      </c>
      <c r="O29" s="151"/>
      <c r="P29" s="150">
        <v>15</v>
      </c>
      <c r="Q29" s="151">
        <f t="shared" si="25"/>
        <v>4.4078754040552453E-3</v>
      </c>
      <c r="R29" s="151">
        <f t="shared" si="21"/>
        <v>2.1751740139211136E-3</v>
      </c>
      <c r="S29" s="148"/>
    </row>
    <row r="30" spans="1:19" s="149" customFormat="1" x14ac:dyDescent="0.25">
      <c r="A30" s="149" t="s">
        <v>976</v>
      </c>
      <c r="B30" s="149" t="s">
        <v>984</v>
      </c>
      <c r="C30" s="149">
        <v>334515</v>
      </c>
      <c r="D30" s="149" t="s">
        <v>610</v>
      </c>
      <c r="E30" s="151">
        <f t="shared" si="22"/>
        <v>0</v>
      </c>
      <c r="F30" s="151">
        <f t="shared" si="23"/>
        <v>8.7006960556844544E-3</v>
      </c>
      <c r="G30" s="151">
        <f t="shared" si="19"/>
        <v>0</v>
      </c>
      <c r="H30" s="399">
        <v>0</v>
      </c>
      <c r="I30" s="399">
        <v>1</v>
      </c>
      <c r="J30" s="399">
        <v>0</v>
      </c>
      <c r="K30" s="159"/>
      <c r="L30" s="150">
        <v>60</v>
      </c>
      <c r="M30" s="151">
        <f t="shared" si="24"/>
        <v>1.7631501616220981E-2</v>
      </c>
      <c r="N30" s="151">
        <f t="shared" si="20"/>
        <v>9.3138776777398329E-3</v>
      </c>
      <c r="O30" s="151"/>
      <c r="P30" s="150">
        <v>60</v>
      </c>
      <c r="Q30" s="151">
        <f t="shared" si="25"/>
        <v>1.7631501616220981E-2</v>
      </c>
      <c r="R30" s="151">
        <f t="shared" si="21"/>
        <v>8.7006960556844544E-3</v>
      </c>
      <c r="S30" s="148"/>
    </row>
    <row r="31" spans="1:19" s="149" customFormat="1" x14ac:dyDescent="0.25">
      <c r="A31" s="149" t="s">
        <v>976</v>
      </c>
      <c r="B31" s="149" t="s">
        <v>985</v>
      </c>
      <c r="C31" s="149">
        <v>333414</v>
      </c>
      <c r="D31" s="149" t="s">
        <v>611</v>
      </c>
      <c r="E31" s="151">
        <f t="shared" si="22"/>
        <v>0</v>
      </c>
      <c r="F31" s="151">
        <f t="shared" si="23"/>
        <v>4.3503480278422272E-3</v>
      </c>
      <c r="G31" s="151">
        <f t="shared" si="19"/>
        <v>0</v>
      </c>
      <c r="H31" s="399">
        <v>0</v>
      </c>
      <c r="I31" s="399">
        <v>1</v>
      </c>
      <c r="J31" s="399">
        <v>0</v>
      </c>
      <c r="K31" s="159"/>
      <c r="L31" s="150">
        <v>30</v>
      </c>
      <c r="M31" s="151">
        <f t="shared" si="24"/>
        <v>8.8157508081104907E-3</v>
      </c>
      <c r="N31" s="151">
        <f t="shared" si="20"/>
        <v>4.6569388388699165E-3</v>
      </c>
      <c r="O31" s="151"/>
      <c r="P31" s="150">
        <v>30</v>
      </c>
      <c r="Q31" s="151">
        <f t="shared" si="25"/>
        <v>8.8157508081104907E-3</v>
      </c>
      <c r="R31" s="151">
        <f t="shared" si="21"/>
        <v>4.3503480278422272E-3</v>
      </c>
      <c r="S31" s="148"/>
    </row>
    <row r="32" spans="1:19" s="149" customFormat="1" x14ac:dyDescent="0.25">
      <c r="A32" s="149" t="s">
        <v>976</v>
      </c>
      <c r="B32" s="579" t="s">
        <v>986</v>
      </c>
      <c r="C32" s="579">
        <v>335314</v>
      </c>
      <c r="D32" s="579" t="s">
        <v>9</v>
      </c>
      <c r="E32" s="151">
        <f t="shared" si="22"/>
        <v>0</v>
      </c>
      <c r="F32" s="151">
        <f t="shared" si="23"/>
        <v>4.3503480278422272E-4</v>
      </c>
      <c r="G32" s="151">
        <f t="shared" si="19"/>
        <v>0</v>
      </c>
      <c r="H32" s="399">
        <v>0</v>
      </c>
      <c r="I32" s="399">
        <v>1</v>
      </c>
      <c r="J32" s="399">
        <v>0</v>
      </c>
      <c r="K32" s="159"/>
      <c r="L32" s="150">
        <v>3</v>
      </c>
      <c r="M32" s="151">
        <f t="shared" si="24"/>
        <v>8.8157508081104904E-4</v>
      </c>
      <c r="N32" s="151">
        <f t="shared" si="20"/>
        <v>4.6569388388699164E-4</v>
      </c>
      <c r="O32" s="151"/>
      <c r="P32" s="150">
        <v>3</v>
      </c>
      <c r="Q32" s="151">
        <f t="shared" si="25"/>
        <v>8.8157508081104904E-4</v>
      </c>
      <c r="R32" s="151">
        <f t="shared" si="21"/>
        <v>4.3503480278422272E-4</v>
      </c>
      <c r="S32" s="148"/>
    </row>
    <row r="33" spans="1:19" s="149" customFormat="1" x14ac:dyDescent="0.25">
      <c r="A33" s="149" t="s">
        <v>976</v>
      </c>
      <c r="B33" s="149" t="s">
        <v>987</v>
      </c>
      <c r="C33" s="149">
        <v>334513</v>
      </c>
      <c r="D33" s="149" t="s">
        <v>6</v>
      </c>
      <c r="E33" s="151">
        <f t="shared" si="22"/>
        <v>0</v>
      </c>
      <c r="F33" s="151">
        <f t="shared" si="23"/>
        <v>1.4356148491879351E-2</v>
      </c>
      <c r="G33" s="151">
        <f t="shared" si="19"/>
        <v>0</v>
      </c>
      <c r="H33" s="399">
        <v>0</v>
      </c>
      <c r="I33" s="399">
        <v>1</v>
      </c>
      <c r="J33" s="399">
        <v>0</v>
      </c>
      <c r="K33" s="159"/>
      <c r="L33" s="150">
        <v>99</v>
      </c>
      <c r="M33" s="151">
        <f t="shared" si="24"/>
        <v>2.9091977666764621E-2</v>
      </c>
      <c r="N33" s="151">
        <f t="shared" si="20"/>
        <v>1.5367898168270723E-2</v>
      </c>
      <c r="O33" s="151"/>
      <c r="P33" s="150">
        <v>99</v>
      </c>
      <c r="Q33" s="151">
        <f t="shared" si="25"/>
        <v>2.9091977666764621E-2</v>
      </c>
      <c r="R33" s="151">
        <f t="shared" si="21"/>
        <v>1.4356148491879351E-2</v>
      </c>
      <c r="S33" s="148"/>
    </row>
    <row r="34" spans="1:19" s="149" customFormat="1" x14ac:dyDescent="0.25">
      <c r="A34" s="149" t="s">
        <v>976</v>
      </c>
      <c r="B34" s="149" t="s">
        <v>988</v>
      </c>
      <c r="C34" s="149">
        <v>334513</v>
      </c>
      <c r="D34" s="149" t="s">
        <v>6</v>
      </c>
      <c r="E34" s="151">
        <f t="shared" si="22"/>
        <v>0</v>
      </c>
      <c r="F34" s="151">
        <f t="shared" si="23"/>
        <v>2.6102088167053363E-3</v>
      </c>
      <c r="G34" s="151">
        <f t="shared" si="19"/>
        <v>0</v>
      </c>
      <c r="H34" s="399">
        <v>0</v>
      </c>
      <c r="I34" s="399">
        <v>1</v>
      </c>
      <c r="J34" s="399">
        <v>0</v>
      </c>
      <c r="K34" s="159"/>
      <c r="L34" s="150">
        <v>18</v>
      </c>
      <c r="M34" s="151">
        <f t="shared" si="24"/>
        <v>5.289450484866294E-3</v>
      </c>
      <c r="N34" s="151">
        <f t="shared" si="20"/>
        <v>2.7941633033219497E-3</v>
      </c>
      <c r="O34" s="151"/>
      <c r="P34" s="150">
        <v>18</v>
      </c>
      <c r="Q34" s="151">
        <f t="shared" si="25"/>
        <v>5.289450484866294E-3</v>
      </c>
      <c r="R34" s="151">
        <f t="shared" si="21"/>
        <v>2.6102088167053363E-3</v>
      </c>
      <c r="S34" s="148"/>
    </row>
    <row r="35" spans="1:19" s="149" customFormat="1" x14ac:dyDescent="0.25">
      <c r="A35" s="149" t="s">
        <v>976</v>
      </c>
      <c r="B35" s="149" t="s">
        <v>989</v>
      </c>
      <c r="C35" s="149">
        <v>334513</v>
      </c>
      <c r="D35" s="149" t="s">
        <v>6</v>
      </c>
      <c r="E35" s="151">
        <f t="shared" si="22"/>
        <v>0</v>
      </c>
      <c r="F35" s="151">
        <f t="shared" si="23"/>
        <v>1.7981438515081206E-2</v>
      </c>
      <c r="G35" s="151">
        <f t="shared" si="19"/>
        <v>0</v>
      </c>
      <c r="H35" s="399">
        <v>0</v>
      </c>
      <c r="I35" s="399">
        <v>1</v>
      </c>
      <c r="J35" s="399">
        <v>0</v>
      </c>
      <c r="K35" s="159"/>
      <c r="L35" s="150">
        <v>124</v>
      </c>
      <c r="M35" s="151">
        <f t="shared" si="24"/>
        <v>3.643843667352336E-2</v>
      </c>
      <c r="N35" s="151">
        <f t="shared" si="20"/>
        <v>1.9248680533995654E-2</v>
      </c>
      <c r="O35" s="151"/>
      <c r="P35" s="150">
        <v>124</v>
      </c>
      <c r="Q35" s="151">
        <f t="shared" si="25"/>
        <v>3.643843667352336E-2</v>
      </c>
      <c r="R35" s="151">
        <f t="shared" si="21"/>
        <v>1.7981438515081206E-2</v>
      </c>
      <c r="S35" s="148"/>
    </row>
    <row r="36" spans="1:19" s="149" customFormat="1" x14ac:dyDescent="0.25">
      <c r="A36" s="149" t="s">
        <v>976</v>
      </c>
      <c r="B36" s="149" t="s">
        <v>990</v>
      </c>
      <c r="C36" s="149" t="s">
        <v>600</v>
      </c>
      <c r="D36" s="149" t="s">
        <v>7</v>
      </c>
      <c r="E36" s="151">
        <f t="shared" si="22"/>
        <v>0</v>
      </c>
      <c r="F36" s="151">
        <f t="shared" si="23"/>
        <v>4.3503480278422272E-3</v>
      </c>
      <c r="G36" s="151">
        <f t="shared" si="19"/>
        <v>0</v>
      </c>
      <c r="H36" s="399">
        <v>0</v>
      </c>
      <c r="I36" s="399">
        <v>1</v>
      </c>
      <c r="J36" s="399">
        <v>0</v>
      </c>
      <c r="K36" s="159"/>
      <c r="L36" s="150">
        <v>30</v>
      </c>
      <c r="M36" s="151">
        <f t="shared" si="24"/>
        <v>8.8157508081104907E-3</v>
      </c>
      <c r="N36" s="151">
        <f t="shared" si="20"/>
        <v>4.6569388388699165E-3</v>
      </c>
      <c r="O36" s="151"/>
      <c r="P36" s="150">
        <v>30</v>
      </c>
      <c r="Q36" s="151">
        <f t="shared" si="25"/>
        <v>8.8157508081104907E-3</v>
      </c>
      <c r="R36" s="151">
        <f t="shared" si="21"/>
        <v>4.3503480278422272E-3</v>
      </c>
      <c r="S36" s="148"/>
    </row>
    <row r="37" spans="1:19" s="149" customFormat="1" x14ac:dyDescent="0.25">
      <c r="A37" s="149" t="s">
        <v>976</v>
      </c>
      <c r="B37" s="149" t="s">
        <v>991</v>
      </c>
      <c r="C37" s="149" t="s">
        <v>600</v>
      </c>
      <c r="D37" s="149" t="s">
        <v>7</v>
      </c>
      <c r="E37" s="151">
        <f t="shared" si="22"/>
        <v>0</v>
      </c>
      <c r="F37" s="151">
        <f t="shared" si="23"/>
        <v>3.001740139211137E-2</v>
      </c>
      <c r="G37" s="151">
        <f t="shared" si="19"/>
        <v>0</v>
      </c>
      <c r="H37" s="399">
        <v>0</v>
      </c>
      <c r="I37" s="399">
        <v>1</v>
      </c>
      <c r="J37" s="399">
        <v>0</v>
      </c>
      <c r="K37" s="159"/>
      <c r="L37" s="150">
        <v>207</v>
      </c>
      <c r="M37" s="151">
        <f t="shared" si="24"/>
        <v>6.0828680575962385E-2</v>
      </c>
      <c r="N37" s="151">
        <f t="shared" si="20"/>
        <v>3.213287798820242E-2</v>
      </c>
      <c r="O37" s="151"/>
      <c r="P37" s="150">
        <v>207</v>
      </c>
      <c r="Q37" s="151">
        <f t="shared" si="25"/>
        <v>6.0828680575962385E-2</v>
      </c>
      <c r="R37" s="151">
        <f t="shared" si="21"/>
        <v>3.001740139211137E-2</v>
      </c>
      <c r="S37" s="148"/>
    </row>
    <row r="38" spans="1:19" s="149" customFormat="1" x14ac:dyDescent="0.25">
      <c r="A38" s="149" t="s">
        <v>976</v>
      </c>
      <c r="B38" s="149" t="s">
        <v>992</v>
      </c>
      <c r="C38" s="149">
        <v>332913</v>
      </c>
      <c r="D38" s="149" t="s">
        <v>8</v>
      </c>
      <c r="E38" s="151">
        <f t="shared" si="22"/>
        <v>0</v>
      </c>
      <c r="F38" s="151">
        <f t="shared" si="23"/>
        <v>2.3201856148491878E-2</v>
      </c>
      <c r="G38" s="151">
        <f t="shared" si="19"/>
        <v>0</v>
      </c>
      <c r="H38" s="399">
        <v>0</v>
      </c>
      <c r="I38" s="399">
        <v>1</v>
      </c>
      <c r="J38" s="399">
        <v>0</v>
      </c>
      <c r="K38" s="159"/>
      <c r="L38" s="150">
        <v>160</v>
      </c>
      <c r="M38" s="151">
        <f t="shared" si="24"/>
        <v>4.7017337643255948E-2</v>
      </c>
      <c r="N38" s="151">
        <f t="shared" si="20"/>
        <v>2.4837007140639553E-2</v>
      </c>
      <c r="O38" s="151"/>
      <c r="P38" s="150">
        <v>160</v>
      </c>
      <c r="Q38" s="151">
        <f t="shared" si="25"/>
        <v>4.7017337643255948E-2</v>
      </c>
      <c r="R38" s="151">
        <f t="shared" si="21"/>
        <v>2.3201856148491878E-2</v>
      </c>
      <c r="S38" s="148"/>
    </row>
    <row r="39" spans="1:19" s="149" customFormat="1" x14ac:dyDescent="0.25">
      <c r="A39" s="149" t="s">
        <v>976</v>
      </c>
      <c r="B39" s="579" t="s">
        <v>993</v>
      </c>
      <c r="C39" s="579">
        <v>335314</v>
      </c>
      <c r="D39" s="579" t="s">
        <v>9</v>
      </c>
      <c r="E39" s="151">
        <f t="shared" si="22"/>
        <v>0</v>
      </c>
      <c r="F39" s="151">
        <f t="shared" si="23"/>
        <v>5.5104408352668215E-2</v>
      </c>
      <c r="G39" s="151">
        <f t="shared" si="23"/>
        <v>0</v>
      </c>
      <c r="H39" s="399">
        <v>0</v>
      </c>
      <c r="I39" s="399">
        <v>1</v>
      </c>
      <c r="J39" s="399">
        <v>0</v>
      </c>
      <c r="K39" s="159"/>
      <c r="L39" s="150">
        <v>380</v>
      </c>
      <c r="M39" s="151">
        <f t="shared" si="24"/>
        <v>0.11166617690273288</v>
      </c>
      <c r="N39" s="151">
        <f t="shared" si="20"/>
        <v>5.8987891959018941E-2</v>
      </c>
      <c r="O39" s="151"/>
      <c r="P39" s="150">
        <v>380</v>
      </c>
      <c r="Q39" s="151">
        <f t="shared" si="25"/>
        <v>0.11166617690273288</v>
      </c>
      <c r="R39" s="151">
        <f t="shared" si="21"/>
        <v>5.5104408352668215E-2</v>
      </c>
      <c r="S39" s="148"/>
    </row>
    <row r="40" spans="1:19" s="149" customFormat="1" x14ac:dyDescent="0.25">
      <c r="A40" s="149" t="s">
        <v>976</v>
      </c>
      <c r="B40" s="149" t="s">
        <v>994</v>
      </c>
      <c r="C40" s="149" t="s">
        <v>601</v>
      </c>
      <c r="D40" s="149" t="s">
        <v>612</v>
      </c>
      <c r="E40" s="151">
        <f t="shared" si="22"/>
        <v>0</v>
      </c>
      <c r="F40" s="151">
        <f t="shared" si="23"/>
        <v>1.8851508120649653E-2</v>
      </c>
      <c r="G40" s="151">
        <f t="shared" si="23"/>
        <v>0</v>
      </c>
      <c r="H40" s="399">
        <v>0</v>
      </c>
      <c r="I40" s="399">
        <v>1</v>
      </c>
      <c r="J40" s="399">
        <v>0</v>
      </c>
      <c r="K40" s="159"/>
      <c r="L40" s="150">
        <v>130</v>
      </c>
      <c r="M40" s="151">
        <f t="shared" si="24"/>
        <v>3.8201586835145462E-2</v>
      </c>
      <c r="N40" s="151">
        <f t="shared" si="20"/>
        <v>2.0180068301769636E-2</v>
      </c>
      <c r="O40" s="151"/>
      <c r="P40" s="150">
        <v>130</v>
      </c>
      <c r="Q40" s="151">
        <f t="shared" si="25"/>
        <v>3.8201586835145462E-2</v>
      </c>
      <c r="R40" s="151">
        <f t="shared" si="21"/>
        <v>1.8851508120649653E-2</v>
      </c>
      <c r="S40" s="148"/>
    </row>
    <row r="41" spans="1:19" s="149" customFormat="1" x14ac:dyDescent="0.25">
      <c r="A41" s="149" t="s">
        <v>976</v>
      </c>
      <c r="B41" s="149" t="s">
        <v>995</v>
      </c>
      <c r="C41" s="149" t="s">
        <v>601</v>
      </c>
      <c r="D41" s="149" t="s">
        <v>612</v>
      </c>
      <c r="E41" s="151">
        <f t="shared" si="22"/>
        <v>0</v>
      </c>
      <c r="F41" s="151">
        <f t="shared" si="23"/>
        <v>5.8004640371229696E-3</v>
      </c>
      <c r="G41" s="151">
        <f t="shared" si="23"/>
        <v>0</v>
      </c>
      <c r="H41" s="399">
        <v>0</v>
      </c>
      <c r="I41" s="399">
        <v>1</v>
      </c>
      <c r="J41" s="399">
        <v>0</v>
      </c>
      <c r="K41" s="159"/>
      <c r="L41" s="150">
        <v>40</v>
      </c>
      <c r="M41" s="151">
        <f t="shared" si="24"/>
        <v>1.1754334410813987E-2</v>
      </c>
      <c r="N41" s="151">
        <f t="shared" si="20"/>
        <v>6.2092517851598883E-3</v>
      </c>
      <c r="O41" s="151"/>
      <c r="P41" s="150">
        <v>40</v>
      </c>
      <c r="Q41" s="151">
        <f t="shared" si="25"/>
        <v>1.1754334410813987E-2</v>
      </c>
      <c r="R41" s="151">
        <f t="shared" si="21"/>
        <v>5.8004640371229696E-3</v>
      </c>
      <c r="S41" s="148"/>
    </row>
    <row r="42" spans="1:19" s="149" customFormat="1" x14ac:dyDescent="0.25">
      <c r="A42" s="149" t="s">
        <v>976</v>
      </c>
      <c r="B42" s="149" t="s">
        <v>996</v>
      </c>
      <c r="C42" s="149" t="s">
        <v>601</v>
      </c>
      <c r="D42" s="149" t="s">
        <v>612</v>
      </c>
      <c r="E42" s="151">
        <f t="shared" si="22"/>
        <v>0</v>
      </c>
      <c r="F42" s="151">
        <f t="shared" si="23"/>
        <v>7.9756380510440841E-3</v>
      </c>
      <c r="G42" s="151">
        <f t="shared" si="23"/>
        <v>0</v>
      </c>
      <c r="H42" s="399">
        <v>0</v>
      </c>
      <c r="I42" s="399">
        <v>1</v>
      </c>
      <c r="J42" s="399">
        <v>0</v>
      </c>
      <c r="K42" s="159"/>
      <c r="L42" s="150">
        <v>55</v>
      </c>
      <c r="M42" s="151">
        <f t="shared" si="24"/>
        <v>1.6162209814869231E-2</v>
      </c>
      <c r="N42" s="151">
        <f t="shared" si="20"/>
        <v>8.5377212045948461E-3</v>
      </c>
      <c r="O42" s="151"/>
      <c r="P42" s="150">
        <v>55</v>
      </c>
      <c r="Q42" s="151">
        <f t="shared" si="25"/>
        <v>1.6162209814869231E-2</v>
      </c>
      <c r="R42" s="151">
        <f t="shared" si="21"/>
        <v>7.9756380510440841E-3</v>
      </c>
      <c r="S42" s="148"/>
    </row>
    <row r="43" spans="1:19" s="149" customFormat="1" x14ac:dyDescent="0.25">
      <c r="A43" s="149" t="s">
        <v>976</v>
      </c>
      <c r="B43" s="149" t="s">
        <v>997</v>
      </c>
      <c r="C43" s="149">
        <v>335930</v>
      </c>
      <c r="D43" s="149" t="s">
        <v>243</v>
      </c>
      <c r="E43" s="151">
        <f t="shared" si="22"/>
        <v>0</v>
      </c>
      <c r="F43" s="151">
        <f t="shared" si="23"/>
        <v>2.3201856148491878E-3</v>
      </c>
      <c r="G43" s="151">
        <f t="shared" si="23"/>
        <v>0</v>
      </c>
      <c r="H43" s="399">
        <v>0</v>
      </c>
      <c r="I43" s="399">
        <v>1</v>
      </c>
      <c r="J43" s="399">
        <v>0</v>
      </c>
      <c r="K43" s="159"/>
      <c r="L43" s="150">
        <v>16</v>
      </c>
      <c r="M43" s="151">
        <f t="shared" si="24"/>
        <v>4.7017337643255955E-3</v>
      </c>
      <c r="N43" s="151">
        <f t="shared" si="20"/>
        <v>2.4837007140639552E-3</v>
      </c>
      <c r="O43" s="151"/>
      <c r="P43" s="150">
        <v>16</v>
      </c>
      <c r="Q43" s="151">
        <f t="shared" si="25"/>
        <v>4.7017337643255955E-3</v>
      </c>
      <c r="R43" s="151">
        <f t="shared" si="21"/>
        <v>2.3201856148491878E-3</v>
      </c>
      <c r="S43" s="148"/>
    </row>
    <row r="44" spans="1:19" s="149" customFormat="1" x14ac:dyDescent="0.25">
      <c r="A44" s="149" t="s">
        <v>976</v>
      </c>
      <c r="B44" s="149" t="s">
        <v>998</v>
      </c>
      <c r="C44" s="149">
        <v>335930</v>
      </c>
      <c r="D44" s="149" t="s">
        <v>243</v>
      </c>
      <c r="E44" s="151">
        <f t="shared" si="22"/>
        <v>0</v>
      </c>
      <c r="F44" s="151">
        <f t="shared" si="23"/>
        <v>7.250580046403712E-3</v>
      </c>
      <c r="G44" s="151">
        <f t="shared" si="23"/>
        <v>0</v>
      </c>
      <c r="H44" s="399">
        <v>0</v>
      </c>
      <c r="I44" s="399">
        <v>1</v>
      </c>
      <c r="J44" s="399">
        <v>0</v>
      </c>
      <c r="K44" s="159"/>
      <c r="L44" s="150">
        <v>50</v>
      </c>
      <c r="M44" s="151">
        <f t="shared" si="24"/>
        <v>1.4692918013517485E-2</v>
      </c>
      <c r="N44" s="151">
        <f t="shared" si="20"/>
        <v>7.7615647314498602E-3</v>
      </c>
      <c r="O44" s="151"/>
      <c r="P44" s="150">
        <v>50</v>
      </c>
      <c r="Q44" s="151">
        <f t="shared" si="25"/>
        <v>1.4692918013517485E-2</v>
      </c>
      <c r="R44" s="151">
        <f t="shared" si="21"/>
        <v>7.250580046403712E-3</v>
      </c>
      <c r="S44" s="148"/>
    </row>
    <row r="45" spans="1:19" s="189" customFormat="1" x14ac:dyDescent="0.25">
      <c r="A45" s="2810" t="s">
        <v>999</v>
      </c>
      <c r="B45" s="2810"/>
      <c r="E45" s="402"/>
      <c r="F45" s="402"/>
      <c r="G45" s="402"/>
      <c r="H45" s="402"/>
      <c r="I45" s="402"/>
      <c r="J45" s="402"/>
      <c r="K45" s="159"/>
      <c r="L45" s="186">
        <f>SUM(L23:L44)</f>
        <v>3403</v>
      </c>
      <c r="M45" s="187">
        <f t="shared" ref="M45" si="26">L45/$L$45</f>
        <v>1</v>
      </c>
      <c r="N45" s="187">
        <f t="shared" si="20"/>
        <v>0.52825209562247755</v>
      </c>
      <c r="O45" s="187"/>
      <c r="P45" s="186">
        <f>SUM(P23:P44)</f>
        <v>3403</v>
      </c>
      <c r="Q45" s="188">
        <f t="shared" ref="Q45" si="27">SUM(Q23:Q44)</f>
        <v>0.99999999999999989</v>
      </c>
      <c r="R45" s="187">
        <f t="shared" si="21"/>
        <v>0.49347447795823668</v>
      </c>
      <c r="S45" s="148"/>
    </row>
    <row r="46" spans="1:19" s="189" customFormat="1" x14ac:dyDescent="0.25">
      <c r="A46" s="185"/>
      <c r="B46" s="185" t="s">
        <v>1047</v>
      </c>
      <c r="E46" s="402"/>
      <c r="F46" s="402"/>
      <c r="G46" s="402"/>
      <c r="H46" s="402"/>
      <c r="I46" s="402"/>
      <c r="J46" s="402"/>
      <c r="K46" s="159"/>
      <c r="L46" s="186">
        <f>L45/5</f>
        <v>680.6</v>
      </c>
      <c r="M46" s="187"/>
      <c r="N46" s="187"/>
      <c r="O46" s="187"/>
      <c r="P46" s="186">
        <f>P45/5</f>
        <v>680.6</v>
      </c>
      <c r="Q46" s="188"/>
      <c r="R46" s="187"/>
      <c r="S46" s="148"/>
    </row>
    <row r="48" spans="1:19" s="171" customFormat="1" ht="27" customHeight="1" x14ac:dyDescent="0.25">
      <c r="A48" s="143" t="s">
        <v>957</v>
      </c>
      <c r="B48" s="143" t="s">
        <v>958</v>
      </c>
      <c r="C48" s="143" t="s">
        <v>961</v>
      </c>
      <c r="D48" s="143" t="s">
        <v>962</v>
      </c>
      <c r="E48" s="397"/>
      <c r="F48" s="397"/>
      <c r="G48" s="397"/>
      <c r="H48" s="397"/>
      <c r="I48" s="397"/>
      <c r="J48" s="397"/>
      <c r="K48" s="159"/>
      <c r="L48" s="144" t="s">
        <v>959</v>
      </c>
      <c r="M48" s="145" t="s">
        <v>1038</v>
      </c>
      <c r="N48" s="145" t="s">
        <v>960</v>
      </c>
      <c r="O48" s="146"/>
      <c r="P48" s="144" t="str">
        <f>L48</f>
        <v>Cost ($/FC)</v>
      </c>
      <c r="Q48" s="147" t="str">
        <f>M48</f>
        <v>% of Capital</v>
      </c>
      <c r="R48" s="147" t="str">
        <f>N48</f>
        <v>% of total</v>
      </c>
      <c r="S48" s="148"/>
    </row>
    <row r="49" spans="1:19" s="175" customFormat="1" x14ac:dyDescent="0.25">
      <c r="A49" s="175" t="s">
        <v>1036</v>
      </c>
      <c r="B49" s="175" t="str">
        <f>'Capital Cost'!A34</f>
        <v>Forklift maintenance and battery recharge</v>
      </c>
      <c r="C49" s="175">
        <v>811300</v>
      </c>
      <c r="D49" s="175" t="s">
        <v>351</v>
      </c>
      <c r="E49" s="2813" t="s">
        <v>1570</v>
      </c>
      <c r="F49" s="2814"/>
      <c r="G49" s="2814"/>
      <c r="H49" s="2814"/>
      <c r="I49" s="2814"/>
      <c r="J49" s="2815"/>
      <c r="K49" s="159"/>
      <c r="P49" s="176">
        <f>'Capital Cost'!E34</f>
        <v>0.5</v>
      </c>
      <c r="Q49" s="177">
        <f t="shared" ref="Q49:Q56" si="28">P49/P$56</f>
        <v>9.2592592592592596E-4</v>
      </c>
      <c r="R49" s="177">
        <f t="shared" ref="R49:R56" si="29">P49/P$61</f>
        <v>7.250580046403712E-5</v>
      </c>
      <c r="S49" s="148"/>
    </row>
    <row r="50" spans="1:19" s="175" customFormat="1" x14ac:dyDescent="0.25">
      <c r="A50" s="175" t="s">
        <v>1036</v>
      </c>
      <c r="B50" s="175" t="str">
        <f>'Capital Cost'!A35</f>
        <v>Forklift maintenance and battery recharge</v>
      </c>
      <c r="C50" s="175">
        <v>811300</v>
      </c>
      <c r="D50" s="175" t="s">
        <v>351</v>
      </c>
      <c r="E50" s="2816"/>
      <c r="F50" s="2817"/>
      <c r="G50" s="2817"/>
      <c r="H50" s="2817"/>
      <c r="I50" s="2817"/>
      <c r="J50" s="2818"/>
      <c r="K50" s="159"/>
      <c r="P50" s="176">
        <f>'Capital Cost'!E35</f>
        <v>0.5</v>
      </c>
      <c r="Q50" s="177">
        <f t="shared" si="28"/>
        <v>9.2592592592592596E-4</v>
      </c>
      <c r="R50" s="177">
        <f t="shared" si="29"/>
        <v>7.250580046403712E-5</v>
      </c>
      <c r="S50" s="148"/>
    </row>
    <row r="51" spans="1:19" s="175" customFormat="1" x14ac:dyDescent="0.25">
      <c r="A51" s="175" t="s">
        <v>1036</v>
      </c>
      <c r="B51" s="175" t="str">
        <f>'Capital Cost'!A36</f>
        <v>Crane maintenance</v>
      </c>
      <c r="C51" s="175">
        <v>811300</v>
      </c>
      <c r="D51" s="175" t="s">
        <v>351</v>
      </c>
      <c r="E51" s="2816"/>
      <c r="F51" s="2817"/>
      <c r="G51" s="2817"/>
      <c r="H51" s="2817"/>
      <c r="I51" s="2817"/>
      <c r="J51" s="2818"/>
      <c r="K51" s="159"/>
      <c r="P51" s="176">
        <f>'Capital Cost'!E36</f>
        <v>4.95</v>
      </c>
      <c r="Q51" s="177">
        <f t="shared" si="28"/>
        <v>9.1666666666666667E-3</v>
      </c>
      <c r="R51" s="177">
        <f t="shared" si="29"/>
        <v>7.1780742459396751E-4</v>
      </c>
      <c r="S51" s="148"/>
    </row>
    <row r="52" spans="1:19" s="175" customFormat="1" x14ac:dyDescent="0.25">
      <c r="A52" s="175" t="s">
        <v>1036</v>
      </c>
      <c r="B52" s="175" t="str">
        <f>'Capital Cost'!A42</f>
        <v>Average line O&amp;M</v>
      </c>
      <c r="C52" s="175">
        <v>811300</v>
      </c>
      <c r="D52" s="175" t="s">
        <v>351</v>
      </c>
      <c r="E52" s="2816"/>
      <c r="F52" s="2817"/>
      <c r="G52" s="2817"/>
      <c r="H52" s="2817"/>
      <c r="I52" s="2817"/>
      <c r="J52" s="2818"/>
      <c r="K52" s="159"/>
      <c r="P52" s="176">
        <f>'Capital Cost'!E42</f>
        <v>308.13749999999999</v>
      </c>
      <c r="Q52" s="177">
        <f t="shared" si="28"/>
        <v>0.57062499999999994</v>
      </c>
      <c r="R52" s="177">
        <f t="shared" si="29"/>
        <v>4.4683512180974473E-2</v>
      </c>
      <c r="S52" s="148"/>
    </row>
    <row r="53" spans="1:19" s="149" customFormat="1" x14ac:dyDescent="0.25">
      <c r="A53" s="149" t="s">
        <v>1036</v>
      </c>
      <c r="B53" s="161" t="str">
        <f>'Capital Cost'!A41</f>
        <v>Insurance &amp; property tax</v>
      </c>
      <c r="C53" s="161">
        <v>524100</v>
      </c>
      <c r="D53" s="161" t="s">
        <v>298</v>
      </c>
      <c r="E53" s="2816"/>
      <c r="F53" s="2817"/>
      <c r="G53" s="2817"/>
      <c r="H53" s="2817"/>
      <c r="I53" s="2817"/>
      <c r="J53" s="2818"/>
      <c r="K53" s="159"/>
      <c r="L53" s="150"/>
      <c r="P53" s="150">
        <f>'Capital Cost'!E41</f>
        <v>123.80808</v>
      </c>
      <c r="Q53" s="151">
        <f t="shared" si="28"/>
        <v>0.22927422222222224</v>
      </c>
      <c r="R53" s="151">
        <f t="shared" si="29"/>
        <v>1.7953607888631092E-2</v>
      </c>
      <c r="S53" s="148"/>
    </row>
    <row r="54" spans="1:19" s="190" customFormat="1" x14ac:dyDescent="0.25">
      <c r="B54" s="191" t="s">
        <v>1037</v>
      </c>
      <c r="E54" s="2816"/>
      <c r="F54" s="2817"/>
      <c r="G54" s="2817"/>
      <c r="H54" s="2817"/>
      <c r="I54" s="2817"/>
      <c r="J54" s="2818"/>
      <c r="K54" s="159"/>
      <c r="L54" s="192"/>
      <c r="P54" s="192">
        <f>SUM(P49:P53)</f>
        <v>437.89558</v>
      </c>
      <c r="Q54" s="193">
        <f t="shared" si="28"/>
        <v>0.81091774074074074</v>
      </c>
      <c r="R54" s="193">
        <f t="shared" si="29"/>
        <v>6.3499939095127605E-2</v>
      </c>
      <c r="S54" s="148"/>
    </row>
    <row r="55" spans="1:19" s="149" customFormat="1" x14ac:dyDescent="0.25">
      <c r="A55" s="149" t="s">
        <v>1039</v>
      </c>
      <c r="B55" s="149" t="s">
        <v>1040</v>
      </c>
      <c r="C55" s="149" t="s">
        <v>766</v>
      </c>
      <c r="D55" s="149" t="s">
        <v>767</v>
      </c>
      <c r="E55" s="2819"/>
      <c r="F55" s="2820"/>
      <c r="G55" s="2820"/>
      <c r="H55" s="2820"/>
      <c r="I55" s="2820"/>
      <c r="J55" s="2821"/>
      <c r="K55" s="159"/>
      <c r="L55" s="150"/>
      <c r="P55" s="150">
        <f>P56-P54</f>
        <v>102.10442</v>
      </c>
      <c r="Q55" s="151">
        <f t="shared" si="28"/>
        <v>0.18908225925925926</v>
      </c>
      <c r="R55" s="151">
        <f t="shared" si="29"/>
        <v>1.4806325406032484E-2</v>
      </c>
      <c r="S55" s="148"/>
    </row>
    <row r="56" spans="1:19" s="197" customFormat="1" x14ac:dyDescent="0.25">
      <c r="A56" s="2811" t="s">
        <v>1041</v>
      </c>
      <c r="B56" s="2812"/>
      <c r="E56" s="404"/>
      <c r="F56" s="404"/>
      <c r="G56" s="404"/>
      <c r="H56" s="404"/>
      <c r="I56" s="404"/>
      <c r="J56" s="404"/>
      <c r="K56" s="159"/>
      <c r="L56" s="195">
        <v>570</v>
      </c>
      <c r="M56" s="196"/>
      <c r="N56" s="196">
        <f>L56/L$61</f>
        <v>8.8481837938528402E-2</v>
      </c>
      <c r="O56" s="196"/>
      <c r="P56" s="195">
        <v>540</v>
      </c>
      <c r="Q56" s="196">
        <f t="shared" si="28"/>
        <v>1</v>
      </c>
      <c r="R56" s="196">
        <f t="shared" si="29"/>
        <v>7.8306264501160086E-2</v>
      </c>
      <c r="S56" s="148"/>
    </row>
    <row r="57" spans="1:19" s="197" customFormat="1" x14ac:dyDescent="0.25">
      <c r="A57" s="194"/>
      <c r="B57" s="199" t="s">
        <v>1048</v>
      </c>
      <c r="E57" s="404"/>
      <c r="F57" s="404"/>
      <c r="G57" s="404"/>
      <c r="H57" s="404"/>
      <c r="I57" s="404"/>
      <c r="J57" s="404"/>
      <c r="K57" s="159"/>
      <c r="L57" s="195">
        <f>L56/5</f>
        <v>114</v>
      </c>
      <c r="M57" s="196"/>
      <c r="N57" s="196"/>
      <c r="O57" s="196"/>
      <c r="P57" s="195">
        <f>P56/5</f>
        <v>108</v>
      </c>
      <c r="Q57" s="196"/>
      <c r="R57" s="196"/>
      <c r="S57" s="148"/>
    </row>
    <row r="58" spans="1:19" s="159" customFormat="1" x14ac:dyDescent="0.25">
      <c r="A58" s="178"/>
      <c r="B58" s="178"/>
      <c r="C58" s="181"/>
      <c r="E58" s="403"/>
      <c r="F58" s="403"/>
      <c r="G58" s="403"/>
      <c r="H58" s="403"/>
      <c r="I58" s="403"/>
      <c r="J58" s="403"/>
      <c r="L58" s="179"/>
      <c r="M58" s="160"/>
      <c r="N58" s="160"/>
      <c r="O58" s="160"/>
      <c r="P58" s="180"/>
      <c r="Q58" s="160"/>
      <c r="R58" s="160"/>
      <c r="S58" s="148"/>
    </row>
    <row r="59" spans="1:19" s="189" customFormat="1" x14ac:dyDescent="0.25">
      <c r="A59" s="408" t="s">
        <v>1000</v>
      </c>
      <c r="B59" s="409"/>
      <c r="C59" s="189">
        <v>334419</v>
      </c>
      <c r="D59" s="189" t="s">
        <v>221</v>
      </c>
      <c r="E59" s="187">
        <f t="shared" ref="E59" si="30">H59*$R59</f>
        <v>4.6113689095127613E-2</v>
      </c>
      <c r="F59" s="187">
        <f t="shared" ref="F59" si="31">I59*$R59</f>
        <v>0</v>
      </c>
      <c r="G59" s="187">
        <f t="shared" ref="G59" si="32">J59*$R59</f>
        <v>0</v>
      </c>
      <c r="H59" s="402">
        <v>1</v>
      </c>
      <c r="I59" s="402">
        <v>0</v>
      </c>
      <c r="J59" s="402">
        <v>0</v>
      </c>
      <c r="K59" s="159"/>
      <c r="L59" s="186">
        <v>318</v>
      </c>
      <c r="M59" s="187">
        <v>1</v>
      </c>
      <c r="N59" s="187">
        <f>L59/L$61</f>
        <v>4.9363551692021113E-2</v>
      </c>
      <c r="O59" s="187"/>
      <c r="P59" s="198">
        <v>318</v>
      </c>
      <c r="Q59" s="187">
        <v>1</v>
      </c>
      <c r="R59" s="187">
        <f>P59/P$61</f>
        <v>4.6113689095127613E-2</v>
      </c>
      <c r="S59" s="148"/>
    </row>
    <row r="61" spans="1:19" s="201" customFormat="1" x14ac:dyDescent="0.25">
      <c r="A61" s="201" t="s">
        <v>1001</v>
      </c>
      <c r="E61" s="203"/>
      <c r="F61" s="203"/>
      <c r="G61" s="203"/>
      <c r="H61" s="203"/>
      <c r="I61" s="203"/>
      <c r="J61" s="203"/>
      <c r="K61" s="159"/>
      <c r="L61" s="202">
        <f>L19+L45+L56+L59</f>
        <v>6442</v>
      </c>
      <c r="M61" s="202"/>
      <c r="N61" s="203">
        <f>N19+N45+N59+N56</f>
        <v>1</v>
      </c>
      <c r="O61" s="202" t="e">
        <f>#REF!+O56</f>
        <v>#REF!</v>
      </c>
      <c r="P61" s="202">
        <f>P19+P45+P56+P59</f>
        <v>6896</v>
      </c>
      <c r="Q61" s="202"/>
      <c r="R61" s="203">
        <f>R19+R45+R59+R56</f>
        <v>1</v>
      </c>
      <c r="S61" s="148"/>
    </row>
    <row r="62" spans="1:19" s="201" customFormat="1" x14ac:dyDescent="0.25">
      <c r="A62" s="201" t="s">
        <v>1049</v>
      </c>
      <c r="E62" s="203"/>
      <c r="F62" s="203"/>
      <c r="G62" s="203"/>
      <c r="H62" s="203"/>
      <c r="I62" s="203"/>
      <c r="J62" s="203"/>
      <c r="K62" s="159"/>
      <c r="L62" s="202">
        <f>L61/5</f>
        <v>1288.4000000000001</v>
      </c>
      <c r="M62" s="202"/>
      <c r="N62" s="203"/>
      <c r="O62" s="202"/>
      <c r="P62" s="202">
        <f>P61/5</f>
        <v>1379.2</v>
      </c>
      <c r="Q62" s="202"/>
      <c r="R62" s="203"/>
      <c r="S62" s="148"/>
    </row>
    <row r="64" spans="1:19" x14ac:dyDescent="0.25">
      <c r="E64" s="166"/>
      <c r="F64" s="166"/>
      <c r="G64" s="166"/>
      <c r="H64" s="166"/>
      <c r="I64" s="166"/>
      <c r="J64" s="166"/>
      <c r="K64" s="166"/>
      <c r="L64" s="166"/>
      <c r="O64" s="166"/>
      <c r="P64" s="166"/>
      <c r="Q64" s="166"/>
      <c r="R64" s="166"/>
      <c r="S64" s="166"/>
    </row>
    <row r="65" spans="5:19" x14ac:dyDescent="0.25">
      <c r="E65" s="166"/>
      <c r="F65" s="166"/>
      <c r="G65" s="166"/>
      <c r="H65" s="166"/>
      <c r="I65" s="166"/>
      <c r="J65" s="166"/>
      <c r="K65" s="166"/>
      <c r="L65" s="166"/>
      <c r="O65" s="166"/>
      <c r="P65" s="166"/>
      <c r="Q65" s="166"/>
      <c r="R65" s="166"/>
      <c r="S65" s="166"/>
    </row>
    <row r="66" spans="5:19" x14ac:dyDescent="0.25">
      <c r="E66" s="166"/>
      <c r="F66" s="166"/>
      <c r="G66" s="166"/>
      <c r="H66" s="166"/>
      <c r="I66" s="166"/>
      <c r="J66" s="166"/>
      <c r="K66" s="166"/>
      <c r="L66" s="166"/>
      <c r="O66" s="166"/>
      <c r="P66" s="166"/>
      <c r="Q66" s="166"/>
      <c r="R66" s="166"/>
      <c r="S66" s="166"/>
    </row>
    <row r="67" spans="5:19" x14ac:dyDescent="0.25">
      <c r="E67" s="166"/>
      <c r="F67" s="166"/>
      <c r="G67" s="166"/>
      <c r="H67" s="166"/>
      <c r="I67" s="166"/>
      <c r="J67" s="166"/>
      <c r="K67" s="166"/>
      <c r="L67" s="166"/>
      <c r="O67" s="166"/>
      <c r="P67" s="166"/>
      <c r="Q67" s="166"/>
      <c r="R67" s="166"/>
      <c r="S67" s="166"/>
    </row>
    <row r="68" spans="5:19" x14ac:dyDescent="0.25">
      <c r="E68" s="166"/>
      <c r="F68" s="166"/>
      <c r="G68" s="166"/>
      <c r="H68" s="166"/>
      <c r="I68" s="166"/>
      <c r="J68" s="166"/>
      <c r="K68" s="166"/>
      <c r="L68" s="166"/>
      <c r="O68" s="166"/>
      <c r="P68" s="166"/>
      <c r="Q68" s="166"/>
      <c r="R68" s="166"/>
      <c r="S68" s="166"/>
    </row>
  </sheetData>
  <mergeCells count="4">
    <mergeCell ref="A19:B19"/>
    <mergeCell ref="A45:B45"/>
    <mergeCell ref="A56:B56"/>
    <mergeCell ref="E49:J55"/>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sheetPr>
  <dimension ref="B1:B27"/>
  <sheetViews>
    <sheetView workbookViewId="0">
      <selection activeCell="B1" sqref="B1"/>
    </sheetView>
  </sheetViews>
  <sheetFormatPr defaultRowHeight="15" x14ac:dyDescent="0.25"/>
  <cols>
    <col min="2" max="2" width="115.28515625" customWidth="1"/>
  </cols>
  <sheetData>
    <row r="1" spans="2:2" ht="15.75" x14ac:dyDescent="0.25">
      <c r="B1" s="1984" t="s">
        <v>2236</v>
      </c>
    </row>
    <row r="2" spans="2:2" ht="15.75" x14ac:dyDescent="0.25">
      <c r="B2" s="1979" t="s">
        <v>2223</v>
      </c>
    </row>
    <row r="3" spans="2:2" ht="15.75" x14ac:dyDescent="0.25">
      <c r="B3" s="1979" t="s">
        <v>2224</v>
      </c>
    </row>
    <row r="4" spans="2:2" ht="18" x14ac:dyDescent="0.25">
      <c r="B4" s="1980" t="s">
        <v>2225</v>
      </c>
    </row>
    <row r="5" spans="2:2" ht="15.75" x14ac:dyDescent="0.25">
      <c r="B5" s="1981"/>
    </row>
    <row r="6" spans="2:2" ht="15.75" x14ac:dyDescent="0.25">
      <c r="B6" s="1979" t="s">
        <v>2226</v>
      </c>
    </row>
    <row r="7" spans="2:2" x14ac:dyDescent="0.25">
      <c r="B7" s="1982"/>
    </row>
    <row r="8" spans="2:2" ht="30" x14ac:dyDescent="0.25">
      <c r="B8" s="1982" t="s">
        <v>2227</v>
      </c>
    </row>
    <row r="9" spans="2:2" x14ac:dyDescent="0.25">
      <c r="B9" s="1982"/>
    </row>
    <row r="10" spans="2:2" ht="45" x14ac:dyDescent="0.25">
      <c r="B10" s="1982" t="s">
        <v>2228</v>
      </c>
    </row>
    <row r="11" spans="2:2" x14ac:dyDescent="0.25">
      <c r="B11" s="1982"/>
    </row>
    <row r="12" spans="2:2" ht="30" x14ac:dyDescent="0.25">
      <c r="B12" s="1982" t="s">
        <v>2229</v>
      </c>
    </row>
    <row r="13" spans="2:2" x14ac:dyDescent="0.25">
      <c r="B13" s="1982"/>
    </row>
    <row r="14" spans="2:2" ht="30" x14ac:dyDescent="0.25">
      <c r="B14" s="1982" t="s">
        <v>2230</v>
      </c>
    </row>
    <row r="15" spans="2:2" x14ac:dyDescent="0.25">
      <c r="B15" s="1982"/>
    </row>
    <row r="16" spans="2:2" ht="30" x14ac:dyDescent="0.25">
      <c r="B16" s="1982" t="s">
        <v>2231</v>
      </c>
    </row>
    <row r="17" spans="2:2" x14ac:dyDescent="0.25">
      <c r="B17" s="1982"/>
    </row>
    <row r="18" spans="2:2" ht="30" x14ac:dyDescent="0.25">
      <c r="B18" s="1982" t="s">
        <v>2232</v>
      </c>
    </row>
    <row r="19" spans="2:2" x14ac:dyDescent="0.25">
      <c r="B19" s="1982"/>
    </row>
    <row r="20" spans="2:2" ht="30" x14ac:dyDescent="0.25">
      <c r="B20" s="1982" t="s">
        <v>2237</v>
      </c>
    </row>
    <row r="21" spans="2:2" ht="15.75" x14ac:dyDescent="0.25">
      <c r="B21" s="1979" t="s">
        <v>2233</v>
      </c>
    </row>
    <row r="22" spans="2:2" ht="15.75" x14ac:dyDescent="0.25">
      <c r="B22" s="1983"/>
    </row>
    <row r="23" spans="2:2" ht="15.75" x14ac:dyDescent="0.25">
      <c r="B23" s="1979" t="s">
        <v>2234</v>
      </c>
    </row>
    <row r="24" spans="2:2" ht="15.75" x14ac:dyDescent="0.25">
      <c r="B24" s="1983"/>
    </row>
    <row r="25" spans="2:2" ht="94.5" x14ac:dyDescent="0.25">
      <c r="B25" s="1983" t="s">
        <v>2235</v>
      </c>
    </row>
    <row r="26" spans="2:2" x14ac:dyDescent="0.25">
      <c r="B26" s="1982"/>
    </row>
    <row r="27" spans="2:2" ht="30" x14ac:dyDescent="0.25">
      <c r="B27" s="1982" t="s">
        <v>2237</v>
      </c>
    </row>
  </sheetData>
  <sheetProtection password="C411"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J2"/>
  <sheetViews>
    <sheetView workbookViewId="0">
      <selection activeCell="K3" sqref="K3"/>
    </sheetView>
  </sheetViews>
  <sheetFormatPr defaultRowHeight="15" x14ac:dyDescent="0.25"/>
  <cols>
    <col min="1" max="1" width="5.5703125" bestFit="1" customWidth="1"/>
    <col min="2" max="2" width="13.7109375" bestFit="1" customWidth="1"/>
    <col min="3" max="3" width="12.7109375" bestFit="1" customWidth="1"/>
    <col min="4" max="4" width="4" bestFit="1" customWidth="1"/>
    <col min="5" max="6" width="3.7109375" bestFit="1" customWidth="1"/>
    <col min="7" max="8" width="3.85546875" bestFit="1" customWidth="1"/>
    <col min="9" max="9" width="4.140625" bestFit="1" customWidth="1"/>
    <col min="10" max="10" width="3.7109375" bestFit="1" customWidth="1"/>
    <col min="11" max="11" width="6.7109375" bestFit="1" customWidth="1"/>
    <col min="12" max="12" width="3.42578125" bestFit="1" customWidth="1"/>
    <col min="13" max="13" width="4.140625" bestFit="1" customWidth="1"/>
    <col min="14" max="14" width="3.28515625" bestFit="1" customWidth="1"/>
    <col min="15" max="15" width="3.140625" bestFit="1" customWidth="1"/>
    <col min="16" max="16" width="3.42578125" bestFit="1" customWidth="1"/>
    <col min="17" max="17" width="3" bestFit="1" customWidth="1"/>
    <col min="18" max="18" width="3.42578125" bestFit="1" customWidth="1"/>
    <col min="19" max="19" width="3.5703125" bestFit="1" customWidth="1"/>
    <col min="20" max="20" width="4" bestFit="1" customWidth="1"/>
    <col min="21" max="21" width="3.7109375" bestFit="1" customWidth="1"/>
    <col min="22" max="22" width="4.28515625" bestFit="1" customWidth="1"/>
    <col min="23" max="23" width="4.5703125" bestFit="1" customWidth="1"/>
    <col min="24" max="24" width="4.28515625" bestFit="1" customWidth="1"/>
    <col min="25" max="25" width="3.5703125" bestFit="1" customWidth="1"/>
    <col min="26" max="27" width="4.5703125" bestFit="1" customWidth="1"/>
    <col min="28" max="28" width="3.85546875" bestFit="1" customWidth="1"/>
    <col min="29" max="30" width="4.140625" bestFit="1" customWidth="1"/>
    <col min="31" max="31" width="4.42578125" bestFit="1" customWidth="1"/>
    <col min="32" max="32" width="4.140625" bestFit="1" customWidth="1"/>
    <col min="33" max="33" width="4.28515625" bestFit="1" customWidth="1"/>
    <col min="34" max="34" width="3.42578125" bestFit="1" customWidth="1"/>
    <col min="35" max="35" width="4.5703125" bestFit="1" customWidth="1"/>
    <col min="36" max="37" width="4.140625" bestFit="1" customWidth="1"/>
    <col min="38" max="39" width="4.28515625" bestFit="1" customWidth="1"/>
    <col min="40" max="40" width="4" bestFit="1" customWidth="1"/>
    <col min="41" max="41" width="3.5703125" bestFit="1" customWidth="1"/>
    <col min="42" max="42" width="3" bestFit="1" customWidth="1"/>
    <col min="43" max="43" width="3.42578125" bestFit="1" customWidth="1"/>
    <col min="44" max="44" width="3.7109375" bestFit="1" customWidth="1"/>
    <col min="45" max="45" width="4" bestFit="1" customWidth="1"/>
    <col min="46" max="46" width="3.7109375" bestFit="1" customWidth="1"/>
    <col min="47" max="48" width="3.85546875" bestFit="1" customWidth="1"/>
    <col min="49" max="49" width="3.7109375" bestFit="1" customWidth="1"/>
    <col min="50" max="50" width="4.28515625" bestFit="1" customWidth="1"/>
    <col min="51" max="51" width="3.5703125" bestFit="1" customWidth="1"/>
    <col min="52" max="53" width="4.28515625" bestFit="1" customWidth="1"/>
    <col min="54" max="54" width="28.5703125" bestFit="1" customWidth="1"/>
    <col min="55" max="55" width="29.7109375" bestFit="1" customWidth="1"/>
    <col min="56" max="56" width="32.85546875" bestFit="1" customWidth="1"/>
    <col min="57" max="57" width="33.28515625" bestFit="1" customWidth="1"/>
    <col min="58" max="58" width="28.42578125" bestFit="1" customWidth="1"/>
    <col min="59" max="59" width="32.42578125" bestFit="1" customWidth="1"/>
    <col min="60" max="60" width="32.85546875" bestFit="1" customWidth="1"/>
    <col min="61" max="61" width="24.7109375" bestFit="1" customWidth="1"/>
    <col min="62" max="62" width="22.140625" bestFit="1" customWidth="1"/>
  </cols>
  <sheetData>
    <row r="1" spans="1:62" x14ac:dyDescent="0.25">
      <c r="A1" t="s">
        <v>1636</v>
      </c>
      <c r="B1" t="s">
        <v>527</v>
      </c>
      <c r="C1" t="s">
        <v>421</v>
      </c>
      <c r="D1" t="s">
        <v>365</v>
      </c>
      <c r="E1" t="s">
        <v>362</v>
      </c>
      <c r="F1" t="s">
        <v>364</v>
      </c>
      <c r="G1" t="s">
        <v>363</v>
      </c>
      <c r="H1" t="s">
        <v>366</v>
      </c>
      <c r="I1" t="s">
        <v>367</v>
      </c>
      <c r="J1" t="s">
        <v>368</v>
      </c>
      <c r="K1" t="s">
        <v>369</v>
      </c>
      <c r="L1" t="s">
        <v>370</v>
      </c>
      <c r="M1" t="s">
        <v>371</v>
      </c>
      <c r="N1" t="s">
        <v>372</v>
      </c>
      <c r="O1" t="s">
        <v>375</v>
      </c>
      <c r="P1" t="s">
        <v>373</v>
      </c>
      <c r="Q1" t="s">
        <v>360</v>
      </c>
      <c r="R1" t="s">
        <v>374</v>
      </c>
      <c r="S1" t="s">
        <v>376</v>
      </c>
      <c r="T1" t="s">
        <v>377</v>
      </c>
      <c r="U1" t="s">
        <v>378</v>
      </c>
      <c r="V1" t="s">
        <v>380</v>
      </c>
      <c r="W1" t="s">
        <v>381</v>
      </c>
      <c r="X1" t="s">
        <v>379</v>
      </c>
      <c r="Y1" t="s">
        <v>382</v>
      </c>
      <c r="Z1" t="s">
        <v>385</v>
      </c>
      <c r="AA1" t="s">
        <v>384</v>
      </c>
      <c r="AB1" t="s">
        <v>383</v>
      </c>
      <c r="AC1" t="s">
        <v>386</v>
      </c>
      <c r="AD1" t="s">
        <v>393</v>
      </c>
      <c r="AE1" t="s">
        <v>394</v>
      </c>
      <c r="AF1" t="s">
        <v>387</v>
      </c>
      <c r="AG1" t="s">
        <v>389</v>
      </c>
      <c r="AH1" t="s">
        <v>390</v>
      </c>
      <c r="AI1" t="s">
        <v>391</v>
      </c>
      <c r="AJ1" t="s">
        <v>388</v>
      </c>
      <c r="AK1" t="s">
        <v>392</v>
      </c>
      <c r="AL1" t="s">
        <v>395</v>
      </c>
      <c r="AM1" t="s">
        <v>396</v>
      </c>
      <c r="AN1" t="s">
        <v>397</v>
      </c>
      <c r="AO1" t="s">
        <v>361</v>
      </c>
      <c r="AP1" t="s">
        <v>398</v>
      </c>
      <c r="AQ1" t="s">
        <v>399</v>
      </c>
      <c r="AR1" t="s">
        <v>400</v>
      </c>
      <c r="AS1" t="s">
        <v>401</v>
      </c>
      <c r="AT1" t="s">
        <v>402</v>
      </c>
      <c r="AU1" t="s">
        <v>403</v>
      </c>
      <c r="AV1" t="s">
        <v>405</v>
      </c>
      <c r="AW1" t="s">
        <v>404</v>
      </c>
      <c r="AX1" t="s">
        <v>406</v>
      </c>
      <c r="AY1" t="s">
        <v>408</v>
      </c>
      <c r="AZ1" t="s">
        <v>407</v>
      </c>
      <c r="BA1" t="s">
        <v>409</v>
      </c>
      <c r="BB1" t="s">
        <v>570</v>
      </c>
      <c r="BC1" t="s">
        <v>571</v>
      </c>
      <c r="BD1" t="s">
        <v>572</v>
      </c>
      <c r="BE1" t="s">
        <v>573</v>
      </c>
      <c r="BF1" t="s">
        <v>574</v>
      </c>
      <c r="BG1" t="s">
        <v>575</v>
      </c>
      <c r="BH1" t="s">
        <v>576</v>
      </c>
      <c r="BI1" t="s">
        <v>577</v>
      </c>
      <c r="BJ1" t="s">
        <v>578</v>
      </c>
    </row>
    <row r="2" spans="1:62" x14ac:dyDescent="0.25">
      <c r="C2">
        <v>1</v>
      </c>
      <c r="D2">
        <f>C2+1</f>
        <v>2</v>
      </c>
      <c r="E2">
        <f t="shared" ref="E2:BJ2" si="0">D2+1</f>
        <v>3</v>
      </c>
      <c r="F2">
        <f t="shared" si="0"/>
        <v>4</v>
      </c>
      <c r="G2">
        <f t="shared" si="0"/>
        <v>5</v>
      </c>
      <c r="H2">
        <f t="shared" si="0"/>
        <v>6</v>
      </c>
      <c r="I2">
        <f t="shared" si="0"/>
        <v>7</v>
      </c>
      <c r="J2">
        <f t="shared" si="0"/>
        <v>8</v>
      </c>
      <c r="K2">
        <f t="shared" si="0"/>
        <v>9</v>
      </c>
      <c r="L2">
        <f t="shared" si="0"/>
        <v>10</v>
      </c>
      <c r="M2">
        <f t="shared" si="0"/>
        <v>11</v>
      </c>
      <c r="N2">
        <f t="shared" si="0"/>
        <v>12</v>
      </c>
      <c r="O2">
        <f t="shared" si="0"/>
        <v>13</v>
      </c>
      <c r="P2">
        <f t="shared" si="0"/>
        <v>14</v>
      </c>
      <c r="Q2">
        <f t="shared" si="0"/>
        <v>15</v>
      </c>
      <c r="R2">
        <f t="shared" si="0"/>
        <v>16</v>
      </c>
      <c r="S2">
        <f t="shared" si="0"/>
        <v>17</v>
      </c>
      <c r="T2">
        <f t="shared" si="0"/>
        <v>18</v>
      </c>
      <c r="U2">
        <f t="shared" si="0"/>
        <v>19</v>
      </c>
      <c r="V2">
        <f t="shared" si="0"/>
        <v>20</v>
      </c>
      <c r="W2">
        <f t="shared" si="0"/>
        <v>21</v>
      </c>
      <c r="X2">
        <f t="shared" si="0"/>
        <v>22</v>
      </c>
      <c r="Y2">
        <f t="shared" si="0"/>
        <v>23</v>
      </c>
      <c r="Z2">
        <f t="shared" si="0"/>
        <v>24</v>
      </c>
      <c r="AA2">
        <f t="shared" si="0"/>
        <v>25</v>
      </c>
      <c r="AB2">
        <f t="shared" si="0"/>
        <v>26</v>
      </c>
      <c r="AC2">
        <f t="shared" si="0"/>
        <v>27</v>
      </c>
      <c r="AD2">
        <f t="shared" si="0"/>
        <v>28</v>
      </c>
      <c r="AE2">
        <f t="shared" si="0"/>
        <v>29</v>
      </c>
      <c r="AF2">
        <f t="shared" si="0"/>
        <v>30</v>
      </c>
      <c r="AG2">
        <f t="shared" si="0"/>
        <v>31</v>
      </c>
      <c r="AH2">
        <f t="shared" si="0"/>
        <v>32</v>
      </c>
      <c r="AI2">
        <f t="shared" si="0"/>
        <v>33</v>
      </c>
      <c r="AJ2">
        <f t="shared" si="0"/>
        <v>34</v>
      </c>
      <c r="AK2">
        <f t="shared" si="0"/>
        <v>35</v>
      </c>
      <c r="AL2">
        <f t="shared" si="0"/>
        <v>36</v>
      </c>
      <c r="AM2">
        <f t="shared" si="0"/>
        <v>37</v>
      </c>
      <c r="AN2">
        <f t="shared" si="0"/>
        <v>38</v>
      </c>
      <c r="AO2">
        <f t="shared" si="0"/>
        <v>39</v>
      </c>
      <c r="AP2">
        <f t="shared" si="0"/>
        <v>40</v>
      </c>
      <c r="AQ2">
        <f t="shared" si="0"/>
        <v>41</v>
      </c>
      <c r="AR2">
        <f t="shared" si="0"/>
        <v>42</v>
      </c>
      <c r="AS2">
        <f t="shared" si="0"/>
        <v>43</v>
      </c>
      <c r="AT2">
        <f t="shared" si="0"/>
        <v>44</v>
      </c>
      <c r="AU2">
        <f t="shared" si="0"/>
        <v>45</v>
      </c>
      <c r="AV2">
        <f t="shared" si="0"/>
        <v>46</v>
      </c>
      <c r="AW2">
        <f t="shared" si="0"/>
        <v>47</v>
      </c>
      <c r="AX2">
        <f t="shared" si="0"/>
        <v>48</v>
      </c>
      <c r="AY2">
        <f t="shared" si="0"/>
        <v>49</v>
      </c>
      <c r="AZ2">
        <f t="shared" si="0"/>
        <v>50</v>
      </c>
      <c r="BA2">
        <f t="shared" si="0"/>
        <v>51</v>
      </c>
      <c r="BB2">
        <f t="shared" si="0"/>
        <v>52</v>
      </c>
      <c r="BC2">
        <f t="shared" si="0"/>
        <v>53</v>
      </c>
      <c r="BD2">
        <f t="shared" si="0"/>
        <v>54</v>
      </c>
      <c r="BE2">
        <f t="shared" si="0"/>
        <v>55</v>
      </c>
      <c r="BF2">
        <f t="shared" si="0"/>
        <v>56</v>
      </c>
      <c r="BG2">
        <f t="shared" si="0"/>
        <v>57</v>
      </c>
      <c r="BH2">
        <f t="shared" si="0"/>
        <v>58</v>
      </c>
      <c r="BI2">
        <f t="shared" si="0"/>
        <v>59</v>
      </c>
      <c r="BJ2">
        <f t="shared" si="0"/>
        <v>60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
  <sheetViews>
    <sheetView workbookViewId="0">
      <selection activeCell="B45" sqref="B45"/>
    </sheetView>
  </sheetViews>
  <sheetFormatPr defaultRowHeight="15" x14ac:dyDescent="0.25"/>
  <cols>
    <col min="1" max="1" width="35.7109375" bestFit="1" customWidth="1"/>
    <col min="2" max="2" width="13.28515625" bestFit="1" customWidth="1"/>
    <col min="3" max="3" width="12.5703125" customWidth="1"/>
    <col min="4" max="4" width="13.5703125" bestFit="1" customWidth="1"/>
    <col min="5" max="5" width="11.140625" bestFit="1" customWidth="1"/>
    <col min="6" max="6" width="11.42578125" bestFit="1" customWidth="1"/>
    <col min="7" max="7" width="12.42578125" bestFit="1" customWidth="1"/>
    <col min="8" max="8" width="3.42578125" customWidth="1"/>
    <col min="9" max="9" width="11.5703125" bestFit="1" customWidth="1"/>
    <col min="10" max="10" width="2.28515625" customWidth="1"/>
    <col min="11" max="11" width="11.5703125" bestFit="1" customWidth="1"/>
    <col min="12" max="12" width="11.42578125" bestFit="1" customWidth="1"/>
    <col min="13" max="13" width="12.5703125" bestFit="1" customWidth="1"/>
    <col min="14" max="14" width="12" bestFit="1" customWidth="1"/>
    <col min="15" max="15" width="11.5703125" bestFit="1" customWidth="1"/>
    <col min="16" max="16" width="12.5703125" bestFit="1" customWidth="1"/>
  </cols>
  <sheetData>
    <row r="1" spans="1:16" x14ac:dyDescent="0.25">
      <c r="A1" s="2" t="s">
        <v>1003</v>
      </c>
    </row>
    <row r="2" spans="1:16" x14ac:dyDescent="0.25">
      <c r="A2" s="2" t="s">
        <v>1017</v>
      </c>
    </row>
    <row r="3" spans="1:16" x14ac:dyDescent="0.25">
      <c r="B3" t="s">
        <v>512</v>
      </c>
      <c r="C3" t="s">
        <v>513</v>
      </c>
      <c r="D3" t="s">
        <v>514</v>
      </c>
      <c r="F3" t="s">
        <v>1022</v>
      </c>
    </row>
    <row r="4" spans="1:16" x14ac:dyDescent="0.25">
      <c r="A4" t="s">
        <v>1014</v>
      </c>
      <c r="B4">
        <v>1</v>
      </c>
      <c r="C4">
        <v>125000</v>
      </c>
      <c r="D4" s="162">
        <f>C4*B4</f>
        <v>125000</v>
      </c>
      <c r="F4" t="s">
        <v>1023</v>
      </c>
    </row>
    <row r="5" spans="1:16" x14ac:dyDescent="0.25">
      <c r="A5" t="s">
        <v>1015</v>
      </c>
      <c r="B5">
        <f>D5/C5</f>
        <v>16139.12</v>
      </c>
      <c r="C5">
        <v>250</v>
      </c>
      <c r="D5" s="162">
        <v>4034780</v>
      </c>
    </row>
    <row r="6" spans="1:16" x14ac:dyDescent="0.25">
      <c r="A6" t="s">
        <v>1016</v>
      </c>
      <c r="B6">
        <v>2</v>
      </c>
      <c r="C6">
        <v>25000</v>
      </c>
      <c r="D6" s="162">
        <f>C6*B6</f>
        <v>50000</v>
      </c>
    </row>
    <row r="7" spans="1:16" x14ac:dyDescent="0.25">
      <c r="A7" t="s">
        <v>515</v>
      </c>
      <c r="B7">
        <v>3</v>
      </c>
      <c r="C7">
        <v>66000</v>
      </c>
      <c r="D7" s="162">
        <f>C7*B7</f>
        <v>198000</v>
      </c>
    </row>
    <row r="8" spans="1:16" x14ac:dyDescent="0.25">
      <c r="C8" t="s">
        <v>1021</v>
      </c>
      <c r="D8" s="164">
        <f>SUM(D4:D7)</f>
        <v>4407780</v>
      </c>
    </row>
    <row r="10" spans="1:16" x14ac:dyDescent="0.25">
      <c r="A10" s="2" t="s">
        <v>1031</v>
      </c>
    </row>
    <row r="11" spans="1:16" x14ac:dyDescent="0.25">
      <c r="B11" t="s">
        <v>1004</v>
      </c>
      <c r="E11" t="s">
        <v>438</v>
      </c>
      <c r="K11" t="str">
        <f>B11</f>
        <v>Incremental</v>
      </c>
      <c r="N11" t="str">
        <f>E11</f>
        <v>Cumulative</v>
      </c>
    </row>
    <row r="12" spans="1:16" x14ac:dyDescent="0.25">
      <c r="B12" t="s">
        <v>1005</v>
      </c>
      <c r="C12" t="s">
        <v>1006</v>
      </c>
      <c r="D12" t="s">
        <v>1007</v>
      </c>
      <c r="E12" t="str">
        <f>B12</f>
        <v>2,000 units</v>
      </c>
      <c r="F12" t="str">
        <f t="shared" ref="F12:G12" si="0">C12</f>
        <v>10,000 units</v>
      </c>
      <c r="G12" t="str">
        <f t="shared" si="0"/>
        <v>100,000 units</v>
      </c>
      <c r="I12" t="s">
        <v>1008</v>
      </c>
      <c r="K12" t="str">
        <f>B12</f>
        <v>2,000 units</v>
      </c>
      <c r="L12" t="str">
        <f>C12</f>
        <v>10,000 units</v>
      </c>
      <c r="M12" t="str">
        <f>D12</f>
        <v>100,000 units</v>
      </c>
      <c r="N12" t="str">
        <f>E12</f>
        <v>2,000 units</v>
      </c>
      <c r="O12" t="str">
        <f>F12</f>
        <v>10,000 units</v>
      </c>
      <c r="P12" t="str">
        <f>G12</f>
        <v>100,000 units</v>
      </c>
    </row>
    <row r="13" spans="1:16" x14ac:dyDescent="0.25">
      <c r="A13" t="s">
        <v>579</v>
      </c>
      <c r="B13">
        <v>1</v>
      </c>
      <c r="E13">
        <f>B13</f>
        <v>1</v>
      </c>
      <c r="F13">
        <f>B13+C13</f>
        <v>1</v>
      </c>
      <c r="G13">
        <f>SUM(B13:D13)</f>
        <v>1</v>
      </c>
      <c r="I13" s="162">
        <v>1575000</v>
      </c>
      <c r="J13" s="162"/>
      <c r="K13" s="162">
        <f t="shared" ref="K13:K21" si="1">B13*$I13</f>
        <v>1575000</v>
      </c>
      <c r="L13" s="162">
        <f t="shared" ref="L13:L21" si="2">C13*$I13</f>
        <v>0</v>
      </c>
      <c r="M13" s="162">
        <f t="shared" ref="M13:M21" si="3">D13*$I13</f>
        <v>0</v>
      </c>
      <c r="N13" s="162">
        <f t="shared" ref="N13:N21" si="4">E13*$I13</f>
        <v>1575000</v>
      </c>
      <c r="O13" s="162">
        <f t="shared" ref="O13:O21" si="5">F13*$I13</f>
        <v>1575000</v>
      </c>
      <c r="P13" s="162">
        <f t="shared" ref="P13:P21" si="6">G13*$I13</f>
        <v>1575000</v>
      </c>
    </row>
    <row r="14" spans="1:16" x14ac:dyDescent="0.25">
      <c r="A14" t="s">
        <v>1009</v>
      </c>
      <c r="B14">
        <v>1</v>
      </c>
      <c r="E14">
        <f t="shared" ref="E14:E21" si="7">B14</f>
        <v>1</v>
      </c>
      <c r="F14">
        <f t="shared" ref="F14:F21" si="8">B14+C14</f>
        <v>1</v>
      </c>
      <c r="G14">
        <f t="shared" ref="G14:G21" si="9">SUM(B14:D14)</f>
        <v>1</v>
      </c>
      <c r="I14" s="162">
        <v>3175000</v>
      </c>
      <c r="J14" s="162"/>
      <c r="K14" s="162">
        <f t="shared" si="1"/>
        <v>3175000</v>
      </c>
      <c r="L14" s="162">
        <f t="shared" si="2"/>
        <v>0</v>
      </c>
      <c r="M14" s="162">
        <f t="shared" si="3"/>
        <v>0</v>
      </c>
      <c r="N14" s="162">
        <f t="shared" si="4"/>
        <v>3175000</v>
      </c>
      <c r="O14" s="162">
        <f t="shared" si="5"/>
        <v>3175000</v>
      </c>
      <c r="P14" s="162">
        <f t="shared" si="6"/>
        <v>3175000</v>
      </c>
    </row>
    <row r="15" spans="1:16" x14ac:dyDescent="0.25">
      <c r="A15" t="s">
        <v>580</v>
      </c>
      <c r="B15">
        <v>1</v>
      </c>
      <c r="E15">
        <f t="shared" si="7"/>
        <v>1</v>
      </c>
      <c r="F15">
        <f t="shared" si="8"/>
        <v>1</v>
      </c>
      <c r="G15">
        <f t="shared" si="9"/>
        <v>1</v>
      </c>
      <c r="I15" s="162">
        <v>220000</v>
      </c>
      <c r="J15" s="162"/>
      <c r="K15" s="162">
        <f t="shared" si="1"/>
        <v>220000</v>
      </c>
      <c r="L15" s="162">
        <f t="shared" si="2"/>
        <v>0</v>
      </c>
      <c r="M15" s="162">
        <f t="shared" si="3"/>
        <v>0</v>
      </c>
      <c r="N15" s="162">
        <f t="shared" si="4"/>
        <v>220000</v>
      </c>
      <c r="O15" s="162">
        <f t="shared" si="5"/>
        <v>220000</v>
      </c>
      <c r="P15" s="162">
        <f t="shared" si="6"/>
        <v>220000</v>
      </c>
    </row>
    <row r="16" spans="1:16" x14ac:dyDescent="0.25">
      <c r="A16" t="s">
        <v>581</v>
      </c>
      <c r="B16">
        <v>1</v>
      </c>
      <c r="E16">
        <f t="shared" si="7"/>
        <v>1</v>
      </c>
      <c r="F16">
        <f t="shared" si="8"/>
        <v>1</v>
      </c>
      <c r="G16">
        <f t="shared" si="9"/>
        <v>1</v>
      </c>
      <c r="I16" s="162">
        <v>257500</v>
      </c>
      <c r="J16" s="162"/>
      <c r="K16" s="162">
        <f t="shared" si="1"/>
        <v>257500</v>
      </c>
      <c r="L16" s="162">
        <f t="shared" si="2"/>
        <v>0</v>
      </c>
      <c r="M16" s="162">
        <f t="shared" si="3"/>
        <v>0</v>
      </c>
      <c r="N16" s="162">
        <f t="shared" si="4"/>
        <v>257500</v>
      </c>
      <c r="O16" s="162">
        <f t="shared" si="5"/>
        <v>257500</v>
      </c>
      <c r="P16" s="162">
        <f t="shared" si="6"/>
        <v>257500</v>
      </c>
    </row>
    <row r="17" spans="1:16" x14ac:dyDescent="0.25">
      <c r="A17" t="s">
        <v>1010</v>
      </c>
      <c r="B17">
        <v>1</v>
      </c>
      <c r="D17">
        <v>1</v>
      </c>
      <c r="E17">
        <f t="shared" si="7"/>
        <v>1</v>
      </c>
      <c r="F17">
        <f t="shared" si="8"/>
        <v>1</v>
      </c>
      <c r="G17">
        <f t="shared" si="9"/>
        <v>2</v>
      </c>
      <c r="I17" s="162">
        <v>260000</v>
      </c>
      <c r="J17" s="162"/>
      <c r="K17" s="162">
        <f t="shared" si="1"/>
        <v>260000</v>
      </c>
      <c r="L17" s="162">
        <f t="shared" si="2"/>
        <v>0</v>
      </c>
      <c r="M17" s="162">
        <f t="shared" si="3"/>
        <v>260000</v>
      </c>
      <c r="N17" s="162">
        <f t="shared" si="4"/>
        <v>260000</v>
      </c>
      <c r="O17" s="162">
        <f t="shared" si="5"/>
        <v>260000</v>
      </c>
      <c r="P17" s="162">
        <f t="shared" si="6"/>
        <v>520000</v>
      </c>
    </row>
    <row r="18" spans="1:16" x14ac:dyDescent="0.25">
      <c r="A18" t="s">
        <v>1011</v>
      </c>
      <c r="B18">
        <v>1</v>
      </c>
      <c r="D18">
        <v>1</v>
      </c>
      <c r="E18">
        <f t="shared" si="7"/>
        <v>1</v>
      </c>
      <c r="F18">
        <f t="shared" si="8"/>
        <v>1</v>
      </c>
      <c r="G18">
        <f t="shared" si="9"/>
        <v>2</v>
      </c>
      <c r="I18" s="162">
        <v>535000</v>
      </c>
      <c r="J18" s="162"/>
      <c r="K18" s="162">
        <f t="shared" si="1"/>
        <v>535000</v>
      </c>
      <c r="L18" s="162">
        <f t="shared" si="2"/>
        <v>0</v>
      </c>
      <c r="M18" s="162">
        <f t="shared" si="3"/>
        <v>535000</v>
      </c>
      <c r="N18" s="162">
        <f t="shared" si="4"/>
        <v>535000</v>
      </c>
      <c r="O18" s="162">
        <f t="shared" si="5"/>
        <v>535000</v>
      </c>
      <c r="P18" s="162">
        <f t="shared" si="6"/>
        <v>1070000</v>
      </c>
    </row>
    <row r="19" spans="1:16" x14ac:dyDescent="0.25">
      <c r="A19" t="s">
        <v>1012</v>
      </c>
      <c r="B19">
        <v>1</v>
      </c>
      <c r="C19">
        <v>1</v>
      </c>
      <c r="D19">
        <v>10</v>
      </c>
      <c r="E19">
        <f t="shared" si="7"/>
        <v>1</v>
      </c>
      <c r="F19">
        <f t="shared" si="8"/>
        <v>2</v>
      </c>
      <c r="G19">
        <f t="shared" si="9"/>
        <v>12</v>
      </c>
      <c r="I19" s="162">
        <v>750000</v>
      </c>
      <c r="J19" s="162"/>
      <c r="K19" s="162">
        <f t="shared" si="1"/>
        <v>750000</v>
      </c>
      <c r="L19" s="162">
        <f t="shared" si="2"/>
        <v>750000</v>
      </c>
      <c r="M19" s="162">
        <f t="shared" si="3"/>
        <v>7500000</v>
      </c>
      <c r="N19" s="162">
        <f t="shared" si="4"/>
        <v>750000</v>
      </c>
      <c r="O19" s="162">
        <f t="shared" si="5"/>
        <v>1500000</v>
      </c>
      <c r="P19" s="162">
        <f t="shared" si="6"/>
        <v>9000000</v>
      </c>
    </row>
    <row r="20" spans="1:16" x14ac:dyDescent="0.25">
      <c r="A20" t="s">
        <v>1513</v>
      </c>
      <c r="B20">
        <v>1</v>
      </c>
      <c r="C20">
        <v>2</v>
      </c>
      <c r="D20">
        <v>27</v>
      </c>
      <c r="E20">
        <f t="shared" si="7"/>
        <v>1</v>
      </c>
      <c r="F20">
        <f t="shared" si="8"/>
        <v>3</v>
      </c>
      <c r="G20">
        <f t="shared" si="9"/>
        <v>30</v>
      </c>
      <c r="I20" s="162">
        <v>25000</v>
      </c>
      <c r="J20" s="162"/>
      <c r="K20" s="162">
        <f t="shared" si="1"/>
        <v>25000</v>
      </c>
      <c r="L20" s="162">
        <f t="shared" si="2"/>
        <v>50000</v>
      </c>
      <c r="M20" s="162">
        <f t="shared" si="3"/>
        <v>675000</v>
      </c>
      <c r="N20" s="162">
        <f t="shared" si="4"/>
        <v>25000</v>
      </c>
      <c r="O20" s="162">
        <f t="shared" si="5"/>
        <v>75000</v>
      </c>
      <c r="P20" s="162">
        <f t="shared" si="6"/>
        <v>750000</v>
      </c>
    </row>
    <row r="21" spans="1:16" x14ac:dyDescent="0.25">
      <c r="A21" t="s">
        <v>1514</v>
      </c>
      <c r="B21">
        <v>2</v>
      </c>
      <c r="C21">
        <v>7</v>
      </c>
      <c r="D21">
        <v>75</v>
      </c>
      <c r="E21">
        <f t="shared" si="7"/>
        <v>2</v>
      </c>
      <c r="F21">
        <f t="shared" si="8"/>
        <v>9</v>
      </c>
      <c r="G21">
        <f t="shared" si="9"/>
        <v>84</v>
      </c>
      <c r="I21" s="162">
        <v>25000</v>
      </c>
      <c r="J21" s="162"/>
      <c r="K21" s="162">
        <f t="shared" si="1"/>
        <v>50000</v>
      </c>
      <c r="L21" s="162">
        <f t="shared" si="2"/>
        <v>175000</v>
      </c>
      <c r="M21" s="162">
        <f t="shared" si="3"/>
        <v>1875000</v>
      </c>
      <c r="N21" s="162">
        <f t="shared" si="4"/>
        <v>50000</v>
      </c>
      <c r="O21" s="162">
        <f t="shared" si="5"/>
        <v>225000</v>
      </c>
      <c r="P21" s="162">
        <f t="shared" si="6"/>
        <v>2100000</v>
      </c>
    </row>
    <row r="22" spans="1:16" x14ac:dyDescent="0.25">
      <c r="I22" s="162"/>
      <c r="J22" s="162"/>
      <c r="K22" s="162">
        <f>SUM(K13:K21)</f>
        <v>6847500</v>
      </c>
      <c r="L22" s="162">
        <f t="shared" ref="L22:P22" si="10">SUM(L13:L21)</f>
        <v>975000</v>
      </c>
      <c r="M22" s="162">
        <f t="shared" si="10"/>
        <v>10845000</v>
      </c>
      <c r="N22" s="162">
        <f t="shared" si="10"/>
        <v>6847500</v>
      </c>
      <c r="O22" s="162">
        <f t="shared" si="10"/>
        <v>7822500</v>
      </c>
      <c r="P22" s="162">
        <f t="shared" si="10"/>
        <v>18667500</v>
      </c>
    </row>
    <row r="24" spans="1:16" x14ac:dyDescent="0.25">
      <c r="N24" s="164"/>
    </row>
    <row r="25" spans="1:16" x14ac:dyDescent="0.25">
      <c r="B25" t="str">
        <f>B12</f>
        <v>2,000 units</v>
      </c>
      <c r="C25" t="str">
        <f t="shared" ref="C25:D25" si="11">C12</f>
        <v>10,000 units</v>
      </c>
      <c r="D25" t="str">
        <f t="shared" si="11"/>
        <v>100,000 units</v>
      </c>
    </row>
    <row r="26" spans="1:16" x14ac:dyDescent="0.25">
      <c r="A26" s="2" t="s">
        <v>1018</v>
      </c>
      <c r="B26" s="164">
        <f>$D$8+N22</f>
        <v>11255280</v>
      </c>
      <c r="C26" s="164">
        <f t="shared" ref="C26:D26" si="12">$D$8+O22</f>
        <v>12230280</v>
      </c>
      <c r="D26" s="164">
        <f t="shared" si="12"/>
        <v>23075280</v>
      </c>
    </row>
    <row r="27" spans="1:16" x14ac:dyDescent="0.25">
      <c r="A27" t="s">
        <v>1019</v>
      </c>
      <c r="B27" s="165">
        <f>B26*0.1</f>
        <v>1125528</v>
      </c>
      <c r="C27" s="165">
        <f t="shared" ref="C27:D27" si="13">C26*0.1</f>
        <v>1223028</v>
      </c>
      <c r="D27" s="165">
        <f t="shared" si="13"/>
        <v>2307528</v>
      </c>
    </row>
    <row r="29" spans="1:16" x14ac:dyDescent="0.25">
      <c r="A29" s="2" t="s">
        <v>1020</v>
      </c>
      <c r="B29" s="164">
        <f>SUM(B26:B27)</f>
        <v>12380808</v>
      </c>
      <c r="C29" s="164">
        <f t="shared" ref="C29:D29" si="14">SUM(C26:C27)</f>
        <v>13453308</v>
      </c>
      <c r="D29" s="164">
        <f t="shared" si="14"/>
        <v>25382808</v>
      </c>
    </row>
    <row r="32" spans="1:16" x14ac:dyDescent="0.25">
      <c r="A32" s="2" t="s">
        <v>1024</v>
      </c>
      <c r="E32" t="s">
        <v>1035</v>
      </c>
    </row>
    <row r="33" spans="1:7" x14ac:dyDescent="0.25">
      <c r="A33" s="2" t="s">
        <v>1027</v>
      </c>
      <c r="B33" t="s">
        <v>512</v>
      </c>
      <c r="C33" t="s">
        <v>513</v>
      </c>
      <c r="D33" t="s">
        <v>514</v>
      </c>
      <c r="E33">
        <v>2000</v>
      </c>
      <c r="F33">
        <v>10000</v>
      </c>
      <c r="G33">
        <v>100000</v>
      </c>
    </row>
    <row r="34" spans="1:7" x14ac:dyDescent="0.25">
      <c r="A34" t="s">
        <v>1025</v>
      </c>
      <c r="B34">
        <v>250</v>
      </c>
      <c r="C34">
        <v>4</v>
      </c>
      <c r="D34" s="162">
        <f>C34*B34</f>
        <v>1000</v>
      </c>
      <c r="E34" s="162">
        <f>$D34/E$33</f>
        <v>0.5</v>
      </c>
      <c r="F34" s="162">
        <f t="shared" ref="F34:G34" si="15">$D34/F$33</f>
        <v>0.1</v>
      </c>
      <c r="G34" s="162">
        <f t="shared" si="15"/>
        <v>0.01</v>
      </c>
    </row>
    <row r="35" spans="1:7" x14ac:dyDescent="0.25">
      <c r="A35" t="s">
        <v>1025</v>
      </c>
      <c r="B35">
        <v>250</v>
      </c>
      <c r="C35">
        <v>4</v>
      </c>
      <c r="D35" s="162">
        <f>C35*B35</f>
        <v>1000</v>
      </c>
      <c r="E35" s="162">
        <f t="shared" ref="E35:G36" si="16">$D35/E$33</f>
        <v>0.5</v>
      </c>
      <c r="F35" s="162">
        <f t="shared" si="16"/>
        <v>0.1</v>
      </c>
      <c r="G35" s="162">
        <f t="shared" si="16"/>
        <v>0.01</v>
      </c>
    </row>
    <row r="36" spans="1:7" x14ac:dyDescent="0.25">
      <c r="A36" t="s">
        <v>1026</v>
      </c>
      <c r="B36">
        <v>3</v>
      </c>
      <c r="C36">
        <v>3300</v>
      </c>
      <c r="D36" s="162">
        <f>C36*B36</f>
        <v>9900</v>
      </c>
      <c r="E36" s="162">
        <f t="shared" si="16"/>
        <v>4.95</v>
      </c>
      <c r="F36" s="162">
        <f t="shared" si="16"/>
        <v>0.99</v>
      </c>
      <c r="G36" s="162">
        <f t="shared" si="16"/>
        <v>9.9000000000000005E-2</v>
      </c>
    </row>
    <row r="37" spans="1:7" x14ac:dyDescent="0.25">
      <c r="C37" t="s">
        <v>1028</v>
      </c>
      <c r="D37" s="162">
        <f>SUM(D34:D36)</f>
        <v>11900</v>
      </c>
    </row>
    <row r="39" spans="1:7" x14ac:dyDescent="0.25">
      <c r="E39" t="str">
        <f>E32</f>
        <v>$/unit</v>
      </c>
    </row>
    <row r="40" spans="1:7" x14ac:dyDescent="0.25">
      <c r="A40" s="2" t="s">
        <v>1029</v>
      </c>
      <c r="B40" t="str">
        <f>B25:D25</f>
        <v>2,000 units</v>
      </c>
      <c r="C40" t="str">
        <f t="shared" ref="C40:D40" si="17">C25:E25</f>
        <v>10,000 units</v>
      </c>
      <c r="D40" t="str">
        <f t="shared" si="17"/>
        <v>100,000 units</v>
      </c>
      <c r="E40">
        <f>E33</f>
        <v>2000</v>
      </c>
      <c r="F40">
        <f t="shared" ref="F40:G40" si="18">F33</f>
        <v>10000</v>
      </c>
      <c r="G40">
        <f t="shared" si="18"/>
        <v>100000</v>
      </c>
    </row>
    <row r="41" spans="1:7" x14ac:dyDescent="0.25">
      <c r="A41" t="s">
        <v>1030</v>
      </c>
      <c r="B41" s="164">
        <f>0.02*B29</f>
        <v>247616.16</v>
      </c>
      <c r="C41" s="164">
        <f t="shared" ref="C41:D41" si="19">0.02*C29</f>
        <v>269066.16000000003</v>
      </c>
      <c r="D41" s="164">
        <f t="shared" si="19"/>
        <v>507656.16000000003</v>
      </c>
      <c r="E41" s="162">
        <f>B41/E$40</f>
        <v>123.80808</v>
      </c>
      <c r="F41" s="162">
        <f t="shared" ref="F41:G42" si="20">C41/F$40</f>
        <v>26.906616000000003</v>
      </c>
      <c r="G41" s="162">
        <f t="shared" si="20"/>
        <v>5.0765616000000007</v>
      </c>
    </row>
    <row r="42" spans="1:7" x14ac:dyDescent="0.25">
      <c r="A42" t="s">
        <v>1032</v>
      </c>
      <c r="B42" s="164">
        <f>0.09*N22</f>
        <v>616275</v>
      </c>
      <c r="C42" s="164">
        <f t="shared" ref="C42:D42" si="21">0.09*O22</f>
        <v>704025</v>
      </c>
      <c r="D42" s="164">
        <f t="shared" si="21"/>
        <v>1680075</v>
      </c>
      <c r="E42" s="162">
        <f>B42/E$40</f>
        <v>308.13749999999999</v>
      </c>
      <c r="F42" s="162">
        <f t="shared" si="20"/>
        <v>70.402500000000003</v>
      </c>
      <c r="G42" s="162">
        <f t="shared" si="20"/>
        <v>16.800750000000001</v>
      </c>
    </row>
    <row r="43" spans="1:7" x14ac:dyDescent="0.25">
      <c r="A43" s="132" t="s">
        <v>1034</v>
      </c>
      <c r="B43" s="164">
        <f>SUM(B41:B42)</f>
        <v>863891.16</v>
      </c>
      <c r="C43" s="164">
        <f t="shared" ref="C43:D43" si="22">SUM(C41:C42)</f>
        <v>973091.16</v>
      </c>
      <c r="D43" s="164">
        <f t="shared" si="22"/>
        <v>2187731.16</v>
      </c>
    </row>
    <row r="45" spans="1:7" x14ac:dyDescent="0.25">
      <c r="A45" s="2" t="s">
        <v>1033</v>
      </c>
      <c r="B45" s="164">
        <f>$D$37+B43</f>
        <v>875791.16</v>
      </c>
      <c r="C45" s="164">
        <f t="shared" ref="C45:D45" si="23">$D$37+C43</f>
        <v>984991.16</v>
      </c>
      <c r="D45" s="164">
        <f t="shared" si="23"/>
        <v>2199631.16</v>
      </c>
    </row>
    <row r="48" spans="1:7" x14ac:dyDescent="0.25">
      <c r="B48" s="2" t="s">
        <v>1013</v>
      </c>
      <c r="C48" s="2" t="s">
        <v>1008</v>
      </c>
    </row>
    <row r="49" spans="1:3" x14ac:dyDescent="0.25">
      <c r="A49" t="str">
        <f>A13</f>
        <v>Catalyst application</v>
      </c>
      <c r="B49" s="163">
        <f>100000/G13</f>
        <v>100000</v>
      </c>
      <c r="C49" s="164">
        <f>I13</f>
        <v>1575000</v>
      </c>
    </row>
    <row r="50" spans="1:3" x14ac:dyDescent="0.25">
      <c r="A50" t="str">
        <f>A14</f>
        <v>GDL mfg</v>
      </c>
      <c r="B50" s="163">
        <f>100000/G14</f>
        <v>100000</v>
      </c>
      <c r="C50" s="164">
        <f>I14</f>
        <v>3175000</v>
      </c>
    </row>
    <row r="51" spans="1:3" x14ac:dyDescent="0.25">
      <c r="A51" t="str">
        <f>A15</f>
        <v>Membrane slit</v>
      </c>
      <c r="B51" s="163">
        <f>100000/G15</f>
        <v>100000</v>
      </c>
      <c r="C51" s="164">
        <f>I15</f>
        <v>220000</v>
      </c>
    </row>
    <row r="52" spans="1:3" x14ac:dyDescent="0.25">
      <c r="A52" t="str">
        <f>A16</f>
        <v>GDL slit</v>
      </c>
      <c r="B52" s="163">
        <f>100000/G16</f>
        <v>100000</v>
      </c>
      <c r="C52" s="164">
        <f>I16</f>
        <v>257500</v>
      </c>
    </row>
    <row r="54" spans="1:3" x14ac:dyDescent="0.25">
      <c r="A54" t="str">
        <f>A17</f>
        <v>MEA mfg (hot press)</v>
      </c>
      <c r="B54" s="163">
        <f>100000/G17</f>
        <v>50000</v>
      </c>
      <c r="C54" s="164">
        <f>I17</f>
        <v>260000</v>
      </c>
    </row>
    <row r="55" spans="1:3" x14ac:dyDescent="0.25">
      <c r="A55" t="str">
        <f>A18</f>
        <v>MEA slit and cut</v>
      </c>
      <c r="B55" s="163">
        <f>100000/G18</f>
        <v>50000</v>
      </c>
      <c r="C55" s="164">
        <f>I18</f>
        <v>535000</v>
      </c>
    </row>
    <row r="56" spans="1:3" x14ac:dyDescent="0.25">
      <c r="A56" t="str">
        <f>A19</f>
        <v>Bipolar plates mfg</v>
      </c>
      <c r="B56" s="163">
        <f>100000/G19</f>
        <v>8333.3333333333339</v>
      </c>
      <c r="C56" s="164">
        <f>I19</f>
        <v>750000</v>
      </c>
    </row>
    <row r="57" spans="1:3" x14ac:dyDescent="0.25">
      <c r="A57" t="str">
        <f>A20</f>
        <v>Assembly station</v>
      </c>
      <c r="B57" s="163">
        <f>100000/G20</f>
        <v>3333.3333333333335</v>
      </c>
      <c r="C57" s="164">
        <f>I20</f>
        <v>25000</v>
      </c>
    </row>
    <row r="58" spans="1:3" x14ac:dyDescent="0.25">
      <c r="A58" t="str">
        <f>A21</f>
        <v>Testing station</v>
      </c>
      <c r="B58" s="163">
        <f>100000/G21</f>
        <v>1190.4761904761904</v>
      </c>
      <c r="C58" s="164">
        <f>I21</f>
        <v>25000</v>
      </c>
    </row>
  </sheetData>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3:AO55"/>
  <sheetViews>
    <sheetView workbookViewId="0">
      <pane xSplit="1" ySplit="5" topLeftCell="P26" activePane="bottomRight" state="frozen"/>
      <selection pane="topRight" activeCell="B1" sqref="B1"/>
      <selection pane="bottomLeft" activeCell="A6" sqref="A6"/>
      <selection pane="bottomRight" activeCell="AA31" sqref="AA31:AA38"/>
    </sheetView>
  </sheetViews>
  <sheetFormatPr defaultRowHeight="15" x14ac:dyDescent="0.25"/>
  <cols>
    <col min="2" max="2" width="10.28515625" bestFit="1" customWidth="1"/>
    <col min="3" max="5" width="10.28515625" customWidth="1"/>
    <col min="6" max="8" width="10.42578125" customWidth="1"/>
    <col min="9" max="9" width="8.85546875" customWidth="1"/>
    <col min="10" max="10" width="6.85546875" customWidth="1"/>
    <col min="11" max="11" width="16.85546875" customWidth="1"/>
    <col min="12" max="12" width="11.140625" customWidth="1"/>
    <col min="13" max="13" width="4" customWidth="1"/>
    <col min="14" max="14" width="18.28515625" customWidth="1"/>
    <col min="15" max="15" width="10.42578125" customWidth="1"/>
    <col min="20" max="20" width="18.140625" bestFit="1" customWidth="1"/>
    <col min="21" max="21" width="11.5703125" customWidth="1"/>
    <col min="27" max="27" width="12.5703125" bestFit="1" customWidth="1"/>
  </cols>
  <sheetData>
    <row r="3" spans="1:28" x14ac:dyDescent="0.25">
      <c r="B3" s="2826" t="s">
        <v>454</v>
      </c>
      <c r="C3" s="2826"/>
      <c r="D3" s="2826"/>
      <c r="E3" s="2826"/>
      <c r="F3" s="2826"/>
      <c r="G3" s="2826"/>
      <c r="H3" s="2826"/>
      <c r="I3" s="2826"/>
      <c r="K3" s="2827" t="s">
        <v>455</v>
      </c>
      <c r="L3" s="2827"/>
      <c r="M3" s="2827"/>
      <c r="N3" s="2827"/>
      <c r="O3" s="2827"/>
      <c r="Q3" s="2828" t="s">
        <v>456</v>
      </c>
      <c r="R3" s="2828"/>
      <c r="S3" s="2828"/>
      <c r="T3" s="2828"/>
      <c r="U3" s="2828"/>
      <c r="V3" s="33"/>
      <c r="W3" s="2822" t="s">
        <v>457</v>
      </c>
      <c r="X3" s="2822"/>
    </row>
    <row r="4" spans="1:28" ht="15.75" thickBot="1" x14ac:dyDescent="0.3">
      <c r="A4" s="34"/>
      <c r="K4" s="2823" t="s">
        <v>458</v>
      </c>
      <c r="L4" s="2823"/>
      <c r="N4" s="2823" t="s">
        <v>447</v>
      </c>
      <c r="O4" s="2823"/>
    </row>
    <row r="5" spans="1:28" ht="39.75" thickBot="1" x14ac:dyDescent="0.3">
      <c r="A5" s="35" t="s">
        <v>433</v>
      </c>
      <c r="B5" s="36" t="s">
        <v>459</v>
      </c>
      <c r="C5" s="36" t="s">
        <v>460</v>
      </c>
      <c r="D5" s="36" t="s">
        <v>461</v>
      </c>
      <c r="E5" s="36" t="s">
        <v>462</v>
      </c>
      <c r="F5" s="36" t="s">
        <v>463</v>
      </c>
      <c r="G5" s="36" t="s">
        <v>464</v>
      </c>
      <c r="H5" s="36" t="s">
        <v>465</v>
      </c>
      <c r="I5" s="36" t="s">
        <v>466</v>
      </c>
      <c r="J5" s="37"/>
      <c r="K5" s="36" t="s">
        <v>467</v>
      </c>
      <c r="L5" s="36" t="s">
        <v>468</v>
      </c>
      <c r="M5" s="37"/>
      <c r="N5" s="36" t="s">
        <v>469</v>
      </c>
      <c r="O5" s="36" t="s">
        <v>470</v>
      </c>
      <c r="P5" s="37"/>
      <c r="Q5" s="36" t="s">
        <v>459</v>
      </c>
      <c r="R5" s="36" t="s">
        <v>460</v>
      </c>
      <c r="S5" s="36" t="s">
        <v>461</v>
      </c>
      <c r="T5" s="36" t="s">
        <v>462</v>
      </c>
      <c r="U5" s="36" t="s">
        <v>463</v>
      </c>
      <c r="V5" s="37"/>
      <c r="W5" s="36" t="s">
        <v>471</v>
      </c>
      <c r="X5" s="38" t="s">
        <v>472</v>
      </c>
      <c r="AA5" s="34" t="s">
        <v>444</v>
      </c>
      <c r="AB5" s="39" t="s">
        <v>473</v>
      </c>
    </row>
    <row r="6" spans="1:28" x14ac:dyDescent="0.25">
      <c r="A6" s="40">
        <v>1988</v>
      </c>
      <c r="B6" s="41">
        <v>29202</v>
      </c>
      <c r="C6" s="41">
        <v>27205</v>
      </c>
      <c r="D6" s="41">
        <v>48535</v>
      </c>
      <c r="E6" s="41">
        <f t="shared" ref="E6:E28" si="0">B6+C6+D6</f>
        <v>104942</v>
      </c>
      <c r="F6" s="41">
        <f t="shared" ref="F6:F38" si="1">B6+C6</f>
        <v>56407</v>
      </c>
      <c r="G6" s="42">
        <f>B6/E6</f>
        <v>0.27826799565474264</v>
      </c>
      <c r="H6" s="42">
        <f>C6/E6</f>
        <v>0.25923843646966899</v>
      </c>
      <c r="I6" s="42">
        <f t="shared" ref="I6:I28" si="2">F6/E6</f>
        <v>0.53750643212441163</v>
      </c>
      <c r="J6" s="43"/>
      <c r="K6" s="44">
        <f>B6*L6</f>
        <v>8760.6</v>
      </c>
      <c r="L6" s="45">
        <f t="shared" ref="L6:L38" si="3">IF($L$41=$L$42, 0.3, IF($L$41=$L$43, 0.15, IF($L$41=$L$44, 1, "CHOOSE MARKET POT.")))</f>
        <v>0.3</v>
      </c>
      <c r="M6" s="43"/>
      <c r="N6" s="44">
        <f>C6*O6</f>
        <v>8161.5</v>
      </c>
      <c r="O6" s="45">
        <f>IF($O$41=$O$42, 0.3, IF($O$41=$O$43, 0.15, IF($O$41=$O$44, 0.1, IF($O$41=$O$45,  1, "CHOOSE MARKET POT."))))</f>
        <v>0.3</v>
      </c>
      <c r="P6" s="43"/>
      <c r="Q6" s="43"/>
      <c r="R6" s="43"/>
      <c r="S6" s="43"/>
      <c r="T6" s="43"/>
      <c r="U6" s="43"/>
      <c r="V6" s="43"/>
      <c r="W6" s="46"/>
      <c r="X6" s="47"/>
    </row>
    <row r="7" spans="1:28" x14ac:dyDescent="0.25">
      <c r="A7" s="48">
        <v>1989</v>
      </c>
      <c r="B7" s="49">
        <v>31010</v>
      </c>
      <c r="C7" s="49">
        <v>29838</v>
      </c>
      <c r="D7" s="49">
        <v>55104</v>
      </c>
      <c r="E7" s="49">
        <f t="shared" si="0"/>
        <v>115952</v>
      </c>
      <c r="F7" s="49">
        <f t="shared" si="1"/>
        <v>60848</v>
      </c>
      <c r="G7" s="50">
        <f t="shared" ref="G7:G28" si="4">B7/E7</f>
        <v>0.2674382503104733</v>
      </c>
      <c r="H7" s="50">
        <f t="shared" ref="H7:H28" si="5">C7/E7</f>
        <v>0.25733061956671727</v>
      </c>
      <c r="I7" s="50">
        <f t="shared" si="2"/>
        <v>0.52476886987719051</v>
      </c>
      <c r="J7" s="51"/>
      <c r="K7" s="52">
        <f t="shared" ref="K7:K38" si="6">B7*L7</f>
        <v>9303</v>
      </c>
      <c r="L7" s="53">
        <f t="shared" si="3"/>
        <v>0.3</v>
      </c>
      <c r="M7" s="51"/>
      <c r="N7" s="52">
        <f t="shared" ref="N7:N38" si="7">C7*O7</f>
        <v>8951.4</v>
      </c>
      <c r="O7" s="53">
        <f t="shared" ref="O7:O38" si="8">IF($O$41=$O$42, 0.3, IF($O$41=$O$43, 0.15, IF($O$41=$O$44, 0.1, IF($O$41=$O$45,  1, "CHOOSE MARKET POT."))))</f>
        <v>0.3</v>
      </c>
      <c r="P7" s="51"/>
      <c r="Q7" s="50">
        <f t="shared" ref="Q7:U28" si="9">(B7-B6)/B6</f>
        <v>6.1913567563865492E-2</v>
      </c>
      <c r="R7" s="50">
        <f t="shared" si="9"/>
        <v>9.678367947068553E-2</v>
      </c>
      <c r="S7" s="50">
        <f t="shared" si="9"/>
        <v>0.13534562686720922</v>
      </c>
      <c r="T7" s="50">
        <f t="shared" si="9"/>
        <v>0.10491509595776714</v>
      </c>
      <c r="U7" s="50">
        <f t="shared" si="9"/>
        <v>7.8731363128689696E-2</v>
      </c>
      <c r="V7" s="51"/>
      <c r="W7" s="54"/>
      <c r="X7" s="55"/>
    </row>
    <row r="8" spans="1:28" x14ac:dyDescent="0.25">
      <c r="A8" s="48">
        <v>1990</v>
      </c>
      <c r="B8" s="49">
        <v>27877</v>
      </c>
      <c r="C8" s="49">
        <v>26941</v>
      </c>
      <c r="D8" s="49">
        <v>47702</v>
      </c>
      <c r="E8" s="49">
        <f t="shared" si="0"/>
        <v>102520</v>
      </c>
      <c r="F8" s="49">
        <f t="shared" si="1"/>
        <v>54818</v>
      </c>
      <c r="G8" s="50">
        <f t="shared" si="4"/>
        <v>0.27191767460007804</v>
      </c>
      <c r="H8" s="50">
        <f t="shared" si="5"/>
        <v>0.26278774873195476</v>
      </c>
      <c r="I8" s="50">
        <f t="shared" si="2"/>
        <v>0.53470542333203275</v>
      </c>
      <c r="J8" s="51"/>
      <c r="K8" s="52">
        <f t="shared" si="6"/>
        <v>8363.1</v>
      </c>
      <c r="L8" s="53">
        <f t="shared" si="3"/>
        <v>0.3</v>
      </c>
      <c r="M8" s="51"/>
      <c r="N8" s="52">
        <f t="shared" si="7"/>
        <v>8082.2999999999993</v>
      </c>
      <c r="O8" s="53">
        <f t="shared" si="8"/>
        <v>0.3</v>
      </c>
      <c r="P8" s="51"/>
      <c r="Q8" s="50">
        <f t="shared" si="9"/>
        <v>-0.10103192518542406</v>
      </c>
      <c r="R8" s="50">
        <f t="shared" si="9"/>
        <v>-9.7090957838997252E-2</v>
      </c>
      <c r="S8" s="50">
        <f t="shared" si="9"/>
        <v>-0.13432781649245065</v>
      </c>
      <c r="T8" s="50">
        <f t="shared" si="9"/>
        <v>-0.11584103767076032</v>
      </c>
      <c r="U8" s="50">
        <f t="shared" si="9"/>
        <v>-9.9099395214304498E-2</v>
      </c>
      <c r="V8" s="51"/>
      <c r="W8" s="54"/>
      <c r="X8" s="55"/>
    </row>
    <row r="9" spans="1:28" x14ac:dyDescent="0.25">
      <c r="A9" s="48">
        <v>1991</v>
      </c>
      <c r="B9" s="49">
        <v>24565</v>
      </c>
      <c r="C9" s="49">
        <v>23599</v>
      </c>
      <c r="D9" s="49">
        <v>38406</v>
      </c>
      <c r="E9" s="49">
        <f t="shared" si="0"/>
        <v>86570</v>
      </c>
      <c r="F9" s="49">
        <f t="shared" si="1"/>
        <v>48164</v>
      </c>
      <c r="G9" s="50">
        <f t="shared" si="4"/>
        <v>0.28375880790112046</v>
      </c>
      <c r="H9" s="50">
        <f t="shared" si="5"/>
        <v>0.27260020792422318</v>
      </c>
      <c r="I9" s="50">
        <f t="shared" si="2"/>
        <v>0.55635901582534364</v>
      </c>
      <c r="J9" s="51"/>
      <c r="K9" s="52">
        <f t="shared" si="6"/>
        <v>7369.5</v>
      </c>
      <c r="L9" s="53">
        <f t="shared" si="3"/>
        <v>0.3</v>
      </c>
      <c r="M9" s="51"/>
      <c r="N9" s="52">
        <f t="shared" si="7"/>
        <v>7079.7</v>
      </c>
      <c r="O9" s="53">
        <f t="shared" si="8"/>
        <v>0.3</v>
      </c>
      <c r="P9" s="51"/>
      <c r="Q9" s="50">
        <f t="shared" si="9"/>
        <v>-0.11880761918427378</v>
      </c>
      <c r="R9" s="50">
        <f t="shared" si="9"/>
        <v>-0.12404884748153372</v>
      </c>
      <c r="S9" s="50">
        <f t="shared" si="9"/>
        <v>-0.19487652509328748</v>
      </c>
      <c r="T9" s="50">
        <f t="shared" si="9"/>
        <v>-0.15557939914163091</v>
      </c>
      <c r="U9" s="50">
        <f t="shared" si="9"/>
        <v>-0.12138348717574519</v>
      </c>
      <c r="V9" s="51"/>
      <c r="W9" s="54"/>
      <c r="X9" s="55"/>
    </row>
    <row r="10" spans="1:28" x14ac:dyDescent="0.25">
      <c r="A10" s="48">
        <v>1992</v>
      </c>
      <c r="B10" s="49">
        <v>28277</v>
      </c>
      <c r="C10" s="49">
        <v>27700</v>
      </c>
      <c r="D10" s="49">
        <v>46183</v>
      </c>
      <c r="E10" s="49">
        <f t="shared" si="0"/>
        <v>102160</v>
      </c>
      <c r="F10" s="49">
        <f t="shared" si="1"/>
        <v>55977</v>
      </c>
      <c r="G10" s="50">
        <f t="shared" si="4"/>
        <v>0.27679130775254501</v>
      </c>
      <c r="H10" s="50">
        <f t="shared" si="5"/>
        <v>0.27114330462020358</v>
      </c>
      <c r="I10" s="50">
        <f t="shared" si="2"/>
        <v>0.54793461237274865</v>
      </c>
      <c r="J10" s="51"/>
      <c r="K10" s="52">
        <f t="shared" si="6"/>
        <v>8483.1</v>
      </c>
      <c r="L10" s="53">
        <f t="shared" si="3"/>
        <v>0.3</v>
      </c>
      <c r="M10" s="51"/>
      <c r="N10" s="52">
        <f t="shared" si="7"/>
        <v>8310</v>
      </c>
      <c r="O10" s="53">
        <f t="shared" si="8"/>
        <v>0.3</v>
      </c>
      <c r="P10" s="51"/>
      <c r="Q10" s="50">
        <f t="shared" si="9"/>
        <v>0.15110930185222879</v>
      </c>
      <c r="R10" s="50">
        <f t="shared" si="9"/>
        <v>0.17377854993855671</v>
      </c>
      <c r="S10" s="50">
        <f t="shared" si="9"/>
        <v>0.20249440191636722</v>
      </c>
      <c r="T10" s="50">
        <f t="shared" si="9"/>
        <v>0.18008547995841515</v>
      </c>
      <c r="U10" s="50">
        <f t="shared" si="9"/>
        <v>0.1622165933062038</v>
      </c>
      <c r="V10" s="51"/>
      <c r="W10" s="54"/>
      <c r="X10" s="55"/>
    </row>
    <row r="11" spans="1:28" x14ac:dyDescent="0.25">
      <c r="A11" s="48">
        <v>1993</v>
      </c>
      <c r="B11" s="49">
        <v>29210</v>
      </c>
      <c r="C11" s="49">
        <v>28492</v>
      </c>
      <c r="D11" s="49">
        <v>48947</v>
      </c>
      <c r="E11" s="49">
        <f t="shared" si="0"/>
        <v>106649</v>
      </c>
      <c r="F11" s="49">
        <f t="shared" si="1"/>
        <v>57702</v>
      </c>
      <c r="G11" s="50">
        <f t="shared" si="4"/>
        <v>0.27388911288432144</v>
      </c>
      <c r="H11" s="50">
        <f t="shared" si="5"/>
        <v>0.2671567478363604</v>
      </c>
      <c r="I11" s="50">
        <f t="shared" si="2"/>
        <v>0.54104586072068184</v>
      </c>
      <c r="J11" s="51"/>
      <c r="K11" s="52">
        <f t="shared" si="6"/>
        <v>8763</v>
      </c>
      <c r="L11" s="53">
        <f t="shared" si="3"/>
        <v>0.3</v>
      </c>
      <c r="M11" s="51"/>
      <c r="N11" s="52">
        <f t="shared" si="7"/>
        <v>8547.6</v>
      </c>
      <c r="O11" s="53">
        <f t="shared" si="8"/>
        <v>0.3</v>
      </c>
      <c r="P11" s="51"/>
      <c r="Q11" s="50">
        <f t="shared" si="9"/>
        <v>3.2995013615305727E-2</v>
      </c>
      <c r="R11" s="50">
        <f t="shared" si="9"/>
        <v>2.8592057761732851E-2</v>
      </c>
      <c r="S11" s="50">
        <f t="shared" si="9"/>
        <v>5.9848862135417798E-2</v>
      </c>
      <c r="T11" s="50">
        <f t="shared" si="9"/>
        <v>4.3940877055599063E-2</v>
      </c>
      <c r="U11" s="50">
        <f t="shared" si="9"/>
        <v>3.0816228093681335E-2</v>
      </c>
      <c r="V11" s="51"/>
      <c r="W11" s="54"/>
      <c r="X11" s="55"/>
    </row>
    <row r="12" spans="1:28" x14ac:dyDescent="0.25">
      <c r="A12" s="48">
        <v>1994</v>
      </c>
      <c r="B12" s="49">
        <v>36747</v>
      </c>
      <c r="C12" s="49">
        <v>34127</v>
      </c>
      <c r="D12" s="49">
        <v>65027</v>
      </c>
      <c r="E12" s="49">
        <f t="shared" si="0"/>
        <v>135901</v>
      </c>
      <c r="F12" s="49">
        <f t="shared" si="1"/>
        <v>70874</v>
      </c>
      <c r="G12" s="50">
        <f t="shared" si="4"/>
        <v>0.27039536132920289</v>
      </c>
      <c r="H12" s="50">
        <f t="shared" si="5"/>
        <v>0.25111662165841309</v>
      </c>
      <c r="I12" s="50">
        <f t="shared" si="2"/>
        <v>0.52151198298761603</v>
      </c>
      <c r="J12" s="51"/>
      <c r="K12" s="52">
        <f t="shared" si="6"/>
        <v>11024.1</v>
      </c>
      <c r="L12" s="53">
        <f t="shared" si="3"/>
        <v>0.3</v>
      </c>
      <c r="M12" s="51"/>
      <c r="N12" s="52">
        <f t="shared" si="7"/>
        <v>10238.1</v>
      </c>
      <c r="O12" s="53">
        <f t="shared" si="8"/>
        <v>0.3</v>
      </c>
      <c r="P12" s="51"/>
      <c r="Q12" s="50">
        <f t="shared" si="9"/>
        <v>0.25802807257788429</v>
      </c>
      <c r="R12" s="50">
        <f t="shared" si="9"/>
        <v>0.19777481398287239</v>
      </c>
      <c r="S12" s="50">
        <f t="shared" si="9"/>
        <v>0.32851860175291642</v>
      </c>
      <c r="T12" s="50">
        <f t="shared" si="9"/>
        <v>0.27428292810996824</v>
      </c>
      <c r="U12" s="50">
        <f t="shared" si="9"/>
        <v>0.2282763162455374</v>
      </c>
      <c r="V12" s="51"/>
      <c r="W12" s="54"/>
      <c r="X12" s="55"/>
    </row>
    <row r="13" spans="1:28" x14ac:dyDescent="0.25">
      <c r="A13" s="48">
        <v>1995</v>
      </c>
      <c r="B13" s="49">
        <v>44087</v>
      </c>
      <c r="C13" s="49">
        <v>37746</v>
      </c>
      <c r="D13" s="49">
        <v>72685</v>
      </c>
      <c r="E13" s="49">
        <f t="shared" si="0"/>
        <v>154518</v>
      </c>
      <c r="F13" s="49">
        <f t="shared" si="1"/>
        <v>81833</v>
      </c>
      <c r="G13" s="50">
        <f t="shared" si="4"/>
        <v>0.28531950970113512</v>
      </c>
      <c r="H13" s="50">
        <f t="shared" si="5"/>
        <v>0.24428221954723722</v>
      </c>
      <c r="I13" s="50">
        <f t="shared" si="2"/>
        <v>0.52960172924837234</v>
      </c>
      <c r="J13" s="51"/>
      <c r="K13" s="52">
        <f t="shared" si="6"/>
        <v>13226.1</v>
      </c>
      <c r="L13" s="53">
        <f t="shared" si="3"/>
        <v>0.3</v>
      </c>
      <c r="M13" s="51"/>
      <c r="N13" s="52">
        <f t="shared" si="7"/>
        <v>11323.8</v>
      </c>
      <c r="O13" s="53">
        <f t="shared" si="8"/>
        <v>0.3</v>
      </c>
      <c r="P13" s="51"/>
      <c r="Q13" s="50">
        <f t="shared" si="9"/>
        <v>0.19974419680518138</v>
      </c>
      <c r="R13" s="50">
        <f t="shared" si="9"/>
        <v>0.10604506695578281</v>
      </c>
      <c r="S13" s="50">
        <f t="shared" si="9"/>
        <v>0.11776646623710151</v>
      </c>
      <c r="T13" s="50">
        <f t="shared" si="9"/>
        <v>0.13698942612637141</v>
      </c>
      <c r="U13" s="50">
        <f t="shared" si="9"/>
        <v>0.15462652030363744</v>
      </c>
      <c r="V13" s="51"/>
      <c r="W13" s="54"/>
      <c r="X13" s="55"/>
    </row>
    <row r="14" spans="1:28" x14ac:dyDescent="0.25">
      <c r="A14" s="48">
        <v>1996</v>
      </c>
      <c r="B14" s="49">
        <v>42263</v>
      </c>
      <c r="C14" s="49">
        <v>35375</v>
      </c>
      <c r="D14" s="49">
        <v>60287</v>
      </c>
      <c r="E14" s="49">
        <f t="shared" si="0"/>
        <v>137925</v>
      </c>
      <c r="F14" s="49">
        <f t="shared" si="1"/>
        <v>77638</v>
      </c>
      <c r="G14" s="50">
        <f t="shared" si="4"/>
        <v>0.30642015588181981</v>
      </c>
      <c r="H14" s="50">
        <f t="shared" si="5"/>
        <v>0.25647997099873121</v>
      </c>
      <c r="I14" s="50">
        <f t="shared" si="2"/>
        <v>0.56290012688055102</v>
      </c>
      <c r="J14" s="51"/>
      <c r="K14" s="52">
        <f t="shared" si="6"/>
        <v>12678.9</v>
      </c>
      <c r="L14" s="53">
        <f t="shared" si="3"/>
        <v>0.3</v>
      </c>
      <c r="M14" s="51"/>
      <c r="N14" s="52">
        <f t="shared" si="7"/>
        <v>10612.5</v>
      </c>
      <c r="O14" s="53">
        <f t="shared" si="8"/>
        <v>0.3</v>
      </c>
      <c r="P14" s="51"/>
      <c r="Q14" s="50">
        <f t="shared" si="9"/>
        <v>-4.1372740263569761E-2</v>
      </c>
      <c r="R14" s="50">
        <f t="shared" si="9"/>
        <v>-6.2814602871827482E-2</v>
      </c>
      <c r="S14" s="50">
        <f t="shared" si="9"/>
        <v>-0.17057164476852171</v>
      </c>
      <c r="T14" s="50">
        <f t="shared" si="9"/>
        <v>-0.10738554731487594</v>
      </c>
      <c r="U14" s="50">
        <f t="shared" si="9"/>
        <v>-5.1262937934574072E-2</v>
      </c>
      <c r="V14" s="51"/>
      <c r="W14" s="54"/>
      <c r="X14" s="55"/>
    </row>
    <row r="15" spans="1:28" x14ac:dyDescent="0.25">
      <c r="A15" s="48">
        <v>1997</v>
      </c>
      <c r="B15" s="49">
        <v>42675</v>
      </c>
      <c r="C15" s="49">
        <v>38538</v>
      </c>
      <c r="D15" s="49">
        <v>64946</v>
      </c>
      <c r="E15" s="49">
        <f t="shared" si="0"/>
        <v>146159</v>
      </c>
      <c r="F15" s="49">
        <f t="shared" si="1"/>
        <v>81213</v>
      </c>
      <c r="G15" s="50">
        <f t="shared" si="4"/>
        <v>0.29197654609021684</v>
      </c>
      <c r="H15" s="50">
        <f t="shared" si="5"/>
        <v>0.26367175473285942</v>
      </c>
      <c r="I15" s="50">
        <f t="shared" si="2"/>
        <v>0.55564830082307626</v>
      </c>
      <c r="J15" s="51"/>
      <c r="K15" s="52">
        <f t="shared" si="6"/>
        <v>12802.5</v>
      </c>
      <c r="L15" s="53">
        <f t="shared" si="3"/>
        <v>0.3</v>
      </c>
      <c r="M15" s="51"/>
      <c r="N15" s="52">
        <f t="shared" si="7"/>
        <v>11561.4</v>
      </c>
      <c r="O15" s="53">
        <f t="shared" si="8"/>
        <v>0.3</v>
      </c>
      <c r="P15" s="51"/>
      <c r="Q15" s="50">
        <f t="shared" si="9"/>
        <v>9.7484797577076874E-3</v>
      </c>
      <c r="R15" s="50">
        <f t="shared" si="9"/>
        <v>8.9413427561837455E-2</v>
      </c>
      <c r="S15" s="50">
        <f t="shared" si="9"/>
        <v>7.728034236236668E-2</v>
      </c>
      <c r="T15" s="50">
        <f t="shared" si="9"/>
        <v>5.9699111836142835E-2</v>
      </c>
      <c r="U15" s="50">
        <f t="shared" si="9"/>
        <v>4.6047038821195804E-2</v>
      </c>
      <c r="V15" s="51"/>
      <c r="W15" s="54"/>
      <c r="X15" s="55"/>
      <c r="AA15" s="56" t="s">
        <v>474</v>
      </c>
      <c r="AB15" t="s">
        <v>475</v>
      </c>
    </row>
    <row r="16" spans="1:28" x14ac:dyDescent="0.25">
      <c r="A16" s="48">
        <v>1998</v>
      </c>
      <c r="B16" s="49">
        <v>48923</v>
      </c>
      <c r="C16" s="49">
        <v>40428</v>
      </c>
      <c r="D16" s="49">
        <v>80554</v>
      </c>
      <c r="E16" s="49">
        <f t="shared" si="0"/>
        <v>169905</v>
      </c>
      <c r="F16" s="49">
        <f t="shared" si="1"/>
        <v>89351</v>
      </c>
      <c r="G16" s="50">
        <f t="shared" si="4"/>
        <v>0.28794326241134754</v>
      </c>
      <c r="H16" s="50">
        <f t="shared" si="5"/>
        <v>0.23794473382184161</v>
      </c>
      <c r="I16" s="50">
        <f t="shared" si="2"/>
        <v>0.52588799623318916</v>
      </c>
      <c r="J16" s="51"/>
      <c r="K16" s="52">
        <f t="shared" si="6"/>
        <v>14676.9</v>
      </c>
      <c r="L16" s="53">
        <f t="shared" si="3"/>
        <v>0.3</v>
      </c>
      <c r="M16" s="51"/>
      <c r="N16" s="52">
        <f t="shared" si="7"/>
        <v>12128.4</v>
      </c>
      <c r="O16" s="53">
        <f t="shared" si="8"/>
        <v>0.3</v>
      </c>
      <c r="P16" s="51"/>
      <c r="Q16" s="50">
        <f t="shared" si="9"/>
        <v>0.14640890451083774</v>
      </c>
      <c r="R16" s="50">
        <f t="shared" si="9"/>
        <v>4.9042503503035961E-2</v>
      </c>
      <c r="S16" s="50">
        <f t="shared" si="9"/>
        <v>0.24032272965232654</v>
      </c>
      <c r="T16" s="50">
        <f t="shared" si="9"/>
        <v>0.16246690248291246</v>
      </c>
      <c r="U16" s="50">
        <f t="shared" si="9"/>
        <v>0.1002056321032347</v>
      </c>
      <c r="V16" s="51"/>
      <c r="W16" s="54"/>
      <c r="X16" s="55"/>
    </row>
    <row r="17" spans="1:34" x14ac:dyDescent="0.25">
      <c r="A17" s="48">
        <v>1999</v>
      </c>
      <c r="B17" s="49">
        <v>49843</v>
      </c>
      <c r="C17" s="49">
        <v>41899</v>
      </c>
      <c r="D17" s="49">
        <v>74994</v>
      </c>
      <c r="E17" s="49">
        <f t="shared" si="0"/>
        <v>166736</v>
      </c>
      <c r="F17" s="49">
        <f t="shared" si="1"/>
        <v>91742</v>
      </c>
      <c r="G17" s="50">
        <f t="shared" si="4"/>
        <v>0.29893364360426061</v>
      </c>
      <c r="H17" s="50">
        <f t="shared" si="5"/>
        <v>0.25128946358314941</v>
      </c>
      <c r="I17" s="50">
        <f t="shared" si="2"/>
        <v>0.55022310718741008</v>
      </c>
      <c r="J17" s="51"/>
      <c r="K17" s="52">
        <f t="shared" si="6"/>
        <v>14952.9</v>
      </c>
      <c r="L17" s="53">
        <f t="shared" si="3"/>
        <v>0.3</v>
      </c>
      <c r="M17" s="51"/>
      <c r="N17" s="52">
        <f t="shared" si="7"/>
        <v>12569.699999999999</v>
      </c>
      <c r="O17" s="53">
        <f t="shared" si="8"/>
        <v>0.3</v>
      </c>
      <c r="P17" s="51"/>
      <c r="Q17" s="50">
        <f t="shared" si="9"/>
        <v>1.8805061014246879E-2</v>
      </c>
      <c r="R17" s="50">
        <f t="shared" si="9"/>
        <v>3.6385673295735631E-2</v>
      </c>
      <c r="S17" s="50">
        <f t="shared" si="9"/>
        <v>-6.9022022494227481E-2</v>
      </c>
      <c r="T17" s="50">
        <f t="shared" si="9"/>
        <v>-1.8651599423207085E-2</v>
      </c>
      <c r="U17" s="50">
        <f t="shared" si="9"/>
        <v>2.6759633356090027E-2</v>
      </c>
      <c r="V17" s="51"/>
      <c r="W17" s="54"/>
      <c r="X17" s="55"/>
    </row>
    <row r="18" spans="1:34" x14ac:dyDescent="0.25">
      <c r="A18" s="48">
        <v>2000</v>
      </c>
      <c r="B18" s="49">
        <v>56090</v>
      </c>
      <c r="C18" s="49">
        <v>49121</v>
      </c>
      <c r="D18" s="49">
        <v>85993</v>
      </c>
      <c r="E18" s="49">
        <f t="shared" si="0"/>
        <v>191204</v>
      </c>
      <c r="F18" s="49">
        <f t="shared" si="1"/>
        <v>105211</v>
      </c>
      <c r="G18" s="50">
        <f t="shared" si="4"/>
        <v>0.29335160352293888</v>
      </c>
      <c r="H18" s="50">
        <f t="shared" si="5"/>
        <v>0.25690362126315347</v>
      </c>
      <c r="I18" s="50">
        <f t="shared" si="2"/>
        <v>0.55025522478609235</v>
      </c>
      <c r="J18" s="51"/>
      <c r="K18" s="52">
        <f t="shared" si="6"/>
        <v>16827</v>
      </c>
      <c r="L18" s="53">
        <f t="shared" si="3"/>
        <v>0.3</v>
      </c>
      <c r="M18" s="51"/>
      <c r="N18" s="52">
        <f t="shared" si="7"/>
        <v>14736.3</v>
      </c>
      <c r="O18" s="53">
        <f t="shared" si="8"/>
        <v>0.3</v>
      </c>
      <c r="P18" s="51"/>
      <c r="Q18" s="50">
        <f t="shared" si="9"/>
        <v>0.12533354733864335</v>
      </c>
      <c r="R18" s="50">
        <f t="shared" si="9"/>
        <v>0.17236688226449318</v>
      </c>
      <c r="S18" s="50">
        <f t="shared" si="9"/>
        <v>0.14666506653865644</v>
      </c>
      <c r="T18" s="50">
        <f t="shared" si="9"/>
        <v>0.14674695326744075</v>
      </c>
      <c r="U18" s="50">
        <f t="shared" si="9"/>
        <v>0.14681389112947177</v>
      </c>
      <c r="V18" s="51"/>
      <c r="W18" s="54"/>
      <c r="X18" s="55"/>
    </row>
    <row r="19" spans="1:34" x14ac:dyDescent="0.25">
      <c r="A19" s="48">
        <v>2001</v>
      </c>
      <c r="B19" s="49">
        <v>45980</v>
      </c>
      <c r="C19" s="49">
        <v>37210</v>
      </c>
      <c r="D19" s="49">
        <v>61507</v>
      </c>
      <c r="E19" s="49">
        <f t="shared" si="0"/>
        <v>144697</v>
      </c>
      <c r="F19" s="49">
        <f t="shared" si="1"/>
        <v>83190</v>
      </c>
      <c r="G19" s="50">
        <f t="shared" si="4"/>
        <v>0.31776747271885386</v>
      </c>
      <c r="H19" s="50">
        <f t="shared" si="5"/>
        <v>0.25715806132815472</v>
      </c>
      <c r="I19" s="50">
        <f t="shared" si="2"/>
        <v>0.57492553404700852</v>
      </c>
      <c r="J19" s="51"/>
      <c r="K19" s="52">
        <f t="shared" si="6"/>
        <v>13794</v>
      </c>
      <c r="L19" s="53">
        <f t="shared" si="3"/>
        <v>0.3</v>
      </c>
      <c r="M19" s="51"/>
      <c r="N19" s="52">
        <f t="shared" si="7"/>
        <v>11163</v>
      </c>
      <c r="O19" s="53">
        <f t="shared" si="8"/>
        <v>0.3</v>
      </c>
      <c r="P19" s="51"/>
      <c r="Q19" s="50">
        <f t="shared" si="9"/>
        <v>-0.18024603316099128</v>
      </c>
      <c r="R19" s="50">
        <f t="shared" si="9"/>
        <v>-0.24248284847621179</v>
      </c>
      <c r="S19" s="50">
        <f t="shared" si="9"/>
        <v>-0.28474410707848313</v>
      </c>
      <c r="T19" s="50">
        <f t="shared" si="9"/>
        <v>-0.24323235915566621</v>
      </c>
      <c r="U19" s="50">
        <f t="shared" si="9"/>
        <v>-0.20930320974042638</v>
      </c>
      <c r="V19" s="51"/>
      <c r="W19" s="54"/>
      <c r="X19" s="55"/>
    </row>
    <row r="20" spans="1:34" x14ac:dyDescent="0.25">
      <c r="A20" s="48">
        <v>2002</v>
      </c>
      <c r="B20" s="49">
        <v>39235</v>
      </c>
      <c r="C20" s="49">
        <v>36445</v>
      </c>
      <c r="D20" s="49">
        <v>55928</v>
      </c>
      <c r="E20" s="49">
        <f t="shared" si="0"/>
        <v>131608</v>
      </c>
      <c r="F20" s="49">
        <f t="shared" si="1"/>
        <v>75680</v>
      </c>
      <c r="G20" s="50">
        <f t="shared" si="4"/>
        <v>0.29812017506534555</v>
      </c>
      <c r="H20" s="50">
        <f t="shared" si="5"/>
        <v>0.2769208558750228</v>
      </c>
      <c r="I20" s="50">
        <f t="shared" si="2"/>
        <v>0.5750410309403684</v>
      </c>
      <c r="J20" s="51"/>
      <c r="K20" s="52">
        <f t="shared" si="6"/>
        <v>11770.5</v>
      </c>
      <c r="L20" s="53">
        <f t="shared" si="3"/>
        <v>0.3</v>
      </c>
      <c r="M20" s="51"/>
      <c r="N20" s="52">
        <f t="shared" si="7"/>
        <v>10933.5</v>
      </c>
      <c r="O20" s="53">
        <f t="shared" si="8"/>
        <v>0.3</v>
      </c>
      <c r="P20" s="51"/>
      <c r="Q20" s="50">
        <f t="shared" si="9"/>
        <v>-0.14669421487603307</v>
      </c>
      <c r="R20" s="50">
        <f t="shared" si="9"/>
        <v>-2.0558989518946521E-2</v>
      </c>
      <c r="S20" s="50">
        <f t="shared" si="9"/>
        <v>-9.0705122994130749E-2</v>
      </c>
      <c r="T20" s="50">
        <f t="shared" si="9"/>
        <v>-9.0457991527122195E-2</v>
      </c>
      <c r="U20" s="50">
        <f t="shared" si="9"/>
        <v>-9.0275273470369038E-2</v>
      </c>
      <c r="V20" s="51"/>
      <c r="W20" s="54"/>
      <c r="X20" s="55"/>
    </row>
    <row r="21" spans="1:34" x14ac:dyDescent="0.25">
      <c r="A21" s="48">
        <v>2003</v>
      </c>
      <c r="B21" s="49">
        <v>40463</v>
      </c>
      <c r="C21" s="49">
        <v>36659</v>
      </c>
      <c r="D21" s="49">
        <v>63365</v>
      </c>
      <c r="E21" s="49">
        <f t="shared" si="0"/>
        <v>140487</v>
      </c>
      <c r="F21" s="49">
        <f t="shared" si="1"/>
        <v>77122</v>
      </c>
      <c r="G21" s="50">
        <f t="shared" si="4"/>
        <v>0.28801953205634684</v>
      </c>
      <c r="H21" s="50">
        <f t="shared" si="5"/>
        <v>0.26094229359300147</v>
      </c>
      <c r="I21" s="50">
        <f t="shared" si="2"/>
        <v>0.54896182564934837</v>
      </c>
      <c r="J21" s="51"/>
      <c r="K21" s="52">
        <f t="shared" si="6"/>
        <v>12138.9</v>
      </c>
      <c r="L21" s="53">
        <f t="shared" si="3"/>
        <v>0.3</v>
      </c>
      <c r="M21" s="51"/>
      <c r="N21" s="52">
        <f t="shared" si="7"/>
        <v>10997.699999999999</v>
      </c>
      <c r="O21" s="53">
        <f t="shared" si="8"/>
        <v>0.3</v>
      </c>
      <c r="P21" s="51"/>
      <c r="Q21" s="50">
        <f t="shared" si="9"/>
        <v>3.1298585446667519E-2</v>
      </c>
      <c r="R21" s="50">
        <f t="shared" si="9"/>
        <v>5.8718617094251609E-3</v>
      </c>
      <c r="S21" s="50">
        <f t="shared" si="9"/>
        <v>0.13297453869260478</v>
      </c>
      <c r="T21" s="50">
        <f t="shared" si="9"/>
        <v>6.7465503616801412E-2</v>
      </c>
      <c r="U21" s="50">
        <f t="shared" si="9"/>
        <v>1.9053911205073996E-2</v>
      </c>
      <c r="V21" s="51"/>
      <c r="W21" s="54"/>
      <c r="X21" s="55"/>
    </row>
    <row r="22" spans="1:34" x14ac:dyDescent="0.25">
      <c r="A22" s="48">
        <v>2004</v>
      </c>
      <c r="B22" s="49">
        <v>46886</v>
      </c>
      <c r="C22" s="49">
        <v>44308</v>
      </c>
      <c r="D22" s="49">
        <v>74228</v>
      </c>
      <c r="E22" s="49">
        <f t="shared" si="0"/>
        <v>165422</v>
      </c>
      <c r="F22" s="49">
        <f t="shared" si="1"/>
        <v>91194</v>
      </c>
      <c r="G22" s="50">
        <f t="shared" si="4"/>
        <v>0.28343267521853199</v>
      </c>
      <c r="H22" s="50">
        <f t="shared" si="5"/>
        <v>0.26784829103746782</v>
      </c>
      <c r="I22" s="50">
        <f t="shared" si="2"/>
        <v>0.55128096625599976</v>
      </c>
      <c r="J22" s="51"/>
      <c r="K22" s="52">
        <f t="shared" si="6"/>
        <v>14065.8</v>
      </c>
      <c r="L22" s="53">
        <f t="shared" si="3"/>
        <v>0.3</v>
      </c>
      <c r="M22" s="51"/>
      <c r="N22" s="52">
        <f t="shared" si="7"/>
        <v>13292.4</v>
      </c>
      <c r="O22" s="53">
        <f t="shared" si="8"/>
        <v>0.3</v>
      </c>
      <c r="P22" s="51"/>
      <c r="Q22" s="50">
        <f t="shared" si="9"/>
        <v>0.15873761213948545</v>
      </c>
      <c r="R22" s="50">
        <f t="shared" si="9"/>
        <v>0.20865271829564364</v>
      </c>
      <c r="S22" s="50">
        <f t="shared" si="9"/>
        <v>0.17143533496409691</v>
      </c>
      <c r="T22" s="50">
        <f t="shared" si="9"/>
        <v>0.17748973214603486</v>
      </c>
      <c r="U22" s="50">
        <f t="shared" si="9"/>
        <v>0.18246414771401157</v>
      </c>
      <c r="V22" s="51"/>
      <c r="W22" s="54"/>
      <c r="X22" s="55"/>
    </row>
    <row r="23" spans="1:34" x14ac:dyDescent="0.25">
      <c r="A23" s="48">
        <v>2005</v>
      </c>
      <c r="B23" s="49">
        <v>50604</v>
      </c>
      <c r="C23" s="49">
        <v>46206</v>
      </c>
      <c r="D23" s="49">
        <v>83725</v>
      </c>
      <c r="E23" s="49">
        <f t="shared" si="0"/>
        <v>180535</v>
      </c>
      <c r="F23" s="49">
        <f t="shared" si="1"/>
        <v>96810</v>
      </c>
      <c r="G23" s="50">
        <f t="shared" si="4"/>
        <v>0.28030021879413963</v>
      </c>
      <c r="H23" s="50">
        <f t="shared" si="5"/>
        <v>0.25593929155011491</v>
      </c>
      <c r="I23" s="50">
        <f t="shared" si="2"/>
        <v>0.53623951034425454</v>
      </c>
      <c r="J23" s="51"/>
      <c r="K23" s="52">
        <f t="shared" si="6"/>
        <v>15181.199999999999</v>
      </c>
      <c r="L23" s="53">
        <f t="shared" si="3"/>
        <v>0.3</v>
      </c>
      <c r="M23" s="51"/>
      <c r="N23" s="52">
        <f t="shared" si="7"/>
        <v>13861.8</v>
      </c>
      <c r="O23" s="53">
        <f t="shared" si="8"/>
        <v>0.3</v>
      </c>
      <c r="P23" s="51"/>
      <c r="Q23" s="50">
        <f t="shared" si="9"/>
        <v>7.9298724565968523E-2</v>
      </c>
      <c r="R23" s="50">
        <f t="shared" si="9"/>
        <v>4.2836508079804998E-2</v>
      </c>
      <c r="S23" s="50">
        <f t="shared" si="9"/>
        <v>0.12794363313035512</v>
      </c>
      <c r="T23" s="50">
        <f t="shared" si="9"/>
        <v>9.1360278560288236E-2</v>
      </c>
      <c r="U23" s="50">
        <f t="shared" si="9"/>
        <v>6.1582998881505362E-2</v>
      </c>
      <c r="V23" s="51"/>
      <c r="W23" s="54"/>
      <c r="X23" s="55"/>
    </row>
    <row r="24" spans="1:34" x14ac:dyDescent="0.25">
      <c r="A24" s="48">
        <v>2006</v>
      </c>
      <c r="B24" s="49">
        <v>53806</v>
      </c>
      <c r="C24" s="49">
        <v>50950</v>
      </c>
      <c r="D24" s="49">
        <v>85038</v>
      </c>
      <c r="E24" s="49">
        <f t="shared" si="0"/>
        <v>189794</v>
      </c>
      <c r="F24" s="49">
        <f t="shared" si="1"/>
        <v>104756</v>
      </c>
      <c r="G24" s="50">
        <f t="shared" si="4"/>
        <v>0.28349684394659475</v>
      </c>
      <c r="H24" s="50">
        <f t="shared" si="5"/>
        <v>0.26844894991411739</v>
      </c>
      <c r="I24" s="50">
        <f t="shared" si="2"/>
        <v>0.55194579386071219</v>
      </c>
      <c r="J24" s="51"/>
      <c r="K24" s="52">
        <f t="shared" si="6"/>
        <v>16141.8</v>
      </c>
      <c r="L24" s="53">
        <f t="shared" si="3"/>
        <v>0.3</v>
      </c>
      <c r="M24" s="51"/>
      <c r="N24" s="52">
        <f t="shared" si="7"/>
        <v>15285</v>
      </c>
      <c r="O24" s="53">
        <f t="shared" si="8"/>
        <v>0.3</v>
      </c>
      <c r="P24" s="51"/>
      <c r="Q24" s="50">
        <f t="shared" si="9"/>
        <v>6.3275630384949808E-2</v>
      </c>
      <c r="R24" s="50">
        <f t="shared" si="9"/>
        <v>0.10267064883348483</v>
      </c>
      <c r="S24" s="50">
        <f t="shared" si="9"/>
        <v>1.5682293221857272E-2</v>
      </c>
      <c r="T24" s="50">
        <f t="shared" si="9"/>
        <v>5.1286454150164786E-2</v>
      </c>
      <c r="U24" s="50">
        <f t="shared" si="9"/>
        <v>8.2078297696518948E-2</v>
      </c>
      <c r="V24" s="51"/>
      <c r="W24" s="54"/>
      <c r="X24" s="55"/>
    </row>
    <row r="25" spans="1:34" x14ac:dyDescent="0.25">
      <c r="A25" s="48">
        <v>2007</v>
      </c>
      <c r="B25" s="49">
        <v>50260</v>
      </c>
      <c r="C25" s="49">
        <v>48615</v>
      </c>
      <c r="D25" s="49">
        <v>76664</v>
      </c>
      <c r="E25" s="49">
        <f t="shared" si="0"/>
        <v>175539</v>
      </c>
      <c r="F25" s="49">
        <f t="shared" si="1"/>
        <v>98875</v>
      </c>
      <c r="G25" s="50">
        <f t="shared" si="4"/>
        <v>0.28631814012840451</v>
      </c>
      <c r="H25" s="50">
        <f t="shared" si="5"/>
        <v>0.27694700323005145</v>
      </c>
      <c r="I25" s="50">
        <f t="shared" si="2"/>
        <v>0.56326514335845601</v>
      </c>
      <c r="J25" s="51"/>
      <c r="K25" s="52">
        <f t="shared" si="6"/>
        <v>15078</v>
      </c>
      <c r="L25" s="53">
        <f t="shared" si="3"/>
        <v>0.3</v>
      </c>
      <c r="M25" s="51"/>
      <c r="N25" s="52">
        <f t="shared" si="7"/>
        <v>14584.5</v>
      </c>
      <c r="O25" s="53">
        <f t="shared" si="8"/>
        <v>0.3</v>
      </c>
      <c r="P25" s="51"/>
      <c r="Q25" s="50">
        <f t="shared" si="9"/>
        <v>-6.5903430844143782E-2</v>
      </c>
      <c r="R25" s="50">
        <f t="shared" si="9"/>
        <v>-4.5829244357212952E-2</v>
      </c>
      <c r="S25" s="50">
        <f t="shared" si="9"/>
        <v>-9.8473623556527667E-2</v>
      </c>
      <c r="T25" s="50">
        <f t="shared" si="9"/>
        <v>-7.5107748400897817E-2</v>
      </c>
      <c r="U25" s="50">
        <f t="shared" si="9"/>
        <v>-5.6139982435373631E-2</v>
      </c>
      <c r="V25" s="51"/>
      <c r="W25" s="54"/>
      <c r="X25" s="55"/>
    </row>
    <row r="26" spans="1:34" x14ac:dyDescent="0.25">
      <c r="A26" s="48">
        <v>2008</v>
      </c>
      <c r="B26" s="49">
        <v>45361</v>
      </c>
      <c r="C26" s="49">
        <v>43716</v>
      </c>
      <c r="D26" s="49">
        <v>62104</v>
      </c>
      <c r="E26" s="49">
        <f t="shared" si="0"/>
        <v>151181</v>
      </c>
      <c r="F26" s="49">
        <f t="shared" si="1"/>
        <v>89077</v>
      </c>
      <c r="G26" s="50">
        <f t="shared" si="4"/>
        <v>0.30004431773834012</v>
      </c>
      <c r="H26" s="50">
        <f t="shared" si="5"/>
        <v>0.2891633207876651</v>
      </c>
      <c r="I26" s="50">
        <f t="shared" si="2"/>
        <v>0.58920763852600522</v>
      </c>
      <c r="J26" s="51"/>
      <c r="K26" s="52">
        <f t="shared" si="6"/>
        <v>13608.3</v>
      </c>
      <c r="L26" s="53">
        <f t="shared" si="3"/>
        <v>0.3</v>
      </c>
      <c r="M26" s="51"/>
      <c r="N26" s="52">
        <f t="shared" si="7"/>
        <v>13114.8</v>
      </c>
      <c r="O26" s="53">
        <f t="shared" si="8"/>
        <v>0.3</v>
      </c>
      <c r="P26" s="51"/>
      <c r="Q26" s="50">
        <f t="shared" si="9"/>
        <v>-9.7473139673696779E-2</v>
      </c>
      <c r="R26" s="50">
        <f t="shared" si="9"/>
        <v>-0.1007713668620796</v>
      </c>
      <c r="S26" s="50">
        <f t="shared" si="9"/>
        <v>-0.18991964937910885</v>
      </c>
      <c r="T26" s="50">
        <f t="shared" si="9"/>
        <v>-0.13876118697269552</v>
      </c>
      <c r="U26" s="50">
        <f t="shared" si="9"/>
        <v>-9.9094816687737036E-2</v>
      </c>
      <c r="V26" s="51"/>
      <c r="W26" s="57"/>
      <c r="X26" s="58"/>
    </row>
    <row r="27" spans="1:34" x14ac:dyDescent="0.25">
      <c r="A27" s="48">
        <v>2009</v>
      </c>
      <c r="B27" s="49">
        <v>28409</v>
      </c>
      <c r="C27" s="49">
        <v>28635</v>
      </c>
      <c r="D27" s="49">
        <v>28740</v>
      </c>
      <c r="E27" s="49">
        <f t="shared" si="0"/>
        <v>85784</v>
      </c>
      <c r="F27" s="49">
        <f t="shared" si="1"/>
        <v>57044</v>
      </c>
      <c r="G27" s="50">
        <f t="shared" si="4"/>
        <v>0.33116898256085053</v>
      </c>
      <c r="H27" s="50">
        <f t="shared" si="5"/>
        <v>0.33380350648139512</v>
      </c>
      <c r="I27" s="50">
        <f t="shared" si="2"/>
        <v>0.6649724890422456</v>
      </c>
      <c r="J27" s="51"/>
      <c r="K27" s="52">
        <f t="shared" si="6"/>
        <v>8522.6999999999989</v>
      </c>
      <c r="L27" s="53">
        <f t="shared" si="3"/>
        <v>0.3</v>
      </c>
      <c r="M27" s="51"/>
      <c r="N27" s="52">
        <f t="shared" si="7"/>
        <v>8590.5</v>
      </c>
      <c r="O27" s="53">
        <f t="shared" si="8"/>
        <v>0.3</v>
      </c>
      <c r="P27" s="51"/>
      <c r="Q27" s="50">
        <f t="shared" si="9"/>
        <v>-0.37371310156301668</v>
      </c>
      <c r="R27" s="50">
        <f t="shared" si="9"/>
        <v>-0.34497666758166345</v>
      </c>
      <c r="S27" s="50">
        <f t="shared" si="9"/>
        <v>-0.53722787582120313</v>
      </c>
      <c r="T27" s="50">
        <f t="shared" si="9"/>
        <v>-0.43257419913878065</v>
      </c>
      <c r="U27" s="50">
        <f t="shared" si="9"/>
        <v>-0.35961022486163657</v>
      </c>
      <c r="V27" s="51"/>
      <c r="W27" s="59">
        <v>-2.6325040369577911E-2</v>
      </c>
      <c r="X27" s="60">
        <v>-0.22559427907970897</v>
      </c>
    </row>
    <row r="28" spans="1:34" x14ac:dyDescent="0.25">
      <c r="A28" s="48">
        <v>2010</v>
      </c>
      <c r="B28" s="61">
        <v>31759</v>
      </c>
      <c r="C28" s="61">
        <v>36637</v>
      </c>
      <c r="D28" s="61">
        <v>36896</v>
      </c>
      <c r="E28" s="61">
        <f t="shared" si="0"/>
        <v>105292</v>
      </c>
      <c r="F28" s="61">
        <f t="shared" si="1"/>
        <v>68396</v>
      </c>
      <c r="G28" s="62">
        <f t="shared" si="4"/>
        <v>0.30162785396801278</v>
      </c>
      <c r="H28" s="62">
        <f t="shared" si="5"/>
        <v>0.34795616001215668</v>
      </c>
      <c r="I28" s="62">
        <f t="shared" si="2"/>
        <v>0.64958401398016941</v>
      </c>
      <c r="J28" s="51"/>
      <c r="K28" s="52">
        <f t="shared" si="6"/>
        <v>9527.6999999999989</v>
      </c>
      <c r="L28" s="53">
        <f t="shared" si="3"/>
        <v>0.3</v>
      </c>
      <c r="M28" s="51"/>
      <c r="N28" s="52">
        <f t="shared" si="7"/>
        <v>10991.1</v>
      </c>
      <c r="O28" s="53">
        <f t="shared" si="8"/>
        <v>0.3</v>
      </c>
      <c r="P28" s="51"/>
      <c r="Q28" s="62">
        <f t="shared" si="9"/>
        <v>0.11792037734520751</v>
      </c>
      <c r="R28" s="62">
        <f t="shared" si="9"/>
        <v>0.27944822769338223</v>
      </c>
      <c r="S28" s="62">
        <f t="shared" si="9"/>
        <v>0.28378566457898402</v>
      </c>
      <c r="T28" s="62">
        <f t="shared" si="9"/>
        <v>0.2274083745220554</v>
      </c>
      <c r="U28" s="62">
        <f t="shared" si="9"/>
        <v>0.19900427739990184</v>
      </c>
      <c r="V28" s="51"/>
      <c r="W28" s="59">
        <v>2.6458456309896652E-2</v>
      </c>
      <c r="X28" s="60">
        <v>0.16298852358556104</v>
      </c>
      <c r="Y28" s="1318">
        <v>1714.900024</v>
      </c>
      <c r="Z28" s="1318"/>
      <c r="AA28" s="63" t="s">
        <v>476</v>
      </c>
      <c r="AB28" s="552" t="s">
        <v>475</v>
      </c>
    </row>
    <row r="29" spans="1:34" x14ac:dyDescent="0.25">
      <c r="A29" s="48">
        <v>2011</v>
      </c>
      <c r="B29" s="64">
        <f>G29*E29</f>
        <v>36666.666666666664</v>
      </c>
      <c r="C29" s="64">
        <f>H29*E29</f>
        <v>36666.666666666664</v>
      </c>
      <c r="D29" s="64">
        <f>E29-B29-C29</f>
        <v>36666.666666666679</v>
      </c>
      <c r="E29" s="65">
        <v>110000</v>
      </c>
      <c r="F29" s="66">
        <f t="shared" si="1"/>
        <v>73333.333333333328</v>
      </c>
      <c r="G29" s="67">
        <f>1/3</f>
        <v>0.33333333333333331</v>
      </c>
      <c r="H29" s="67">
        <f>1/3</f>
        <v>0.33333333333333331</v>
      </c>
      <c r="I29" s="67">
        <f>2/3</f>
        <v>0.66666666666666663</v>
      </c>
      <c r="J29" s="51"/>
      <c r="K29" s="52">
        <f t="shared" si="6"/>
        <v>10999.999999999998</v>
      </c>
      <c r="L29" s="53">
        <f t="shared" si="3"/>
        <v>0.3</v>
      </c>
      <c r="M29" s="51"/>
      <c r="N29" s="52">
        <f t="shared" si="7"/>
        <v>10999.999999999998</v>
      </c>
      <c r="O29" s="53">
        <f t="shared" si="8"/>
        <v>0.3</v>
      </c>
      <c r="P29" s="51"/>
      <c r="Q29" s="68">
        <f t="shared" ref="Q29:S38" si="10">(B29-B28)/B28</f>
        <v>0.15452837515874757</v>
      </c>
      <c r="R29" s="68">
        <f t="shared" si="10"/>
        <v>8.0974606727254525E-4</v>
      </c>
      <c r="S29" s="68">
        <f t="shared" si="10"/>
        <v>-6.2156692685744041E-3</v>
      </c>
      <c r="T29" s="69">
        <v>0.1</v>
      </c>
      <c r="U29" s="68">
        <f t="shared" ref="U29:U38" si="11">(F29-F28)/F28</f>
        <v>7.2187457356180609E-2</v>
      </c>
      <c r="V29" s="51"/>
      <c r="W29" s="59">
        <v>2.1523757664408637E-2</v>
      </c>
      <c r="X29" s="60">
        <v>4.6740589442228378E-2</v>
      </c>
      <c r="Y29" s="1318">
        <v>1780.5679929999999</v>
      </c>
      <c r="Z29" s="1348">
        <f>Y29/Y28-1</f>
        <v>3.829259320133982E-2</v>
      </c>
      <c r="AA29" s="70" t="s">
        <v>477</v>
      </c>
      <c r="AB29" t="s">
        <v>478</v>
      </c>
    </row>
    <row r="30" spans="1:34" x14ac:dyDescent="0.25">
      <c r="A30" s="48">
        <v>2012</v>
      </c>
      <c r="B30" s="64">
        <f t="shared" ref="B30:B38" si="12">G30*E30</f>
        <v>38866.666666666664</v>
      </c>
      <c r="C30" s="64">
        <f t="shared" ref="C30:C38" si="13">H30*E30</f>
        <v>38866.666666666664</v>
      </c>
      <c r="D30" s="64">
        <f t="shared" ref="D30:D38" si="14">E30-B30-C30</f>
        <v>38866.666666666679</v>
      </c>
      <c r="E30" s="65">
        <f t="shared" ref="E30:E38" si="15">E29*(1+T30)</f>
        <v>116600</v>
      </c>
      <c r="F30" s="66">
        <f t="shared" si="1"/>
        <v>77733.333333333328</v>
      </c>
      <c r="G30" s="67">
        <f t="shared" ref="G30:H38" si="16">1/3</f>
        <v>0.33333333333333331</v>
      </c>
      <c r="H30" s="67">
        <f t="shared" si="16"/>
        <v>0.33333333333333331</v>
      </c>
      <c r="I30" s="67">
        <f t="shared" ref="I30:I38" si="17">2/3</f>
        <v>0.66666666666666663</v>
      </c>
      <c r="J30" s="51"/>
      <c r="K30" s="52">
        <f t="shared" si="6"/>
        <v>11659.999999999998</v>
      </c>
      <c r="L30" s="53">
        <f t="shared" si="3"/>
        <v>0.3</v>
      </c>
      <c r="M30" s="51"/>
      <c r="N30" s="52">
        <f t="shared" si="7"/>
        <v>11659.999999999998</v>
      </c>
      <c r="O30" s="53">
        <f t="shared" si="8"/>
        <v>0.3</v>
      </c>
      <c r="P30" s="51"/>
      <c r="Q30" s="68">
        <f t="shared" si="10"/>
        <v>6.0000000000000005E-2</v>
      </c>
      <c r="R30" s="68">
        <f t="shared" si="10"/>
        <v>6.0000000000000005E-2</v>
      </c>
      <c r="S30" s="68">
        <f t="shared" si="10"/>
        <v>5.9999999999999977E-2</v>
      </c>
      <c r="T30" s="69">
        <v>0.06</v>
      </c>
      <c r="U30" s="68">
        <f t="shared" si="11"/>
        <v>6.0000000000000005E-2</v>
      </c>
      <c r="V30" s="51"/>
      <c r="W30" s="59">
        <v>3.9366475459364524E-2</v>
      </c>
      <c r="X30" s="60">
        <v>0.19291067983379614</v>
      </c>
      <c r="Y30" s="1318">
        <v>1865.8905030000001</v>
      </c>
      <c r="Z30" s="1348">
        <f t="shared" ref="Z30:Z38" si="18">Y30/Y29-1</f>
        <v>4.7918703658288431E-2</v>
      </c>
      <c r="AA30" s="70" t="s">
        <v>477</v>
      </c>
      <c r="AB30" t="s">
        <v>478</v>
      </c>
    </row>
    <row r="31" spans="1:34" x14ac:dyDescent="0.25">
      <c r="A31" s="48">
        <v>2013</v>
      </c>
      <c r="B31" s="64">
        <f t="shared" si="12"/>
        <v>42065.257637861156</v>
      </c>
      <c r="C31" s="64">
        <f t="shared" si="13"/>
        <v>42065.257637861156</v>
      </c>
      <c r="D31" s="64">
        <f t="shared" si="14"/>
        <v>42065.257637861156</v>
      </c>
      <c r="E31" s="64">
        <f t="shared" si="15"/>
        <v>126195.77291358347</v>
      </c>
      <c r="F31" s="66">
        <f t="shared" si="1"/>
        <v>84130.515275722311</v>
      </c>
      <c r="G31" s="67">
        <f t="shared" si="16"/>
        <v>0.33333333333333331</v>
      </c>
      <c r="H31" s="67">
        <f t="shared" si="16"/>
        <v>0.33333333333333331</v>
      </c>
      <c r="I31" s="67">
        <f t="shared" si="17"/>
        <v>0.66666666666666663</v>
      </c>
      <c r="J31" s="51"/>
      <c r="K31" s="52">
        <f t="shared" si="6"/>
        <v>12619.577291358346</v>
      </c>
      <c r="L31" s="53">
        <f t="shared" si="3"/>
        <v>0.3</v>
      </c>
      <c r="M31" s="51"/>
      <c r="N31" s="52">
        <f t="shared" si="7"/>
        <v>12619.577291358346</v>
      </c>
      <c r="O31" s="53">
        <f t="shared" si="8"/>
        <v>0.3</v>
      </c>
      <c r="P31" s="51"/>
      <c r="Q31" s="68">
        <f t="shared" si="10"/>
        <v>8.229650869282569E-2</v>
      </c>
      <c r="R31" s="68">
        <f t="shared" si="10"/>
        <v>8.229650869282569E-2</v>
      </c>
      <c r="S31" s="68">
        <f t="shared" si="10"/>
        <v>8.2296508692825274E-2</v>
      </c>
      <c r="T31" s="68">
        <f t="shared" ref="T31:T38" si="19">IF($E$41=$E$42, W31, IF($E$41=$E$43, X31, IF($E$41=$E$44, 0, "CHOOSE GROWTH")))</f>
        <v>8.2296508692825565E-2</v>
      </c>
      <c r="U31" s="68">
        <f t="shared" si="11"/>
        <v>8.229650869282569E-2</v>
      </c>
      <c r="V31" s="51"/>
      <c r="W31" s="59">
        <v>3.9087732812326449E-2</v>
      </c>
      <c r="X31" s="71">
        <f>Y31/Y30-1</f>
        <v>8.2296508692825565E-2</v>
      </c>
      <c r="Y31" s="1318">
        <v>2019.4467770000001</v>
      </c>
      <c r="Z31" s="1348">
        <f>Y31/Y30-1</f>
        <v>8.2296508692825565E-2</v>
      </c>
      <c r="AA31" s="72" t="s">
        <v>2199</v>
      </c>
      <c r="AD31" s="1350" t="s">
        <v>2120</v>
      </c>
      <c r="AE31" s="1350" t="s">
        <v>2121</v>
      </c>
      <c r="AH31" s="1350"/>
    </row>
    <row r="32" spans="1:34" x14ac:dyDescent="0.25">
      <c r="A32" s="48">
        <v>2014</v>
      </c>
      <c r="B32" s="64">
        <f t="shared" si="12"/>
        <v>47348.558695533138</v>
      </c>
      <c r="C32" s="64">
        <f t="shared" si="13"/>
        <v>47348.558695533138</v>
      </c>
      <c r="D32" s="64">
        <f t="shared" si="14"/>
        <v>47348.558695533138</v>
      </c>
      <c r="E32" s="64">
        <f t="shared" si="15"/>
        <v>142045.67608659941</v>
      </c>
      <c r="F32" s="66">
        <f t="shared" si="1"/>
        <v>94697.117391066276</v>
      </c>
      <c r="G32" s="67">
        <f t="shared" si="16"/>
        <v>0.33333333333333331</v>
      </c>
      <c r="H32" s="67">
        <f t="shared" si="16"/>
        <v>0.33333333333333331</v>
      </c>
      <c r="I32" s="67">
        <f t="shared" si="17"/>
        <v>0.66666666666666663</v>
      </c>
      <c r="J32" s="51"/>
      <c r="K32" s="52">
        <f t="shared" si="6"/>
        <v>14204.567608659941</v>
      </c>
      <c r="L32" s="53">
        <f t="shared" si="3"/>
        <v>0.3</v>
      </c>
      <c r="M32" s="51"/>
      <c r="N32" s="52">
        <f t="shared" si="7"/>
        <v>14204.567608659941</v>
      </c>
      <c r="O32" s="53">
        <f t="shared" si="8"/>
        <v>0.3</v>
      </c>
      <c r="P32" s="51"/>
      <c r="Q32" s="68">
        <f t="shared" si="10"/>
        <v>0.12559773443338446</v>
      </c>
      <c r="R32" s="68">
        <f t="shared" si="10"/>
        <v>0.12559773443338446</v>
      </c>
      <c r="S32" s="68">
        <f t="shared" si="10"/>
        <v>0.12559773443338446</v>
      </c>
      <c r="T32" s="68">
        <f t="shared" si="19"/>
        <v>0.12559773443338451</v>
      </c>
      <c r="U32" s="68">
        <f t="shared" si="11"/>
        <v>0.12559773443338446</v>
      </c>
      <c r="V32" s="51"/>
      <c r="W32" s="59">
        <v>2.2415329512415774E-2</v>
      </c>
      <c r="X32" s="71">
        <f t="shared" ref="X32:X38" si="20">Y32/Y31-1</f>
        <v>0.12559773443338451</v>
      </c>
      <c r="Y32" s="1318">
        <v>2273.0847170000002</v>
      </c>
      <c r="Z32" s="1348">
        <f t="shared" si="18"/>
        <v>0.12559773443338451</v>
      </c>
      <c r="AA32" s="72" t="s">
        <v>2199</v>
      </c>
      <c r="AD32" s="1350" t="s">
        <v>2122</v>
      </c>
      <c r="AE32" s="1350" t="s">
        <v>2123</v>
      </c>
      <c r="AH32" s="1350" t="s">
        <v>2124</v>
      </c>
    </row>
    <row r="33" spans="1:41" x14ac:dyDescent="0.25">
      <c r="A33" s="48">
        <v>2015</v>
      </c>
      <c r="B33" s="64">
        <f t="shared" si="12"/>
        <v>51015.086759961574</v>
      </c>
      <c r="C33" s="64">
        <f t="shared" si="13"/>
        <v>51015.086759961574</v>
      </c>
      <c r="D33" s="64">
        <f t="shared" si="14"/>
        <v>51015.086759961589</v>
      </c>
      <c r="E33" s="64">
        <f t="shared" si="15"/>
        <v>153045.26027988474</v>
      </c>
      <c r="F33" s="66">
        <f t="shared" si="1"/>
        <v>102030.17351992315</v>
      </c>
      <c r="G33" s="67">
        <f t="shared" si="16"/>
        <v>0.33333333333333331</v>
      </c>
      <c r="H33" s="67">
        <f t="shared" si="16"/>
        <v>0.33333333333333331</v>
      </c>
      <c r="I33" s="67">
        <f t="shared" si="17"/>
        <v>0.66666666666666663</v>
      </c>
      <c r="J33" s="51"/>
      <c r="K33" s="52">
        <f t="shared" si="6"/>
        <v>15304.526027988471</v>
      </c>
      <c r="L33" s="53">
        <f t="shared" si="3"/>
        <v>0.3</v>
      </c>
      <c r="M33" s="51"/>
      <c r="N33" s="52">
        <f t="shared" si="7"/>
        <v>15304.526027988471</v>
      </c>
      <c r="O33" s="53">
        <f t="shared" si="8"/>
        <v>0.3</v>
      </c>
      <c r="P33" s="51"/>
      <c r="Q33" s="68">
        <f t="shared" si="10"/>
        <v>7.7436951946212793E-2</v>
      </c>
      <c r="R33" s="68">
        <f t="shared" si="10"/>
        <v>7.7436951946212793E-2</v>
      </c>
      <c r="S33" s="68">
        <f t="shared" si="10"/>
        <v>7.7436951946213112E-2</v>
      </c>
      <c r="T33" s="68">
        <f t="shared" si="19"/>
        <v>7.7436951946212806E-2</v>
      </c>
      <c r="U33" s="68">
        <f t="shared" si="11"/>
        <v>7.7436951946212793E-2</v>
      </c>
      <c r="V33" s="51"/>
      <c r="W33" s="59">
        <v>2.8353829903536007E-2</v>
      </c>
      <c r="X33" s="71">
        <f t="shared" si="20"/>
        <v>7.7436951946212806E-2</v>
      </c>
      <c r="Y33" s="1318">
        <v>2449.1054690000001</v>
      </c>
      <c r="Z33" s="1348">
        <f t="shared" si="18"/>
        <v>7.7436951946212806E-2</v>
      </c>
      <c r="AA33" s="72" t="s">
        <v>2199</v>
      </c>
      <c r="AD33" s="1350" t="s">
        <v>2125</v>
      </c>
      <c r="AE33" s="1350" t="s">
        <v>2126</v>
      </c>
    </row>
    <row r="34" spans="1:41" x14ac:dyDescent="0.25">
      <c r="A34" s="48">
        <v>2016</v>
      </c>
      <c r="B34" s="64">
        <f t="shared" si="12"/>
        <v>54020.264556935443</v>
      </c>
      <c r="C34" s="64">
        <f t="shared" si="13"/>
        <v>54020.264556935443</v>
      </c>
      <c r="D34" s="64">
        <f t="shared" si="14"/>
        <v>54020.264556935457</v>
      </c>
      <c r="E34" s="64">
        <f t="shared" si="15"/>
        <v>162060.79367080634</v>
      </c>
      <c r="F34" s="66">
        <f t="shared" si="1"/>
        <v>108040.52911387089</v>
      </c>
      <c r="G34" s="67">
        <f t="shared" si="16"/>
        <v>0.33333333333333331</v>
      </c>
      <c r="H34" s="67">
        <f t="shared" si="16"/>
        <v>0.33333333333333331</v>
      </c>
      <c r="I34" s="67">
        <f t="shared" si="17"/>
        <v>0.66666666666666663</v>
      </c>
      <c r="J34" s="51"/>
      <c r="K34" s="52">
        <f t="shared" si="6"/>
        <v>16206.079367080632</v>
      </c>
      <c r="L34" s="53">
        <f t="shared" si="3"/>
        <v>0.3</v>
      </c>
      <c r="M34" s="51"/>
      <c r="N34" s="52">
        <f t="shared" si="7"/>
        <v>16206.079367080632</v>
      </c>
      <c r="O34" s="53">
        <f t="shared" si="8"/>
        <v>0.3</v>
      </c>
      <c r="P34" s="51"/>
      <c r="Q34" s="68">
        <f t="shared" si="10"/>
        <v>5.8907628857203811E-2</v>
      </c>
      <c r="R34" s="68">
        <f t="shared" si="10"/>
        <v>5.8907628857203811E-2</v>
      </c>
      <c r="S34" s="68">
        <f t="shared" si="10"/>
        <v>5.8907628857203798E-2</v>
      </c>
      <c r="T34" s="68">
        <f t="shared" si="19"/>
        <v>5.8907628857203687E-2</v>
      </c>
      <c r="U34" s="68">
        <f t="shared" si="11"/>
        <v>5.8907628857203811E-2</v>
      </c>
      <c r="V34" s="51"/>
      <c r="W34" s="59">
        <v>2.7167643275907791E-2</v>
      </c>
      <c r="X34" s="71">
        <f t="shared" si="20"/>
        <v>5.8907628857203687E-2</v>
      </c>
      <c r="Y34" s="1318">
        <v>2593.3764649999998</v>
      </c>
      <c r="Z34" s="1348">
        <f t="shared" si="18"/>
        <v>5.8907628857203687E-2</v>
      </c>
      <c r="AA34" s="72" t="s">
        <v>2199</v>
      </c>
      <c r="AD34" s="1350" t="s">
        <v>2127</v>
      </c>
      <c r="AE34" s="1350"/>
      <c r="AF34" s="1350" t="s">
        <v>2128</v>
      </c>
      <c r="AH34" s="1350"/>
    </row>
    <row r="35" spans="1:41" ht="15.75" x14ac:dyDescent="0.25">
      <c r="A35" s="48">
        <v>2017</v>
      </c>
      <c r="B35" s="64">
        <f t="shared" si="12"/>
        <v>56263.648956182442</v>
      </c>
      <c r="C35" s="64">
        <f t="shared" si="13"/>
        <v>56263.648956182442</v>
      </c>
      <c r="D35" s="64">
        <f t="shared" si="14"/>
        <v>56263.648956182442</v>
      </c>
      <c r="E35" s="64">
        <f t="shared" si="15"/>
        <v>168790.94686854733</v>
      </c>
      <c r="F35" s="66">
        <f t="shared" si="1"/>
        <v>112527.29791236488</v>
      </c>
      <c r="G35" s="67">
        <f t="shared" si="16"/>
        <v>0.33333333333333331</v>
      </c>
      <c r="H35" s="67">
        <f t="shared" si="16"/>
        <v>0.33333333333333331</v>
      </c>
      <c r="I35" s="67">
        <f t="shared" si="17"/>
        <v>0.66666666666666663</v>
      </c>
      <c r="J35" s="51"/>
      <c r="K35" s="52">
        <f t="shared" si="6"/>
        <v>16879.094686854733</v>
      </c>
      <c r="L35" s="53">
        <f t="shared" si="3"/>
        <v>0.3</v>
      </c>
      <c r="M35" s="51"/>
      <c r="N35" s="52">
        <f t="shared" si="7"/>
        <v>16879.094686854733</v>
      </c>
      <c r="O35" s="53">
        <f t="shared" si="8"/>
        <v>0.3</v>
      </c>
      <c r="P35" s="51"/>
      <c r="Q35" s="68">
        <f t="shared" si="10"/>
        <v>4.152857113245996E-2</v>
      </c>
      <c r="R35" s="68">
        <f t="shared" si="10"/>
        <v>4.152857113245996E-2</v>
      </c>
      <c r="S35" s="68">
        <f t="shared" si="10"/>
        <v>4.1528571132459682E-2</v>
      </c>
      <c r="T35" s="68">
        <f t="shared" si="19"/>
        <v>4.1528571132460002E-2</v>
      </c>
      <c r="U35" s="68">
        <f t="shared" si="11"/>
        <v>4.152857113245996E-2</v>
      </c>
      <c r="V35" s="51"/>
      <c r="W35" s="59">
        <v>2.6373080680037259E-2</v>
      </c>
      <c r="X35" s="71">
        <f t="shared" si="20"/>
        <v>4.1528571132460002E-2</v>
      </c>
      <c r="Y35" s="1318">
        <v>2701.0756839999999</v>
      </c>
      <c r="Z35" s="1348">
        <f t="shared" si="18"/>
        <v>4.1528571132460002E-2</v>
      </c>
      <c r="AA35" s="72" t="s">
        <v>2199</v>
      </c>
      <c r="AC35" s="1349" t="s">
        <v>2129</v>
      </c>
    </row>
    <row r="36" spans="1:41" x14ac:dyDescent="0.25">
      <c r="A36" s="48">
        <v>2018</v>
      </c>
      <c r="B36" s="64">
        <f t="shared" si="12"/>
        <v>57638.216206302226</v>
      </c>
      <c r="C36" s="64">
        <f t="shared" si="13"/>
        <v>57638.216206302226</v>
      </c>
      <c r="D36" s="64">
        <f t="shared" si="14"/>
        <v>57638.216206302226</v>
      </c>
      <c r="E36" s="64">
        <f t="shared" si="15"/>
        <v>172914.64861890668</v>
      </c>
      <c r="F36" s="66">
        <f t="shared" si="1"/>
        <v>115276.43241260445</v>
      </c>
      <c r="G36" s="67">
        <f t="shared" si="16"/>
        <v>0.33333333333333331</v>
      </c>
      <c r="H36" s="67">
        <f t="shared" si="16"/>
        <v>0.33333333333333331</v>
      </c>
      <c r="I36" s="67">
        <f t="shared" si="17"/>
        <v>0.66666666666666663</v>
      </c>
      <c r="J36" s="51"/>
      <c r="K36" s="52">
        <f t="shared" si="6"/>
        <v>17291.464861890669</v>
      </c>
      <c r="L36" s="53">
        <f t="shared" si="3"/>
        <v>0.3</v>
      </c>
      <c r="M36" s="51"/>
      <c r="N36" s="52">
        <f t="shared" si="7"/>
        <v>17291.464861890669</v>
      </c>
      <c r="O36" s="53">
        <f t="shared" si="8"/>
        <v>0.3</v>
      </c>
      <c r="P36" s="51"/>
      <c r="Q36" s="68">
        <f t="shared" si="10"/>
        <v>2.4430823020211205E-2</v>
      </c>
      <c r="R36" s="68">
        <f t="shared" si="10"/>
        <v>2.4430823020211205E-2</v>
      </c>
      <c r="S36" s="68">
        <f t="shared" si="10"/>
        <v>2.4430823020211205E-2</v>
      </c>
      <c r="T36" s="68">
        <f t="shared" si="19"/>
        <v>2.4430823020211268E-2</v>
      </c>
      <c r="U36" s="68">
        <f t="shared" si="11"/>
        <v>2.4430823020211205E-2</v>
      </c>
      <c r="V36" s="51"/>
      <c r="W36" s="59">
        <v>2.5274546542738471E-2</v>
      </c>
      <c r="X36" s="71">
        <f t="shared" si="20"/>
        <v>2.4430823020211268E-2</v>
      </c>
      <c r="Y36" s="1318">
        <v>2767.0651859999998</v>
      </c>
      <c r="Z36" s="1348">
        <f t="shared" si="18"/>
        <v>2.4430823020211268E-2</v>
      </c>
      <c r="AA36" s="72" t="s">
        <v>2199</v>
      </c>
      <c r="AC36" s="33" t="s">
        <v>2130</v>
      </c>
    </row>
    <row r="37" spans="1:41" x14ac:dyDescent="0.25">
      <c r="A37" s="48">
        <v>2019</v>
      </c>
      <c r="B37" s="64">
        <f t="shared" si="12"/>
        <v>59339.321546851432</v>
      </c>
      <c r="C37" s="64">
        <f t="shared" si="13"/>
        <v>59339.321546851432</v>
      </c>
      <c r="D37" s="64">
        <f t="shared" si="14"/>
        <v>59339.321546851446</v>
      </c>
      <c r="E37" s="64">
        <f t="shared" si="15"/>
        <v>178017.9646405543</v>
      </c>
      <c r="F37" s="66">
        <f t="shared" si="1"/>
        <v>118678.64309370286</v>
      </c>
      <c r="G37" s="67">
        <f t="shared" si="16"/>
        <v>0.33333333333333331</v>
      </c>
      <c r="H37" s="67">
        <f t="shared" si="16"/>
        <v>0.33333333333333331</v>
      </c>
      <c r="I37" s="67">
        <f t="shared" si="17"/>
        <v>0.66666666666666663</v>
      </c>
      <c r="J37" s="51"/>
      <c r="K37" s="52">
        <f t="shared" si="6"/>
        <v>17801.796464055427</v>
      </c>
      <c r="L37" s="53">
        <f t="shared" si="3"/>
        <v>0.3</v>
      </c>
      <c r="M37" s="51"/>
      <c r="N37" s="52">
        <f t="shared" si="7"/>
        <v>17801.796464055427</v>
      </c>
      <c r="O37" s="53">
        <f t="shared" si="8"/>
        <v>0.3</v>
      </c>
      <c r="P37" s="51"/>
      <c r="Q37" s="68">
        <f t="shared" si="10"/>
        <v>2.9513497337608531E-2</v>
      </c>
      <c r="R37" s="68">
        <f t="shared" si="10"/>
        <v>2.9513497337608531E-2</v>
      </c>
      <c r="S37" s="68">
        <f t="shared" si="10"/>
        <v>2.9513497337608784E-2</v>
      </c>
      <c r="T37" s="68">
        <f t="shared" si="19"/>
        <v>2.9513497337608552E-2</v>
      </c>
      <c r="U37" s="68">
        <f t="shared" si="11"/>
        <v>2.9513497337608531E-2</v>
      </c>
      <c r="V37" s="51"/>
      <c r="W37" s="59">
        <v>2.4141380774949251E-2</v>
      </c>
      <c r="X37" s="71">
        <f t="shared" si="20"/>
        <v>2.9513497337608552E-2</v>
      </c>
      <c r="Y37" s="1318">
        <v>2848.7309570000002</v>
      </c>
      <c r="Z37" s="1348">
        <f t="shared" si="18"/>
        <v>2.9513497337608552E-2</v>
      </c>
      <c r="AA37" s="72" t="s">
        <v>2199</v>
      </c>
      <c r="AC37" s="33" t="s">
        <v>2131</v>
      </c>
      <c r="AD37" s="1351" t="s">
        <v>2131</v>
      </c>
      <c r="AE37" s="1351" t="s">
        <v>2131</v>
      </c>
      <c r="AF37" s="1351" t="s">
        <v>2131</v>
      </c>
      <c r="AG37" s="1351" t="s">
        <v>2131</v>
      </c>
      <c r="AH37" s="1351" t="s">
        <v>2131</v>
      </c>
      <c r="AI37" s="1351" t="s">
        <v>2131</v>
      </c>
      <c r="AJ37" s="1351" t="s">
        <v>2131</v>
      </c>
      <c r="AK37" s="1351" t="s">
        <v>2131</v>
      </c>
      <c r="AL37" s="1351" t="s">
        <v>2131</v>
      </c>
      <c r="AM37" s="1351" t="s">
        <v>2131</v>
      </c>
      <c r="AN37" s="1351" t="s">
        <v>2131</v>
      </c>
      <c r="AO37" s="1351" t="s">
        <v>2131</v>
      </c>
    </row>
    <row r="38" spans="1:41" ht="15.75" thickBot="1" x14ac:dyDescent="0.3">
      <c r="A38" s="73">
        <v>2020</v>
      </c>
      <c r="B38" s="74">
        <f t="shared" si="12"/>
        <v>60857.853400271772</v>
      </c>
      <c r="C38" s="74">
        <f t="shared" si="13"/>
        <v>60857.853400271772</v>
      </c>
      <c r="D38" s="74">
        <f t="shared" si="14"/>
        <v>60857.853400271786</v>
      </c>
      <c r="E38" s="74">
        <f t="shared" si="15"/>
        <v>182573.56020081532</v>
      </c>
      <c r="F38" s="75">
        <f t="shared" si="1"/>
        <v>121715.70680054354</v>
      </c>
      <c r="G38" s="76">
        <f t="shared" si="16"/>
        <v>0.33333333333333331</v>
      </c>
      <c r="H38" s="76">
        <f t="shared" si="16"/>
        <v>0.33333333333333331</v>
      </c>
      <c r="I38" s="76">
        <f t="shared" si="17"/>
        <v>0.66666666666666663</v>
      </c>
      <c r="J38" s="77"/>
      <c r="K38" s="78">
        <f t="shared" si="6"/>
        <v>18257.35602008153</v>
      </c>
      <c r="L38" s="79">
        <f t="shared" si="3"/>
        <v>0.3</v>
      </c>
      <c r="M38" s="77"/>
      <c r="N38" s="78">
        <f t="shared" si="7"/>
        <v>18257.35602008153</v>
      </c>
      <c r="O38" s="79">
        <f t="shared" si="8"/>
        <v>0.3</v>
      </c>
      <c r="P38" s="77"/>
      <c r="Q38" s="80">
        <f t="shared" si="10"/>
        <v>2.5590650749543559E-2</v>
      </c>
      <c r="R38" s="80">
        <f t="shared" si="10"/>
        <v>2.5590650749543559E-2</v>
      </c>
      <c r="S38" s="80">
        <f t="shared" si="10"/>
        <v>2.5590650749543552E-2</v>
      </c>
      <c r="T38" s="80">
        <f t="shared" si="19"/>
        <v>2.5590650749543586E-2</v>
      </c>
      <c r="U38" s="80">
        <f t="shared" si="11"/>
        <v>2.5590650749543559E-2</v>
      </c>
      <c r="V38" s="77"/>
      <c r="W38" s="59">
        <v>2.6167145704259622E-2</v>
      </c>
      <c r="X38" s="71">
        <f t="shared" si="20"/>
        <v>2.5590650749543586E-2</v>
      </c>
      <c r="Y38" s="1318">
        <v>2921.631836</v>
      </c>
      <c r="Z38" s="1348">
        <f t="shared" si="18"/>
        <v>2.5590650749543586E-2</v>
      </c>
      <c r="AA38" s="72" t="s">
        <v>2199</v>
      </c>
      <c r="AC38" s="1352" t="s">
        <v>2132</v>
      </c>
      <c r="AD38" s="33">
        <v>2009</v>
      </c>
      <c r="AE38" s="33">
        <v>2010</v>
      </c>
      <c r="AF38" s="33">
        <v>2011</v>
      </c>
      <c r="AG38" s="33">
        <v>2012</v>
      </c>
      <c r="AH38" s="33">
        <v>2013</v>
      </c>
      <c r="AI38" s="33">
        <v>2014</v>
      </c>
      <c r="AJ38" s="33">
        <v>2015</v>
      </c>
      <c r="AK38" s="33">
        <v>2016</v>
      </c>
      <c r="AL38" s="33">
        <v>2017</v>
      </c>
      <c r="AM38" s="33">
        <v>2018</v>
      </c>
      <c r="AN38" s="33">
        <v>2019</v>
      </c>
      <c r="AO38" s="33">
        <v>2020</v>
      </c>
    </row>
    <row r="39" spans="1:41" x14ac:dyDescent="0.25">
      <c r="AC39" t="s">
        <v>2133</v>
      </c>
      <c r="AD39" s="1318">
        <v>1454.224976</v>
      </c>
      <c r="AE39" s="1354">
        <v>1714.900024</v>
      </c>
      <c r="AF39" s="1354">
        <v>1780.5679929999999</v>
      </c>
      <c r="AG39" s="1354">
        <v>1865.8905030000001</v>
      </c>
      <c r="AH39" s="1354">
        <v>2019.4467770000001</v>
      </c>
      <c r="AI39" s="1354">
        <v>2273.0847170000002</v>
      </c>
      <c r="AJ39" s="1354">
        <v>2449.1054690000001</v>
      </c>
      <c r="AK39" s="1354">
        <v>2593.3764649999998</v>
      </c>
      <c r="AL39" s="1354">
        <v>2701.0756839999999</v>
      </c>
      <c r="AM39" s="1354">
        <v>2767.0651859999998</v>
      </c>
      <c r="AN39" s="1354">
        <v>2848.7309570000002</v>
      </c>
      <c r="AO39" s="1354">
        <v>2921.631836</v>
      </c>
    </row>
    <row r="40" spans="1:41" ht="15.75" thickBot="1" x14ac:dyDescent="0.3">
      <c r="AC40" s="33"/>
      <c r="AD40" s="1353"/>
      <c r="AE40" s="1353"/>
      <c r="AF40" s="1353"/>
      <c r="AG40" s="1353"/>
      <c r="AH40" s="1353"/>
      <c r="AI40" s="1353"/>
      <c r="AJ40" s="1353"/>
      <c r="AK40" s="1353"/>
      <c r="AL40" s="1353"/>
      <c r="AM40" s="1353"/>
      <c r="AN40" s="1353"/>
      <c r="AO40" s="1353"/>
    </row>
    <row r="41" spans="1:41" ht="33" customHeight="1" x14ac:dyDescent="0.25">
      <c r="A41" s="81"/>
      <c r="B41" s="81"/>
      <c r="C41" s="2824" t="s">
        <v>479</v>
      </c>
      <c r="D41" s="2825"/>
      <c r="E41" s="82" t="s">
        <v>480</v>
      </c>
      <c r="F41" s="81"/>
      <c r="G41" s="81"/>
      <c r="H41" s="81"/>
      <c r="I41" s="81"/>
      <c r="J41" s="2824" t="s">
        <v>481</v>
      </c>
      <c r="K41" s="2825"/>
      <c r="L41" s="83" t="s">
        <v>482</v>
      </c>
      <c r="M41" s="2824" t="s">
        <v>483</v>
      </c>
      <c r="N41" s="2825"/>
      <c r="O41" s="82" t="s">
        <v>482</v>
      </c>
      <c r="AC41" s="33"/>
    </row>
    <row r="42" spans="1:41" x14ac:dyDescent="0.25">
      <c r="A42" s="81"/>
      <c r="B42" s="84"/>
      <c r="C42" s="85" t="s">
        <v>484</v>
      </c>
      <c r="D42" s="84"/>
      <c r="E42" s="86" t="s">
        <v>485</v>
      </c>
      <c r="F42" s="81"/>
      <c r="G42" s="81"/>
      <c r="H42" s="81"/>
      <c r="I42" s="81"/>
      <c r="J42" s="87" t="s">
        <v>486</v>
      </c>
      <c r="K42" s="84"/>
      <c r="L42" s="88" t="s">
        <v>482</v>
      </c>
      <c r="M42" s="87" t="s">
        <v>486</v>
      </c>
      <c r="N42" s="84"/>
      <c r="O42" s="89" t="s">
        <v>482</v>
      </c>
      <c r="AD42" s="1318"/>
      <c r="AE42" s="1318"/>
      <c r="AF42" s="1318"/>
      <c r="AG42" s="1318"/>
      <c r="AH42" s="1318"/>
      <c r="AI42" s="1318"/>
      <c r="AJ42" s="1318"/>
      <c r="AK42" s="1318"/>
      <c r="AL42" s="1318"/>
      <c r="AM42" s="1318"/>
      <c r="AN42" s="1318"/>
      <c r="AO42" s="1318"/>
    </row>
    <row r="43" spans="1:41" x14ac:dyDescent="0.25">
      <c r="A43" s="81"/>
      <c r="B43" s="84"/>
      <c r="C43" s="85" t="s">
        <v>487</v>
      </c>
      <c r="D43" s="90"/>
      <c r="E43" s="86" t="s">
        <v>480</v>
      </c>
      <c r="F43" s="81"/>
      <c r="G43" s="81"/>
      <c r="H43" s="81"/>
      <c r="I43" s="81"/>
      <c r="J43" s="87" t="s">
        <v>488</v>
      </c>
      <c r="K43" s="90"/>
      <c r="L43" s="88" t="s">
        <v>489</v>
      </c>
      <c r="M43" s="87" t="s">
        <v>490</v>
      </c>
      <c r="N43" s="90"/>
      <c r="O43" s="89" t="s">
        <v>491</v>
      </c>
    </row>
    <row r="44" spans="1:41" ht="15.75" thickBot="1" x14ac:dyDescent="0.3">
      <c r="A44" s="81"/>
      <c r="B44" s="84"/>
      <c r="C44" s="91" t="s">
        <v>492</v>
      </c>
      <c r="D44" s="92"/>
      <c r="E44" s="93" t="s">
        <v>493</v>
      </c>
      <c r="F44" s="81"/>
      <c r="G44" s="81"/>
      <c r="H44" s="81"/>
      <c r="I44" s="81"/>
      <c r="J44" s="91" t="s">
        <v>494</v>
      </c>
      <c r="K44" s="92"/>
      <c r="L44" s="94" t="s">
        <v>495</v>
      </c>
      <c r="M44" s="95" t="s">
        <v>496</v>
      </c>
      <c r="N44" s="81"/>
      <c r="O44" s="96" t="s">
        <v>489</v>
      </c>
    </row>
    <row r="45" spans="1:41" ht="15.75" thickBot="1" x14ac:dyDescent="0.3">
      <c r="A45" s="81"/>
      <c r="B45" s="81"/>
      <c r="C45" s="81"/>
      <c r="D45" s="81"/>
      <c r="E45" s="81"/>
      <c r="F45" s="81"/>
      <c r="G45" s="81"/>
      <c r="H45" s="81"/>
      <c r="I45" s="81"/>
      <c r="J45" s="81"/>
      <c r="K45" s="81"/>
      <c r="L45" s="81"/>
      <c r="M45" s="91" t="s">
        <v>494</v>
      </c>
      <c r="N45" s="92"/>
      <c r="O45" s="97" t="s">
        <v>495</v>
      </c>
    </row>
    <row r="48" spans="1:41" x14ac:dyDescent="0.25">
      <c r="G48" s="98" t="s">
        <v>497</v>
      </c>
      <c r="H48" s="99"/>
      <c r="I48" s="99"/>
      <c r="J48" s="99"/>
      <c r="K48" s="100" t="s">
        <v>2198</v>
      </c>
      <c r="L48" s="101"/>
      <c r="M48" s="101"/>
      <c r="N48" s="101"/>
      <c r="O48" s="101"/>
    </row>
    <row r="49" spans="7:15" x14ac:dyDescent="0.25">
      <c r="G49" s="98" t="s">
        <v>498</v>
      </c>
      <c r="H49" s="99"/>
      <c r="I49" s="99"/>
      <c r="J49" s="99"/>
      <c r="K49" s="100" t="s">
        <v>499</v>
      </c>
      <c r="L49" s="101"/>
      <c r="M49" s="101"/>
      <c r="N49" s="101"/>
      <c r="O49" s="101"/>
    </row>
    <row r="50" spans="7:15" x14ac:dyDescent="0.25">
      <c r="K50" s="102"/>
      <c r="L50" s="101"/>
      <c r="M50" s="101"/>
      <c r="N50" s="101"/>
      <c r="O50" s="101"/>
    </row>
    <row r="51" spans="7:15" x14ac:dyDescent="0.25">
      <c r="K51" s="101"/>
      <c r="L51" s="101"/>
      <c r="M51" s="101"/>
      <c r="N51" s="101"/>
      <c r="O51" s="101"/>
    </row>
    <row r="52" spans="7:15" x14ac:dyDescent="0.25">
      <c r="K52" s="100" t="s">
        <v>500</v>
      </c>
      <c r="L52" s="101"/>
      <c r="M52" s="101"/>
      <c r="N52" s="101"/>
      <c r="O52" s="101"/>
    </row>
    <row r="53" spans="7:15" x14ac:dyDescent="0.25">
      <c r="K53" s="100" t="s">
        <v>501</v>
      </c>
      <c r="L53" s="101"/>
      <c r="M53" s="101"/>
      <c r="N53" s="101"/>
      <c r="O53" s="101"/>
    </row>
    <row r="54" spans="7:15" x14ac:dyDescent="0.25">
      <c r="K54" s="100" t="s">
        <v>502</v>
      </c>
      <c r="L54" s="101"/>
      <c r="M54" s="101"/>
      <c r="N54" s="101"/>
      <c r="O54" s="101"/>
    </row>
    <row r="55" spans="7:15" x14ac:dyDescent="0.25">
      <c r="K55" s="100" t="s">
        <v>503</v>
      </c>
      <c r="L55" s="101"/>
      <c r="M55" s="101"/>
      <c r="N55" s="101"/>
      <c r="O55" s="101"/>
    </row>
  </sheetData>
  <mergeCells count="9">
    <mergeCell ref="W3:X3"/>
    <mergeCell ref="K4:L4"/>
    <mergeCell ref="N4:O4"/>
    <mergeCell ref="C41:D41"/>
    <mergeCell ref="J41:K41"/>
    <mergeCell ref="M41:N41"/>
    <mergeCell ref="B3:I3"/>
    <mergeCell ref="K3:O3"/>
    <mergeCell ref="Q3:U3"/>
  </mergeCells>
  <dataValidations count="3">
    <dataValidation type="list" allowBlank="1" showInputMessage="1" showErrorMessage="1" sqref="O41">
      <formula1>$O$42:$O$45</formula1>
    </dataValidation>
    <dataValidation type="list" allowBlank="1" showInputMessage="1" showErrorMessage="1" sqref="L41">
      <formula1>$L$42:$L$44</formula1>
    </dataValidation>
    <dataValidation type="list" allowBlank="1" showInputMessage="1" showErrorMessage="1" sqref="E41">
      <formula1>$E$42:$E$44</formula1>
    </dataValidation>
  </dataValidations>
  <hyperlinks>
    <hyperlink ref="AB28"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48"/>
  <sheetViews>
    <sheetView workbookViewId="0">
      <selection activeCell="D15" sqref="D15:D20"/>
    </sheetView>
  </sheetViews>
  <sheetFormatPr defaultRowHeight="15" x14ac:dyDescent="0.25"/>
  <cols>
    <col min="1" max="1" width="12.7109375" customWidth="1"/>
    <col min="2" max="2" width="15.42578125" customWidth="1"/>
    <col min="3" max="3" width="15.5703125" customWidth="1"/>
    <col min="4" max="4" width="13.85546875" customWidth="1"/>
    <col min="6" max="7" width="12" bestFit="1" customWidth="1"/>
  </cols>
  <sheetData>
    <row r="1" spans="1:7" x14ac:dyDescent="0.25">
      <c r="A1" s="33" t="s">
        <v>549</v>
      </c>
    </row>
    <row r="3" spans="1:7" ht="39" x14ac:dyDescent="0.25">
      <c r="A3" s="105" t="s">
        <v>433</v>
      </c>
      <c r="B3" s="106" t="s">
        <v>550</v>
      </c>
      <c r="C3" s="106" t="s">
        <v>551</v>
      </c>
      <c r="D3" s="106" t="s">
        <v>552</v>
      </c>
      <c r="F3" s="319" t="s">
        <v>1451</v>
      </c>
      <c r="G3" s="319" t="s">
        <v>1452</v>
      </c>
    </row>
    <row r="4" spans="1:7" x14ac:dyDescent="0.25">
      <c r="A4" s="105"/>
      <c r="B4" s="106"/>
      <c r="C4" s="106"/>
      <c r="D4" s="106"/>
    </row>
    <row r="5" spans="1:7" x14ac:dyDescent="0.25">
      <c r="A5" s="51">
        <v>2005</v>
      </c>
      <c r="B5" s="107">
        <v>300000</v>
      </c>
      <c r="C5" s="108"/>
      <c r="D5" s="109">
        <f>B5/C35</f>
        <v>15000</v>
      </c>
    </row>
    <row r="6" spans="1:7" x14ac:dyDescent="0.25">
      <c r="A6" s="51">
        <v>2006</v>
      </c>
      <c r="B6" s="109">
        <f>D6*$C$35</f>
        <v>305000</v>
      </c>
      <c r="C6" s="110">
        <f>(D6-D5)/D5</f>
        <v>1.6666666666666666E-2</v>
      </c>
      <c r="D6" s="109">
        <f>D5+250</f>
        <v>15250</v>
      </c>
    </row>
    <row r="7" spans="1:7" x14ac:dyDescent="0.25">
      <c r="A7" s="51">
        <v>2007</v>
      </c>
      <c r="B7" s="109">
        <f t="shared" ref="B7:B25" si="0">D7*$C$35</f>
        <v>310000</v>
      </c>
      <c r="C7" s="110">
        <f t="shared" ref="C7:C25" si="1">(D7-D6)/D6</f>
        <v>1.6393442622950821E-2</v>
      </c>
      <c r="D7" s="109">
        <f t="shared" ref="D7:D25" si="2">D6+250</f>
        <v>15500</v>
      </c>
    </row>
    <row r="8" spans="1:7" x14ac:dyDescent="0.25">
      <c r="A8" s="51">
        <v>2008</v>
      </c>
      <c r="B8" s="109">
        <f t="shared" si="0"/>
        <v>315000</v>
      </c>
      <c r="C8" s="110">
        <f t="shared" si="1"/>
        <v>1.6129032258064516E-2</v>
      </c>
      <c r="D8" s="109">
        <f t="shared" si="2"/>
        <v>15750</v>
      </c>
    </row>
    <row r="9" spans="1:7" x14ac:dyDescent="0.25">
      <c r="A9" s="51">
        <v>2009</v>
      </c>
      <c r="B9" s="109">
        <f t="shared" si="0"/>
        <v>320000</v>
      </c>
      <c r="C9" s="110">
        <f t="shared" si="1"/>
        <v>1.5873015873015872E-2</v>
      </c>
      <c r="D9" s="109">
        <f t="shared" si="2"/>
        <v>16000</v>
      </c>
    </row>
    <row r="10" spans="1:7" x14ac:dyDescent="0.25">
      <c r="A10" s="51">
        <v>2010</v>
      </c>
      <c r="B10" s="109">
        <f t="shared" si="0"/>
        <v>325000</v>
      </c>
      <c r="C10" s="110">
        <f t="shared" si="1"/>
        <v>1.5625E-2</v>
      </c>
      <c r="D10" s="109">
        <f t="shared" si="2"/>
        <v>16250</v>
      </c>
    </row>
    <row r="11" spans="1:7" x14ac:dyDescent="0.25">
      <c r="A11" s="51">
        <v>2011</v>
      </c>
      <c r="B11" s="109">
        <f t="shared" si="0"/>
        <v>330000</v>
      </c>
      <c r="C11" s="110">
        <f t="shared" si="1"/>
        <v>1.5384615384615385E-2</v>
      </c>
      <c r="D11" s="109">
        <f t="shared" si="2"/>
        <v>16500</v>
      </c>
    </row>
    <row r="12" spans="1:7" x14ac:dyDescent="0.25">
      <c r="A12" s="51">
        <v>2012</v>
      </c>
      <c r="B12" s="109">
        <f t="shared" si="0"/>
        <v>335000</v>
      </c>
      <c r="C12" s="110">
        <f t="shared" si="1"/>
        <v>1.5151515151515152E-2</v>
      </c>
      <c r="D12" s="109">
        <f t="shared" si="2"/>
        <v>16750</v>
      </c>
    </row>
    <row r="13" spans="1:7" x14ac:dyDescent="0.25">
      <c r="A13" s="51">
        <v>2013</v>
      </c>
      <c r="B13" s="109">
        <f t="shared" si="0"/>
        <v>340000</v>
      </c>
      <c r="C13" s="110">
        <f t="shared" si="1"/>
        <v>1.4925373134328358E-2</v>
      </c>
      <c r="D13" s="109">
        <f t="shared" si="2"/>
        <v>17000</v>
      </c>
    </row>
    <row r="14" spans="1:7" x14ac:dyDescent="0.25">
      <c r="A14" s="51">
        <v>2014</v>
      </c>
      <c r="B14" s="109">
        <f t="shared" si="0"/>
        <v>345000</v>
      </c>
      <c r="C14" s="110">
        <f t="shared" si="1"/>
        <v>1.4705882352941176E-2</v>
      </c>
      <c r="D14" s="109">
        <f t="shared" si="2"/>
        <v>17250</v>
      </c>
    </row>
    <row r="15" spans="1:7" x14ac:dyDescent="0.25">
      <c r="A15" s="51">
        <v>2015</v>
      </c>
      <c r="B15" s="109">
        <f t="shared" si="0"/>
        <v>350000</v>
      </c>
      <c r="C15" s="110">
        <f t="shared" si="1"/>
        <v>1.4492753623188406E-2</v>
      </c>
      <c r="D15" s="109">
        <f t="shared" si="2"/>
        <v>17500</v>
      </c>
    </row>
    <row r="16" spans="1:7" x14ac:dyDescent="0.25">
      <c r="A16" s="51">
        <v>2016</v>
      </c>
      <c r="B16" s="109">
        <f t="shared" si="0"/>
        <v>355000</v>
      </c>
      <c r="C16" s="110">
        <f t="shared" si="1"/>
        <v>1.4285714285714285E-2</v>
      </c>
      <c r="D16" s="109">
        <f t="shared" si="2"/>
        <v>17750</v>
      </c>
    </row>
    <row r="17" spans="1:12" x14ac:dyDescent="0.25">
      <c r="A17" s="51">
        <v>2017</v>
      </c>
      <c r="B17" s="109">
        <f t="shared" si="0"/>
        <v>360000</v>
      </c>
      <c r="C17" s="110">
        <f t="shared" si="1"/>
        <v>1.4084507042253521E-2</v>
      </c>
      <c r="D17" s="109">
        <f t="shared" si="2"/>
        <v>18000</v>
      </c>
    </row>
    <row r="18" spans="1:12" x14ac:dyDescent="0.25">
      <c r="A18" s="51">
        <v>2018</v>
      </c>
      <c r="B18" s="109">
        <f t="shared" si="0"/>
        <v>365000</v>
      </c>
      <c r="C18" s="110">
        <f t="shared" si="1"/>
        <v>1.3888888888888888E-2</v>
      </c>
      <c r="D18" s="109">
        <f t="shared" si="2"/>
        <v>18250</v>
      </c>
    </row>
    <row r="19" spans="1:12" x14ac:dyDescent="0.25">
      <c r="A19" s="51">
        <v>2019</v>
      </c>
      <c r="B19" s="109">
        <f t="shared" si="0"/>
        <v>370000</v>
      </c>
      <c r="C19" s="110">
        <f t="shared" si="1"/>
        <v>1.3698630136986301E-2</v>
      </c>
      <c r="D19" s="109">
        <f t="shared" si="2"/>
        <v>18500</v>
      </c>
    </row>
    <row r="20" spans="1:12" x14ac:dyDescent="0.25">
      <c r="A20" s="51">
        <v>2020</v>
      </c>
      <c r="B20" s="109">
        <f t="shared" si="0"/>
        <v>375000</v>
      </c>
      <c r="C20" s="110">
        <f t="shared" si="1"/>
        <v>1.3513513513513514E-2</v>
      </c>
      <c r="D20" s="109">
        <f t="shared" si="2"/>
        <v>18750</v>
      </c>
    </row>
    <row r="21" spans="1:12" x14ac:dyDescent="0.25">
      <c r="A21" s="51">
        <v>2021</v>
      </c>
      <c r="B21" s="109">
        <f t="shared" si="0"/>
        <v>380000</v>
      </c>
      <c r="C21" s="110">
        <f t="shared" si="1"/>
        <v>1.3333333333333334E-2</v>
      </c>
      <c r="D21" s="109">
        <f t="shared" si="2"/>
        <v>19000</v>
      </c>
    </row>
    <row r="22" spans="1:12" x14ac:dyDescent="0.25">
      <c r="A22" s="51">
        <v>2022</v>
      </c>
      <c r="B22" s="109">
        <f t="shared" si="0"/>
        <v>385000</v>
      </c>
      <c r="C22" s="110">
        <f t="shared" si="1"/>
        <v>1.3157894736842105E-2</v>
      </c>
      <c r="D22" s="109">
        <f t="shared" si="2"/>
        <v>19250</v>
      </c>
    </row>
    <row r="23" spans="1:12" x14ac:dyDescent="0.25">
      <c r="A23" s="51">
        <v>2023</v>
      </c>
      <c r="B23" s="109">
        <f t="shared" si="0"/>
        <v>390000</v>
      </c>
      <c r="C23" s="110">
        <f t="shared" si="1"/>
        <v>1.2987012987012988E-2</v>
      </c>
      <c r="D23" s="109">
        <f t="shared" si="2"/>
        <v>19500</v>
      </c>
    </row>
    <row r="24" spans="1:12" x14ac:dyDescent="0.25">
      <c r="A24" s="51">
        <v>2024</v>
      </c>
      <c r="B24" s="109">
        <f t="shared" si="0"/>
        <v>395000</v>
      </c>
      <c r="C24" s="110">
        <f t="shared" si="1"/>
        <v>1.282051282051282E-2</v>
      </c>
      <c r="D24" s="109">
        <f t="shared" si="2"/>
        <v>19750</v>
      </c>
    </row>
    <row r="25" spans="1:12" x14ac:dyDescent="0.25">
      <c r="A25" s="51">
        <v>2025</v>
      </c>
      <c r="B25" s="109">
        <f t="shared" si="0"/>
        <v>400000</v>
      </c>
      <c r="C25" s="110">
        <f t="shared" si="1"/>
        <v>1.2658227848101266E-2</v>
      </c>
      <c r="D25" s="109">
        <f t="shared" si="2"/>
        <v>20000</v>
      </c>
    </row>
    <row r="27" spans="1:12" x14ac:dyDescent="0.25">
      <c r="D27" s="33"/>
    </row>
    <row r="28" spans="1:12" x14ac:dyDescent="0.25">
      <c r="A28" s="51"/>
      <c r="B28" s="111" t="s">
        <v>553</v>
      </c>
      <c r="C28" s="112" t="s">
        <v>554</v>
      </c>
    </row>
    <row r="29" spans="1:12" x14ac:dyDescent="0.25">
      <c r="A29" s="2829" t="s">
        <v>555</v>
      </c>
      <c r="B29" s="2830"/>
      <c r="C29" s="113" t="s">
        <v>556</v>
      </c>
      <c r="I29" s="1"/>
      <c r="J29" s="1"/>
      <c r="K29" s="1"/>
      <c r="L29" s="1"/>
    </row>
    <row r="30" spans="1:12" x14ac:dyDescent="0.25">
      <c r="A30" s="2831" t="s">
        <v>557</v>
      </c>
      <c r="B30" s="2831"/>
      <c r="C30" s="114" t="s">
        <v>493</v>
      </c>
      <c r="I30" s="1"/>
      <c r="J30" s="1"/>
      <c r="K30" s="1"/>
      <c r="L30" s="1"/>
    </row>
    <row r="31" spans="1:12" x14ac:dyDescent="0.25">
      <c r="A31" s="81"/>
      <c r="B31" s="81"/>
      <c r="C31" s="81"/>
      <c r="I31" s="115"/>
      <c r="J31" s="115"/>
      <c r="K31" s="115"/>
      <c r="L31" s="1"/>
    </row>
    <row r="32" spans="1:12" x14ac:dyDescent="0.25">
      <c r="A32" s="51"/>
      <c r="B32" s="116" t="s">
        <v>558</v>
      </c>
      <c r="C32" s="117">
        <v>300000</v>
      </c>
      <c r="I32" s="1"/>
      <c r="J32" s="118"/>
      <c r="K32" s="1"/>
      <c r="L32" s="1"/>
    </row>
    <row r="33" spans="1:12" x14ac:dyDescent="0.25">
      <c r="A33" s="2831" t="s">
        <v>559</v>
      </c>
      <c r="B33" s="2831"/>
      <c r="C33" s="51"/>
      <c r="I33" s="1"/>
      <c r="J33" s="1"/>
      <c r="K33" s="1"/>
      <c r="L33" s="1"/>
    </row>
    <row r="34" spans="1:12" x14ac:dyDescent="0.25">
      <c r="A34" s="81"/>
      <c r="B34" s="81"/>
      <c r="C34" s="81"/>
      <c r="I34" s="1"/>
      <c r="J34" s="1"/>
      <c r="K34" s="1"/>
      <c r="L34" s="1"/>
    </row>
    <row r="35" spans="1:12" x14ac:dyDescent="0.25">
      <c r="A35" s="51"/>
      <c r="B35" s="116" t="s">
        <v>560</v>
      </c>
      <c r="C35" s="119">
        <v>20</v>
      </c>
      <c r="I35" s="1"/>
      <c r="J35" s="1"/>
      <c r="K35" s="1"/>
      <c r="L35" s="1"/>
    </row>
    <row r="36" spans="1:12" x14ac:dyDescent="0.25">
      <c r="A36" s="2831" t="s">
        <v>561</v>
      </c>
      <c r="B36" s="2831"/>
      <c r="C36" s="119" t="s">
        <v>489</v>
      </c>
      <c r="I36" s="1"/>
      <c r="J36" s="1"/>
      <c r="K36" s="1"/>
      <c r="L36" s="1"/>
    </row>
    <row r="37" spans="1:12" x14ac:dyDescent="0.25">
      <c r="A37" s="2831" t="s">
        <v>562</v>
      </c>
      <c r="B37" s="2831"/>
      <c r="C37" s="119" t="s">
        <v>563</v>
      </c>
    </row>
    <row r="48" spans="1:12" x14ac:dyDescent="0.25">
      <c r="A48" t="s">
        <v>564</v>
      </c>
      <c r="B48" t="s">
        <v>565</v>
      </c>
    </row>
  </sheetData>
  <mergeCells count="5">
    <mergeCell ref="A29:B29"/>
    <mergeCell ref="A30:B30"/>
    <mergeCell ref="A33:B33"/>
    <mergeCell ref="A36:B36"/>
    <mergeCell ref="A37:B37"/>
  </mergeCells>
  <pageMargins left="0.7" right="0.7" top="0.75" bottom="0.75" header="0.3" footer="0.3"/>
  <pageSetup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P1232"/>
  <sheetViews>
    <sheetView zoomScaleNormal="100" workbookViewId="0">
      <pane xSplit="2" ySplit="2" topLeftCell="J19" activePane="bottomRight" state="frozen"/>
      <selection pane="topRight" activeCell="C1" sqref="C1"/>
      <selection pane="bottomLeft" activeCell="A3" sqref="A3"/>
      <selection pane="bottomRight" activeCell="K217" sqref="K217"/>
    </sheetView>
  </sheetViews>
  <sheetFormatPr defaultRowHeight="15" x14ac:dyDescent="0.25"/>
  <cols>
    <col min="1" max="1" width="14.7109375" style="132" customWidth="1"/>
    <col min="2" max="2" width="81.7109375" bestFit="1" customWidth="1"/>
    <col min="3" max="54" width="14.7109375" customWidth="1"/>
    <col min="55" max="55" width="30" bestFit="1" customWidth="1"/>
    <col min="56" max="56" width="29" bestFit="1" customWidth="1"/>
    <col min="57" max="57" width="28.5703125" bestFit="1" customWidth="1"/>
    <col min="58" max="58" width="29.42578125" bestFit="1" customWidth="1"/>
    <col min="59" max="59" width="26.5703125" bestFit="1" customWidth="1"/>
    <col min="60" max="60" width="28.140625" bestFit="1" customWidth="1"/>
    <col min="61" max="61" width="29" bestFit="1" customWidth="1"/>
    <col min="62" max="62" width="26.28515625" bestFit="1" customWidth="1"/>
    <col min="63" max="63" width="23.28515625" bestFit="1" customWidth="1"/>
    <col min="67" max="67" width="10" bestFit="1" customWidth="1"/>
  </cols>
  <sheetData>
    <row r="2" spans="1:68" s="134" customFormat="1" ht="64.5" customHeight="1" x14ac:dyDescent="0.25">
      <c r="A2" s="134" t="s">
        <v>582</v>
      </c>
      <c r="B2" s="134" t="s">
        <v>412</v>
      </c>
      <c r="C2" s="134" t="str">
        <f>RIMS_lists!C1</f>
        <v>USA-National</v>
      </c>
      <c r="D2" s="134" t="str">
        <f>RIMS_lists!D1</f>
        <v>AK</v>
      </c>
      <c r="E2" s="134" t="str">
        <f>RIMS_lists!E1</f>
        <v>AL</v>
      </c>
      <c r="F2" s="134" t="str">
        <f>RIMS_lists!F1</f>
        <v>AR</v>
      </c>
      <c r="G2" s="134" t="str">
        <f>RIMS_lists!G1</f>
        <v>AZ</v>
      </c>
      <c r="H2" s="134" t="str">
        <f>RIMS_lists!H1</f>
        <v>CA</v>
      </c>
      <c r="I2" s="134" t="str">
        <f>RIMS_lists!I1</f>
        <v>CO</v>
      </c>
      <c r="J2" s="134" t="str">
        <f>RIMS_lists!J1</f>
        <v>CT</v>
      </c>
      <c r="K2" s="134" t="e">
        <f>RIMS_lists!#REF!</f>
        <v>#REF!</v>
      </c>
      <c r="L2" s="134" t="str">
        <f>RIMS_lists!K1</f>
        <v>DE</v>
      </c>
      <c r="M2" s="134" t="str">
        <f>RIMS_lists!L1</f>
        <v>FL</v>
      </c>
      <c r="N2" s="134" t="str">
        <f>RIMS_lists!M1</f>
        <v>GA</v>
      </c>
      <c r="O2" s="134" t="str">
        <f>RIMS_lists!N1</f>
        <v>HI</v>
      </c>
      <c r="P2" s="134" t="str">
        <f>RIMS_lists!O1</f>
        <v>IA</v>
      </c>
      <c r="Q2" s="134" t="str">
        <f>RIMS_lists!P1</f>
        <v>ID</v>
      </c>
      <c r="R2" s="134" t="str">
        <f>RIMS_lists!Q1</f>
        <v>IL</v>
      </c>
      <c r="S2" s="134" t="str">
        <f>RIMS_lists!R1</f>
        <v>IN</v>
      </c>
      <c r="T2" s="134" t="str">
        <f>RIMS_lists!S1</f>
        <v>KS</v>
      </c>
      <c r="U2" s="134" t="str">
        <f>RIMS_lists!T1</f>
        <v>KY</v>
      </c>
      <c r="V2" s="134" t="str">
        <f>RIMS_lists!U1</f>
        <v>LA</v>
      </c>
      <c r="W2" s="134" t="str">
        <f>RIMS_lists!V1</f>
        <v>MA</v>
      </c>
      <c r="X2" s="134" t="str">
        <f>RIMS_lists!W1</f>
        <v>MD</v>
      </c>
      <c r="Y2" s="134" t="str">
        <f>RIMS_lists!X1</f>
        <v>ME</v>
      </c>
      <c r="Z2" s="134" t="str">
        <f>RIMS_lists!Y1</f>
        <v>MI</v>
      </c>
      <c r="AA2" s="134" t="str">
        <f>RIMS_lists!Z1</f>
        <v>MN</v>
      </c>
      <c r="AB2" s="134" t="str">
        <f>RIMS_lists!AA1</f>
        <v>MO</v>
      </c>
      <c r="AC2" s="134" t="str">
        <f>RIMS_lists!AB1</f>
        <v>MS</v>
      </c>
      <c r="AD2" s="134" t="str">
        <f>RIMS_lists!AC1</f>
        <v>MT</v>
      </c>
      <c r="AE2" s="134" t="str">
        <f>RIMS_lists!AD1</f>
        <v>NC</v>
      </c>
      <c r="AF2" s="134" t="str">
        <f>RIMS_lists!AE1</f>
        <v>ND</v>
      </c>
      <c r="AG2" s="134" t="str">
        <f>RIMS_lists!AF1</f>
        <v>NE</v>
      </c>
      <c r="AH2" s="134" t="str">
        <f>RIMS_lists!AG1</f>
        <v>NH</v>
      </c>
      <c r="AI2" s="134" t="str">
        <f>RIMS_lists!AH1</f>
        <v>NJ</v>
      </c>
      <c r="AJ2" s="134" t="str">
        <f>RIMS_lists!AI1</f>
        <v>NM</v>
      </c>
      <c r="AK2" s="134" t="str">
        <f>RIMS_lists!AJ1</f>
        <v>NV</v>
      </c>
      <c r="AL2" s="134" t="str">
        <f>RIMS_lists!AK1</f>
        <v>NY</v>
      </c>
      <c r="AM2" s="134" t="str">
        <f>RIMS_lists!AL1</f>
        <v>OH</v>
      </c>
      <c r="AN2" s="134" t="str">
        <f>RIMS_lists!AM1</f>
        <v>OK</v>
      </c>
      <c r="AO2" s="134" t="str">
        <f>RIMS_lists!AN1</f>
        <v>OR</v>
      </c>
      <c r="AP2" s="134" t="str">
        <f>RIMS_lists!AO1</f>
        <v>PA</v>
      </c>
      <c r="AQ2" s="134" t="str">
        <f>RIMS_lists!AP1</f>
        <v>RI</v>
      </c>
      <c r="AR2" s="134" t="str">
        <f>RIMS_lists!AQ1</f>
        <v>SC</v>
      </c>
      <c r="AS2" s="134" t="str">
        <f>RIMS_lists!AR1</f>
        <v>SD</v>
      </c>
      <c r="AT2" s="134" t="str">
        <f>RIMS_lists!AS1</f>
        <v>TN</v>
      </c>
      <c r="AU2" s="134" t="str">
        <f>RIMS_lists!AT1</f>
        <v>TX</v>
      </c>
      <c r="AV2" s="134" t="str">
        <f>RIMS_lists!AU1</f>
        <v>UT</v>
      </c>
      <c r="AW2" s="134" t="str">
        <f>RIMS_lists!AV1</f>
        <v>VA</v>
      </c>
      <c r="AX2" s="134" t="str">
        <f>RIMS_lists!AW1</f>
        <v>VT</v>
      </c>
      <c r="AY2" s="134" t="str">
        <f>RIMS_lists!AX1</f>
        <v>WA</v>
      </c>
      <c r="AZ2" s="134" t="str">
        <f>RIMS_lists!AY1</f>
        <v>WI</v>
      </c>
      <c r="BA2" s="134" t="str">
        <f>RIMS_lists!AZ1</f>
        <v>WV</v>
      </c>
      <c r="BB2" s="134" t="str">
        <f>RIMS_lists!BA1</f>
        <v>WY</v>
      </c>
      <c r="BC2" s="134" t="str">
        <f>RIMS_lists!BB1</f>
        <v>Census Division 1-New England</v>
      </c>
      <c r="BD2" s="134" t="str">
        <f>RIMS_lists!BC1</f>
        <v>Census Division 2-Middle Atlantic</v>
      </c>
      <c r="BE2" s="134" t="str">
        <f>RIMS_lists!BD1</f>
        <v>Census Division 3-East North Central</v>
      </c>
      <c r="BF2" s="134" t="str">
        <f>RIMS_lists!BE1</f>
        <v>Census Division 4-West North Central</v>
      </c>
      <c r="BG2" s="134" t="str">
        <f>RIMS_lists!BF1</f>
        <v>Census Division 5-South Atlantic</v>
      </c>
      <c r="BH2" s="134" t="str">
        <f>RIMS_lists!BG1</f>
        <v>Census Division 6-East South Central</v>
      </c>
      <c r="BI2" s="134" t="str">
        <f>RIMS_lists!BH1</f>
        <v>Census Division 7-West South Central</v>
      </c>
      <c r="BJ2" s="134" t="str">
        <f>RIMS_lists!BI1</f>
        <v>Census Division 8-Mountain</v>
      </c>
      <c r="BK2" s="134" t="str">
        <f>RIMS_lists!BJ1</f>
        <v>Census Division 9-Pacific</v>
      </c>
      <c r="BL2" s="134" t="s">
        <v>1521</v>
      </c>
      <c r="BM2" s="134" t="s">
        <v>952</v>
      </c>
      <c r="BN2" s="134" t="s">
        <v>951</v>
      </c>
      <c r="BO2" s="134" t="s">
        <v>1522</v>
      </c>
      <c r="BP2" s="134" t="s">
        <v>950</v>
      </c>
    </row>
    <row r="3" spans="1:68" s="11" customFormat="1" x14ac:dyDescent="0.25">
      <c r="A3" s="134"/>
      <c r="B3" s="133" t="s">
        <v>796</v>
      </c>
    </row>
    <row r="4" spans="1:68" s="11" customFormat="1" ht="42" customHeight="1" x14ac:dyDescent="0.25">
      <c r="A4" s="306" t="s">
        <v>617</v>
      </c>
      <c r="B4" s="307" t="s">
        <v>618</v>
      </c>
      <c r="C4" s="307" t="s">
        <v>619</v>
      </c>
      <c r="D4" s="307" t="s">
        <v>620</v>
      </c>
      <c r="E4" s="307" t="s">
        <v>621</v>
      </c>
      <c r="F4" s="307" t="s">
        <v>622</v>
      </c>
      <c r="G4" s="307" t="s">
        <v>623</v>
      </c>
      <c r="H4" s="307" t="s">
        <v>624</v>
      </c>
      <c r="I4" s="307" t="s">
        <v>625</v>
      </c>
      <c r="J4" s="307" t="s">
        <v>626</v>
      </c>
      <c r="K4" s="307" t="s">
        <v>627</v>
      </c>
      <c r="L4" s="307" t="s">
        <v>628</v>
      </c>
      <c r="M4" s="307" t="s">
        <v>629</v>
      </c>
      <c r="N4" s="307" t="s">
        <v>630</v>
      </c>
      <c r="O4" s="307" t="s">
        <v>631</v>
      </c>
      <c r="P4" s="307" t="s">
        <v>632</v>
      </c>
      <c r="Q4" s="307" t="s">
        <v>633</v>
      </c>
      <c r="R4" s="307" t="s">
        <v>634</v>
      </c>
      <c r="S4" s="307" t="s">
        <v>635</v>
      </c>
      <c r="T4" s="307" t="s">
        <v>636</v>
      </c>
      <c r="U4" s="307" t="s">
        <v>637</v>
      </c>
      <c r="V4" s="307" t="s">
        <v>638</v>
      </c>
      <c r="W4" s="307" t="s">
        <v>639</v>
      </c>
      <c r="X4" s="307" t="s">
        <v>640</v>
      </c>
      <c r="Y4" s="307" t="s">
        <v>641</v>
      </c>
      <c r="Z4" s="307" t="s">
        <v>642</v>
      </c>
      <c r="AA4" s="307" t="s">
        <v>643</v>
      </c>
      <c r="AB4" s="307" t="s">
        <v>644</v>
      </c>
      <c r="AC4" s="307" t="s">
        <v>645</v>
      </c>
      <c r="AD4" s="307" t="s">
        <v>646</v>
      </c>
      <c r="AE4" s="307" t="s">
        <v>647</v>
      </c>
      <c r="AF4" s="307" t="s">
        <v>648</v>
      </c>
      <c r="AG4" s="307" t="s">
        <v>649</v>
      </c>
      <c r="AH4" s="307" t="s">
        <v>650</v>
      </c>
      <c r="AI4" s="307" t="s">
        <v>651</v>
      </c>
      <c r="AJ4" s="307" t="s">
        <v>652</v>
      </c>
      <c r="AK4" s="307" t="s">
        <v>653</v>
      </c>
      <c r="AL4" s="307" t="s">
        <v>654</v>
      </c>
      <c r="AM4" s="307" t="s">
        <v>655</v>
      </c>
      <c r="AN4" s="307" t="s">
        <v>656</v>
      </c>
      <c r="AO4" s="307" t="s">
        <v>657</v>
      </c>
      <c r="AP4" s="307" t="s">
        <v>658</v>
      </c>
      <c r="AQ4" s="307" t="s">
        <v>659</v>
      </c>
      <c r="AR4" s="307" t="s">
        <v>660</v>
      </c>
      <c r="AS4" s="307" t="s">
        <v>661</v>
      </c>
      <c r="AT4" s="307" t="s">
        <v>662</v>
      </c>
      <c r="AU4" s="307" t="s">
        <v>663</v>
      </c>
      <c r="AV4" s="307" t="s">
        <v>664</v>
      </c>
      <c r="AW4" s="307" t="s">
        <v>665</v>
      </c>
      <c r="AX4" s="307" t="s">
        <v>666</v>
      </c>
      <c r="AY4" s="307" t="s">
        <v>667</v>
      </c>
      <c r="AZ4" s="307" t="s">
        <v>668</v>
      </c>
      <c r="BA4" s="307" t="s">
        <v>669</v>
      </c>
      <c r="BB4" s="307" t="s">
        <v>670</v>
      </c>
      <c r="BC4" s="307" t="s">
        <v>671</v>
      </c>
      <c r="BD4" s="307" t="s">
        <v>672</v>
      </c>
      <c r="BE4" s="307" t="s">
        <v>673</v>
      </c>
      <c r="BF4" s="307" t="s">
        <v>674</v>
      </c>
      <c r="BG4" s="307" t="s">
        <v>675</v>
      </c>
      <c r="BH4" s="307" t="s">
        <v>676</v>
      </c>
      <c r="BI4" s="307" t="s">
        <v>677</v>
      </c>
      <c r="BJ4" s="307" t="s">
        <v>678</v>
      </c>
      <c r="BK4" s="307" t="s">
        <v>679</v>
      </c>
    </row>
    <row r="5" spans="1:68" x14ac:dyDescent="0.25">
      <c r="A5" s="306" t="s">
        <v>680</v>
      </c>
      <c r="B5" s="307" t="s">
        <v>681</v>
      </c>
      <c r="C5" s="307">
        <v>2.8698440000000001</v>
      </c>
      <c r="D5" s="307">
        <v>3.124422</v>
      </c>
      <c r="E5" s="307">
        <v>6.3075910000000004</v>
      </c>
      <c r="F5" s="307">
        <v>3.354244</v>
      </c>
      <c r="G5" s="307">
        <v>4.9871869999999996</v>
      </c>
      <c r="H5" s="307">
        <v>2.5340720000000001</v>
      </c>
      <c r="I5" s="307">
        <v>4.7207879999999998</v>
      </c>
      <c r="J5" s="307">
        <v>3.7302420000000001</v>
      </c>
      <c r="K5" s="307">
        <v>0</v>
      </c>
      <c r="L5" s="307">
        <v>1.7201630000000001</v>
      </c>
      <c r="M5" s="307">
        <v>5.3332689999999996</v>
      </c>
      <c r="N5" s="307">
        <v>2.7791049999999999</v>
      </c>
      <c r="O5" s="307">
        <v>4.8820269999999999</v>
      </c>
      <c r="P5" s="307">
        <v>1.8508279999999999</v>
      </c>
      <c r="Q5" s="307">
        <v>2.694531</v>
      </c>
      <c r="R5" s="307">
        <v>1.8451500000000001</v>
      </c>
      <c r="S5" s="307">
        <v>2.4307759999999998</v>
      </c>
      <c r="T5" s="307">
        <v>2.8220459999999998</v>
      </c>
      <c r="U5" s="307">
        <v>7.4744419999999998</v>
      </c>
      <c r="V5" s="307">
        <v>4.7593459999999999</v>
      </c>
      <c r="W5" s="307">
        <v>3.5642390000000002</v>
      </c>
      <c r="X5" s="307">
        <v>4.8285590000000003</v>
      </c>
      <c r="Y5" s="307">
        <v>3.7045669999999999</v>
      </c>
      <c r="Z5" s="307">
        <v>4.5461799999999997</v>
      </c>
      <c r="AA5" s="307">
        <v>2.0306989999999998</v>
      </c>
      <c r="AB5" s="307">
        <v>5.0627959999999996</v>
      </c>
      <c r="AC5" s="307">
        <v>6.122039</v>
      </c>
      <c r="AD5" s="307">
        <v>7.2124649999999999</v>
      </c>
      <c r="AE5" s="307">
        <v>3.5740400000000001</v>
      </c>
      <c r="AF5" s="307">
        <v>1.835726</v>
      </c>
      <c r="AG5" s="307">
        <v>1.846109</v>
      </c>
      <c r="AH5" s="307">
        <v>3.492489</v>
      </c>
      <c r="AI5" s="307">
        <v>6.5140919999999998</v>
      </c>
      <c r="AJ5" s="307">
        <v>3.052171</v>
      </c>
      <c r="AK5" s="307">
        <v>3.5823939999999999</v>
      </c>
      <c r="AL5" s="307">
        <v>5.6612819999999999</v>
      </c>
      <c r="AM5" s="307">
        <v>7.0859420000000002</v>
      </c>
      <c r="AN5" s="307">
        <v>3.6085199999999999</v>
      </c>
      <c r="AO5" s="307">
        <v>6.9492070000000004</v>
      </c>
      <c r="AP5" s="307">
        <v>7.4262949999999996</v>
      </c>
      <c r="AQ5" s="307">
        <v>3.6334379999999999</v>
      </c>
      <c r="AR5" s="307">
        <v>7.40238</v>
      </c>
      <c r="AS5" s="307">
        <v>1.84927</v>
      </c>
      <c r="AT5" s="307">
        <v>3.6320269999999999</v>
      </c>
      <c r="AU5" s="307">
        <v>3.6857839999999999</v>
      </c>
      <c r="AV5" s="307">
        <v>3.6757939999999998</v>
      </c>
      <c r="AW5" s="307">
        <v>3.6090260000000001</v>
      </c>
      <c r="AX5" s="307">
        <v>3.638525</v>
      </c>
      <c r="AY5" s="307">
        <v>4.1521670000000004</v>
      </c>
      <c r="AZ5" s="307">
        <v>4.8010539999999997</v>
      </c>
      <c r="BA5" s="307">
        <v>3.6345890000000001</v>
      </c>
      <c r="BB5" s="307">
        <v>3.423349</v>
      </c>
      <c r="BC5" s="307">
        <v>3.6978840000000002</v>
      </c>
      <c r="BD5" s="307">
        <v>6.7634629999999998</v>
      </c>
      <c r="BE5" s="307">
        <v>2.4292029999999998</v>
      </c>
      <c r="BF5" s="307">
        <v>2.3776449999999998</v>
      </c>
      <c r="BG5" s="307">
        <v>3.7407050000000002</v>
      </c>
      <c r="BH5" s="307">
        <v>6.0163859999999998</v>
      </c>
      <c r="BI5" s="307">
        <v>3.6213030000000002</v>
      </c>
      <c r="BJ5" s="307">
        <v>4.0073999999999996</v>
      </c>
      <c r="BK5" s="307">
        <v>3.657524</v>
      </c>
      <c r="BL5">
        <f>COUNTIFS($C5:$BK5, 0)</f>
        <v>1</v>
      </c>
      <c r="BM5">
        <f>AVERAGEIF($C5:$BK5, "&lt;&gt;0", $C5:$BK5)</f>
        <v>4.0894799999999991</v>
      </c>
      <c r="BN5">
        <f>MAX($C5:$BK5)</f>
        <v>7.4744419999999998</v>
      </c>
      <c r="BO5">
        <f t="array" ref="BO5">MIN(IF($C5:$BK5&gt;0, $C5:$BK5))</f>
        <v>1.7201630000000001</v>
      </c>
      <c r="BP5">
        <f>MEDIAN($C5:$BK5)</f>
        <v>3.638525</v>
      </c>
    </row>
    <row r="6" spans="1:68" x14ac:dyDescent="0.25">
      <c r="A6" s="306">
        <v>111200</v>
      </c>
      <c r="B6" s="307" t="s">
        <v>11</v>
      </c>
      <c r="C6" s="307">
        <v>6.1047789999999997</v>
      </c>
      <c r="D6" s="307">
        <v>5.4980570000000002</v>
      </c>
      <c r="E6" s="307">
        <v>6.3756069999999996</v>
      </c>
      <c r="F6" s="307">
        <v>10.20585</v>
      </c>
      <c r="G6" s="307">
        <v>8.5690249999999999</v>
      </c>
      <c r="H6" s="307">
        <v>3.7334000000000001</v>
      </c>
      <c r="I6" s="307">
        <v>9.0580490000000005</v>
      </c>
      <c r="J6" s="307">
        <v>10.800610000000001</v>
      </c>
      <c r="K6" s="307">
        <v>0</v>
      </c>
      <c r="L6" s="307">
        <v>2.8019720000000001</v>
      </c>
      <c r="M6" s="307">
        <v>10.51487</v>
      </c>
      <c r="N6" s="307">
        <v>6.96312</v>
      </c>
      <c r="O6" s="307">
        <v>14.489649999999999</v>
      </c>
      <c r="P6" s="307">
        <v>3.9814569999999998</v>
      </c>
      <c r="Q6" s="307">
        <v>3.960731</v>
      </c>
      <c r="R6" s="307">
        <v>3.6554950000000002</v>
      </c>
      <c r="S6" s="307">
        <v>7.312487</v>
      </c>
      <c r="T6" s="307">
        <v>6.8159999999999998</v>
      </c>
      <c r="U6" s="307">
        <v>6.4504780000000004</v>
      </c>
      <c r="V6" s="307">
        <v>6.4503149999999998</v>
      </c>
      <c r="W6" s="307">
        <v>13.87372</v>
      </c>
      <c r="X6" s="307">
        <v>13.208460000000001</v>
      </c>
      <c r="Y6" s="307">
        <v>14.10258</v>
      </c>
      <c r="Z6" s="307">
        <v>7.7981410000000002</v>
      </c>
      <c r="AA6" s="307">
        <v>3.0155099999999999</v>
      </c>
      <c r="AB6" s="307">
        <v>13.005559999999999</v>
      </c>
      <c r="AC6" s="307">
        <v>12.42892</v>
      </c>
      <c r="AD6" s="307">
        <v>14.790609999999999</v>
      </c>
      <c r="AE6" s="307">
        <v>7.6990610000000004</v>
      </c>
      <c r="AF6" s="307">
        <v>2.990329</v>
      </c>
      <c r="AG6" s="307">
        <v>3.0071859999999999</v>
      </c>
      <c r="AH6" s="307">
        <v>6.1459669999999997</v>
      </c>
      <c r="AI6" s="307">
        <v>9.1210520000000006</v>
      </c>
      <c r="AJ6" s="307">
        <v>6.8656790000000001</v>
      </c>
      <c r="AK6" s="307">
        <v>5.6094910000000002</v>
      </c>
      <c r="AL6" s="307">
        <v>10.100860000000001</v>
      </c>
      <c r="AM6" s="307">
        <v>12.91689</v>
      </c>
      <c r="AN6" s="307">
        <v>6.3499780000000001</v>
      </c>
      <c r="AO6" s="307">
        <v>11.26207</v>
      </c>
      <c r="AP6" s="307">
        <v>6.4087379999999996</v>
      </c>
      <c r="AQ6" s="307">
        <v>6.3937210000000002</v>
      </c>
      <c r="AR6" s="307">
        <v>13.14615</v>
      </c>
      <c r="AS6" s="307">
        <v>3.012419</v>
      </c>
      <c r="AT6" s="307">
        <v>6.3914049999999998</v>
      </c>
      <c r="AU6" s="307">
        <v>6.4862469999999997</v>
      </c>
      <c r="AV6" s="307">
        <v>6.4685319999999997</v>
      </c>
      <c r="AW6" s="307">
        <v>6.3511290000000002</v>
      </c>
      <c r="AX6" s="307">
        <v>14.68088</v>
      </c>
      <c r="AY6" s="307">
        <v>4.3256790000000001</v>
      </c>
      <c r="AZ6" s="307">
        <v>6.1738619999999997</v>
      </c>
      <c r="BA6" s="307">
        <v>6.3957879999999996</v>
      </c>
      <c r="BB6" s="307">
        <v>6.024038</v>
      </c>
      <c r="BC6" s="307">
        <v>12.289350000000001</v>
      </c>
      <c r="BD6" s="307">
        <v>8.8327550000000006</v>
      </c>
      <c r="BE6" s="307">
        <v>7.0983229999999997</v>
      </c>
      <c r="BF6" s="307">
        <v>3.3773710000000001</v>
      </c>
      <c r="BG6" s="307">
        <v>8.7457720000000005</v>
      </c>
      <c r="BH6" s="307">
        <v>7.1406200000000002</v>
      </c>
      <c r="BI6" s="307">
        <v>6.6236300000000004</v>
      </c>
      <c r="BJ6" s="307">
        <v>6.5342950000000002</v>
      </c>
      <c r="BK6" s="307">
        <v>4.2804989999999998</v>
      </c>
      <c r="BL6">
        <f t="shared" ref="BL6:BL69" si="0">COUNTIFS($C6:$BK6, 0)</f>
        <v>1</v>
      </c>
      <c r="BM6">
        <f t="shared" ref="BM6:BM69" si="1">AVERAGEIF($C6:$BK6, "&lt;&gt;0", $C6:$BK6)</f>
        <v>7.7535869833333342</v>
      </c>
      <c r="BN6">
        <f t="shared" ref="BN6:BN69" si="2">MAX($C6:$BK6)</f>
        <v>14.790609999999999</v>
      </c>
      <c r="BO6">
        <f t="array" ref="BO6">MIN(IF($C6:$BK6&gt;0, $C6:$BK6))</f>
        <v>2.8019720000000001</v>
      </c>
      <c r="BP6">
        <f t="shared" ref="BP6:BP69" si="3">MEDIAN($C6:$BK6)</f>
        <v>6.5342950000000002</v>
      </c>
    </row>
    <row r="7" spans="1:68" x14ac:dyDescent="0.25">
      <c r="A7" s="306" t="s">
        <v>682</v>
      </c>
      <c r="B7" s="307" t="s">
        <v>683</v>
      </c>
      <c r="C7" s="307">
        <v>8.5387540000000008</v>
      </c>
      <c r="D7" s="307">
        <v>8.2475380000000005</v>
      </c>
      <c r="E7" s="307">
        <v>15.513450000000001</v>
      </c>
      <c r="F7" s="307">
        <v>7.8591090000000001</v>
      </c>
      <c r="G7" s="307">
        <v>12.50812</v>
      </c>
      <c r="H7" s="307">
        <v>6.4047130000000001</v>
      </c>
      <c r="I7" s="307">
        <v>14.497730000000001</v>
      </c>
      <c r="J7" s="307">
        <v>13.10069</v>
      </c>
      <c r="K7" s="307">
        <v>0</v>
      </c>
      <c r="L7" s="307">
        <v>5.8306779999999998</v>
      </c>
      <c r="M7" s="307">
        <v>10.475009999999999</v>
      </c>
      <c r="N7" s="307">
        <v>7.5965540000000003</v>
      </c>
      <c r="O7" s="307">
        <v>15.6074</v>
      </c>
      <c r="P7" s="307">
        <v>10.621460000000001</v>
      </c>
      <c r="Q7" s="307">
        <v>7.6532580000000001</v>
      </c>
      <c r="R7" s="307">
        <v>6.3106390000000001</v>
      </c>
      <c r="S7" s="307">
        <v>8.6983549999999994</v>
      </c>
      <c r="T7" s="307">
        <v>15.46921</v>
      </c>
      <c r="U7" s="307">
        <v>9.675516</v>
      </c>
      <c r="V7" s="307">
        <v>13.886369999999999</v>
      </c>
      <c r="W7" s="307">
        <v>11.9038</v>
      </c>
      <c r="X7" s="307">
        <v>15.1432</v>
      </c>
      <c r="Y7" s="307">
        <v>14.67145</v>
      </c>
      <c r="Z7" s="307">
        <v>11.658659999999999</v>
      </c>
      <c r="AA7" s="307">
        <v>8.4359610000000007</v>
      </c>
      <c r="AB7" s="307">
        <v>13.717689999999999</v>
      </c>
      <c r="AC7" s="307">
        <v>14.853260000000001</v>
      </c>
      <c r="AD7" s="307">
        <v>9.721425</v>
      </c>
      <c r="AE7" s="307">
        <v>10.14894</v>
      </c>
      <c r="AF7" s="307">
        <v>9.6213060000000006</v>
      </c>
      <c r="AG7" s="307">
        <v>6.2576559999999999</v>
      </c>
      <c r="AH7" s="307">
        <v>9.2187420000000007</v>
      </c>
      <c r="AI7" s="307">
        <v>10.77905</v>
      </c>
      <c r="AJ7" s="307">
        <v>6.7997500000000004</v>
      </c>
      <c r="AK7" s="307">
        <v>6.1156860000000002</v>
      </c>
      <c r="AL7" s="307">
        <v>13.119149999999999</v>
      </c>
      <c r="AM7" s="307">
        <v>15.5641</v>
      </c>
      <c r="AN7" s="307">
        <v>9.5253209999999999</v>
      </c>
      <c r="AO7" s="307">
        <v>15.35901</v>
      </c>
      <c r="AP7" s="307">
        <v>9.6131010000000003</v>
      </c>
      <c r="AQ7" s="307">
        <v>9.591132</v>
      </c>
      <c r="AR7" s="307">
        <v>9.5823870000000007</v>
      </c>
      <c r="AS7" s="307">
        <v>9.6918319999999998</v>
      </c>
      <c r="AT7" s="307">
        <v>9.5871650000000006</v>
      </c>
      <c r="AU7" s="307">
        <v>9.7290179999999999</v>
      </c>
      <c r="AV7" s="307">
        <v>9.702833</v>
      </c>
      <c r="AW7" s="307">
        <v>9.5264589999999991</v>
      </c>
      <c r="AX7" s="307">
        <v>14.58466</v>
      </c>
      <c r="AY7" s="307">
        <v>9.0906199999999995</v>
      </c>
      <c r="AZ7" s="307">
        <v>7.4762810000000002</v>
      </c>
      <c r="BA7" s="307">
        <v>9.5942699999999999</v>
      </c>
      <c r="BB7" s="307">
        <v>9.0367460000000008</v>
      </c>
      <c r="BC7" s="307">
        <v>12.569800000000001</v>
      </c>
      <c r="BD7" s="307">
        <v>11.48246</v>
      </c>
      <c r="BE7" s="307">
        <v>9.7502429999999993</v>
      </c>
      <c r="BF7" s="307">
        <v>9.9278870000000001</v>
      </c>
      <c r="BG7" s="307">
        <v>9.5394220000000001</v>
      </c>
      <c r="BH7" s="307">
        <v>10.82385</v>
      </c>
      <c r="BI7" s="307">
        <v>9.6431850000000008</v>
      </c>
      <c r="BJ7" s="307">
        <v>9.0909499999999994</v>
      </c>
      <c r="BK7" s="307">
        <v>7.6075549999999996</v>
      </c>
      <c r="BL7">
        <f t="shared" si="0"/>
        <v>1</v>
      </c>
      <c r="BM7">
        <f t="shared" si="1"/>
        <v>10.472509449999999</v>
      </c>
      <c r="BN7">
        <f t="shared" si="2"/>
        <v>15.6074</v>
      </c>
      <c r="BO7">
        <f t="array" ref="BO7">MIN(IF($C7:$BK7&gt;0, $C7:$BK7))</f>
        <v>5.8306779999999998</v>
      </c>
      <c r="BP7">
        <f t="shared" si="3"/>
        <v>9.675516</v>
      </c>
    </row>
    <row r="8" spans="1:68" x14ac:dyDescent="0.25">
      <c r="A8" s="306">
        <v>111400</v>
      </c>
      <c r="B8" s="307" t="s">
        <v>12</v>
      </c>
      <c r="C8" s="307">
        <v>10.11279</v>
      </c>
      <c r="D8" s="307">
        <v>8.3507499999999997</v>
      </c>
      <c r="E8" s="307">
        <v>14.992369999999999</v>
      </c>
      <c r="F8" s="307">
        <v>7.5443959999999999</v>
      </c>
      <c r="G8" s="307">
        <v>13.693199999999999</v>
      </c>
      <c r="H8" s="307">
        <v>6.113048</v>
      </c>
      <c r="I8" s="307">
        <v>13.69852</v>
      </c>
      <c r="J8" s="307">
        <v>13.75318</v>
      </c>
      <c r="K8" s="307">
        <v>0</v>
      </c>
      <c r="L8" s="307">
        <v>5.4668349999999997</v>
      </c>
      <c r="M8" s="307">
        <v>12.11774</v>
      </c>
      <c r="N8" s="307">
        <v>6.1344310000000002</v>
      </c>
      <c r="O8" s="307">
        <v>9.8650629999999992</v>
      </c>
      <c r="P8" s="307">
        <v>5.8822859999999997</v>
      </c>
      <c r="Q8" s="307">
        <v>7.3382199999999997</v>
      </c>
      <c r="R8" s="307">
        <v>5.8639450000000002</v>
      </c>
      <c r="S8" s="307">
        <v>8.8298909999999999</v>
      </c>
      <c r="T8" s="307">
        <v>10.339869999999999</v>
      </c>
      <c r="U8" s="307">
        <v>9.7974789999999992</v>
      </c>
      <c r="V8" s="307">
        <v>12.469379999999999</v>
      </c>
      <c r="W8" s="307">
        <v>15.664529999999999</v>
      </c>
      <c r="X8" s="307">
        <v>11.63917</v>
      </c>
      <c r="Y8" s="307">
        <v>16.281870000000001</v>
      </c>
      <c r="Z8" s="307">
        <v>11.469010000000001</v>
      </c>
      <c r="AA8" s="307">
        <v>5.9060969999999999</v>
      </c>
      <c r="AB8" s="307">
        <v>13.10618</v>
      </c>
      <c r="AC8" s="307">
        <v>12.77976</v>
      </c>
      <c r="AD8" s="307">
        <v>9.8436950000000003</v>
      </c>
      <c r="AE8" s="307">
        <v>8.3090709999999994</v>
      </c>
      <c r="AF8" s="307">
        <v>6.9103659999999998</v>
      </c>
      <c r="AG8" s="307">
        <v>5.8670410000000004</v>
      </c>
      <c r="AH8" s="307">
        <v>9.3352249999999994</v>
      </c>
      <c r="AI8" s="307">
        <v>11.14967</v>
      </c>
      <c r="AJ8" s="307">
        <v>9.3325589999999998</v>
      </c>
      <c r="AK8" s="307">
        <v>6.7080789999999997</v>
      </c>
      <c r="AL8" s="307">
        <v>12.15997</v>
      </c>
      <c r="AM8" s="307">
        <v>16.176860000000001</v>
      </c>
      <c r="AN8" s="307">
        <v>9.6449320000000007</v>
      </c>
      <c r="AO8" s="307">
        <v>15.963340000000001</v>
      </c>
      <c r="AP8" s="307">
        <v>16.00628</v>
      </c>
      <c r="AQ8" s="307">
        <v>15.969110000000001</v>
      </c>
      <c r="AR8" s="307">
        <v>15.95506</v>
      </c>
      <c r="AS8" s="307">
        <v>5.8772640000000003</v>
      </c>
      <c r="AT8" s="307">
        <v>9.7078419999999994</v>
      </c>
      <c r="AU8" s="307">
        <v>9.8516049999999993</v>
      </c>
      <c r="AV8" s="307">
        <v>9.8245529999999999</v>
      </c>
      <c r="AW8" s="307">
        <v>9.6463239999999999</v>
      </c>
      <c r="AX8" s="307">
        <v>15.99118</v>
      </c>
      <c r="AY8" s="307">
        <v>8.5934449999999991</v>
      </c>
      <c r="AZ8" s="307">
        <v>15.325089999999999</v>
      </c>
      <c r="BA8" s="307">
        <v>9.7146740000000005</v>
      </c>
      <c r="BB8" s="307">
        <v>9.1500959999999996</v>
      </c>
      <c r="BC8" s="307">
        <v>14.21748</v>
      </c>
      <c r="BD8" s="307">
        <v>14.65127</v>
      </c>
      <c r="BE8" s="307">
        <v>10.11462</v>
      </c>
      <c r="BF8" s="307">
        <v>7.765415</v>
      </c>
      <c r="BG8" s="307">
        <v>9.9451450000000001</v>
      </c>
      <c r="BH8" s="307">
        <v>10.870900000000001</v>
      </c>
      <c r="BI8" s="307">
        <v>9.8953939999999996</v>
      </c>
      <c r="BJ8" s="307">
        <v>11.158799999999999</v>
      </c>
      <c r="BK8" s="307">
        <v>8.4534939999999992</v>
      </c>
      <c r="BL8">
        <f t="shared" si="0"/>
        <v>1</v>
      </c>
      <c r="BM8">
        <f t="shared" si="1"/>
        <v>10.654930999999998</v>
      </c>
      <c r="BN8">
        <f t="shared" si="2"/>
        <v>16.281870000000001</v>
      </c>
      <c r="BO8">
        <f t="array" ref="BO8">MIN(IF($C8:$BK8&gt;0, $C8:$BK8))</f>
        <v>5.4668349999999997</v>
      </c>
      <c r="BP8">
        <f t="shared" si="3"/>
        <v>9.8650629999999992</v>
      </c>
    </row>
    <row r="9" spans="1:68" x14ac:dyDescent="0.25">
      <c r="A9" s="306">
        <v>111910</v>
      </c>
      <c r="B9" s="307" t="s">
        <v>13</v>
      </c>
      <c r="C9" s="307">
        <v>6.1460119999999998</v>
      </c>
      <c r="D9" s="307">
        <v>0</v>
      </c>
      <c r="E9" s="307">
        <v>0</v>
      </c>
      <c r="F9" s="307">
        <v>0</v>
      </c>
      <c r="G9" s="307">
        <v>0</v>
      </c>
      <c r="H9" s="307">
        <v>0</v>
      </c>
      <c r="I9" s="307">
        <v>0</v>
      </c>
      <c r="J9" s="307">
        <v>6.2007380000000003</v>
      </c>
      <c r="K9" s="307">
        <v>0</v>
      </c>
      <c r="L9" s="307">
        <v>0</v>
      </c>
      <c r="M9" s="307">
        <v>8.8049859999999995</v>
      </c>
      <c r="N9" s="307">
        <v>4.4789329999999996</v>
      </c>
      <c r="O9" s="307">
        <v>0</v>
      </c>
      <c r="P9" s="307">
        <v>0</v>
      </c>
      <c r="Q9" s="307">
        <v>0</v>
      </c>
      <c r="R9" s="307">
        <v>5.9058489999999999</v>
      </c>
      <c r="S9" s="307">
        <v>5.8813259999999996</v>
      </c>
      <c r="T9" s="307">
        <v>0</v>
      </c>
      <c r="U9" s="307">
        <v>9.3350819999999999</v>
      </c>
      <c r="V9" s="307">
        <v>0</v>
      </c>
      <c r="W9" s="307">
        <v>5.7455759999999998</v>
      </c>
      <c r="X9" s="307">
        <v>5.7728429999999999</v>
      </c>
      <c r="Y9" s="307">
        <v>0</v>
      </c>
      <c r="Z9" s="307">
        <v>0</v>
      </c>
      <c r="AA9" s="307">
        <v>0</v>
      </c>
      <c r="AB9" s="307">
        <v>5.8070589999999997</v>
      </c>
      <c r="AC9" s="307">
        <v>0</v>
      </c>
      <c r="AD9" s="307">
        <v>0</v>
      </c>
      <c r="AE9" s="307">
        <v>5.5327440000000001</v>
      </c>
      <c r="AF9" s="307">
        <v>0</v>
      </c>
      <c r="AG9" s="307">
        <v>0</v>
      </c>
      <c r="AH9" s="307">
        <v>0</v>
      </c>
      <c r="AI9" s="307">
        <v>0</v>
      </c>
      <c r="AJ9" s="307">
        <v>0</v>
      </c>
      <c r="AK9" s="307">
        <v>0</v>
      </c>
      <c r="AL9" s="307">
        <v>0</v>
      </c>
      <c r="AM9" s="307">
        <v>7.3401779999999999</v>
      </c>
      <c r="AN9" s="307">
        <v>0</v>
      </c>
      <c r="AO9" s="307">
        <v>0</v>
      </c>
      <c r="AP9" s="307">
        <v>5.870959</v>
      </c>
      <c r="AQ9" s="307">
        <v>0</v>
      </c>
      <c r="AR9" s="307">
        <v>5.8521390000000002</v>
      </c>
      <c r="AS9" s="307">
        <v>0</v>
      </c>
      <c r="AT9" s="307">
        <v>5.8553240000000004</v>
      </c>
      <c r="AU9" s="307">
        <v>0</v>
      </c>
      <c r="AV9" s="307">
        <v>0</v>
      </c>
      <c r="AW9" s="307">
        <v>5.818092</v>
      </c>
      <c r="AX9" s="307">
        <v>0</v>
      </c>
      <c r="AY9" s="307">
        <v>0</v>
      </c>
      <c r="AZ9" s="307">
        <v>5.9688819999999998</v>
      </c>
      <c r="BA9" s="307">
        <v>5.8592820000000003</v>
      </c>
      <c r="BB9" s="307">
        <v>0</v>
      </c>
      <c r="BC9" s="307">
        <v>6.2729590000000002</v>
      </c>
      <c r="BD9" s="307">
        <v>5.9226549999999998</v>
      </c>
      <c r="BE9" s="307">
        <v>5.9674519999999998</v>
      </c>
      <c r="BF9" s="307">
        <v>5.6552800000000003</v>
      </c>
      <c r="BG9" s="307">
        <v>5.4366250000000003</v>
      </c>
      <c r="BH9" s="307">
        <v>8.7973169999999996</v>
      </c>
      <c r="BI9" s="307">
        <v>0</v>
      </c>
      <c r="BJ9" s="307">
        <v>0</v>
      </c>
      <c r="BK9" s="307">
        <v>0</v>
      </c>
      <c r="BL9">
        <f t="shared" si="0"/>
        <v>37</v>
      </c>
      <c r="BM9">
        <f t="shared" si="1"/>
        <v>6.2595121666666644</v>
      </c>
      <c r="BN9">
        <f t="shared" si="2"/>
        <v>9.3350819999999999</v>
      </c>
      <c r="BO9">
        <f t="array" ref="BO9">MIN(IF($C9:$BK9&gt;0, $C9:$BK9))</f>
        <v>4.4789329999999996</v>
      </c>
      <c r="BP9">
        <f t="shared" si="3"/>
        <v>0</v>
      </c>
    </row>
    <row r="10" spans="1:68" x14ac:dyDescent="0.25">
      <c r="A10" s="306">
        <v>111920</v>
      </c>
      <c r="B10" s="307" t="s">
        <v>14</v>
      </c>
      <c r="C10" s="307">
        <v>5.6242150000000004</v>
      </c>
      <c r="D10" s="307">
        <v>0</v>
      </c>
      <c r="E10" s="307">
        <v>7.5564200000000001</v>
      </c>
      <c r="F10" s="307">
        <v>4.0221030000000004</v>
      </c>
      <c r="G10" s="307">
        <v>6.9628860000000001</v>
      </c>
      <c r="H10" s="307">
        <v>3.6335989999999998</v>
      </c>
      <c r="I10" s="307">
        <v>0</v>
      </c>
      <c r="J10" s="307">
        <v>0</v>
      </c>
      <c r="K10" s="307">
        <v>0</v>
      </c>
      <c r="L10" s="307">
        <v>0</v>
      </c>
      <c r="M10" s="307">
        <v>5.9026560000000003</v>
      </c>
      <c r="N10" s="307">
        <v>4.5414729999999999</v>
      </c>
      <c r="O10" s="307">
        <v>0</v>
      </c>
      <c r="P10" s="307">
        <v>0</v>
      </c>
      <c r="Q10" s="307">
        <v>0</v>
      </c>
      <c r="R10" s="307">
        <v>0</v>
      </c>
      <c r="S10" s="307">
        <v>0</v>
      </c>
      <c r="T10" s="307">
        <v>3.5964860000000001</v>
      </c>
      <c r="U10" s="307">
        <v>0</v>
      </c>
      <c r="V10" s="307">
        <v>7.0232869999999998</v>
      </c>
      <c r="W10" s="307">
        <v>0</v>
      </c>
      <c r="X10" s="307">
        <v>0</v>
      </c>
      <c r="Y10" s="307">
        <v>0</v>
      </c>
      <c r="Z10" s="307">
        <v>0</v>
      </c>
      <c r="AA10" s="307">
        <v>0</v>
      </c>
      <c r="AB10" s="307">
        <v>7.4196929999999996</v>
      </c>
      <c r="AC10" s="307">
        <v>6.9727420000000002</v>
      </c>
      <c r="AD10" s="307">
        <v>0</v>
      </c>
      <c r="AE10" s="307">
        <v>5.2454080000000003</v>
      </c>
      <c r="AF10" s="307">
        <v>0</v>
      </c>
      <c r="AG10" s="307">
        <v>0</v>
      </c>
      <c r="AH10" s="307">
        <v>0</v>
      </c>
      <c r="AI10" s="307">
        <v>0</v>
      </c>
      <c r="AJ10" s="307">
        <v>4.7836970000000001</v>
      </c>
      <c r="AK10" s="307">
        <v>0</v>
      </c>
      <c r="AL10" s="307">
        <v>0</v>
      </c>
      <c r="AM10" s="307">
        <v>0</v>
      </c>
      <c r="AN10" s="307">
        <v>5.3520709999999996</v>
      </c>
      <c r="AO10" s="307">
        <v>0</v>
      </c>
      <c r="AP10" s="307">
        <v>0</v>
      </c>
      <c r="AQ10" s="307">
        <v>0</v>
      </c>
      <c r="AR10" s="307">
        <v>5.3841960000000002</v>
      </c>
      <c r="AS10" s="307">
        <v>0</v>
      </c>
      <c r="AT10" s="307">
        <v>5.3870240000000003</v>
      </c>
      <c r="AU10" s="307">
        <v>5.4666819999999996</v>
      </c>
      <c r="AV10" s="307">
        <v>0</v>
      </c>
      <c r="AW10" s="307">
        <v>5.3529140000000002</v>
      </c>
      <c r="AX10" s="307">
        <v>0</v>
      </c>
      <c r="AY10" s="307">
        <v>0</v>
      </c>
      <c r="AZ10" s="307">
        <v>0</v>
      </c>
      <c r="BA10" s="307">
        <v>0</v>
      </c>
      <c r="BB10" s="307">
        <v>0</v>
      </c>
      <c r="BC10" s="307">
        <v>0</v>
      </c>
      <c r="BD10" s="307">
        <v>0</v>
      </c>
      <c r="BE10" s="307">
        <v>0</v>
      </c>
      <c r="BF10" s="307">
        <v>7.5142540000000002</v>
      </c>
      <c r="BG10" s="307">
        <v>4.8338590000000003</v>
      </c>
      <c r="BH10" s="307">
        <v>6.7184699999999999</v>
      </c>
      <c r="BI10" s="307">
        <v>5.3157940000000004</v>
      </c>
      <c r="BJ10" s="307">
        <v>6.8219329999999996</v>
      </c>
      <c r="BK10" s="307">
        <v>3.6337630000000001</v>
      </c>
      <c r="BL10">
        <f t="shared" si="0"/>
        <v>37</v>
      </c>
      <c r="BM10">
        <f t="shared" si="1"/>
        <v>5.6277343749999993</v>
      </c>
      <c r="BN10">
        <f t="shared" si="2"/>
        <v>7.5564200000000001</v>
      </c>
      <c r="BO10">
        <f t="array" ref="BO10">MIN(IF($C10:$BK10&gt;0, $C10:$BK10))</f>
        <v>3.5964860000000001</v>
      </c>
      <c r="BP10">
        <f t="shared" si="3"/>
        <v>0</v>
      </c>
    </row>
    <row r="11" spans="1:68" x14ac:dyDescent="0.25">
      <c r="A11" s="306" t="s">
        <v>684</v>
      </c>
      <c r="B11" s="307" t="s">
        <v>685</v>
      </c>
      <c r="C11" s="307">
        <v>4.5061239999999998</v>
      </c>
      <c r="D11" s="307">
        <v>4.1224379999999998</v>
      </c>
      <c r="E11" s="307">
        <v>8.6817709999999995</v>
      </c>
      <c r="F11" s="307">
        <v>4.6163059999999998</v>
      </c>
      <c r="G11" s="307">
        <v>6.794689</v>
      </c>
      <c r="H11" s="307">
        <v>3.2740689999999999</v>
      </c>
      <c r="I11" s="307">
        <v>7.0258529999999997</v>
      </c>
      <c r="J11" s="307">
        <v>9.1345569999999991</v>
      </c>
      <c r="K11" s="307">
        <v>0</v>
      </c>
      <c r="L11" s="307">
        <v>2.6776219999999999</v>
      </c>
      <c r="M11" s="307">
        <v>4.2557159999999996</v>
      </c>
      <c r="N11" s="307">
        <v>3.814991</v>
      </c>
      <c r="O11" s="307">
        <v>6.9738910000000001</v>
      </c>
      <c r="P11" s="307">
        <v>2.7722899999999999</v>
      </c>
      <c r="Q11" s="307">
        <v>3.0375420000000002</v>
      </c>
      <c r="R11" s="307">
        <v>2.4116430000000002</v>
      </c>
      <c r="S11" s="307">
        <v>4.0985630000000004</v>
      </c>
      <c r="T11" s="307">
        <v>3.7555149999999999</v>
      </c>
      <c r="U11" s="307">
        <v>4.8364560000000001</v>
      </c>
      <c r="V11" s="307">
        <v>6.054462</v>
      </c>
      <c r="W11" s="307">
        <v>8.8991629999999997</v>
      </c>
      <c r="X11" s="307">
        <v>8.8708139999999993</v>
      </c>
      <c r="Y11" s="307">
        <v>4.8879739999999998</v>
      </c>
      <c r="Z11" s="307">
        <v>6.463069</v>
      </c>
      <c r="AA11" s="307">
        <v>2.6262159999999999</v>
      </c>
      <c r="AB11" s="307">
        <v>7.7485039999999996</v>
      </c>
      <c r="AC11" s="307">
        <v>5.5908889999999998</v>
      </c>
      <c r="AD11" s="307">
        <v>7.9377380000000004</v>
      </c>
      <c r="AE11" s="307">
        <v>5.5116779999999999</v>
      </c>
      <c r="AF11" s="307">
        <v>2.399429</v>
      </c>
      <c r="AG11" s="307">
        <v>2.4129130000000001</v>
      </c>
      <c r="AH11" s="307">
        <v>4.6081200000000004</v>
      </c>
      <c r="AI11" s="307">
        <v>5.8069699999999997</v>
      </c>
      <c r="AJ11" s="307">
        <v>4.1782830000000004</v>
      </c>
      <c r="AK11" s="307">
        <v>4.7571570000000003</v>
      </c>
      <c r="AL11" s="307">
        <v>7.6725250000000003</v>
      </c>
      <c r="AM11" s="307">
        <v>10.04562</v>
      </c>
      <c r="AN11" s="307">
        <v>4.7612719999999999</v>
      </c>
      <c r="AO11" s="307">
        <v>8.1407190000000007</v>
      </c>
      <c r="AP11" s="307">
        <v>5.4106069999999997</v>
      </c>
      <c r="AQ11" s="307">
        <v>9.4691620000000007</v>
      </c>
      <c r="AR11" s="307">
        <v>10.63124</v>
      </c>
      <c r="AS11" s="307">
        <v>2.4171079999999998</v>
      </c>
      <c r="AT11" s="307">
        <v>4.792338</v>
      </c>
      <c r="AU11" s="307">
        <v>4.863283</v>
      </c>
      <c r="AV11" s="307">
        <v>10.76501</v>
      </c>
      <c r="AW11" s="307">
        <v>4.7619319999999998</v>
      </c>
      <c r="AX11" s="307">
        <v>7.8907889999999998</v>
      </c>
      <c r="AY11" s="307">
        <v>3.962885</v>
      </c>
      <c r="AZ11" s="307">
        <v>5.903073</v>
      </c>
      <c r="BA11" s="307">
        <v>4.7958040000000004</v>
      </c>
      <c r="BB11" s="307">
        <v>4.5169300000000003</v>
      </c>
      <c r="BC11" s="307">
        <v>6.7563089999999999</v>
      </c>
      <c r="BD11" s="307">
        <v>6.3634700000000004</v>
      </c>
      <c r="BE11" s="307">
        <v>4.3496290000000002</v>
      </c>
      <c r="BF11" s="307">
        <v>2.9490440000000002</v>
      </c>
      <c r="BG11" s="307">
        <v>5.0178250000000002</v>
      </c>
      <c r="BH11" s="307">
        <v>5.7383480000000002</v>
      </c>
      <c r="BI11" s="307">
        <v>5.2831929999999998</v>
      </c>
      <c r="BJ11" s="307">
        <v>4.5478909999999999</v>
      </c>
      <c r="BK11" s="307">
        <v>4.3163489999999998</v>
      </c>
      <c r="BL11">
        <f t="shared" si="0"/>
        <v>1</v>
      </c>
      <c r="BM11">
        <f t="shared" si="1"/>
        <v>5.5277628333333313</v>
      </c>
      <c r="BN11">
        <f t="shared" si="2"/>
        <v>10.76501</v>
      </c>
      <c r="BO11">
        <f t="array" ref="BO11">MIN(IF($C11:$BK11&gt;0, $C11:$BK11))</f>
        <v>2.399429</v>
      </c>
      <c r="BP11">
        <f t="shared" si="3"/>
        <v>4.8364560000000001</v>
      </c>
    </row>
    <row r="12" spans="1:68" x14ac:dyDescent="0.25">
      <c r="A12" s="306">
        <v>112120</v>
      </c>
      <c r="B12" s="307" t="s">
        <v>16</v>
      </c>
      <c r="C12" s="307">
        <v>4.4539289999999996</v>
      </c>
      <c r="D12" s="307">
        <v>4.0573230000000002</v>
      </c>
      <c r="E12" s="307">
        <v>8.7512980000000002</v>
      </c>
      <c r="F12" s="307">
        <v>4.3400319999999999</v>
      </c>
      <c r="G12" s="307">
        <v>6.6873480000000001</v>
      </c>
      <c r="H12" s="307">
        <v>3.0685850000000001</v>
      </c>
      <c r="I12" s="307">
        <v>6.9175190000000004</v>
      </c>
      <c r="J12" s="307">
        <v>7.8780989999999997</v>
      </c>
      <c r="K12" s="307">
        <v>0</v>
      </c>
      <c r="L12" s="307">
        <v>2.6264479999999999</v>
      </c>
      <c r="M12" s="307">
        <v>5.1319679999999996</v>
      </c>
      <c r="N12" s="307">
        <v>3.151116</v>
      </c>
      <c r="O12" s="307">
        <v>9.0745430000000002</v>
      </c>
      <c r="P12" s="307">
        <v>2.5411359999999998</v>
      </c>
      <c r="Q12" s="307">
        <v>3.1145550000000002</v>
      </c>
      <c r="R12" s="307">
        <v>2.5332690000000002</v>
      </c>
      <c r="S12" s="307">
        <v>3.5873759999999999</v>
      </c>
      <c r="T12" s="307">
        <v>3.6801149999999998</v>
      </c>
      <c r="U12" s="307">
        <v>4.7598900000000004</v>
      </c>
      <c r="V12" s="307">
        <v>6.0211969999999999</v>
      </c>
      <c r="W12" s="307">
        <v>8.7629389999999994</v>
      </c>
      <c r="X12" s="307">
        <v>6.9443380000000001</v>
      </c>
      <c r="Y12" s="307">
        <v>9.1084110000000003</v>
      </c>
      <c r="Z12" s="307">
        <v>5.147151</v>
      </c>
      <c r="AA12" s="307">
        <v>2.9761380000000002</v>
      </c>
      <c r="AB12" s="307">
        <v>7.2529789999999998</v>
      </c>
      <c r="AC12" s="307">
        <v>5.8621850000000002</v>
      </c>
      <c r="AD12" s="307">
        <v>9.0549090000000003</v>
      </c>
      <c r="AE12" s="307">
        <v>4.0260210000000001</v>
      </c>
      <c r="AF12" s="307">
        <v>2.52034</v>
      </c>
      <c r="AG12" s="307">
        <v>2.5345369999999998</v>
      </c>
      <c r="AH12" s="307">
        <v>4.5354099999999997</v>
      </c>
      <c r="AI12" s="307">
        <v>5.8427189999999998</v>
      </c>
      <c r="AJ12" s="307">
        <v>4.0757479999999999</v>
      </c>
      <c r="AK12" s="307">
        <v>4.686382</v>
      </c>
      <c r="AL12" s="307">
        <v>6.5614689999999998</v>
      </c>
      <c r="AM12" s="307">
        <v>8.6274259999999998</v>
      </c>
      <c r="AN12" s="307">
        <v>4.6860030000000004</v>
      </c>
      <c r="AO12" s="307">
        <v>7.1911230000000002</v>
      </c>
      <c r="AP12" s="307">
        <v>4.7291759999999998</v>
      </c>
      <c r="AQ12" s="307">
        <v>4.7181749999999996</v>
      </c>
      <c r="AR12" s="307">
        <v>8.9252389999999995</v>
      </c>
      <c r="AS12" s="307">
        <v>2.5388600000000001</v>
      </c>
      <c r="AT12" s="307">
        <v>4.716513</v>
      </c>
      <c r="AU12" s="307">
        <v>4.786435</v>
      </c>
      <c r="AV12" s="307">
        <v>4.7733809999999997</v>
      </c>
      <c r="AW12" s="307">
        <v>4.6865880000000004</v>
      </c>
      <c r="AX12" s="307">
        <v>7.5937400000000004</v>
      </c>
      <c r="AY12" s="307">
        <v>3.5624180000000001</v>
      </c>
      <c r="AZ12" s="307">
        <v>7.1849100000000004</v>
      </c>
      <c r="BA12" s="307">
        <v>4.7199650000000002</v>
      </c>
      <c r="BB12" s="307">
        <v>4.4456300000000004</v>
      </c>
      <c r="BC12" s="307">
        <v>7.4629950000000003</v>
      </c>
      <c r="BD12" s="307">
        <v>5.7839049999999999</v>
      </c>
      <c r="BE12" s="307">
        <v>6.0656790000000003</v>
      </c>
      <c r="BF12" s="307">
        <v>3.0146350000000002</v>
      </c>
      <c r="BG12" s="307">
        <v>4.4910160000000001</v>
      </c>
      <c r="BH12" s="307">
        <v>5.0966480000000001</v>
      </c>
      <c r="BI12" s="307">
        <v>4.7885039999999996</v>
      </c>
      <c r="BJ12" s="307">
        <v>4.3748079999999998</v>
      </c>
      <c r="BK12" s="307">
        <v>3.3810579999999999</v>
      </c>
      <c r="BL12">
        <f t="shared" si="0"/>
        <v>1</v>
      </c>
      <c r="BM12">
        <f t="shared" si="1"/>
        <v>5.2435375333333329</v>
      </c>
      <c r="BN12">
        <f t="shared" si="2"/>
        <v>9.1084110000000003</v>
      </c>
      <c r="BO12">
        <f t="array" ref="BO12">MIN(IF($C12:$BK12&gt;0, $C12:$BK12))</f>
        <v>2.52034</v>
      </c>
      <c r="BP12">
        <f t="shared" si="3"/>
        <v>4.7199650000000002</v>
      </c>
    </row>
    <row r="13" spans="1:68" x14ac:dyDescent="0.25">
      <c r="A13" s="306" t="s">
        <v>686</v>
      </c>
      <c r="B13" s="307" t="s">
        <v>15</v>
      </c>
      <c r="C13" s="307">
        <v>3.3888410000000002</v>
      </c>
      <c r="D13" s="307">
        <v>3.179379</v>
      </c>
      <c r="E13" s="307">
        <v>6.6742840000000001</v>
      </c>
      <c r="F13" s="307">
        <v>3.0095369999999999</v>
      </c>
      <c r="G13" s="307">
        <v>5.0342609999999999</v>
      </c>
      <c r="H13" s="307">
        <v>2.6014780000000002</v>
      </c>
      <c r="I13" s="307">
        <v>5.3723580000000002</v>
      </c>
      <c r="J13" s="307">
        <v>4.548019</v>
      </c>
      <c r="K13" s="307">
        <v>0</v>
      </c>
      <c r="L13" s="307">
        <v>1.8731089999999999</v>
      </c>
      <c r="M13" s="307">
        <v>3.6844600000000001</v>
      </c>
      <c r="N13" s="307">
        <v>2.742769</v>
      </c>
      <c r="O13" s="307">
        <v>6.1759269999999997</v>
      </c>
      <c r="P13" s="307">
        <v>2.0154450000000002</v>
      </c>
      <c r="Q13" s="307">
        <v>2.5343499999999999</v>
      </c>
      <c r="R13" s="307">
        <v>2.0092349999999999</v>
      </c>
      <c r="S13" s="307">
        <v>3.085359</v>
      </c>
      <c r="T13" s="307">
        <v>2.6600760000000001</v>
      </c>
      <c r="U13" s="307">
        <v>6.9950029999999996</v>
      </c>
      <c r="V13" s="307">
        <v>5.6527770000000004</v>
      </c>
      <c r="W13" s="307">
        <v>3.6270120000000001</v>
      </c>
      <c r="X13" s="307">
        <v>5.0626800000000003</v>
      </c>
      <c r="Y13" s="307">
        <v>3.7700089999999999</v>
      </c>
      <c r="Z13" s="307">
        <v>4.0029170000000001</v>
      </c>
      <c r="AA13" s="307">
        <v>2.2527750000000002</v>
      </c>
      <c r="AB13" s="307">
        <v>4.5452919999999999</v>
      </c>
      <c r="AC13" s="307">
        <v>4.1892719999999999</v>
      </c>
      <c r="AD13" s="307">
        <v>7.027901</v>
      </c>
      <c r="AE13" s="307">
        <v>4.1429</v>
      </c>
      <c r="AF13" s="307">
        <v>2.1789640000000001</v>
      </c>
      <c r="AG13" s="307">
        <v>2.0102899999999999</v>
      </c>
      <c r="AH13" s="307">
        <v>3.5540319999999999</v>
      </c>
      <c r="AI13" s="307">
        <v>3.9850479999999999</v>
      </c>
      <c r="AJ13" s="307">
        <v>3.480531</v>
      </c>
      <c r="AK13" s="307">
        <v>5.3309839999999999</v>
      </c>
      <c r="AL13" s="307">
        <v>5.5493959999999998</v>
      </c>
      <c r="AM13" s="307">
        <v>7.0240049999999998</v>
      </c>
      <c r="AN13" s="307">
        <v>3.6721590000000002</v>
      </c>
      <c r="AO13" s="307">
        <v>6.5096790000000002</v>
      </c>
      <c r="AP13" s="307">
        <v>6.9500270000000004</v>
      </c>
      <c r="AQ13" s="307">
        <v>3.6975030000000002</v>
      </c>
      <c r="AR13" s="307">
        <v>6.9274440000000004</v>
      </c>
      <c r="AS13" s="307">
        <v>2.0137130000000001</v>
      </c>
      <c r="AT13" s="307">
        <v>3.6960790000000001</v>
      </c>
      <c r="AU13" s="307">
        <v>3.7508339999999998</v>
      </c>
      <c r="AV13" s="307">
        <v>3.740659</v>
      </c>
      <c r="AW13" s="307">
        <v>3.6727110000000001</v>
      </c>
      <c r="AX13" s="307">
        <v>5.4768460000000001</v>
      </c>
      <c r="AY13" s="307">
        <v>3.0159340000000001</v>
      </c>
      <c r="AZ13" s="307">
        <v>5.880687</v>
      </c>
      <c r="BA13" s="307">
        <v>3.6987510000000001</v>
      </c>
      <c r="BB13" s="307">
        <v>3.483695</v>
      </c>
      <c r="BC13" s="307">
        <v>4.1954359999999999</v>
      </c>
      <c r="BD13" s="307">
        <v>6.1595849999999999</v>
      </c>
      <c r="BE13" s="307">
        <v>3.8803450000000002</v>
      </c>
      <c r="BF13" s="307">
        <v>2.392871</v>
      </c>
      <c r="BG13" s="307">
        <v>3.6600649999999999</v>
      </c>
      <c r="BH13" s="307">
        <v>5.5454340000000002</v>
      </c>
      <c r="BI13" s="307">
        <v>3.7410570000000001</v>
      </c>
      <c r="BJ13" s="307">
        <v>4.6882479999999997</v>
      </c>
      <c r="BK13" s="307">
        <v>3.188898</v>
      </c>
      <c r="BL13">
        <f t="shared" si="0"/>
        <v>1</v>
      </c>
      <c r="BM13">
        <f t="shared" si="1"/>
        <v>4.1434889166666657</v>
      </c>
      <c r="BN13">
        <f t="shared" si="2"/>
        <v>7.027901</v>
      </c>
      <c r="BO13">
        <f t="array" ref="BO13">MIN(IF($C13:$BK13&gt;0, $C13:$BK13))</f>
        <v>1.8731089999999999</v>
      </c>
      <c r="BP13">
        <f t="shared" si="3"/>
        <v>3.740659</v>
      </c>
    </row>
    <row r="14" spans="1:68" x14ac:dyDescent="0.25">
      <c r="A14" s="306">
        <v>112300</v>
      </c>
      <c r="B14" s="307" t="s">
        <v>17</v>
      </c>
      <c r="C14" s="307">
        <v>3.086741</v>
      </c>
      <c r="D14" s="307">
        <v>2.8532839999999999</v>
      </c>
      <c r="E14" s="307">
        <v>4.6780189999999999</v>
      </c>
      <c r="F14" s="307">
        <v>2.3409589999999998</v>
      </c>
      <c r="G14" s="307">
        <v>2.6123750000000001</v>
      </c>
      <c r="H14" s="307">
        <v>2.7732060000000001</v>
      </c>
      <c r="I14" s="307">
        <v>5.4992749999999999</v>
      </c>
      <c r="J14" s="307">
        <v>4.0138590000000001</v>
      </c>
      <c r="K14" s="307">
        <v>0</v>
      </c>
      <c r="L14" s="307">
        <v>1.7543439999999999</v>
      </c>
      <c r="M14" s="307">
        <v>3.5908479999999998</v>
      </c>
      <c r="N14" s="307">
        <v>1.9934499999999999</v>
      </c>
      <c r="O14" s="307">
        <v>6.5579679999999998</v>
      </c>
      <c r="P14" s="307">
        <v>1.8876809999999999</v>
      </c>
      <c r="Q14" s="307">
        <v>3.522748</v>
      </c>
      <c r="R14" s="307">
        <v>1.881839</v>
      </c>
      <c r="S14" s="307">
        <v>2.9568720000000002</v>
      </c>
      <c r="T14" s="307">
        <v>1.8791150000000001</v>
      </c>
      <c r="U14" s="307">
        <v>6.5127969999999999</v>
      </c>
      <c r="V14" s="307">
        <v>5.9006109999999996</v>
      </c>
      <c r="W14" s="307">
        <v>6.3323939999999999</v>
      </c>
      <c r="X14" s="307">
        <v>4.3450530000000001</v>
      </c>
      <c r="Y14" s="307">
        <v>6.5824170000000004</v>
      </c>
      <c r="Z14" s="307">
        <v>3.4850859999999999</v>
      </c>
      <c r="AA14" s="307">
        <v>2.048845</v>
      </c>
      <c r="AB14" s="307">
        <v>4.7724690000000001</v>
      </c>
      <c r="AC14" s="307">
        <v>3.7180059999999999</v>
      </c>
      <c r="AD14" s="307">
        <v>5.7234129999999999</v>
      </c>
      <c r="AE14" s="307">
        <v>2.4918659999999999</v>
      </c>
      <c r="AF14" s="307">
        <v>1.872234</v>
      </c>
      <c r="AG14" s="307">
        <v>2.4620289999999998</v>
      </c>
      <c r="AH14" s="307">
        <v>3.1893180000000001</v>
      </c>
      <c r="AI14" s="307">
        <v>4.7237790000000004</v>
      </c>
      <c r="AJ14" s="307">
        <v>3.9765359999999998</v>
      </c>
      <c r="AK14" s="307">
        <v>3.271512</v>
      </c>
      <c r="AL14" s="307">
        <v>4.2495459999999996</v>
      </c>
      <c r="AM14" s="307">
        <v>6.0283290000000003</v>
      </c>
      <c r="AN14" s="307">
        <v>3.295315</v>
      </c>
      <c r="AO14" s="307">
        <v>4.6029949999999999</v>
      </c>
      <c r="AP14" s="307">
        <v>6.4708940000000004</v>
      </c>
      <c r="AQ14" s="307">
        <v>3.3180540000000001</v>
      </c>
      <c r="AR14" s="307">
        <v>6.1761350000000004</v>
      </c>
      <c r="AS14" s="307">
        <v>1.8860349999999999</v>
      </c>
      <c r="AT14" s="307">
        <v>3.3168489999999999</v>
      </c>
      <c r="AU14" s="307">
        <v>3.365961</v>
      </c>
      <c r="AV14" s="307">
        <v>6.5311409999999999</v>
      </c>
      <c r="AW14" s="307">
        <v>3.295868</v>
      </c>
      <c r="AX14" s="307">
        <v>6.4649710000000002</v>
      </c>
      <c r="AY14" s="307">
        <v>2.8233769999999998</v>
      </c>
      <c r="AZ14" s="307">
        <v>3.9028839999999998</v>
      </c>
      <c r="BA14" s="307">
        <v>3.3192330000000001</v>
      </c>
      <c r="BB14" s="307">
        <v>3.1261830000000002</v>
      </c>
      <c r="BC14" s="307">
        <v>5.0391009999999996</v>
      </c>
      <c r="BD14" s="307">
        <v>5.7856610000000002</v>
      </c>
      <c r="BE14" s="307">
        <v>3.5635189999999999</v>
      </c>
      <c r="BF14" s="307">
        <v>2.4519310000000001</v>
      </c>
      <c r="BG14" s="307">
        <v>2.7152090000000002</v>
      </c>
      <c r="BH14" s="307">
        <v>4.3868660000000004</v>
      </c>
      <c r="BI14" s="307">
        <v>2.8782239999999999</v>
      </c>
      <c r="BJ14" s="307">
        <v>4.4694940000000001</v>
      </c>
      <c r="BK14" s="307">
        <v>3.033588</v>
      </c>
      <c r="BL14">
        <f t="shared" si="0"/>
        <v>1</v>
      </c>
      <c r="BM14">
        <f t="shared" si="1"/>
        <v>3.8631385166666652</v>
      </c>
      <c r="BN14">
        <f t="shared" si="2"/>
        <v>6.5824170000000004</v>
      </c>
      <c r="BO14">
        <f t="array" ref="BO14">MIN(IF($C14:$BK14&gt;0, $C14:$BK14))</f>
        <v>1.7543439999999999</v>
      </c>
      <c r="BP14">
        <f t="shared" si="3"/>
        <v>3.365961</v>
      </c>
    </row>
    <row r="15" spans="1:68" x14ac:dyDescent="0.25">
      <c r="A15" s="306" t="s">
        <v>687</v>
      </c>
      <c r="B15" s="307" t="s">
        <v>18</v>
      </c>
      <c r="C15" s="307">
        <v>3.837574</v>
      </c>
      <c r="D15" s="307">
        <v>3.5856460000000001</v>
      </c>
      <c r="E15" s="307">
        <v>6.3858430000000004</v>
      </c>
      <c r="F15" s="307">
        <v>2.946196</v>
      </c>
      <c r="G15" s="307">
        <v>5.9447570000000001</v>
      </c>
      <c r="H15" s="307">
        <v>2.8882140000000001</v>
      </c>
      <c r="I15" s="307">
        <v>5.9155550000000003</v>
      </c>
      <c r="J15" s="307">
        <v>4.6139510000000001</v>
      </c>
      <c r="K15" s="307">
        <v>0</v>
      </c>
      <c r="L15" s="307">
        <v>3.2030310000000002</v>
      </c>
      <c r="M15" s="307">
        <v>5.0583580000000001</v>
      </c>
      <c r="N15" s="307">
        <v>3.2701150000000001</v>
      </c>
      <c r="O15" s="307">
        <v>5.9334170000000004</v>
      </c>
      <c r="P15" s="307">
        <v>2.3714080000000002</v>
      </c>
      <c r="Q15" s="307">
        <v>3.583447</v>
      </c>
      <c r="R15" s="307">
        <v>2.3640720000000002</v>
      </c>
      <c r="S15" s="307">
        <v>3.1285050000000001</v>
      </c>
      <c r="T15" s="307">
        <v>3.6910449999999999</v>
      </c>
      <c r="U15" s="307">
        <v>8.2223919999999993</v>
      </c>
      <c r="V15" s="307">
        <v>5.2345699999999997</v>
      </c>
      <c r="W15" s="307">
        <v>7.417694</v>
      </c>
      <c r="X15" s="307">
        <v>5.5284570000000004</v>
      </c>
      <c r="Y15" s="307">
        <v>7.9916150000000004</v>
      </c>
      <c r="Z15" s="307">
        <v>4.3261640000000003</v>
      </c>
      <c r="AA15" s="307">
        <v>2.356614</v>
      </c>
      <c r="AB15" s="307">
        <v>6.4034639999999996</v>
      </c>
      <c r="AC15" s="307">
        <v>4.8052020000000004</v>
      </c>
      <c r="AD15" s="307">
        <v>8.2613710000000005</v>
      </c>
      <c r="AE15" s="307">
        <v>3.7023169999999999</v>
      </c>
      <c r="AF15" s="307">
        <v>2.3520829999999999</v>
      </c>
      <c r="AG15" s="307">
        <v>2.365345</v>
      </c>
      <c r="AH15" s="307">
        <v>4.0081829999999998</v>
      </c>
      <c r="AI15" s="307">
        <v>6.2148219999999998</v>
      </c>
      <c r="AJ15" s="307">
        <v>4.096984</v>
      </c>
      <c r="AK15" s="307">
        <v>4.058122</v>
      </c>
      <c r="AL15" s="307">
        <v>4.5128880000000002</v>
      </c>
      <c r="AM15" s="307">
        <v>7.6577599999999997</v>
      </c>
      <c r="AN15" s="307">
        <v>4.1413719999999996</v>
      </c>
      <c r="AO15" s="307">
        <v>6.9354089999999999</v>
      </c>
      <c r="AP15" s="307">
        <v>7.8744560000000003</v>
      </c>
      <c r="AQ15" s="307">
        <v>8.1506539999999994</v>
      </c>
      <c r="AR15" s="307">
        <v>7.5749250000000004</v>
      </c>
      <c r="AS15" s="307">
        <v>2.369348</v>
      </c>
      <c r="AT15" s="307">
        <v>4.1683599999999998</v>
      </c>
      <c r="AU15" s="307">
        <v>4.2300040000000001</v>
      </c>
      <c r="AV15" s="307">
        <v>8.2454490000000007</v>
      </c>
      <c r="AW15" s="307">
        <v>4.1421190000000001</v>
      </c>
      <c r="AX15" s="307">
        <v>6.2019789999999997</v>
      </c>
      <c r="AY15" s="307">
        <v>3.4236</v>
      </c>
      <c r="AZ15" s="307">
        <v>5.3396710000000001</v>
      </c>
      <c r="BA15" s="307">
        <v>4.171322</v>
      </c>
      <c r="BB15" s="307">
        <v>3.9288780000000001</v>
      </c>
      <c r="BC15" s="307">
        <v>6.4962049999999998</v>
      </c>
      <c r="BD15" s="307">
        <v>6.0021880000000003</v>
      </c>
      <c r="BE15" s="307">
        <v>3.292408</v>
      </c>
      <c r="BF15" s="307">
        <v>2.9197899999999999</v>
      </c>
      <c r="BG15" s="307">
        <v>4.0559599999999998</v>
      </c>
      <c r="BH15" s="307">
        <v>6.9804190000000004</v>
      </c>
      <c r="BI15" s="307">
        <v>4.0753560000000002</v>
      </c>
      <c r="BJ15" s="307">
        <v>5.7470169999999996</v>
      </c>
      <c r="BK15" s="307">
        <v>3.6197499999999998</v>
      </c>
      <c r="BL15">
        <f t="shared" si="0"/>
        <v>1</v>
      </c>
      <c r="BM15">
        <f t="shared" si="1"/>
        <v>4.8720636666666666</v>
      </c>
      <c r="BN15">
        <f t="shared" si="2"/>
        <v>8.2613710000000005</v>
      </c>
      <c r="BO15">
        <f t="array" ref="BO15">MIN(IF($C15:$BK15&gt;0, $C15:$BK15))</f>
        <v>2.3520829999999999</v>
      </c>
      <c r="BP15">
        <f t="shared" si="3"/>
        <v>4.171322</v>
      </c>
    </row>
    <row r="16" spans="1:68" x14ac:dyDescent="0.25">
      <c r="A16" s="306">
        <v>113300</v>
      </c>
      <c r="B16" s="307" t="s">
        <v>688</v>
      </c>
      <c r="C16" s="307">
        <v>5.8838559999999998</v>
      </c>
      <c r="D16" s="307">
        <v>4.0071110000000001</v>
      </c>
      <c r="E16" s="307">
        <v>4.9310720000000003</v>
      </c>
      <c r="F16" s="307">
        <v>5.5512750000000004</v>
      </c>
      <c r="G16" s="307">
        <v>9.7989949999999997</v>
      </c>
      <c r="H16" s="307">
        <v>4.4426930000000002</v>
      </c>
      <c r="I16" s="307">
        <v>10.12354</v>
      </c>
      <c r="J16" s="307">
        <v>9.1524090000000005</v>
      </c>
      <c r="K16" s="307">
        <v>0</v>
      </c>
      <c r="L16" s="307">
        <v>3.3586360000000002</v>
      </c>
      <c r="M16" s="307">
        <v>6.1014200000000001</v>
      </c>
      <c r="N16" s="307">
        <v>5.6820740000000001</v>
      </c>
      <c r="O16" s="307">
        <v>5.789364</v>
      </c>
      <c r="P16" s="307">
        <v>10.359970000000001</v>
      </c>
      <c r="Q16" s="307">
        <v>5.1461009999999998</v>
      </c>
      <c r="R16" s="307">
        <v>7.7833500000000004</v>
      </c>
      <c r="S16" s="307">
        <v>7.8733199999999997</v>
      </c>
      <c r="T16" s="307">
        <v>10.60852</v>
      </c>
      <c r="U16" s="307">
        <v>9.8872949999999999</v>
      </c>
      <c r="V16" s="307">
        <v>4.847099</v>
      </c>
      <c r="W16" s="307">
        <v>4.3187170000000004</v>
      </c>
      <c r="X16" s="307">
        <v>7.2699819999999997</v>
      </c>
      <c r="Y16" s="307">
        <v>6.680072</v>
      </c>
      <c r="Z16" s="307">
        <v>7.275773</v>
      </c>
      <c r="AA16" s="307">
        <v>7.5686600000000004</v>
      </c>
      <c r="AB16" s="307">
        <v>8.0837020000000006</v>
      </c>
      <c r="AC16" s="307">
        <v>5.666385</v>
      </c>
      <c r="AD16" s="307">
        <v>6.2602219999999997</v>
      </c>
      <c r="AE16" s="307">
        <v>6.0541640000000001</v>
      </c>
      <c r="AF16" s="307">
        <v>0</v>
      </c>
      <c r="AG16" s="307">
        <v>7.8666729999999996</v>
      </c>
      <c r="AH16" s="307">
        <v>4.2768509999999997</v>
      </c>
      <c r="AI16" s="307">
        <v>7.110347</v>
      </c>
      <c r="AJ16" s="307">
        <v>10.41512</v>
      </c>
      <c r="AK16" s="307">
        <v>9.2797809999999998</v>
      </c>
      <c r="AL16" s="307">
        <v>7.4946789999999996</v>
      </c>
      <c r="AM16" s="307">
        <v>5.9115640000000003</v>
      </c>
      <c r="AN16" s="307">
        <v>5.1230830000000003</v>
      </c>
      <c r="AO16" s="307">
        <v>4.0959989999999999</v>
      </c>
      <c r="AP16" s="307">
        <v>6.4843070000000003</v>
      </c>
      <c r="AQ16" s="307">
        <v>10.465070000000001</v>
      </c>
      <c r="AR16" s="307">
        <v>5.9022509999999997</v>
      </c>
      <c r="AS16" s="307">
        <v>7.1152369999999996</v>
      </c>
      <c r="AT16" s="307">
        <v>3.9729169999999998</v>
      </c>
      <c r="AU16" s="307">
        <v>5.1075970000000002</v>
      </c>
      <c r="AV16" s="307">
        <v>8.9318249999999999</v>
      </c>
      <c r="AW16" s="307">
        <v>4.9639860000000002</v>
      </c>
      <c r="AX16" s="307">
        <v>8.2062779999999993</v>
      </c>
      <c r="AY16" s="307">
        <v>4.5122450000000001</v>
      </c>
      <c r="AZ16" s="307">
        <v>9.0461530000000003</v>
      </c>
      <c r="BA16" s="307">
        <v>6.103307</v>
      </c>
      <c r="BB16" s="307">
        <v>7.3528630000000001</v>
      </c>
      <c r="BC16" s="307">
        <v>6.5014560000000001</v>
      </c>
      <c r="BD16" s="307">
        <v>7.1169630000000002</v>
      </c>
      <c r="BE16" s="307">
        <v>7.6638669999999998</v>
      </c>
      <c r="BF16" s="307">
        <v>8.1289079999999991</v>
      </c>
      <c r="BG16" s="307">
        <v>5.9517069999999999</v>
      </c>
      <c r="BH16" s="307">
        <v>5.3901019999999997</v>
      </c>
      <c r="BI16" s="307">
        <v>5.3585390000000004</v>
      </c>
      <c r="BJ16" s="307">
        <v>6.4135460000000002</v>
      </c>
      <c r="BK16" s="307">
        <v>4.4230359999999997</v>
      </c>
      <c r="BL16">
        <f t="shared" si="0"/>
        <v>2</v>
      </c>
      <c r="BM16">
        <f t="shared" si="1"/>
        <v>6.7320683728813542</v>
      </c>
      <c r="BN16">
        <f t="shared" si="2"/>
        <v>10.60852</v>
      </c>
      <c r="BO16">
        <f t="array" ref="BO16">MIN(IF($C16:$BK16&gt;0, $C16:$BK16))</f>
        <v>3.3586360000000002</v>
      </c>
      <c r="BP16">
        <f t="shared" si="3"/>
        <v>6.2602219999999997</v>
      </c>
    </row>
    <row r="17" spans="1:68" x14ac:dyDescent="0.25">
      <c r="A17" s="306" t="s">
        <v>689</v>
      </c>
      <c r="B17" s="307" t="s">
        <v>690</v>
      </c>
      <c r="C17" s="307">
        <v>2.0995499999999998</v>
      </c>
      <c r="D17" s="307">
        <v>2.9418839999999999</v>
      </c>
      <c r="E17" s="307">
        <v>2.2144780000000002</v>
      </c>
      <c r="F17" s="307">
        <v>2.104441</v>
      </c>
      <c r="G17" s="307">
        <v>3.29813</v>
      </c>
      <c r="H17" s="307">
        <v>3.7488739999999998</v>
      </c>
      <c r="I17" s="307">
        <v>2.1069460000000002</v>
      </c>
      <c r="J17" s="307">
        <v>0</v>
      </c>
      <c r="K17" s="307">
        <v>0</v>
      </c>
      <c r="L17" s="307">
        <v>0</v>
      </c>
      <c r="M17" s="307">
        <v>3.0647850000000001</v>
      </c>
      <c r="N17" s="307">
        <v>1.939155</v>
      </c>
      <c r="O17" s="307">
        <v>5.9941120000000003</v>
      </c>
      <c r="P17" s="307">
        <v>0</v>
      </c>
      <c r="Q17" s="307">
        <v>3.6524809999999999</v>
      </c>
      <c r="R17" s="307">
        <v>6.4303869999999996</v>
      </c>
      <c r="S17" s="307">
        <v>4.0548440000000001</v>
      </c>
      <c r="T17" s="307">
        <v>0</v>
      </c>
      <c r="U17" s="307">
        <v>6.7067379999999996</v>
      </c>
      <c r="V17" s="307">
        <v>1.648736</v>
      </c>
      <c r="W17" s="307">
        <v>3.0919840000000001</v>
      </c>
      <c r="X17" s="307">
        <v>3.5599889999999998</v>
      </c>
      <c r="Y17" s="307">
        <v>2.4851390000000002</v>
      </c>
      <c r="Z17" s="307">
        <v>4.7554049999999997</v>
      </c>
      <c r="AA17" s="307">
        <v>2.7333249999999998</v>
      </c>
      <c r="AB17" s="307">
        <v>2.2589419999999998</v>
      </c>
      <c r="AC17" s="307">
        <v>1.5735650000000001</v>
      </c>
      <c r="AD17" s="307">
        <v>1.876287</v>
      </c>
      <c r="AE17" s="307">
        <v>3.5581399999999999</v>
      </c>
      <c r="AF17" s="307">
        <v>5.7261699999999998</v>
      </c>
      <c r="AG17" s="307">
        <v>5.0691420000000003</v>
      </c>
      <c r="AH17" s="307">
        <v>2.3427120000000001</v>
      </c>
      <c r="AI17" s="307">
        <v>1.4165700000000001</v>
      </c>
      <c r="AJ17" s="307">
        <v>2.074872</v>
      </c>
      <c r="AK17" s="307">
        <v>0</v>
      </c>
      <c r="AL17" s="307">
        <v>5.2031349999999996</v>
      </c>
      <c r="AM17" s="307">
        <v>3.6388919999999998</v>
      </c>
      <c r="AN17" s="307">
        <v>2.8823029999999998</v>
      </c>
      <c r="AO17" s="307">
        <v>1.3240540000000001</v>
      </c>
      <c r="AP17" s="307">
        <v>3.1208610000000001</v>
      </c>
      <c r="AQ17" s="307">
        <v>0</v>
      </c>
      <c r="AR17" s="307">
        <v>3.4078349999999999</v>
      </c>
      <c r="AS17" s="307">
        <v>6.7379920000000002</v>
      </c>
      <c r="AT17" s="307">
        <v>2.0216289999999999</v>
      </c>
      <c r="AU17" s="307">
        <v>1.7338769999999999</v>
      </c>
      <c r="AV17" s="307">
        <v>0</v>
      </c>
      <c r="AW17" s="307">
        <v>2.4279259999999998</v>
      </c>
      <c r="AX17" s="307">
        <v>3.125432</v>
      </c>
      <c r="AY17" s="307">
        <v>1.305749</v>
      </c>
      <c r="AZ17" s="307">
        <v>1.976097</v>
      </c>
      <c r="BA17" s="307">
        <v>1.2775909999999999</v>
      </c>
      <c r="BB17" s="307">
        <v>0</v>
      </c>
      <c r="BC17" s="307">
        <v>2.947403</v>
      </c>
      <c r="BD17" s="307">
        <v>2.8862000000000001</v>
      </c>
      <c r="BE17" s="307">
        <v>3.63205</v>
      </c>
      <c r="BF17" s="307">
        <v>2.9827970000000001</v>
      </c>
      <c r="BG17" s="307">
        <v>2.7142729999999999</v>
      </c>
      <c r="BH17" s="307">
        <v>1.9492719999999999</v>
      </c>
      <c r="BI17" s="307">
        <v>1.9376800000000001</v>
      </c>
      <c r="BJ17" s="307">
        <v>2.572641</v>
      </c>
      <c r="BK17" s="307">
        <v>1.592897</v>
      </c>
      <c r="BL17">
        <f t="shared" si="0"/>
        <v>9</v>
      </c>
      <c r="BM17">
        <f t="shared" si="1"/>
        <v>3.0370455576923083</v>
      </c>
      <c r="BN17">
        <f t="shared" si="2"/>
        <v>6.7379920000000002</v>
      </c>
      <c r="BO17">
        <f t="array" ref="BO17">MIN(IF($C17:$BK17&gt;0, $C17:$BK17))</f>
        <v>1.2775909999999999</v>
      </c>
      <c r="BP17">
        <f t="shared" si="3"/>
        <v>2.4279259999999998</v>
      </c>
    </row>
    <row r="18" spans="1:68" x14ac:dyDescent="0.25">
      <c r="A18" s="306">
        <v>114100</v>
      </c>
      <c r="B18" s="307" t="s">
        <v>691</v>
      </c>
      <c r="C18" s="307">
        <v>17.861599999999999</v>
      </c>
      <c r="D18" s="307">
        <v>11.698029999999999</v>
      </c>
      <c r="E18" s="307">
        <v>16.967089999999999</v>
      </c>
      <c r="F18" s="307">
        <v>17.362839999999998</v>
      </c>
      <c r="G18" s="307">
        <v>0</v>
      </c>
      <c r="H18" s="307">
        <v>18.31682</v>
      </c>
      <c r="I18" s="307">
        <v>0</v>
      </c>
      <c r="J18" s="307">
        <v>19.537870000000002</v>
      </c>
      <c r="K18" s="307">
        <v>0</v>
      </c>
      <c r="L18" s="307">
        <v>13.12993</v>
      </c>
      <c r="M18" s="307">
        <v>18.635380000000001</v>
      </c>
      <c r="N18" s="307">
        <v>17.371320000000001</v>
      </c>
      <c r="O18" s="307">
        <v>18.530999999999999</v>
      </c>
      <c r="P18" s="307">
        <v>0</v>
      </c>
      <c r="Q18" s="307">
        <v>18.80884</v>
      </c>
      <c r="R18" s="307">
        <v>24.791640000000001</v>
      </c>
      <c r="S18" s="307">
        <v>0</v>
      </c>
      <c r="T18" s="307">
        <v>0</v>
      </c>
      <c r="U18" s="307">
        <v>18.80941</v>
      </c>
      <c r="V18" s="307">
        <v>34.054000000000002</v>
      </c>
      <c r="W18" s="307">
        <v>12.616949999999999</v>
      </c>
      <c r="X18" s="307">
        <v>35.241289999999999</v>
      </c>
      <c r="Y18" s="307">
        <v>22.625319999999999</v>
      </c>
      <c r="Z18" s="307">
        <v>17.836510000000001</v>
      </c>
      <c r="AA18" s="307">
        <v>18.293130000000001</v>
      </c>
      <c r="AB18" s="307">
        <v>0</v>
      </c>
      <c r="AC18" s="307">
        <v>23.798249999999999</v>
      </c>
      <c r="AD18" s="307">
        <v>24.086480000000002</v>
      </c>
      <c r="AE18" s="307">
        <v>18.10435</v>
      </c>
      <c r="AF18" s="307">
        <v>0</v>
      </c>
      <c r="AG18" s="307">
        <v>0</v>
      </c>
      <c r="AH18" s="307">
        <v>13.162369999999999</v>
      </c>
      <c r="AI18" s="307">
        <v>18.291260000000001</v>
      </c>
      <c r="AJ18" s="307">
        <v>0</v>
      </c>
      <c r="AK18" s="307">
        <v>15.78471</v>
      </c>
      <c r="AL18" s="307">
        <v>33.488520000000001</v>
      </c>
      <c r="AM18" s="307">
        <v>18.384550000000001</v>
      </c>
      <c r="AN18" s="307">
        <v>0</v>
      </c>
      <c r="AO18" s="307">
        <v>18.269760000000002</v>
      </c>
      <c r="AP18" s="307">
        <v>15.5418</v>
      </c>
      <c r="AQ18" s="307">
        <v>18.899940000000001</v>
      </c>
      <c r="AR18" s="307">
        <v>35.578629999999997</v>
      </c>
      <c r="AS18" s="307">
        <v>0</v>
      </c>
      <c r="AT18" s="307">
        <v>18.808299999999999</v>
      </c>
      <c r="AU18" s="307">
        <v>18.628489999999999</v>
      </c>
      <c r="AV18" s="307">
        <v>18.08634</v>
      </c>
      <c r="AW18" s="307">
        <v>30.376010000000001</v>
      </c>
      <c r="AX18" s="307">
        <v>0</v>
      </c>
      <c r="AY18" s="307">
        <v>9.0129839999999994</v>
      </c>
      <c r="AZ18" s="307">
        <v>17.711690000000001</v>
      </c>
      <c r="BA18" s="307">
        <v>0</v>
      </c>
      <c r="BB18" s="307">
        <v>0</v>
      </c>
      <c r="BC18" s="307">
        <v>17.36101</v>
      </c>
      <c r="BD18" s="307">
        <v>22.090420000000002</v>
      </c>
      <c r="BE18" s="307">
        <v>18.258379999999999</v>
      </c>
      <c r="BF18" s="307">
        <v>17.398319999999998</v>
      </c>
      <c r="BG18" s="307">
        <v>20.443580000000001</v>
      </c>
      <c r="BH18" s="307">
        <v>19.75395</v>
      </c>
      <c r="BI18" s="307">
        <v>23.985969999999998</v>
      </c>
      <c r="BJ18" s="307">
        <v>19.975829999999998</v>
      </c>
      <c r="BK18" s="307">
        <v>15.421290000000001</v>
      </c>
      <c r="BL18">
        <f t="shared" si="0"/>
        <v>15</v>
      </c>
      <c r="BM18">
        <f t="shared" si="1"/>
        <v>19.852003347826081</v>
      </c>
      <c r="BN18">
        <f t="shared" si="2"/>
        <v>35.578629999999997</v>
      </c>
      <c r="BO18">
        <f t="array" ref="BO18">MIN(IF($C18:$BK18&gt;0, $C18:$BK18))</f>
        <v>9.0129839999999994</v>
      </c>
      <c r="BP18">
        <f t="shared" si="3"/>
        <v>17.861599999999999</v>
      </c>
    </row>
    <row r="19" spans="1:68" x14ac:dyDescent="0.25">
      <c r="A19" s="306">
        <v>114200</v>
      </c>
      <c r="B19" s="307" t="s">
        <v>692</v>
      </c>
      <c r="C19" s="307">
        <v>11.356479999999999</v>
      </c>
      <c r="D19" s="307">
        <v>0</v>
      </c>
      <c r="E19" s="307">
        <v>13.385960000000001</v>
      </c>
      <c r="F19" s="307">
        <v>9.597156</v>
      </c>
      <c r="G19" s="307">
        <v>16.796749999999999</v>
      </c>
      <c r="H19" s="307">
        <v>10.7539</v>
      </c>
      <c r="I19" s="307">
        <v>15.286949999999999</v>
      </c>
      <c r="J19" s="307">
        <v>6.9990180000000004</v>
      </c>
      <c r="K19" s="307">
        <v>0</v>
      </c>
      <c r="L19" s="307">
        <v>0</v>
      </c>
      <c r="M19" s="307">
        <v>10.942830000000001</v>
      </c>
      <c r="N19" s="307">
        <v>7.4766029999999999</v>
      </c>
      <c r="O19" s="307">
        <v>6.8958130000000004</v>
      </c>
      <c r="P19" s="307">
        <v>9.6648250000000004</v>
      </c>
      <c r="Q19" s="307">
        <v>11.330159999999999</v>
      </c>
      <c r="R19" s="307">
        <v>15.926959999999999</v>
      </c>
      <c r="S19" s="307">
        <v>10.23495</v>
      </c>
      <c r="T19" s="307">
        <v>10.39664</v>
      </c>
      <c r="U19" s="307">
        <v>10.39653</v>
      </c>
      <c r="V19" s="307">
        <v>7.7314449999999999</v>
      </c>
      <c r="W19" s="307">
        <v>12.72214</v>
      </c>
      <c r="X19" s="307">
        <v>11.13855</v>
      </c>
      <c r="Y19" s="307">
        <v>0</v>
      </c>
      <c r="Z19" s="307">
        <v>16.039739999999998</v>
      </c>
      <c r="AA19" s="307">
        <v>15.67549</v>
      </c>
      <c r="AB19" s="307">
        <v>7.8530179999999996</v>
      </c>
      <c r="AC19" s="307">
        <v>6.3392869999999997</v>
      </c>
      <c r="AD19" s="307">
        <v>10.318239999999999</v>
      </c>
      <c r="AE19" s="307">
        <v>9.3352260000000005</v>
      </c>
      <c r="AF19" s="307">
        <v>16.913139999999999</v>
      </c>
      <c r="AG19" s="307">
        <v>10.397119999999999</v>
      </c>
      <c r="AH19" s="307">
        <v>0</v>
      </c>
      <c r="AI19" s="307">
        <v>10.540179999999999</v>
      </c>
      <c r="AJ19" s="307">
        <v>0</v>
      </c>
      <c r="AK19" s="307">
        <v>10.34009</v>
      </c>
      <c r="AL19" s="307">
        <v>11.914770000000001</v>
      </c>
      <c r="AM19" s="307">
        <v>13.701040000000001</v>
      </c>
      <c r="AN19" s="307">
        <v>10.39681</v>
      </c>
      <c r="AO19" s="307">
        <v>8.0550680000000003</v>
      </c>
      <c r="AP19" s="307">
        <v>12.82404</v>
      </c>
      <c r="AQ19" s="307">
        <v>0</v>
      </c>
      <c r="AR19" s="307">
        <v>10.425890000000001</v>
      </c>
      <c r="AS19" s="307">
        <v>14.683540000000001</v>
      </c>
      <c r="AT19" s="307">
        <v>16.912880000000001</v>
      </c>
      <c r="AU19" s="307">
        <v>7.8008610000000003</v>
      </c>
      <c r="AV19" s="307">
        <v>14.684369999999999</v>
      </c>
      <c r="AW19" s="307">
        <v>8.218985</v>
      </c>
      <c r="AX19" s="307">
        <v>9.3266760000000009</v>
      </c>
      <c r="AY19" s="307">
        <v>6.5634680000000003</v>
      </c>
      <c r="AZ19" s="307">
        <v>15.928039999999999</v>
      </c>
      <c r="BA19" s="307">
        <v>10.39695</v>
      </c>
      <c r="BB19" s="307">
        <v>12.01159</v>
      </c>
      <c r="BC19" s="307">
        <v>9.2709480000000006</v>
      </c>
      <c r="BD19" s="307">
        <v>12.900259999999999</v>
      </c>
      <c r="BE19" s="307">
        <v>14.73136</v>
      </c>
      <c r="BF19" s="307">
        <v>11.603070000000001</v>
      </c>
      <c r="BG19" s="307">
        <v>9.70411</v>
      </c>
      <c r="BH19" s="307">
        <v>12.35782</v>
      </c>
      <c r="BI19" s="307">
        <v>8.6238639999999993</v>
      </c>
      <c r="BJ19" s="307">
        <v>13.36393</v>
      </c>
      <c r="BK19" s="307">
        <v>8.7659540000000007</v>
      </c>
      <c r="BL19">
        <f t="shared" si="0"/>
        <v>7</v>
      </c>
      <c r="BM19">
        <f t="shared" si="1"/>
        <v>11.258360833333333</v>
      </c>
      <c r="BN19">
        <f t="shared" si="2"/>
        <v>16.913139999999999</v>
      </c>
      <c r="BO19">
        <f t="array" ref="BO19">MIN(IF($C19:$BK19&gt;0, $C19:$BK19))</f>
        <v>6.3392869999999997</v>
      </c>
      <c r="BP19">
        <f t="shared" si="3"/>
        <v>10.39681</v>
      </c>
    </row>
    <row r="20" spans="1:68" x14ac:dyDescent="0.25">
      <c r="A20" s="306">
        <v>115000</v>
      </c>
      <c r="B20" s="307" t="s">
        <v>19</v>
      </c>
      <c r="C20" s="307">
        <v>19.602799999999998</v>
      </c>
      <c r="D20" s="307">
        <v>18.942769999999999</v>
      </c>
      <c r="E20" s="307">
        <v>18.498930000000001</v>
      </c>
      <c r="F20" s="307">
        <v>15.817019999999999</v>
      </c>
      <c r="G20" s="307">
        <v>19.250810000000001</v>
      </c>
      <c r="H20" s="307">
        <v>17.60821</v>
      </c>
      <c r="I20" s="307">
        <v>21.365220000000001</v>
      </c>
      <c r="J20" s="307">
        <v>24.53837</v>
      </c>
      <c r="K20" s="307">
        <v>0</v>
      </c>
      <c r="L20" s="307">
        <v>21.331189999999999</v>
      </c>
      <c r="M20" s="307">
        <v>21.87313</v>
      </c>
      <c r="N20" s="307">
        <v>21.19125</v>
      </c>
      <c r="O20" s="307">
        <v>27.3261</v>
      </c>
      <c r="P20" s="307">
        <v>22.842700000000001</v>
      </c>
      <c r="Q20" s="307">
        <v>19.428909999999998</v>
      </c>
      <c r="R20" s="307">
        <v>15.273860000000001</v>
      </c>
      <c r="S20" s="307">
        <v>15.612030000000001</v>
      </c>
      <c r="T20" s="307">
        <v>15.53703</v>
      </c>
      <c r="U20" s="307">
        <v>19.705909999999999</v>
      </c>
      <c r="V20" s="307">
        <v>19.845079999999999</v>
      </c>
      <c r="W20" s="307">
        <v>15.759690000000001</v>
      </c>
      <c r="X20" s="307">
        <v>26.169360000000001</v>
      </c>
      <c r="Y20" s="307">
        <v>27.297440000000002</v>
      </c>
      <c r="Z20" s="307">
        <v>26.679770000000001</v>
      </c>
      <c r="AA20" s="307">
        <v>18.526109999999999</v>
      </c>
      <c r="AB20" s="307">
        <v>17.612069999999999</v>
      </c>
      <c r="AC20" s="307">
        <v>19.17783</v>
      </c>
      <c r="AD20" s="307">
        <v>18.245229999999999</v>
      </c>
      <c r="AE20" s="307">
        <v>18.320029999999999</v>
      </c>
      <c r="AF20" s="307">
        <v>17.21189</v>
      </c>
      <c r="AG20" s="307">
        <v>17.99295</v>
      </c>
      <c r="AH20" s="307">
        <v>24.605319999999999</v>
      </c>
      <c r="AI20" s="307">
        <v>23.03745</v>
      </c>
      <c r="AJ20" s="307">
        <v>23.19802</v>
      </c>
      <c r="AK20" s="307">
        <v>26.25067</v>
      </c>
      <c r="AL20" s="307">
        <v>17.136099999999999</v>
      </c>
      <c r="AM20" s="307">
        <v>26.982949999999999</v>
      </c>
      <c r="AN20" s="307">
        <v>22.715299999999999</v>
      </c>
      <c r="AO20" s="307">
        <v>19.11093</v>
      </c>
      <c r="AP20" s="307">
        <v>22.986640000000001</v>
      </c>
      <c r="AQ20" s="307">
        <v>27.327459999999999</v>
      </c>
      <c r="AR20" s="307">
        <v>17.748280000000001</v>
      </c>
      <c r="AS20" s="307">
        <v>16.37932</v>
      </c>
      <c r="AT20" s="307">
        <v>23.247890000000002</v>
      </c>
      <c r="AU20" s="307">
        <v>20.18235</v>
      </c>
      <c r="AV20" s="307">
        <v>25.886420000000001</v>
      </c>
      <c r="AW20" s="307">
        <v>26.141359999999999</v>
      </c>
      <c r="AX20" s="307">
        <v>26.51906</v>
      </c>
      <c r="AY20" s="307">
        <v>17.145399999999999</v>
      </c>
      <c r="AZ20" s="307">
        <v>22.94342</v>
      </c>
      <c r="BA20" s="307">
        <v>24.557030000000001</v>
      </c>
      <c r="BB20" s="307">
        <v>24.06729</v>
      </c>
      <c r="BC20" s="307">
        <v>21.921479999999999</v>
      </c>
      <c r="BD20" s="307">
        <v>20.396280000000001</v>
      </c>
      <c r="BE20" s="307">
        <v>20.791650000000001</v>
      </c>
      <c r="BF20" s="307">
        <v>18.71827</v>
      </c>
      <c r="BG20" s="307">
        <v>21.714780000000001</v>
      </c>
      <c r="BH20" s="307">
        <v>20.501390000000001</v>
      </c>
      <c r="BI20" s="307">
        <v>19.930820000000001</v>
      </c>
      <c r="BJ20" s="307">
        <v>20.774429999999999</v>
      </c>
      <c r="BK20" s="307">
        <v>17.775829999999999</v>
      </c>
      <c r="BL20">
        <f t="shared" si="0"/>
        <v>1</v>
      </c>
      <c r="BM20">
        <f t="shared" si="1"/>
        <v>20.98795466666666</v>
      </c>
      <c r="BN20">
        <f t="shared" si="2"/>
        <v>27.327459999999999</v>
      </c>
      <c r="BO20">
        <f t="array" ref="BO20">MIN(IF($C20:$BK20&gt;0, $C20:$BK20))</f>
        <v>15.273860000000001</v>
      </c>
      <c r="BP20">
        <f t="shared" si="3"/>
        <v>20.396280000000001</v>
      </c>
    </row>
    <row r="21" spans="1:68" x14ac:dyDescent="0.25">
      <c r="A21" s="306">
        <v>211000</v>
      </c>
      <c r="B21" s="307" t="s">
        <v>693</v>
      </c>
      <c r="C21" s="307">
        <v>1.940118</v>
      </c>
      <c r="D21" s="307">
        <v>1.254761</v>
      </c>
      <c r="E21" s="307">
        <v>2.0932810000000002</v>
      </c>
      <c r="F21" s="307">
        <v>3.627869</v>
      </c>
      <c r="G21" s="307">
        <v>5.7493169999999996</v>
      </c>
      <c r="H21" s="307">
        <v>2.0581520000000002</v>
      </c>
      <c r="I21" s="307">
        <v>1.7394179999999999</v>
      </c>
      <c r="J21" s="307">
        <v>3.658785</v>
      </c>
      <c r="K21" s="307">
        <v>0</v>
      </c>
      <c r="L21" s="307">
        <v>0</v>
      </c>
      <c r="M21" s="307">
        <v>7.0018079999999996</v>
      </c>
      <c r="N21" s="307">
        <v>0</v>
      </c>
      <c r="O21" s="307">
        <v>1.8012889999999999</v>
      </c>
      <c r="P21" s="307">
        <v>0</v>
      </c>
      <c r="Q21" s="307">
        <v>6.9761150000000001</v>
      </c>
      <c r="R21" s="307">
        <v>1.254812</v>
      </c>
      <c r="S21" s="307">
        <v>6.4320930000000001</v>
      </c>
      <c r="T21" s="307">
        <v>4.6988310000000002</v>
      </c>
      <c r="U21" s="307">
        <v>3.9035150000000001</v>
      </c>
      <c r="V21" s="307">
        <v>1.4566600000000001</v>
      </c>
      <c r="W21" s="307">
        <v>1.150779</v>
      </c>
      <c r="X21" s="307">
        <v>1.6829860000000001</v>
      </c>
      <c r="Y21" s="307">
        <v>1.6917279999999999</v>
      </c>
      <c r="Z21" s="307">
        <v>4.4780870000000004</v>
      </c>
      <c r="AA21" s="307">
        <v>7.7085239999999997</v>
      </c>
      <c r="AB21" s="307">
        <v>1.1184750000000001</v>
      </c>
      <c r="AC21" s="307">
        <v>2.0735510000000001</v>
      </c>
      <c r="AD21" s="307">
        <v>2.6571090000000002</v>
      </c>
      <c r="AE21" s="307">
        <v>1.5261229999999999</v>
      </c>
      <c r="AF21" s="307">
        <v>3.9760970000000002</v>
      </c>
      <c r="AG21" s="307">
        <v>6.5903010000000002</v>
      </c>
      <c r="AH21" s="307">
        <v>0</v>
      </c>
      <c r="AI21" s="307">
        <v>4.4701639999999996</v>
      </c>
      <c r="AJ21" s="307">
        <v>2.6373829999999998</v>
      </c>
      <c r="AK21" s="307">
        <v>7.3864179999999999</v>
      </c>
      <c r="AL21" s="307">
        <v>0.93643670000000001</v>
      </c>
      <c r="AM21" s="307">
        <v>3.7170589999999999</v>
      </c>
      <c r="AN21" s="307">
        <v>2.3864049999999999</v>
      </c>
      <c r="AO21" s="307">
        <v>1.6349590000000001</v>
      </c>
      <c r="AP21" s="307">
        <v>2.84104</v>
      </c>
      <c r="AQ21" s="307">
        <v>7.6497140000000003</v>
      </c>
      <c r="AR21" s="307">
        <v>1.801301</v>
      </c>
      <c r="AS21" s="307">
        <v>1.736729</v>
      </c>
      <c r="AT21" s="307">
        <v>7.2298289999999996</v>
      </c>
      <c r="AU21" s="307">
        <v>1.355329</v>
      </c>
      <c r="AV21" s="307">
        <v>2.1899829999999998</v>
      </c>
      <c r="AW21" s="307">
        <v>4.3258939999999999</v>
      </c>
      <c r="AX21" s="307">
        <v>0</v>
      </c>
      <c r="AY21" s="307">
        <v>0</v>
      </c>
      <c r="AZ21" s="307">
        <v>7.7088640000000002</v>
      </c>
      <c r="BA21" s="307">
        <v>4.4672720000000004</v>
      </c>
      <c r="BB21" s="307">
        <v>2.001722</v>
      </c>
      <c r="BC21" s="307">
        <v>2.0825109999999998</v>
      </c>
      <c r="BD21" s="307">
        <v>1.9231</v>
      </c>
      <c r="BE21" s="307">
        <v>2.6553909999999998</v>
      </c>
      <c r="BF21" s="307">
        <v>4.0342909999999996</v>
      </c>
      <c r="BG21" s="307">
        <v>3.9751949999999998</v>
      </c>
      <c r="BH21" s="307">
        <v>2.8487490000000002</v>
      </c>
      <c r="BI21" s="307">
        <v>1.537353</v>
      </c>
      <c r="BJ21" s="307">
        <v>2.2587419999999998</v>
      </c>
      <c r="BK21" s="307">
        <v>1.9932510000000001</v>
      </c>
      <c r="BL21">
        <f t="shared" si="0"/>
        <v>7</v>
      </c>
      <c r="BM21">
        <f t="shared" si="1"/>
        <v>3.334919790740742</v>
      </c>
      <c r="BN21">
        <f t="shared" si="2"/>
        <v>7.7088640000000002</v>
      </c>
      <c r="BO21">
        <f t="array" ref="BO21">MIN(IF($C21:$BK21&gt;0, $C21:$BK21))</f>
        <v>0.93643670000000001</v>
      </c>
      <c r="BP21">
        <f t="shared" si="3"/>
        <v>2.0932810000000002</v>
      </c>
    </row>
    <row r="22" spans="1:68" x14ac:dyDescent="0.25">
      <c r="A22" s="306">
        <v>212100</v>
      </c>
      <c r="B22" s="307" t="s">
        <v>694</v>
      </c>
      <c r="C22" s="307">
        <v>3.4304610000000002</v>
      </c>
      <c r="D22" s="307">
        <v>5.4193160000000002</v>
      </c>
      <c r="E22" s="307">
        <v>2.8453979999999999</v>
      </c>
      <c r="F22" s="307">
        <v>1.475144</v>
      </c>
      <c r="G22" s="307">
        <v>3.075412</v>
      </c>
      <c r="H22" s="307">
        <v>2.5814189999999999</v>
      </c>
      <c r="I22" s="307">
        <v>3.3272949999999999</v>
      </c>
      <c r="J22" s="307">
        <v>0</v>
      </c>
      <c r="K22" s="307">
        <v>0</v>
      </c>
      <c r="L22" s="307">
        <v>0</v>
      </c>
      <c r="M22" s="307">
        <v>0</v>
      </c>
      <c r="N22" s="307">
        <v>2.2322500000000001</v>
      </c>
      <c r="O22" s="307">
        <v>0</v>
      </c>
      <c r="P22" s="307">
        <v>0</v>
      </c>
      <c r="Q22" s="307">
        <v>0</v>
      </c>
      <c r="R22" s="307">
        <v>3.1800410000000001</v>
      </c>
      <c r="S22" s="307">
        <v>2.544219</v>
      </c>
      <c r="T22" s="307">
        <v>3.709158</v>
      </c>
      <c r="U22" s="307">
        <v>3.3962620000000001</v>
      </c>
      <c r="V22" s="307">
        <v>3.3677139999999999</v>
      </c>
      <c r="W22" s="307">
        <v>0</v>
      </c>
      <c r="X22" s="307">
        <v>3.7998569999999998</v>
      </c>
      <c r="Y22" s="307">
        <v>0</v>
      </c>
      <c r="Z22" s="307">
        <v>0</v>
      </c>
      <c r="AA22" s="307">
        <v>0</v>
      </c>
      <c r="AB22" s="307">
        <v>1.140968</v>
      </c>
      <c r="AC22" s="307">
        <v>3.857005</v>
      </c>
      <c r="AD22" s="307">
        <v>2.9364780000000001</v>
      </c>
      <c r="AE22" s="307">
        <v>9.0723590000000005</v>
      </c>
      <c r="AF22" s="307">
        <v>3.0087709999999999</v>
      </c>
      <c r="AG22" s="307">
        <v>0</v>
      </c>
      <c r="AH22" s="307">
        <v>0</v>
      </c>
      <c r="AI22" s="307">
        <v>0</v>
      </c>
      <c r="AJ22" s="307">
        <v>2.812316</v>
      </c>
      <c r="AK22" s="307">
        <v>0</v>
      </c>
      <c r="AL22" s="307">
        <v>8.1290600000000008</v>
      </c>
      <c r="AM22" s="307">
        <v>3.776052</v>
      </c>
      <c r="AN22" s="307">
        <v>3.4729670000000001</v>
      </c>
      <c r="AO22" s="307">
        <v>0</v>
      </c>
      <c r="AP22" s="307">
        <v>3.7816700000000001</v>
      </c>
      <c r="AQ22" s="307">
        <v>0</v>
      </c>
      <c r="AR22" s="307">
        <v>3.6596829999999998</v>
      </c>
      <c r="AS22" s="307">
        <v>0</v>
      </c>
      <c r="AT22" s="307">
        <v>6.7327430000000001</v>
      </c>
      <c r="AU22" s="307">
        <v>3.4426519999999998</v>
      </c>
      <c r="AV22" s="307">
        <v>4.1349720000000003</v>
      </c>
      <c r="AW22" s="307">
        <v>2.3415430000000002</v>
      </c>
      <c r="AX22" s="307">
        <v>0</v>
      </c>
      <c r="AY22" s="307">
        <v>4.9286719999999997</v>
      </c>
      <c r="AZ22" s="307">
        <v>0</v>
      </c>
      <c r="BA22" s="307">
        <v>3.0652529999999998</v>
      </c>
      <c r="BB22" s="307">
        <v>2.8266339999999999</v>
      </c>
      <c r="BC22" s="307">
        <v>0</v>
      </c>
      <c r="BD22" s="307">
        <v>3.7838769999999999</v>
      </c>
      <c r="BE22" s="307">
        <v>3.1314570000000002</v>
      </c>
      <c r="BF22" s="307">
        <v>2.3256730000000001</v>
      </c>
      <c r="BG22" s="307">
        <v>3.0117479999999999</v>
      </c>
      <c r="BH22" s="307">
        <v>3.338444</v>
      </c>
      <c r="BI22" s="307">
        <v>3.5491799999999998</v>
      </c>
      <c r="BJ22" s="307">
        <v>3.2213500000000002</v>
      </c>
      <c r="BK22" s="307">
        <v>5.1404420000000002</v>
      </c>
      <c r="BL22">
        <f t="shared" si="0"/>
        <v>21</v>
      </c>
      <c r="BM22">
        <f t="shared" si="1"/>
        <v>3.6251478750000006</v>
      </c>
      <c r="BN22">
        <f t="shared" si="2"/>
        <v>9.0723590000000005</v>
      </c>
      <c r="BO22">
        <f t="array" ref="BO22">MIN(IF($C22:$BK22&gt;0, $C22:$BK22))</f>
        <v>1.140968</v>
      </c>
      <c r="BP22">
        <f t="shared" si="3"/>
        <v>2.8453979999999999</v>
      </c>
    </row>
    <row r="23" spans="1:68" x14ac:dyDescent="0.25">
      <c r="A23" s="306">
        <v>212210</v>
      </c>
      <c r="B23" s="307" t="s">
        <v>695</v>
      </c>
      <c r="C23" s="307">
        <v>3.0588120000000001</v>
      </c>
      <c r="D23" s="307">
        <v>0</v>
      </c>
      <c r="E23" s="307">
        <v>5.5015140000000002</v>
      </c>
      <c r="F23" s="307">
        <v>0</v>
      </c>
      <c r="G23" s="307">
        <v>4.9456509999999998</v>
      </c>
      <c r="H23" s="307">
        <v>2.5179930000000001</v>
      </c>
      <c r="I23" s="307">
        <v>1.0555810000000001</v>
      </c>
      <c r="J23" s="307">
        <v>0</v>
      </c>
      <c r="K23" s="307">
        <v>0</v>
      </c>
      <c r="L23" s="307">
        <v>0</v>
      </c>
      <c r="M23" s="307">
        <v>1.009611</v>
      </c>
      <c r="N23" s="307">
        <v>0</v>
      </c>
      <c r="O23" s="307">
        <v>0</v>
      </c>
      <c r="P23" s="307">
        <v>0</v>
      </c>
      <c r="Q23" s="307">
        <v>0</v>
      </c>
      <c r="R23" s="307">
        <v>0</v>
      </c>
      <c r="S23" s="307">
        <v>0</v>
      </c>
      <c r="T23" s="307">
        <v>0</v>
      </c>
      <c r="U23" s="307">
        <v>0</v>
      </c>
      <c r="V23" s="307">
        <v>12.08156</v>
      </c>
      <c r="W23" s="307">
        <v>0</v>
      </c>
      <c r="X23" s="307">
        <v>0</v>
      </c>
      <c r="Y23" s="307">
        <v>0</v>
      </c>
      <c r="Z23" s="307">
        <v>3.2294100000000001</v>
      </c>
      <c r="AA23" s="307">
        <v>2.9612500000000002</v>
      </c>
      <c r="AB23" s="307">
        <v>0</v>
      </c>
      <c r="AC23" s="307">
        <v>0</v>
      </c>
      <c r="AD23" s="307">
        <v>3.3943720000000002</v>
      </c>
      <c r="AE23" s="307">
        <v>0</v>
      </c>
      <c r="AF23" s="307">
        <v>0</v>
      </c>
      <c r="AG23" s="307">
        <v>0</v>
      </c>
      <c r="AH23" s="307">
        <v>0</v>
      </c>
      <c r="AI23" s="307">
        <v>0</v>
      </c>
      <c r="AJ23" s="307">
        <v>0</v>
      </c>
      <c r="AK23" s="307">
        <v>5.2167329999999996</v>
      </c>
      <c r="AL23" s="307">
        <v>0</v>
      </c>
      <c r="AM23" s="307">
        <v>0</v>
      </c>
      <c r="AN23" s="307">
        <v>0</v>
      </c>
      <c r="AO23" s="307">
        <v>0</v>
      </c>
      <c r="AP23" s="307">
        <v>6.4472950000000004</v>
      </c>
      <c r="AQ23" s="307">
        <v>0</v>
      </c>
      <c r="AR23" s="307">
        <v>1.4208259999999999</v>
      </c>
      <c r="AS23" s="307">
        <v>0</v>
      </c>
      <c r="AT23" s="307">
        <v>0</v>
      </c>
      <c r="AU23" s="307">
        <v>4.2473340000000004</v>
      </c>
      <c r="AV23" s="307">
        <v>0</v>
      </c>
      <c r="AW23" s="307">
        <v>2.2838409999999998</v>
      </c>
      <c r="AX23" s="307">
        <v>0</v>
      </c>
      <c r="AY23" s="307">
        <v>2.888306</v>
      </c>
      <c r="AZ23" s="307">
        <v>0</v>
      </c>
      <c r="BA23" s="307">
        <v>3.0694620000000001</v>
      </c>
      <c r="BB23" s="307">
        <v>0</v>
      </c>
      <c r="BC23" s="307">
        <v>0</v>
      </c>
      <c r="BD23" s="307">
        <v>6.5490950000000003</v>
      </c>
      <c r="BE23" s="307">
        <v>3.175074</v>
      </c>
      <c r="BF23" s="307">
        <v>2.9558939999999998</v>
      </c>
      <c r="BG23" s="307">
        <v>3.4446599999999998</v>
      </c>
      <c r="BH23" s="307">
        <v>5.1978429999999998</v>
      </c>
      <c r="BI23" s="307">
        <v>4.4491389999999997</v>
      </c>
      <c r="BJ23" s="307">
        <v>1.803404</v>
      </c>
      <c r="BK23" s="307">
        <v>2.7198669999999998</v>
      </c>
      <c r="BL23">
        <f t="shared" si="0"/>
        <v>36</v>
      </c>
      <c r="BM23">
        <f t="shared" si="1"/>
        <v>3.8249810799999993</v>
      </c>
      <c r="BN23">
        <f t="shared" si="2"/>
        <v>12.08156</v>
      </c>
      <c r="BO23">
        <f t="array" ref="BO23">MIN(IF($C23:$BK23&gt;0, $C23:$BK23))</f>
        <v>1.009611</v>
      </c>
      <c r="BP23">
        <f t="shared" si="3"/>
        <v>0</v>
      </c>
    </row>
    <row r="24" spans="1:68" x14ac:dyDescent="0.25">
      <c r="A24" s="306">
        <v>212230</v>
      </c>
      <c r="B24" s="307" t="s">
        <v>696</v>
      </c>
      <c r="C24" s="307">
        <v>3.2067199999999998</v>
      </c>
      <c r="D24" s="307">
        <v>3.9493420000000001</v>
      </c>
      <c r="E24" s="307">
        <v>0</v>
      </c>
      <c r="F24" s="307">
        <v>0</v>
      </c>
      <c r="G24" s="307">
        <v>3.0557020000000001</v>
      </c>
      <c r="H24" s="307">
        <v>0</v>
      </c>
      <c r="I24" s="307">
        <v>1.3628629999999999</v>
      </c>
      <c r="J24" s="307">
        <v>0</v>
      </c>
      <c r="K24" s="307">
        <v>0</v>
      </c>
      <c r="L24" s="307">
        <v>0</v>
      </c>
      <c r="M24" s="307">
        <v>0</v>
      </c>
      <c r="N24" s="307">
        <v>0</v>
      </c>
      <c r="O24" s="307">
        <v>0</v>
      </c>
      <c r="P24" s="307">
        <v>0</v>
      </c>
      <c r="Q24" s="307">
        <v>6.5658029999999998</v>
      </c>
      <c r="R24" s="307">
        <v>0</v>
      </c>
      <c r="S24" s="307">
        <v>0</v>
      </c>
      <c r="T24" s="307">
        <v>0</v>
      </c>
      <c r="U24" s="307">
        <v>0</v>
      </c>
      <c r="V24" s="307">
        <v>1.2014579999999999</v>
      </c>
      <c r="W24" s="307">
        <v>0</v>
      </c>
      <c r="X24" s="307">
        <v>0</v>
      </c>
      <c r="Y24" s="307">
        <v>0</v>
      </c>
      <c r="Z24" s="307">
        <v>2.7358020000000001</v>
      </c>
      <c r="AA24" s="307">
        <v>3.0371760000000001</v>
      </c>
      <c r="AB24" s="307">
        <v>3.4670350000000001</v>
      </c>
      <c r="AC24" s="307">
        <v>0</v>
      </c>
      <c r="AD24" s="307">
        <v>1.828138</v>
      </c>
      <c r="AE24" s="307">
        <v>0</v>
      </c>
      <c r="AF24" s="307">
        <v>0</v>
      </c>
      <c r="AG24" s="307">
        <v>0</v>
      </c>
      <c r="AH24" s="307">
        <v>0</v>
      </c>
      <c r="AI24" s="307">
        <v>0</v>
      </c>
      <c r="AJ24" s="307">
        <v>3.4717349999999998</v>
      </c>
      <c r="AK24" s="307">
        <v>3.0106830000000002</v>
      </c>
      <c r="AL24" s="307">
        <v>2.7171620000000001</v>
      </c>
      <c r="AM24" s="307">
        <v>0</v>
      </c>
      <c r="AN24" s="307">
        <v>6.8592199999999997</v>
      </c>
      <c r="AO24" s="307">
        <v>0</v>
      </c>
      <c r="AP24" s="307">
        <v>0</v>
      </c>
      <c r="AQ24" s="307">
        <v>0</v>
      </c>
      <c r="AR24" s="307">
        <v>0</v>
      </c>
      <c r="AS24" s="307">
        <v>3.6726920000000001</v>
      </c>
      <c r="AT24" s="307">
        <v>5.1059729999999997</v>
      </c>
      <c r="AU24" s="307">
        <v>0</v>
      </c>
      <c r="AV24" s="307">
        <v>3.1346859999999999</v>
      </c>
      <c r="AW24" s="307">
        <v>0</v>
      </c>
      <c r="AX24" s="307">
        <v>3.0728360000000001</v>
      </c>
      <c r="AY24" s="307">
        <v>2.252329</v>
      </c>
      <c r="AZ24" s="307">
        <v>0</v>
      </c>
      <c r="BA24" s="307">
        <v>0</v>
      </c>
      <c r="BB24" s="307">
        <v>0</v>
      </c>
      <c r="BC24" s="307">
        <v>3.1871870000000002</v>
      </c>
      <c r="BD24" s="307">
        <v>4.5919280000000002</v>
      </c>
      <c r="BE24" s="307">
        <v>2.6897099999999998</v>
      </c>
      <c r="BF24" s="307">
        <v>3.4486080000000001</v>
      </c>
      <c r="BG24" s="307">
        <v>0</v>
      </c>
      <c r="BH24" s="307">
        <v>5.0353269999999997</v>
      </c>
      <c r="BI24" s="307">
        <v>1.8574029999999999</v>
      </c>
      <c r="BJ24" s="307">
        <v>3.0707870000000002</v>
      </c>
      <c r="BK24" s="307">
        <v>3.512273</v>
      </c>
      <c r="BL24">
        <f t="shared" si="0"/>
        <v>34</v>
      </c>
      <c r="BM24">
        <f t="shared" si="1"/>
        <v>3.374095481481481</v>
      </c>
      <c r="BN24">
        <f t="shared" si="2"/>
        <v>6.8592199999999997</v>
      </c>
      <c r="BO24">
        <f t="array" ref="BO24">MIN(IF($C24:$BK24&gt;0, $C24:$BK24))</f>
        <v>1.2014579999999999</v>
      </c>
      <c r="BP24">
        <f t="shared" si="3"/>
        <v>0</v>
      </c>
    </row>
    <row r="25" spans="1:68" x14ac:dyDescent="0.25">
      <c r="A25" s="306" t="s">
        <v>697</v>
      </c>
      <c r="B25" s="307" t="s">
        <v>698</v>
      </c>
      <c r="C25" s="307">
        <v>4.8761749999999999</v>
      </c>
      <c r="D25" s="307">
        <v>6.1472329999999999</v>
      </c>
      <c r="E25" s="307">
        <v>7.3672709999999997</v>
      </c>
      <c r="F25" s="307">
        <v>5.1047289999999998</v>
      </c>
      <c r="G25" s="307">
        <v>4.2860719999999999</v>
      </c>
      <c r="H25" s="307">
        <v>4.8745019999999997</v>
      </c>
      <c r="I25" s="307">
        <v>3.957357</v>
      </c>
      <c r="J25" s="307">
        <v>0</v>
      </c>
      <c r="K25" s="307">
        <v>0</v>
      </c>
      <c r="L25" s="307">
        <v>0</v>
      </c>
      <c r="M25" s="307">
        <v>4.0951909999999998</v>
      </c>
      <c r="N25" s="307">
        <v>0</v>
      </c>
      <c r="O25" s="307">
        <v>0</v>
      </c>
      <c r="P25" s="307">
        <v>0</v>
      </c>
      <c r="Q25" s="307">
        <v>5.6255509999999997</v>
      </c>
      <c r="R25" s="307">
        <v>2.5765980000000002</v>
      </c>
      <c r="S25" s="307">
        <v>0</v>
      </c>
      <c r="T25" s="307">
        <v>0</v>
      </c>
      <c r="U25" s="307">
        <v>0</v>
      </c>
      <c r="V25" s="307">
        <v>2.7749169999999999</v>
      </c>
      <c r="W25" s="307">
        <v>0</v>
      </c>
      <c r="X25" s="307">
        <v>0</v>
      </c>
      <c r="Y25" s="307">
        <v>0</v>
      </c>
      <c r="Z25" s="307">
        <v>0</v>
      </c>
      <c r="AA25" s="307">
        <v>0</v>
      </c>
      <c r="AB25" s="307">
        <v>3.2209439999999998</v>
      </c>
      <c r="AC25" s="307">
        <v>0</v>
      </c>
      <c r="AD25" s="307">
        <v>5.2944360000000001</v>
      </c>
      <c r="AE25" s="307">
        <v>7.5796429999999999</v>
      </c>
      <c r="AF25" s="307">
        <v>0</v>
      </c>
      <c r="AG25" s="307">
        <v>2.8704649999999998</v>
      </c>
      <c r="AH25" s="307">
        <v>0</v>
      </c>
      <c r="AI25" s="307">
        <v>0</v>
      </c>
      <c r="AJ25" s="307">
        <v>4.8606179999999997</v>
      </c>
      <c r="AK25" s="307">
        <v>4.5459639999999997</v>
      </c>
      <c r="AL25" s="307">
        <v>1.877351</v>
      </c>
      <c r="AM25" s="307">
        <v>0</v>
      </c>
      <c r="AN25" s="307">
        <v>5.0206189999999999</v>
      </c>
      <c r="AO25" s="307">
        <v>6.6524340000000004</v>
      </c>
      <c r="AP25" s="307">
        <v>4.3929780000000003</v>
      </c>
      <c r="AQ25" s="307">
        <v>0</v>
      </c>
      <c r="AR25" s="307">
        <v>4.9238239999999998</v>
      </c>
      <c r="AS25" s="307">
        <v>5.3239159999999996</v>
      </c>
      <c r="AT25" s="307">
        <v>0</v>
      </c>
      <c r="AU25" s="307">
        <v>6.137416</v>
      </c>
      <c r="AV25" s="307">
        <v>6.555936</v>
      </c>
      <c r="AW25" s="307">
        <v>4.0671429999999997</v>
      </c>
      <c r="AX25" s="307">
        <v>0</v>
      </c>
      <c r="AY25" s="307">
        <v>6.49146</v>
      </c>
      <c r="AZ25" s="307">
        <v>0</v>
      </c>
      <c r="BA25" s="307">
        <v>5.2088770000000002</v>
      </c>
      <c r="BB25" s="307">
        <v>4.5087890000000002</v>
      </c>
      <c r="BC25" s="307">
        <v>0</v>
      </c>
      <c r="BD25" s="307">
        <v>3.7556989999999999</v>
      </c>
      <c r="BE25" s="307">
        <v>3.6637400000000002</v>
      </c>
      <c r="BF25" s="307">
        <v>4.332408</v>
      </c>
      <c r="BG25" s="307">
        <v>4.0079580000000004</v>
      </c>
      <c r="BH25" s="307">
        <v>6.9604670000000004</v>
      </c>
      <c r="BI25" s="307">
        <v>5.5638170000000002</v>
      </c>
      <c r="BJ25" s="307">
        <v>4.8121609999999997</v>
      </c>
      <c r="BK25" s="307">
        <v>5.8135579999999996</v>
      </c>
      <c r="BL25">
        <f t="shared" si="0"/>
        <v>24</v>
      </c>
      <c r="BM25">
        <f t="shared" si="1"/>
        <v>4.868330189189189</v>
      </c>
      <c r="BN25">
        <f t="shared" si="2"/>
        <v>7.5796429999999999</v>
      </c>
      <c r="BO25">
        <f t="array" ref="BO25">MIN(IF($C25:$BK25&gt;0, $C25:$BK25))</f>
        <v>1.877351</v>
      </c>
      <c r="BP25">
        <f t="shared" si="3"/>
        <v>3.7556989999999999</v>
      </c>
    </row>
    <row r="26" spans="1:68" x14ac:dyDescent="0.25">
      <c r="A26" s="306">
        <v>212310</v>
      </c>
      <c r="B26" s="307" t="s">
        <v>699</v>
      </c>
      <c r="C26" s="307">
        <v>6.0030739999999998</v>
      </c>
      <c r="D26" s="307">
        <v>6.951638</v>
      </c>
      <c r="E26" s="307">
        <v>4.3085699999999996</v>
      </c>
      <c r="F26" s="307">
        <v>6.6850500000000004</v>
      </c>
      <c r="G26" s="307">
        <v>4.6375219999999997</v>
      </c>
      <c r="H26" s="307">
        <v>7.0026549999999999</v>
      </c>
      <c r="I26" s="307">
        <v>7.7283429999999997</v>
      </c>
      <c r="J26" s="307">
        <v>6.9341949999999999</v>
      </c>
      <c r="K26" s="307">
        <v>0</v>
      </c>
      <c r="L26" s="307">
        <v>0</v>
      </c>
      <c r="M26" s="307">
        <v>5.3403970000000003</v>
      </c>
      <c r="N26" s="307">
        <v>4.9558020000000003</v>
      </c>
      <c r="O26" s="307">
        <v>3.466129</v>
      </c>
      <c r="P26" s="307">
        <v>5.6434730000000002</v>
      </c>
      <c r="Q26" s="307">
        <v>9.2214320000000001</v>
      </c>
      <c r="R26" s="307">
        <v>4.3666479999999996</v>
      </c>
      <c r="S26" s="307">
        <v>4.4430490000000002</v>
      </c>
      <c r="T26" s="307">
        <v>5.922021</v>
      </c>
      <c r="U26" s="307">
        <v>5.4181889999999999</v>
      </c>
      <c r="V26" s="307">
        <v>8.8331660000000003</v>
      </c>
      <c r="W26" s="307">
        <v>4.4848319999999999</v>
      </c>
      <c r="X26" s="307">
        <v>4.6967400000000001</v>
      </c>
      <c r="Y26" s="307">
        <v>7.0322060000000004</v>
      </c>
      <c r="Z26" s="307">
        <v>5.4993480000000003</v>
      </c>
      <c r="AA26" s="307">
        <v>5.2348660000000002</v>
      </c>
      <c r="AB26" s="307">
        <v>5.4655560000000003</v>
      </c>
      <c r="AC26" s="307">
        <v>7.986415</v>
      </c>
      <c r="AD26" s="307">
        <v>7.2544089999999999</v>
      </c>
      <c r="AE26" s="307">
        <v>4.9459059999999999</v>
      </c>
      <c r="AF26" s="307">
        <v>0</v>
      </c>
      <c r="AG26" s="307">
        <v>3.8108689999999998</v>
      </c>
      <c r="AH26" s="307">
        <v>6.8442850000000002</v>
      </c>
      <c r="AI26" s="307">
        <v>3.2113049999999999</v>
      </c>
      <c r="AJ26" s="307">
        <v>7.4587070000000004</v>
      </c>
      <c r="AK26" s="307">
        <v>6.1274369999999996</v>
      </c>
      <c r="AL26" s="307">
        <v>6.0619339999999999</v>
      </c>
      <c r="AM26" s="307">
        <v>5.5442270000000002</v>
      </c>
      <c r="AN26" s="307">
        <v>7.5885400000000001</v>
      </c>
      <c r="AO26" s="307">
        <v>7.5529130000000002</v>
      </c>
      <c r="AP26" s="307">
        <v>6.8595160000000002</v>
      </c>
      <c r="AQ26" s="307">
        <v>4.2985949999999997</v>
      </c>
      <c r="AR26" s="307">
        <v>5.8965339999999999</v>
      </c>
      <c r="AS26" s="307">
        <v>7.5343410000000004</v>
      </c>
      <c r="AT26" s="307">
        <v>7.2138400000000003</v>
      </c>
      <c r="AU26" s="307">
        <v>6.5976759999999999</v>
      </c>
      <c r="AV26" s="307">
        <v>8.3673920000000006</v>
      </c>
      <c r="AW26" s="307">
        <v>3.9210799999999999</v>
      </c>
      <c r="AX26" s="307">
        <v>7.7138330000000002</v>
      </c>
      <c r="AY26" s="307">
        <v>8.4719499999999996</v>
      </c>
      <c r="AZ26" s="307">
        <v>6.3079859999999996</v>
      </c>
      <c r="BA26" s="307">
        <v>5.6834379999999998</v>
      </c>
      <c r="BB26" s="307">
        <v>5.6348570000000002</v>
      </c>
      <c r="BC26" s="307">
        <v>6.449084</v>
      </c>
      <c r="BD26" s="307">
        <v>6.3222050000000003</v>
      </c>
      <c r="BE26" s="307">
        <v>5.2217099999999999</v>
      </c>
      <c r="BF26" s="307">
        <v>5.6124130000000001</v>
      </c>
      <c r="BG26" s="307">
        <v>5.0554449999999997</v>
      </c>
      <c r="BH26" s="307">
        <v>5.6093719999999996</v>
      </c>
      <c r="BI26" s="307">
        <v>6.8912110000000002</v>
      </c>
      <c r="BJ26" s="307">
        <v>6.4674690000000004</v>
      </c>
      <c r="BK26" s="307">
        <v>7.2460180000000003</v>
      </c>
      <c r="BL26">
        <f t="shared" si="0"/>
        <v>3</v>
      </c>
      <c r="BM26">
        <f t="shared" si="1"/>
        <v>6.1041002241379347</v>
      </c>
      <c r="BN26">
        <f t="shared" si="2"/>
        <v>9.2214320000000001</v>
      </c>
      <c r="BO26">
        <f t="array" ref="BO26">MIN(IF($C26:$BK26&gt;0, $C26:$BK26))</f>
        <v>3.2113049999999999</v>
      </c>
      <c r="BP26">
        <f t="shared" si="3"/>
        <v>5.922021</v>
      </c>
    </row>
    <row r="27" spans="1:68" x14ac:dyDescent="0.25">
      <c r="A27" s="306">
        <v>212320</v>
      </c>
      <c r="B27" s="307" t="s">
        <v>700</v>
      </c>
      <c r="C27" s="307">
        <v>6.2536690000000004</v>
      </c>
      <c r="D27" s="307">
        <v>7.9124569999999999</v>
      </c>
      <c r="E27" s="307">
        <v>6.0668819999999997</v>
      </c>
      <c r="F27" s="307">
        <v>7.2035020000000003</v>
      </c>
      <c r="G27" s="307">
        <v>6.1597479999999996</v>
      </c>
      <c r="H27" s="307">
        <v>6.7773079999999997</v>
      </c>
      <c r="I27" s="307">
        <v>6.3520630000000002</v>
      </c>
      <c r="J27" s="307">
        <v>4.6019160000000001</v>
      </c>
      <c r="K27" s="307">
        <v>0</v>
      </c>
      <c r="L27" s="307">
        <v>3.1030090000000001</v>
      </c>
      <c r="M27" s="307">
        <v>5.8923110000000003</v>
      </c>
      <c r="N27" s="307">
        <v>4.8565740000000002</v>
      </c>
      <c r="O27" s="307">
        <v>3.7627920000000001</v>
      </c>
      <c r="P27" s="307">
        <v>6.3741450000000004</v>
      </c>
      <c r="Q27" s="307">
        <v>8.0917549999999991</v>
      </c>
      <c r="R27" s="307">
        <v>4.3348550000000001</v>
      </c>
      <c r="S27" s="307">
        <v>4.774705</v>
      </c>
      <c r="T27" s="307">
        <v>5.9260719999999996</v>
      </c>
      <c r="U27" s="307">
        <v>6.2122869999999999</v>
      </c>
      <c r="V27" s="307">
        <v>6.8723200000000002</v>
      </c>
      <c r="W27" s="307">
        <v>5.3711989999999998</v>
      </c>
      <c r="X27" s="307">
        <v>4.390428</v>
      </c>
      <c r="Y27" s="307">
        <v>4.4338499999999996</v>
      </c>
      <c r="Z27" s="307">
        <v>6.2953510000000001</v>
      </c>
      <c r="AA27" s="307">
        <v>5.7571849999999998</v>
      </c>
      <c r="AB27" s="307">
        <v>5.3983980000000003</v>
      </c>
      <c r="AC27" s="307">
        <v>7.0497449999999997</v>
      </c>
      <c r="AD27" s="307">
        <v>5.5366710000000001</v>
      </c>
      <c r="AE27" s="307">
        <v>7.4186940000000003</v>
      </c>
      <c r="AF27" s="307">
        <v>5.4113990000000003</v>
      </c>
      <c r="AG27" s="307">
        <v>4.1372960000000001</v>
      </c>
      <c r="AH27" s="307">
        <v>8.2412369999999999</v>
      </c>
      <c r="AI27" s="307">
        <v>3.6780309999999998</v>
      </c>
      <c r="AJ27" s="307">
        <v>7.1952759999999998</v>
      </c>
      <c r="AK27" s="307">
        <v>6.1647090000000002</v>
      </c>
      <c r="AL27" s="307">
        <v>6.5729230000000003</v>
      </c>
      <c r="AM27" s="307">
        <v>7.0438000000000001</v>
      </c>
      <c r="AN27" s="307">
        <v>7.7292839999999998</v>
      </c>
      <c r="AO27" s="307">
        <v>6.8640730000000003</v>
      </c>
      <c r="AP27" s="307">
        <v>7.8298120000000004</v>
      </c>
      <c r="AQ27" s="307">
        <v>5.1822790000000003</v>
      </c>
      <c r="AR27" s="307">
        <v>6.7208209999999999</v>
      </c>
      <c r="AS27" s="307">
        <v>6.519444</v>
      </c>
      <c r="AT27" s="307">
        <v>4.0443350000000002</v>
      </c>
      <c r="AU27" s="307">
        <v>6.1516960000000003</v>
      </c>
      <c r="AV27" s="307">
        <v>8.4255999999999993</v>
      </c>
      <c r="AW27" s="307">
        <v>4.0855949999999996</v>
      </c>
      <c r="AX27" s="307">
        <v>7.4698099999999998</v>
      </c>
      <c r="AY27" s="307">
        <v>7.0993870000000001</v>
      </c>
      <c r="AZ27" s="307">
        <v>5.4548880000000004</v>
      </c>
      <c r="BA27" s="307">
        <v>3.5658970000000001</v>
      </c>
      <c r="BB27" s="307">
        <v>5.3380530000000004</v>
      </c>
      <c r="BC27" s="307">
        <v>5.981878</v>
      </c>
      <c r="BD27" s="307">
        <v>6.4112999999999998</v>
      </c>
      <c r="BE27" s="307">
        <v>5.6086580000000001</v>
      </c>
      <c r="BF27" s="307">
        <v>5.6099990000000002</v>
      </c>
      <c r="BG27" s="307">
        <v>5.3507350000000002</v>
      </c>
      <c r="BH27" s="307">
        <v>5.6233950000000004</v>
      </c>
      <c r="BI27" s="307">
        <v>6.5024509999999998</v>
      </c>
      <c r="BJ27" s="307">
        <v>6.756494</v>
      </c>
      <c r="BK27" s="307">
        <v>6.871346</v>
      </c>
      <c r="BL27">
        <f t="shared" si="0"/>
        <v>1</v>
      </c>
      <c r="BM27">
        <f t="shared" si="1"/>
        <v>5.9803631999999993</v>
      </c>
      <c r="BN27">
        <f t="shared" si="2"/>
        <v>8.4255999999999993</v>
      </c>
      <c r="BO27">
        <f t="array" ref="BO27">MIN(IF($C27:$BK27&gt;0, $C27:$BK27))</f>
        <v>3.1030090000000001</v>
      </c>
      <c r="BP27">
        <f t="shared" si="3"/>
        <v>6.1516960000000003</v>
      </c>
    </row>
    <row r="28" spans="1:68" x14ac:dyDescent="0.25">
      <c r="A28" s="306">
        <v>212390</v>
      </c>
      <c r="B28" s="307" t="s">
        <v>701</v>
      </c>
      <c r="C28" s="307">
        <v>4.109407</v>
      </c>
      <c r="D28" s="307">
        <v>3.4146130000000001</v>
      </c>
      <c r="E28" s="307">
        <v>8.6018640000000008</v>
      </c>
      <c r="F28" s="307">
        <v>6.6244680000000002</v>
      </c>
      <c r="G28" s="307">
        <v>4.5761669999999999</v>
      </c>
      <c r="H28" s="307">
        <v>5.2184189999999999</v>
      </c>
      <c r="I28" s="307">
        <v>2.6218880000000002</v>
      </c>
      <c r="J28" s="307">
        <v>3.5753659999999998</v>
      </c>
      <c r="K28" s="307">
        <v>0</v>
      </c>
      <c r="L28" s="307">
        <v>0</v>
      </c>
      <c r="M28" s="307">
        <v>3.1747830000000001</v>
      </c>
      <c r="N28" s="307">
        <v>4.5001769999999999</v>
      </c>
      <c r="O28" s="307">
        <v>3.2463489999999999</v>
      </c>
      <c r="P28" s="307">
        <v>6.1056889999999999</v>
      </c>
      <c r="Q28" s="307">
        <v>5.7559670000000001</v>
      </c>
      <c r="R28" s="307">
        <v>5.1020880000000002</v>
      </c>
      <c r="S28" s="307">
        <v>2.7984879999999999</v>
      </c>
      <c r="T28" s="307">
        <v>4.0064719999999996</v>
      </c>
      <c r="U28" s="307">
        <v>0</v>
      </c>
      <c r="V28" s="307">
        <v>3.8166690000000001</v>
      </c>
      <c r="W28" s="307">
        <v>0</v>
      </c>
      <c r="X28" s="307">
        <v>3.981185</v>
      </c>
      <c r="Y28" s="307">
        <v>6.4079379999999997</v>
      </c>
      <c r="Z28" s="307">
        <v>5.9936959999999999</v>
      </c>
      <c r="AA28" s="307">
        <v>8.6056869999999996</v>
      </c>
      <c r="AB28" s="307">
        <v>5.3188890000000004</v>
      </c>
      <c r="AC28" s="307">
        <v>7.915832</v>
      </c>
      <c r="AD28" s="307">
        <v>3.751811</v>
      </c>
      <c r="AE28" s="307">
        <v>4.8226120000000003</v>
      </c>
      <c r="AF28" s="307">
        <v>0</v>
      </c>
      <c r="AG28" s="307">
        <v>2.7057030000000002</v>
      </c>
      <c r="AH28" s="307">
        <v>8.5585579999999997</v>
      </c>
      <c r="AI28" s="307">
        <v>2.596549</v>
      </c>
      <c r="AJ28" s="307">
        <v>3.935308</v>
      </c>
      <c r="AK28" s="307">
        <v>4.8828560000000003</v>
      </c>
      <c r="AL28" s="307">
        <v>4.7616849999999999</v>
      </c>
      <c r="AM28" s="307">
        <v>4.3210119999999996</v>
      </c>
      <c r="AN28" s="307">
        <v>5.7986139999999997</v>
      </c>
      <c r="AO28" s="307">
        <v>7.0890570000000004</v>
      </c>
      <c r="AP28" s="307">
        <v>7.6366909999999999</v>
      </c>
      <c r="AQ28" s="307">
        <v>0</v>
      </c>
      <c r="AR28" s="307">
        <v>5.2867990000000002</v>
      </c>
      <c r="AS28" s="307">
        <v>8.111936</v>
      </c>
      <c r="AT28" s="307">
        <v>8.4406610000000004</v>
      </c>
      <c r="AU28" s="307">
        <v>3.879235</v>
      </c>
      <c r="AV28" s="307">
        <v>4.0812819999999999</v>
      </c>
      <c r="AW28" s="307">
        <v>2.5974629999999999</v>
      </c>
      <c r="AX28" s="307">
        <v>4.6941199999999998</v>
      </c>
      <c r="AY28" s="307">
        <v>6.2947259999999998</v>
      </c>
      <c r="AZ28" s="307">
        <v>4.411467</v>
      </c>
      <c r="BA28" s="307">
        <v>2.2533020000000001</v>
      </c>
      <c r="BB28" s="307">
        <v>2.5690620000000002</v>
      </c>
      <c r="BC28" s="307">
        <v>5.2427109999999999</v>
      </c>
      <c r="BD28" s="307">
        <v>4.6341669999999997</v>
      </c>
      <c r="BE28" s="307">
        <v>4.3202020000000001</v>
      </c>
      <c r="BF28" s="307">
        <v>4.9124059999999998</v>
      </c>
      <c r="BG28" s="307">
        <v>3.5757500000000002</v>
      </c>
      <c r="BH28" s="307">
        <v>8.5483010000000004</v>
      </c>
      <c r="BI28" s="307">
        <v>4.2528930000000003</v>
      </c>
      <c r="BJ28" s="307">
        <v>3.5492819999999998</v>
      </c>
      <c r="BK28" s="307">
        <v>5.3490349999999998</v>
      </c>
      <c r="BL28">
        <f t="shared" si="0"/>
        <v>6</v>
      </c>
      <c r="BM28">
        <f t="shared" si="1"/>
        <v>4.969770127272727</v>
      </c>
      <c r="BN28">
        <f t="shared" si="2"/>
        <v>8.6056869999999996</v>
      </c>
      <c r="BO28">
        <f t="array" ref="BO28">MIN(IF($C28:$BK28&gt;0, $C28:$BK28))</f>
        <v>2.2533020000000001</v>
      </c>
      <c r="BP28">
        <f t="shared" si="3"/>
        <v>4.411467</v>
      </c>
    </row>
    <row r="29" spans="1:68" x14ac:dyDescent="0.25">
      <c r="A29" s="306">
        <v>213111</v>
      </c>
      <c r="B29" s="307" t="s">
        <v>20</v>
      </c>
      <c r="C29" s="307">
        <v>3.164336</v>
      </c>
      <c r="D29" s="307">
        <v>2.429395</v>
      </c>
      <c r="E29" s="307">
        <v>2.1825299999999999</v>
      </c>
      <c r="F29" s="307">
        <v>3.233546</v>
      </c>
      <c r="G29" s="307">
        <v>2.496575</v>
      </c>
      <c r="H29" s="307">
        <v>3.0212469999999998</v>
      </c>
      <c r="I29" s="307">
        <v>2.9167679999999998</v>
      </c>
      <c r="J29" s="307">
        <v>6.084822</v>
      </c>
      <c r="K29" s="307">
        <v>0</v>
      </c>
      <c r="L29" s="307">
        <v>5.6180430000000001</v>
      </c>
      <c r="M29" s="307">
        <v>7.6119240000000001</v>
      </c>
      <c r="N29" s="307">
        <v>6.6182949999999998</v>
      </c>
      <c r="O29" s="307">
        <v>0</v>
      </c>
      <c r="P29" s="307">
        <v>6.3180699999999996</v>
      </c>
      <c r="Q29" s="307">
        <v>8.0731459999999995</v>
      </c>
      <c r="R29" s="307">
        <v>5.8784770000000002</v>
      </c>
      <c r="S29" s="307">
        <v>7.5391170000000001</v>
      </c>
      <c r="T29" s="307">
        <v>4.9001140000000003</v>
      </c>
      <c r="U29" s="307">
        <v>5.1058209999999997</v>
      </c>
      <c r="V29" s="307">
        <v>2.7819889999999998</v>
      </c>
      <c r="W29" s="307">
        <v>6.7151829999999997</v>
      </c>
      <c r="X29" s="307">
        <v>5.4456129999999998</v>
      </c>
      <c r="Y29" s="307">
        <v>7.9353410000000002</v>
      </c>
      <c r="Z29" s="307">
        <v>4.5210910000000002</v>
      </c>
      <c r="AA29" s="307">
        <v>2.7804340000000001</v>
      </c>
      <c r="AB29" s="307">
        <v>3.871553</v>
      </c>
      <c r="AC29" s="307">
        <v>2.930021</v>
      </c>
      <c r="AD29" s="307">
        <v>3.7324510000000002</v>
      </c>
      <c r="AE29" s="307">
        <v>6.8615950000000003</v>
      </c>
      <c r="AF29" s="307">
        <v>3.3374290000000002</v>
      </c>
      <c r="AG29" s="307">
        <v>5.4101340000000002</v>
      </c>
      <c r="AH29" s="307">
        <v>4.101445</v>
      </c>
      <c r="AI29" s="307">
        <v>4.7900359999999997</v>
      </c>
      <c r="AJ29" s="307">
        <v>3.500375</v>
      </c>
      <c r="AK29" s="307">
        <v>5.5979830000000002</v>
      </c>
      <c r="AL29" s="307">
        <v>2.4508040000000002</v>
      </c>
      <c r="AM29" s="307">
        <v>4.7961349999999996</v>
      </c>
      <c r="AN29" s="307">
        <v>3.5042610000000001</v>
      </c>
      <c r="AO29" s="307">
        <v>8.2487670000000008</v>
      </c>
      <c r="AP29" s="307">
        <v>3.4931459999999999</v>
      </c>
      <c r="AQ29" s="307">
        <v>5.1750769999999999</v>
      </c>
      <c r="AR29" s="307">
        <v>3.4641389999999999</v>
      </c>
      <c r="AS29" s="307">
        <v>4.226731</v>
      </c>
      <c r="AT29" s="307">
        <v>3.5959599999999998</v>
      </c>
      <c r="AU29" s="307">
        <v>2.679001</v>
      </c>
      <c r="AV29" s="307">
        <v>3.1450040000000001</v>
      </c>
      <c r="AW29" s="307">
        <v>4.0630600000000001</v>
      </c>
      <c r="AX29" s="307">
        <v>0</v>
      </c>
      <c r="AY29" s="307">
        <v>6.6781090000000001</v>
      </c>
      <c r="AZ29" s="307">
        <v>7.9313830000000003</v>
      </c>
      <c r="BA29" s="307">
        <v>3.40584</v>
      </c>
      <c r="BB29" s="307">
        <v>2.9469750000000001</v>
      </c>
      <c r="BC29" s="307">
        <v>7.7478689999999997</v>
      </c>
      <c r="BD29" s="307">
        <v>3.3619819999999998</v>
      </c>
      <c r="BE29" s="307">
        <v>5.2908739999999996</v>
      </c>
      <c r="BF29" s="307">
        <v>4.0651039999999998</v>
      </c>
      <c r="BG29" s="307">
        <v>4.1375700000000002</v>
      </c>
      <c r="BH29" s="307">
        <v>3.337596</v>
      </c>
      <c r="BI29" s="307">
        <v>2.8587400000000001</v>
      </c>
      <c r="BJ29" s="307">
        <v>3.159707</v>
      </c>
      <c r="BK29" s="307">
        <v>2.9884439999999999</v>
      </c>
      <c r="BL29">
        <f t="shared" si="0"/>
        <v>3</v>
      </c>
      <c r="BM29">
        <f t="shared" si="1"/>
        <v>4.5561582241379321</v>
      </c>
      <c r="BN29">
        <f t="shared" si="2"/>
        <v>8.2487670000000008</v>
      </c>
      <c r="BO29">
        <f t="array" ref="BO29">MIN(IF($C29:$BK29&gt;0, $C29:$BK29))</f>
        <v>2.1825299999999999</v>
      </c>
      <c r="BP29">
        <f t="shared" si="3"/>
        <v>3.871553</v>
      </c>
    </row>
    <row r="30" spans="1:68" x14ac:dyDescent="0.25">
      <c r="A30" s="306">
        <v>213112</v>
      </c>
      <c r="B30" s="307" t="s">
        <v>21</v>
      </c>
      <c r="C30" s="307">
        <v>4.2471030000000001</v>
      </c>
      <c r="D30" s="307">
        <v>2.7490359999999998</v>
      </c>
      <c r="E30" s="307">
        <v>2.9680279999999999</v>
      </c>
      <c r="F30" s="307">
        <v>4.8136999999999999</v>
      </c>
      <c r="G30" s="307">
        <v>6.2625909999999996</v>
      </c>
      <c r="H30" s="307">
        <v>4.2409780000000001</v>
      </c>
      <c r="I30" s="307">
        <v>3.6408809999999998</v>
      </c>
      <c r="J30" s="307">
        <v>2.528489</v>
      </c>
      <c r="K30" s="307">
        <v>0</v>
      </c>
      <c r="L30" s="307">
        <v>0</v>
      </c>
      <c r="M30" s="307">
        <v>8.6555140000000002</v>
      </c>
      <c r="N30" s="307">
        <v>1.986297</v>
      </c>
      <c r="O30" s="307">
        <v>14.648479999999999</v>
      </c>
      <c r="P30" s="307">
        <v>3.0165120000000001</v>
      </c>
      <c r="Q30" s="307">
        <v>5.0487419999999998</v>
      </c>
      <c r="R30" s="307">
        <v>7.86233</v>
      </c>
      <c r="S30" s="307">
        <v>9.2602810000000009</v>
      </c>
      <c r="T30" s="307">
        <v>6.2002439999999996</v>
      </c>
      <c r="U30" s="307">
        <v>6.3272810000000002</v>
      </c>
      <c r="V30" s="307">
        <v>3.7031969999999998</v>
      </c>
      <c r="W30" s="307">
        <v>7.7662300000000002</v>
      </c>
      <c r="X30" s="307">
        <v>5.9955610000000004</v>
      </c>
      <c r="Y30" s="307">
        <v>0</v>
      </c>
      <c r="Z30" s="307">
        <v>5.5886750000000003</v>
      </c>
      <c r="AA30" s="307">
        <v>5.1865220000000001</v>
      </c>
      <c r="AB30" s="307">
        <v>2.2795260000000002</v>
      </c>
      <c r="AC30" s="307">
        <v>5.244993</v>
      </c>
      <c r="AD30" s="307">
        <v>4.5855550000000003</v>
      </c>
      <c r="AE30" s="307">
        <v>5.736904</v>
      </c>
      <c r="AF30" s="307">
        <v>4.2644780000000004</v>
      </c>
      <c r="AG30" s="307">
        <v>5.7389390000000002</v>
      </c>
      <c r="AH30" s="307">
        <v>0</v>
      </c>
      <c r="AI30" s="307">
        <v>5.5228999999999999</v>
      </c>
      <c r="AJ30" s="307">
        <v>4.8474159999999999</v>
      </c>
      <c r="AK30" s="307">
        <v>6.9222539999999997</v>
      </c>
      <c r="AL30" s="307">
        <v>4.7217919999999998</v>
      </c>
      <c r="AM30" s="307">
        <v>4.8802490000000001</v>
      </c>
      <c r="AN30" s="307">
        <v>4.4379299999999997</v>
      </c>
      <c r="AO30" s="307">
        <v>14.34362</v>
      </c>
      <c r="AP30" s="307">
        <v>4.9070450000000001</v>
      </c>
      <c r="AQ30" s="307">
        <v>0</v>
      </c>
      <c r="AR30" s="307">
        <v>5.1642739999999998</v>
      </c>
      <c r="AS30" s="307">
        <v>9.6434329999999999</v>
      </c>
      <c r="AT30" s="307">
        <v>3.1048360000000002</v>
      </c>
      <c r="AU30" s="307">
        <v>3.6245630000000002</v>
      </c>
      <c r="AV30" s="307">
        <v>4.7392000000000003</v>
      </c>
      <c r="AW30" s="307">
        <v>5.4345689999999998</v>
      </c>
      <c r="AX30" s="307">
        <v>0</v>
      </c>
      <c r="AY30" s="307">
        <v>7.6084509999999996</v>
      </c>
      <c r="AZ30" s="307">
        <v>6.4629349999999999</v>
      </c>
      <c r="BA30" s="307">
        <v>5.8722479999999999</v>
      </c>
      <c r="BB30" s="307">
        <v>4.4241929999999998</v>
      </c>
      <c r="BC30" s="307">
        <v>5.4440429999999997</v>
      </c>
      <c r="BD30" s="307">
        <v>5.0763680000000004</v>
      </c>
      <c r="BE30" s="307">
        <v>5.7640989999999999</v>
      </c>
      <c r="BF30" s="307">
        <v>5.0294800000000004</v>
      </c>
      <c r="BG30" s="307">
        <v>5.7407649999999997</v>
      </c>
      <c r="BH30" s="307">
        <v>5.0099070000000001</v>
      </c>
      <c r="BI30" s="307">
        <v>3.8671199999999999</v>
      </c>
      <c r="BJ30" s="307">
        <v>4.3938439999999996</v>
      </c>
      <c r="BK30" s="307">
        <v>3.5528740000000001</v>
      </c>
      <c r="BL30">
        <f t="shared" si="0"/>
        <v>6</v>
      </c>
      <c r="BM30">
        <f t="shared" si="1"/>
        <v>5.4743177272727266</v>
      </c>
      <c r="BN30">
        <f t="shared" si="2"/>
        <v>14.648479999999999</v>
      </c>
      <c r="BO30">
        <f t="array" ref="BO30">MIN(IF($C30:$BK30&gt;0, $C30:$BK30))</f>
        <v>1.986297</v>
      </c>
      <c r="BP30">
        <f t="shared" si="3"/>
        <v>4.9070450000000001</v>
      </c>
    </row>
    <row r="31" spans="1:68" x14ac:dyDescent="0.25">
      <c r="A31" s="306" t="s">
        <v>702</v>
      </c>
      <c r="B31" s="307" t="s">
        <v>22</v>
      </c>
      <c r="C31" s="307">
        <v>4.76023</v>
      </c>
      <c r="D31" s="307">
        <v>3.0176639999999999</v>
      </c>
      <c r="E31" s="307">
        <v>2.5379230000000002</v>
      </c>
      <c r="F31" s="307">
        <v>4.7320900000000004</v>
      </c>
      <c r="G31" s="307">
        <v>3.7234980000000002</v>
      </c>
      <c r="H31" s="307">
        <v>4.851102</v>
      </c>
      <c r="I31" s="307">
        <v>4.2602130000000002</v>
      </c>
      <c r="J31" s="307">
        <v>9.0191320000000008</v>
      </c>
      <c r="K31" s="307">
        <v>0</v>
      </c>
      <c r="L31" s="307">
        <v>0</v>
      </c>
      <c r="M31" s="307">
        <v>8.1492970000000007</v>
      </c>
      <c r="N31" s="307">
        <v>6.4272210000000003</v>
      </c>
      <c r="O31" s="307">
        <v>0</v>
      </c>
      <c r="P31" s="307">
        <v>8.4611210000000003</v>
      </c>
      <c r="Q31" s="307">
        <v>6.6738840000000001</v>
      </c>
      <c r="R31" s="307">
        <v>5.880306</v>
      </c>
      <c r="S31" s="307">
        <v>6.1017859999999997</v>
      </c>
      <c r="T31" s="307">
        <v>7.719983</v>
      </c>
      <c r="U31" s="307">
        <v>5.3897380000000004</v>
      </c>
      <c r="V31" s="307">
        <v>2.8883049999999999</v>
      </c>
      <c r="W31" s="307">
        <v>7.1890229999999997</v>
      </c>
      <c r="X31" s="307">
        <v>4.6020200000000004</v>
      </c>
      <c r="Y31" s="307">
        <v>0</v>
      </c>
      <c r="Z31" s="307">
        <v>4.2379740000000004</v>
      </c>
      <c r="AA31" s="307">
        <v>8.2081099999999996</v>
      </c>
      <c r="AB31" s="307">
        <v>3.9140419999999998</v>
      </c>
      <c r="AC31" s="307">
        <v>8.1394300000000008</v>
      </c>
      <c r="AD31" s="307">
        <v>4.2174319999999996</v>
      </c>
      <c r="AE31" s="307">
        <v>7.6574020000000003</v>
      </c>
      <c r="AF31" s="307">
        <v>4.391108</v>
      </c>
      <c r="AG31" s="307">
        <v>5.0675169999999996</v>
      </c>
      <c r="AH31" s="307">
        <v>2.6957849999999999</v>
      </c>
      <c r="AI31" s="307">
        <v>4.797472</v>
      </c>
      <c r="AJ31" s="307">
        <v>5.7966709999999999</v>
      </c>
      <c r="AK31" s="307">
        <v>4.1034639999999998</v>
      </c>
      <c r="AL31" s="307">
        <v>4.4908320000000002</v>
      </c>
      <c r="AM31" s="307">
        <v>3.383559</v>
      </c>
      <c r="AN31" s="307">
        <v>6.166245</v>
      </c>
      <c r="AO31" s="307">
        <v>8.8310370000000002</v>
      </c>
      <c r="AP31" s="307">
        <v>4.560651</v>
      </c>
      <c r="AQ31" s="307">
        <v>0</v>
      </c>
      <c r="AR31" s="307">
        <v>4.1267019999999999</v>
      </c>
      <c r="AS31" s="307">
        <v>7.7824540000000004</v>
      </c>
      <c r="AT31" s="307">
        <v>2.7031960000000002</v>
      </c>
      <c r="AU31" s="307">
        <v>3.3264260000000001</v>
      </c>
      <c r="AV31" s="307">
        <v>2.976</v>
      </c>
      <c r="AW31" s="307">
        <v>3.7354620000000001</v>
      </c>
      <c r="AX31" s="307">
        <v>3.1374659999999999</v>
      </c>
      <c r="AY31" s="307">
        <v>5.1599890000000004</v>
      </c>
      <c r="AZ31" s="307">
        <v>7.2653650000000001</v>
      </c>
      <c r="BA31" s="307">
        <v>3.9765519999999999</v>
      </c>
      <c r="BB31" s="307">
        <v>4.7413150000000002</v>
      </c>
      <c r="BC31" s="307">
        <v>5.565601</v>
      </c>
      <c r="BD31" s="307">
        <v>4.7129469999999998</v>
      </c>
      <c r="BE31" s="307">
        <v>4.3745469999999997</v>
      </c>
      <c r="BF31" s="307">
        <v>6.2970949999999997</v>
      </c>
      <c r="BG31" s="307">
        <v>4.3060029999999996</v>
      </c>
      <c r="BH31" s="307">
        <v>4.9813599999999996</v>
      </c>
      <c r="BI31" s="307">
        <v>3.7881800000000001</v>
      </c>
      <c r="BJ31" s="307">
        <v>4.2602060000000002</v>
      </c>
      <c r="BK31" s="307">
        <v>5.2293430000000001</v>
      </c>
      <c r="BL31">
        <f t="shared" si="0"/>
        <v>5</v>
      </c>
      <c r="BM31">
        <f t="shared" si="1"/>
        <v>5.1694549285714277</v>
      </c>
      <c r="BN31">
        <f t="shared" si="2"/>
        <v>9.0191320000000008</v>
      </c>
      <c r="BO31">
        <f t="array" ref="BO31">MIN(IF($C31:$BK31&gt;0, $C31:$BK31))</f>
        <v>2.5379230000000002</v>
      </c>
      <c r="BP31">
        <f t="shared" si="3"/>
        <v>4.6020200000000004</v>
      </c>
    </row>
    <row r="32" spans="1:68" x14ac:dyDescent="0.25">
      <c r="A32" s="306" t="s">
        <v>602</v>
      </c>
      <c r="B32" s="307" t="s">
        <v>23</v>
      </c>
      <c r="C32" s="307">
        <v>2.3964289999999999</v>
      </c>
      <c r="D32" s="307">
        <v>2.9859870000000002</v>
      </c>
      <c r="E32" s="307">
        <v>2.6084230000000002</v>
      </c>
      <c r="F32" s="307">
        <v>2.8794460000000002</v>
      </c>
      <c r="G32" s="307">
        <v>2.4229609999999999</v>
      </c>
      <c r="H32" s="307">
        <v>2.0914199999999998</v>
      </c>
      <c r="I32" s="307">
        <v>2.6148940000000001</v>
      </c>
      <c r="J32" s="307">
        <v>1.912236</v>
      </c>
      <c r="K32" s="307">
        <v>0.34784890000000002</v>
      </c>
      <c r="L32" s="307">
        <v>1.8836120000000001</v>
      </c>
      <c r="M32" s="307">
        <v>2.6266180000000001</v>
      </c>
      <c r="N32" s="307">
        <v>2.4571700000000001</v>
      </c>
      <c r="O32" s="307">
        <v>2.8587590000000001</v>
      </c>
      <c r="P32" s="307">
        <v>2.722172</v>
      </c>
      <c r="Q32" s="307">
        <v>2.6975790000000002</v>
      </c>
      <c r="R32" s="307">
        <v>1.9049100000000001</v>
      </c>
      <c r="S32" s="307">
        <v>2.4999159999999998</v>
      </c>
      <c r="T32" s="307">
        <v>2.712351</v>
      </c>
      <c r="U32" s="307">
        <v>2.7934890000000001</v>
      </c>
      <c r="V32" s="307">
        <v>2.403044</v>
      </c>
      <c r="W32" s="307">
        <v>1.8594139999999999</v>
      </c>
      <c r="X32" s="307">
        <v>1.8362069999999999</v>
      </c>
      <c r="Y32" s="307">
        <v>2.9622289999999998</v>
      </c>
      <c r="Z32" s="307">
        <v>2.3389630000000001</v>
      </c>
      <c r="AA32" s="307">
        <v>2.5570919999999999</v>
      </c>
      <c r="AB32" s="307">
        <v>2.535933</v>
      </c>
      <c r="AC32" s="307">
        <v>2.9637060000000002</v>
      </c>
      <c r="AD32" s="307">
        <v>2.7451319999999999</v>
      </c>
      <c r="AE32" s="307">
        <v>2.4618449999999998</v>
      </c>
      <c r="AF32" s="307">
        <v>2.809822</v>
      </c>
      <c r="AG32" s="307">
        <v>1.8217300000000001</v>
      </c>
      <c r="AH32" s="307">
        <v>2.0773549999999998</v>
      </c>
      <c r="AI32" s="307">
        <v>1.8405389999999999</v>
      </c>
      <c r="AJ32" s="307">
        <v>2.857621</v>
      </c>
      <c r="AK32" s="307">
        <v>2.2637450000000001</v>
      </c>
      <c r="AL32" s="307">
        <v>2.063059</v>
      </c>
      <c r="AM32" s="307">
        <v>2.4210690000000001</v>
      </c>
      <c r="AN32" s="307">
        <v>2.7648299999999999</v>
      </c>
      <c r="AO32" s="307">
        <v>2.2467890000000001</v>
      </c>
      <c r="AP32" s="307">
        <v>1.933198</v>
      </c>
      <c r="AQ32" s="307">
        <v>1.969557</v>
      </c>
      <c r="AR32" s="307">
        <v>2.5785260000000001</v>
      </c>
      <c r="AS32" s="307">
        <v>2.9799899999999999</v>
      </c>
      <c r="AT32" s="307">
        <v>2.8239079999999999</v>
      </c>
      <c r="AU32" s="307">
        <v>2.0226790000000001</v>
      </c>
      <c r="AV32" s="307">
        <v>2.564543</v>
      </c>
      <c r="AW32" s="307">
        <v>1.9842280000000001</v>
      </c>
      <c r="AX32" s="307">
        <v>1.9491099999999999</v>
      </c>
      <c r="AY32" s="307">
        <v>2.4172099999999999</v>
      </c>
      <c r="AZ32" s="307">
        <v>2.6085539999999998</v>
      </c>
      <c r="BA32" s="307">
        <v>2.761571</v>
      </c>
      <c r="BB32" s="307">
        <v>2.778314</v>
      </c>
      <c r="BC32" s="307">
        <v>2.1413519999999999</v>
      </c>
      <c r="BD32" s="307">
        <v>2.0877279999999998</v>
      </c>
      <c r="BE32" s="307">
        <v>2.336376</v>
      </c>
      <c r="BF32" s="307">
        <v>2.6830150000000001</v>
      </c>
      <c r="BG32" s="307">
        <v>2.4714170000000002</v>
      </c>
      <c r="BH32" s="307">
        <v>2.7776930000000002</v>
      </c>
      <c r="BI32" s="307">
        <v>2.2043740000000001</v>
      </c>
      <c r="BJ32" s="307">
        <v>2.5890759999999999</v>
      </c>
      <c r="BK32" s="307">
        <v>2.222906</v>
      </c>
      <c r="BL32">
        <f t="shared" si="0"/>
        <v>0</v>
      </c>
      <c r="BM32">
        <f t="shared" si="1"/>
        <v>2.3956011459016398</v>
      </c>
      <c r="BN32">
        <f t="shared" si="2"/>
        <v>2.9859870000000002</v>
      </c>
      <c r="BO32">
        <f t="array" ref="BO32">MIN(IF($C32:$BK32&gt;0, $C32:$BK32))</f>
        <v>0.34784890000000002</v>
      </c>
      <c r="BP32">
        <f t="shared" si="3"/>
        <v>2.4618449999999998</v>
      </c>
    </row>
    <row r="33" spans="1:68" x14ac:dyDescent="0.25">
      <c r="A33" s="306">
        <v>221200</v>
      </c>
      <c r="B33" s="307" t="s">
        <v>24</v>
      </c>
      <c r="C33" s="307">
        <v>1.2210430000000001</v>
      </c>
      <c r="D33" s="307">
        <v>1.4376059999999999</v>
      </c>
      <c r="E33" s="307">
        <v>1.5157350000000001</v>
      </c>
      <c r="F33" s="307">
        <v>1.57308</v>
      </c>
      <c r="G33" s="307">
        <v>1.7123759999999999</v>
      </c>
      <c r="H33" s="307">
        <v>1.057552</v>
      </c>
      <c r="I33" s="307">
        <v>0.95912960000000003</v>
      </c>
      <c r="J33" s="307">
        <v>0.94526860000000001</v>
      </c>
      <c r="K33" s="307">
        <v>0.16243369999999999</v>
      </c>
      <c r="L33" s="307">
        <v>1.253169</v>
      </c>
      <c r="M33" s="307">
        <v>1.811817</v>
      </c>
      <c r="N33" s="307">
        <v>1.2477670000000001</v>
      </c>
      <c r="O33" s="307">
        <v>1.7587919999999999</v>
      </c>
      <c r="P33" s="307">
        <v>1.3725670000000001</v>
      </c>
      <c r="Q33" s="307">
        <v>1.3342400000000001</v>
      </c>
      <c r="R33" s="307">
        <v>1.419284</v>
      </c>
      <c r="S33" s="307">
        <v>1.6134219999999999</v>
      </c>
      <c r="T33" s="307">
        <v>1.603413</v>
      </c>
      <c r="U33" s="307">
        <v>1.8039689999999999</v>
      </c>
      <c r="V33" s="307">
        <v>1.5244979999999999</v>
      </c>
      <c r="W33" s="307">
        <v>0.98278010000000005</v>
      </c>
      <c r="X33" s="307">
        <v>1.2203120000000001</v>
      </c>
      <c r="Y33" s="307">
        <v>1.3894880000000001</v>
      </c>
      <c r="Z33" s="307">
        <v>1.302583</v>
      </c>
      <c r="AA33" s="307">
        <v>1.502216</v>
      </c>
      <c r="AB33" s="307">
        <v>1.180536</v>
      </c>
      <c r="AC33" s="307">
        <v>1.914034</v>
      </c>
      <c r="AD33" s="307">
        <v>1.5065489999999999</v>
      </c>
      <c r="AE33" s="307">
        <v>1.852806</v>
      </c>
      <c r="AF33" s="307">
        <v>1.3902540000000001</v>
      </c>
      <c r="AG33" s="307">
        <v>0.85072979999999998</v>
      </c>
      <c r="AH33" s="307">
        <v>1.175394</v>
      </c>
      <c r="AI33" s="307">
        <v>1.0163450000000001</v>
      </c>
      <c r="AJ33" s="307">
        <v>1.5568470000000001</v>
      </c>
      <c r="AK33" s="307">
        <v>1.2267459999999999</v>
      </c>
      <c r="AL33" s="307">
        <v>1.0342180000000001</v>
      </c>
      <c r="AM33" s="307">
        <v>1.472723</v>
      </c>
      <c r="AN33" s="307">
        <v>1.115345</v>
      </c>
      <c r="AO33" s="307">
        <v>1.2145649999999999</v>
      </c>
      <c r="AP33" s="307">
        <v>1.1212420000000001</v>
      </c>
      <c r="AQ33" s="307">
        <v>0.99596450000000003</v>
      </c>
      <c r="AR33" s="307">
        <v>1.4667870000000001</v>
      </c>
      <c r="AS33" s="307">
        <v>1.591936</v>
      </c>
      <c r="AT33" s="307">
        <v>1.8237920000000001</v>
      </c>
      <c r="AU33" s="307">
        <v>0.92391529999999999</v>
      </c>
      <c r="AV33" s="307">
        <v>1.3837140000000001</v>
      </c>
      <c r="AW33" s="307">
        <v>1.123896</v>
      </c>
      <c r="AX33" s="307">
        <v>1.3500490000000001</v>
      </c>
      <c r="AY33" s="307">
        <v>1.356134</v>
      </c>
      <c r="AZ33" s="307">
        <v>1.5972660000000001</v>
      </c>
      <c r="BA33" s="307">
        <v>1.4325509999999999</v>
      </c>
      <c r="BB33" s="307">
        <v>1.8853960000000001</v>
      </c>
      <c r="BC33" s="307">
        <v>1.0654570000000001</v>
      </c>
      <c r="BD33" s="307">
        <v>1.1062190000000001</v>
      </c>
      <c r="BE33" s="307">
        <v>1.4739390000000001</v>
      </c>
      <c r="BF33" s="307">
        <v>1.397348</v>
      </c>
      <c r="BG33" s="307">
        <v>1.4841709999999999</v>
      </c>
      <c r="BH33" s="307">
        <v>1.6624380000000001</v>
      </c>
      <c r="BI33" s="307">
        <v>1.0566880000000001</v>
      </c>
      <c r="BJ33" s="307">
        <v>1.3475630000000001</v>
      </c>
      <c r="BK33" s="307">
        <v>1.0747260000000001</v>
      </c>
      <c r="BL33">
        <f t="shared" si="0"/>
        <v>0</v>
      </c>
      <c r="BM33">
        <f t="shared" si="1"/>
        <v>1.3434889278688518</v>
      </c>
      <c r="BN33">
        <f t="shared" si="2"/>
        <v>1.914034</v>
      </c>
      <c r="BO33">
        <f t="array" ref="BO33">MIN(IF($C33:$BK33&gt;0, $C33:$BK33))</f>
        <v>0.16243369999999999</v>
      </c>
      <c r="BP33">
        <f t="shared" si="3"/>
        <v>1.3725670000000001</v>
      </c>
    </row>
    <row r="34" spans="1:68" x14ac:dyDescent="0.25">
      <c r="A34" s="306">
        <v>221300</v>
      </c>
      <c r="B34" s="307" t="s">
        <v>703</v>
      </c>
      <c r="C34" s="307">
        <v>5.0901569999999996</v>
      </c>
      <c r="D34" s="307">
        <v>4.9151400000000001</v>
      </c>
      <c r="E34" s="307">
        <v>7.0258599999999998</v>
      </c>
      <c r="F34" s="307">
        <v>7.6217790000000001</v>
      </c>
      <c r="G34" s="307">
        <v>4.6321779999999997</v>
      </c>
      <c r="H34" s="307">
        <v>4.1805120000000002</v>
      </c>
      <c r="I34" s="307">
        <v>5.3690519999999999</v>
      </c>
      <c r="J34" s="307">
        <v>3.584762</v>
      </c>
      <c r="K34" s="307">
        <v>0.65858709999999998</v>
      </c>
      <c r="L34" s="307">
        <v>3.4628890000000001</v>
      </c>
      <c r="M34" s="307">
        <v>5.8621439999999998</v>
      </c>
      <c r="N34" s="307">
        <v>5.3209200000000001</v>
      </c>
      <c r="O34" s="307">
        <v>6.1715369999999998</v>
      </c>
      <c r="P34" s="307">
        <v>6.2943619999999996</v>
      </c>
      <c r="Q34" s="307">
        <v>7.7046070000000002</v>
      </c>
      <c r="R34" s="307">
        <v>5.4445740000000002</v>
      </c>
      <c r="S34" s="307">
        <v>5.182817</v>
      </c>
      <c r="T34" s="307">
        <v>7.2723040000000001</v>
      </c>
      <c r="U34" s="307">
        <v>6.8483070000000001</v>
      </c>
      <c r="V34" s="307">
        <v>7.3455620000000001</v>
      </c>
      <c r="W34" s="307">
        <v>3.4855200000000002</v>
      </c>
      <c r="X34" s="307">
        <v>4.1596770000000003</v>
      </c>
      <c r="Y34" s="307">
        <v>5.239903</v>
      </c>
      <c r="Z34" s="307">
        <v>4.3983420000000004</v>
      </c>
      <c r="AA34" s="307">
        <v>3.7146720000000002</v>
      </c>
      <c r="AB34" s="307">
        <v>4.5378530000000001</v>
      </c>
      <c r="AC34" s="307">
        <v>7.6650479999999996</v>
      </c>
      <c r="AD34" s="307">
        <v>7.8579939999999997</v>
      </c>
      <c r="AE34" s="307">
        <v>6.7079909999999998</v>
      </c>
      <c r="AF34" s="307">
        <v>7.6232939999999996</v>
      </c>
      <c r="AG34" s="307">
        <v>3.4149189999999998</v>
      </c>
      <c r="AH34" s="307">
        <v>5.5301590000000003</v>
      </c>
      <c r="AI34" s="307">
        <v>3.4504079999999999</v>
      </c>
      <c r="AJ34" s="307">
        <v>7.6639900000000001</v>
      </c>
      <c r="AK34" s="307">
        <v>5.0563549999999999</v>
      </c>
      <c r="AL34" s="307">
        <v>3.9457309999999999</v>
      </c>
      <c r="AM34" s="307">
        <v>5.3578020000000004</v>
      </c>
      <c r="AN34" s="307">
        <v>6.0804650000000002</v>
      </c>
      <c r="AO34" s="307">
        <v>6.8361099999999997</v>
      </c>
      <c r="AP34" s="307">
        <v>3.9479169999999999</v>
      </c>
      <c r="AQ34" s="307">
        <v>3.228132</v>
      </c>
      <c r="AR34" s="307">
        <v>5.8128869999999999</v>
      </c>
      <c r="AS34" s="307">
        <v>7.1608809999999998</v>
      </c>
      <c r="AT34" s="307">
        <v>6.2513759999999996</v>
      </c>
      <c r="AU34" s="307">
        <v>4.3177909999999997</v>
      </c>
      <c r="AV34" s="307">
        <v>7.7276280000000002</v>
      </c>
      <c r="AW34" s="307">
        <v>5.1769059999999998</v>
      </c>
      <c r="AX34" s="307">
        <v>6.326219</v>
      </c>
      <c r="AY34" s="307">
        <v>5.2254690000000004</v>
      </c>
      <c r="AZ34" s="307">
        <v>4.0726399999999998</v>
      </c>
      <c r="BA34" s="307">
        <v>5.0857859999999997</v>
      </c>
      <c r="BB34" s="307">
        <v>5.642029</v>
      </c>
      <c r="BC34" s="307">
        <v>3.9907520000000001</v>
      </c>
      <c r="BD34" s="307">
        <v>3.9004910000000002</v>
      </c>
      <c r="BE34" s="307">
        <v>5.2515869999999998</v>
      </c>
      <c r="BF34" s="307">
        <v>5.3162630000000002</v>
      </c>
      <c r="BG34" s="307">
        <v>5.3893979999999999</v>
      </c>
      <c r="BH34" s="307">
        <v>7.3124200000000004</v>
      </c>
      <c r="BI34" s="307">
        <v>5.0822909999999997</v>
      </c>
      <c r="BJ34" s="307">
        <v>5.8091030000000003</v>
      </c>
      <c r="BK34" s="307">
        <v>4.5021709999999997</v>
      </c>
      <c r="BL34">
        <f t="shared" si="0"/>
        <v>0</v>
      </c>
      <c r="BM34">
        <f t="shared" si="1"/>
        <v>5.3974495098360613</v>
      </c>
      <c r="BN34">
        <f t="shared" si="2"/>
        <v>7.8579939999999997</v>
      </c>
      <c r="BO34">
        <f t="array" ref="BO34">MIN(IF($C34:$BK34&gt;0, $C34:$BK34))</f>
        <v>0.65858709999999998</v>
      </c>
      <c r="BP34">
        <f t="shared" si="3"/>
        <v>5.3162630000000002</v>
      </c>
    </row>
    <row r="35" spans="1:68" x14ac:dyDescent="0.25">
      <c r="A35" s="306">
        <v>230000</v>
      </c>
      <c r="B35" s="307" t="s">
        <v>426</v>
      </c>
      <c r="C35" s="307">
        <v>9.2166180000000004</v>
      </c>
      <c r="D35" s="307">
        <v>7.209867</v>
      </c>
      <c r="E35" s="307">
        <v>11.17624</v>
      </c>
      <c r="F35" s="307">
        <v>10.888210000000001</v>
      </c>
      <c r="G35" s="307">
        <v>8.8837419999999998</v>
      </c>
      <c r="H35" s="307">
        <v>7.4281540000000001</v>
      </c>
      <c r="I35" s="307">
        <v>8.7197669999999992</v>
      </c>
      <c r="J35" s="307">
        <v>7.0235139999999996</v>
      </c>
      <c r="K35" s="307">
        <v>1.3373820000000001</v>
      </c>
      <c r="L35" s="307">
        <v>7.2992059999999999</v>
      </c>
      <c r="M35" s="307">
        <v>9.9571369999999995</v>
      </c>
      <c r="N35" s="307">
        <v>10.46691</v>
      </c>
      <c r="O35" s="307">
        <v>7.3560639999999999</v>
      </c>
      <c r="P35" s="307">
        <v>10.23929</v>
      </c>
      <c r="Q35" s="307">
        <v>11.40935</v>
      </c>
      <c r="R35" s="307">
        <v>7.350441</v>
      </c>
      <c r="S35" s="307">
        <v>9.2478200000000008</v>
      </c>
      <c r="T35" s="307">
        <v>8.9962660000000003</v>
      </c>
      <c r="U35" s="307">
        <v>10.52041</v>
      </c>
      <c r="V35" s="307">
        <v>9.3116079999999997</v>
      </c>
      <c r="W35" s="307">
        <v>6.9603440000000001</v>
      </c>
      <c r="X35" s="307">
        <v>7.2079040000000001</v>
      </c>
      <c r="Y35" s="307">
        <v>11.539429999999999</v>
      </c>
      <c r="Z35" s="307">
        <v>9.3526330000000009</v>
      </c>
      <c r="AA35" s="307">
        <v>8.9184249999999992</v>
      </c>
      <c r="AB35" s="307">
        <v>8.8747760000000007</v>
      </c>
      <c r="AC35" s="307">
        <v>10.88505</v>
      </c>
      <c r="AD35" s="307">
        <v>11.54921</v>
      </c>
      <c r="AE35" s="307">
        <v>11.17872</v>
      </c>
      <c r="AF35" s="307">
        <v>9.0047160000000002</v>
      </c>
      <c r="AG35" s="307">
        <v>9.981166</v>
      </c>
      <c r="AH35" s="307">
        <v>8.3151589999999995</v>
      </c>
      <c r="AI35" s="307">
        <v>6.8870839999999998</v>
      </c>
      <c r="AJ35" s="307">
        <v>10.418670000000001</v>
      </c>
      <c r="AK35" s="307">
        <v>7.202159</v>
      </c>
      <c r="AL35" s="307">
        <v>7.2589670000000002</v>
      </c>
      <c r="AM35" s="307">
        <v>9.5922610000000006</v>
      </c>
      <c r="AN35" s="307">
        <v>11.510160000000001</v>
      </c>
      <c r="AO35" s="307">
        <v>9.037388</v>
      </c>
      <c r="AP35" s="307">
        <v>8.2453000000000003</v>
      </c>
      <c r="AQ35" s="307">
        <v>7.9880880000000003</v>
      </c>
      <c r="AR35" s="307">
        <v>10.93192</v>
      </c>
      <c r="AS35" s="307">
        <v>11.210190000000001</v>
      </c>
      <c r="AT35" s="307">
        <v>10.20181</v>
      </c>
      <c r="AU35" s="307">
        <v>9.3113639999999993</v>
      </c>
      <c r="AV35" s="307">
        <v>10.265269999999999</v>
      </c>
      <c r="AW35" s="307">
        <v>8.6031200000000005</v>
      </c>
      <c r="AX35" s="307">
        <v>11.07597</v>
      </c>
      <c r="AY35" s="307">
        <v>8.1039490000000001</v>
      </c>
      <c r="AZ35" s="307">
        <v>8.9504599999999996</v>
      </c>
      <c r="BA35" s="307">
        <v>9.3165239999999994</v>
      </c>
      <c r="BB35" s="307">
        <v>8.6885309999999993</v>
      </c>
      <c r="BC35" s="307">
        <v>8.2379669999999994</v>
      </c>
      <c r="BD35" s="307">
        <v>7.9713630000000002</v>
      </c>
      <c r="BE35" s="307">
        <v>8.8999869999999994</v>
      </c>
      <c r="BF35" s="307">
        <v>9.7887199999999996</v>
      </c>
      <c r="BG35" s="307">
        <v>10.0266</v>
      </c>
      <c r="BH35" s="307">
        <v>10.976990000000001</v>
      </c>
      <c r="BI35" s="307">
        <v>9.6880039999999994</v>
      </c>
      <c r="BJ35" s="307">
        <v>9.1823110000000003</v>
      </c>
      <c r="BK35" s="307">
        <v>7.7206929999999998</v>
      </c>
      <c r="BL35">
        <f t="shared" si="0"/>
        <v>0</v>
      </c>
      <c r="BM35">
        <f t="shared" si="1"/>
        <v>9.099956540983607</v>
      </c>
      <c r="BN35">
        <f t="shared" si="2"/>
        <v>11.54921</v>
      </c>
      <c r="BO35">
        <f t="array" ref="BO35">MIN(IF($C35:$BK35&gt;0, $C35:$BK35))</f>
        <v>1.3373820000000001</v>
      </c>
      <c r="BP35">
        <f t="shared" si="3"/>
        <v>9.1823110000000003</v>
      </c>
    </row>
    <row r="36" spans="1:68" x14ac:dyDescent="0.25">
      <c r="A36" s="306">
        <v>311111</v>
      </c>
      <c r="B36" s="307" t="s">
        <v>25</v>
      </c>
      <c r="C36" s="307">
        <v>2.103173</v>
      </c>
      <c r="D36" s="307">
        <v>3.5734840000000001</v>
      </c>
      <c r="E36" s="307">
        <v>2.5577489999999998</v>
      </c>
      <c r="F36" s="307">
        <v>3.1886489999999998</v>
      </c>
      <c r="G36" s="307">
        <v>1.811191</v>
      </c>
      <c r="H36" s="307">
        <v>1.595599</v>
      </c>
      <c r="I36" s="307">
        <v>2.0721790000000002</v>
      </c>
      <c r="J36" s="307">
        <v>0</v>
      </c>
      <c r="K36" s="307">
        <v>0</v>
      </c>
      <c r="L36" s="307">
        <v>1.4626380000000001</v>
      </c>
      <c r="M36" s="307">
        <v>4.0374840000000001</v>
      </c>
      <c r="N36" s="307">
        <v>1.5574300000000001</v>
      </c>
      <c r="O36" s="307">
        <v>1.982963</v>
      </c>
      <c r="P36" s="307">
        <v>1.7744610000000001</v>
      </c>
      <c r="Q36" s="307">
        <v>0</v>
      </c>
      <c r="R36" s="307">
        <v>2.664142</v>
      </c>
      <c r="S36" s="307">
        <v>2.4037489999999999</v>
      </c>
      <c r="T36" s="307">
        <v>2.175154</v>
      </c>
      <c r="U36" s="307">
        <v>2.0106299999999999</v>
      </c>
      <c r="V36" s="307">
        <v>0</v>
      </c>
      <c r="W36" s="307">
        <v>2.883143</v>
      </c>
      <c r="X36" s="307">
        <v>2.6660900000000001</v>
      </c>
      <c r="Y36" s="307">
        <v>0</v>
      </c>
      <c r="Z36" s="307">
        <v>2.4700639999999998</v>
      </c>
      <c r="AA36" s="307">
        <v>2.4939619999999998</v>
      </c>
      <c r="AB36" s="307">
        <v>1.4186700000000001</v>
      </c>
      <c r="AC36" s="307">
        <v>2.8103919999999998</v>
      </c>
      <c r="AD36" s="307">
        <v>3.5488149999999998</v>
      </c>
      <c r="AE36" s="307">
        <v>2.3958240000000002</v>
      </c>
      <c r="AF36" s="307">
        <v>0</v>
      </c>
      <c r="AG36" s="307">
        <v>2.0961379999999998</v>
      </c>
      <c r="AH36" s="307">
        <v>2.0451609999999998</v>
      </c>
      <c r="AI36" s="307">
        <v>2.107021</v>
      </c>
      <c r="AJ36" s="307">
        <v>3.867092</v>
      </c>
      <c r="AK36" s="307">
        <v>2.106185</v>
      </c>
      <c r="AL36" s="307">
        <v>2.0130680000000001</v>
      </c>
      <c r="AM36" s="307">
        <v>1.7647470000000001</v>
      </c>
      <c r="AN36" s="307">
        <v>2.0955240000000002</v>
      </c>
      <c r="AO36" s="307">
        <v>3.7530739999999998</v>
      </c>
      <c r="AP36" s="307">
        <v>2.2577020000000001</v>
      </c>
      <c r="AQ36" s="307">
        <v>0</v>
      </c>
      <c r="AR36" s="307">
        <v>2.3485360000000002</v>
      </c>
      <c r="AS36" s="307">
        <v>2.3868819999999999</v>
      </c>
      <c r="AT36" s="307">
        <v>1.485123</v>
      </c>
      <c r="AU36" s="307">
        <v>3.5451480000000002</v>
      </c>
      <c r="AV36" s="307">
        <v>2.6243859999999999</v>
      </c>
      <c r="AW36" s="307">
        <v>2.9656030000000002</v>
      </c>
      <c r="AX36" s="307">
        <v>3.938844</v>
      </c>
      <c r="AY36" s="307">
        <v>3.126919</v>
      </c>
      <c r="AZ36" s="307">
        <v>2.5462880000000001</v>
      </c>
      <c r="BA36" s="307">
        <v>3.6417830000000002</v>
      </c>
      <c r="BB36" s="307">
        <v>0</v>
      </c>
      <c r="BC36" s="307">
        <v>2.9927320000000002</v>
      </c>
      <c r="BD36" s="307">
        <v>2.2537630000000002</v>
      </c>
      <c r="BE36" s="307">
        <v>2.1655289999999998</v>
      </c>
      <c r="BF36" s="307">
        <v>1.858824</v>
      </c>
      <c r="BG36" s="307">
        <v>2.1764130000000002</v>
      </c>
      <c r="BH36" s="307">
        <v>1.9582599999999999</v>
      </c>
      <c r="BI36" s="307">
        <v>2.8028819999999999</v>
      </c>
      <c r="BJ36" s="307">
        <v>2.220431</v>
      </c>
      <c r="BK36" s="307">
        <v>1.6734880000000001</v>
      </c>
      <c r="BL36">
        <f t="shared" si="0"/>
        <v>8</v>
      </c>
      <c r="BM36">
        <f t="shared" si="1"/>
        <v>2.4617958679245282</v>
      </c>
      <c r="BN36">
        <f t="shared" si="2"/>
        <v>4.0374840000000001</v>
      </c>
      <c r="BO36">
        <f t="array" ref="BO36">MIN(IF($C36:$BK36&gt;0, $C36:$BK36))</f>
        <v>1.4186700000000001</v>
      </c>
      <c r="BP36">
        <f t="shared" si="3"/>
        <v>2.175154</v>
      </c>
    </row>
    <row r="37" spans="1:68" x14ac:dyDescent="0.25">
      <c r="A37" s="306">
        <v>311119</v>
      </c>
      <c r="B37" s="307" t="s">
        <v>26</v>
      </c>
      <c r="C37" s="307">
        <v>2.5919629999999998</v>
      </c>
      <c r="D37" s="307">
        <v>0</v>
      </c>
      <c r="E37" s="307">
        <v>2.8151929999999998</v>
      </c>
      <c r="F37" s="307">
        <v>2.5051700000000001</v>
      </c>
      <c r="G37" s="307">
        <v>2.924356</v>
      </c>
      <c r="H37" s="307">
        <v>2.322981</v>
      </c>
      <c r="I37" s="307">
        <v>3.1456149999999998</v>
      </c>
      <c r="J37" s="307">
        <v>1.8621179999999999</v>
      </c>
      <c r="K37" s="307">
        <v>0</v>
      </c>
      <c r="L37" s="307">
        <v>2.2912340000000002</v>
      </c>
      <c r="M37" s="307">
        <v>3.1227119999999999</v>
      </c>
      <c r="N37" s="307">
        <v>1.9702310000000001</v>
      </c>
      <c r="O37" s="307">
        <v>0</v>
      </c>
      <c r="P37" s="307">
        <v>1.9998320000000001</v>
      </c>
      <c r="Q37" s="307">
        <v>2.3814570000000002</v>
      </c>
      <c r="R37" s="307">
        <v>2.0941909999999999</v>
      </c>
      <c r="S37" s="307">
        <v>2.4839129999999998</v>
      </c>
      <c r="T37" s="307">
        <v>1.929575</v>
      </c>
      <c r="U37" s="307">
        <v>2.3360699999999999</v>
      </c>
      <c r="V37" s="307">
        <v>3.1443099999999999</v>
      </c>
      <c r="W37" s="307">
        <v>3.3513459999999999</v>
      </c>
      <c r="X37" s="307">
        <v>1.911189</v>
      </c>
      <c r="Y37" s="307">
        <v>3.3458749999999999</v>
      </c>
      <c r="Z37" s="307">
        <v>3.2116150000000001</v>
      </c>
      <c r="AA37" s="307">
        <v>2.4249149999999999</v>
      </c>
      <c r="AB37" s="307">
        <v>2.4896560000000001</v>
      </c>
      <c r="AC37" s="307">
        <v>2.9768140000000001</v>
      </c>
      <c r="AD37" s="307">
        <v>3.570074</v>
      </c>
      <c r="AE37" s="307">
        <v>2.8682050000000001</v>
      </c>
      <c r="AF37" s="307">
        <v>3.0471279999999998</v>
      </c>
      <c r="AG37" s="307">
        <v>2.3508680000000002</v>
      </c>
      <c r="AH37" s="307">
        <v>2.533766</v>
      </c>
      <c r="AI37" s="307">
        <v>2.9182999999999999</v>
      </c>
      <c r="AJ37" s="307">
        <v>2.6267740000000002</v>
      </c>
      <c r="AK37" s="307">
        <v>3.4773450000000001</v>
      </c>
      <c r="AL37" s="307">
        <v>2.28579</v>
      </c>
      <c r="AM37" s="307">
        <v>2.6017030000000001</v>
      </c>
      <c r="AN37" s="307">
        <v>3.1776460000000002</v>
      </c>
      <c r="AO37" s="307">
        <v>2.5357569999999998</v>
      </c>
      <c r="AP37" s="307">
        <v>2.5411519999999999</v>
      </c>
      <c r="AQ37" s="307">
        <v>0</v>
      </c>
      <c r="AR37" s="307">
        <v>3.4631240000000001</v>
      </c>
      <c r="AS37" s="307">
        <v>2.3325909999999999</v>
      </c>
      <c r="AT37" s="307">
        <v>1.8929450000000001</v>
      </c>
      <c r="AU37" s="307">
        <v>2.9608859999999999</v>
      </c>
      <c r="AV37" s="307">
        <v>2.9394360000000002</v>
      </c>
      <c r="AW37" s="307">
        <v>2.5507080000000002</v>
      </c>
      <c r="AX37" s="307">
        <v>2.4953850000000002</v>
      </c>
      <c r="AY37" s="307">
        <v>2.7593839999999998</v>
      </c>
      <c r="AZ37" s="307">
        <v>2.517299</v>
      </c>
      <c r="BA37" s="307">
        <v>0</v>
      </c>
      <c r="BB37" s="307">
        <v>3.4981429999999998</v>
      </c>
      <c r="BC37" s="307">
        <v>2.6293419999999998</v>
      </c>
      <c r="BD37" s="307">
        <v>2.5888059999999999</v>
      </c>
      <c r="BE37" s="307">
        <v>2.488883</v>
      </c>
      <c r="BF37" s="307">
        <v>2.3068499999999998</v>
      </c>
      <c r="BG37" s="307">
        <v>2.5797669999999999</v>
      </c>
      <c r="BH37" s="307">
        <v>2.6478259999999998</v>
      </c>
      <c r="BI37" s="307">
        <v>2.94733</v>
      </c>
      <c r="BJ37" s="307">
        <v>2.8827430000000001</v>
      </c>
      <c r="BK37" s="307">
        <v>2.3999160000000002</v>
      </c>
      <c r="BL37">
        <f t="shared" si="0"/>
        <v>5</v>
      </c>
      <c r="BM37">
        <f t="shared" si="1"/>
        <v>2.6615750535714282</v>
      </c>
      <c r="BN37">
        <f t="shared" si="2"/>
        <v>3.570074</v>
      </c>
      <c r="BO37">
        <f t="array" ref="BO37">MIN(IF($C37:$BK37&gt;0, $C37:$BK37))</f>
        <v>1.8621179999999999</v>
      </c>
      <c r="BP37">
        <f t="shared" si="3"/>
        <v>2.5411519999999999</v>
      </c>
    </row>
    <row r="38" spans="1:68" x14ac:dyDescent="0.25">
      <c r="A38" s="306">
        <v>311210</v>
      </c>
      <c r="B38" s="307" t="s">
        <v>27</v>
      </c>
      <c r="C38" s="307">
        <v>2.3015249999999998</v>
      </c>
      <c r="D38" s="307">
        <v>0</v>
      </c>
      <c r="E38" s="307">
        <v>2.166563</v>
      </c>
      <c r="F38" s="307">
        <v>2.8221180000000001</v>
      </c>
      <c r="G38" s="307">
        <v>1.978901</v>
      </c>
      <c r="H38" s="307">
        <v>2.4613459999999998</v>
      </c>
      <c r="I38" s="307">
        <v>1.7285010000000001</v>
      </c>
      <c r="J38" s="307">
        <v>0</v>
      </c>
      <c r="K38" s="307">
        <v>0</v>
      </c>
      <c r="L38" s="307">
        <v>0</v>
      </c>
      <c r="M38" s="307">
        <v>1.2134160000000001</v>
      </c>
      <c r="N38" s="307">
        <v>2.166528</v>
      </c>
      <c r="O38" s="307">
        <v>3.9076430000000002</v>
      </c>
      <c r="P38" s="307">
        <v>2.0562809999999998</v>
      </c>
      <c r="Q38" s="307">
        <v>1.8383400000000001</v>
      </c>
      <c r="R38" s="307">
        <v>2.0733280000000001</v>
      </c>
      <c r="S38" s="307">
        <v>2.6334330000000001</v>
      </c>
      <c r="T38" s="307">
        <v>1.9771939999999999</v>
      </c>
      <c r="U38" s="307">
        <v>2.8408440000000001</v>
      </c>
      <c r="V38" s="307">
        <v>2.7105769999999998</v>
      </c>
      <c r="W38" s="307">
        <v>1.448979</v>
      </c>
      <c r="X38" s="307">
        <v>2.0708549999999999</v>
      </c>
      <c r="Y38" s="307">
        <v>2.2084199999999998</v>
      </c>
      <c r="Z38" s="307">
        <v>1.9857210000000001</v>
      </c>
      <c r="AA38" s="307">
        <v>1.790988</v>
      </c>
      <c r="AB38" s="307">
        <v>1.802945</v>
      </c>
      <c r="AC38" s="307">
        <v>2.3222969999999998</v>
      </c>
      <c r="AD38" s="307">
        <v>2.482221</v>
      </c>
      <c r="AE38" s="307">
        <v>3.3559990000000002</v>
      </c>
      <c r="AF38" s="307">
        <v>2.180965</v>
      </c>
      <c r="AG38" s="307">
        <v>2.033013</v>
      </c>
      <c r="AH38" s="307">
        <v>0</v>
      </c>
      <c r="AI38" s="307">
        <v>1.1669179999999999</v>
      </c>
      <c r="AJ38" s="307">
        <v>0</v>
      </c>
      <c r="AK38" s="307">
        <v>0</v>
      </c>
      <c r="AL38" s="307">
        <v>1.6953260000000001</v>
      </c>
      <c r="AM38" s="307">
        <v>2.1046049999999998</v>
      </c>
      <c r="AN38" s="307">
        <v>2.2438280000000002</v>
      </c>
      <c r="AO38" s="307">
        <v>1.9637869999999999</v>
      </c>
      <c r="AP38" s="307">
        <v>2.2522310000000001</v>
      </c>
      <c r="AQ38" s="307">
        <v>3.870044</v>
      </c>
      <c r="AR38" s="307">
        <v>2.3822320000000001</v>
      </c>
      <c r="AS38" s="307">
        <v>0</v>
      </c>
      <c r="AT38" s="307">
        <v>2.5016159999999998</v>
      </c>
      <c r="AU38" s="307">
        <v>2.286321</v>
      </c>
      <c r="AV38" s="307">
        <v>2.2629199999999998</v>
      </c>
      <c r="AW38" s="307">
        <v>2.124539</v>
      </c>
      <c r="AX38" s="307">
        <v>0</v>
      </c>
      <c r="AY38" s="307">
        <v>1.956836</v>
      </c>
      <c r="AZ38" s="307">
        <v>2.0647899999999999</v>
      </c>
      <c r="BA38" s="307">
        <v>0</v>
      </c>
      <c r="BB38" s="307">
        <v>0</v>
      </c>
      <c r="BC38" s="307">
        <v>1.6160600000000001</v>
      </c>
      <c r="BD38" s="307">
        <v>1.821375</v>
      </c>
      <c r="BE38" s="307">
        <v>2.1821350000000002</v>
      </c>
      <c r="BF38" s="307">
        <v>2.0375540000000001</v>
      </c>
      <c r="BG38" s="307">
        <v>2.4393729999999998</v>
      </c>
      <c r="BH38" s="307">
        <v>2.5417489999999998</v>
      </c>
      <c r="BI38" s="307">
        <v>2.5292650000000001</v>
      </c>
      <c r="BJ38" s="307">
        <v>2.1087090000000002</v>
      </c>
      <c r="BK38" s="307">
        <v>2.3802669999999999</v>
      </c>
      <c r="BL38">
        <f t="shared" si="0"/>
        <v>11</v>
      </c>
      <c r="BM38">
        <f t="shared" si="1"/>
        <v>2.2218284199999996</v>
      </c>
      <c r="BN38">
        <f t="shared" si="2"/>
        <v>3.9076430000000002</v>
      </c>
      <c r="BO38">
        <f t="array" ref="BO38">MIN(IF($C38:$BK38&gt;0, $C38:$BK38))</f>
        <v>1.1669179999999999</v>
      </c>
      <c r="BP38">
        <f t="shared" si="3"/>
        <v>2.0708549999999999</v>
      </c>
    </row>
    <row r="39" spans="1:68" x14ac:dyDescent="0.25">
      <c r="A39" s="306">
        <v>311221</v>
      </c>
      <c r="B39" s="307" t="s">
        <v>28</v>
      </c>
      <c r="C39" s="307">
        <v>1.591394</v>
      </c>
      <c r="D39" s="307">
        <v>0</v>
      </c>
      <c r="E39" s="307">
        <v>1.36588</v>
      </c>
      <c r="F39" s="307">
        <v>1.821637</v>
      </c>
      <c r="G39" s="307">
        <v>0</v>
      </c>
      <c r="H39" s="307">
        <v>1.678768</v>
      </c>
      <c r="I39" s="307">
        <v>2.6710099999999999</v>
      </c>
      <c r="J39" s="307">
        <v>0</v>
      </c>
      <c r="K39" s="307">
        <v>0</v>
      </c>
      <c r="L39" s="307">
        <v>0</v>
      </c>
      <c r="M39" s="307">
        <v>1.609129</v>
      </c>
      <c r="N39" s="307">
        <v>0</v>
      </c>
      <c r="O39" s="307">
        <v>0</v>
      </c>
      <c r="P39" s="307">
        <v>1.613901</v>
      </c>
      <c r="Q39" s="307">
        <v>2.6478419999999998</v>
      </c>
      <c r="R39" s="307">
        <v>1.161662</v>
      </c>
      <c r="S39" s="307">
        <v>1.5002359999999999</v>
      </c>
      <c r="T39" s="307">
        <v>2.5348250000000001</v>
      </c>
      <c r="U39" s="307">
        <v>0</v>
      </c>
      <c r="V39" s="307">
        <v>0</v>
      </c>
      <c r="W39" s="307">
        <v>0</v>
      </c>
      <c r="X39" s="307">
        <v>0</v>
      </c>
      <c r="Y39" s="307">
        <v>2.6340729999999999</v>
      </c>
      <c r="Z39" s="307">
        <v>0</v>
      </c>
      <c r="AA39" s="307">
        <v>1.9149860000000001</v>
      </c>
      <c r="AB39" s="307">
        <v>1.5053780000000001</v>
      </c>
      <c r="AC39" s="307">
        <v>0</v>
      </c>
      <c r="AD39" s="307">
        <v>0</v>
      </c>
      <c r="AE39" s="307">
        <v>1.434396</v>
      </c>
      <c r="AF39" s="307">
        <v>1.7376689999999999</v>
      </c>
      <c r="AG39" s="307">
        <v>0</v>
      </c>
      <c r="AH39" s="307">
        <v>0</v>
      </c>
      <c r="AI39" s="307">
        <v>1.037309</v>
      </c>
      <c r="AJ39" s="307">
        <v>0</v>
      </c>
      <c r="AK39" s="307">
        <v>0</v>
      </c>
      <c r="AL39" s="307">
        <v>0</v>
      </c>
      <c r="AM39" s="307">
        <v>1.7358340000000001</v>
      </c>
      <c r="AN39" s="307">
        <v>0</v>
      </c>
      <c r="AO39" s="307">
        <v>2.4845429999999999</v>
      </c>
      <c r="AP39" s="307">
        <v>1.4515670000000001</v>
      </c>
      <c r="AQ39" s="307">
        <v>0</v>
      </c>
      <c r="AR39" s="307">
        <v>2.4702419999999998</v>
      </c>
      <c r="AS39" s="307">
        <v>0</v>
      </c>
      <c r="AT39" s="307">
        <v>1.552305</v>
      </c>
      <c r="AU39" s="307">
        <v>2.3751340000000001</v>
      </c>
      <c r="AV39" s="307">
        <v>0</v>
      </c>
      <c r="AW39" s="307">
        <v>0</v>
      </c>
      <c r="AX39" s="307">
        <v>0</v>
      </c>
      <c r="AY39" s="307">
        <v>1.946054</v>
      </c>
      <c r="AZ39" s="307">
        <v>0</v>
      </c>
      <c r="BA39" s="307">
        <v>0</v>
      </c>
      <c r="BB39" s="307">
        <v>0</v>
      </c>
      <c r="BC39" s="307">
        <v>2.6250420000000001</v>
      </c>
      <c r="BD39" s="307">
        <v>1.2692019999999999</v>
      </c>
      <c r="BE39" s="307">
        <v>1.3651470000000001</v>
      </c>
      <c r="BF39" s="307">
        <v>1.7098100000000001</v>
      </c>
      <c r="BG39" s="307">
        <v>1.5716760000000001</v>
      </c>
      <c r="BH39" s="307">
        <v>1.5241130000000001</v>
      </c>
      <c r="BI39" s="307">
        <v>2.093159</v>
      </c>
      <c r="BJ39" s="307">
        <v>2.651688</v>
      </c>
      <c r="BK39" s="307">
        <v>1.721875</v>
      </c>
      <c r="BL39">
        <f t="shared" si="0"/>
        <v>28</v>
      </c>
      <c r="BM39">
        <f t="shared" si="1"/>
        <v>1.8487116969696968</v>
      </c>
      <c r="BN39">
        <f t="shared" si="2"/>
        <v>2.6710099999999999</v>
      </c>
      <c r="BO39">
        <f t="array" ref="BO39">MIN(IF($C39:$BK39&gt;0, $C39:$BK39))</f>
        <v>1.037309</v>
      </c>
      <c r="BP39">
        <f t="shared" si="3"/>
        <v>1.2692019999999999</v>
      </c>
    </row>
    <row r="40" spans="1:68" x14ac:dyDescent="0.25">
      <c r="A40" s="306">
        <v>311225</v>
      </c>
      <c r="B40" s="307" t="s">
        <v>30</v>
      </c>
      <c r="C40" s="307">
        <v>2.3026110000000002</v>
      </c>
      <c r="D40" s="307">
        <v>0</v>
      </c>
      <c r="E40" s="307">
        <v>2.7111809999999998</v>
      </c>
      <c r="F40" s="307">
        <v>3.4389050000000001</v>
      </c>
      <c r="G40" s="307">
        <v>1.6374960000000001</v>
      </c>
      <c r="H40" s="307">
        <v>1.9402839999999999</v>
      </c>
      <c r="I40" s="307">
        <v>2.8699979999999998</v>
      </c>
      <c r="J40" s="307">
        <v>2.2854749999999999</v>
      </c>
      <c r="K40" s="307">
        <v>0</v>
      </c>
      <c r="L40" s="307">
        <v>1.1150100000000001</v>
      </c>
      <c r="M40" s="307">
        <v>3.3581850000000002</v>
      </c>
      <c r="N40" s="307">
        <v>2.2825829999999998</v>
      </c>
      <c r="O40" s="307">
        <v>0</v>
      </c>
      <c r="P40" s="307">
        <v>3.3999739999999998</v>
      </c>
      <c r="Q40" s="307">
        <v>0</v>
      </c>
      <c r="R40" s="307">
        <v>1.9722059999999999</v>
      </c>
      <c r="S40" s="307">
        <v>2.2823340000000001</v>
      </c>
      <c r="T40" s="307">
        <v>2.5338750000000001</v>
      </c>
      <c r="U40" s="307">
        <v>2.643624</v>
      </c>
      <c r="V40" s="307">
        <v>2.2801659999999999</v>
      </c>
      <c r="W40" s="307">
        <v>1.836433</v>
      </c>
      <c r="X40" s="307">
        <v>1.436034</v>
      </c>
      <c r="Y40" s="307">
        <v>0</v>
      </c>
      <c r="Z40" s="307">
        <v>3.6100270000000001</v>
      </c>
      <c r="AA40" s="307">
        <v>2.3617590000000002</v>
      </c>
      <c r="AB40" s="307">
        <v>2.0588679999999999</v>
      </c>
      <c r="AC40" s="307">
        <v>0</v>
      </c>
      <c r="AD40" s="307">
        <v>3.1777129999999998</v>
      </c>
      <c r="AE40" s="307">
        <v>0</v>
      </c>
      <c r="AF40" s="307">
        <v>2.067971</v>
      </c>
      <c r="AG40" s="307">
        <v>2.762689</v>
      </c>
      <c r="AH40" s="307">
        <v>0</v>
      </c>
      <c r="AI40" s="307">
        <v>1.431524</v>
      </c>
      <c r="AJ40" s="307">
        <v>0</v>
      </c>
      <c r="AK40" s="307">
        <v>0</v>
      </c>
      <c r="AL40" s="307">
        <v>2.8416350000000001</v>
      </c>
      <c r="AM40" s="307">
        <v>1.794449</v>
      </c>
      <c r="AN40" s="307">
        <v>2.626935</v>
      </c>
      <c r="AO40" s="307">
        <v>2.9092410000000002</v>
      </c>
      <c r="AP40" s="307">
        <v>2.2905350000000002</v>
      </c>
      <c r="AQ40" s="307">
        <v>0</v>
      </c>
      <c r="AR40" s="307">
        <v>2.054376</v>
      </c>
      <c r="AS40" s="307">
        <v>2.9278520000000001</v>
      </c>
      <c r="AT40" s="307">
        <v>1.4178010000000001</v>
      </c>
      <c r="AU40" s="307">
        <v>1.8207679999999999</v>
      </c>
      <c r="AV40" s="307">
        <v>0</v>
      </c>
      <c r="AW40" s="307">
        <v>2.8416769999999998</v>
      </c>
      <c r="AX40" s="307">
        <v>0</v>
      </c>
      <c r="AY40" s="307">
        <v>2.7870889999999999</v>
      </c>
      <c r="AZ40" s="307">
        <v>0</v>
      </c>
      <c r="BA40" s="307">
        <v>0</v>
      </c>
      <c r="BB40" s="307">
        <v>0</v>
      </c>
      <c r="BC40" s="307">
        <v>2.0888399999999998</v>
      </c>
      <c r="BD40" s="307">
        <v>2.0201310000000001</v>
      </c>
      <c r="BE40" s="307">
        <v>2.3309000000000002</v>
      </c>
      <c r="BF40" s="307">
        <v>2.467495</v>
      </c>
      <c r="BG40" s="307">
        <v>2.380363</v>
      </c>
      <c r="BH40" s="307">
        <v>2.263153</v>
      </c>
      <c r="BI40" s="307">
        <v>2.2975680000000001</v>
      </c>
      <c r="BJ40" s="307">
        <v>1.873221</v>
      </c>
      <c r="BK40" s="307">
        <v>2.056832</v>
      </c>
      <c r="BL40">
        <f t="shared" si="0"/>
        <v>16</v>
      </c>
      <c r="BM40">
        <f t="shared" si="1"/>
        <v>2.3530619111111117</v>
      </c>
      <c r="BN40">
        <f t="shared" si="2"/>
        <v>3.6100270000000001</v>
      </c>
      <c r="BO40">
        <f t="array" ref="BO40">MIN(IF($C40:$BK40&gt;0, $C40:$BK40))</f>
        <v>1.1150100000000001</v>
      </c>
      <c r="BP40">
        <f t="shared" si="3"/>
        <v>2.0588679999999999</v>
      </c>
    </row>
    <row r="41" spans="1:68" x14ac:dyDescent="0.25">
      <c r="A41" s="306" t="s">
        <v>704</v>
      </c>
      <c r="B41" s="307" t="s">
        <v>29</v>
      </c>
      <c r="C41" s="307">
        <v>2.0170539999999999</v>
      </c>
      <c r="D41" s="307">
        <v>0</v>
      </c>
      <c r="E41" s="307">
        <v>2.331061</v>
      </c>
      <c r="F41" s="307">
        <v>2.7077040000000001</v>
      </c>
      <c r="G41" s="307">
        <v>3.0208750000000002</v>
      </c>
      <c r="H41" s="307">
        <v>2.2443789999999999</v>
      </c>
      <c r="I41" s="307">
        <v>3.442075</v>
      </c>
      <c r="J41" s="307">
        <v>0</v>
      </c>
      <c r="K41" s="307">
        <v>0</v>
      </c>
      <c r="L41" s="307">
        <v>0</v>
      </c>
      <c r="M41" s="307">
        <v>0</v>
      </c>
      <c r="N41" s="307">
        <v>2.2122709999999999</v>
      </c>
      <c r="O41" s="307">
        <v>3.4242970000000001</v>
      </c>
      <c r="P41" s="307">
        <v>2.0937899999999998</v>
      </c>
      <c r="Q41" s="307">
        <v>2.7217030000000002</v>
      </c>
      <c r="R41" s="307">
        <v>1.6871449999999999</v>
      </c>
      <c r="S41" s="307">
        <v>2.1393909999999998</v>
      </c>
      <c r="T41" s="307">
        <v>2.7680150000000001</v>
      </c>
      <c r="U41" s="307">
        <v>1.5667660000000001</v>
      </c>
      <c r="V41" s="307">
        <v>2.533506</v>
      </c>
      <c r="W41" s="307">
        <v>2.1118739999999998</v>
      </c>
      <c r="X41" s="307">
        <v>0</v>
      </c>
      <c r="Y41" s="307">
        <v>0</v>
      </c>
      <c r="Z41" s="307">
        <v>1.9485730000000001</v>
      </c>
      <c r="AA41" s="307">
        <v>1.9751879999999999</v>
      </c>
      <c r="AB41" s="307">
        <v>1.8825769999999999</v>
      </c>
      <c r="AC41" s="307">
        <v>2.9401510000000002</v>
      </c>
      <c r="AD41" s="307">
        <v>3.136155</v>
      </c>
      <c r="AE41" s="307">
        <v>2.079256</v>
      </c>
      <c r="AF41" s="307">
        <v>2.1291540000000002</v>
      </c>
      <c r="AG41" s="307">
        <v>1.7885169999999999</v>
      </c>
      <c r="AH41" s="307">
        <v>0</v>
      </c>
      <c r="AI41" s="307">
        <v>0</v>
      </c>
      <c r="AJ41" s="307">
        <v>0</v>
      </c>
      <c r="AK41" s="307">
        <v>3.3450989999999998</v>
      </c>
      <c r="AL41" s="307">
        <v>3.2225320000000002</v>
      </c>
      <c r="AM41" s="307">
        <v>2.2764039999999999</v>
      </c>
      <c r="AN41" s="307">
        <v>1.8527849999999999</v>
      </c>
      <c r="AO41" s="307">
        <v>0</v>
      </c>
      <c r="AP41" s="307">
        <v>3.3477239999999999</v>
      </c>
      <c r="AQ41" s="307">
        <v>0</v>
      </c>
      <c r="AR41" s="307">
        <v>2.3024279999999999</v>
      </c>
      <c r="AS41" s="307">
        <v>1.9567540000000001</v>
      </c>
      <c r="AT41" s="307">
        <v>1.6252880000000001</v>
      </c>
      <c r="AU41" s="307">
        <v>2.6044</v>
      </c>
      <c r="AV41" s="307">
        <v>2.76092</v>
      </c>
      <c r="AW41" s="307">
        <v>0</v>
      </c>
      <c r="AX41" s="307">
        <v>3.36015</v>
      </c>
      <c r="AY41" s="307">
        <v>2.3993150000000001</v>
      </c>
      <c r="AZ41" s="307">
        <v>2.8100700000000001</v>
      </c>
      <c r="BA41" s="307">
        <v>0</v>
      </c>
      <c r="BB41" s="307">
        <v>0</v>
      </c>
      <c r="BC41" s="307">
        <v>2.26478</v>
      </c>
      <c r="BD41" s="307">
        <v>3.4006850000000002</v>
      </c>
      <c r="BE41" s="307">
        <v>1.798759</v>
      </c>
      <c r="BF41" s="307">
        <v>2.1338180000000002</v>
      </c>
      <c r="BG41" s="307">
        <v>2.2206510000000002</v>
      </c>
      <c r="BH41" s="307">
        <v>1.8683380000000001</v>
      </c>
      <c r="BI41" s="307">
        <v>2.4960900000000001</v>
      </c>
      <c r="BJ41" s="307">
        <v>3.0383179999999999</v>
      </c>
      <c r="BK41" s="307">
        <v>2.3176489999999998</v>
      </c>
      <c r="BL41">
        <f t="shared" si="0"/>
        <v>15</v>
      </c>
      <c r="BM41">
        <f t="shared" si="1"/>
        <v>2.4414007391304353</v>
      </c>
      <c r="BN41">
        <f t="shared" si="2"/>
        <v>3.442075</v>
      </c>
      <c r="BO41">
        <f t="array" ref="BO41">MIN(IF($C41:$BK41&gt;0, $C41:$BK41))</f>
        <v>1.5667660000000001</v>
      </c>
      <c r="BP41">
        <f t="shared" si="3"/>
        <v>2.1291540000000002</v>
      </c>
    </row>
    <row r="42" spans="1:68" x14ac:dyDescent="0.25">
      <c r="A42" s="306">
        <v>311230</v>
      </c>
      <c r="B42" s="307" t="s">
        <v>31</v>
      </c>
      <c r="C42" s="307">
        <v>1.8286210000000001</v>
      </c>
      <c r="D42" s="307">
        <v>0</v>
      </c>
      <c r="E42" s="307">
        <v>0</v>
      </c>
      <c r="F42" s="307">
        <v>1.995795</v>
      </c>
      <c r="G42" s="307">
        <v>0</v>
      </c>
      <c r="H42" s="307">
        <v>1.6676599999999999</v>
      </c>
      <c r="I42" s="307">
        <v>3.3882500000000002</v>
      </c>
      <c r="J42" s="307">
        <v>1.1898820000000001</v>
      </c>
      <c r="K42" s="307">
        <v>0</v>
      </c>
      <c r="L42" s="307">
        <v>0</v>
      </c>
      <c r="M42" s="307">
        <v>0</v>
      </c>
      <c r="N42" s="307">
        <v>1.517218</v>
      </c>
      <c r="O42" s="307">
        <v>0</v>
      </c>
      <c r="P42" s="307">
        <v>1.4883949999999999</v>
      </c>
      <c r="Q42" s="307">
        <v>0</v>
      </c>
      <c r="R42" s="307">
        <v>1.432788</v>
      </c>
      <c r="S42" s="307">
        <v>0</v>
      </c>
      <c r="T42" s="307">
        <v>3.0939190000000001</v>
      </c>
      <c r="U42" s="307">
        <v>0</v>
      </c>
      <c r="V42" s="307">
        <v>0</v>
      </c>
      <c r="W42" s="307">
        <v>2.19211</v>
      </c>
      <c r="X42" s="307">
        <v>2.9893990000000001</v>
      </c>
      <c r="Y42" s="307">
        <v>0</v>
      </c>
      <c r="Z42" s="307">
        <v>1.819887</v>
      </c>
      <c r="AA42" s="307">
        <v>1.95248</v>
      </c>
      <c r="AB42" s="307">
        <v>3.0196999999999998</v>
      </c>
      <c r="AC42" s="307">
        <v>0</v>
      </c>
      <c r="AD42" s="307">
        <v>3.3805260000000001</v>
      </c>
      <c r="AE42" s="307">
        <v>3.2726890000000002</v>
      </c>
      <c r="AF42" s="307">
        <v>0</v>
      </c>
      <c r="AG42" s="307">
        <v>1.3494790000000001</v>
      </c>
      <c r="AH42" s="307">
        <v>0</v>
      </c>
      <c r="AI42" s="307">
        <v>2.1987350000000001</v>
      </c>
      <c r="AJ42" s="307">
        <v>1.613388</v>
      </c>
      <c r="AK42" s="307">
        <v>1.8060909999999999</v>
      </c>
      <c r="AL42" s="307">
        <v>0</v>
      </c>
      <c r="AM42" s="307">
        <v>1.8556729999999999</v>
      </c>
      <c r="AN42" s="307">
        <v>0</v>
      </c>
      <c r="AO42" s="307">
        <v>2.2328459999999999</v>
      </c>
      <c r="AP42" s="307">
        <v>1.8920710000000001</v>
      </c>
      <c r="AQ42" s="307">
        <v>0</v>
      </c>
      <c r="AR42" s="307">
        <v>0</v>
      </c>
      <c r="AS42" s="307">
        <v>0</v>
      </c>
      <c r="AT42" s="307">
        <v>1.2521580000000001</v>
      </c>
      <c r="AU42" s="307">
        <v>1.7912760000000001</v>
      </c>
      <c r="AV42" s="307">
        <v>2.3072170000000001</v>
      </c>
      <c r="AW42" s="307">
        <v>0</v>
      </c>
      <c r="AX42" s="307">
        <v>0</v>
      </c>
      <c r="AY42" s="307">
        <v>2.9881549999999999</v>
      </c>
      <c r="AZ42" s="307">
        <v>3.1786840000000001</v>
      </c>
      <c r="BA42" s="307">
        <v>0</v>
      </c>
      <c r="BB42" s="307">
        <v>1.7756780000000001</v>
      </c>
      <c r="BC42" s="307">
        <v>2.0650010000000001</v>
      </c>
      <c r="BD42" s="307">
        <v>1.922806</v>
      </c>
      <c r="BE42" s="307">
        <v>1.7545489999999999</v>
      </c>
      <c r="BF42" s="307">
        <v>1.7970759999999999</v>
      </c>
      <c r="BG42" s="307">
        <v>1.5611010000000001</v>
      </c>
      <c r="BH42" s="307">
        <v>1.2994000000000001</v>
      </c>
      <c r="BI42" s="307">
        <v>2.07863</v>
      </c>
      <c r="BJ42" s="307">
        <v>2.045944</v>
      </c>
      <c r="BK42" s="307">
        <v>1.8885890000000001</v>
      </c>
      <c r="BL42">
        <f t="shared" si="0"/>
        <v>23</v>
      </c>
      <c r="BM42">
        <f t="shared" si="1"/>
        <v>2.0758912105263163</v>
      </c>
      <c r="BN42">
        <f t="shared" si="2"/>
        <v>3.3882500000000002</v>
      </c>
      <c r="BO42">
        <f t="array" ref="BO42">MIN(IF($C42:$BK42&gt;0, $C42:$BK42))</f>
        <v>1.1898820000000001</v>
      </c>
      <c r="BP42">
        <f t="shared" si="3"/>
        <v>1.5611010000000001</v>
      </c>
    </row>
    <row r="43" spans="1:68" x14ac:dyDescent="0.25">
      <c r="A43" s="306">
        <v>311313</v>
      </c>
      <c r="B43" s="307" t="s">
        <v>33</v>
      </c>
      <c r="C43" s="307">
        <v>2.5961419999999999</v>
      </c>
      <c r="D43" s="307">
        <v>0</v>
      </c>
      <c r="E43" s="307">
        <v>0</v>
      </c>
      <c r="F43" s="307">
        <v>0</v>
      </c>
      <c r="G43" s="307">
        <v>0</v>
      </c>
      <c r="H43" s="307">
        <v>2.5257640000000001</v>
      </c>
      <c r="I43" s="307">
        <v>2.063914</v>
      </c>
      <c r="J43" s="307">
        <v>0</v>
      </c>
      <c r="K43" s="307">
        <v>0</v>
      </c>
      <c r="L43" s="307">
        <v>0</v>
      </c>
      <c r="M43" s="307">
        <v>0</v>
      </c>
      <c r="N43" s="307">
        <v>0</v>
      </c>
      <c r="O43" s="307">
        <v>0</v>
      </c>
      <c r="P43" s="307">
        <v>0</v>
      </c>
      <c r="Q43" s="307">
        <v>2.5317509999999999</v>
      </c>
      <c r="R43" s="307">
        <v>0</v>
      </c>
      <c r="S43" s="307">
        <v>0</v>
      </c>
      <c r="T43" s="307">
        <v>0</v>
      </c>
      <c r="U43" s="307">
        <v>1.8069850000000001</v>
      </c>
      <c r="V43" s="307">
        <v>3.426021</v>
      </c>
      <c r="W43" s="307">
        <v>0</v>
      </c>
      <c r="X43" s="307">
        <v>0</v>
      </c>
      <c r="Y43" s="307">
        <v>0</v>
      </c>
      <c r="Z43" s="307">
        <v>2.931009</v>
      </c>
      <c r="AA43" s="307">
        <v>2.2093129999999999</v>
      </c>
      <c r="AB43" s="307">
        <v>0</v>
      </c>
      <c r="AC43" s="307">
        <v>0</v>
      </c>
      <c r="AD43" s="307">
        <v>3.3269950000000001</v>
      </c>
      <c r="AE43" s="307">
        <v>0</v>
      </c>
      <c r="AF43" s="307">
        <v>1.992532</v>
      </c>
      <c r="AG43" s="307">
        <v>2.4180519999999999</v>
      </c>
      <c r="AH43" s="307">
        <v>0</v>
      </c>
      <c r="AI43" s="307">
        <v>1.8595619999999999</v>
      </c>
      <c r="AJ43" s="307">
        <v>0</v>
      </c>
      <c r="AK43" s="307">
        <v>0</v>
      </c>
      <c r="AL43" s="307">
        <v>3.2665199999999999</v>
      </c>
      <c r="AM43" s="307">
        <v>2.5421170000000002</v>
      </c>
      <c r="AN43" s="307">
        <v>0</v>
      </c>
      <c r="AO43" s="307">
        <v>2.6188020000000001</v>
      </c>
      <c r="AP43" s="307">
        <v>0</v>
      </c>
      <c r="AQ43" s="307">
        <v>0</v>
      </c>
      <c r="AR43" s="307">
        <v>0</v>
      </c>
      <c r="AS43" s="307">
        <v>2.4532929999999999</v>
      </c>
      <c r="AT43" s="307">
        <v>0</v>
      </c>
      <c r="AU43" s="307">
        <v>0</v>
      </c>
      <c r="AV43" s="307">
        <v>0</v>
      </c>
      <c r="AW43" s="307">
        <v>0</v>
      </c>
      <c r="AX43" s="307">
        <v>0</v>
      </c>
      <c r="AY43" s="307">
        <v>0</v>
      </c>
      <c r="AZ43" s="307">
        <v>0</v>
      </c>
      <c r="BA43" s="307">
        <v>0</v>
      </c>
      <c r="BB43" s="307">
        <v>3.4112209999999998</v>
      </c>
      <c r="BC43" s="307">
        <v>0</v>
      </c>
      <c r="BD43" s="307">
        <v>2.4880520000000002</v>
      </c>
      <c r="BE43" s="307">
        <v>2.895295</v>
      </c>
      <c r="BF43" s="307">
        <v>2.2884739999999999</v>
      </c>
      <c r="BG43" s="307">
        <v>0</v>
      </c>
      <c r="BH43" s="307">
        <v>1.9452320000000001</v>
      </c>
      <c r="BI43" s="307">
        <v>3.463228</v>
      </c>
      <c r="BJ43" s="307">
        <v>2.7172519999999998</v>
      </c>
      <c r="BK43" s="307">
        <v>2.5651350000000002</v>
      </c>
      <c r="BL43">
        <f t="shared" si="0"/>
        <v>37</v>
      </c>
      <c r="BM43">
        <f t="shared" si="1"/>
        <v>2.597610875</v>
      </c>
      <c r="BN43">
        <f t="shared" si="2"/>
        <v>3.463228</v>
      </c>
      <c r="BO43">
        <f t="array" ref="BO43">MIN(IF($C43:$BK43&gt;0, $C43:$BK43))</f>
        <v>1.8069850000000001</v>
      </c>
      <c r="BP43">
        <f t="shared" si="3"/>
        <v>0</v>
      </c>
    </row>
    <row r="44" spans="1:68" x14ac:dyDescent="0.25">
      <c r="A44" s="306" t="s">
        <v>705</v>
      </c>
      <c r="B44" s="307" t="s">
        <v>32</v>
      </c>
      <c r="C44" s="307">
        <v>1.837439</v>
      </c>
      <c r="D44" s="307">
        <v>0</v>
      </c>
      <c r="E44" s="307">
        <v>4.0993250000000003</v>
      </c>
      <c r="F44" s="307">
        <v>0</v>
      </c>
      <c r="G44" s="307">
        <v>0</v>
      </c>
      <c r="H44" s="307">
        <v>1.58982</v>
      </c>
      <c r="I44" s="307">
        <v>0</v>
      </c>
      <c r="J44" s="307">
        <v>0</v>
      </c>
      <c r="K44" s="307">
        <v>0</v>
      </c>
      <c r="L44" s="307">
        <v>0</v>
      </c>
      <c r="M44" s="307">
        <v>1.649805</v>
      </c>
      <c r="N44" s="307">
        <v>2.078249</v>
      </c>
      <c r="O44" s="307">
        <v>2.931352</v>
      </c>
      <c r="P44" s="307">
        <v>0</v>
      </c>
      <c r="Q44" s="307">
        <v>0</v>
      </c>
      <c r="R44" s="307">
        <v>1.8967849999999999</v>
      </c>
      <c r="S44" s="307">
        <v>0</v>
      </c>
      <c r="T44" s="307">
        <v>0</v>
      </c>
      <c r="U44" s="307">
        <v>0</v>
      </c>
      <c r="V44" s="307">
        <v>2.3251170000000001</v>
      </c>
      <c r="W44" s="307">
        <v>0</v>
      </c>
      <c r="X44" s="307">
        <v>1.3146549999999999</v>
      </c>
      <c r="Y44" s="307">
        <v>0</v>
      </c>
      <c r="Z44" s="307">
        <v>3.489195</v>
      </c>
      <c r="AA44" s="307">
        <v>0</v>
      </c>
      <c r="AB44" s="307">
        <v>0</v>
      </c>
      <c r="AC44" s="307">
        <v>0</v>
      </c>
      <c r="AD44" s="307">
        <v>0</v>
      </c>
      <c r="AE44" s="307">
        <v>0</v>
      </c>
      <c r="AF44" s="307">
        <v>0</v>
      </c>
      <c r="AG44" s="307">
        <v>3.7328070000000002</v>
      </c>
      <c r="AH44" s="307">
        <v>2.8863669999999999</v>
      </c>
      <c r="AI44" s="307">
        <v>0</v>
      </c>
      <c r="AJ44" s="307">
        <v>0</v>
      </c>
      <c r="AK44" s="307">
        <v>0</v>
      </c>
      <c r="AL44" s="307">
        <v>1.4388730000000001</v>
      </c>
      <c r="AM44" s="307">
        <v>3.73454</v>
      </c>
      <c r="AN44" s="307">
        <v>0</v>
      </c>
      <c r="AO44" s="307">
        <v>0</v>
      </c>
      <c r="AP44" s="307">
        <v>0</v>
      </c>
      <c r="AQ44" s="307">
        <v>0</v>
      </c>
      <c r="AR44" s="307">
        <v>0</v>
      </c>
      <c r="AS44" s="307">
        <v>0</v>
      </c>
      <c r="AT44" s="307">
        <v>2.0812819999999999</v>
      </c>
      <c r="AU44" s="307">
        <v>1.3268800000000001</v>
      </c>
      <c r="AV44" s="307">
        <v>0</v>
      </c>
      <c r="AW44" s="307">
        <v>0</v>
      </c>
      <c r="AX44" s="307">
        <v>0</v>
      </c>
      <c r="AY44" s="307">
        <v>0</v>
      </c>
      <c r="AZ44" s="307">
        <v>0</v>
      </c>
      <c r="BA44" s="307">
        <v>0</v>
      </c>
      <c r="BB44" s="307">
        <v>0</v>
      </c>
      <c r="BC44" s="307">
        <v>3.0195660000000002</v>
      </c>
      <c r="BD44" s="307">
        <v>1.5183960000000001</v>
      </c>
      <c r="BE44" s="307">
        <v>3.0737040000000002</v>
      </c>
      <c r="BF44" s="307">
        <v>4.0980460000000001</v>
      </c>
      <c r="BG44" s="307">
        <v>1.6604570000000001</v>
      </c>
      <c r="BH44" s="307">
        <v>2.299172</v>
      </c>
      <c r="BI44" s="307">
        <v>1.994537</v>
      </c>
      <c r="BJ44" s="307">
        <v>0</v>
      </c>
      <c r="BK44" s="307">
        <v>1.9445300000000001</v>
      </c>
      <c r="BL44">
        <f t="shared" si="0"/>
        <v>37</v>
      </c>
      <c r="BM44">
        <f t="shared" si="1"/>
        <v>2.4175374583333333</v>
      </c>
      <c r="BN44">
        <f t="shared" si="2"/>
        <v>4.0993250000000003</v>
      </c>
      <c r="BO44">
        <f t="array" ref="BO44">MIN(IF($C44:$BK44&gt;0, $C44:$BK44))</f>
        <v>1.3146549999999999</v>
      </c>
      <c r="BP44">
        <f t="shared" si="3"/>
        <v>0</v>
      </c>
    </row>
    <row r="45" spans="1:68" x14ac:dyDescent="0.25">
      <c r="A45" s="306">
        <v>311320</v>
      </c>
      <c r="B45" s="307" t="s">
        <v>34</v>
      </c>
      <c r="C45" s="307">
        <v>2.2365370000000002</v>
      </c>
      <c r="D45" s="307">
        <v>0</v>
      </c>
      <c r="E45" s="307">
        <v>0</v>
      </c>
      <c r="F45" s="307">
        <v>2.0141610000000001</v>
      </c>
      <c r="G45" s="307">
        <v>0</v>
      </c>
      <c r="H45" s="307">
        <v>2.284904</v>
      </c>
      <c r="I45" s="307">
        <v>4.4276619999999998</v>
      </c>
      <c r="J45" s="307">
        <v>3.4687350000000001</v>
      </c>
      <c r="K45" s="307">
        <v>0</v>
      </c>
      <c r="L45" s="307">
        <v>0</v>
      </c>
      <c r="M45" s="307">
        <v>5.4449009999999998</v>
      </c>
      <c r="N45" s="307">
        <v>6.0097170000000002</v>
      </c>
      <c r="O45" s="307">
        <v>0</v>
      </c>
      <c r="P45" s="307">
        <v>0</v>
      </c>
      <c r="Q45" s="307">
        <v>0</v>
      </c>
      <c r="R45" s="307">
        <v>1.964264</v>
      </c>
      <c r="S45" s="307">
        <v>0</v>
      </c>
      <c r="T45" s="307">
        <v>0</v>
      </c>
      <c r="U45" s="307">
        <v>0</v>
      </c>
      <c r="V45" s="307">
        <v>0</v>
      </c>
      <c r="W45" s="307">
        <v>3.1178949999999999</v>
      </c>
      <c r="X45" s="307">
        <v>4.4518149999999999</v>
      </c>
      <c r="Y45" s="307">
        <v>0</v>
      </c>
      <c r="Z45" s="307">
        <v>5.9859770000000001</v>
      </c>
      <c r="AA45" s="307">
        <v>5.91723</v>
      </c>
      <c r="AB45" s="307">
        <v>2.7271190000000001</v>
      </c>
      <c r="AC45" s="307">
        <v>0</v>
      </c>
      <c r="AD45" s="307">
        <v>0</v>
      </c>
      <c r="AE45" s="307">
        <v>0</v>
      </c>
      <c r="AF45" s="307">
        <v>0</v>
      </c>
      <c r="AG45" s="307">
        <v>0</v>
      </c>
      <c r="AH45" s="307">
        <v>1.955066</v>
      </c>
      <c r="AI45" s="307">
        <v>2.3290120000000001</v>
      </c>
      <c r="AJ45" s="307">
        <v>2.0291410000000001</v>
      </c>
      <c r="AK45" s="307">
        <v>2.0574970000000001</v>
      </c>
      <c r="AL45" s="307">
        <v>3.6272519999999999</v>
      </c>
      <c r="AM45" s="307">
        <v>6.0214100000000004</v>
      </c>
      <c r="AN45" s="307">
        <v>3.071288</v>
      </c>
      <c r="AO45" s="307">
        <v>5.7565309999999998</v>
      </c>
      <c r="AP45" s="307">
        <v>1.9390620000000001</v>
      </c>
      <c r="AQ45" s="307">
        <v>0</v>
      </c>
      <c r="AR45" s="307">
        <v>0</v>
      </c>
      <c r="AS45" s="307">
        <v>0</v>
      </c>
      <c r="AT45" s="307">
        <v>3.7685050000000002</v>
      </c>
      <c r="AU45" s="307">
        <v>6.1042129999999997</v>
      </c>
      <c r="AV45" s="307">
        <v>5.5898459999999996</v>
      </c>
      <c r="AW45" s="307">
        <v>0</v>
      </c>
      <c r="AX45" s="307">
        <v>0</v>
      </c>
      <c r="AY45" s="307">
        <v>4.4188169999999998</v>
      </c>
      <c r="AZ45" s="307">
        <v>2.27475</v>
      </c>
      <c r="BA45" s="307">
        <v>0</v>
      </c>
      <c r="BB45" s="307">
        <v>0</v>
      </c>
      <c r="BC45" s="307">
        <v>2.366749</v>
      </c>
      <c r="BD45" s="307">
        <v>2.0154269999999999</v>
      </c>
      <c r="BE45" s="307">
        <v>2.2258149999999999</v>
      </c>
      <c r="BF45" s="307">
        <v>3.681117</v>
      </c>
      <c r="BG45" s="307">
        <v>5.6863780000000004</v>
      </c>
      <c r="BH45" s="307">
        <v>3.9105479999999999</v>
      </c>
      <c r="BI45" s="307">
        <v>3.8490259999999998</v>
      </c>
      <c r="BJ45" s="307">
        <v>3.6410010000000002</v>
      </c>
      <c r="BK45" s="307">
        <v>2.3280180000000001</v>
      </c>
      <c r="BL45">
        <f t="shared" si="0"/>
        <v>25</v>
      </c>
      <c r="BM45">
        <f t="shared" si="1"/>
        <v>3.6304829444444442</v>
      </c>
      <c r="BN45">
        <f t="shared" si="2"/>
        <v>6.1042129999999997</v>
      </c>
      <c r="BO45">
        <f t="array" ref="BO45">MIN(IF($C45:$BK45&gt;0, $C45:$BK45))</f>
        <v>1.9390620000000001</v>
      </c>
      <c r="BP45">
        <f t="shared" si="3"/>
        <v>2.0291410000000001</v>
      </c>
    </row>
    <row r="46" spans="1:68" x14ac:dyDescent="0.25">
      <c r="A46" s="306">
        <v>311330</v>
      </c>
      <c r="B46" s="307" t="s">
        <v>35</v>
      </c>
      <c r="C46" s="307">
        <v>3.8810229999999999</v>
      </c>
      <c r="D46" s="307">
        <v>8.5143500000000003</v>
      </c>
      <c r="E46" s="307">
        <v>9.7970459999999999</v>
      </c>
      <c r="F46" s="307">
        <v>7.6721719999999998</v>
      </c>
      <c r="G46" s="307">
        <v>7.6011569999999997</v>
      </c>
      <c r="H46" s="307">
        <v>3.42374</v>
      </c>
      <c r="I46" s="307">
        <v>5.2745309999999996</v>
      </c>
      <c r="J46" s="307">
        <v>3.908668</v>
      </c>
      <c r="K46" s="307">
        <v>0.68115340000000002</v>
      </c>
      <c r="L46" s="307">
        <v>3.6377959999999998</v>
      </c>
      <c r="M46" s="307">
        <v>8.1353159999999995</v>
      </c>
      <c r="N46" s="307">
        <v>3.3739469999999998</v>
      </c>
      <c r="O46" s="307">
        <v>4.3601999999999999</v>
      </c>
      <c r="P46" s="307">
        <v>5.4435750000000001</v>
      </c>
      <c r="Q46" s="307">
        <v>7.3038619999999996</v>
      </c>
      <c r="R46" s="307">
        <v>2.8188599999999999</v>
      </c>
      <c r="S46" s="307">
        <v>5.3826520000000002</v>
      </c>
      <c r="T46" s="307">
        <v>4.0838039999999998</v>
      </c>
      <c r="U46" s="307">
        <v>8.1369240000000005</v>
      </c>
      <c r="V46" s="307">
        <v>4.4170639999999999</v>
      </c>
      <c r="W46" s="307">
        <v>5.3241750000000003</v>
      </c>
      <c r="X46" s="307">
        <v>5.3734999999999999</v>
      </c>
      <c r="Y46" s="307">
        <v>8.4462109999999999</v>
      </c>
      <c r="Z46" s="307">
        <v>3.9015770000000001</v>
      </c>
      <c r="AA46" s="307">
        <v>4.0406029999999999</v>
      </c>
      <c r="AB46" s="307">
        <v>6.3492119999999996</v>
      </c>
      <c r="AC46" s="307">
        <v>3.4025690000000002</v>
      </c>
      <c r="AD46" s="307">
        <v>8.0766840000000002</v>
      </c>
      <c r="AE46" s="307">
        <v>4.7467930000000003</v>
      </c>
      <c r="AF46" s="307">
        <v>8.5354910000000004</v>
      </c>
      <c r="AG46" s="307">
        <v>8.1815040000000003</v>
      </c>
      <c r="AH46" s="307">
        <v>7.3437520000000003</v>
      </c>
      <c r="AI46" s="307">
        <v>2.4465140000000001</v>
      </c>
      <c r="AJ46" s="307">
        <v>8.750508</v>
      </c>
      <c r="AK46" s="307">
        <v>3.822292</v>
      </c>
      <c r="AL46" s="307">
        <v>4.2990890000000004</v>
      </c>
      <c r="AM46" s="307">
        <v>5.8062610000000001</v>
      </c>
      <c r="AN46" s="307">
        <v>0</v>
      </c>
      <c r="AO46" s="307">
        <v>6.0163390000000003</v>
      </c>
      <c r="AP46" s="307">
        <v>3.264132</v>
      </c>
      <c r="AQ46" s="307">
        <v>9.4458859999999998</v>
      </c>
      <c r="AR46" s="307">
        <v>7.9392740000000002</v>
      </c>
      <c r="AS46" s="307">
        <v>2.8609499999999999</v>
      </c>
      <c r="AT46" s="307">
        <v>2.6393460000000002</v>
      </c>
      <c r="AU46" s="307">
        <v>3.6970519999999998</v>
      </c>
      <c r="AV46" s="307">
        <v>7.8039610000000001</v>
      </c>
      <c r="AW46" s="307">
        <v>2.663532</v>
      </c>
      <c r="AX46" s="307">
        <v>4.4096770000000003</v>
      </c>
      <c r="AY46" s="307">
        <v>4.9843209999999996</v>
      </c>
      <c r="AZ46" s="307">
        <v>4.0459329999999998</v>
      </c>
      <c r="BA46" s="307">
        <v>6.502497</v>
      </c>
      <c r="BB46" s="307">
        <v>8.6651930000000004</v>
      </c>
      <c r="BC46" s="307">
        <v>5.2491719999999997</v>
      </c>
      <c r="BD46" s="307">
        <v>3.3946510000000001</v>
      </c>
      <c r="BE46" s="307">
        <v>3.6303420000000002</v>
      </c>
      <c r="BF46" s="307">
        <v>4.8066310000000003</v>
      </c>
      <c r="BG46" s="307">
        <v>3.9839980000000002</v>
      </c>
      <c r="BH46" s="307">
        <v>3.040308</v>
      </c>
      <c r="BI46" s="307">
        <v>3.808154</v>
      </c>
      <c r="BJ46" s="307">
        <v>5.9271520000000004</v>
      </c>
      <c r="BK46" s="307">
        <v>3.912785</v>
      </c>
      <c r="BL46">
        <f t="shared" si="0"/>
        <v>1</v>
      </c>
      <c r="BM46">
        <f t="shared" si="1"/>
        <v>5.3230976899999982</v>
      </c>
      <c r="BN46">
        <f t="shared" si="2"/>
        <v>9.7970459999999999</v>
      </c>
      <c r="BO46">
        <f t="array" ref="BO46">MIN(IF($C46:$BK46&gt;0, $C46:$BK46))</f>
        <v>0.68115340000000002</v>
      </c>
      <c r="BP46">
        <f t="shared" si="3"/>
        <v>4.7467930000000003</v>
      </c>
    </row>
    <row r="47" spans="1:68" x14ac:dyDescent="0.25">
      <c r="A47" s="306">
        <v>311340</v>
      </c>
      <c r="B47" s="307" t="s">
        <v>36</v>
      </c>
      <c r="C47" s="307">
        <v>3.4956260000000001</v>
      </c>
      <c r="D47" s="307">
        <v>3.0131139999999998</v>
      </c>
      <c r="E47" s="307">
        <v>9.3098209999999995</v>
      </c>
      <c r="F47" s="307">
        <v>6.7874670000000004</v>
      </c>
      <c r="G47" s="307">
        <v>2.329386</v>
      </c>
      <c r="H47" s="307">
        <v>3.2345250000000001</v>
      </c>
      <c r="I47" s="307">
        <v>5.770759</v>
      </c>
      <c r="J47" s="307">
        <v>3.6784469999999998</v>
      </c>
      <c r="K47" s="307">
        <v>0</v>
      </c>
      <c r="L47" s="307">
        <v>6.0923619999999996</v>
      </c>
      <c r="M47" s="307">
        <v>6.2751700000000001</v>
      </c>
      <c r="N47" s="307">
        <v>2.9541970000000002</v>
      </c>
      <c r="O47" s="307">
        <v>9.4754020000000008</v>
      </c>
      <c r="P47" s="307">
        <v>4.4794720000000003</v>
      </c>
      <c r="Q47" s="307">
        <v>3.1808429999999999</v>
      </c>
      <c r="R47" s="307">
        <v>2.26105</v>
      </c>
      <c r="S47" s="307">
        <v>3.677054</v>
      </c>
      <c r="T47" s="307">
        <v>3.2038899999999999</v>
      </c>
      <c r="U47" s="307">
        <v>2.2115260000000001</v>
      </c>
      <c r="V47" s="307">
        <v>7.3310279999999999</v>
      </c>
      <c r="W47" s="307">
        <v>3.864697</v>
      </c>
      <c r="X47" s="307">
        <v>3.8055940000000001</v>
      </c>
      <c r="Y47" s="307">
        <v>9.3932310000000001</v>
      </c>
      <c r="Z47" s="307">
        <v>8.6912870000000009</v>
      </c>
      <c r="AA47" s="307">
        <v>3.3002349999999998</v>
      </c>
      <c r="AB47" s="307">
        <v>4.4010949999999998</v>
      </c>
      <c r="AC47" s="307">
        <v>3.27678</v>
      </c>
      <c r="AD47" s="307">
        <v>8.1167309999999997</v>
      </c>
      <c r="AE47" s="307">
        <v>3.4495840000000002</v>
      </c>
      <c r="AF47" s="307">
        <v>0</v>
      </c>
      <c r="AG47" s="307">
        <v>3.0278710000000002</v>
      </c>
      <c r="AH47" s="307">
        <v>3.1959390000000001</v>
      </c>
      <c r="AI47" s="307">
        <v>2.5697990000000002</v>
      </c>
      <c r="AJ47" s="307">
        <v>6.8891229999999997</v>
      </c>
      <c r="AK47" s="307">
        <v>4.4842719999999998</v>
      </c>
      <c r="AL47" s="307">
        <v>4.1461420000000002</v>
      </c>
      <c r="AM47" s="307">
        <v>4.611281</v>
      </c>
      <c r="AN47" s="307">
        <v>7.4557130000000003</v>
      </c>
      <c r="AO47" s="307">
        <v>5.6588839999999996</v>
      </c>
      <c r="AP47" s="307">
        <v>3.2639819999999999</v>
      </c>
      <c r="AQ47" s="307">
        <v>0</v>
      </c>
      <c r="AR47" s="307">
        <v>7.0842349999999996</v>
      </c>
      <c r="AS47" s="307">
        <v>7.1725890000000003</v>
      </c>
      <c r="AT47" s="307">
        <v>3.2661639999999998</v>
      </c>
      <c r="AU47" s="307">
        <v>4.793266</v>
      </c>
      <c r="AV47" s="307">
        <v>5.0540690000000001</v>
      </c>
      <c r="AW47" s="307">
        <v>4.906345</v>
      </c>
      <c r="AX47" s="307">
        <v>3.32098</v>
      </c>
      <c r="AY47" s="307">
        <v>6.1217629999999996</v>
      </c>
      <c r="AZ47" s="307">
        <v>4.4060509999999997</v>
      </c>
      <c r="BA47" s="307">
        <v>3.0705710000000002</v>
      </c>
      <c r="BB47" s="307">
        <v>9.3125319999999991</v>
      </c>
      <c r="BC47" s="307">
        <v>4.2951750000000004</v>
      </c>
      <c r="BD47" s="307">
        <v>3.4041869999999999</v>
      </c>
      <c r="BE47" s="307">
        <v>2.8614350000000002</v>
      </c>
      <c r="BF47" s="307">
        <v>3.549423</v>
      </c>
      <c r="BG47" s="307">
        <v>3.5988090000000001</v>
      </c>
      <c r="BH47" s="307">
        <v>3.5090599999999998</v>
      </c>
      <c r="BI47" s="307">
        <v>5.1914420000000003</v>
      </c>
      <c r="BJ47" s="307">
        <v>4.6278180000000004</v>
      </c>
      <c r="BK47" s="307">
        <v>3.5900089999999998</v>
      </c>
      <c r="BL47">
        <f t="shared" si="0"/>
        <v>3</v>
      </c>
      <c r="BM47">
        <f t="shared" si="1"/>
        <v>4.7499879655172403</v>
      </c>
      <c r="BN47">
        <f t="shared" si="2"/>
        <v>9.4754020000000008</v>
      </c>
      <c r="BO47">
        <f t="array" ref="BO47">MIN(IF($C47:$BK47&gt;0, $C47:$BK47))</f>
        <v>2.2115260000000001</v>
      </c>
      <c r="BP47">
        <f t="shared" si="3"/>
        <v>3.8055940000000001</v>
      </c>
    </row>
    <row r="48" spans="1:68" x14ac:dyDescent="0.25">
      <c r="A48" s="306">
        <v>311410</v>
      </c>
      <c r="B48" s="307" t="s">
        <v>37</v>
      </c>
      <c r="C48" s="307">
        <v>3.439702</v>
      </c>
      <c r="D48" s="307">
        <v>0</v>
      </c>
      <c r="E48" s="307">
        <v>0</v>
      </c>
      <c r="F48" s="307">
        <v>3.533204</v>
      </c>
      <c r="G48" s="307">
        <v>4.8506590000000003</v>
      </c>
      <c r="H48" s="307">
        <v>3.2953869999999998</v>
      </c>
      <c r="I48" s="307">
        <v>4.0765549999999999</v>
      </c>
      <c r="J48" s="307">
        <v>2.5704660000000001</v>
      </c>
      <c r="K48" s="307">
        <v>0</v>
      </c>
      <c r="L48" s="307">
        <v>3.0710540000000002</v>
      </c>
      <c r="M48" s="307">
        <v>2.7715999999999998</v>
      </c>
      <c r="N48" s="307">
        <v>3.1530659999999999</v>
      </c>
      <c r="O48" s="307">
        <v>4.8363740000000002</v>
      </c>
      <c r="P48" s="307">
        <v>2.7656619999999998</v>
      </c>
      <c r="Q48" s="307">
        <v>3.4899659999999999</v>
      </c>
      <c r="R48" s="307">
        <v>2.7210009999999998</v>
      </c>
      <c r="S48" s="307">
        <v>3.429446</v>
      </c>
      <c r="T48" s="307">
        <v>4.0299670000000001</v>
      </c>
      <c r="U48" s="307">
        <v>2.989487</v>
      </c>
      <c r="V48" s="307">
        <v>4.7737259999999999</v>
      </c>
      <c r="W48" s="307">
        <v>3.4446569999999999</v>
      </c>
      <c r="X48" s="307">
        <v>4.2894129999999997</v>
      </c>
      <c r="Y48" s="307">
        <v>4.708234</v>
      </c>
      <c r="Z48" s="307">
        <v>3.4953029999999998</v>
      </c>
      <c r="AA48" s="307">
        <v>2.9425460000000001</v>
      </c>
      <c r="AB48" s="307">
        <v>2.8805519999999998</v>
      </c>
      <c r="AC48" s="307">
        <v>4.6828839999999996</v>
      </c>
      <c r="AD48" s="307">
        <v>0</v>
      </c>
      <c r="AE48" s="307">
        <v>3.6260669999999999</v>
      </c>
      <c r="AF48" s="307">
        <v>3.3459110000000001</v>
      </c>
      <c r="AG48" s="307">
        <v>3.3646229999999999</v>
      </c>
      <c r="AH48" s="307">
        <v>4.5282600000000004</v>
      </c>
      <c r="AI48" s="307">
        <v>3.0852970000000002</v>
      </c>
      <c r="AJ48" s="307">
        <v>4.6594949999999997</v>
      </c>
      <c r="AK48" s="307">
        <v>4.7247260000000004</v>
      </c>
      <c r="AL48" s="307">
        <v>2.592978</v>
      </c>
      <c r="AM48" s="307">
        <v>3.1687259999999999</v>
      </c>
      <c r="AN48" s="307">
        <v>4.7159110000000002</v>
      </c>
      <c r="AO48" s="307">
        <v>3.9267180000000002</v>
      </c>
      <c r="AP48" s="307">
        <v>3.6297009999999998</v>
      </c>
      <c r="AQ48" s="307">
        <v>3.1953529999999999</v>
      </c>
      <c r="AR48" s="307">
        <v>3.026586</v>
      </c>
      <c r="AS48" s="307">
        <v>2.3162859999999998</v>
      </c>
      <c r="AT48" s="307">
        <v>2.5840360000000002</v>
      </c>
      <c r="AU48" s="307">
        <v>4.5910279999999997</v>
      </c>
      <c r="AV48" s="307">
        <v>3.2255919999999998</v>
      </c>
      <c r="AW48" s="307">
        <v>3.9563100000000002</v>
      </c>
      <c r="AX48" s="307">
        <v>4.7460279999999999</v>
      </c>
      <c r="AY48" s="307">
        <v>3.3341020000000001</v>
      </c>
      <c r="AZ48" s="307">
        <v>3.418126</v>
      </c>
      <c r="BA48" s="307">
        <v>3.0604239999999998</v>
      </c>
      <c r="BB48" s="307">
        <v>0</v>
      </c>
      <c r="BC48" s="307">
        <v>4.0187629999999999</v>
      </c>
      <c r="BD48" s="307">
        <v>3.1169220000000002</v>
      </c>
      <c r="BE48" s="307">
        <v>3.1853739999999999</v>
      </c>
      <c r="BF48" s="307">
        <v>3.2978360000000002</v>
      </c>
      <c r="BG48" s="307">
        <v>3.0172439999999998</v>
      </c>
      <c r="BH48" s="307">
        <v>3.0307059999999999</v>
      </c>
      <c r="BI48" s="307">
        <v>4.104698</v>
      </c>
      <c r="BJ48" s="307">
        <v>3.578373</v>
      </c>
      <c r="BK48" s="307">
        <v>3.4979300000000002</v>
      </c>
      <c r="BL48">
        <f t="shared" si="0"/>
        <v>5</v>
      </c>
      <c r="BM48">
        <f t="shared" si="1"/>
        <v>3.5698400178571434</v>
      </c>
      <c r="BN48">
        <f t="shared" si="2"/>
        <v>4.8506590000000003</v>
      </c>
      <c r="BO48">
        <f t="array" ref="BO48">MIN(IF($C48:$BK48&gt;0, $C48:$BK48))</f>
        <v>2.3162859999999998</v>
      </c>
      <c r="BP48">
        <f t="shared" si="3"/>
        <v>3.3459110000000001</v>
      </c>
    </row>
    <row r="49" spans="1:68" x14ac:dyDescent="0.25">
      <c r="A49" s="306">
        <v>311420</v>
      </c>
      <c r="B49" s="307" t="s">
        <v>38</v>
      </c>
      <c r="C49" s="307">
        <v>2.6411959999999999</v>
      </c>
      <c r="D49" s="307">
        <v>0</v>
      </c>
      <c r="E49" s="307">
        <v>3.385513</v>
      </c>
      <c r="F49" s="307">
        <v>2.4313090000000002</v>
      </c>
      <c r="G49" s="307">
        <v>3.6804329999999998</v>
      </c>
      <c r="H49" s="307">
        <v>2.5149330000000001</v>
      </c>
      <c r="I49" s="307">
        <v>4.4328589999999997</v>
      </c>
      <c r="J49" s="307">
        <v>2.4893640000000001</v>
      </c>
      <c r="K49" s="307">
        <v>0</v>
      </c>
      <c r="L49" s="307">
        <v>2.151459</v>
      </c>
      <c r="M49" s="307">
        <v>2.0614219999999999</v>
      </c>
      <c r="N49" s="307">
        <v>2.8774869999999999</v>
      </c>
      <c r="O49" s="307">
        <v>3.4818820000000001</v>
      </c>
      <c r="P49" s="307">
        <v>2.7589779999999999</v>
      </c>
      <c r="Q49" s="307">
        <v>3.2324639999999998</v>
      </c>
      <c r="R49" s="307">
        <v>2.1190600000000002</v>
      </c>
      <c r="S49" s="307">
        <v>2.8829060000000002</v>
      </c>
      <c r="T49" s="307">
        <v>3.281501</v>
      </c>
      <c r="U49" s="307">
        <v>1.9030579999999999</v>
      </c>
      <c r="V49" s="307">
        <v>3.2598020000000001</v>
      </c>
      <c r="W49" s="307">
        <v>1.917443</v>
      </c>
      <c r="X49" s="307">
        <v>2.0017999999999998</v>
      </c>
      <c r="Y49" s="307">
        <v>3.1828699999999999</v>
      </c>
      <c r="Z49" s="307">
        <v>2.5702379999999998</v>
      </c>
      <c r="AA49" s="307">
        <v>2.831931</v>
      </c>
      <c r="AB49" s="307">
        <v>1.9147350000000001</v>
      </c>
      <c r="AC49" s="307">
        <v>4.2699350000000003</v>
      </c>
      <c r="AD49" s="307">
        <v>4.4228230000000002</v>
      </c>
      <c r="AE49" s="307">
        <v>2.8323879999999999</v>
      </c>
      <c r="AF49" s="307">
        <v>2.7754129999999999</v>
      </c>
      <c r="AG49" s="307">
        <v>3.9453399999999998</v>
      </c>
      <c r="AH49" s="307">
        <v>4.1643410000000003</v>
      </c>
      <c r="AI49" s="307">
        <v>1.770308</v>
      </c>
      <c r="AJ49" s="307">
        <v>4.2484950000000001</v>
      </c>
      <c r="AK49" s="307">
        <v>2.500324</v>
      </c>
      <c r="AL49" s="307">
        <v>2.4918650000000002</v>
      </c>
      <c r="AM49" s="307">
        <v>2.0662720000000001</v>
      </c>
      <c r="AN49" s="307">
        <v>3.465503</v>
      </c>
      <c r="AO49" s="307">
        <v>3.1834730000000002</v>
      </c>
      <c r="AP49" s="307">
        <v>2.6092230000000001</v>
      </c>
      <c r="AQ49" s="307">
        <v>4.1774329999999997</v>
      </c>
      <c r="AR49" s="307">
        <v>3.7792539999999999</v>
      </c>
      <c r="AS49" s="307">
        <v>0</v>
      </c>
      <c r="AT49" s="307">
        <v>1.9734940000000001</v>
      </c>
      <c r="AU49" s="307">
        <v>2.8147790000000001</v>
      </c>
      <c r="AV49" s="307">
        <v>4.3488709999999999</v>
      </c>
      <c r="AW49" s="307">
        <v>2.9107620000000001</v>
      </c>
      <c r="AX49" s="307">
        <v>4.3272880000000002</v>
      </c>
      <c r="AY49" s="307">
        <v>3.1848359999999998</v>
      </c>
      <c r="AZ49" s="307">
        <v>2.9265119999999998</v>
      </c>
      <c r="BA49" s="307">
        <v>4.0012400000000001</v>
      </c>
      <c r="BB49" s="307">
        <v>0</v>
      </c>
      <c r="BC49" s="307">
        <v>2.377786</v>
      </c>
      <c r="BD49" s="307">
        <v>2.5007730000000001</v>
      </c>
      <c r="BE49" s="307">
        <v>2.4970690000000002</v>
      </c>
      <c r="BF49" s="307">
        <v>2.728707</v>
      </c>
      <c r="BG49" s="307">
        <v>2.495965</v>
      </c>
      <c r="BH49" s="307">
        <v>2.171014</v>
      </c>
      <c r="BI49" s="307">
        <v>2.8591679999999999</v>
      </c>
      <c r="BJ49" s="307">
        <v>3.3802620000000001</v>
      </c>
      <c r="BK49" s="307">
        <v>2.6782789999999999</v>
      </c>
      <c r="BL49">
        <f t="shared" si="0"/>
        <v>4</v>
      </c>
      <c r="BM49">
        <f t="shared" si="1"/>
        <v>2.9628743508771933</v>
      </c>
      <c r="BN49">
        <f t="shared" si="2"/>
        <v>4.4328589999999997</v>
      </c>
      <c r="BO49">
        <f t="array" ref="BO49">MIN(IF($C49:$BK49&gt;0, $C49:$BK49))</f>
        <v>1.770308</v>
      </c>
      <c r="BP49">
        <f t="shared" si="3"/>
        <v>2.7754129999999999</v>
      </c>
    </row>
    <row r="50" spans="1:68" x14ac:dyDescent="0.25">
      <c r="A50" s="306">
        <v>311513</v>
      </c>
      <c r="B50" s="307" t="s">
        <v>40</v>
      </c>
      <c r="C50" s="307">
        <v>2.6594880000000001</v>
      </c>
      <c r="D50" s="307">
        <v>0</v>
      </c>
      <c r="E50" s="307">
        <v>3.969182</v>
      </c>
      <c r="F50" s="307">
        <v>2.6292520000000001</v>
      </c>
      <c r="G50" s="307">
        <v>0</v>
      </c>
      <c r="H50" s="307">
        <v>2.2111719999999999</v>
      </c>
      <c r="I50" s="307">
        <v>2.079548</v>
      </c>
      <c r="J50" s="307">
        <v>2.6968480000000001</v>
      </c>
      <c r="K50" s="307">
        <v>0</v>
      </c>
      <c r="L50" s="307">
        <v>0</v>
      </c>
      <c r="M50" s="307">
        <v>2.0810529999999998</v>
      </c>
      <c r="N50" s="307">
        <v>3.263477</v>
      </c>
      <c r="O50" s="307">
        <v>2.6222439999999998</v>
      </c>
      <c r="P50" s="307">
        <v>3.3243010000000002</v>
      </c>
      <c r="Q50" s="307">
        <v>2.8536489999999999</v>
      </c>
      <c r="R50" s="307">
        <v>2.3820960000000002</v>
      </c>
      <c r="S50" s="307">
        <v>2.9666700000000001</v>
      </c>
      <c r="T50" s="307">
        <v>0</v>
      </c>
      <c r="U50" s="307">
        <v>2.8528340000000001</v>
      </c>
      <c r="V50" s="307">
        <v>4.2661230000000003</v>
      </c>
      <c r="W50" s="307">
        <v>3.9204310000000002</v>
      </c>
      <c r="X50" s="307">
        <v>2.3727100000000001</v>
      </c>
      <c r="Y50" s="307">
        <v>4.2845219999999999</v>
      </c>
      <c r="Z50" s="307">
        <v>2.8173080000000001</v>
      </c>
      <c r="AA50" s="307">
        <v>2.465913</v>
      </c>
      <c r="AB50" s="307">
        <v>2.1325340000000002</v>
      </c>
      <c r="AC50" s="307">
        <v>0</v>
      </c>
      <c r="AD50" s="307">
        <v>0</v>
      </c>
      <c r="AE50" s="307">
        <v>3.172717</v>
      </c>
      <c r="AF50" s="307">
        <v>3.699862</v>
      </c>
      <c r="AG50" s="307">
        <v>2.5688710000000001</v>
      </c>
      <c r="AH50" s="307">
        <v>0</v>
      </c>
      <c r="AI50" s="307">
        <v>2.5279400000000001</v>
      </c>
      <c r="AJ50" s="307">
        <v>2.776192</v>
      </c>
      <c r="AK50" s="307">
        <v>0</v>
      </c>
      <c r="AL50" s="307">
        <v>2.7367219999999999</v>
      </c>
      <c r="AM50" s="307">
        <v>2.6045180000000001</v>
      </c>
      <c r="AN50" s="307">
        <v>4.2143189999999997</v>
      </c>
      <c r="AO50" s="307">
        <v>2.6484169999999998</v>
      </c>
      <c r="AP50" s="307">
        <v>2.3603839999999998</v>
      </c>
      <c r="AQ50" s="307">
        <v>3.0224160000000002</v>
      </c>
      <c r="AR50" s="307">
        <v>4.2050359999999998</v>
      </c>
      <c r="AS50" s="307">
        <v>2.5961110000000001</v>
      </c>
      <c r="AT50" s="307">
        <v>3.2355619999999998</v>
      </c>
      <c r="AU50" s="307">
        <v>2.5658970000000001</v>
      </c>
      <c r="AV50" s="307">
        <v>2.5547780000000002</v>
      </c>
      <c r="AW50" s="307">
        <v>0</v>
      </c>
      <c r="AX50" s="307">
        <v>3.9084370000000002</v>
      </c>
      <c r="AY50" s="307">
        <v>4.3006539999999998</v>
      </c>
      <c r="AZ50" s="307">
        <v>2.7096719999999999</v>
      </c>
      <c r="BA50" s="307">
        <v>0</v>
      </c>
      <c r="BB50" s="307">
        <v>0</v>
      </c>
      <c r="BC50" s="307">
        <v>3.6450200000000001</v>
      </c>
      <c r="BD50" s="307">
        <v>2.7207469999999998</v>
      </c>
      <c r="BE50" s="307">
        <v>2.7127409999999998</v>
      </c>
      <c r="BF50" s="307">
        <v>2.545703</v>
      </c>
      <c r="BG50" s="307">
        <v>3.022116</v>
      </c>
      <c r="BH50" s="307">
        <v>3.2172700000000001</v>
      </c>
      <c r="BI50" s="307">
        <v>2.6097039999999998</v>
      </c>
      <c r="BJ50" s="307">
        <v>2.6405219999999998</v>
      </c>
      <c r="BK50" s="307">
        <v>2.2793040000000002</v>
      </c>
      <c r="BL50">
        <f t="shared" si="0"/>
        <v>12</v>
      </c>
      <c r="BM50">
        <f t="shared" si="1"/>
        <v>2.9521017755102044</v>
      </c>
      <c r="BN50">
        <f t="shared" si="2"/>
        <v>4.3006539999999998</v>
      </c>
      <c r="BO50">
        <f t="array" ref="BO50">MIN(IF($C50:$BK50&gt;0, $C50:$BK50))</f>
        <v>2.079548</v>
      </c>
      <c r="BP50">
        <f t="shared" si="3"/>
        <v>2.6292520000000001</v>
      </c>
    </row>
    <row r="51" spans="1:68" x14ac:dyDescent="0.25">
      <c r="A51" s="306">
        <v>311514</v>
      </c>
      <c r="B51" s="307" t="s">
        <v>41</v>
      </c>
      <c r="C51" s="307">
        <v>2.024861</v>
      </c>
      <c r="D51" s="307">
        <v>0</v>
      </c>
      <c r="E51" s="307">
        <v>0</v>
      </c>
      <c r="F51" s="307">
        <v>3.2674479999999999</v>
      </c>
      <c r="G51" s="307">
        <v>1.7623089999999999</v>
      </c>
      <c r="H51" s="307">
        <v>1.8967909999999999</v>
      </c>
      <c r="I51" s="307">
        <v>1.5665720000000001</v>
      </c>
      <c r="J51" s="307">
        <v>0</v>
      </c>
      <c r="K51" s="307">
        <v>0</v>
      </c>
      <c r="L51" s="307">
        <v>0</v>
      </c>
      <c r="M51" s="307">
        <v>3.4369489999999998</v>
      </c>
      <c r="N51" s="307">
        <v>2.2746919999999999</v>
      </c>
      <c r="O51" s="307">
        <v>0</v>
      </c>
      <c r="P51" s="307">
        <v>2.9767109999999999</v>
      </c>
      <c r="Q51" s="307">
        <v>2.779188</v>
      </c>
      <c r="R51" s="307">
        <v>1.9929110000000001</v>
      </c>
      <c r="S51" s="307">
        <v>2.0918429999999999</v>
      </c>
      <c r="T51" s="307">
        <v>3.2664279999999999</v>
      </c>
      <c r="U51" s="307">
        <v>2.5814020000000002</v>
      </c>
      <c r="V51" s="307">
        <v>1.7454369999999999</v>
      </c>
      <c r="W51" s="307">
        <v>2.635345</v>
      </c>
      <c r="X51" s="307">
        <v>2.2518940000000001</v>
      </c>
      <c r="Y51" s="307">
        <v>0</v>
      </c>
      <c r="Z51" s="307">
        <v>1.6196010000000001</v>
      </c>
      <c r="AA51" s="307">
        <v>2.2252000000000001</v>
      </c>
      <c r="AB51" s="307">
        <v>2.0678719999999999</v>
      </c>
      <c r="AC51" s="307">
        <v>0</v>
      </c>
      <c r="AD51" s="307">
        <v>0</v>
      </c>
      <c r="AE51" s="307">
        <v>0</v>
      </c>
      <c r="AF51" s="307">
        <v>0</v>
      </c>
      <c r="AG51" s="307">
        <v>2.3675999999999999</v>
      </c>
      <c r="AH51" s="307">
        <v>0</v>
      </c>
      <c r="AI51" s="307">
        <v>2.1413169999999999</v>
      </c>
      <c r="AJ51" s="307">
        <v>2.6740499999999998</v>
      </c>
      <c r="AK51" s="307">
        <v>0</v>
      </c>
      <c r="AL51" s="307">
        <v>2.1938300000000002</v>
      </c>
      <c r="AM51" s="307">
        <v>1.524205</v>
      </c>
      <c r="AN51" s="307">
        <v>2.8640029999999999</v>
      </c>
      <c r="AO51" s="307">
        <v>2.4913660000000002</v>
      </c>
      <c r="AP51" s="307">
        <v>2.7222590000000002</v>
      </c>
      <c r="AQ51" s="307">
        <v>0</v>
      </c>
      <c r="AR51" s="307">
        <v>0</v>
      </c>
      <c r="AS51" s="307">
        <v>2.7818139999999998</v>
      </c>
      <c r="AT51" s="307">
        <v>1.856948</v>
      </c>
      <c r="AU51" s="307">
        <v>2.0949719999999998</v>
      </c>
      <c r="AV51" s="307">
        <v>3.0007830000000002</v>
      </c>
      <c r="AW51" s="307">
        <v>1.714877</v>
      </c>
      <c r="AX51" s="307">
        <v>2.3099759999999998</v>
      </c>
      <c r="AY51" s="307">
        <v>1.5507299999999999</v>
      </c>
      <c r="AZ51" s="307">
        <v>2.654906</v>
      </c>
      <c r="BA51" s="307">
        <v>0</v>
      </c>
      <c r="BB51" s="307">
        <v>0</v>
      </c>
      <c r="BC51" s="307">
        <v>2.39642</v>
      </c>
      <c r="BD51" s="307">
        <v>2.415708</v>
      </c>
      <c r="BE51" s="307">
        <v>1.8211459999999999</v>
      </c>
      <c r="BF51" s="307">
        <v>2.3805589999999999</v>
      </c>
      <c r="BG51" s="307">
        <v>1.919867</v>
      </c>
      <c r="BH51" s="307">
        <v>2.0758369999999999</v>
      </c>
      <c r="BI51" s="307">
        <v>2.12873</v>
      </c>
      <c r="BJ51" s="307">
        <v>2.0470959999999998</v>
      </c>
      <c r="BK51" s="307">
        <v>1.8536170000000001</v>
      </c>
      <c r="BL51">
        <f t="shared" si="0"/>
        <v>17</v>
      </c>
      <c r="BM51">
        <f t="shared" si="1"/>
        <v>2.2828652272727279</v>
      </c>
      <c r="BN51">
        <f t="shared" si="2"/>
        <v>3.4369489999999998</v>
      </c>
      <c r="BO51">
        <f t="array" ref="BO51">MIN(IF($C51:$BK51&gt;0, $C51:$BK51))</f>
        <v>1.524205</v>
      </c>
      <c r="BP51">
        <f t="shared" si="3"/>
        <v>2.024861</v>
      </c>
    </row>
    <row r="52" spans="1:68" x14ac:dyDescent="0.25">
      <c r="A52" s="306" t="s">
        <v>706</v>
      </c>
      <c r="B52" s="307" t="s">
        <v>39</v>
      </c>
      <c r="C52" s="307">
        <v>2.3991210000000001</v>
      </c>
      <c r="D52" s="307">
        <v>0</v>
      </c>
      <c r="E52" s="307">
        <v>2.6582279999999998</v>
      </c>
      <c r="F52" s="307">
        <v>2.6739920000000001</v>
      </c>
      <c r="G52" s="307">
        <v>2.5536379999999999</v>
      </c>
      <c r="H52" s="307">
        <v>2.0134970000000001</v>
      </c>
      <c r="I52" s="307">
        <v>2.2356980000000002</v>
      </c>
      <c r="J52" s="307">
        <v>2.0047459999999999</v>
      </c>
      <c r="K52" s="307">
        <v>0</v>
      </c>
      <c r="L52" s="307">
        <v>2.2385229999999998</v>
      </c>
      <c r="M52" s="307">
        <v>2.638369</v>
      </c>
      <c r="N52" s="307">
        <v>2.7652389999999998</v>
      </c>
      <c r="O52" s="307">
        <v>2.1677599999999999</v>
      </c>
      <c r="P52" s="307">
        <v>2.389167</v>
      </c>
      <c r="Q52" s="307">
        <v>2.538494</v>
      </c>
      <c r="R52" s="307">
        <v>2.6229480000000001</v>
      </c>
      <c r="S52" s="307">
        <v>2.2992669999999999</v>
      </c>
      <c r="T52" s="307">
        <v>2.4944500000000001</v>
      </c>
      <c r="U52" s="307">
        <v>2.2375859999999999</v>
      </c>
      <c r="V52" s="307">
        <v>2.929176</v>
      </c>
      <c r="W52" s="307">
        <v>2.2167319999999999</v>
      </c>
      <c r="X52" s="307">
        <v>2.2911269999999999</v>
      </c>
      <c r="Y52" s="307">
        <v>2.4534259999999999</v>
      </c>
      <c r="Z52" s="307">
        <v>2.2271860000000001</v>
      </c>
      <c r="AA52" s="307">
        <v>2.2342019999999998</v>
      </c>
      <c r="AB52" s="307">
        <v>2.1536300000000002</v>
      </c>
      <c r="AC52" s="307">
        <v>2.9006189999999998</v>
      </c>
      <c r="AD52" s="307">
        <v>2.9411070000000001</v>
      </c>
      <c r="AE52" s="307">
        <v>2.9468030000000001</v>
      </c>
      <c r="AF52" s="307">
        <v>2.1415570000000002</v>
      </c>
      <c r="AG52" s="307">
        <v>1.9896769999999999</v>
      </c>
      <c r="AH52" s="307">
        <v>2.1182050000000001</v>
      </c>
      <c r="AI52" s="307">
        <v>1.919394</v>
      </c>
      <c r="AJ52" s="307">
        <v>2.7523070000000001</v>
      </c>
      <c r="AK52" s="307">
        <v>2.4544389999999998</v>
      </c>
      <c r="AL52" s="307">
        <v>2.0198070000000001</v>
      </c>
      <c r="AM52" s="307">
        <v>2.3524280000000002</v>
      </c>
      <c r="AN52" s="307">
        <v>2.9594109999999998</v>
      </c>
      <c r="AO52" s="307">
        <v>2.1933829999999999</v>
      </c>
      <c r="AP52" s="307">
        <v>2.4910030000000001</v>
      </c>
      <c r="AQ52" s="307">
        <v>2.6781709999999999</v>
      </c>
      <c r="AR52" s="307">
        <v>2.5483579999999999</v>
      </c>
      <c r="AS52" s="307">
        <v>1.9231450000000001</v>
      </c>
      <c r="AT52" s="307">
        <v>2.351092</v>
      </c>
      <c r="AU52" s="307">
        <v>2.5210650000000001</v>
      </c>
      <c r="AV52" s="307">
        <v>2.507539</v>
      </c>
      <c r="AW52" s="307">
        <v>2.1263109999999998</v>
      </c>
      <c r="AX52" s="307">
        <v>2.9782959999999998</v>
      </c>
      <c r="AY52" s="307">
        <v>1.988435</v>
      </c>
      <c r="AZ52" s="307">
        <v>2.4278270000000002</v>
      </c>
      <c r="BA52" s="307">
        <v>2.5594459999999999</v>
      </c>
      <c r="BB52" s="307">
        <v>2.9828899999999998</v>
      </c>
      <c r="BC52" s="307">
        <v>2.4241899999999998</v>
      </c>
      <c r="BD52" s="307">
        <v>2.29467</v>
      </c>
      <c r="BE52" s="307">
        <v>2.4188209999999999</v>
      </c>
      <c r="BF52" s="307">
        <v>2.35195</v>
      </c>
      <c r="BG52" s="307">
        <v>2.5282589999999998</v>
      </c>
      <c r="BH52" s="307">
        <v>2.5026280000000001</v>
      </c>
      <c r="BI52" s="307">
        <v>2.6593529999999999</v>
      </c>
      <c r="BJ52" s="307">
        <v>2.4972569999999998</v>
      </c>
      <c r="BK52" s="307">
        <v>2.0488469999999999</v>
      </c>
      <c r="BL52">
        <f t="shared" si="0"/>
        <v>2</v>
      </c>
      <c r="BM52">
        <f t="shared" si="1"/>
        <v>2.4226252881355927</v>
      </c>
      <c r="BN52">
        <f t="shared" si="2"/>
        <v>2.9828899999999998</v>
      </c>
      <c r="BO52">
        <f t="array" ref="BO52">MIN(IF($C52:$BK52&gt;0, $C52:$BK52))</f>
        <v>1.919394</v>
      </c>
      <c r="BP52">
        <f t="shared" si="3"/>
        <v>2.4188209999999999</v>
      </c>
    </row>
    <row r="53" spans="1:68" x14ac:dyDescent="0.25">
      <c r="A53" s="306">
        <v>311520</v>
      </c>
      <c r="B53" s="307" t="s">
        <v>42</v>
      </c>
      <c r="C53" s="307">
        <v>2.704793</v>
      </c>
      <c r="D53" s="307">
        <v>3.5810559999999998</v>
      </c>
      <c r="E53" s="307">
        <v>3.2005020000000002</v>
      </c>
      <c r="F53" s="307">
        <v>2.5986919999999998</v>
      </c>
      <c r="G53" s="307">
        <v>2.630798</v>
      </c>
      <c r="H53" s="307">
        <v>2.397189</v>
      </c>
      <c r="I53" s="307">
        <v>2.3675130000000002</v>
      </c>
      <c r="J53" s="307">
        <v>2.1574390000000001</v>
      </c>
      <c r="K53" s="307">
        <v>0</v>
      </c>
      <c r="L53" s="307">
        <v>0</v>
      </c>
      <c r="M53" s="307">
        <v>3.488413</v>
      </c>
      <c r="N53" s="307">
        <v>2.3891439999999999</v>
      </c>
      <c r="O53" s="307">
        <v>3.5863209999999999</v>
      </c>
      <c r="P53" s="307">
        <v>2.1146690000000001</v>
      </c>
      <c r="Q53" s="307">
        <v>0</v>
      </c>
      <c r="R53" s="307">
        <v>2.9263159999999999</v>
      </c>
      <c r="S53" s="307">
        <v>2.6208269999999998</v>
      </c>
      <c r="T53" s="307">
        <v>0</v>
      </c>
      <c r="U53" s="307">
        <v>2.8726150000000001</v>
      </c>
      <c r="V53" s="307">
        <v>0</v>
      </c>
      <c r="W53" s="307">
        <v>1.8822129999999999</v>
      </c>
      <c r="X53" s="307">
        <v>2.175427</v>
      </c>
      <c r="Y53" s="307">
        <v>3.760551</v>
      </c>
      <c r="Z53" s="307">
        <v>3.5294490000000001</v>
      </c>
      <c r="AA53" s="307">
        <v>2.528035</v>
      </c>
      <c r="AB53" s="307">
        <v>2.484842</v>
      </c>
      <c r="AC53" s="307">
        <v>2.5086889999999999</v>
      </c>
      <c r="AD53" s="307">
        <v>2.710108</v>
      </c>
      <c r="AE53" s="307">
        <v>3.2012179999999999</v>
      </c>
      <c r="AF53" s="307">
        <v>0</v>
      </c>
      <c r="AG53" s="307">
        <v>2.6986659999999998</v>
      </c>
      <c r="AH53" s="307">
        <v>2.4466100000000002</v>
      </c>
      <c r="AI53" s="307">
        <v>2.7674919999999998</v>
      </c>
      <c r="AJ53" s="307">
        <v>0</v>
      </c>
      <c r="AK53" s="307">
        <v>2.525954</v>
      </c>
      <c r="AL53" s="307">
        <v>3.3502809999999998</v>
      </c>
      <c r="AM53" s="307">
        <v>2.8058730000000001</v>
      </c>
      <c r="AN53" s="307">
        <v>3.483279</v>
      </c>
      <c r="AO53" s="307">
        <v>2.604517</v>
      </c>
      <c r="AP53" s="307">
        <v>2.708018</v>
      </c>
      <c r="AQ53" s="307">
        <v>3.8102459999999998</v>
      </c>
      <c r="AR53" s="307">
        <v>3.1880229999999998</v>
      </c>
      <c r="AS53" s="307">
        <v>2.109518</v>
      </c>
      <c r="AT53" s="307">
        <v>3.5165169999999999</v>
      </c>
      <c r="AU53" s="307">
        <v>2.7759830000000001</v>
      </c>
      <c r="AV53" s="307">
        <v>3.149041</v>
      </c>
      <c r="AW53" s="307">
        <v>3.806702</v>
      </c>
      <c r="AX53" s="307">
        <v>3.245422</v>
      </c>
      <c r="AY53" s="307">
        <v>2.5220590000000001</v>
      </c>
      <c r="AZ53" s="307">
        <v>1.9851760000000001</v>
      </c>
      <c r="BA53" s="307">
        <v>3.649543</v>
      </c>
      <c r="BB53" s="307">
        <v>0</v>
      </c>
      <c r="BC53" s="307">
        <v>2.3479719999999999</v>
      </c>
      <c r="BD53" s="307">
        <v>3.066395</v>
      </c>
      <c r="BE53" s="307">
        <v>2.7097349999999998</v>
      </c>
      <c r="BF53" s="307">
        <v>2.4421870000000001</v>
      </c>
      <c r="BG53" s="307">
        <v>2.8241879999999999</v>
      </c>
      <c r="BH53" s="307">
        <v>3.2080669999999998</v>
      </c>
      <c r="BI53" s="307">
        <v>2.8663479999999999</v>
      </c>
      <c r="BJ53" s="307">
        <v>2.672482</v>
      </c>
      <c r="BK53" s="307">
        <v>2.4850319999999999</v>
      </c>
      <c r="BL53">
        <f t="shared" si="0"/>
        <v>8</v>
      </c>
      <c r="BM53">
        <f t="shared" si="1"/>
        <v>2.8337385849056593</v>
      </c>
      <c r="BN53">
        <f t="shared" si="2"/>
        <v>3.8102459999999998</v>
      </c>
      <c r="BO53">
        <f t="array" ref="BO53">MIN(IF($C53:$BK53&gt;0, $C53:$BK53))</f>
        <v>1.8822129999999999</v>
      </c>
      <c r="BP53">
        <f t="shared" si="3"/>
        <v>2.672482</v>
      </c>
    </row>
    <row r="54" spans="1:68" x14ac:dyDescent="0.25">
      <c r="A54" s="306">
        <v>311615</v>
      </c>
      <c r="B54" s="307" t="s">
        <v>44</v>
      </c>
      <c r="C54" s="307">
        <v>5.5458090000000002</v>
      </c>
      <c r="D54" s="307">
        <v>5.8820300000000003</v>
      </c>
      <c r="E54" s="307">
        <v>5.9870789999999996</v>
      </c>
      <c r="F54" s="307">
        <v>5.4039830000000002</v>
      </c>
      <c r="G54" s="307">
        <v>6.5002649999999997</v>
      </c>
      <c r="H54" s="307">
        <v>4.530627</v>
      </c>
      <c r="I54" s="307">
        <v>4.0585120000000003</v>
      </c>
      <c r="J54" s="307">
        <v>4.3835499999999996</v>
      </c>
      <c r="K54" s="307">
        <v>0</v>
      </c>
      <c r="L54" s="307">
        <v>3.8817249999999999</v>
      </c>
      <c r="M54" s="307">
        <v>5.5896540000000003</v>
      </c>
      <c r="N54" s="307">
        <v>5.4088609999999999</v>
      </c>
      <c r="O54" s="307">
        <v>5.4740120000000001</v>
      </c>
      <c r="P54" s="307">
        <v>4.4191370000000001</v>
      </c>
      <c r="Q54" s="307">
        <v>5.4893980000000004</v>
      </c>
      <c r="R54" s="307">
        <v>3.7685309999999999</v>
      </c>
      <c r="S54" s="307">
        <v>5.1815610000000003</v>
      </c>
      <c r="T54" s="307">
        <v>6.3160400000000001</v>
      </c>
      <c r="U54" s="307">
        <v>4.6675310000000003</v>
      </c>
      <c r="V54" s="307">
        <v>5.6876119999999997</v>
      </c>
      <c r="W54" s="307">
        <v>5.2336580000000001</v>
      </c>
      <c r="X54" s="307">
        <v>5.3436940000000002</v>
      </c>
      <c r="Y54" s="307">
        <v>4.35846</v>
      </c>
      <c r="Z54" s="307">
        <v>4.5641299999999996</v>
      </c>
      <c r="AA54" s="307">
        <v>4.3521929999999998</v>
      </c>
      <c r="AB54" s="307">
        <v>4.6121109999999996</v>
      </c>
      <c r="AC54" s="307">
        <v>6.2608769999999998</v>
      </c>
      <c r="AD54" s="307">
        <v>3.8824939999999999</v>
      </c>
      <c r="AE54" s="307">
        <v>5.8220850000000004</v>
      </c>
      <c r="AF54" s="307">
        <v>0</v>
      </c>
      <c r="AG54" s="307">
        <v>3.948153</v>
      </c>
      <c r="AH54" s="307">
        <v>0</v>
      </c>
      <c r="AI54" s="307">
        <v>5.000413</v>
      </c>
      <c r="AJ54" s="307">
        <v>5.2814949999999996</v>
      </c>
      <c r="AK54" s="307">
        <v>0</v>
      </c>
      <c r="AL54" s="307">
        <v>5.4037879999999996</v>
      </c>
      <c r="AM54" s="307">
        <v>5.2346120000000003</v>
      </c>
      <c r="AN54" s="307">
        <v>5.4563819999999996</v>
      </c>
      <c r="AO54" s="307">
        <v>4.1369800000000003</v>
      </c>
      <c r="AP54" s="307">
        <v>5.2219280000000001</v>
      </c>
      <c r="AQ54" s="307">
        <v>4.4850969999999997</v>
      </c>
      <c r="AR54" s="307">
        <v>5.3593970000000004</v>
      </c>
      <c r="AS54" s="307">
        <v>4.745895</v>
      </c>
      <c r="AT54" s="307">
        <v>5.5529970000000004</v>
      </c>
      <c r="AU54" s="307">
        <v>4.749409</v>
      </c>
      <c r="AV54" s="307">
        <v>5.1584810000000001</v>
      </c>
      <c r="AW54" s="307">
        <v>4.902031</v>
      </c>
      <c r="AX54" s="307">
        <v>0</v>
      </c>
      <c r="AY54" s="307">
        <v>5.2770190000000001</v>
      </c>
      <c r="AZ54" s="307">
        <v>4.4859679999999997</v>
      </c>
      <c r="BA54" s="307">
        <v>5.6101510000000001</v>
      </c>
      <c r="BB54" s="307">
        <v>0</v>
      </c>
      <c r="BC54" s="307">
        <v>4.4909629999999998</v>
      </c>
      <c r="BD54" s="307">
        <v>5.4005539999999996</v>
      </c>
      <c r="BE54" s="307">
        <v>4.9193670000000003</v>
      </c>
      <c r="BF54" s="307">
        <v>4.7404029999999997</v>
      </c>
      <c r="BG54" s="307">
        <v>5.5787509999999996</v>
      </c>
      <c r="BH54" s="307">
        <v>5.9074359999999997</v>
      </c>
      <c r="BI54" s="307">
        <v>5.3610829999999998</v>
      </c>
      <c r="BJ54" s="307">
        <v>4.6485560000000001</v>
      </c>
      <c r="BK54" s="307">
        <v>4.5971630000000001</v>
      </c>
      <c r="BL54">
        <f t="shared" si="0"/>
        <v>6</v>
      </c>
      <c r="BM54">
        <f t="shared" si="1"/>
        <v>5.0592743818181809</v>
      </c>
      <c r="BN54">
        <f t="shared" si="2"/>
        <v>6.5002649999999997</v>
      </c>
      <c r="BO54">
        <f t="array" ref="BO54">MIN(IF($C54:$BK54&gt;0, $C54:$BK54))</f>
        <v>3.7685309999999999</v>
      </c>
      <c r="BP54">
        <f t="shared" si="3"/>
        <v>5.000413</v>
      </c>
    </row>
    <row r="55" spans="1:68" x14ac:dyDescent="0.25">
      <c r="A55" s="306" t="s">
        <v>707</v>
      </c>
      <c r="B55" s="307" t="s">
        <v>43</v>
      </c>
      <c r="C55" s="307">
        <v>3.1900140000000001</v>
      </c>
      <c r="D55" s="307">
        <v>3.6282049999999999</v>
      </c>
      <c r="E55" s="307">
        <v>3.2359399999999998</v>
      </c>
      <c r="F55" s="307">
        <v>3.1351719999999998</v>
      </c>
      <c r="G55" s="307">
        <v>3.6480890000000001</v>
      </c>
      <c r="H55" s="307">
        <v>2.8452980000000001</v>
      </c>
      <c r="I55" s="307">
        <v>3.5042049999999998</v>
      </c>
      <c r="J55" s="307">
        <v>3.2933140000000001</v>
      </c>
      <c r="K55" s="307">
        <v>0</v>
      </c>
      <c r="L55" s="307">
        <v>2.6027260000000001</v>
      </c>
      <c r="M55" s="307">
        <v>3.6364589999999999</v>
      </c>
      <c r="N55" s="307">
        <v>3.0297679999999998</v>
      </c>
      <c r="O55" s="307">
        <v>4.3149110000000004</v>
      </c>
      <c r="P55" s="307">
        <v>3.0319750000000001</v>
      </c>
      <c r="Q55" s="307">
        <v>3.6135959999999998</v>
      </c>
      <c r="R55" s="307">
        <v>2.8538579999999998</v>
      </c>
      <c r="S55" s="307">
        <v>3.5332880000000002</v>
      </c>
      <c r="T55" s="307">
        <v>2.9168880000000001</v>
      </c>
      <c r="U55" s="307">
        <v>2.831896</v>
      </c>
      <c r="V55" s="307">
        <v>3.381424</v>
      </c>
      <c r="W55" s="307">
        <v>2.5189279999999998</v>
      </c>
      <c r="X55" s="307">
        <v>2.8725749999999999</v>
      </c>
      <c r="Y55" s="307">
        <v>4.2774850000000004</v>
      </c>
      <c r="Z55" s="307">
        <v>2.8972220000000002</v>
      </c>
      <c r="AA55" s="307">
        <v>2.8899020000000002</v>
      </c>
      <c r="AB55" s="307">
        <v>2.9568469999999998</v>
      </c>
      <c r="AC55" s="307">
        <v>3.2054010000000002</v>
      </c>
      <c r="AD55" s="307">
        <v>4.3278999999999996</v>
      </c>
      <c r="AE55" s="307">
        <v>3.641286</v>
      </c>
      <c r="AF55" s="307">
        <v>3.6939760000000001</v>
      </c>
      <c r="AG55" s="307">
        <v>2.6148980000000002</v>
      </c>
      <c r="AH55" s="307">
        <v>3.7324670000000002</v>
      </c>
      <c r="AI55" s="307">
        <v>2.3257029999999999</v>
      </c>
      <c r="AJ55" s="307">
        <v>4.157254</v>
      </c>
      <c r="AK55" s="307">
        <v>3.2705739999999999</v>
      </c>
      <c r="AL55" s="307">
        <v>2.6572469999999999</v>
      </c>
      <c r="AM55" s="307">
        <v>2.9326310000000002</v>
      </c>
      <c r="AN55" s="307">
        <v>3.3194889999999999</v>
      </c>
      <c r="AO55" s="307">
        <v>3.500848</v>
      </c>
      <c r="AP55" s="307">
        <v>2.9949219999999999</v>
      </c>
      <c r="AQ55" s="307">
        <v>2.988699</v>
      </c>
      <c r="AR55" s="307">
        <v>3.5479699999999998</v>
      </c>
      <c r="AS55" s="307">
        <v>2.7553299999999998</v>
      </c>
      <c r="AT55" s="307">
        <v>3.24579</v>
      </c>
      <c r="AU55" s="307">
        <v>3.269123</v>
      </c>
      <c r="AV55" s="307">
        <v>3.1727099999999999</v>
      </c>
      <c r="AW55" s="307">
        <v>3.477204</v>
      </c>
      <c r="AX55" s="307">
        <v>4.2342760000000004</v>
      </c>
      <c r="AY55" s="307">
        <v>3.4376829999999998</v>
      </c>
      <c r="AZ55" s="307">
        <v>2.7621180000000001</v>
      </c>
      <c r="BA55" s="307">
        <v>3.915225</v>
      </c>
      <c r="BB55" s="307">
        <v>4.2408450000000002</v>
      </c>
      <c r="BC55" s="307">
        <v>2.900992</v>
      </c>
      <c r="BD55" s="307">
        <v>2.9211369999999999</v>
      </c>
      <c r="BE55" s="307">
        <v>2.9547129999999999</v>
      </c>
      <c r="BF55" s="307">
        <v>3.0389370000000002</v>
      </c>
      <c r="BG55" s="307">
        <v>3.534503</v>
      </c>
      <c r="BH55" s="307">
        <v>3.2071160000000001</v>
      </c>
      <c r="BI55" s="307">
        <v>3.3169019999999998</v>
      </c>
      <c r="BJ55" s="307">
        <v>3.535806</v>
      </c>
      <c r="BK55" s="307">
        <v>3.0415359999999998</v>
      </c>
      <c r="BL55">
        <f t="shared" si="0"/>
        <v>1</v>
      </c>
      <c r="BM55">
        <f t="shared" si="1"/>
        <v>3.2752199333333327</v>
      </c>
      <c r="BN55">
        <f t="shared" si="2"/>
        <v>4.3278999999999996</v>
      </c>
      <c r="BO55">
        <f t="array" ref="BO55">MIN(IF($C55:$BK55&gt;0, $C55:$BK55))</f>
        <v>2.3257029999999999</v>
      </c>
      <c r="BP55">
        <f t="shared" si="3"/>
        <v>3.2071160000000001</v>
      </c>
    </row>
    <row r="56" spans="1:68" x14ac:dyDescent="0.25">
      <c r="A56" s="306">
        <v>311700</v>
      </c>
      <c r="B56" s="307" t="s">
        <v>45</v>
      </c>
      <c r="C56" s="307">
        <v>3.9351669999999999</v>
      </c>
      <c r="D56" s="307">
        <v>3.748748</v>
      </c>
      <c r="E56" s="307">
        <v>6.2144589999999997</v>
      </c>
      <c r="F56" s="307">
        <v>6.1842249999999996</v>
      </c>
      <c r="G56" s="307">
        <v>0</v>
      </c>
      <c r="H56" s="307">
        <v>4.2031169999999998</v>
      </c>
      <c r="I56" s="307">
        <v>3.2836370000000001</v>
      </c>
      <c r="J56" s="307">
        <v>3.386755</v>
      </c>
      <c r="K56" s="307">
        <v>0</v>
      </c>
      <c r="L56" s="307">
        <v>2.4642680000000001</v>
      </c>
      <c r="M56" s="307">
        <v>3.9344130000000002</v>
      </c>
      <c r="N56" s="307">
        <v>3.5248710000000001</v>
      </c>
      <c r="O56" s="307">
        <v>6.1799629999999999</v>
      </c>
      <c r="P56" s="307">
        <v>4.8897409999999999</v>
      </c>
      <c r="Q56" s="307">
        <v>4.5971780000000004</v>
      </c>
      <c r="R56" s="307">
        <v>4.1256940000000002</v>
      </c>
      <c r="S56" s="307">
        <v>6.275703</v>
      </c>
      <c r="T56" s="307">
        <v>0</v>
      </c>
      <c r="U56" s="307">
        <v>5.8464879999999999</v>
      </c>
      <c r="V56" s="307">
        <v>5.261787</v>
      </c>
      <c r="W56" s="307">
        <v>2.9840870000000002</v>
      </c>
      <c r="X56" s="307">
        <v>3.0867529999999999</v>
      </c>
      <c r="Y56" s="307">
        <v>5.4340190000000002</v>
      </c>
      <c r="Z56" s="307">
        <v>2.8686590000000001</v>
      </c>
      <c r="AA56" s="307">
        <v>4.1460710000000001</v>
      </c>
      <c r="AB56" s="307">
        <v>0</v>
      </c>
      <c r="AC56" s="307">
        <v>5.9565809999999999</v>
      </c>
      <c r="AD56" s="307">
        <v>3.6976390000000001</v>
      </c>
      <c r="AE56" s="307">
        <v>6.2791389999999998</v>
      </c>
      <c r="AF56" s="307">
        <v>5.5361779999999996</v>
      </c>
      <c r="AG56" s="307">
        <v>3.2846359999999999</v>
      </c>
      <c r="AH56" s="307">
        <v>3.3054589999999999</v>
      </c>
      <c r="AI56" s="307">
        <v>2.6426989999999999</v>
      </c>
      <c r="AJ56" s="307">
        <v>0</v>
      </c>
      <c r="AK56" s="307">
        <v>5.8190580000000001</v>
      </c>
      <c r="AL56" s="307">
        <v>2.6892939999999999</v>
      </c>
      <c r="AM56" s="307">
        <v>5.1526129999999997</v>
      </c>
      <c r="AN56" s="307">
        <v>0</v>
      </c>
      <c r="AO56" s="307">
        <v>5.4723899999999999</v>
      </c>
      <c r="AP56" s="307">
        <v>3.955219</v>
      </c>
      <c r="AQ56" s="307">
        <v>3.2199249999999999</v>
      </c>
      <c r="AR56" s="307">
        <v>6.2920509999999998</v>
      </c>
      <c r="AS56" s="307">
        <v>0</v>
      </c>
      <c r="AT56" s="307">
        <v>0</v>
      </c>
      <c r="AU56" s="307">
        <v>4.3185469999999997</v>
      </c>
      <c r="AV56" s="307">
        <v>0</v>
      </c>
      <c r="AW56" s="307">
        <v>3.9055409999999999</v>
      </c>
      <c r="AX56" s="307">
        <v>0</v>
      </c>
      <c r="AY56" s="307">
        <v>2.8433999999999999</v>
      </c>
      <c r="AZ56" s="307">
        <v>4.4307730000000003</v>
      </c>
      <c r="BA56" s="307">
        <v>0</v>
      </c>
      <c r="BB56" s="307">
        <v>0</v>
      </c>
      <c r="BC56" s="307">
        <v>3.4658820000000001</v>
      </c>
      <c r="BD56" s="307">
        <v>3.0036369999999999</v>
      </c>
      <c r="BE56" s="307">
        <v>3.9114339999999999</v>
      </c>
      <c r="BF56" s="307">
        <v>4.2220959999999996</v>
      </c>
      <c r="BG56" s="307">
        <v>4.0182830000000003</v>
      </c>
      <c r="BH56" s="307">
        <v>6.0492910000000002</v>
      </c>
      <c r="BI56" s="307">
        <v>4.8919059999999996</v>
      </c>
      <c r="BJ56" s="307">
        <v>4.5889329999999999</v>
      </c>
      <c r="BK56" s="307">
        <v>3.6503429999999999</v>
      </c>
      <c r="BL56">
        <f t="shared" si="0"/>
        <v>12</v>
      </c>
      <c r="BM56">
        <f t="shared" si="1"/>
        <v>4.3505867346938754</v>
      </c>
      <c r="BN56">
        <f t="shared" si="2"/>
        <v>6.2920509999999998</v>
      </c>
      <c r="BO56">
        <f t="array" ref="BO56">MIN(IF($C56:$BK56&gt;0, $C56:$BK56))</f>
        <v>2.4642680000000001</v>
      </c>
      <c r="BP56">
        <f t="shared" si="3"/>
        <v>3.9055409999999999</v>
      </c>
    </row>
    <row r="57" spans="1:68" x14ac:dyDescent="0.25">
      <c r="A57" s="306">
        <v>311810</v>
      </c>
      <c r="B57" s="307" t="s">
        <v>46</v>
      </c>
      <c r="C57" s="307">
        <v>8.0680650000000007</v>
      </c>
      <c r="D57" s="307">
        <v>7.4700680000000004</v>
      </c>
      <c r="E57" s="307">
        <v>7.1836359999999999</v>
      </c>
      <c r="F57" s="307">
        <v>7.1038610000000002</v>
      </c>
      <c r="G57" s="307">
        <v>7.9584809999999999</v>
      </c>
      <c r="H57" s="307">
        <v>7.7668290000000004</v>
      </c>
      <c r="I57" s="307">
        <v>7.9714520000000002</v>
      </c>
      <c r="J57" s="307">
        <v>6.7252729999999996</v>
      </c>
      <c r="K57" s="307">
        <v>1.482135</v>
      </c>
      <c r="L57" s="307">
        <v>7.7279710000000001</v>
      </c>
      <c r="M57" s="307">
        <v>8.8736630000000005</v>
      </c>
      <c r="N57" s="307">
        <v>6.4474539999999996</v>
      </c>
      <c r="O57" s="307">
        <v>10.47808</v>
      </c>
      <c r="P57" s="307">
        <v>9.9067159999999994</v>
      </c>
      <c r="Q57" s="307">
        <v>10.491759999999999</v>
      </c>
      <c r="R57" s="307">
        <v>6.4302429999999999</v>
      </c>
      <c r="S57" s="307">
        <v>7.7795550000000002</v>
      </c>
      <c r="T57" s="307">
        <v>6.6771960000000004</v>
      </c>
      <c r="U57" s="307">
        <v>7.0299139999999998</v>
      </c>
      <c r="V57" s="307">
        <v>6.9943679999999997</v>
      </c>
      <c r="W57" s="307">
        <v>8.0987220000000004</v>
      </c>
      <c r="X57" s="307">
        <v>6.8114869999999996</v>
      </c>
      <c r="Y57" s="307">
        <v>9.9365410000000001</v>
      </c>
      <c r="Z57" s="307">
        <v>9.9391440000000006</v>
      </c>
      <c r="AA57" s="307">
        <v>8.2509910000000009</v>
      </c>
      <c r="AB57" s="307">
        <v>7.1699330000000003</v>
      </c>
      <c r="AC57" s="307">
        <v>8.2878410000000002</v>
      </c>
      <c r="AD57" s="307">
        <v>10.50858</v>
      </c>
      <c r="AE57" s="307">
        <v>7.6568250000000004</v>
      </c>
      <c r="AF57" s="307">
        <v>8.0519870000000004</v>
      </c>
      <c r="AG57" s="307">
        <v>5.9094290000000003</v>
      </c>
      <c r="AH57" s="307">
        <v>9.8949560000000005</v>
      </c>
      <c r="AI57" s="307">
        <v>7.665375</v>
      </c>
      <c r="AJ57" s="307">
        <v>9.3209339999999994</v>
      </c>
      <c r="AK57" s="307">
        <v>9.7377129999999994</v>
      </c>
      <c r="AL57" s="307">
        <v>8.8903739999999996</v>
      </c>
      <c r="AM57" s="307">
        <v>7.5963479999999999</v>
      </c>
      <c r="AN57" s="307">
        <v>6.9604710000000001</v>
      </c>
      <c r="AO57" s="307">
        <v>7.8089029999999999</v>
      </c>
      <c r="AP57" s="307">
        <v>6.8083150000000003</v>
      </c>
      <c r="AQ57" s="307">
        <v>9.6562289999999997</v>
      </c>
      <c r="AR57" s="307">
        <v>7.1248560000000003</v>
      </c>
      <c r="AS57" s="307">
        <v>7.3280289999999999</v>
      </c>
      <c r="AT57" s="307">
        <v>6.5902440000000002</v>
      </c>
      <c r="AU57" s="307">
        <v>7.0389270000000002</v>
      </c>
      <c r="AV57" s="307">
        <v>9.3270269999999993</v>
      </c>
      <c r="AW57" s="307">
        <v>8.9221219999999999</v>
      </c>
      <c r="AX57" s="307">
        <v>10.28158</v>
      </c>
      <c r="AY57" s="307">
        <v>8.5897159999999992</v>
      </c>
      <c r="AZ57" s="307">
        <v>10.405239999999999</v>
      </c>
      <c r="BA57" s="307">
        <v>8.6013350000000006</v>
      </c>
      <c r="BB57" s="307">
        <v>7.7193259999999997</v>
      </c>
      <c r="BC57" s="307">
        <v>8.6610829999999996</v>
      </c>
      <c r="BD57" s="307">
        <v>8.3086210000000005</v>
      </c>
      <c r="BE57" s="307">
        <v>7.8665900000000004</v>
      </c>
      <c r="BF57" s="307">
        <v>7.9315810000000004</v>
      </c>
      <c r="BG57" s="307">
        <v>7.8521179999999999</v>
      </c>
      <c r="BH57" s="307">
        <v>7.1660680000000001</v>
      </c>
      <c r="BI57" s="307">
        <v>7.1245770000000004</v>
      </c>
      <c r="BJ57" s="307">
        <v>8.6707579999999993</v>
      </c>
      <c r="BK57" s="307">
        <v>7.9892519999999996</v>
      </c>
      <c r="BL57">
        <f t="shared" si="0"/>
        <v>0</v>
      </c>
      <c r="BM57">
        <f t="shared" si="1"/>
        <v>8.0168339016393446</v>
      </c>
      <c r="BN57">
        <f t="shared" si="2"/>
        <v>10.50858</v>
      </c>
      <c r="BO57">
        <f t="array" ref="BO57">MIN(IF($C57:$BK57&gt;0, $C57:$BK57))</f>
        <v>1.482135</v>
      </c>
      <c r="BP57">
        <f t="shared" si="3"/>
        <v>7.8665900000000004</v>
      </c>
    </row>
    <row r="58" spans="1:68" x14ac:dyDescent="0.25">
      <c r="A58" s="306">
        <v>311820</v>
      </c>
      <c r="B58" s="307" t="s">
        <v>47</v>
      </c>
      <c r="C58" s="307">
        <v>3.265234</v>
      </c>
      <c r="D58" s="307">
        <v>0</v>
      </c>
      <c r="E58" s="307">
        <v>3.909081</v>
      </c>
      <c r="F58" s="307">
        <v>2.7801670000000001</v>
      </c>
      <c r="G58" s="307">
        <v>3.8395920000000001</v>
      </c>
      <c r="H58" s="307">
        <v>3.4427699999999999</v>
      </c>
      <c r="I58" s="307">
        <v>2.6461709999999998</v>
      </c>
      <c r="J58" s="307">
        <v>4.4933759999999996</v>
      </c>
      <c r="K58" s="307">
        <v>0.81235219999999997</v>
      </c>
      <c r="L58" s="307">
        <v>0</v>
      </c>
      <c r="M58" s="307">
        <v>3.9956230000000001</v>
      </c>
      <c r="N58" s="307">
        <v>2.5293540000000001</v>
      </c>
      <c r="O58" s="307">
        <v>5.309107</v>
      </c>
      <c r="P58" s="307">
        <v>3.4178350000000002</v>
      </c>
      <c r="Q58" s="307">
        <v>5.1870219999999998</v>
      </c>
      <c r="R58" s="307">
        <v>2.9718469999999999</v>
      </c>
      <c r="S58" s="307">
        <v>2.9422700000000002</v>
      </c>
      <c r="T58" s="307">
        <v>2.5257329999999998</v>
      </c>
      <c r="U58" s="307">
        <v>2.954593</v>
      </c>
      <c r="V58" s="307">
        <v>5.2406779999999999</v>
      </c>
      <c r="W58" s="307">
        <v>2.7383380000000002</v>
      </c>
      <c r="X58" s="307">
        <v>2.898539</v>
      </c>
      <c r="Y58" s="307">
        <v>5.2631199999999998</v>
      </c>
      <c r="Z58" s="307">
        <v>2.4790779999999999</v>
      </c>
      <c r="AA58" s="307">
        <v>2.4081920000000001</v>
      </c>
      <c r="AB58" s="307">
        <v>2.6248390000000001</v>
      </c>
      <c r="AC58" s="307">
        <v>4.556044</v>
      </c>
      <c r="AD58" s="307">
        <v>5.3250590000000004</v>
      </c>
      <c r="AE58" s="307">
        <v>2.8911570000000002</v>
      </c>
      <c r="AF58" s="307">
        <v>3.2744080000000002</v>
      </c>
      <c r="AG58" s="307">
        <v>3.2059280000000001</v>
      </c>
      <c r="AH58" s="307">
        <v>4.114503</v>
      </c>
      <c r="AI58" s="307">
        <v>2.6485609999999999</v>
      </c>
      <c r="AJ58" s="307">
        <v>5.1153040000000001</v>
      </c>
      <c r="AK58" s="307">
        <v>5.1867369999999999</v>
      </c>
      <c r="AL58" s="307">
        <v>4.1107430000000003</v>
      </c>
      <c r="AM58" s="307">
        <v>3.4375740000000001</v>
      </c>
      <c r="AN58" s="307">
        <v>3.746953</v>
      </c>
      <c r="AO58" s="307">
        <v>2.7417639999999999</v>
      </c>
      <c r="AP58" s="307">
        <v>3.4393570000000002</v>
      </c>
      <c r="AQ58" s="307">
        <v>5.0295379999999996</v>
      </c>
      <c r="AR58" s="307">
        <v>3.2067220000000001</v>
      </c>
      <c r="AS58" s="307">
        <v>3.1859579999999998</v>
      </c>
      <c r="AT58" s="307">
        <v>2.7942070000000001</v>
      </c>
      <c r="AU58" s="307">
        <v>3.30837</v>
      </c>
      <c r="AV58" s="307">
        <v>4.2309720000000004</v>
      </c>
      <c r="AW58" s="307">
        <v>2.3370950000000001</v>
      </c>
      <c r="AX58" s="307">
        <v>5.1064020000000001</v>
      </c>
      <c r="AY58" s="307">
        <v>2.4572340000000001</v>
      </c>
      <c r="AZ58" s="307">
        <v>4.1557510000000004</v>
      </c>
      <c r="BA58" s="307">
        <v>4.8172959999999998</v>
      </c>
      <c r="BB58" s="307">
        <v>0</v>
      </c>
      <c r="BC58" s="307">
        <v>3.2872430000000001</v>
      </c>
      <c r="BD58" s="307">
        <v>3.5174590000000001</v>
      </c>
      <c r="BE58" s="307">
        <v>3.175621</v>
      </c>
      <c r="BF58" s="307">
        <v>3.0980249999999998</v>
      </c>
      <c r="BG58" s="307">
        <v>2.8757700000000002</v>
      </c>
      <c r="BH58" s="307">
        <v>3.080883</v>
      </c>
      <c r="BI58" s="307">
        <v>3.5408780000000002</v>
      </c>
      <c r="BJ58" s="307">
        <v>3.9216139999999999</v>
      </c>
      <c r="BK58" s="307">
        <v>3.2961309999999999</v>
      </c>
      <c r="BL58">
        <f t="shared" si="0"/>
        <v>3</v>
      </c>
      <c r="BM58">
        <f t="shared" si="1"/>
        <v>3.5326236586206896</v>
      </c>
      <c r="BN58">
        <f t="shared" si="2"/>
        <v>5.3250590000000004</v>
      </c>
      <c r="BO58">
        <f t="array" ref="BO58">MIN(IF($C58:$BK58&gt;0, $C58:$BK58))</f>
        <v>0.81235219999999997</v>
      </c>
      <c r="BP58">
        <f t="shared" si="3"/>
        <v>3.2744080000000002</v>
      </c>
    </row>
    <row r="59" spans="1:68" x14ac:dyDescent="0.25">
      <c r="A59" s="306">
        <v>311830</v>
      </c>
      <c r="B59" s="307" t="s">
        <v>48</v>
      </c>
      <c r="C59" s="307">
        <v>7.9377440000000004</v>
      </c>
      <c r="D59" s="307">
        <v>5.700812</v>
      </c>
      <c r="E59" s="307">
        <v>0</v>
      </c>
      <c r="F59" s="307">
        <v>6.7053630000000002</v>
      </c>
      <c r="G59" s="307">
        <v>10.29252</v>
      </c>
      <c r="H59" s="307">
        <v>6.7838349999999998</v>
      </c>
      <c r="I59" s="307">
        <v>7.925319</v>
      </c>
      <c r="J59" s="307">
        <v>0</v>
      </c>
      <c r="K59" s="307">
        <v>0</v>
      </c>
      <c r="L59" s="307">
        <v>0</v>
      </c>
      <c r="M59" s="307">
        <v>8.7120929999999994</v>
      </c>
      <c r="N59" s="307">
        <v>7.7031580000000002</v>
      </c>
      <c r="O59" s="307">
        <v>9.8659820000000007</v>
      </c>
      <c r="P59" s="307">
        <v>0</v>
      </c>
      <c r="Q59" s="307">
        <v>7.0058619999999996</v>
      </c>
      <c r="R59" s="307">
        <v>7.0253909999999999</v>
      </c>
      <c r="S59" s="307">
        <v>7.902469</v>
      </c>
      <c r="T59" s="307">
        <v>7.8693080000000002</v>
      </c>
      <c r="U59" s="307">
        <v>0</v>
      </c>
      <c r="V59" s="307">
        <v>0</v>
      </c>
      <c r="W59" s="307">
        <v>7.1320779999999999</v>
      </c>
      <c r="X59" s="307">
        <v>8.7995590000000004</v>
      </c>
      <c r="Y59" s="307">
        <v>0</v>
      </c>
      <c r="Z59" s="307">
        <v>9.8280619999999992</v>
      </c>
      <c r="AA59" s="307">
        <v>6.5241829999999998</v>
      </c>
      <c r="AB59" s="307">
        <v>5.9684470000000003</v>
      </c>
      <c r="AC59" s="307">
        <v>0</v>
      </c>
      <c r="AD59" s="307">
        <v>8.0608889999999995</v>
      </c>
      <c r="AE59" s="307">
        <v>8.6808720000000008</v>
      </c>
      <c r="AF59" s="307">
        <v>0</v>
      </c>
      <c r="AG59" s="307">
        <v>6.7644950000000001</v>
      </c>
      <c r="AH59" s="307">
        <v>0</v>
      </c>
      <c r="AI59" s="307">
        <v>6.0267059999999999</v>
      </c>
      <c r="AJ59" s="307">
        <v>10.801869999999999</v>
      </c>
      <c r="AK59" s="307">
        <v>8.8963059999999992</v>
      </c>
      <c r="AL59" s="307">
        <v>9.4432860000000005</v>
      </c>
      <c r="AM59" s="307">
        <v>10.965960000000001</v>
      </c>
      <c r="AN59" s="307">
        <v>10.932460000000001</v>
      </c>
      <c r="AO59" s="307">
        <v>8.0545659999999994</v>
      </c>
      <c r="AP59" s="307">
        <v>7.114363</v>
      </c>
      <c r="AQ59" s="307">
        <v>10.29618</v>
      </c>
      <c r="AR59" s="307">
        <v>0</v>
      </c>
      <c r="AS59" s="307">
        <v>6.5438219999999996</v>
      </c>
      <c r="AT59" s="307">
        <v>10.515510000000001</v>
      </c>
      <c r="AU59" s="307">
        <v>10.077260000000001</v>
      </c>
      <c r="AV59" s="307">
        <v>11.057219999999999</v>
      </c>
      <c r="AW59" s="307">
        <v>6.1585650000000003</v>
      </c>
      <c r="AX59" s="307">
        <v>0</v>
      </c>
      <c r="AY59" s="307">
        <v>9.638636</v>
      </c>
      <c r="AZ59" s="307">
        <v>11.134539999999999</v>
      </c>
      <c r="BA59" s="307">
        <v>0</v>
      </c>
      <c r="BB59" s="307">
        <v>0</v>
      </c>
      <c r="BC59" s="307">
        <v>7.6292059999999999</v>
      </c>
      <c r="BD59" s="307">
        <v>7.6105879999999999</v>
      </c>
      <c r="BE59" s="307">
        <v>7.655125</v>
      </c>
      <c r="BF59" s="307">
        <v>7.1653789999999997</v>
      </c>
      <c r="BG59" s="307">
        <v>7.943759</v>
      </c>
      <c r="BH59" s="307">
        <v>10.911899999999999</v>
      </c>
      <c r="BI59" s="307">
        <v>9.4527970000000003</v>
      </c>
      <c r="BJ59" s="307">
        <v>9.222099</v>
      </c>
      <c r="BK59" s="307">
        <v>6.8606699999999998</v>
      </c>
      <c r="BL59">
        <f t="shared" si="0"/>
        <v>15</v>
      </c>
      <c r="BM59">
        <f t="shared" si="1"/>
        <v>8.3760263913043485</v>
      </c>
      <c r="BN59">
        <f t="shared" si="2"/>
        <v>11.134539999999999</v>
      </c>
      <c r="BO59">
        <f t="array" ref="BO59">MIN(IF($C59:$BK59&gt;0, $C59:$BK59))</f>
        <v>5.700812</v>
      </c>
      <c r="BP59">
        <f t="shared" si="3"/>
        <v>7.6105879999999999</v>
      </c>
    </row>
    <row r="60" spans="1:68" x14ac:dyDescent="0.25">
      <c r="A60" s="306">
        <v>311910</v>
      </c>
      <c r="B60" s="307" t="s">
        <v>49</v>
      </c>
      <c r="C60" s="307">
        <v>2.6499640000000002</v>
      </c>
      <c r="D60" s="307">
        <v>4.2583159999999998</v>
      </c>
      <c r="E60" s="307">
        <v>3.1430549999999999</v>
      </c>
      <c r="F60" s="307">
        <v>2.7417400000000001</v>
      </c>
      <c r="G60" s="307">
        <v>2.456153</v>
      </c>
      <c r="H60" s="307">
        <v>2.6416469999999999</v>
      </c>
      <c r="I60" s="307">
        <v>2.4615360000000002</v>
      </c>
      <c r="J60" s="307">
        <v>2.3408899999999999</v>
      </c>
      <c r="K60" s="307">
        <v>0</v>
      </c>
      <c r="L60" s="307">
        <v>0</v>
      </c>
      <c r="M60" s="307">
        <v>2.9131999999999998</v>
      </c>
      <c r="N60" s="307">
        <v>2.1594139999999999</v>
      </c>
      <c r="O60" s="307">
        <v>4.7829360000000003</v>
      </c>
      <c r="P60" s="307">
        <v>1.7084410000000001</v>
      </c>
      <c r="Q60" s="307">
        <v>1.809334</v>
      </c>
      <c r="R60" s="307">
        <v>2.668663</v>
      </c>
      <c r="S60" s="307">
        <v>2.7267450000000002</v>
      </c>
      <c r="T60" s="307">
        <v>2.7767759999999999</v>
      </c>
      <c r="U60" s="307">
        <v>1.979101</v>
      </c>
      <c r="V60" s="307">
        <v>2.9246889999999999</v>
      </c>
      <c r="W60" s="307">
        <v>2.2781980000000002</v>
      </c>
      <c r="X60" s="307">
        <v>2.1053289999999998</v>
      </c>
      <c r="Y60" s="307">
        <v>0</v>
      </c>
      <c r="Z60" s="307">
        <v>2.721905</v>
      </c>
      <c r="AA60" s="307">
        <v>2.913653</v>
      </c>
      <c r="AB60" s="307">
        <v>3.4342480000000002</v>
      </c>
      <c r="AC60" s="307">
        <v>4.6313029999999999</v>
      </c>
      <c r="AD60" s="307">
        <v>2.636558</v>
      </c>
      <c r="AE60" s="307">
        <v>2.5624479999999998</v>
      </c>
      <c r="AF60" s="307">
        <v>2.6831459999999998</v>
      </c>
      <c r="AG60" s="307">
        <v>2.319064</v>
      </c>
      <c r="AH60" s="307">
        <v>2.9584619999999999</v>
      </c>
      <c r="AI60" s="307">
        <v>3.1477599999999999</v>
      </c>
      <c r="AJ60" s="307">
        <v>3.8949910000000001</v>
      </c>
      <c r="AK60" s="307">
        <v>4.6723429999999997</v>
      </c>
      <c r="AL60" s="307">
        <v>2.8164639999999999</v>
      </c>
      <c r="AM60" s="307">
        <v>2.8990999999999998</v>
      </c>
      <c r="AN60" s="307">
        <v>3.752974</v>
      </c>
      <c r="AO60" s="307">
        <v>2.6094409999999999</v>
      </c>
      <c r="AP60" s="307">
        <v>2.807852</v>
      </c>
      <c r="AQ60" s="307">
        <v>4.5309559999999998</v>
      </c>
      <c r="AR60" s="307">
        <v>3.5047419999999998</v>
      </c>
      <c r="AS60" s="307">
        <v>3.1369159999999998</v>
      </c>
      <c r="AT60" s="307">
        <v>2.170979</v>
      </c>
      <c r="AU60" s="307">
        <v>1.9200809999999999</v>
      </c>
      <c r="AV60" s="307">
        <v>2.772856</v>
      </c>
      <c r="AW60" s="307">
        <v>2.6407759999999998</v>
      </c>
      <c r="AX60" s="307">
        <v>4.6934310000000004</v>
      </c>
      <c r="AY60" s="307">
        <v>2.2754379999999998</v>
      </c>
      <c r="AZ60" s="307">
        <v>2.614385</v>
      </c>
      <c r="BA60" s="307">
        <v>4.3398859999999999</v>
      </c>
      <c r="BB60" s="307">
        <v>0</v>
      </c>
      <c r="BC60" s="307">
        <v>2.5449030000000001</v>
      </c>
      <c r="BD60" s="307">
        <v>2.9065940000000001</v>
      </c>
      <c r="BE60" s="307">
        <v>2.809488</v>
      </c>
      <c r="BF60" s="307">
        <v>2.9053580000000001</v>
      </c>
      <c r="BG60" s="307">
        <v>2.5390459999999999</v>
      </c>
      <c r="BH60" s="307">
        <v>2.4292720000000001</v>
      </c>
      <c r="BI60" s="307">
        <v>2.108244</v>
      </c>
      <c r="BJ60" s="307">
        <v>2.6297009999999998</v>
      </c>
      <c r="BK60" s="307">
        <v>2.6620180000000002</v>
      </c>
      <c r="BL60">
        <f t="shared" si="0"/>
        <v>4</v>
      </c>
      <c r="BM60">
        <f t="shared" si="1"/>
        <v>2.896893140350878</v>
      </c>
      <c r="BN60">
        <f t="shared" si="2"/>
        <v>4.7829360000000003</v>
      </c>
      <c r="BO60">
        <f t="array" ref="BO60">MIN(IF($C60:$BK60&gt;0, $C60:$BK60))</f>
        <v>1.7084410000000001</v>
      </c>
      <c r="BP60">
        <f t="shared" si="3"/>
        <v>2.668663</v>
      </c>
    </row>
    <row r="61" spans="1:68" x14ac:dyDescent="0.25">
      <c r="A61" s="306">
        <v>311920</v>
      </c>
      <c r="B61" s="307" t="s">
        <v>50</v>
      </c>
      <c r="C61" s="307">
        <v>2.450812</v>
      </c>
      <c r="D61" s="307">
        <v>3.6898789999999999</v>
      </c>
      <c r="E61" s="307">
        <v>2.5469330000000001</v>
      </c>
      <c r="F61" s="307">
        <v>2.6455000000000002</v>
      </c>
      <c r="G61" s="307">
        <v>2.0624950000000002</v>
      </c>
      <c r="H61" s="307">
        <v>2.3319589999999999</v>
      </c>
      <c r="I61" s="307">
        <v>2.9966840000000001</v>
      </c>
      <c r="J61" s="307">
        <v>1.6473420000000001</v>
      </c>
      <c r="K61" s="307">
        <v>0</v>
      </c>
      <c r="L61" s="307">
        <v>0</v>
      </c>
      <c r="M61" s="307">
        <v>2.2401879999999998</v>
      </c>
      <c r="N61" s="307">
        <v>2.6273219999999999</v>
      </c>
      <c r="O61" s="307">
        <v>3.7077369999999998</v>
      </c>
      <c r="P61" s="307">
        <v>1.7284489999999999</v>
      </c>
      <c r="Q61" s="307">
        <v>2.6554329999999999</v>
      </c>
      <c r="R61" s="307">
        <v>2.0683069999999999</v>
      </c>
      <c r="S61" s="307">
        <v>2.796637</v>
      </c>
      <c r="T61" s="307">
        <v>3.1393369999999998</v>
      </c>
      <c r="U61" s="307">
        <v>2.5467309999999999</v>
      </c>
      <c r="V61" s="307">
        <v>1.738659</v>
      </c>
      <c r="W61" s="307">
        <v>1.6585369999999999</v>
      </c>
      <c r="X61" s="307">
        <v>2.1067140000000002</v>
      </c>
      <c r="Y61" s="307">
        <v>4.1083439999999998</v>
      </c>
      <c r="Z61" s="307">
        <v>2.197416</v>
      </c>
      <c r="AA61" s="307">
        <v>2.4604569999999999</v>
      </c>
      <c r="AB61" s="307">
        <v>1.5780730000000001</v>
      </c>
      <c r="AC61" s="307">
        <v>0</v>
      </c>
      <c r="AD61" s="307">
        <v>4.1566140000000003</v>
      </c>
      <c r="AE61" s="307">
        <v>2.141696</v>
      </c>
      <c r="AF61" s="307">
        <v>0</v>
      </c>
      <c r="AG61" s="307">
        <v>3.6784080000000001</v>
      </c>
      <c r="AH61" s="307">
        <v>3.9137569999999999</v>
      </c>
      <c r="AI61" s="307">
        <v>1.5312809999999999</v>
      </c>
      <c r="AJ61" s="307">
        <v>0</v>
      </c>
      <c r="AK61" s="307">
        <v>2.867639</v>
      </c>
      <c r="AL61" s="307">
        <v>2.3656820000000001</v>
      </c>
      <c r="AM61" s="307">
        <v>2.90158</v>
      </c>
      <c r="AN61" s="307">
        <v>2.9150079999999998</v>
      </c>
      <c r="AO61" s="307">
        <v>2.7026180000000002</v>
      </c>
      <c r="AP61" s="307">
        <v>2.9407359999999998</v>
      </c>
      <c r="AQ61" s="307">
        <v>2.358209</v>
      </c>
      <c r="AR61" s="307">
        <v>4.0320739999999997</v>
      </c>
      <c r="AS61" s="307">
        <v>0</v>
      </c>
      <c r="AT61" s="307">
        <v>2.6535700000000002</v>
      </c>
      <c r="AU61" s="307">
        <v>2.0697220000000001</v>
      </c>
      <c r="AV61" s="307">
        <v>4.0869669999999996</v>
      </c>
      <c r="AW61" s="307">
        <v>1.9553970000000001</v>
      </c>
      <c r="AX61" s="307">
        <v>4.0048950000000003</v>
      </c>
      <c r="AY61" s="307">
        <v>3.3890859999999998</v>
      </c>
      <c r="AZ61" s="307">
        <v>4.1156350000000002</v>
      </c>
      <c r="BA61" s="307">
        <v>0</v>
      </c>
      <c r="BB61" s="307">
        <v>3.6297290000000002</v>
      </c>
      <c r="BC61" s="307">
        <v>2.6139739999999998</v>
      </c>
      <c r="BD61" s="307">
        <v>2.3053720000000002</v>
      </c>
      <c r="BE61" s="307">
        <v>2.5364260000000001</v>
      </c>
      <c r="BF61" s="307">
        <v>1.9479010000000001</v>
      </c>
      <c r="BG61" s="307">
        <v>2.3210120000000001</v>
      </c>
      <c r="BH61" s="307">
        <v>2.6234850000000001</v>
      </c>
      <c r="BI61" s="307">
        <v>1.9257599999999999</v>
      </c>
      <c r="BJ61" s="307">
        <v>2.9546450000000002</v>
      </c>
      <c r="BK61" s="307">
        <v>2.8107540000000002</v>
      </c>
      <c r="BL61">
        <f t="shared" si="0"/>
        <v>7</v>
      </c>
      <c r="BM61">
        <f t="shared" si="1"/>
        <v>2.7070292037037036</v>
      </c>
      <c r="BN61">
        <f t="shared" si="2"/>
        <v>4.1566140000000003</v>
      </c>
      <c r="BO61">
        <f t="array" ref="BO61">MIN(IF($C61:$BK61&gt;0, $C61:$BK61))</f>
        <v>1.5312809999999999</v>
      </c>
      <c r="BP61">
        <f t="shared" si="3"/>
        <v>2.5364260000000001</v>
      </c>
    </row>
    <row r="62" spans="1:68" x14ac:dyDescent="0.25">
      <c r="A62" s="306">
        <v>311930</v>
      </c>
      <c r="B62" s="307" t="s">
        <v>51</v>
      </c>
      <c r="C62" s="307">
        <v>1.287909</v>
      </c>
      <c r="D62" s="307">
        <v>0</v>
      </c>
      <c r="E62" s="307">
        <v>3.1027870000000002</v>
      </c>
      <c r="F62" s="307">
        <v>2.8184040000000001</v>
      </c>
      <c r="G62" s="307">
        <v>1.986761</v>
      </c>
      <c r="H62" s="307">
        <v>1.7493369999999999</v>
      </c>
      <c r="I62" s="307">
        <v>0</v>
      </c>
      <c r="J62" s="307">
        <v>1.626706</v>
      </c>
      <c r="K62" s="307">
        <v>0</v>
      </c>
      <c r="L62" s="307">
        <v>0</v>
      </c>
      <c r="M62" s="307">
        <v>3.1764619999999999</v>
      </c>
      <c r="N62" s="307">
        <v>1.012448</v>
      </c>
      <c r="O62" s="307">
        <v>3.1578909999999998</v>
      </c>
      <c r="P62" s="307">
        <v>0</v>
      </c>
      <c r="Q62" s="307">
        <v>0</v>
      </c>
      <c r="R62" s="307">
        <v>1.6483099999999999</v>
      </c>
      <c r="S62" s="307">
        <v>1.4104129999999999</v>
      </c>
      <c r="T62" s="307">
        <v>3.0188600000000001</v>
      </c>
      <c r="U62" s="307">
        <v>1.376833</v>
      </c>
      <c r="V62" s="307">
        <v>3.117054</v>
      </c>
      <c r="W62" s="307">
        <v>0</v>
      </c>
      <c r="X62" s="307">
        <v>1.0889070000000001</v>
      </c>
      <c r="Y62" s="307">
        <v>0</v>
      </c>
      <c r="Z62" s="307">
        <v>1.546403</v>
      </c>
      <c r="AA62" s="307">
        <v>0</v>
      </c>
      <c r="AB62" s="307">
        <v>1.6501490000000001</v>
      </c>
      <c r="AC62" s="307">
        <v>1.5287200000000001</v>
      </c>
      <c r="AD62" s="307">
        <v>0</v>
      </c>
      <c r="AE62" s="307">
        <v>1.7275</v>
      </c>
      <c r="AF62" s="307">
        <v>0</v>
      </c>
      <c r="AG62" s="307">
        <v>0</v>
      </c>
      <c r="AH62" s="307">
        <v>1.0203420000000001</v>
      </c>
      <c r="AI62" s="307">
        <v>1.1959930000000001</v>
      </c>
      <c r="AJ62" s="307">
        <v>0</v>
      </c>
      <c r="AK62" s="307">
        <v>2.1224630000000002</v>
      </c>
      <c r="AL62" s="307">
        <v>1.6380269999999999</v>
      </c>
      <c r="AM62" s="307">
        <v>1.453697</v>
      </c>
      <c r="AN62" s="307">
        <v>1.011331</v>
      </c>
      <c r="AO62" s="307">
        <v>1.4478120000000001</v>
      </c>
      <c r="AP62" s="307">
        <v>1.5310269999999999</v>
      </c>
      <c r="AQ62" s="307">
        <v>2.991374</v>
      </c>
      <c r="AR62" s="307">
        <v>0</v>
      </c>
      <c r="AS62" s="307">
        <v>0</v>
      </c>
      <c r="AT62" s="307">
        <v>1.583232</v>
      </c>
      <c r="AU62" s="307">
        <v>1.5556099999999999</v>
      </c>
      <c r="AV62" s="307">
        <v>0</v>
      </c>
      <c r="AW62" s="307">
        <v>0</v>
      </c>
      <c r="AX62" s="307">
        <v>0</v>
      </c>
      <c r="AY62" s="307">
        <v>2.5659800000000001</v>
      </c>
      <c r="AZ62" s="307">
        <v>3.1359050000000002</v>
      </c>
      <c r="BA62" s="307">
        <v>0</v>
      </c>
      <c r="BB62" s="307">
        <v>0</v>
      </c>
      <c r="BC62" s="307">
        <v>2.0004219999999999</v>
      </c>
      <c r="BD62" s="307">
        <v>1.5083850000000001</v>
      </c>
      <c r="BE62" s="307">
        <v>1.546543</v>
      </c>
      <c r="BF62" s="307">
        <v>2.1509900000000002</v>
      </c>
      <c r="BG62" s="307">
        <v>1.0526089999999999</v>
      </c>
      <c r="BH62" s="307">
        <v>1.4985740000000001</v>
      </c>
      <c r="BI62" s="307">
        <v>1.720183</v>
      </c>
      <c r="BJ62" s="307">
        <v>2.1624029999999999</v>
      </c>
      <c r="BK62" s="307">
        <v>1.813582</v>
      </c>
      <c r="BL62">
        <f t="shared" si="0"/>
        <v>20</v>
      </c>
      <c r="BM62">
        <f t="shared" si="1"/>
        <v>1.8716667804878055</v>
      </c>
      <c r="BN62">
        <f t="shared" si="2"/>
        <v>3.1764619999999999</v>
      </c>
      <c r="BO62">
        <f t="array" ref="BO62">MIN(IF($C62:$BK62&gt;0, $C62:$BK62))</f>
        <v>1.011331</v>
      </c>
      <c r="BP62">
        <f t="shared" si="3"/>
        <v>1.453697</v>
      </c>
    </row>
    <row r="63" spans="1:68" x14ac:dyDescent="0.25">
      <c r="A63" s="306">
        <v>311940</v>
      </c>
      <c r="B63" s="307" t="s">
        <v>52</v>
      </c>
      <c r="C63" s="307">
        <v>2.2816969999999999</v>
      </c>
      <c r="D63" s="307">
        <v>0</v>
      </c>
      <c r="E63" s="307">
        <v>3.153362</v>
      </c>
      <c r="F63" s="307">
        <v>4.435219</v>
      </c>
      <c r="G63" s="307">
        <v>5.0902339999999997</v>
      </c>
      <c r="H63" s="307">
        <v>2.3057270000000001</v>
      </c>
      <c r="I63" s="307">
        <v>2.2686289999999998</v>
      </c>
      <c r="J63" s="307">
        <v>1.9342299999999999</v>
      </c>
      <c r="K63" s="307">
        <v>0</v>
      </c>
      <c r="L63" s="307">
        <v>1.5003599999999999</v>
      </c>
      <c r="M63" s="307">
        <v>2.9360499999999998</v>
      </c>
      <c r="N63" s="307">
        <v>2.6806899999999998</v>
      </c>
      <c r="O63" s="307">
        <v>4.2856160000000001</v>
      </c>
      <c r="P63" s="307">
        <v>2.5870839999999999</v>
      </c>
      <c r="Q63" s="307">
        <v>2.82267</v>
      </c>
      <c r="R63" s="307">
        <v>1.7629049999999999</v>
      </c>
      <c r="S63" s="307">
        <v>1.9830700000000001</v>
      </c>
      <c r="T63" s="307">
        <v>1.7360230000000001</v>
      </c>
      <c r="U63" s="307">
        <v>2.548994</v>
      </c>
      <c r="V63" s="307">
        <v>3.157213</v>
      </c>
      <c r="W63" s="307">
        <v>2.3192689999999998</v>
      </c>
      <c r="X63" s="307">
        <v>1.6439950000000001</v>
      </c>
      <c r="Y63" s="307">
        <v>3.2997519999999998</v>
      </c>
      <c r="Z63" s="307">
        <v>1.9922059999999999</v>
      </c>
      <c r="AA63" s="307">
        <v>2.7498109999999998</v>
      </c>
      <c r="AB63" s="307">
        <v>1.7487520000000001</v>
      </c>
      <c r="AC63" s="307">
        <v>2.642792</v>
      </c>
      <c r="AD63" s="307">
        <v>5.0903830000000001</v>
      </c>
      <c r="AE63" s="307">
        <v>2.0838260000000002</v>
      </c>
      <c r="AF63" s="307">
        <v>3.0418249999999998</v>
      </c>
      <c r="AG63" s="307">
        <v>1.3075079999999999</v>
      </c>
      <c r="AH63" s="307">
        <v>3.0652789999999999</v>
      </c>
      <c r="AI63" s="307">
        <v>1.588811</v>
      </c>
      <c r="AJ63" s="307">
        <v>3.2690269999999999</v>
      </c>
      <c r="AK63" s="307">
        <v>2.871454</v>
      </c>
      <c r="AL63" s="307">
        <v>1.9612879999999999</v>
      </c>
      <c r="AM63" s="307">
        <v>2.195681</v>
      </c>
      <c r="AN63" s="307">
        <v>4.2454239999999999</v>
      </c>
      <c r="AO63" s="307">
        <v>3.0696539999999999</v>
      </c>
      <c r="AP63" s="307">
        <v>2.4310659999999999</v>
      </c>
      <c r="AQ63" s="307">
        <v>3.9413930000000001</v>
      </c>
      <c r="AR63" s="307">
        <v>3.0427110000000002</v>
      </c>
      <c r="AS63" s="307">
        <v>2.8923839999999998</v>
      </c>
      <c r="AT63" s="307">
        <v>3.0358830000000001</v>
      </c>
      <c r="AU63" s="307">
        <v>2.2515559999999999</v>
      </c>
      <c r="AV63" s="307">
        <v>2.1275140000000001</v>
      </c>
      <c r="AW63" s="307">
        <v>2.1281829999999999</v>
      </c>
      <c r="AX63" s="307">
        <v>4.9803389999999998</v>
      </c>
      <c r="AY63" s="307">
        <v>2.7331729999999999</v>
      </c>
      <c r="AZ63" s="307">
        <v>2.1537470000000001</v>
      </c>
      <c r="BA63" s="307">
        <v>3.0434610000000002</v>
      </c>
      <c r="BB63" s="307">
        <v>4.2181559999999996</v>
      </c>
      <c r="BC63" s="307">
        <v>2.470056</v>
      </c>
      <c r="BD63" s="307">
        <v>2.0440040000000002</v>
      </c>
      <c r="BE63" s="307">
        <v>2.017827</v>
      </c>
      <c r="BF63" s="307">
        <v>2.1502970000000001</v>
      </c>
      <c r="BG63" s="307">
        <v>2.2282670000000002</v>
      </c>
      <c r="BH63" s="307">
        <v>2.8907340000000001</v>
      </c>
      <c r="BI63" s="307">
        <v>2.6424340000000002</v>
      </c>
      <c r="BJ63" s="307">
        <v>2.8667940000000001</v>
      </c>
      <c r="BK63" s="307">
        <v>2.4054419999999999</v>
      </c>
      <c r="BL63">
        <f t="shared" si="0"/>
        <v>2</v>
      </c>
      <c r="BM63">
        <f t="shared" si="1"/>
        <v>2.7178293389830515</v>
      </c>
      <c r="BN63">
        <f t="shared" si="2"/>
        <v>5.0903830000000001</v>
      </c>
      <c r="BO63">
        <f t="array" ref="BO63">MIN(IF($C63:$BK63&gt;0, $C63:$BK63))</f>
        <v>1.3075079999999999</v>
      </c>
      <c r="BP63">
        <f t="shared" si="3"/>
        <v>2.548994</v>
      </c>
    </row>
    <row r="64" spans="1:68" x14ac:dyDescent="0.25">
      <c r="A64" s="306">
        <v>311990</v>
      </c>
      <c r="B64" s="307" t="s">
        <v>53</v>
      </c>
      <c r="C64" s="307">
        <v>4.3452029999999997</v>
      </c>
      <c r="D64" s="307">
        <v>5.8163830000000001</v>
      </c>
      <c r="E64" s="307">
        <v>3.5221930000000001</v>
      </c>
      <c r="F64" s="307">
        <v>5.6603940000000001</v>
      </c>
      <c r="G64" s="307">
        <v>4.568009</v>
      </c>
      <c r="H64" s="307">
        <v>4.3484160000000003</v>
      </c>
      <c r="I64" s="307">
        <v>3.437792</v>
      </c>
      <c r="J64" s="307">
        <v>4.7091880000000002</v>
      </c>
      <c r="K64" s="307">
        <v>0.84295430000000005</v>
      </c>
      <c r="L64" s="307">
        <v>4.818454</v>
      </c>
      <c r="M64" s="307">
        <v>5.3073920000000001</v>
      </c>
      <c r="N64" s="307">
        <v>4.0095869999999998</v>
      </c>
      <c r="O64" s="307">
        <v>6.5328369999999998</v>
      </c>
      <c r="P64" s="307">
        <v>3.5869759999999999</v>
      </c>
      <c r="Q64" s="307">
        <v>4.6822990000000004</v>
      </c>
      <c r="R64" s="307">
        <v>3.502815</v>
      </c>
      <c r="S64" s="307">
        <v>3.358136</v>
      </c>
      <c r="T64" s="307">
        <v>3.4755370000000001</v>
      </c>
      <c r="U64" s="307">
        <v>3.4292820000000002</v>
      </c>
      <c r="V64" s="307">
        <v>6.448099</v>
      </c>
      <c r="W64" s="307">
        <v>4.0020910000000001</v>
      </c>
      <c r="X64" s="307">
        <v>3.9168189999999998</v>
      </c>
      <c r="Y64" s="307">
        <v>4.7786489999999997</v>
      </c>
      <c r="Z64" s="307">
        <v>5.5837760000000003</v>
      </c>
      <c r="AA64" s="307">
        <v>3.335127</v>
      </c>
      <c r="AB64" s="307">
        <v>3.8491949999999999</v>
      </c>
      <c r="AC64" s="307">
        <v>4.2213229999999999</v>
      </c>
      <c r="AD64" s="307">
        <v>6.5521409999999998</v>
      </c>
      <c r="AE64" s="307">
        <v>6.028543</v>
      </c>
      <c r="AF64" s="307">
        <v>4.5012889999999999</v>
      </c>
      <c r="AG64" s="307">
        <v>4.581213</v>
      </c>
      <c r="AH64" s="307">
        <v>6.1692270000000002</v>
      </c>
      <c r="AI64" s="307">
        <v>3.0039030000000002</v>
      </c>
      <c r="AJ64" s="307">
        <v>6.2938530000000004</v>
      </c>
      <c r="AK64" s="307">
        <v>6.0893490000000003</v>
      </c>
      <c r="AL64" s="307">
        <v>4.5101889999999996</v>
      </c>
      <c r="AM64" s="307">
        <v>4.5554810000000003</v>
      </c>
      <c r="AN64" s="307">
        <v>3.8258779999999999</v>
      </c>
      <c r="AO64" s="307">
        <v>5.4252089999999997</v>
      </c>
      <c r="AP64" s="307">
        <v>5.2378929999999997</v>
      </c>
      <c r="AQ64" s="307">
        <v>5.381291</v>
      </c>
      <c r="AR64" s="307">
        <v>5.0511710000000001</v>
      </c>
      <c r="AS64" s="307">
        <v>5.3188849999999999</v>
      </c>
      <c r="AT64" s="307">
        <v>3.7168199999999998</v>
      </c>
      <c r="AU64" s="307">
        <v>5.1340240000000001</v>
      </c>
      <c r="AV64" s="307">
        <v>4.5589149999999998</v>
      </c>
      <c r="AW64" s="307">
        <v>3.8524219999999998</v>
      </c>
      <c r="AX64" s="307">
        <v>6.013414</v>
      </c>
      <c r="AY64" s="307">
        <v>5.4173799999999996</v>
      </c>
      <c r="AZ64" s="307">
        <v>3.660806</v>
      </c>
      <c r="BA64" s="307">
        <v>3.868741</v>
      </c>
      <c r="BB64" s="307">
        <v>0</v>
      </c>
      <c r="BC64" s="307">
        <v>4.7104119999999998</v>
      </c>
      <c r="BD64" s="307">
        <v>4.267849</v>
      </c>
      <c r="BE64" s="307">
        <v>3.8223389999999999</v>
      </c>
      <c r="BF64" s="307">
        <v>3.7889900000000001</v>
      </c>
      <c r="BG64" s="307">
        <v>4.7904660000000003</v>
      </c>
      <c r="BH64" s="307">
        <v>3.718836</v>
      </c>
      <c r="BI64" s="307">
        <v>4.8991319999999998</v>
      </c>
      <c r="BJ64" s="307">
        <v>4.5839020000000001</v>
      </c>
      <c r="BK64" s="307">
        <v>4.6596080000000004</v>
      </c>
      <c r="BL64">
        <f t="shared" si="0"/>
        <v>1</v>
      </c>
      <c r="BM64">
        <f t="shared" si="1"/>
        <v>4.5679749550000013</v>
      </c>
      <c r="BN64">
        <f t="shared" si="2"/>
        <v>6.5521409999999998</v>
      </c>
      <c r="BO64">
        <f t="array" ref="BO64">MIN(IF($C64:$BK64&gt;0, $C64:$BK64))</f>
        <v>0.84295430000000005</v>
      </c>
      <c r="BP64">
        <f t="shared" si="3"/>
        <v>4.5589149999999998</v>
      </c>
    </row>
    <row r="65" spans="1:68" x14ac:dyDescent="0.25">
      <c r="A65" s="306">
        <v>312110</v>
      </c>
      <c r="B65" s="307" t="s">
        <v>54</v>
      </c>
      <c r="C65" s="307">
        <v>2.425478</v>
      </c>
      <c r="D65" s="307">
        <v>3.165117</v>
      </c>
      <c r="E65" s="307">
        <v>2.3038590000000001</v>
      </c>
      <c r="F65" s="307">
        <v>2.4509690000000002</v>
      </c>
      <c r="G65" s="307">
        <v>2.766667</v>
      </c>
      <c r="H65" s="307">
        <v>2.0861909999999999</v>
      </c>
      <c r="I65" s="307">
        <v>2.2527740000000001</v>
      </c>
      <c r="J65" s="307">
        <v>1.6272599999999999</v>
      </c>
      <c r="K65" s="307">
        <v>0</v>
      </c>
      <c r="L65" s="307">
        <v>1.6703330000000001</v>
      </c>
      <c r="M65" s="307">
        <v>2.530678</v>
      </c>
      <c r="N65" s="307">
        <v>2.6129959999999999</v>
      </c>
      <c r="O65" s="307">
        <v>2.814181</v>
      </c>
      <c r="P65" s="307">
        <v>3.0463179999999999</v>
      </c>
      <c r="Q65" s="307">
        <v>2.9368759999999998</v>
      </c>
      <c r="R65" s="307">
        <v>2.1217450000000002</v>
      </c>
      <c r="S65" s="307">
        <v>2.143767</v>
      </c>
      <c r="T65" s="307">
        <v>2.1597979999999999</v>
      </c>
      <c r="U65" s="307">
        <v>2.828128</v>
      </c>
      <c r="V65" s="307">
        <v>2.8140320000000001</v>
      </c>
      <c r="W65" s="307">
        <v>2.107383</v>
      </c>
      <c r="X65" s="307">
        <v>2.4955029999999998</v>
      </c>
      <c r="Y65" s="307">
        <v>1.955114</v>
      </c>
      <c r="Z65" s="307">
        <v>2.6030799999999998</v>
      </c>
      <c r="AA65" s="307">
        <v>2.2234850000000002</v>
      </c>
      <c r="AB65" s="307">
        <v>2.750051</v>
      </c>
      <c r="AC65" s="307">
        <v>2.2956159999999999</v>
      </c>
      <c r="AD65" s="307">
        <v>3.165035</v>
      </c>
      <c r="AE65" s="307">
        <v>2.6867730000000001</v>
      </c>
      <c r="AF65" s="307">
        <v>2.255172</v>
      </c>
      <c r="AG65" s="307">
        <v>2.1743860000000002</v>
      </c>
      <c r="AH65" s="307">
        <v>2.4075120000000001</v>
      </c>
      <c r="AI65" s="307">
        <v>2.455228</v>
      </c>
      <c r="AJ65" s="307">
        <v>2.9122300000000001</v>
      </c>
      <c r="AK65" s="307">
        <v>3.0947640000000001</v>
      </c>
      <c r="AL65" s="307">
        <v>1.5161659999999999</v>
      </c>
      <c r="AM65" s="307">
        <v>2.5741969999999998</v>
      </c>
      <c r="AN65" s="307">
        <v>3.069312</v>
      </c>
      <c r="AO65" s="307">
        <v>2.8572989999999998</v>
      </c>
      <c r="AP65" s="307">
        <v>2.2337989999999999</v>
      </c>
      <c r="AQ65" s="307">
        <v>1.9714149999999999</v>
      </c>
      <c r="AR65" s="307">
        <v>2.501922</v>
      </c>
      <c r="AS65" s="307">
        <v>1.8866639999999999</v>
      </c>
      <c r="AT65" s="307">
        <v>2.0179200000000002</v>
      </c>
      <c r="AU65" s="307">
        <v>2.2997329999999998</v>
      </c>
      <c r="AV65" s="307">
        <v>2.8959450000000002</v>
      </c>
      <c r="AW65" s="307">
        <v>2.5023330000000001</v>
      </c>
      <c r="AX65" s="307">
        <v>2.9045130000000001</v>
      </c>
      <c r="AY65" s="307">
        <v>2.3099059999999998</v>
      </c>
      <c r="AZ65" s="307">
        <v>2.705076</v>
      </c>
      <c r="BA65" s="307">
        <v>1.7345489999999999</v>
      </c>
      <c r="BB65" s="307">
        <v>2.4406650000000001</v>
      </c>
      <c r="BC65" s="307">
        <v>2.064076</v>
      </c>
      <c r="BD65" s="307">
        <v>2.0062380000000002</v>
      </c>
      <c r="BE65" s="307">
        <v>2.423095</v>
      </c>
      <c r="BF65" s="307">
        <v>2.3881760000000001</v>
      </c>
      <c r="BG65" s="307">
        <v>2.5908570000000002</v>
      </c>
      <c r="BH65" s="307">
        <v>2.2536740000000002</v>
      </c>
      <c r="BI65" s="307">
        <v>2.5012750000000001</v>
      </c>
      <c r="BJ65" s="307">
        <v>2.6334439999999999</v>
      </c>
      <c r="BK65" s="307">
        <v>2.1724869999999998</v>
      </c>
      <c r="BL65">
        <f t="shared" si="0"/>
        <v>1</v>
      </c>
      <c r="BM65">
        <f t="shared" si="1"/>
        <v>2.4298872499999984</v>
      </c>
      <c r="BN65">
        <f t="shared" si="2"/>
        <v>3.165117</v>
      </c>
      <c r="BO65">
        <f t="array" ref="BO65">MIN(IF($C65:$BK65&gt;0, $C65:$BK65))</f>
        <v>1.5161659999999999</v>
      </c>
      <c r="BP65">
        <f t="shared" si="3"/>
        <v>2.425478</v>
      </c>
    </row>
    <row r="66" spans="1:68" x14ac:dyDescent="0.25">
      <c r="A66" s="306">
        <v>312120</v>
      </c>
      <c r="B66" s="307" t="s">
        <v>55</v>
      </c>
      <c r="C66" s="307">
        <v>1.342239</v>
      </c>
      <c r="D66" s="307">
        <v>3.6555119999999999</v>
      </c>
      <c r="E66" s="307">
        <v>0</v>
      </c>
      <c r="F66" s="307">
        <v>4.0774850000000002</v>
      </c>
      <c r="G66" s="307">
        <v>6.4368249999999998</v>
      </c>
      <c r="H66" s="307">
        <v>1.5060340000000001</v>
      </c>
      <c r="I66" s="307">
        <v>0.95579990000000004</v>
      </c>
      <c r="J66" s="307">
        <v>1.865197</v>
      </c>
      <c r="K66" s="307">
        <v>0.96791300000000002</v>
      </c>
      <c r="L66" s="307">
        <v>1.5350220000000001</v>
      </c>
      <c r="M66" s="307">
        <v>1.085512</v>
      </c>
      <c r="N66" s="307">
        <v>1.2822739999999999</v>
      </c>
      <c r="O66" s="307">
        <v>4.1125679999999996</v>
      </c>
      <c r="P66" s="307">
        <v>6.7493340000000002</v>
      </c>
      <c r="Q66" s="307">
        <v>5.2947949999999997</v>
      </c>
      <c r="R66" s="307">
        <v>2.4714269999999998</v>
      </c>
      <c r="S66" s="307">
        <v>3.3785099999999999</v>
      </c>
      <c r="T66" s="307">
        <v>0.92442979999999997</v>
      </c>
      <c r="U66" s="307">
        <v>2.3349899999999999</v>
      </c>
      <c r="V66" s="307">
        <v>2.8371149999999998</v>
      </c>
      <c r="W66" s="307">
        <v>1.002936</v>
      </c>
      <c r="X66" s="307">
        <v>2.4525540000000001</v>
      </c>
      <c r="Y66" s="307">
        <v>2.6762049999999999</v>
      </c>
      <c r="Z66" s="307">
        <v>4.8628460000000002</v>
      </c>
      <c r="AA66" s="307">
        <v>2.5118999999999998</v>
      </c>
      <c r="AB66" s="307">
        <v>0.86992290000000005</v>
      </c>
      <c r="AC66" s="307">
        <v>2.5912660000000001</v>
      </c>
      <c r="AD66" s="307">
        <v>6.0987650000000002</v>
      </c>
      <c r="AE66" s="307">
        <v>1.6254729999999999</v>
      </c>
      <c r="AF66" s="307">
        <v>0</v>
      </c>
      <c r="AG66" s="307">
        <v>2.098557</v>
      </c>
      <c r="AH66" s="307">
        <v>1.325099</v>
      </c>
      <c r="AI66" s="307">
        <v>1.152884</v>
      </c>
      <c r="AJ66" s="307">
        <v>7.3882859999999999</v>
      </c>
      <c r="AK66" s="307">
        <v>8.3503570000000007</v>
      </c>
      <c r="AL66" s="307">
        <v>1.15299</v>
      </c>
      <c r="AM66" s="307">
        <v>1.282842</v>
      </c>
      <c r="AN66" s="307">
        <v>8.4329090000000004</v>
      </c>
      <c r="AO66" s="307">
        <v>2.5740210000000001</v>
      </c>
      <c r="AP66" s="307">
        <v>2.220815</v>
      </c>
      <c r="AQ66" s="307">
        <v>3.2745690000000001</v>
      </c>
      <c r="AR66" s="307">
        <v>2.9064350000000001</v>
      </c>
      <c r="AS66" s="307">
        <v>1.038028</v>
      </c>
      <c r="AT66" s="307">
        <v>5.7158309999999997</v>
      </c>
      <c r="AU66" s="307">
        <v>1.090001</v>
      </c>
      <c r="AV66" s="307">
        <v>2.6054170000000001</v>
      </c>
      <c r="AW66" s="307">
        <v>1.2442610000000001</v>
      </c>
      <c r="AX66" s="307">
        <v>3.0045769999999998</v>
      </c>
      <c r="AY66" s="307">
        <v>3.6457540000000002</v>
      </c>
      <c r="AZ66" s="307">
        <v>1.915937</v>
      </c>
      <c r="BA66" s="307">
        <v>6.0551329999999997</v>
      </c>
      <c r="BB66" s="307">
        <v>0</v>
      </c>
      <c r="BC66" s="307">
        <v>1.465765</v>
      </c>
      <c r="BD66" s="307">
        <v>1.404282</v>
      </c>
      <c r="BE66" s="307">
        <v>1.6768369999999999</v>
      </c>
      <c r="BF66" s="307">
        <v>0.97267009999999998</v>
      </c>
      <c r="BG66" s="307">
        <v>1.3089820000000001</v>
      </c>
      <c r="BH66" s="307">
        <v>2.758553</v>
      </c>
      <c r="BI66" s="307">
        <v>1.126914</v>
      </c>
      <c r="BJ66" s="307">
        <v>1.0594950000000001</v>
      </c>
      <c r="BK66" s="307">
        <v>1.7947280000000001</v>
      </c>
      <c r="BL66">
        <f t="shared" si="0"/>
        <v>3</v>
      </c>
      <c r="BM66">
        <f t="shared" si="1"/>
        <v>2.7508237706896552</v>
      </c>
      <c r="BN66">
        <f t="shared" si="2"/>
        <v>8.4329090000000004</v>
      </c>
      <c r="BO66">
        <f t="array" ref="BO66">MIN(IF($C66:$BK66&gt;0, $C66:$BK66))</f>
        <v>0.86992290000000005</v>
      </c>
      <c r="BP66">
        <f t="shared" si="3"/>
        <v>1.915937</v>
      </c>
    </row>
    <row r="67" spans="1:68" x14ac:dyDescent="0.25">
      <c r="A67" s="306">
        <v>312130</v>
      </c>
      <c r="B67" s="307" t="s">
        <v>56</v>
      </c>
      <c r="C67" s="307">
        <v>3.7149209999999999</v>
      </c>
      <c r="D67" s="307">
        <v>5.4077809999999999</v>
      </c>
      <c r="E67" s="307">
        <v>3.190842</v>
      </c>
      <c r="F67" s="307">
        <v>3.1206960000000001</v>
      </c>
      <c r="G67" s="307">
        <v>6.2022760000000003</v>
      </c>
      <c r="H67" s="307">
        <v>3.218855</v>
      </c>
      <c r="I67" s="307">
        <v>6.7627879999999996</v>
      </c>
      <c r="J67" s="307">
        <v>2.714807</v>
      </c>
      <c r="K67" s="307">
        <v>0</v>
      </c>
      <c r="L67" s="307">
        <v>0</v>
      </c>
      <c r="M67" s="307">
        <v>4.1982720000000002</v>
      </c>
      <c r="N67" s="307">
        <v>6.1368830000000001</v>
      </c>
      <c r="O67" s="307">
        <v>5.2406319999999997</v>
      </c>
      <c r="P67" s="307">
        <v>9.6606140000000007</v>
      </c>
      <c r="Q67" s="307">
        <v>7.0678450000000002</v>
      </c>
      <c r="R67" s="307">
        <v>8.5168219999999994</v>
      </c>
      <c r="S67" s="307">
        <v>6.0936079999999997</v>
      </c>
      <c r="T67" s="307">
        <v>5.9461919999999999</v>
      </c>
      <c r="U67" s="307">
        <v>7.2277969999999998</v>
      </c>
      <c r="V67" s="307">
        <v>5.3161690000000004</v>
      </c>
      <c r="W67" s="307">
        <v>6.9670889999999996</v>
      </c>
      <c r="X67" s="307">
        <v>6.2895570000000003</v>
      </c>
      <c r="Y67" s="307">
        <v>3.2278449999999999</v>
      </c>
      <c r="Z67" s="307">
        <v>5.838381</v>
      </c>
      <c r="AA67" s="307">
        <v>9.7166440000000005</v>
      </c>
      <c r="AB67" s="307">
        <v>7.7855670000000003</v>
      </c>
      <c r="AC67" s="307">
        <v>0</v>
      </c>
      <c r="AD67" s="307">
        <v>9.311102</v>
      </c>
      <c r="AE67" s="307">
        <v>5.8116029999999999</v>
      </c>
      <c r="AF67" s="307">
        <v>7.1362519999999998</v>
      </c>
      <c r="AG67" s="307">
        <v>9.074859</v>
      </c>
      <c r="AH67" s="307">
        <v>8.653041</v>
      </c>
      <c r="AI67" s="307">
        <v>5.7992689999999998</v>
      </c>
      <c r="AJ67" s="307">
        <v>5.171754</v>
      </c>
      <c r="AK67" s="307">
        <v>0</v>
      </c>
      <c r="AL67" s="307">
        <v>3.474628</v>
      </c>
      <c r="AM67" s="307">
        <v>8.912229</v>
      </c>
      <c r="AN67" s="307">
        <v>9.9117359999999994</v>
      </c>
      <c r="AO67" s="307">
        <v>5.2536259999999997</v>
      </c>
      <c r="AP67" s="307">
        <v>7.727811</v>
      </c>
      <c r="AQ67" s="307">
        <v>6.4991050000000001</v>
      </c>
      <c r="AR67" s="307">
        <v>6.2912359999999996</v>
      </c>
      <c r="AS67" s="307">
        <v>3.147732</v>
      </c>
      <c r="AT67" s="307">
        <v>4.671494</v>
      </c>
      <c r="AU67" s="307">
        <v>6.2511109999999999</v>
      </c>
      <c r="AV67" s="307">
        <v>0</v>
      </c>
      <c r="AW67" s="307">
        <v>5.5573899999999998</v>
      </c>
      <c r="AX67" s="307">
        <v>5.5192209999999999</v>
      </c>
      <c r="AY67" s="307">
        <v>5.0801809999999996</v>
      </c>
      <c r="AZ67" s="307">
        <v>5.2656970000000003</v>
      </c>
      <c r="BA67" s="307">
        <v>2.5712969999999999</v>
      </c>
      <c r="BB67" s="307">
        <v>0</v>
      </c>
      <c r="BC67" s="307">
        <v>4.4778339999999996</v>
      </c>
      <c r="BD67" s="307">
        <v>4.4421970000000002</v>
      </c>
      <c r="BE67" s="307">
        <v>6.8711529999999996</v>
      </c>
      <c r="BF67" s="307">
        <v>7.6478539999999997</v>
      </c>
      <c r="BG67" s="307">
        <v>5.5081490000000004</v>
      </c>
      <c r="BH67" s="307">
        <v>5.5401829999999999</v>
      </c>
      <c r="BI67" s="307">
        <v>5.9116369999999998</v>
      </c>
      <c r="BJ67" s="307">
        <v>6.1878080000000004</v>
      </c>
      <c r="BK67" s="307">
        <v>3.4020269999999999</v>
      </c>
      <c r="BL67">
        <f t="shared" si="0"/>
        <v>6</v>
      </c>
      <c r="BM67">
        <f t="shared" si="1"/>
        <v>5.9389836181818181</v>
      </c>
      <c r="BN67">
        <f t="shared" si="2"/>
        <v>9.9117359999999994</v>
      </c>
      <c r="BO67">
        <f t="array" ref="BO67">MIN(IF($C67:$BK67&gt;0, $C67:$BK67))</f>
        <v>2.5712969999999999</v>
      </c>
      <c r="BP67">
        <f t="shared" si="3"/>
        <v>5.5573899999999998</v>
      </c>
    </row>
    <row r="68" spans="1:68" x14ac:dyDescent="0.25">
      <c r="A68" s="306">
        <v>312140</v>
      </c>
      <c r="B68" s="307" t="s">
        <v>57</v>
      </c>
      <c r="C68" s="307">
        <v>1.6654580000000001</v>
      </c>
      <c r="D68" s="307">
        <v>0</v>
      </c>
      <c r="E68" s="307">
        <v>0</v>
      </c>
      <c r="F68" s="307">
        <v>2.0275089999999998</v>
      </c>
      <c r="G68" s="307">
        <v>0</v>
      </c>
      <c r="H68" s="307">
        <v>1.8990579999999999</v>
      </c>
      <c r="I68" s="307">
        <v>3.638474</v>
      </c>
      <c r="J68" s="307">
        <v>0.93273740000000005</v>
      </c>
      <c r="K68" s="307">
        <v>0</v>
      </c>
      <c r="L68" s="307">
        <v>0</v>
      </c>
      <c r="M68" s="307">
        <v>2.2809349999999999</v>
      </c>
      <c r="N68" s="307">
        <v>1.0951770000000001</v>
      </c>
      <c r="O68" s="307">
        <v>3.70146</v>
      </c>
      <c r="P68" s="307">
        <v>3.5625610000000001</v>
      </c>
      <c r="Q68" s="307">
        <v>2.7239680000000002</v>
      </c>
      <c r="R68" s="307">
        <v>1.9088890000000001</v>
      </c>
      <c r="S68" s="307">
        <v>1.531034</v>
      </c>
      <c r="T68" s="307">
        <v>0</v>
      </c>
      <c r="U68" s="307">
        <v>1.343701</v>
      </c>
      <c r="V68" s="307">
        <v>0</v>
      </c>
      <c r="W68" s="307">
        <v>0</v>
      </c>
      <c r="X68" s="307">
        <v>1.8778220000000001</v>
      </c>
      <c r="Y68" s="307">
        <v>2.5129790000000001</v>
      </c>
      <c r="Z68" s="307">
        <v>1.4310210000000001</v>
      </c>
      <c r="AA68" s="307">
        <v>1.968267</v>
      </c>
      <c r="AB68" s="307">
        <v>2.1430820000000002</v>
      </c>
      <c r="AC68" s="307">
        <v>0</v>
      </c>
      <c r="AD68" s="307">
        <v>0</v>
      </c>
      <c r="AE68" s="307">
        <v>0</v>
      </c>
      <c r="AF68" s="307">
        <v>0</v>
      </c>
      <c r="AG68" s="307">
        <v>0</v>
      </c>
      <c r="AH68" s="307">
        <v>3.0126360000000001</v>
      </c>
      <c r="AI68" s="307">
        <v>2.3237809999999999</v>
      </c>
      <c r="AJ68" s="307">
        <v>0</v>
      </c>
      <c r="AK68" s="307">
        <v>0</v>
      </c>
      <c r="AL68" s="307">
        <v>0.85961520000000002</v>
      </c>
      <c r="AM68" s="307">
        <v>2.398828</v>
      </c>
      <c r="AN68" s="307">
        <v>0</v>
      </c>
      <c r="AO68" s="307">
        <v>3.0171100000000002</v>
      </c>
      <c r="AP68" s="307">
        <v>1.884015</v>
      </c>
      <c r="AQ68" s="307">
        <v>0</v>
      </c>
      <c r="AR68" s="307">
        <v>0</v>
      </c>
      <c r="AS68" s="307">
        <v>0</v>
      </c>
      <c r="AT68" s="307">
        <v>1.6235649999999999</v>
      </c>
      <c r="AU68" s="307">
        <v>1.2769239999999999</v>
      </c>
      <c r="AV68" s="307">
        <v>1.3878760000000001</v>
      </c>
      <c r="AW68" s="307">
        <v>0</v>
      </c>
      <c r="AX68" s="307">
        <v>0</v>
      </c>
      <c r="AY68" s="307">
        <v>1.9451149999999999</v>
      </c>
      <c r="AZ68" s="307">
        <v>1.4950270000000001</v>
      </c>
      <c r="BA68" s="307">
        <v>0</v>
      </c>
      <c r="BB68" s="307">
        <v>3.1343839999999998</v>
      </c>
      <c r="BC68" s="307">
        <v>1.4762169999999999</v>
      </c>
      <c r="BD68" s="307">
        <v>1.1575850000000001</v>
      </c>
      <c r="BE68" s="307">
        <v>2.0058220000000002</v>
      </c>
      <c r="BF68" s="307">
        <v>2.1044580000000002</v>
      </c>
      <c r="BG68" s="307">
        <v>2.0644079999999998</v>
      </c>
      <c r="BH68" s="307">
        <v>1.425438</v>
      </c>
      <c r="BI68" s="307">
        <v>1.9820340000000001</v>
      </c>
      <c r="BJ68" s="307">
        <v>2.7845240000000002</v>
      </c>
      <c r="BK68" s="307">
        <v>2.0647540000000002</v>
      </c>
      <c r="BL68">
        <f t="shared" si="0"/>
        <v>22</v>
      </c>
      <c r="BM68">
        <f t="shared" si="1"/>
        <v>2.0427756051282042</v>
      </c>
      <c r="BN68">
        <f t="shared" si="2"/>
        <v>3.70146</v>
      </c>
      <c r="BO68">
        <f t="array" ref="BO68">MIN(IF($C68:$BK68&gt;0, $C68:$BK68))</f>
        <v>0.85961520000000002</v>
      </c>
      <c r="BP68">
        <f t="shared" si="3"/>
        <v>1.4310210000000001</v>
      </c>
    </row>
    <row r="69" spans="1:68" x14ac:dyDescent="0.25">
      <c r="A69" s="306" t="s">
        <v>708</v>
      </c>
      <c r="B69" s="307" t="s">
        <v>58</v>
      </c>
      <c r="C69" s="307">
        <v>1.556182</v>
      </c>
      <c r="D69" s="307">
        <v>0</v>
      </c>
      <c r="E69" s="307">
        <v>3.1556060000000001</v>
      </c>
      <c r="F69" s="307">
        <v>0</v>
      </c>
      <c r="G69" s="307">
        <v>0</v>
      </c>
      <c r="H69" s="307">
        <v>1.0011350000000001</v>
      </c>
      <c r="I69" s="307">
        <v>0</v>
      </c>
      <c r="J69" s="307">
        <v>1.186796</v>
      </c>
      <c r="K69" s="307">
        <v>0.79733080000000001</v>
      </c>
      <c r="L69" s="307">
        <v>0</v>
      </c>
      <c r="M69" s="307">
        <v>1.9414830000000001</v>
      </c>
      <c r="N69" s="307">
        <v>1.816346</v>
      </c>
      <c r="O69" s="307">
        <v>0</v>
      </c>
      <c r="P69" s="307">
        <v>0</v>
      </c>
      <c r="Q69" s="307">
        <v>0</v>
      </c>
      <c r="R69" s="307">
        <v>1.4079790000000001</v>
      </c>
      <c r="S69" s="307">
        <v>4.2274710000000004</v>
      </c>
      <c r="T69" s="307">
        <v>0</v>
      </c>
      <c r="U69" s="307">
        <v>1.8768929999999999</v>
      </c>
      <c r="V69" s="307">
        <v>0</v>
      </c>
      <c r="W69" s="307">
        <v>0</v>
      </c>
      <c r="X69" s="307">
        <v>0</v>
      </c>
      <c r="Y69" s="307">
        <v>0</v>
      </c>
      <c r="Z69" s="307">
        <v>0</v>
      </c>
      <c r="AA69" s="307">
        <v>0</v>
      </c>
      <c r="AB69" s="307">
        <v>0.94702580000000003</v>
      </c>
      <c r="AC69" s="307">
        <v>0</v>
      </c>
      <c r="AD69" s="307">
        <v>0</v>
      </c>
      <c r="AE69" s="307">
        <v>1.541385</v>
      </c>
      <c r="AF69" s="307">
        <v>0</v>
      </c>
      <c r="AG69" s="307">
        <v>0</v>
      </c>
      <c r="AH69" s="307">
        <v>0</v>
      </c>
      <c r="AI69" s="307">
        <v>6.8791339999999996</v>
      </c>
      <c r="AJ69" s="307">
        <v>3.1185160000000001</v>
      </c>
      <c r="AK69" s="307">
        <v>0</v>
      </c>
      <c r="AL69" s="307">
        <v>0.32014930000000003</v>
      </c>
      <c r="AM69" s="307">
        <v>0</v>
      </c>
      <c r="AN69" s="307">
        <v>1.4493339999999999</v>
      </c>
      <c r="AO69" s="307">
        <v>0</v>
      </c>
      <c r="AP69" s="307">
        <v>1.6220250000000001</v>
      </c>
      <c r="AQ69" s="307">
        <v>0</v>
      </c>
      <c r="AR69" s="307">
        <v>5.2513319999999997</v>
      </c>
      <c r="AS69" s="307">
        <v>0</v>
      </c>
      <c r="AT69" s="307">
        <v>1.243919</v>
      </c>
      <c r="AU69" s="307">
        <v>4.2442909999999996</v>
      </c>
      <c r="AV69" s="307">
        <v>2.0063209999999998</v>
      </c>
      <c r="AW69" s="307">
        <v>1.2876259999999999</v>
      </c>
      <c r="AX69" s="307">
        <v>0</v>
      </c>
      <c r="AY69" s="307">
        <v>3.451749</v>
      </c>
      <c r="AZ69" s="307">
        <v>5.0361969999999996</v>
      </c>
      <c r="BA69" s="307">
        <v>1.2754259999999999</v>
      </c>
      <c r="BB69" s="307">
        <v>6.6475289999999996</v>
      </c>
      <c r="BC69" s="307">
        <v>1.344711</v>
      </c>
      <c r="BD69" s="307">
        <v>1.0307360000000001</v>
      </c>
      <c r="BE69" s="307">
        <v>1.606708</v>
      </c>
      <c r="BF69" s="307">
        <v>0.98438479999999995</v>
      </c>
      <c r="BG69" s="307">
        <v>1.5462119999999999</v>
      </c>
      <c r="BH69" s="307">
        <v>1.698221</v>
      </c>
      <c r="BI69" s="307">
        <v>2.132441</v>
      </c>
      <c r="BJ69" s="307">
        <v>3.1601059999999999</v>
      </c>
      <c r="BK69" s="307">
        <v>1.4596610000000001</v>
      </c>
      <c r="BL69">
        <f t="shared" si="0"/>
        <v>26</v>
      </c>
      <c r="BM69">
        <f t="shared" si="1"/>
        <v>2.2929246200000004</v>
      </c>
      <c r="BN69">
        <f t="shared" si="2"/>
        <v>6.8791339999999996</v>
      </c>
      <c r="BO69">
        <f t="array" ref="BO69">MIN(IF($C69:$BK69&gt;0, $C69:$BK69))</f>
        <v>0.32014930000000003</v>
      </c>
      <c r="BP69">
        <f t="shared" si="3"/>
        <v>1.0011350000000001</v>
      </c>
    </row>
    <row r="70" spans="1:68" x14ac:dyDescent="0.25">
      <c r="A70" s="306">
        <v>313100</v>
      </c>
      <c r="B70" s="307" t="s">
        <v>59</v>
      </c>
      <c r="C70" s="307">
        <v>4.8933</v>
      </c>
      <c r="D70" s="307">
        <v>0</v>
      </c>
      <c r="E70" s="307">
        <v>4.8824379999999996</v>
      </c>
      <c r="F70" s="307">
        <v>0</v>
      </c>
      <c r="G70" s="307">
        <v>3.5508289999999998</v>
      </c>
      <c r="H70" s="307">
        <v>6.0591100000000004</v>
      </c>
      <c r="I70" s="307">
        <v>0</v>
      </c>
      <c r="J70" s="307">
        <v>4.7970899999999999</v>
      </c>
      <c r="K70" s="307">
        <v>0</v>
      </c>
      <c r="L70" s="307">
        <v>0</v>
      </c>
      <c r="M70" s="307">
        <v>4.5376690000000002</v>
      </c>
      <c r="N70" s="307">
        <v>4.1909049999999999</v>
      </c>
      <c r="O70" s="307">
        <v>0</v>
      </c>
      <c r="P70" s="307">
        <v>0</v>
      </c>
      <c r="Q70" s="307">
        <v>3.0320109999999998</v>
      </c>
      <c r="R70" s="307">
        <v>5.2704329999999997</v>
      </c>
      <c r="S70" s="307">
        <v>5.5913909999999998</v>
      </c>
      <c r="T70" s="307">
        <v>6.6306399999999996</v>
      </c>
      <c r="U70" s="307">
        <v>0</v>
      </c>
      <c r="V70" s="307">
        <v>2.9223409999999999</v>
      </c>
      <c r="W70" s="307">
        <v>4.4129550000000002</v>
      </c>
      <c r="X70" s="307">
        <v>2.6239439999999998</v>
      </c>
      <c r="Y70" s="307">
        <v>5.9356429999999998</v>
      </c>
      <c r="Z70" s="307">
        <v>7.5649150000000001</v>
      </c>
      <c r="AA70" s="307">
        <v>0</v>
      </c>
      <c r="AB70" s="307">
        <v>0</v>
      </c>
      <c r="AC70" s="307">
        <v>4.4321140000000003</v>
      </c>
      <c r="AD70" s="307">
        <v>0</v>
      </c>
      <c r="AE70" s="307">
        <v>4.9122000000000003</v>
      </c>
      <c r="AF70" s="307">
        <v>0</v>
      </c>
      <c r="AG70" s="307">
        <v>6.4088729999999998</v>
      </c>
      <c r="AH70" s="307">
        <v>5.0483289999999998</v>
      </c>
      <c r="AI70" s="307">
        <v>2.7752240000000001</v>
      </c>
      <c r="AJ70" s="307">
        <v>4.9011930000000001</v>
      </c>
      <c r="AK70" s="307">
        <v>0</v>
      </c>
      <c r="AL70" s="307">
        <v>5.4650840000000001</v>
      </c>
      <c r="AM70" s="307">
        <v>5.9689490000000003</v>
      </c>
      <c r="AN70" s="307">
        <v>3.0320839999999998</v>
      </c>
      <c r="AO70" s="307">
        <v>4.6724110000000003</v>
      </c>
      <c r="AP70" s="307">
        <v>5.6607130000000003</v>
      </c>
      <c r="AQ70" s="307">
        <v>3.9420410000000001</v>
      </c>
      <c r="AR70" s="307">
        <v>4.5378270000000001</v>
      </c>
      <c r="AS70" s="307">
        <v>0</v>
      </c>
      <c r="AT70" s="307">
        <v>4.3785550000000004</v>
      </c>
      <c r="AU70" s="307">
        <v>6.6745369999999999</v>
      </c>
      <c r="AV70" s="307">
        <v>7.9438950000000004</v>
      </c>
      <c r="AW70" s="307">
        <v>5.2914450000000004</v>
      </c>
      <c r="AX70" s="307">
        <v>7.784618</v>
      </c>
      <c r="AY70" s="307">
        <v>3.8407010000000001</v>
      </c>
      <c r="AZ70" s="307">
        <v>4.4361980000000001</v>
      </c>
      <c r="BA70" s="307">
        <v>4.8364640000000003</v>
      </c>
      <c r="BB70" s="307">
        <v>7.9868059999999996</v>
      </c>
      <c r="BC70" s="307">
        <v>5.0382550000000004</v>
      </c>
      <c r="BD70" s="307">
        <v>5.2651120000000002</v>
      </c>
      <c r="BE70" s="307">
        <v>5.203735</v>
      </c>
      <c r="BF70" s="307">
        <v>6.8488350000000002</v>
      </c>
      <c r="BG70" s="307">
        <v>4.7741980000000002</v>
      </c>
      <c r="BH70" s="307">
        <v>4.7603840000000002</v>
      </c>
      <c r="BI70" s="307">
        <v>3.6700189999999999</v>
      </c>
      <c r="BJ70" s="307">
        <v>3.6943760000000001</v>
      </c>
      <c r="BK70" s="307">
        <v>5.9744169999999999</v>
      </c>
      <c r="BL70">
        <f t="shared" ref="BL70:BL133" si="4">COUNTIFS($C70:$BK70, 0)</f>
        <v>14</v>
      </c>
      <c r="BM70">
        <f t="shared" ref="BM70:BM133" si="5">AVERAGEIF($C70:$BK70, "&lt;&gt;0", $C70:$BK70)</f>
        <v>5.0437277872340411</v>
      </c>
      <c r="BN70">
        <f t="shared" ref="BN70:BN133" si="6">MAX($C70:$BK70)</f>
        <v>7.9868059999999996</v>
      </c>
      <c r="BO70">
        <f t="array" ref="BO70">MIN(IF($C70:$BK70&gt;0, $C70:$BK70))</f>
        <v>2.6239439999999998</v>
      </c>
      <c r="BP70">
        <f t="shared" ref="BP70:BP133" si="7">MEDIAN($C70:$BK70)</f>
        <v>4.5378270000000001</v>
      </c>
    </row>
    <row r="71" spans="1:68" x14ac:dyDescent="0.25">
      <c r="A71" s="306">
        <v>313210</v>
      </c>
      <c r="B71" s="307" t="s">
        <v>60</v>
      </c>
      <c r="C71" s="307">
        <v>5.6560139999999999</v>
      </c>
      <c r="D71" s="307">
        <v>0</v>
      </c>
      <c r="E71" s="307">
        <v>6.2343669999999998</v>
      </c>
      <c r="F71" s="307">
        <v>6.1890619999999998</v>
      </c>
      <c r="G71" s="307">
        <v>7.1281119999999998</v>
      </c>
      <c r="H71" s="307">
        <v>5.007911</v>
      </c>
      <c r="I71" s="307">
        <v>0</v>
      </c>
      <c r="J71" s="307">
        <v>4.8144669999999996</v>
      </c>
      <c r="K71" s="307">
        <v>1.0288839999999999</v>
      </c>
      <c r="L71" s="307">
        <v>1.9827049999999999</v>
      </c>
      <c r="M71" s="307">
        <v>6.6081440000000002</v>
      </c>
      <c r="N71" s="307">
        <v>5.5495619999999999</v>
      </c>
      <c r="O71" s="307">
        <v>0</v>
      </c>
      <c r="P71" s="307">
        <v>0</v>
      </c>
      <c r="Q71" s="307">
        <v>9.0332319999999999</v>
      </c>
      <c r="R71" s="307">
        <v>5.7339140000000004</v>
      </c>
      <c r="S71" s="307">
        <v>9.4749350000000003</v>
      </c>
      <c r="T71" s="307">
        <v>0</v>
      </c>
      <c r="U71" s="307">
        <v>5.9891880000000004</v>
      </c>
      <c r="V71" s="307">
        <v>4.9867569999999999</v>
      </c>
      <c r="W71" s="307">
        <v>3.701972</v>
      </c>
      <c r="X71" s="307">
        <v>6.7111010000000002</v>
      </c>
      <c r="Y71" s="307">
        <v>5.9856579999999999</v>
      </c>
      <c r="Z71" s="307">
        <v>4.6621800000000002</v>
      </c>
      <c r="AA71" s="307">
        <v>5.1636049999999996</v>
      </c>
      <c r="AB71" s="307">
        <v>8.5173240000000003</v>
      </c>
      <c r="AC71" s="307">
        <v>4.873259</v>
      </c>
      <c r="AD71" s="307">
        <v>12.178660000000001</v>
      </c>
      <c r="AE71" s="307">
        <v>5.5491590000000004</v>
      </c>
      <c r="AF71" s="307">
        <v>5.4186889999999996</v>
      </c>
      <c r="AG71" s="307">
        <v>0</v>
      </c>
      <c r="AH71" s="307">
        <v>3.7591030000000001</v>
      </c>
      <c r="AI71" s="307">
        <v>6.0058619999999996</v>
      </c>
      <c r="AJ71" s="307">
        <v>11.69805</v>
      </c>
      <c r="AK71" s="307">
        <v>12.18164</v>
      </c>
      <c r="AL71" s="307">
        <v>3.6960709999999999</v>
      </c>
      <c r="AM71" s="307">
        <v>5.7723570000000004</v>
      </c>
      <c r="AN71" s="307">
        <v>8.9019549999999992</v>
      </c>
      <c r="AO71" s="307">
        <v>8.1596670000000007</v>
      </c>
      <c r="AP71" s="307">
        <v>5.826962</v>
      </c>
      <c r="AQ71" s="307">
        <v>7.3550959999999996</v>
      </c>
      <c r="AR71" s="307">
        <v>5.1061569999999996</v>
      </c>
      <c r="AS71" s="307">
        <v>0</v>
      </c>
      <c r="AT71" s="307">
        <v>4.1278839999999999</v>
      </c>
      <c r="AU71" s="307">
        <v>6.7931999999999997</v>
      </c>
      <c r="AV71" s="307">
        <v>4.6572310000000003</v>
      </c>
      <c r="AW71" s="307">
        <v>5.495546</v>
      </c>
      <c r="AX71" s="307">
        <v>5.5357409999999998</v>
      </c>
      <c r="AY71" s="307">
        <v>5.6945699999999997</v>
      </c>
      <c r="AZ71" s="307">
        <v>3.9364599999999998</v>
      </c>
      <c r="BA71" s="307">
        <v>0</v>
      </c>
      <c r="BB71" s="307">
        <v>0</v>
      </c>
      <c r="BC71" s="307">
        <v>4.8951599999999997</v>
      </c>
      <c r="BD71" s="307">
        <v>5.2625909999999996</v>
      </c>
      <c r="BE71" s="307">
        <v>4.4742870000000003</v>
      </c>
      <c r="BF71" s="307">
        <v>5.3283589999999998</v>
      </c>
      <c r="BG71" s="307">
        <v>5.606026</v>
      </c>
      <c r="BH71" s="307">
        <v>5.8258979999999996</v>
      </c>
      <c r="BI71" s="307">
        <v>6.5569699999999997</v>
      </c>
      <c r="BJ71" s="307">
        <v>5.8757630000000001</v>
      </c>
      <c r="BK71" s="307">
        <v>5.3923009999999998</v>
      </c>
      <c r="BL71">
        <f t="shared" si="4"/>
        <v>9</v>
      </c>
      <c r="BM71">
        <f t="shared" si="5"/>
        <v>6.0019186153846142</v>
      </c>
      <c r="BN71">
        <f t="shared" si="6"/>
        <v>12.18164</v>
      </c>
      <c r="BO71">
        <f t="array" ref="BO71">MIN(IF($C71:$BK71&gt;0, $C71:$BK71))</f>
        <v>1.0288839999999999</v>
      </c>
      <c r="BP71">
        <f t="shared" si="7"/>
        <v>5.495546</v>
      </c>
    </row>
    <row r="72" spans="1:68" x14ac:dyDescent="0.25">
      <c r="A72" s="306">
        <v>313220</v>
      </c>
      <c r="B72" s="307" t="s">
        <v>61</v>
      </c>
      <c r="C72" s="307">
        <v>8.4904770000000003</v>
      </c>
      <c r="D72" s="307">
        <v>0</v>
      </c>
      <c r="E72" s="307">
        <v>9.0016979999999993</v>
      </c>
      <c r="F72" s="307">
        <v>0</v>
      </c>
      <c r="G72" s="307">
        <v>10.12275</v>
      </c>
      <c r="H72" s="307">
        <v>8.4911180000000002</v>
      </c>
      <c r="I72" s="307">
        <v>11.098319999999999</v>
      </c>
      <c r="J72" s="307">
        <v>6.1419319999999997</v>
      </c>
      <c r="K72" s="307">
        <v>0</v>
      </c>
      <c r="L72" s="307">
        <v>0</v>
      </c>
      <c r="M72" s="307">
        <v>9.1394179999999992</v>
      </c>
      <c r="N72" s="307">
        <v>6.7562319999999998</v>
      </c>
      <c r="O72" s="307">
        <v>0</v>
      </c>
      <c r="P72" s="307">
        <v>0</v>
      </c>
      <c r="Q72" s="307">
        <v>8.4047249999999991</v>
      </c>
      <c r="R72" s="307">
        <v>9.3222109999999994</v>
      </c>
      <c r="S72" s="307">
        <v>0</v>
      </c>
      <c r="T72" s="307">
        <v>10.02491</v>
      </c>
      <c r="U72" s="307">
        <v>7.7646269999999999</v>
      </c>
      <c r="V72" s="307">
        <v>11.18675</v>
      </c>
      <c r="W72" s="307">
        <v>8.5051830000000006</v>
      </c>
      <c r="X72" s="307">
        <v>8.3613330000000001</v>
      </c>
      <c r="Y72" s="307">
        <v>8.0474340000000009</v>
      </c>
      <c r="Z72" s="307">
        <v>11.43726</v>
      </c>
      <c r="AA72" s="307">
        <v>6.9847429999999999</v>
      </c>
      <c r="AB72" s="307">
        <v>0</v>
      </c>
      <c r="AC72" s="307">
        <v>0</v>
      </c>
      <c r="AD72" s="307">
        <v>8.4049130000000005</v>
      </c>
      <c r="AE72" s="307">
        <v>7.3694759999999997</v>
      </c>
      <c r="AF72" s="307">
        <v>0</v>
      </c>
      <c r="AG72" s="307">
        <v>0</v>
      </c>
      <c r="AH72" s="307">
        <v>7.2766929999999999</v>
      </c>
      <c r="AI72" s="307">
        <v>6.0661649999999998</v>
      </c>
      <c r="AJ72" s="307">
        <v>8.8913080000000004</v>
      </c>
      <c r="AK72" s="307">
        <v>0</v>
      </c>
      <c r="AL72" s="307">
        <v>5.4399540000000002</v>
      </c>
      <c r="AM72" s="307">
        <v>6.897411</v>
      </c>
      <c r="AN72" s="307">
        <v>12.07597</v>
      </c>
      <c r="AO72" s="307">
        <v>0</v>
      </c>
      <c r="AP72" s="307">
        <v>8.0238329999999998</v>
      </c>
      <c r="AQ72" s="307">
        <v>7.6397700000000004</v>
      </c>
      <c r="AR72" s="307">
        <v>9.2596349999999994</v>
      </c>
      <c r="AS72" s="307">
        <v>0</v>
      </c>
      <c r="AT72" s="307">
        <v>7.5791719999999998</v>
      </c>
      <c r="AU72" s="307">
        <v>9.104616</v>
      </c>
      <c r="AV72" s="307">
        <v>12.01005</v>
      </c>
      <c r="AW72" s="307">
        <v>11.251099999999999</v>
      </c>
      <c r="AX72" s="307">
        <v>0</v>
      </c>
      <c r="AY72" s="307">
        <v>0</v>
      </c>
      <c r="AZ72" s="307">
        <v>0</v>
      </c>
      <c r="BA72" s="307">
        <v>0</v>
      </c>
      <c r="BB72" s="307">
        <v>0</v>
      </c>
      <c r="BC72" s="307">
        <v>8.1683240000000001</v>
      </c>
      <c r="BD72" s="307">
        <v>7.3725870000000002</v>
      </c>
      <c r="BE72" s="307">
        <v>8.0972249999999999</v>
      </c>
      <c r="BF72" s="307">
        <v>7.7680790000000002</v>
      </c>
      <c r="BG72" s="307">
        <v>8.8234379999999994</v>
      </c>
      <c r="BH72" s="307">
        <v>8.7422690000000003</v>
      </c>
      <c r="BI72" s="307">
        <v>9.1767839999999996</v>
      </c>
      <c r="BJ72" s="307">
        <v>8.9630810000000007</v>
      </c>
      <c r="BK72" s="307">
        <v>8.5069590000000002</v>
      </c>
      <c r="BL72">
        <f t="shared" si="4"/>
        <v>19</v>
      </c>
      <c r="BM72">
        <f t="shared" si="5"/>
        <v>8.6235698333333346</v>
      </c>
      <c r="BN72">
        <f t="shared" si="6"/>
        <v>12.07597</v>
      </c>
      <c r="BO72">
        <f t="array" ref="BO72">MIN(IF($C72:$BK72&gt;0, $C72:$BK72))</f>
        <v>5.4399540000000002</v>
      </c>
      <c r="BP72">
        <f t="shared" si="7"/>
        <v>7.7646269999999999</v>
      </c>
    </row>
    <row r="73" spans="1:68" x14ac:dyDescent="0.25">
      <c r="A73" s="306">
        <v>313230</v>
      </c>
      <c r="B73" s="307" t="s">
        <v>62</v>
      </c>
      <c r="C73" s="307">
        <v>3.041277</v>
      </c>
      <c r="D73" s="307">
        <v>0</v>
      </c>
      <c r="E73" s="307">
        <v>4.0318569999999996</v>
      </c>
      <c r="F73" s="307">
        <v>2.8421919999999998</v>
      </c>
      <c r="G73" s="307">
        <v>5.0170409999999999</v>
      </c>
      <c r="H73" s="307">
        <v>3.9650829999999999</v>
      </c>
      <c r="I73" s="307">
        <v>0</v>
      </c>
      <c r="J73" s="307">
        <v>2.026078</v>
      </c>
      <c r="K73" s="307">
        <v>0</v>
      </c>
      <c r="L73" s="307">
        <v>1.693762</v>
      </c>
      <c r="M73" s="307">
        <v>4.023352</v>
      </c>
      <c r="N73" s="307">
        <v>2.1545339999999999</v>
      </c>
      <c r="O73" s="307">
        <v>0</v>
      </c>
      <c r="P73" s="307">
        <v>0</v>
      </c>
      <c r="Q73" s="307">
        <v>4.0264980000000001</v>
      </c>
      <c r="R73" s="307">
        <v>3.897878</v>
      </c>
      <c r="S73" s="307">
        <v>4.0863719999999999</v>
      </c>
      <c r="T73" s="307">
        <v>4.170763</v>
      </c>
      <c r="U73" s="307">
        <v>3.4347910000000001</v>
      </c>
      <c r="V73" s="307">
        <v>0</v>
      </c>
      <c r="W73" s="307">
        <v>2.9247619999999999</v>
      </c>
      <c r="X73" s="307">
        <v>2.2792479999999999</v>
      </c>
      <c r="Y73" s="307">
        <v>3.4419580000000001</v>
      </c>
      <c r="Z73" s="307">
        <v>0</v>
      </c>
      <c r="AA73" s="307">
        <v>0</v>
      </c>
      <c r="AB73" s="307">
        <v>1.9101870000000001</v>
      </c>
      <c r="AC73" s="307">
        <v>2.6718470000000001</v>
      </c>
      <c r="AD73" s="307">
        <v>0</v>
      </c>
      <c r="AE73" s="307">
        <v>2.746105</v>
      </c>
      <c r="AF73" s="307">
        <v>0</v>
      </c>
      <c r="AG73" s="307">
        <v>3.5633530000000002</v>
      </c>
      <c r="AH73" s="307">
        <v>3.2406630000000001</v>
      </c>
      <c r="AI73" s="307">
        <v>2.2702589999999998</v>
      </c>
      <c r="AJ73" s="307">
        <v>0</v>
      </c>
      <c r="AK73" s="307">
        <v>3.9598089999999999</v>
      </c>
      <c r="AL73" s="307">
        <v>2.710086</v>
      </c>
      <c r="AM73" s="307">
        <v>3.781714</v>
      </c>
      <c r="AN73" s="307">
        <v>5.0238610000000001</v>
      </c>
      <c r="AO73" s="307">
        <v>0</v>
      </c>
      <c r="AP73" s="307">
        <v>3.7251690000000002</v>
      </c>
      <c r="AQ73" s="307">
        <v>3.1566350000000001</v>
      </c>
      <c r="AR73" s="307">
        <v>2.910787</v>
      </c>
      <c r="AS73" s="307">
        <v>0</v>
      </c>
      <c r="AT73" s="307">
        <v>2.2920569999999998</v>
      </c>
      <c r="AU73" s="307">
        <v>3.8333430000000002</v>
      </c>
      <c r="AV73" s="307">
        <v>0</v>
      </c>
      <c r="AW73" s="307">
        <v>3.248891</v>
      </c>
      <c r="AX73" s="307">
        <v>0</v>
      </c>
      <c r="AY73" s="307">
        <v>3.066487</v>
      </c>
      <c r="AZ73" s="307">
        <v>2.9706290000000002</v>
      </c>
      <c r="BA73" s="307">
        <v>3.9546410000000001</v>
      </c>
      <c r="BB73" s="307">
        <v>0</v>
      </c>
      <c r="BC73" s="307">
        <v>3.4177849999999999</v>
      </c>
      <c r="BD73" s="307">
        <v>3.2184349999999999</v>
      </c>
      <c r="BE73" s="307">
        <v>3.5091830000000002</v>
      </c>
      <c r="BF73" s="307">
        <v>3.2688739999999998</v>
      </c>
      <c r="BG73" s="307">
        <v>2.748732</v>
      </c>
      <c r="BH73" s="307">
        <v>2.741304</v>
      </c>
      <c r="BI73" s="307">
        <v>3.442984</v>
      </c>
      <c r="BJ73" s="307">
        <v>4.3368200000000003</v>
      </c>
      <c r="BK73" s="307">
        <v>3.736281</v>
      </c>
      <c r="BL73">
        <f t="shared" si="4"/>
        <v>16</v>
      </c>
      <c r="BM73">
        <f t="shared" si="5"/>
        <v>3.3003192666666661</v>
      </c>
      <c r="BN73">
        <f t="shared" si="6"/>
        <v>5.0238610000000001</v>
      </c>
      <c r="BO73">
        <f t="array" ref="BO73">MIN(IF($C73:$BK73&gt;0, $C73:$BK73))</f>
        <v>1.693762</v>
      </c>
      <c r="BP73">
        <f t="shared" si="7"/>
        <v>2.9247619999999999</v>
      </c>
    </row>
    <row r="74" spans="1:68" x14ac:dyDescent="0.25">
      <c r="A74" s="306">
        <v>313240</v>
      </c>
      <c r="B74" s="307" t="s">
        <v>63</v>
      </c>
      <c r="C74" s="307">
        <v>5.465668</v>
      </c>
      <c r="D74" s="307">
        <v>0</v>
      </c>
      <c r="E74" s="307">
        <v>7.7396630000000002</v>
      </c>
      <c r="F74" s="307">
        <v>0</v>
      </c>
      <c r="G74" s="307">
        <v>9.4326319999999999</v>
      </c>
      <c r="H74" s="307">
        <v>7.4823950000000004</v>
      </c>
      <c r="I74" s="307">
        <v>0</v>
      </c>
      <c r="J74" s="307">
        <v>0</v>
      </c>
      <c r="K74" s="307">
        <v>0</v>
      </c>
      <c r="L74" s="307">
        <v>0</v>
      </c>
      <c r="M74" s="307">
        <v>6.7423169999999999</v>
      </c>
      <c r="N74" s="307">
        <v>5.1797250000000004</v>
      </c>
      <c r="O74" s="307">
        <v>0</v>
      </c>
      <c r="P74" s="307">
        <v>4.9564909999999998</v>
      </c>
      <c r="Q74" s="307">
        <v>0</v>
      </c>
      <c r="R74" s="307">
        <v>9.0970289999999991</v>
      </c>
      <c r="S74" s="307">
        <v>9.1935160000000007</v>
      </c>
      <c r="T74" s="307">
        <v>6.621594</v>
      </c>
      <c r="U74" s="307">
        <v>6.9959829999999998</v>
      </c>
      <c r="V74" s="307">
        <v>0</v>
      </c>
      <c r="W74" s="307">
        <v>3.949252</v>
      </c>
      <c r="X74" s="307">
        <v>5.6784540000000003</v>
      </c>
      <c r="Y74" s="307">
        <v>9.3622680000000003</v>
      </c>
      <c r="Z74" s="307">
        <v>5.2097319999999998</v>
      </c>
      <c r="AA74" s="307">
        <v>7.6561060000000003</v>
      </c>
      <c r="AB74" s="307">
        <v>8.2512360000000005</v>
      </c>
      <c r="AC74" s="307">
        <v>8.775919</v>
      </c>
      <c r="AD74" s="307">
        <v>0</v>
      </c>
      <c r="AE74" s="307">
        <v>5.2441259999999996</v>
      </c>
      <c r="AF74" s="307">
        <v>0</v>
      </c>
      <c r="AG74" s="307">
        <v>0</v>
      </c>
      <c r="AH74" s="307">
        <v>4.4118380000000004</v>
      </c>
      <c r="AI74" s="307">
        <v>4.8778519999999999</v>
      </c>
      <c r="AJ74" s="307">
        <v>0</v>
      </c>
      <c r="AK74" s="307">
        <v>0</v>
      </c>
      <c r="AL74" s="307">
        <v>3.8820199999999998</v>
      </c>
      <c r="AM74" s="307">
        <v>0</v>
      </c>
      <c r="AN74" s="307">
        <v>0</v>
      </c>
      <c r="AO74" s="307">
        <v>0</v>
      </c>
      <c r="AP74" s="307">
        <v>5.7577210000000001</v>
      </c>
      <c r="AQ74" s="307">
        <v>4.0126010000000001</v>
      </c>
      <c r="AR74" s="307">
        <v>4.5912680000000003</v>
      </c>
      <c r="AS74" s="307">
        <v>0</v>
      </c>
      <c r="AT74" s="307">
        <v>5.2043819999999998</v>
      </c>
      <c r="AU74" s="307">
        <v>0</v>
      </c>
      <c r="AV74" s="307">
        <v>0</v>
      </c>
      <c r="AW74" s="307">
        <v>0</v>
      </c>
      <c r="AX74" s="307">
        <v>0</v>
      </c>
      <c r="AY74" s="307">
        <v>0</v>
      </c>
      <c r="AZ74" s="307">
        <v>4.6066649999999996</v>
      </c>
      <c r="BA74" s="307">
        <v>0</v>
      </c>
      <c r="BB74" s="307">
        <v>0</v>
      </c>
      <c r="BC74" s="307">
        <v>4.4043580000000002</v>
      </c>
      <c r="BD74" s="307">
        <v>5.126709</v>
      </c>
      <c r="BE74" s="307">
        <v>7.0050119999999998</v>
      </c>
      <c r="BF74" s="307">
        <v>6.4363859999999997</v>
      </c>
      <c r="BG74" s="307">
        <v>5.3386969999999998</v>
      </c>
      <c r="BH74" s="307">
        <v>6.0929760000000002</v>
      </c>
      <c r="BI74" s="307">
        <v>0</v>
      </c>
      <c r="BJ74" s="307">
        <v>9.2089409999999994</v>
      </c>
      <c r="BK74" s="307">
        <v>7.4963309999999996</v>
      </c>
      <c r="BL74">
        <f t="shared" si="4"/>
        <v>26</v>
      </c>
      <c r="BM74">
        <f t="shared" si="5"/>
        <v>6.3282246571428571</v>
      </c>
      <c r="BN74">
        <f t="shared" si="6"/>
        <v>9.4326319999999999</v>
      </c>
      <c r="BO74">
        <f t="array" ref="BO74">MIN(IF($C74:$BK74&gt;0, $C74:$BK74))</f>
        <v>3.8820199999999998</v>
      </c>
      <c r="BP74">
        <f t="shared" si="7"/>
        <v>4.4118380000000004</v>
      </c>
    </row>
    <row r="75" spans="1:68" x14ac:dyDescent="0.25">
      <c r="A75" s="306">
        <v>313310</v>
      </c>
      <c r="B75" s="307" t="s">
        <v>64</v>
      </c>
      <c r="C75" s="307">
        <v>4.4622469999999996</v>
      </c>
      <c r="D75" s="307">
        <v>4.275366</v>
      </c>
      <c r="E75" s="307">
        <v>5.3940440000000001</v>
      </c>
      <c r="F75" s="307">
        <v>5.1822840000000001</v>
      </c>
      <c r="G75" s="307">
        <v>6.7429779999999999</v>
      </c>
      <c r="H75" s="307">
        <v>5.4372530000000001</v>
      </c>
      <c r="I75" s="307">
        <v>3.7344759999999999</v>
      </c>
      <c r="J75" s="307">
        <v>3.7303299999999999</v>
      </c>
      <c r="K75" s="307">
        <v>2.4048600000000002</v>
      </c>
      <c r="L75" s="307">
        <v>4.8227500000000001</v>
      </c>
      <c r="M75" s="307">
        <v>3.328138</v>
      </c>
      <c r="N75" s="307">
        <v>3.4406500000000002</v>
      </c>
      <c r="O75" s="307">
        <v>6.4844280000000003</v>
      </c>
      <c r="P75" s="307">
        <v>6.6293629999999997</v>
      </c>
      <c r="Q75" s="307">
        <v>7.5659660000000004</v>
      </c>
      <c r="R75" s="307">
        <v>3.5463049999999998</v>
      </c>
      <c r="S75" s="307">
        <v>5.4626849999999996</v>
      </c>
      <c r="T75" s="307">
        <v>5.7560440000000002</v>
      </c>
      <c r="U75" s="307">
        <v>4.2604350000000002</v>
      </c>
      <c r="V75" s="307">
        <v>3.2908750000000002</v>
      </c>
      <c r="W75" s="307">
        <v>2.9355289999999998</v>
      </c>
      <c r="X75" s="307">
        <v>3.8753739999999999</v>
      </c>
      <c r="Y75" s="307">
        <v>5.1930079999999998</v>
      </c>
      <c r="Z75" s="307">
        <v>3.9679489999999999</v>
      </c>
      <c r="AA75" s="307">
        <v>6.640409</v>
      </c>
      <c r="AB75" s="307">
        <v>4.4779869999999997</v>
      </c>
      <c r="AC75" s="307">
        <v>7.0308320000000002</v>
      </c>
      <c r="AD75" s="307">
        <v>7.5659450000000001</v>
      </c>
      <c r="AE75" s="307">
        <v>4.47567</v>
      </c>
      <c r="AF75" s="307">
        <v>4.0791469999999999</v>
      </c>
      <c r="AG75" s="307">
        <v>5.3009190000000004</v>
      </c>
      <c r="AH75" s="307">
        <v>5.1406479999999997</v>
      </c>
      <c r="AI75" s="307">
        <v>3.2196600000000002</v>
      </c>
      <c r="AJ75" s="307">
        <v>7.3916719999999998</v>
      </c>
      <c r="AK75" s="307">
        <v>0</v>
      </c>
      <c r="AL75" s="307">
        <v>2.65333</v>
      </c>
      <c r="AM75" s="307">
        <v>3.122557</v>
      </c>
      <c r="AN75" s="307">
        <v>7.5662240000000001</v>
      </c>
      <c r="AO75" s="307">
        <v>7.1423120000000004</v>
      </c>
      <c r="AP75" s="307">
        <v>4.0627129999999996</v>
      </c>
      <c r="AQ75" s="307">
        <v>3.070535</v>
      </c>
      <c r="AR75" s="307">
        <v>4.2008239999999999</v>
      </c>
      <c r="AS75" s="307">
        <v>4.2752869999999996</v>
      </c>
      <c r="AT75" s="307">
        <v>4.7710949999999999</v>
      </c>
      <c r="AU75" s="307">
        <v>4.8517070000000002</v>
      </c>
      <c r="AV75" s="307">
        <v>5.340535</v>
      </c>
      <c r="AW75" s="307">
        <v>4.8052910000000004</v>
      </c>
      <c r="AX75" s="307">
        <v>6.2960310000000002</v>
      </c>
      <c r="AY75" s="307">
        <v>6.9819120000000003</v>
      </c>
      <c r="AZ75" s="307">
        <v>7.5289950000000001</v>
      </c>
      <c r="BA75" s="307">
        <v>0</v>
      </c>
      <c r="BB75" s="307">
        <v>7.3463779999999996</v>
      </c>
      <c r="BC75" s="307">
        <v>3.4810639999999999</v>
      </c>
      <c r="BD75" s="307">
        <v>3.4050229999999999</v>
      </c>
      <c r="BE75" s="307">
        <v>3.5910419999999998</v>
      </c>
      <c r="BF75" s="307">
        <v>6.0496239999999997</v>
      </c>
      <c r="BG75" s="307">
        <v>4.2967209999999998</v>
      </c>
      <c r="BH75" s="307">
        <v>5.348312</v>
      </c>
      <c r="BI75" s="307">
        <v>4.9654579999999999</v>
      </c>
      <c r="BJ75" s="307">
        <v>5.7756809999999996</v>
      </c>
      <c r="BK75" s="307">
        <v>5.4702739999999999</v>
      </c>
      <c r="BL75">
        <f t="shared" si="4"/>
        <v>2</v>
      </c>
      <c r="BM75">
        <f t="shared" si="5"/>
        <v>4.9770364576271202</v>
      </c>
      <c r="BN75">
        <f t="shared" si="6"/>
        <v>7.5662240000000001</v>
      </c>
      <c r="BO75">
        <f t="array" ref="BO75">MIN(IF($C75:$BK75&gt;0, $C75:$BK75))</f>
        <v>2.4048600000000002</v>
      </c>
      <c r="BP75">
        <f t="shared" si="7"/>
        <v>4.8052910000000004</v>
      </c>
    </row>
    <row r="76" spans="1:68" x14ac:dyDescent="0.25">
      <c r="A76" s="306">
        <v>313320</v>
      </c>
      <c r="B76" s="307" t="s">
        <v>65</v>
      </c>
      <c r="C76" s="307">
        <v>4.069248</v>
      </c>
      <c r="D76" s="307">
        <v>0</v>
      </c>
      <c r="E76" s="307">
        <v>0</v>
      </c>
      <c r="F76" s="307">
        <v>5.0427419999999996</v>
      </c>
      <c r="G76" s="307">
        <v>2.9901209999999998</v>
      </c>
      <c r="H76" s="307">
        <v>3.5879560000000001</v>
      </c>
      <c r="I76" s="307">
        <v>5.8829960000000003</v>
      </c>
      <c r="J76" s="307">
        <v>3.3633690000000001</v>
      </c>
      <c r="K76" s="307">
        <v>0</v>
      </c>
      <c r="L76" s="307">
        <v>3.7085539999999999</v>
      </c>
      <c r="M76" s="307">
        <v>4.9779879999999999</v>
      </c>
      <c r="N76" s="307">
        <v>5.4010160000000003</v>
      </c>
      <c r="O76" s="307">
        <v>0</v>
      </c>
      <c r="P76" s="307">
        <v>0</v>
      </c>
      <c r="Q76" s="307">
        <v>0</v>
      </c>
      <c r="R76" s="307">
        <v>3.9765519999999999</v>
      </c>
      <c r="S76" s="307">
        <v>4.7392159999999999</v>
      </c>
      <c r="T76" s="307">
        <v>0</v>
      </c>
      <c r="U76" s="307">
        <v>0</v>
      </c>
      <c r="V76" s="307">
        <v>0</v>
      </c>
      <c r="W76" s="307">
        <v>2.8164699999999998</v>
      </c>
      <c r="X76" s="307">
        <v>2.9490219999999998</v>
      </c>
      <c r="Y76" s="307">
        <v>3.4162599999999999</v>
      </c>
      <c r="Z76" s="307">
        <v>4.350276</v>
      </c>
      <c r="AA76" s="307">
        <v>3.911492</v>
      </c>
      <c r="AB76" s="307">
        <v>2.615542</v>
      </c>
      <c r="AC76" s="307">
        <v>0</v>
      </c>
      <c r="AD76" s="307">
        <v>0</v>
      </c>
      <c r="AE76" s="307">
        <v>4.8184880000000003</v>
      </c>
      <c r="AF76" s="307">
        <v>0</v>
      </c>
      <c r="AG76" s="307">
        <v>0</v>
      </c>
      <c r="AH76" s="307">
        <v>3.0534309999999998</v>
      </c>
      <c r="AI76" s="307">
        <v>3.3358249999999998</v>
      </c>
      <c r="AJ76" s="307">
        <v>6.3384859999999996</v>
      </c>
      <c r="AK76" s="307">
        <v>5.2046679999999999</v>
      </c>
      <c r="AL76" s="307">
        <v>3.5401750000000001</v>
      </c>
      <c r="AM76" s="307">
        <v>3.426218</v>
      </c>
      <c r="AN76" s="307">
        <v>5.0418310000000002</v>
      </c>
      <c r="AO76" s="307">
        <v>0</v>
      </c>
      <c r="AP76" s="307">
        <v>4.1186420000000004</v>
      </c>
      <c r="AQ76" s="307">
        <v>4.5254050000000001</v>
      </c>
      <c r="AR76" s="307">
        <v>4.0288659999999998</v>
      </c>
      <c r="AS76" s="307">
        <v>0</v>
      </c>
      <c r="AT76" s="307">
        <v>4.5839429999999997</v>
      </c>
      <c r="AU76" s="307">
        <v>5.15062</v>
      </c>
      <c r="AV76" s="307">
        <v>6.3662520000000002</v>
      </c>
      <c r="AW76" s="307">
        <v>4.8520820000000002</v>
      </c>
      <c r="AX76" s="307">
        <v>0</v>
      </c>
      <c r="AY76" s="307">
        <v>4.7145210000000004</v>
      </c>
      <c r="AZ76" s="307">
        <v>4.2471649999999999</v>
      </c>
      <c r="BA76" s="307">
        <v>0</v>
      </c>
      <c r="BB76" s="307">
        <v>0</v>
      </c>
      <c r="BC76" s="307">
        <v>3.2798569999999998</v>
      </c>
      <c r="BD76" s="307">
        <v>3.9294530000000001</v>
      </c>
      <c r="BE76" s="307">
        <v>3.9259650000000001</v>
      </c>
      <c r="BF76" s="307">
        <v>3.042929</v>
      </c>
      <c r="BG76" s="307">
        <v>4.9013049999999998</v>
      </c>
      <c r="BH76" s="307">
        <v>4.6767070000000004</v>
      </c>
      <c r="BI76" s="307">
        <v>5.1352310000000001</v>
      </c>
      <c r="BJ76" s="307">
        <v>4.7131119999999997</v>
      </c>
      <c r="BK76" s="307">
        <v>3.6815169999999999</v>
      </c>
      <c r="BL76">
        <f t="shared" si="4"/>
        <v>18</v>
      </c>
      <c r="BM76">
        <f t="shared" si="5"/>
        <v>4.2425933488372092</v>
      </c>
      <c r="BN76">
        <f t="shared" si="6"/>
        <v>6.3662520000000002</v>
      </c>
      <c r="BO76">
        <f t="array" ref="BO76">MIN(IF($C76:$BK76&gt;0, $C76:$BK76))</f>
        <v>2.615542</v>
      </c>
      <c r="BP76">
        <f t="shared" si="7"/>
        <v>3.5879560000000001</v>
      </c>
    </row>
    <row r="77" spans="1:68" x14ac:dyDescent="0.25">
      <c r="A77" s="306">
        <v>314110</v>
      </c>
      <c r="B77" s="307" t="s">
        <v>66</v>
      </c>
      <c r="C77" s="307">
        <v>3.1552509999999998</v>
      </c>
      <c r="D77" s="307">
        <v>0</v>
      </c>
      <c r="E77" s="307">
        <v>4.2906000000000004</v>
      </c>
      <c r="F77" s="307">
        <v>3.1421230000000002</v>
      </c>
      <c r="G77" s="307">
        <v>2.1892670000000001</v>
      </c>
      <c r="H77" s="307">
        <v>3.1991170000000002</v>
      </c>
      <c r="I77" s="307">
        <v>2.7462089999999999</v>
      </c>
      <c r="J77" s="307">
        <v>1.7926029999999999</v>
      </c>
      <c r="K77" s="307">
        <v>1.91221</v>
      </c>
      <c r="L77" s="307">
        <v>0</v>
      </c>
      <c r="M77" s="307">
        <v>3.3965730000000001</v>
      </c>
      <c r="N77" s="307">
        <v>2.7964150000000001</v>
      </c>
      <c r="O77" s="307">
        <v>0</v>
      </c>
      <c r="P77" s="307">
        <v>2.2657219999999998</v>
      </c>
      <c r="Q77" s="307">
        <v>0</v>
      </c>
      <c r="R77" s="307">
        <v>1.9383630000000001</v>
      </c>
      <c r="S77" s="307">
        <v>3.186709</v>
      </c>
      <c r="T77" s="307">
        <v>1.9216340000000001</v>
      </c>
      <c r="U77" s="307">
        <v>3.224615</v>
      </c>
      <c r="V77" s="307">
        <v>0</v>
      </c>
      <c r="W77" s="307">
        <v>3.2472840000000001</v>
      </c>
      <c r="X77" s="307">
        <v>2.7376209999999999</v>
      </c>
      <c r="Y77" s="307">
        <v>3.4260459999999999</v>
      </c>
      <c r="Z77" s="307">
        <v>2.4552700000000001</v>
      </c>
      <c r="AA77" s="307">
        <v>4.5199910000000001</v>
      </c>
      <c r="AB77" s="307">
        <v>3.342292</v>
      </c>
      <c r="AC77" s="307">
        <v>0</v>
      </c>
      <c r="AD77" s="307">
        <v>0</v>
      </c>
      <c r="AE77" s="307">
        <v>3.7095549999999999</v>
      </c>
      <c r="AF77" s="307">
        <v>0</v>
      </c>
      <c r="AG77" s="307">
        <v>4.4673059999999998</v>
      </c>
      <c r="AH77" s="307">
        <v>1.711241</v>
      </c>
      <c r="AI77" s="307">
        <v>2.316964</v>
      </c>
      <c r="AJ77" s="307">
        <v>4.5793799999999996</v>
      </c>
      <c r="AK77" s="307">
        <v>0</v>
      </c>
      <c r="AL77" s="307">
        <v>2.1018140000000001</v>
      </c>
      <c r="AM77" s="307">
        <v>2.9574850000000001</v>
      </c>
      <c r="AN77" s="307">
        <v>1.9825900000000001</v>
      </c>
      <c r="AO77" s="307">
        <v>0</v>
      </c>
      <c r="AP77" s="307">
        <v>2.8503029999999998</v>
      </c>
      <c r="AQ77" s="307">
        <v>3.8359740000000002</v>
      </c>
      <c r="AR77" s="307">
        <v>2.9744069999999998</v>
      </c>
      <c r="AS77" s="307">
        <v>0</v>
      </c>
      <c r="AT77" s="307">
        <v>2.9816889999999998</v>
      </c>
      <c r="AU77" s="307">
        <v>2.7642820000000001</v>
      </c>
      <c r="AV77" s="307">
        <v>0</v>
      </c>
      <c r="AW77" s="307">
        <v>3.3652060000000001</v>
      </c>
      <c r="AX77" s="307">
        <v>4.2128410000000001</v>
      </c>
      <c r="AY77" s="307">
        <v>3.1836169999999999</v>
      </c>
      <c r="AZ77" s="307">
        <v>3.8478080000000001</v>
      </c>
      <c r="BA77" s="307">
        <v>0</v>
      </c>
      <c r="BB77" s="307">
        <v>0</v>
      </c>
      <c r="BC77" s="307">
        <v>3.538332</v>
      </c>
      <c r="BD77" s="307">
        <v>2.7639860000000001</v>
      </c>
      <c r="BE77" s="307">
        <v>2.7376260000000001</v>
      </c>
      <c r="BF77" s="307">
        <v>2.7443460000000002</v>
      </c>
      <c r="BG77" s="307">
        <v>2.9974799999999999</v>
      </c>
      <c r="BH77" s="307">
        <v>4.1285040000000004</v>
      </c>
      <c r="BI77" s="307">
        <v>2.755916</v>
      </c>
      <c r="BJ77" s="307">
        <v>2.3613360000000001</v>
      </c>
      <c r="BK77" s="307">
        <v>3.195967</v>
      </c>
      <c r="BL77">
        <f t="shared" si="4"/>
        <v>14</v>
      </c>
      <c r="BM77">
        <f t="shared" si="5"/>
        <v>3.0202525531914892</v>
      </c>
      <c r="BN77">
        <f t="shared" si="6"/>
        <v>4.5793799999999996</v>
      </c>
      <c r="BO77">
        <f t="array" ref="BO77">MIN(IF($C77:$BK77&gt;0, $C77:$BK77))</f>
        <v>1.711241</v>
      </c>
      <c r="BP77">
        <f t="shared" si="7"/>
        <v>2.755916</v>
      </c>
    </row>
    <row r="78" spans="1:68" x14ac:dyDescent="0.25">
      <c r="A78" s="306">
        <v>314120</v>
      </c>
      <c r="B78" s="307" t="s">
        <v>67</v>
      </c>
      <c r="C78" s="307">
        <v>6.4874219999999996</v>
      </c>
      <c r="D78" s="307">
        <v>0</v>
      </c>
      <c r="E78" s="307">
        <v>7.325971</v>
      </c>
      <c r="F78" s="307">
        <v>8.8024480000000001</v>
      </c>
      <c r="G78" s="307">
        <v>6.5876640000000002</v>
      </c>
      <c r="H78" s="307">
        <v>6.1133199999999999</v>
      </c>
      <c r="I78" s="307">
        <v>5.1693210000000001</v>
      </c>
      <c r="J78" s="307">
        <v>5.7213940000000001</v>
      </c>
      <c r="K78" s="307">
        <v>2.0227949999999999</v>
      </c>
      <c r="L78" s="307">
        <v>5.80952</v>
      </c>
      <c r="M78" s="307">
        <v>7.643389</v>
      </c>
      <c r="N78" s="307">
        <v>6.0178050000000001</v>
      </c>
      <c r="O78" s="307">
        <v>6.374072</v>
      </c>
      <c r="P78" s="307">
        <v>9.0448869999999992</v>
      </c>
      <c r="Q78" s="307">
        <v>8.8245500000000003</v>
      </c>
      <c r="R78" s="307">
        <v>6.1629870000000002</v>
      </c>
      <c r="S78" s="307">
        <v>7.4370599999999998</v>
      </c>
      <c r="T78" s="307">
        <v>6.9634049999999998</v>
      </c>
      <c r="U78" s="307">
        <v>6.4554270000000002</v>
      </c>
      <c r="V78" s="307">
        <v>7.9133199999999997</v>
      </c>
      <c r="W78" s="307">
        <v>4.7715059999999996</v>
      </c>
      <c r="X78" s="307">
        <v>5.4015839999999997</v>
      </c>
      <c r="Y78" s="307">
        <v>7.3640759999999998</v>
      </c>
      <c r="Z78" s="307">
        <v>7.8628689999999999</v>
      </c>
      <c r="AA78" s="307">
        <v>7.0841279999999998</v>
      </c>
      <c r="AB78" s="307">
        <v>8.7107530000000004</v>
      </c>
      <c r="AC78" s="307">
        <v>6.7066520000000001</v>
      </c>
      <c r="AD78" s="307">
        <v>7.5244920000000004</v>
      </c>
      <c r="AE78" s="307">
        <v>6.4258959999999998</v>
      </c>
      <c r="AF78" s="307">
        <v>5.5104899999999999</v>
      </c>
      <c r="AG78" s="307">
        <v>6.9583750000000002</v>
      </c>
      <c r="AH78" s="307">
        <v>6.4178319999999998</v>
      </c>
      <c r="AI78" s="307">
        <v>4.066147</v>
      </c>
      <c r="AJ78" s="307">
        <v>5.8660300000000003</v>
      </c>
      <c r="AK78" s="307">
        <v>5.450043</v>
      </c>
      <c r="AL78" s="307">
        <v>4.2311519999999998</v>
      </c>
      <c r="AM78" s="307">
        <v>5.6405839999999996</v>
      </c>
      <c r="AN78" s="307">
        <v>7.730861</v>
      </c>
      <c r="AO78" s="307">
        <v>6.6022309999999997</v>
      </c>
      <c r="AP78" s="307">
        <v>7.3288270000000004</v>
      </c>
      <c r="AQ78" s="307">
        <v>5.1758379999999997</v>
      </c>
      <c r="AR78" s="307">
        <v>6.9225570000000003</v>
      </c>
      <c r="AS78" s="307">
        <v>9.1851230000000008</v>
      </c>
      <c r="AT78" s="307">
        <v>5.8460739999999998</v>
      </c>
      <c r="AU78" s="307">
        <v>7.0937679999999999</v>
      </c>
      <c r="AV78" s="307">
        <v>8.1449580000000008</v>
      </c>
      <c r="AW78" s="307">
        <v>6.6392490000000004</v>
      </c>
      <c r="AX78" s="307">
        <v>8.2918959999999995</v>
      </c>
      <c r="AY78" s="307">
        <v>4.50448</v>
      </c>
      <c r="AZ78" s="307">
        <v>7.7924040000000003</v>
      </c>
      <c r="BA78" s="307">
        <v>8.0806930000000001</v>
      </c>
      <c r="BB78" s="307">
        <v>2.469014</v>
      </c>
      <c r="BC78" s="307">
        <v>5.9696990000000003</v>
      </c>
      <c r="BD78" s="307">
        <v>5.1242960000000002</v>
      </c>
      <c r="BE78" s="307">
        <v>6.5491339999999996</v>
      </c>
      <c r="BF78" s="307">
        <v>7.9014660000000001</v>
      </c>
      <c r="BG78" s="307">
        <v>6.6902569999999999</v>
      </c>
      <c r="BH78" s="307">
        <v>6.8725300000000002</v>
      </c>
      <c r="BI78" s="307">
        <v>7.2149049999999999</v>
      </c>
      <c r="BJ78" s="307">
        <v>6.2265160000000002</v>
      </c>
      <c r="BK78" s="307">
        <v>6.0107629999999999</v>
      </c>
      <c r="BL78">
        <f t="shared" si="4"/>
        <v>1</v>
      </c>
      <c r="BM78">
        <f t="shared" si="5"/>
        <v>6.5539484166666648</v>
      </c>
      <c r="BN78">
        <f t="shared" si="6"/>
        <v>9.1851230000000008</v>
      </c>
      <c r="BO78">
        <f t="array" ref="BO78">MIN(IF($C78:$BK78&gt;0, $C78:$BK78))</f>
        <v>2.0227949999999999</v>
      </c>
      <c r="BP78">
        <f t="shared" si="7"/>
        <v>6.5876640000000002</v>
      </c>
    </row>
    <row r="79" spans="1:68" x14ac:dyDescent="0.25">
      <c r="A79" s="306">
        <v>314910</v>
      </c>
      <c r="B79" s="307" t="s">
        <v>68</v>
      </c>
      <c r="C79" s="307">
        <v>9.7339350000000007</v>
      </c>
      <c r="D79" s="307">
        <v>10.49798</v>
      </c>
      <c r="E79" s="307">
        <v>10.83057</v>
      </c>
      <c r="F79" s="307">
        <v>8.9513619999999996</v>
      </c>
      <c r="G79" s="307">
        <v>11.92243</v>
      </c>
      <c r="H79" s="307">
        <v>8.2648670000000006</v>
      </c>
      <c r="I79" s="307">
        <v>9.4812550000000009</v>
      </c>
      <c r="J79" s="307">
        <v>7.3922150000000002</v>
      </c>
      <c r="K79" s="307">
        <v>0</v>
      </c>
      <c r="L79" s="307">
        <v>5.5158500000000004</v>
      </c>
      <c r="M79" s="307">
        <v>8.8047170000000001</v>
      </c>
      <c r="N79" s="307">
        <v>10.28369</v>
      </c>
      <c r="O79" s="307">
        <v>12.24737</v>
      </c>
      <c r="P79" s="307">
        <v>11.558020000000001</v>
      </c>
      <c r="Q79" s="307">
        <v>13.222009999999999</v>
      </c>
      <c r="R79" s="307">
        <v>10.01214</v>
      </c>
      <c r="S79" s="307">
        <v>8.5841539999999998</v>
      </c>
      <c r="T79" s="307">
        <v>11.91638</v>
      </c>
      <c r="U79" s="307">
        <v>12.88396</v>
      </c>
      <c r="V79" s="307">
        <v>8.7777860000000008</v>
      </c>
      <c r="W79" s="307">
        <v>6.4353829999999999</v>
      </c>
      <c r="X79" s="307">
        <v>7.6556170000000003</v>
      </c>
      <c r="Y79" s="307">
        <v>7.9665609999999996</v>
      </c>
      <c r="Z79" s="307">
        <v>10.20261</v>
      </c>
      <c r="AA79" s="307">
        <v>10.9864</v>
      </c>
      <c r="AB79" s="307">
        <v>10.182969999999999</v>
      </c>
      <c r="AC79" s="307">
        <v>11.991910000000001</v>
      </c>
      <c r="AD79" s="307">
        <v>13.221679999999999</v>
      </c>
      <c r="AE79" s="307">
        <v>10.900589999999999</v>
      </c>
      <c r="AF79" s="307">
        <v>7.8172759999999997</v>
      </c>
      <c r="AG79" s="307">
        <v>12.41803</v>
      </c>
      <c r="AH79" s="307">
        <v>6.6771839999999996</v>
      </c>
      <c r="AI79" s="307">
        <v>8.2786100000000005</v>
      </c>
      <c r="AJ79" s="307">
        <v>12.7295</v>
      </c>
      <c r="AK79" s="307">
        <v>7.3009899999999996</v>
      </c>
      <c r="AL79" s="307">
        <v>8.7804479999999998</v>
      </c>
      <c r="AM79" s="307">
        <v>9.0160590000000003</v>
      </c>
      <c r="AN79" s="307">
        <v>11.68371</v>
      </c>
      <c r="AO79" s="307">
        <v>10.284879999999999</v>
      </c>
      <c r="AP79" s="307">
        <v>9.5184619999999995</v>
      </c>
      <c r="AQ79" s="307">
        <v>8.2788710000000005</v>
      </c>
      <c r="AR79" s="307">
        <v>10.94829</v>
      </c>
      <c r="AS79" s="307">
        <v>10.12641</v>
      </c>
      <c r="AT79" s="307">
        <v>6.6175620000000004</v>
      </c>
      <c r="AU79" s="307">
        <v>12.259829999999999</v>
      </c>
      <c r="AV79" s="307">
        <v>9.7977209999999992</v>
      </c>
      <c r="AW79" s="307">
        <v>7.4108510000000001</v>
      </c>
      <c r="AX79" s="307">
        <v>9.4661360000000005</v>
      </c>
      <c r="AY79" s="307">
        <v>8.2077960000000001</v>
      </c>
      <c r="AZ79" s="307">
        <v>11.630940000000001</v>
      </c>
      <c r="BA79" s="307">
        <v>11.41128</v>
      </c>
      <c r="BB79" s="307">
        <v>6.3057930000000004</v>
      </c>
      <c r="BC79" s="307">
        <v>7.9877390000000004</v>
      </c>
      <c r="BD79" s="307">
        <v>9.4672549999999998</v>
      </c>
      <c r="BE79" s="307">
        <v>9.8180019999999999</v>
      </c>
      <c r="BF79" s="307">
        <v>10.783659999999999</v>
      </c>
      <c r="BG79" s="307">
        <v>9.3174790000000005</v>
      </c>
      <c r="BH79" s="307">
        <v>9.7201500000000003</v>
      </c>
      <c r="BI79" s="307">
        <v>11.4124</v>
      </c>
      <c r="BJ79" s="307">
        <v>10.037929999999999</v>
      </c>
      <c r="BK79" s="307">
        <v>8.5551049999999993</v>
      </c>
      <c r="BL79">
        <f t="shared" si="4"/>
        <v>1</v>
      </c>
      <c r="BM79">
        <f t="shared" si="5"/>
        <v>9.7415126833333332</v>
      </c>
      <c r="BN79">
        <f t="shared" si="6"/>
        <v>13.222009999999999</v>
      </c>
      <c r="BO79">
        <f t="array" ref="BO79">MIN(IF($C79:$BK79&gt;0, $C79:$BK79))</f>
        <v>5.5158500000000004</v>
      </c>
      <c r="BP79">
        <f t="shared" si="7"/>
        <v>9.7339350000000007</v>
      </c>
    </row>
    <row r="80" spans="1:68" x14ac:dyDescent="0.25">
      <c r="A80" s="306">
        <v>314990</v>
      </c>
      <c r="B80" s="307" t="s">
        <v>69</v>
      </c>
      <c r="C80" s="307">
        <v>7.6752950000000002</v>
      </c>
      <c r="D80" s="307">
        <v>10.963200000000001</v>
      </c>
      <c r="E80" s="307">
        <v>6.8879570000000001</v>
      </c>
      <c r="F80" s="307">
        <v>5.7892679999999999</v>
      </c>
      <c r="G80" s="307">
        <v>6.4004399999999997</v>
      </c>
      <c r="H80" s="307">
        <v>7.7816669999999997</v>
      </c>
      <c r="I80" s="307">
        <v>7.9841150000000001</v>
      </c>
      <c r="J80" s="307">
        <v>5.4498329999999999</v>
      </c>
      <c r="K80" s="307">
        <v>0</v>
      </c>
      <c r="L80" s="307">
        <v>4.3572899999999999</v>
      </c>
      <c r="M80" s="307">
        <v>7.0061280000000004</v>
      </c>
      <c r="N80" s="307">
        <v>6.8473220000000001</v>
      </c>
      <c r="O80" s="307">
        <v>11.397119999999999</v>
      </c>
      <c r="P80" s="307">
        <v>11.26634</v>
      </c>
      <c r="Q80" s="307">
        <v>10.52741</v>
      </c>
      <c r="R80" s="307">
        <v>7.5645439999999997</v>
      </c>
      <c r="S80" s="307">
        <v>7.7426069999999996</v>
      </c>
      <c r="T80" s="307">
        <v>8.4265380000000007</v>
      </c>
      <c r="U80" s="307">
        <v>6.9717380000000002</v>
      </c>
      <c r="V80" s="307">
        <v>7.7570649999999999</v>
      </c>
      <c r="W80" s="307">
        <v>6.1273400000000002</v>
      </c>
      <c r="X80" s="307">
        <v>6.4440629999999999</v>
      </c>
      <c r="Y80" s="307">
        <v>6.7147439999999996</v>
      </c>
      <c r="Z80" s="307">
        <v>7.7992169999999996</v>
      </c>
      <c r="AA80" s="307">
        <v>7.3220900000000002</v>
      </c>
      <c r="AB80" s="307">
        <v>8.1739429999999995</v>
      </c>
      <c r="AC80" s="307">
        <v>9.8341329999999996</v>
      </c>
      <c r="AD80" s="307">
        <v>11.397880000000001</v>
      </c>
      <c r="AE80" s="307">
        <v>7.0068919999999997</v>
      </c>
      <c r="AF80" s="307">
        <v>10.30879</v>
      </c>
      <c r="AG80" s="307">
        <v>10.70492</v>
      </c>
      <c r="AH80" s="307">
        <v>9.7658729999999991</v>
      </c>
      <c r="AI80" s="307">
        <v>5.6467260000000001</v>
      </c>
      <c r="AJ80" s="307">
        <v>7.2807490000000001</v>
      </c>
      <c r="AK80" s="307">
        <v>9.0716350000000006</v>
      </c>
      <c r="AL80" s="307">
        <v>5.5102739999999999</v>
      </c>
      <c r="AM80" s="307">
        <v>9.2666070000000005</v>
      </c>
      <c r="AN80" s="307">
        <v>10.67098</v>
      </c>
      <c r="AO80" s="307">
        <v>8.424474</v>
      </c>
      <c r="AP80" s="307">
        <v>7.0385410000000004</v>
      </c>
      <c r="AQ80" s="307">
        <v>6.173832</v>
      </c>
      <c r="AR80" s="307">
        <v>7.4440049999999998</v>
      </c>
      <c r="AS80" s="307">
        <v>11.18206</v>
      </c>
      <c r="AT80" s="307">
        <v>6.7393520000000002</v>
      </c>
      <c r="AU80" s="307">
        <v>9.376239</v>
      </c>
      <c r="AV80" s="307">
        <v>9.7512810000000005</v>
      </c>
      <c r="AW80" s="307">
        <v>7.498062</v>
      </c>
      <c r="AX80" s="307">
        <v>10.09477</v>
      </c>
      <c r="AY80" s="307">
        <v>7.1188989999999999</v>
      </c>
      <c r="AZ80" s="307">
        <v>7.9480079999999997</v>
      </c>
      <c r="BA80" s="307">
        <v>9.8373790000000003</v>
      </c>
      <c r="BB80" s="307">
        <v>5.4164009999999996</v>
      </c>
      <c r="BC80" s="307">
        <v>7.031981</v>
      </c>
      <c r="BD80" s="307">
        <v>6.4404539999999999</v>
      </c>
      <c r="BE80" s="307">
        <v>8.3557710000000007</v>
      </c>
      <c r="BF80" s="307">
        <v>8.1392629999999997</v>
      </c>
      <c r="BG80" s="307">
        <v>7.1614240000000002</v>
      </c>
      <c r="BH80" s="307">
        <v>7.4996640000000001</v>
      </c>
      <c r="BI80" s="307">
        <v>8.411187</v>
      </c>
      <c r="BJ80" s="307">
        <v>7.9976060000000002</v>
      </c>
      <c r="BK80" s="307">
        <v>7.7835369999999999</v>
      </c>
      <c r="BL80">
        <f t="shared" si="4"/>
        <v>1</v>
      </c>
      <c r="BM80">
        <f t="shared" si="5"/>
        <v>8.011782049999999</v>
      </c>
      <c r="BN80">
        <f t="shared" si="6"/>
        <v>11.397880000000001</v>
      </c>
      <c r="BO80">
        <f t="array" ref="BO80">MIN(IF($C80:$BK80&gt;0, $C80:$BK80))</f>
        <v>4.3572899999999999</v>
      </c>
      <c r="BP80">
        <f t="shared" si="7"/>
        <v>7.7426069999999996</v>
      </c>
    </row>
    <row r="81" spans="1:68" x14ac:dyDescent="0.25">
      <c r="A81" s="306">
        <v>315100</v>
      </c>
      <c r="B81" s="307" t="s">
        <v>70</v>
      </c>
      <c r="C81" s="307">
        <v>7.1511889999999996</v>
      </c>
      <c r="D81" s="307">
        <v>0</v>
      </c>
      <c r="E81" s="307">
        <v>8.1306259999999995</v>
      </c>
      <c r="F81" s="307">
        <v>9.426933</v>
      </c>
      <c r="G81" s="307">
        <v>8.9789449999999995</v>
      </c>
      <c r="H81" s="307">
        <v>7.5468510000000002</v>
      </c>
      <c r="I81" s="307">
        <v>7.6417460000000004</v>
      </c>
      <c r="J81" s="307">
        <v>0</v>
      </c>
      <c r="K81" s="307">
        <v>0</v>
      </c>
      <c r="L81" s="307">
        <v>0</v>
      </c>
      <c r="M81" s="307">
        <v>5.3982669999999997</v>
      </c>
      <c r="N81" s="307">
        <v>5.1938269999999997</v>
      </c>
      <c r="O81" s="307">
        <v>0</v>
      </c>
      <c r="P81" s="307">
        <v>7.3442420000000004</v>
      </c>
      <c r="Q81" s="307">
        <v>0</v>
      </c>
      <c r="R81" s="307">
        <v>7.6185179999999999</v>
      </c>
      <c r="S81" s="307">
        <v>8.7484749999999991</v>
      </c>
      <c r="T81" s="307">
        <v>6.5848490000000002</v>
      </c>
      <c r="U81" s="307">
        <v>7.6699799999999998</v>
      </c>
      <c r="V81" s="307">
        <v>7.0629169999999997</v>
      </c>
      <c r="W81" s="307">
        <v>4.9538510000000002</v>
      </c>
      <c r="X81" s="307">
        <v>0</v>
      </c>
      <c r="Y81" s="307">
        <v>0</v>
      </c>
      <c r="Z81" s="307">
        <v>7.6947489999999998</v>
      </c>
      <c r="AA81" s="307">
        <v>11.840859999999999</v>
      </c>
      <c r="AB81" s="307">
        <v>9.7542360000000006</v>
      </c>
      <c r="AC81" s="307">
        <v>12.48152</v>
      </c>
      <c r="AD81" s="307">
        <v>0</v>
      </c>
      <c r="AE81" s="307">
        <v>5.442234</v>
      </c>
      <c r="AF81" s="307">
        <v>0</v>
      </c>
      <c r="AG81" s="307">
        <v>0</v>
      </c>
      <c r="AH81" s="307">
        <v>0</v>
      </c>
      <c r="AI81" s="307">
        <v>5.3290660000000001</v>
      </c>
      <c r="AJ81" s="307">
        <v>3.99241</v>
      </c>
      <c r="AK81" s="307">
        <v>0</v>
      </c>
      <c r="AL81" s="307">
        <v>6.815696</v>
      </c>
      <c r="AM81" s="307">
        <v>12.872170000000001</v>
      </c>
      <c r="AN81" s="307">
        <v>0</v>
      </c>
      <c r="AO81" s="307">
        <v>12.16799</v>
      </c>
      <c r="AP81" s="307">
        <v>8.9898710000000008</v>
      </c>
      <c r="AQ81" s="307">
        <v>9.5866260000000008</v>
      </c>
      <c r="AR81" s="307">
        <v>9.1667079999999999</v>
      </c>
      <c r="AS81" s="307">
        <v>0</v>
      </c>
      <c r="AT81" s="307">
        <v>8.2357469999999999</v>
      </c>
      <c r="AU81" s="307">
        <v>12.99221</v>
      </c>
      <c r="AV81" s="307">
        <v>7.5976549999999996</v>
      </c>
      <c r="AW81" s="307">
        <v>9.1028710000000004</v>
      </c>
      <c r="AX81" s="307">
        <v>12.37997</v>
      </c>
      <c r="AY81" s="307">
        <v>0</v>
      </c>
      <c r="AZ81" s="307">
        <v>9.4132350000000002</v>
      </c>
      <c r="BA81" s="307">
        <v>0</v>
      </c>
      <c r="BB81" s="307">
        <v>0</v>
      </c>
      <c r="BC81" s="307">
        <v>9.4025920000000003</v>
      </c>
      <c r="BD81" s="307">
        <v>8.3238859999999999</v>
      </c>
      <c r="BE81" s="307">
        <v>9.2571790000000007</v>
      </c>
      <c r="BF81" s="307">
        <v>9.4064589999999999</v>
      </c>
      <c r="BG81" s="307">
        <v>5.8771100000000001</v>
      </c>
      <c r="BH81" s="307">
        <v>8.2335619999999992</v>
      </c>
      <c r="BI81" s="307">
        <v>10.261649999999999</v>
      </c>
      <c r="BJ81" s="307">
        <v>8.0121880000000001</v>
      </c>
      <c r="BK81" s="307">
        <v>7.581207</v>
      </c>
      <c r="BL81">
        <f t="shared" si="4"/>
        <v>18</v>
      </c>
      <c r="BM81">
        <f t="shared" si="5"/>
        <v>8.4107644883720933</v>
      </c>
      <c r="BN81">
        <f t="shared" si="6"/>
        <v>12.99221</v>
      </c>
      <c r="BO81">
        <f t="array" ref="BO81">MIN(IF($C81:$BK81&gt;0, $C81:$BK81))</f>
        <v>3.99241</v>
      </c>
      <c r="BP81">
        <f t="shared" si="7"/>
        <v>7.5468510000000002</v>
      </c>
    </row>
    <row r="82" spans="1:68" x14ac:dyDescent="0.25">
      <c r="A82" s="306">
        <v>315210</v>
      </c>
      <c r="B82" s="307" t="s">
        <v>71</v>
      </c>
      <c r="C82" s="307">
        <v>19.387319999999999</v>
      </c>
      <c r="D82" s="307">
        <v>0</v>
      </c>
      <c r="E82" s="307">
        <v>16.99457</v>
      </c>
      <c r="F82" s="307">
        <v>31.241569999999999</v>
      </c>
      <c r="G82" s="307">
        <v>19.61355</v>
      </c>
      <c r="H82" s="307">
        <v>18.549160000000001</v>
      </c>
      <c r="I82" s="307">
        <v>34.859409999999997</v>
      </c>
      <c r="J82" s="307">
        <v>15.208679999999999</v>
      </c>
      <c r="K82" s="307">
        <v>3.4208989999999999</v>
      </c>
      <c r="L82" s="307">
        <v>16.460730000000002</v>
      </c>
      <c r="M82" s="307">
        <v>22.989350000000002</v>
      </c>
      <c r="N82" s="307">
        <v>26.98244</v>
      </c>
      <c r="O82" s="307">
        <v>19.47006</v>
      </c>
      <c r="P82" s="307">
        <v>33.116689999999998</v>
      </c>
      <c r="Q82" s="307">
        <v>37.041690000000003</v>
      </c>
      <c r="R82" s="307">
        <v>22.31803</v>
      </c>
      <c r="S82" s="307">
        <v>32.175530000000002</v>
      </c>
      <c r="T82" s="307">
        <v>11.66943</v>
      </c>
      <c r="U82" s="307">
        <v>26.464459999999999</v>
      </c>
      <c r="V82" s="307">
        <v>31.836040000000001</v>
      </c>
      <c r="W82" s="307">
        <v>28.224399999999999</v>
      </c>
      <c r="X82" s="307">
        <v>17.19472</v>
      </c>
      <c r="Y82" s="307">
        <v>19.737490000000001</v>
      </c>
      <c r="Z82" s="307">
        <v>29.785129999999999</v>
      </c>
      <c r="AA82" s="307">
        <v>32.400550000000003</v>
      </c>
      <c r="AB82" s="307">
        <v>10.098229999999999</v>
      </c>
      <c r="AC82" s="307">
        <v>28.535799999999998</v>
      </c>
      <c r="AD82" s="307">
        <v>0</v>
      </c>
      <c r="AE82" s="307">
        <v>21.34667</v>
      </c>
      <c r="AF82" s="307">
        <v>8.4480489999999993</v>
      </c>
      <c r="AG82" s="307">
        <v>16.341069999999998</v>
      </c>
      <c r="AH82" s="307">
        <v>17.48969</v>
      </c>
      <c r="AI82" s="307">
        <v>16.175070000000002</v>
      </c>
      <c r="AJ82" s="307">
        <v>10.211869999999999</v>
      </c>
      <c r="AK82" s="307">
        <v>19.390999999999998</v>
      </c>
      <c r="AL82" s="307">
        <v>15.481170000000001</v>
      </c>
      <c r="AM82" s="307">
        <v>24.537769999999998</v>
      </c>
      <c r="AN82" s="307">
        <v>21.9358</v>
      </c>
      <c r="AO82" s="307">
        <v>39.067120000000003</v>
      </c>
      <c r="AP82" s="307">
        <v>15.31012</v>
      </c>
      <c r="AQ82" s="307">
        <v>35.138669999999998</v>
      </c>
      <c r="AR82" s="307">
        <v>23.872330000000002</v>
      </c>
      <c r="AS82" s="307">
        <v>26.428850000000001</v>
      </c>
      <c r="AT82" s="307">
        <v>15.40137</v>
      </c>
      <c r="AU82" s="307">
        <v>19.942229999999999</v>
      </c>
      <c r="AV82" s="307">
        <v>19.43337</v>
      </c>
      <c r="AW82" s="307">
        <v>29.624890000000001</v>
      </c>
      <c r="AX82" s="307">
        <v>18.539280000000002</v>
      </c>
      <c r="AY82" s="307">
        <v>27.923469999999998</v>
      </c>
      <c r="AZ82" s="307">
        <v>39.03698</v>
      </c>
      <c r="BA82" s="307">
        <v>36.3996</v>
      </c>
      <c r="BB82" s="307">
        <v>0</v>
      </c>
      <c r="BC82" s="307">
        <v>23.337409999999998</v>
      </c>
      <c r="BD82" s="307">
        <v>17.932919999999999</v>
      </c>
      <c r="BE82" s="307">
        <v>27.959109999999999</v>
      </c>
      <c r="BF82" s="307">
        <v>16.156469999999999</v>
      </c>
      <c r="BG82" s="307">
        <v>24.32695</v>
      </c>
      <c r="BH82" s="307">
        <v>17.937100000000001</v>
      </c>
      <c r="BI82" s="307">
        <v>20.902000000000001</v>
      </c>
      <c r="BJ82" s="307">
        <v>24.62743</v>
      </c>
      <c r="BK82" s="307">
        <v>18.73958</v>
      </c>
      <c r="BL82">
        <f t="shared" si="4"/>
        <v>3</v>
      </c>
      <c r="BM82">
        <f t="shared" si="5"/>
        <v>22.675367896551723</v>
      </c>
      <c r="BN82">
        <f t="shared" si="6"/>
        <v>39.067120000000003</v>
      </c>
      <c r="BO82">
        <f t="array" ref="BO82">MIN(IF($C82:$BK82&gt;0, $C82:$BK82))</f>
        <v>3.4208989999999999</v>
      </c>
      <c r="BP82">
        <f t="shared" si="7"/>
        <v>19.942229999999999</v>
      </c>
    </row>
    <row r="83" spans="1:68" x14ac:dyDescent="0.25">
      <c r="A83" s="306">
        <v>315220</v>
      </c>
      <c r="B83" s="307" t="s">
        <v>72</v>
      </c>
      <c r="C83" s="307">
        <v>5.8033640000000002</v>
      </c>
      <c r="D83" s="307">
        <v>0</v>
      </c>
      <c r="E83" s="307">
        <v>6.8361210000000003</v>
      </c>
      <c r="F83" s="307">
        <v>7.9969890000000001</v>
      </c>
      <c r="G83" s="307">
        <v>5.4384230000000002</v>
      </c>
      <c r="H83" s="307">
        <v>4.4361629999999996</v>
      </c>
      <c r="I83" s="307">
        <v>6.8184800000000001</v>
      </c>
      <c r="J83" s="307">
        <v>6.1056059999999999</v>
      </c>
      <c r="K83" s="307">
        <v>0.94839620000000002</v>
      </c>
      <c r="L83" s="307">
        <v>0</v>
      </c>
      <c r="M83" s="307">
        <v>5.7758659999999997</v>
      </c>
      <c r="N83" s="307">
        <v>5.8923690000000004</v>
      </c>
      <c r="O83" s="307">
        <v>5.3979229999999996</v>
      </c>
      <c r="P83" s="307">
        <v>7.2342120000000003</v>
      </c>
      <c r="Q83" s="307">
        <v>5.3672950000000004</v>
      </c>
      <c r="R83" s="307">
        <v>6.2801099999999996</v>
      </c>
      <c r="S83" s="307">
        <v>5.5289239999999999</v>
      </c>
      <c r="T83" s="307">
        <v>5.7606070000000003</v>
      </c>
      <c r="U83" s="307">
        <v>6.0199639999999999</v>
      </c>
      <c r="V83" s="307">
        <v>9.1208609999999997</v>
      </c>
      <c r="W83" s="307">
        <v>6.3915059999999997</v>
      </c>
      <c r="X83" s="307">
        <v>4.9800969999999998</v>
      </c>
      <c r="Y83" s="307">
        <v>9.3485110000000002</v>
      </c>
      <c r="Z83" s="307">
        <v>4.4322359999999996</v>
      </c>
      <c r="AA83" s="307">
        <v>8.3985950000000003</v>
      </c>
      <c r="AB83" s="307">
        <v>8.8029130000000002</v>
      </c>
      <c r="AC83" s="307">
        <v>5.9165450000000002</v>
      </c>
      <c r="AD83" s="307">
        <v>0</v>
      </c>
      <c r="AE83" s="307">
        <v>6.3562640000000004</v>
      </c>
      <c r="AF83" s="307">
        <v>0</v>
      </c>
      <c r="AG83" s="307">
        <v>4.5305869999999997</v>
      </c>
      <c r="AH83" s="307">
        <v>8.2843660000000003</v>
      </c>
      <c r="AI83" s="307">
        <v>4.5707800000000001</v>
      </c>
      <c r="AJ83" s="307">
        <v>2.8312219999999999</v>
      </c>
      <c r="AK83" s="307">
        <v>5.3765270000000003</v>
      </c>
      <c r="AL83" s="307">
        <v>3.6900529999999998</v>
      </c>
      <c r="AM83" s="307">
        <v>4.9682810000000002</v>
      </c>
      <c r="AN83" s="307">
        <v>8.4154999999999998</v>
      </c>
      <c r="AO83" s="307">
        <v>7.0491080000000004</v>
      </c>
      <c r="AP83" s="307">
        <v>5.2621399999999996</v>
      </c>
      <c r="AQ83" s="307">
        <v>9.0643790000000006</v>
      </c>
      <c r="AR83" s="307">
        <v>5.012645</v>
      </c>
      <c r="AS83" s="307">
        <v>0</v>
      </c>
      <c r="AT83" s="307">
        <v>4.4981330000000002</v>
      </c>
      <c r="AU83" s="307">
        <v>8.5780779999999996</v>
      </c>
      <c r="AV83" s="307">
        <v>5.3881880000000004</v>
      </c>
      <c r="AW83" s="307">
        <v>6.1702310000000002</v>
      </c>
      <c r="AX83" s="307">
        <v>8.7807709999999997</v>
      </c>
      <c r="AY83" s="307">
        <v>6.9941950000000004</v>
      </c>
      <c r="AZ83" s="307">
        <v>8.8646100000000008</v>
      </c>
      <c r="BA83" s="307">
        <v>8.5430349999999997</v>
      </c>
      <c r="BB83" s="307">
        <v>5.4722090000000003</v>
      </c>
      <c r="BC83" s="307">
        <v>7.108339</v>
      </c>
      <c r="BD83" s="307">
        <v>4.8398079999999997</v>
      </c>
      <c r="BE83" s="307">
        <v>5.5774929999999996</v>
      </c>
      <c r="BF83" s="307">
        <v>8.4148499999999995</v>
      </c>
      <c r="BG83" s="307">
        <v>6.0143849999999999</v>
      </c>
      <c r="BH83" s="307">
        <v>5.6364559999999999</v>
      </c>
      <c r="BI83" s="307">
        <v>8.5737430000000003</v>
      </c>
      <c r="BJ83" s="307">
        <v>5.9093770000000001</v>
      </c>
      <c r="BK83" s="307">
        <v>4.9265119999999998</v>
      </c>
      <c r="BL83">
        <f t="shared" si="4"/>
        <v>5</v>
      </c>
      <c r="BM83">
        <f t="shared" si="5"/>
        <v>6.2631132357142869</v>
      </c>
      <c r="BN83">
        <f t="shared" si="6"/>
        <v>9.3485110000000002</v>
      </c>
      <c r="BO83">
        <f t="array" ref="BO83">MIN(IF($C83:$BK83&gt;0, $C83:$BK83))</f>
        <v>0.94839620000000002</v>
      </c>
      <c r="BP83">
        <f t="shared" si="7"/>
        <v>5.8033640000000002</v>
      </c>
    </row>
    <row r="84" spans="1:68" x14ac:dyDescent="0.25">
      <c r="A84" s="306">
        <v>315230</v>
      </c>
      <c r="B84" s="307" t="s">
        <v>73</v>
      </c>
      <c r="C84" s="307">
        <v>4.0605960000000003</v>
      </c>
      <c r="D84" s="307">
        <v>0</v>
      </c>
      <c r="E84" s="307">
        <v>4.8271290000000002</v>
      </c>
      <c r="F84" s="307">
        <v>11.180910000000001</v>
      </c>
      <c r="G84" s="307">
        <v>3.5435979999999998</v>
      </c>
      <c r="H84" s="307">
        <v>4.1836010000000003</v>
      </c>
      <c r="I84" s="307">
        <v>9.6151260000000001</v>
      </c>
      <c r="J84" s="307">
        <v>6.4162140000000001</v>
      </c>
      <c r="K84" s="307">
        <v>0.61804420000000004</v>
      </c>
      <c r="L84" s="307">
        <v>0</v>
      </c>
      <c r="M84" s="307">
        <v>5.7823409999999997</v>
      </c>
      <c r="N84" s="307">
        <v>3.4159199999999998</v>
      </c>
      <c r="O84" s="307">
        <v>12.01098</v>
      </c>
      <c r="P84" s="307">
        <v>9.2019859999999998</v>
      </c>
      <c r="Q84" s="307">
        <v>3.4972379999999998</v>
      </c>
      <c r="R84" s="307">
        <v>4.7336869999999998</v>
      </c>
      <c r="S84" s="307">
        <v>5.8838369999999998</v>
      </c>
      <c r="T84" s="307">
        <v>3.5357029999999998</v>
      </c>
      <c r="U84" s="307">
        <v>2.6537289999999998</v>
      </c>
      <c r="V84" s="307">
        <v>11.080640000000001</v>
      </c>
      <c r="W84" s="307">
        <v>4.1762230000000002</v>
      </c>
      <c r="X84" s="307">
        <v>6.6269470000000004</v>
      </c>
      <c r="Y84" s="307">
        <v>5.183351</v>
      </c>
      <c r="Z84" s="307">
        <v>3.5558169999999998</v>
      </c>
      <c r="AA84" s="307">
        <v>11.04956</v>
      </c>
      <c r="AB84" s="307">
        <v>5.6373360000000003</v>
      </c>
      <c r="AC84" s="307">
        <v>7.6076389999999998</v>
      </c>
      <c r="AD84" s="307">
        <v>0</v>
      </c>
      <c r="AE84" s="307">
        <v>6.240596</v>
      </c>
      <c r="AF84" s="307">
        <v>1.5262500000000001</v>
      </c>
      <c r="AG84" s="307">
        <v>8.1516210000000004</v>
      </c>
      <c r="AH84" s="307">
        <v>5.7119819999999999</v>
      </c>
      <c r="AI84" s="307">
        <v>2.2835899999999998</v>
      </c>
      <c r="AJ84" s="307">
        <v>1.844967</v>
      </c>
      <c r="AK84" s="307">
        <v>3.5033669999999999</v>
      </c>
      <c r="AL84" s="307">
        <v>2.299328</v>
      </c>
      <c r="AM84" s="307">
        <v>8.282292</v>
      </c>
      <c r="AN84" s="307">
        <v>8.1843819999999994</v>
      </c>
      <c r="AO84" s="307">
        <v>11.19919</v>
      </c>
      <c r="AP84" s="307">
        <v>4.3149129999999998</v>
      </c>
      <c r="AQ84" s="307">
        <v>0</v>
      </c>
      <c r="AR84" s="307">
        <v>7.6911560000000003</v>
      </c>
      <c r="AS84" s="307">
        <v>0</v>
      </c>
      <c r="AT84" s="307">
        <v>7.6532030000000004</v>
      </c>
      <c r="AU84" s="307">
        <v>10.0915</v>
      </c>
      <c r="AV84" s="307">
        <v>3.5109729999999999</v>
      </c>
      <c r="AW84" s="307">
        <v>7.0725420000000003</v>
      </c>
      <c r="AX84" s="307">
        <v>11.162050000000001</v>
      </c>
      <c r="AY84" s="307">
        <v>6.4219480000000004</v>
      </c>
      <c r="AZ84" s="307">
        <v>6.4178350000000002</v>
      </c>
      <c r="BA84" s="307">
        <v>0</v>
      </c>
      <c r="BB84" s="307">
        <v>10.792809999999999</v>
      </c>
      <c r="BC84" s="307">
        <v>4.8691899999999997</v>
      </c>
      <c r="BD84" s="307">
        <v>2.9150990000000001</v>
      </c>
      <c r="BE84" s="307">
        <v>5.2509069999999998</v>
      </c>
      <c r="BF84" s="307">
        <v>5.4107830000000003</v>
      </c>
      <c r="BG84" s="307">
        <v>5.3607360000000002</v>
      </c>
      <c r="BH84" s="307">
        <v>5.7609719999999998</v>
      </c>
      <c r="BI84" s="307">
        <v>10.11077</v>
      </c>
      <c r="BJ84" s="307">
        <v>4.8391719999999996</v>
      </c>
      <c r="BK84" s="307">
        <v>4.4196489999999997</v>
      </c>
      <c r="BL84">
        <f t="shared" si="4"/>
        <v>6</v>
      </c>
      <c r="BM84">
        <f t="shared" si="5"/>
        <v>6.0613077309090899</v>
      </c>
      <c r="BN84">
        <f t="shared" si="6"/>
        <v>12.01098</v>
      </c>
      <c r="BO84">
        <f t="array" ref="BO84">MIN(IF($C84:$BK84&gt;0, $C84:$BK84))</f>
        <v>0.61804420000000004</v>
      </c>
      <c r="BP84">
        <f t="shared" si="7"/>
        <v>5.2509069999999998</v>
      </c>
    </row>
    <row r="85" spans="1:68" x14ac:dyDescent="0.25">
      <c r="A85" s="306">
        <v>315290</v>
      </c>
      <c r="B85" s="307" t="s">
        <v>74</v>
      </c>
      <c r="C85" s="307">
        <v>10.73386</v>
      </c>
      <c r="D85" s="307">
        <v>0</v>
      </c>
      <c r="E85" s="307">
        <v>13.55335</v>
      </c>
      <c r="F85" s="307">
        <v>0</v>
      </c>
      <c r="G85" s="307">
        <v>21.40381</v>
      </c>
      <c r="H85" s="307">
        <v>7.1632809999999996</v>
      </c>
      <c r="I85" s="307">
        <v>15.802429999999999</v>
      </c>
      <c r="J85" s="307">
        <v>6.5368810000000002</v>
      </c>
      <c r="K85" s="307">
        <v>0</v>
      </c>
      <c r="L85" s="307">
        <v>0</v>
      </c>
      <c r="M85" s="307">
        <v>13.70163</v>
      </c>
      <c r="N85" s="307">
        <v>10.98583</v>
      </c>
      <c r="O85" s="307">
        <v>9.9259140000000006</v>
      </c>
      <c r="P85" s="307">
        <v>12.80944</v>
      </c>
      <c r="Q85" s="307">
        <v>9.8694620000000004</v>
      </c>
      <c r="R85" s="307">
        <v>13.45519</v>
      </c>
      <c r="S85" s="307">
        <v>14.36388</v>
      </c>
      <c r="T85" s="307">
        <v>13.392580000000001</v>
      </c>
      <c r="U85" s="307">
        <v>19.60726</v>
      </c>
      <c r="V85" s="307">
        <v>15.62189</v>
      </c>
      <c r="W85" s="307">
        <v>11.37979</v>
      </c>
      <c r="X85" s="307">
        <v>8.4515980000000006</v>
      </c>
      <c r="Y85" s="307">
        <v>14.13165</v>
      </c>
      <c r="Z85" s="307">
        <v>22.336200000000002</v>
      </c>
      <c r="AA85" s="307">
        <v>16.072230000000001</v>
      </c>
      <c r="AB85" s="307">
        <v>14.551769999999999</v>
      </c>
      <c r="AC85" s="307">
        <v>12.19331</v>
      </c>
      <c r="AD85" s="307">
        <v>0</v>
      </c>
      <c r="AE85" s="307">
        <v>7.508559</v>
      </c>
      <c r="AF85" s="307">
        <v>0</v>
      </c>
      <c r="AG85" s="307">
        <v>15.305820000000001</v>
      </c>
      <c r="AH85" s="307">
        <v>8.3870140000000006</v>
      </c>
      <c r="AI85" s="307">
        <v>6.9231879999999997</v>
      </c>
      <c r="AJ85" s="307">
        <v>5.2061039999999998</v>
      </c>
      <c r="AK85" s="307">
        <v>9.8864509999999992</v>
      </c>
      <c r="AL85" s="307">
        <v>6.5677240000000001</v>
      </c>
      <c r="AM85" s="307">
        <v>16.88918</v>
      </c>
      <c r="AN85" s="307">
        <v>16.043679999999998</v>
      </c>
      <c r="AO85" s="307">
        <v>21.023980000000002</v>
      </c>
      <c r="AP85" s="307">
        <v>12.74774</v>
      </c>
      <c r="AQ85" s="307">
        <v>23.06522</v>
      </c>
      <c r="AR85" s="307">
        <v>8.0427230000000005</v>
      </c>
      <c r="AS85" s="307">
        <v>23.15831</v>
      </c>
      <c r="AT85" s="307">
        <v>13.109540000000001</v>
      </c>
      <c r="AU85" s="307">
        <v>13.222989999999999</v>
      </c>
      <c r="AV85" s="307">
        <v>23.422910000000002</v>
      </c>
      <c r="AW85" s="307">
        <v>14.356640000000001</v>
      </c>
      <c r="AX85" s="307">
        <v>9.4517559999999996</v>
      </c>
      <c r="AY85" s="307">
        <v>17.983889999999999</v>
      </c>
      <c r="AZ85" s="307">
        <v>15.54576</v>
      </c>
      <c r="BA85" s="307">
        <v>0</v>
      </c>
      <c r="BB85" s="307">
        <v>0</v>
      </c>
      <c r="BC85" s="307">
        <v>10.701510000000001</v>
      </c>
      <c r="BD85" s="307">
        <v>9.4392449999999997</v>
      </c>
      <c r="BE85" s="307">
        <v>14.65254</v>
      </c>
      <c r="BF85" s="307">
        <v>15.167960000000001</v>
      </c>
      <c r="BG85" s="307">
        <v>10.634969999999999</v>
      </c>
      <c r="BH85" s="307">
        <v>13.43167</v>
      </c>
      <c r="BI85" s="307">
        <v>13.769299999999999</v>
      </c>
      <c r="BJ85" s="307">
        <v>16.889050000000001</v>
      </c>
      <c r="BK85" s="307">
        <v>7.5808179999999998</v>
      </c>
      <c r="BL85">
        <f t="shared" si="4"/>
        <v>8</v>
      </c>
      <c r="BM85">
        <f t="shared" si="5"/>
        <v>13.361499584905662</v>
      </c>
      <c r="BN85">
        <f t="shared" si="6"/>
        <v>23.422910000000002</v>
      </c>
      <c r="BO85">
        <f t="array" ref="BO85">MIN(IF($C85:$BK85&gt;0, $C85:$BK85))</f>
        <v>5.2061039999999998</v>
      </c>
      <c r="BP85">
        <f t="shared" si="7"/>
        <v>12.80944</v>
      </c>
    </row>
    <row r="86" spans="1:68" x14ac:dyDescent="0.25">
      <c r="A86" s="306">
        <v>315900</v>
      </c>
      <c r="B86" s="307" t="s">
        <v>75</v>
      </c>
      <c r="C86" s="307">
        <v>10.548030000000001</v>
      </c>
      <c r="D86" s="307">
        <v>9.6412659999999999</v>
      </c>
      <c r="E86" s="307">
        <v>11.90887</v>
      </c>
      <c r="F86" s="307">
        <v>14.906140000000001</v>
      </c>
      <c r="G86" s="307">
        <v>9.5812899999999992</v>
      </c>
      <c r="H86" s="307">
        <v>8.0221009999999993</v>
      </c>
      <c r="I86" s="307">
        <v>16.135259999999999</v>
      </c>
      <c r="J86" s="307">
        <v>13.424329999999999</v>
      </c>
      <c r="K86" s="307">
        <v>0</v>
      </c>
      <c r="L86" s="307">
        <v>12.7316</v>
      </c>
      <c r="M86" s="307">
        <v>12.69552</v>
      </c>
      <c r="N86" s="307">
        <v>11.218909999999999</v>
      </c>
      <c r="O86" s="307">
        <v>9.510643</v>
      </c>
      <c r="P86" s="307">
        <v>10.331390000000001</v>
      </c>
      <c r="Q86" s="307">
        <v>15.97993</v>
      </c>
      <c r="R86" s="307">
        <v>8.1974029999999996</v>
      </c>
      <c r="S86" s="307">
        <v>15.72062</v>
      </c>
      <c r="T86" s="307">
        <v>13.17675</v>
      </c>
      <c r="U86" s="307">
        <v>9.2731270000000006</v>
      </c>
      <c r="V86" s="307">
        <v>13.589029999999999</v>
      </c>
      <c r="W86" s="307">
        <v>8.1127260000000003</v>
      </c>
      <c r="X86" s="307">
        <v>7.225384</v>
      </c>
      <c r="Y86" s="307">
        <v>8.5158830000000005</v>
      </c>
      <c r="Z86" s="307">
        <v>9.6146200000000004</v>
      </c>
      <c r="AA86" s="307">
        <v>12.09834</v>
      </c>
      <c r="AB86" s="307">
        <v>12.5678</v>
      </c>
      <c r="AC86" s="307">
        <v>10.78139</v>
      </c>
      <c r="AD86" s="307">
        <v>16.293500000000002</v>
      </c>
      <c r="AE86" s="307">
        <v>12.562709999999999</v>
      </c>
      <c r="AF86" s="307">
        <v>4.1268289999999999</v>
      </c>
      <c r="AG86" s="307">
        <v>7.9821340000000003</v>
      </c>
      <c r="AH86" s="307">
        <v>10.468529999999999</v>
      </c>
      <c r="AI86" s="307">
        <v>9.1077519999999996</v>
      </c>
      <c r="AJ86" s="307">
        <v>4.9883030000000002</v>
      </c>
      <c r="AK86" s="307">
        <v>9.4726759999999999</v>
      </c>
      <c r="AL86" s="307">
        <v>6.6730879999999999</v>
      </c>
      <c r="AM86" s="307">
        <v>9.1464200000000009</v>
      </c>
      <c r="AN86" s="307">
        <v>10.90718</v>
      </c>
      <c r="AO86" s="307">
        <v>15.040929999999999</v>
      </c>
      <c r="AP86" s="307">
        <v>8.8831939999999996</v>
      </c>
      <c r="AQ86" s="307">
        <v>14.65161</v>
      </c>
      <c r="AR86" s="307">
        <v>7.9751709999999996</v>
      </c>
      <c r="AS86" s="307">
        <v>9.3854959999999998</v>
      </c>
      <c r="AT86" s="307">
        <v>14.00235</v>
      </c>
      <c r="AU86" s="307">
        <v>16.05997</v>
      </c>
      <c r="AV86" s="307">
        <v>16.043240000000001</v>
      </c>
      <c r="AW86" s="307">
        <v>13.224930000000001</v>
      </c>
      <c r="AX86" s="307">
        <v>15.30463</v>
      </c>
      <c r="AY86" s="307">
        <v>16.085239999999999</v>
      </c>
      <c r="AZ86" s="307">
        <v>14.59047</v>
      </c>
      <c r="BA86" s="307">
        <v>8.8106930000000006</v>
      </c>
      <c r="BB86" s="307">
        <v>9.6418009999999992</v>
      </c>
      <c r="BC86" s="307">
        <v>12.08243</v>
      </c>
      <c r="BD86" s="307">
        <v>8.6523059999999994</v>
      </c>
      <c r="BE86" s="307">
        <v>9.4867740000000005</v>
      </c>
      <c r="BF86" s="307">
        <v>11.62379</v>
      </c>
      <c r="BG86" s="307">
        <v>12.252660000000001</v>
      </c>
      <c r="BH86" s="307">
        <v>12.038309999999999</v>
      </c>
      <c r="BI86" s="307">
        <v>15.47503</v>
      </c>
      <c r="BJ86" s="307">
        <v>14.616910000000001</v>
      </c>
      <c r="BK86" s="307">
        <v>8.4446899999999996</v>
      </c>
      <c r="BL86">
        <f t="shared" si="4"/>
        <v>1</v>
      </c>
      <c r="BM86">
        <f t="shared" si="5"/>
        <v>11.360168333333327</v>
      </c>
      <c r="BN86">
        <f t="shared" si="6"/>
        <v>16.293500000000002</v>
      </c>
      <c r="BO86">
        <f t="array" ref="BO86">MIN(IF($C86:$BK86&gt;0, $C86:$BK86))</f>
        <v>4.1268289999999999</v>
      </c>
      <c r="BP86">
        <f t="shared" si="7"/>
        <v>10.90718</v>
      </c>
    </row>
    <row r="87" spans="1:68" x14ac:dyDescent="0.25">
      <c r="A87" s="306">
        <v>316100</v>
      </c>
      <c r="B87" s="307" t="s">
        <v>76</v>
      </c>
      <c r="C87" s="307">
        <v>3.3486669999999998</v>
      </c>
      <c r="D87" s="307">
        <v>3.3657219999999999</v>
      </c>
      <c r="E87" s="307">
        <v>4.0316809999999998</v>
      </c>
      <c r="F87" s="307">
        <v>0</v>
      </c>
      <c r="G87" s="307">
        <v>4.4790429999999999</v>
      </c>
      <c r="H87" s="307">
        <v>2.32795</v>
      </c>
      <c r="I87" s="307">
        <v>6.4663409999999999</v>
      </c>
      <c r="J87" s="307">
        <v>0</v>
      </c>
      <c r="K87" s="307">
        <v>0</v>
      </c>
      <c r="L87" s="307">
        <v>0</v>
      </c>
      <c r="M87" s="307">
        <v>4.0835699999999999</v>
      </c>
      <c r="N87" s="307">
        <v>7.5122669999999996</v>
      </c>
      <c r="O87" s="307">
        <v>0</v>
      </c>
      <c r="P87" s="307">
        <v>3.2307229999999998</v>
      </c>
      <c r="Q87" s="307">
        <v>7.2549080000000004</v>
      </c>
      <c r="R87" s="307">
        <v>4.1177000000000001</v>
      </c>
      <c r="S87" s="307">
        <v>3.6731060000000002</v>
      </c>
      <c r="T87" s="307">
        <v>0</v>
      </c>
      <c r="U87" s="307">
        <v>3.7631559999999999</v>
      </c>
      <c r="V87" s="307">
        <v>2.6202909999999999</v>
      </c>
      <c r="W87" s="307">
        <v>3.2902049999999998</v>
      </c>
      <c r="X87" s="307">
        <v>1.57769</v>
      </c>
      <c r="Y87" s="307">
        <v>2.8989600000000002</v>
      </c>
      <c r="Z87" s="307">
        <v>2.1551619999999998</v>
      </c>
      <c r="AA87" s="307">
        <v>2.243601</v>
      </c>
      <c r="AB87" s="307">
        <v>3.419737</v>
      </c>
      <c r="AC87" s="307">
        <v>5.9947189999999999</v>
      </c>
      <c r="AD87" s="307">
        <v>7.8151950000000001</v>
      </c>
      <c r="AE87" s="307">
        <v>4.2311120000000004</v>
      </c>
      <c r="AF87" s="307">
        <v>0</v>
      </c>
      <c r="AG87" s="307">
        <v>2.9485990000000002</v>
      </c>
      <c r="AH87" s="307">
        <v>2.0011350000000001</v>
      </c>
      <c r="AI87" s="307">
        <v>3.401726</v>
      </c>
      <c r="AJ87" s="307">
        <v>0</v>
      </c>
      <c r="AK87" s="307">
        <v>0</v>
      </c>
      <c r="AL87" s="307">
        <v>2.505811</v>
      </c>
      <c r="AM87" s="307">
        <v>4.522494</v>
      </c>
      <c r="AN87" s="307">
        <v>3.7615609999999999</v>
      </c>
      <c r="AO87" s="307">
        <v>6.2103840000000003</v>
      </c>
      <c r="AP87" s="307">
        <v>2.8041320000000001</v>
      </c>
      <c r="AQ87" s="307">
        <v>0</v>
      </c>
      <c r="AR87" s="307">
        <v>7.8153249999999996</v>
      </c>
      <c r="AS87" s="307">
        <v>0</v>
      </c>
      <c r="AT87" s="307">
        <v>4.31914</v>
      </c>
      <c r="AU87" s="307">
        <v>4.3926759999999998</v>
      </c>
      <c r="AV87" s="307">
        <v>7.6620889999999999</v>
      </c>
      <c r="AW87" s="307">
        <v>0</v>
      </c>
      <c r="AX87" s="307">
        <v>0</v>
      </c>
      <c r="AY87" s="307">
        <v>5.2958030000000003</v>
      </c>
      <c r="AZ87" s="307">
        <v>3.3146789999999999</v>
      </c>
      <c r="BA87" s="307">
        <v>7.5265909999999998</v>
      </c>
      <c r="BB87" s="307">
        <v>3.3656700000000002</v>
      </c>
      <c r="BC87" s="307">
        <v>3.0479509999999999</v>
      </c>
      <c r="BD87" s="307">
        <v>2.899724</v>
      </c>
      <c r="BE87" s="307">
        <v>2.9268209999999999</v>
      </c>
      <c r="BF87" s="307">
        <v>3.085995</v>
      </c>
      <c r="BG87" s="307">
        <v>4.4566330000000001</v>
      </c>
      <c r="BH87" s="307">
        <v>4.4066510000000001</v>
      </c>
      <c r="BI87" s="307">
        <v>4.0486060000000004</v>
      </c>
      <c r="BJ87" s="307">
        <v>5.6863419999999998</v>
      </c>
      <c r="BK87" s="307">
        <v>2.6419649999999999</v>
      </c>
      <c r="BL87">
        <f t="shared" si="4"/>
        <v>13</v>
      </c>
      <c r="BM87">
        <f t="shared" si="5"/>
        <v>4.1447918541666668</v>
      </c>
      <c r="BN87">
        <f t="shared" si="6"/>
        <v>7.8153249999999996</v>
      </c>
      <c r="BO87">
        <f t="array" ref="BO87">MIN(IF($C87:$BK87&gt;0, $C87:$BK87))</f>
        <v>1.57769</v>
      </c>
      <c r="BP87">
        <f t="shared" si="7"/>
        <v>3.3146789999999999</v>
      </c>
    </row>
    <row r="88" spans="1:68" x14ac:dyDescent="0.25">
      <c r="A88" s="306">
        <v>316200</v>
      </c>
      <c r="B88" s="307" t="s">
        <v>77</v>
      </c>
      <c r="C88" s="307">
        <v>7.5616820000000002</v>
      </c>
      <c r="D88" s="307">
        <v>0</v>
      </c>
      <c r="E88" s="307">
        <v>0</v>
      </c>
      <c r="F88" s="307">
        <v>10.36656</v>
      </c>
      <c r="G88" s="307">
        <v>8.2031969999999994</v>
      </c>
      <c r="H88" s="307">
        <v>7.884061</v>
      </c>
      <c r="I88" s="307">
        <v>8.9037980000000001</v>
      </c>
      <c r="J88" s="307">
        <v>0</v>
      </c>
      <c r="K88" s="307">
        <v>0</v>
      </c>
      <c r="L88" s="307">
        <v>0</v>
      </c>
      <c r="M88" s="307">
        <v>9.5603440000000006</v>
      </c>
      <c r="N88" s="307">
        <v>6.9044220000000003</v>
      </c>
      <c r="O88" s="307">
        <v>12.26773</v>
      </c>
      <c r="P88" s="307">
        <v>0</v>
      </c>
      <c r="Q88" s="307">
        <v>7.9927530000000004</v>
      </c>
      <c r="R88" s="307">
        <v>6.2097720000000001</v>
      </c>
      <c r="S88" s="307">
        <v>9.5663359999999997</v>
      </c>
      <c r="T88" s="307">
        <v>0</v>
      </c>
      <c r="U88" s="307">
        <v>10.10575</v>
      </c>
      <c r="V88" s="307">
        <v>0</v>
      </c>
      <c r="W88" s="307">
        <v>5.069909</v>
      </c>
      <c r="X88" s="307">
        <v>5.4787590000000002</v>
      </c>
      <c r="Y88" s="307">
        <v>8.1535290000000007</v>
      </c>
      <c r="Z88" s="307">
        <v>9.7954469999999993</v>
      </c>
      <c r="AA88" s="307">
        <v>3.7765770000000001</v>
      </c>
      <c r="AB88" s="307">
        <v>5.2619809999999996</v>
      </c>
      <c r="AC88" s="307">
        <v>0</v>
      </c>
      <c r="AD88" s="307">
        <v>12.268039999999999</v>
      </c>
      <c r="AE88" s="307">
        <v>9.3233440000000005</v>
      </c>
      <c r="AF88" s="307">
        <v>7.1481599999999998</v>
      </c>
      <c r="AG88" s="307">
        <v>7.9140839999999999</v>
      </c>
      <c r="AH88" s="307">
        <v>6.7040170000000003</v>
      </c>
      <c r="AI88" s="307">
        <v>4.9823760000000004</v>
      </c>
      <c r="AJ88" s="307">
        <v>0</v>
      </c>
      <c r="AK88" s="307">
        <v>0</v>
      </c>
      <c r="AL88" s="307">
        <v>4.7873489999999999</v>
      </c>
      <c r="AM88" s="307">
        <v>7.3959469999999996</v>
      </c>
      <c r="AN88" s="307">
        <v>11.0222</v>
      </c>
      <c r="AO88" s="307">
        <v>5.4369649999999998</v>
      </c>
      <c r="AP88" s="307">
        <v>5.7423279999999997</v>
      </c>
      <c r="AQ88" s="307">
        <v>0</v>
      </c>
      <c r="AR88" s="307">
        <v>12.26801</v>
      </c>
      <c r="AS88" s="307">
        <v>0</v>
      </c>
      <c r="AT88" s="307">
        <v>10.30242</v>
      </c>
      <c r="AU88" s="307">
        <v>9.3768440000000002</v>
      </c>
      <c r="AV88" s="307">
        <v>0</v>
      </c>
      <c r="AW88" s="307">
        <v>11.67484</v>
      </c>
      <c r="AX88" s="307">
        <v>0</v>
      </c>
      <c r="AY88" s="307">
        <v>7.876449</v>
      </c>
      <c r="AZ88" s="307">
        <v>7.931025</v>
      </c>
      <c r="BA88" s="307">
        <v>0</v>
      </c>
      <c r="BB88" s="307">
        <v>0</v>
      </c>
      <c r="BC88" s="307">
        <v>6.7671070000000002</v>
      </c>
      <c r="BD88" s="307">
        <v>5.6078939999999999</v>
      </c>
      <c r="BE88" s="307">
        <v>7.4329609999999997</v>
      </c>
      <c r="BF88" s="307">
        <v>4.889742</v>
      </c>
      <c r="BG88" s="307">
        <v>9.3920209999999997</v>
      </c>
      <c r="BH88" s="307">
        <v>10.46862</v>
      </c>
      <c r="BI88" s="307">
        <v>9.7916120000000006</v>
      </c>
      <c r="BJ88" s="307">
        <v>8.6488899999999997</v>
      </c>
      <c r="BK88" s="307">
        <v>7.3637160000000002</v>
      </c>
      <c r="BL88">
        <f t="shared" si="4"/>
        <v>17</v>
      </c>
      <c r="BM88">
        <f t="shared" si="5"/>
        <v>8.0813538181818156</v>
      </c>
      <c r="BN88">
        <f t="shared" si="6"/>
        <v>12.268039999999999</v>
      </c>
      <c r="BO88">
        <f t="array" ref="BO88">MIN(IF($C88:$BK88&gt;0, $C88:$BK88))</f>
        <v>3.7765770000000001</v>
      </c>
      <c r="BP88">
        <f t="shared" si="7"/>
        <v>6.9044220000000003</v>
      </c>
    </row>
    <row r="89" spans="1:68" x14ac:dyDescent="0.25">
      <c r="A89" s="306">
        <v>316900</v>
      </c>
      <c r="B89" s="307" t="s">
        <v>78</v>
      </c>
      <c r="C89" s="307">
        <v>7.7600429999999996</v>
      </c>
      <c r="D89" s="307">
        <v>0</v>
      </c>
      <c r="E89" s="307">
        <v>11.77754</v>
      </c>
      <c r="F89" s="307">
        <v>8.1006470000000004</v>
      </c>
      <c r="G89" s="307">
        <v>8.9986029999999992</v>
      </c>
      <c r="H89" s="307">
        <v>7.1201040000000004</v>
      </c>
      <c r="I89" s="307">
        <v>9.2527360000000005</v>
      </c>
      <c r="J89" s="307">
        <v>3.9399920000000002</v>
      </c>
      <c r="K89" s="307">
        <v>0</v>
      </c>
      <c r="L89" s="307">
        <v>6.4018040000000003</v>
      </c>
      <c r="M89" s="307">
        <v>7.3218509999999997</v>
      </c>
      <c r="N89" s="307">
        <v>12.649240000000001</v>
      </c>
      <c r="O89" s="307">
        <v>0</v>
      </c>
      <c r="P89" s="307">
        <v>11.44107</v>
      </c>
      <c r="Q89" s="307">
        <v>14.9108</v>
      </c>
      <c r="R89" s="307">
        <v>7.0682219999999996</v>
      </c>
      <c r="S89" s="307">
        <v>5.3424800000000001</v>
      </c>
      <c r="T89" s="307">
        <v>8.2490380000000005</v>
      </c>
      <c r="U89" s="307">
        <v>11.20905</v>
      </c>
      <c r="V89" s="307">
        <v>11.61783</v>
      </c>
      <c r="W89" s="307">
        <v>6.4142460000000003</v>
      </c>
      <c r="X89" s="307">
        <v>5.520257</v>
      </c>
      <c r="Y89" s="307">
        <v>9.0460989999999999</v>
      </c>
      <c r="Z89" s="307">
        <v>4.2761889999999996</v>
      </c>
      <c r="AA89" s="307">
        <v>7.9823110000000002</v>
      </c>
      <c r="AB89" s="307">
        <v>11.930720000000001</v>
      </c>
      <c r="AC89" s="307">
        <v>14.55214</v>
      </c>
      <c r="AD89" s="307">
        <v>7.2019659999999996</v>
      </c>
      <c r="AE89" s="307">
        <v>8.2257669999999994</v>
      </c>
      <c r="AF89" s="307">
        <v>16.860040000000001</v>
      </c>
      <c r="AG89" s="307">
        <v>4.8482190000000003</v>
      </c>
      <c r="AH89" s="307">
        <v>7.2614729999999996</v>
      </c>
      <c r="AI89" s="307">
        <v>4.2030260000000004</v>
      </c>
      <c r="AJ89" s="307">
        <v>14.13491</v>
      </c>
      <c r="AK89" s="307">
        <v>22.065660000000001</v>
      </c>
      <c r="AL89" s="307">
        <v>6.1767709999999996</v>
      </c>
      <c r="AM89" s="307">
        <v>10.0982</v>
      </c>
      <c r="AN89" s="307">
        <v>7.061674</v>
      </c>
      <c r="AO89" s="307">
        <v>10.22587</v>
      </c>
      <c r="AP89" s="307">
        <v>6.7234379999999998</v>
      </c>
      <c r="AQ89" s="307">
        <v>9.7035370000000007</v>
      </c>
      <c r="AR89" s="307">
        <v>13.89302</v>
      </c>
      <c r="AS89" s="307">
        <v>12.441280000000001</v>
      </c>
      <c r="AT89" s="307">
        <v>7.1929369999999997</v>
      </c>
      <c r="AU89" s="307">
        <v>10.3917</v>
      </c>
      <c r="AV89" s="307">
        <v>16.319680000000002</v>
      </c>
      <c r="AW89" s="307">
        <v>10.41253</v>
      </c>
      <c r="AX89" s="307">
        <v>5.6492779999999998</v>
      </c>
      <c r="AY89" s="307">
        <v>7.4492500000000001</v>
      </c>
      <c r="AZ89" s="307">
        <v>9.1028870000000008</v>
      </c>
      <c r="BA89" s="307">
        <v>0</v>
      </c>
      <c r="BB89" s="307">
        <v>13.51628</v>
      </c>
      <c r="BC89" s="307">
        <v>6.3823410000000003</v>
      </c>
      <c r="BD89" s="307">
        <v>6.2263320000000002</v>
      </c>
      <c r="BE89" s="307">
        <v>6.9619280000000003</v>
      </c>
      <c r="BF89" s="307">
        <v>10.245329999999999</v>
      </c>
      <c r="BG89" s="307">
        <v>8.0564540000000004</v>
      </c>
      <c r="BH89" s="307">
        <v>9.6922429999999995</v>
      </c>
      <c r="BI89" s="307">
        <v>9.3568610000000003</v>
      </c>
      <c r="BJ89" s="307">
        <v>11.243729999999999</v>
      </c>
      <c r="BK89" s="307">
        <v>7.1968350000000001</v>
      </c>
      <c r="BL89">
        <f t="shared" si="4"/>
        <v>4</v>
      </c>
      <c r="BM89">
        <f t="shared" si="5"/>
        <v>9.2877975263157868</v>
      </c>
      <c r="BN89">
        <f t="shared" si="6"/>
        <v>22.065660000000001</v>
      </c>
      <c r="BO89">
        <f t="array" ref="BO89">MIN(IF($C89:$BK89&gt;0, $C89:$BK89))</f>
        <v>3.9399920000000002</v>
      </c>
      <c r="BP89">
        <f t="shared" si="7"/>
        <v>8.1006470000000004</v>
      </c>
    </row>
    <row r="90" spans="1:68" x14ac:dyDescent="0.25">
      <c r="A90" s="306">
        <v>321100</v>
      </c>
      <c r="B90" s="307" t="s">
        <v>79</v>
      </c>
      <c r="C90" s="307">
        <v>3.922634</v>
      </c>
      <c r="D90" s="307">
        <v>5.3538170000000003</v>
      </c>
      <c r="E90" s="307">
        <v>3.795426</v>
      </c>
      <c r="F90" s="307">
        <v>3.813396</v>
      </c>
      <c r="G90" s="307">
        <v>4.1834439999999997</v>
      </c>
      <c r="H90" s="307">
        <v>3.0738479999999999</v>
      </c>
      <c r="I90" s="307">
        <v>4.1677150000000003</v>
      </c>
      <c r="J90" s="307">
        <v>4.9543379999999999</v>
      </c>
      <c r="K90" s="307">
        <v>0</v>
      </c>
      <c r="L90" s="307">
        <v>3.3711479999999998</v>
      </c>
      <c r="M90" s="307">
        <v>4.1956249999999997</v>
      </c>
      <c r="N90" s="307">
        <v>3.7492899999999998</v>
      </c>
      <c r="O90" s="307">
        <v>5.3165339999999999</v>
      </c>
      <c r="P90" s="307">
        <v>4.3948349999999996</v>
      </c>
      <c r="Q90" s="307">
        <v>2.9154</v>
      </c>
      <c r="R90" s="307">
        <v>4.1967230000000004</v>
      </c>
      <c r="S90" s="307">
        <v>4.2655260000000004</v>
      </c>
      <c r="T90" s="307">
        <v>5.2004149999999996</v>
      </c>
      <c r="U90" s="307">
        <v>5.2979760000000002</v>
      </c>
      <c r="V90" s="307">
        <v>3.4779490000000002</v>
      </c>
      <c r="W90" s="307">
        <v>4.1849309999999997</v>
      </c>
      <c r="X90" s="307">
        <v>3.427359</v>
      </c>
      <c r="Y90" s="307">
        <v>3.754661</v>
      </c>
      <c r="Z90" s="307">
        <v>4.329332</v>
      </c>
      <c r="AA90" s="307">
        <v>4.0337769999999997</v>
      </c>
      <c r="AB90" s="307">
        <v>5.2431479999999997</v>
      </c>
      <c r="AC90" s="307">
        <v>3.8140909999999999</v>
      </c>
      <c r="AD90" s="307">
        <v>4.1248870000000002</v>
      </c>
      <c r="AE90" s="307">
        <v>4.0230750000000004</v>
      </c>
      <c r="AF90" s="307">
        <v>2.4569679999999998</v>
      </c>
      <c r="AG90" s="307">
        <v>5.0616680000000001</v>
      </c>
      <c r="AH90" s="307">
        <v>3.9579209999999998</v>
      </c>
      <c r="AI90" s="307">
        <v>2.5671059999999999</v>
      </c>
      <c r="AJ90" s="307">
        <v>5.3954129999999996</v>
      </c>
      <c r="AK90" s="307">
        <v>3.2738390000000002</v>
      </c>
      <c r="AL90" s="307">
        <v>4.3296049999999999</v>
      </c>
      <c r="AM90" s="307">
        <v>4.774</v>
      </c>
      <c r="AN90" s="307">
        <v>3.0496279999999998</v>
      </c>
      <c r="AO90" s="307">
        <v>3.0503689999999999</v>
      </c>
      <c r="AP90" s="307">
        <v>4.7568780000000004</v>
      </c>
      <c r="AQ90" s="307">
        <v>3.5132829999999999</v>
      </c>
      <c r="AR90" s="307">
        <v>3.6608130000000001</v>
      </c>
      <c r="AS90" s="307">
        <v>4.0736109999999996</v>
      </c>
      <c r="AT90" s="307">
        <v>4.9259050000000002</v>
      </c>
      <c r="AU90" s="307">
        <v>3.5766610000000001</v>
      </c>
      <c r="AV90" s="307">
        <v>5.3282920000000003</v>
      </c>
      <c r="AW90" s="307">
        <v>3.791531</v>
      </c>
      <c r="AX90" s="307">
        <v>4.0914520000000003</v>
      </c>
      <c r="AY90" s="307">
        <v>3.0462760000000002</v>
      </c>
      <c r="AZ90" s="307">
        <v>4.5152729999999996</v>
      </c>
      <c r="BA90" s="307">
        <v>4.6901229999999998</v>
      </c>
      <c r="BB90" s="307">
        <v>4.0769770000000003</v>
      </c>
      <c r="BC90" s="307">
        <v>4.0667689999999999</v>
      </c>
      <c r="BD90" s="307">
        <v>4.7358830000000003</v>
      </c>
      <c r="BE90" s="307">
        <v>4.5578089999999998</v>
      </c>
      <c r="BF90" s="307">
        <v>4.7917300000000003</v>
      </c>
      <c r="BG90" s="307">
        <v>4.0383940000000003</v>
      </c>
      <c r="BH90" s="307">
        <v>4.3156400000000001</v>
      </c>
      <c r="BI90" s="307">
        <v>3.6608299999999998</v>
      </c>
      <c r="BJ90" s="307">
        <v>3.6619579999999998</v>
      </c>
      <c r="BK90" s="307">
        <v>3.1030899999999999</v>
      </c>
      <c r="BL90">
        <f t="shared" si="4"/>
        <v>1</v>
      </c>
      <c r="BM90">
        <f t="shared" si="5"/>
        <v>4.09128325</v>
      </c>
      <c r="BN90">
        <f t="shared" si="6"/>
        <v>5.3954129999999996</v>
      </c>
      <c r="BO90">
        <f t="array" ref="BO90">MIN(IF($C90:$BK90&gt;0, $C90:$BK90))</f>
        <v>2.4569679999999998</v>
      </c>
      <c r="BP90">
        <f t="shared" si="7"/>
        <v>4.0736109999999996</v>
      </c>
    </row>
    <row r="91" spans="1:68" x14ac:dyDescent="0.25">
      <c r="A91" s="306">
        <v>321219</v>
      </c>
      <c r="B91" s="307" t="s">
        <v>82</v>
      </c>
      <c r="C91" s="307">
        <v>3.2029909999999999</v>
      </c>
      <c r="D91" s="307">
        <v>0</v>
      </c>
      <c r="E91" s="307">
        <v>3.1597710000000001</v>
      </c>
      <c r="F91" s="307">
        <v>3.1206930000000002</v>
      </c>
      <c r="G91" s="307">
        <v>4.1497270000000004</v>
      </c>
      <c r="H91" s="307">
        <v>3.0853259999999998</v>
      </c>
      <c r="I91" s="307">
        <v>2.663551</v>
      </c>
      <c r="J91" s="307">
        <v>0</v>
      </c>
      <c r="K91" s="307">
        <v>0</v>
      </c>
      <c r="L91" s="307">
        <v>2.3590119999999999</v>
      </c>
      <c r="M91" s="307">
        <v>4.1117720000000002</v>
      </c>
      <c r="N91" s="307">
        <v>2.9809749999999999</v>
      </c>
      <c r="O91" s="307">
        <v>0</v>
      </c>
      <c r="P91" s="307">
        <v>0</v>
      </c>
      <c r="Q91" s="307">
        <v>2.8930910000000001</v>
      </c>
      <c r="R91" s="307">
        <v>3.2066499999999998</v>
      </c>
      <c r="S91" s="307">
        <v>3.7873600000000001</v>
      </c>
      <c r="T91" s="307">
        <v>0</v>
      </c>
      <c r="U91" s="307">
        <v>3.624349</v>
      </c>
      <c r="V91" s="307">
        <v>3.1313620000000002</v>
      </c>
      <c r="W91" s="307">
        <v>2.6933440000000002</v>
      </c>
      <c r="X91" s="307">
        <v>3.3293439999999999</v>
      </c>
      <c r="Y91" s="307">
        <v>3.517544</v>
      </c>
      <c r="Z91" s="307">
        <v>3.0938370000000002</v>
      </c>
      <c r="AA91" s="307">
        <v>2.412433</v>
      </c>
      <c r="AB91" s="307">
        <v>3.959082</v>
      </c>
      <c r="AC91" s="307">
        <v>3.3081360000000002</v>
      </c>
      <c r="AD91" s="307">
        <v>3.2068720000000002</v>
      </c>
      <c r="AE91" s="307">
        <v>3.1064319999999999</v>
      </c>
      <c r="AF91" s="307">
        <v>3.2486890000000002</v>
      </c>
      <c r="AG91" s="307">
        <v>0</v>
      </c>
      <c r="AH91" s="307">
        <v>3.4327939999999999</v>
      </c>
      <c r="AI91" s="307">
        <v>2.6955529999999999</v>
      </c>
      <c r="AJ91" s="307">
        <v>4.0738300000000001</v>
      </c>
      <c r="AK91" s="307">
        <v>3.4991249999999998</v>
      </c>
      <c r="AL91" s="307">
        <v>3.7510059999999998</v>
      </c>
      <c r="AM91" s="307">
        <v>2.8379599999999998</v>
      </c>
      <c r="AN91" s="307">
        <v>4.1255459999999999</v>
      </c>
      <c r="AO91" s="307">
        <v>3.1356709999999999</v>
      </c>
      <c r="AP91" s="307">
        <v>3.4753560000000001</v>
      </c>
      <c r="AQ91" s="307">
        <v>0</v>
      </c>
      <c r="AR91" s="307">
        <v>2.8706830000000001</v>
      </c>
      <c r="AS91" s="307">
        <v>3.8839229999999998</v>
      </c>
      <c r="AT91" s="307">
        <v>2.5479349999999998</v>
      </c>
      <c r="AU91" s="307">
        <v>2.701206</v>
      </c>
      <c r="AV91" s="307">
        <v>0</v>
      </c>
      <c r="AW91" s="307">
        <v>3.175799</v>
      </c>
      <c r="AX91" s="307">
        <v>0</v>
      </c>
      <c r="AY91" s="307">
        <v>4.1037030000000003</v>
      </c>
      <c r="AZ91" s="307">
        <v>3.1505000000000001</v>
      </c>
      <c r="BA91" s="307">
        <v>2.7322500000000001</v>
      </c>
      <c r="BB91" s="307">
        <v>0</v>
      </c>
      <c r="BC91" s="307">
        <v>3.4681989999999998</v>
      </c>
      <c r="BD91" s="307">
        <v>3.5206719999999998</v>
      </c>
      <c r="BE91" s="307">
        <v>3.1767799999999999</v>
      </c>
      <c r="BF91" s="307">
        <v>2.8174869999999999</v>
      </c>
      <c r="BG91" s="307">
        <v>3.118239</v>
      </c>
      <c r="BH91" s="307">
        <v>3.2908539999999999</v>
      </c>
      <c r="BI91" s="307">
        <v>3.0043299999999999</v>
      </c>
      <c r="BJ91" s="307">
        <v>3.238864</v>
      </c>
      <c r="BK91" s="307">
        <v>3.1677119999999999</v>
      </c>
      <c r="BL91">
        <f t="shared" si="4"/>
        <v>11</v>
      </c>
      <c r="BM91">
        <f t="shared" si="5"/>
        <v>3.2469663999999998</v>
      </c>
      <c r="BN91">
        <f t="shared" si="6"/>
        <v>4.1497270000000004</v>
      </c>
      <c r="BO91">
        <f t="array" ref="BO91">MIN(IF($C91:$BK91&gt;0, $C91:$BK91))</f>
        <v>2.3590119999999999</v>
      </c>
      <c r="BP91">
        <f t="shared" si="7"/>
        <v>3.1313620000000002</v>
      </c>
    </row>
    <row r="92" spans="1:68" x14ac:dyDescent="0.25">
      <c r="A92" s="306" t="s">
        <v>709</v>
      </c>
      <c r="B92" s="307" t="s">
        <v>80</v>
      </c>
      <c r="C92" s="307">
        <v>4.9066530000000004</v>
      </c>
      <c r="D92" s="307">
        <v>8.892493</v>
      </c>
      <c r="E92" s="307">
        <v>4.9154470000000003</v>
      </c>
      <c r="F92" s="307">
        <v>4.5139209999999999</v>
      </c>
      <c r="G92" s="307">
        <v>4.7098389999999997</v>
      </c>
      <c r="H92" s="307">
        <v>5.1475479999999996</v>
      </c>
      <c r="I92" s="307">
        <v>9.1419270000000008</v>
      </c>
      <c r="J92" s="307">
        <v>0</v>
      </c>
      <c r="K92" s="307">
        <v>0</v>
      </c>
      <c r="L92" s="307">
        <v>7.8462889999999996</v>
      </c>
      <c r="M92" s="307">
        <v>4.2399979999999999</v>
      </c>
      <c r="N92" s="307">
        <v>4.5896590000000002</v>
      </c>
      <c r="O92" s="307">
        <v>4.7818579999999997</v>
      </c>
      <c r="P92" s="307">
        <v>7.2408320000000002</v>
      </c>
      <c r="Q92" s="307">
        <v>3.2871299999999999</v>
      </c>
      <c r="R92" s="307">
        <v>4.9931089999999996</v>
      </c>
      <c r="S92" s="307">
        <v>5.0714199999999998</v>
      </c>
      <c r="T92" s="307">
        <v>0</v>
      </c>
      <c r="U92" s="307">
        <v>7.0876140000000003</v>
      </c>
      <c r="V92" s="307">
        <v>4.3169839999999997</v>
      </c>
      <c r="W92" s="307">
        <v>5.4436369999999998</v>
      </c>
      <c r="X92" s="307">
        <v>2.6842109999999999</v>
      </c>
      <c r="Y92" s="307">
        <v>6.7302119999999999</v>
      </c>
      <c r="Z92" s="307">
        <v>5.3899330000000001</v>
      </c>
      <c r="AA92" s="307">
        <v>4.0759179999999997</v>
      </c>
      <c r="AB92" s="307">
        <v>8.7089639999999999</v>
      </c>
      <c r="AC92" s="307">
        <v>4.5359109999999996</v>
      </c>
      <c r="AD92" s="307">
        <v>4.5641720000000001</v>
      </c>
      <c r="AE92" s="307">
        <v>5.0719180000000001</v>
      </c>
      <c r="AF92" s="307">
        <v>0</v>
      </c>
      <c r="AG92" s="307">
        <v>8.8699449999999995</v>
      </c>
      <c r="AH92" s="307">
        <v>5.2269030000000001</v>
      </c>
      <c r="AI92" s="307">
        <v>2.627996</v>
      </c>
      <c r="AJ92" s="307">
        <v>0</v>
      </c>
      <c r="AK92" s="307">
        <v>0</v>
      </c>
      <c r="AL92" s="307">
        <v>5.4560750000000002</v>
      </c>
      <c r="AM92" s="307">
        <v>5.8194920000000003</v>
      </c>
      <c r="AN92" s="307">
        <v>4.9607710000000003</v>
      </c>
      <c r="AO92" s="307">
        <v>4.3817620000000002</v>
      </c>
      <c r="AP92" s="307">
        <v>6.690671</v>
      </c>
      <c r="AQ92" s="307">
        <v>8.1266569999999998</v>
      </c>
      <c r="AR92" s="307">
        <v>5.1372749999999998</v>
      </c>
      <c r="AS92" s="307">
        <v>0</v>
      </c>
      <c r="AT92" s="307">
        <v>5.6801550000000001</v>
      </c>
      <c r="AU92" s="307">
        <v>3.7416909999999999</v>
      </c>
      <c r="AV92" s="307">
        <v>5.9051330000000002</v>
      </c>
      <c r="AW92" s="307">
        <v>5.0679480000000003</v>
      </c>
      <c r="AX92" s="307">
        <v>6.0479940000000001</v>
      </c>
      <c r="AY92" s="307">
        <v>4.4909840000000001</v>
      </c>
      <c r="AZ92" s="307">
        <v>5.8150130000000004</v>
      </c>
      <c r="BA92" s="307">
        <v>4.9716129999999996</v>
      </c>
      <c r="BB92" s="307">
        <v>0</v>
      </c>
      <c r="BC92" s="307">
        <v>6.589823</v>
      </c>
      <c r="BD92" s="307">
        <v>6.3488049999999996</v>
      </c>
      <c r="BE92" s="307">
        <v>5.62392</v>
      </c>
      <c r="BF92" s="307">
        <v>5.8458680000000003</v>
      </c>
      <c r="BG92" s="307">
        <v>5.0001689999999996</v>
      </c>
      <c r="BH92" s="307">
        <v>5.0825779999999998</v>
      </c>
      <c r="BI92" s="307">
        <v>4.2499500000000001</v>
      </c>
      <c r="BJ92" s="307">
        <v>4.5265589999999998</v>
      </c>
      <c r="BK92" s="307">
        <v>4.5078529999999999</v>
      </c>
      <c r="BL92">
        <f t="shared" si="4"/>
        <v>8</v>
      </c>
      <c r="BM92">
        <f t="shared" si="5"/>
        <v>5.4656830188679253</v>
      </c>
      <c r="BN92">
        <f t="shared" si="6"/>
        <v>9.1419270000000008</v>
      </c>
      <c r="BO92">
        <f t="array" ref="BO92">MIN(IF($C92:$BK92&gt;0, $C92:$BK92))</f>
        <v>2.627996</v>
      </c>
      <c r="BP92">
        <f t="shared" si="7"/>
        <v>4.9931089999999996</v>
      </c>
    </row>
    <row r="93" spans="1:68" x14ac:dyDescent="0.25">
      <c r="A93" s="306" t="s">
        <v>710</v>
      </c>
      <c r="B93" s="307" t="s">
        <v>81</v>
      </c>
      <c r="C93" s="307">
        <v>6.9152769999999997</v>
      </c>
      <c r="D93" s="307">
        <v>8.1991560000000003</v>
      </c>
      <c r="E93" s="307">
        <v>7.7740780000000003</v>
      </c>
      <c r="F93" s="307">
        <v>7.5812689999999998</v>
      </c>
      <c r="G93" s="307">
        <v>7.8159650000000003</v>
      </c>
      <c r="H93" s="307">
        <v>6.5280849999999999</v>
      </c>
      <c r="I93" s="307">
        <v>6.7164190000000001</v>
      </c>
      <c r="J93" s="307">
        <v>7.1615330000000004</v>
      </c>
      <c r="K93" s="307">
        <v>0</v>
      </c>
      <c r="L93" s="307">
        <v>6.9950469999999996</v>
      </c>
      <c r="M93" s="307">
        <v>6.8847240000000003</v>
      </c>
      <c r="N93" s="307">
        <v>7.052117</v>
      </c>
      <c r="O93" s="307">
        <v>8.1415450000000007</v>
      </c>
      <c r="P93" s="307">
        <v>6.6879239999999998</v>
      </c>
      <c r="Q93" s="307">
        <v>6.0429149999999998</v>
      </c>
      <c r="R93" s="307">
        <v>5.7112259999999999</v>
      </c>
      <c r="S93" s="307">
        <v>6.4453860000000001</v>
      </c>
      <c r="T93" s="307">
        <v>7.1846930000000002</v>
      </c>
      <c r="U93" s="307">
        <v>6.7901860000000003</v>
      </c>
      <c r="V93" s="307">
        <v>6.9581670000000004</v>
      </c>
      <c r="W93" s="307">
        <v>6.6813690000000001</v>
      </c>
      <c r="X93" s="307">
        <v>5.0342039999999999</v>
      </c>
      <c r="Y93" s="307">
        <v>6.1643480000000004</v>
      </c>
      <c r="Z93" s="307">
        <v>6.2097889999999998</v>
      </c>
      <c r="AA93" s="307">
        <v>5.3782870000000003</v>
      </c>
      <c r="AB93" s="307">
        <v>7.7811490000000001</v>
      </c>
      <c r="AC93" s="307">
        <v>8.1057299999999994</v>
      </c>
      <c r="AD93" s="307">
        <v>8.1394070000000003</v>
      </c>
      <c r="AE93" s="307">
        <v>6.798273</v>
      </c>
      <c r="AF93" s="307">
        <v>6.5626230000000003</v>
      </c>
      <c r="AG93" s="307">
        <v>6.898034</v>
      </c>
      <c r="AH93" s="307">
        <v>6.943352</v>
      </c>
      <c r="AI93" s="307">
        <v>5.34762</v>
      </c>
      <c r="AJ93" s="307">
        <v>8.2625759999999993</v>
      </c>
      <c r="AK93" s="307">
        <v>6.7558220000000002</v>
      </c>
      <c r="AL93" s="307">
        <v>7.0779730000000001</v>
      </c>
      <c r="AM93" s="307">
        <v>6.5013940000000003</v>
      </c>
      <c r="AN93" s="307">
        <v>8.3671720000000001</v>
      </c>
      <c r="AO93" s="307">
        <v>5.8568030000000002</v>
      </c>
      <c r="AP93" s="307">
        <v>6.8897459999999997</v>
      </c>
      <c r="AQ93" s="307">
        <v>5.9332510000000003</v>
      </c>
      <c r="AR93" s="307">
        <v>6.2534299999999998</v>
      </c>
      <c r="AS93" s="307">
        <v>6.4934729999999998</v>
      </c>
      <c r="AT93" s="307">
        <v>7.0208640000000004</v>
      </c>
      <c r="AU93" s="307">
        <v>7.1587490000000003</v>
      </c>
      <c r="AV93" s="307">
        <v>7.717562</v>
      </c>
      <c r="AW93" s="307">
        <v>6.4717659999999997</v>
      </c>
      <c r="AX93" s="307">
        <v>7.8125159999999996</v>
      </c>
      <c r="AY93" s="307">
        <v>6.3721030000000001</v>
      </c>
      <c r="AZ93" s="307">
        <v>6.7220459999999997</v>
      </c>
      <c r="BA93" s="307">
        <v>6.0407710000000003</v>
      </c>
      <c r="BB93" s="307">
        <v>7.7890819999999996</v>
      </c>
      <c r="BC93" s="307">
        <v>6.8406180000000001</v>
      </c>
      <c r="BD93" s="307">
        <v>6.9914800000000001</v>
      </c>
      <c r="BE93" s="307">
        <v>6.4989679999999996</v>
      </c>
      <c r="BF93" s="307">
        <v>6.6378269999999997</v>
      </c>
      <c r="BG93" s="307">
        <v>6.7604540000000002</v>
      </c>
      <c r="BH93" s="307">
        <v>7.4562330000000001</v>
      </c>
      <c r="BI93" s="307">
        <v>7.3755860000000002</v>
      </c>
      <c r="BJ93" s="307">
        <v>7.1651949999999998</v>
      </c>
      <c r="BK93" s="307">
        <v>6.5317460000000001</v>
      </c>
      <c r="BL93">
        <f t="shared" si="4"/>
        <v>1</v>
      </c>
      <c r="BM93">
        <f t="shared" si="5"/>
        <v>6.8897517166666651</v>
      </c>
      <c r="BN93">
        <f t="shared" si="6"/>
        <v>8.3671720000000001</v>
      </c>
      <c r="BO93">
        <f t="array" ref="BO93">MIN(IF($C93:$BK93&gt;0, $C93:$BK93))</f>
        <v>5.0342039999999999</v>
      </c>
      <c r="BP93">
        <f t="shared" si="7"/>
        <v>6.8406180000000001</v>
      </c>
    </row>
    <row r="94" spans="1:68" x14ac:dyDescent="0.25">
      <c r="A94" s="306">
        <v>321910</v>
      </c>
      <c r="B94" s="307" t="s">
        <v>711</v>
      </c>
      <c r="C94" s="307">
        <v>6.0489009999999999</v>
      </c>
      <c r="D94" s="307">
        <v>7.2000909999999996</v>
      </c>
      <c r="E94" s="307">
        <v>6.5593009999999996</v>
      </c>
      <c r="F94" s="307">
        <v>7.1339180000000004</v>
      </c>
      <c r="G94" s="307">
        <v>6.0864419999999999</v>
      </c>
      <c r="H94" s="307">
        <v>5.7274919999999998</v>
      </c>
      <c r="I94" s="307">
        <v>5.7043530000000002</v>
      </c>
      <c r="J94" s="307">
        <v>4.7230150000000002</v>
      </c>
      <c r="K94" s="307">
        <v>0</v>
      </c>
      <c r="L94" s="307">
        <v>5.2266550000000001</v>
      </c>
      <c r="M94" s="307">
        <v>5.657845</v>
      </c>
      <c r="N94" s="307">
        <v>5.7012520000000002</v>
      </c>
      <c r="O94" s="307">
        <v>7.1499689999999996</v>
      </c>
      <c r="P94" s="307">
        <v>4.8424300000000002</v>
      </c>
      <c r="Q94" s="307">
        <v>5.2461830000000003</v>
      </c>
      <c r="R94" s="307">
        <v>5.2570870000000003</v>
      </c>
      <c r="S94" s="307">
        <v>6.0106859999999998</v>
      </c>
      <c r="T94" s="307">
        <v>6.3135370000000002</v>
      </c>
      <c r="U94" s="307">
        <v>7.1251100000000003</v>
      </c>
      <c r="V94" s="307">
        <v>6.2627829999999998</v>
      </c>
      <c r="W94" s="307">
        <v>4.7788680000000001</v>
      </c>
      <c r="X94" s="307">
        <v>4.2086230000000002</v>
      </c>
      <c r="Y94" s="307">
        <v>6.4895250000000004</v>
      </c>
      <c r="Z94" s="307">
        <v>5.7570779999999999</v>
      </c>
      <c r="AA94" s="307">
        <v>4.3481300000000003</v>
      </c>
      <c r="AB94" s="307">
        <v>6.9618390000000003</v>
      </c>
      <c r="AC94" s="307">
        <v>7.1184960000000004</v>
      </c>
      <c r="AD94" s="307">
        <v>5.8097849999999998</v>
      </c>
      <c r="AE94" s="307">
        <v>5.826708</v>
      </c>
      <c r="AF94" s="307">
        <v>5.2883959999999997</v>
      </c>
      <c r="AG94" s="307">
        <v>7.0550369999999996</v>
      </c>
      <c r="AH94" s="307">
        <v>4.4430800000000001</v>
      </c>
      <c r="AI94" s="307">
        <v>4.2886629999999997</v>
      </c>
      <c r="AJ94" s="307">
        <v>7.256208</v>
      </c>
      <c r="AK94" s="307">
        <v>4.8310659999999999</v>
      </c>
      <c r="AL94" s="307">
        <v>4.9577489999999997</v>
      </c>
      <c r="AM94" s="307">
        <v>6.4061760000000003</v>
      </c>
      <c r="AN94" s="307">
        <v>6.92293</v>
      </c>
      <c r="AO94" s="307">
        <v>5.7673019999999999</v>
      </c>
      <c r="AP94" s="307">
        <v>6.3545579999999999</v>
      </c>
      <c r="AQ94" s="307">
        <v>4.8546399999999998</v>
      </c>
      <c r="AR94" s="307">
        <v>6.4006850000000002</v>
      </c>
      <c r="AS94" s="307">
        <v>5.9560060000000004</v>
      </c>
      <c r="AT94" s="307">
        <v>6.0359540000000003</v>
      </c>
      <c r="AU94" s="307">
        <v>6.3693749999999998</v>
      </c>
      <c r="AV94" s="307">
        <v>7.276116</v>
      </c>
      <c r="AW94" s="307">
        <v>5.9982480000000002</v>
      </c>
      <c r="AX94" s="307">
        <v>6.8608750000000001</v>
      </c>
      <c r="AY94" s="307">
        <v>5.629505</v>
      </c>
      <c r="AZ94" s="307">
        <v>6.5408179999999998</v>
      </c>
      <c r="BA94" s="307">
        <v>6.966818</v>
      </c>
      <c r="BB94" s="307">
        <v>7.2312810000000001</v>
      </c>
      <c r="BC94" s="307">
        <v>5.4498290000000003</v>
      </c>
      <c r="BD94" s="307">
        <v>5.742159</v>
      </c>
      <c r="BE94" s="307">
        <v>6.3244249999999997</v>
      </c>
      <c r="BF94" s="307">
        <v>5.1332139999999997</v>
      </c>
      <c r="BG94" s="307">
        <v>6.0486719999999998</v>
      </c>
      <c r="BH94" s="307">
        <v>6.7966860000000002</v>
      </c>
      <c r="BI94" s="307">
        <v>6.6596780000000004</v>
      </c>
      <c r="BJ94" s="307">
        <v>5.9790369999999999</v>
      </c>
      <c r="BK94" s="307">
        <v>5.7751299999999999</v>
      </c>
      <c r="BL94">
        <f t="shared" si="4"/>
        <v>1</v>
      </c>
      <c r="BM94">
        <f t="shared" si="5"/>
        <v>5.9812736333333349</v>
      </c>
      <c r="BN94">
        <f t="shared" si="6"/>
        <v>7.276116</v>
      </c>
      <c r="BO94">
        <f t="array" ref="BO94">MIN(IF($C94:$BK94&gt;0, $C94:$BK94))</f>
        <v>4.2086230000000002</v>
      </c>
      <c r="BP94">
        <f t="shared" si="7"/>
        <v>5.9982480000000002</v>
      </c>
    </row>
    <row r="95" spans="1:68" x14ac:dyDescent="0.25">
      <c r="A95" s="306">
        <v>321920</v>
      </c>
      <c r="B95" s="307" t="s">
        <v>83</v>
      </c>
      <c r="C95" s="307">
        <v>8.6513770000000001</v>
      </c>
      <c r="D95" s="307">
        <v>10.24356</v>
      </c>
      <c r="E95" s="307">
        <v>10.24431</v>
      </c>
      <c r="F95" s="307">
        <v>9.773612</v>
      </c>
      <c r="G95" s="307">
        <v>9.3311580000000003</v>
      </c>
      <c r="H95" s="307">
        <v>7.5518879999999999</v>
      </c>
      <c r="I95" s="307">
        <v>8.5920649999999998</v>
      </c>
      <c r="J95" s="307">
        <v>7.6037439999999998</v>
      </c>
      <c r="K95" s="307">
        <v>0</v>
      </c>
      <c r="L95" s="307">
        <v>7.353046</v>
      </c>
      <c r="M95" s="307">
        <v>8.2817640000000008</v>
      </c>
      <c r="N95" s="307">
        <v>8.8239350000000005</v>
      </c>
      <c r="O95" s="307">
        <v>0</v>
      </c>
      <c r="P95" s="307">
        <v>8.9394840000000002</v>
      </c>
      <c r="Q95" s="307">
        <v>7.0745820000000004</v>
      </c>
      <c r="R95" s="307">
        <v>8.1596639999999994</v>
      </c>
      <c r="S95" s="307">
        <v>8.4933119999999995</v>
      </c>
      <c r="T95" s="307">
        <v>8.7079740000000001</v>
      </c>
      <c r="U95" s="307">
        <v>6.9103890000000003</v>
      </c>
      <c r="V95" s="307">
        <v>8.8514730000000004</v>
      </c>
      <c r="W95" s="307">
        <v>6.7083519999999996</v>
      </c>
      <c r="X95" s="307">
        <v>6.5637230000000004</v>
      </c>
      <c r="Y95" s="307">
        <v>7.9525560000000004</v>
      </c>
      <c r="Z95" s="307">
        <v>7.6841119999999998</v>
      </c>
      <c r="AA95" s="307">
        <v>6.9356429999999998</v>
      </c>
      <c r="AB95" s="307">
        <v>8.5163449999999994</v>
      </c>
      <c r="AC95" s="307">
        <v>7.7033420000000001</v>
      </c>
      <c r="AD95" s="307">
        <v>10.48329</v>
      </c>
      <c r="AE95" s="307">
        <v>8.4805790000000005</v>
      </c>
      <c r="AF95" s="307">
        <v>7.9918490000000002</v>
      </c>
      <c r="AG95" s="307">
        <v>9.1388700000000007</v>
      </c>
      <c r="AH95" s="307">
        <v>7.4792120000000004</v>
      </c>
      <c r="AI95" s="307">
        <v>6.976051</v>
      </c>
      <c r="AJ95" s="307">
        <v>10.32269</v>
      </c>
      <c r="AK95" s="307">
        <v>9.9575340000000008</v>
      </c>
      <c r="AL95" s="307">
        <v>8.3198469999999993</v>
      </c>
      <c r="AM95" s="307">
        <v>8.2864880000000003</v>
      </c>
      <c r="AN95" s="307">
        <v>9.7919579999999993</v>
      </c>
      <c r="AO95" s="307">
        <v>8.1853739999999995</v>
      </c>
      <c r="AP95" s="307">
        <v>8.8475719999999995</v>
      </c>
      <c r="AQ95" s="307">
        <v>8.0443700000000007</v>
      </c>
      <c r="AR95" s="307">
        <v>10.048400000000001</v>
      </c>
      <c r="AS95" s="307">
        <v>7.4702010000000003</v>
      </c>
      <c r="AT95" s="307">
        <v>9.0237870000000004</v>
      </c>
      <c r="AU95" s="307">
        <v>8.9207059999999991</v>
      </c>
      <c r="AV95" s="307">
        <v>9.8143550000000008</v>
      </c>
      <c r="AW95" s="307">
        <v>7.2493100000000004</v>
      </c>
      <c r="AX95" s="307">
        <v>9.7605609999999992</v>
      </c>
      <c r="AY95" s="307">
        <v>8.3527570000000004</v>
      </c>
      <c r="AZ95" s="307">
        <v>9.4574540000000002</v>
      </c>
      <c r="BA95" s="307">
        <v>10.022320000000001</v>
      </c>
      <c r="BB95" s="307">
        <v>10.28736</v>
      </c>
      <c r="BC95" s="307">
        <v>7.7873749999999999</v>
      </c>
      <c r="BD95" s="307">
        <v>8.8104600000000008</v>
      </c>
      <c r="BE95" s="307">
        <v>8.6006330000000002</v>
      </c>
      <c r="BF95" s="307">
        <v>8.3474559999999993</v>
      </c>
      <c r="BG95" s="307">
        <v>8.6948500000000006</v>
      </c>
      <c r="BH95" s="307">
        <v>8.3295250000000003</v>
      </c>
      <c r="BI95" s="307">
        <v>9.2059529999999992</v>
      </c>
      <c r="BJ95" s="307">
        <v>9.0823789999999995</v>
      </c>
      <c r="BK95" s="307">
        <v>7.7694720000000004</v>
      </c>
      <c r="BL95">
        <f t="shared" si="4"/>
        <v>2</v>
      </c>
      <c r="BM95">
        <f t="shared" si="5"/>
        <v>8.5591933559322051</v>
      </c>
      <c r="BN95">
        <f t="shared" si="6"/>
        <v>10.48329</v>
      </c>
      <c r="BO95">
        <f t="array" ref="BO95">MIN(IF($C95:$BK95&gt;0, $C95:$BK95))</f>
        <v>6.5637230000000004</v>
      </c>
      <c r="BP95">
        <f t="shared" si="7"/>
        <v>8.4933119999999995</v>
      </c>
    </row>
    <row r="96" spans="1:68" x14ac:dyDescent="0.25">
      <c r="A96" s="306">
        <v>321991</v>
      </c>
      <c r="B96" s="307" t="s">
        <v>84</v>
      </c>
      <c r="C96" s="307">
        <v>6.5595239999999997</v>
      </c>
      <c r="D96" s="307">
        <v>0</v>
      </c>
      <c r="E96" s="307">
        <v>7.691954</v>
      </c>
      <c r="F96" s="307">
        <v>5.610284</v>
      </c>
      <c r="G96" s="307">
        <v>6.7559589999999998</v>
      </c>
      <c r="H96" s="307">
        <v>5.4366640000000004</v>
      </c>
      <c r="I96" s="307">
        <v>7.1754049999999996</v>
      </c>
      <c r="J96" s="307">
        <v>0</v>
      </c>
      <c r="K96" s="307">
        <v>0</v>
      </c>
      <c r="L96" s="307">
        <v>0</v>
      </c>
      <c r="M96" s="307">
        <v>6.7170259999999997</v>
      </c>
      <c r="N96" s="307">
        <v>7.5937270000000003</v>
      </c>
      <c r="O96" s="307">
        <v>0</v>
      </c>
      <c r="P96" s="307">
        <v>8.9231420000000004</v>
      </c>
      <c r="Q96" s="307">
        <v>5.3018640000000001</v>
      </c>
      <c r="R96" s="307">
        <v>7.7815089999999998</v>
      </c>
      <c r="S96" s="307">
        <v>5.1510090000000002</v>
      </c>
      <c r="T96" s="307">
        <v>7.1572620000000002</v>
      </c>
      <c r="U96" s="307">
        <v>7.1488250000000004</v>
      </c>
      <c r="V96" s="307">
        <v>5.8619810000000001</v>
      </c>
      <c r="W96" s="307">
        <v>0</v>
      </c>
      <c r="X96" s="307">
        <v>4.2509009999999998</v>
      </c>
      <c r="Y96" s="307">
        <v>6.6177820000000001</v>
      </c>
      <c r="Z96" s="307">
        <v>4.8252860000000002</v>
      </c>
      <c r="AA96" s="307">
        <v>5.7107020000000004</v>
      </c>
      <c r="AB96" s="307">
        <v>8.2226440000000007</v>
      </c>
      <c r="AC96" s="307">
        <v>7.4637029999999998</v>
      </c>
      <c r="AD96" s="307">
        <v>9.2263359999999999</v>
      </c>
      <c r="AE96" s="307">
        <v>6.546672</v>
      </c>
      <c r="AF96" s="307">
        <v>7.4124999999999996</v>
      </c>
      <c r="AG96" s="307">
        <v>7.4687640000000002</v>
      </c>
      <c r="AH96" s="307">
        <v>0</v>
      </c>
      <c r="AI96" s="307">
        <v>7.7444220000000001</v>
      </c>
      <c r="AJ96" s="307">
        <v>9.0847020000000001</v>
      </c>
      <c r="AK96" s="307">
        <v>0</v>
      </c>
      <c r="AL96" s="307">
        <v>5.4871420000000004</v>
      </c>
      <c r="AM96" s="307">
        <v>6.3407289999999996</v>
      </c>
      <c r="AN96" s="307">
        <v>9.1998920000000002</v>
      </c>
      <c r="AO96" s="307">
        <v>6.1714599999999997</v>
      </c>
      <c r="AP96" s="307">
        <v>6.6564889999999997</v>
      </c>
      <c r="AQ96" s="307">
        <v>0</v>
      </c>
      <c r="AR96" s="307">
        <v>5.1510319999999998</v>
      </c>
      <c r="AS96" s="307">
        <v>8.3428489999999993</v>
      </c>
      <c r="AT96" s="307">
        <v>4.9247529999999999</v>
      </c>
      <c r="AU96" s="307">
        <v>6.5685180000000001</v>
      </c>
      <c r="AV96" s="307">
        <v>7.1481779999999997</v>
      </c>
      <c r="AW96" s="307">
        <v>7.2937900000000004</v>
      </c>
      <c r="AX96" s="307">
        <v>8.5902860000000008</v>
      </c>
      <c r="AY96" s="307">
        <v>7.7227899999999998</v>
      </c>
      <c r="AZ96" s="307">
        <v>5.9970189999999999</v>
      </c>
      <c r="BA96" s="307">
        <v>4.7399139999999997</v>
      </c>
      <c r="BB96" s="307">
        <v>6.3836240000000002</v>
      </c>
      <c r="BC96" s="307">
        <v>8.6976870000000002</v>
      </c>
      <c r="BD96" s="307">
        <v>6.6374750000000002</v>
      </c>
      <c r="BE96" s="307">
        <v>5.595917</v>
      </c>
      <c r="BF96" s="307">
        <v>6.876652</v>
      </c>
      <c r="BG96" s="307">
        <v>7.0669560000000002</v>
      </c>
      <c r="BH96" s="307">
        <v>6.4627929999999996</v>
      </c>
      <c r="BI96" s="307">
        <v>6.7824679999999997</v>
      </c>
      <c r="BJ96" s="307">
        <v>6.5946069999999999</v>
      </c>
      <c r="BK96" s="307">
        <v>5.839512</v>
      </c>
      <c r="BL96">
        <f t="shared" si="4"/>
        <v>9</v>
      </c>
      <c r="BM96">
        <f t="shared" si="5"/>
        <v>6.7829438653846132</v>
      </c>
      <c r="BN96">
        <f t="shared" si="6"/>
        <v>9.2263359999999999</v>
      </c>
      <c r="BO96">
        <f t="array" ref="BO96">MIN(IF($C96:$BK96&gt;0, $C96:$BK96))</f>
        <v>4.2509009999999998</v>
      </c>
      <c r="BP96">
        <f t="shared" si="7"/>
        <v>6.5685180000000001</v>
      </c>
    </row>
    <row r="97" spans="1:68" x14ac:dyDescent="0.25">
      <c r="A97" s="306">
        <v>321992</v>
      </c>
      <c r="B97" s="307" t="s">
        <v>85</v>
      </c>
      <c r="C97" s="307">
        <v>6.5469549999999996</v>
      </c>
      <c r="D97" s="307">
        <v>6.7564200000000003</v>
      </c>
      <c r="E97" s="307">
        <v>8.2773350000000008</v>
      </c>
      <c r="F97" s="307">
        <v>6.8301449999999999</v>
      </c>
      <c r="G97" s="307">
        <v>6.2193860000000001</v>
      </c>
      <c r="H97" s="307">
        <v>5.8720679999999996</v>
      </c>
      <c r="I97" s="307">
        <v>7.127777</v>
      </c>
      <c r="J97" s="307">
        <v>5.652285</v>
      </c>
      <c r="K97" s="307">
        <v>0</v>
      </c>
      <c r="L97" s="307">
        <v>5.5465549999999997</v>
      </c>
      <c r="M97" s="307">
        <v>4.9235499999999996</v>
      </c>
      <c r="N97" s="307">
        <v>7.8787859999999998</v>
      </c>
      <c r="O97" s="307">
        <v>9.3185090000000006</v>
      </c>
      <c r="P97" s="307">
        <v>6.5947589999999998</v>
      </c>
      <c r="Q97" s="307">
        <v>4.9338980000000001</v>
      </c>
      <c r="R97" s="307">
        <v>4.9656370000000001</v>
      </c>
      <c r="S97" s="307">
        <v>5.8724249999999998</v>
      </c>
      <c r="T97" s="307">
        <v>7.2720549999999999</v>
      </c>
      <c r="U97" s="307">
        <v>6.1339119999999996</v>
      </c>
      <c r="V97" s="307">
        <v>4.9217219999999999</v>
      </c>
      <c r="W97" s="307">
        <v>5.442475</v>
      </c>
      <c r="X97" s="307">
        <v>3.5896180000000002</v>
      </c>
      <c r="Y97" s="307">
        <v>6.8760969999999997</v>
      </c>
      <c r="Z97" s="307">
        <v>5.0917219999999999</v>
      </c>
      <c r="AA97" s="307">
        <v>4.8018200000000002</v>
      </c>
      <c r="AB97" s="307">
        <v>6.5563099999999999</v>
      </c>
      <c r="AC97" s="307">
        <v>6.6697240000000004</v>
      </c>
      <c r="AD97" s="307">
        <v>6.4279140000000003</v>
      </c>
      <c r="AE97" s="307">
        <v>6.2247779999999997</v>
      </c>
      <c r="AF97" s="307">
        <v>5.759487</v>
      </c>
      <c r="AG97" s="307">
        <v>6.8891179999999999</v>
      </c>
      <c r="AH97" s="307">
        <v>5.5973839999999999</v>
      </c>
      <c r="AI97" s="307">
        <v>5.6708999999999996</v>
      </c>
      <c r="AJ97" s="307">
        <v>8.4567219999999992</v>
      </c>
      <c r="AK97" s="307">
        <v>5.2919890000000001</v>
      </c>
      <c r="AL97" s="307">
        <v>6.1783390000000002</v>
      </c>
      <c r="AM97" s="307">
        <v>5.9419219999999999</v>
      </c>
      <c r="AN97" s="307">
        <v>9.5768939999999994</v>
      </c>
      <c r="AO97" s="307">
        <v>6.4809169999999998</v>
      </c>
      <c r="AP97" s="307">
        <v>7.0514289999999997</v>
      </c>
      <c r="AQ97" s="307">
        <v>7.9151189999999998</v>
      </c>
      <c r="AR97" s="307">
        <v>5.3874899999999997</v>
      </c>
      <c r="AS97" s="307">
        <v>7.3142449999999997</v>
      </c>
      <c r="AT97" s="307">
        <v>6.2765069999999996</v>
      </c>
      <c r="AU97" s="307">
        <v>5.6795559999999998</v>
      </c>
      <c r="AV97" s="307">
        <v>7.4372069999999999</v>
      </c>
      <c r="AW97" s="307">
        <v>6.7358700000000002</v>
      </c>
      <c r="AX97" s="307">
        <v>5.451708</v>
      </c>
      <c r="AY97" s="307">
        <v>6.1582049999999997</v>
      </c>
      <c r="AZ97" s="307">
        <v>6.2946840000000002</v>
      </c>
      <c r="BA97" s="307">
        <v>8.1705269999999999</v>
      </c>
      <c r="BB97" s="307">
        <v>9.4238970000000002</v>
      </c>
      <c r="BC97" s="307">
        <v>6.3013130000000004</v>
      </c>
      <c r="BD97" s="307">
        <v>7.0536490000000001</v>
      </c>
      <c r="BE97" s="307">
        <v>5.8708349999999996</v>
      </c>
      <c r="BF97" s="307">
        <v>6.3224850000000004</v>
      </c>
      <c r="BG97" s="307">
        <v>6.7916600000000003</v>
      </c>
      <c r="BH97" s="307">
        <v>6.8631200000000003</v>
      </c>
      <c r="BI97" s="307">
        <v>6.0112670000000001</v>
      </c>
      <c r="BJ97" s="307">
        <v>6.2845829999999996</v>
      </c>
      <c r="BK97" s="307">
        <v>6.1029099999999996</v>
      </c>
      <c r="BL97">
        <f t="shared" si="4"/>
        <v>1</v>
      </c>
      <c r="BM97">
        <f t="shared" si="5"/>
        <v>6.434442916666665</v>
      </c>
      <c r="BN97">
        <f t="shared" si="6"/>
        <v>9.5768939999999994</v>
      </c>
      <c r="BO97">
        <f t="array" ref="BO97">MIN(IF($C97:$BK97&gt;0, $C97:$BK97))</f>
        <v>3.5896180000000002</v>
      </c>
      <c r="BP97">
        <f t="shared" si="7"/>
        <v>6.2845829999999996</v>
      </c>
    </row>
    <row r="98" spans="1:68" x14ac:dyDescent="0.25">
      <c r="A98" s="306">
        <v>321999</v>
      </c>
      <c r="B98" s="307" t="s">
        <v>86</v>
      </c>
      <c r="C98" s="307">
        <v>7.923044</v>
      </c>
      <c r="D98" s="307">
        <v>10.137269999999999</v>
      </c>
      <c r="E98" s="307">
        <v>6.4399940000000004</v>
      </c>
      <c r="F98" s="307">
        <v>10.04299</v>
      </c>
      <c r="G98" s="307">
        <v>9.0325729999999993</v>
      </c>
      <c r="H98" s="307">
        <v>6.3983569999999999</v>
      </c>
      <c r="I98" s="307">
        <v>9.9606150000000007</v>
      </c>
      <c r="J98" s="307">
        <v>6.1252639999999996</v>
      </c>
      <c r="K98" s="307">
        <v>0</v>
      </c>
      <c r="L98" s="307">
        <v>0</v>
      </c>
      <c r="M98" s="307">
        <v>6.5144909999999996</v>
      </c>
      <c r="N98" s="307">
        <v>6.236294</v>
      </c>
      <c r="O98" s="307">
        <v>7.4597160000000002</v>
      </c>
      <c r="P98" s="307">
        <v>9.8142790000000009</v>
      </c>
      <c r="Q98" s="307">
        <v>6.7174839999999998</v>
      </c>
      <c r="R98" s="307">
        <v>6.8134100000000002</v>
      </c>
      <c r="S98" s="307">
        <v>7.7715870000000002</v>
      </c>
      <c r="T98" s="307">
        <v>7.458107</v>
      </c>
      <c r="U98" s="307">
        <v>9.3043309999999995</v>
      </c>
      <c r="V98" s="307">
        <v>8.3479200000000002</v>
      </c>
      <c r="W98" s="307">
        <v>6.1531900000000004</v>
      </c>
      <c r="X98" s="307">
        <v>6.9614469999999997</v>
      </c>
      <c r="Y98" s="307">
        <v>8.5979910000000004</v>
      </c>
      <c r="Z98" s="307">
        <v>7.8857819999999998</v>
      </c>
      <c r="AA98" s="307">
        <v>6.6054040000000001</v>
      </c>
      <c r="AB98" s="307">
        <v>9.62439</v>
      </c>
      <c r="AC98" s="307">
        <v>7.8484299999999996</v>
      </c>
      <c r="AD98" s="307">
        <v>9.5409179999999996</v>
      </c>
      <c r="AE98" s="307">
        <v>6.3754479999999996</v>
      </c>
      <c r="AF98" s="307">
        <v>8.0076289999999997</v>
      </c>
      <c r="AG98" s="307">
        <v>10.03936</v>
      </c>
      <c r="AH98" s="307">
        <v>7.186833</v>
      </c>
      <c r="AI98" s="307">
        <v>5.3439350000000001</v>
      </c>
      <c r="AJ98" s="307">
        <v>10.21532</v>
      </c>
      <c r="AK98" s="307">
        <v>9.8535850000000007</v>
      </c>
      <c r="AL98" s="307">
        <v>7.4348919999999996</v>
      </c>
      <c r="AM98" s="307">
        <v>8.4603979999999996</v>
      </c>
      <c r="AN98" s="307">
        <v>8.0413770000000007</v>
      </c>
      <c r="AO98" s="307">
        <v>7.8648730000000002</v>
      </c>
      <c r="AP98" s="307">
        <v>8.0627659999999999</v>
      </c>
      <c r="AQ98" s="307">
        <v>7.6292819999999999</v>
      </c>
      <c r="AR98" s="307">
        <v>8.9598739999999992</v>
      </c>
      <c r="AS98" s="307">
        <v>10.39817</v>
      </c>
      <c r="AT98" s="307">
        <v>9.2246459999999999</v>
      </c>
      <c r="AU98" s="307">
        <v>7.2404380000000002</v>
      </c>
      <c r="AV98" s="307">
        <v>9.2917290000000001</v>
      </c>
      <c r="AW98" s="307">
        <v>8.4516150000000003</v>
      </c>
      <c r="AX98" s="307">
        <v>7.8609280000000004</v>
      </c>
      <c r="AY98" s="307">
        <v>9.1004299999999994</v>
      </c>
      <c r="AZ98" s="307">
        <v>7.4676729999999996</v>
      </c>
      <c r="BA98" s="307">
        <v>8.5457110000000007</v>
      </c>
      <c r="BB98" s="307">
        <v>8.7809650000000001</v>
      </c>
      <c r="BC98" s="307">
        <v>8.0127020000000009</v>
      </c>
      <c r="BD98" s="307">
        <v>7.8808949999999998</v>
      </c>
      <c r="BE98" s="307">
        <v>7.8631710000000004</v>
      </c>
      <c r="BF98" s="307">
        <v>8.2805630000000008</v>
      </c>
      <c r="BG98" s="307">
        <v>7.1513099999999996</v>
      </c>
      <c r="BH98" s="307">
        <v>8.1740980000000008</v>
      </c>
      <c r="BI98" s="307">
        <v>7.7837379999999996</v>
      </c>
      <c r="BJ98" s="307">
        <v>8.7104280000000003</v>
      </c>
      <c r="BK98" s="307">
        <v>7.1830489999999996</v>
      </c>
      <c r="BL98">
        <f t="shared" si="4"/>
        <v>2</v>
      </c>
      <c r="BM98">
        <f t="shared" si="5"/>
        <v>8.0778493050847437</v>
      </c>
      <c r="BN98">
        <f t="shared" si="6"/>
        <v>10.39817</v>
      </c>
      <c r="BO98">
        <f t="array" ref="BO98">MIN(IF($C98:$BK98&gt;0, $C98:$BK98))</f>
        <v>5.3439350000000001</v>
      </c>
      <c r="BP98">
        <f t="shared" si="7"/>
        <v>7.8857819999999998</v>
      </c>
    </row>
    <row r="99" spans="1:68" x14ac:dyDescent="0.25">
      <c r="A99" s="306">
        <v>322110</v>
      </c>
      <c r="B99" s="307" t="s">
        <v>87</v>
      </c>
      <c r="C99" s="307">
        <v>2.1355659999999999</v>
      </c>
      <c r="D99" s="307">
        <v>0</v>
      </c>
      <c r="E99" s="307">
        <v>1.776886</v>
      </c>
      <c r="F99" s="307">
        <v>0</v>
      </c>
      <c r="G99" s="307">
        <v>4.270454</v>
      </c>
      <c r="H99" s="307">
        <v>2.4411079999999998</v>
      </c>
      <c r="I99" s="307">
        <v>0</v>
      </c>
      <c r="J99" s="307">
        <v>0</v>
      </c>
      <c r="K99" s="307">
        <v>0</v>
      </c>
      <c r="L99" s="307">
        <v>0</v>
      </c>
      <c r="M99" s="307">
        <v>1.9536199999999999</v>
      </c>
      <c r="N99" s="307">
        <v>1.89849</v>
      </c>
      <c r="O99" s="307">
        <v>0</v>
      </c>
      <c r="P99" s="307">
        <v>4.0011669999999997</v>
      </c>
      <c r="Q99" s="307">
        <v>0</v>
      </c>
      <c r="R99" s="307">
        <v>0</v>
      </c>
      <c r="S99" s="307">
        <v>0</v>
      </c>
      <c r="T99" s="307">
        <v>0</v>
      </c>
      <c r="U99" s="307">
        <v>0</v>
      </c>
      <c r="V99" s="307">
        <v>0</v>
      </c>
      <c r="W99" s="307">
        <v>0</v>
      </c>
      <c r="X99" s="307">
        <v>3.5534349999999999</v>
      </c>
      <c r="Y99" s="307">
        <v>3.3818619999999999</v>
      </c>
      <c r="Z99" s="307">
        <v>2.9030960000000001</v>
      </c>
      <c r="AA99" s="307">
        <v>0</v>
      </c>
      <c r="AB99" s="307">
        <v>0</v>
      </c>
      <c r="AC99" s="307">
        <v>3.1219009999999998</v>
      </c>
      <c r="AD99" s="307">
        <v>0</v>
      </c>
      <c r="AE99" s="307">
        <v>2.1855349999999998</v>
      </c>
      <c r="AF99" s="307">
        <v>0</v>
      </c>
      <c r="AG99" s="307">
        <v>0</v>
      </c>
      <c r="AH99" s="307">
        <v>0</v>
      </c>
      <c r="AI99" s="307">
        <v>0</v>
      </c>
      <c r="AJ99" s="307">
        <v>0</v>
      </c>
      <c r="AK99" s="307">
        <v>0</v>
      </c>
      <c r="AL99" s="307">
        <v>3.713422</v>
      </c>
      <c r="AM99" s="307">
        <v>3.701184</v>
      </c>
      <c r="AN99" s="307">
        <v>4.2538660000000004</v>
      </c>
      <c r="AO99" s="307">
        <v>2.2186509999999999</v>
      </c>
      <c r="AP99" s="307">
        <v>0</v>
      </c>
      <c r="AQ99" s="307">
        <v>0</v>
      </c>
      <c r="AR99" s="307">
        <v>1.757568</v>
      </c>
      <c r="AS99" s="307">
        <v>0</v>
      </c>
      <c r="AT99" s="307">
        <v>1.8062149999999999</v>
      </c>
      <c r="AU99" s="307">
        <v>3.1117300000000001</v>
      </c>
      <c r="AV99" s="307">
        <v>0</v>
      </c>
      <c r="AW99" s="307">
        <v>0</v>
      </c>
      <c r="AX99" s="307">
        <v>0</v>
      </c>
      <c r="AY99" s="307">
        <v>2.5407820000000001</v>
      </c>
      <c r="AZ99" s="307">
        <v>3.096479</v>
      </c>
      <c r="BA99" s="307">
        <v>2.8725900000000002</v>
      </c>
      <c r="BB99" s="307">
        <v>0</v>
      </c>
      <c r="BC99" s="307">
        <v>3.3460589999999999</v>
      </c>
      <c r="BD99" s="307">
        <v>3.8906990000000001</v>
      </c>
      <c r="BE99" s="307">
        <v>3.1356540000000002</v>
      </c>
      <c r="BF99" s="307">
        <v>4.1287779999999996</v>
      </c>
      <c r="BG99" s="307">
        <v>1.987584</v>
      </c>
      <c r="BH99" s="307">
        <v>1.9065799999999999</v>
      </c>
      <c r="BI99" s="307">
        <v>3.8745219999999998</v>
      </c>
      <c r="BJ99" s="307">
        <v>4.1019819999999996</v>
      </c>
      <c r="BK99" s="307">
        <v>2.4796960000000001</v>
      </c>
      <c r="BL99">
        <f t="shared" si="4"/>
        <v>30</v>
      </c>
      <c r="BM99">
        <f t="shared" si="5"/>
        <v>2.9531342258064517</v>
      </c>
      <c r="BN99">
        <f t="shared" si="6"/>
        <v>4.270454</v>
      </c>
      <c r="BO99">
        <f t="array" ref="BO99">MIN(IF($C99:$BK99&gt;0, $C99:$BK99))</f>
        <v>1.757568</v>
      </c>
      <c r="BP99">
        <f t="shared" si="7"/>
        <v>1.757568</v>
      </c>
    </row>
    <row r="100" spans="1:68" x14ac:dyDescent="0.25">
      <c r="A100" s="306">
        <v>322120</v>
      </c>
      <c r="B100" s="307" t="s">
        <v>88</v>
      </c>
      <c r="C100" s="307">
        <v>2.1126719999999999</v>
      </c>
      <c r="D100" s="307">
        <v>0</v>
      </c>
      <c r="E100" s="307">
        <v>1.8679060000000001</v>
      </c>
      <c r="F100" s="307">
        <v>1.969436</v>
      </c>
      <c r="G100" s="307">
        <v>2.00813</v>
      </c>
      <c r="H100" s="307">
        <v>2.2802500000000001</v>
      </c>
      <c r="I100" s="307">
        <v>3.0497399999999999</v>
      </c>
      <c r="J100" s="307">
        <v>1.827536</v>
      </c>
      <c r="K100" s="307">
        <v>0</v>
      </c>
      <c r="L100" s="307">
        <v>0</v>
      </c>
      <c r="M100" s="307">
        <v>1.9449019999999999</v>
      </c>
      <c r="N100" s="307">
        <v>1.904771</v>
      </c>
      <c r="O100" s="307">
        <v>2.9753699999999998</v>
      </c>
      <c r="P100" s="307">
        <v>2.8147250000000001</v>
      </c>
      <c r="Q100" s="307">
        <v>2.282197</v>
      </c>
      <c r="R100" s="307">
        <v>2.2892109999999999</v>
      </c>
      <c r="S100" s="307">
        <v>2.190232</v>
      </c>
      <c r="T100" s="307">
        <v>2.5686550000000001</v>
      </c>
      <c r="U100" s="307">
        <v>1.858366</v>
      </c>
      <c r="V100" s="307">
        <v>1.731412</v>
      </c>
      <c r="W100" s="307">
        <v>1.824789</v>
      </c>
      <c r="X100" s="307">
        <v>1.8562799999999999</v>
      </c>
      <c r="Y100" s="307">
        <v>2.151742</v>
      </c>
      <c r="Z100" s="307">
        <v>2.0694110000000001</v>
      </c>
      <c r="AA100" s="307">
        <v>2.0860910000000001</v>
      </c>
      <c r="AB100" s="307">
        <v>2.2195809999999998</v>
      </c>
      <c r="AC100" s="307">
        <v>1.810162</v>
      </c>
      <c r="AD100" s="307">
        <v>0</v>
      </c>
      <c r="AE100" s="307">
        <v>2.1769289999999999</v>
      </c>
      <c r="AF100" s="307">
        <v>0</v>
      </c>
      <c r="AG100" s="307">
        <v>2.6826319999999999</v>
      </c>
      <c r="AH100" s="307">
        <v>2.191649</v>
      </c>
      <c r="AI100" s="307">
        <v>1.897097</v>
      </c>
      <c r="AJ100" s="307">
        <v>2.4164180000000002</v>
      </c>
      <c r="AK100" s="307">
        <v>0</v>
      </c>
      <c r="AL100" s="307">
        <v>2.3304830000000001</v>
      </c>
      <c r="AM100" s="307">
        <v>2.2531699999999999</v>
      </c>
      <c r="AN100" s="307">
        <v>2.5241889999999998</v>
      </c>
      <c r="AO100" s="307">
        <v>1.855237</v>
      </c>
      <c r="AP100" s="307">
        <v>2.0356779999999999</v>
      </c>
      <c r="AQ100" s="307">
        <v>0</v>
      </c>
      <c r="AR100" s="307">
        <v>1.871424</v>
      </c>
      <c r="AS100" s="307">
        <v>0</v>
      </c>
      <c r="AT100" s="307">
        <v>1.538797</v>
      </c>
      <c r="AU100" s="307">
        <v>1.6047899999999999</v>
      </c>
      <c r="AV100" s="307">
        <v>2.963673</v>
      </c>
      <c r="AW100" s="307">
        <v>1.856581</v>
      </c>
      <c r="AX100" s="307">
        <v>2.1471960000000001</v>
      </c>
      <c r="AY100" s="307">
        <v>1.941392</v>
      </c>
      <c r="AZ100" s="307">
        <v>2.2538010000000002</v>
      </c>
      <c r="BA100" s="307">
        <v>0</v>
      </c>
      <c r="BB100" s="307">
        <v>0</v>
      </c>
      <c r="BC100" s="307">
        <v>2.099218</v>
      </c>
      <c r="BD100" s="307">
        <v>2.2715040000000002</v>
      </c>
      <c r="BE100" s="307">
        <v>2.2483029999999999</v>
      </c>
      <c r="BF100" s="307">
        <v>2.138655</v>
      </c>
      <c r="BG100" s="307">
        <v>2.0224769999999999</v>
      </c>
      <c r="BH100" s="307">
        <v>1.7819370000000001</v>
      </c>
      <c r="BI100" s="307">
        <v>2.0225909999999998</v>
      </c>
      <c r="BJ100" s="307">
        <v>2.3217669999999999</v>
      </c>
      <c r="BK100" s="307">
        <v>2.0339200000000002</v>
      </c>
      <c r="BL100">
        <f t="shared" si="4"/>
        <v>10</v>
      </c>
      <c r="BM100">
        <f t="shared" si="5"/>
        <v>2.1406877450980386</v>
      </c>
      <c r="BN100">
        <f t="shared" si="6"/>
        <v>3.0497399999999999</v>
      </c>
      <c r="BO100">
        <f t="array" ref="BO100">MIN(IF($C100:$BK100&gt;0, $C100:$BK100))</f>
        <v>1.538797</v>
      </c>
      <c r="BP100">
        <f t="shared" si="7"/>
        <v>2.0225909999999998</v>
      </c>
    </row>
    <row r="101" spans="1:68" x14ac:dyDescent="0.25">
      <c r="A101" s="306">
        <v>322130</v>
      </c>
      <c r="B101" s="307" t="s">
        <v>712</v>
      </c>
      <c r="C101" s="307">
        <v>2.0955430000000002</v>
      </c>
      <c r="D101" s="307">
        <v>0</v>
      </c>
      <c r="E101" s="307">
        <v>1.878403</v>
      </c>
      <c r="F101" s="307">
        <v>1.9444790000000001</v>
      </c>
      <c r="G101" s="307">
        <v>2.9251529999999999</v>
      </c>
      <c r="H101" s="307">
        <v>2.4466920000000001</v>
      </c>
      <c r="I101" s="307">
        <v>0</v>
      </c>
      <c r="J101" s="307">
        <v>2.0959919999999999</v>
      </c>
      <c r="K101" s="307">
        <v>0</v>
      </c>
      <c r="L101" s="307">
        <v>0</v>
      </c>
      <c r="M101" s="307">
        <v>2.0147499999999998</v>
      </c>
      <c r="N101" s="307">
        <v>1.7877940000000001</v>
      </c>
      <c r="O101" s="307">
        <v>0</v>
      </c>
      <c r="P101" s="307">
        <v>2.7370670000000001</v>
      </c>
      <c r="Q101" s="307">
        <v>1.789768</v>
      </c>
      <c r="R101" s="307">
        <v>3.0317799999999999</v>
      </c>
      <c r="S101" s="307">
        <v>2.1396869999999999</v>
      </c>
      <c r="T101" s="307">
        <v>2.4805969999999999</v>
      </c>
      <c r="U101" s="307">
        <v>2.0422509999999998</v>
      </c>
      <c r="V101" s="307">
        <v>1.7936540000000001</v>
      </c>
      <c r="W101" s="307">
        <v>2.6872250000000002</v>
      </c>
      <c r="X101" s="307">
        <v>2.6581009999999998</v>
      </c>
      <c r="Y101" s="307">
        <v>3.2431760000000001</v>
      </c>
      <c r="Z101" s="307">
        <v>2.362927</v>
      </c>
      <c r="AA101" s="307">
        <v>2.4698519999999999</v>
      </c>
      <c r="AB101" s="307">
        <v>2.9014150000000001</v>
      </c>
      <c r="AC101" s="307">
        <v>1.6371119999999999</v>
      </c>
      <c r="AD101" s="307">
        <v>2.0498560000000001</v>
      </c>
      <c r="AE101" s="307">
        <v>2.0495410000000001</v>
      </c>
      <c r="AF101" s="307">
        <v>0</v>
      </c>
      <c r="AG101" s="307">
        <v>0</v>
      </c>
      <c r="AH101" s="307">
        <v>0</v>
      </c>
      <c r="AI101" s="307">
        <v>2.800948</v>
      </c>
      <c r="AJ101" s="307">
        <v>0</v>
      </c>
      <c r="AK101" s="307">
        <v>0</v>
      </c>
      <c r="AL101" s="307">
        <v>1.8272120000000001</v>
      </c>
      <c r="AM101" s="307">
        <v>2.4249869999999998</v>
      </c>
      <c r="AN101" s="307">
        <v>2.332036</v>
      </c>
      <c r="AO101" s="307">
        <v>1.6191549999999999</v>
      </c>
      <c r="AP101" s="307">
        <v>2.013344</v>
      </c>
      <c r="AQ101" s="307">
        <v>2.2754189999999999</v>
      </c>
      <c r="AR101" s="307">
        <v>1.8982699999999999</v>
      </c>
      <c r="AS101" s="307">
        <v>0</v>
      </c>
      <c r="AT101" s="307">
        <v>1.967166</v>
      </c>
      <c r="AU101" s="307">
        <v>1.8586549999999999</v>
      </c>
      <c r="AV101" s="307">
        <v>0</v>
      </c>
      <c r="AW101" s="307">
        <v>1.9801040000000001</v>
      </c>
      <c r="AX101" s="307">
        <v>1.9423889999999999</v>
      </c>
      <c r="AY101" s="307">
        <v>2.0483169999999999</v>
      </c>
      <c r="AZ101" s="307">
        <v>2.5530360000000001</v>
      </c>
      <c r="BA101" s="307">
        <v>2.9657360000000001</v>
      </c>
      <c r="BB101" s="307">
        <v>0</v>
      </c>
      <c r="BC101" s="307">
        <v>2.6777030000000002</v>
      </c>
      <c r="BD101" s="307">
        <v>2.014135</v>
      </c>
      <c r="BE101" s="307">
        <v>2.4937299999999998</v>
      </c>
      <c r="BF101" s="307">
        <v>2.6713939999999998</v>
      </c>
      <c r="BG101" s="307">
        <v>1.9832799999999999</v>
      </c>
      <c r="BH101" s="307">
        <v>1.932688</v>
      </c>
      <c r="BI101" s="307">
        <v>1.9009990000000001</v>
      </c>
      <c r="BJ101" s="307">
        <v>2.0218759999999998</v>
      </c>
      <c r="BK101" s="307">
        <v>2.070929</v>
      </c>
      <c r="BL101">
        <f t="shared" si="4"/>
        <v>13</v>
      </c>
      <c r="BM101">
        <f t="shared" si="5"/>
        <v>2.2403400625000005</v>
      </c>
      <c r="BN101">
        <f t="shared" si="6"/>
        <v>3.2431760000000001</v>
      </c>
      <c r="BO101">
        <f t="array" ref="BO101">MIN(IF($C101:$BK101&gt;0, $C101:$BK101))</f>
        <v>1.6191549999999999</v>
      </c>
      <c r="BP101">
        <f t="shared" si="7"/>
        <v>2.014135</v>
      </c>
    </row>
    <row r="102" spans="1:68" x14ac:dyDescent="0.25">
      <c r="A102" s="306">
        <v>322210</v>
      </c>
      <c r="B102" s="307" t="s">
        <v>89</v>
      </c>
      <c r="C102" s="307">
        <v>3.8505560000000001</v>
      </c>
      <c r="D102" s="307">
        <v>0</v>
      </c>
      <c r="E102" s="307">
        <v>4.5465970000000002</v>
      </c>
      <c r="F102" s="307">
        <v>4.1365090000000002</v>
      </c>
      <c r="G102" s="307">
        <v>4.0224510000000002</v>
      </c>
      <c r="H102" s="307">
        <v>3.399232</v>
      </c>
      <c r="I102" s="307">
        <v>3.7533970000000001</v>
      </c>
      <c r="J102" s="307">
        <v>2.9825870000000001</v>
      </c>
      <c r="K102" s="307">
        <v>0</v>
      </c>
      <c r="L102" s="307">
        <v>3.8087170000000001</v>
      </c>
      <c r="M102" s="307">
        <v>3.6589879999999999</v>
      </c>
      <c r="N102" s="307">
        <v>3.557375</v>
      </c>
      <c r="O102" s="307">
        <v>3.103189</v>
      </c>
      <c r="P102" s="307">
        <v>3.7382580000000001</v>
      </c>
      <c r="Q102" s="307">
        <v>3.8158560000000001</v>
      </c>
      <c r="R102" s="307">
        <v>3.4048090000000002</v>
      </c>
      <c r="S102" s="307">
        <v>3.9200149999999998</v>
      </c>
      <c r="T102" s="307">
        <v>3.0488279999999999</v>
      </c>
      <c r="U102" s="307">
        <v>3.863194</v>
      </c>
      <c r="V102" s="307">
        <v>3.3891529999999999</v>
      </c>
      <c r="W102" s="307">
        <v>3.542964</v>
      </c>
      <c r="X102" s="307">
        <v>3.6135790000000001</v>
      </c>
      <c r="Y102" s="307">
        <v>4.2794030000000003</v>
      </c>
      <c r="Z102" s="307">
        <v>4.2466140000000001</v>
      </c>
      <c r="AA102" s="307">
        <v>3.4650409999999998</v>
      </c>
      <c r="AB102" s="307">
        <v>3.748335</v>
      </c>
      <c r="AC102" s="307">
        <v>4.0263</v>
      </c>
      <c r="AD102" s="307">
        <v>4.7778419999999997</v>
      </c>
      <c r="AE102" s="307">
        <v>4.0058439999999997</v>
      </c>
      <c r="AF102" s="307">
        <v>3.2649539999999999</v>
      </c>
      <c r="AG102" s="307">
        <v>3.6952370000000001</v>
      </c>
      <c r="AH102" s="307">
        <v>4.064686</v>
      </c>
      <c r="AI102" s="307">
        <v>2.8166039999999999</v>
      </c>
      <c r="AJ102" s="307">
        <v>4.4542260000000002</v>
      </c>
      <c r="AK102" s="307">
        <v>4.3454129999999997</v>
      </c>
      <c r="AL102" s="307">
        <v>3.4884719999999998</v>
      </c>
      <c r="AM102" s="307">
        <v>3.9469799999999999</v>
      </c>
      <c r="AN102" s="307">
        <v>4.2613149999999997</v>
      </c>
      <c r="AO102" s="307">
        <v>3.3628399999999998</v>
      </c>
      <c r="AP102" s="307">
        <v>3.7734320000000001</v>
      </c>
      <c r="AQ102" s="307">
        <v>4.0062579999999999</v>
      </c>
      <c r="AR102" s="307">
        <v>3.0807159999999998</v>
      </c>
      <c r="AS102" s="307">
        <v>4.2874699999999999</v>
      </c>
      <c r="AT102" s="307">
        <v>3.8800119999999998</v>
      </c>
      <c r="AU102" s="307">
        <v>3.9650289999999999</v>
      </c>
      <c r="AV102" s="307">
        <v>4.1424899999999996</v>
      </c>
      <c r="AW102" s="307">
        <v>3.9843470000000001</v>
      </c>
      <c r="AX102" s="307">
        <v>3.0402610000000001</v>
      </c>
      <c r="AY102" s="307">
        <v>3.4671500000000002</v>
      </c>
      <c r="AZ102" s="307">
        <v>3.7436530000000001</v>
      </c>
      <c r="BA102" s="307">
        <v>4.158798</v>
      </c>
      <c r="BB102" s="307">
        <v>0</v>
      </c>
      <c r="BC102" s="307">
        <v>3.6986979999999998</v>
      </c>
      <c r="BD102" s="307">
        <v>3.635869</v>
      </c>
      <c r="BE102" s="307">
        <v>3.8235290000000002</v>
      </c>
      <c r="BF102" s="307">
        <v>3.764669</v>
      </c>
      <c r="BG102" s="307">
        <v>3.8122410000000002</v>
      </c>
      <c r="BH102" s="307">
        <v>4.1716790000000001</v>
      </c>
      <c r="BI102" s="307">
        <v>3.9986489999999999</v>
      </c>
      <c r="BJ102" s="307">
        <v>3.881113</v>
      </c>
      <c r="BK102" s="307">
        <v>3.4394420000000001</v>
      </c>
      <c r="BL102">
        <f t="shared" si="4"/>
        <v>3</v>
      </c>
      <c r="BM102">
        <f t="shared" si="5"/>
        <v>3.7786528448275867</v>
      </c>
      <c r="BN102">
        <f t="shared" si="6"/>
        <v>4.7778419999999997</v>
      </c>
      <c r="BO102">
        <f t="array" ref="BO102">MIN(IF($C102:$BK102&gt;0, $C102:$BK102))</f>
        <v>2.8166039999999999</v>
      </c>
      <c r="BP102">
        <f t="shared" si="7"/>
        <v>3.7734320000000001</v>
      </c>
    </row>
    <row r="103" spans="1:68" x14ac:dyDescent="0.25">
      <c r="A103" s="306" t="s">
        <v>713</v>
      </c>
      <c r="B103" s="307" t="s">
        <v>90</v>
      </c>
      <c r="C103" s="307">
        <v>3.0399340000000001</v>
      </c>
      <c r="D103" s="307">
        <v>0</v>
      </c>
      <c r="E103" s="307">
        <v>2.6434829999999998</v>
      </c>
      <c r="F103" s="307">
        <v>3.5498020000000001</v>
      </c>
      <c r="G103" s="307">
        <v>3.0113180000000002</v>
      </c>
      <c r="H103" s="307">
        <v>3.16689</v>
      </c>
      <c r="I103" s="307">
        <v>3.344843</v>
      </c>
      <c r="J103" s="307">
        <v>2.4534889999999998</v>
      </c>
      <c r="K103" s="307">
        <v>0</v>
      </c>
      <c r="L103" s="307">
        <v>3.0700470000000002</v>
      </c>
      <c r="M103" s="307">
        <v>3.055688</v>
      </c>
      <c r="N103" s="307">
        <v>3.2541090000000001</v>
      </c>
      <c r="O103" s="307">
        <v>0</v>
      </c>
      <c r="P103" s="307">
        <v>2.9167350000000001</v>
      </c>
      <c r="Q103" s="307">
        <v>0</v>
      </c>
      <c r="R103" s="307">
        <v>2.8561990000000002</v>
      </c>
      <c r="S103" s="307">
        <v>3.4117649999999999</v>
      </c>
      <c r="T103" s="307">
        <v>3.2994520000000001</v>
      </c>
      <c r="U103" s="307">
        <v>3.0181420000000001</v>
      </c>
      <c r="V103" s="307">
        <v>3.2399429999999998</v>
      </c>
      <c r="W103" s="307">
        <v>2.6277170000000001</v>
      </c>
      <c r="X103" s="307">
        <v>2.75989</v>
      </c>
      <c r="Y103" s="307">
        <v>0</v>
      </c>
      <c r="Z103" s="307">
        <v>2.8066089999999999</v>
      </c>
      <c r="AA103" s="307">
        <v>2.7163179999999998</v>
      </c>
      <c r="AB103" s="307">
        <v>2.7360579999999999</v>
      </c>
      <c r="AC103" s="307">
        <v>2.70642</v>
      </c>
      <c r="AD103" s="307">
        <v>0</v>
      </c>
      <c r="AE103" s="307">
        <v>3.0700880000000002</v>
      </c>
      <c r="AF103" s="307">
        <v>0</v>
      </c>
      <c r="AG103" s="307">
        <v>3.336373</v>
      </c>
      <c r="AH103" s="307">
        <v>3.4267910000000001</v>
      </c>
      <c r="AI103" s="307">
        <v>2.272948</v>
      </c>
      <c r="AJ103" s="307">
        <v>2.4064350000000001</v>
      </c>
      <c r="AK103" s="307">
        <v>3.7896299999999998</v>
      </c>
      <c r="AL103" s="307">
        <v>2.8488630000000001</v>
      </c>
      <c r="AM103" s="307">
        <v>2.8057289999999999</v>
      </c>
      <c r="AN103" s="307">
        <v>2.5970819999999999</v>
      </c>
      <c r="AO103" s="307">
        <v>2.8744550000000002</v>
      </c>
      <c r="AP103" s="307">
        <v>2.845431</v>
      </c>
      <c r="AQ103" s="307">
        <v>2.8024279999999999</v>
      </c>
      <c r="AR103" s="307">
        <v>2.7979750000000001</v>
      </c>
      <c r="AS103" s="307">
        <v>0</v>
      </c>
      <c r="AT103" s="307">
        <v>3.1321059999999998</v>
      </c>
      <c r="AU103" s="307">
        <v>3.0548299999999999</v>
      </c>
      <c r="AV103" s="307">
        <v>3.6859570000000001</v>
      </c>
      <c r="AW103" s="307">
        <v>3.4133529999999999</v>
      </c>
      <c r="AX103" s="307">
        <v>1.9847399999999999</v>
      </c>
      <c r="AY103" s="307">
        <v>2.722162</v>
      </c>
      <c r="AZ103" s="307">
        <v>2.8979789999999999</v>
      </c>
      <c r="BA103" s="307">
        <v>0</v>
      </c>
      <c r="BB103" s="307">
        <v>0</v>
      </c>
      <c r="BC103" s="307">
        <v>2.888328</v>
      </c>
      <c r="BD103" s="307">
        <v>2.8173349999999999</v>
      </c>
      <c r="BE103" s="307">
        <v>2.9351820000000002</v>
      </c>
      <c r="BF103" s="307">
        <v>2.9056440000000001</v>
      </c>
      <c r="BG103" s="307">
        <v>3.20947</v>
      </c>
      <c r="BH103" s="307">
        <v>3.0998190000000001</v>
      </c>
      <c r="BI103" s="307">
        <v>3.1673290000000001</v>
      </c>
      <c r="BJ103" s="307">
        <v>3.2866900000000001</v>
      </c>
      <c r="BK103" s="307">
        <v>3.1085020000000001</v>
      </c>
      <c r="BL103">
        <f t="shared" si="4"/>
        <v>10</v>
      </c>
      <c r="BM103">
        <f t="shared" si="5"/>
        <v>2.9778138235294112</v>
      </c>
      <c r="BN103">
        <f t="shared" si="6"/>
        <v>3.7896299999999998</v>
      </c>
      <c r="BO103">
        <f t="array" ref="BO103">MIN(IF($C103:$BK103&gt;0, $C103:$BK103))</f>
        <v>1.9847399999999999</v>
      </c>
      <c r="BP103">
        <f t="shared" si="7"/>
        <v>2.8744550000000002</v>
      </c>
    </row>
    <row r="104" spans="1:68" x14ac:dyDescent="0.25">
      <c r="A104" s="306" t="s">
        <v>714</v>
      </c>
      <c r="B104" s="307" t="s">
        <v>91</v>
      </c>
      <c r="C104" s="307">
        <v>4.5537299999999998</v>
      </c>
      <c r="D104" s="307">
        <v>0</v>
      </c>
      <c r="E104" s="307">
        <v>5.09565</v>
      </c>
      <c r="F104" s="307">
        <v>4.4184080000000003</v>
      </c>
      <c r="G104" s="307">
        <v>5.0938920000000003</v>
      </c>
      <c r="H104" s="307">
        <v>4.4905039999999996</v>
      </c>
      <c r="I104" s="307">
        <v>0</v>
      </c>
      <c r="J104" s="307">
        <v>4.9287539999999996</v>
      </c>
      <c r="K104" s="307">
        <v>0</v>
      </c>
      <c r="L104" s="307">
        <v>0</v>
      </c>
      <c r="M104" s="307">
        <v>3.9703050000000002</v>
      </c>
      <c r="N104" s="307">
        <v>4.8394399999999997</v>
      </c>
      <c r="O104" s="307">
        <v>3.9930140000000001</v>
      </c>
      <c r="P104" s="307">
        <v>4.5055339999999999</v>
      </c>
      <c r="Q104" s="307">
        <v>0</v>
      </c>
      <c r="R104" s="307">
        <v>4.5719649999999996</v>
      </c>
      <c r="S104" s="307">
        <v>4.4225490000000001</v>
      </c>
      <c r="T104" s="307">
        <v>3.7339009999999999</v>
      </c>
      <c r="U104" s="307">
        <v>4.0069220000000003</v>
      </c>
      <c r="V104" s="307">
        <v>4.9569919999999996</v>
      </c>
      <c r="W104" s="307">
        <v>3.9508640000000002</v>
      </c>
      <c r="X104" s="307">
        <v>0</v>
      </c>
      <c r="Y104" s="307">
        <v>5.3455409999999999</v>
      </c>
      <c r="Z104" s="307">
        <v>4.7452889999999996</v>
      </c>
      <c r="AA104" s="307">
        <v>3.4282940000000002</v>
      </c>
      <c r="AB104" s="307">
        <v>4.1513010000000001</v>
      </c>
      <c r="AC104" s="307">
        <v>4.915133</v>
      </c>
      <c r="AD104" s="307">
        <v>0</v>
      </c>
      <c r="AE104" s="307">
        <v>4.6690930000000002</v>
      </c>
      <c r="AF104" s="307">
        <v>0</v>
      </c>
      <c r="AG104" s="307">
        <v>3.545677</v>
      </c>
      <c r="AH104" s="307">
        <v>4.0831020000000002</v>
      </c>
      <c r="AI104" s="307">
        <v>3.571332</v>
      </c>
      <c r="AJ104" s="307">
        <v>0</v>
      </c>
      <c r="AK104" s="307">
        <v>3.657883</v>
      </c>
      <c r="AL104" s="307">
        <v>4.4613100000000001</v>
      </c>
      <c r="AM104" s="307">
        <v>4.3103959999999999</v>
      </c>
      <c r="AN104" s="307">
        <v>5.2447809999999997</v>
      </c>
      <c r="AO104" s="307">
        <v>4.1731360000000004</v>
      </c>
      <c r="AP104" s="307">
        <v>3.4770729999999999</v>
      </c>
      <c r="AQ104" s="307">
        <v>3.1888260000000002</v>
      </c>
      <c r="AR104" s="307">
        <v>3.7444510000000002</v>
      </c>
      <c r="AS104" s="307">
        <v>0</v>
      </c>
      <c r="AT104" s="307">
        <v>4.0678729999999996</v>
      </c>
      <c r="AU104" s="307">
        <v>4.9764489999999997</v>
      </c>
      <c r="AV104" s="307">
        <v>4.6835880000000003</v>
      </c>
      <c r="AW104" s="307">
        <v>4.2139899999999999</v>
      </c>
      <c r="AX104" s="307">
        <v>0</v>
      </c>
      <c r="AY104" s="307">
        <v>3.9783330000000001</v>
      </c>
      <c r="AZ104" s="307">
        <v>3.6264449999999999</v>
      </c>
      <c r="BA104" s="307">
        <v>4.4772530000000001</v>
      </c>
      <c r="BB104" s="307">
        <v>0</v>
      </c>
      <c r="BC104" s="307">
        <v>4.6168259999999997</v>
      </c>
      <c r="BD104" s="307">
        <v>4.1648269999999998</v>
      </c>
      <c r="BE104" s="307">
        <v>4.4310049999999999</v>
      </c>
      <c r="BF104" s="307">
        <v>3.9742510000000002</v>
      </c>
      <c r="BG104" s="307">
        <v>4.4900370000000001</v>
      </c>
      <c r="BH104" s="307">
        <v>4.3952229999999997</v>
      </c>
      <c r="BI104" s="307">
        <v>4.9102360000000003</v>
      </c>
      <c r="BJ104" s="307">
        <v>4.5288719999999998</v>
      </c>
      <c r="BK104" s="307">
        <v>4.4381110000000001</v>
      </c>
      <c r="BL104">
        <f t="shared" si="4"/>
        <v>12</v>
      </c>
      <c r="BM104">
        <f t="shared" si="5"/>
        <v>4.3309869591836723</v>
      </c>
      <c r="BN104">
        <f t="shared" si="6"/>
        <v>5.3455409999999999</v>
      </c>
      <c r="BO104">
        <f t="array" ref="BO104">MIN(IF($C104:$BK104&gt;0, $C104:$BK104))</f>
        <v>3.1888260000000002</v>
      </c>
      <c r="BP104">
        <f t="shared" si="7"/>
        <v>4.1648269999999998</v>
      </c>
    </row>
    <row r="105" spans="1:68" x14ac:dyDescent="0.25">
      <c r="A105" s="306">
        <v>322230</v>
      </c>
      <c r="B105" s="307" t="s">
        <v>92</v>
      </c>
      <c r="C105" s="307">
        <v>4.6171629999999997</v>
      </c>
      <c r="D105" s="307">
        <v>0</v>
      </c>
      <c r="E105" s="307">
        <v>6.0281120000000001</v>
      </c>
      <c r="F105" s="307">
        <v>5.9181520000000001</v>
      </c>
      <c r="G105" s="307">
        <v>4.7881010000000002</v>
      </c>
      <c r="H105" s="307">
        <v>3.7430150000000002</v>
      </c>
      <c r="I105" s="307">
        <v>4.4850459999999996</v>
      </c>
      <c r="J105" s="307">
        <v>3.6658870000000001</v>
      </c>
      <c r="K105" s="307">
        <v>0</v>
      </c>
      <c r="L105" s="307">
        <v>0</v>
      </c>
      <c r="M105" s="307">
        <v>4.3478700000000003</v>
      </c>
      <c r="N105" s="307">
        <v>3.879413</v>
      </c>
      <c r="O105" s="307">
        <v>3.7255739999999999</v>
      </c>
      <c r="P105" s="307">
        <v>4.9157609999999998</v>
      </c>
      <c r="Q105" s="307">
        <v>5.1399800000000004</v>
      </c>
      <c r="R105" s="307">
        <v>4.3211769999999996</v>
      </c>
      <c r="S105" s="307">
        <v>4.9830160000000001</v>
      </c>
      <c r="T105" s="307">
        <v>4.4951230000000004</v>
      </c>
      <c r="U105" s="307">
        <v>4.0298439999999998</v>
      </c>
      <c r="V105" s="307">
        <v>5.5729559999999996</v>
      </c>
      <c r="W105" s="307">
        <v>3.883013</v>
      </c>
      <c r="X105" s="307">
        <v>3.4962230000000001</v>
      </c>
      <c r="Y105" s="307">
        <v>6.3236179999999997</v>
      </c>
      <c r="Z105" s="307">
        <v>4.9001460000000003</v>
      </c>
      <c r="AA105" s="307">
        <v>3.7533720000000002</v>
      </c>
      <c r="AB105" s="307">
        <v>3.9597989999999998</v>
      </c>
      <c r="AC105" s="307">
        <v>5.8143880000000001</v>
      </c>
      <c r="AD105" s="307">
        <v>0</v>
      </c>
      <c r="AE105" s="307">
        <v>4.5277750000000001</v>
      </c>
      <c r="AF105" s="307">
        <v>0</v>
      </c>
      <c r="AG105" s="307">
        <v>4.314171</v>
      </c>
      <c r="AH105" s="307">
        <v>4.8415080000000001</v>
      </c>
      <c r="AI105" s="307">
        <v>4.4630470000000004</v>
      </c>
      <c r="AJ105" s="307">
        <v>5.6699599999999997</v>
      </c>
      <c r="AK105" s="307">
        <v>6.3177849999999998</v>
      </c>
      <c r="AL105" s="307">
        <v>4.0271710000000001</v>
      </c>
      <c r="AM105" s="307">
        <v>5.3044079999999996</v>
      </c>
      <c r="AN105" s="307">
        <v>4.2778119999999999</v>
      </c>
      <c r="AO105" s="307">
        <v>4.8213010000000001</v>
      </c>
      <c r="AP105" s="307">
        <v>4.9280390000000001</v>
      </c>
      <c r="AQ105" s="307">
        <v>5.3115480000000002</v>
      </c>
      <c r="AR105" s="307">
        <v>3.5589369999999998</v>
      </c>
      <c r="AS105" s="307">
        <v>6.0034380000000001</v>
      </c>
      <c r="AT105" s="307">
        <v>4.7783519999999999</v>
      </c>
      <c r="AU105" s="307">
        <v>4.3454730000000001</v>
      </c>
      <c r="AV105" s="307">
        <v>5.153289</v>
      </c>
      <c r="AW105" s="307">
        <v>4.6321849999999998</v>
      </c>
      <c r="AX105" s="307">
        <v>0</v>
      </c>
      <c r="AY105" s="307">
        <v>4.3541400000000001</v>
      </c>
      <c r="AZ105" s="307">
        <v>4.5642990000000001</v>
      </c>
      <c r="BA105" s="307">
        <v>5.6653120000000001</v>
      </c>
      <c r="BB105" s="307">
        <v>0</v>
      </c>
      <c r="BC105" s="307">
        <v>4.4253229999999997</v>
      </c>
      <c r="BD105" s="307">
        <v>4.7854340000000004</v>
      </c>
      <c r="BE105" s="307">
        <v>4.7689760000000003</v>
      </c>
      <c r="BF105" s="307">
        <v>4.3156319999999999</v>
      </c>
      <c r="BG105" s="307">
        <v>4.3041299999999998</v>
      </c>
      <c r="BH105" s="307">
        <v>5.0129510000000002</v>
      </c>
      <c r="BI105" s="307">
        <v>4.5608079999999998</v>
      </c>
      <c r="BJ105" s="307">
        <v>4.8134810000000003</v>
      </c>
      <c r="BK105" s="307">
        <v>3.8728889999999998</v>
      </c>
      <c r="BL105">
        <f t="shared" si="4"/>
        <v>7</v>
      </c>
      <c r="BM105">
        <f t="shared" si="5"/>
        <v>4.6945615370370373</v>
      </c>
      <c r="BN105">
        <f t="shared" si="6"/>
        <v>6.3236179999999997</v>
      </c>
      <c r="BO105">
        <f t="array" ref="BO105">MIN(IF($C105:$BK105&gt;0, $C105:$BK105))</f>
        <v>3.4962230000000001</v>
      </c>
      <c r="BP105">
        <f t="shared" si="7"/>
        <v>4.4951230000000004</v>
      </c>
    </row>
    <row r="106" spans="1:68" x14ac:dyDescent="0.25">
      <c r="A106" s="306">
        <v>322291</v>
      </c>
      <c r="B106" s="307" t="s">
        <v>93</v>
      </c>
      <c r="C106" s="307">
        <v>1.9204270000000001</v>
      </c>
      <c r="D106" s="307">
        <v>0</v>
      </c>
      <c r="E106" s="307">
        <v>0</v>
      </c>
      <c r="F106" s="307">
        <v>2.1586810000000001</v>
      </c>
      <c r="G106" s="307">
        <v>2.5394939999999999</v>
      </c>
      <c r="H106" s="307">
        <v>1.7826500000000001</v>
      </c>
      <c r="I106" s="307">
        <v>0</v>
      </c>
      <c r="J106" s="307">
        <v>0</v>
      </c>
      <c r="K106" s="307">
        <v>0</v>
      </c>
      <c r="L106" s="307">
        <v>1.5143629999999999</v>
      </c>
      <c r="M106" s="307">
        <v>1.9013789999999999</v>
      </c>
      <c r="N106" s="307">
        <v>1.706272</v>
      </c>
      <c r="O106" s="307">
        <v>0</v>
      </c>
      <c r="P106" s="307">
        <v>0</v>
      </c>
      <c r="Q106" s="307">
        <v>2.6380189999999999</v>
      </c>
      <c r="R106" s="307">
        <v>2.119551</v>
      </c>
      <c r="S106" s="307">
        <v>2.737743</v>
      </c>
      <c r="T106" s="307">
        <v>0</v>
      </c>
      <c r="U106" s="307">
        <v>2.091218</v>
      </c>
      <c r="V106" s="307">
        <v>0</v>
      </c>
      <c r="W106" s="307">
        <v>2.6182289999999999</v>
      </c>
      <c r="X106" s="307">
        <v>2.6600670000000002</v>
      </c>
      <c r="Y106" s="307">
        <v>2.1485280000000002</v>
      </c>
      <c r="Z106" s="307">
        <v>3.1605319999999999</v>
      </c>
      <c r="AA106" s="307">
        <v>3.0391270000000001</v>
      </c>
      <c r="AB106" s="307">
        <v>1.60382</v>
      </c>
      <c r="AC106" s="307">
        <v>2.6011959999999998</v>
      </c>
      <c r="AD106" s="307">
        <v>0</v>
      </c>
      <c r="AE106" s="307">
        <v>2.0787930000000001</v>
      </c>
      <c r="AF106" s="307">
        <v>0</v>
      </c>
      <c r="AG106" s="307">
        <v>2.854857</v>
      </c>
      <c r="AH106" s="307">
        <v>0</v>
      </c>
      <c r="AI106" s="307">
        <v>1.2309810000000001</v>
      </c>
      <c r="AJ106" s="307">
        <v>3.0307200000000001</v>
      </c>
      <c r="AK106" s="307">
        <v>1.988837</v>
      </c>
      <c r="AL106" s="307">
        <v>2.0679910000000001</v>
      </c>
      <c r="AM106" s="307">
        <v>2.5126089999999999</v>
      </c>
      <c r="AN106" s="307">
        <v>0</v>
      </c>
      <c r="AO106" s="307">
        <v>1.3406880000000001</v>
      </c>
      <c r="AP106" s="307">
        <v>1.912822</v>
      </c>
      <c r="AQ106" s="307">
        <v>0</v>
      </c>
      <c r="AR106" s="307">
        <v>1.7376849999999999</v>
      </c>
      <c r="AS106" s="307">
        <v>0</v>
      </c>
      <c r="AT106" s="307">
        <v>1.827026</v>
      </c>
      <c r="AU106" s="307">
        <v>1.5402100000000001</v>
      </c>
      <c r="AV106" s="307">
        <v>1.726726</v>
      </c>
      <c r="AW106" s="307">
        <v>0</v>
      </c>
      <c r="AX106" s="307">
        <v>0</v>
      </c>
      <c r="AY106" s="307">
        <v>1.5531250000000001</v>
      </c>
      <c r="AZ106" s="307">
        <v>2.0771069999999998</v>
      </c>
      <c r="BA106" s="307">
        <v>0</v>
      </c>
      <c r="BB106" s="307">
        <v>0</v>
      </c>
      <c r="BC106" s="307">
        <v>2.1783640000000002</v>
      </c>
      <c r="BD106" s="307">
        <v>1.7477659999999999</v>
      </c>
      <c r="BE106" s="307">
        <v>2.25196</v>
      </c>
      <c r="BF106" s="307">
        <v>1.8261810000000001</v>
      </c>
      <c r="BG106" s="307">
        <v>1.835021</v>
      </c>
      <c r="BH106" s="307">
        <v>2.160819</v>
      </c>
      <c r="BI106" s="307">
        <v>1.858911</v>
      </c>
      <c r="BJ106" s="307">
        <v>2.0794440000000001</v>
      </c>
      <c r="BK106" s="307">
        <v>1.612055</v>
      </c>
      <c r="BL106">
        <f t="shared" si="4"/>
        <v>19</v>
      </c>
      <c r="BM106">
        <f t="shared" si="5"/>
        <v>2.0945712857142857</v>
      </c>
      <c r="BN106">
        <f t="shared" si="6"/>
        <v>3.1605319999999999</v>
      </c>
      <c r="BO106">
        <f t="array" ref="BO106">MIN(IF($C106:$BK106&gt;0, $C106:$BK106))</f>
        <v>1.2309810000000001</v>
      </c>
      <c r="BP106">
        <f t="shared" si="7"/>
        <v>1.7826500000000001</v>
      </c>
    </row>
    <row r="107" spans="1:68" x14ac:dyDescent="0.25">
      <c r="A107" s="306">
        <v>322299</v>
      </c>
      <c r="B107" s="307" t="s">
        <v>94</v>
      </c>
      <c r="C107" s="307">
        <v>4.7412359999999998</v>
      </c>
      <c r="D107" s="307">
        <v>3.0817030000000001</v>
      </c>
      <c r="E107" s="307">
        <v>4.392544</v>
      </c>
      <c r="F107" s="307">
        <v>6.9246759999999998</v>
      </c>
      <c r="G107" s="307">
        <v>4.8677900000000003</v>
      </c>
      <c r="H107" s="307">
        <v>4.3825839999999996</v>
      </c>
      <c r="I107" s="307">
        <v>4.9155369999999996</v>
      </c>
      <c r="J107" s="307">
        <v>4.1424339999999997</v>
      </c>
      <c r="K107" s="307">
        <v>0</v>
      </c>
      <c r="L107" s="307">
        <v>5.158906</v>
      </c>
      <c r="M107" s="307">
        <v>4.8794190000000004</v>
      </c>
      <c r="N107" s="307">
        <v>6.0771350000000002</v>
      </c>
      <c r="O107" s="307">
        <v>5.5074040000000002</v>
      </c>
      <c r="P107" s="307">
        <v>4.770689</v>
      </c>
      <c r="Q107" s="307">
        <v>4.2284160000000002</v>
      </c>
      <c r="R107" s="307">
        <v>3.9538389999999999</v>
      </c>
      <c r="S107" s="307">
        <v>4.6744240000000001</v>
      </c>
      <c r="T107" s="307">
        <v>3.8909950000000002</v>
      </c>
      <c r="U107" s="307">
        <v>3.6703519999999998</v>
      </c>
      <c r="V107" s="307">
        <v>5.3921869999999998</v>
      </c>
      <c r="W107" s="307">
        <v>3.2417899999999999</v>
      </c>
      <c r="X107" s="307">
        <v>3.245978</v>
      </c>
      <c r="Y107" s="307">
        <v>4.2035439999999999</v>
      </c>
      <c r="Z107" s="307">
        <v>4.2609060000000003</v>
      </c>
      <c r="AA107" s="307">
        <v>4.9796519999999997</v>
      </c>
      <c r="AB107" s="307">
        <v>5.6863039999999998</v>
      </c>
      <c r="AC107" s="307">
        <v>6.8033580000000002</v>
      </c>
      <c r="AD107" s="307">
        <v>7.4119250000000001</v>
      </c>
      <c r="AE107" s="307">
        <v>4.5618319999999999</v>
      </c>
      <c r="AF107" s="307">
        <v>2.8358509999999999</v>
      </c>
      <c r="AG107" s="307">
        <v>3.9481220000000001</v>
      </c>
      <c r="AH107" s="307">
        <v>3.6565829999999999</v>
      </c>
      <c r="AI107" s="307">
        <v>4.0985189999999996</v>
      </c>
      <c r="AJ107" s="307">
        <v>0</v>
      </c>
      <c r="AK107" s="307">
        <v>4.4305009999999996</v>
      </c>
      <c r="AL107" s="307">
        <v>5.1931419999999999</v>
      </c>
      <c r="AM107" s="307">
        <v>4.8025820000000001</v>
      </c>
      <c r="AN107" s="307">
        <v>5.5780260000000004</v>
      </c>
      <c r="AO107" s="307">
        <v>3.6104609999999999</v>
      </c>
      <c r="AP107" s="307">
        <v>4.4926360000000001</v>
      </c>
      <c r="AQ107" s="307">
        <v>4.7741870000000004</v>
      </c>
      <c r="AR107" s="307">
        <v>4.8340820000000004</v>
      </c>
      <c r="AS107" s="307">
        <v>0</v>
      </c>
      <c r="AT107" s="307">
        <v>5.8151799999999998</v>
      </c>
      <c r="AU107" s="307">
        <v>4.273428</v>
      </c>
      <c r="AV107" s="307">
        <v>6.61815</v>
      </c>
      <c r="AW107" s="307">
        <v>6.0347949999999999</v>
      </c>
      <c r="AX107" s="307">
        <v>0</v>
      </c>
      <c r="AY107" s="307">
        <v>3.8379050000000001</v>
      </c>
      <c r="AZ107" s="307">
        <v>5.0379560000000003</v>
      </c>
      <c r="BA107" s="307">
        <v>0</v>
      </c>
      <c r="BB107" s="307">
        <v>0</v>
      </c>
      <c r="BC107" s="307">
        <v>4.1945629999999996</v>
      </c>
      <c r="BD107" s="307">
        <v>4.7859509999999998</v>
      </c>
      <c r="BE107" s="307">
        <v>4.6484589999999999</v>
      </c>
      <c r="BF107" s="307">
        <v>5.0390990000000002</v>
      </c>
      <c r="BG107" s="307">
        <v>5.1253399999999996</v>
      </c>
      <c r="BH107" s="307">
        <v>4.8903280000000002</v>
      </c>
      <c r="BI107" s="307">
        <v>4.5216099999999999</v>
      </c>
      <c r="BJ107" s="307">
        <v>5.2452430000000003</v>
      </c>
      <c r="BK107" s="307">
        <v>4.3081449999999997</v>
      </c>
      <c r="BL107">
        <f t="shared" si="4"/>
        <v>6</v>
      </c>
      <c r="BM107">
        <f t="shared" si="5"/>
        <v>4.7396073272727284</v>
      </c>
      <c r="BN107">
        <f t="shared" si="6"/>
        <v>7.4119250000000001</v>
      </c>
      <c r="BO107">
        <f t="array" ref="BO107">MIN(IF($C107:$BK107&gt;0, $C107:$BK107))</f>
        <v>2.8358509999999999</v>
      </c>
      <c r="BP107">
        <f t="shared" si="7"/>
        <v>4.5618319999999999</v>
      </c>
    </row>
    <row r="108" spans="1:68" x14ac:dyDescent="0.25">
      <c r="A108" s="306">
        <v>323110</v>
      </c>
      <c r="B108" s="307" t="s">
        <v>95</v>
      </c>
      <c r="C108" s="307">
        <v>7.196536</v>
      </c>
      <c r="D108" s="307">
        <v>9.5062449999999998</v>
      </c>
      <c r="E108" s="307">
        <v>8.6738820000000008</v>
      </c>
      <c r="F108" s="307">
        <v>7.9299400000000002</v>
      </c>
      <c r="G108" s="307">
        <v>8.4710090000000005</v>
      </c>
      <c r="H108" s="307">
        <v>7.2721239999999998</v>
      </c>
      <c r="I108" s="307">
        <v>7.7075019999999999</v>
      </c>
      <c r="J108" s="307">
        <v>5.6001750000000001</v>
      </c>
      <c r="K108" s="307">
        <v>1.042594</v>
      </c>
      <c r="L108" s="307">
        <v>5.8806820000000002</v>
      </c>
      <c r="M108" s="307">
        <v>8.2455359999999995</v>
      </c>
      <c r="N108" s="307">
        <v>6.4889999999999999</v>
      </c>
      <c r="O108" s="307">
        <v>9.5643849999999997</v>
      </c>
      <c r="P108" s="307">
        <v>8.1034559999999995</v>
      </c>
      <c r="Q108" s="307">
        <v>9.2708320000000004</v>
      </c>
      <c r="R108" s="307">
        <v>6.0596180000000004</v>
      </c>
      <c r="S108" s="307">
        <v>7.2663390000000003</v>
      </c>
      <c r="T108" s="307">
        <v>7.1598199999999999</v>
      </c>
      <c r="U108" s="307">
        <v>6.83406</v>
      </c>
      <c r="V108" s="307">
        <v>9.1995529999999999</v>
      </c>
      <c r="W108" s="307">
        <v>5.5198729999999996</v>
      </c>
      <c r="X108" s="307">
        <v>5.5154059999999996</v>
      </c>
      <c r="Y108" s="307">
        <v>7.7535999999999996</v>
      </c>
      <c r="Z108" s="307">
        <v>7.5215620000000003</v>
      </c>
      <c r="AA108" s="307">
        <v>6.6475980000000003</v>
      </c>
      <c r="AB108" s="307">
        <v>6.4177999999999997</v>
      </c>
      <c r="AC108" s="307">
        <v>8.6125950000000007</v>
      </c>
      <c r="AD108" s="307">
        <v>9.6444890000000001</v>
      </c>
      <c r="AE108" s="307">
        <v>6.8207259999999996</v>
      </c>
      <c r="AF108" s="307">
        <v>7.7413949999999998</v>
      </c>
      <c r="AG108" s="307">
        <v>7.7168830000000002</v>
      </c>
      <c r="AH108" s="307">
        <v>6.6942399999999997</v>
      </c>
      <c r="AI108" s="307">
        <v>5.2175419999999999</v>
      </c>
      <c r="AJ108" s="307">
        <v>9.6175549999999994</v>
      </c>
      <c r="AK108" s="307">
        <v>7.2997699999999996</v>
      </c>
      <c r="AL108" s="307">
        <v>5.9776629999999997</v>
      </c>
      <c r="AM108" s="307">
        <v>7.3091290000000004</v>
      </c>
      <c r="AN108" s="307">
        <v>9.3064040000000006</v>
      </c>
      <c r="AO108" s="307">
        <v>7.2979329999999996</v>
      </c>
      <c r="AP108" s="307">
        <v>6.7660390000000001</v>
      </c>
      <c r="AQ108" s="307">
        <v>6.8878339999999998</v>
      </c>
      <c r="AR108" s="307">
        <v>7.8555450000000002</v>
      </c>
      <c r="AS108" s="307">
        <v>8.8259340000000002</v>
      </c>
      <c r="AT108" s="307">
        <v>6.8470930000000001</v>
      </c>
      <c r="AU108" s="307">
        <v>7.4771020000000004</v>
      </c>
      <c r="AV108" s="307">
        <v>8.0498740000000009</v>
      </c>
      <c r="AW108" s="307">
        <v>6.7446130000000002</v>
      </c>
      <c r="AX108" s="307">
        <v>7.1910189999999998</v>
      </c>
      <c r="AY108" s="307">
        <v>7.2122869999999999</v>
      </c>
      <c r="AZ108" s="307">
        <v>6.7728200000000003</v>
      </c>
      <c r="BA108" s="307">
        <v>8.5329510000000006</v>
      </c>
      <c r="BB108" s="307">
        <v>9.0804559999999999</v>
      </c>
      <c r="BC108" s="307">
        <v>6.3736420000000003</v>
      </c>
      <c r="BD108" s="307">
        <v>6.554055</v>
      </c>
      <c r="BE108" s="307">
        <v>6.9083319999999997</v>
      </c>
      <c r="BF108" s="307">
        <v>7.2655479999999999</v>
      </c>
      <c r="BG108" s="307">
        <v>7.101305</v>
      </c>
      <c r="BH108" s="307">
        <v>7.4026420000000002</v>
      </c>
      <c r="BI108" s="307">
        <v>7.7866059999999999</v>
      </c>
      <c r="BJ108" s="307">
        <v>8.1829990000000006</v>
      </c>
      <c r="BK108" s="307">
        <v>7.3679290000000002</v>
      </c>
      <c r="BL108">
        <f t="shared" si="4"/>
        <v>0</v>
      </c>
      <c r="BM108">
        <f t="shared" si="5"/>
        <v>7.3654438688524611</v>
      </c>
      <c r="BN108">
        <f t="shared" si="6"/>
        <v>9.6444890000000001</v>
      </c>
      <c r="BO108">
        <f t="array" ref="BO108">MIN(IF($C108:$BK108&gt;0, $C108:$BK108))</f>
        <v>1.042594</v>
      </c>
      <c r="BP108">
        <f t="shared" si="7"/>
        <v>7.2979329999999996</v>
      </c>
    </row>
    <row r="109" spans="1:68" x14ac:dyDescent="0.25">
      <c r="A109" s="306">
        <v>323120</v>
      </c>
      <c r="B109" s="307" t="s">
        <v>96</v>
      </c>
      <c r="C109" s="307">
        <v>9.9331040000000002</v>
      </c>
      <c r="D109" s="307">
        <v>15.75952</v>
      </c>
      <c r="E109" s="307">
        <v>7.3127069999999996</v>
      </c>
      <c r="F109" s="307">
        <v>15.32981</v>
      </c>
      <c r="G109" s="307">
        <v>11.442</v>
      </c>
      <c r="H109" s="307">
        <v>9.3605750000000008</v>
      </c>
      <c r="I109" s="307">
        <v>11.178129999999999</v>
      </c>
      <c r="J109" s="307">
        <v>6.8970770000000003</v>
      </c>
      <c r="K109" s="307">
        <v>1.5253760000000001</v>
      </c>
      <c r="L109" s="307">
        <v>9.2840260000000008</v>
      </c>
      <c r="M109" s="307">
        <v>10.486800000000001</v>
      </c>
      <c r="N109" s="307">
        <v>13.41624</v>
      </c>
      <c r="O109" s="307">
        <v>13.553470000000001</v>
      </c>
      <c r="P109" s="307">
        <v>11.59064</v>
      </c>
      <c r="Q109" s="307">
        <v>14.17812</v>
      </c>
      <c r="R109" s="307">
        <v>8.9143729999999994</v>
      </c>
      <c r="S109" s="307">
        <v>13.63072</v>
      </c>
      <c r="T109" s="307">
        <v>9.3689669999999996</v>
      </c>
      <c r="U109" s="307">
        <v>7.916131</v>
      </c>
      <c r="V109" s="307">
        <v>15.860239999999999</v>
      </c>
      <c r="W109" s="307">
        <v>7.2713130000000001</v>
      </c>
      <c r="X109" s="307">
        <v>9.9021419999999996</v>
      </c>
      <c r="Y109" s="307">
        <v>14.18599</v>
      </c>
      <c r="Z109" s="307">
        <v>9.2540230000000001</v>
      </c>
      <c r="AA109" s="307">
        <v>7.9292720000000001</v>
      </c>
      <c r="AB109" s="307">
        <v>7.7774789999999996</v>
      </c>
      <c r="AC109" s="307">
        <v>14.551640000000001</v>
      </c>
      <c r="AD109" s="307">
        <v>9.9748079999999995</v>
      </c>
      <c r="AE109" s="307">
        <v>11.585660000000001</v>
      </c>
      <c r="AF109" s="307">
        <v>11.66001</v>
      </c>
      <c r="AG109" s="307">
        <v>12.54209</v>
      </c>
      <c r="AH109" s="307">
        <v>8.9239350000000002</v>
      </c>
      <c r="AI109" s="307">
        <v>7.5685880000000001</v>
      </c>
      <c r="AJ109" s="307">
        <v>15.943630000000001</v>
      </c>
      <c r="AK109" s="307">
        <v>14.59376</v>
      </c>
      <c r="AL109" s="307">
        <v>8.9054819999999992</v>
      </c>
      <c r="AM109" s="307">
        <v>9.2988529999999994</v>
      </c>
      <c r="AN109" s="307">
        <v>15.96848</v>
      </c>
      <c r="AO109" s="307">
        <v>9.9535180000000008</v>
      </c>
      <c r="AP109" s="307">
        <v>9.9674999999999994</v>
      </c>
      <c r="AQ109" s="307">
        <v>8.9972150000000006</v>
      </c>
      <c r="AR109" s="307">
        <v>11.29607</v>
      </c>
      <c r="AS109" s="307">
        <v>0</v>
      </c>
      <c r="AT109" s="307">
        <v>11.66835</v>
      </c>
      <c r="AU109" s="307">
        <v>11.07324</v>
      </c>
      <c r="AV109" s="307">
        <v>14.396430000000001</v>
      </c>
      <c r="AW109" s="307">
        <v>8.1431909999999998</v>
      </c>
      <c r="AX109" s="307">
        <v>8.9761959999999998</v>
      </c>
      <c r="AY109" s="307">
        <v>11.30157</v>
      </c>
      <c r="AZ109" s="307">
        <v>9.2659369999999992</v>
      </c>
      <c r="BA109" s="307">
        <v>0</v>
      </c>
      <c r="BB109" s="307">
        <v>0</v>
      </c>
      <c r="BC109" s="307">
        <v>7.9866989999999998</v>
      </c>
      <c r="BD109" s="307">
        <v>9.4910169999999994</v>
      </c>
      <c r="BE109" s="307">
        <v>9.5588859999999993</v>
      </c>
      <c r="BF109" s="307">
        <v>9.1473259999999996</v>
      </c>
      <c r="BG109" s="307">
        <v>11.445209999999999</v>
      </c>
      <c r="BH109" s="307">
        <v>10.351509999999999</v>
      </c>
      <c r="BI109" s="307">
        <v>11.72003</v>
      </c>
      <c r="BJ109" s="307">
        <v>12.21373</v>
      </c>
      <c r="BK109" s="307">
        <v>9.6345729999999996</v>
      </c>
      <c r="BL109">
        <f t="shared" si="4"/>
        <v>3</v>
      </c>
      <c r="BM109">
        <f t="shared" si="5"/>
        <v>10.71316170689655</v>
      </c>
      <c r="BN109">
        <f t="shared" si="6"/>
        <v>15.96848</v>
      </c>
      <c r="BO109">
        <f t="array" ref="BO109">MIN(IF($C109:$BK109&gt;0, $C109:$BK109))</f>
        <v>1.5253760000000001</v>
      </c>
      <c r="BP109">
        <f t="shared" si="7"/>
        <v>9.9535180000000008</v>
      </c>
    </row>
    <row r="110" spans="1:68" x14ac:dyDescent="0.25">
      <c r="A110" s="306">
        <v>324110</v>
      </c>
      <c r="B110" s="307" t="s">
        <v>97</v>
      </c>
      <c r="C110" s="307">
        <v>1.039752</v>
      </c>
      <c r="D110" s="307">
        <v>1.0996939999999999</v>
      </c>
      <c r="E110" s="307">
        <v>1.2499370000000001</v>
      </c>
      <c r="F110" s="307">
        <v>1.717651</v>
      </c>
      <c r="G110" s="307">
        <v>1.115307</v>
      </c>
      <c r="H110" s="307">
        <v>0.79460929999999996</v>
      </c>
      <c r="I110" s="307">
        <v>0.78480899999999998</v>
      </c>
      <c r="J110" s="307">
        <v>0</v>
      </c>
      <c r="K110" s="307">
        <v>0.32112089999999999</v>
      </c>
      <c r="L110" s="307">
        <v>0.81045970000000001</v>
      </c>
      <c r="M110" s="307">
        <v>1.873686</v>
      </c>
      <c r="N110" s="307">
        <v>1.0017210000000001</v>
      </c>
      <c r="O110" s="307">
        <v>1.086327</v>
      </c>
      <c r="P110" s="307">
        <v>1.1648369999999999</v>
      </c>
      <c r="Q110" s="307">
        <v>1.283887</v>
      </c>
      <c r="R110" s="307">
        <v>1.0352429999999999</v>
      </c>
      <c r="S110" s="307">
        <v>0.82511140000000005</v>
      </c>
      <c r="T110" s="307">
        <v>1.2434050000000001</v>
      </c>
      <c r="U110" s="307">
        <v>0.91347659999999997</v>
      </c>
      <c r="V110" s="307">
        <v>1.139389</v>
      </c>
      <c r="W110" s="307">
        <v>1.4911099999999999</v>
      </c>
      <c r="X110" s="307">
        <v>1.7596320000000001</v>
      </c>
      <c r="Y110" s="307">
        <v>1.7609680000000001</v>
      </c>
      <c r="Z110" s="307">
        <v>1.209495</v>
      </c>
      <c r="AA110" s="307">
        <v>1.003771</v>
      </c>
      <c r="AB110" s="307">
        <v>1.636406</v>
      </c>
      <c r="AC110" s="307">
        <v>0.94266459999999996</v>
      </c>
      <c r="AD110" s="307">
        <v>1.2845580000000001</v>
      </c>
      <c r="AE110" s="307">
        <v>1.785568</v>
      </c>
      <c r="AF110" s="307">
        <v>1.1752640000000001</v>
      </c>
      <c r="AG110" s="307">
        <v>0.9778365</v>
      </c>
      <c r="AH110" s="307">
        <v>1.847556</v>
      </c>
      <c r="AI110" s="307">
        <v>1.066295</v>
      </c>
      <c r="AJ110" s="307">
        <v>1.426267</v>
      </c>
      <c r="AK110" s="307">
        <v>1.6314580000000001</v>
      </c>
      <c r="AL110" s="307">
        <v>0.96533990000000003</v>
      </c>
      <c r="AM110" s="307">
        <v>1.1319699999999999</v>
      </c>
      <c r="AN110" s="307">
        <v>1.431827</v>
      </c>
      <c r="AO110" s="307">
        <v>0.73642059999999998</v>
      </c>
      <c r="AP110" s="307">
        <v>1.052745</v>
      </c>
      <c r="AQ110" s="307">
        <v>0</v>
      </c>
      <c r="AR110" s="307">
        <v>1.7623599999999999</v>
      </c>
      <c r="AS110" s="307">
        <v>0.89996209999999999</v>
      </c>
      <c r="AT110" s="307">
        <v>1.0338149999999999</v>
      </c>
      <c r="AU110" s="307">
        <v>0.98125410000000002</v>
      </c>
      <c r="AV110" s="307">
        <v>1.2132339999999999</v>
      </c>
      <c r="AW110" s="307">
        <v>1.02881</v>
      </c>
      <c r="AX110" s="307">
        <v>0</v>
      </c>
      <c r="AY110" s="307">
        <v>1.0083679999999999</v>
      </c>
      <c r="AZ110" s="307">
        <v>1.065531</v>
      </c>
      <c r="BA110" s="307">
        <v>1.3678669999999999</v>
      </c>
      <c r="BB110" s="307">
        <v>1.449951</v>
      </c>
      <c r="BC110" s="307">
        <v>1.866768</v>
      </c>
      <c r="BD110" s="307">
        <v>1.1647289999999999</v>
      </c>
      <c r="BE110" s="307">
        <v>1.092031</v>
      </c>
      <c r="BF110" s="307">
        <v>1.1392580000000001</v>
      </c>
      <c r="BG110" s="307">
        <v>1.2083029999999999</v>
      </c>
      <c r="BH110" s="307">
        <v>1.1141190000000001</v>
      </c>
      <c r="BI110" s="307">
        <v>1.0534809999999999</v>
      </c>
      <c r="BJ110" s="307">
        <v>1.2258020000000001</v>
      </c>
      <c r="BK110" s="307">
        <v>0.83025689999999996</v>
      </c>
      <c r="BL110">
        <f t="shared" si="4"/>
        <v>3</v>
      </c>
      <c r="BM110">
        <f t="shared" si="5"/>
        <v>1.1952323206896551</v>
      </c>
      <c r="BN110">
        <f t="shared" si="6"/>
        <v>1.873686</v>
      </c>
      <c r="BO110">
        <f t="array" ref="BO110">MIN(IF($C110:$BK110&gt;0, $C110:$BK110))</f>
        <v>0.32112089999999999</v>
      </c>
      <c r="BP110">
        <f t="shared" si="7"/>
        <v>1.1141190000000001</v>
      </c>
    </row>
    <row r="111" spans="1:68" x14ac:dyDescent="0.25">
      <c r="A111" s="306">
        <v>324121</v>
      </c>
      <c r="B111" s="307" t="s">
        <v>98</v>
      </c>
      <c r="C111" s="307">
        <v>3.2339319999999998</v>
      </c>
      <c r="D111" s="307">
        <v>2.4334090000000002</v>
      </c>
      <c r="E111" s="307">
        <v>4.1423490000000003</v>
      </c>
      <c r="F111" s="307">
        <v>4.350009</v>
      </c>
      <c r="G111" s="307">
        <v>2.4404319999999999</v>
      </c>
      <c r="H111" s="307">
        <v>2.6693760000000002</v>
      </c>
      <c r="I111" s="307">
        <v>2.7693919999999999</v>
      </c>
      <c r="J111" s="307">
        <v>2.1989640000000001</v>
      </c>
      <c r="K111" s="307">
        <v>0</v>
      </c>
      <c r="L111" s="307">
        <v>3.589</v>
      </c>
      <c r="M111" s="307">
        <v>3.3826800000000001</v>
      </c>
      <c r="N111" s="307">
        <v>3.4485060000000001</v>
      </c>
      <c r="O111" s="307">
        <v>2.3489659999999999</v>
      </c>
      <c r="P111" s="307">
        <v>1.753665</v>
      </c>
      <c r="Q111" s="307">
        <v>2.2795939999999999</v>
      </c>
      <c r="R111" s="307">
        <v>2.3376139999999999</v>
      </c>
      <c r="S111" s="307">
        <v>1.7399039999999999</v>
      </c>
      <c r="T111" s="307">
        <v>3.589699</v>
      </c>
      <c r="U111" s="307">
        <v>3.5663619999999998</v>
      </c>
      <c r="V111" s="307">
        <v>3.6945640000000002</v>
      </c>
      <c r="W111" s="307">
        <v>2.6354799999999998</v>
      </c>
      <c r="X111" s="307">
        <v>3.7595869999999998</v>
      </c>
      <c r="Y111" s="307">
        <v>4.0248200000000001</v>
      </c>
      <c r="Z111" s="307">
        <v>2.4963000000000002</v>
      </c>
      <c r="AA111" s="307">
        <v>4.2583849999999996</v>
      </c>
      <c r="AB111" s="307">
        <v>2.5033470000000002</v>
      </c>
      <c r="AC111" s="307">
        <v>2.686312</v>
      </c>
      <c r="AD111" s="307">
        <v>4.5759410000000003</v>
      </c>
      <c r="AE111" s="307">
        <v>3.9509020000000001</v>
      </c>
      <c r="AF111" s="307">
        <v>0</v>
      </c>
      <c r="AG111" s="307">
        <v>0</v>
      </c>
      <c r="AH111" s="307">
        <v>3.1862219999999999</v>
      </c>
      <c r="AI111" s="307">
        <v>3.112816</v>
      </c>
      <c r="AJ111" s="307">
        <v>4.1774240000000002</v>
      </c>
      <c r="AK111" s="307">
        <v>2.6023269999999998</v>
      </c>
      <c r="AL111" s="307">
        <v>2.4026290000000001</v>
      </c>
      <c r="AM111" s="307">
        <v>3.1538930000000001</v>
      </c>
      <c r="AN111" s="307">
        <v>4.2954369999999997</v>
      </c>
      <c r="AO111" s="307">
        <v>3.1646200000000002</v>
      </c>
      <c r="AP111" s="307">
        <v>3.2794080000000001</v>
      </c>
      <c r="AQ111" s="307">
        <v>2.541388</v>
      </c>
      <c r="AR111" s="307">
        <v>3.3633479999999998</v>
      </c>
      <c r="AS111" s="307">
        <v>2.1911320000000001</v>
      </c>
      <c r="AT111" s="307">
        <v>3.2803870000000002</v>
      </c>
      <c r="AU111" s="307">
        <v>3.3283100000000001</v>
      </c>
      <c r="AV111" s="307">
        <v>4.0379100000000001</v>
      </c>
      <c r="AW111" s="307">
        <v>2.6430090000000002</v>
      </c>
      <c r="AX111" s="307">
        <v>2.4298259999999998</v>
      </c>
      <c r="AY111" s="307">
        <v>2.1257760000000001</v>
      </c>
      <c r="AZ111" s="307">
        <v>3.3279999999999998</v>
      </c>
      <c r="BA111" s="307">
        <v>2.8010640000000002</v>
      </c>
      <c r="BB111" s="307">
        <v>4.4375169999999997</v>
      </c>
      <c r="BC111" s="307">
        <v>3.0044819999999999</v>
      </c>
      <c r="BD111" s="307">
        <v>3.0852089999999999</v>
      </c>
      <c r="BE111" s="307">
        <v>2.7644340000000001</v>
      </c>
      <c r="BF111" s="307">
        <v>2.9353310000000001</v>
      </c>
      <c r="BG111" s="307">
        <v>3.308859</v>
      </c>
      <c r="BH111" s="307">
        <v>3.7434259999999999</v>
      </c>
      <c r="BI111" s="307">
        <v>3.6120830000000002</v>
      </c>
      <c r="BJ111" s="307">
        <v>3.1983570000000001</v>
      </c>
      <c r="BK111" s="307">
        <v>2.629626</v>
      </c>
      <c r="BL111">
        <f t="shared" si="4"/>
        <v>3</v>
      </c>
      <c r="BM111">
        <f t="shared" si="5"/>
        <v>3.1210989827586206</v>
      </c>
      <c r="BN111">
        <f t="shared" si="6"/>
        <v>4.5759410000000003</v>
      </c>
      <c r="BO111">
        <f t="array" ref="BO111">MIN(IF($C111:$BK111&gt;0, $C111:$BK111))</f>
        <v>1.7399039999999999</v>
      </c>
      <c r="BP111">
        <f t="shared" si="7"/>
        <v>3.112816</v>
      </c>
    </row>
    <row r="112" spans="1:68" x14ac:dyDescent="0.25">
      <c r="A112" s="306">
        <v>324122</v>
      </c>
      <c r="B112" s="307" t="s">
        <v>99</v>
      </c>
      <c r="C112" s="307">
        <v>3.4887489999999999</v>
      </c>
      <c r="D112" s="307">
        <v>0</v>
      </c>
      <c r="E112" s="307">
        <v>3.4561389999999999</v>
      </c>
      <c r="F112" s="307">
        <v>2.8156340000000002</v>
      </c>
      <c r="G112" s="307">
        <v>2.5629680000000001</v>
      </c>
      <c r="H112" s="307">
        <v>3.5879219999999998</v>
      </c>
      <c r="I112" s="307">
        <v>3.0960860000000001</v>
      </c>
      <c r="J112" s="307">
        <v>2.8342420000000002</v>
      </c>
      <c r="K112" s="307">
        <v>0</v>
      </c>
      <c r="L112" s="307">
        <v>3.4057119999999999</v>
      </c>
      <c r="M112" s="307">
        <v>3.237679</v>
      </c>
      <c r="N112" s="307">
        <v>3.3418929999999998</v>
      </c>
      <c r="O112" s="307">
        <v>0</v>
      </c>
      <c r="P112" s="307">
        <v>3.0505589999999998</v>
      </c>
      <c r="Q112" s="307">
        <v>2.626868</v>
      </c>
      <c r="R112" s="307">
        <v>3.705981</v>
      </c>
      <c r="S112" s="307">
        <v>3.0627059999999999</v>
      </c>
      <c r="T112" s="307">
        <v>3.7757179999999999</v>
      </c>
      <c r="U112" s="307">
        <v>0</v>
      </c>
      <c r="V112" s="307">
        <v>3.5101300000000002</v>
      </c>
      <c r="W112" s="307">
        <v>2.962558</v>
      </c>
      <c r="X112" s="307">
        <v>2.5777429999999999</v>
      </c>
      <c r="Y112" s="307">
        <v>0</v>
      </c>
      <c r="Z112" s="307">
        <v>3.0786349999999998</v>
      </c>
      <c r="AA112" s="307">
        <v>2.6802980000000001</v>
      </c>
      <c r="AB112" s="307">
        <v>2.9499629999999999</v>
      </c>
      <c r="AC112" s="307">
        <v>3.2677290000000001</v>
      </c>
      <c r="AD112" s="307">
        <v>0</v>
      </c>
      <c r="AE112" s="307">
        <v>3.1314000000000002</v>
      </c>
      <c r="AF112" s="307">
        <v>0</v>
      </c>
      <c r="AG112" s="307">
        <v>4.1300429999999997</v>
      </c>
      <c r="AH112" s="307">
        <v>3.5697260000000002</v>
      </c>
      <c r="AI112" s="307">
        <v>3.1695929999999999</v>
      </c>
      <c r="AJ112" s="307">
        <v>0</v>
      </c>
      <c r="AK112" s="307">
        <v>3.2154180000000001</v>
      </c>
      <c r="AL112" s="307">
        <v>2.7720760000000002</v>
      </c>
      <c r="AM112" s="307">
        <v>3.2026539999999999</v>
      </c>
      <c r="AN112" s="307">
        <v>3.730445</v>
      </c>
      <c r="AO112" s="307">
        <v>2.5740620000000001</v>
      </c>
      <c r="AP112" s="307">
        <v>3.5360429999999998</v>
      </c>
      <c r="AQ112" s="307">
        <v>0</v>
      </c>
      <c r="AR112" s="307">
        <v>2.4594100000000001</v>
      </c>
      <c r="AS112" s="307">
        <v>0</v>
      </c>
      <c r="AT112" s="307">
        <v>2.886247</v>
      </c>
      <c r="AU112" s="307">
        <v>3.2966859999999998</v>
      </c>
      <c r="AV112" s="307">
        <v>3.7676059999999998</v>
      </c>
      <c r="AW112" s="307">
        <v>3.5364260000000001</v>
      </c>
      <c r="AX112" s="307">
        <v>0</v>
      </c>
      <c r="AY112" s="307">
        <v>4.0130929999999996</v>
      </c>
      <c r="AZ112" s="307">
        <v>3.4175230000000001</v>
      </c>
      <c r="BA112" s="307">
        <v>0</v>
      </c>
      <c r="BB112" s="307">
        <v>4.2913040000000002</v>
      </c>
      <c r="BC112" s="307">
        <v>3.366384</v>
      </c>
      <c r="BD112" s="307">
        <v>3.7129349999999999</v>
      </c>
      <c r="BE112" s="307">
        <v>3.5268679999999999</v>
      </c>
      <c r="BF112" s="307">
        <v>3.087971</v>
      </c>
      <c r="BG112" s="307">
        <v>3.0991499999999998</v>
      </c>
      <c r="BH112" s="307">
        <v>3.3449599999999999</v>
      </c>
      <c r="BI112" s="307">
        <v>3.3224010000000002</v>
      </c>
      <c r="BJ112" s="307">
        <v>3.14445</v>
      </c>
      <c r="BK112" s="307">
        <v>3.5301420000000001</v>
      </c>
      <c r="BL112">
        <f t="shared" si="4"/>
        <v>12</v>
      </c>
      <c r="BM112">
        <f t="shared" si="5"/>
        <v>3.2634883265306138</v>
      </c>
      <c r="BN112">
        <f t="shared" si="6"/>
        <v>4.2913040000000002</v>
      </c>
      <c r="BO112">
        <f t="array" ref="BO112">MIN(IF($C112:$BK112&gt;0, $C112:$BK112))</f>
        <v>2.4594100000000001</v>
      </c>
      <c r="BP112">
        <f t="shared" si="7"/>
        <v>3.1314000000000002</v>
      </c>
    </row>
    <row r="113" spans="1:68" x14ac:dyDescent="0.25">
      <c r="A113" s="306">
        <v>324191</v>
      </c>
      <c r="B113" s="307" t="s">
        <v>100</v>
      </c>
      <c r="C113" s="307">
        <v>3.07335</v>
      </c>
      <c r="D113" s="307">
        <v>0</v>
      </c>
      <c r="E113" s="307">
        <v>4.0022390000000003</v>
      </c>
      <c r="F113" s="307">
        <v>5.4159129999999998</v>
      </c>
      <c r="G113" s="307">
        <v>3.0487860000000002</v>
      </c>
      <c r="H113" s="307">
        <v>3.07917</v>
      </c>
      <c r="I113" s="307">
        <v>3.3861780000000001</v>
      </c>
      <c r="J113" s="307">
        <v>4.5682900000000002</v>
      </c>
      <c r="K113" s="307">
        <v>0</v>
      </c>
      <c r="L113" s="307">
        <v>1.800999</v>
      </c>
      <c r="M113" s="307">
        <v>3.9971169999999998</v>
      </c>
      <c r="N113" s="307">
        <v>3.1764510000000001</v>
      </c>
      <c r="O113" s="307">
        <v>0</v>
      </c>
      <c r="P113" s="307">
        <v>2.1135030000000001</v>
      </c>
      <c r="Q113" s="307">
        <v>0</v>
      </c>
      <c r="R113" s="307">
        <v>2.6358229999999998</v>
      </c>
      <c r="S113" s="307">
        <v>3.0048819999999998</v>
      </c>
      <c r="T113" s="307">
        <v>2.864973</v>
      </c>
      <c r="U113" s="307">
        <v>1.5884229999999999</v>
      </c>
      <c r="V113" s="307">
        <v>2.7324660000000001</v>
      </c>
      <c r="W113" s="307">
        <v>2.903276</v>
      </c>
      <c r="X113" s="307">
        <v>2.6770860000000001</v>
      </c>
      <c r="Y113" s="307">
        <v>0</v>
      </c>
      <c r="Z113" s="307">
        <v>2.577966</v>
      </c>
      <c r="AA113" s="307">
        <v>3.4479120000000001</v>
      </c>
      <c r="AB113" s="307">
        <v>2.7643529999999998</v>
      </c>
      <c r="AC113" s="307">
        <v>3.0148760000000001</v>
      </c>
      <c r="AD113" s="307">
        <v>0</v>
      </c>
      <c r="AE113" s="307">
        <v>3.360919</v>
      </c>
      <c r="AF113" s="307">
        <v>0</v>
      </c>
      <c r="AG113" s="307">
        <v>3.7036210000000001</v>
      </c>
      <c r="AH113" s="307">
        <v>2.740888</v>
      </c>
      <c r="AI113" s="307">
        <v>1.7013879999999999</v>
      </c>
      <c r="AJ113" s="307">
        <v>4.3597239999999999</v>
      </c>
      <c r="AK113" s="307">
        <v>3.30531</v>
      </c>
      <c r="AL113" s="307">
        <v>3.270041</v>
      </c>
      <c r="AM113" s="307">
        <v>3.3705189999999998</v>
      </c>
      <c r="AN113" s="307">
        <v>4.0570029999999999</v>
      </c>
      <c r="AO113" s="307">
        <v>2.2542309999999999</v>
      </c>
      <c r="AP113" s="307">
        <v>2.7059009999999999</v>
      </c>
      <c r="AQ113" s="307">
        <v>0</v>
      </c>
      <c r="AR113" s="307">
        <v>3.9615079999999998</v>
      </c>
      <c r="AS113" s="307">
        <v>0</v>
      </c>
      <c r="AT113" s="307">
        <v>1.382266</v>
      </c>
      <c r="AU113" s="307">
        <v>3.2585090000000001</v>
      </c>
      <c r="AV113" s="307">
        <v>2.6095329999999999</v>
      </c>
      <c r="AW113" s="307">
        <v>0</v>
      </c>
      <c r="AX113" s="307">
        <v>0</v>
      </c>
      <c r="AY113" s="307">
        <v>3.6399050000000002</v>
      </c>
      <c r="AZ113" s="307">
        <v>2.8652069999999998</v>
      </c>
      <c r="BA113" s="307">
        <v>2.3470710000000001</v>
      </c>
      <c r="BB113" s="307">
        <v>0</v>
      </c>
      <c r="BC113" s="307">
        <v>3.0951360000000001</v>
      </c>
      <c r="BD113" s="307">
        <v>2.5679850000000002</v>
      </c>
      <c r="BE113" s="307">
        <v>2.9124270000000001</v>
      </c>
      <c r="BF113" s="307">
        <v>3.0029629999999998</v>
      </c>
      <c r="BG113" s="307">
        <v>3.335229</v>
      </c>
      <c r="BH113" s="307">
        <v>2.9742649999999999</v>
      </c>
      <c r="BI113" s="307">
        <v>3.1744539999999999</v>
      </c>
      <c r="BJ113" s="307">
        <v>3.342041</v>
      </c>
      <c r="BK113" s="307">
        <v>3.1109279999999999</v>
      </c>
      <c r="BL113">
        <f t="shared" si="4"/>
        <v>12</v>
      </c>
      <c r="BM113">
        <f t="shared" si="5"/>
        <v>3.0670000816326533</v>
      </c>
      <c r="BN113">
        <f t="shared" si="6"/>
        <v>5.4159129999999998</v>
      </c>
      <c r="BO113">
        <f t="array" ref="BO113">MIN(IF($C113:$BK113&gt;0, $C113:$BK113))</f>
        <v>1.382266</v>
      </c>
      <c r="BP113">
        <f t="shared" si="7"/>
        <v>2.903276</v>
      </c>
    </row>
    <row r="114" spans="1:68" x14ac:dyDescent="0.25">
      <c r="A114" s="306">
        <v>324199</v>
      </c>
      <c r="B114" s="307" t="s">
        <v>101</v>
      </c>
      <c r="C114" s="307">
        <v>2.9213399999999998</v>
      </c>
      <c r="D114" s="307">
        <v>0</v>
      </c>
      <c r="E114" s="307">
        <v>3.0893619999999999</v>
      </c>
      <c r="F114" s="307">
        <v>0</v>
      </c>
      <c r="G114" s="307">
        <v>0</v>
      </c>
      <c r="H114" s="307">
        <v>2.2390539999999999</v>
      </c>
      <c r="I114" s="307">
        <v>4.7672249999999998</v>
      </c>
      <c r="J114" s="307">
        <v>0</v>
      </c>
      <c r="K114" s="307">
        <v>0</v>
      </c>
      <c r="L114" s="307">
        <v>0</v>
      </c>
      <c r="M114" s="307">
        <v>4.6311520000000002</v>
      </c>
      <c r="N114" s="307">
        <v>3.1204559999999999</v>
      </c>
      <c r="O114" s="307">
        <v>0</v>
      </c>
      <c r="P114" s="307">
        <v>0</v>
      </c>
      <c r="Q114" s="307">
        <v>0</v>
      </c>
      <c r="R114" s="307">
        <v>2.8429679999999999</v>
      </c>
      <c r="S114" s="307">
        <v>2.0136560000000001</v>
      </c>
      <c r="T114" s="307">
        <v>0</v>
      </c>
      <c r="U114" s="307">
        <v>1.8024469999999999</v>
      </c>
      <c r="V114" s="307">
        <v>3.115564</v>
      </c>
      <c r="W114" s="307">
        <v>0</v>
      </c>
      <c r="X114" s="307">
        <v>0</v>
      </c>
      <c r="Y114" s="307">
        <v>0</v>
      </c>
      <c r="Z114" s="307">
        <v>2.5504509999999998</v>
      </c>
      <c r="AA114" s="307">
        <v>3.0874380000000001</v>
      </c>
      <c r="AB114" s="307">
        <v>0</v>
      </c>
      <c r="AC114" s="307">
        <v>1.962189</v>
      </c>
      <c r="AD114" s="307">
        <v>0</v>
      </c>
      <c r="AE114" s="307">
        <v>0</v>
      </c>
      <c r="AF114" s="307">
        <v>0</v>
      </c>
      <c r="AG114" s="307">
        <v>1.7427779999999999</v>
      </c>
      <c r="AH114" s="307">
        <v>0</v>
      </c>
      <c r="AI114" s="307">
        <v>4.2845230000000001</v>
      </c>
      <c r="AJ114" s="307">
        <v>0</v>
      </c>
      <c r="AK114" s="307">
        <v>0</v>
      </c>
      <c r="AL114" s="307">
        <v>3.2829709999999999</v>
      </c>
      <c r="AM114" s="307">
        <v>2.255144</v>
      </c>
      <c r="AN114" s="307">
        <v>2.8224619999999998</v>
      </c>
      <c r="AO114" s="307">
        <v>0</v>
      </c>
      <c r="AP114" s="307">
        <v>2.6350709999999999</v>
      </c>
      <c r="AQ114" s="307">
        <v>0</v>
      </c>
      <c r="AR114" s="307">
        <v>3.2134779999999998</v>
      </c>
      <c r="AS114" s="307">
        <v>0</v>
      </c>
      <c r="AT114" s="307">
        <v>3.7781729999999998</v>
      </c>
      <c r="AU114" s="307">
        <v>1.8578479999999999</v>
      </c>
      <c r="AV114" s="307">
        <v>2.8483969999999998</v>
      </c>
      <c r="AW114" s="307">
        <v>2.2420420000000001</v>
      </c>
      <c r="AX114" s="307">
        <v>0</v>
      </c>
      <c r="AY114" s="307">
        <v>0</v>
      </c>
      <c r="AZ114" s="307">
        <v>4.255878</v>
      </c>
      <c r="BA114" s="307">
        <v>2.2603620000000002</v>
      </c>
      <c r="BB114" s="307">
        <v>2.6177220000000001</v>
      </c>
      <c r="BC114" s="307">
        <v>0</v>
      </c>
      <c r="BD114" s="307">
        <v>3.0143979999999999</v>
      </c>
      <c r="BE114" s="307">
        <v>2.6022479999999999</v>
      </c>
      <c r="BF114" s="307">
        <v>1.982137</v>
      </c>
      <c r="BG114" s="307">
        <v>2.8146640000000001</v>
      </c>
      <c r="BH114" s="307">
        <v>2.4960930000000001</v>
      </c>
      <c r="BI114" s="307">
        <v>2.8084750000000001</v>
      </c>
      <c r="BJ114" s="307">
        <v>2.735411</v>
      </c>
      <c r="BK114" s="307">
        <v>2.239468</v>
      </c>
      <c r="BL114">
        <f t="shared" si="4"/>
        <v>26</v>
      </c>
      <c r="BM114">
        <f t="shared" si="5"/>
        <v>2.8266584285714287</v>
      </c>
      <c r="BN114">
        <f t="shared" si="6"/>
        <v>4.7672249999999998</v>
      </c>
      <c r="BO114">
        <f t="array" ref="BO114">MIN(IF($C114:$BK114&gt;0, $C114:$BK114))</f>
        <v>1.7427779999999999</v>
      </c>
      <c r="BP114">
        <f t="shared" si="7"/>
        <v>1.982137</v>
      </c>
    </row>
    <row r="115" spans="1:68" x14ac:dyDescent="0.25">
      <c r="A115" s="306">
        <v>325110</v>
      </c>
      <c r="B115" s="307" t="s">
        <v>102</v>
      </c>
      <c r="C115" s="307">
        <v>1.1090249999999999</v>
      </c>
      <c r="D115" s="307">
        <v>0</v>
      </c>
      <c r="E115" s="307">
        <v>0.96327470000000004</v>
      </c>
      <c r="F115" s="307">
        <v>2.1732450000000001</v>
      </c>
      <c r="G115" s="307">
        <v>0</v>
      </c>
      <c r="H115" s="307">
        <v>1.712664</v>
      </c>
      <c r="I115" s="307">
        <v>0</v>
      </c>
      <c r="J115" s="307">
        <v>1.57172</v>
      </c>
      <c r="K115" s="307">
        <v>0</v>
      </c>
      <c r="L115" s="307">
        <v>0.97597259999999997</v>
      </c>
      <c r="M115" s="307">
        <v>1.500103</v>
      </c>
      <c r="N115" s="307">
        <v>1.7033389999999999</v>
      </c>
      <c r="O115" s="307">
        <v>0</v>
      </c>
      <c r="P115" s="307">
        <v>0</v>
      </c>
      <c r="Q115" s="307">
        <v>0</v>
      </c>
      <c r="R115" s="307">
        <v>1.2594590000000001</v>
      </c>
      <c r="S115" s="307">
        <v>0</v>
      </c>
      <c r="T115" s="307">
        <v>0</v>
      </c>
      <c r="U115" s="307">
        <v>0</v>
      </c>
      <c r="V115" s="307">
        <v>1.1170739999999999</v>
      </c>
      <c r="W115" s="307">
        <v>1.935584</v>
      </c>
      <c r="X115" s="307">
        <v>0</v>
      </c>
      <c r="Y115" s="307">
        <v>2.2783470000000001</v>
      </c>
      <c r="Z115" s="307">
        <v>1.5430889999999999</v>
      </c>
      <c r="AA115" s="307">
        <v>0</v>
      </c>
      <c r="AB115" s="307">
        <v>0.76318680000000005</v>
      </c>
      <c r="AC115" s="307">
        <v>1.314022</v>
      </c>
      <c r="AD115" s="307">
        <v>0</v>
      </c>
      <c r="AE115" s="307">
        <v>1.173497</v>
      </c>
      <c r="AF115" s="307">
        <v>0</v>
      </c>
      <c r="AG115" s="307">
        <v>0</v>
      </c>
      <c r="AH115" s="307">
        <v>0</v>
      </c>
      <c r="AI115" s="307">
        <v>1.129162</v>
      </c>
      <c r="AJ115" s="307">
        <v>0</v>
      </c>
      <c r="AK115" s="307">
        <v>0</v>
      </c>
      <c r="AL115" s="307">
        <v>1.9547859999999999</v>
      </c>
      <c r="AM115" s="307">
        <v>1.2434130000000001</v>
      </c>
      <c r="AN115" s="307">
        <v>0</v>
      </c>
      <c r="AO115" s="307">
        <v>0</v>
      </c>
      <c r="AP115" s="307">
        <v>1.086724</v>
      </c>
      <c r="AQ115" s="307">
        <v>0</v>
      </c>
      <c r="AR115" s="307">
        <v>1.175109</v>
      </c>
      <c r="AS115" s="307">
        <v>0</v>
      </c>
      <c r="AT115" s="307">
        <v>1.415608</v>
      </c>
      <c r="AU115" s="307">
        <v>1.036459</v>
      </c>
      <c r="AV115" s="307">
        <v>0</v>
      </c>
      <c r="AW115" s="307">
        <v>0</v>
      </c>
      <c r="AX115" s="307">
        <v>0</v>
      </c>
      <c r="AY115" s="307">
        <v>1.254121</v>
      </c>
      <c r="AZ115" s="307">
        <v>0</v>
      </c>
      <c r="BA115" s="307">
        <v>1.2916000000000001</v>
      </c>
      <c r="BB115" s="307">
        <v>0</v>
      </c>
      <c r="BC115" s="307">
        <v>1.9713419999999999</v>
      </c>
      <c r="BD115" s="307">
        <v>1.1959230000000001</v>
      </c>
      <c r="BE115" s="307">
        <v>1.3348880000000001</v>
      </c>
      <c r="BF115" s="307">
        <v>0.83789939999999996</v>
      </c>
      <c r="BG115" s="307">
        <v>1.2651950000000001</v>
      </c>
      <c r="BH115" s="307">
        <v>1.105745</v>
      </c>
      <c r="BI115" s="307">
        <v>1.0635220000000001</v>
      </c>
      <c r="BJ115" s="307">
        <v>0</v>
      </c>
      <c r="BK115" s="307">
        <v>1.541066</v>
      </c>
      <c r="BL115">
        <f t="shared" si="4"/>
        <v>28</v>
      </c>
      <c r="BM115">
        <f t="shared" si="5"/>
        <v>1.3635201363636362</v>
      </c>
      <c r="BN115">
        <f t="shared" si="6"/>
        <v>2.2783470000000001</v>
      </c>
      <c r="BO115">
        <f t="array" ref="BO115">MIN(IF($C115:$BK115&gt;0, $C115:$BK115))</f>
        <v>0.76318680000000005</v>
      </c>
      <c r="BP115">
        <f t="shared" si="7"/>
        <v>0.96327470000000004</v>
      </c>
    </row>
    <row r="116" spans="1:68" x14ac:dyDescent="0.25">
      <c r="A116" s="306">
        <v>325120</v>
      </c>
      <c r="B116" s="307" t="s">
        <v>103</v>
      </c>
      <c r="C116" s="307">
        <v>1.5664689999999999</v>
      </c>
      <c r="D116" s="307">
        <v>0</v>
      </c>
      <c r="E116" s="307">
        <v>1.7167539999999999</v>
      </c>
      <c r="F116" s="307">
        <v>1.9316519999999999</v>
      </c>
      <c r="G116" s="307">
        <v>1.4954959999999999</v>
      </c>
      <c r="H116" s="307">
        <v>1.577475</v>
      </c>
      <c r="I116" s="307">
        <v>1.953068</v>
      </c>
      <c r="J116" s="307">
        <v>0.7985468</v>
      </c>
      <c r="K116" s="307">
        <v>0</v>
      </c>
      <c r="L116" s="307">
        <v>1.1970989999999999</v>
      </c>
      <c r="M116" s="307">
        <v>1.7437290000000001</v>
      </c>
      <c r="N116" s="307">
        <v>2.012483</v>
      </c>
      <c r="O116" s="307">
        <v>1.598058</v>
      </c>
      <c r="P116" s="307">
        <v>2.004394</v>
      </c>
      <c r="Q116" s="307">
        <v>2.4582609999999998</v>
      </c>
      <c r="R116" s="307">
        <v>1.3427770000000001</v>
      </c>
      <c r="S116" s="307">
        <v>1.5695669999999999</v>
      </c>
      <c r="T116" s="307">
        <v>1.6842550000000001</v>
      </c>
      <c r="U116" s="307">
        <v>2.604838</v>
      </c>
      <c r="V116" s="307">
        <v>1.529547</v>
      </c>
      <c r="W116" s="307">
        <v>1.5591649999999999</v>
      </c>
      <c r="X116" s="307">
        <v>1.6981170000000001</v>
      </c>
      <c r="Y116" s="307">
        <v>1.8121370000000001</v>
      </c>
      <c r="Z116" s="307">
        <v>1.9502440000000001</v>
      </c>
      <c r="AA116" s="307">
        <v>1.854544</v>
      </c>
      <c r="AB116" s="307">
        <v>1.3544750000000001</v>
      </c>
      <c r="AC116" s="307">
        <v>2.755474</v>
      </c>
      <c r="AD116" s="307">
        <v>2.0475080000000001</v>
      </c>
      <c r="AE116" s="307">
        <v>1.9841789999999999</v>
      </c>
      <c r="AF116" s="307">
        <v>0</v>
      </c>
      <c r="AG116" s="307">
        <v>3.8609819999999999</v>
      </c>
      <c r="AH116" s="307">
        <v>0</v>
      </c>
      <c r="AI116" s="307">
        <v>0.88843269999999996</v>
      </c>
      <c r="AJ116" s="307">
        <v>1.6956869999999999</v>
      </c>
      <c r="AK116" s="307">
        <v>1.5426850000000001</v>
      </c>
      <c r="AL116" s="307">
        <v>1.095097</v>
      </c>
      <c r="AM116" s="307">
        <v>1.760761</v>
      </c>
      <c r="AN116" s="307">
        <v>2.1215079999999999</v>
      </c>
      <c r="AO116" s="307">
        <v>1.6489259999999999</v>
      </c>
      <c r="AP116" s="307">
        <v>1.6444030000000001</v>
      </c>
      <c r="AQ116" s="307">
        <v>2.3671099999999998</v>
      </c>
      <c r="AR116" s="307">
        <v>2.1041650000000001</v>
      </c>
      <c r="AS116" s="307">
        <v>0</v>
      </c>
      <c r="AT116" s="307">
        <v>2.1244100000000001</v>
      </c>
      <c r="AU116" s="307">
        <v>1.4077949999999999</v>
      </c>
      <c r="AV116" s="307">
        <v>1.8965270000000001</v>
      </c>
      <c r="AW116" s="307">
        <v>1.8460110000000001</v>
      </c>
      <c r="AX116" s="307">
        <v>0</v>
      </c>
      <c r="AY116" s="307">
        <v>1.634053</v>
      </c>
      <c r="AZ116" s="307">
        <v>1.952221</v>
      </c>
      <c r="BA116" s="307">
        <v>2.10053</v>
      </c>
      <c r="BB116" s="307">
        <v>2.2051240000000001</v>
      </c>
      <c r="BC116" s="307">
        <v>0.96153010000000005</v>
      </c>
      <c r="BD116" s="307">
        <v>1.332837</v>
      </c>
      <c r="BE116" s="307">
        <v>1.6542669999999999</v>
      </c>
      <c r="BF116" s="307">
        <v>2.0884420000000001</v>
      </c>
      <c r="BG116" s="307">
        <v>1.9011739999999999</v>
      </c>
      <c r="BH116" s="307">
        <v>2.0367540000000002</v>
      </c>
      <c r="BI116" s="307">
        <v>1.458661</v>
      </c>
      <c r="BJ116" s="307">
        <v>1.7889839999999999</v>
      </c>
      <c r="BK116" s="307">
        <v>1.6030219999999999</v>
      </c>
      <c r="BL116">
        <f t="shared" si="4"/>
        <v>6</v>
      </c>
      <c r="BM116">
        <f t="shared" si="5"/>
        <v>1.7913165563636364</v>
      </c>
      <c r="BN116">
        <f t="shared" si="6"/>
        <v>3.8609819999999999</v>
      </c>
      <c r="BO116">
        <f t="array" ref="BO116">MIN(IF($C116:$BK116&gt;0, $C116:$BK116))</f>
        <v>0.7985468</v>
      </c>
      <c r="BP116">
        <f t="shared" si="7"/>
        <v>1.6956869999999999</v>
      </c>
    </row>
    <row r="117" spans="1:68" x14ac:dyDescent="0.25">
      <c r="A117" s="306">
        <v>325130</v>
      </c>
      <c r="B117" s="307" t="s">
        <v>104</v>
      </c>
      <c r="C117" s="307">
        <v>2.273444</v>
      </c>
      <c r="D117" s="307">
        <v>0</v>
      </c>
      <c r="E117" s="307">
        <v>1.6199129999999999</v>
      </c>
      <c r="F117" s="307">
        <v>2.6114519999999999</v>
      </c>
      <c r="G117" s="307">
        <v>2.386819</v>
      </c>
      <c r="H117" s="307">
        <v>3.253126</v>
      </c>
      <c r="I117" s="307">
        <v>3.254146</v>
      </c>
      <c r="J117" s="307">
        <v>2.9937749999999999</v>
      </c>
      <c r="K117" s="307">
        <v>0</v>
      </c>
      <c r="L117" s="307">
        <v>1.1990080000000001</v>
      </c>
      <c r="M117" s="307">
        <v>2.9644349999999999</v>
      </c>
      <c r="N117" s="307">
        <v>2.316646</v>
      </c>
      <c r="O117" s="307">
        <v>0</v>
      </c>
      <c r="P117" s="307">
        <v>2.4081049999999999</v>
      </c>
      <c r="Q117" s="307">
        <v>3.2570320000000001</v>
      </c>
      <c r="R117" s="307">
        <v>2.6697639999999998</v>
      </c>
      <c r="S117" s="307">
        <v>2.7168459999999999</v>
      </c>
      <c r="T117" s="307">
        <v>2.6480779999999999</v>
      </c>
      <c r="U117" s="307">
        <v>2.2054510000000001</v>
      </c>
      <c r="V117" s="307">
        <v>2.1501039999999998</v>
      </c>
      <c r="W117" s="307">
        <v>2.7228400000000001</v>
      </c>
      <c r="X117" s="307">
        <v>1.5163549999999999</v>
      </c>
      <c r="Y117" s="307">
        <v>0</v>
      </c>
      <c r="Z117" s="307">
        <v>2.4851860000000001</v>
      </c>
      <c r="AA117" s="307">
        <v>2.475482</v>
      </c>
      <c r="AB117" s="307">
        <v>2.541658</v>
      </c>
      <c r="AC117" s="307">
        <v>2.0803229999999999</v>
      </c>
      <c r="AD117" s="307">
        <v>0</v>
      </c>
      <c r="AE117" s="307">
        <v>1.936928</v>
      </c>
      <c r="AF117" s="307">
        <v>0</v>
      </c>
      <c r="AG117" s="307">
        <v>0</v>
      </c>
      <c r="AH117" s="307">
        <v>1.702305</v>
      </c>
      <c r="AI117" s="307">
        <v>2.069842</v>
      </c>
      <c r="AJ117" s="307">
        <v>0</v>
      </c>
      <c r="AK117" s="307">
        <v>0</v>
      </c>
      <c r="AL117" s="307">
        <v>1.9658420000000001</v>
      </c>
      <c r="AM117" s="307">
        <v>2.2882340000000001</v>
      </c>
      <c r="AN117" s="307">
        <v>2.7570739999999998</v>
      </c>
      <c r="AO117" s="307">
        <v>1.652668</v>
      </c>
      <c r="AP117" s="307">
        <v>2.0991309999999999</v>
      </c>
      <c r="AQ117" s="307">
        <v>1.909117</v>
      </c>
      <c r="AR117" s="307">
        <v>2.5603259999999999</v>
      </c>
      <c r="AS117" s="307">
        <v>0</v>
      </c>
      <c r="AT117" s="307">
        <v>2.021906</v>
      </c>
      <c r="AU117" s="307">
        <v>1.767153</v>
      </c>
      <c r="AV117" s="307">
        <v>0</v>
      </c>
      <c r="AW117" s="307">
        <v>2.6847110000000001</v>
      </c>
      <c r="AX117" s="307">
        <v>0</v>
      </c>
      <c r="AY117" s="307">
        <v>1.5958859999999999</v>
      </c>
      <c r="AZ117" s="307">
        <v>2.1998479999999998</v>
      </c>
      <c r="BA117" s="307">
        <v>1.789955</v>
      </c>
      <c r="BB117" s="307">
        <v>0</v>
      </c>
      <c r="BC117" s="307">
        <v>2.4366620000000001</v>
      </c>
      <c r="BD117" s="307">
        <v>2.2363900000000001</v>
      </c>
      <c r="BE117" s="307">
        <v>2.4756999999999998</v>
      </c>
      <c r="BF117" s="307">
        <v>2.6655120000000001</v>
      </c>
      <c r="BG117" s="307">
        <v>2.053334</v>
      </c>
      <c r="BH117" s="307">
        <v>2.1071810000000002</v>
      </c>
      <c r="BI117" s="307">
        <v>1.885189</v>
      </c>
      <c r="BJ117" s="307">
        <v>2.4757099999999999</v>
      </c>
      <c r="BK117" s="307">
        <v>2.2198980000000001</v>
      </c>
      <c r="BL117">
        <f t="shared" si="4"/>
        <v>13</v>
      </c>
      <c r="BM117">
        <f t="shared" si="5"/>
        <v>2.2980518750000001</v>
      </c>
      <c r="BN117">
        <f t="shared" si="6"/>
        <v>3.2570320000000001</v>
      </c>
      <c r="BO117">
        <f t="array" ref="BO117">MIN(IF($C117:$BK117&gt;0, $C117:$BK117))</f>
        <v>1.1990080000000001</v>
      </c>
      <c r="BP117">
        <f t="shared" si="7"/>
        <v>2.1071810000000002</v>
      </c>
    </row>
    <row r="118" spans="1:68" x14ac:dyDescent="0.25">
      <c r="A118" s="306">
        <v>325181</v>
      </c>
      <c r="B118" s="307" t="s">
        <v>105</v>
      </c>
      <c r="C118" s="307">
        <v>1.897456</v>
      </c>
      <c r="D118" s="307">
        <v>0</v>
      </c>
      <c r="E118" s="307">
        <v>1.868471</v>
      </c>
      <c r="F118" s="307">
        <v>0</v>
      </c>
      <c r="G118" s="307">
        <v>0</v>
      </c>
      <c r="H118" s="307">
        <v>2.1579199999999998</v>
      </c>
      <c r="I118" s="307">
        <v>1.9012960000000001</v>
      </c>
      <c r="J118" s="307">
        <v>0</v>
      </c>
      <c r="K118" s="307">
        <v>0</v>
      </c>
      <c r="L118" s="307">
        <v>1.179745</v>
      </c>
      <c r="M118" s="307">
        <v>2.5348660000000001</v>
      </c>
      <c r="N118" s="307">
        <v>1.078962</v>
      </c>
      <c r="O118" s="307">
        <v>0</v>
      </c>
      <c r="P118" s="307">
        <v>1.979228</v>
      </c>
      <c r="Q118" s="307">
        <v>0</v>
      </c>
      <c r="R118" s="307">
        <v>3.6902270000000001</v>
      </c>
      <c r="S118" s="307">
        <v>0</v>
      </c>
      <c r="T118" s="307">
        <v>1.750942</v>
      </c>
      <c r="U118" s="307">
        <v>0</v>
      </c>
      <c r="V118" s="307">
        <v>1.9105639999999999</v>
      </c>
      <c r="W118" s="307">
        <v>0</v>
      </c>
      <c r="X118" s="307">
        <v>1.4223840000000001</v>
      </c>
      <c r="Y118" s="307">
        <v>0</v>
      </c>
      <c r="Z118" s="307">
        <v>4.0082750000000003</v>
      </c>
      <c r="AA118" s="307">
        <v>0</v>
      </c>
      <c r="AB118" s="307">
        <v>0</v>
      </c>
      <c r="AC118" s="307">
        <v>3.735617</v>
      </c>
      <c r="AD118" s="307">
        <v>0</v>
      </c>
      <c r="AE118" s="307">
        <v>0</v>
      </c>
      <c r="AF118" s="307">
        <v>0</v>
      </c>
      <c r="AG118" s="307">
        <v>0</v>
      </c>
      <c r="AH118" s="307">
        <v>0</v>
      </c>
      <c r="AI118" s="307">
        <v>0.94342510000000002</v>
      </c>
      <c r="AJ118" s="307">
        <v>0</v>
      </c>
      <c r="AK118" s="307">
        <v>1.422701</v>
      </c>
      <c r="AL118" s="307">
        <v>1.628036</v>
      </c>
      <c r="AM118" s="307">
        <v>2.4470360000000002</v>
      </c>
      <c r="AN118" s="307">
        <v>1.355494</v>
      </c>
      <c r="AO118" s="307">
        <v>0</v>
      </c>
      <c r="AP118" s="307">
        <v>1.7551909999999999</v>
      </c>
      <c r="AQ118" s="307">
        <v>0</v>
      </c>
      <c r="AR118" s="307">
        <v>0</v>
      </c>
      <c r="AS118" s="307">
        <v>0</v>
      </c>
      <c r="AT118" s="307">
        <v>1.7456970000000001</v>
      </c>
      <c r="AU118" s="307">
        <v>1.370134</v>
      </c>
      <c r="AV118" s="307">
        <v>3.897637</v>
      </c>
      <c r="AW118" s="307">
        <v>2.3914019999999998</v>
      </c>
      <c r="AX118" s="307">
        <v>0</v>
      </c>
      <c r="AY118" s="307">
        <v>2.401929</v>
      </c>
      <c r="AZ118" s="307">
        <v>1.941516</v>
      </c>
      <c r="BA118" s="307">
        <v>2.227557</v>
      </c>
      <c r="BB118" s="307">
        <v>2.0167069999999998</v>
      </c>
      <c r="BC118" s="307">
        <v>0</v>
      </c>
      <c r="BD118" s="307">
        <v>1.8563229999999999</v>
      </c>
      <c r="BE118" s="307">
        <v>2.4211420000000001</v>
      </c>
      <c r="BF118" s="307">
        <v>1.9330309999999999</v>
      </c>
      <c r="BG118" s="307">
        <v>2.0537260000000002</v>
      </c>
      <c r="BH118" s="307">
        <v>1.7914000000000001</v>
      </c>
      <c r="BI118" s="307">
        <v>1.679783</v>
      </c>
      <c r="BJ118" s="307">
        <v>1.9498489999999999</v>
      </c>
      <c r="BK118" s="307">
        <v>2.1730040000000002</v>
      </c>
      <c r="BL118">
        <f t="shared" si="4"/>
        <v>25</v>
      </c>
      <c r="BM118">
        <f t="shared" si="5"/>
        <v>2.0699631416666673</v>
      </c>
      <c r="BN118">
        <f t="shared" si="6"/>
        <v>4.0082750000000003</v>
      </c>
      <c r="BO118">
        <f t="array" ref="BO118">MIN(IF($C118:$BK118&gt;0, $C118:$BK118))</f>
        <v>0.94342510000000002</v>
      </c>
      <c r="BP118">
        <f t="shared" si="7"/>
        <v>1.4223840000000001</v>
      </c>
    </row>
    <row r="119" spans="1:68" x14ac:dyDescent="0.25">
      <c r="A119" s="306">
        <v>325182</v>
      </c>
      <c r="B119" s="307" t="s">
        <v>106</v>
      </c>
      <c r="C119" s="307">
        <v>1.589777</v>
      </c>
      <c r="D119" s="307">
        <v>0</v>
      </c>
      <c r="E119" s="307">
        <v>1.8362350000000001</v>
      </c>
      <c r="F119" s="307">
        <v>0</v>
      </c>
      <c r="G119" s="307">
        <v>0</v>
      </c>
      <c r="H119" s="307">
        <v>0</v>
      </c>
      <c r="I119" s="307">
        <v>0</v>
      </c>
      <c r="J119" s="307">
        <v>0</v>
      </c>
      <c r="K119" s="307">
        <v>0</v>
      </c>
      <c r="L119" s="307">
        <v>0</v>
      </c>
      <c r="M119" s="307">
        <v>0</v>
      </c>
      <c r="N119" s="307">
        <v>1.296198</v>
      </c>
      <c r="O119" s="307">
        <v>0</v>
      </c>
      <c r="P119" s="307">
        <v>0</v>
      </c>
      <c r="Q119" s="307">
        <v>0</v>
      </c>
      <c r="R119" s="307">
        <v>0</v>
      </c>
      <c r="S119" s="307">
        <v>0</v>
      </c>
      <c r="T119" s="307">
        <v>1.6844300000000001</v>
      </c>
      <c r="U119" s="307">
        <v>1.7156899999999999</v>
      </c>
      <c r="V119" s="307">
        <v>1.6608849999999999</v>
      </c>
      <c r="W119" s="307">
        <v>0</v>
      </c>
      <c r="X119" s="307">
        <v>0</v>
      </c>
      <c r="Y119" s="307">
        <v>0</v>
      </c>
      <c r="Z119" s="307">
        <v>0</v>
      </c>
      <c r="AA119" s="307">
        <v>0</v>
      </c>
      <c r="AB119" s="307">
        <v>0</v>
      </c>
      <c r="AC119" s="307">
        <v>0</v>
      </c>
      <c r="AD119" s="307">
        <v>0</v>
      </c>
      <c r="AE119" s="307">
        <v>1.9662170000000001</v>
      </c>
      <c r="AF119" s="307">
        <v>0</v>
      </c>
      <c r="AG119" s="307">
        <v>0</v>
      </c>
      <c r="AH119" s="307">
        <v>0</v>
      </c>
      <c r="AI119" s="307">
        <v>0</v>
      </c>
      <c r="AJ119" s="307">
        <v>0</v>
      </c>
      <c r="AK119" s="307">
        <v>0</v>
      </c>
      <c r="AL119" s="307">
        <v>0</v>
      </c>
      <c r="AM119" s="307">
        <v>1.649575</v>
      </c>
      <c r="AN119" s="307">
        <v>1.5707690000000001</v>
      </c>
      <c r="AO119" s="307">
        <v>0</v>
      </c>
      <c r="AP119" s="307">
        <v>0</v>
      </c>
      <c r="AQ119" s="307">
        <v>0</v>
      </c>
      <c r="AR119" s="307">
        <v>0</v>
      </c>
      <c r="AS119" s="307">
        <v>0</v>
      </c>
      <c r="AT119" s="307">
        <v>0</v>
      </c>
      <c r="AU119" s="307">
        <v>1.4557359999999999</v>
      </c>
      <c r="AV119" s="307">
        <v>0</v>
      </c>
      <c r="AW119" s="307">
        <v>0</v>
      </c>
      <c r="AX119" s="307">
        <v>0</v>
      </c>
      <c r="AY119" s="307">
        <v>0</v>
      </c>
      <c r="AZ119" s="307">
        <v>0</v>
      </c>
      <c r="BA119" s="307">
        <v>1.4071340000000001</v>
      </c>
      <c r="BB119" s="307">
        <v>0</v>
      </c>
      <c r="BC119" s="307">
        <v>0</v>
      </c>
      <c r="BD119" s="307">
        <v>0</v>
      </c>
      <c r="BE119" s="307">
        <v>1.713141</v>
      </c>
      <c r="BF119" s="307">
        <v>1.8585309999999999</v>
      </c>
      <c r="BG119" s="307">
        <v>1.3894150000000001</v>
      </c>
      <c r="BH119" s="307">
        <v>1.8192900000000001</v>
      </c>
      <c r="BI119" s="307">
        <v>1.5488280000000001</v>
      </c>
      <c r="BJ119" s="307">
        <v>0</v>
      </c>
      <c r="BK119" s="307">
        <v>0</v>
      </c>
      <c r="BL119">
        <f t="shared" si="4"/>
        <v>45</v>
      </c>
      <c r="BM119">
        <f t="shared" si="5"/>
        <v>1.6351156874999999</v>
      </c>
      <c r="BN119">
        <f t="shared" si="6"/>
        <v>1.9662170000000001</v>
      </c>
      <c r="BO119">
        <f t="array" ref="BO119">MIN(IF($C119:$BK119&gt;0, $C119:$BK119))</f>
        <v>1.296198</v>
      </c>
      <c r="BP119">
        <f t="shared" si="7"/>
        <v>0</v>
      </c>
    </row>
    <row r="120" spans="1:68" x14ac:dyDescent="0.25">
      <c r="A120" s="306">
        <v>325188</v>
      </c>
      <c r="B120" s="307" t="s">
        <v>107</v>
      </c>
      <c r="C120" s="307">
        <v>3.1254469999999999</v>
      </c>
      <c r="D120" s="307">
        <v>0</v>
      </c>
      <c r="E120" s="307">
        <v>3.0394399999999999</v>
      </c>
      <c r="F120" s="307">
        <v>3.7852700000000001</v>
      </c>
      <c r="G120" s="307">
        <v>3.4923199999999999</v>
      </c>
      <c r="H120" s="307">
        <v>3.0217269999999998</v>
      </c>
      <c r="I120" s="307">
        <v>3.8398829999999999</v>
      </c>
      <c r="J120" s="307">
        <v>3.1030120000000001</v>
      </c>
      <c r="K120" s="307">
        <v>0</v>
      </c>
      <c r="L120" s="307">
        <v>2.612098</v>
      </c>
      <c r="M120" s="307">
        <v>3.3101029999999998</v>
      </c>
      <c r="N120" s="307">
        <v>2.8465569999999998</v>
      </c>
      <c r="O120" s="307">
        <v>3.808773</v>
      </c>
      <c r="P120" s="307">
        <v>3.4561350000000002</v>
      </c>
      <c r="Q120" s="307">
        <v>4.2998700000000003</v>
      </c>
      <c r="R120" s="307">
        <v>2.6220720000000002</v>
      </c>
      <c r="S120" s="307">
        <v>3.6279379999999999</v>
      </c>
      <c r="T120" s="307">
        <v>2.7230859999999999</v>
      </c>
      <c r="U120" s="307">
        <v>2.9036780000000002</v>
      </c>
      <c r="V120" s="307">
        <v>2.7873299999999999</v>
      </c>
      <c r="W120" s="307">
        <v>3.3120159999999998</v>
      </c>
      <c r="X120" s="307">
        <v>2.436455</v>
      </c>
      <c r="Y120" s="307">
        <v>4.3593650000000004</v>
      </c>
      <c r="Z120" s="307">
        <v>3.7602829999999998</v>
      </c>
      <c r="AA120" s="307">
        <v>0</v>
      </c>
      <c r="AB120" s="307">
        <v>2.9983110000000002</v>
      </c>
      <c r="AC120" s="307">
        <v>3.229698</v>
      </c>
      <c r="AD120" s="307">
        <v>4.0417350000000001</v>
      </c>
      <c r="AE120" s="307">
        <v>3.3575490000000001</v>
      </c>
      <c r="AF120" s="307">
        <v>0</v>
      </c>
      <c r="AG120" s="307">
        <v>4.246696</v>
      </c>
      <c r="AH120" s="307">
        <v>0</v>
      </c>
      <c r="AI120" s="307">
        <v>2.08935</v>
      </c>
      <c r="AJ120" s="307">
        <v>2.3381050000000001</v>
      </c>
      <c r="AK120" s="307">
        <v>2.2112569999999998</v>
      </c>
      <c r="AL120" s="307">
        <v>3.4762369999999998</v>
      </c>
      <c r="AM120" s="307">
        <v>3.2005729999999999</v>
      </c>
      <c r="AN120" s="307">
        <v>2.5093559999999999</v>
      </c>
      <c r="AO120" s="307">
        <v>3.6095220000000001</v>
      </c>
      <c r="AP120" s="307">
        <v>3.1623570000000001</v>
      </c>
      <c r="AQ120" s="307">
        <v>2.9678930000000001</v>
      </c>
      <c r="AR120" s="307">
        <v>3.2302010000000001</v>
      </c>
      <c r="AS120" s="307">
        <v>0</v>
      </c>
      <c r="AT120" s="307">
        <v>3.4339249999999999</v>
      </c>
      <c r="AU120" s="307">
        <v>2.7242419999999998</v>
      </c>
      <c r="AV120" s="307">
        <v>3.8861810000000001</v>
      </c>
      <c r="AW120" s="307">
        <v>2.6683720000000002</v>
      </c>
      <c r="AX120" s="307">
        <v>0</v>
      </c>
      <c r="AY120" s="307">
        <v>2.6250599999999999</v>
      </c>
      <c r="AZ120" s="307">
        <v>3.9537469999999999</v>
      </c>
      <c r="BA120" s="307">
        <v>2.8947690000000001</v>
      </c>
      <c r="BB120" s="307">
        <v>4.3857220000000003</v>
      </c>
      <c r="BC120" s="307">
        <v>3.5077509999999998</v>
      </c>
      <c r="BD120" s="307">
        <v>2.7008299999999998</v>
      </c>
      <c r="BE120" s="307">
        <v>3.2527940000000002</v>
      </c>
      <c r="BF120" s="307">
        <v>3.2336510000000001</v>
      </c>
      <c r="BG120" s="307">
        <v>3.0105270000000002</v>
      </c>
      <c r="BH120" s="307">
        <v>3.2250749999999999</v>
      </c>
      <c r="BI120" s="307">
        <v>2.8475809999999999</v>
      </c>
      <c r="BJ120" s="307">
        <v>3.3833299999999999</v>
      </c>
      <c r="BK120" s="307">
        <v>2.9709840000000001</v>
      </c>
      <c r="BL120">
        <f t="shared" si="4"/>
        <v>7</v>
      </c>
      <c r="BM120">
        <f t="shared" si="5"/>
        <v>3.2156710925925922</v>
      </c>
      <c r="BN120">
        <f t="shared" si="6"/>
        <v>4.3857220000000003</v>
      </c>
      <c r="BO120">
        <f t="array" ref="BO120">MIN(IF($C120:$BK120&gt;0, $C120:$BK120))</f>
        <v>2.08935</v>
      </c>
      <c r="BP120">
        <f t="shared" si="7"/>
        <v>3.1030120000000001</v>
      </c>
    </row>
    <row r="121" spans="1:68" x14ac:dyDescent="0.25">
      <c r="A121" s="306">
        <v>325190</v>
      </c>
      <c r="B121" s="307" t="s">
        <v>108</v>
      </c>
      <c r="C121" s="307">
        <v>1.6770590000000001</v>
      </c>
      <c r="D121" s="307">
        <v>0</v>
      </c>
      <c r="E121" s="307">
        <v>1.393594</v>
      </c>
      <c r="F121" s="307">
        <v>1.718879</v>
      </c>
      <c r="G121" s="307">
        <v>1.793947</v>
      </c>
      <c r="H121" s="307">
        <v>1.6759599999999999</v>
      </c>
      <c r="I121" s="307">
        <v>1.708135</v>
      </c>
      <c r="J121" s="307">
        <v>1.2510559999999999</v>
      </c>
      <c r="K121" s="307">
        <v>0</v>
      </c>
      <c r="L121" s="307">
        <v>1.0669630000000001</v>
      </c>
      <c r="M121" s="307">
        <v>1.805642</v>
      </c>
      <c r="N121" s="307">
        <v>1.5548409999999999</v>
      </c>
      <c r="O121" s="307">
        <v>0</v>
      </c>
      <c r="P121" s="307">
        <v>2.1788259999999999</v>
      </c>
      <c r="Q121" s="307">
        <v>2.3930340000000001</v>
      </c>
      <c r="R121" s="307">
        <v>1.552834</v>
      </c>
      <c r="S121" s="307">
        <v>1.7902929999999999</v>
      </c>
      <c r="T121" s="307">
        <v>1.8808910000000001</v>
      </c>
      <c r="U121" s="307">
        <v>1.579242</v>
      </c>
      <c r="V121" s="307">
        <v>1.3553660000000001</v>
      </c>
      <c r="W121" s="307">
        <v>1.3944730000000001</v>
      </c>
      <c r="X121" s="307">
        <v>1.876927</v>
      </c>
      <c r="Y121" s="307">
        <v>2.3724409999999998</v>
      </c>
      <c r="Z121" s="307">
        <v>2.172113</v>
      </c>
      <c r="AA121" s="307">
        <v>1.775852</v>
      </c>
      <c r="AB121" s="307">
        <v>1.8737360000000001</v>
      </c>
      <c r="AC121" s="307">
        <v>2.1711429999999998</v>
      </c>
      <c r="AD121" s="307">
        <v>1.9904660000000001</v>
      </c>
      <c r="AE121" s="307">
        <v>1.8611759999999999</v>
      </c>
      <c r="AF121" s="307">
        <v>1.914514</v>
      </c>
      <c r="AG121" s="307">
        <v>2.2498740000000002</v>
      </c>
      <c r="AH121" s="307">
        <v>0</v>
      </c>
      <c r="AI121" s="307">
        <v>1.22793</v>
      </c>
      <c r="AJ121" s="307">
        <v>1.8354090000000001</v>
      </c>
      <c r="AK121" s="307">
        <v>1.570168</v>
      </c>
      <c r="AL121" s="307">
        <v>1.607334</v>
      </c>
      <c r="AM121" s="307">
        <v>1.4137219999999999</v>
      </c>
      <c r="AN121" s="307">
        <v>1.962683</v>
      </c>
      <c r="AO121" s="307">
        <v>1.5282089999999999</v>
      </c>
      <c r="AP121" s="307">
        <v>1.5750999999999999</v>
      </c>
      <c r="AQ121" s="307">
        <v>2.0194890000000001</v>
      </c>
      <c r="AR121" s="307">
        <v>1.782702</v>
      </c>
      <c r="AS121" s="307">
        <v>2.1764649999999999</v>
      </c>
      <c r="AT121" s="307">
        <v>2.22879</v>
      </c>
      <c r="AU121" s="307">
        <v>1.360595</v>
      </c>
      <c r="AV121" s="307">
        <v>0</v>
      </c>
      <c r="AW121" s="307">
        <v>1.418658</v>
      </c>
      <c r="AX121" s="307">
        <v>0</v>
      </c>
      <c r="AY121" s="307">
        <v>1.5617319999999999</v>
      </c>
      <c r="AZ121" s="307">
        <v>2.0611350000000002</v>
      </c>
      <c r="BA121" s="307">
        <v>1.44275</v>
      </c>
      <c r="BB121" s="307">
        <v>2.386825</v>
      </c>
      <c r="BC121" s="307">
        <v>1.4376389999999999</v>
      </c>
      <c r="BD121" s="307">
        <v>1.467625</v>
      </c>
      <c r="BE121" s="307">
        <v>1.6723589999999999</v>
      </c>
      <c r="BF121" s="307">
        <v>2.1019369999999999</v>
      </c>
      <c r="BG121" s="307">
        <v>1.6237109999999999</v>
      </c>
      <c r="BH121" s="307">
        <v>1.5990709999999999</v>
      </c>
      <c r="BI121" s="307">
        <v>1.4029830000000001</v>
      </c>
      <c r="BJ121" s="307">
        <v>1.9396439999999999</v>
      </c>
      <c r="BK121" s="307">
        <v>1.663945</v>
      </c>
      <c r="BL121">
        <f t="shared" si="4"/>
        <v>6</v>
      </c>
      <c r="BM121">
        <f t="shared" si="5"/>
        <v>1.7472343090909093</v>
      </c>
      <c r="BN121">
        <f t="shared" si="6"/>
        <v>2.3930340000000001</v>
      </c>
      <c r="BO121">
        <f t="array" ref="BO121">MIN(IF($C121:$BK121&gt;0, $C121:$BK121))</f>
        <v>1.0669630000000001</v>
      </c>
      <c r="BP121">
        <f t="shared" si="7"/>
        <v>1.6723589999999999</v>
      </c>
    </row>
    <row r="122" spans="1:68" x14ac:dyDescent="0.25">
      <c r="A122" s="306">
        <v>325211</v>
      </c>
      <c r="B122" s="307" t="s">
        <v>2</v>
      </c>
      <c r="C122" s="307">
        <v>1.437721</v>
      </c>
      <c r="D122" s="307">
        <v>2.2801960000000001</v>
      </c>
      <c r="E122" s="307">
        <v>1.368417</v>
      </c>
      <c r="F122" s="307">
        <v>1.8285910000000001</v>
      </c>
      <c r="G122" s="307">
        <v>2.0431910000000002</v>
      </c>
      <c r="H122" s="307">
        <v>1.7390749999999999</v>
      </c>
      <c r="I122" s="307">
        <v>1.852144</v>
      </c>
      <c r="J122" s="307">
        <v>1.217363</v>
      </c>
      <c r="K122" s="307">
        <v>0</v>
      </c>
      <c r="L122" s="307">
        <v>0.90108809999999995</v>
      </c>
      <c r="M122" s="307">
        <v>1.937751</v>
      </c>
      <c r="N122" s="307">
        <v>1.487163</v>
      </c>
      <c r="O122" s="307">
        <v>0</v>
      </c>
      <c r="P122" s="307">
        <v>1.2151959999999999</v>
      </c>
      <c r="Q122" s="307">
        <v>2.269101</v>
      </c>
      <c r="R122" s="307">
        <v>1.279336</v>
      </c>
      <c r="S122" s="307">
        <v>1.280356</v>
      </c>
      <c r="T122" s="307">
        <v>1.35724</v>
      </c>
      <c r="U122" s="307">
        <v>1.3472459999999999</v>
      </c>
      <c r="V122" s="307">
        <v>1.3171580000000001</v>
      </c>
      <c r="W122" s="307">
        <v>1.148909</v>
      </c>
      <c r="X122" s="307">
        <v>1.837494</v>
      </c>
      <c r="Y122" s="307">
        <v>2.2494170000000002</v>
      </c>
      <c r="Z122" s="307">
        <v>1.245317</v>
      </c>
      <c r="AA122" s="307">
        <v>1.568675</v>
      </c>
      <c r="AB122" s="307">
        <v>1.4274800000000001</v>
      </c>
      <c r="AC122" s="307">
        <v>1.6976830000000001</v>
      </c>
      <c r="AD122" s="307">
        <v>2.232478</v>
      </c>
      <c r="AE122" s="307">
        <v>1.816589</v>
      </c>
      <c r="AF122" s="307">
        <v>0</v>
      </c>
      <c r="AG122" s="307">
        <v>1.963219</v>
      </c>
      <c r="AH122" s="307">
        <v>1.6410560000000001</v>
      </c>
      <c r="AI122" s="307">
        <v>1.4024129999999999</v>
      </c>
      <c r="AJ122" s="307">
        <v>1.681198</v>
      </c>
      <c r="AK122" s="307">
        <v>1.577572</v>
      </c>
      <c r="AL122" s="307">
        <v>1.1577569999999999</v>
      </c>
      <c r="AM122" s="307">
        <v>1.4488099999999999</v>
      </c>
      <c r="AN122" s="307">
        <v>1.4754499999999999</v>
      </c>
      <c r="AO122" s="307">
        <v>1.339496</v>
      </c>
      <c r="AP122" s="307">
        <v>1.320281</v>
      </c>
      <c r="AQ122" s="307">
        <v>1.680958</v>
      </c>
      <c r="AR122" s="307">
        <v>1.575998</v>
      </c>
      <c r="AS122" s="307">
        <v>2.1410439999999999</v>
      </c>
      <c r="AT122" s="307">
        <v>1.5800529999999999</v>
      </c>
      <c r="AU122" s="307">
        <v>1.212242</v>
      </c>
      <c r="AV122" s="307">
        <v>1.8682099999999999</v>
      </c>
      <c r="AW122" s="307">
        <v>1.515163</v>
      </c>
      <c r="AX122" s="307">
        <v>2.1680929999999998</v>
      </c>
      <c r="AY122" s="307">
        <v>1.547757</v>
      </c>
      <c r="AZ122" s="307">
        <v>1.862225</v>
      </c>
      <c r="BA122" s="307">
        <v>1.298233</v>
      </c>
      <c r="BB122" s="307">
        <v>0</v>
      </c>
      <c r="BC122" s="307">
        <v>1.288789</v>
      </c>
      <c r="BD122" s="307">
        <v>1.4019950000000001</v>
      </c>
      <c r="BE122" s="307">
        <v>1.3402019999999999</v>
      </c>
      <c r="BF122" s="307">
        <v>1.5198970000000001</v>
      </c>
      <c r="BG122" s="307">
        <v>1.5266709999999999</v>
      </c>
      <c r="BH122" s="307">
        <v>1.49939</v>
      </c>
      <c r="BI122" s="307">
        <v>1.2554559999999999</v>
      </c>
      <c r="BJ122" s="307">
        <v>1.96522</v>
      </c>
      <c r="BK122" s="307">
        <v>1.6996199999999999</v>
      </c>
      <c r="BL122">
        <f t="shared" si="4"/>
        <v>4</v>
      </c>
      <c r="BM122">
        <f t="shared" si="5"/>
        <v>1.584856896491228</v>
      </c>
      <c r="BN122">
        <f t="shared" si="6"/>
        <v>2.2801960000000001</v>
      </c>
      <c r="BO122">
        <f t="array" ref="BO122">MIN(IF($C122:$BK122&gt;0, $C122:$BK122))</f>
        <v>0.90108809999999995</v>
      </c>
      <c r="BP122">
        <f t="shared" si="7"/>
        <v>1.49939</v>
      </c>
    </row>
    <row r="123" spans="1:68" x14ac:dyDescent="0.25">
      <c r="A123" s="306">
        <v>325212</v>
      </c>
      <c r="B123" s="307" t="s">
        <v>109</v>
      </c>
      <c r="C123" s="307">
        <v>1.99851</v>
      </c>
      <c r="D123" s="307">
        <v>0</v>
      </c>
      <c r="E123" s="307">
        <v>3.241457</v>
      </c>
      <c r="F123" s="307">
        <v>0</v>
      </c>
      <c r="G123" s="307">
        <v>1.46767</v>
      </c>
      <c r="H123" s="307">
        <v>2.7734179999999999</v>
      </c>
      <c r="I123" s="307">
        <v>0</v>
      </c>
      <c r="J123" s="307">
        <v>1.3569420000000001</v>
      </c>
      <c r="K123" s="307">
        <v>0</v>
      </c>
      <c r="L123" s="307">
        <v>2.4879639999999998</v>
      </c>
      <c r="M123" s="307">
        <v>2.8292380000000001</v>
      </c>
      <c r="N123" s="307">
        <v>1.936782</v>
      </c>
      <c r="O123" s="307">
        <v>0</v>
      </c>
      <c r="P123" s="307">
        <v>0</v>
      </c>
      <c r="Q123" s="307">
        <v>0</v>
      </c>
      <c r="R123" s="307">
        <v>1.487449</v>
      </c>
      <c r="S123" s="307">
        <v>2.7133289999999999</v>
      </c>
      <c r="T123" s="307">
        <v>0</v>
      </c>
      <c r="U123" s="307">
        <v>1.38364</v>
      </c>
      <c r="V123" s="307">
        <v>1.47007</v>
      </c>
      <c r="W123" s="307">
        <v>2.9239229999999998</v>
      </c>
      <c r="X123" s="307">
        <v>2.5599729999999998</v>
      </c>
      <c r="Y123" s="307">
        <v>3.6114679999999999</v>
      </c>
      <c r="Z123" s="307">
        <v>2.3132429999999999</v>
      </c>
      <c r="AA123" s="307">
        <v>2.0293600000000001</v>
      </c>
      <c r="AB123" s="307">
        <v>0</v>
      </c>
      <c r="AC123" s="307">
        <v>2.527771</v>
      </c>
      <c r="AD123" s="307">
        <v>0</v>
      </c>
      <c r="AE123" s="307">
        <v>3.7225100000000002</v>
      </c>
      <c r="AF123" s="307">
        <v>0</v>
      </c>
      <c r="AG123" s="307">
        <v>0</v>
      </c>
      <c r="AH123" s="307">
        <v>3.2274289999999999</v>
      </c>
      <c r="AI123" s="307">
        <v>2.1418599999999999</v>
      </c>
      <c r="AJ123" s="307">
        <v>2.9300709999999999</v>
      </c>
      <c r="AK123" s="307">
        <v>0</v>
      </c>
      <c r="AL123" s="307">
        <v>1.2556499999999999</v>
      </c>
      <c r="AM123" s="307">
        <v>2.2500689999999999</v>
      </c>
      <c r="AN123" s="307">
        <v>2.4973619999999999</v>
      </c>
      <c r="AO123" s="307">
        <v>3.3253249999999999</v>
      </c>
      <c r="AP123" s="307">
        <v>1.914595</v>
      </c>
      <c r="AQ123" s="307">
        <v>3.2532779999999999</v>
      </c>
      <c r="AR123" s="307">
        <v>2.860519</v>
      </c>
      <c r="AS123" s="307">
        <v>0</v>
      </c>
      <c r="AT123" s="307">
        <v>3.628701</v>
      </c>
      <c r="AU123" s="307">
        <v>1.7247330000000001</v>
      </c>
      <c r="AV123" s="307">
        <v>3.7407509999999999</v>
      </c>
      <c r="AW123" s="307">
        <v>2.4358840000000002</v>
      </c>
      <c r="AX123" s="307">
        <v>0</v>
      </c>
      <c r="AY123" s="307">
        <v>3.3917269999999999</v>
      </c>
      <c r="AZ123" s="307">
        <v>1.9406920000000001</v>
      </c>
      <c r="BA123" s="307">
        <v>0</v>
      </c>
      <c r="BB123" s="307">
        <v>0</v>
      </c>
      <c r="BC123" s="307">
        <v>3.0930909999999998</v>
      </c>
      <c r="BD123" s="307">
        <v>1.530948</v>
      </c>
      <c r="BE123" s="307">
        <v>2.1837979999999999</v>
      </c>
      <c r="BF123" s="307">
        <v>2.0322529999999999</v>
      </c>
      <c r="BG123" s="307">
        <v>2.6159829999999999</v>
      </c>
      <c r="BH123" s="307">
        <v>1.7840659999999999</v>
      </c>
      <c r="BI123" s="307">
        <v>1.5965780000000001</v>
      </c>
      <c r="BJ123" s="307">
        <v>2.6409370000000001</v>
      </c>
      <c r="BK123" s="307">
        <v>2.7863280000000001</v>
      </c>
      <c r="BL123">
        <f t="shared" si="4"/>
        <v>17</v>
      </c>
      <c r="BM123">
        <f t="shared" si="5"/>
        <v>2.4458487499999997</v>
      </c>
      <c r="BN123">
        <f t="shared" si="6"/>
        <v>3.7407509999999999</v>
      </c>
      <c r="BO123">
        <f t="array" ref="BO123">MIN(IF($C123:$BK123&gt;0, $C123:$BK123))</f>
        <v>1.2556499999999999</v>
      </c>
      <c r="BP123">
        <f t="shared" si="7"/>
        <v>1.99851</v>
      </c>
    </row>
    <row r="124" spans="1:68" x14ac:dyDescent="0.25">
      <c r="A124" s="306">
        <v>325220</v>
      </c>
      <c r="B124" s="307" t="s">
        <v>110</v>
      </c>
      <c r="C124" s="307">
        <v>2.5865279999999999</v>
      </c>
      <c r="D124" s="307">
        <v>0</v>
      </c>
      <c r="E124" s="307">
        <v>2.73027</v>
      </c>
      <c r="F124" s="307">
        <v>2.8596159999999999</v>
      </c>
      <c r="G124" s="307">
        <v>4.2198659999999997</v>
      </c>
      <c r="H124" s="307">
        <v>4.0296019999999997</v>
      </c>
      <c r="I124" s="307">
        <v>5.1058260000000004</v>
      </c>
      <c r="J124" s="307">
        <v>4.2505040000000003</v>
      </c>
      <c r="K124" s="307">
        <v>0</v>
      </c>
      <c r="L124" s="307">
        <v>1.4775720000000001</v>
      </c>
      <c r="M124" s="307">
        <v>2.3584700000000001</v>
      </c>
      <c r="N124" s="307">
        <v>3.3054410000000001</v>
      </c>
      <c r="O124" s="307">
        <v>5.0505930000000001</v>
      </c>
      <c r="P124" s="307">
        <v>4.8723140000000003</v>
      </c>
      <c r="Q124" s="307">
        <v>0</v>
      </c>
      <c r="R124" s="307">
        <v>4.4367710000000002</v>
      </c>
      <c r="S124" s="307">
        <v>0</v>
      </c>
      <c r="T124" s="307">
        <v>2.5274700000000001</v>
      </c>
      <c r="U124" s="307">
        <v>0</v>
      </c>
      <c r="V124" s="307">
        <v>0</v>
      </c>
      <c r="W124" s="307">
        <v>1.9879979999999999</v>
      </c>
      <c r="X124" s="307">
        <v>3.5777009999999998</v>
      </c>
      <c r="Y124" s="307">
        <v>0</v>
      </c>
      <c r="Z124" s="307">
        <v>3.0440710000000002</v>
      </c>
      <c r="AA124" s="307">
        <v>0</v>
      </c>
      <c r="AB124" s="307">
        <v>0</v>
      </c>
      <c r="AC124" s="307">
        <v>4.7494639999999997</v>
      </c>
      <c r="AD124" s="307">
        <v>0</v>
      </c>
      <c r="AE124" s="307">
        <v>3.147071</v>
      </c>
      <c r="AF124" s="307">
        <v>0</v>
      </c>
      <c r="AG124" s="307">
        <v>0</v>
      </c>
      <c r="AH124" s="307">
        <v>3.3903379999999999</v>
      </c>
      <c r="AI124" s="307">
        <v>1.9638720000000001</v>
      </c>
      <c r="AJ124" s="307">
        <v>3.1119889999999999</v>
      </c>
      <c r="AK124" s="307">
        <v>0</v>
      </c>
      <c r="AL124" s="307">
        <v>3.5874609999999998</v>
      </c>
      <c r="AM124" s="307">
        <v>2.949951</v>
      </c>
      <c r="AN124" s="307">
        <v>0</v>
      </c>
      <c r="AO124" s="307">
        <v>2.2922530000000001</v>
      </c>
      <c r="AP124" s="307">
        <v>3.7026050000000001</v>
      </c>
      <c r="AQ124" s="307">
        <v>0</v>
      </c>
      <c r="AR124" s="307">
        <v>2.9596659999999999</v>
      </c>
      <c r="AS124" s="307">
        <v>0</v>
      </c>
      <c r="AT124" s="307">
        <v>2.0129429999999999</v>
      </c>
      <c r="AU124" s="307">
        <v>3.4773619999999998</v>
      </c>
      <c r="AV124" s="307">
        <v>5.0718839999999998</v>
      </c>
      <c r="AW124" s="307">
        <v>2.082481</v>
      </c>
      <c r="AX124" s="307">
        <v>3.8805170000000002</v>
      </c>
      <c r="AY124" s="307">
        <v>0</v>
      </c>
      <c r="AZ124" s="307">
        <v>0</v>
      </c>
      <c r="BA124" s="307">
        <v>0</v>
      </c>
      <c r="BB124" s="307">
        <v>0</v>
      </c>
      <c r="BC124" s="307">
        <v>3.0968810000000002</v>
      </c>
      <c r="BD124" s="307">
        <v>3.7390059999999998</v>
      </c>
      <c r="BE124" s="307">
        <v>3.1441840000000001</v>
      </c>
      <c r="BF124" s="307">
        <v>2.8082590000000001</v>
      </c>
      <c r="BG124" s="307">
        <v>2.556835</v>
      </c>
      <c r="BH124" s="307">
        <v>2.1201050000000001</v>
      </c>
      <c r="BI124" s="307">
        <v>3.4087170000000002</v>
      </c>
      <c r="BJ124" s="307">
        <v>4.0690410000000004</v>
      </c>
      <c r="BK124" s="307">
        <v>4.0035569999999998</v>
      </c>
      <c r="BL124">
        <f t="shared" si="4"/>
        <v>20</v>
      </c>
      <c r="BM124">
        <f t="shared" si="5"/>
        <v>3.3109037804878052</v>
      </c>
      <c r="BN124">
        <f t="shared" si="6"/>
        <v>5.1058260000000004</v>
      </c>
      <c r="BO124">
        <f t="array" ref="BO124">MIN(IF($C124:$BK124&gt;0, $C124:$BK124))</f>
        <v>1.4775720000000001</v>
      </c>
      <c r="BP124">
        <f t="shared" si="7"/>
        <v>2.5865279999999999</v>
      </c>
    </row>
    <row r="125" spans="1:68" x14ac:dyDescent="0.25">
      <c r="A125" s="306">
        <v>325310</v>
      </c>
      <c r="B125" s="307" t="s">
        <v>111</v>
      </c>
      <c r="C125" s="307">
        <v>1.800953</v>
      </c>
      <c r="D125" s="307">
        <v>1.132039</v>
      </c>
      <c r="E125" s="307">
        <v>2.1974670000000001</v>
      </c>
      <c r="F125" s="307">
        <v>1.888843</v>
      </c>
      <c r="G125" s="307">
        <v>1.858357</v>
      </c>
      <c r="H125" s="307">
        <v>2.1481710000000001</v>
      </c>
      <c r="I125" s="307">
        <v>2.2675580000000002</v>
      </c>
      <c r="J125" s="307">
        <v>2.1983320000000002</v>
      </c>
      <c r="K125" s="307">
        <v>0.17685300000000001</v>
      </c>
      <c r="L125" s="307">
        <v>1.316589</v>
      </c>
      <c r="M125" s="307">
        <v>1.6687190000000001</v>
      </c>
      <c r="N125" s="307">
        <v>2.1426189999999998</v>
      </c>
      <c r="O125" s="307">
        <v>2.180993</v>
      </c>
      <c r="P125" s="307">
        <v>0.97229650000000001</v>
      </c>
      <c r="Q125" s="307">
        <v>2.123065</v>
      </c>
      <c r="R125" s="307">
        <v>1.9495720000000001</v>
      </c>
      <c r="S125" s="307">
        <v>2.58955</v>
      </c>
      <c r="T125" s="307">
        <v>1.532235</v>
      </c>
      <c r="U125" s="307">
        <v>2.3063699999999998</v>
      </c>
      <c r="V125" s="307">
        <v>1.2960160000000001</v>
      </c>
      <c r="W125" s="307">
        <v>1.946175</v>
      </c>
      <c r="X125" s="307">
        <v>1.847612</v>
      </c>
      <c r="Y125" s="307">
        <v>3.4323450000000002</v>
      </c>
      <c r="Z125" s="307">
        <v>2.199033</v>
      </c>
      <c r="AA125" s="307">
        <v>2.1663209999999999</v>
      </c>
      <c r="AB125" s="307">
        <v>1.7475579999999999</v>
      </c>
      <c r="AC125" s="307">
        <v>1.41832</v>
      </c>
      <c r="AD125" s="307">
        <v>2.8356759999999999</v>
      </c>
      <c r="AE125" s="307">
        <v>1.8988339999999999</v>
      </c>
      <c r="AF125" s="307">
        <v>0</v>
      </c>
      <c r="AG125" s="307">
        <v>2.5435479999999999</v>
      </c>
      <c r="AH125" s="307">
        <v>0</v>
      </c>
      <c r="AI125" s="307">
        <v>1.1385339999999999</v>
      </c>
      <c r="AJ125" s="307">
        <v>2.3464999999999998</v>
      </c>
      <c r="AK125" s="307">
        <v>1.325059</v>
      </c>
      <c r="AL125" s="307">
        <v>2.3586079999999998</v>
      </c>
      <c r="AM125" s="307">
        <v>1.449441</v>
      </c>
      <c r="AN125" s="307">
        <v>1.34277</v>
      </c>
      <c r="AO125" s="307">
        <v>1.851502</v>
      </c>
      <c r="AP125" s="307">
        <v>2.1089359999999999</v>
      </c>
      <c r="AQ125" s="307">
        <v>0</v>
      </c>
      <c r="AR125" s="307">
        <v>2.3393999999999999</v>
      </c>
      <c r="AS125" s="307">
        <v>0.90824499999999997</v>
      </c>
      <c r="AT125" s="307">
        <v>2.452061</v>
      </c>
      <c r="AU125" s="307">
        <v>2.1134680000000001</v>
      </c>
      <c r="AV125" s="307">
        <v>2.2620589999999998</v>
      </c>
      <c r="AW125" s="307">
        <v>2.6870509999999999</v>
      </c>
      <c r="AX125" s="307">
        <v>3.6356920000000001</v>
      </c>
      <c r="AY125" s="307">
        <v>1.801364</v>
      </c>
      <c r="AZ125" s="307">
        <v>2.3926989999999999</v>
      </c>
      <c r="BA125" s="307">
        <v>3.7954870000000001</v>
      </c>
      <c r="BB125" s="307">
        <v>1.406539</v>
      </c>
      <c r="BC125" s="307">
        <v>2.597175</v>
      </c>
      <c r="BD125" s="307">
        <v>1.8899079999999999</v>
      </c>
      <c r="BE125" s="307">
        <v>1.740208</v>
      </c>
      <c r="BF125" s="307">
        <v>1.3894949999999999</v>
      </c>
      <c r="BG125" s="307">
        <v>1.7269969999999999</v>
      </c>
      <c r="BH125" s="307">
        <v>1.8322929999999999</v>
      </c>
      <c r="BI125" s="307">
        <v>1.5955969999999999</v>
      </c>
      <c r="BJ125" s="307">
        <v>1.918493</v>
      </c>
      <c r="BK125" s="307">
        <v>2.0357180000000001</v>
      </c>
      <c r="BL125">
        <f t="shared" si="4"/>
        <v>3</v>
      </c>
      <c r="BM125">
        <f t="shared" si="5"/>
        <v>1.9693675603448269</v>
      </c>
      <c r="BN125">
        <f t="shared" si="6"/>
        <v>3.7954870000000001</v>
      </c>
      <c r="BO125">
        <f t="array" ref="BO125">MIN(IF($C125:$BK125&gt;0, $C125:$BK125))</f>
        <v>0.17685300000000001</v>
      </c>
      <c r="BP125">
        <f t="shared" si="7"/>
        <v>1.8988339999999999</v>
      </c>
    </row>
    <row r="126" spans="1:68" x14ac:dyDescent="0.25">
      <c r="A126" s="306">
        <v>325320</v>
      </c>
      <c r="B126" s="307" t="s">
        <v>112</v>
      </c>
      <c r="C126" s="307">
        <v>1.4977309999999999</v>
      </c>
      <c r="D126" s="307">
        <v>0</v>
      </c>
      <c r="E126" s="307">
        <v>1.3268310000000001</v>
      </c>
      <c r="F126" s="307">
        <v>2.3363139999999998</v>
      </c>
      <c r="G126" s="307">
        <v>2.3207770000000001</v>
      </c>
      <c r="H126" s="307">
        <v>1.645626</v>
      </c>
      <c r="I126" s="307">
        <v>2.9866899999999998</v>
      </c>
      <c r="J126" s="307">
        <v>1.829229</v>
      </c>
      <c r="K126" s="307">
        <v>0</v>
      </c>
      <c r="L126" s="307">
        <v>0</v>
      </c>
      <c r="M126" s="307">
        <v>2.1846420000000002</v>
      </c>
      <c r="N126" s="307">
        <v>2.408766</v>
      </c>
      <c r="O126" s="307">
        <v>0</v>
      </c>
      <c r="P126" s="307">
        <v>1.4595750000000001</v>
      </c>
      <c r="Q126" s="307">
        <v>2.5553880000000002</v>
      </c>
      <c r="R126" s="307">
        <v>1.4568049999999999</v>
      </c>
      <c r="S126" s="307">
        <v>1.1166670000000001</v>
      </c>
      <c r="T126" s="307">
        <v>1.7612620000000001</v>
      </c>
      <c r="U126" s="307">
        <v>2.622557</v>
      </c>
      <c r="V126" s="307">
        <v>1.170536</v>
      </c>
      <c r="W126" s="307">
        <v>1.225889</v>
      </c>
      <c r="X126" s="307">
        <v>1.053126</v>
      </c>
      <c r="Y126" s="307">
        <v>2.9635590000000001</v>
      </c>
      <c r="Z126" s="307">
        <v>1.879794</v>
      </c>
      <c r="AA126" s="307">
        <v>1.6431290000000001</v>
      </c>
      <c r="AB126" s="307">
        <v>1.3328139999999999</v>
      </c>
      <c r="AC126" s="307">
        <v>2.7784119999999999</v>
      </c>
      <c r="AD126" s="307">
        <v>2.940947</v>
      </c>
      <c r="AE126" s="307">
        <v>1.122158</v>
      </c>
      <c r="AF126" s="307">
        <v>2.391562</v>
      </c>
      <c r="AG126" s="307">
        <v>1.3450150000000001</v>
      </c>
      <c r="AH126" s="307">
        <v>0</v>
      </c>
      <c r="AI126" s="307">
        <v>1.5577129999999999</v>
      </c>
      <c r="AJ126" s="307">
        <v>2.9587910000000002</v>
      </c>
      <c r="AK126" s="307">
        <v>0</v>
      </c>
      <c r="AL126" s="307">
        <v>1.5053270000000001</v>
      </c>
      <c r="AM126" s="307">
        <v>1.9415260000000001</v>
      </c>
      <c r="AN126" s="307">
        <v>1.7737780000000001</v>
      </c>
      <c r="AO126" s="307">
        <v>1.9957050000000001</v>
      </c>
      <c r="AP126" s="307">
        <v>1.8160700000000001</v>
      </c>
      <c r="AQ126" s="307">
        <v>0</v>
      </c>
      <c r="AR126" s="307">
        <v>2.3330709999999999</v>
      </c>
      <c r="AS126" s="307">
        <v>0</v>
      </c>
      <c r="AT126" s="307">
        <v>1.5354559999999999</v>
      </c>
      <c r="AU126" s="307">
        <v>1.3288040000000001</v>
      </c>
      <c r="AV126" s="307">
        <v>1.5727880000000001</v>
      </c>
      <c r="AW126" s="307">
        <v>2.270375</v>
      </c>
      <c r="AX126" s="307">
        <v>0</v>
      </c>
      <c r="AY126" s="307">
        <v>1.7927070000000001</v>
      </c>
      <c r="AZ126" s="307">
        <v>2.2482519999999999</v>
      </c>
      <c r="BA126" s="307">
        <v>1.3749370000000001</v>
      </c>
      <c r="BB126" s="307">
        <v>0</v>
      </c>
      <c r="BC126" s="307">
        <v>1.752729</v>
      </c>
      <c r="BD126" s="307">
        <v>1.771946</v>
      </c>
      <c r="BE126" s="307">
        <v>1.3498209999999999</v>
      </c>
      <c r="BF126" s="307">
        <v>1.5057860000000001</v>
      </c>
      <c r="BG126" s="307">
        <v>1.416906</v>
      </c>
      <c r="BH126" s="307">
        <v>1.607143</v>
      </c>
      <c r="BI126" s="307">
        <v>1.2900450000000001</v>
      </c>
      <c r="BJ126" s="307">
        <v>2.2026979999999998</v>
      </c>
      <c r="BK126" s="307">
        <v>1.723328</v>
      </c>
      <c r="BL126">
        <f t="shared" si="4"/>
        <v>10</v>
      </c>
      <c r="BM126">
        <f t="shared" si="5"/>
        <v>1.8427745686274513</v>
      </c>
      <c r="BN126">
        <f t="shared" si="6"/>
        <v>2.9866899999999998</v>
      </c>
      <c r="BO126">
        <f t="array" ref="BO126">MIN(IF($C126:$BK126&gt;0, $C126:$BK126))</f>
        <v>1.053126</v>
      </c>
      <c r="BP126">
        <f t="shared" si="7"/>
        <v>1.5727880000000001</v>
      </c>
    </row>
    <row r="127" spans="1:68" x14ac:dyDescent="0.25">
      <c r="A127" s="306">
        <v>325411</v>
      </c>
      <c r="B127" s="307" t="s">
        <v>113</v>
      </c>
      <c r="C127" s="307">
        <v>1.420031</v>
      </c>
      <c r="D127" s="307">
        <v>0</v>
      </c>
      <c r="E127" s="307">
        <v>1.5749379999999999</v>
      </c>
      <c r="F127" s="307">
        <v>2.9609869999999998</v>
      </c>
      <c r="G127" s="307">
        <v>1.991298</v>
      </c>
      <c r="H127" s="307">
        <v>1.7947630000000001</v>
      </c>
      <c r="I127" s="307">
        <v>1.4431339999999999</v>
      </c>
      <c r="J127" s="307">
        <v>1.0410950000000001</v>
      </c>
      <c r="K127" s="307">
        <v>0</v>
      </c>
      <c r="L127" s="307">
        <v>0</v>
      </c>
      <c r="M127" s="307">
        <v>2.3468100000000001</v>
      </c>
      <c r="N127" s="307">
        <v>1.514972</v>
      </c>
      <c r="O127" s="307">
        <v>0</v>
      </c>
      <c r="P127" s="307">
        <v>1.8426990000000001</v>
      </c>
      <c r="Q127" s="307">
        <v>2.905761</v>
      </c>
      <c r="R127" s="307">
        <v>1.672218</v>
      </c>
      <c r="S127" s="307">
        <v>3.0458910000000001</v>
      </c>
      <c r="T127" s="307">
        <v>1.6782459999999999</v>
      </c>
      <c r="U127" s="307">
        <v>1.173055</v>
      </c>
      <c r="V127" s="307">
        <v>3.123211</v>
      </c>
      <c r="W127" s="307">
        <v>1.0417879999999999</v>
      </c>
      <c r="X127" s="307">
        <v>1.551825</v>
      </c>
      <c r="Y127" s="307">
        <v>2.0729340000000001</v>
      </c>
      <c r="Z127" s="307">
        <v>1.693049</v>
      </c>
      <c r="AA127" s="307">
        <v>2.2800060000000002</v>
      </c>
      <c r="AB127" s="307">
        <v>1.1957899999999999</v>
      </c>
      <c r="AC127" s="307">
        <v>2.9148640000000001</v>
      </c>
      <c r="AD127" s="307">
        <v>3.085753</v>
      </c>
      <c r="AE127" s="307">
        <v>1.2986789999999999</v>
      </c>
      <c r="AF127" s="307">
        <v>0</v>
      </c>
      <c r="AG127" s="307">
        <v>2.5815130000000002</v>
      </c>
      <c r="AH127" s="307">
        <v>2.0639859999999999</v>
      </c>
      <c r="AI127" s="307">
        <v>1.001827</v>
      </c>
      <c r="AJ127" s="307">
        <v>3.0599970000000001</v>
      </c>
      <c r="AK127" s="307">
        <v>1.7279420000000001</v>
      </c>
      <c r="AL127" s="307">
        <v>1.434679</v>
      </c>
      <c r="AM127" s="307">
        <v>1.389046</v>
      </c>
      <c r="AN127" s="307">
        <v>0</v>
      </c>
      <c r="AO127" s="307">
        <v>2.9173119999999999</v>
      </c>
      <c r="AP127" s="307">
        <v>1.86117</v>
      </c>
      <c r="AQ127" s="307">
        <v>0</v>
      </c>
      <c r="AR127" s="307">
        <v>1.270607</v>
      </c>
      <c r="AS127" s="307">
        <v>0</v>
      </c>
      <c r="AT127" s="307">
        <v>2.9209689999999999</v>
      </c>
      <c r="AU127" s="307">
        <v>1.993689</v>
      </c>
      <c r="AV127" s="307">
        <v>2.303582</v>
      </c>
      <c r="AW127" s="307">
        <v>1.0801689999999999</v>
      </c>
      <c r="AX127" s="307">
        <v>0</v>
      </c>
      <c r="AY127" s="307">
        <v>2.000426</v>
      </c>
      <c r="AZ127" s="307">
        <v>2.0857519999999998</v>
      </c>
      <c r="BA127" s="307">
        <v>1.5886899999999999</v>
      </c>
      <c r="BB127" s="307">
        <v>2.4728140000000001</v>
      </c>
      <c r="BC127" s="307">
        <v>1.1196280000000001</v>
      </c>
      <c r="BD127" s="307">
        <v>1.148269</v>
      </c>
      <c r="BE127" s="307">
        <v>1.879248</v>
      </c>
      <c r="BF127" s="307">
        <v>1.507984</v>
      </c>
      <c r="BG127" s="307">
        <v>1.3626480000000001</v>
      </c>
      <c r="BH127" s="307">
        <v>1.3266119999999999</v>
      </c>
      <c r="BI127" s="307">
        <v>2.065156</v>
      </c>
      <c r="BJ127" s="307">
        <v>1.967703</v>
      </c>
      <c r="BK127" s="307">
        <v>1.8430089999999999</v>
      </c>
      <c r="BL127">
        <f t="shared" si="4"/>
        <v>9</v>
      </c>
      <c r="BM127">
        <f t="shared" si="5"/>
        <v>1.8968889230769235</v>
      </c>
      <c r="BN127">
        <f t="shared" si="6"/>
        <v>3.123211</v>
      </c>
      <c r="BO127">
        <f t="array" ref="BO127">MIN(IF($C127:$BK127&gt;0, $C127:$BK127))</f>
        <v>1.001827</v>
      </c>
      <c r="BP127">
        <f t="shared" si="7"/>
        <v>1.672218</v>
      </c>
    </row>
    <row r="128" spans="1:68" x14ac:dyDescent="0.25">
      <c r="A128" s="306">
        <v>325412</v>
      </c>
      <c r="B128" s="307" t="s">
        <v>114</v>
      </c>
      <c r="C128" s="307">
        <v>1.157416</v>
      </c>
      <c r="D128" s="307">
        <v>0</v>
      </c>
      <c r="E128" s="307">
        <v>2.2891949999999999</v>
      </c>
      <c r="F128" s="307">
        <v>2.308551</v>
      </c>
      <c r="G128" s="307">
        <v>1.7666329999999999</v>
      </c>
      <c r="H128" s="307">
        <v>0.93622309999999997</v>
      </c>
      <c r="I128" s="307">
        <v>1.2283539999999999</v>
      </c>
      <c r="J128" s="307">
        <v>0.85110370000000002</v>
      </c>
      <c r="K128" s="307">
        <v>0.1701338</v>
      </c>
      <c r="L128" s="307">
        <v>0.70595370000000002</v>
      </c>
      <c r="M128" s="307">
        <v>1.7961009999999999</v>
      </c>
      <c r="N128" s="307">
        <v>0.94114430000000004</v>
      </c>
      <c r="O128" s="307">
        <v>1.6229929999999999</v>
      </c>
      <c r="P128" s="307">
        <v>1.815653</v>
      </c>
      <c r="Q128" s="307">
        <v>1.830943</v>
      </c>
      <c r="R128" s="307">
        <v>0.92023350000000004</v>
      </c>
      <c r="S128" s="307">
        <v>0.93303499999999995</v>
      </c>
      <c r="T128" s="307">
        <v>1.396782</v>
      </c>
      <c r="U128" s="307">
        <v>1.8914979999999999</v>
      </c>
      <c r="V128" s="307">
        <v>2.331556</v>
      </c>
      <c r="W128" s="307">
        <v>1.038351</v>
      </c>
      <c r="X128" s="307">
        <v>1.1726840000000001</v>
      </c>
      <c r="Y128" s="307">
        <v>1.252159</v>
      </c>
      <c r="Z128" s="307">
        <v>1.388746</v>
      </c>
      <c r="AA128" s="307">
        <v>1.4411119999999999</v>
      </c>
      <c r="AB128" s="307">
        <v>1.3896310000000001</v>
      </c>
      <c r="AC128" s="307">
        <v>2.2689810000000001</v>
      </c>
      <c r="AD128" s="307">
        <v>2.4018609999999998</v>
      </c>
      <c r="AE128" s="307">
        <v>1.2740419999999999</v>
      </c>
      <c r="AF128" s="307">
        <v>0</v>
      </c>
      <c r="AG128" s="307">
        <v>1.8348070000000001</v>
      </c>
      <c r="AH128" s="307">
        <v>2.1202239999999999</v>
      </c>
      <c r="AI128" s="307">
        <v>0.81898249999999995</v>
      </c>
      <c r="AJ128" s="307">
        <v>1.548257</v>
      </c>
      <c r="AK128" s="307">
        <v>1.7710669999999999</v>
      </c>
      <c r="AL128" s="307">
        <v>1.2716270000000001</v>
      </c>
      <c r="AM128" s="307">
        <v>1.4874350000000001</v>
      </c>
      <c r="AN128" s="307">
        <v>1.197913</v>
      </c>
      <c r="AO128" s="307">
        <v>2.2708520000000001</v>
      </c>
      <c r="AP128" s="307">
        <v>1.0812679999999999</v>
      </c>
      <c r="AQ128" s="307">
        <v>1.084535</v>
      </c>
      <c r="AR128" s="307">
        <v>1.966156</v>
      </c>
      <c r="AS128" s="307">
        <v>2.3035559999999999</v>
      </c>
      <c r="AT128" s="307">
        <v>1.5715330000000001</v>
      </c>
      <c r="AU128" s="307">
        <v>1.1171850000000001</v>
      </c>
      <c r="AV128" s="307">
        <v>1.9402980000000001</v>
      </c>
      <c r="AW128" s="307">
        <v>1.4239360000000001</v>
      </c>
      <c r="AX128" s="307">
        <v>1.524594</v>
      </c>
      <c r="AY128" s="307">
        <v>1.09663</v>
      </c>
      <c r="AZ128" s="307">
        <v>1.6959690000000001</v>
      </c>
      <c r="BA128" s="307">
        <v>1.7175720000000001</v>
      </c>
      <c r="BB128" s="307">
        <v>2.410965</v>
      </c>
      <c r="BC128" s="307">
        <v>1.0534049999999999</v>
      </c>
      <c r="BD128" s="307">
        <v>1.0871139999999999</v>
      </c>
      <c r="BE128" s="307">
        <v>1.062554</v>
      </c>
      <c r="BF128" s="307">
        <v>1.5681309999999999</v>
      </c>
      <c r="BG128" s="307">
        <v>1.3628720000000001</v>
      </c>
      <c r="BH128" s="307">
        <v>1.8034410000000001</v>
      </c>
      <c r="BI128" s="307">
        <v>1.137883</v>
      </c>
      <c r="BJ128" s="307">
        <v>1.6362589999999999</v>
      </c>
      <c r="BK128" s="307">
        <v>0.95040500000000006</v>
      </c>
      <c r="BL128">
        <f t="shared" si="4"/>
        <v>2</v>
      </c>
      <c r="BM128">
        <f t="shared" si="5"/>
        <v>1.4820083830508477</v>
      </c>
      <c r="BN128">
        <f t="shared" si="6"/>
        <v>2.410965</v>
      </c>
      <c r="BO128">
        <f t="array" ref="BO128">MIN(IF($C128:$BK128&gt;0, $C128:$BK128))</f>
        <v>0.1701338</v>
      </c>
      <c r="BP128">
        <f t="shared" si="7"/>
        <v>1.396782</v>
      </c>
    </row>
    <row r="129" spans="1:68" x14ac:dyDescent="0.25">
      <c r="A129" s="306">
        <v>325413</v>
      </c>
      <c r="B129" s="307" t="s">
        <v>115</v>
      </c>
      <c r="C129" s="307">
        <v>3.1238450000000002</v>
      </c>
      <c r="D129" s="307">
        <v>0</v>
      </c>
      <c r="E129" s="307">
        <v>0</v>
      </c>
      <c r="F129" s="307">
        <v>3.1617869999999999</v>
      </c>
      <c r="G129" s="307">
        <v>0</v>
      </c>
      <c r="H129" s="307">
        <v>2.654223</v>
      </c>
      <c r="I129" s="307">
        <v>3.1323720000000002</v>
      </c>
      <c r="J129" s="307">
        <v>2.6612930000000001</v>
      </c>
      <c r="K129" s="307">
        <v>0</v>
      </c>
      <c r="L129" s="307">
        <v>0</v>
      </c>
      <c r="M129" s="307">
        <v>4.0351090000000003</v>
      </c>
      <c r="N129" s="307">
        <v>2.5175510000000001</v>
      </c>
      <c r="O129" s="307">
        <v>0</v>
      </c>
      <c r="P129" s="307">
        <v>4.4956589999999998</v>
      </c>
      <c r="Q129" s="307">
        <v>0</v>
      </c>
      <c r="R129" s="307">
        <v>3.3325619999999998</v>
      </c>
      <c r="S129" s="307">
        <v>4.3870300000000002</v>
      </c>
      <c r="T129" s="307">
        <v>4.2224870000000001</v>
      </c>
      <c r="U129" s="307">
        <v>4.4408370000000001</v>
      </c>
      <c r="V129" s="307">
        <v>2.7927040000000001</v>
      </c>
      <c r="W129" s="307">
        <v>2.4382959999999998</v>
      </c>
      <c r="X129" s="307">
        <v>2.705619</v>
      </c>
      <c r="Y129" s="307">
        <v>4.3202199999999999</v>
      </c>
      <c r="Z129" s="307">
        <v>3.0811709999999999</v>
      </c>
      <c r="AA129" s="307">
        <v>3.4967100000000002</v>
      </c>
      <c r="AB129" s="307">
        <v>3.0794329999999999</v>
      </c>
      <c r="AC129" s="307">
        <v>0</v>
      </c>
      <c r="AD129" s="307">
        <v>0</v>
      </c>
      <c r="AE129" s="307">
        <v>3.8149519999999999</v>
      </c>
      <c r="AF129" s="307">
        <v>0</v>
      </c>
      <c r="AG129" s="307">
        <v>3.1109800000000001</v>
      </c>
      <c r="AH129" s="307">
        <v>0</v>
      </c>
      <c r="AI129" s="307">
        <v>2.3810250000000002</v>
      </c>
      <c r="AJ129" s="307">
        <v>5.1387650000000002</v>
      </c>
      <c r="AK129" s="307">
        <v>0</v>
      </c>
      <c r="AL129" s="307">
        <v>3.8824040000000002</v>
      </c>
      <c r="AM129" s="307">
        <v>4.9166480000000004</v>
      </c>
      <c r="AN129" s="307">
        <v>4.011641</v>
      </c>
      <c r="AO129" s="307">
        <v>4.5581709999999998</v>
      </c>
      <c r="AP129" s="307">
        <v>2.6296349999999999</v>
      </c>
      <c r="AQ129" s="307">
        <v>4.0198580000000002</v>
      </c>
      <c r="AR129" s="307">
        <v>4.9378419999999998</v>
      </c>
      <c r="AS129" s="307">
        <v>0</v>
      </c>
      <c r="AT129" s="307">
        <v>2.9304130000000002</v>
      </c>
      <c r="AU129" s="307">
        <v>4.3568160000000002</v>
      </c>
      <c r="AV129" s="307">
        <v>4.5379779999999998</v>
      </c>
      <c r="AW129" s="307">
        <v>3.856563</v>
      </c>
      <c r="AX129" s="307">
        <v>4.9604869999999996</v>
      </c>
      <c r="AY129" s="307">
        <v>3.351515</v>
      </c>
      <c r="AZ129" s="307">
        <v>3.9509949999999998</v>
      </c>
      <c r="BA129" s="307">
        <v>0</v>
      </c>
      <c r="BB129" s="307">
        <v>0</v>
      </c>
      <c r="BC129" s="307">
        <v>2.8593920000000002</v>
      </c>
      <c r="BD129" s="307">
        <v>2.8733960000000001</v>
      </c>
      <c r="BE129" s="307">
        <v>4.1800430000000004</v>
      </c>
      <c r="BF129" s="307">
        <v>3.671478</v>
      </c>
      <c r="BG129" s="307">
        <v>2.8671479999999998</v>
      </c>
      <c r="BH129" s="307">
        <v>4.2369620000000001</v>
      </c>
      <c r="BI129" s="307">
        <v>4.3000819999999997</v>
      </c>
      <c r="BJ129" s="307">
        <v>3.3190919999999999</v>
      </c>
      <c r="BK129" s="307">
        <v>2.7334670000000001</v>
      </c>
      <c r="BL129">
        <f t="shared" si="4"/>
        <v>15</v>
      </c>
      <c r="BM129">
        <f t="shared" si="5"/>
        <v>3.6188403478260875</v>
      </c>
      <c r="BN129">
        <f t="shared" si="6"/>
        <v>5.1387650000000002</v>
      </c>
      <c r="BO129">
        <f t="array" ref="BO129">MIN(IF($C129:$BK129&gt;0, $C129:$BK129))</f>
        <v>2.3810250000000002</v>
      </c>
      <c r="BP129">
        <f t="shared" si="7"/>
        <v>3.1109800000000001</v>
      </c>
    </row>
    <row r="130" spans="1:68" x14ac:dyDescent="0.25">
      <c r="A130" s="306">
        <v>325414</v>
      </c>
      <c r="B130" s="307" t="s">
        <v>116</v>
      </c>
      <c r="C130" s="307">
        <v>2.4040729999999999</v>
      </c>
      <c r="D130" s="307">
        <v>0</v>
      </c>
      <c r="E130" s="307">
        <v>3.0338059999999998</v>
      </c>
      <c r="F130" s="307">
        <v>4.5522859999999996</v>
      </c>
      <c r="G130" s="307">
        <v>1.546899</v>
      </c>
      <c r="H130" s="307">
        <v>2.4576349999999998</v>
      </c>
      <c r="I130" s="307">
        <v>3.0098189999999998</v>
      </c>
      <c r="J130" s="307">
        <v>2.4954339999999999</v>
      </c>
      <c r="K130" s="307">
        <v>0</v>
      </c>
      <c r="L130" s="307">
        <v>1.9160790000000001</v>
      </c>
      <c r="M130" s="307">
        <v>5.0935860000000002</v>
      </c>
      <c r="N130" s="307">
        <v>2.8042549999999999</v>
      </c>
      <c r="O130" s="307">
        <v>2.890422</v>
      </c>
      <c r="P130" s="307">
        <v>3.4938150000000001</v>
      </c>
      <c r="Q130" s="307">
        <v>0</v>
      </c>
      <c r="R130" s="307">
        <v>2.560489</v>
      </c>
      <c r="S130" s="307">
        <v>3.1434150000000001</v>
      </c>
      <c r="T130" s="307">
        <v>3.337555</v>
      </c>
      <c r="U130" s="307">
        <v>0</v>
      </c>
      <c r="V130" s="307">
        <v>5.659249</v>
      </c>
      <c r="W130" s="307">
        <v>1.563493</v>
      </c>
      <c r="X130" s="307">
        <v>1.425084</v>
      </c>
      <c r="Y130" s="307">
        <v>4.6051489999999999</v>
      </c>
      <c r="Z130" s="307">
        <v>2.5829629999999999</v>
      </c>
      <c r="AA130" s="307">
        <v>3.835636</v>
      </c>
      <c r="AB130" s="307">
        <v>2.3293539999999999</v>
      </c>
      <c r="AC130" s="307">
        <v>5.3680519999999996</v>
      </c>
      <c r="AD130" s="307">
        <v>3.8477000000000001</v>
      </c>
      <c r="AE130" s="307">
        <v>2.312786</v>
      </c>
      <c r="AF130" s="307">
        <v>0</v>
      </c>
      <c r="AG130" s="307">
        <v>3.0198499999999999</v>
      </c>
      <c r="AH130" s="307">
        <v>2.1795249999999999</v>
      </c>
      <c r="AI130" s="307">
        <v>1.37622</v>
      </c>
      <c r="AJ130" s="307">
        <v>0</v>
      </c>
      <c r="AK130" s="307">
        <v>0</v>
      </c>
      <c r="AL130" s="307">
        <v>2.5835919999999999</v>
      </c>
      <c r="AM130" s="307">
        <v>3.436115</v>
      </c>
      <c r="AN130" s="307">
        <v>2.7637260000000001</v>
      </c>
      <c r="AO130" s="307">
        <v>3.9588899999999998</v>
      </c>
      <c r="AP130" s="307">
        <v>1.980124</v>
      </c>
      <c r="AQ130" s="307">
        <v>0</v>
      </c>
      <c r="AR130" s="307">
        <v>2.8610980000000001</v>
      </c>
      <c r="AS130" s="307">
        <v>0</v>
      </c>
      <c r="AT130" s="307">
        <v>4.9893099999999997</v>
      </c>
      <c r="AU130" s="307">
        <v>3.065855</v>
      </c>
      <c r="AV130" s="307">
        <v>0</v>
      </c>
      <c r="AW130" s="307">
        <v>3.9754900000000002</v>
      </c>
      <c r="AX130" s="307">
        <v>3.310352</v>
      </c>
      <c r="AY130" s="307">
        <v>2.718229</v>
      </c>
      <c r="AZ130" s="307">
        <v>2.5601829999999999</v>
      </c>
      <c r="BA130" s="307">
        <v>0</v>
      </c>
      <c r="BB130" s="307">
        <v>0</v>
      </c>
      <c r="BC130" s="307">
        <v>2.1543899999999998</v>
      </c>
      <c r="BD130" s="307">
        <v>2.0152450000000002</v>
      </c>
      <c r="BE130" s="307">
        <v>2.676453</v>
      </c>
      <c r="BF130" s="307">
        <v>3.1557499999999998</v>
      </c>
      <c r="BG130" s="307">
        <v>2.0744349999999998</v>
      </c>
      <c r="BH130" s="307">
        <v>3.217578</v>
      </c>
      <c r="BI130" s="307">
        <v>3.1487270000000001</v>
      </c>
      <c r="BJ130" s="307">
        <v>2.8251379999999999</v>
      </c>
      <c r="BK130" s="307">
        <v>2.5758700000000001</v>
      </c>
      <c r="BL130">
        <f t="shared" si="4"/>
        <v>12</v>
      </c>
      <c r="BM130">
        <f t="shared" si="5"/>
        <v>2.9977791632653066</v>
      </c>
      <c r="BN130">
        <f t="shared" si="6"/>
        <v>5.659249</v>
      </c>
      <c r="BO130">
        <f t="array" ref="BO130">MIN(IF($C130:$BK130&gt;0, $C130:$BK130))</f>
        <v>1.37622</v>
      </c>
      <c r="BP130">
        <f t="shared" si="7"/>
        <v>2.5829629999999999</v>
      </c>
    </row>
    <row r="131" spans="1:68" x14ac:dyDescent="0.25">
      <c r="A131" s="306">
        <v>325510</v>
      </c>
      <c r="B131" s="307" t="s">
        <v>117</v>
      </c>
      <c r="C131" s="307">
        <v>2.225597</v>
      </c>
      <c r="D131" s="307">
        <v>0</v>
      </c>
      <c r="E131" s="307">
        <v>2.253787</v>
      </c>
      <c r="F131" s="307">
        <v>2.3985590000000001</v>
      </c>
      <c r="G131" s="307">
        <v>2.0468109999999999</v>
      </c>
      <c r="H131" s="307">
        <v>2.4352290000000001</v>
      </c>
      <c r="I131" s="307">
        <v>2.7918669999999999</v>
      </c>
      <c r="J131" s="307">
        <v>1.6212610000000001</v>
      </c>
      <c r="K131" s="307">
        <v>0</v>
      </c>
      <c r="L131" s="307">
        <v>1.205762</v>
      </c>
      <c r="M131" s="307">
        <v>2.5326309999999999</v>
      </c>
      <c r="N131" s="307">
        <v>2.238683</v>
      </c>
      <c r="O131" s="307">
        <v>0</v>
      </c>
      <c r="P131" s="307">
        <v>2.5294029999999998</v>
      </c>
      <c r="Q131" s="307">
        <v>3.0371190000000001</v>
      </c>
      <c r="R131" s="307">
        <v>2.0271249999999998</v>
      </c>
      <c r="S131" s="307">
        <v>2.3789570000000002</v>
      </c>
      <c r="T131" s="307">
        <v>2.0698949999999998</v>
      </c>
      <c r="U131" s="307">
        <v>2.341885</v>
      </c>
      <c r="V131" s="307">
        <v>2.6898420000000001</v>
      </c>
      <c r="W131" s="307">
        <v>2.040616</v>
      </c>
      <c r="X131" s="307">
        <v>2.290508</v>
      </c>
      <c r="Y131" s="307">
        <v>0</v>
      </c>
      <c r="Z131" s="307">
        <v>1.846714</v>
      </c>
      <c r="AA131" s="307">
        <v>1.6877549999999999</v>
      </c>
      <c r="AB131" s="307">
        <v>2.0710950000000001</v>
      </c>
      <c r="AC131" s="307">
        <v>2.4405350000000001</v>
      </c>
      <c r="AD131" s="307">
        <v>0</v>
      </c>
      <c r="AE131" s="307">
        <v>2.3042639999999999</v>
      </c>
      <c r="AF131" s="307">
        <v>2.429792</v>
      </c>
      <c r="AG131" s="307">
        <v>2.9329740000000002</v>
      </c>
      <c r="AH131" s="307">
        <v>2.6257419999999998</v>
      </c>
      <c r="AI131" s="307">
        <v>1.605003</v>
      </c>
      <c r="AJ131" s="307">
        <v>1.9626790000000001</v>
      </c>
      <c r="AK131" s="307">
        <v>1.9764459999999999</v>
      </c>
      <c r="AL131" s="307">
        <v>2.2721800000000001</v>
      </c>
      <c r="AM131" s="307">
        <v>2.0243530000000001</v>
      </c>
      <c r="AN131" s="307">
        <v>2.0113089999999998</v>
      </c>
      <c r="AO131" s="307">
        <v>2.4676019999999999</v>
      </c>
      <c r="AP131" s="307">
        <v>1.986521</v>
      </c>
      <c r="AQ131" s="307">
        <v>2.3120690000000002</v>
      </c>
      <c r="AR131" s="307">
        <v>2.2237960000000001</v>
      </c>
      <c r="AS131" s="307">
        <v>2.8658389999999998</v>
      </c>
      <c r="AT131" s="307">
        <v>2.226613</v>
      </c>
      <c r="AU131" s="307">
        <v>2.0747589999999998</v>
      </c>
      <c r="AV131" s="307">
        <v>2.5339109999999998</v>
      </c>
      <c r="AW131" s="307">
        <v>2.0743170000000002</v>
      </c>
      <c r="AX131" s="307">
        <v>2.4040089999999998</v>
      </c>
      <c r="AY131" s="307">
        <v>2.0325289999999998</v>
      </c>
      <c r="AZ131" s="307">
        <v>2.1948110000000001</v>
      </c>
      <c r="BA131" s="307">
        <v>2.6432039999999999</v>
      </c>
      <c r="BB131" s="307">
        <v>0</v>
      </c>
      <c r="BC131" s="307">
        <v>2.0634800000000002</v>
      </c>
      <c r="BD131" s="307">
        <v>1.980234</v>
      </c>
      <c r="BE131" s="307">
        <v>2.0992310000000001</v>
      </c>
      <c r="BF131" s="307">
        <v>2.1214849999999998</v>
      </c>
      <c r="BG131" s="307">
        <v>2.270203</v>
      </c>
      <c r="BH131" s="307">
        <v>2.349866</v>
      </c>
      <c r="BI131" s="307">
        <v>2.1187670000000001</v>
      </c>
      <c r="BJ131" s="307">
        <v>2.291318</v>
      </c>
      <c r="BK131" s="307">
        <v>2.4158620000000002</v>
      </c>
      <c r="BL131">
        <f t="shared" si="4"/>
        <v>6</v>
      </c>
      <c r="BM131">
        <f t="shared" si="5"/>
        <v>2.238123709090909</v>
      </c>
      <c r="BN131">
        <f t="shared" si="6"/>
        <v>3.0371190000000001</v>
      </c>
      <c r="BO131">
        <f t="array" ref="BO131">MIN(IF($C131:$BK131&gt;0, $C131:$BK131))</f>
        <v>1.205762</v>
      </c>
      <c r="BP131">
        <f t="shared" si="7"/>
        <v>2.2237960000000001</v>
      </c>
    </row>
    <row r="132" spans="1:68" x14ac:dyDescent="0.25">
      <c r="A132" s="306">
        <v>325520</v>
      </c>
      <c r="B132" s="307" t="s">
        <v>118</v>
      </c>
      <c r="C132" s="307">
        <v>2.58962</v>
      </c>
      <c r="D132" s="307">
        <v>0</v>
      </c>
      <c r="E132" s="307">
        <v>3.075644</v>
      </c>
      <c r="F132" s="307">
        <v>2.2697750000000001</v>
      </c>
      <c r="G132" s="307">
        <v>3.1963189999999999</v>
      </c>
      <c r="H132" s="307">
        <v>2.3164310000000001</v>
      </c>
      <c r="I132" s="307">
        <v>3.1767949999999998</v>
      </c>
      <c r="J132" s="307">
        <v>1.786532</v>
      </c>
      <c r="K132" s="307">
        <v>0.68422839999999996</v>
      </c>
      <c r="L132" s="307">
        <v>2.5455559999999999</v>
      </c>
      <c r="M132" s="307">
        <v>3.6896840000000002</v>
      </c>
      <c r="N132" s="307">
        <v>2.8152339999999998</v>
      </c>
      <c r="O132" s="307">
        <v>0</v>
      </c>
      <c r="P132" s="307">
        <v>2.1667510000000001</v>
      </c>
      <c r="Q132" s="307">
        <v>0</v>
      </c>
      <c r="R132" s="307">
        <v>2.43486</v>
      </c>
      <c r="S132" s="307">
        <v>3.6163799999999999</v>
      </c>
      <c r="T132" s="307">
        <v>2.523803</v>
      </c>
      <c r="U132" s="307">
        <v>2.4232749999999998</v>
      </c>
      <c r="V132" s="307">
        <v>1.9355439999999999</v>
      </c>
      <c r="W132" s="307">
        <v>1.8789439999999999</v>
      </c>
      <c r="X132" s="307">
        <v>2.0287630000000001</v>
      </c>
      <c r="Y132" s="307">
        <v>0</v>
      </c>
      <c r="Z132" s="307">
        <v>2.5671529999999998</v>
      </c>
      <c r="AA132" s="307">
        <v>1.859856</v>
      </c>
      <c r="AB132" s="307">
        <v>2.5840429999999999</v>
      </c>
      <c r="AC132" s="307">
        <v>2.2474859999999999</v>
      </c>
      <c r="AD132" s="307">
        <v>0</v>
      </c>
      <c r="AE132" s="307">
        <v>2.7202809999999999</v>
      </c>
      <c r="AF132" s="307">
        <v>2.9791189999999999</v>
      </c>
      <c r="AG132" s="307">
        <v>3.5959979999999998</v>
      </c>
      <c r="AH132" s="307">
        <v>2.5932379999999999</v>
      </c>
      <c r="AI132" s="307">
        <v>2.1567500000000002</v>
      </c>
      <c r="AJ132" s="307">
        <v>0</v>
      </c>
      <c r="AK132" s="307">
        <v>2.940896</v>
      </c>
      <c r="AL132" s="307">
        <v>2.0027240000000002</v>
      </c>
      <c r="AM132" s="307">
        <v>2.4603769999999998</v>
      </c>
      <c r="AN132" s="307">
        <v>2.3506260000000001</v>
      </c>
      <c r="AO132" s="307">
        <v>2.0505969999999998</v>
      </c>
      <c r="AP132" s="307">
        <v>2.4283380000000001</v>
      </c>
      <c r="AQ132" s="307">
        <v>2.7045910000000002</v>
      </c>
      <c r="AR132" s="307">
        <v>3.2040999999999999</v>
      </c>
      <c r="AS132" s="307">
        <v>0</v>
      </c>
      <c r="AT132" s="307">
        <v>2.9036409999999999</v>
      </c>
      <c r="AU132" s="307">
        <v>2.8981629999999998</v>
      </c>
      <c r="AV132" s="307">
        <v>3.1979470000000001</v>
      </c>
      <c r="AW132" s="307">
        <v>2.6956099999999998</v>
      </c>
      <c r="AX132" s="307">
        <v>2.636927</v>
      </c>
      <c r="AY132" s="307">
        <v>2.8453339999999998</v>
      </c>
      <c r="AZ132" s="307">
        <v>2.5303650000000002</v>
      </c>
      <c r="BA132" s="307">
        <v>2.348859</v>
      </c>
      <c r="BB132" s="307">
        <v>0</v>
      </c>
      <c r="BC132" s="307">
        <v>2.0250680000000001</v>
      </c>
      <c r="BD132" s="307">
        <v>2.447867</v>
      </c>
      <c r="BE132" s="307">
        <v>2.7000259999999998</v>
      </c>
      <c r="BF132" s="307">
        <v>2.5235189999999998</v>
      </c>
      <c r="BG132" s="307">
        <v>2.684825</v>
      </c>
      <c r="BH132" s="307">
        <v>2.695309</v>
      </c>
      <c r="BI132" s="307">
        <v>2.8231160000000002</v>
      </c>
      <c r="BJ132" s="307">
        <v>3.1754250000000002</v>
      </c>
      <c r="BK132" s="307">
        <v>2.3225509999999998</v>
      </c>
      <c r="BL132">
        <f t="shared" si="4"/>
        <v>8</v>
      </c>
      <c r="BM132">
        <f t="shared" si="5"/>
        <v>2.5670728943396219</v>
      </c>
      <c r="BN132">
        <f t="shared" si="6"/>
        <v>3.6896840000000002</v>
      </c>
      <c r="BO132">
        <f t="array" ref="BO132">MIN(IF($C132:$BK132&gt;0, $C132:$BK132))</f>
        <v>0.68422839999999996</v>
      </c>
      <c r="BP132">
        <f t="shared" si="7"/>
        <v>2.5235189999999998</v>
      </c>
    </row>
    <row r="133" spans="1:68" x14ac:dyDescent="0.25">
      <c r="A133" s="306">
        <v>325610</v>
      </c>
      <c r="B133" s="307" t="s">
        <v>119</v>
      </c>
      <c r="C133" s="307">
        <v>1.686709</v>
      </c>
      <c r="D133" s="307">
        <v>1.664482</v>
      </c>
      <c r="E133" s="307">
        <v>2.4650799999999999</v>
      </c>
      <c r="F133" s="307">
        <v>2.2640570000000002</v>
      </c>
      <c r="G133" s="307">
        <v>1.787318</v>
      </c>
      <c r="H133" s="307">
        <v>1.343642</v>
      </c>
      <c r="I133" s="307">
        <v>2.2888820000000001</v>
      </c>
      <c r="J133" s="307">
        <v>1.4323900000000001</v>
      </c>
      <c r="K133" s="307">
        <v>0.1978712</v>
      </c>
      <c r="L133" s="307">
        <v>1.4542120000000001</v>
      </c>
      <c r="M133" s="307">
        <v>1.99376</v>
      </c>
      <c r="N133" s="307">
        <v>1.622633</v>
      </c>
      <c r="O133" s="307">
        <v>3.2335129999999999</v>
      </c>
      <c r="P133" s="307">
        <v>3.3436689999999998</v>
      </c>
      <c r="Q133" s="307">
        <v>4.1911300000000002</v>
      </c>
      <c r="R133" s="307">
        <v>1.738553</v>
      </c>
      <c r="S133" s="307">
        <v>1.819947</v>
      </c>
      <c r="T133" s="307">
        <v>1.4814210000000001</v>
      </c>
      <c r="U133" s="307">
        <v>2.2481369999999998</v>
      </c>
      <c r="V133" s="307">
        <v>1.7559340000000001</v>
      </c>
      <c r="W133" s="307">
        <v>1.7287380000000001</v>
      </c>
      <c r="X133" s="307">
        <v>1.455389</v>
      </c>
      <c r="Y133" s="307">
        <v>1.787663</v>
      </c>
      <c r="Z133" s="307">
        <v>1.5124340000000001</v>
      </c>
      <c r="AA133" s="307">
        <v>1.781676</v>
      </c>
      <c r="AB133" s="307">
        <v>1.803658</v>
      </c>
      <c r="AC133" s="307">
        <v>2.9062380000000001</v>
      </c>
      <c r="AD133" s="307">
        <v>4.1234299999999999</v>
      </c>
      <c r="AE133" s="307">
        <v>1.882115</v>
      </c>
      <c r="AF133" s="307">
        <v>0</v>
      </c>
      <c r="AG133" s="307">
        <v>3.7157559999999998</v>
      </c>
      <c r="AH133" s="307">
        <v>3.640002</v>
      </c>
      <c r="AI133" s="307">
        <v>1.20889</v>
      </c>
      <c r="AJ133" s="307">
        <v>4.1485940000000001</v>
      </c>
      <c r="AK133" s="307">
        <v>1.967557</v>
      </c>
      <c r="AL133" s="307">
        <v>2.2395200000000002</v>
      </c>
      <c r="AM133" s="307">
        <v>1.5540700000000001</v>
      </c>
      <c r="AN133" s="307">
        <v>1.623615</v>
      </c>
      <c r="AO133" s="307">
        <v>1.854087</v>
      </c>
      <c r="AP133" s="307">
        <v>1.988081</v>
      </c>
      <c r="AQ133" s="307">
        <v>2.2605029999999999</v>
      </c>
      <c r="AR133" s="307">
        <v>1.918094</v>
      </c>
      <c r="AS133" s="307">
        <v>3.954866</v>
      </c>
      <c r="AT133" s="307">
        <v>2.1196419999999998</v>
      </c>
      <c r="AU133" s="307">
        <v>1.629095</v>
      </c>
      <c r="AV133" s="307">
        <v>2.1929120000000002</v>
      </c>
      <c r="AW133" s="307">
        <v>1.5929260000000001</v>
      </c>
      <c r="AX133" s="307">
        <v>2.8421439999999998</v>
      </c>
      <c r="AY133" s="307">
        <v>2.0113859999999999</v>
      </c>
      <c r="AZ133" s="307">
        <v>1.0389409999999999</v>
      </c>
      <c r="BA133" s="307">
        <v>2.100422</v>
      </c>
      <c r="BB133" s="307">
        <v>1.652026</v>
      </c>
      <c r="BC133" s="307">
        <v>2.0893959999999998</v>
      </c>
      <c r="BD133" s="307">
        <v>1.7129570000000001</v>
      </c>
      <c r="BE133" s="307">
        <v>1.4521759999999999</v>
      </c>
      <c r="BF133" s="307">
        <v>1.931792</v>
      </c>
      <c r="BG133" s="307">
        <v>1.7476100000000001</v>
      </c>
      <c r="BH133" s="307">
        <v>2.3945759999999998</v>
      </c>
      <c r="BI133" s="307">
        <v>1.6622729999999999</v>
      </c>
      <c r="BJ133" s="307">
        <v>2.159951</v>
      </c>
      <c r="BK133" s="307">
        <v>1.3827739999999999</v>
      </c>
      <c r="BL133">
        <f t="shared" si="4"/>
        <v>1</v>
      </c>
      <c r="BM133">
        <f t="shared" si="5"/>
        <v>2.0796885866666668</v>
      </c>
      <c r="BN133">
        <f t="shared" si="6"/>
        <v>4.1911300000000002</v>
      </c>
      <c r="BO133">
        <f t="array" ref="BO133">MIN(IF($C133:$BK133&gt;0, $C133:$BK133))</f>
        <v>0.1978712</v>
      </c>
      <c r="BP133">
        <f t="shared" si="7"/>
        <v>1.819947</v>
      </c>
    </row>
    <row r="134" spans="1:68" x14ac:dyDescent="0.25">
      <c r="A134" s="306">
        <v>325620</v>
      </c>
      <c r="B134" s="307" t="s">
        <v>120</v>
      </c>
      <c r="C134" s="307">
        <v>2.001814</v>
      </c>
      <c r="D134" s="307">
        <v>0</v>
      </c>
      <c r="E134" s="307">
        <v>2.0996769999999998</v>
      </c>
      <c r="F134" s="307">
        <v>2.0185029999999999</v>
      </c>
      <c r="G134" s="307">
        <v>1.900838</v>
      </c>
      <c r="H134" s="307">
        <v>2.149152</v>
      </c>
      <c r="I134" s="307">
        <v>3.4546860000000001</v>
      </c>
      <c r="J134" s="307">
        <v>1.3342780000000001</v>
      </c>
      <c r="K134" s="307">
        <v>0</v>
      </c>
      <c r="L134" s="307">
        <v>0.99231210000000003</v>
      </c>
      <c r="M134" s="307">
        <v>2.2361339999999998</v>
      </c>
      <c r="N134" s="307">
        <v>1.5802020000000001</v>
      </c>
      <c r="O134" s="307">
        <v>2.8804449999999999</v>
      </c>
      <c r="P134" s="307">
        <v>2.4595790000000002</v>
      </c>
      <c r="Q134" s="307">
        <v>3.4577749999999998</v>
      </c>
      <c r="R134" s="307">
        <v>1.552934</v>
      </c>
      <c r="S134" s="307">
        <v>1.4096900000000001</v>
      </c>
      <c r="T134" s="307">
        <v>1.7238910000000001</v>
      </c>
      <c r="U134" s="307">
        <v>1.8363389999999999</v>
      </c>
      <c r="V134" s="307">
        <v>2.6783860000000002</v>
      </c>
      <c r="W134" s="307">
        <v>1.451756</v>
      </c>
      <c r="X134" s="307">
        <v>1.403689</v>
      </c>
      <c r="Y134" s="307">
        <v>3.4279410000000001</v>
      </c>
      <c r="Z134" s="307">
        <v>3.0667599999999999</v>
      </c>
      <c r="AA134" s="307">
        <v>1.7630969999999999</v>
      </c>
      <c r="AB134" s="307">
        <v>1.759549</v>
      </c>
      <c r="AC134" s="307">
        <v>2.3991980000000002</v>
      </c>
      <c r="AD134" s="307">
        <v>3.401815</v>
      </c>
      <c r="AE134" s="307">
        <v>2.101194</v>
      </c>
      <c r="AF134" s="307">
        <v>1.5430219999999999</v>
      </c>
      <c r="AG134" s="307">
        <v>2.9036520000000001</v>
      </c>
      <c r="AH134" s="307">
        <v>2.6650369999999999</v>
      </c>
      <c r="AI134" s="307">
        <v>1.5866849999999999</v>
      </c>
      <c r="AJ134" s="307">
        <v>2.4143050000000001</v>
      </c>
      <c r="AK134" s="307">
        <v>1.8592409999999999</v>
      </c>
      <c r="AL134" s="307">
        <v>1.4259999999999999</v>
      </c>
      <c r="AM134" s="307">
        <v>2.0217670000000001</v>
      </c>
      <c r="AN134" s="307">
        <v>2.305758</v>
      </c>
      <c r="AO134" s="307">
        <v>3.2163719999999998</v>
      </c>
      <c r="AP134" s="307">
        <v>3.0370810000000001</v>
      </c>
      <c r="AQ134" s="307">
        <v>1.9355439999999999</v>
      </c>
      <c r="AR134" s="307">
        <v>3.2887330000000001</v>
      </c>
      <c r="AS134" s="307">
        <v>2.2653479999999999</v>
      </c>
      <c r="AT134" s="307">
        <v>2.6177649999999999</v>
      </c>
      <c r="AU134" s="307">
        <v>1.6737880000000001</v>
      </c>
      <c r="AV134" s="307">
        <v>2.0100660000000001</v>
      </c>
      <c r="AW134" s="307">
        <v>2.4186719999999999</v>
      </c>
      <c r="AX134" s="307">
        <v>2.9967630000000001</v>
      </c>
      <c r="AY134" s="307">
        <v>1.8995139999999999</v>
      </c>
      <c r="AZ134" s="307">
        <v>3.3357579999999998</v>
      </c>
      <c r="BA134" s="307">
        <v>0</v>
      </c>
      <c r="BB134" s="307">
        <v>3.44875</v>
      </c>
      <c r="BC134" s="307">
        <v>1.607459</v>
      </c>
      <c r="BD134" s="307">
        <v>1.877999</v>
      </c>
      <c r="BE134" s="307">
        <v>1.8357920000000001</v>
      </c>
      <c r="BF134" s="307">
        <v>2.0653980000000001</v>
      </c>
      <c r="BG134" s="307">
        <v>1.9134800000000001</v>
      </c>
      <c r="BH134" s="307">
        <v>2.516518</v>
      </c>
      <c r="BI134" s="307">
        <v>1.7949740000000001</v>
      </c>
      <c r="BJ134" s="307">
        <v>2.41282</v>
      </c>
      <c r="BK134" s="307">
        <v>2.1596899999999999</v>
      </c>
      <c r="BL134">
        <f t="shared" ref="BL134:BL197" si="8">COUNTIFS($C134:$BK134, 0)</f>
        <v>3</v>
      </c>
      <c r="BM134">
        <f t="shared" ref="BM134:BM197" si="9">AVERAGEIF($C134:$BK134, "&lt;&gt;0", $C134:$BK134)</f>
        <v>2.2344031913793105</v>
      </c>
      <c r="BN134">
        <f t="shared" ref="BN134:BN197" si="10">MAX($C134:$BK134)</f>
        <v>3.4577749999999998</v>
      </c>
      <c r="BO134">
        <f t="array" ref="BO134">MIN(IF($C134:$BK134&gt;0, $C134:$BK134))</f>
        <v>0.99231210000000003</v>
      </c>
      <c r="BP134">
        <f t="shared" ref="BP134:BP197" si="11">MEDIAN($C134:$BK134)</f>
        <v>2.0217670000000001</v>
      </c>
    </row>
    <row r="135" spans="1:68" x14ac:dyDescent="0.25">
      <c r="A135" s="306">
        <v>325910</v>
      </c>
      <c r="B135" s="307" t="s">
        <v>121</v>
      </c>
      <c r="C135" s="307">
        <v>2.5987339999999999</v>
      </c>
      <c r="D135" s="307">
        <v>0</v>
      </c>
      <c r="E135" s="307">
        <v>3.4838740000000001</v>
      </c>
      <c r="F135" s="307">
        <v>2.6492369999999998</v>
      </c>
      <c r="G135" s="307">
        <v>2.9665590000000002</v>
      </c>
      <c r="H135" s="307">
        <v>2.7020279999999999</v>
      </c>
      <c r="I135" s="307">
        <v>2.3549980000000001</v>
      </c>
      <c r="J135" s="307">
        <v>2.638919</v>
      </c>
      <c r="K135" s="307">
        <v>0</v>
      </c>
      <c r="L135" s="307">
        <v>1.3671120000000001</v>
      </c>
      <c r="M135" s="307">
        <v>2.2392020000000001</v>
      </c>
      <c r="N135" s="307">
        <v>2.5618189999999998</v>
      </c>
      <c r="O135" s="307">
        <v>0</v>
      </c>
      <c r="P135" s="307">
        <v>3.3824830000000001</v>
      </c>
      <c r="Q135" s="307">
        <v>0</v>
      </c>
      <c r="R135" s="307">
        <v>2.441522</v>
      </c>
      <c r="S135" s="307">
        <v>3.0418810000000001</v>
      </c>
      <c r="T135" s="307">
        <v>2.1167310000000001</v>
      </c>
      <c r="U135" s="307">
        <v>2.27088</v>
      </c>
      <c r="V135" s="307">
        <v>2.9377800000000001</v>
      </c>
      <c r="W135" s="307">
        <v>2.4078300000000001</v>
      </c>
      <c r="X135" s="307">
        <v>2.3285079999999998</v>
      </c>
      <c r="Y135" s="307">
        <v>3.5170249999999998</v>
      </c>
      <c r="Z135" s="307">
        <v>2.1539619999999999</v>
      </c>
      <c r="AA135" s="307">
        <v>2.5089350000000001</v>
      </c>
      <c r="AB135" s="307">
        <v>2.4575230000000001</v>
      </c>
      <c r="AC135" s="307">
        <v>0</v>
      </c>
      <c r="AD135" s="307">
        <v>0</v>
      </c>
      <c r="AE135" s="307">
        <v>2.929678</v>
      </c>
      <c r="AF135" s="307">
        <v>0</v>
      </c>
      <c r="AG135" s="307">
        <v>3.0785619999999998</v>
      </c>
      <c r="AH135" s="307">
        <v>3.0811480000000002</v>
      </c>
      <c r="AI135" s="307">
        <v>1.7688360000000001</v>
      </c>
      <c r="AJ135" s="307">
        <v>3.5114359999999998</v>
      </c>
      <c r="AK135" s="307">
        <v>1.872066</v>
      </c>
      <c r="AL135" s="307">
        <v>1.98905</v>
      </c>
      <c r="AM135" s="307">
        <v>2.4493619999999998</v>
      </c>
      <c r="AN135" s="307">
        <v>1.9712670000000001</v>
      </c>
      <c r="AO135" s="307">
        <v>2.4612180000000001</v>
      </c>
      <c r="AP135" s="307">
        <v>2.7155900000000002</v>
      </c>
      <c r="AQ135" s="307">
        <v>2.9938820000000002</v>
      </c>
      <c r="AR135" s="307">
        <v>3.0092919999999999</v>
      </c>
      <c r="AS135" s="307">
        <v>0</v>
      </c>
      <c r="AT135" s="307">
        <v>2.6203349999999999</v>
      </c>
      <c r="AU135" s="307">
        <v>2.6276250000000001</v>
      </c>
      <c r="AV135" s="307">
        <v>3.2406839999999999</v>
      </c>
      <c r="AW135" s="307">
        <v>2.244049</v>
      </c>
      <c r="AX135" s="307">
        <v>0</v>
      </c>
      <c r="AY135" s="307">
        <v>1.934698</v>
      </c>
      <c r="AZ135" s="307">
        <v>2.5574050000000002</v>
      </c>
      <c r="BA135" s="307">
        <v>0</v>
      </c>
      <c r="BB135" s="307">
        <v>0</v>
      </c>
      <c r="BC135" s="307">
        <v>2.6610260000000001</v>
      </c>
      <c r="BD135" s="307">
        <v>2.1225860000000001</v>
      </c>
      <c r="BE135" s="307">
        <v>2.5545770000000001</v>
      </c>
      <c r="BF135" s="307">
        <v>2.5903160000000001</v>
      </c>
      <c r="BG135" s="307">
        <v>2.5791650000000002</v>
      </c>
      <c r="BH135" s="307">
        <v>2.5333480000000002</v>
      </c>
      <c r="BI135" s="307">
        <v>2.4393500000000001</v>
      </c>
      <c r="BJ135" s="307">
        <v>2.5708929999999999</v>
      </c>
      <c r="BK135" s="307">
        <v>2.6622699999999999</v>
      </c>
      <c r="BL135">
        <f t="shared" si="8"/>
        <v>11</v>
      </c>
      <c r="BM135">
        <f t="shared" si="9"/>
        <v>2.5779451200000008</v>
      </c>
      <c r="BN135">
        <f t="shared" si="10"/>
        <v>3.5170249999999998</v>
      </c>
      <c r="BO135">
        <f t="array" ref="BO135">MIN(IF($C135:$BK135&gt;0, $C135:$BK135))</f>
        <v>1.3671120000000001</v>
      </c>
      <c r="BP135">
        <f t="shared" si="11"/>
        <v>2.4612180000000001</v>
      </c>
    </row>
    <row r="136" spans="1:68" x14ac:dyDescent="0.25">
      <c r="A136" s="306" t="s">
        <v>715</v>
      </c>
      <c r="B136" s="307" t="s">
        <v>122</v>
      </c>
      <c r="C136" s="307">
        <v>2.985223</v>
      </c>
      <c r="D136" s="307">
        <v>4.5967919999999998</v>
      </c>
      <c r="E136" s="307">
        <v>3.2562479999999998</v>
      </c>
      <c r="F136" s="307">
        <v>3.3954659999999999</v>
      </c>
      <c r="G136" s="307">
        <v>2.9366729999999999</v>
      </c>
      <c r="H136" s="307">
        <v>3.1844779999999999</v>
      </c>
      <c r="I136" s="307">
        <v>3.3297729999999999</v>
      </c>
      <c r="J136" s="307">
        <v>2.0513590000000002</v>
      </c>
      <c r="K136" s="307">
        <v>0</v>
      </c>
      <c r="L136" s="307">
        <v>2.175862</v>
      </c>
      <c r="M136" s="307">
        <v>3.2461030000000002</v>
      </c>
      <c r="N136" s="307">
        <v>3.1283449999999999</v>
      </c>
      <c r="O136" s="307">
        <v>2.2056969999999998</v>
      </c>
      <c r="P136" s="307">
        <v>4.2506839999999997</v>
      </c>
      <c r="Q136" s="307">
        <v>2.2898350000000001</v>
      </c>
      <c r="R136" s="307">
        <v>3.0038109999999998</v>
      </c>
      <c r="S136" s="307">
        <v>3.6012909999999998</v>
      </c>
      <c r="T136" s="307">
        <v>3.518475</v>
      </c>
      <c r="U136" s="307">
        <v>2.8238979999999998</v>
      </c>
      <c r="V136" s="307">
        <v>2.8472740000000001</v>
      </c>
      <c r="W136" s="307">
        <v>2.908099</v>
      </c>
      <c r="X136" s="307">
        <v>4.0291899999999998</v>
      </c>
      <c r="Y136" s="307">
        <v>4.3159349999999996</v>
      </c>
      <c r="Z136" s="307">
        <v>3.5335290000000001</v>
      </c>
      <c r="AA136" s="307">
        <v>2.4176899999999999</v>
      </c>
      <c r="AB136" s="307">
        <v>3.5749909999999998</v>
      </c>
      <c r="AC136" s="307">
        <v>3.4961350000000002</v>
      </c>
      <c r="AD136" s="307">
        <v>4.5004119999999999</v>
      </c>
      <c r="AE136" s="307">
        <v>3.286864</v>
      </c>
      <c r="AF136" s="307">
        <v>3.1877089999999999</v>
      </c>
      <c r="AG136" s="307">
        <v>4.4175810000000002</v>
      </c>
      <c r="AH136" s="307">
        <v>2.5292910000000002</v>
      </c>
      <c r="AI136" s="307">
        <v>2.4923999999999999</v>
      </c>
      <c r="AJ136" s="307">
        <v>2.4216150000000001</v>
      </c>
      <c r="AK136" s="307">
        <v>2.0890409999999999</v>
      </c>
      <c r="AL136" s="307">
        <v>1.924266</v>
      </c>
      <c r="AM136" s="307">
        <v>2.7602820000000001</v>
      </c>
      <c r="AN136" s="307">
        <v>2.568273</v>
      </c>
      <c r="AO136" s="307">
        <v>3.008562</v>
      </c>
      <c r="AP136" s="307">
        <v>2.813733</v>
      </c>
      <c r="AQ136" s="307">
        <v>2.52982</v>
      </c>
      <c r="AR136" s="307">
        <v>2.8852009999999999</v>
      </c>
      <c r="AS136" s="307">
        <v>4.2350890000000003</v>
      </c>
      <c r="AT136" s="307">
        <v>3.177794</v>
      </c>
      <c r="AU136" s="307">
        <v>2.416747</v>
      </c>
      <c r="AV136" s="307">
        <v>3.6931910000000001</v>
      </c>
      <c r="AW136" s="307">
        <v>3.3102040000000001</v>
      </c>
      <c r="AX136" s="307">
        <v>4.3707710000000004</v>
      </c>
      <c r="AY136" s="307">
        <v>2.8161990000000001</v>
      </c>
      <c r="AZ136" s="307">
        <v>3.5069530000000002</v>
      </c>
      <c r="BA136" s="307">
        <v>4.1127339999999997</v>
      </c>
      <c r="BB136" s="307">
        <v>2.8092380000000001</v>
      </c>
      <c r="BC136" s="307">
        <v>2.6886480000000001</v>
      </c>
      <c r="BD136" s="307">
        <v>2.4531700000000001</v>
      </c>
      <c r="BE136" s="307">
        <v>3.2040410000000001</v>
      </c>
      <c r="BF136" s="307">
        <v>3.2083349999999999</v>
      </c>
      <c r="BG136" s="307">
        <v>3.212056</v>
      </c>
      <c r="BH136" s="307">
        <v>3.213082</v>
      </c>
      <c r="BI136" s="307">
        <v>2.548</v>
      </c>
      <c r="BJ136" s="307">
        <v>2.9281600000000001</v>
      </c>
      <c r="BK136" s="307">
        <v>3.1711239999999998</v>
      </c>
      <c r="BL136">
        <f t="shared" si="8"/>
        <v>1</v>
      </c>
      <c r="BM136">
        <f t="shared" si="9"/>
        <v>3.1265573666666659</v>
      </c>
      <c r="BN136">
        <f t="shared" si="10"/>
        <v>4.5967919999999998</v>
      </c>
      <c r="BO136">
        <f t="array" ref="BO136">MIN(IF($C136:$BK136&gt;0, $C136:$BK136))</f>
        <v>1.924266</v>
      </c>
      <c r="BP136">
        <f t="shared" si="11"/>
        <v>3.1283449999999999</v>
      </c>
    </row>
    <row r="137" spans="1:68" x14ac:dyDescent="0.25">
      <c r="A137" s="306">
        <v>326110</v>
      </c>
      <c r="B137" s="307" t="s">
        <v>123</v>
      </c>
      <c r="C137" s="307">
        <v>3.4874719999999999</v>
      </c>
      <c r="D137" s="307">
        <v>0</v>
      </c>
      <c r="E137" s="307">
        <v>4.5390100000000002</v>
      </c>
      <c r="F137" s="307">
        <v>3.1853829999999999</v>
      </c>
      <c r="G137" s="307">
        <v>4.5914989999999998</v>
      </c>
      <c r="H137" s="307">
        <v>3.799388</v>
      </c>
      <c r="I137" s="307">
        <v>3.9953699999999999</v>
      </c>
      <c r="J137" s="307">
        <v>2.6091920000000002</v>
      </c>
      <c r="K137" s="307">
        <v>0</v>
      </c>
      <c r="L137" s="307">
        <v>2.1790280000000002</v>
      </c>
      <c r="M137" s="307">
        <v>4.0446600000000004</v>
      </c>
      <c r="N137" s="307">
        <v>3.5036100000000001</v>
      </c>
      <c r="O137" s="307">
        <v>3.87764</v>
      </c>
      <c r="P137" s="307">
        <v>2.7167810000000001</v>
      </c>
      <c r="Q137" s="307">
        <v>4.5428290000000002</v>
      </c>
      <c r="R137" s="307">
        <v>3.0646990000000001</v>
      </c>
      <c r="S137" s="307">
        <v>3.2166670000000002</v>
      </c>
      <c r="T137" s="307">
        <v>4.4250150000000001</v>
      </c>
      <c r="U137" s="307">
        <v>3.1760169999999999</v>
      </c>
      <c r="V137" s="307">
        <v>4.3697990000000004</v>
      </c>
      <c r="W137" s="307">
        <v>2.6501039999999998</v>
      </c>
      <c r="X137" s="307">
        <v>3.051777</v>
      </c>
      <c r="Y137" s="307">
        <v>3.1902159999999999</v>
      </c>
      <c r="Z137" s="307">
        <v>3.1912579999999999</v>
      </c>
      <c r="AA137" s="307">
        <v>3.4259599999999999</v>
      </c>
      <c r="AB137" s="307">
        <v>3.2243499999999998</v>
      </c>
      <c r="AC137" s="307">
        <v>3.430974</v>
      </c>
      <c r="AD137" s="307">
        <v>0</v>
      </c>
      <c r="AE137" s="307">
        <v>3.025595</v>
      </c>
      <c r="AF137" s="307">
        <v>4.094544</v>
      </c>
      <c r="AG137" s="307">
        <v>4.4650080000000001</v>
      </c>
      <c r="AH137" s="307">
        <v>2.7944279999999999</v>
      </c>
      <c r="AI137" s="307">
        <v>3.1099450000000002</v>
      </c>
      <c r="AJ137" s="307">
        <v>4.5296459999999996</v>
      </c>
      <c r="AK137" s="307">
        <v>4.427969</v>
      </c>
      <c r="AL137" s="307">
        <v>3.7826399999999998</v>
      </c>
      <c r="AM137" s="307">
        <v>3.1986180000000002</v>
      </c>
      <c r="AN137" s="307">
        <v>3.9892129999999999</v>
      </c>
      <c r="AO137" s="307">
        <v>3.3385449999999999</v>
      </c>
      <c r="AP137" s="307">
        <v>3.3063989999999999</v>
      </c>
      <c r="AQ137" s="307">
        <v>2.5375299999999998</v>
      </c>
      <c r="AR137" s="307">
        <v>2.745018</v>
      </c>
      <c r="AS137" s="307">
        <v>4.534764</v>
      </c>
      <c r="AT137" s="307">
        <v>3.6757439999999999</v>
      </c>
      <c r="AU137" s="307">
        <v>3.9693749999999999</v>
      </c>
      <c r="AV137" s="307">
        <v>4.3471979999999997</v>
      </c>
      <c r="AW137" s="307">
        <v>2.6979989999999998</v>
      </c>
      <c r="AX137" s="307">
        <v>4.0991299999999997</v>
      </c>
      <c r="AY137" s="307">
        <v>3.829107</v>
      </c>
      <c r="AZ137" s="307">
        <v>3.2141700000000002</v>
      </c>
      <c r="BA137" s="307">
        <v>3.6102430000000001</v>
      </c>
      <c r="BB137" s="307">
        <v>0</v>
      </c>
      <c r="BC137" s="307">
        <v>2.855397</v>
      </c>
      <c r="BD137" s="307">
        <v>3.511682</v>
      </c>
      <c r="BE137" s="307">
        <v>3.2502490000000002</v>
      </c>
      <c r="BF137" s="307">
        <v>3.4432740000000002</v>
      </c>
      <c r="BG137" s="307">
        <v>3.1263869999999998</v>
      </c>
      <c r="BH137" s="307">
        <v>3.7535449999999999</v>
      </c>
      <c r="BI137" s="307">
        <v>3.9785979999999999</v>
      </c>
      <c r="BJ137" s="307">
        <v>4.4818930000000003</v>
      </c>
      <c r="BK137" s="307">
        <v>3.8022610000000001</v>
      </c>
      <c r="BL137">
        <f t="shared" si="8"/>
        <v>4</v>
      </c>
      <c r="BM137">
        <f t="shared" si="9"/>
        <v>3.561663368421053</v>
      </c>
      <c r="BN137">
        <f t="shared" si="10"/>
        <v>4.5914989999999998</v>
      </c>
      <c r="BO137">
        <f t="array" ref="BO137">MIN(IF($C137:$BK137&gt;0, $C137:$BK137))</f>
        <v>2.1790280000000002</v>
      </c>
      <c r="BP137">
        <f t="shared" si="11"/>
        <v>3.430974</v>
      </c>
    </row>
    <row r="138" spans="1:68" x14ac:dyDescent="0.25">
      <c r="A138" s="306">
        <v>326121</v>
      </c>
      <c r="B138" s="307" t="s">
        <v>124</v>
      </c>
      <c r="C138" s="307">
        <v>4.604609</v>
      </c>
      <c r="D138" s="307">
        <v>0</v>
      </c>
      <c r="E138" s="307">
        <v>5.3166310000000001</v>
      </c>
      <c r="F138" s="307">
        <v>4.5216649999999996</v>
      </c>
      <c r="G138" s="307">
        <v>6.5354559999999999</v>
      </c>
      <c r="H138" s="307">
        <v>4.2241289999999996</v>
      </c>
      <c r="I138" s="307">
        <v>4.662458</v>
      </c>
      <c r="J138" s="307">
        <v>3.6122570000000001</v>
      </c>
      <c r="K138" s="307">
        <v>0</v>
      </c>
      <c r="L138" s="307">
        <v>2.709022</v>
      </c>
      <c r="M138" s="307">
        <v>3.984461</v>
      </c>
      <c r="N138" s="307">
        <v>4.8347329999999999</v>
      </c>
      <c r="O138" s="307">
        <v>6.4758889999999996</v>
      </c>
      <c r="P138" s="307">
        <v>6.1656120000000003</v>
      </c>
      <c r="Q138" s="307">
        <v>6.5381349999999996</v>
      </c>
      <c r="R138" s="307">
        <v>4.5054869999999996</v>
      </c>
      <c r="S138" s="307">
        <v>4.9634299999999998</v>
      </c>
      <c r="T138" s="307">
        <v>6.2986760000000004</v>
      </c>
      <c r="U138" s="307">
        <v>4.8708799999999997</v>
      </c>
      <c r="V138" s="307">
        <v>5.1358290000000002</v>
      </c>
      <c r="W138" s="307">
        <v>4.4928189999999999</v>
      </c>
      <c r="X138" s="307">
        <v>4.0883640000000003</v>
      </c>
      <c r="Y138" s="307">
        <v>0</v>
      </c>
      <c r="Z138" s="307">
        <v>5.1249690000000001</v>
      </c>
      <c r="AA138" s="307">
        <v>4.1440340000000004</v>
      </c>
      <c r="AB138" s="307">
        <v>3.9324699999999999</v>
      </c>
      <c r="AC138" s="307">
        <v>3.1470929999999999</v>
      </c>
      <c r="AD138" s="307">
        <v>6.5270960000000002</v>
      </c>
      <c r="AE138" s="307">
        <v>5.6853790000000002</v>
      </c>
      <c r="AF138" s="307">
        <v>3.976696</v>
      </c>
      <c r="AG138" s="307">
        <v>0</v>
      </c>
      <c r="AH138" s="307">
        <v>3.3364590000000001</v>
      </c>
      <c r="AI138" s="307">
        <v>3.0976560000000002</v>
      </c>
      <c r="AJ138" s="307">
        <v>0</v>
      </c>
      <c r="AK138" s="307">
        <v>6.3025039999999999</v>
      </c>
      <c r="AL138" s="307">
        <v>3.3761640000000002</v>
      </c>
      <c r="AM138" s="307">
        <v>4.8159380000000001</v>
      </c>
      <c r="AN138" s="307">
        <v>5.465878</v>
      </c>
      <c r="AO138" s="307">
        <v>5.9680669999999996</v>
      </c>
      <c r="AP138" s="307">
        <v>4.3179780000000001</v>
      </c>
      <c r="AQ138" s="307">
        <v>3.6149629999999999</v>
      </c>
      <c r="AR138" s="307">
        <v>3.7874560000000002</v>
      </c>
      <c r="AS138" s="307">
        <v>0</v>
      </c>
      <c r="AT138" s="307">
        <v>4.6464410000000003</v>
      </c>
      <c r="AU138" s="307">
        <v>6.2313739999999997</v>
      </c>
      <c r="AV138" s="307">
        <v>6.1878099999999998</v>
      </c>
      <c r="AW138" s="307">
        <v>4.5115150000000002</v>
      </c>
      <c r="AX138" s="307">
        <v>0</v>
      </c>
      <c r="AY138" s="307">
        <v>4.8035370000000004</v>
      </c>
      <c r="AZ138" s="307">
        <v>5.4541120000000003</v>
      </c>
      <c r="BA138" s="307">
        <v>3.6905009999999998</v>
      </c>
      <c r="BB138" s="307">
        <v>0</v>
      </c>
      <c r="BC138" s="307">
        <v>4.0061660000000003</v>
      </c>
      <c r="BD138" s="307">
        <v>3.7726289999999998</v>
      </c>
      <c r="BE138" s="307">
        <v>4.9714679999999998</v>
      </c>
      <c r="BF138" s="307">
        <v>4.6900950000000003</v>
      </c>
      <c r="BG138" s="307">
        <v>4.4141209999999997</v>
      </c>
      <c r="BH138" s="307">
        <v>4.6941059999999997</v>
      </c>
      <c r="BI138" s="307">
        <v>5.7550400000000002</v>
      </c>
      <c r="BJ138" s="307">
        <v>5.6315980000000003</v>
      </c>
      <c r="BK138" s="307">
        <v>4.5272050000000004</v>
      </c>
      <c r="BL138">
        <f t="shared" si="8"/>
        <v>8</v>
      </c>
      <c r="BM138">
        <f t="shared" si="9"/>
        <v>4.7763973584905663</v>
      </c>
      <c r="BN138">
        <f t="shared" si="10"/>
        <v>6.5381349999999996</v>
      </c>
      <c r="BO138">
        <f t="array" ref="BO138">MIN(IF($C138:$BK138&gt;0, $C138:$BK138))</f>
        <v>2.709022</v>
      </c>
      <c r="BP138">
        <f t="shared" si="11"/>
        <v>4.5216649999999996</v>
      </c>
    </row>
    <row r="139" spans="1:68" x14ac:dyDescent="0.25">
      <c r="A139" s="306">
        <v>326122</v>
      </c>
      <c r="B139" s="307" t="s">
        <v>125</v>
      </c>
      <c r="C139" s="307">
        <v>3.1191789999999999</v>
      </c>
      <c r="D139" s="307">
        <v>0</v>
      </c>
      <c r="E139" s="307">
        <v>3.6139589999999999</v>
      </c>
      <c r="F139" s="307">
        <v>2.653931</v>
      </c>
      <c r="G139" s="307">
        <v>3.2751709999999998</v>
      </c>
      <c r="H139" s="307">
        <v>3.2600250000000002</v>
      </c>
      <c r="I139" s="307">
        <v>2.9857309999999999</v>
      </c>
      <c r="J139" s="307">
        <v>3.0546479999999998</v>
      </c>
      <c r="K139" s="307">
        <v>0</v>
      </c>
      <c r="L139" s="307">
        <v>0</v>
      </c>
      <c r="M139" s="307">
        <v>3.6678500000000001</v>
      </c>
      <c r="N139" s="307">
        <v>2.4918469999999999</v>
      </c>
      <c r="O139" s="307">
        <v>0</v>
      </c>
      <c r="P139" s="307">
        <v>3.4450430000000001</v>
      </c>
      <c r="Q139" s="307">
        <v>4.0118280000000004</v>
      </c>
      <c r="R139" s="307">
        <v>2.676234</v>
      </c>
      <c r="S139" s="307">
        <v>3.122468</v>
      </c>
      <c r="T139" s="307">
        <v>3.7787839999999999</v>
      </c>
      <c r="U139" s="307">
        <v>3.3752409999999999</v>
      </c>
      <c r="V139" s="307">
        <v>3.4033660000000001</v>
      </c>
      <c r="W139" s="307">
        <v>2.5931220000000001</v>
      </c>
      <c r="X139" s="307">
        <v>2.8909410000000002</v>
      </c>
      <c r="Y139" s="307">
        <v>2.5906609999999999</v>
      </c>
      <c r="Z139" s="307">
        <v>2.823321</v>
      </c>
      <c r="AA139" s="307">
        <v>2.594649</v>
      </c>
      <c r="AB139" s="307">
        <v>3.5189409999999999</v>
      </c>
      <c r="AC139" s="307">
        <v>3.1741009999999998</v>
      </c>
      <c r="AD139" s="307">
        <v>4.0047639999999998</v>
      </c>
      <c r="AE139" s="307">
        <v>3.0152000000000001</v>
      </c>
      <c r="AF139" s="307">
        <v>3.0585619999999998</v>
      </c>
      <c r="AG139" s="307">
        <v>3.517741</v>
      </c>
      <c r="AH139" s="307">
        <v>2.4058099999999998</v>
      </c>
      <c r="AI139" s="307">
        <v>2.2589769999999998</v>
      </c>
      <c r="AJ139" s="307">
        <v>3.0485449999999998</v>
      </c>
      <c r="AK139" s="307">
        <v>3.2498399999999998</v>
      </c>
      <c r="AL139" s="307">
        <v>3.2662170000000001</v>
      </c>
      <c r="AM139" s="307">
        <v>3.0815779999999999</v>
      </c>
      <c r="AN139" s="307">
        <v>3.0549200000000001</v>
      </c>
      <c r="AO139" s="307">
        <v>3.0495320000000001</v>
      </c>
      <c r="AP139" s="307">
        <v>2.992772</v>
      </c>
      <c r="AQ139" s="307">
        <v>0</v>
      </c>
      <c r="AR139" s="307">
        <v>3.5535559999999999</v>
      </c>
      <c r="AS139" s="307">
        <v>0</v>
      </c>
      <c r="AT139" s="307">
        <v>2.8742649999999998</v>
      </c>
      <c r="AU139" s="307">
        <v>2.5485090000000001</v>
      </c>
      <c r="AV139" s="307">
        <v>3.654639</v>
      </c>
      <c r="AW139" s="307">
        <v>3.0805400000000001</v>
      </c>
      <c r="AX139" s="307">
        <v>3.5710500000000001</v>
      </c>
      <c r="AY139" s="307">
        <v>3.8587570000000002</v>
      </c>
      <c r="AZ139" s="307">
        <v>3.5822560000000001</v>
      </c>
      <c r="BA139" s="307">
        <v>3.4006090000000002</v>
      </c>
      <c r="BB139" s="307">
        <v>3.4176660000000001</v>
      </c>
      <c r="BC139" s="307">
        <v>2.8180179999999999</v>
      </c>
      <c r="BD139" s="307">
        <v>3.0350860000000002</v>
      </c>
      <c r="BE139" s="307">
        <v>3.0670030000000001</v>
      </c>
      <c r="BF139" s="307">
        <v>3.4152309999999999</v>
      </c>
      <c r="BG139" s="307">
        <v>3.1952280000000002</v>
      </c>
      <c r="BH139" s="307">
        <v>3.321447</v>
      </c>
      <c r="BI139" s="307">
        <v>2.6865389999999998</v>
      </c>
      <c r="BJ139" s="307">
        <v>3.4729380000000001</v>
      </c>
      <c r="BK139" s="307">
        <v>3.3453940000000002</v>
      </c>
      <c r="BL139">
        <f t="shared" si="8"/>
        <v>6</v>
      </c>
      <c r="BM139">
        <f t="shared" si="9"/>
        <v>3.1640769090909089</v>
      </c>
      <c r="BN139">
        <f t="shared" si="10"/>
        <v>4.0118280000000004</v>
      </c>
      <c r="BO139">
        <f t="array" ref="BO139">MIN(IF($C139:$BK139&gt;0, $C139:$BK139))</f>
        <v>2.2589769999999998</v>
      </c>
      <c r="BP139">
        <f t="shared" si="11"/>
        <v>3.0805400000000001</v>
      </c>
    </row>
    <row r="140" spans="1:68" x14ac:dyDescent="0.25">
      <c r="A140" s="306">
        <v>326130</v>
      </c>
      <c r="B140" s="307" t="s">
        <v>126</v>
      </c>
      <c r="C140" s="307">
        <v>4.7887120000000003</v>
      </c>
      <c r="D140" s="307">
        <v>0</v>
      </c>
      <c r="E140" s="307">
        <v>5.0816869999999996</v>
      </c>
      <c r="F140" s="307">
        <v>5.3578530000000004</v>
      </c>
      <c r="G140" s="307">
        <v>4.7443879999999998</v>
      </c>
      <c r="H140" s="307">
        <v>4.6055700000000002</v>
      </c>
      <c r="I140" s="307">
        <v>4.608066</v>
      </c>
      <c r="J140" s="307">
        <v>4.4006460000000001</v>
      </c>
      <c r="K140" s="307">
        <v>0</v>
      </c>
      <c r="L140" s="307">
        <v>3.7472279999999998</v>
      </c>
      <c r="M140" s="307">
        <v>6.6439130000000004</v>
      </c>
      <c r="N140" s="307">
        <v>6.5005680000000003</v>
      </c>
      <c r="O140" s="307">
        <v>0</v>
      </c>
      <c r="P140" s="307">
        <v>5.4126909999999997</v>
      </c>
      <c r="Q140" s="307">
        <v>6.6679729999999999</v>
      </c>
      <c r="R140" s="307">
        <v>4.1603649999999996</v>
      </c>
      <c r="S140" s="307">
        <v>6.1435959999999996</v>
      </c>
      <c r="T140" s="307">
        <v>5.7212620000000003</v>
      </c>
      <c r="U140" s="307">
        <v>3.6530480000000001</v>
      </c>
      <c r="V140" s="307">
        <v>5.2368709999999998</v>
      </c>
      <c r="W140" s="307">
        <v>4.0010620000000001</v>
      </c>
      <c r="X140" s="307">
        <v>5.0971849999999996</v>
      </c>
      <c r="Y140" s="307">
        <v>5.5132490000000001</v>
      </c>
      <c r="Z140" s="307">
        <v>4.8073779999999999</v>
      </c>
      <c r="AA140" s="307">
        <v>4.6043450000000004</v>
      </c>
      <c r="AB140" s="307">
        <v>4.6189799999999996</v>
      </c>
      <c r="AC140" s="307">
        <v>5.2291080000000001</v>
      </c>
      <c r="AD140" s="307">
        <v>0</v>
      </c>
      <c r="AE140" s="307">
        <v>4.4211650000000002</v>
      </c>
      <c r="AF140" s="307">
        <v>0</v>
      </c>
      <c r="AG140" s="307">
        <v>6.48177</v>
      </c>
      <c r="AH140" s="307">
        <v>3.9691999999999998</v>
      </c>
      <c r="AI140" s="307">
        <v>3.3899539999999999</v>
      </c>
      <c r="AJ140" s="307">
        <v>0</v>
      </c>
      <c r="AK140" s="307">
        <v>0</v>
      </c>
      <c r="AL140" s="307">
        <v>4.2818300000000002</v>
      </c>
      <c r="AM140" s="307">
        <v>5.0996259999999998</v>
      </c>
      <c r="AN140" s="307">
        <v>4.637251</v>
      </c>
      <c r="AO140" s="307">
        <v>4.5538360000000004</v>
      </c>
      <c r="AP140" s="307">
        <v>4.2954470000000002</v>
      </c>
      <c r="AQ140" s="307">
        <v>3.5476589999999999</v>
      </c>
      <c r="AR140" s="307">
        <v>4.7929740000000001</v>
      </c>
      <c r="AS140" s="307">
        <v>6.5829620000000002</v>
      </c>
      <c r="AT140" s="307">
        <v>5.0689039999999999</v>
      </c>
      <c r="AU140" s="307">
        <v>4.1593150000000003</v>
      </c>
      <c r="AV140" s="307">
        <v>4.8275620000000004</v>
      </c>
      <c r="AW140" s="307">
        <v>3.6189559999999998</v>
      </c>
      <c r="AX140" s="307">
        <v>4.5263859999999996</v>
      </c>
      <c r="AY140" s="307">
        <v>5.6736259999999996</v>
      </c>
      <c r="AZ140" s="307">
        <v>5.093191</v>
      </c>
      <c r="BA140" s="307">
        <v>0</v>
      </c>
      <c r="BB140" s="307">
        <v>5.9347329999999996</v>
      </c>
      <c r="BC140" s="307">
        <v>4.5132770000000004</v>
      </c>
      <c r="BD140" s="307">
        <v>4.221895</v>
      </c>
      <c r="BE140" s="307">
        <v>5.188142</v>
      </c>
      <c r="BF140" s="307">
        <v>5.3869030000000002</v>
      </c>
      <c r="BG140" s="307">
        <v>4.7563690000000003</v>
      </c>
      <c r="BH140" s="307">
        <v>4.9741340000000003</v>
      </c>
      <c r="BI140" s="307">
        <v>4.3576350000000001</v>
      </c>
      <c r="BJ140" s="307">
        <v>5.0288060000000003</v>
      </c>
      <c r="BK140" s="307">
        <v>4.6831370000000003</v>
      </c>
      <c r="BL140">
        <f t="shared" si="8"/>
        <v>8</v>
      </c>
      <c r="BM140">
        <f t="shared" si="9"/>
        <v>4.8945733773584887</v>
      </c>
      <c r="BN140">
        <f t="shared" si="10"/>
        <v>6.6679729999999999</v>
      </c>
      <c r="BO140">
        <f t="array" ref="BO140">MIN(IF($C140:$BK140&gt;0, $C140:$BK140))</f>
        <v>3.3899539999999999</v>
      </c>
      <c r="BP140">
        <f t="shared" si="11"/>
        <v>4.637251</v>
      </c>
    </row>
    <row r="141" spans="1:68" x14ac:dyDescent="0.25">
      <c r="A141" s="306">
        <v>326140</v>
      </c>
      <c r="B141" s="307" t="s">
        <v>127</v>
      </c>
      <c r="C141" s="307">
        <v>4.3743259999999999</v>
      </c>
      <c r="D141" s="307">
        <v>4.0573290000000002</v>
      </c>
      <c r="E141" s="307">
        <v>4.6983730000000001</v>
      </c>
      <c r="F141" s="307">
        <v>4.1433780000000002</v>
      </c>
      <c r="G141" s="307">
        <v>4.6345169999999998</v>
      </c>
      <c r="H141" s="307">
        <v>4.5398290000000001</v>
      </c>
      <c r="I141" s="307">
        <v>4.9111000000000002</v>
      </c>
      <c r="J141" s="307">
        <v>3.5118170000000002</v>
      </c>
      <c r="K141" s="307">
        <v>0</v>
      </c>
      <c r="L141" s="307">
        <v>3.0224470000000001</v>
      </c>
      <c r="M141" s="307">
        <v>4.611739</v>
      </c>
      <c r="N141" s="307">
        <v>4.0886069999999997</v>
      </c>
      <c r="O141" s="307">
        <v>5.5910349999999998</v>
      </c>
      <c r="P141" s="307">
        <v>5.3230930000000001</v>
      </c>
      <c r="Q141" s="307">
        <v>4.8649120000000003</v>
      </c>
      <c r="R141" s="307">
        <v>3.8045979999999999</v>
      </c>
      <c r="S141" s="307">
        <v>4.5533229999999998</v>
      </c>
      <c r="T141" s="307">
        <v>3.958383</v>
      </c>
      <c r="U141" s="307">
        <v>4.8756209999999998</v>
      </c>
      <c r="V141" s="307">
        <v>5.0066550000000003</v>
      </c>
      <c r="W141" s="307">
        <v>3.2443689999999998</v>
      </c>
      <c r="X141" s="307">
        <v>2.912083</v>
      </c>
      <c r="Y141" s="307">
        <v>4.3683839999999998</v>
      </c>
      <c r="Z141" s="307">
        <v>3.9695230000000001</v>
      </c>
      <c r="AA141" s="307">
        <v>4.4816240000000001</v>
      </c>
      <c r="AB141" s="307">
        <v>3.8821750000000002</v>
      </c>
      <c r="AC141" s="307">
        <v>4.5438039999999997</v>
      </c>
      <c r="AD141" s="307">
        <v>4.9953669999999999</v>
      </c>
      <c r="AE141" s="307">
        <v>4.136692</v>
      </c>
      <c r="AF141" s="307">
        <v>0</v>
      </c>
      <c r="AG141" s="307">
        <v>5.307766</v>
      </c>
      <c r="AH141" s="307">
        <v>3.1990129999999999</v>
      </c>
      <c r="AI141" s="307">
        <v>3.0039859999999998</v>
      </c>
      <c r="AJ141" s="307">
        <v>5.566351</v>
      </c>
      <c r="AK141" s="307">
        <v>4.9107419999999999</v>
      </c>
      <c r="AL141" s="307">
        <v>4.0758840000000003</v>
      </c>
      <c r="AM141" s="307">
        <v>4.0746229999999999</v>
      </c>
      <c r="AN141" s="307">
        <v>5.6033049999999998</v>
      </c>
      <c r="AO141" s="307">
        <v>5.4664970000000004</v>
      </c>
      <c r="AP141" s="307">
        <v>3.355524</v>
      </c>
      <c r="AQ141" s="307">
        <v>4.1048929999999997</v>
      </c>
      <c r="AR141" s="307">
        <v>4.3629569999999998</v>
      </c>
      <c r="AS141" s="307">
        <v>4.7665800000000003</v>
      </c>
      <c r="AT141" s="307">
        <v>4.5849289999999998</v>
      </c>
      <c r="AU141" s="307">
        <v>4.4955670000000003</v>
      </c>
      <c r="AV141" s="307">
        <v>5.3424750000000003</v>
      </c>
      <c r="AW141" s="307">
        <v>4.3243580000000001</v>
      </c>
      <c r="AX141" s="307">
        <v>0</v>
      </c>
      <c r="AY141" s="307">
        <v>3.888477</v>
      </c>
      <c r="AZ141" s="307">
        <v>4.5204700000000004</v>
      </c>
      <c r="BA141" s="307">
        <v>3.1357119999999998</v>
      </c>
      <c r="BB141" s="307">
        <v>0</v>
      </c>
      <c r="BC141" s="307">
        <v>3.5393599999999998</v>
      </c>
      <c r="BD141" s="307">
        <v>3.7348089999999998</v>
      </c>
      <c r="BE141" s="307">
        <v>4.0926359999999997</v>
      </c>
      <c r="BF141" s="307">
        <v>4.2410589999999999</v>
      </c>
      <c r="BG141" s="307">
        <v>4.3114679999999996</v>
      </c>
      <c r="BH141" s="307">
        <v>4.9411990000000001</v>
      </c>
      <c r="BI141" s="307">
        <v>4.6737380000000002</v>
      </c>
      <c r="BJ141" s="307">
        <v>4.9688429999999997</v>
      </c>
      <c r="BK141" s="307">
        <v>4.4743320000000004</v>
      </c>
      <c r="BL141">
        <f t="shared" si="8"/>
        <v>4</v>
      </c>
      <c r="BM141">
        <f t="shared" si="9"/>
        <v>4.3539062456140343</v>
      </c>
      <c r="BN141">
        <f t="shared" si="10"/>
        <v>5.6033049999999998</v>
      </c>
      <c r="BO141">
        <f t="array" ref="BO141">MIN(IF($C141:$BK141&gt;0, $C141:$BK141))</f>
        <v>2.912083</v>
      </c>
      <c r="BP141">
        <f t="shared" si="11"/>
        <v>4.3629569999999998</v>
      </c>
    </row>
    <row r="142" spans="1:68" x14ac:dyDescent="0.25">
      <c r="A142" s="306">
        <v>326150</v>
      </c>
      <c r="B142" s="307" t="s">
        <v>128</v>
      </c>
      <c r="C142" s="307">
        <v>3.9954000000000001</v>
      </c>
      <c r="D142" s="307">
        <v>4.4581590000000002</v>
      </c>
      <c r="E142" s="307">
        <v>4.8561059999999996</v>
      </c>
      <c r="F142" s="307">
        <v>2.8787950000000002</v>
      </c>
      <c r="G142" s="307">
        <v>4.9691700000000001</v>
      </c>
      <c r="H142" s="307">
        <v>4.1881459999999997</v>
      </c>
      <c r="I142" s="307">
        <v>3.8273009999999998</v>
      </c>
      <c r="J142" s="307">
        <v>2.8245269999999998</v>
      </c>
      <c r="K142" s="307">
        <v>0</v>
      </c>
      <c r="L142" s="307">
        <v>2.358841</v>
      </c>
      <c r="M142" s="307">
        <v>4.0820189999999998</v>
      </c>
      <c r="N142" s="307">
        <v>3.4485450000000002</v>
      </c>
      <c r="O142" s="307">
        <v>0</v>
      </c>
      <c r="P142" s="307">
        <v>4.3318989999999999</v>
      </c>
      <c r="Q142" s="307">
        <v>0</v>
      </c>
      <c r="R142" s="307">
        <v>3.3090380000000001</v>
      </c>
      <c r="S142" s="307">
        <v>3.73996</v>
      </c>
      <c r="T142" s="307">
        <v>4.683408</v>
      </c>
      <c r="U142" s="307">
        <v>4.2379530000000001</v>
      </c>
      <c r="V142" s="307">
        <v>2.9911129999999999</v>
      </c>
      <c r="W142" s="307">
        <v>3.0224829999999998</v>
      </c>
      <c r="X142" s="307">
        <v>3.0076860000000001</v>
      </c>
      <c r="Y142" s="307">
        <v>4.3722110000000001</v>
      </c>
      <c r="Z142" s="307">
        <v>3.9460730000000002</v>
      </c>
      <c r="AA142" s="307">
        <v>3.8526750000000001</v>
      </c>
      <c r="AB142" s="307">
        <v>4.0398389999999997</v>
      </c>
      <c r="AC142" s="307">
        <v>4.4910709999999998</v>
      </c>
      <c r="AD142" s="307">
        <v>0</v>
      </c>
      <c r="AE142" s="307">
        <v>4.1962789999999996</v>
      </c>
      <c r="AF142" s="307">
        <v>0</v>
      </c>
      <c r="AG142" s="307">
        <v>4.8319859999999997</v>
      </c>
      <c r="AH142" s="307">
        <v>3.3325589999999998</v>
      </c>
      <c r="AI142" s="307">
        <v>3.03254</v>
      </c>
      <c r="AJ142" s="307">
        <v>4.9018879999999996</v>
      </c>
      <c r="AK142" s="307">
        <v>2.9238360000000001</v>
      </c>
      <c r="AL142" s="307">
        <v>4.2673350000000001</v>
      </c>
      <c r="AM142" s="307">
        <v>3.7917580000000002</v>
      </c>
      <c r="AN142" s="307">
        <v>4.3647580000000001</v>
      </c>
      <c r="AO142" s="307">
        <v>4.1400319999999997</v>
      </c>
      <c r="AP142" s="307">
        <v>3.9291930000000002</v>
      </c>
      <c r="AQ142" s="307">
        <v>3.9320010000000001</v>
      </c>
      <c r="AR142" s="307">
        <v>3.8270050000000002</v>
      </c>
      <c r="AS142" s="307">
        <v>0</v>
      </c>
      <c r="AT142" s="307">
        <v>4.7805479999999996</v>
      </c>
      <c r="AU142" s="307">
        <v>3.6971120000000002</v>
      </c>
      <c r="AV142" s="307">
        <v>4.226483</v>
      </c>
      <c r="AW142" s="307">
        <v>2.9709729999999999</v>
      </c>
      <c r="AX142" s="307">
        <v>0</v>
      </c>
      <c r="AY142" s="307">
        <v>3.1312190000000002</v>
      </c>
      <c r="AZ142" s="307">
        <v>3.990316</v>
      </c>
      <c r="BA142" s="307">
        <v>3.0984099999999999</v>
      </c>
      <c r="BB142" s="307">
        <v>0</v>
      </c>
      <c r="BC142" s="307">
        <v>3.4141059999999999</v>
      </c>
      <c r="BD142" s="307">
        <v>3.9808089999999998</v>
      </c>
      <c r="BE142" s="307">
        <v>3.8423180000000001</v>
      </c>
      <c r="BF142" s="307">
        <v>4.301132</v>
      </c>
      <c r="BG142" s="307">
        <v>3.8790420000000001</v>
      </c>
      <c r="BH142" s="307">
        <v>4.773606</v>
      </c>
      <c r="BI142" s="307">
        <v>3.6792799999999999</v>
      </c>
      <c r="BJ142" s="307">
        <v>4.1898809999999997</v>
      </c>
      <c r="BK142" s="307">
        <v>4.0190989999999998</v>
      </c>
      <c r="BL142">
        <f t="shared" si="8"/>
        <v>8</v>
      </c>
      <c r="BM142">
        <f t="shared" si="9"/>
        <v>3.8746777735849069</v>
      </c>
      <c r="BN142">
        <f t="shared" si="10"/>
        <v>4.9691700000000001</v>
      </c>
      <c r="BO142">
        <f t="array" ref="BO142">MIN(IF($C142:$BK142&gt;0, $C142:$BK142))</f>
        <v>2.358841</v>
      </c>
      <c r="BP142">
        <f t="shared" si="11"/>
        <v>3.8526750000000001</v>
      </c>
    </row>
    <row r="143" spans="1:68" x14ac:dyDescent="0.25">
      <c r="A143" s="306">
        <v>326160</v>
      </c>
      <c r="B143" s="307" t="s">
        <v>129</v>
      </c>
      <c r="C143" s="307">
        <v>3.4838179999999999</v>
      </c>
      <c r="D143" s="307">
        <v>0</v>
      </c>
      <c r="E143" s="307">
        <v>4.0902500000000002</v>
      </c>
      <c r="F143" s="307">
        <v>2.8676300000000001</v>
      </c>
      <c r="G143" s="307">
        <v>3.6401569999999999</v>
      </c>
      <c r="H143" s="307">
        <v>3.5368900000000001</v>
      </c>
      <c r="I143" s="307">
        <v>3.2311070000000002</v>
      </c>
      <c r="J143" s="307">
        <v>3.2156790000000002</v>
      </c>
      <c r="K143" s="307">
        <v>0</v>
      </c>
      <c r="L143" s="307">
        <v>2.562281</v>
      </c>
      <c r="M143" s="307">
        <v>3.4484949999999999</v>
      </c>
      <c r="N143" s="307">
        <v>3.4927220000000001</v>
      </c>
      <c r="O143" s="307">
        <v>4.1917229999999996</v>
      </c>
      <c r="P143" s="307">
        <v>3.4017729999999999</v>
      </c>
      <c r="Q143" s="307">
        <v>0</v>
      </c>
      <c r="R143" s="307">
        <v>3.3239179999999999</v>
      </c>
      <c r="S143" s="307">
        <v>3.890647</v>
      </c>
      <c r="T143" s="307">
        <v>3.1185830000000001</v>
      </c>
      <c r="U143" s="307">
        <v>3.0765630000000002</v>
      </c>
      <c r="V143" s="307">
        <v>3.3886419999999999</v>
      </c>
      <c r="W143" s="307">
        <v>3.1288330000000002</v>
      </c>
      <c r="X143" s="307">
        <v>2.9618549999999999</v>
      </c>
      <c r="Y143" s="307">
        <v>3.9384999999999999</v>
      </c>
      <c r="Z143" s="307">
        <v>2.7313269999999998</v>
      </c>
      <c r="AA143" s="307">
        <v>4.0012790000000003</v>
      </c>
      <c r="AB143" s="307">
        <v>3.2706740000000001</v>
      </c>
      <c r="AC143" s="307">
        <v>3.0390130000000002</v>
      </c>
      <c r="AD143" s="307">
        <v>3.8330289999999998</v>
      </c>
      <c r="AE143" s="307">
        <v>3.4175200000000001</v>
      </c>
      <c r="AF143" s="307">
        <v>3.865875</v>
      </c>
      <c r="AG143" s="307">
        <v>0</v>
      </c>
      <c r="AH143" s="307">
        <v>2.6188989999999999</v>
      </c>
      <c r="AI143" s="307">
        <v>2.6868810000000001</v>
      </c>
      <c r="AJ143" s="307">
        <v>0</v>
      </c>
      <c r="AK143" s="307">
        <v>2.9229039999999999</v>
      </c>
      <c r="AL143" s="307">
        <v>3.6851069999999999</v>
      </c>
      <c r="AM143" s="307">
        <v>3.46055</v>
      </c>
      <c r="AN143" s="307">
        <v>4.3134690000000004</v>
      </c>
      <c r="AO143" s="307">
        <v>2.8029649999999999</v>
      </c>
      <c r="AP143" s="307">
        <v>3.0261689999999999</v>
      </c>
      <c r="AQ143" s="307">
        <v>3.3020960000000001</v>
      </c>
      <c r="AR143" s="307">
        <v>3.2779020000000001</v>
      </c>
      <c r="AS143" s="307">
        <v>3.752237</v>
      </c>
      <c r="AT143" s="307">
        <v>2.632066</v>
      </c>
      <c r="AU143" s="307">
        <v>3.5486599999999999</v>
      </c>
      <c r="AV143" s="307">
        <v>4.1043409999999998</v>
      </c>
      <c r="AW143" s="307">
        <v>3.2520760000000002</v>
      </c>
      <c r="AX143" s="307">
        <v>2.9737149999999999</v>
      </c>
      <c r="AY143" s="307">
        <v>3.5134400000000001</v>
      </c>
      <c r="AZ143" s="307">
        <v>3.4551690000000002</v>
      </c>
      <c r="BA143" s="307">
        <v>3.1830949999999998</v>
      </c>
      <c r="BB143" s="307">
        <v>3.8597169999999998</v>
      </c>
      <c r="BC143" s="307">
        <v>3.1305670000000001</v>
      </c>
      <c r="BD143" s="307">
        <v>3.1528360000000002</v>
      </c>
      <c r="BE143" s="307">
        <v>3.479819</v>
      </c>
      <c r="BF143" s="307">
        <v>3.4153259999999999</v>
      </c>
      <c r="BG143" s="307">
        <v>3.4888180000000002</v>
      </c>
      <c r="BH143" s="307">
        <v>3.1894830000000001</v>
      </c>
      <c r="BI143" s="307">
        <v>3.6090330000000002</v>
      </c>
      <c r="BJ143" s="307">
        <v>3.6174499999999998</v>
      </c>
      <c r="BK143" s="307">
        <v>3.5530469999999998</v>
      </c>
      <c r="BL143">
        <f t="shared" si="8"/>
        <v>5</v>
      </c>
      <c r="BM143">
        <f t="shared" si="9"/>
        <v>3.3777967857142857</v>
      </c>
      <c r="BN143">
        <f t="shared" si="10"/>
        <v>4.3134690000000004</v>
      </c>
      <c r="BO143">
        <f t="array" ref="BO143">MIN(IF($C143:$BK143&gt;0, $C143:$BK143))</f>
        <v>2.562281</v>
      </c>
      <c r="BP143">
        <f t="shared" si="11"/>
        <v>3.3239179999999999</v>
      </c>
    </row>
    <row r="144" spans="1:68" x14ac:dyDescent="0.25">
      <c r="A144" s="306" t="s">
        <v>716</v>
      </c>
      <c r="B144" s="307" t="s">
        <v>130</v>
      </c>
      <c r="C144" s="307">
        <v>5.5074300000000003</v>
      </c>
      <c r="D144" s="307">
        <v>5.6633129999999996</v>
      </c>
      <c r="E144" s="307">
        <v>6.0474199999999998</v>
      </c>
      <c r="F144" s="307">
        <v>6.0974279999999998</v>
      </c>
      <c r="G144" s="307">
        <v>6.724494</v>
      </c>
      <c r="H144" s="307">
        <v>5.266038</v>
      </c>
      <c r="I144" s="307">
        <v>5.7411199999999996</v>
      </c>
      <c r="J144" s="307">
        <v>4.498437</v>
      </c>
      <c r="K144" s="307">
        <v>0</v>
      </c>
      <c r="L144" s="307">
        <v>5.0550519999999999</v>
      </c>
      <c r="M144" s="307">
        <v>6.7778640000000001</v>
      </c>
      <c r="N144" s="307">
        <v>5.6246700000000001</v>
      </c>
      <c r="O144" s="307">
        <v>6.1579499999999996</v>
      </c>
      <c r="P144" s="307">
        <v>5.986224</v>
      </c>
      <c r="Q144" s="307">
        <v>7.0799459999999996</v>
      </c>
      <c r="R144" s="307">
        <v>4.4612100000000003</v>
      </c>
      <c r="S144" s="307">
        <v>5.1913359999999997</v>
      </c>
      <c r="T144" s="307">
        <v>5.8016969999999999</v>
      </c>
      <c r="U144" s="307">
        <v>5.5062550000000003</v>
      </c>
      <c r="V144" s="307">
        <v>6.1800490000000003</v>
      </c>
      <c r="W144" s="307">
        <v>4.2498360000000002</v>
      </c>
      <c r="X144" s="307">
        <v>3.886371</v>
      </c>
      <c r="Y144" s="307">
        <v>5.4660089999999997</v>
      </c>
      <c r="Z144" s="307">
        <v>5.2108220000000003</v>
      </c>
      <c r="AA144" s="307">
        <v>4.6981479999999998</v>
      </c>
      <c r="AB144" s="307">
        <v>5.2736660000000004</v>
      </c>
      <c r="AC144" s="307">
        <v>5.8406570000000002</v>
      </c>
      <c r="AD144" s="307">
        <v>7.0677890000000003</v>
      </c>
      <c r="AE144" s="307">
        <v>5.6991969999999998</v>
      </c>
      <c r="AF144" s="307">
        <v>6.0607959999999999</v>
      </c>
      <c r="AG144" s="307">
        <v>5.8909089999999997</v>
      </c>
      <c r="AH144" s="307">
        <v>4.2694359999999998</v>
      </c>
      <c r="AI144" s="307">
        <v>4.0089370000000004</v>
      </c>
      <c r="AJ144" s="307">
        <v>6.9816830000000003</v>
      </c>
      <c r="AK144" s="307">
        <v>5.8153980000000001</v>
      </c>
      <c r="AL144" s="307">
        <v>5.228942</v>
      </c>
      <c r="AM144" s="307">
        <v>5.4621820000000003</v>
      </c>
      <c r="AN144" s="307">
        <v>6.1930009999999998</v>
      </c>
      <c r="AO144" s="307">
        <v>5.5145169999999997</v>
      </c>
      <c r="AP144" s="307">
        <v>5.3591629999999997</v>
      </c>
      <c r="AQ144" s="307">
        <v>4.9857670000000001</v>
      </c>
      <c r="AR144" s="307">
        <v>5.5974649999999997</v>
      </c>
      <c r="AS144" s="307">
        <v>6.9893359999999998</v>
      </c>
      <c r="AT144" s="307">
        <v>6.416677</v>
      </c>
      <c r="AU144" s="307">
        <v>5.9695539999999996</v>
      </c>
      <c r="AV144" s="307">
        <v>6.1506759999999998</v>
      </c>
      <c r="AW144" s="307">
        <v>4.6358779999999999</v>
      </c>
      <c r="AX144" s="307">
        <v>4.6588079999999996</v>
      </c>
      <c r="AY144" s="307">
        <v>5.9813299999999998</v>
      </c>
      <c r="AZ144" s="307">
        <v>5.3464270000000003</v>
      </c>
      <c r="BA144" s="307">
        <v>5.7463340000000001</v>
      </c>
      <c r="BB144" s="307">
        <v>6.0395260000000004</v>
      </c>
      <c r="BC144" s="307">
        <v>4.7379160000000002</v>
      </c>
      <c r="BD144" s="307">
        <v>5.2100989999999996</v>
      </c>
      <c r="BE144" s="307">
        <v>5.2067860000000001</v>
      </c>
      <c r="BF144" s="307">
        <v>5.4000620000000001</v>
      </c>
      <c r="BG144" s="307">
        <v>5.672193</v>
      </c>
      <c r="BH144" s="307">
        <v>6.1433840000000002</v>
      </c>
      <c r="BI144" s="307">
        <v>6.1877360000000001</v>
      </c>
      <c r="BJ144" s="307">
        <v>6.2887880000000003</v>
      </c>
      <c r="BK144" s="307">
        <v>5.4393180000000001</v>
      </c>
      <c r="BL144">
        <f t="shared" si="8"/>
        <v>1</v>
      </c>
      <c r="BM144">
        <f t="shared" si="9"/>
        <v>5.6058242000000025</v>
      </c>
      <c r="BN144">
        <f t="shared" si="10"/>
        <v>7.0799459999999996</v>
      </c>
      <c r="BO144">
        <f t="array" ref="BO144">MIN(IF($C144:$BK144&gt;0, $C144:$BK144))</f>
        <v>3.886371</v>
      </c>
      <c r="BP144">
        <f t="shared" si="11"/>
        <v>5.6246700000000001</v>
      </c>
    </row>
    <row r="145" spans="1:68" x14ac:dyDescent="0.25">
      <c r="A145" s="306">
        <v>326210</v>
      </c>
      <c r="B145" s="307" t="s">
        <v>131</v>
      </c>
      <c r="C145" s="307">
        <v>4.130655</v>
      </c>
      <c r="D145" s="307">
        <v>0</v>
      </c>
      <c r="E145" s="307">
        <v>3.9928590000000002</v>
      </c>
      <c r="F145" s="307">
        <v>3.3955440000000001</v>
      </c>
      <c r="G145" s="307">
        <v>5.6613369999999996</v>
      </c>
      <c r="H145" s="307">
        <v>6.11259</v>
      </c>
      <c r="I145" s="307">
        <v>6.8734580000000003</v>
      </c>
      <c r="J145" s="307">
        <v>5.5964530000000003</v>
      </c>
      <c r="K145" s="307">
        <v>0</v>
      </c>
      <c r="L145" s="307">
        <v>3.5749379999999999</v>
      </c>
      <c r="M145" s="307">
        <v>6.8160470000000002</v>
      </c>
      <c r="N145" s="307">
        <v>4.7883690000000003</v>
      </c>
      <c r="O145" s="307">
        <v>6.2729980000000003</v>
      </c>
      <c r="P145" s="307">
        <v>3.5381309999999999</v>
      </c>
      <c r="Q145" s="307">
        <v>6.5878319999999997</v>
      </c>
      <c r="R145" s="307">
        <v>4.0658440000000002</v>
      </c>
      <c r="S145" s="307">
        <v>3.7116820000000001</v>
      </c>
      <c r="T145" s="307">
        <v>3.529544</v>
      </c>
      <c r="U145" s="307">
        <v>5.4366070000000004</v>
      </c>
      <c r="V145" s="307">
        <v>5.3322909999999997</v>
      </c>
      <c r="W145" s="307">
        <v>5.3342879999999999</v>
      </c>
      <c r="X145" s="307">
        <v>4.3521669999999997</v>
      </c>
      <c r="Y145" s="307">
        <v>5.6633329999999997</v>
      </c>
      <c r="Z145" s="307">
        <v>5.7544170000000001</v>
      </c>
      <c r="AA145" s="307">
        <v>6.5696870000000001</v>
      </c>
      <c r="AB145" s="307">
        <v>5.3894570000000002</v>
      </c>
      <c r="AC145" s="307">
        <v>3.957373</v>
      </c>
      <c r="AD145" s="307">
        <v>6.8269229999999999</v>
      </c>
      <c r="AE145" s="307">
        <v>3.7654779999999999</v>
      </c>
      <c r="AF145" s="307">
        <v>5.2482259999999998</v>
      </c>
      <c r="AG145" s="307">
        <v>4.5739260000000002</v>
      </c>
      <c r="AH145" s="307">
        <v>3.6685910000000002</v>
      </c>
      <c r="AI145" s="307">
        <v>4.9762620000000002</v>
      </c>
      <c r="AJ145" s="307">
        <v>6.7432889999999999</v>
      </c>
      <c r="AK145" s="307">
        <v>4.2236330000000004</v>
      </c>
      <c r="AL145" s="307">
        <v>3.8280050000000001</v>
      </c>
      <c r="AM145" s="307">
        <v>3.7030159999999999</v>
      </c>
      <c r="AN145" s="307">
        <v>3.7597580000000002</v>
      </c>
      <c r="AO145" s="307">
        <v>6.6221569999999996</v>
      </c>
      <c r="AP145" s="307">
        <v>5.9175599999999999</v>
      </c>
      <c r="AQ145" s="307">
        <v>0</v>
      </c>
      <c r="AR145" s="307">
        <v>3.8967010000000002</v>
      </c>
      <c r="AS145" s="307">
        <v>5.8983290000000004</v>
      </c>
      <c r="AT145" s="307">
        <v>3.8200460000000001</v>
      </c>
      <c r="AU145" s="307">
        <v>3.9574069999999999</v>
      </c>
      <c r="AV145" s="307">
        <v>6.4718070000000001</v>
      </c>
      <c r="AW145" s="307">
        <v>3.3783539999999999</v>
      </c>
      <c r="AX145" s="307">
        <v>0</v>
      </c>
      <c r="AY145" s="307">
        <v>5.6600320000000002</v>
      </c>
      <c r="AZ145" s="307">
        <v>5.7305320000000002</v>
      </c>
      <c r="BA145" s="307">
        <v>5.7968450000000002</v>
      </c>
      <c r="BB145" s="307">
        <v>0</v>
      </c>
      <c r="BC145" s="307">
        <v>5.217854</v>
      </c>
      <c r="BD145" s="307">
        <v>4.7897879999999997</v>
      </c>
      <c r="BE145" s="307">
        <v>3.9755319999999998</v>
      </c>
      <c r="BF145" s="307">
        <v>3.8667750000000001</v>
      </c>
      <c r="BG145" s="307">
        <v>4.0243969999999996</v>
      </c>
      <c r="BH145" s="307">
        <v>4.0021180000000003</v>
      </c>
      <c r="BI145" s="307">
        <v>3.8948809999999998</v>
      </c>
      <c r="BJ145" s="307">
        <v>5.8665279999999997</v>
      </c>
      <c r="BK145" s="307">
        <v>6.1893900000000004</v>
      </c>
      <c r="BL145">
        <f t="shared" si="8"/>
        <v>5</v>
      </c>
      <c r="BM145">
        <f t="shared" si="9"/>
        <v>4.9416435892857127</v>
      </c>
      <c r="BN145">
        <f t="shared" si="10"/>
        <v>6.8734580000000003</v>
      </c>
      <c r="BO145">
        <f t="array" ref="BO145">MIN(IF($C145:$BK145&gt;0, $C145:$BK145))</f>
        <v>3.3783539999999999</v>
      </c>
      <c r="BP145">
        <f t="shared" si="11"/>
        <v>4.5739260000000002</v>
      </c>
    </row>
    <row r="146" spans="1:68" x14ac:dyDescent="0.25">
      <c r="A146" s="306">
        <v>326220</v>
      </c>
      <c r="B146" s="307" t="s">
        <v>132</v>
      </c>
      <c r="C146" s="307">
        <v>4.7469520000000003</v>
      </c>
      <c r="D146" s="307">
        <v>0</v>
      </c>
      <c r="E146" s="307">
        <v>6.4233029999999998</v>
      </c>
      <c r="F146" s="307">
        <v>4.2476219999999998</v>
      </c>
      <c r="G146" s="307">
        <v>3.6564800000000002</v>
      </c>
      <c r="H146" s="307">
        <v>4.2436819999999997</v>
      </c>
      <c r="I146" s="307">
        <v>3.1907290000000001</v>
      </c>
      <c r="J146" s="307">
        <v>3.6453150000000001</v>
      </c>
      <c r="K146" s="307">
        <v>0</v>
      </c>
      <c r="L146" s="307">
        <v>4.4792889999999996</v>
      </c>
      <c r="M146" s="307">
        <v>4.7726369999999996</v>
      </c>
      <c r="N146" s="307">
        <v>5.265498</v>
      </c>
      <c r="O146" s="307">
        <v>0</v>
      </c>
      <c r="P146" s="307">
        <v>4.1520599999999996</v>
      </c>
      <c r="Q146" s="307">
        <v>5.9422610000000002</v>
      </c>
      <c r="R146" s="307">
        <v>4.1664459999999996</v>
      </c>
      <c r="S146" s="307">
        <v>5.7588749999999997</v>
      </c>
      <c r="T146" s="307">
        <v>5.3535250000000003</v>
      </c>
      <c r="U146" s="307">
        <v>4.2831849999999996</v>
      </c>
      <c r="V146" s="307">
        <v>3.603453</v>
      </c>
      <c r="W146" s="307">
        <v>4.2842510000000003</v>
      </c>
      <c r="X146" s="307">
        <v>3.5996169999999998</v>
      </c>
      <c r="Y146" s="307">
        <v>0</v>
      </c>
      <c r="Z146" s="307">
        <v>4.7844769999999999</v>
      </c>
      <c r="AA146" s="307">
        <v>3.0498440000000002</v>
      </c>
      <c r="AB146" s="307">
        <v>4.848274</v>
      </c>
      <c r="AC146" s="307">
        <v>5.6016130000000004</v>
      </c>
      <c r="AD146" s="307">
        <v>0</v>
      </c>
      <c r="AE146" s="307">
        <v>5.1416069999999996</v>
      </c>
      <c r="AF146" s="307">
        <v>5.7947179999999996</v>
      </c>
      <c r="AG146" s="307">
        <v>3.7057540000000002</v>
      </c>
      <c r="AH146" s="307">
        <v>4.3326000000000002</v>
      </c>
      <c r="AI146" s="307">
        <v>3.5862690000000002</v>
      </c>
      <c r="AJ146" s="307">
        <v>0</v>
      </c>
      <c r="AK146" s="307">
        <v>5.3042030000000002</v>
      </c>
      <c r="AL146" s="307">
        <v>4.4148690000000004</v>
      </c>
      <c r="AM146" s="307">
        <v>4.5398860000000001</v>
      </c>
      <c r="AN146" s="307">
        <v>4.2160640000000003</v>
      </c>
      <c r="AO146" s="307">
        <v>4.7585879999999996</v>
      </c>
      <c r="AP146" s="307">
        <v>4.5305489999999997</v>
      </c>
      <c r="AQ146" s="307">
        <v>2.9249719999999999</v>
      </c>
      <c r="AR146" s="307">
        <v>5</v>
      </c>
      <c r="AS146" s="307">
        <v>0</v>
      </c>
      <c r="AT146" s="307">
        <v>5.6129600000000002</v>
      </c>
      <c r="AU146" s="307">
        <v>4.3608169999999999</v>
      </c>
      <c r="AV146" s="307">
        <v>6.1519690000000002</v>
      </c>
      <c r="AW146" s="307">
        <v>5.2724200000000003</v>
      </c>
      <c r="AX146" s="307">
        <v>0</v>
      </c>
      <c r="AY146" s="307">
        <v>6.3163590000000003</v>
      </c>
      <c r="AZ146" s="307">
        <v>4.0992579999999998</v>
      </c>
      <c r="BA146" s="307">
        <v>4.911924</v>
      </c>
      <c r="BB146" s="307">
        <v>0</v>
      </c>
      <c r="BC146" s="307">
        <v>4.2918310000000002</v>
      </c>
      <c r="BD146" s="307">
        <v>4.3964030000000003</v>
      </c>
      <c r="BE146" s="307">
        <v>4.6803710000000001</v>
      </c>
      <c r="BF146" s="307">
        <v>4.6819899999999999</v>
      </c>
      <c r="BG146" s="307">
        <v>5.1531260000000003</v>
      </c>
      <c r="BH146" s="307">
        <v>5.2782840000000002</v>
      </c>
      <c r="BI146" s="307">
        <v>4.2718800000000003</v>
      </c>
      <c r="BJ146" s="307">
        <v>3.7738510000000001</v>
      </c>
      <c r="BK146" s="307">
        <v>4.2862429999999998</v>
      </c>
      <c r="BL146">
        <f t="shared" si="8"/>
        <v>9</v>
      </c>
      <c r="BM146">
        <f t="shared" si="9"/>
        <v>4.6132529423076925</v>
      </c>
      <c r="BN146">
        <f t="shared" si="10"/>
        <v>6.4233029999999998</v>
      </c>
      <c r="BO146">
        <f t="array" ref="BO146">MIN(IF($C146:$BK146&gt;0, $C146:$BK146))</f>
        <v>2.9249719999999999</v>
      </c>
      <c r="BP146">
        <f t="shared" si="11"/>
        <v>4.3326000000000002</v>
      </c>
    </row>
    <row r="147" spans="1:68" x14ac:dyDescent="0.25">
      <c r="A147" s="306">
        <v>326290</v>
      </c>
      <c r="B147" s="307" t="s">
        <v>133</v>
      </c>
      <c r="C147" s="307">
        <v>5.5941049999999999</v>
      </c>
      <c r="D147" s="307">
        <v>0</v>
      </c>
      <c r="E147" s="307">
        <v>6.7058669999999996</v>
      </c>
      <c r="F147" s="307">
        <v>4.7510469999999998</v>
      </c>
      <c r="G147" s="307">
        <v>5.1737640000000003</v>
      </c>
      <c r="H147" s="307">
        <v>6.0788960000000003</v>
      </c>
      <c r="I147" s="307">
        <v>5.0558930000000002</v>
      </c>
      <c r="J147" s="307">
        <v>4.2242470000000001</v>
      </c>
      <c r="K147" s="307">
        <v>0</v>
      </c>
      <c r="L147" s="307">
        <v>5.2523720000000003</v>
      </c>
      <c r="M147" s="307">
        <v>4.4600580000000001</v>
      </c>
      <c r="N147" s="307">
        <v>6.0064029999999997</v>
      </c>
      <c r="O147" s="307">
        <v>0</v>
      </c>
      <c r="P147" s="307">
        <v>6.4273150000000001</v>
      </c>
      <c r="Q147" s="307">
        <v>7.1051019999999996</v>
      </c>
      <c r="R147" s="307">
        <v>4.8395359999999998</v>
      </c>
      <c r="S147" s="307">
        <v>5.430809</v>
      </c>
      <c r="T147" s="307">
        <v>6.1838139999999999</v>
      </c>
      <c r="U147" s="307">
        <v>6.2490290000000002</v>
      </c>
      <c r="V147" s="307">
        <v>4.4039789999999996</v>
      </c>
      <c r="W147" s="307">
        <v>4.1929629999999998</v>
      </c>
      <c r="X147" s="307">
        <v>5.5858759999999998</v>
      </c>
      <c r="Y147" s="307">
        <v>5.7984140000000002</v>
      </c>
      <c r="Z147" s="307">
        <v>5.5512959999999998</v>
      </c>
      <c r="AA147" s="307">
        <v>4.8244150000000001</v>
      </c>
      <c r="AB147" s="307">
        <v>4.8747040000000004</v>
      </c>
      <c r="AC147" s="307">
        <v>5.8024430000000002</v>
      </c>
      <c r="AD147" s="307">
        <v>7.0930960000000001</v>
      </c>
      <c r="AE147" s="307">
        <v>5.4851710000000002</v>
      </c>
      <c r="AF147" s="307">
        <v>0</v>
      </c>
      <c r="AG147" s="307">
        <v>4.8120690000000002</v>
      </c>
      <c r="AH147" s="307">
        <v>4.5748470000000001</v>
      </c>
      <c r="AI147" s="307">
        <v>3.9546640000000002</v>
      </c>
      <c r="AJ147" s="307">
        <v>7.0064869999999999</v>
      </c>
      <c r="AK147" s="307">
        <v>5.3672129999999996</v>
      </c>
      <c r="AL147" s="307">
        <v>5.3608279999999997</v>
      </c>
      <c r="AM147" s="307">
        <v>5.3694759999999997</v>
      </c>
      <c r="AN147" s="307">
        <v>6.8273539999999997</v>
      </c>
      <c r="AO147" s="307">
        <v>6.0485959999999999</v>
      </c>
      <c r="AP147" s="307">
        <v>4.3322630000000002</v>
      </c>
      <c r="AQ147" s="307">
        <v>6.4350579999999997</v>
      </c>
      <c r="AR147" s="307">
        <v>6.0644159999999996</v>
      </c>
      <c r="AS147" s="307">
        <v>6.0712919999999997</v>
      </c>
      <c r="AT147" s="307">
        <v>6.114719</v>
      </c>
      <c r="AU147" s="307">
        <v>5.1085459999999996</v>
      </c>
      <c r="AV147" s="307">
        <v>4.8832399999999998</v>
      </c>
      <c r="AW147" s="307">
        <v>5.6421089999999996</v>
      </c>
      <c r="AX147" s="307">
        <v>5.1207979999999997</v>
      </c>
      <c r="AY147" s="307">
        <v>6.3008050000000004</v>
      </c>
      <c r="AZ147" s="307">
        <v>5.4907009999999996</v>
      </c>
      <c r="BA147" s="307">
        <v>4.7829509999999997</v>
      </c>
      <c r="BB147" s="307">
        <v>6.3241610000000001</v>
      </c>
      <c r="BC147" s="307">
        <v>4.6441699999999999</v>
      </c>
      <c r="BD147" s="307">
        <v>4.6669429999999998</v>
      </c>
      <c r="BE147" s="307">
        <v>5.4487030000000001</v>
      </c>
      <c r="BF147" s="307">
        <v>5.2233260000000001</v>
      </c>
      <c r="BG147" s="307">
        <v>5.6582489999999996</v>
      </c>
      <c r="BH147" s="307">
        <v>6.361326</v>
      </c>
      <c r="BI147" s="307">
        <v>5.4017629999999999</v>
      </c>
      <c r="BJ147" s="307">
        <v>5.837027</v>
      </c>
      <c r="BK147" s="307">
        <v>6.1150409999999997</v>
      </c>
      <c r="BL147">
        <f t="shared" si="8"/>
        <v>4</v>
      </c>
      <c r="BM147">
        <f t="shared" si="9"/>
        <v>5.5175395614035097</v>
      </c>
      <c r="BN147">
        <f t="shared" si="10"/>
        <v>7.1051019999999996</v>
      </c>
      <c r="BO147">
        <f t="array" ref="BO147">MIN(IF($C147:$BK147&gt;0, $C147:$BK147))</f>
        <v>3.9546640000000002</v>
      </c>
      <c r="BP147">
        <f t="shared" si="11"/>
        <v>5.430809</v>
      </c>
    </row>
    <row r="148" spans="1:68" x14ac:dyDescent="0.25">
      <c r="A148" s="306" t="s">
        <v>717</v>
      </c>
      <c r="B148" s="307" t="s">
        <v>134</v>
      </c>
      <c r="C148" s="307">
        <v>8.1524280000000005</v>
      </c>
      <c r="D148" s="307">
        <v>0</v>
      </c>
      <c r="E148" s="307">
        <v>16.23508</v>
      </c>
      <c r="F148" s="307">
        <v>9.1772910000000003</v>
      </c>
      <c r="G148" s="307">
        <v>13.090780000000001</v>
      </c>
      <c r="H148" s="307">
        <v>9.0994489999999999</v>
      </c>
      <c r="I148" s="307">
        <v>5.8309959999999998</v>
      </c>
      <c r="J148" s="307">
        <v>8.1237399999999997</v>
      </c>
      <c r="K148" s="307">
        <v>3.0184669999999998</v>
      </c>
      <c r="L148" s="307">
        <v>5.7501319999999998</v>
      </c>
      <c r="M148" s="307">
        <v>15.36828</v>
      </c>
      <c r="N148" s="307">
        <v>7.4250850000000002</v>
      </c>
      <c r="O148" s="307">
        <v>13.739800000000001</v>
      </c>
      <c r="P148" s="307">
        <v>12.12886</v>
      </c>
      <c r="Q148" s="307">
        <v>23.018319999999999</v>
      </c>
      <c r="R148" s="307">
        <v>5.9390900000000002</v>
      </c>
      <c r="S148" s="307">
        <v>6.4276540000000004</v>
      </c>
      <c r="T148" s="307">
        <v>14.03102</v>
      </c>
      <c r="U148" s="307">
        <v>12.38908</v>
      </c>
      <c r="V148" s="307">
        <v>7.3732290000000003</v>
      </c>
      <c r="W148" s="307">
        <v>7.7161239999999998</v>
      </c>
      <c r="X148" s="307">
        <v>7.3665260000000004</v>
      </c>
      <c r="Y148" s="307">
        <v>16.89939</v>
      </c>
      <c r="Z148" s="307">
        <v>19.806909999999998</v>
      </c>
      <c r="AA148" s="307">
        <v>12.5548</v>
      </c>
      <c r="AB148" s="307">
        <v>9.3700700000000001</v>
      </c>
      <c r="AC148" s="307">
        <v>13.56021</v>
      </c>
      <c r="AD148" s="307">
        <v>20.377649999999999</v>
      </c>
      <c r="AE148" s="307">
        <v>9.9085079999999994</v>
      </c>
      <c r="AF148" s="307">
        <v>6.6493380000000002</v>
      </c>
      <c r="AG148" s="307">
        <v>7.230556</v>
      </c>
      <c r="AH148" s="307">
        <v>12.667120000000001</v>
      </c>
      <c r="AI148" s="307">
        <v>4.93154</v>
      </c>
      <c r="AJ148" s="307">
        <v>20.62651</v>
      </c>
      <c r="AK148" s="307">
        <v>9.5682639999999992</v>
      </c>
      <c r="AL148" s="307">
        <v>5.6095839999999999</v>
      </c>
      <c r="AM148" s="307">
        <v>8.3269169999999999</v>
      </c>
      <c r="AN148" s="307">
        <v>12.88902</v>
      </c>
      <c r="AO148" s="307">
        <v>7.3596519999999996</v>
      </c>
      <c r="AP148" s="307">
        <v>8.3182950000000009</v>
      </c>
      <c r="AQ148" s="307">
        <v>12.454610000000001</v>
      </c>
      <c r="AR148" s="307">
        <v>7.5194559999999999</v>
      </c>
      <c r="AS148" s="307">
        <v>22.437840000000001</v>
      </c>
      <c r="AT148" s="307">
        <v>10.01576</v>
      </c>
      <c r="AU148" s="307">
        <v>8.5374979999999994</v>
      </c>
      <c r="AV148" s="307">
        <v>22.680150000000001</v>
      </c>
      <c r="AW148" s="307">
        <v>17.105709999999998</v>
      </c>
      <c r="AX148" s="307">
        <v>9.4431630000000002</v>
      </c>
      <c r="AY148" s="307">
        <v>21.77176</v>
      </c>
      <c r="AZ148" s="307">
        <v>15.75145</v>
      </c>
      <c r="BA148" s="307">
        <v>8.5353119999999993</v>
      </c>
      <c r="BB148" s="307">
        <v>7.4497730000000004</v>
      </c>
      <c r="BC148" s="307">
        <v>9.692577</v>
      </c>
      <c r="BD148" s="307">
        <v>6.2112639999999999</v>
      </c>
      <c r="BE148" s="307">
        <v>8.2083960000000005</v>
      </c>
      <c r="BF148" s="307">
        <v>10.55054</v>
      </c>
      <c r="BG148" s="307">
        <v>8.7757450000000006</v>
      </c>
      <c r="BH148" s="307">
        <v>11.131600000000001</v>
      </c>
      <c r="BI148" s="307">
        <v>8.9948899999999998</v>
      </c>
      <c r="BJ148" s="307">
        <v>6.5982409999999998</v>
      </c>
      <c r="BK148" s="307">
        <v>9.0239589999999996</v>
      </c>
      <c r="BL148">
        <f t="shared" si="8"/>
        <v>1</v>
      </c>
      <c r="BM148">
        <f t="shared" si="9"/>
        <v>11.015757650000003</v>
      </c>
      <c r="BN148">
        <f t="shared" si="10"/>
        <v>23.018319999999999</v>
      </c>
      <c r="BO148">
        <f t="array" ref="BO148">MIN(IF($C148:$BK148&gt;0, $C148:$BK148))</f>
        <v>3.0184669999999998</v>
      </c>
      <c r="BP148">
        <f t="shared" si="11"/>
        <v>9.1772910000000003</v>
      </c>
    </row>
    <row r="149" spans="1:68" x14ac:dyDescent="0.25">
      <c r="A149" s="306" t="s">
        <v>718</v>
      </c>
      <c r="B149" s="307" t="s">
        <v>135</v>
      </c>
      <c r="C149" s="307">
        <v>6.2581910000000001</v>
      </c>
      <c r="D149" s="307">
        <v>0</v>
      </c>
      <c r="E149" s="307">
        <v>5.7335089999999997</v>
      </c>
      <c r="F149" s="307">
        <v>6.4090980000000002</v>
      </c>
      <c r="G149" s="307">
        <v>5.8241610000000001</v>
      </c>
      <c r="H149" s="307">
        <v>6.43757</v>
      </c>
      <c r="I149" s="307">
        <v>6.2119679999999997</v>
      </c>
      <c r="J149" s="307">
        <v>4.8266119999999999</v>
      </c>
      <c r="K149" s="307">
        <v>0</v>
      </c>
      <c r="L149" s="307">
        <v>0</v>
      </c>
      <c r="M149" s="307">
        <v>6.5871639999999996</v>
      </c>
      <c r="N149" s="307">
        <v>5.5208120000000003</v>
      </c>
      <c r="O149" s="307">
        <v>8.5351309999999998</v>
      </c>
      <c r="P149" s="307">
        <v>7.3271009999999999</v>
      </c>
      <c r="Q149" s="307">
        <v>7.4662280000000001</v>
      </c>
      <c r="R149" s="307">
        <v>4.7966049999999996</v>
      </c>
      <c r="S149" s="307">
        <v>6.4325419999999998</v>
      </c>
      <c r="T149" s="307">
        <v>5.8579439999999998</v>
      </c>
      <c r="U149" s="307">
        <v>7.9124410000000003</v>
      </c>
      <c r="V149" s="307">
        <v>7.8278410000000003</v>
      </c>
      <c r="W149" s="307">
        <v>4.6066510000000003</v>
      </c>
      <c r="X149" s="307">
        <v>5.1681900000000001</v>
      </c>
      <c r="Y149" s="307">
        <v>7.618468</v>
      </c>
      <c r="Z149" s="307">
        <v>6.8047610000000001</v>
      </c>
      <c r="AA149" s="307">
        <v>6.1804750000000004</v>
      </c>
      <c r="AB149" s="307">
        <v>7.5124779999999998</v>
      </c>
      <c r="AC149" s="307">
        <v>6.8431069999999998</v>
      </c>
      <c r="AD149" s="307">
        <v>8.1085790000000006</v>
      </c>
      <c r="AE149" s="307">
        <v>6.1168480000000001</v>
      </c>
      <c r="AF149" s="307">
        <v>6.3316189999999999</v>
      </c>
      <c r="AG149" s="307">
        <v>6.9610789999999998</v>
      </c>
      <c r="AH149" s="307">
        <v>7.6318789999999996</v>
      </c>
      <c r="AI149" s="307">
        <v>4.7724900000000003</v>
      </c>
      <c r="AJ149" s="307">
        <v>8.5470369999999996</v>
      </c>
      <c r="AK149" s="307">
        <v>0</v>
      </c>
      <c r="AL149" s="307">
        <v>6.847404</v>
      </c>
      <c r="AM149" s="307">
        <v>6.7480279999999997</v>
      </c>
      <c r="AN149" s="307">
        <v>6.4681009999999999</v>
      </c>
      <c r="AO149" s="307">
        <v>7.7014230000000001</v>
      </c>
      <c r="AP149" s="307">
        <v>6.7580720000000003</v>
      </c>
      <c r="AQ149" s="307">
        <v>0</v>
      </c>
      <c r="AR149" s="307">
        <v>6.7386549999999996</v>
      </c>
      <c r="AS149" s="307">
        <v>0</v>
      </c>
      <c r="AT149" s="307">
        <v>5.5590960000000003</v>
      </c>
      <c r="AU149" s="307">
        <v>5.0571799999999998</v>
      </c>
      <c r="AV149" s="307">
        <v>6.2145169999999998</v>
      </c>
      <c r="AW149" s="307">
        <v>6.2466910000000002</v>
      </c>
      <c r="AX149" s="307">
        <v>5.1366040000000002</v>
      </c>
      <c r="AY149" s="307">
        <v>7.3913479999999998</v>
      </c>
      <c r="AZ149" s="307">
        <v>8.4219969999999993</v>
      </c>
      <c r="BA149" s="307">
        <v>6.7103999999999999</v>
      </c>
      <c r="BB149" s="307">
        <v>0</v>
      </c>
      <c r="BC149" s="307">
        <v>6.0057400000000003</v>
      </c>
      <c r="BD149" s="307">
        <v>6.7450900000000003</v>
      </c>
      <c r="BE149" s="307">
        <v>6.3847209999999999</v>
      </c>
      <c r="BF149" s="307">
        <v>6.9354529999999999</v>
      </c>
      <c r="BG149" s="307">
        <v>6.1407999999999996</v>
      </c>
      <c r="BH149" s="307">
        <v>6.2329140000000001</v>
      </c>
      <c r="BI149" s="307">
        <v>5.4222919999999997</v>
      </c>
      <c r="BJ149" s="307">
        <v>6.2973169999999996</v>
      </c>
      <c r="BK149" s="307">
        <v>6.8659970000000001</v>
      </c>
      <c r="BL149">
        <f t="shared" si="8"/>
        <v>7</v>
      </c>
      <c r="BM149">
        <f t="shared" si="9"/>
        <v>6.5221929444444449</v>
      </c>
      <c r="BN149">
        <f t="shared" si="10"/>
        <v>8.5470369999999996</v>
      </c>
      <c r="BO149">
        <f t="array" ref="BO149">MIN(IF($C149:$BK149&gt;0, $C149:$BK149))</f>
        <v>4.6066510000000003</v>
      </c>
      <c r="BP149">
        <f t="shared" si="11"/>
        <v>6.3316189999999999</v>
      </c>
    </row>
    <row r="150" spans="1:68" x14ac:dyDescent="0.25">
      <c r="A150" s="306" t="s">
        <v>719</v>
      </c>
      <c r="B150" s="307" t="s">
        <v>136</v>
      </c>
      <c r="C150" s="307">
        <v>4.2358669999999998</v>
      </c>
      <c r="D150" s="307">
        <v>0</v>
      </c>
      <c r="E150" s="307">
        <v>3.6230609999999999</v>
      </c>
      <c r="F150" s="307">
        <v>0</v>
      </c>
      <c r="G150" s="307">
        <v>6.7790850000000002</v>
      </c>
      <c r="H150" s="307">
        <v>4.3486310000000001</v>
      </c>
      <c r="I150" s="307">
        <v>6.0293080000000003</v>
      </c>
      <c r="J150" s="307">
        <v>0</v>
      </c>
      <c r="K150" s="307">
        <v>0</v>
      </c>
      <c r="L150" s="307">
        <v>2.689457</v>
      </c>
      <c r="M150" s="307">
        <v>3.5153129999999999</v>
      </c>
      <c r="N150" s="307">
        <v>4.2317530000000003</v>
      </c>
      <c r="O150" s="307">
        <v>0</v>
      </c>
      <c r="P150" s="307">
        <v>3.876287</v>
      </c>
      <c r="Q150" s="307">
        <v>3.425103</v>
      </c>
      <c r="R150" s="307">
        <v>3.4982199999999999</v>
      </c>
      <c r="S150" s="307">
        <v>4.1888860000000001</v>
      </c>
      <c r="T150" s="307">
        <v>5.2986430000000002</v>
      </c>
      <c r="U150" s="307">
        <v>3.807839</v>
      </c>
      <c r="V150" s="307">
        <v>6.1996890000000002</v>
      </c>
      <c r="W150" s="307">
        <v>3.0462389999999999</v>
      </c>
      <c r="X150" s="307">
        <v>5.1130899999999997</v>
      </c>
      <c r="Y150" s="307">
        <v>0</v>
      </c>
      <c r="Z150" s="307">
        <v>4.3160239999999996</v>
      </c>
      <c r="AA150" s="307">
        <v>6.5108430000000004</v>
      </c>
      <c r="AB150" s="307">
        <v>3.2928959999999998</v>
      </c>
      <c r="AC150" s="307">
        <v>6.5368009999999996</v>
      </c>
      <c r="AD150" s="307">
        <v>0</v>
      </c>
      <c r="AE150" s="307">
        <v>4.61911</v>
      </c>
      <c r="AF150" s="307">
        <v>0</v>
      </c>
      <c r="AG150" s="307">
        <v>0</v>
      </c>
      <c r="AH150" s="307">
        <v>0</v>
      </c>
      <c r="AI150" s="307">
        <v>5.6287760000000002</v>
      </c>
      <c r="AJ150" s="307">
        <v>5.6412740000000001</v>
      </c>
      <c r="AK150" s="307">
        <v>6.6716189999999997</v>
      </c>
      <c r="AL150" s="307">
        <v>3.6045929999999999</v>
      </c>
      <c r="AM150" s="307">
        <v>4.1478630000000001</v>
      </c>
      <c r="AN150" s="307">
        <v>5.4611210000000003</v>
      </c>
      <c r="AO150" s="307">
        <v>6.4394660000000004</v>
      </c>
      <c r="AP150" s="307">
        <v>3.7299730000000002</v>
      </c>
      <c r="AQ150" s="307">
        <v>0</v>
      </c>
      <c r="AR150" s="307">
        <v>5.909637</v>
      </c>
      <c r="AS150" s="307">
        <v>6.6395</v>
      </c>
      <c r="AT150" s="307">
        <v>4.7313099999999997</v>
      </c>
      <c r="AU150" s="307">
        <v>4.1977520000000004</v>
      </c>
      <c r="AV150" s="307">
        <v>5.6241599999999998</v>
      </c>
      <c r="AW150" s="307">
        <v>6.3715310000000001</v>
      </c>
      <c r="AX150" s="307">
        <v>6.4194839999999997</v>
      </c>
      <c r="AY150" s="307">
        <v>4.398409</v>
      </c>
      <c r="AZ150" s="307">
        <v>6.6444599999999996</v>
      </c>
      <c r="BA150" s="307">
        <v>2.7364410000000001</v>
      </c>
      <c r="BB150" s="307">
        <v>0</v>
      </c>
      <c r="BC150" s="307">
        <v>3.3793639999999998</v>
      </c>
      <c r="BD150" s="307">
        <v>3.947441</v>
      </c>
      <c r="BE150" s="307">
        <v>4.2522929999999999</v>
      </c>
      <c r="BF150" s="307">
        <v>3.8160970000000001</v>
      </c>
      <c r="BG150" s="307">
        <v>4.3840219999999999</v>
      </c>
      <c r="BH150" s="307">
        <v>4.0507939999999998</v>
      </c>
      <c r="BI150" s="307">
        <v>4.4535729999999996</v>
      </c>
      <c r="BJ150" s="307">
        <v>6.1511490000000002</v>
      </c>
      <c r="BK150" s="307">
        <v>4.4354399999999998</v>
      </c>
      <c r="BL150">
        <f t="shared" si="8"/>
        <v>12</v>
      </c>
      <c r="BM150">
        <f t="shared" si="9"/>
        <v>4.7561160612244908</v>
      </c>
      <c r="BN150">
        <f t="shared" si="10"/>
        <v>6.7790850000000002</v>
      </c>
      <c r="BO150">
        <f t="array" ref="BO150">MIN(IF($C150:$BK150&gt;0, $C150:$BK150))</f>
        <v>2.689457</v>
      </c>
      <c r="BP150">
        <f t="shared" si="11"/>
        <v>4.1977520000000004</v>
      </c>
    </row>
    <row r="151" spans="1:68" x14ac:dyDescent="0.25">
      <c r="A151" s="306">
        <v>327211</v>
      </c>
      <c r="B151" s="307" t="s">
        <v>137</v>
      </c>
      <c r="C151" s="307">
        <v>3.7738659999999999</v>
      </c>
      <c r="D151" s="307">
        <v>0</v>
      </c>
      <c r="E151" s="307">
        <v>0</v>
      </c>
      <c r="F151" s="307">
        <v>0</v>
      </c>
      <c r="G151" s="307">
        <v>6.7775379999999998</v>
      </c>
      <c r="H151" s="307">
        <v>3.7276009999999999</v>
      </c>
      <c r="I151" s="307">
        <v>3.282343</v>
      </c>
      <c r="J151" s="307">
        <v>6.4859410000000004</v>
      </c>
      <c r="K151" s="307">
        <v>0</v>
      </c>
      <c r="L151" s="307">
        <v>0</v>
      </c>
      <c r="M151" s="307">
        <v>6.1393040000000001</v>
      </c>
      <c r="N151" s="307">
        <v>4.9614279999999997</v>
      </c>
      <c r="O151" s="307">
        <v>0</v>
      </c>
      <c r="P151" s="307">
        <v>3.9270119999999999</v>
      </c>
      <c r="Q151" s="307">
        <v>0</v>
      </c>
      <c r="R151" s="307">
        <v>2.9763359999999999</v>
      </c>
      <c r="S151" s="307">
        <v>6.4850539999999999</v>
      </c>
      <c r="T151" s="307">
        <v>3.1949679999999998</v>
      </c>
      <c r="U151" s="307">
        <v>2.645502</v>
      </c>
      <c r="V151" s="307">
        <v>0</v>
      </c>
      <c r="W151" s="307">
        <v>3.2040150000000001</v>
      </c>
      <c r="X151" s="307">
        <v>4.3868830000000001</v>
      </c>
      <c r="Y151" s="307">
        <v>4.6197600000000003</v>
      </c>
      <c r="Z151" s="307">
        <v>2.7833290000000002</v>
      </c>
      <c r="AA151" s="307">
        <v>5.5375139999999998</v>
      </c>
      <c r="AB151" s="307">
        <v>0</v>
      </c>
      <c r="AC151" s="307">
        <v>0</v>
      </c>
      <c r="AD151" s="307">
        <v>0</v>
      </c>
      <c r="AE151" s="307">
        <v>4.4348369999999999</v>
      </c>
      <c r="AF151" s="307">
        <v>0</v>
      </c>
      <c r="AG151" s="307">
        <v>0</v>
      </c>
      <c r="AH151" s="307">
        <v>6.0203110000000004</v>
      </c>
      <c r="AI151" s="307">
        <v>3.2102029999999999</v>
      </c>
      <c r="AJ151" s="307">
        <v>0</v>
      </c>
      <c r="AK151" s="307">
        <v>0</v>
      </c>
      <c r="AL151" s="307">
        <v>4.0528810000000002</v>
      </c>
      <c r="AM151" s="307">
        <v>4.8248030000000002</v>
      </c>
      <c r="AN151" s="307">
        <v>3.1671239999999998</v>
      </c>
      <c r="AO151" s="307">
        <v>5.8421570000000003</v>
      </c>
      <c r="AP151" s="307">
        <v>3.6629580000000002</v>
      </c>
      <c r="AQ151" s="307">
        <v>0</v>
      </c>
      <c r="AR151" s="307">
        <v>6.5593659999999998</v>
      </c>
      <c r="AS151" s="307">
        <v>0</v>
      </c>
      <c r="AT151" s="307">
        <v>2.68201</v>
      </c>
      <c r="AU151" s="307">
        <v>3.7136680000000002</v>
      </c>
      <c r="AV151" s="307">
        <v>0</v>
      </c>
      <c r="AW151" s="307">
        <v>6.2569730000000003</v>
      </c>
      <c r="AX151" s="307">
        <v>0</v>
      </c>
      <c r="AY151" s="307">
        <v>5.0580509999999999</v>
      </c>
      <c r="AZ151" s="307">
        <v>4.4211090000000004</v>
      </c>
      <c r="BA151" s="307">
        <v>4.0254599999999998</v>
      </c>
      <c r="BB151" s="307">
        <v>0</v>
      </c>
      <c r="BC151" s="307">
        <v>3.9551729999999998</v>
      </c>
      <c r="BD151" s="307">
        <v>3.787798</v>
      </c>
      <c r="BE151" s="307">
        <v>3.9506860000000001</v>
      </c>
      <c r="BF151" s="307">
        <v>3.8165269999999998</v>
      </c>
      <c r="BG151" s="307">
        <v>5.0091919999999996</v>
      </c>
      <c r="BH151" s="307">
        <v>2.7239209999999998</v>
      </c>
      <c r="BI151" s="307">
        <v>3.4288400000000001</v>
      </c>
      <c r="BJ151" s="307">
        <v>3.3183470000000002</v>
      </c>
      <c r="BK151" s="307">
        <v>4.162623</v>
      </c>
      <c r="BL151">
        <f t="shared" si="8"/>
        <v>20</v>
      </c>
      <c r="BM151">
        <f t="shared" si="9"/>
        <v>4.3169124878048786</v>
      </c>
      <c r="BN151">
        <f t="shared" si="10"/>
        <v>6.7775379999999998</v>
      </c>
      <c r="BO151">
        <f t="array" ref="BO151">MIN(IF($C151:$BK151&gt;0, $C151:$BK151))</f>
        <v>2.645502</v>
      </c>
      <c r="BP151">
        <f t="shared" si="11"/>
        <v>3.3183470000000002</v>
      </c>
    </row>
    <row r="152" spans="1:68" x14ac:dyDescent="0.25">
      <c r="A152" s="306">
        <v>327212</v>
      </c>
      <c r="B152" s="307" t="s">
        <v>138</v>
      </c>
      <c r="C152" s="307">
        <v>5.2351830000000001</v>
      </c>
      <c r="D152" s="307">
        <v>10.315530000000001</v>
      </c>
      <c r="E152" s="307">
        <v>10.25081</v>
      </c>
      <c r="F152" s="307">
        <v>10.123530000000001</v>
      </c>
      <c r="G152" s="307">
        <v>5.7221039999999999</v>
      </c>
      <c r="H152" s="307">
        <v>6.0860219999999998</v>
      </c>
      <c r="I152" s="307">
        <v>4.9776020000000001</v>
      </c>
      <c r="J152" s="307">
        <v>6.7093309999999997</v>
      </c>
      <c r="K152" s="307">
        <v>0</v>
      </c>
      <c r="L152" s="307">
        <v>6.2038960000000003</v>
      </c>
      <c r="M152" s="307">
        <v>7.7994570000000003</v>
      </c>
      <c r="N152" s="307">
        <v>6.3629179999999996</v>
      </c>
      <c r="O152" s="307">
        <v>8.7232179999999993</v>
      </c>
      <c r="P152" s="307">
        <v>4.8142899999999997</v>
      </c>
      <c r="Q152" s="307">
        <v>10.686070000000001</v>
      </c>
      <c r="R152" s="307">
        <v>6.9108910000000003</v>
      </c>
      <c r="S152" s="307">
        <v>8.7497790000000002</v>
      </c>
      <c r="T152" s="307">
        <v>9.4825330000000001</v>
      </c>
      <c r="U152" s="307">
        <v>3.9730910000000002</v>
      </c>
      <c r="V152" s="307">
        <v>6.5275740000000004</v>
      </c>
      <c r="W152" s="307">
        <v>5.402374</v>
      </c>
      <c r="X152" s="307">
        <v>0</v>
      </c>
      <c r="Y152" s="307">
        <v>0</v>
      </c>
      <c r="Z152" s="307">
        <v>8.1193860000000004</v>
      </c>
      <c r="AA152" s="307">
        <v>10.215009999999999</v>
      </c>
      <c r="AB152" s="307">
        <v>4.0719139999999996</v>
      </c>
      <c r="AC152" s="307">
        <v>6.7251580000000004</v>
      </c>
      <c r="AD152" s="307">
        <v>0</v>
      </c>
      <c r="AE152" s="307">
        <v>4.1072430000000004</v>
      </c>
      <c r="AF152" s="307">
        <v>9.5326810000000002</v>
      </c>
      <c r="AG152" s="307">
        <v>10.356640000000001</v>
      </c>
      <c r="AH152" s="307">
        <v>4.2142580000000001</v>
      </c>
      <c r="AI152" s="307">
        <v>5.0343809999999998</v>
      </c>
      <c r="AJ152" s="307">
        <v>8.6712349999999994</v>
      </c>
      <c r="AK152" s="307">
        <v>5.306692</v>
      </c>
      <c r="AL152" s="307">
        <v>4.2478170000000004</v>
      </c>
      <c r="AM152" s="307">
        <v>5.1717009999999997</v>
      </c>
      <c r="AN152" s="307">
        <v>7.383858</v>
      </c>
      <c r="AO152" s="307">
        <v>6.2119859999999996</v>
      </c>
      <c r="AP152" s="307">
        <v>5.888331</v>
      </c>
      <c r="AQ152" s="307">
        <v>4.9545450000000004</v>
      </c>
      <c r="AR152" s="307">
        <v>4.7106159999999999</v>
      </c>
      <c r="AS152" s="307">
        <v>0</v>
      </c>
      <c r="AT152" s="307">
        <v>4.2098690000000003</v>
      </c>
      <c r="AU152" s="307">
        <v>4.1887559999999997</v>
      </c>
      <c r="AV152" s="307">
        <v>10.613989999999999</v>
      </c>
      <c r="AW152" s="307">
        <v>3.9310550000000002</v>
      </c>
      <c r="AX152" s="307">
        <v>6.5925140000000004</v>
      </c>
      <c r="AY152" s="307">
        <v>10.503869999999999</v>
      </c>
      <c r="AZ152" s="307">
        <v>6.4082840000000001</v>
      </c>
      <c r="BA152" s="307">
        <v>7.9916830000000001</v>
      </c>
      <c r="BB152" s="307">
        <v>0</v>
      </c>
      <c r="BC152" s="307">
        <v>5.6022809999999996</v>
      </c>
      <c r="BD152" s="307">
        <v>5.4284499999999998</v>
      </c>
      <c r="BE152" s="307">
        <v>5.4087399999999999</v>
      </c>
      <c r="BF152" s="307">
        <v>4.7898120000000004</v>
      </c>
      <c r="BG152" s="307">
        <v>4.6472170000000004</v>
      </c>
      <c r="BH152" s="307">
        <v>4.1945649999999999</v>
      </c>
      <c r="BI152" s="307">
        <v>5.0013370000000004</v>
      </c>
      <c r="BJ152" s="307">
        <v>6.1086479999999996</v>
      </c>
      <c r="BK152" s="307">
        <v>6.5517409999999998</v>
      </c>
      <c r="BL152">
        <f t="shared" si="8"/>
        <v>6</v>
      </c>
      <c r="BM152">
        <f t="shared" si="9"/>
        <v>6.5845903090909106</v>
      </c>
      <c r="BN152">
        <f t="shared" si="10"/>
        <v>10.686070000000001</v>
      </c>
      <c r="BO152">
        <f t="array" ref="BO152">MIN(IF($C152:$BK152&gt;0, $C152:$BK152))</f>
        <v>3.9310550000000002</v>
      </c>
      <c r="BP152">
        <f t="shared" si="11"/>
        <v>5.7221039999999999</v>
      </c>
    </row>
    <row r="153" spans="1:68" x14ac:dyDescent="0.25">
      <c r="A153" s="306">
        <v>327213</v>
      </c>
      <c r="B153" s="307" t="s">
        <v>139</v>
      </c>
      <c r="C153" s="307">
        <v>3.2621869999999999</v>
      </c>
      <c r="D153" s="307">
        <v>0</v>
      </c>
      <c r="E153" s="307">
        <v>0</v>
      </c>
      <c r="F153" s="307">
        <v>4.3805040000000002</v>
      </c>
      <c r="G153" s="307">
        <v>4.6022600000000002</v>
      </c>
      <c r="H153" s="307">
        <v>3.1439180000000002</v>
      </c>
      <c r="I153" s="307">
        <v>2.7152129999999999</v>
      </c>
      <c r="J153" s="307">
        <v>0</v>
      </c>
      <c r="K153" s="307">
        <v>0</v>
      </c>
      <c r="L153" s="307">
        <v>0</v>
      </c>
      <c r="M153" s="307">
        <v>3.3254670000000002</v>
      </c>
      <c r="N153" s="307">
        <v>3.7009609999999999</v>
      </c>
      <c r="O153" s="307">
        <v>0</v>
      </c>
      <c r="P153" s="307">
        <v>0</v>
      </c>
      <c r="Q153" s="307">
        <v>0</v>
      </c>
      <c r="R153" s="307">
        <v>2.764408</v>
      </c>
      <c r="S153" s="307">
        <v>3.0911979999999999</v>
      </c>
      <c r="T153" s="307">
        <v>0</v>
      </c>
      <c r="U153" s="307">
        <v>0</v>
      </c>
      <c r="V153" s="307">
        <v>3.276049</v>
      </c>
      <c r="W153" s="307">
        <v>2.6695440000000001</v>
      </c>
      <c r="X153" s="307">
        <v>0</v>
      </c>
      <c r="Y153" s="307">
        <v>0</v>
      </c>
      <c r="Z153" s="307">
        <v>3.186388</v>
      </c>
      <c r="AA153" s="307">
        <v>3.387807</v>
      </c>
      <c r="AB153" s="307">
        <v>3.7942990000000001</v>
      </c>
      <c r="AC153" s="307">
        <v>0</v>
      </c>
      <c r="AD153" s="307">
        <v>0</v>
      </c>
      <c r="AE153" s="307">
        <v>3.0393240000000001</v>
      </c>
      <c r="AF153" s="307">
        <v>0</v>
      </c>
      <c r="AG153" s="307">
        <v>4.4853740000000002</v>
      </c>
      <c r="AH153" s="307">
        <v>0</v>
      </c>
      <c r="AI153" s="307">
        <v>3.367632</v>
      </c>
      <c r="AJ153" s="307">
        <v>0</v>
      </c>
      <c r="AK153" s="307">
        <v>0</v>
      </c>
      <c r="AL153" s="307">
        <v>3.3281179999999999</v>
      </c>
      <c r="AM153" s="307">
        <v>2.320465</v>
      </c>
      <c r="AN153" s="307">
        <v>3.3996740000000001</v>
      </c>
      <c r="AO153" s="307">
        <v>3.4558759999999999</v>
      </c>
      <c r="AP153" s="307">
        <v>3.3564029999999998</v>
      </c>
      <c r="AQ153" s="307">
        <v>0</v>
      </c>
      <c r="AR153" s="307">
        <v>0</v>
      </c>
      <c r="AS153" s="307">
        <v>0</v>
      </c>
      <c r="AT153" s="307">
        <v>3.570376</v>
      </c>
      <c r="AU153" s="307">
        <v>2.7142400000000002</v>
      </c>
      <c r="AV153" s="307">
        <v>0</v>
      </c>
      <c r="AW153" s="307">
        <v>3.293024</v>
      </c>
      <c r="AX153" s="307">
        <v>0</v>
      </c>
      <c r="AY153" s="307">
        <v>3.2811530000000002</v>
      </c>
      <c r="AZ153" s="307">
        <v>3.1071719999999998</v>
      </c>
      <c r="BA153" s="307">
        <v>0</v>
      </c>
      <c r="BB153" s="307">
        <v>0</v>
      </c>
      <c r="BC153" s="307">
        <v>2.9111050000000001</v>
      </c>
      <c r="BD153" s="307">
        <v>3.475927</v>
      </c>
      <c r="BE153" s="307">
        <v>2.8433350000000002</v>
      </c>
      <c r="BF153" s="307">
        <v>3.8164940000000001</v>
      </c>
      <c r="BG153" s="307">
        <v>3.4021150000000002</v>
      </c>
      <c r="BH153" s="307">
        <v>3.626093</v>
      </c>
      <c r="BI153" s="307">
        <v>3.268567</v>
      </c>
      <c r="BJ153" s="307">
        <v>2.7660100000000001</v>
      </c>
      <c r="BK153" s="307">
        <v>3.195478</v>
      </c>
      <c r="BL153">
        <f t="shared" si="8"/>
        <v>25</v>
      </c>
      <c r="BM153">
        <f t="shared" si="9"/>
        <v>3.3145599444444449</v>
      </c>
      <c r="BN153">
        <f t="shared" si="10"/>
        <v>4.6022600000000002</v>
      </c>
      <c r="BO153">
        <f t="array" ref="BO153">MIN(IF($C153:$BK153&gt;0, $C153:$BK153))</f>
        <v>2.320465</v>
      </c>
      <c r="BP153">
        <f t="shared" si="11"/>
        <v>2.7660100000000001</v>
      </c>
    </row>
    <row r="154" spans="1:68" x14ac:dyDescent="0.25">
      <c r="A154" s="306">
        <v>327215</v>
      </c>
      <c r="B154" s="307" t="s">
        <v>140</v>
      </c>
      <c r="C154" s="307">
        <v>5.3044859999999998</v>
      </c>
      <c r="D154" s="307">
        <v>0</v>
      </c>
      <c r="E154" s="307">
        <v>4.5585079999999998</v>
      </c>
      <c r="F154" s="307">
        <v>5.6014179999999998</v>
      </c>
      <c r="G154" s="307">
        <v>5.3516750000000002</v>
      </c>
      <c r="H154" s="307">
        <v>5.3186229999999997</v>
      </c>
      <c r="I154" s="307">
        <v>6.1920729999999997</v>
      </c>
      <c r="J154" s="307">
        <v>4.9568149999999997</v>
      </c>
      <c r="K154" s="307">
        <v>0</v>
      </c>
      <c r="L154" s="307">
        <v>6.3830799999999996</v>
      </c>
      <c r="M154" s="307">
        <v>5.8261789999999998</v>
      </c>
      <c r="N154" s="307">
        <v>5.4537890000000004</v>
      </c>
      <c r="O154" s="307">
        <v>5.836862</v>
      </c>
      <c r="P154" s="307">
        <v>5.833018</v>
      </c>
      <c r="Q154" s="307">
        <v>7.8980519999999999</v>
      </c>
      <c r="R154" s="307">
        <v>4.713069</v>
      </c>
      <c r="S154" s="307">
        <v>5.4233859999999998</v>
      </c>
      <c r="T154" s="307">
        <v>5.4299530000000003</v>
      </c>
      <c r="U154" s="307">
        <v>4.1095439999999996</v>
      </c>
      <c r="V154" s="307">
        <v>6.868601</v>
      </c>
      <c r="W154" s="307">
        <v>4.5314680000000003</v>
      </c>
      <c r="X154" s="307">
        <v>3.9756179999999999</v>
      </c>
      <c r="Y154" s="307">
        <v>7.7302489999999997</v>
      </c>
      <c r="Z154" s="307">
        <v>4.3142180000000003</v>
      </c>
      <c r="AA154" s="307">
        <v>4.9101699999999999</v>
      </c>
      <c r="AB154" s="307">
        <v>4.7121430000000002</v>
      </c>
      <c r="AC154" s="307">
        <v>6.8728749999999996</v>
      </c>
      <c r="AD154" s="307">
        <v>7.9553060000000002</v>
      </c>
      <c r="AE154" s="307">
        <v>6.6633909999999998</v>
      </c>
      <c r="AF154" s="307">
        <v>5.0392700000000001</v>
      </c>
      <c r="AG154" s="307">
        <v>6.6523099999999999</v>
      </c>
      <c r="AH154" s="307">
        <v>3.891127</v>
      </c>
      <c r="AI154" s="307">
        <v>4.5061720000000003</v>
      </c>
      <c r="AJ154" s="307">
        <v>7.8195690000000004</v>
      </c>
      <c r="AK154" s="307">
        <v>6.6737450000000003</v>
      </c>
      <c r="AL154" s="307">
        <v>4.4368509999999999</v>
      </c>
      <c r="AM154" s="307">
        <v>5.0438590000000003</v>
      </c>
      <c r="AN154" s="307">
        <v>5.9695879999999999</v>
      </c>
      <c r="AO154" s="307">
        <v>5.86069</v>
      </c>
      <c r="AP154" s="307">
        <v>4.6007949999999997</v>
      </c>
      <c r="AQ154" s="307">
        <v>4.6021369999999999</v>
      </c>
      <c r="AR154" s="307">
        <v>5.2098979999999999</v>
      </c>
      <c r="AS154" s="307">
        <v>7.4887509999999997</v>
      </c>
      <c r="AT154" s="307">
        <v>6.0333399999999999</v>
      </c>
      <c r="AU154" s="307">
        <v>5.31107</v>
      </c>
      <c r="AV154" s="307">
        <v>6.4696379999999998</v>
      </c>
      <c r="AW154" s="307">
        <v>6.4001260000000002</v>
      </c>
      <c r="AX154" s="307">
        <v>7.4437790000000001</v>
      </c>
      <c r="AY154" s="307">
        <v>5.5440490000000002</v>
      </c>
      <c r="AZ154" s="307">
        <v>5.8736889999999997</v>
      </c>
      <c r="BA154" s="307">
        <v>6.1023909999999999</v>
      </c>
      <c r="BB154" s="307">
        <v>0</v>
      </c>
      <c r="BC154" s="307">
        <v>4.8693869999999997</v>
      </c>
      <c r="BD154" s="307">
        <v>4.6879520000000001</v>
      </c>
      <c r="BE154" s="307">
        <v>5.0000530000000003</v>
      </c>
      <c r="BF154" s="307">
        <v>5.2415250000000002</v>
      </c>
      <c r="BG154" s="307">
        <v>5.897526</v>
      </c>
      <c r="BH154" s="307">
        <v>5.1309040000000001</v>
      </c>
      <c r="BI154" s="307">
        <v>5.6115259999999996</v>
      </c>
      <c r="BJ154" s="307">
        <v>6.3024820000000004</v>
      </c>
      <c r="BK154" s="307">
        <v>5.5224989999999998</v>
      </c>
      <c r="BL154">
        <f t="shared" si="8"/>
        <v>3</v>
      </c>
      <c r="BM154">
        <f t="shared" si="9"/>
        <v>5.6545046034482764</v>
      </c>
      <c r="BN154">
        <f t="shared" si="10"/>
        <v>7.9553060000000002</v>
      </c>
      <c r="BO154">
        <f t="array" ref="BO154">MIN(IF($C154:$BK154&gt;0, $C154:$BK154))</f>
        <v>3.891127</v>
      </c>
      <c r="BP154">
        <f t="shared" si="11"/>
        <v>5.4299530000000003</v>
      </c>
    </row>
    <row r="155" spans="1:68" x14ac:dyDescent="0.25">
      <c r="A155" s="306">
        <v>327310</v>
      </c>
      <c r="B155" s="307" t="s">
        <v>141</v>
      </c>
      <c r="C155" s="307">
        <v>2.0970589999999998</v>
      </c>
      <c r="D155" s="307">
        <v>0</v>
      </c>
      <c r="E155" s="307">
        <v>1.849583</v>
      </c>
      <c r="F155" s="307">
        <v>2.0514039999999998</v>
      </c>
      <c r="G155" s="307">
        <v>2.3698869999999999</v>
      </c>
      <c r="H155" s="307">
        <v>1.879766</v>
      </c>
      <c r="I155" s="307">
        <v>1.817625</v>
      </c>
      <c r="J155" s="307">
        <v>0</v>
      </c>
      <c r="K155" s="307">
        <v>0</v>
      </c>
      <c r="L155" s="307">
        <v>0</v>
      </c>
      <c r="M155" s="307">
        <v>2.214213</v>
      </c>
      <c r="N155" s="307">
        <v>2.1541709999999998</v>
      </c>
      <c r="O155" s="307">
        <v>3.3132000000000001</v>
      </c>
      <c r="P155" s="307">
        <v>2.2607870000000001</v>
      </c>
      <c r="Q155" s="307">
        <v>2.3712620000000002</v>
      </c>
      <c r="R155" s="307">
        <v>1.867265</v>
      </c>
      <c r="S155" s="307">
        <v>2.4690530000000002</v>
      </c>
      <c r="T155" s="307">
        <v>2.3869940000000001</v>
      </c>
      <c r="U155" s="307">
        <v>2.3430719999999998</v>
      </c>
      <c r="V155" s="307">
        <v>2.084314</v>
      </c>
      <c r="W155" s="307">
        <v>1.3152250000000001</v>
      </c>
      <c r="X155" s="307">
        <v>1.714942</v>
      </c>
      <c r="Y155" s="307">
        <v>3.2798769999999999</v>
      </c>
      <c r="Z155" s="307">
        <v>1.7431110000000001</v>
      </c>
      <c r="AA155" s="307">
        <v>0</v>
      </c>
      <c r="AB155" s="307">
        <v>1.9156599999999999</v>
      </c>
      <c r="AC155" s="307">
        <v>2.259779</v>
      </c>
      <c r="AD155" s="307">
        <v>2.5173549999999998</v>
      </c>
      <c r="AE155" s="307">
        <v>3.2754259999999999</v>
      </c>
      <c r="AF155" s="307">
        <v>2.5424920000000002</v>
      </c>
      <c r="AG155" s="307">
        <v>2.146404</v>
      </c>
      <c r="AH155" s="307">
        <v>2.5127410000000001</v>
      </c>
      <c r="AI155" s="307">
        <v>2.3802599999999998</v>
      </c>
      <c r="AJ155" s="307">
        <v>2.345361</v>
      </c>
      <c r="AK155" s="307">
        <v>1.8519890000000001</v>
      </c>
      <c r="AL155" s="307">
        <v>1.96268</v>
      </c>
      <c r="AM155" s="307">
        <v>2.4631479999999999</v>
      </c>
      <c r="AN155" s="307">
        <v>2.35669</v>
      </c>
      <c r="AO155" s="307">
        <v>2.4955080000000001</v>
      </c>
      <c r="AP155" s="307">
        <v>1.9739420000000001</v>
      </c>
      <c r="AQ155" s="307">
        <v>0</v>
      </c>
      <c r="AR155" s="307">
        <v>1.930588</v>
      </c>
      <c r="AS155" s="307">
        <v>2.347159</v>
      </c>
      <c r="AT155" s="307">
        <v>2.2155290000000001</v>
      </c>
      <c r="AU155" s="307">
        <v>1.7852440000000001</v>
      </c>
      <c r="AV155" s="307">
        <v>2.1826400000000001</v>
      </c>
      <c r="AW155" s="307">
        <v>1.7903230000000001</v>
      </c>
      <c r="AX155" s="307">
        <v>0</v>
      </c>
      <c r="AY155" s="307">
        <v>2.2272850000000002</v>
      </c>
      <c r="AZ155" s="307">
        <v>0</v>
      </c>
      <c r="BA155" s="307">
        <v>1.9406540000000001</v>
      </c>
      <c r="BB155" s="307">
        <v>2.3623799999999999</v>
      </c>
      <c r="BC155" s="307">
        <v>2.2750219999999999</v>
      </c>
      <c r="BD155" s="307">
        <v>2.0391940000000002</v>
      </c>
      <c r="BE155" s="307">
        <v>2.0420690000000001</v>
      </c>
      <c r="BF155" s="307">
        <v>2.250267</v>
      </c>
      <c r="BG155" s="307">
        <v>2.070538</v>
      </c>
      <c r="BH155" s="307">
        <v>2.057601</v>
      </c>
      <c r="BI155" s="307">
        <v>1.8898999999999999</v>
      </c>
      <c r="BJ155" s="307">
        <v>2.1904669999999999</v>
      </c>
      <c r="BK155" s="307">
        <v>1.9608760000000001</v>
      </c>
      <c r="BL155">
        <f t="shared" si="8"/>
        <v>8</v>
      </c>
      <c r="BM155">
        <f t="shared" si="9"/>
        <v>2.1913203962264154</v>
      </c>
      <c r="BN155">
        <f t="shared" si="10"/>
        <v>3.3132000000000001</v>
      </c>
      <c r="BO155">
        <f t="array" ref="BO155">MIN(IF($C155:$BK155&gt;0, $C155:$BK155))</f>
        <v>1.3152250000000001</v>
      </c>
      <c r="BP155">
        <f t="shared" si="11"/>
        <v>2.084314</v>
      </c>
    </row>
    <row r="156" spans="1:68" x14ac:dyDescent="0.25">
      <c r="A156" s="306">
        <v>327320</v>
      </c>
      <c r="B156" s="307" t="s">
        <v>142</v>
      </c>
      <c r="C156" s="307">
        <v>4.1610290000000001</v>
      </c>
      <c r="D156" s="307">
        <v>4.6877589999999998</v>
      </c>
      <c r="E156" s="307">
        <v>4.4952550000000002</v>
      </c>
      <c r="F156" s="307">
        <v>4.9859660000000003</v>
      </c>
      <c r="G156" s="307">
        <v>3.975854</v>
      </c>
      <c r="H156" s="307">
        <v>3.6250559999999998</v>
      </c>
      <c r="I156" s="307">
        <v>3.8483209999999999</v>
      </c>
      <c r="J156" s="307">
        <v>3.4631720000000001</v>
      </c>
      <c r="K156" s="307">
        <v>1.8531310000000001</v>
      </c>
      <c r="L156" s="307">
        <v>3.8389229999999999</v>
      </c>
      <c r="M156" s="307">
        <v>3.7112470000000002</v>
      </c>
      <c r="N156" s="307">
        <v>4.4580539999999997</v>
      </c>
      <c r="O156" s="307">
        <v>3.388525</v>
      </c>
      <c r="P156" s="307">
        <v>4.8349339999999996</v>
      </c>
      <c r="Q156" s="307">
        <v>4.6843919999999999</v>
      </c>
      <c r="R156" s="307">
        <v>3.2441049999999998</v>
      </c>
      <c r="S156" s="307">
        <v>3.9328249999999998</v>
      </c>
      <c r="T156" s="307">
        <v>4.6703479999999997</v>
      </c>
      <c r="U156" s="307">
        <v>4.6800329999999999</v>
      </c>
      <c r="V156" s="307">
        <v>4.0548190000000002</v>
      </c>
      <c r="W156" s="307">
        <v>3.1619830000000002</v>
      </c>
      <c r="X156" s="307">
        <v>3.5398320000000001</v>
      </c>
      <c r="Y156" s="307">
        <v>5.1512289999999998</v>
      </c>
      <c r="Z156" s="307">
        <v>3.8703110000000001</v>
      </c>
      <c r="AA156" s="307">
        <v>3.718747</v>
      </c>
      <c r="AB156" s="307">
        <v>4.5657389999999998</v>
      </c>
      <c r="AC156" s="307">
        <v>4.6402289999999997</v>
      </c>
      <c r="AD156" s="307">
        <v>5.3010120000000001</v>
      </c>
      <c r="AE156" s="307">
        <v>4.6042550000000002</v>
      </c>
      <c r="AF156" s="307">
        <v>4.2524499999999996</v>
      </c>
      <c r="AG156" s="307">
        <v>4.7734589999999999</v>
      </c>
      <c r="AH156" s="307">
        <v>3.2404950000000001</v>
      </c>
      <c r="AI156" s="307">
        <v>3.3662890000000001</v>
      </c>
      <c r="AJ156" s="307">
        <v>5.2106779999999997</v>
      </c>
      <c r="AK156" s="307">
        <v>3.751261</v>
      </c>
      <c r="AL156" s="307">
        <v>3.6535060000000001</v>
      </c>
      <c r="AM156" s="307">
        <v>4.3713930000000003</v>
      </c>
      <c r="AN156" s="307">
        <v>5.2273649999999998</v>
      </c>
      <c r="AO156" s="307">
        <v>4.4764160000000004</v>
      </c>
      <c r="AP156" s="307">
        <v>4.499803</v>
      </c>
      <c r="AQ156" s="307">
        <v>3.5983700000000001</v>
      </c>
      <c r="AR156" s="307">
        <v>4.1210509999999996</v>
      </c>
      <c r="AS156" s="307">
        <v>4.9651860000000001</v>
      </c>
      <c r="AT156" s="307">
        <v>4.8913440000000001</v>
      </c>
      <c r="AU156" s="307">
        <v>3.74105</v>
      </c>
      <c r="AV156" s="307">
        <v>4.0081860000000002</v>
      </c>
      <c r="AW156" s="307">
        <v>4.0338180000000001</v>
      </c>
      <c r="AX156" s="307">
        <v>4.2895950000000003</v>
      </c>
      <c r="AY156" s="307">
        <v>3.8532440000000001</v>
      </c>
      <c r="AZ156" s="307">
        <v>4.2395829999999997</v>
      </c>
      <c r="BA156" s="307">
        <v>4.3277060000000001</v>
      </c>
      <c r="BB156" s="307">
        <v>4.4398949999999999</v>
      </c>
      <c r="BC156" s="307">
        <v>3.8804820000000002</v>
      </c>
      <c r="BD156" s="307">
        <v>4.0286390000000001</v>
      </c>
      <c r="BE156" s="307">
        <v>3.9207800000000002</v>
      </c>
      <c r="BF156" s="307">
        <v>4.6040289999999997</v>
      </c>
      <c r="BG156" s="307">
        <v>4.1194259999999998</v>
      </c>
      <c r="BH156" s="307">
        <v>4.7382530000000003</v>
      </c>
      <c r="BI156" s="307">
        <v>4.0075419999999999</v>
      </c>
      <c r="BJ156" s="307">
        <v>4.1416040000000001</v>
      </c>
      <c r="BK156" s="307">
        <v>3.767754</v>
      </c>
      <c r="BL156">
        <f t="shared" si="8"/>
        <v>0</v>
      </c>
      <c r="BM156">
        <f t="shared" si="9"/>
        <v>4.158815360655737</v>
      </c>
      <c r="BN156">
        <f t="shared" si="10"/>
        <v>5.3010120000000001</v>
      </c>
      <c r="BO156">
        <f t="array" ref="BO156">MIN(IF($C156:$BK156&gt;0, $C156:$BK156))</f>
        <v>1.8531310000000001</v>
      </c>
      <c r="BP156">
        <f t="shared" si="11"/>
        <v>4.1210509999999996</v>
      </c>
    </row>
    <row r="157" spans="1:68" x14ac:dyDescent="0.25">
      <c r="A157" s="306">
        <v>327330</v>
      </c>
      <c r="B157" s="307" t="s">
        <v>143</v>
      </c>
      <c r="C157" s="307">
        <v>5.17666</v>
      </c>
      <c r="D157" s="307">
        <v>5.1689550000000004</v>
      </c>
      <c r="E157" s="307">
        <v>5.4782760000000001</v>
      </c>
      <c r="F157" s="307">
        <v>6.2719630000000004</v>
      </c>
      <c r="G157" s="307">
        <v>5.172193</v>
      </c>
      <c r="H157" s="307">
        <v>4.7115669999999996</v>
      </c>
      <c r="I157" s="307">
        <v>4.9414160000000003</v>
      </c>
      <c r="J157" s="307">
        <v>4.8475390000000003</v>
      </c>
      <c r="K157" s="307">
        <v>0</v>
      </c>
      <c r="L157" s="307">
        <v>5.2796760000000003</v>
      </c>
      <c r="M157" s="307">
        <v>5.426075</v>
      </c>
      <c r="N157" s="307">
        <v>5.594894</v>
      </c>
      <c r="O157" s="307">
        <v>4.3018999999999998</v>
      </c>
      <c r="P157" s="307">
        <v>4.9097350000000004</v>
      </c>
      <c r="Q157" s="307">
        <v>6.6205639999999999</v>
      </c>
      <c r="R157" s="307">
        <v>4.5512439999999996</v>
      </c>
      <c r="S157" s="307">
        <v>4.8502349999999996</v>
      </c>
      <c r="T157" s="307">
        <v>5.8466639999999996</v>
      </c>
      <c r="U157" s="307">
        <v>5.8891720000000003</v>
      </c>
      <c r="V157" s="307">
        <v>6.4517639999999998</v>
      </c>
      <c r="W157" s="307">
        <v>4.8020659999999999</v>
      </c>
      <c r="X157" s="307">
        <v>4.6246400000000003</v>
      </c>
      <c r="Y157" s="307">
        <v>5.8646180000000001</v>
      </c>
      <c r="Z157" s="307">
        <v>4.7039879999999998</v>
      </c>
      <c r="AA157" s="307">
        <v>4.8910619999999998</v>
      </c>
      <c r="AB157" s="307">
        <v>5.0118590000000003</v>
      </c>
      <c r="AC157" s="307">
        <v>6.3542399999999999</v>
      </c>
      <c r="AD157" s="307">
        <v>6.2062879999999998</v>
      </c>
      <c r="AE157" s="307">
        <v>4.4486160000000003</v>
      </c>
      <c r="AF157" s="307">
        <v>4.7255779999999996</v>
      </c>
      <c r="AG157" s="307">
        <v>5.5831869999999997</v>
      </c>
      <c r="AH157" s="307">
        <v>5.1742220000000003</v>
      </c>
      <c r="AI157" s="307">
        <v>4.0977269999999999</v>
      </c>
      <c r="AJ157" s="307">
        <v>6.1678369999999996</v>
      </c>
      <c r="AK157" s="307">
        <v>4.8170130000000002</v>
      </c>
      <c r="AL157" s="307">
        <v>4.4795949999999998</v>
      </c>
      <c r="AM157" s="307">
        <v>5.4528449999999999</v>
      </c>
      <c r="AN157" s="307">
        <v>6.1907379999999996</v>
      </c>
      <c r="AO157" s="307">
        <v>5.9490280000000002</v>
      </c>
      <c r="AP157" s="307">
        <v>5.329758</v>
      </c>
      <c r="AQ157" s="307">
        <v>5.1841689999999998</v>
      </c>
      <c r="AR157" s="307">
        <v>5.1294409999999999</v>
      </c>
      <c r="AS157" s="307">
        <v>6.4536199999999999</v>
      </c>
      <c r="AT157" s="307">
        <v>5.2646090000000001</v>
      </c>
      <c r="AU157" s="307">
        <v>4.3371630000000003</v>
      </c>
      <c r="AV157" s="307">
        <v>4.7340520000000001</v>
      </c>
      <c r="AW157" s="307">
        <v>5.0334500000000002</v>
      </c>
      <c r="AX157" s="307">
        <v>4.9089970000000003</v>
      </c>
      <c r="AY157" s="307">
        <v>5.3375310000000002</v>
      </c>
      <c r="AZ157" s="307">
        <v>4.4034009999999997</v>
      </c>
      <c r="BA157" s="307">
        <v>5.4438180000000003</v>
      </c>
      <c r="BB157" s="307">
        <v>6.6165750000000001</v>
      </c>
      <c r="BC157" s="307">
        <v>5.3946889999999996</v>
      </c>
      <c r="BD157" s="307">
        <v>4.8372770000000003</v>
      </c>
      <c r="BE157" s="307">
        <v>5.0440230000000001</v>
      </c>
      <c r="BF157" s="307">
        <v>5.3678220000000003</v>
      </c>
      <c r="BG157" s="307">
        <v>5.1529210000000001</v>
      </c>
      <c r="BH157" s="307">
        <v>5.689864</v>
      </c>
      <c r="BI157" s="307">
        <v>4.7366000000000001</v>
      </c>
      <c r="BJ157" s="307">
        <v>5.1951330000000002</v>
      </c>
      <c r="BK157" s="307">
        <v>4.9065079999999996</v>
      </c>
      <c r="BL157">
        <f t="shared" si="8"/>
        <v>1</v>
      </c>
      <c r="BM157">
        <f t="shared" si="9"/>
        <v>5.2589509999999979</v>
      </c>
      <c r="BN157">
        <f t="shared" si="10"/>
        <v>6.6205639999999999</v>
      </c>
      <c r="BO157">
        <f t="array" ref="BO157">MIN(IF($C157:$BK157&gt;0, $C157:$BK157))</f>
        <v>4.0977269999999999</v>
      </c>
      <c r="BP157">
        <f t="shared" si="11"/>
        <v>5.172193</v>
      </c>
    </row>
    <row r="158" spans="1:68" x14ac:dyDescent="0.25">
      <c r="A158" s="306">
        <v>327390</v>
      </c>
      <c r="B158" s="307" t="s">
        <v>144</v>
      </c>
      <c r="C158" s="307">
        <v>6.6347899999999997</v>
      </c>
      <c r="D158" s="307">
        <v>7.7182250000000003</v>
      </c>
      <c r="E158" s="307">
        <v>7.4593730000000003</v>
      </c>
      <c r="F158" s="307">
        <v>7.5748300000000004</v>
      </c>
      <c r="G158" s="307">
        <v>6.3957420000000003</v>
      </c>
      <c r="H158" s="307">
        <v>6.0992439999999997</v>
      </c>
      <c r="I158" s="307">
        <v>6.3453200000000001</v>
      </c>
      <c r="J158" s="307">
        <v>5.232488</v>
      </c>
      <c r="K158" s="307">
        <v>0</v>
      </c>
      <c r="L158" s="307">
        <v>6.4619039999999996</v>
      </c>
      <c r="M158" s="307">
        <v>7.0491359999999998</v>
      </c>
      <c r="N158" s="307">
        <v>6.1724550000000002</v>
      </c>
      <c r="O158" s="307">
        <v>5.4313010000000004</v>
      </c>
      <c r="P158" s="307">
        <v>7.5790170000000003</v>
      </c>
      <c r="Q158" s="307">
        <v>7.9957830000000003</v>
      </c>
      <c r="R158" s="307">
        <v>5.6681629999999998</v>
      </c>
      <c r="S158" s="307">
        <v>6.6972040000000002</v>
      </c>
      <c r="T158" s="307">
        <v>6.7697529999999997</v>
      </c>
      <c r="U158" s="307">
        <v>7.1226130000000003</v>
      </c>
      <c r="V158" s="307">
        <v>6.8953980000000001</v>
      </c>
      <c r="W158" s="307">
        <v>5.2550319999999999</v>
      </c>
      <c r="X158" s="307">
        <v>5.3907480000000003</v>
      </c>
      <c r="Y158" s="307">
        <v>6.8125119999999999</v>
      </c>
      <c r="Z158" s="307">
        <v>5.4345470000000002</v>
      </c>
      <c r="AA158" s="307">
        <v>5.8665630000000002</v>
      </c>
      <c r="AB158" s="307">
        <v>7.429303</v>
      </c>
      <c r="AC158" s="307">
        <v>6.6081770000000004</v>
      </c>
      <c r="AD158" s="307">
        <v>8.0536189999999994</v>
      </c>
      <c r="AE158" s="307">
        <v>7.2219329999999999</v>
      </c>
      <c r="AF158" s="307">
        <v>5.826441</v>
      </c>
      <c r="AG158" s="307">
        <v>7.7276809999999996</v>
      </c>
      <c r="AH158" s="307">
        <v>5.3599949999999996</v>
      </c>
      <c r="AI158" s="307">
        <v>5.8040969999999996</v>
      </c>
      <c r="AJ158" s="307">
        <v>7.916258</v>
      </c>
      <c r="AK158" s="307">
        <v>6.1107529999999999</v>
      </c>
      <c r="AL158" s="307">
        <v>5.770302</v>
      </c>
      <c r="AM158" s="307">
        <v>6.8353919999999997</v>
      </c>
      <c r="AN158" s="307">
        <v>7.9104479999999997</v>
      </c>
      <c r="AO158" s="307">
        <v>7.1378969999999997</v>
      </c>
      <c r="AP158" s="307">
        <v>6.4430949999999996</v>
      </c>
      <c r="AQ158" s="307">
        <v>5.2898110000000003</v>
      </c>
      <c r="AR158" s="307">
        <v>5.2914190000000003</v>
      </c>
      <c r="AS158" s="307">
        <v>6.8416860000000002</v>
      </c>
      <c r="AT158" s="307">
        <v>5.896064</v>
      </c>
      <c r="AU158" s="307">
        <v>6.62819</v>
      </c>
      <c r="AV158" s="307">
        <v>7.4878489999999998</v>
      </c>
      <c r="AW158" s="307">
        <v>5.8965949999999996</v>
      </c>
      <c r="AX158" s="307">
        <v>7.2253080000000001</v>
      </c>
      <c r="AY158" s="307">
        <v>6.6003540000000003</v>
      </c>
      <c r="AZ158" s="307">
        <v>6.100339</v>
      </c>
      <c r="BA158" s="307">
        <v>6.5748369999999996</v>
      </c>
      <c r="BB158" s="307">
        <v>6.4195539999999998</v>
      </c>
      <c r="BC158" s="307">
        <v>5.9224670000000001</v>
      </c>
      <c r="BD158" s="307">
        <v>6.3548580000000001</v>
      </c>
      <c r="BE158" s="307">
        <v>6.304405</v>
      </c>
      <c r="BF158" s="307">
        <v>7.0580590000000001</v>
      </c>
      <c r="BG158" s="307">
        <v>6.5256090000000002</v>
      </c>
      <c r="BH158" s="307">
        <v>6.5454270000000001</v>
      </c>
      <c r="BI158" s="307">
        <v>6.8773220000000004</v>
      </c>
      <c r="BJ158" s="307">
        <v>6.7426060000000003</v>
      </c>
      <c r="BK158" s="307">
        <v>6.2775740000000004</v>
      </c>
      <c r="BL158">
        <f t="shared" si="8"/>
        <v>1</v>
      </c>
      <c r="BM158">
        <f t="shared" si="9"/>
        <v>6.5512977499999998</v>
      </c>
      <c r="BN158">
        <f t="shared" si="10"/>
        <v>8.0536189999999994</v>
      </c>
      <c r="BO158">
        <f t="array" ref="BO158">MIN(IF($C158:$BK158&gt;0, $C158:$BK158))</f>
        <v>5.232488</v>
      </c>
      <c r="BP158">
        <f t="shared" si="11"/>
        <v>6.5454270000000001</v>
      </c>
    </row>
    <row r="159" spans="1:68" x14ac:dyDescent="0.25">
      <c r="A159" s="306" t="s">
        <v>720</v>
      </c>
      <c r="B159" s="307" t="s">
        <v>145</v>
      </c>
      <c r="C159" s="307">
        <v>2.9214150000000001</v>
      </c>
      <c r="D159" s="307">
        <v>0</v>
      </c>
      <c r="E159" s="307">
        <v>2.6268639999999999</v>
      </c>
      <c r="F159" s="307">
        <v>2.9994130000000001</v>
      </c>
      <c r="G159" s="307">
        <v>3.1651180000000001</v>
      </c>
      <c r="H159" s="307">
        <v>2.9965470000000001</v>
      </c>
      <c r="I159" s="307">
        <v>2.774546</v>
      </c>
      <c r="J159" s="307">
        <v>2.5162710000000001</v>
      </c>
      <c r="K159" s="307">
        <v>0</v>
      </c>
      <c r="L159" s="307">
        <v>3.285485</v>
      </c>
      <c r="M159" s="307">
        <v>2.9056299999999999</v>
      </c>
      <c r="N159" s="307">
        <v>2.4064049999999999</v>
      </c>
      <c r="O159" s="307">
        <v>0</v>
      </c>
      <c r="P159" s="307">
        <v>2.7870729999999999</v>
      </c>
      <c r="Q159" s="307">
        <v>3.6072199999999999</v>
      </c>
      <c r="R159" s="307">
        <v>2.473252</v>
      </c>
      <c r="S159" s="307">
        <v>2.8373499999999998</v>
      </c>
      <c r="T159" s="307">
        <v>3.0779700000000001</v>
      </c>
      <c r="U159" s="307">
        <v>2.4197479999999998</v>
      </c>
      <c r="V159" s="307">
        <v>2.977271</v>
      </c>
      <c r="W159" s="307">
        <v>3.6954929999999999</v>
      </c>
      <c r="X159" s="307">
        <v>2.3518979999999998</v>
      </c>
      <c r="Y159" s="307">
        <v>0</v>
      </c>
      <c r="Z159" s="307">
        <v>3.0578859999999999</v>
      </c>
      <c r="AA159" s="307">
        <v>0</v>
      </c>
      <c r="AB159" s="307">
        <v>2.4015550000000001</v>
      </c>
      <c r="AC159" s="307">
        <v>3.9016060000000001</v>
      </c>
      <c r="AD159" s="307">
        <v>4.0946959999999999</v>
      </c>
      <c r="AE159" s="307">
        <v>3.6323910000000001</v>
      </c>
      <c r="AF159" s="307">
        <v>0</v>
      </c>
      <c r="AG159" s="307">
        <v>3.9433820000000002</v>
      </c>
      <c r="AH159" s="307">
        <v>2.6734110000000002</v>
      </c>
      <c r="AI159" s="307">
        <v>2.3467099999999999</v>
      </c>
      <c r="AJ159" s="307">
        <v>3.4873099999999999</v>
      </c>
      <c r="AK159" s="307">
        <v>2.8532320000000002</v>
      </c>
      <c r="AL159" s="307">
        <v>2.5975459999999999</v>
      </c>
      <c r="AM159" s="307">
        <v>2.943546</v>
      </c>
      <c r="AN159" s="307">
        <v>3.2888160000000002</v>
      </c>
      <c r="AO159" s="307">
        <v>3.1903820000000001</v>
      </c>
      <c r="AP159" s="307">
        <v>2.8493490000000001</v>
      </c>
      <c r="AQ159" s="307">
        <v>0</v>
      </c>
      <c r="AR159" s="307">
        <v>2.923003</v>
      </c>
      <c r="AS159" s="307">
        <v>2.2568570000000001</v>
      </c>
      <c r="AT159" s="307">
        <v>2.4614020000000001</v>
      </c>
      <c r="AU159" s="307">
        <v>3.0453109999999999</v>
      </c>
      <c r="AV159" s="307">
        <v>3.301936</v>
      </c>
      <c r="AW159" s="307">
        <v>2.7305839999999999</v>
      </c>
      <c r="AX159" s="307">
        <v>0</v>
      </c>
      <c r="AY159" s="307">
        <v>2.979476</v>
      </c>
      <c r="AZ159" s="307">
        <v>2.8048980000000001</v>
      </c>
      <c r="BA159" s="307">
        <v>2.524143</v>
      </c>
      <c r="BB159" s="307">
        <v>2.9754480000000001</v>
      </c>
      <c r="BC159" s="307">
        <v>2.8695210000000002</v>
      </c>
      <c r="BD159" s="307">
        <v>2.7478039999999999</v>
      </c>
      <c r="BE159" s="307">
        <v>2.8664939999999999</v>
      </c>
      <c r="BF159" s="307">
        <v>2.7419150000000001</v>
      </c>
      <c r="BG159" s="307">
        <v>2.7255500000000001</v>
      </c>
      <c r="BH159" s="307">
        <v>2.5784889999999998</v>
      </c>
      <c r="BI159" s="307">
        <v>3.1201759999999998</v>
      </c>
      <c r="BJ159" s="307">
        <v>3.078408</v>
      </c>
      <c r="BK159" s="307">
        <v>3.03104</v>
      </c>
      <c r="BL159">
        <f t="shared" si="8"/>
        <v>8</v>
      </c>
      <c r="BM159">
        <f t="shared" si="9"/>
        <v>2.9405517358490552</v>
      </c>
      <c r="BN159">
        <f t="shared" si="10"/>
        <v>4.0946959999999999</v>
      </c>
      <c r="BO159">
        <f t="array" ref="BO159">MIN(IF($C159:$BK159&gt;0, $C159:$BK159))</f>
        <v>2.2568570000000001</v>
      </c>
      <c r="BP159">
        <f t="shared" si="11"/>
        <v>2.8493490000000001</v>
      </c>
    </row>
    <row r="160" spans="1:68" x14ac:dyDescent="0.25">
      <c r="A160" s="306">
        <v>327910</v>
      </c>
      <c r="B160" s="307" t="s">
        <v>146</v>
      </c>
      <c r="C160" s="307">
        <v>4.7410589999999999</v>
      </c>
      <c r="D160" s="307">
        <v>0</v>
      </c>
      <c r="E160" s="307">
        <v>3.4955210000000001</v>
      </c>
      <c r="F160" s="307">
        <v>4.4241919999999997</v>
      </c>
      <c r="G160" s="307">
        <v>3.6343390000000002</v>
      </c>
      <c r="H160" s="307">
        <v>5.3184069999999997</v>
      </c>
      <c r="I160" s="307">
        <v>5.3896309999999996</v>
      </c>
      <c r="J160" s="307">
        <v>3.2876970000000001</v>
      </c>
      <c r="K160" s="307">
        <v>0</v>
      </c>
      <c r="L160" s="307">
        <v>0</v>
      </c>
      <c r="M160" s="307">
        <v>6.526834</v>
      </c>
      <c r="N160" s="307">
        <v>6.1847209999999997</v>
      </c>
      <c r="O160" s="307">
        <v>0</v>
      </c>
      <c r="P160" s="307">
        <v>4.8996279999999999</v>
      </c>
      <c r="Q160" s="307">
        <v>6.5363709999999999</v>
      </c>
      <c r="R160" s="307">
        <v>4.3867209999999996</v>
      </c>
      <c r="S160" s="307">
        <v>6.2250870000000003</v>
      </c>
      <c r="T160" s="307">
        <v>5.7714610000000004</v>
      </c>
      <c r="U160" s="307">
        <v>6.1462669999999999</v>
      </c>
      <c r="V160" s="307">
        <v>4.7017259999999998</v>
      </c>
      <c r="W160" s="307">
        <v>3.2149899999999998</v>
      </c>
      <c r="X160" s="307">
        <v>3.0512869999999999</v>
      </c>
      <c r="Y160" s="307">
        <v>0</v>
      </c>
      <c r="Z160" s="307">
        <v>4.6143679999999998</v>
      </c>
      <c r="AA160" s="307">
        <v>4.447838</v>
      </c>
      <c r="AB160" s="307">
        <v>4.3996440000000003</v>
      </c>
      <c r="AC160" s="307">
        <v>3.7557140000000002</v>
      </c>
      <c r="AD160" s="307">
        <v>0</v>
      </c>
      <c r="AE160" s="307">
        <v>6.250648</v>
      </c>
      <c r="AF160" s="307">
        <v>0</v>
      </c>
      <c r="AG160" s="307">
        <v>0</v>
      </c>
      <c r="AH160" s="307">
        <v>3.063977</v>
      </c>
      <c r="AI160" s="307">
        <v>4.8194629999999998</v>
      </c>
      <c r="AJ160" s="307">
        <v>0</v>
      </c>
      <c r="AK160" s="307">
        <v>0</v>
      </c>
      <c r="AL160" s="307">
        <v>4.5412340000000002</v>
      </c>
      <c r="AM160" s="307">
        <v>5.5572379999999999</v>
      </c>
      <c r="AN160" s="307">
        <v>0</v>
      </c>
      <c r="AO160" s="307">
        <v>3.993805</v>
      </c>
      <c r="AP160" s="307">
        <v>4.6280359999999998</v>
      </c>
      <c r="AQ160" s="307">
        <v>2.726842</v>
      </c>
      <c r="AR160" s="307">
        <v>6.296278</v>
      </c>
      <c r="AS160" s="307">
        <v>0</v>
      </c>
      <c r="AT160" s="307">
        <v>6.2312110000000001</v>
      </c>
      <c r="AU160" s="307">
        <v>5.1669919999999996</v>
      </c>
      <c r="AV160" s="307">
        <v>4.2035010000000002</v>
      </c>
      <c r="AW160" s="307">
        <v>4.7408859999999997</v>
      </c>
      <c r="AX160" s="307">
        <v>4.7365729999999999</v>
      </c>
      <c r="AY160" s="307">
        <v>5.2365199999999996</v>
      </c>
      <c r="AZ160" s="307">
        <v>4.7698660000000004</v>
      </c>
      <c r="BA160" s="307">
        <v>0</v>
      </c>
      <c r="BB160" s="307">
        <v>0</v>
      </c>
      <c r="BC160" s="307">
        <v>3.4957240000000001</v>
      </c>
      <c r="BD160" s="307">
        <v>4.737609</v>
      </c>
      <c r="BE160" s="307">
        <v>4.9608439999999998</v>
      </c>
      <c r="BF160" s="307">
        <v>4.5692029999999999</v>
      </c>
      <c r="BG160" s="307">
        <v>5.7113969999999998</v>
      </c>
      <c r="BH160" s="307">
        <v>4.3329779999999998</v>
      </c>
      <c r="BI160" s="307">
        <v>5.1343620000000003</v>
      </c>
      <c r="BJ160" s="307">
        <v>4.1904440000000003</v>
      </c>
      <c r="BK160" s="307">
        <v>4.9688629999999998</v>
      </c>
      <c r="BL160">
        <f t="shared" si="8"/>
        <v>14</v>
      </c>
      <c r="BM160">
        <f t="shared" si="9"/>
        <v>4.7705956808510646</v>
      </c>
      <c r="BN160">
        <f t="shared" si="10"/>
        <v>6.5363709999999999</v>
      </c>
      <c r="BO160">
        <f t="array" ref="BO160">MIN(IF($C160:$BK160&gt;0, $C160:$BK160))</f>
        <v>2.726842</v>
      </c>
      <c r="BP160">
        <f t="shared" si="11"/>
        <v>4.447838</v>
      </c>
    </row>
    <row r="161" spans="1:68" x14ac:dyDescent="0.25">
      <c r="A161" s="306">
        <v>327991</v>
      </c>
      <c r="B161" s="307" t="s">
        <v>147</v>
      </c>
      <c r="C161" s="307">
        <v>9.1807060000000007</v>
      </c>
      <c r="D161" s="307">
        <v>11.41226</v>
      </c>
      <c r="E161" s="307">
        <v>10.631779999999999</v>
      </c>
      <c r="F161" s="307">
        <v>11.200150000000001</v>
      </c>
      <c r="G161" s="307">
        <v>10.52252</v>
      </c>
      <c r="H161" s="307">
        <v>8.8044220000000006</v>
      </c>
      <c r="I161" s="307">
        <v>8.5488579999999992</v>
      </c>
      <c r="J161" s="307">
        <v>7.1536369999999998</v>
      </c>
      <c r="K161" s="307">
        <v>0</v>
      </c>
      <c r="L161" s="307">
        <v>7.3417180000000002</v>
      </c>
      <c r="M161" s="307">
        <v>8.8765009999999993</v>
      </c>
      <c r="N161" s="307">
        <v>9.6873459999999998</v>
      </c>
      <c r="O161" s="307">
        <v>8.8754670000000004</v>
      </c>
      <c r="P161" s="307">
        <v>9.9233519999999995</v>
      </c>
      <c r="Q161" s="307">
        <v>11.82184</v>
      </c>
      <c r="R161" s="307">
        <v>7.4575969999999998</v>
      </c>
      <c r="S161" s="307">
        <v>7.9011449999999996</v>
      </c>
      <c r="T161" s="307">
        <v>8.853847</v>
      </c>
      <c r="U161" s="307">
        <v>9.4629740000000009</v>
      </c>
      <c r="V161" s="307">
        <v>11.282679999999999</v>
      </c>
      <c r="W161" s="307">
        <v>6.8506910000000003</v>
      </c>
      <c r="X161" s="307">
        <v>7.4929560000000004</v>
      </c>
      <c r="Y161" s="307">
        <v>8.7947249999999997</v>
      </c>
      <c r="Z161" s="307">
        <v>9.1176549999999992</v>
      </c>
      <c r="AA161" s="307">
        <v>8.6953259999999997</v>
      </c>
      <c r="AB161" s="307">
        <v>9.0772569999999995</v>
      </c>
      <c r="AC161" s="307">
        <v>11.346679999999999</v>
      </c>
      <c r="AD161" s="307">
        <v>11.184889999999999</v>
      </c>
      <c r="AE161" s="307">
        <v>10.021610000000001</v>
      </c>
      <c r="AF161" s="307">
        <v>9.6724820000000005</v>
      </c>
      <c r="AG161" s="307">
        <v>11.468</v>
      </c>
      <c r="AH161" s="307">
        <v>6.6396569999999997</v>
      </c>
      <c r="AI161" s="307">
        <v>7.0732949999999999</v>
      </c>
      <c r="AJ161" s="307">
        <v>10.48743</v>
      </c>
      <c r="AK161" s="307">
        <v>7.3563599999999996</v>
      </c>
      <c r="AL161" s="307">
        <v>8.1660179999999993</v>
      </c>
      <c r="AM161" s="307">
        <v>9.0354080000000003</v>
      </c>
      <c r="AN161" s="307">
        <v>10.46679</v>
      </c>
      <c r="AO161" s="307">
        <v>9.8163199999999993</v>
      </c>
      <c r="AP161" s="307">
        <v>9.2224109999999992</v>
      </c>
      <c r="AQ161" s="307">
        <v>6.9074350000000004</v>
      </c>
      <c r="AR161" s="307">
        <v>10.111330000000001</v>
      </c>
      <c r="AS161" s="307">
        <v>8.2850479999999997</v>
      </c>
      <c r="AT161" s="307">
        <v>10.197319999999999</v>
      </c>
      <c r="AU161" s="307">
        <v>8.9789569999999994</v>
      </c>
      <c r="AV161" s="307">
        <v>10.05842</v>
      </c>
      <c r="AW161" s="307">
        <v>7.9683330000000003</v>
      </c>
      <c r="AX161" s="307">
        <v>7.8505180000000001</v>
      </c>
      <c r="AY161" s="307">
        <v>9.2314000000000007</v>
      </c>
      <c r="AZ161" s="307">
        <v>8.9861310000000003</v>
      </c>
      <c r="BA161" s="307">
        <v>9.7215799999999994</v>
      </c>
      <c r="BB161" s="307">
        <v>11.81479</v>
      </c>
      <c r="BC161" s="307">
        <v>7.9243980000000001</v>
      </c>
      <c r="BD161" s="307">
        <v>8.4997229999999995</v>
      </c>
      <c r="BE161" s="307">
        <v>8.6289320000000007</v>
      </c>
      <c r="BF161" s="307">
        <v>9.1362819999999996</v>
      </c>
      <c r="BG161" s="307">
        <v>9.3461359999999996</v>
      </c>
      <c r="BH161" s="307">
        <v>10.426220000000001</v>
      </c>
      <c r="BI161" s="307">
        <v>9.4570830000000008</v>
      </c>
      <c r="BJ161" s="307">
        <v>9.098649</v>
      </c>
      <c r="BK161" s="307">
        <v>9.0655020000000004</v>
      </c>
      <c r="BL161">
        <f t="shared" si="8"/>
        <v>1</v>
      </c>
      <c r="BM161">
        <f t="shared" si="9"/>
        <v>9.2103158000000018</v>
      </c>
      <c r="BN161">
        <f t="shared" si="10"/>
        <v>11.82184</v>
      </c>
      <c r="BO161">
        <f t="array" ref="BO161">MIN(IF($C161:$BK161&gt;0, $C161:$BK161))</f>
        <v>6.6396569999999997</v>
      </c>
      <c r="BP161">
        <f t="shared" si="11"/>
        <v>9.098649</v>
      </c>
    </row>
    <row r="162" spans="1:68" x14ac:dyDescent="0.25">
      <c r="A162" s="306">
        <v>327992</v>
      </c>
      <c r="B162" s="307" t="s">
        <v>148</v>
      </c>
      <c r="C162" s="307">
        <v>2.403327</v>
      </c>
      <c r="D162" s="307">
        <v>0</v>
      </c>
      <c r="E162" s="307">
        <v>3.1254680000000001</v>
      </c>
      <c r="F162" s="307">
        <v>2.35995</v>
      </c>
      <c r="G162" s="307">
        <v>4.2717179999999999</v>
      </c>
      <c r="H162" s="307">
        <v>2.973001</v>
      </c>
      <c r="I162" s="307">
        <v>4.307766</v>
      </c>
      <c r="J162" s="307">
        <v>0</v>
      </c>
      <c r="K162" s="307">
        <v>0</v>
      </c>
      <c r="L162" s="307">
        <v>0</v>
      </c>
      <c r="M162" s="307">
        <v>2.9757750000000001</v>
      </c>
      <c r="N162" s="307">
        <v>2.602989</v>
      </c>
      <c r="O162" s="307">
        <v>0</v>
      </c>
      <c r="P162" s="307">
        <v>0</v>
      </c>
      <c r="Q162" s="307">
        <v>0</v>
      </c>
      <c r="R162" s="307">
        <v>1.976769</v>
      </c>
      <c r="S162" s="307">
        <v>2.3930400000000001</v>
      </c>
      <c r="T162" s="307">
        <v>0</v>
      </c>
      <c r="U162" s="307">
        <v>3.1709909999999999</v>
      </c>
      <c r="V162" s="307">
        <v>2.3728449999999999</v>
      </c>
      <c r="W162" s="307">
        <v>2.776532</v>
      </c>
      <c r="X162" s="307">
        <v>0</v>
      </c>
      <c r="Y162" s="307">
        <v>4.2005600000000003</v>
      </c>
      <c r="Z162" s="307">
        <v>1.765579</v>
      </c>
      <c r="AA162" s="307">
        <v>2.4183400000000002</v>
      </c>
      <c r="AB162" s="307">
        <v>3.0033799999999999</v>
      </c>
      <c r="AC162" s="307">
        <v>0</v>
      </c>
      <c r="AD162" s="307">
        <v>0</v>
      </c>
      <c r="AE162" s="307">
        <v>3.076927</v>
      </c>
      <c r="AF162" s="307">
        <v>0</v>
      </c>
      <c r="AG162" s="307">
        <v>0</v>
      </c>
      <c r="AH162" s="307">
        <v>0</v>
      </c>
      <c r="AI162" s="307">
        <v>1.839316</v>
      </c>
      <c r="AJ162" s="307">
        <v>3.6690230000000001</v>
      </c>
      <c r="AK162" s="307">
        <v>4.2037519999999997</v>
      </c>
      <c r="AL162" s="307">
        <v>3.4814470000000002</v>
      </c>
      <c r="AM162" s="307">
        <v>2.4860099999999998</v>
      </c>
      <c r="AN162" s="307">
        <v>1.7726040000000001</v>
      </c>
      <c r="AO162" s="307">
        <v>4.1455950000000001</v>
      </c>
      <c r="AP162" s="307">
        <v>1.910237</v>
      </c>
      <c r="AQ162" s="307">
        <v>0</v>
      </c>
      <c r="AR162" s="307">
        <v>2.7742360000000001</v>
      </c>
      <c r="AS162" s="307">
        <v>0</v>
      </c>
      <c r="AT162" s="307">
        <v>3.995565</v>
      </c>
      <c r="AU162" s="307">
        <v>1.827034</v>
      </c>
      <c r="AV162" s="307">
        <v>0</v>
      </c>
      <c r="AW162" s="307">
        <v>3.4744419999999998</v>
      </c>
      <c r="AX162" s="307">
        <v>0</v>
      </c>
      <c r="AY162" s="307">
        <v>2.0925069999999999</v>
      </c>
      <c r="AZ162" s="307">
        <v>2.4212980000000002</v>
      </c>
      <c r="BA162" s="307">
        <v>0</v>
      </c>
      <c r="BB162" s="307">
        <v>3.7818740000000002</v>
      </c>
      <c r="BC162" s="307">
        <v>3.105788</v>
      </c>
      <c r="BD162" s="307">
        <v>2.3582010000000002</v>
      </c>
      <c r="BE162" s="307">
        <v>2.0836600000000001</v>
      </c>
      <c r="BF162" s="307">
        <v>2.9427439999999998</v>
      </c>
      <c r="BG162" s="307">
        <v>2.7477100000000001</v>
      </c>
      <c r="BH162" s="307">
        <v>3.621985</v>
      </c>
      <c r="BI162" s="307">
        <v>2.0263680000000002</v>
      </c>
      <c r="BJ162" s="307">
        <v>3.9231760000000002</v>
      </c>
      <c r="BK162" s="307">
        <v>2.351264</v>
      </c>
      <c r="BL162">
        <f t="shared" si="8"/>
        <v>19</v>
      </c>
      <c r="BM162">
        <f t="shared" si="9"/>
        <v>2.8859712619047619</v>
      </c>
      <c r="BN162">
        <f t="shared" si="10"/>
        <v>4.307766</v>
      </c>
      <c r="BO162">
        <f t="array" ref="BO162">MIN(IF($C162:$BK162&gt;0, $C162:$BK162))</f>
        <v>1.765579</v>
      </c>
      <c r="BP162">
        <f t="shared" si="11"/>
        <v>2.35995</v>
      </c>
    </row>
    <row r="163" spans="1:68" x14ac:dyDescent="0.25">
      <c r="A163" s="306">
        <v>327993</v>
      </c>
      <c r="B163" s="307" t="s">
        <v>149</v>
      </c>
      <c r="C163" s="307">
        <v>3.4736950000000002</v>
      </c>
      <c r="D163" s="307">
        <v>0</v>
      </c>
      <c r="E163" s="307">
        <v>4.4692460000000001</v>
      </c>
      <c r="F163" s="307">
        <v>5.4483870000000003</v>
      </c>
      <c r="G163" s="307">
        <v>4.4667079999999997</v>
      </c>
      <c r="H163" s="307">
        <v>3.6457090000000001</v>
      </c>
      <c r="I163" s="307">
        <v>3.7514959999999999</v>
      </c>
      <c r="J163" s="307">
        <v>5.4779520000000002</v>
      </c>
      <c r="K163" s="307">
        <v>0</v>
      </c>
      <c r="L163" s="307">
        <v>0</v>
      </c>
      <c r="M163" s="307">
        <v>3.5119590000000001</v>
      </c>
      <c r="N163" s="307">
        <v>3.3327089999999999</v>
      </c>
      <c r="O163" s="307">
        <v>4.7219810000000004</v>
      </c>
      <c r="P163" s="307">
        <v>5.4513119999999997</v>
      </c>
      <c r="Q163" s="307">
        <v>5.7511919999999996</v>
      </c>
      <c r="R163" s="307">
        <v>3.4040430000000002</v>
      </c>
      <c r="S163" s="307">
        <v>3.259541</v>
      </c>
      <c r="T163" s="307">
        <v>2.866206</v>
      </c>
      <c r="U163" s="307">
        <v>4.7253959999999999</v>
      </c>
      <c r="V163" s="307">
        <v>4.8003590000000003</v>
      </c>
      <c r="W163" s="307">
        <v>2.6264349999999999</v>
      </c>
      <c r="X163" s="307">
        <v>0</v>
      </c>
      <c r="Y163" s="307">
        <v>3.4233210000000001</v>
      </c>
      <c r="Z163" s="307">
        <v>4.0386829999999998</v>
      </c>
      <c r="AA163" s="307">
        <v>3.3646039999999999</v>
      </c>
      <c r="AB163" s="307">
        <v>3.2997049999999999</v>
      </c>
      <c r="AC163" s="307">
        <v>4.1015350000000002</v>
      </c>
      <c r="AD163" s="307">
        <v>0</v>
      </c>
      <c r="AE163" s="307">
        <v>5.1960550000000003</v>
      </c>
      <c r="AF163" s="307">
        <v>3.5640710000000002</v>
      </c>
      <c r="AG163" s="307">
        <v>5.5789359999999997</v>
      </c>
      <c r="AH163" s="307">
        <v>0</v>
      </c>
      <c r="AI163" s="307">
        <v>2.893465</v>
      </c>
      <c r="AJ163" s="307">
        <v>5.6937879999999996</v>
      </c>
      <c r="AK163" s="307">
        <v>3.675646</v>
      </c>
      <c r="AL163" s="307">
        <v>3.1203699999999999</v>
      </c>
      <c r="AM163" s="307">
        <v>2.7883490000000002</v>
      </c>
      <c r="AN163" s="307">
        <v>5.7122489999999999</v>
      </c>
      <c r="AO163" s="307">
        <v>3.3161529999999999</v>
      </c>
      <c r="AP163" s="307">
        <v>3.0170370000000002</v>
      </c>
      <c r="AQ163" s="307">
        <v>2.4700199999999999</v>
      </c>
      <c r="AR163" s="307">
        <v>3.0980219999999998</v>
      </c>
      <c r="AS163" s="307">
        <v>3.3274620000000001</v>
      </c>
      <c r="AT163" s="307">
        <v>4.9434490000000002</v>
      </c>
      <c r="AU163" s="307">
        <v>3.5710500000000001</v>
      </c>
      <c r="AV163" s="307">
        <v>4.49655</v>
      </c>
      <c r="AW163" s="307">
        <v>3.4578470000000001</v>
      </c>
      <c r="AX163" s="307">
        <v>0</v>
      </c>
      <c r="AY163" s="307">
        <v>5.6531200000000004</v>
      </c>
      <c r="AZ163" s="307">
        <v>3.9516849999999999</v>
      </c>
      <c r="BA163" s="307">
        <v>3.9938760000000002</v>
      </c>
      <c r="BB163" s="307">
        <v>0</v>
      </c>
      <c r="BC163" s="307">
        <v>3.3374259999999998</v>
      </c>
      <c r="BD163" s="307">
        <v>3.093512</v>
      </c>
      <c r="BE163" s="307">
        <v>3.0883889999999998</v>
      </c>
      <c r="BF163" s="307">
        <v>3.2906849999999999</v>
      </c>
      <c r="BG163" s="307">
        <v>3.5381719999999999</v>
      </c>
      <c r="BH163" s="307">
        <v>4.4675599999999998</v>
      </c>
      <c r="BI163" s="307">
        <v>3.7858309999999999</v>
      </c>
      <c r="BJ163" s="307">
        <v>4.3690329999999999</v>
      </c>
      <c r="BK163" s="307">
        <v>3.6377999999999999</v>
      </c>
      <c r="BL163">
        <f t="shared" si="8"/>
        <v>8</v>
      </c>
      <c r="BM163">
        <f t="shared" si="9"/>
        <v>3.9535807924528297</v>
      </c>
      <c r="BN163">
        <f t="shared" si="10"/>
        <v>5.7511919999999996</v>
      </c>
      <c r="BO163">
        <f t="array" ref="BO163">MIN(IF($C163:$BK163&gt;0, $C163:$BK163))</f>
        <v>2.4700199999999999</v>
      </c>
      <c r="BP163">
        <f t="shared" si="11"/>
        <v>3.5119590000000001</v>
      </c>
    </row>
    <row r="164" spans="1:68" x14ac:dyDescent="0.25">
      <c r="A164" s="306">
        <v>327999</v>
      </c>
      <c r="B164" s="307" t="s">
        <v>721</v>
      </c>
      <c r="C164" s="307">
        <v>4.4908539999999997</v>
      </c>
      <c r="D164" s="307">
        <v>0</v>
      </c>
      <c r="E164" s="307">
        <v>5.5865549999999997</v>
      </c>
      <c r="F164" s="307">
        <v>4.6289040000000004</v>
      </c>
      <c r="G164" s="307">
        <v>5.5276050000000003</v>
      </c>
      <c r="H164" s="307">
        <v>4.5824980000000002</v>
      </c>
      <c r="I164" s="307">
        <v>5.7151839999999998</v>
      </c>
      <c r="J164" s="307">
        <v>3.617937</v>
      </c>
      <c r="K164" s="307">
        <v>1.6569499999999999</v>
      </c>
      <c r="L164" s="307">
        <v>3.1427610000000001</v>
      </c>
      <c r="M164" s="307">
        <v>4.8077769999999997</v>
      </c>
      <c r="N164" s="307">
        <v>4.0474600000000001</v>
      </c>
      <c r="O164" s="307">
        <v>3.4108999999999998</v>
      </c>
      <c r="P164" s="307">
        <v>5.5205130000000002</v>
      </c>
      <c r="Q164" s="307">
        <v>5.8241259999999997</v>
      </c>
      <c r="R164" s="307">
        <v>3.7886039999999999</v>
      </c>
      <c r="S164" s="307">
        <v>4.4792930000000002</v>
      </c>
      <c r="T164" s="307">
        <v>4.9513959999999999</v>
      </c>
      <c r="U164" s="307">
        <v>5.4574600000000002</v>
      </c>
      <c r="V164" s="307">
        <v>4.8409800000000001</v>
      </c>
      <c r="W164" s="307">
        <v>4.0916490000000003</v>
      </c>
      <c r="X164" s="307">
        <v>3.4735879999999999</v>
      </c>
      <c r="Y164" s="307">
        <v>5.7000900000000003</v>
      </c>
      <c r="Z164" s="307">
        <v>4.6967270000000001</v>
      </c>
      <c r="AA164" s="307">
        <v>4.2274010000000004</v>
      </c>
      <c r="AB164" s="307">
        <v>4.012092</v>
      </c>
      <c r="AC164" s="307">
        <v>0</v>
      </c>
      <c r="AD164" s="307">
        <v>4.4624959999999998</v>
      </c>
      <c r="AE164" s="307">
        <v>5.4411100000000001</v>
      </c>
      <c r="AF164" s="307">
        <v>0</v>
      </c>
      <c r="AG164" s="307">
        <v>4.8354710000000001</v>
      </c>
      <c r="AH164" s="307">
        <v>3.0497429999999999</v>
      </c>
      <c r="AI164" s="307">
        <v>3.2490169999999998</v>
      </c>
      <c r="AJ164" s="307">
        <v>5.0977560000000004</v>
      </c>
      <c r="AK164" s="307">
        <v>5.171665</v>
      </c>
      <c r="AL164" s="307">
        <v>3.880512</v>
      </c>
      <c r="AM164" s="307">
        <v>3.439676</v>
      </c>
      <c r="AN164" s="307">
        <v>4.455533</v>
      </c>
      <c r="AO164" s="307">
        <v>4.3171359999999996</v>
      </c>
      <c r="AP164" s="307">
        <v>3.6327739999999999</v>
      </c>
      <c r="AQ164" s="307">
        <v>3.4064380000000001</v>
      </c>
      <c r="AR164" s="307">
        <v>3.7112609999999999</v>
      </c>
      <c r="AS164" s="307">
        <v>5.6772419999999997</v>
      </c>
      <c r="AT164" s="307">
        <v>5.5518470000000004</v>
      </c>
      <c r="AU164" s="307">
        <v>5.334587</v>
      </c>
      <c r="AV164" s="307">
        <v>3.4265469999999998</v>
      </c>
      <c r="AW164" s="307">
        <v>5.1839469999999999</v>
      </c>
      <c r="AX164" s="307">
        <v>4.151618</v>
      </c>
      <c r="AY164" s="307">
        <v>5.3086089999999997</v>
      </c>
      <c r="AZ164" s="307">
        <v>4.5770569999999999</v>
      </c>
      <c r="BA164" s="307">
        <v>2.9587460000000001</v>
      </c>
      <c r="BB164" s="307">
        <v>0</v>
      </c>
      <c r="BC164" s="307">
        <v>3.8392780000000002</v>
      </c>
      <c r="BD164" s="307">
        <v>3.8112490000000001</v>
      </c>
      <c r="BE164" s="307">
        <v>3.9022899999999998</v>
      </c>
      <c r="BF164" s="307">
        <v>4.4348099999999997</v>
      </c>
      <c r="BG164" s="307">
        <v>4.355963</v>
      </c>
      <c r="BH164" s="307">
        <v>5.6268750000000001</v>
      </c>
      <c r="BI164" s="307">
        <v>5.170623</v>
      </c>
      <c r="BJ164" s="307">
        <v>4.5148460000000004</v>
      </c>
      <c r="BK164" s="307">
        <v>4.5665550000000001</v>
      </c>
      <c r="BL164">
        <f t="shared" si="8"/>
        <v>4</v>
      </c>
      <c r="BM164">
        <f t="shared" si="9"/>
        <v>4.4354838771929836</v>
      </c>
      <c r="BN164">
        <f t="shared" si="10"/>
        <v>5.8241259999999997</v>
      </c>
      <c r="BO164">
        <f t="array" ref="BO164">MIN(IF($C164:$BK164&gt;0, $C164:$BK164))</f>
        <v>1.6569499999999999</v>
      </c>
      <c r="BP164">
        <f t="shared" si="11"/>
        <v>4.455533</v>
      </c>
    </row>
    <row r="165" spans="1:68" x14ac:dyDescent="0.25">
      <c r="A165" s="306">
        <v>331110</v>
      </c>
      <c r="B165" s="307" t="s">
        <v>150</v>
      </c>
      <c r="C165" s="307">
        <v>1.9372529999999999</v>
      </c>
      <c r="D165" s="307">
        <v>1.25268</v>
      </c>
      <c r="E165" s="307">
        <v>1.8088040000000001</v>
      </c>
      <c r="F165" s="307">
        <v>1.592136</v>
      </c>
      <c r="G165" s="307">
        <v>3.3827560000000001</v>
      </c>
      <c r="H165" s="307">
        <v>2.350654</v>
      </c>
      <c r="I165" s="307">
        <v>1.8929229999999999</v>
      </c>
      <c r="J165" s="307">
        <v>2.1106549999999999</v>
      </c>
      <c r="K165" s="307">
        <v>0.75096640000000003</v>
      </c>
      <c r="L165" s="307">
        <v>1.1931480000000001</v>
      </c>
      <c r="M165" s="307">
        <v>2.5707339999999999</v>
      </c>
      <c r="N165" s="307">
        <v>1.900482</v>
      </c>
      <c r="O165" s="307">
        <v>0.58853270000000002</v>
      </c>
      <c r="P165" s="307">
        <v>1.9957</v>
      </c>
      <c r="Q165" s="307">
        <v>3.425862</v>
      </c>
      <c r="R165" s="307">
        <v>1.826614</v>
      </c>
      <c r="S165" s="307">
        <v>1.57178</v>
      </c>
      <c r="T165" s="307">
        <v>2.5897570000000001</v>
      </c>
      <c r="U165" s="307">
        <v>2.1598139999999999</v>
      </c>
      <c r="V165" s="307">
        <v>1.2381340000000001</v>
      </c>
      <c r="W165" s="307">
        <v>3.1774779999999998</v>
      </c>
      <c r="X165" s="307">
        <v>1.743474</v>
      </c>
      <c r="Y165" s="307">
        <v>0</v>
      </c>
      <c r="Z165" s="307">
        <v>2.0782500000000002</v>
      </c>
      <c r="AA165" s="307">
        <v>2.1387330000000002</v>
      </c>
      <c r="AB165" s="307">
        <v>2.5649950000000001</v>
      </c>
      <c r="AC165" s="307">
        <v>1.703247</v>
      </c>
      <c r="AD165" s="307">
        <v>3.1068419999999999</v>
      </c>
      <c r="AE165" s="307">
        <v>2.2903570000000002</v>
      </c>
      <c r="AF165" s="307">
        <v>3.1823579999999998</v>
      </c>
      <c r="AG165" s="307">
        <v>1.7674289999999999</v>
      </c>
      <c r="AH165" s="307">
        <v>1.3670899999999999</v>
      </c>
      <c r="AI165" s="307">
        <v>1.8512310000000001</v>
      </c>
      <c r="AJ165" s="307">
        <v>2.2535720000000001</v>
      </c>
      <c r="AK165" s="307">
        <v>0</v>
      </c>
      <c r="AL165" s="307">
        <v>2.4644689999999998</v>
      </c>
      <c r="AM165" s="307">
        <v>1.760329</v>
      </c>
      <c r="AN165" s="307">
        <v>2.8436349999999999</v>
      </c>
      <c r="AO165" s="307">
        <v>1.58365</v>
      </c>
      <c r="AP165" s="307">
        <v>1.875434</v>
      </c>
      <c r="AQ165" s="307">
        <v>1.881318</v>
      </c>
      <c r="AR165" s="307">
        <v>2.1390790000000002</v>
      </c>
      <c r="AS165" s="307">
        <v>0</v>
      </c>
      <c r="AT165" s="307">
        <v>2.7366389999999998</v>
      </c>
      <c r="AU165" s="307">
        <v>1.9847950000000001</v>
      </c>
      <c r="AV165" s="307">
        <v>1.136995</v>
      </c>
      <c r="AW165" s="307">
        <v>2.0644429999999998</v>
      </c>
      <c r="AX165" s="307">
        <v>2.7750849999999998</v>
      </c>
      <c r="AY165" s="307">
        <v>3.0412599999999999</v>
      </c>
      <c r="AZ165" s="307">
        <v>2.2661479999999998</v>
      </c>
      <c r="BA165" s="307">
        <v>1.578578</v>
      </c>
      <c r="BB165" s="307">
        <v>0</v>
      </c>
      <c r="BC165" s="307">
        <v>2.4681389999999999</v>
      </c>
      <c r="BD165" s="307">
        <v>1.9402740000000001</v>
      </c>
      <c r="BE165" s="307">
        <v>1.7711920000000001</v>
      </c>
      <c r="BF165" s="307">
        <v>2.1206999999999998</v>
      </c>
      <c r="BG165" s="307">
        <v>1.996202</v>
      </c>
      <c r="BH165" s="307">
        <v>1.96296</v>
      </c>
      <c r="BI165" s="307">
        <v>1.9552240000000001</v>
      </c>
      <c r="BJ165" s="307">
        <v>1.7488779999999999</v>
      </c>
      <c r="BK165" s="307">
        <v>2.1535150000000001</v>
      </c>
      <c r="BL165">
        <f t="shared" si="8"/>
        <v>4</v>
      </c>
      <c r="BM165">
        <f t="shared" si="9"/>
        <v>2.0633926684210522</v>
      </c>
      <c r="BN165">
        <f t="shared" si="10"/>
        <v>3.425862</v>
      </c>
      <c r="BO165">
        <f t="array" ref="BO165">MIN(IF($C165:$BK165&gt;0, $C165:$BK165))</f>
        <v>0.58853270000000002</v>
      </c>
      <c r="BP165">
        <f t="shared" si="11"/>
        <v>1.9552240000000001</v>
      </c>
    </row>
    <row r="166" spans="1:68" x14ac:dyDescent="0.25">
      <c r="A166" s="306">
        <v>331200</v>
      </c>
      <c r="B166" s="307" t="s">
        <v>151</v>
      </c>
      <c r="C166" s="307">
        <v>2.8826870000000002</v>
      </c>
      <c r="D166" s="307">
        <v>1.7172339999999999</v>
      </c>
      <c r="E166" s="307">
        <v>2.845218</v>
      </c>
      <c r="F166" s="307">
        <v>2.9889199999999998</v>
      </c>
      <c r="G166" s="307">
        <v>3.263585</v>
      </c>
      <c r="H166" s="307">
        <v>2.2752949999999998</v>
      </c>
      <c r="I166" s="307">
        <v>2.8836170000000001</v>
      </c>
      <c r="J166" s="307">
        <v>2.6111819999999999</v>
      </c>
      <c r="K166" s="307">
        <v>0</v>
      </c>
      <c r="L166" s="307">
        <v>1.9132089999999999</v>
      </c>
      <c r="M166" s="307">
        <v>2.379178</v>
      </c>
      <c r="N166" s="307">
        <v>3.0091899999999998</v>
      </c>
      <c r="O166" s="307">
        <v>0.93578340000000004</v>
      </c>
      <c r="P166" s="307">
        <v>2.8687879999999999</v>
      </c>
      <c r="Q166" s="307">
        <v>4.1056840000000001</v>
      </c>
      <c r="R166" s="307">
        <v>2.5126979999999999</v>
      </c>
      <c r="S166" s="307">
        <v>2.8082220000000002</v>
      </c>
      <c r="T166" s="307">
        <v>2.3086700000000002</v>
      </c>
      <c r="U166" s="307">
        <v>2.4685540000000001</v>
      </c>
      <c r="V166" s="307">
        <v>2.5749230000000001</v>
      </c>
      <c r="W166" s="307">
        <v>1.7929120000000001</v>
      </c>
      <c r="X166" s="307">
        <v>2.6829670000000001</v>
      </c>
      <c r="Y166" s="307">
        <v>3.0828500000000001</v>
      </c>
      <c r="Z166" s="307">
        <v>2.6569630000000002</v>
      </c>
      <c r="AA166" s="307">
        <v>3.034456</v>
      </c>
      <c r="AB166" s="307">
        <v>3.2268309999999998</v>
      </c>
      <c r="AC166" s="307">
        <v>3.9935800000000001</v>
      </c>
      <c r="AD166" s="307">
        <v>4.5716260000000002</v>
      </c>
      <c r="AE166" s="307">
        <v>3.9264049999999999</v>
      </c>
      <c r="AF166" s="307">
        <v>0</v>
      </c>
      <c r="AG166" s="307">
        <v>4.1945579999999998</v>
      </c>
      <c r="AH166" s="307">
        <v>3.4774799999999999</v>
      </c>
      <c r="AI166" s="307">
        <v>2.2062210000000002</v>
      </c>
      <c r="AJ166" s="307">
        <v>0</v>
      </c>
      <c r="AK166" s="307">
        <v>3.5512869999999999</v>
      </c>
      <c r="AL166" s="307">
        <v>2.5478000000000001</v>
      </c>
      <c r="AM166" s="307">
        <v>2.6861869999999999</v>
      </c>
      <c r="AN166" s="307">
        <v>3.3164709999999999</v>
      </c>
      <c r="AO166" s="307">
        <v>2.1396120000000001</v>
      </c>
      <c r="AP166" s="307">
        <v>2.9824820000000001</v>
      </c>
      <c r="AQ166" s="307">
        <v>2.3302930000000002</v>
      </c>
      <c r="AR166" s="307">
        <v>2.3528440000000002</v>
      </c>
      <c r="AS166" s="307">
        <v>4.4106810000000003</v>
      </c>
      <c r="AT166" s="307">
        <v>3.6128019999999998</v>
      </c>
      <c r="AU166" s="307">
        <v>2.863629</v>
      </c>
      <c r="AV166" s="307">
        <v>4.4311489999999996</v>
      </c>
      <c r="AW166" s="307">
        <v>3.2156220000000002</v>
      </c>
      <c r="AX166" s="307">
        <v>2.3861469999999998</v>
      </c>
      <c r="AY166" s="307">
        <v>1.8363860000000001</v>
      </c>
      <c r="AZ166" s="307">
        <v>2.7646139999999999</v>
      </c>
      <c r="BA166" s="307">
        <v>2.344716</v>
      </c>
      <c r="BB166" s="307">
        <v>0</v>
      </c>
      <c r="BC166" s="307">
        <v>2.5236230000000002</v>
      </c>
      <c r="BD166" s="307">
        <v>2.8870439999999999</v>
      </c>
      <c r="BE166" s="307">
        <v>2.7663929999999999</v>
      </c>
      <c r="BF166" s="307">
        <v>3.0799810000000001</v>
      </c>
      <c r="BG166" s="307">
        <v>2.7144879999999998</v>
      </c>
      <c r="BH166" s="307">
        <v>3.0537899999999998</v>
      </c>
      <c r="BI166" s="307">
        <v>3.0350229999999998</v>
      </c>
      <c r="BJ166" s="307">
        <v>3.439184</v>
      </c>
      <c r="BK166" s="307">
        <v>2.2082739999999998</v>
      </c>
      <c r="BL166">
        <f t="shared" si="8"/>
        <v>4</v>
      </c>
      <c r="BM166">
        <f t="shared" si="9"/>
        <v>2.8715790947368416</v>
      </c>
      <c r="BN166">
        <f t="shared" si="10"/>
        <v>4.5716260000000002</v>
      </c>
      <c r="BO166">
        <f t="array" ref="BO166">MIN(IF($C166:$BK166&gt;0, $C166:$BK166))</f>
        <v>0.93578340000000004</v>
      </c>
      <c r="BP166">
        <f t="shared" si="11"/>
        <v>2.7663929999999999</v>
      </c>
    </row>
    <row r="167" spans="1:68" x14ac:dyDescent="0.25">
      <c r="A167" s="306">
        <v>331314</v>
      </c>
      <c r="B167" s="307" t="s">
        <v>153</v>
      </c>
      <c r="C167" s="307">
        <v>2.3724569999999998</v>
      </c>
      <c r="D167" s="307">
        <v>0</v>
      </c>
      <c r="E167" s="307">
        <v>2.8143509999999998</v>
      </c>
      <c r="F167" s="307">
        <v>2.5258780000000001</v>
      </c>
      <c r="G167" s="307">
        <v>0</v>
      </c>
      <c r="H167" s="307">
        <v>1.689527</v>
      </c>
      <c r="I167" s="307">
        <v>0</v>
      </c>
      <c r="J167" s="307">
        <v>0</v>
      </c>
      <c r="K167" s="307">
        <v>0</v>
      </c>
      <c r="L167" s="307">
        <v>0</v>
      </c>
      <c r="M167" s="307">
        <v>3.5620609999999999</v>
      </c>
      <c r="N167" s="307">
        <v>2.1965780000000001</v>
      </c>
      <c r="O167" s="307">
        <v>0</v>
      </c>
      <c r="P167" s="307">
        <v>3.44699</v>
      </c>
      <c r="Q167" s="307">
        <v>2.7576260000000001</v>
      </c>
      <c r="R167" s="307">
        <v>1.815053</v>
      </c>
      <c r="S167" s="307">
        <v>2.321113</v>
      </c>
      <c r="T167" s="307">
        <v>3.5054099999999999</v>
      </c>
      <c r="U167" s="307">
        <v>2.0233089999999998</v>
      </c>
      <c r="V167" s="307">
        <v>2.479568</v>
      </c>
      <c r="W167" s="307">
        <v>2.307785</v>
      </c>
      <c r="X167" s="307">
        <v>2.0505369999999998</v>
      </c>
      <c r="Y167" s="307">
        <v>0</v>
      </c>
      <c r="Z167" s="307">
        <v>2.5259490000000002</v>
      </c>
      <c r="AA167" s="307">
        <v>1.803315</v>
      </c>
      <c r="AB167" s="307">
        <v>1.7670440000000001</v>
      </c>
      <c r="AC167" s="307">
        <v>0</v>
      </c>
      <c r="AD167" s="307">
        <v>0</v>
      </c>
      <c r="AE167" s="307">
        <v>3.5421999999999998</v>
      </c>
      <c r="AF167" s="307">
        <v>0</v>
      </c>
      <c r="AG167" s="307">
        <v>0</v>
      </c>
      <c r="AH167" s="307">
        <v>0</v>
      </c>
      <c r="AI167" s="307">
        <v>1.2134229999999999</v>
      </c>
      <c r="AJ167" s="307">
        <v>0</v>
      </c>
      <c r="AK167" s="307">
        <v>0</v>
      </c>
      <c r="AL167" s="307">
        <v>2.214013</v>
      </c>
      <c r="AM167" s="307">
        <v>2.6957849999999999</v>
      </c>
      <c r="AN167" s="307">
        <v>3.1960310000000001</v>
      </c>
      <c r="AO167" s="307">
        <v>1.788008</v>
      </c>
      <c r="AP167" s="307">
        <v>1.716953</v>
      </c>
      <c r="AQ167" s="307">
        <v>0</v>
      </c>
      <c r="AR167" s="307">
        <v>3.8214269999999999</v>
      </c>
      <c r="AS167" s="307">
        <v>0</v>
      </c>
      <c r="AT167" s="307">
        <v>2.377812</v>
      </c>
      <c r="AU167" s="307">
        <v>3.0985260000000001</v>
      </c>
      <c r="AV167" s="307">
        <v>0</v>
      </c>
      <c r="AW167" s="307">
        <v>0</v>
      </c>
      <c r="AX167" s="307">
        <v>0</v>
      </c>
      <c r="AY167" s="307">
        <v>1.2578670000000001</v>
      </c>
      <c r="AZ167" s="307">
        <v>2.302149</v>
      </c>
      <c r="BA167" s="307">
        <v>0</v>
      </c>
      <c r="BB167" s="307">
        <v>0</v>
      </c>
      <c r="BC167" s="307">
        <v>2.5582400000000001</v>
      </c>
      <c r="BD167" s="307">
        <v>1.8088569999999999</v>
      </c>
      <c r="BE167" s="307">
        <v>2.407762</v>
      </c>
      <c r="BF167" s="307">
        <v>2.0129739999999998</v>
      </c>
      <c r="BG167" s="307">
        <v>2.8765489999999998</v>
      </c>
      <c r="BH167" s="307">
        <v>2.4347400000000001</v>
      </c>
      <c r="BI167" s="307">
        <v>2.762432</v>
      </c>
      <c r="BJ167" s="307">
        <v>3.0348769999999998</v>
      </c>
      <c r="BK167" s="307">
        <v>1.7268220000000001</v>
      </c>
      <c r="BL167">
        <f t="shared" si="8"/>
        <v>22</v>
      </c>
      <c r="BM167">
        <f t="shared" si="9"/>
        <v>2.4310768717948723</v>
      </c>
      <c r="BN167">
        <f t="shared" si="10"/>
        <v>3.8214269999999999</v>
      </c>
      <c r="BO167">
        <f t="array" ref="BO167">MIN(IF($C167:$BK167&gt;0, $C167:$BK167))</f>
        <v>1.2134229999999999</v>
      </c>
      <c r="BP167">
        <f t="shared" si="11"/>
        <v>1.8088569999999999</v>
      </c>
    </row>
    <row r="168" spans="1:68" x14ac:dyDescent="0.25">
      <c r="A168" s="306" t="s">
        <v>722</v>
      </c>
      <c r="B168" s="307" t="s">
        <v>152</v>
      </c>
      <c r="C168" s="307">
        <v>2.162096</v>
      </c>
      <c r="D168" s="307">
        <v>0</v>
      </c>
      <c r="E168" s="307">
        <v>4.2273690000000004</v>
      </c>
      <c r="F168" s="307">
        <v>2.1779500000000001</v>
      </c>
      <c r="G168" s="307">
        <v>2.7533530000000002</v>
      </c>
      <c r="H168" s="307">
        <v>2.872258</v>
      </c>
      <c r="I168" s="307">
        <v>0</v>
      </c>
      <c r="J168" s="307">
        <v>0</v>
      </c>
      <c r="K168" s="307">
        <v>0</v>
      </c>
      <c r="L168" s="307">
        <v>0</v>
      </c>
      <c r="M168" s="307">
        <v>3.8691710000000001</v>
      </c>
      <c r="N168" s="307">
        <v>2.4027370000000001</v>
      </c>
      <c r="O168" s="307">
        <v>0</v>
      </c>
      <c r="P168" s="307">
        <v>0</v>
      </c>
      <c r="Q168" s="307">
        <v>1.331901</v>
      </c>
      <c r="R168" s="307">
        <v>2.7662559999999998</v>
      </c>
      <c r="S168" s="307">
        <v>1.825931</v>
      </c>
      <c r="T168" s="307">
        <v>0</v>
      </c>
      <c r="U168" s="307">
        <v>2.05905</v>
      </c>
      <c r="V168" s="307">
        <v>1.8123199999999999</v>
      </c>
      <c r="W168" s="307">
        <v>3.7689520000000001</v>
      </c>
      <c r="X168" s="307">
        <v>1.4619470000000001</v>
      </c>
      <c r="Y168" s="307">
        <v>0</v>
      </c>
      <c r="Z168" s="307">
        <v>0</v>
      </c>
      <c r="AA168" s="307">
        <v>4.1678389999999998</v>
      </c>
      <c r="AB168" s="307">
        <v>2.072139</v>
      </c>
      <c r="AC168" s="307">
        <v>0</v>
      </c>
      <c r="AD168" s="307">
        <v>1.9983649999999999</v>
      </c>
      <c r="AE168" s="307">
        <v>2.3318629999999998</v>
      </c>
      <c r="AF168" s="307">
        <v>0</v>
      </c>
      <c r="AG168" s="307">
        <v>0</v>
      </c>
      <c r="AH168" s="307">
        <v>3.938418</v>
      </c>
      <c r="AI168" s="307">
        <v>3.6586219999999998</v>
      </c>
      <c r="AJ168" s="307">
        <v>0</v>
      </c>
      <c r="AK168" s="307">
        <v>0</v>
      </c>
      <c r="AL168" s="307">
        <v>2.0844170000000002</v>
      </c>
      <c r="AM168" s="307">
        <v>2.4881389999999999</v>
      </c>
      <c r="AN168" s="307">
        <v>4.2757430000000003</v>
      </c>
      <c r="AO168" s="307">
        <v>1.3100540000000001</v>
      </c>
      <c r="AP168" s="307">
        <v>2.4207559999999999</v>
      </c>
      <c r="AQ168" s="307">
        <v>0</v>
      </c>
      <c r="AR168" s="307">
        <v>2.2274020000000001</v>
      </c>
      <c r="AS168" s="307">
        <v>0</v>
      </c>
      <c r="AT168" s="307">
        <v>1.602292</v>
      </c>
      <c r="AU168" s="307">
        <v>1.88273</v>
      </c>
      <c r="AV168" s="307">
        <v>0</v>
      </c>
      <c r="AW168" s="307">
        <v>0</v>
      </c>
      <c r="AX168" s="307">
        <v>0</v>
      </c>
      <c r="AY168" s="307">
        <v>2.12365</v>
      </c>
      <c r="AZ168" s="307">
        <v>0</v>
      </c>
      <c r="BA168" s="307">
        <v>1.8363700000000001</v>
      </c>
      <c r="BB168" s="307">
        <v>0</v>
      </c>
      <c r="BC168" s="307">
        <v>4.237152</v>
      </c>
      <c r="BD168" s="307">
        <v>2.124355</v>
      </c>
      <c r="BE168" s="307">
        <v>2.105569</v>
      </c>
      <c r="BF168" s="307">
        <v>2.0946769999999999</v>
      </c>
      <c r="BG168" s="307">
        <v>2.3437220000000001</v>
      </c>
      <c r="BH168" s="307">
        <v>1.979446</v>
      </c>
      <c r="BI168" s="307">
        <v>1.89412</v>
      </c>
      <c r="BJ168" s="307">
        <v>2.2760180000000001</v>
      </c>
      <c r="BK168" s="307">
        <v>2.3709820000000001</v>
      </c>
      <c r="BL168">
        <f t="shared" si="8"/>
        <v>22</v>
      </c>
      <c r="BM168">
        <f t="shared" si="9"/>
        <v>2.4957982307692301</v>
      </c>
      <c r="BN168">
        <f t="shared" si="10"/>
        <v>4.2757430000000003</v>
      </c>
      <c r="BO168">
        <f t="array" ref="BO168">MIN(IF($C168:$BK168&gt;0, $C168:$BK168))</f>
        <v>1.3100540000000001</v>
      </c>
      <c r="BP168">
        <f t="shared" si="11"/>
        <v>1.89412</v>
      </c>
    </row>
    <row r="169" spans="1:68" s="381" customFormat="1" x14ac:dyDescent="0.25">
      <c r="A169" s="379" t="s">
        <v>723</v>
      </c>
      <c r="B169" s="380" t="s">
        <v>154</v>
      </c>
      <c r="C169" s="380">
        <v>2.4446500000000002</v>
      </c>
      <c r="D169" s="380">
        <v>0</v>
      </c>
      <c r="E169" s="380">
        <v>2.5885639999999999</v>
      </c>
      <c r="F169" s="380">
        <v>2.4058809999999999</v>
      </c>
      <c r="G169" s="380">
        <v>2.4492579999999999</v>
      </c>
      <c r="H169" s="380">
        <v>2.0943679999999998</v>
      </c>
      <c r="I169" s="380">
        <v>2.047704</v>
      </c>
      <c r="J169" s="380">
        <v>2.0249109999999999</v>
      </c>
      <c r="K169" s="380">
        <v>0</v>
      </c>
      <c r="L169" s="380">
        <v>0</v>
      </c>
      <c r="M169" s="380">
        <v>3.2699199999999999</v>
      </c>
      <c r="N169" s="380">
        <v>2.5671909999999998</v>
      </c>
      <c r="O169" s="380">
        <v>0</v>
      </c>
      <c r="P169" s="380">
        <v>1.694631</v>
      </c>
      <c r="Q169" s="380">
        <v>0</v>
      </c>
      <c r="R169" s="380">
        <v>2.3555609999999998</v>
      </c>
      <c r="S169" s="380">
        <v>2.3439760000000001</v>
      </c>
      <c r="T169" s="380">
        <v>2.9492259999999999</v>
      </c>
      <c r="U169" s="380">
        <v>1.9493780000000001</v>
      </c>
      <c r="V169" s="380">
        <v>3.2020550000000001</v>
      </c>
      <c r="W169" s="380">
        <v>2.0146959999999998</v>
      </c>
      <c r="X169" s="380">
        <v>2.3779599999999999</v>
      </c>
      <c r="Y169" s="380">
        <v>0</v>
      </c>
      <c r="Z169" s="380">
        <v>2.5807169999999999</v>
      </c>
      <c r="AA169" s="380">
        <v>2.9233410000000002</v>
      </c>
      <c r="AB169" s="380">
        <v>2.474526</v>
      </c>
      <c r="AC169" s="380">
        <v>3.1249720000000001</v>
      </c>
      <c r="AD169" s="380">
        <v>0</v>
      </c>
      <c r="AE169" s="380">
        <v>2.5928369999999998</v>
      </c>
      <c r="AF169" s="380">
        <v>0</v>
      </c>
      <c r="AG169" s="380">
        <v>0</v>
      </c>
      <c r="AH169" s="380">
        <v>2.606115</v>
      </c>
      <c r="AI169" s="380">
        <v>2.4827919999999999</v>
      </c>
      <c r="AJ169" s="380">
        <v>0</v>
      </c>
      <c r="AK169" s="380">
        <v>1.7748999999999999</v>
      </c>
      <c r="AL169" s="380">
        <v>2.0721319999999999</v>
      </c>
      <c r="AM169" s="380">
        <v>2.8208730000000002</v>
      </c>
      <c r="AN169" s="380">
        <v>2.9393370000000001</v>
      </c>
      <c r="AO169" s="380">
        <v>2.3284769999999999</v>
      </c>
      <c r="AP169" s="380">
        <v>2.3377659999999998</v>
      </c>
      <c r="AQ169" s="380">
        <v>0</v>
      </c>
      <c r="AR169" s="380">
        <v>2.6447750000000001</v>
      </c>
      <c r="AS169" s="380">
        <v>3.147154</v>
      </c>
      <c r="AT169" s="380">
        <v>1.814303</v>
      </c>
      <c r="AU169" s="380">
        <v>2.8278569999999998</v>
      </c>
      <c r="AV169" s="380">
        <v>2.710197</v>
      </c>
      <c r="AW169" s="380">
        <v>2.2468439999999998</v>
      </c>
      <c r="AX169" s="380">
        <v>0</v>
      </c>
      <c r="AY169" s="380">
        <v>1.949327</v>
      </c>
      <c r="AZ169" s="380">
        <v>3.127488</v>
      </c>
      <c r="BA169" s="380">
        <v>1.5014099999999999</v>
      </c>
      <c r="BB169" s="380">
        <v>0</v>
      </c>
      <c r="BC169" s="380">
        <v>2.3046359999999999</v>
      </c>
      <c r="BD169" s="380">
        <v>2.3400699999999999</v>
      </c>
      <c r="BE169" s="380">
        <v>2.6440549999999998</v>
      </c>
      <c r="BF169" s="380">
        <v>2.1925309999999998</v>
      </c>
      <c r="BG169" s="380">
        <v>2.4049589999999998</v>
      </c>
      <c r="BH169" s="380">
        <v>2.1131310000000001</v>
      </c>
      <c r="BI169" s="380">
        <v>2.7864170000000001</v>
      </c>
      <c r="BJ169" s="380">
        <v>2.473128</v>
      </c>
      <c r="BK169" s="380">
        <v>2.1242489999999998</v>
      </c>
      <c r="BL169" s="381">
        <f t="shared" si="8"/>
        <v>13</v>
      </c>
      <c r="BM169">
        <f t="shared" si="9"/>
        <v>2.4414842916666664</v>
      </c>
      <c r="BN169">
        <f t="shared" si="10"/>
        <v>3.2699199999999999</v>
      </c>
      <c r="BO169">
        <f t="array" ref="BO169">MIN(IF($C169:$BK169&gt;0, $C169:$BK169))</f>
        <v>1.5014099999999999</v>
      </c>
      <c r="BP169">
        <f t="shared" si="11"/>
        <v>2.3377659999999998</v>
      </c>
    </row>
    <row r="170" spans="1:68" x14ac:dyDescent="0.25">
      <c r="A170" s="306">
        <v>331411</v>
      </c>
      <c r="B170" s="307" t="s">
        <v>155</v>
      </c>
      <c r="C170" s="307">
        <v>1.6640200000000001</v>
      </c>
      <c r="D170" s="307">
        <v>0</v>
      </c>
      <c r="E170" s="307">
        <v>0</v>
      </c>
      <c r="F170" s="307">
        <v>0</v>
      </c>
      <c r="G170" s="307">
        <v>1.57952</v>
      </c>
      <c r="H170" s="307">
        <v>0</v>
      </c>
      <c r="I170" s="307">
        <v>0</v>
      </c>
      <c r="J170" s="307">
        <v>0</v>
      </c>
      <c r="K170" s="307">
        <v>0</v>
      </c>
      <c r="L170" s="307">
        <v>0</v>
      </c>
      <c r="M170" s="307">
        <v>0</v>
      </c>
      <c r="N170" s="307">
        <v>0</v>
      </c>
      <c r="O170" s="307">
        <v>0</v>
      </c>
      <c r="P170" s="307">
        <v>0</v>
      </c>
      <c r="Q170" s="307">
        <v>0</v>
      </c>
      <c r="R170" s="307">
        <v>0</v>
      </c>
      <c r="S170" s="307">
        <v>0</v>
      </c>
      <c r="T170" s="307">
        <v>0</v>
      </c>
      <c r="U170" s="307">
        <v>0</v>
      </c>
      <c r="V170" s="307">
        <v>0</v>
      </c>
      <c r="W170" s="307">
        <v>0</v>
      </c>
      <c r="X170" s="307">
        <v>0</v>
      </c>
      <c r="Y170" s="307">
        <v>0</v>
      </c>
      <c r="Z170" s="307">
        <v>2.0167109999999999</v>
      </c>
      <c r="AA170" s="307">
        <v>0</v>
      </c>
      <c r="AB170" s="307">
        <v>0</v>
      </c>
      <c r="AC170" s="307">
        <v>0</v>
      </c>
      <c r="AD170" s="307">
        <v>0</v>
      </c>
      <c r="AE170" s="307">
        <v>0</v>
      </c>
      <c r="AF170" s="307">
        <v>0</v>
      </c>
      <c r="AG170" s="307">
        <v>0</v>
      </c>
      <c r="AH170" s="307">
        <v>0</v>
      </c>
      <c r="AI170" s="307">
        <v>0</v>
      </c>
      <c r="AJ170" s="307">
        <v>0</v>
      </c>
      <c r="AK170" s="307">
        <v>0</v>
      </c>
      <c r="AL170" s="307">
        <v>0</v>
      </c>
      <c r="AM170" s="307">
        <v>0</v>
      </c>
      <c r="AN170" s="307">
        <v>0</v>
      </c>
      <c r="AO170" s="307">
        <v>0</v>
      </c>
      <c r="AP170" s="307">
        <v>0</v>
      </c>
      <c r="AQ170" s="307">
        <v>2.0317880000000001</v>
      </c>
      <c r="AR170" s="307">
        <v>0</v>
      </c>
      <c r="AS170" s="307">
        <v>0</v>
      </c>
      <c r="AT170" s="307">
        <v>0</v>
      </c>
      <c r="AU170" s="307">
        <v>1.7646489999999999</v>
      </c>
      <c r="AV170" s="307">
        <v>1.4606250000000001</v>
      </c>
      <c r="AW170" s="307">
        <v>0</v>
      </c>
      <c r="AX170" s="307">
        <v>0</v>
      </c>
      <c r="AY170" s="307">
        <v>0</v>
      </c>
      <c r="AZ170" s="307">
        <v>0</v>
      </c>
      <c r="BA170" s="307">
        <v>0</v>
      </c>
      <c r="BB170" s="307">
        <v>0</v>
      </c>
      <c r="BC170" s="307">
        <v>2.240364</v>
      </c>
      <c r="BD170" s="307">
        <v>0</v>
      </c>
      <c r="BE170" s="307">
        <v>2.0124420000000001</v>
      </c>
      <c r="BF170" s="307">
        <v>0</v>
      </c>
      <c r="BG170" s="307">
        <v>0</v>
      </c>
      <c r="BH170" s="307">
        <v>0</v>
      </c>
      <c r="BI170" s="307">
        <v>1.75013</v>
      </c>
      <c r="BJ170" s="307">
        <v>1.564859</v>
      </c>
      <c r="BK170" s="307">
        <v>0</v>
      </c>
      <c r="BL170">
        <f t="shared" si="8"/>
        <v>51</v>
      </c>
      <c r="BM170">
        <f t="shared" si="9"/>
        <v>1.8085107999999999</v>
      </c>
      <c r="BN170">
        <f t="shared" si="10"/>
        <v>2.240364</v>
      </c>
      <c r="BO170">
        <f t="array" ref="BO170">MIN(IF($C170:$BK170&gt;0, $C170:$BK170))</f>
        <v>1.4606250000000001</v>
      </c>
      <c r="BP170">
        <f t="shared" si="11"/>
        <v>0</v>
      </c>
    </row>
    <row r="171" spans="1:68" x14ac:dyDescent="0.25">
      <c r="A171" s="306">
        <v>331419</v>
      </c>
      <c r="B171" s="307" t="s">
        <v>156</v>
      </c>
      <c r="C171" s="307">
        <v>2.7306680000000001</v>
      </c>
      <c r="D171" s="307">
        <v>0</v>
      </c>
      <c r="E171" s="307">
        <v>2.9582009999999999</v>
      </c>
      <c r="F171" s="307">
        <v>3.54772</v>
      </c>
      <c r="G171" s="307">
        <v>3.4883229999999998</v>
      </c>
      <c r="H171" s="307">
        <v>3.447425</v>
      </c>
      <c r="I171" s="307">
        <v>1.8816710000000001</v>
      </c>
      <c r="J171" s="307">
        <v>1.786969</v>
      </c>
      <c r="K171" s="307">
        <v>0</v>
      </c>
      <c r="L171" s="307">
        <v>0</v>
      </c>
      <c r="M171" s="307">
        <v>4.5745760000000004</v>
      </c>
      <c r="N171" s="307">
        <v>0</v>
      </c>
      <c r="O171" s="307">
        <v>0</v>
      </c>
      <c r="P171" s="307">
        <v>0</v>
      </c>
      <c r="Q171" s="307">
        <v>4.098325</v>
      </c>
      <c r="R171" s="307">
        <v>2.2579769999999999</v>
      </c>
      <c r="S171" s="307">
        <v>0</v>
      </c>
      <c r="T171" s="307">
        <v>4.1260880000000002</v>
      </c>
      <c r="U171" s="307">
        <v>0</v>
      </c>
      <c r="V171" s="307">
        <v>0</v>
      </c>
      <c r="W171" s="307">
        <v>2.730823</v>
      </c>
      <c r="X171" s="307">
        <v>0</v>
      </c>
      <c r="Y171" s="307">
        <v>0</v>
      </c>
      <c r="Z171" s="307">
        <v>4.4901090000000003</v>
      </c>
      <c r="AA171" s="307">
        <v>2.42855</v>
      </c>
      <c r="AB171" s="307">
        <v>2.741123</v>
      </c>
      <c r="AC171" s="307">
        <v>0</v>
      </c>
      <c r="AD171" s="307">
        <v>2.2181679999999999</v>
      </c>
      <c r="AE171" s="307">
        <v>2.5078960000000001</v>
      </c>
      <c r="AF171" s="307">
        <v>3.554182</v>
      </c>
      <c r="AG171" s="307">
        <v>0</v>
      </c>
      <c r="AH171" s="307">
        <v>0</v>
      </c>
      <c r="AI171" s="307">
        <v>2.0654020000000002</v>
      </c>
      <c r="AJ171" s="307">
        <v>2.3499979999999998</v>
      </c>
      <c r="AK171" s="307">
        <v>2.4461460000000002</v>
      </c>
      <c r="AL171" s="307">
        <v>2.2706059999999999</v>
      </c>
      <c r="AM171" s="307">
        <v>2.558084</v>
      </c>
      <c r="AN171" s="307">
        <v>0</v>
      </c>
      <c r="AO171" s="307">
        <v>2.2430340000000002</v>
      </c>
      <c r="AP171" s="307">
        <v>2.3737509999999999</v>
      </c>
      <c r="AQ171" s="307">
        <v>2.5140180000000001</v>
      </c>
      <c r="AR171" s="307">
        <v>4.4697899999999997</v>
      </c>
      <c r="AS171" s="307">
        <v>2.9012159999999998</v>
      </c>
      <c r="AT171" s="307">
        <v>3.5276420000000002</v>
      </c>
      <c r="AU171" s="307">
        <v>2.2763089999999999</v>
      </c>
      <c r="AV171" s="307">
        <v>3.3318560000000002</v>
      </c>
      <c r="AW171" s="307">
        <v>0</v>
      </c>
      <c r="AX171" s="307">
        <v>0</v>
      </c>
      <c r="AY171" s="307">
        <v>3.0472649999999999</v>
      </c>
      <c r="AZ171" s="307">
        <v>0</v>
      </c>
      <c r="BA171" s="307">
        <v>0</v>
      </c>
      <c r="BB171" s="307">
        <v>0</v>
      </c>
      <c r="BC171" s="307">
        <v>2.7852459999999999</v>
      </c>
      <c r="BD171" s="307">
        <v>2.3538239999999999</v>
      </c>
      <c r="BE171" s="307">
        <v>2.6478449999999998</v>
      </c>
      <c r="BF171" s="307">
        <v>2.7184539999999999</v>
      </c>
      <c r="BG171" s="307">
        <v>3.6504300000000001</v>
      </c>
      <c r="BH171" s="307">
        <v>2.9785560000000002</v>
      </c>
      <c r="BI171" s="307">
        <v>2.2630880000000002</v>
      </c>
      <c r="BJ171" s="307">
        <v>2.9871449999999999</v>
      </c>
      <c r="BK171" s="307">
        <v>2.7079080000000002</v>
      </c>
      <c r="BL171">
        <f t="shared" si="8"/>
        <v>20</v>
      </c>
      <c r="BM171">
        <f t="shared" si="9"/>
        <v>2.9033269999999995</v>
      </c>
      <c r="BN171">
        <f t="shared" si="10"/>
        <v>4.5745760000000004</v>
      </c>
      <c r="BO171">
        <f t="array" ref="BO171">MIN(IF($C171:$BK171&gt;0, $C171:$BK171))</f>
        <v>1.786969</v>
      </c>
      <c r="BP171">
        <f t="shared" si="11"/>
        <v>2.3538239999999999</v>
      </c>
    </row>
    <row r="172" spans="1:68" x14ac:dyDescent="0.25">
      <c r="A172" s="306">
        <v>331420</v>
      </c>
      <c r="B172" s="307" t="s">
        <v>157</v>
      </c>
      <c r="C172" s="307">
        <v>2.525941</v>
      </c>
      <c r="D172" s="307">
        <v>0</v>
      </c>
      <c r="E172" s="307">
        <v>2.2459639999999998</v>
      </c>
      <c r="F172" s="307">
        <v>2.9455480000000001</v>
      </c>
      <c r="G172" s="307">
        <v>2.545693</v>
      </c>
      <c r="H172" s="307">
        <v>2.6058349999999999</v>
      </c>
      <c r="I172" s="307">
        <v>2.9290940000000001</v>
      </c>
      <c r="J172" s="307">
        <v>2.1944880000000002</v>
      </c>
      <c r="K172" s="307">
        <v>0</v>
      </c>
      <c r="L172" s="307">
        <v>1.2718309999999999</v>
      </c>
      <c r="M172" s="307">
        <v>3.3295789999999998</v>
      </c>
      <c r="N172" s="307">
        <v>2.4689649999999999</v>
      </c>
      <c r="O172" s="307">
        <v>0</v>
      </c>
      <c r="P172" s="307">
        <v>2.2725170000000001</v>
      </c>
      <c r="Q172" s="307">
        <v>0</v>
      </c>
      <c r="R172" s="307">
        <v>1.927411</v>
      </c>
      <c r="S172" s="307">
        <v>2.3653010000000001</v>
      </c>
      <c r="T172" s="307">
        <v>2.8838240000000002</v>
      </c>
      <c r="U172" s="307">
        <v>2.1915710000000002</v>
      </c>
      <c r="V172" s="307">
        <v>2.9235929999999999</v>
      </c>
      <c r="W172" s="307">
        <v>2.375664</v>
      </c>
      <c r="X172" s="307">
        <v>3.059552</v>
      </c>
      <c r="Y172" s="307">
        <v>2.7982260000000001</v>
      </c>
      <c r="Z172" s="307">
        <v>2.8446199999999999</v>
      </c>
      <c r="AA172" s="307">
        <v>2.4828039999999998</v>
      </c>
      <c r="AB172" s="307">
        <v>2.0539350000000001</v>
      </c>
      <c r="AC172" s="307">
        <v>2.8401709999999998</v>
      </c>
      <c r="AD172" s="307">
        <v>0</v>
      </c>
      <c r="AE172" s="307">
        <v>2.63774</v>
      </c>
      <c r="AF172" s="307">
        <v>0</v>
      </c>
      <c r="AG172" s="307">
        <v>3.231849</v>
      </c>
      <c r="AH172" s="307">
        <v>2.8990909999999999</v>
      </c>
      <c r="AI172" s="307">
        <v>2.1956389999999999</v>
      </c>
      <c r="AJ172" s="307">
        <v>2.32138</v>
      </c>
      <c r="AK172" s="307">
        <v>0</v>
      </c>
      <c r="AL172" s="307">
        <v>2.415753</v>
      </c>
      <c r="AM172" s="307">
        <v>2.0067300000000001</v>
      </c>
      <c r="AN172" s="307">
        <v>2.8628269999999998</v>
      </c>
      <c r="AO172" s="307">
        <v>2.1901679999999999</v>
      </c>
      <c r="AP172" s="307">
        <v>2.3368730000000002</v>
      </c>
      <c r="AQ172" s="307">
        <v>1.962272</v>
      </c>
      <c r="AR172" s="307">
        <v>2.9414349999999998</v>
      </c>
      <c r="AS172" s="307">
        <v>0</v>
      </c>
      <c r="AT172" s="307">
        <v>2.5195379999999998</v>
      </c>
      <c r="AU172" s="307">
        <v>2.8852980000000001</v>
      </c>
      <c r="AV172" s="307">
        <v>3.291868</v>
      </c>
      <c r="AW172" s="307">
        <v>2.9492859999999999</v>
      </c>
      <c r="AX172" s="307">
        <v>1.946229</v>
      </c>
      <c r="AY172" s="307">
        <v>0</v>
      </c>
      <c r="AZ172" s="307">
        <v>2.8711500000000001</v>
      </c>
      <c r="BA172" s="307">
        <v>2.2475640000000001</v>
      </c>
      <c r="BB172" s="307">
        <v>0</v>
      </c>
      <c r="BC172" s="307">
        <v>2.5047039999999998</v>
      </c>
      <c r="BD172" s="307">
        <v>2.3991220000000002</v>
      </c>
      <c r="BE172" s="307">
        <v>2.2289080000000001</v>
      </c>
      <c r="BF172" s="307">
        <v>2.6241650000000001</v>
      </c>
      <c r="BG172" s="307">
        <v>2.5974740000000001</v>
      </c>
      <c r="BH172" s="307">
        <v>2.4253809999999998</v>
      </c>
      <c r="BI172" s="307">
        <v>2.9388339999999999</v>
      </c>
      <c r="BJ172" s="307">
        <v>2.877713</v>
      </c>
      <c r="BK172" s="307">
        <v>2.5953520000000001</v>
      </c>
      <c r="BL172">
        <f t="shared" si="8"/>
        <v>10</v>
      </c>
      <c r="BM172">
        <f t="shared" si="9"/>
        <v>2.5487543137254907</v>
      </c>
      <c r="BN172">
        <f t="shared" si="10"/>
        <v>3.3295789999999998</v>
      </c>
      <c r="BO172">
        <f t="array" ref="BO172">MIN(IF($C172:$BK172&gt;0, $C172:$BK172))</f>
        <v>1.2718309999999999</v>
      </c>
      <c r="BP172">
        <f t="shared" si="11"/>
        <v>2.4253809999999998</v>
      </c>
    </row>
    <row r="173" spans="1:68" x14ac:dyDescent="0.25">
      <c r="A173" s="306">
        <v>331490</v>
      </c>
      <c r="B173" s="307" t="s">
        <v>158</v>
      </c>
      <c r="C173" s="307">
        <v>3.1649430000000001</v>
      </c>
      <c r="D173" s="307">
        <v>0</v>
      </c>
      <c r="E173" s="307">
        <v>3.2802929999999999</v>
      </c>
      <c r="F173" s="307">
        <v>3.8728400000000001</v>
      </c>
      <c r="G173" s="307">
        <v>3.824427</v>
      </c>
      <c r="H173" s="307">
        <v>3.5909430000000002</v>
      </c>
      <c r="I173" s="307">
        <v>2.3777729999999999</v>
      </c>
      <c r="J173" s="307">
        <v>3.0612729999999999</v>
      </c>
      <c r="K173" s="307">
        <v>0</v>
      </c>
      <c r="L173" s="307">
        <v>0</v>
      </c>
      <c r="M173" s="307">
        <v>3.0013529999999999</v>
      </c>
      <c r="N173" s="307">
        <v>2.9475910000000001</v>
      </c>
      <c r="O173" s="307">
        <v>0</v>
      </c>
      <c r="P173" s="307">
        <v>0</v>
      </c>
      <c r="Q173" s="307">
        <v>3.922005</v>
      </c>
      <c r="R173" s="307">
        <v>2.6896490000000002</v>
      </c>
      <c r="S173" s="307">
        <v>2.7190240000000001</v>
      </c>
      <c r="T173" s="307">
        <v>0</v>
      </c>
      <c r="U173" s="307">
        <v>3.193775</v>
      </c>
      <c r="V173" s="307">
        <v>3.3596569999999999</v>
      </c>
      <c r="W173" s="307">
        <v>2.4773969999999998</v>
      </c>
      <c r="X173" s="307">
        <v>3.7793619999999999</v>
      </c>
      <c r="Y173" s="307">
        <v>2.3074840000000001</v>
      </c>
      <c r="Z173" s="307">
        <v>3.3559160000000001</v>
      </c>
      <c r="AA173" s="307">
        <v>4.0074709999999998</v>
      </c>
      <c r="AB173" s="307">
        <v>3.6732320000000001</v>
      </c>
      <c r="AC173" s="307">
        <v>0</v>
      </c>
      <c r="AD173" s="307">
        <v>4.3672440000000003</v>
      </c>
      <c r="AE173" s="307">
        <v>2.6108720000000001</v>
      </c>
      <c r="AF173" s="307">
        <v>0</v>
      </c>
      <c r="AG173" s="307">
        <v>0</v>
      </c>
      <c r="AH173" s="307">
        <v>2.165295</v>
      </c>
      <c r="AI173" s="307">
        <v>2.3584510000000001</v>
      </c>
      <c r="AJ173" s="307">
        <v>2.4128020000000001</v>
      </c>
      <c r="AK173" s="307">
        <v>3.2806280000000001</v>
      </c>
      <c r="AL173" s="307">
        <v>3.0829330000000001</v>
      </c>
      <c r="AM173" s="307">
        <v>2.8539479999999999</v>
      </c>
      <c r="AN173" s="307">
        <v>4.3262010000000002</v>
      </c>
      <c r="AO173" s="307">
        <v>3.1374490000000002</v>
      </c>
      <c r="AP173" s="307">
        <v>2.977325</v>
      </c>
      <c r="AQ173" s="307">
        <v>2.7270310000000002</v>
      </c>
      <c r="AR173" s="307">
        <v>3.0243799999999998</v>
      </c>
      <c r="AS173" s="307">
        <v>0</v>
      </c>
      <c r="AT173" s="307">
        <v>3.5220449999999999</v>
      </c>
      <c r="AU173" s="307">
        <v>3.9604900000000001</v>
      </c>
      <c r="AV173" s="307">
        <v>3.0470999999999999</v>
      </c>
      <c r="AW173" s="307">
        <v>4.2527039999999996</v>
      </c>
      <c r="AX173" s="307">
        <v>0</v>
      </c>
      <c r="AY173" s="307">
        <v>3.189667</v>
      </c>
      <c r="AZ173" s="307">
        <v>3.1398359999999998</v>
      </c>
      <c r="BA173" s="307">
        <v>2.1669399999999999</v>
      </c>
      <c r="BB173" s="307">
        <v>0</v>
      </c>
      <c r="BC173" s="307">
        <v>2.8682210000000001</v>
      </c>
      <c r="BD173" s="307">
        <v>3.0150519999999998</v>
      </c>
      <c r="BE173" s="307">
        <v>2.957681</v>
      </c>
      <c r="BF173" s="307">
        <v>3.7193900000000002</v>
      </c>
      <c r="BG173" s="307">
        <v>2.7549350000000001</v>
      </c>
      <c r="BH173" s="307">
        <v>3.4076780000000002</v>
      </c>
      <c r="BI173" s="307">
        <v>3.8275589999999999</v>
      </c>
      <c r="BJ173" s="307">
        <v>3.17048</v>
      </c>
      <c r="BK173" s="307">
        <v>3.5669140000000001</v>
      </c>
      <c r="BL173">
        <f t="shared" si="8"/>
        <v>12</v>
      </c>
      <c r="BM173">
        <f t="shared" si="9"/>
        <v>3.1938297755102041</v>
      </c>
      <c r="BN173">
        <f t="shared" si="10"/>
        <v>4.3672440000000003</v>
      </c>
      <c r="BO173">
        <f t="array" ref="BO173">MIN(IF($C173:$BK173&gt;0, $C173:$BK173))</f>
        <v>2.165295</v>
      </c>
      <c r="BP173">
        <f t="shared" si="11"/>
        <v>3.0150519999999998</v>
      </c>
    </row>
    <row r="174" spans="1:68" x14ac:dyDescent="0.25">
      <c r="A174" s="306">
        <v>331510</v>
      </c>
      <c r="B174" s="307" t="s">
        <v>159</v>
      </c>
      <c r="C174" s="307">
        <v>6.5804780000000003</v>
      </c>
      <c r="D174" s="307">
        <v>0</v>
      </c>
      <c r="E174" s="307">
        <v>5.6994059999999998</v>
      </c>
      <c r="F174" s="307">
        <v>6.8927019999999999</v>
      </c>
      <c r="G174" s="307">
        <v>6.3857840000000001</v>
      </c>
      <c r="H174" s="307">
        <v>7.0546879999999996</v>
      </c>
      <c r="I174" s="307">
        <v>6.7154930000000004</v>
      </c>
      <c r="J174" s="307">
        <v>5.4704980000000001</v>
      </c>
      <c r="K174" s="307">
        <v>0</v>
      </c>
      <c r="L174" s="307">
        <v>0</v>
      </c>
      <c r="M174" s="307">
        <v>7.8220789999999996</v>
      </c>
      <c r="N174" s="307">
        <v>6.969506</v>
      </c>
      <c r="O174" s="307">
        <v>0</v>
      </c>
      <c r="P174" s="307">
        <v>6.4314450000000001</v>
      </c>
      <c r="Q174" s="307">
        <v>6.9150200000000002</v>
      </c>
      <c r="R174" s="307">
        <v>5.2092599999999996</v>
      </c>
      <c r="S174" s="307">
        <v>6.6490450000000001</v>
      </c>
      <c r="T174" s="307">
        <v>7.0131019999999999</v>
      </c>
      <c r="U174" s="307">
        <v>7.0992790000000001</v>
      </c>
      <c r="V174" s="307">
        <v>8.055987</v>
      </c>
      <c r="W174" s="307">
        <v>5.4487730000000001</v>
      </c>
      <c r="X174" s="307">
        <v>5.2351970000000003</v>
      </c>
      <c r="Y174" s="307">
        <v>7.7455870000000004</v>
      </c>
      <c r="Z174" s="307">
        <v>5.5920620000000003</v>
      </c>
      <c r="AA174" s="307">
        <v>7.1643559999999997</v>
      </c>
      <c r="AB174" s="307">
        <v>6.8198350000000003</v>
      </c>
      <c r="AC174" s="307">
        <v>7.830076</v>
      </c>
      <c r="AD174" s="307">
        <v>7.0170839999999997</v>
      </c>
      <c r="AE174" s="307">
        <v>6.8211539999999999</v>
      </c>
      <c r="AF174" s="307">
        <v>0</v>
      </c>
      <c r="AG174" s="307">
        <v>8.157845</v>
      </c>
      <c r="AH174" s="307">
        <v>6.5014349999999999</v>
      </c>
      <c r="AI174" s="307">
        <v>5.3675680000000003</v>
      </c>
      <c r="AJ174" s="307">
        <v>5.9112629999999999</v>
      </c>
      <c r="AK174" s="307">
        <v>6.2411750000000001</v>
      </c>
      <c r="AL174" s="307">
        <v>6.9896469999999997</v>
      </c>
      <c r="AM174" s="307">
        <v>5.5059620000000002</v>
      </c>
      <c r="AN174" s="307">
        <v>8.3051890000000004</v>
      </c>
      <c r="AO174" s="307">
        <v>5.0206080000000002</v>
      </c>
      <c r="AP174" s="307">
        <v>6.4048020000000001</v>
      </c>
      <c r="AQ174" s="307">
        <v>6.8220200000000002</v>
      </c>
      <c r="AR174" s="307">
        <v>8.2117310000000003</v>
      </c>
      <c r="AS174" s="307">
        <v>8.0888069999999992</v>
      </c>
      <c r="AT174" s="307">
        <v>6.6340919999999999</v>
      </c>
      <c r="AU174" s="307">
        <v>6.9751789999999998</v>
      </c>
      <c r="AV174" s="307">
        <v>7.6370110000000002</v>
      </c>
      <c r="AW174" s="307">
        <v>7.6393649999999997</v>
      </c>
      <c r="AX174" s="307">
        <v>5.7250930000000002</v>
      </c>
      <c r="AY174" s="307">
        <v>7.0450720000000002</v>
      </c>
      <c r="AZ174" s="307">
        <v>6.3573909999999998</v>
      </c>
      <c r="BA174" s="307">
        <v>5.9393279999999997</v>
      </c>
      <c r="BB174" s="307">
        <v>0</v>
      </c>
      <c r="BC174" s="307">
        <v>6.5553850000000002</v>
      </c>
      <c r="BD174" s="307">
        <v>6.496518</v>
      </c>
      <c r="BE174" s="307">
        <v>6.0894709999999996</v>
      </c>
      <c r="BF174" s="307">
        <v>7.2136810000000002</v>
      </c>
      <c r="BG174" s="307">
        <v>7.1374899999999997</v>
      </c>
      <c r="BH174" s="307">
        <v>5.8722620000000001</v>
      </c>
      <c r="BI174" s="307">
        <v>7.1837929999999997</v>
      </c>
      <c r="BJ174" s="307">
        <v>7.0173180000000004</v>
      </c>
      <c r="BK174" s="307">
        <v>6.5107609999999996</v>
      </c>
      <c r="BL174">
        <f t="shared" si="8"/>
        <v>6</v>
      </c>
      <c r="BM174">
        <f t="shared" si="9"/>
        <v>6.6944574181818179</v>
      </c>
      <c r="BN174">
        <f t="shared" si="10"/>
        <v>8.3051890000000004</v>
      </c>
      <c r="BO174">
        <f t="array" ref="BO174">MIN(IF($C174:$BK174&gt;0, $C174:$BK174))</f>
        <v>5.0206080000000002</v>
      </c>
      <c r="BP174">
        <f t="shared" si="11"/>
        <v>6.6340919999999999</v>
      </c>
    </row>
    <row r="175" spans="1:68" x14ac:dyDescent="0.25">
      <c r="A175" s="306">
        <v>331520</v>
      </c>
      <c r="B175" s="307" t="s">
        <v>160</v>
      </c>
      <c r="C175" s="307">
        <v>6.3525989999999997</v>
      </c>
      <c r="D175" s="307">
        <v>0</v>
      </c>
      <c r="E175" s="307">
        <v>7.2346009999999996</v>
      </c>
      <c r="F175" s="307">
        <v>6.1320589999999999</v>
      </c>
      <c r="G175" s="307">
        <v>7.5290699999999999</v>
      </c>
      <c r="H175" s="307">
        <v>5.9630890000000001</v>
      </c>
      <c r="I175" s="307">
        <v>6.2941770000000004</v>
      </c>
      <c r="J175" s="307">
        <v>6.021363</v>
      </c>
      <c r="K175" s="307">
        <v>0</v>
      </c>
      <c r="L175" s="307">
        <v>0</v>
      </c>
      <c r="M175" s="307">
        <v>8.9154260000000001</v>
      </c>
      <c r="N175" s="307">
        <v>6.3121520000000002</v>
      </c>
      <c r="O175" s="307">
        <v>0</v>
      </c>
      <c r="P175" s="307">
        <v>6.9436159999999996</v>
      </c>
      <c r="Q175" s="307">
        <v>4.8923579999999998</v>
      </c>
      <c r="R175" s="307">
        <v>5.8946569999999996</v>
      </c>
      <c r="S175" s="307">
        <v>5.7353459999999998</v>
      </c>
      <c r="T175" s="307">
        <v>8.0414169999999991</v>
      </c>
      <c r="U175" s="307">
        <v>6.3708070000000001</v>
      </c>
      <c r="V175" s="307">
        <v>8.730067</v>
      </c>
      <c r="W175" s="307">
        <v>5.7708019999999998</v>
      </c>
      <c r="X175" s="307">
        <v>7.8164899999999999</v>
      </c>
      <c r="Y175" s="307">
        <v>8.6481119999999994</v>
      </c>
      <c r="Z175" s="307">
        <v>5.2892510000000001</v>
      </c>
      <c r="AA175" s="307">
        <v>6.0459719999999999</v>
      </c>
      <c r="AB175" s="307">
        <v>6.3302139999999998</v>
      </c>
      <c r="AC175" s="307">
        <v>5.1260810000000001</v>
      </c>
      <c r="AD175" s="307">
        <v>7.0901519999999998</v>
      </c>
      <c r="AE175" s="307">
        <v>7.1722960000000002</v>
      </c>
      <c r="AF175" s="307">
        <v>0</v>
      </c>
      <c r="AG175" s="307">
        <v>7.838317</v>
      </c>
      <c r="AH175" s="307">
        <v>5.6673730000000004</v>
      </c>
      <c r="AI175" s="307">
        <v>6.4310150000000004</v>
      </c>
      <c r="AJ175" s="307">
        <v>5.3874329999999997</v>
      </c>
      <c r="AK175" s="307">
        <v>7.193829</v>
      </c>
      <c r="AL175" s="307">
        <v>5.2509449999999998</v>
      </c>
      <c r="AM175" s="307">
        <v>5.5920860000000001</v>
      </c>
      <c r="AN175" s="307">
        <v>7.7316849999999997</v>
      </c>
      <c r="AO175" s="307">
        <v>4.7189009999999998</v>
      </c>
      <c r="AP175" s="307">
        <v>6.1052569999999999</v>
      </c>
      <c r="AQ175" s="307">
        <v>7.5575260000000002</v>
      </c>
      <c r="AR175" s="307">
        <v>7.1444559999999999</v>
      </c>
      <c r="AS175" s="307">
        <v>8.3878959999999996</v>
      </c>
      <c r="AT175" s="307">
        <v>6.2696519999999998</v>
      </c>
      <c r="AU175" s="307">
        <v>8.2656609999999997</v>
      </c>
      <c r="AV175" s="307">
        <v>8.8145170000000004</v>
      </c>
      <c r="AW175" s="307">
        <v>5.2097429999999996</v>
      </c>
      <c r="AX175" s="307">
        <v>0</v>
      </c>
      <c r="AY175" s="307">
        <v>6.5001689999999996</v>
      </c>
      <c r="AZ175" s="307">
        <v>6.2428280000000003</v>
      </c>
      <c r="BA175" s="307">
        <v>6.0065049999999998</v>
      </c>
      <c r="BB175" s="307">
        <v>7.8308450000000001</v>
      </c>
      <c r="BC175" s="307">
        <v>6.5213099999999997</v>
      </c>
      <c r="BD175" s="307">
        <v>6.0873900000000001</v>
      </c>
      <c r="BE175" s="307">
        <v>5.855899</v>
      </c>
      <c r="BF175" s="307">
        <v>6.5137700000000001</v>
      </c>
      <c r="BG175" s="307">
        <v>6.2357760000000004</v>
      </c>
      <c r="BH175" s="307">
        <v>6.7287140000000001</v>
      </c>
      <c r="BI175" s="307">
        <v>7.6458259999999996</v>
      </c>
      <c r="BJ175" s="307">
        <v>7.1125420000000004</v>
      </c>
      <c r="BK175" s="307">
        <v>5.8274949999999999</v>
      </c>
      <c r="BL175">
        <f t="shared" si="8"/>
        <v>6</v>
      </c>
      <c r="BM175">
        <f t="shared" si="9"/>
        <v>6.6423188181818213</v>
      </c>
      <c r="BN175">
        <f t="shared" si="10"/>
        <v>8.9154260000000001</v>
      </c>
      <c r="BO175">
        <f t="array" ref="BO175">MIN(IF($C175:$BK175&gt;0, $C175:$BK175))</f>
        <v>4.7189009999999998</v>
      </c>
      <c r="BP175">
        <f t="shared" si="11"/>
        <v>6.2941770000000004</v>
      </c>
    </row>
    <row r="176" spans="1:68" x14ac:dyDescent="0.25">
      <c r="A176" s="306">
        <v>332114</v>
      </c>
      <c r="B176" s="307" t="s">
        <v>162</v>
      </c>
      <c r="C176" s="307">
        <v>3.6439339999999998</v>
      </c>
      <c r="D176" s="307">
        <v>6.0883010000000004</v>
      </c>
      <c r="E176" s="307">
        <v>4.7285310000000003</v>
      </c>
      <c r="F176" s="307">
        <v>6.5666380000000002</v>
      </c>
      <c r="G176" s="307">
        <v>0</v>
      </c>
      <c r="H176" s="307">
        <v>3.222899</v>
      </c>
      <c r="I176" s="307">
        <v>5.126887</v>
      </c>
      <c r="J176" s="307">
        <v>4.2853849999999998</v>
      </c>
      <c r="K176" s="307">
        <v>0</v>
      </c>
      <c r="L176" s="307">
        <v>0</v>
      </c>
      <c r="M176" s="307">
        <v>3.8591220000000002</v>
      </c>
      <c r="N176" s="307">
        <v>5.7246269999999999</v>
      </c>
      <c r="O176" s="307">
        <v>0</v>
      </c>
      <c r="P176" s="307">
        <v>0</v>
      </c>
      <c r="Q176" s="307">
        <v>6.4760609999999996</v>
      </c>
      <c r="R176" s="307">
        <v>3.9907919999999999</v>
      </c>
      <c r="S176" s="307">
        <v>4.3321100000000001</v>
      </c>
      <c r="T176" s="307">
        <v>3.4200900000000001</v>
      </c>
      <c r="U176" s="307">
        <v>3.1118389999999998</v>
      </c>
      <c r="V176" s="307">
        <v>4.1837010000000001</v>
      </c>
      <c r="W176" s="307">
        <v>6.2324260000000002</v>
      </c>
      <c r="X176" s="307">
        <v>3.6980620000000002</v>
      </c>
      <c r="Y176" s="307">
        <v>0</v>
      </c>
      <c r="Z176" s="307">
        <v>3.4212280000000002</v>
      </c>
      <c r="AA176" s="307">
        <v>2.6687630000000002</v>
      </c>
      <c r="AB176" s="307">
        <v>4.9381380000000004</v>
      </c>
      <c r="AC176" s="307">
        <v>6.2736970000000003</v>
      </c>
      <c r="AD176" s="307">
        <v>0</v>
      </c>
      <c r="AE176" s="307">
        <v>4.5794639999999998</v>
      </c>
      <c r="AF176" s="307">
        <v>0</v>
      </c>
      <c r="AG176" s="307">
        <v>4.5023900000000001</v>
      </c>
      <c r="AH176" s="307">
        <v>2.6458550000000001</v>
      </c>
      <c r="AI176" s="307">
        <v>4.8415609999999996</v>
      </c>
      <c r="AJ176" s="307">
        <v>5.3745960000000004</v>
      </c>
      <c r="AK176" s="307">
        <v>6.8081469999999999</v>
      </c>
      <c r="AL176" s="307">
        <v>4.795871</v>
      </c>
      <c r="AM176" s="307">
        <v>3.9746570000000001</v>
      </c>
      <c r="AN176" s="307">
        <v>5.6892849999999999</v>
      </c>
      <c r="AO176" s="307">
        <v>4.1127219999999998</v>
      </c>
      <c r="AP176" s="307">
        <v>3.1678199999999999</v>
      </c>
      <c r="AQ176" s="307">
        <v>0</v>
      </c>
      <c r="AR176" s="307">
        <v>2.9523609999999998</v>
      </c>
      <c r="AS176" s="307">
        <v>0</v>
      </c>
      <c r="AT176" s="307">
        <v>4.1477550000000001</v>
      </c>
      <c r="AU176" s="307">
        <v>3.8314539999999999</v>
      </c>
      <c r="AV176" s="307">
        <v>0</v>
      </c>
      <c r="AW176" s="307">
        <v>0</v>
      </c>
      <c r="AX176" s="307">
        <v>0</v>
      </c>
      <c r="AY176" s="307">
        <v>4.339404</v>
      </c>
      <c r="AZ176" s="307">
        <v>3.2277710000000002</v>
      </c>
      <c r="BA176" s="307">
        <v>5.9771739999999998</v>
      </c>
      <c r="BB176" s="307">
        <v>0</v>
      </c>
      <c r="BC176" s="307">
        <v>3.6605690000000002</v>
      </c>
      <c r="BD176" s="307">
        <v>3.869491</v>
      </c>
      <c r="BE176" s="307">
        <v>3.5607959999999999</v>
      </c>
      <c r="BF176" s="307">
        <v>3.824144</v>
      </c>
      <c r="BG176" s="307">
        <v>4.3844289999999999</v>
      </c>
      <c r="BH176" s="307">
        <v>3.4709319999999999</v>
      </c>
      <c r="BI176" s="307">
        <v>3.971279</v>
      </c>
      <c r="BJ176" s="307">
        <v>5.8667179999999997</v>
      </c>
      <c r="BK176" s="307">
        <v>3.2739600000000002</v>
      </c>
      <c r="BL176">
        <f t="shared" si="8"/>
        <v>14</v>
      </c>
      <c r="BM176">
        <f t="shared" si="9"/>
        <v>4.4009326808510645</v>
      </c>
      <c r="BN176">
        <f t="shared" si="10"/>
        <v>6.8081469999999999</v>
      </c>
      <c r="BO176">
        <f t="array" ref="BO176">MIN(IF($C176:$BK176&gt;0, $C176:$BK176))</f>
        <v>2.6458550000000001</v>
      </c>
      <c r="BP176">
        <f t="shared" si="11"/>
        <v>3.8314539999999999</v>
      </c>
    </row>
    <row r="177" spans="1:68" x14ac:dyDescent="0.25">
      <c r="A177" s="306" t="s">
        <v>724</v>
      </c>
      <c r="B177" s="307" t="s">
        <v>161</v>
      </c>
      <c r="C177" s="307">
        <v>4.3914520000000001</v>
      </c>
      <c r="D177" s="307">
        <v>9.8517449999999993</v>
      </c>
      <c r="E177" s="307">
        <v>5.5103109999999997</v>
      </c>
      <c r="F177" s="307">
        <v>6.132301</v>
      </c>
      <c r="G177" s="307">
        <v>6.2048819999999996</v>
      </c>
      <c r="H177" s="307">
        <v>4.0164910000000003</v>
      </c>
      <c r="I177" s="307">
        <v>4.9234910000000003</v>
      </c>
      <c r="J177" s="307">
        <v>4.29373</v>
      </c>
      <c r="K177" s="307">
        <v>0</v>
      </c>
      <c r="L177" s="307">
        <v>0</v>
      </c>
      <c r="M177" s="307">
        <v>6.7697779999999996</v>
      </c>
      <c r="N177" s="307">
        <v>4.9274789999999999</v>
      </c>
      <c r="O177" s="307">
        <v>0</v>
      </c>
      <c r="P177" s="307">
        <v>4.7827669999999998</v>
      </c>
      <c r="Q177" s="307">
        <v>8.3495600000000003</v>
      </c>
      <c r="R177" s="307">
        <v>3.8502299999999998</v>
      </c>
      <c r="S177" s="307">
        <v>4.6790390000000004</v>
      </c>
      <c r="T177" s="307">
        <v>4.4623590000000002</v>
      </c>
      <c r="U177" s="307">
        <v>4.6794469999999997</v>
      </c>
      <c r="V177" s="307">
        <v>2.6557629999999999</v>
      </c>
      <c r="W177" s="307">
        <v>2.9022410000000001</v>
      </c>
      <c r="X177" s="307">
        <v>6.059069</v>
      </c>
      <c r="Y177" s="307">
        <v>0</v>
      </c>
      <c r="Z177" s="307">
        <v>4.1618370000000002</v>
      </c>
      <c r="AA177" s="307">
        <v>4.4592729999999996</v>
      </c>
      <c r="AB177" s="307">
        <v>6.0800280000000004</v>
      </c>
      <c r="AC177" s="307">
        <v>6.2234309999999997</v>
      </c>
      <c r="AD177" s="307">
        <v>9.0161280000000001</v>
      </c>
      <c r="AE177" s="307">
        <v>5.4052930000000003</v>
      </c>
      <c r="AF177" s="307">
        <v>0</v>
      </c>
      <c r="AG177" s="307">
        <v>6.902641</v>
      </c>
      <c r="AH177" s="307">
        <v>0</v>
      </c>
      <c r="AI177" s="307">
        <v>3.5299499999999999</v>
      </c>
      <c r="AJ177" s="307">
        <v>8.8647460000000002</v>
      </c>
      <c r="AK177" s="307">
        <v>3.190016</v>
      </c>
      <c r="AL177" s="307">
        <v>2.761701</v>
      </c>
      <c r="AM177" s="307">
        <v>3.9325130000000001</v>
      </c>
      <c r="AN177" s="307">
        <v>5.7591089999999996</v>
      </c>
      <c r="AO177" s="307">
        <v>4.7820879999999999</v>
      </c>
      <c r="AP177" s="307">
        <v>5.3075919999999996</v>
      </c>
      <c r="AQ177" s="307">
        <v>10.12506</v>
      </c>
      <c r="AR177" s="307">
        <v>4.536397</v>
      </c>
      <c r="AS177" s="307">
        <v>8.623113</v>
      </c>
      <c r="AT177" s="307">
        <v>5.0695550000000003</v>
      </c>
      <c r="AU177" s="307">
        <v>3.3514279999999999</v>
      </c>
      <c r="AV177" s="307">
        <v>6.3141389999999999</v>
      </c>
      <c r="AW177" s="307">
        <v>5.3003629999999999</v>
      </c>
      <c r="AX177" s="307">
        <v>10.295640000000001</v>
      </c>
      <c r="AY177" s="307">
        <v>3.45709</v>
      </c>
      <c r="AZ177" s="307">
        <v>4.4770409999999998</v>
      </c>
      <c r="BA177" s="307">
        <v>6.3339020000000001</v>
      </c>
      <c r="BB177" s="307">
        <v>6.3462759999999996</v>
      </c>
      <c r="BC177" s="307">
        <v>3.607364</v>
      </c>
      <c r="BD177" s="307">
        <v>5.0044120000000003</v>
      </c>
      <c r="BE177" s="307">
        <v>4.1708970000000001</v>
      </c>
      <c r="BF177" s="307">
        <v>5.1052099999999996</v>
      </c>
      <c r="BG177" s="307">
        <v>5.296564</v>
      </c>
      <c r="BH177" s="307">
        <v>5.2231509999999997</v>
      </c>
      <c r="BI177" s="307">
        <v>3.4124180000000002</v>
      </c>
      <c r="BJ177" s="307">
        <v>4.8877600000000001</v>
      </c>
      <c r="BK177" s="307">
        <v>4.0013110000000003</v>
      </c>
      <c r="BL177">
        <f t="shared" si="8"/>
        <v>6</v>
      </c>
      <c r="BM177">
        <f t="shared" si="9"/>
        <v>5.3592285818181793</v>
      </c>
      <c r="BN177">
        <f t="shared" si="10"/>
        <v>10.295640000000001</v>
      </c>
      <c r="BO177">
        <f t="array" ref="BO177">MIN(IF($C177:$BK177&gt;0, $C177:$BK177))</f>
        <v>2.6557629999999999</v>
      </c>
      <c r="BP177">
        <f t="shared" si="11"/>
        <v>4.7827669999999998</v>
      </c>
    </row>
    <row r="178" spans="1:68" x14ac:dyDescent="0.25">
      <c r="A178" s="306" t="s">
        <v>725</v>
      </c>
      <c r="B178" s="307" t="s">
        <v>163</v>
      </c>
      <c r="C178" s="307">
        <v>6.1372799999999996</v>
      </c>
      <c r="D178" s="307">
        <v>0</v>
      </c>
      <c r="E178" s="307">
        <v>8.6762619999999995</v>
      </c>
      <c r="F178" s="307">
        <v>6.5861780000000003</v>
      </c>
      <c r="G178" s="307">
        <v>6.3949470000000002</v>
      </c>
      <c r="H178" s="307">
        <v>6.2124470000000001</v>
      </c>
      <c r="I178" s="307">
        <v>6.6782450000000004</v>
      </c>
      <c r="J178" s="307">
        <v>5.034478</v>
      </c>
      <c r="K178" s="307">
        <v>0.81353690000000001</v>
      </c>
      <c r="L178" s="307">
        <v>5.9052860000000003</v>
      </c>
      <c r="M178" s="307">
        <v>6.6916260000000003</v>
      </c>
      <c r="N178" s="307">
        <v>7.1090350000000004</v>
      </c>
      <c r="O178" s="307">
        <v>0</v>
      </c>
      <c r="P178" s="307">
        <v>6.5865109999999998</v>
      </c>
      <c r="Q178" s="307">
        <v>0</v>
      </c>
      <c r="R178" s="307">
        <v>5.352716</v>
      </c>
      <c r="S178" s="307">
        <v>6.0914089999999996</v>
      </c>
      <c r="T178" s="307">
        <v>8.1427049999999994</v>
      </c>
      <c r="U178" s="307">
        <v>6.8240809999999996</v>
      </c>
      <c r="V178" s="307">
        <v>0</v>
      </c>
      <c r="W178" s="307">
        <v>4.9520020000000002</v>
      </c>
      <c r="X178" s="307">
        <v>6.4276549999999997</v>
      </c>
      <c r="Y178" s="307">
        <v>8.1452810000000007</v>
      </c>
      <c r="Z178" s="307">
        <v>5.8300539999999996</v>
      </c>
      <c r="AA178" s="307">
        <v>5.7684749999999996</v>
      </c>
      <c r="AB178" s="307">
        <v>6.233371</v>
      </c>
      <c r="AC178" s="307">
        <v>8.1679589999999997</v>
      </c>
      <c r="AD178" s="307">
        <v>9.040851</v>
      </c>
      <c r="AE178" s="307">
        <v>6.5644010000000002</v>
      </c>
      <c r="AF178" s="307">
        <v>6.7509949999999996</v>
      </c>
      <c r="AG178" s="307">
        <v>6.2441110000000002</v>
      </c>
      <c r="AH178" s="307">
        <v>4.5120089999999999</v>
      </c>
      <c r="AI178" s="307">
        <v>4.7747739999999999</v>
      </c>
      <c r="AJ178" s="307">
        <v>7.5306470000000001</v>
      </c>
      <c r="AK178" s="307">
        <v>4.599164</v>
      </c>
      <c r="AL178" s="307">
        <v>5.5240410000000004</v>
      </c>
      <c r="AM178" s="307">
        <v>6.1071090000000003</v>
      </c>
      <c r="AN178" s="307">
        <v>6.63917</v>
      </c>
      <c r="AO178" s="307">
        <v>6.5543440000000004</v>
      </c>
      <c r="AP178" s="307">
        <v>6.0718180000000004</v>
      </c>
      <c r="AQ178" s="307">
        <v>5.3571049999999998</v>
      </c>
      <c r="AR178" s="307">
        <v>7.1894830000000001</v>
      </c>
      <c r="AS178" s="307">
        <v>8.6927350000000008</v>
      </c>
      <c r="AT178" s="307">
        <v>7.1114300000000004</v>
      </c>
      <c r="AU178" s="307">
        <v>5.7933399999999997</v>
      </c>
      <c r="AV178" s="307">
        <v>8.9603599999999997</v>
      </c>
      <c r="AW178" s="307">
        <v>6.3635929999999998</v>
      </c>
      <c r="AX178" s="307">
        <v>5.5638629999999996</v>
      </c>
      <c r="AY178" s="307">
        <v>6.1014160000000004</v>
      </c>
      <c r="AZ178" s="307">
        <v>6.3446939999999996</v>
      </c>
      <c r="BA178" s="307">
        <v>6.2457229999999999</v>
      </c>
      <c r="BB178" s="307">
        <v>0</v>
      </c>
      <c r="BC178" s="307">
        <v>5.2187599999999996</v>
      </c>
      <c r="BD178" s="307">
        <v>5.7112400000000001</v>
      </c>
      <c r="BE178" s="307">
        <v>5.967492</v>
      </c>
      <c r="BF178" s="307">
        <v>6.286829</v>
      </c>
      <c r="BG178" s="307">
        <v>6.8709720000000001</v>
      </c>
      <c r="BH178" s="307">
        <v>7.6854480000000001</v>
      </c>
      <c r="BI178" s="307">
        <v>6.1089739999999999</v>
      </c>
      <c r="BJ178" s="307">
        <v>6.5934499999999998</v>
      </c>
      <c r="BK178" s="307">
        <v>6.230105</v>
      </c>
      <c r="BL178">
        <f t="shared" si="8"/>
        <v>5</v>
      </c>
      <c r="BM178">
        <f t="shared" si="9"/>
        <v>6.358428319642857</v>
      </c>
      <c r="BN178">
        <f t="shared" si="10"/>
        <v>9.040851</v>
      </c>
      <c r="BO178">
        <f t="array" ref="BO178">MIN(IF($C178:$BK178&gt;0, $C178:$BK178))</f>
        <v>0.81353690000000001</v>
      </c>
      <c r="BP178">
        <f t="shared" si="11"/>
        <v>6.233371</v>
      </c>
    </row>
    <row r="179" spans="1:68" x14ac:dyDescent="0.25">
      <c r="A179" s="306" t="s">
        <v>726</v>
      </c>
      <c r="B179" s="307" t="s">
        <v>164</v>
      </c>
      <c r="C179" s="307">
        <v>3.476451</v>
      </c>
      <c r="D179" s="307">
        <v>8.1084779999999999</v>
      </c>
      <c r="E179" s="307">
        <v>7.7131319999999999</v>
      </c>
      <c r="F179" s="307">
        <v>6.7038440000000001</v>
      </c>
      <c r="G179" s="307">
        <v>4.2311480000000001</v>
      </c>
      <c r="H179" s="307">
        <v>4.0878680000000003</v>
      </c>
      <c r="I179" s="307">
        <v>3.3072859999999999</v>
      </c>
      <c r="J179" s="307">
        <v>2.2636180000000001</v>
      </c>
      <c r="K179" s="307">
        <v>0</v>
      </c>
      <c r="L179" s="307">
        <v>0</v>
      </c>
      <c r="M179" s="307">
        <v>3.7790249999999999</v>
      </c>
      <c r="N179" s="307">
        <v>2.2281650000000002</v>
      </c>
      <c r="O179" s="307">
        <v>0</v>
      </c>
      <c r="P179" s="307">
        <v>4.5027749999999997</v>
      </c>
      <c r="Q179" s="307">
        <v>5.0807770000000003</v>
      </c>
      <c r="R179" s="307">
        <v>2.2374079999999998</v>
      </c>
      <c r="S179" s="307">
        <v>5.2985579999999999</v>
      </c>
      <c r="T179" s="307">
        <v>4.7808590000000004</v>
      </c>
      <c r="U179" s="307">
        <v>4.044162</v>
      </c>
      <c r="V179" s="307">
        <v>0</v>
      </c>
      <c r="W179" s="307">
        <v>2.1645669999999999</v>
      </c>
      <c r="X179" s="307">
        <v>4.3725379999999996</v>
      </c>
      <c r="Y179" s="307">
        <v>0</v>
      </c>
      <c r="Z179" s="307">
        <v>5.0063319999999996</v>
      </c>
      <c r="AA179" s="307">
        <v>3.294619</v>
      </c>
      <c r="AB179" s="307">
        <v>6.8806380000000003</v>
      </c>
      <c r="AC179" s="307">
        <v>0</v>
      </c>
      <c r="AD179" s="307">
        <v>8.7021630000000005</v>
      </c>
      <c r="AE179" s="307">
        <v>4.536079</v>
      </c>
      <c r="AF179" s="307">
        <v>6.6070029999999997</v>
      </c>
      <c r="AG179" s="307">
        <v>8.4730830000000008</v>
      </c>
      <c r="AH179" s="307">
        <v>4.7621950000000002</v>
      </c>
      <c r="AI179" s="307">
        <v>3.7564549999999999</v>
      </c>
      <c r="AJ179" s="307">
        <v>5.2384310000000003</v>
      </c>
      <c r="AK179" s="307">
        <v>0</v>
      </c>
      <c r="AL179" s="307">
        <v>3.9035310000000001</v>
      </c>
      <c r="AM179" s="307">
        <v>4.0407200000000003</v>
      </c>
      <c r="AN179" s="307">
        <v>5.6963249999999999</v>
      </c>
      <c r="AO179" s="307">
        <v>3.860395</v>
      </c>
      <c r="AP179" s="307">
        <v>5.4382549999999998</v>
      </c>
      <c r="AQ179" s="307">
        <v>0</v>
      </c>
      <c r="AR179" s="307">
        <v>5.7279030000000004</v>
      </c>
      <c r="AS179" s="307">
        <v>0</v>
      </c>
      <c r="AT179" s="307">
        <v>3.9384869999999998</v>
      </c>
      <c r="AU179" s="307">
        <v>5.7387829999999997</v>
      </c>
      <c r="AV179" s="307">
        <v>0</v>
      </c>
      <c r="AW179" s="307">
        <v>2.831375</v>
      </c>
      <c r="AX179" s="307">
        <v>3.1536659999999999</v>
      </c>
      <c r="AY179" s="307">
        <v>5.4500659999999996</v>
      </c>
      <c r="AZ179" s="307">
        <v>3.0795819999999998</v>
      </c>
      <c r="BA179" s="307">
        <v>5.1972709999999998</v>
      </c>
      <c r="BB179" s="307">
        <v>0</v>
      </c>
      <c r="BC179" s="307">
        <v>2.3331230000000001</v>
      </c>
      <c r="BD179" s="307">
        <v>4.4892240000000001</v>
      </c>
      <c r="BE179" s="307">
        <v>3.450923</v>
      </c>
      <c r="BF179" s="307">
        <v>4.2069890000000001</v>
      </c>
      <c r="BG179" s="307">
        <v>3.2608600000000001</v>
      </c>
      <c r="BH179" s="307">
        <v>4.4311800000000003</v>
      </c>
      <c r="BI179" s="307">
        <v>6.0475770000000004</v>
      </c>
      <c r="BJ179" s="307">
        <v>4.9282320000000004</v>
      </c>
      <c r="BK179" s="307">
        <v>4.1778339999999998</v>
      </c>
      <c r="BL179">
        <f t="shared" si="8"/>
        <v>11</v>
      </c>
      <c r="BM179">
        <f t="shared" si="9"/>
        <v>4.6203991599999998</v>
      </c>
      <c r="BN179">
        <f t="shared" si="10"/>
        <v>8.7021630000000005</v>
      </c>
      <c r="BO179">
        <f t="array" ref="BO179">MIN(IF($C179:$BK179&gt;0, $C179:$BK179))</f>
        <v>2.1645669999999999</v>
      </c>
      <c r="BP179">
        <f t="shared" si="11"/>
        <v>4.044162</v>
      </c>
    </row>
    <row r="180" spans="1:68" x14ac:dyDescent="0.25">
      <c r="A180" s="306" t="s">
        <v>727</v>
      </c>
      <c r="B180" s="307" t="s">
        <v>165</v>
      </c>
      <c r="C180" s="307">
        <v>5.8926239999999996</v>
      </c>
      <c r="D180" s="307">
        <v>8.4153640000000003</v>
      </c>
      <c r="E180" s="307">
        <v>6.8796840000000001</v>
      </c>
      <c r="F180" s="307">
        <v>7.0622350000000003</v>
      </c>
      <c r="G180" s="307">
        <v>6.0501529999999999</v>
      </c>
      <c r="H180" s="307">
        <v>6.2780870000000002</v>
      </c>
      <c r="I180" s="307">
        <v>7.5874969999999999</v>
      </c>
      <c r="J180" s="307">
        <v>5.2043619999999997</v>
      </c>
      <c r="K180" s="307">
        <v>0</v>
      </c>
      <c r="L180" s="307">
        <v>4.860303</v>
      </c>
      <c r="M180" s="307">
        <v>5.8490510000000002</v>
      </c>
      <c r="N180" s="307">
        <v>6.1138909999999997</v>
      </c>
      <c r="O180" s="307">
        <v>0</v>
      </c>
      <c r="P180" s="307">
        <v>6.487463</v>
      </c>
      <c r="Q180" s="307">
        <v>7.1811350000000003</v>
      </c>
      <c r="R180" s="307">
        <v>4.9737010000000001</v>
      </c>
      <c r="S180" s="307">
        <v>5.0081810000000004</v>
      </c>
      <c r="T180" s="307">
        <v>6.2500929999999997</v>
      </c>
      <c r="U180" s="307">
        <v>6.2280879999999996</v>
      </c>
      <c r="V180" s="307">
        <v>7.5653600000000001</v>
      </c>
      <c r="W180" s="307">
        <v>4.6704829999999999</v>
      </c>
      <c r="X180" s="307">
        <v>6.3620130000000001</v>
      </c>
      <c r="Y180" s="307">
        <v>7.5966490000000002</v>
      </c>
      <c r="Z180" s="307">
        <v>5.0084179999999998</v>
      </c>
      <c r="AA180" s="307">
        <v>5.3009950000000003</v>
      </c>
      <c r="AB180" s="307">
        <v>7.060365</v>
      </c>
      <c r="AC180" s="307">
        <v>7.8393879999999996</v>
      </c>
      <c r="AD180" s="307">
        <v>7.5847220000000002</v>
      </c>
      <c r="AE180" s="307">
        <v>5.4609589999999999</v>
      </c>
      <c r="AF180" s="307">
        <v>7.5295959999999997</v>
      </c>
      <c r="AG180" s="307">
        <v>6.1672260000000003</v>
      </c>
      <c r="AH180" s="307">
        <v>6.00352</v>
      </c>
      <c r="AI180" s="307">
        <v>5.3845200000000002</v>
      </c>
      <c r="AJ180" s="307">
        <v>8.5767330000000008</v>
      </c>
      <c r="AK180" s="307">
        <v>5.3507980000000002</v>
      </c>
      <c r="AL180" s="307">
        <v>6.5644809999999998</v>
      </c>
      <c r="AM180" s="307">
        <v>5.7165889999999999</v>
      </c>
      <c r="AN180" s="307">
        <v>8.6083049999999997</v>
      </c>
      <c r="AO180" s="307">
        <v>5.3851129999999996</v>
      </c>
      <c r="AP180" s="307">
        <v>5.7161970000000002</v>
      </c>
      <c r="AQ180" s="307">
        <v>4.5601589999999996</v>
      </c>
      <c r="AR180" s="307">
        <v>6.0174690000000002</v>
      </c>
      <c r="AS180" s="307">
        <v>5.6419269999999999</v>
      </c>
      <c r="AT180" s="307">
        <v>6.4665790000000003</v>
      </c>
      <c r="AU180" s="307">
        <v>6.3776570000000001</v>
      </c>
      <c r="AV180" s="307">
        <v>7.3751629999999997</v>
      </c>
      <c r="AW180" s="307">
        <v>6.7076719999999996</v>
      </c>
      <c r="AX180" s="307">
        <v>5.9055289999999996</v>
      </c>
      <c r="AY180" s="307">
        <v>6.5118580000000001</v>
      </c>
      <c r="AZ180" s="307">
        <v>4.9380879999999996</v>
      </c>
      <c r="BA180" s="307">
        <v>7.468604</v>
      </c>
      <c r="BB180" s="307">
        <v>8.6171360000000004</v>
      </c>
      <c r="BC180" s="307">
        <v>5.238499</v>
      </c>
      <c r="BD180" s="307">
        <v>6.1131669999999998</v>
      </c>
      <c r="BE180" s="307">
        <v>5.3235859999999997</v>
      </c>
      <c r="BF180" s="307">
        <v>6.0740470000000002</v>
      </c>
      <c r="BG180" s="307">
        <v>5.9202320000000004</v>
      </c>
      <c r="BH180" s="307">
        <v>6.710407</v>
      </c>
      <c r="BI180" s="307">
        <v>6.8559890000000001</v>
      </c>
      <c r="BJ180" s="307">
        <v>7.1658549999999996</v>
      </c>
      <c r="BK180" s="307">
        <v>6.0221150000000003</v>
      </c>
      <c r="BL180">
        <f t="shared" si="8"/>
        <v>2</v>
      </c>
      <c r="BM180">
        <f t="shared" si="9"/>
        <v>6.3353572881355937</v>
      </c>
      <c r="BN180">
        <f t="shared" si="10"/>
        <v>8.6171360000000004</v>
      </c>
      <c r="BO180">
        <f t="array" ref="BO180">MIN(IF($C180:$BK180&gt;0, $C180:$BK180))</f>
        <v>4.5601589999999996</v>
      </c>
      <c r="BP180">
        <f t="shared" si="11"/>
        <v>6.1138909999999997</v>
      </c>
    </row>
    <row r="181" spans="1:68" x14ac:dyDescent="0.25">
      <c r="A181" s="306">
        <v>332310</v>
      </c>
      <c r="B181" s="307" t="s">
        <v>166</v>
      </c>
      <c r="C181" s="307">
        <v>4.8429970000000004</v>
      </c>
      <c r="D181" s="307">
        <v>5.4969460000000003</v>
      </c>
      <c r="E181" s="307">
        <v>5.3023999999999996</v>
      </c>
      <c r="F181" s="307">
        <v>4.8126220000000002</v>
      </c>
      <c r="G181" s="307">
        <v>5.2105959999999998</v>
      </c>
      <c r="H181" s="307">
        <v>4.6479509999999999</v>
      </c>
      <c r="I181" s="307">
        <v>4.7859959999999999</v>
      </c>
      <c r="J181" s="307">
        <v>4.4086299999999996</v>
      </c>
      <c r="K181" s="307">
        <v>0.75223989999999996</v>
      </c>
      <c r="L181" s="307">
        <v>3.7172209999999999</v>
      </c>
      <c r="M181" s="307">
        <v>5.4439010000000003</v>
      </c>
      <c r="N181" s="307">
        <v>5.4265379999999999</v>
      </c>
      <c r="O181" s="307">
        <v>5.6712819999999997</v>
      </c>
      <c r="P181" s="307">
        <v>4.9438599999999999</v>
      </c>
      <c r="Q181" s="307">
        <v>5.2856019999999999</v>
      </c>
      <c r="R181" s="307">
        <v>4.7543420000000003</v>
      </c>
      <c r="S181" s="307">
        <v>4.4714989999999997</v>
      </c>
      <c r="T181" s="307">
        <v>5.0956359999999998</v>
      </c>
      <c r="U181" s="307">
        <v>5.1455359999999999</v>
      </c>
      <c r="V181" s="307">
        <v>4.4940199999999999</v>
      </c>
      <c r="W181" s="307">
        <v>4.0627690000000003</v>
      </c>
      <c r="X181" s="307">
        <v>4.5848019999999998</v>
      </c>
      <c r="Y181" s="307">
        <v>4.9567670000000001</v>
      </c>
      <c r="Z181" s="307">
        <v>4.936229</v>
      </c>
      <c r="AA181" s="307">
        <v>4.4282490000000001</v>
      </c>
      <c r="AB181" s="307">
        <v>4.8394959999999996</v>
      </c>
      <c r="AC181" s="307">
        <v>5.1208410000000004</v>
      </c>
      <c r="AD181" s="307">
        <v>5.6675909999999998</v>
      </c>
      <c r="AE181" s="307">
        <v>5.1093539999999997</v>
      </c>
      <c r="AF181" s="307">
        <v>4.4250999999999996</v>
      </c>
      <c r="AG181" s="307">
        <v>4.6486879999999999</v>
      </c>
      <c r="AH181" s="307">
        <v>4.2809799999999996</v>
      </c>
      <c r="AI181" s="307">
        <v>3.9698099999999998</v>
      </c>
      <c r="AJ181" s="307">
        <v>5.6024219999999998</v>
      </c>
      <c r="AK181" s="307">
        <v>4.7588739999999996</v>
      </c>
      <c r="AL181" s="307">
        <v>4.3636600000000003</v>
      </c>
      <c r="AM181" s="307">
        <v>4.7061580000000003</v>
      </c>
      <c r="AN181" s="307">
        <v>4.6119219999999999</v>
      </c>
      <c r="AO181" s="307">
        <v>4.9674860000000001</v>
      </c>
      <c r="AP181" s="307">
        <v>4.6224270000000001</v>
      </c>
      <c r="AQ181" s="307">
        <v>4.5961720000000001</v>
      </c>
      <c r="AR181" s="307">
        <v>4.6855900000000004</v>
      </c>
      <c r="AS181" s="307">
        <v>4.942609</v>
      </c>
      <c r="AT181" s="307">
        <v>4.2050700000000001</v>
      </c>
      <c r="AU181" s="307">
        <v>4.2899209999999997</v>
      </c>
      <c r="AV181" s="307">
        <v>5.100015</v>
      </c>
      <c r="AW181" s="307">
        <v>4.0922109999999998</v>
      </c>
      <c r="AX181" s="307">
        <v>5.0578089999999998</v>
      </c>
      <c r="AY181" s="307">
        <v>4.712364</v>
      </c>
      <c r="AZ181" s="307">
        <v>4.8696919999999997</v>
      </c>
      <c r="BA181" s="307">
        <v>4.8782730000000001</v>
      </c>
      <c r="BB181" s="307">
        <v>5.6288340000000003</v>
      </c>
      <c r="BC181" s="307">
        <v>4.6818860000000004</v>
      </c>
      <c r="BD181" s="307">
        <v>4.6303590000000003</v>
      </c>
      <c r="BE181" s="307">
        <v>4.8396140000000001</v>
      </c>
      <c r="BF181" s="307">
        <v>4.9055470000000003</v>
      </c>
      <c r="BG181" s="307">
        <v>4.9797330000000004</v>
      </c>
      <c r="BH181" s="307">
        <v>4.9487399999999999</v>
      </c>
      <c r="BI181" s="307">
        <v>4.4230530000000003</v>
      </c>
      <c r="BJ181" s="307">
        <v>5.1234529999999996</v>
      </c>
      <c r="BK181" s="307">
        <v>4.7633650000000003</v>
      </c>
      <c r="BL181">
        <f t="shared" si="8"/>
        <v>0</v>
      </c>
      <c r="BM181">
        <f t="shared" si="9"/>
        <v>4.7496352442622927</v>
      </c>
      <c r="BN181">
        <f t="shared" si="10"/>
        <v>5.6712819999999997</v>
      </c>
      <c r="BO181">
        <f t="array" ref="BO181">MIN(IF($C181:$BK181&gt;0, $C181:$BK181))</f>
        <v>0.75223989999999996</v>
      </c>
      <c r="BP181">
        <f t="shared" si="11"/>
        <v>4.8126220000000002</v>
      </c>
    </row>
    <row r="182" spans="1:68" x14ac:dyDescent="0.25">
      <c r="A182" s="306">
        <v>332320</v>
      </c>
      <c r="B182" s="307" t="s">
        <v>167</v>
      </c>
      <c r="C182" s="307">
        <v>5.9907459999999997</v>
      </c>
      <c r="D182" s="307">
        <v>6.22499</v>
      </c>
      <c r="E182" s="307">
        <v>6.8199430000000003</v>
      </c>
      <c r="F182" s="307">
        <v>6.0909599999999999</v>
      </c>
      <c r="G182" s="307">
        <v>6.1418169999999996</v>
      </c>
      <c r="H182" s="307">
        <v>5.5869099999999996</v>
      </c>
      <c r="I182" s="307">
        <v>6.493627</v>
      </c>
      <c r="J182" s="307">
        <v>5.035069</v>
      </c>
      <c r="K182" s="307">
        <v>1.3147169999999999</v>
      </c>
      <c r="L182" s="307">
        <v>4.7402379999999997</v>
      </c>
      <c r="M182" s="307">
        <v>6.6912969999999996</v>
      </c>
      <c r="N182" s="307">
        <v>6.1681670000000004</v>
      </c>
      <c r="O182" s="307">
        <v>7.5855410000000001</v>
      </c>
      <c r="P182" s="307">
        <v>6.3784130000000001</v>
      </c>
      <c r="Q182" s="307">
        <v>7.0698730000000003</v>
      </c>
      <c r="R182" s="307">
        <v>5.1165019999999997</v>
      </c>
      <c r="S182" s="307">
        <v>6.3552039999999996</v>
      </c>
      <c r="T182" s="307">
        <v>6.4969219999999996</v>
      </c>
      <c r="U182" s="307">
        <v>5.5289130000000002</v>
      </c>
      <c r="V182" s="307">
        <v>6.5751809999999997</v>
      </c>
      <c r="W182" s="307">
        <v>4.7788469999999998</v>
      </c>
      <c r="X182" s="307">
        <v>5.1514610000000003</v>
      </c>
      <c r="Y182" s="307">
        <v>5.5800510000000001</v>
      </c>
      <c r="Z182" s="307">
        <v>5.6414559999999998</v>
      </c>
      <c r="AA182" s="307">
        <v>4.8248610000000003</v>
      </c>
      <c r="AB182" s="307">
        <v>5.453716</v>
      </c>
      <c r="AC182" s="307">
        <v>6.8491790000000004</v>
      </c>
      <c r="AD182" s="307">
        <v>7.5811190000000002</v>
      </c>
      <c r="AE182" s="307">
        <v>6.6865569999999996</v>
      </c>
      <c r="AF182" s="307">
        <v>6.0300820000000002</v>
      </c>
      <c r="AG182" s="307">
        <v>6.3633319999999998</v>
      </c>
      <c r="AH182" s="307">
        <v>4.7645429999999998</v>
      </c>
      <c r="AI182" s="307">
        <v>5.0683619999999996</v>
      </c>
      <c r="AJ182" s="307">
        <v>7.4930630000000003</v>
      </c>
      <c r="AK182" s="307">
        <v>5.9330160000000003</v>
      </c>
      <c r="AL182" s="307">
        <v>5.1797880000000003</v>
      </c>
      <c r="AM182" s="307">
        <v>5.5130819999999998</v>
      </c>
      <c r="AN182" s="307">
        <v>6.5115150000000002</v>
      </c>
      <c r="AO182" s="307">
        <v>5.8388859999999996</v>
      </c>
      <c r="AP182" s="307">
        <v>5.7738110000000002</v>
      </c>
      <c r="AQ182" s="307">
        <v>5.2281570000000004</v>
      </c>
      <c r="AR182" s="307">
        <v>6.5821670000000001</v>
      </c>
      <c r="AS182" s="307">
        <v>7.2893299999999996</v>
      </c>
      <c r="AT182" s="307">
        <v>5.7067480000000002</v>
      </c>
      <c r="AU182" s="307">
        <v>6.1781560000000004</v>
      </c>
      <c r="AV182" s="307">
        <v>6.2883990000000001</v>
      </c>
      <c r="AW182" s="307">
        <v>5.5001579999999999</v>
      </c>
      <c r="AX182" s="307">
        <v>6.5587730000000004</v>
      </c>
      <c r="AY182" s="307">
        <v>5.8466839999999998</v>
      </c>
      <c r="AZ182" s="307">
        <v>5.5160549999999997</v>
      </c>
      <c r="BA182" s="307">
        <v>6.525074</v>
      </c>
      <c r="BB182" s="307">
        <v>7.5289109999999999</v>
      </c>
      <c r="BC182" s="307">
        <v>5.2580429999999998</v>
      </c>
      <c r="BD182" s="307">
        <v>5.587199</v>
      </c>
      <c r="BE182" s="307">
        <v>5.6747230000000002</v>
      </c>
      <c r="BF182" s="307">
        <v>5.761266</v>
      </c>
      <c r="BG182" s="307">
        <v>6.4120569999999999</v>
      </c>
      <c r="BH182" s="307">
        <v>6.2767109999999997</v>
      </c>
      <c r="BI182" s="307">
        <v>6.2661439999999997</v>
      </c>
      <c r="BJ182" s="307">
        <v>6.3475960000000002</v>
      </c>
      <c r="BK182" s="307">
        <v>5.7048189999999996</v>
      </c>
      <c r="BL182">
        <f t="shared" si="8"/>
        <v>0</v>
      </c>
      <c r="BM182">
        <f t="shared" si="9"/>
        <v>5.9583430655737697</v>
      </c>
      <c r="BN182">
        <f t="shared" si="10"/>
        <v>7.5855410000000001</v>
      </c>
      <c r="BO182">
        <f t="array" ref="BO182">MIN(IF($C182:$BK182&gt;0, $C182:$BK182))</f>
        <v>1.3147169999999999</v>
      </c>
      <c r="BP182">
        <f t="shared" si="11"/>
        <v>6.0300820000000002</v>
      </c>
    </row>
    <row r="183" spans="1:68" x14ac:dyDescent="0.25">
      <c r="A183" s="306">
        <v>332410</v>
      </c>
      <c r="B183" s="307" t="s">
        <v>168</v>
      </c>
      <c r="C183" s="307">
        <v>4.5450499999999998</v>
      </c>
      <c r="D183" s="307">
        <v>0</v>
      </c>
      <c r="E183" s="307">
        <v>4.8386310000000003</v>
      </c>
      <c r="F183" s="307">
        <v>0</v>
      </c>
      <c r="G183" s="307">
        <v>0</v>
      </c>
      <c r="H183" s="307">
        <v>5.0375480000000001</v>
      </c>
      <c r="I183" s="307">
        <v>5.8499840000000001</v>
      </c>
      <c r="J183" s="307">
        <v>3.6808160000000001</v>
      </c>
      <c r="K183" s="307">
        <v>0</v>
      </c>
      <c r="L183" s="307">
        <v>3.2666460000000002</v>
      </c>
      <c r="M183" s="307">
        <v>5.0548320000000002</v>
      </c>
      <c r="N183" s="307">
        <v>4.95749</v>
      </c>
      <c r="O183" s="307">
        <v>0</v>
      </c>
      <c r="P183" s="307">
        <v>6.1374069999999996</v>
      </c>
      <c r="Q183" s="307">
        <v>0</v>
      </c>
      <c r="R183" s="307">
        <v>5.1649159999999998</v>
      </c>
      <c r="S183" s="307">
        <v>5.6105010000000002</v>
      </c>
      <c r="T183" s="307">
        <v>5.9579399999999998</v>
      </c>
      <c r="U183" s="307">
        <v>3.3347159999999998</v>
      </c>
      <c r="V183" s="307">
        <v>4.842867</v>
      </c>
      <c r="W183" s="307">
        <v>3.6170279999999999</v>
      </c>
      <c r="X183" s="307">
        <v>0</v>
      </c>
      <c r="Y183" s="307">
        <v>0</v>
      </c>
      <c r="Z183" s="307">
        <v>5.2007289999999999</v>
      </c>
      <c r="AA183" s="307">
        <v>3.7943899999999999</v>
      </c>
      <c r="AB183" s="307">
        <v>4.6286050000000003</v>
      </c>
      <c r="AC183" s="307">
        <v>4.8418200000000002</v>
      </c>
      <c r="AD183" s="307">
        <v>0</v>
      </c>
      <c r="AE183" s="307">
        <v>6.0197060000000002</v>
      </c>
      <c r="AF183" s="307">
        <v>0</v>
      </c>
      <c r="AG183" s="307">
        <v>0</v>
      </c>
      <c r="AH183" s="307">
        <v>3.6806070000000002</v>
      </c>
      <c r="AI183" s="307">
        <v>3.3726660000000002</v>
      </c>
      <c r="AJ183" s="307">
        <v>6.5387789999999999</v>
      </c>
      <c r="AK183" s="307">
        <v>4.7934479999999997</v>
      </c>
      <c r="AL183" s="307">
        <v>4.3648220000000002</v>
      </c>
      <c r="AM183" s="307">
        <v>3.5681470000000002</v>
      </c>
      <c r="AN183" s="307">
        <v>4.1826699999999999</v>
      </c>
      <c r="AO183" s="307">
        <v>4.8539300000000001</v>
      </c>
      <c r="AP183" s="307">
        <v>4.8242929999999999</v>
      </c>
      <c r="AQ183" s="307">
        <v>6.088152</v>
      </c>
      <c r="AR183" s="307">
        <v>4.9768509999999999</v>
      </c>
      <c r="AS183" s="307">
        <v>6.3609220000000004</v>
      </c>
      <c r="AT183" s="307">
        <v>6.1162580000000002</v>
      </c>
      <c r="AU183" s="307">
        <v>4.0199540000000002</v>
      </c>
      <c r="AV183" s="307">
        <v>0</v>
      </c>
      <c r="AW183" s="307">
        <v>4.5128190000000004</v>
      </c>
      <c r="AX183" s="307">
        <v>0</v>
      </c>
      <c r="AY183" s="307">
        <v>6.430599</v>
      </c>
      <c r="AZ183" s="307">
        <v>4.6807689999999997</v>
      </c>
      <c r="BA183" s="307">
        <v>5.6938820000000003</v>
      </c>
      <c r="BB183" s="307">
        <v>0</v>
      </c>
      <c r="BC183" s="307">
        <v>3.8959600000000001</v>
      </c>
      <c r="BD183" s="307">
        <v>4.5648059999999999</v>
      </c>
      <c r="BE183" s="307">
        <v>4.1610829999999996</v>
      </c>
      <c r="BF183" s="307">
        <v>5.0517609999999999</v>
      </c>
      <c r="BG183" s="307">
        <v>5.1462830000000004</v>
      </c>
      <c r="BH183" s="307">
        <v>5.2076039999999999</v>
      </c>
      <c r="BI183" s="307">
        <v>4.1867650000000003</v>
      </c>
      <c r="BJ183" s="307">
        <v>5.886895</v>
      </c>
      <c r="BK183" s="307">
        <v>5.4019529999999998</v>
      </c>
      <c r="BL183">
        <f t="shared" si="8"/>
        <v>14</v>
      </c>
      <c r="BM183">
        <f t="shared" si="9"/>
        <v>4.8711553191489365</v>
      </c>
      <c r="BN183">
        <f t="shared" si="10"/>
        <v>6.5387789999999999</v>
      </c>
      <c r="BO183">
        <f t="array" ref="BO183">MIN(IF($C183:$BK183&gt;0, $C183:$BK183))</f>
        <v>3.2666460000000002</v>
      </c>
      <c r="BP183">
        <f t="shared" si="11"/>
        <v>4.5648059999999999</v>
      </c>
    </row>
    <row r="184" spans="1:68" x14ac:dyDescent="0.25">
      <c r="A184" s="306">
        <v>332420</v>
      </c>
      <c r="B184" s="307" t="s">
        <v>169</v>
      </c>
      <c r="C184" s="307">
        <v>5.4090389999999999</v>
      </c>
      <c r="D184" s="307">
        <v>0</v>
      </c>
      <c r="E184" s="307">
        <v>5.6928330000000003</v>
      </c>
      <c r="F184" s="307">
        <v>6.2390990000000004</v>
      </c>
      <c r="G184" s="307">
        <v>5.2422060000000004</v>
      </c>
      <c r="H184" s="307">
        <v>4.8798329999999996</v>
      </c>
      <c r="I184" s="307">
        <v>5.2263529999999996</v>
      </c>
      <c r="J184" s="307">
        <v>3.3327740000000001</v>
      </c>
      <c r="K184" s="307">
        <v>0</v>
      </c>
      <c r="L184" s="307">
        <v>6.3001940000000003</v>
      </c>
      <c r="M184" s="307">
        <v>5.9258449999999998</v>
      </c>
      <c r="N184" s="307">
        <v>5.6330970000000002</v>
      </c>
      <c r="O184" s="307">
        <v>0</v>
      </c>
      <c r="P184" s="307">
        <v>5.6041379999999998</v>
      </c>
      <c r="Q184" s="307">
        <v>7.1847200000000004</v>
      </c>
      <c r="R184" s="307">
        <v>5.5797460000000001</v>
      </c>
      <c r="S184" s="307">
        <v>4.7933139999999996</v>
      </c>
      <c r="T184" s="307">
        <v>5.5514279999999996</v>
      </c>
      <c r="U184" s="307">
        <v>5.152393</v>
      </c>
      <c r="V184" s="307">
        <v>4.4073570000000002</v>
      </c>
      <c r="W184" s="307">
        <v>5.0813259999999998</v>
      </c>
      <c r="X184" s="307">
        <v>5.3328069999999999</v>
      </c>
      <c r="Y184" s="307">
        <v>3.0870320000000002</v>
      </c>
      <c r="Z184" s="307">
        <v>5.3406000000000002</v>
      </c>
      <c r="AA184" s="307">
        <v>4.424156</v>
      </c>
      <c r="AB184" s="307">
        <v>4.623691</v>
      </c>
      <c r="AC184" s="307">
        <v>5.4207979999999996</v>
      </c>
      <c r="AD184" s="307">
        <v>0</v>
      </c>
      <c r="AE184" s="307">
        <v>5.6497479999999998</v>
      </c>
      <c r="AF184" s="307">
        <v>5.3628210000000003</v>
      </c>
      <c r="AG184" s="307">
        <v>6.2574880000000004</v>
      </c>
      <c r="AH184" s="307">
        <v>0</v>
      </c>
      <c r="AI184" s="307">
        <v>3.136136</v>
      </c>
      <c r="AJ184" s="307">
        <v>7.1968829999999997</v>
      </c>
      <c r="AK184" s="307">
        <v>5.7160140000000004</v>
      </c>
      <c r="AL184" s="307">
        <v>3.4248069999999999</v>
      </c>
      <c r="AM184" s="307">
        <v>4.5050559999999997</v>
      </c>
      <c r="AN184" s="307">
        <v>5.8901640000000004</v>
      </c>
      <c r="AO184" s="307">
        <v>4.9909600000000003</v>
      </c>
      <c r="AP184" s="307">
        <v>5.3793119999999996</v>
      </c>
      <c r="AQ184" s="307">
        <v>5.947165</v>
      </c>
      <c r="AR184" s="307">
        <v>4.7755960000000002</v>
      </c>
      <c r="AS184" s="307">
        <v>4.9450760000000002</v>
      </c>
      <c r="AT184" s="307">
        <v>6.2320289999999998</v>
      </c>
      <c r="AU184" s="307">
        <v>5.5128899999999996</v>
      </c>
      <c r="AV184" s="307">
        <v>6.1263740000000002</v>
      </c>
      <c r="AW184" s="307">
        <v>7.8489620000000002</v>
      </c>
      <c r="AX184" s="307">
        <v>0</v>
      </c>
      <c r="AY184" s="307">
        <v>5.4293399999999998</v>
      </c>
      <c r="AZ184" s="307">
        <v>6.2614999999999998</v>
      </c>
      <c r="BA184" s="307">
        <v>7.0189700000000004</v>
      </c>
      <c r="BB184" s="307">
        <v>5.3423069999999999</v>
      </c>
      <c r="BC184" s="307">
        <v>5.2624339999999998</v>
      </c>
      <c r="BD184" s="307">
        <v>4.7199489999999997</v>
      </c>
      <c r="BE184" s="307">
        <v>5.1097260000000002</v>
      </c>
      <c r="BF184" s="307">
        <v>5.1562859999999997</v>
      </c>
      <c r="BG184" s="307">
        <v>5.7010820000000004</v>
      </c>
      <c r="BH184" s="307">
        <v>5.8057439999999998</v>
      </c>
      <c r="BI184" s="307">
        <v>5.4047470000000004</v>
      </c>
      <c r="BJ184" s="307">
        <v>6.1256880000000002</v>
      </c>
      <c r="BK184" s="307">
        <v>5.0423359999999997</v>
      </c>
      <c r="BL184">
        <f t="shared" si="8"/>
        <v>6</v>
      </c>
      <c r="BM184">
        <f t="shared" si="9"/>
        <v>5.3953157999999997</v>
      </c>
      <c r="BN184">
        <f t="shared" si="10"/>
        <v>7.8489620000000002</v>
      </c>
      <c r="BO184">
        <f t="array" ref="BO184">MIN(IF($C184:$BK184&gt;0, $C184:$BK184))</f>
        <v>3.0870320000000002</v>
      </c>
      <c r="BP184">
        <f t="shared" si="11"/>
        <v>5.3423069999999999</v>
      </c>
    </row>
    <row r="185" spans="1:68" x14ac:dyDescent="0.25">
      <c r="A185" s="306">
        <v>332430</v>
      </c>
      <c r="B185" s="307" t="s">
        <v>170</v>
      </c>
      <c r="C185" s="307">
        <v>2.1517659999999998</v>
      </c>
      <c r="D185" s="307">
        <v>0</v>
      </c>
      <c r="E185" s="307">
        <v>2.7499820000000001</v>
      </c>
      <c r="F185" s="307">
        <v>2.4098069999999998</v>
      </c>
      <c r="G185" s="307">
        <v>2.2548010000000001</v>
      </c>
      <c r="H185" s="307">
        <v>1.78302</v>
      </c>
      <c r="I185" s="307">
        <v>1.779061</v>
      </c>
      <c r="J185" s="307">
        <v>2.1483099999999999</v>
      </c>
      <c r="K185" s="307">
        <v>0</v>
      </c>
      <c r="L185" s="307">
        <v>2.5131589999999999</v>
      </c>
      <c r="M185" s="307">
        <v>2.290924</v>
      </c>
      <c r="N185" s="307">
        <v>2.218588</v>
      </c>
      <c r="O185" s="307">
        <v>2.327969</v>
      </c>
      <c r="P185" s="307">
        <v>2.258626</v>
      </c>
      <c r="Q185" s="307">
        <v>2.9509669999999999</v>
      </c>
      <c r="R185" s="307">
        <v>2.056441</v>
      </c>
      <c r="S185" s="307">
        <v>1.942288</v>
      </c>
      <c r="T185" s="307">
        <v>2.850041</v>
      </c>
      <c r="U185" s="307">
        <v>2.5817100000000002</v>
      </c>
      <c r="V185" s="307">
        <v>2.5467610000000001</v>
      </c>
      <c r="W185" s="307">
        <v>2.1662270000000001</v>
      </c>
      <c r="X185" s="307">
        <v>1.9766570000000001</v>
      </c>
      <c r="Y185" s="307">
        <v>2.851118</v>
      </c>
      <c r="Z185" s="307">
        <v>2.338927</v>
      </c>
      <c r="AA185" s="307">
        <v>2.1060720000000002</v>
      </c>
      <c r="AB185" s="307">
        <v>1.640166</v>
      </c>
      <c r="AC185" s="307">
        <v>2.1786840000000001</v>
      </c>
      <c r="AD185" s="307">
        <v>0</v>
      </c>
      <c r="AE185" s="307">
        <v>2.0011510000000001</v>
      </c>
      <c r="AF185" s="307">
        <v>2.7460789999999999</v>
      </c>
      <c r="AG185" s="307">
        <v>1.8858740000000001</v>
      </c>
      <c r="AH185" s="307">
        <v>2.890514</v>
      </c>
      <c r="AI185" s="307">
        <v>1.9050929999999999</v>
      </c>
      <c r="AJ185" s="307">
        <v>3.1278290000000002</v>
      </c>
      <c r="AK185" s="307">
        <v>3.1024180000000001</v>
      </c>
      <c r="AL185" s="307">
        <v>1.9039459999999999</v>
      </c>
      <c r="AM185" s="307">
        <v>1.972164</v>
      </c>
      <c r="AN185" s="307">
        <v>1.7749299999999999</v>
      </c>
      <c r="AO185" s="307">
        <v>2.7676289999999999</v>
      </c>
      <c r="AP185" s="307">
        <v>2.1925810000000001</v>
      </c>
      <c r="AQ185" s="307">
        <v>2.9122759999999999</v>
      </c>
      <c r="AR185" s="307">
        <v>2.2183769999999998</v>
      </c>
      <c r="AS185" s="307">
        <v>3.0428039999999998</v>
      </c>
      <c r="AT185" s="307">
        <v>2.5779139999999998</v>
      </c>
      <c r="AU185" s="307">
        <v>2.142026</v>
      </c>
      <c r="AV185" s="307">
        <v>2.6282160000000001</v>
      </c>
      <c r="AW185" s="307">
        <v>1.920264</v>
      </c>
      <c r="AX185" s="307">
        <v>2.9506139999999998</v>
      </c>
      <c r="AY185" s="307">
        <v>2.009207</v>
      </c>
      <c r="AZ185" s="307">
        <v>2.1390259999999999</v>
      </c>
      <c r="BA185" s="307">
        <v>2.1125560000000001</v>
      </c>
      <c r="BB185" s="307">
        <v>2.4974319999999999</v>
      </c>
      <c r="BC185" s="307">
        <v>2.533318</v>
      </c>
      <c r="BD185" s="307">
        <v>2.1016360000000001</v>
      </c>
      <c r="BE185" s="307">
        <v>2.0900810000000001</v>
      </c>
      <c r="BF185" s="307">
        <v>2.0527060000000001</v>
      </c>
      <c r="BG185" s="307">
        <v>2.1968130000000001</v>
      </c>
      <c r="BH185" s="307">
        <v>2.5837249999999998</v>
      </c>
      <c r="BI185" s="307">
        <v>2.1815289999999998</v>
      </c>
      <c r="BJ185" s="307">
        <v>2.099364</v>
      </c>
      <c r="BK185" s="307">
        <v>1.8677950000000001</v>
      </c>
      <c r="BL185">
        <f t="shared" si="8"/>
        <v>3</v>
      </c>
      <c r="BM185">
        <f t="shared" si="9"/>
        <v>2.3137923965517246</v>
      </c>
      <c r="BN185">
        <f t="shared" si="10"/>
        <v>3.1278290000000002</v>
      </c>
      <c r="BO185">
        <f t="array" ref="BO185">MIN(IF($C185:$BK185&gt;0, $C185:$BK185))</f>
        <v>1.640166</v>
      </c>
      <c r="BP185">
        <f t="shared" si="11"/>
        <v>2.1815289999999998</v>
      </c>
    </row>
    <row r="186" spans="1:68" x14ac:dyDescent="0.25">
      <c r="A186" s="306">
        <v>332500</v>
      </c>
      <c r="B186" s="307" t="s">
        <v>173</v>
      </c>
      <c r="C186" s="307">
        <v>4.6600890000000001</v>
      </c>
      <c r="D186" s="307">
        <v>0</v>
      </c>
      <c r="E186" s="307">
        <v>6.4699559999999998</v>
      </c>
      <c r="F186" s="307">
        <v>6.6398409999999997</v>
      </c>
      <c r="G186" s="307">
        <v>3.6867009999999998</v>
      </c>
      <c r="H186" s="307">
        <v>4.1715949999999999</v>
      </c>
      <c r="I186" s="307">
        <v>4.7096749999999998</v>
      </c>
      <c r="J186" s="307">
        <v>3.2574619999999999</v>
      </c>
      <c r="K186" s="307">
        <v>0</v>
      </c>
      <c r="L186" s="307">
        <v>4.4001919999999997</v>
      </c>
      <c r="M186" s="307">
        <v>5.1293800000000003</v>
      </c>
      <c r="N186" s="307">
        <v>4.9536579999999999</v>
      </c>
      <c r="O186" s="307">
        <v>3.9865870000000001</v>
      </c>
      <c r="P186" s="307">
        <v>4.7196350000000002</v>
      </c>
      <c r="Q186" s="307">
        <v>5.9640560000000002</v>
      </c>
      <c r="R186" s="307">
        <v>4.5735570000000001</v>
      </c>
      <c r="S186" s="307">
        <v>3.7047340000000002</v>
      </c>
      <c r="T186" s="307">
        <v>6.9373909999999999</v>
      </c>
      <c r="U186" s="307">
        <v>4.3793569999999997</v>
      </c>
      <c r="V186" s="307">
        <v>3.2810069999999998</v>
      </c>
      <c r="W186" s="307">
        <v>4.6919170000000001</v>
      </c>
      <c r="X186" s="307">
        <v>4.9114180000000003</v>
      </c>
      <c r="Y186" s="307">
        <v>6.2171529999999997</v>
      </c>
      <c r="Z186" s="307">
        <v>4.1656969999999998</v>
      </c>
      <c r="AA186" s="307">
        <v>4.417859</v>
      </c>
      <c r="AB186" s="307">
        <v>4.4875999999999996</v>
      </c>
      <c r="AC186" s="307">
        <v>6.4791480000000004</v>
      </c>
      <c r="AD186" s="307">
        <v>7.6595440000000004</v>
      </c>
      <c r="AE186" s="307">
        <v>5.8281900000000002</v>
      </c>
      <c r="AF186" s="307">
        <v>0</v>
      </c>
      <c r="AG186" s="307">
        <v>7.3125</v>
      </c>
      <c r="AH186" s="307">
        <v>4.2982269999999998</v>
      </c>
      <c r="AI186" s="307">
        <v>4.8371639999999996</v>
      </c>
      <c r="AJ186" s="307">
        <v>0</v>
      </c>
      <c r="AK186" s="307">
        <v>5.3625040000000004</v>
      </c>
      <c r="AL186" s="307">
        <v>4.1822520000000001</v>
      </c>
      <c r="AM186" s="307">
        <v>5.2105030000000001</v>
      </c>
      <c r="AN186" s="307">
        <v>5.9367619999999999</v>
      </c>
      <c r="AO186" s="307">
        <v>5.7344929999999996</v>
      </c>
      <c r="AP186" s="307">
        <v>4.626976</v>
      </c>
      <c r="AQ186" s="307">
        <v>5.7001850000000003</v>
      </c>
      <c r="AR186" s="307">
        <v>5.2193569999999996</v>
      </c>
      <c r="AS186" s="307">
        <v>5.9278209999999998</v>
      </c>
      <c r="AT186" s="307">
        <v>5.354158</v>
      </c>
      <c r="AU186" s="307">
        <v>5.0527519999999999</v>
      </c>
      <c r="AV186" s="307">
        <v>7.2432679999999996</v>
      </c>
      <c r="AW186" s="307">
        <v>4.594805</v>
      </c>
      <c r="AX186" s="307">
        <v>0</v>
      </c>
      <c r="AY186" s="307">
        <v>4.274165</v>
      </c>
      <c r="AZ186" s="307">
        <v>4.0867839999999998</v>
      </c>
      <c r="BA186" s="307">
        <v>6.6296559999999998</v>
      </c>
      <c r="BB186" s="307">
        <v>0</v>
      </c>
      <c r="BC186" s="307">
        <v>3.5944189999999998</v>
      </c>
      <c r="BD186" s="307">
        <v>4.5840209999999999</v>
      </c>
      <c r="BE186" s="307">
        <v>4.2857919999999998</v>
      </c>
      <c r="BF186" s="307">
        <v>4.9596710000000002</v>
      </c>
      <c r="BG186" s="307">
        <v>5.5165519999999999</v>
      </c>
      <c r="BH186" s="307">
        <v>5.594017</v>
      </c>
      <c r="BI186" s="307">
        <v>5.3867459999999996</v>
      </c>
      <c r="BJ186" s="307">
        <v>5.1001459999999996</v>
      </c>
      <c r="BK186" s="307">
        <v>4.187989</v>
      </c>
      <c r="BL186">
        <f t="shared" si="8"/>
        <v>6</v>
      </c>
      <c r="BM186">
        <f t="shared" si="9"/>
        <v>5.0777651636363634</v>
      </c>
      <c r="BN186">
        <f t="shared" si="10"/>
        <v>7.6595440000000004</v>
      </c>
      <c r="BO186">
        <f t="array" ref="BO186">MIN(IF($C186:$BK186&gt;0, $C186:$BK186))</f>
        <v>3.2574619999999999</v>
      </c>
      <c r="BP186">
        <f t="shared" si="11"/>
        <v>4.7096749999999998</v>
      </c>
    </row>
    <row r="187" spans="1:68" x14ac:dyDescent="0.25">
      <c r="A187" s="306">
        <v>332600</v>
      </c>
      <c r="B187" s="307" t="s">
        <v>174</v>
      </c>
      <c r="C187" s="307">
        <v>5.9342350000000001</v>
      </c>
      <c r="D187" s="307">
        <v>0</v>
      </c>
      <c r="E187" s="307">
        <v>6.0098180000000001</v>
      </c>
      <c r="F187" s="307">
        <v>7.477125</v>
      </c>
      <c r="G187" s="307">
        <v>5.9524780000000002</v>
      </c>
      <c r="H187" s="307">
        <v>5.3878830000000004</v>
      </c>
      <c r="I187" s="307">
        <v>6.398263</v>
      </c>
      <c r="J187" s="307">
        <v>4.7757129999999997</v>
      </c>
      <c r="K187" s="307">
        <v>0</v>
      </c>
      <c r="L187" s="307">
        <v>6.0988730000000002</v>
      </c>
      <c r="M187" s="307">
        <v>5.948982</v>
      </c>
      <c r="N187" s="307">
        <v>5.8339840000000001</v>
      </c>
      <c r="O187" s="307">
        <v>0</v>
      </c>
      <c r="P187" s="307">
        <v>7.4138450000000002</v>
      </c>
      <c r="Q187" s="307">
        <v>7.3734140000000004</v>
      </c>
      <c r="R187" s="307">
        <v>5.503018</v>
      </c>
      <c r="S187" s="307">
        <v>5.2195419999999997</v>
      </c>
      <c r="T187" s="307">
        <v>6.1656120000000003</v>
      </c>
      <c r="U187" s="307">
        <v>5.7099159999999998</v>
      </c>
      <c r="V187" s="307">
        <v>6.3956770000000001</v>
      </c>
      <c r="W187" s="307">
        <v>5.056673</v>
      </c>
      <c r="X187" s="307">
        <v>5.2879829999999997</v>
      </c>
      <c r="Y187" s="307">
        <v>7.124066</v>
      </c>
      <c r="Z187" s="307">
        <v>5.9785899999999996</v>
      </c>
      <c r="AA187" s="307">
        <v>5.4715249999999997</v>
      </c>
      <c r="AB187" s="307">
        <v>6.1097020000000004</v>
      </c>
      <c r="AC187" s="307">
        <v>6.2023080000000004</v>
      </c>
      <c r="AD187" s="307">
        <v>0</v>
      </c>
      <c r="AE187" s="307">
        <v>6.3142690000000004</v>
      </c>
      <c r="AF187" s="307">
        <v>6.8614980000000001</v>
      </c>
      <c r="AG187" s="307">
        <v>6.7696610000000002</v>
      </c>
      <c r="AH187" s="307">
        <v>5.6418530000000002</v>
      </c>
      <c r="AI187" s="307">
        <v>4.6308740000000004</v>
      </c>
      <c r="AJ187" s="307">
        <v>7.8154769999999996</v>
      </c>
      <c r="AK187" s="307">
        <v>4.8135519999999996</v>
      </c>
      <c r="AL187" s="307">
        <v>5.9626539999999997</v>
      </c>
      <c r="AM187" s="307">
        <v>5.5232859999999997</v>
      </c>
      <c r="AN187" s="307">
        <v>7.1025790000000004</v>
      </c>
      <c r="AO187" s="307">
        <v>5.6965130000000004</v>
      </c>
      <c r="AP187" s="307">
        <v>5.7137989999999999</v>
      </c>
      <c r="AQ187" s="307">
        <v>5.4302640000000002</v>
      </c>
      <c r="AR187" s="307">
        <v>5.5160819999999999</v>
      </c>
      <c r="AS187" s="307">
        <v>7.6028330000000004</v>
      </c>
      <c r="AT187" s="307">
        <v>6.3521359999999998</v>
      </c>
      <c r="AU187" s="307">
        <v>5.7760040000000004</v>
      </c>
      <c r="AV187" s="307">
        <v>6.340878</v>
      </c>
      <c r="AW187" s="307">
        <v>6.3233490000000003</v>
      </c>
      <c r="AX187" s="307">
        <v>5.2870749999999997</v>
      </c>
      <c r="AY187" s="307">
        <v>5.5444370000000003</v>
      </c>
      <c r="AZ187" s="307">
        <v>5.7672109999999996</v>
      </c>
      <c r="BA187" s="307">
        <v>6.576098</v>
      </c>
      <c r="BB187" s="307">
        <v>0</v>
      </c>
      <c r="BC187" s="307">
        <v>5.3194809999999997</v>
      </c>
      <c r="BD187" s="307">
        <v>5.6642000000000001</v>
      </c>
      <c r="BE187" s="307">
        <v>5.6836289999999998</v>
      </c>
      <c r="BF187" s="307">
        <v>6.2128420000000002</v>
      </c>
      <c r="BG187" s="307">
        <v>5.9537360000000001</v>
      </c>
      <c r="BH187" s="307">
        <v>6.2189860000000001</v>
      </c>
      <c r="BI187" s="307">
        <v>6.1387720000000003</v>
      </c>
      <c r="BJ187" s="307">
        <v>6.1336779999999997</v>
      </c>
      <c r="BK187" s="307">
        <v>5.4717529999999996</v>
      </c>
      <c r="BL187">
        <f t="shared" si="8"/>
        <v>5</v>
      </c>
      <c r="BM187">
        <f t="shared" si="9"/>
        <v>6.0176550714285701</v>
      </c>
      <c r="BN187">
        <f t="shared" si="10"/>
        <v>7.8154769999999996</v>
      </c>
      <c r="BO187">
        <f t="array" ref="BO187">MIN(IF($C187:$BK187&gt;0, $C187:$BK187))</f>
        <v>4.6308740000000004</v>
      </c>
      <c r="BP187">
        <f t="shared" si="11"/>
        <v>5.9342350000000001</v>
      </c>
    </row>
    <row r="188" spans="1:68" x14ac:dyDescent="0.25">
      <c r="A188" s="306">
        <v>332710</v>
      </c>
      <c r="B188" s="307" t="s">
        <v>175</v>
      </c>
      <c r="C188" s="307">
        <v>7.9512470000000004</v>
      </c>
      <c r="D188" s="307">
        <v>6.9720490000000002</v>
      </c>
      <c r="E188" s="307">
        <v>8.9063300000000005</v>
      </c>
      <c r="F188" s="307">
        <v>9.4230649999999994</v>
      </c>
      <c r="G188" s="307">
        <v>7.4316990000000001</v>
      </c>
      <c r="H188" s="307">
        <v>7.2643339999999998</v>
      </c>
      <c r="I188" s="307">
        <v>8.221387</v>
      </c>
      <c r="J188" s="307">
        <v>6.7284889999999997</v>
      </c>
      <c r="K188" s="307">
        <v>0</v>
      </c>
      <c r="L188" s="307">
        <v>6.5846910000000003</v>
      </c>
      <c r="M188" s="307">
        <v>8.6970910000000003</v>
      </c>
      <c r="N188" s="307">
        <v>8.4163099999999993</v>
      </c>
      <c r="O188" s="307">
        <v>9.9712189999999996</v>
      </c>
      <c r="P188" s="307">
        <v>8.4773999999999994</v>
      </c>
      <c r="Q188" s="307">
        <v>9.292624</v>
      </c>
      <c r="R188" s="307">
        <v>7.4487560000000004</v>
      </c>
      <c r="S188" s="307">
        <v>7.81555</v>
      </c>
      <c r="T188" s="307">
        <v>8.6457560000000004</v>
      </c>
      <c r="U188" s="307">
        <v>7.9282500000000002</v>
      </c>
      <c r="V188" s="307">
        <v>6.7773599999999998</v>
      </c>
      <c r="W188" s="307">
        <v>6.3859890000000004</v>
      </c>
      <c r="X188" s="307">
        <v>6.8903059999999998</v>
      </c>
      <c r="Y188" s="307">
        <v>7.0380390000000004</v>
      </c>
      <c r="Z188" s="307">
        <v>7.852627</v>
      </c>
      <c r="AA188" s="307">
        <v>7.1406580000000002</v>
      </c>
      <c r="AB188" s="307">
        <v>8.4124409999999994</v>
      </c>
      <c r="AC188" s="307">
        <v>8.2588209999999993</v>
      </c>
      <c r="AD188" s="307">
        <v>9.9643519999999999</v>
      </c>
      <c r="AE188" s="307">
        <v>8.9308820000000004</v>
      </c>
      <c r="AF188" s="307">
        <v>8.6470389999999995</v>
      </c>
      <c r="AG188" s="307">
        <v>9.4597219999999993</v>
      </c>
      <c r="AH188" s="307">
        <v>6.3186929999999997</v>
      </c>
      <c r="AI188" s="307">
        <v>6.4241299999999999</v>
      </c>
      <c r="AJ188" s="307">
        <v>9.849952</v>
      </c>
      <c r="AK188" s="307">
        <v>9.0461510000000001</v>
      </c>
      <c r="AL188" s="307">
        <v>7.634188</v>
      </c>
      <c r="AM188" s="307">
        <v>7.5945999999999998</v>
      </c>
      <c r="AN188" s="307">
        <v>8.8542729999999992</v>
      </c>
      <c r="AO188" s="307">
        <v>8.4435490000000009</v>
      </c>
      <c r="AP188" s="307">
        <v>8.0552630000000001</v>
      </c>
      <c r="AQ188" s="307">
        <v>7.5514200000000002</v>
      </c>
      <c r="AR188" s="307">
        <v>9.0667349999999995</v>
      </c>
      <c r="AS188" s="307">
        <v>9.5814029999999999</v>
      </c>
      <c r="AT188" s="307">
        <v>8.082827</v>
      </c>
      <c r="AU188" s="307">
        <v>6.9233070000000003</v>
      </c>
      <c r="AV188" s="307">
        <v>8.9692249999999998</v>
      </c>
      <c r="AW188" s="307">
        <v>8.1245989999999999</v>
      </c>
      <c r="AX188" s="307">
        <v>9.3250779999999995</v>
      </c>
      <c r="AY188" s="307">
        <v>8.3283640000000005</v>
      </c>
      <c r="AZ188" s="307">
        <v>8.2709419999999998</v>
      </c>
      <c r="BA188" s="307">
        <v>7.7435669999999996</v>
      </c>
      <c r="BB188" s="307">
        <v>6.8697410000000003</v>
      </c>
      <c r="BC188" s="307">
        <v>7.0663720000000003</v>
      </c>
      <c r="BD188" s="307">
        <v>7.9453180000000003</v>
      </c>
      <c r="BE188" s="307">
        <v>7.8952119999999999</v>
      </c>
      <c r="BF188" s="307">
        <v>8.0606349999999996</v>
      </c>
      <c r="BG188" s="307">
        <v>8.6535390000000003</v>
      </c>
      <c r="BH188" s="307">
        <v>8.5619359999999993</v>
      </c>
      <c r="BI188" s="307">
        <v>7.2811089999999998</v>
      </c>
      <c r="BJ188" s="307">
        <v>8.2812739999999998</v>
      </c>
      <c r="BK188" s="307">
        <v>7.5048649999999997</v>
      </c>
      <c r="BL188">
        <f t="shared" si="8"/>
        <v>1</v>
      </c>
      <c r="BM188">
        <f t="shared" si="9"/>
        <v>8.0707125000000026</v>
      </c>
      <c r="BN188">
        <f t="shared" si="10"/>
        <v>9.9712189999999996</v>
      </c>
      <c r="BO188">
        <f t="array" ref="BO188">MIN(IF($C188:$BK188&gt;0, $C188:$BK188))</f>
        <v>6.3186929999999997</v>
      </c>
      <c r="BP188">
        <f t="shared" si="11"/>
        <v>8.0606349999999996</v>
      </c>
    </row>
    <row r="189" spans="1:68" x14ac:dyDescent="0.25">
      <c r="A189" s="306">
        <v>332720</v>
      </c>
      <c r="B189" s="307" t="s">
        <v>176</v>
      </c>
      <c r="C189" s="307">
        <v>6.3872</v>
      </c>
      <c r="D189" s="307">
        <v>0</v>
      </c>
      <c r="E189" s="307">
        <v>6.7274269999999996</v>
      </c>
      <c r="F189" s="307">
        <v>8.0325970000000009</v>
      </c>
      <c r="G189" s="307">
        <v>6.6094290000000004</v>
      </c>
      <c r="H189" s="307">
        <v>5.6901210000000004</v>
      </c>
      <c r="I189" s="307">
        <v>7.6929990000000004</v>
      </c>
      <c r="J189" s="307">
        <v>5.7339840000000004</v>
      </c>
      <c r="K189" s="307">
        <v>0</v>
      </c>
      <c r="L189" s="307">
        <v>6.5105839999999997</v>
      </c>
      <c r="M189" s="307">
        <v>6.9835750000000001</v>
      </c>
      <c r="N189" s="307">
        <v>6.7020249999999999</v>
      </c>
      <c r="O189" s="307">
        <v>0</v>
      </c>
      <c r="P189" s="307">
        <v>7.2989980000000001</v>
      </c>
      <c r="Q189" s="307">
        <v>7.921913</v>
      </c>
      <c r="R189" s="307">
        <v>5.8958089999999999</v>
      </c>
      <c r="S189" s="307">
        <v>6.3524630000000002</v>
      </c>
      <c r="T189" s="307">
        <v>6.5485720000000001</v>
      </c>
      <c r="U189" s="307">
        <v>6.907324</v>
      </c>
      <c r="V189" s="307">
        <v>8.3227290000000007</v>
      </c>
      <c r="W189" s="307">
        <v>5.2709590000000004</v>
      </c>
      <c r="X189" s="307">
        <v>6.4905730000000004</v>
      </c>
      <c r="Y189" s="307">
        <v>7.5333430000000003</v>
      </c>
      <c r="Z189" s="307">
        <v>6.239287</v>
      </c>
      <c r="AA189" s="307">
        <v>6.4342410000000001</v>
      </c>
      <c r="AB189" s="307">
        <v>7.4247759999999996</v>
      </c>
      <c r="AC189" s="307">
        <v>7.6748149999999997</v>
      </c>
      <c r="AD189" s="307">
        <v>7.4304449999999997</v>
      </c>
      <c r="AE189" s="307">
        <v>6.503482</v>
      </c>
      <c r="AF189" s="307">
        <v>0</v>
      </c>
      <c r="AG189" s="307">
        <v>8.0639489999999991</v>
      </c>
      <c r="AH189" s="307">
        <v>5.7390489999999996</v>
      </c>
      <c r="AI189" s="307">
        <v>5.6765059999999998</v>
      </c>
      <c r="AJ189" s="307">
        <v>6.9180739999999998</v>
      </c>
      <c r="AK189" s="307">
        <v>7.6439360000000001</v>
      </c>
      <c r="AL189" s="307">
        <v>6.9345840000000001</v>
      </c>
      <c r="AM189" s="307">
        <v>6.2757719999999999</v>
      </c>
      <c r="AN189" s="307">
        <v>8.0177449999999997</v>
      </c>
      <c r="AO189" s="307">
        <v>6.4987180000000002</v>
      </c>
      <c r="AP189" s="307">
        <v>5.7361050000000002</v>
      </c>
      <c r="AQ189" s="307">
        <v>6.5589259999999996</v>
      </c>
      <c r="AR189" s="307">
        <v>6.6059789999999996</v>
      </c>
      <c r="AS189" s="307">
        <v>8.1681609999999996</v>
      </c>
      <c r="AT189" s="307">
        <v>6.2607619999999997</v>
      </c>
      <c r="AU189" s="307">
        <v>6.0199780000000001</v>
      </c>
      <c r="AV189" s="307">
        <v>8.1163000000000007</v>
      </c>
      <c r="AW189" s="307">
        <v>7.5700630000000002</v>
      </c>
      <c r="AX189" s="307">
        <v>5.3431709999999999</v>
      </c>
      <c r="AY189" s="307">
        <v>5.9430399999999999</v>
      </c>
      <c r="AZ189" s="307">
        <v>7.036683</v>
      </c>
      <c r="BA189" s="307">
        <v>6.1440440000000001</v>
      </c>
      <c r="BB189" s="307">
        <v>0</v>
      </c>
      <c r="BC189" s="307">
        <v>5.9867549999999996</v>
      </c>
      <c r="BD189" s="307">
        <v>6.3124880000000001</v>
      </c>
      <c r="BE189" s="307">
        <v>6.3277299999999999</v>
      </c>
      <c r="BF189" s="307">
        <v>7.0476130000000001</v>
      </c>
      <c r="BG189" s="307">
        <v>6.9188200000000002</v>
      </c>
      <c r="BH189" s="307">
        <v>6.8044099999999998</v>
      </c>
      <c r="BI189" s="307">
        <v>6.4135530000000003</v>
      </c>
      <c r="BJ189" s="307">
        <v>7.5566449999999996</v>
      </c>
      <c r="BK189" s="307">
        <v>5.7315440000000004</v>
      </c>
      <c r="BL189">
        <f t="shared" si="8"/>
        <v>5</v>
      </c>
      <c r="BM189">
        <f t="shared" si="9"/>
        <v>6.7444780892857121</v>
      </c>
      <c r="BN189">
        <f t="shared" si="10"/>
        <v>8.3227290000000007</v>
      </c>
      <c r="BO189">
        <f t="array" ref="BO189">MIN(IF($C189:$BK189&gt;0, $C189:$BK189))</f>
        <v>5.2709590000000004</v>
      </c>
      <c r="BP189">
        <f t="shared" si="11"/>
        <v>6.5105839999999997</v>
      </c>
    </row>
    <row r="190" spans="1:68" x14ac:dyDescent="0.25">
      <c r="A190" s="306">
        <v>332800</v>
      </c>
      <c r="B190" s="307" t="s">
        <v>177</v>
      </c>
      <c r="C190" s="307">
        <v>6.3376729999999997</v>
      </c>
      <c r="D190" s="307">
        <v>8.2362640000000003</v>
      </c>
      <c r="E190" s="307">
        <v>6.6919940000000002</v>
      </c>
      <c r="F190" s="307">
        <v>8.0309559999999998</v>
      </c>
      <c r="G190" s="307">
        <v>6.2621710000000004</v>
      </c>
      <c r="H190" s="307">
        <v>6.6498920000000004</v>
      </c>
      <c r="I190" s="307">
        <v>7.7668879999999998</v>
      </c>
      <c r="J190" s="307">
        <v>5.5195850000000002</v>
      </c>
      <c r="K190" s="307">
        <v>0</v>
      </c>
      <c r="L190" s="307">
        <v>5.2945510000000002</v>
      </c>
      <c r="M190" s="307">
        <v>6.5943620000000003</v>
      </c>
      <c r="N190" s="307">
        <v>6.358104</v>
      </c>
      <c r="O190" s="307">
        <v>7.1771349999999998</v>
      </c>
      <c r="P190" s="307">
        <v>7.2757120000000004</v>
      </c>
      <c r="Q190" s="307">
        <v>7.9196039999999996</v>
      </c>
      <c r="R190" s="307">
        <v>6.2108319999999999</v>
      </c>
      <c r="S190" s="307">
        <v>5.7024369999999998</v>
      </c>
      <c r="T190" s="307">
        <v>6.3589330000000004</v>
      </c>
      <c r="U190" s="307">
        <v>5.1879920000000004</v>
      </c>
      <c r="V190" s="307">
        <v>5.2997370000000004</v>
      </c>
      <c r="W190" s="307">
        <v>5.3873540000000002</v>
      </c>
      <c r="X190" s="307">
        <v>5.5914020000000004</v>
      </c>
      <c r="Y190" s="307">
        <v>6.2522409999999997</v>
      </c>
      <c r="Z190" s="307">
        <v>6.3497919999999999</v>
      </c>
      <c r="AA190" s="307">
        <v>6.5481590000000001</v>
      </c>
      <c r="AB190" s="307">
        <v>6.0866379999999998</v>
      </c>
      <c r="AC190" s="307">
        <v>5.3336920000000001</v>
      </c>
      <c r="AD190" s="307">
        <v>8.4925029999999992</v>
      </c>
      <c r="AE190" s="307">
        <v>6.4401929999999998</v>
      </c>
      <c r="AF190" s="307">
        <v>6.3075559999999999</v>
      </c>
      <c r="AG190" s="307">
        <v>5.7955360000000002</v>
      </c>
      <c r="AH190" s="307">
        <v>6.6096060000000003</v>
      </c>
      <c r="AI190" s="307">
        <v>5.0881550000000004</v>
      </c>
      <c r="AJ190" s="307">
        <v>8.3943969999999997</v>
      </c>
      <c r="AK190" s="307">
        <v>7.9814610000000004</v>
      </c>
      <c r="AL190" s="307">
        <v>5.8595300000000003</v>
      </c>
      <c r="AM190" s="307">
        <v>5.9325219999999996</v>
      </c>
      <c r="AN190" s="307">
        <v>7.0570709999999996</v>
      </c>
      <c r="AO190" s="307">
        <v>6.9469010000000004</v>
      </c>
      <c r="AP190" s="307">
        <v>5.6874739999999999</v>
      </c>
      <c r="AQ190" s="307">
        <v>6.8205600000000004</v>
      </c>
      <c r="AR190" s="307">
        <v>6.0195689999999997</v>
      </c>
      <c r="AS190" s="307">
        <v>8.1661289999999997</v>
      </c>
      <c r="AT190" s="307">
        <v>6.903302</v>
      </c>
      <c r="AU190" s="307">
        <v>5.3500259999999997</v>
      </c>
      <c r="AV190" s="307">
        <v>7.801876</v>
      </c>
      <c r="AW190" s="307">
        <v>6.1706709999999996</v>
      </c>
      <c r="AX190" s="307">
        <v>7.8799530000000004</v>
      </c>
      <c r="AY190" s="307">
        <v>7.3053569999999999</v>
      </c>
      <c r="AZ190" s="307">
        <v>6.8694360000000003</v>
      </c>
      <c r="BA190" s="307">
        <v>5.1826869999999996</v>
      </c>
      <c r="BB190" s="307">
        <v>6.2995020000000004</v>
      </c>
      <c r="BC190" s="307">
        <v>5.9764530000000002</v>
      </c>
      <c r="BD190" s="307">
        <v>5.8418929999999998</v>
      </c>
      <c r="BE190" s="307">
        <v>6.2770080000000004</v>
      </c>
      <c r="BF190" s="307">
        <v>6.5620289999999999</v>
      </c>
      <c r="BG190" s="307">
        <v>6.3452479999999998</v>
      </c>
      <c r="BH190" s="307">
        <v>6.1989929999999998</v>
      </c>
      <c r="BI190" s="307">
        <v>5.6165419999999999</v>
      </c>
      <c r="BJ190" s="307">
        <v>7.1279260000000004</v>
      </c>
      <c r="BK190" s="307">
        <v>6.7728619999999999</v>
      </c>
      <c r="BL190">
        <f t="shared" si="8"/>
        <v>1</v>
      </c>
      <c r="BM190">
        <f t="shared" si="9"/>
        <v>6.508417116666668</v>
      </c>
      <c r="BN190">
        <f t="shared" si="10"/>
        <v>8.4925029999999992</v>
      </c>
      <c r="BO190">
        <f t="array" ref="BO190">MIN(IF($C190:$BK190&gt;0, $C190:$BK190))</f>
        <v>5.0881550000000004</v>
      </c>
      <c r="BP190">
        <f t="shared" si="11"/>
        <v>6.3452479999999998</v>
      </c>
    </row>
    <row r="191" spans="1:68" x14ac:dyDescent="0.25">
      <c r="A191" s="306">
        <v>332913</v>
      </c>
      <c r="B191" s="307" t="s">
        <v>8</v>
      </c>
      <c r="C191" s="307">
        <v>3.3527</v>
      </c>
      <c r="D191" s="307">
        <v>0</v>
      </c>
      <c r="E191" s="307">
        <v>0</v>
      </c>
      <c r="F191" s="307">
        <v>4.6221959999999997</v>
      </c>
      <c r="G191" s="307">
        <v>4.8526670000000003</v>
      </c>
      <c r="H191" s="307">
        <v>3.1409750000000001</v>
      </c>
      <c r="I191" s="307">
        <v>3.0642019999999999</v>
      </c>
      <c r="J191" s="307">
        <v>2.7149450000000002</v>
      </c>
      <c r="K191" s="307">
        <v>0</v>
      </c>
      <c r="L191" s="307">
        <v>2.4912290000000001</v>
      </c>
      <c r="M191" s="307">
        <v>2.9151980000000002</v>
      </c>
      <c r="N191" s="307">
        <v>4.4706900000000003</v>
      </c>
      <c r="O191" s="307">
        <v>0</v>
      </c>
      <c r="P191" s="307">
        <v>0</v>
      </c>
      <c r="Q191" s="307">
        <v>3.1608800000000001</v>
      </c>
      <c r="R191" s="307">
        <v>2.5107439999999999</v>
      </c>
      <c r="S191" s="307">
        <v>2.9415819999999999</v>
      </c>
      <c r="T191" s="307">
        <v>4.0095780000000003</v>
      </c>
      <c r="U191" s="307">
        <v>2.8938769999999998</v>
      </c>
      <c r="V191" s="307">
        <v>0</v>
      </c>
      <c r="W191" s="307">
        <v>2.360312</v>
      </c>
      <c r="X191" s="307">
        <v>0</v>
      </c>
      <c r="Y191" s="307">
        <v>0</v>
      </c>
      <c r="Z191" s="307">
        <v>3.5062609999999999</v>
      </c>
      <c r="AA191" s="307">
        <v>3.8944839999999998</v>
      </c>
      <c r="AB191" s="307">
        <v>3.6373700000000002</v>
      </c>
      <c r="AC191" s="307">
        <v>0</v>
      </c>
      <c r="AD191" s="307">
        <v>0</v>
      </c>
      <c r="AE191" s="307">
        <v>3.6912950000000002</v>
      </c>
      <c r="AF191" s="307">
        <v>0</v>
      </c>
      <c r="AG191" s="307">
        <v>0</v>
      </c>
      <c r="AH191" s="307">
        <v>4.4648560000000002</v>
      </c>
      <c r="AI191" s="307">
        <v>2.740453</v>
      </c>
      <c r="AJ191" s="307">
        <v>0</v>
      </c>
      <c r="AK191" s="307">
        <v>2.474764</v>
      </c>
      <c r="AL191" s="307">
        <v>4.3681419999999997</v>
      </c>
      <c r="AM191" s="307">
        <v>2.6899479999999998</v>
      </c>
      <c r="AN191" s="307">
        <v>3.3626830000000001</v>
      </c>
      <c r="AO191" s="307">
        <v>3.9033440000000001</v>
      </c>
      <c r="AP191" s="307">
        <v>2.434574</v>
      </c>
      <c r="AQ191" s="307">
        <v>3.281625</v>
      </c>
      <c r="AR191" s="307">
        <v>3.201981</v>
      </c>
      <c r="AS191" s="307">
        <v>0</v>
      </c>
      <c r="AT191" s="307">
        <v>4.4964389999999996</v>
      </c>
      <c r="AU191" s="307">
        <v>3.7840959999999999</v>
      </c>
      <c r="AV191" s="307">
        <v>0</v>
      </c>
      <c r="AW191" s="307">
        <v>3.628231</v>
      </c>
      <c r="AX191" s="307">
        <v>0</v>
      </c>
      <c r="AY191" s="307">
        <v>4.751449</v>
      </c>
      <c r="AZ191" s="307">
        <v>3.2792150000000002</v>
      </c>
      <c r="BA191" s="307">
        <v>0</v>
      </c>
      <c r="BB191" s="307">
        <v>0</v>
      </c>
      <c r="BC191" s="307">
        <v>3.0912459999999999</v>
      </c>
      <c r="BD191" s="307">
        <v>3.047936</v>
      </c>
      <c r="BE191" s="307">
        <v>2.81772</v>
      </c>
      <c r="BF191" s="307">
        <v>3.82768</v>
      </c>
      <c r="BG191" s="307">
        <v>3.6770610000000001</v>
      </c>
      <c r="BH191" s="307">
        <v>4.5002329999999997</v>
      </c>
      <c r="BI191" s="307">
        <v>4.2181680000000004</v>
      </c>
      <c r="BJ191" s="307">
        <v>3.062443</v>
      </c>
      <c r="BK191" s="307">
        <v>3.1916899999999999</v>
      </c>
      <c r="BL191">
        <f t="shared" si="8"/>
        <v>18</v>
      </c>
      <c r="BM191">
        <f t="shared" si="9"/>
        <v>3.454120046511628</v>
      </c>
      <c r="BN191">
        <f t="shared" si="10"/>
        <v>4.8526670000000003</v>
      </c>
      <c r="BO191">
        <f t="array" ref="BO191">MIN(IF($C191:$BK191&gt;0, $C191:$BK191))</f>
        <v>2.360312</v>
      </c>
      <c r="BP191">
        <f t="shared" si="11"/>
        <v>3.047936</v>
      </c>
    </row>
    <row r="192" spans="1:68" x14ac:dyDescent="0.25">
      <c r="A192" s="306" t="s">
        <v>601</v>
      </c>
      <c r="B192" s="307" t="s">
        <v>612</v>
      </c>
      <c r="C192" s="307">
        <v>4.3239660000000004</v>
      </c>
      <c r="D192" s="307">
        <v>0</v>
      </c>
      <c r="E192" s="307">
        <v>4.4973359999999998</v>
      </c>
      <c r="F192" s="307">
        <v>4.8591290000000003</v>
      </c>
      <c r="G192" s="307">
        <v>3.3248540000000002</v>
      </c>
      <c r="H192" s="307">
        <v>3.729549</v>
      </c>
      <c r="I192" s="307">
        <v>3.3302350000000001</v>
      </c>
      <c r="J192" s="307">
        <v>4.0210319999999999</v>
      </c>
      <c r="K192" s="307">
        <v>0.58083669999999998</v>
      </c>
      <c r="L192" s="307">
        <v>0</v>
      </c>
      <c r="M192" s="307">
        <v>4.5577719999999999</v>
      </c>
      <c r="N192" s="307">
        <v>4.8412540000000002</v>
      </c>
      <c r="O192" s="307">
        <v>0</v>
      </c>
      <c r="P192" s="307">
        <v>4.3783649999999996</v>
      </c>
      <c r="Q192" s="307">
        <v>3.1231249999999999</v>
      </c>
      <c r="R192" s="307">
        <v>4.4535499999999999</v>
      </c>
      <c r="S192" s="307">
        <v>5.2541640000000003</v>
      </c>
      <c r="T192" s="307">
        <v>5.1708290000000003</v>
      </c>
      <c r="U192" s="307">
        <v>4.90327</v>
      </c>
      <c r="V192" s="307">
        <v>4.4634539999999996</v>
      </c>
      <c r="W192" s="307">
        <v>3.0918420000000002</v>
      </c>
      <c r="X192" s="307">
        <v>3.577915</v>
      </c>
      <c r="Y192" s="307">
        <v>4.9331959999999997</v>
      </c>
      <c r="Z192" s="307">
        <v>4.3035920000000001</v>
      </c>
      <c r="AA192" s="307">
        <v>3.6326580000000002</v>
      </c>
      <c r="AB192" s="307">
        <v>4.6612080000000002</v>
      </c>
      <c r="AC192" s="307">
        <v>4.4312379999999996</v>
      </c>
      <c r="AD192" s="307">
        <v>4.9680999999999997</v>
      </c>
      <c r="AE192" s="307">
        <v>4.9172640000000003</v>
      </c>
      <c r="AF192" s="307">
        <v>5.3658710000000003</v>
      </c>
      <c r="AG192" s="307">
        <v>5.0869660000000003</v>
      </c>
      <c r="AH192" s="307">
        <v>4.643116</v>
      </c>
      <c r="AI192" s="307">
        <v>3.8736709999999999</v>
      </c>
      <c r="AJ192" s="307">
        <v>6.1118579999999998</v>
      </c>
      <c r="AK192" s="307">
        <v>4.9551129999999999</v>
      </c>
      <c r="AL192" s="307">
        <v>3.7334360000000002</v>
      </c>
      <c r="AM192" s="307">
        <v>4.0926900000000002</v>
      </c>
      <c r="AN192" s="307">
        <v>5.3778129999999997</v>
      </c>
      <c r="AO192" s="307">
        <v>5.6041550000000004</v>
      </c>
      <c r="AP192" s="307">
        <v>4.7748080000000002</v>
      </c>
      <c r="AQ192" s="307">
        <v>3.7269519999999998</v>
      </c>
      <c r="AR192" s="307">
        <v>5.9239240000000004</v>
      </c>
      <c r="AS192" s="307">
        <v>5.9457279999999999</v>
      </c>
      <c r="AT192" s="307">
        <v>4.2086600000000001</v>
      </c>
      <c r="AU192" s="307">
        <v>3.6176300000000001</v>
      </c>
      <c r="AV192" s="307">
        <v>4.22898</v>
      </c>
      <c r="AW192" s="307">
        <v>5.0913019999999998</v>
      </c>
      <c r="AX192" s="307">
        <v>4.926139</v>
      </c>
      <c r="AY192" s="307">
        <v>4.566154</v>
      </c>
      <c r="AZ192" s="307">
        <v>4.9939580000000001</v>
      </c>
      <c r="BA192" s="307">
        <v>5.3221489999999996</v>
      </c>
      <c r="BB192" s="307">
        <v>3.7099039999999999</v>
      </c>
      <c r="BC192" s="307">
        <v>4.0400229999999997</v>
      </c>
      <c r="BD192" s="307">
        <v>4.4169419999999997</v>
      </c>
      <c r="BE192" s="307">
        <v>4.4468969999999999</v>
      </c>
      <c r="BF192" s="307">
        <v>4.5152109999999999</v>
      </c>
      <c r="BG192" s="307">
        <v>4.9516179999999999</v>
      </c>
      <c r="BH192" s="307">
        <v>4.4233190000000002</v>
      </c>
      <c r="BI192" s="307">
        <v>3.9888499999999998</v>
      </c>
      <c r="BJ192" s="307">
        <v>3.5980639999999999</v>
      </c>
      <c r="BK192" s="307">
        <v>3.821923</v>
      </c>
      <c r="BL192">
        <f t="shared" si="8"/>
        <v>3</v>
      </c>
      <c r="BM192">
        <f t="shared" si="9"/>
        <v>4.4209234086206912</v>
      </c>
      <c r="BN192">
        <f t="shared" si="10"/>
        <v>6.1118579999999998</v>
      </c>
      <c r="BO192">
        <f t="array" ref="BO192">MIN(IF($C192:$BK192&gt;0, $C192:$BK192))</f>
        <v>0.58083669999999998</v>
      </c>
      <c r="BP192">
        <f t="shared" si="11"/>
        <v>4.4468969999999999</v>
      </c>
    </row>
    <row r="193" spans="1:68" x14ac:dyDescent="0.25">
      <c r="A193" s="306">
        <v>332991</v>
      </c>
      <c r="B193" s="307" t="s">
        <v>178</v>
      </c>
      <c r="C193" s="307">
        <v>4.1227299999999998</v>
      </c>
      <c r="D193" s="307">
        <v>0</v>
      </c>
      <c r="E193" s="307">
        <v>5.1293439999999997</v>
      </c>
      <c r="F193" s="307">
        <v>0</v>
      </c>
      <c r="G193" s="307">
        <v>0</v>
      </c>
      <c r="H193" s="307">
        <v>4.4541170000000001</v>
      </c>
      <c r="I193" s="307">
        <v>0</v>
      </c>
      <c r="J193" s="307">
        <v>3.5576789999999998</v>
      </c>
      <c r="K193" s="307">
        <v>0</v>
      </c>
      <c r="L193" s="307">
        <v>4.7788579999999996</v>
      </c>
      <c r="M193" s="307">
        <v>4.7386520000000001</v>
      </c>
      <c r="N193" s="307">
        <v>5.5242100000000001</v>
      </c>
      <c r="O193" s="307">
        <v>0</v>
      </c>
      <c r="P193" s="307">
        <v>4.318041</v>
      </c>
      <c r="Q193" s="307">
        <v>0</v>
      </c>
      <c r="R193" s="307">
        <v>4.2470049999999997</v>
      </c>
      <c r="S193" s="307">
        <v>4.1589239999999998</v>
      </c>
      <c r="T193" s="307">
        <v>5.4196260000000001</v>
      </c>
      <c r="U193" s="307">
        <v>5.2734500000000004</v>
      </c>
      <c r="V193" s="307">
        <v>0</v>
      </c>
      <c r="W193" s="307">
        <v>3.9214120000000001</v>
      </c>
      <c r="X193" s="307">
        <v>2.8413560000000002</v>
      </c>
      <c r="Y193" s="307">
        <v>0</v>
      </c>
      <c r="Z193" s="307">
        <v>3.0464310000000001</v>
      </c>
      <c r="AA193" s="307">
        <v>0</v>
      </c>
      <c r="AB193" s="307">
        <v>4.6044999999999998</v>
      </c>
      <c r="AC193" s="307">
        <v>5.4366180000000002</v>
      </c>
      <c r="AD193" s="307">
        <v>0</v>
      </c>
      <c r="AE193" s="307">
        <v>4.4925059999999997</v>
      </c>
      <c r="AF193" s="307">
        <v>0</v>
      </c>
      <c r="AG193" s="307">
        <v>0</v>
      </c>
      <c r="AH193" s="307">
        <v>4.1211060000000002</v>
      </c>
      <c r="AI193" s="307">
        <v>3.5749200000000001</v>
      </c>
      <c r="AJ193" s="307">
        <v>0</v>
      </c>
      <c r="AK193" s="307">
        <v>4.9388480000000001</v>
      </c>
      <c r="AL193" s="307">
        <v>3.8160820000000002</v>
      </c>
      <c r="AM193" s="307">
        <v>2.9876719999999999</v>
      </c>
      <c r="AN193" s="307">
        <v>5.4164209999999997</v>
      </c>
      <c r="AO193" s="307">
        <v>0</v>
      </c>
      <c r="AP193" s="307">
        <v>3.3945650000000001</v>
      </c>
      <c r="AQ193" s="307">
        <v>4.1203669999999999</v>
      </c>
      <c r="AR193" s="307">
        <v>5.038475</v>
      </c>
      <c r="AS193" s="307">
        <v>0</v>
      </c>
      <c r="AT193" s="307">
        <v>5.2330290000000002</v>
      </c>
      <c r="AU193" s="307">
        <v>3.0421040000000001</v>
      </c>
      <c r="AV193" s="307">
        <v>0</v>
      </c>
      <c r="AW193" s="307">
        <v>4.2532050000000003</v>
      </c>
      <c r="AX193" s="307">
        <v>0</v>
      </c>
      <c r="AY193" s="307">
        <v>0</v>
      </c>
      <c r="AZ193" s="307">
        <v>4.081588</v>
      </c>
      <c r="BA193" s="307">
        <v>0</v>
      </c>
      <c r="BB193" s="307">
        <v>5.5837899999999996</v>
      </c>
      <c r="BC193" s="307">
        <v>4.1295789999999997</v>
      </c>
      <c r="BD193" s="307">
        <v>3.738712</v>
      </c>
      <c r="BE193" s="307">
        <v>3.382539</v>
      </c>
      <c r="BF193" s="307">
        <v>4.5597019999999997</v>
      </c>
      <c r="BG193" s="307">
        <v>5.0396770000000002</v>
      </c>
      <c r="BH193" s="307">
        <v>5.3916409999999999</v>
      </c>
      <c r="BI193" s="307">
        <v>3.3460540000000001</v>
      </c>
      <c r="BJ193" s="307">
        <v>5.2279900000000001</v>
      </c>
      <c r="BK193" s="307">
        <v>4.4516479999999996</v>
      </c>
      <c r="BL193">
        <f t="shared" si="8"/>
        <v>20</v>
      </c>
      <c r="BM193">
        <f t="shared" si="9"/>
        <v>4.3642725121951225</v>
      </c>
      <c r="BN193">
        <f t="shared" si="10"/>
        <v>5.5837899999999996</v>
      </c>
      <c r="BO193">
        <f t="array" ref="BO193">MIN(IF($C193:$BK193&gt;0, $C193:$BK193))</f>
        <v>2.8413560000000002</v>
      </c>
      <c r="BP193">
        <f t="shared" si="11"/>
        <v>3.8160820000000002</v>
      </c>
    </row>
    <row r="194" spans="1:68" x14ac:dyDescent="0.25">
      <c r="A194" s="306">
        <v>332996</v>
      </c>
      <c r="B194" s="307" t="s">
        <v>179</v>
      </c>
      <c r="C194" s="307">
        <v>5.2201389999999996</v>
      </c>
      <c r="D194" s="307">
        <v>4.5923420000000004</v>
      </c>
      <c r="E194" s="307">
        <v>5.2052860000000001</v>
      </c>
      <c r="F194" s="307">
        <v>6.0542470000000002</v>
      </c>
      <c r="G194" s="307">
        <v>3.7177669999999998</v>
      </c>
      <c r="H194" s="307">
        <v>5.4420060000000001</v>
      </c>
      <c r="I194" s="307">
        <v>4.1297879999999996</v>
      </c>
      <c r="J194" s="307">
        <v>4.0185849999999999</v>
      </c>
      <c r="K194" s="307">
        <v>0</v>
      </c>
      <c r="L194" s="307">
        <v>3.0575139999999998</v>
      </c>
      <c r="M194" s="307">
        <v>5.77142</v>
      </c>
      <c r="N194" s="307">
        <v>4.2743960000000003</v>
      </c>
      <c r="O194" s="307">
        <v>0</v>
      </c>
      <c r="P194" s="307">
        <v>6.8306480000000001</v>
      </c>
      <c r="Q194" s="307">
        <v>6.793272</v>
      </c>
      <c r="R194" s="307">
        <v>4.8200960000000004</v>
      </c>
      <c r="S194" s="307">
        <v>5.427416</v>
      </c>
      <c r="T194" s="307">
        <v>6.0261909999999999</v>
      </c>
      <c r="U194" s="307">
        <v>6.6134700000000004</v>
      </c>
      <c r="V194" s="307">
        <v>5.4423719999999998</v>
      </c>
      <c r="W194" s="307">
        <v>3.422469</v>
      </c>
      <c r="X194" s="307">
        <v>3.8893949999999999</v>
      </c>
      <c r="Y194" s="307">
        <v>3.9328419999999999</v>
      </c>
      <c r="Z194" s="307">
        <v>5.4143020000000002</v>
      </c>
      <c r="AA194" s="307">
        <v>4.4751390000000004</v>
      </c>
      <c r="AB194" s="307">
        <v>5.2747669999999998</v>
      </c>
      <c r="AC194" s="307">
        <v>6.5753839999999997</v>
      </c>
      <c r="AD194" s="307">
        <v>6.4495709999999997</v>
      </c>
      <c r="AE194" s="307">
        <v>5.5741709999999998</v>
      </c>
      <c r="AF194" s="307">
        <v>0</v>
      </c>
      <c r="AG194" s="307">
        <v>6.9155860000000002</v>
      </c>
      <c r="AH194" s="307">
        <v>3.3861889999999999</v>
      </c>
      <c r="AI194" s="307">
        <v>4.8564619999999996</v>
      </c>
      <c r="AJ194" s="307">
        <v>7.2004320000000002</v>
      </c>
      <c r="AK194" s="307">
        <v>6.2857139999999996</v>
      </c>
      <c r="AL194" s="307">
        <v>4.6681030000000003</v>
      </c>
      <c r="AM194" s="307">
        <v>5.1053649999999999</v>
      </c>
      <c r="AN194" s="307">
        <v>4.9146070000000002</v>
      </c>
      <c r="AO194" s="307">
        <v>5.3989159999999998</v>
      </c>
      <c r="AP194" s="307">
        <v>5.2068909999999997</v>
      </c>
      <c r="AQ194" s="307">
        <v>3.4116680000000001</v>
      </c>
      <c r="AR194" s="307">
        <v>5.6663209999999999</v>
      </c>
      <c r="AS194" s="307">
        <v>6.9325130000000001</v>
      </c>
      <c r="AT194" s="307">
        <v>6.2604139999999999</v>
      </c>
      <c r="AU194" s="307">
        <v>4.5704000000000002</v>
      </c>
      <c r="AV194" s="307">
        <v>6.4460959999999998</v>
      </c>
      <c r="AW194" s="307">
        <v>5.0946550000000004</v>
      </c>
      <c r="AX194" s="307">
        <v>0</v>
      </c>
      <c r="AY194" s="307">
        <v>3.60364</v>
      </c>
      <c r="AZ194" s="307">
        <v>4.8972709999999999</v>
      </c>
      <c r="BA194" s="307">
        <v>6.2698809999999998</v>
      </c>
      <c r="BB194" s="307">
        <v>6.5974370000000002</v>
      </c>
      <c r="BC194" s="307">
        <v>3.9014929999999999</v>
      </c>
      <c r="BD194" s="307">
        <v>5.2847999999999997</v>
      </c>
      <c r="BE194" s="307">
        <v>5.2890969999999999</v>
      </c>
      <c r="BF194" s="307">
        <v>5.2565480000000004</v>
      </c>
      <c r="BG194" s="307">
        <v>5.3525499999999999</v>
      </c>
      <c r="BH194" s="307">
        <v>5.9137519999999997</v>
      </c>
      <c r="BI194" s="307">
        <v>4.9251129999999996</v>
      </c>
      <c r="BJ194" s="307">
        <v>5.0232830000000002</v>
      </c>
      <c r="BK194" s="307">
        <v>5.4000769999999996</v>
      </c>
      <c r="BL194">
        <f t="shared" si="8"/>
        <v>4</v>
      </c>
      <c r="BM194">
        <f t="shared" si="9"/>
        <v>5.2364959473684234</v>
      </c>
      <c r="BN194">
        <f t="shared" si="10"/>
        <v>7.2004320000000002</v>
      </c>
      <c r="BO194">
        <f t="array" ref="BO194">MIN(IF($C194:$BK194&gt;0, $C194:$BK194))</f>
        <v>3.0575139999999998</v>
      </c>
      <c r="BP194">
        <f t="shared" si="11"/>
        <v>5.2201389999999996</v>
      </c>
    </row>
    <row r="195" spans="1:68" x14ac:dyDescent="0.25">
      <c r="A195" s="306" t="s">
        <v>728</v>
      </c>
      <c r="B195" s="307" t="s">
        <v>171</v>
      </c>
      <c r="C195" s="307">
        <v>4.3780330000000003</v>
      </c>
      <c r="D195" s="307">
        <v>0</v>
      </c>
      <c r="E195" s="307">
        <v>9.8243489999999998</v>
      </c>
      <c r="F195" s="307">
        <v>5.2910269999999997</v>
      </c>
      <c r="G195" s="307">
        <v>0</v>
      </c>
      <c r="H195" s="307">
        <v>4.7640989999999999</v>
      </c>
      <c r="I195" s="307">
        <v>0</v>
      </c>
      <c r="J195" s="307">
        <v>6.4209019999999999</v>
      </c>
      <c r="K195" s="307">
        <v>0</v>
      </c>
      <c r="L195" s="307">
        <v>0</v>
      </c>
      <c r="M195" s="307">
        <v>4.7353569999999996</v>
      </c>
      <c r="N195" s="307">
        <v>9.3779570000000003</v>
      </c>
      <c r="O195" s="307">
        <v>0</v>
      </c>
      <c r="P195" s="307">
        <v>5.6178819999999998</v>
      </c>
      <c r="Q195" s="307">
        <v>6.7180439999999999</v>
      </c>
      <c r="R195" s="307">
        <v>4.8765140000000002</v>
      </c>
      <c r="S195" s="307">
        <v>4.5734560000000002</v>
      </c>
      <c r="T195" s="307">
        <v>5.2562259999999998</v>
      </c>
      <c r="U195" s="307">
        <v>10.23165</v>
      </c>
      <c r="V195" s="307">
        <v>0</v>
      </c>
      <c r="W195" s="307">
        <v>2.9917729999999998</v>
      </c>
      <c r="X195" s="307">
        <v>4.9780160000000002</v>
      </c>
      <c r="Y195" s="307">
        <v>0</v>
      </c>
      <c r="Z195" s="307">
        <v>11.162319999999999</v>
      </c>
      <c r="AA195" s="307">
        <v>4.5290679999999996</v>
      </c>
      <c r="AB195" s="307">
        <v>3.7198850000000001</v>
      </c>
      <c r="AC195" s="307">
        <v>5.9245380000000001</v>
      </c>
      <c r="AD195" s="307">
        <v>11.269679999999999</v>
      </c>
      <c r="AE195" s="307">
        <v>3.8002020000000001</v>
      </c>
      <c r="AF195" s="307">
        <v>0</v>
      </c>
      <c r="AG195" s="307">
        <v>5.3580350000000001</v>
      </c>
      <c r="AH195" s="307">
        <v>0</v>
      </c>
      <c r="AI195" s="307">
        <v>0</v>
      </c>
      <c r="AJ195" s="307">
        <v>3.76111</v>
      </c>
      <c r="AK195" s="307">
        <v>8.0965729999999994</v>
      </c>
      <c r="AL195" s="307">
        <v>0</v>
      </c>
      <c r="AM195" s="307">
        <v>5.8820309999999996</v>
      </c>
      <c r="AN195" s="307">
        <v>0</v>
      </c>
      <c r="AO195" s="307">
        <v>5.6907519999999998</v>
      </c>
      <c r="AP195" s="307">
        <v>4.9910810000000003</v>
      </c>
      <c r="AQ195" s="307">
        <v>0</v>
      </c>
      <c r="AR195" s="307">
        <v>7.3400420000000004</v>
      </c>
      <c r="AS195" s="307">
        <v>8.014659</v>
      </c>
      <c r="AT195" s="307">
        <v>3.52108</v>
      </c>
      <c r="AU195" s="307">
        <v>3.4460389999999999</v>
      </c>
      <c r="AV195" s="307">
        <v>7.4784949999999997</v>
      </c>
      <c r="AW195" s="307">
        <v>10.633319999999999</v>
      </c>
      <c r="AX195" s="307">
        <v>0</v>
      </c>
      <c r="AY195" s="307">
        <v>8.8199450000000006</v>
      </c>
      <c r="AZ195" s="307">
        <v>4.176717</v>
      </c>
      <c r="BA195" s="307">
        <v>6.3508599999999999</v>
      </c>
      <c r="BB195" s="307">
        <v>0</v>
      </c>
      <c r="BC195" s="307">
        <v>3.8781870000000001</v>
      </c>
      <c r="BD195" s="307">
        <v>5.1139080000000003</v>
      </c>
      <c r="BE195" s="307">
        <v>4.9541760000000004</v>
      </c>
      <c r="BF195" s="307">
        <v>4.1919259999999996</v>
      </c>
      <c r="BG195" s="307">
        <v>5.0358559999999999</v>
      </c>
      <c r="BH195" s="307">
        <v>3.643472</v>
      </c>
      <c r="BI195" s="307">
        <v>4.0152580000000002</v>
      </c>
      <c r="BJ195" s="307">
        <v>7.2320000000000002</v>
      </c>
      <c r="BK195" s="307">
        <v>5.0814079999999997</v>
      </c>
      <c r="BL195">
        <f t="shared" si="8"/>
        <v>16</v>
      </c>
      <c r="BM195">
        <f t="shared" si="9"/>
        <v>5.9366201777777787</v>
      </c>
      <c r="BN195">
        <f t="shared" si="10"/>
        <v>11.269679999999999</v>
      </c>
      <c r="BO195">
        <f t="array" ref="BO195">MIN(IF($C195:$BK195&gt;0, $C195:$BK195))</f>
        <v>2.9917729999999998</v>
      </c>
      <c r="BP195">
        <f t="shared" si="11"/>
        <v>4.7353569999999996</v>
      </c>
    </row>
    <row r="196" spans="1:68" x14ac:dyDescent="0.25">
      <c r="A196" s="306" t="s">
        <v>729</v>
      </c>
      <c r="B196" s="307" t="s">
        <v>172</v>
      </c>
      <c r="C196" s="307">
        <v>4.5549569999999999</v>
      </c>
      <c r="D196" s="307">
        <v>0</v>
      </c>
      <c r="E196" s="307">
        <v>6.7655370000000001</v>
      </c>
      <c r="F196" s="307">
        <v>5.6920450000000002</v>
      </c>
      <c r="G196" s="307">
        <v>3.8597290000000002</v>
      </c>
      <c r="H196" s="307">
        <v>4.221508</v>
      </c>
      <c r="I196" s="307">
        <v>5.321072</v>
      </c>
      <c r="J196" s="307">
        <v>3.8743699999999999</v>
      </c>
      <c r="K196" s="307">
        <v>0</v>
      </c>
      <c r="L196" s="307">
        <v>0</v>
      </c>
      <c r="M196" s="307">
        <v>6.5122770000000001</v>
      </c>
      <c r="N196" s="307">
        <v>6.1216280000000003</v>
      </c>
      <c r="O196" s="307">
        <v>0</v>
      </c>
      <c r="P196" s="307">
        <v>4.2296870000000002</v>
      </c>
      <c r="Q196" s="307">
        <v>8.9729930000000007</v>
      </c>
      <c r="R196" s="307">
        <v>3.447565</v>
      </c>
      <c r="S196" s="307">
        <v>9.1250099999999996</v>
      </c>
      <c r="T196" s="307">
        <v>8.6660690000000002</v>
      </c>
      <c r="U196" s="307">
        <v>3.9284560000000002</v>
      </c>
      <c r="V196" s="307">
        <v>0</v>
      </c>
      <c r="W196" s="307">
        <v>4.7946559999999998</v>
      </c>
      <c r="X196" s="307">
        <v>4.8940089999999996</v>
      </c>
      <c r="Y196" s="307">
        <v>4.3802589999999997</v>
      </c>
      <c r="Z196" s="307">
        <v>5.3667439999999997</v>
      </c>
      <c r="AA196" s="307">
        <v>3.239433</v>
      </c>
      <c r="AB196" s="307">
        <v>5.7069850000000004</v>
      </c>
      <c r="AC196" s="307">
        <v>4.7134970000000003</v>
      </c>
      <c r="AD196" s="307">
        <v>9.6213949999999997</v>
      </c>
      <c r="AE196" s="307">
        <v>3.4066749999999999</v>
      </c>
      <c r="AF196" s="307">
        <v>0</v>
      </c>
      <c r="AG196" s="307">
        <v>9.1343340000000008</v>
      </c>
      <c r="AH196" s="307">
        <v>5.3705059999999998</v>
      </c>
      <c r="AI196" s="307">
        <v>4.5289349999999997</v>
      </c>
      <c r="AJ196" s="307">
        <v>0</v>
      </c>
      <c r="AK196" s="307">
        <v>6.8480259999999999</v>
      </c>
      <c r="AL196" s="307">
        <v>5.4962790000000004</v>
      </c>
      <c r="AM196" s="307">
        <v>5.8324249999999997</v>
      </c>
      <c r="AN196" s="307">
        <v>6.742267</v>
      </c>
      <c r="AO196" s="307">
        <v>9.1027249999999995</v>
      </c>
      <c r="AP196" s="307">
        <v>5.7523179999999998</v>
      </c>
      <c r="AQ196" s="307">
        <v>0</v>
      </c>
      <c r="AR196" s="307">
        <v>5.4562540000000004</v>
      </c>
      <c r="AS196" s="307">
        <v>7.7081400000000002</v>
      </c>
      <c r="AT196" s="307">
        <v>4.2386809999999997</v>
      </c>
      <c r="AU196" s="307">
        <v>7.5487659999999996</v>
      </c>
      <c r="AV196" s="307">
        <v>8.5995749999999997</v>
      </c>
      <c r="AW196" s="307">
        <v>5.1359589999999997</v>
      </c>
      <c r="AX196" s="307">
        <v>3.2902939999999998</v>
      </c>
      <c r="AY196" s="307">
        <v>9.3533950000000008</v>
      </c>
      <c r="AZ196" s="307">
        <v>6.3999860000000002</v>
      </c>
      <c r="BA196" s="307">
        <v>8.2818240000000003</v>
      </c>
      <c r="BB196" s="307">
        <v>7.9563319999999997</v>
      </c>
      <c r="BC196" s="307">
        <v>4.6377920000000001</v>
      </c>
      <c r="BD196" s="307">
        <v>5.7167680000000001</v>
      </c>
      <c r="BE196" s="307">
        <v>3.660822</v>
      </c>
      <c r="BF196" s="307">
        <v>3.551158</v>
      </c>
      <c r="BG196" s="307">
        <v>5.5321559999999996</v>
      </c>
      <c r="BH196" s="307">
        <v>4.2863930000000003</v>
      </c>
      <c r="BI196" s="307">
        <v>7.1557700000000004</v>
      </c>
      <c r="BJ196" s="307">
        <v>5.225187</v>
      </c>
      <c r="BK196" s="307">
        <v>4.4888830000000004</v>
      </c>
      <c r="BL196">
        <f t="shared" si="8"/>
        <v>8</v>
      </c>
      <c r="BM196">
        <f t="shared" si="9"/>
        <v>5.8197831320754689</v>
      </c>
      <c r="BN196">
        <f t="shared" si="10"/>
        <v>9.6213949999999997</v>
      </c>
      <c r="BO196">
        <f t="array" ref="BO196">MIN(IF($C196:$BK196&gt;0, $C196:$BK196))</f>
        <v>3.239433</v>
      </c>
      <c r="BP196">
        <f t="shared" si="11"/>
        <v>5.225187</v>
      </c>
    </row>
    <row r="197" spans="1:68" x14ac:dyDescent="0.25">
      <c r="A197" s="306" t="s">
        <v>600</v>
      </c>
      <c r="B197" s="307" t="s">
        <v>7</v>
      </c>
      <c r="C197" s="307">
        <v>5.5249730000000001</v>
      </c>
      <c r="D197" s="307">
        <v>7.5096610000000004</v>
      </c>
      <c r="E197" s="307">
        <v>6.0078849999999999</v>
      </c>
      <c r="F197" s="307">
        <v>5.9050960000000003</v>
      </c>
      <c r="G197" s="307">
        <v>5.8318620000000001</v>
      </c>
      <c r="H197" s="307">
        <v>5.323804</v>
      </c>
      <c r="I197" s="307">
        <v>5.8394680000000001</v>
      </c>
      <c r="J197" s="307">
        <v>4.6300239999999997</v>
      </c>
      <c r="K197" s="307">
        <v>0</v>
      </c>
      <c r="L197" s="307">
        <v>0</v>
      </c>
      <c r="M197" s="307">
        <v>6.4832210000000003</v>
      </c>
      <c r="N197" s="307">
        <v>7.4139799999999996</v>
      </c>
      <c r="O197" s="307">
        <v>0</v>
      </c>
      <c r="P197" s="307">
        <v>6.1145379999999996</v>
      </c>
      <c r="Q197" s="307">
        <v>7.2213209999999997</v>
      </c>
      <c r="R197" s="307">
        <v>4.9580130000000002</v>
      </c>
      <c r="S197" s="307">
        <v>6.1441319999999999</v>
      </c>
      <c r="T197" s="307">
        <v>5.8134589999999999</v>
      </c>
      <c r="U197" s="307">
        <v>5.702788</v>
      </c>
      <c r="V197" s="307">
        <v>5.142944</v>
      </c>
      <c r="W197" s="307">
        <v>4.3943899999999996</v>
      </c>
      <c r="X197" s="307">
        <v>4.3972379999999998</v>
      </c>
      <c r="Y197" s="307">
        <v>5.877256</v>
      </c>
      <c r="Z197" s="307">
        <v>5.3904560000000004</v>
      </c>
      <c r="AA197" s="307">
        <v>4.70723</v>
      </c>
      <c r="AB197" s="307">
        <v>5.5758599999999996</v>
      </c>
      <c r="AC197" s="307">
        <v>6.9958850000000004</v>
      </c>
      <c r="AD197" s="307">
        <v>7.228739</v>
      </c>
      <c r="AE197" s="307">
        <v>5.8807679999999998</v>
      </c>
      <c r="AF197" s="307">
        <v>6.7195039999999997</v>
      </c>
      <c r="AG197" s="307">
        <v>6.718629</v>
      </c>
      <c r="AH197" s="307">
        <v>6.1618320000000004</v>
      </c>
      <c r="AI197" s="307">
        <v>4.3567689999999999</v>
      </c>
      <c r="AJ197" s="307">
        <v>7.2826950000000004</v>
      </c>
      <c r="AK197" s="307">
        <v>6.3693429999999998</v>
      </c>
      <c r="AL197" s="307">
        <v>5.3170900000000003</v>
      </c>
      <c r="AM197" s="307">
        <v>4.9986790000000001</v>
      </c>
      <c r="AN197" s="307">
        <v>6.9068779999999999</v>
      </c>
      <c r="AO197" s="307">
        <v>6.2764709999999999</v>
      </c>
      <c r="AP197" s="307">
        <v>4.9638640000000001</v>
      </c>
      <c r="AQ197" s="307">
        <v>6.0149189999999999</v>
      </c>
      <c r="AR197" s="307">
        <v>6.1257260000000002</v>
      </c>
      <c r="AS197" s="307">
        <v>7.4457259999999996</v>
      </c>
      <c r="AT197" s="307">
        <v>6.280983</v>
      </c>
      <c r="AU197" s="307">
        <v>5.2090620000000003</v>
      </c>
      <c r="AV197" s="307">
        <v>6.6683810000000001</v>
      </c>
      <c r="AW197" s="307">
        <v>5.0427059999999999</v>
      </c>
      <c r="AX197" s="307">
        <v>7.2328400000000004</v>
      </c>
      <c r="AY197" s="307">
        <v>6.0548929999999999</v>
      </c>
      <c r="AZ197" s="307">
        <v>5.0062740000000003</v>
      </c>
      <c r="BA197" s="307">
        <v>6.6651090000000002</v>
      </c>
      <c r="BB197" s="307">
        <v>7.6900969999999997</v>
      </c>
      <c r="BC197" s="307">
        <v>5.2634670000000003</v>
      </c>
      <c r="BD197" s="307">
        <v>5.1179030000000001</v>
      </c>
      <c r="BE197" s="307">
        <v>5.1772640000000001</v>
      </c>
      <c r="BF197" s="307">
        <v>5.6230219999999997</v>
      </c>
      <c r="BG197" s="307">
        <v>5.9917660000000001</v>
      </c>
      <c r="BH197" s="307">
        <v>6.1685759999999998</v>
      </c>
      <c r="BI197" s="307">
        <v>5.5301460000000002</v>
      </c>
      <c r="BJ197" s="307">
        <v>6.442399</v>
      </c>
      <c r="BK197" s="307">
        <v>5.7225890000000001</v>
      </c>
      <c r="BL197">
        <f t="shared" si="8"/>
        <v>3</v>
      </c>
      <c r="BM197">
        <f t="shared" si="9"/>
        <v>5.9406998793103423</v>
      </c>
      <c r="BN197">
        <f t="shared" si="10"/>
        <v>7.6900969999999997</v>
      </c>
      <c r="BO197">
        <f t="array" ref="BO197">MIN(IF($C197:$BK197&gt;0, $C197:$BK197))</f>
        <v>4.3567689999999999</v>
      </c>
      <c r="BP197">
        <f t="shared" si="11"/>
        <v>5.877256</v>
      </c>
    </row>
    <row r="198" spans="1:68" x14ac:dyDescent="0.25">
      <c r="A198" s="306">
        <v>333111</v>
      </c>
      <c r="B198" s="307" t="s">
        <v>180</v>
      </c>
      <c r="C198" s="307">
        <v>3.219611</v>
      </c>
      <c r="D198" s="307">
        <v>0</v>
      </c>
      <c r="E198" s="307">
        <v>3.9847519999999998</v>
      </c>
      <c r="F198" s="307">
        <v>5.441802</v>
      </c>
      <c r="G198" s="307">
        <v>2.546265</v>
      </c>
      <c r="H198" s="307">
        <v>3.1842519999999999</v>
      </c>
      <c r="I198" s="307">
        <v>3.9019819999999998</v>
      </c>
      <c r="J198" s="307">
        <v>0</v>
      </c>
      <c r="K198" s="307">
        <v>0</v>
      </c>
      <c r="L198" s="307">
        <v>0</v>
      </c>
      <c r="M198" s="307">
        <v>4.4233320000000003</v>
      </c>
      <c r="N198" s="307">
        <v>2.4932650000000001</v>
      </c>
      <c r="O198" s="307">
        <v>4.9186730000000001</v>
      </c>
      <c r="P198" s="307">
        <v>2.5536490000000001</v>
      </c>
      <c r="Q198" s="307">
        <v>4.686096</v>
      </c>
      <c r="R198" s="307">
        <v>2.4535809999999998</v>
      </c>
      <c r="S198" s="307">
        <v>2.4900340000000001</v>
      </c>
      <c r="T198" s="307">
        <v>3.4954710000000002</v>
      </c>
      <c r="U198" s="307">
        <v>4.7907149999999996</v>
      </c>
      <c r="V198" s="307">
        <v>3.2178179999999998</v>
      </c>
      <c r="W198" s="307">
        <v>4.798413</v>
      </c>
      <c r="X198" s="307">
        <v>5.0004850000000003</v>
      </c>
      <c r="Y198" s="307">
        <v>5.5712609999999998</v>
      </c>
      <c r="Z198" s="307">
        <v>3.735862</v>
      </c>
      <c r="AA198" s="307">
        <v>3.7628020000000002</v>
      </c>
      <c r="AB198" s="307">
        <v>4.734591</v>
      </c>
      <c r="AC198" s="307">
        <v>4.8843249999999996</v>
      </c>
      <c r="AD198" s="307">
        <v>3.6018089999999998</v>
      </c>
      <c r="AE198" s="307">
        <v>3.3143669999999998</v>
      </c>
      <c r="AF198" s="307">
        <v>3.4400430000000002</v>
      </c>
      <c r="AG198" s="307">
        <v>3.1622569999999999</v>
      </c>
      <c r="AH198" s="307">
        <v>2.9200919999999999</v>
      </c>
      <c r="AI198" s="307">
        <v>4.1864340000000002</v>
      </c>
      <c r="AJ198" s="307">
        <v>5.4108559999999999</v>
      </c>
      <c r="AK198" s="307">
        <v>3.5309599999999999</v>
      </c>
      <c r="AL198" s="307">
        <v>4.1249750000000001</v>
      </c>
      <c r="AM198" s="307">
        <v>3.104352</v>
      </c>
      <c r="AN198" s="307">
        <v>5.8046150000000001</v>
      </c>
      <c r="AO198" s="307">
        <v>3.8040829999999999</v>
      </c>
      <c r="AP198" s="307">
        <v>2.7477399999999998</v>
      </c>
      <c r="AQ198" s="307">
        <v>0</v>
      </c>
      <c r="AR198" s="307">
        <v>3.7406280000000001</v>
      </c>
      <c r="AS198" s="307">
        <v>4.4937339999999999</v>
      </c>
      <c r="AT198" s="307">
        <v>4.4601870000000003</v>
      </c>
      <c r="AU198" s="307">
        <v>4.2907960000000003</v>
      </c>
      <c r="AV198" s="307">
        <v>5.7336749999999999</v>
      </c>
      <c r="AW198" s="307">
        <v>3.0601919999999998</v>
      </c>
      <c r="AX198" s="307">
        <v>0</v>
      </c>
      <c r="AY198" s="307">
        <v>3.0954329999999999</v>
      </c>
      <c r="AZ198" s="307">
        <v>2.723843</v>
      </c>
      <c r="BA198" s="307">
        <v>0</v>
      </c>
      <c r="BB198" s="307">
        <v>5.4243069999999998</v>
      </c>
      <c r="BC198" s="307">
        <v>4.140746</v>
      </c>
      <c r="BD198" s="307">
        <v>3.1483180000000002</v>
      </c>
      <c r="BE198" s="307">
        <v>2.6980620000000002</v>
      </c>
      <c r="BF198" s="307">
        <v>3.116797</v>
      </c>
      <c r="BG198" s="307">
        <v>2.9160279999999998</v>
      </c>
      <c r="BH198" s="307">
        <v>4.4725869999999999</v>
      </c>
      <c r="BI198" s="307">
        <v>4.244815</v>
      </c>
      <c r="BJ198" s="307">
        <v>3.7153489999999998</v>
      </c>
      <c r="BK198" s="307">
        <v>3.3086319999999998</v>
      </c>
      <c r="BL198">
        <f t="shared" ref="BL198:BL261" si="12">COUNTIFS($C198:$BK198, 0)</f>
        <v>7</v>
      </c>
      <c r="BM198">
        <f t="shared" ref="BM198:BM261" si="13">AVERAGEIF($C198:$BK198, "&lt;&gt;0", $C198:$BK198)</f>
        <v>3.8560323888888881</v>
      </c>
      <c r="BN198">
        <f t="shared" ref="BN198:BN261" si="14">MAX($C198:$BK198)</f>
        <v>5.8046150000000001</v>
      </c>
      <c r="BO198">
        <f t="array" ref="BO198">MIN(IF($C198:$BK198&gt;0, $C198:$BK198))</f>
        <v>2.4535809999999998</v>
      </c>
      <c r="BP198">
        <f t="shared" ref="BP198:BP261" si="15">MEDIAN($C198:$BK198)</f>
        <v>3.5309599999999999</v>
      </c>
    </row>
    <row r="199" spans="1:68" x14ac:dyDescent="0.25">
      <c r="A199" s="306">
        <v>333112</v>
      </c>
      <c r="B199" s="307" t="s">
        <v>181</v>
      </c>
      <c r="C199" s="307">
        <v>3.3412009999999999</v>
      </c>
      <c r="D199" s="307">
        <v>0</v>
      </c>
      <c r="E199" s="307">
        <v>2.6402869999999998</v>
      </c>
      <c r="F199" s="307">
        <v>4.1644920000000001</v>
      </c>
      <c r="G199" s="307">
        <v>2.475962</v>
      </c>
      <c r="H199" s="307">
        <v>3.7393109999999998</v>
      </c>
      <c r="I199" s="307">
        <v>2.5703290000000001</v>
      </c>
      <c r="J199" s="307">
        <v>2.809536</v>
      </c>
      <c r="K199" s="307">
        <v>0</v>
      </c>
      <c r="L199" s="307">
        <v>0</v>
      </c>
      <c r="M199" s="307">
        <v>4.3527589999999998</v>
      </c>
      <c r="N199" s="307">
        <v>4.2473650000000003</v>
      </c>
      <c r="O199" s="307">
        <v>0</v>
      </c>
      <c r="P199" s="307">
        <v>2.2382399999999998</v>
      </c>
      <c r="Q199" s="307">
        <v>4.313663</v>
      </c>
      <c r="R199" s="307">
        <v>3.221511</v>
      </c>
      <c r="S199" s="307">
        <v>3.3379099999999999</v>
      </c>
      <c r="T199" s="307">
        <v>3.5348619999999999</v>
      </c>
      <c r="U199" s="307">
        <v>3.4530080000000001</v>
      </c>
      <c r="V199" s="307">
        <v>4.0920920000000001</v>
      </c>
      <c r="W199" s="307">
        <v>3.2056840000000002</v>
      </c>
      <c r="X199" s="307">
        <v>2.2938519999999998</v>
      </c>
      <c r="Y199" s="307">
        <v>3.010437</v>
      </c>
      <c r="Z199" s="307">
        <v>4.3418599999999996</v>
      </c>
      <c r="AA199" s="307">
        <v>2.4937</v>
      </c>
      <c r="AB199" s="307">
        <v>2.990148</v>
      </c>
      <c r="AC199" s="307">
        <v>2.9078219999999999</v>
      </c>
      <c r="AD199" s="307">
        <v>0</v>
      </c>
      <c r="AE199" s="307">
        <v>2.403848</v>
      </c>
      <c r="AF199" s="307">
        <v>0</v>
      </c>
      <c r="AG199" s="307">
        <v>3.0444270000000002</v>
      </c>
      <c r="AH199" s="307">
        <v>0</v>
      </c>
      <c r="AI199" s="307">
        <v>2.1150259999999999</v>
      </c>
      <c r="AJ199" s="307">
        <v>0</v>
      </c>
      <c r="AK199" s="307">
        <v>0</v>
      </c>
      <c r="AL199" s="307">
        <v>3.2843719999999998</v>
      </c>
      <c r="AM199" s="307">
        <v>3.0377610000000002</v>
      </c>
      <c r="AN199" s="307">
        <v>2.737698</v>
      </c>
      <c r="AO199" s="307">
        <v>3.8535740000000001</v>
      </c>
      <c r="AP199" s="307">
        <v>2.7181060000000001</v>
      </c>
      <c r="AQ199" s="307">
        <v>0</v>
      </c>
      <c r="AR199" s="307">
        <v>4.2553200000000002</v>
      </c>
      <c r="AS199" s="307">
        <v>3.0462790000000002</v>
      </c>
      <c r="AT199" s="307">
        <v>3.4602309999999998</v>
      </c>
      <c r="AU199" s="307">
        <v>3.0745650000000002</v>
      </c>
      <c r="AV199" s="307">
        <v>3.5498419999999999</v>
      </c>
      <c r="AW199" s="307">
        <v>4.0702949999999998</v>
      </c>
      <c r="AX199" s="307">
        <v>0</v>
      </c>
      <c r="AY199" s="307">
        <v>3.0089959999999998</v>
      </c>
      <c r="AZ199" s="307">
        <v>2.3592610000000001</v>
      </c>
      <c r="BA199" s="307">
        <v>3.7532749999999999</v>
      </c>
      <c r="BB199" s="307">
        <v>0</v>
      </c>
      <c r="BC199" s="307">
        <v>3.2707670000000002</v>
      </c>
      <c r="BD199" s="307">
        <v>2.7558189999999998</v>
      </c>
      <c r="BE199" s="307">
        <v>2.8105989999999998</v>
      </c>
      <c r="BF199" s="307">
        <v>2.7038739999999999</v>
      </c>
      <c r="BG199" s="307">
        <v>3.8597269999999999</v>
      </c>
      <c r="BH199" s="307">
        <v>3.4000880000000002</v>
      </c>
      <c r="BI199" s="307">
        <v>4.1201720000000002</v>
      </c>
      <c r="BJ199" s="307">
        <v>2.655052</v>
      </c>
      <c r="BK199" s="307">
        <v>3.7129379999999998</v>
      </c>
      <c r="BL199">
        <f t="shared" si="12"/>
        <v>12</v>
      </c>
      <c r="BM199">
        <f t="shared" si="13"/>
        <v>3.2415906734693882</v>
      </c>
      <c r="BN199">
        <f t="shared" si="14"/>
        <v>4.3527589999999998</v>
      </c>
      <c r="BO199">
        <f t="array" ref="BO199">MIN(IF($C199:$BK199&gt;0, $C199:$BK199))</f>
        <v>2.1150259999999999</v>
      </c>
      <c r="BP199">
        <f t="shared" si="15"/>
        <v>3.0089959999999998</v>
      </c>
    </row>
    <row r="200" spans="1:68" x14ac:dyDescent="0.25">
      <c r="A200" s="306">
        <v>333120</v>
      </c>
      <c r="B200" s="307" t="s">
        <v>182</v>
      </c>
      <c r="C200" s="307">
        <v>2.8818779999999999</v>
      </c>
      <c r="D200" s="307">
        <v>0</v>
      </c>
      <c r="E200" s="307">
        <v>3.2627790000000001</v>
      </c>
      <c r="F200" s="307">
        <v>4.1434949999999997</v>
      </c>
      <c r="G200" s="307">
        <v>2.440995</v>
      </c>
      <c r="H200" s="307">
        <v>3.8038120000000002</v>
      </c>
      <c r="I200" s="307">
        <v>3.8488579999999999</v>
      </c>
      <c r="J200" s="307">
        <v>2.963829</v>
      </c>
      <c r="K200" s="307">
        <v>0</v>
      </c>
      <c r="L200" s="307">
        <v>0</v>
      </c>
      <c r="M200" s="307">
        <v>3.5770249999999999</v>
      </c>
      <c r="N200" s="307">
        <v>3.1584020000000002</v>
      </c>
      <c r="O200" s="307">
        <v>0</v>
      </c>
      <c r="P200" s="307">
        <v>2.4578090000000001</v>
      </c>
      <c r="Q200" s="307">
        <v>4.291817</v>
      </c>
      <c r="R200" s="307">
        <v>2.3522110000000001</v>
      </c>
      <c r="S200" s="307">
        <v>2.8520150000000002</v>
      </c>
      <c r="T200" s="307">
        <v>2.508648</v>
      </c>
      <c r="U200" s="307">
        <v>2.6275010000000001</v>
      </c>
      <c r="V200" s="307">
        <v>3.5624389999999999</v>
      </c>
      <c r="W200" s="307">
        <v>2.557588</v>
      </c>
      <c r="X200" s="307">
        <v>2.8494860000000002</v>
      </c>
      <c r="Y200" s="307">
        <v>3.6203319999999999</v>
      </c>
      <c r="Z200" s="307">
        <v>3.5218229999999999</v>
      </c>
      <c r="AA200" s="307">
        <v>2.7636270000000001</v>
      </c>
      <c r="AB200" s="307">
        <v>3.2656589999999999</v>
      </c>
      <c r="AC200" s="307">
        <v>3.2095090000000002</v>
      </c>
      <c r="AD200" s="307">
        <v>4.2191099999999997</v>
      </c>
      <c r="AE200" s="307">
        <v>2.6709619999999998</v>
      </c>
      <c r="AF200" s="307">
        <v>2.7677870000000002</v>
      </c>
      <c r="AG200" s="307">
        <v>3.9521480000000002</v>
      </c>
      <c r="AH200" s="307">
        <v>3.8675009999999999</v>
      </c>
      <c r="AI200" s="307">
        <v>2.7026309999999998</v>
      </c>
      <c r="AJ200" s="307">
        <v>4.0566880000000003</v>
      </c>
      <c r="AK200" s="307">
        <v>0</v>
      </c>
      <c r="AL200" s="307">
        <v>3.3089629999999999</v>
      </c>
      <c r="AM200" s="307">
        <v>3.5386760000000002</v>
      </c>
      <c r="AN200" s="307">
        <v>3.3827630000000002</v>
      </c>
      <c r="AO200" s="307">
        <v>3.3696540000000001</v>
      </c>
      <c r="AP200" s="307">
        <v>3.2805759999999999</v>
      </c>
      <c r="AQ200" s="307">
        <v>3.0606279999999999</v>
      </c>
      <c r="AR200" s="307">
        <v>3.2187329999999998</v>
      </c>
      <c r="AS200" s="307">
        <v>3.733717</v>
      </c>
      <c r="AT200" s="307">
        <v>3.0176639999999999</v>
      </c>
      <c r="AU200" s="307">
        <v>3.1359499999999998</v>
      </c>
      <c r="AV200" s="307">
        <v>3.4180290000000002</v>
      </c>
      <c r="AW200" s="307">
        <v>2.7329940000000001</v>
      </c>
      <c r="AX200" s="307">
        <v>3.8782939999999999</v>
      </c>
      <c r="AY200" s="307">
        <v>3.4150320000000001</v>
      </c>
      <c r="AZ200" s="307">
        <v>2.416579</v>
      </c>
      <c r="BA200" s="307">
        <v>3.734245</v>
      </c>
      <c r="BB200" s="307">
        <v>3.6147870000000002</v>
      </c>
      <c r="BC200" s="307">
        <v>3.552708</v>
      </c>
      <c r="BD200" s="307">
        <v>3.3544550000000002</v>
      </c>
      <c r="BE200" s="307">
        <v>2.5439620000000001</v>
      </c>
      <c r="BF200" s="307">
        <v>2.7890199999999998</v>
      </c>
      <c r="BG200" s="307">
        <v>3.001471</v>
      </c>
      <c r="BH200" s="307">
        <v>3.0700129999999999</v>
      </c>
      <c r="BI200" s="307">
        <v>3.2914599999999998</v>
      </c>
      <c r="BJ200" s="307">
        <v>3.5498059999999998</v>
      </c>
      <c r="BK200" s="307">
        <v>3.6366100000000001</v>
      </c>
      <c r="BL200">
        <f t="shared" si="12"/>
        <v>5</v>
      </c>
      <c r="BM200">
        <f t="shared" si="13"/>
        <v>3.246520589285713</v>
      </c>
      <c r="BN200">
        <f t="shared" si="14"/>
        <v>4.291817</v>
      </c>
      <c r="BO200">
        <f t="array" ref="BO200">MIN(IF($C200:$BK200&gt;0, $C200:$BK200))</f>
        <v>2.3522110000000001</v>
      </c>
      <c r="BP200">
        <f t="shared" si="15"/>
        <v>3.2187329999999998</v>
      </c>
    </row>
    <row r="201" spans="1:68" x14ac:dyDescent="0.25">
      <c r="A201" s="306">
        <v>333130</v>
      </c>
      <c r="B201" s="307" t="s">
        <v>183</v>
      </c>
      <c r="C201" s="307">
        <v>4.1706700000000003</v>
      </c>
      <c r="D201" s="307">
        <v>5.0392219999999996</v>
      </c>
      <c r="E201" s="307">
        <v>4.0970620000000002</v>
      </c>
      <c r="F201" s="307">
        <v>5.833323</v>
      </c>
      <c r="G201" s="307">
        <v>4.8449039999999997</v>
      </c>
      <c r="H201" s="307">
        <v>4.0867680000000002</v>
      </c>
      <c r="I201" s="307">
        <v>4.334314</v>
      </c>
      <c r="J201" s="307">
        <v>3.5343789999999999</v>
      </c>
      <c r="K201" s="307">
        <v>0</v>
      </c>
      <c r="L201" s="307">
        <v>0</v>
      </c>
      <c r="M201" s="307">
        <v>5.126614</v>
      </c>
      <c r="N201" s="307">
        <v>4.604133</v>
      </c>
      <c r="O201" s="307">
        <v>0</v>
      </c>
      <c r="P201" s="307">
        <v>6.3899290000000004</v>
      </c>
      <c r="Q201" s="307">
        <v>6.4357949999999997</v>
      </c>
      <c r="R201" s="307">
        <v>4.7884510000000002</v>
      </c>
      <c r="S201" s="307">
        <v>5.2674260000000004</v>
      </c>
      <c r="T201" s="307">
        <v>5.6103759999999996</v>
      </c>
      <c r="U201" s="307">
        <v>4.8622519999999998</v>
      </c>
      <c r="V201" s="307">
        <v>4.2172850000000004</v>
      </c>
      <c r="W201" s="307">
        <v>6.2662009999999997</v>
      </c>
      <c r="X201" s="307">
        <v>5.5908660000000001</v>
      </c>
      <c r="Y201" s="307">
        <v>0</v>
      </c>
      <c r="Z201" s="307">
        <v>4.736669</v>
      </c>
      <c r="AA201" s="307">
        <v>5.7656900000000002</v>
      </c>
      <c r="AB201" s="307">
        <v>3.5022389999999999</v>
      </c>
      <c r="AC201" s="307">
        <v>4.9839079999999996</v>
      </c>
      <c r="AD201" s="307">
        <v>0</v>
      </c>
      <c r="AE201" s="307">
        <v>6.5067820000000003</v>
      </c>
      <c r="AF201" s="307">
        <v>5.3814260000000003</v>
      </c>
      <c r="AG201" s="307">
        <v>6.5844529999999999</v>
      </c>
      <c r="AH201" s="307">
        <v>5.4233529999999996</v>
      </c>
      <c r="AI201" s="307">
        <v>5.7564019999999996</v>
      </c>
      <c r="AJ201" s="307">
        <v>6.2347869999999999</v>
      </c>
      <c r="AK201" s="307">
        <v>5.3228239999999998</v>
      </c>
      <c r="AL201" s="307">
        <v>4.6646549999999998</v>
      </c>
      <c r="AM201" s="307">
        <v>5.1412579999999997</v>
      </c>
      <c r="AN201" s="307">
        <v>5.1039859999999999</v>
      </c>
      <c r="AO201" s="307">
        <v>5.755261</v>
      </c>
      <c r="AP201" s="307">
        <v>4.236815</v>
      </c>
      <c r="AQ201" s="307">
        <v>0</v>
      </c>
      <c r="AR201" s="307">
        <v>6.6730539999999996</v>
      </c>
      <c r="AS201" s="307">
        <v>0</v>
      </c>
      <c r="AT201" s="307">
        <v>5.5605880000000001</v>
      </c>
      <c r="AU201" s="307">
        <v>3.7709359999999998</v>
      </c>
      <c r="AV201" s="307">
        <v>4.6255350000000002</v>
      </c>
      <c r="AW201" s="307">
        <v>4.6487369999999997</v>
      </c>
      <c r="AX201" s="307">
        <v>6.1121600000000003</v>
      </c>
      <c r="AY201" s="307">
        <v>3.9202889999999999</v>
      </c>
      <c r="AZ201" s="307">
        <v>4.7218330000000002</v>
      </c>
      <c r="BA201" s="307">
        <v>4.1109830000000001</v>
      </c>
      <c r="BB201" s="307">
        <v>4.8046550000000003</v>
      </c>
      <c r="BC201" s="307">
        <v>4.2781820000000002</v>
      </c>
      <c r="BD201" s="307">
        <v>4.4047369999999999</v>
      </c>
      <c r="BE201" s="307">
        <v>5.1329799999999999</v>
      </c>
      <c r="BF201" s="307">
        <v>5.5175830000000001</v>
      </c>
      <c r="BG201" s="307">
        <v>4.9368049999999997</v>
      </c>
      <c r="BH201" s="307">
        <v>4.9407069999999997</v>
      </c>
      <c r="BI201" s="307">
        <v>4.0014989999999999</v>
      </c>
      <c r="BJ201" s="307">
        <v>4.9384899999999998</v>
      </c>
      <c r="BK201" s="307">
        <v>4.1341239999999999</v>
      </c>
      <c r="BL201">
        <f t="shared" si="12"/>
        <v>7</v>
      </c>
      <c r="BM201">
        <f t="shared" si="13"/>
        <v>5.0265621296296308</v>
      </c>
      <c r="BN201">
        <f t="shared" si="14"/>
        <v>6.6730539999999996</v>
      </c>
      <c r="BO201">
        <f t="array" ref="BO201">MIN(IF($C201:$BK201&gt;0, $C201:$BK201))</f>
        <v>3.5022389999999999</v>
      </c>
      <c r="BP201">
        <f t="shared" si="15"/>
        <v>4.8449039999999997</v>
      </c>
    </row>
    <row r="202" spans="1:68" x14ac:dyDescent="0.25">
      <c r="A202" s="306">
        <v>333220</v>
      </c>
      <c r="B202" s="307" t="s">
        <v>185</v>
      </c>
      <c r="C202" s="307">
        <v>5.514907</v>
      </c>
      <c r="D202" s="307">
        <v>0</v>
      </c>
      <c r="E202" s="307">
        <v>8.1616920000000004</v>
      </c>
      <c r="F202" s="307">
        <v>9.2887219999999999</v>
      </c>
      <c r="G202" s="307">
        <v>6.6876930000000003</v>
      </c>
      <c r="H202" s="307">
        <v>6.0358700000000001</v>
      </c>
      <c r="I202" s="307">
        <v>6.6438470000000001</v>
      </c>
      <c r="J202" s="307">
        <v>4.5612120000000003</v>
      </c>
      <c r="K202" s="307">
        <v>0</v>
      </c>
      <c r="L202" s="307">
        <v>0</v>
      </c>
      <c r="M202" s="307">
        <v>7.1846399999999999</v>
      </c>
      <c r="N202" s="307">
        <v>7.3427020000000001</v>
      </c>
      <c r="O202" s="307">
        <v>0</v>
      </c>
      <c r="P202" s="307">
        <v>6.7495219999999998</v>
      </c>
      <c r="Q202" s="307">
        <v>0</v>
      </c>
      <c r="R202" s="307">
        <v>5.4025590000000001</v>
      </c>
      <c r="S202" s="307">
        <v>7.0426460000000004</v>
      </c>
      <c r="T202" s="307">
        <v>4.2584989999999996</v>
      </c>
      <c r="U202" s="307">
        <v>4.7449380000000003</v>
      </c>
      <c r="V202" s="307">
        <v>9.2950520000000001</v>
      </c>
      <c r="W202" s="307">
        <v>4.6280910000000004</v>
      </c>
      <c r="X202" s="307">
        <v>4.9855830000000001</v>
      </c>
      <c r="Y202" s="307">
        <v>0</v>
      </c>
      <c r="Z202" s="307">
        <v>6.1242429999999999</v>
      </c>
      <c r="AA202" s="307">
        <v>5.6688479999999997</v>
      </c>
      <c r="AB202" s="307">
        <v>5.9399670000000002</v>
      </c>
      <c r="AC202" s="307">
        <v>8.8962470000000007</v>
      </c>
      <c r="AD202" s="307">
        <v>0</v>
      </c>
      <c r="AE202" s="307">
        <v>5.9415459999999998</v>
      </c>
      <c r="AF202" s="307">
        <v>8.1494940000000007</v>
      </c>
      <c r="AG202" s="307">
        <v>8.4630989999999997</v>
      </c>
      <c r="AH202" s="307">
        <v>8.6704209999999993</v>
      </c>
      <c r="AI202" s="307">
        <v>3.6544539999999999</v>
      </c>
      <c r="AJ202" s="307">
        <v>9.0938759999999998</v>
      </c>
      <c r="AK202" s="307">
        <v>0</v>
      </c>
      <c r="AL202" s="307">
        <v>4.8244809999999996</v>
      </c>
      <c r="AM202" s="307">
        <v>5.6982920000000004</v>
      </c>
      <c r="AN202" s="307">
        <v>4.0262770000000003</v>
      </c>
      <c r="AO202" s="307">
        <v>4.3251819999999999</v>
      </c>
      <c r="AP202" s="307">
        <v>5.5118859999999996</v>
      </c>
      <c r="AQ202" s="307">
        <v>3.3920349999999999</v>
      </c>
      <c r="AR202" s="307">
        <v>7.0780820000000002</v>
      </c>
      <c r="AS202" s="307">
        <v>0</v>
      </c>
      <c r="AT202" s="307">
        <v>5.1048730000000004</v>
      </c>
      <c r="AU202" s="307">
        <v>4.0145749999999998</v>
      </c>
      <c r="AV202" s="307">
        <v>9.6362839999999998</v>
      </c>
      <c r="AW202" s="307">
        <v>6.6575139999999999</v>
      </c>
      <c r="AX202" s="307">
        <v>4.7368069999999998</v>
      </c>
      <c r="AY202" s="307">
        <v>7.3366410000000002</v>
      </c>
      <c r="AZ202" s="307">
        <v>5.3231000000000002</v>
      </c>
      <c r="BA202" s="307">
        <v>8.3709720000000001</v>
      </c>
      <c r="BB202" s="307">
        <v>0</v>
      </c>
      <c r="BC202" s="307">
        <v>5.0567419999999998</v>
      </c>
      <c r="BD202" s="307">
        <v>5.0424749999999996</v>
      </c>
      <c r="BE202" s="307">
        <v>5.9107200000000004</v>
      </c>
      <c r="BF202" s="307">
        <v>5.7788130000000004</v>
      </c>
      <c r="BG202" s="307">
        <v>6.802905</v>
      </c>
      <c r="BH202" s="307">
        <v>5.6153269999999997</v>
      </c>
      <c r="BI202" s="307">
        <v>4.1744130000000004</v>
      </c>
      <c r="BJ202" s="307">
        <v>7.0682960000000001</v>
      </c>
      <c r="BK202" s="307">
        <v>6.2585189999999997</v>
      </c>
      <c r="BL202">
        <f t="shared" si="12"/>
        <v>10</v>
      </c>
      <c r="BM202">
        <f t="shared" si="13"/>
        <v>6.213246686274509</v>
      </c>
      <c r="BN202">
        <f t="shared" si="14"/>
        <v>9.6362839999999998</v>
      </c>
      <c r="BO202">
        <f t="array" ref="BO202">MIN(IF($C202:$BK202&gt;0, $C202:$BK202))</f>
        <v>3.3920349999999999</v>
      </c>
      <c r="BP202">
        <f t="shared" si="15"/>
        <v>5.6153269999999997</v>
      </c>
    </row>
    <row r="203" spans="1:68" x14ac:dyDescent="0.25">
      <c r="A203" s="306">
        <v>333295</v>
      </c>
      <c r="B203" s="307" t="s">
        <v>186</v>
      </c>
      <c r="C203" s="307">
        <v>2.967047</v>
      </c>
      <c r="D203" s="307">
        <v>0</v>
      </c>
      <c r="E203" s="307">
        <v>5.5602919999999996</v>
      </c>
      <c r="F203" s="307">
        <v>5.9739389999999997</v>
      </c>
      <c r="G203" s="307">
        <v>3.2590810000000001</v>
      </c>
      <c r="H203" s="307">
        <v>2.549671</v>
      </c>
      <c r="I203" s="307">
        <v>5.7857890000000003</v>
      </c>
      <c r="J203" s="307">
        <v>2.80416</v>
      </c>
      <c r="K203" s="307">
        <v>0</v>
      </c>
      <c r="L203" s="307">
        <v>0</v>
      </c>
      <c r="M203" s="307">
        <v>4.2136360000000002</v>
      </c>
      <c r="N203" s="307">
        <v>2.4779179999999998</v>
      </c>
      <c r="O203" s="307">
        <v>0</v>
      </c>
      <c r="P203" s="307">
        <v>5.9104760000000001</v>
      </c>
      <c r="Q203" s="307">
        <v>2.7469589999999999</v>
      </c>
      <c r="R203" s="307">
        <v>2.5612430000000002</v>
      </c>
      <c r="S203" s="307">
        <v>0</v>
      </c>
      <c r="T203" s="307">
        <v>0</v>
      </c>
      <c r="U203" s="307">
        <v>5.7202630000000001</v>
      </c>
      <c r="V203" s="307">
        <v>0</v>
      </c>
      <c r="W203" s="307">
        <v>2.7328410000000001</v>
      </c>
      <c r="X203" s="307">
        <v>3.945503</v>
      </c>
      <c r="Y203" s="307">
        <v>0</v>
      </c>
      <c r="Z203" s="307">
        <v>4.4917379999999998</v>
      </c>
      <c r="AA203" s="307">
        <v>3.7851180000000002</v>
      </c>
      <c r="AB203" s="307">
        <v>0</v>
      </c>
      <c r="AC203" s="307">
        <v>0</v>
      </c>
      <c r="AD203" s="307">
        <v>6.1040359999999998</v>
      </c>
      <c r="AE203" s="307">
        <v>4.1139650000000003</v>
      </c>
      <c r="AF203" s="307">
        <v>0</v>
      </c>
      <c r="AG203" s="307">
        <v>0</v>
      </c>
      <c r="AH203" s="307">
        <v>3.6693549999999999</v>
      </c>
      <c r="AI203" s="307">
        <v>3.607246</v>
      </c>
      <c r="AJ203" s="307">
        <v>0</v>
      </c>
      <c r="AK203" s="307">
        <v>0</v>
      </c>
      <c r="AL203" s="307">
        <v>2.8553190000000002</v>
      </c>
      <c r="AM203" s="307">
        <v>5.2592359999999996</v>
      </c>
      <c r="AN203" s="307">
        <v>0</v>
      </c>
      <c r="AO203" s="307">
        <v>3.5629140000000001</v>
      </c>
      <c r="AP203" s="307">
        <v>3.1604190000000001</v>
      </c>
      <c r="AQ203" s="307">
        <v>0</v>
      </c>
      <c r="AR203" s="307">
        <v>0</v>
      </c>
      <c r="AS203" s="307">
        <v>0</v>
      </c>
      <c r="AT203" s="307">
        <v>5.911454</v>
      </c>
      <c r="AU203" s="307">
        <v>3.480966</v>
      </c>
      <c r="AV203" s="307">
        <v>6.2124199999999998</v>
      </c>
      <c r="AW203" s="307">
        <v>2.7286030000000001</v>
      </c>
      <c r="AX203" s="307">
        <v>3.2174610000000001</v>
      </c>
      <c r="AY203" s="307">
        <v>0</v>
      </c>
      <c r="AZ203" s="307">
        <v>4.2946099999999996</v>
      </c>
      <c r="BA203" s="307">
        <v>0</v>
      </c>
      <c r="BB203" s="307">
        <v>0</v>
      </c>
      <c r="BC203" s="307">
        <v>2.994256</v>
      </c>
      <c r="BD203" s="307">
        <v>3.1808380000000001</v>
      </c>
      <c r="BE203" s="307">
        <v>4.8768849999999997</v>
      </c>
      <c r="BF203" s="307">
        <v>3.8090790000000001</v>
      </c>
      <c r="BG203" s="307">
        <v>3.5871149999999998</v>
      </c>
      <c r="BH203" s="307">
        <v>5.9762050000000002</v>
      </c>
      <c r="BI203" s="307">
        <v>3.4974919999999998</v>
      </c>
      <c r="BJ203" s="307">
        <v>4.4718640000000001</v>
      </c>
      <c r="BK203" s="307">
        <v>2.686366</v>
      </c>
      <c r="BL203">
        <f t="shared" si="12"/>
        <v>21</v>
      </c>
      <c r="BM203">
        <f t="shared" si="13"/>
        <v>4.0185944500000002</v>
      </c>
      <c r="BN203">
        <f t="shared" si="14"/>
        <v>6.2124199999999998</v>
      </c>
      <c r="BO203">
        <f t="array" ref="BO203">MIN(IF($C203:$BK203&gt;0, $C203:$BK203))</f>
        <v>2.4779179999999998</v>
      </c>
      <c r="BP203">
        <f t="shared" si="15"/>
        <v>2.967047</v>
      </c>
    </row>
    <row r="204" spans="1:68" x14ac:dyDescent="0.25">
      <c r="A204" s="306" t="s">
        <v>730</v>
      </c>
      <c r="B204" s="307" t="s">
        <v>184</v>
      </c>
      <c r="C204" s="307">
        <v>5.567666</v>
      </c>
      <c r="D204" s="307">
        <v>0</v>
      </c>
      <c r="E204" s="307">
        <v>6.924811</v>
      </c>
      <c r="F204" s="307">
        <v>6.0849070000000003</v>
      </c>
      <c r="G204" s="307">
        <v>6.9624430000000004</v>
      </c>
      <c r="H204" s="307">
        <v>5.5054610000000004</v>
      </c>
      <c r="I204" s="307">
        <v>6.1369540000000002</v>
      </c>
      <c r="J204" s="307">
        <v>4.7532220000000001</v>
      </c>
      <c r="K204" s="307">
        <v>0</v>
      </c>
      <c r="L204" s="307">
        <v>3.816389</v>
      </c>
      <c r="M204" s="307">
        <v>5.900652</v>
      </c>
      <c r="N204" s="307">
        <v>5.7525630000000003</v>
      </c>
      <c r="O204" s="307">
        <v>0</v>
      </c>
      <c r="P204" s="307">
        <v>5.8129150000000003</v>
      </c>
      <c r="Q204" s="307">
        <v>6.6674540000000002</v>
      </c>
      <c r="R204" s="307">
        <v>5.0042179999999998</v>
      </c>
      <c r="S204" s="307">
        <v>5.5869479999999996</v>
      </c>
      <c r="T204" s="307">
        <v>5.4272859999999996</v>
      </c>
      <c r="U204" s="307">
        <v>4.8099759999999998</v>
      </c>
      <c r="V204" s="307">
        <v>6.0458249999999998</v>
      </c>
      <c r="W204" s="307">
        <v>4.147856</v>
      </c>
      <c r="X204" s="307">
        <v>4.9564310000000003</v>
      </c>
      <c r="Y204" s="307">
        <v>5.8197999999999999</v>
      </c>
      <c r="Z204" s="307">
        <v>5.1900409999999999</v>
      </c>
      <c r="AA204" s="307">
        <v>5.120736</v>
      </c>
      <c r="AB204" s="307">
        <v>5.4396209999999998</v>
      </c>
      <c r="AC204" s="307">
        <v>6.4142469999999996</v>
      </c>
      <c r="AD204" s="307">
        <v>6.9709700000000003</v>
      </c>
      <c r="AE204" s="307">
        <v>5.5303870000000002</v>
      </c>
      <c r="AF204" s="307">
        <v>4.1862440000000003</v>
      </c>
      <c r="AG204" s="307">
        <v>6.170242</v>
      </c>
      <c r="AH204" s="307">
        <v>4.0361349999999998</v>
      </c>
      <c r="AI204" s="307">
        <v>4.4187700000000003</v>
      </c>
      <c r="AJ204" s="307">
        <v>4.274667</v>
      </c>
      <c r="AK204" s="307">
        <v>6.9333980000000004</v>
      </c>
      <c r="AL204" s="307">
        <v>4.5851030000000002</v>
      </c>
      <c r="AM204" s="307">
        <v>5.4773880000000004</v>
      </c>
      <c r="AN204" s="307">
        <v>7.1821619999999999</v>
      </c>
      <c r="AO204" s="307">
        <v>6.22926</v>
      </c>
      <c r="AP204" s="307">
        <v>6.1052809999999997</v>
      </c>
      <c r="AQ204" s="307">
        <v>4.7922289999999998</v>
      </c>
      <c r="AR204" s="307">
        <v>5.677937</v>
      </c>
      <c r="AS204" s="307">
        <v>6.7788500000000003</v>
      </c>
      <c r="AT204" s="307">
        <v>5.8213140000000001</v>
      </c>
      <c r="AU204" s="307">
        <v>5.4175760000000004</v>
      </c>
      <c r="AV204" s="307">
        <v>7.0943670000000001</v>
      </c>
      <c r="AW204" s="307">
        <v>5.5</v>
      </c>
      <c r="AX204" s="307">
        <v>5.2256980000000004</v>
      </c>
      <c r="AY204" s="307">
        <v>5.5979749999999999</v>
      </c>
      <c r="AZ204" s="307">
        <v>5.1476800000000003</v>
      </c>
      <c r="BA204" s="307">
        <v>6.1629060000000004</v>
      </c>
      <c r="BB204" s="307">
        <v>4.6521710000000001</v>
      </c>
      <c r="BC204" s="307">
        <v>4.7115840000000002</v>
      </c>
      <c r="BD204" s="307">
        <v>5.2123609999999996</v>
      </c>
      <c r="BE204" s="307">
        <v>5.3392720000000002</v>
      </c>
      <c r="BF204" s="307">
        <v>5.5801280000000002</v>
      </c>
      <c r="BG204" s="307">
        <v>5.7670360000000001</v>
      </c>
      <c r="BH204" s="307">
        <v>5.8837159999999997</v>
      </c>
      <c r="BI204" s="307">
        <v>5.7405140000000001</v>
      </c>
      <c r="BJ204" s="307">
        <v>6.4790609999999997</v>
      </c>
      <c r="BK204" s="307">
        <v>5.7645670000000004</v>
      </c>
      <c r="BL204">
        <f t="shared" si="12"/>
        <v>3</v>
      </c>
      <c r="BM204">
        <f t="shared" si="13"/>
        <v>5.5912995000000008</v>
      </c>
      <c r="BN204">
        <f t="shared" si="14"/>
        <v>7.1821619999999999</v>
      </c>
      <c r="BO204">
        <f t="array" ref="BO204">MIN(IF($C204:$BK204&gt;0, $C204:$BK204))</f>
        <v>3.816389</v>
      </c>
      <c r="BP204">
        <f t="shared" si="15"/>
        <v>5.567666</v>
      </c>
    </row>
    <row r="205" spans="1:68" x14ac:dyDescent="0.25">
      <c r="A205" s="306">
        <v>333314</v>
      </c>
      <c r="B205" s="307" t="s">
        <v>188</v>
      </c>
      <c r="C205" s="307">
        <v>5.1706209999999997</v>
      </c>
      <c r="D205" s="307">
        <v>0</v>
      </c>
      <c r="E205" s="307">
        <v>7.2126039999999998</v>
      </c>
      <c r="F205" s="307">
        <v>8.6977320000000002</v>
      </c>
      <c r="G205" s="307">
        <v>5.6122829999999997</v>
      </c>
      <c r="H205" s="307">
        <v>4.1948509999999999</v>
      </c>
      <c r="I205" s="307">
        <v>6.4634660000000004</v>
      </c>
      <c r="J205" s="307">
        <v>3.9195489999999999</v>
      </c>
      <c r="K205" s="307">
        <v>0</v>
      </c>
      <c r="L205" s="307">
        <v>5.2705479999999998</v>
      </c>
      <c r="M205" s="307">
        <v>5.6432140000000004</v>
      </c>
      <c r="N205" s="307">
        <v>9.7564720000000005</v>
      </c>
      <c r="O205" s="307">
        <v>8.5132270000000005</v>
      </c>
      <c r="P205" s="307">
        <v>9.4422040000000003</v>
      </c>
      <c r="Q205" s="307">
        <v>9.9084489999999992</v>
      </c>
      <c r="R205" s="307">
        <v>6.3308879999999998</v>
      </c>
      <c r="S205" s="307">
        <v>7.8186910000000003</v>
      </c>
      <c r="T205" s="307">
        <v>8.9189450000000008</v>
      </c>
      <c r="U205" s="307">
        <v>9.1383910000000004</v>
      </c>
      <c r="V205" s="307">
        <v>5.2813119999999998</v>
      </c>
      <c r="W205" s="307">
        <v>4.9330930000000004</v>
      </c>
      <c r="X205" s="307">
        <v>4.6641279999999998</v>
      </c>
      <c r="Y205" s="307">
        <v>5.7394949999999998</v>
      </c>
      <c r="Z205" s="307">
        <v>4.8685929999999997</v>
      </c>
      <c r="AA205" s="307">
        <v>6.3942959999999998</v>
      </c>
      <c r="AB205" s="307">
        <v>4.8053179999999998</v>
      </c>
      <c r="AC205" s="307">
        <v>7.9756489999999998</v>
      </c>
      <c r="AD205" s="307">
        <v>6.4630520000000002</v>
      </c>
      <c r="AE205" s="307">
        <v>5.4725190000000001</v>
      </c>
      <c r="AF205" s="307">
        <v>7.0881020000000001</v>
      </c>
      <c r="AG205" s="307">
        <v>4.0260220000000002</v>
      </c>
      <c r="AH205" s="307">
        <v>4.8067890000000002</v>
      </c>
      <c r="AI205" s="307">
        <v>4.6793740000000001</v>
      </c>
      <c r="AJ205" s="307">
        <v>4.4059239999999997</v>
      </c>
      <c r="AK205" s="307">
        <v>7.1824719999999997</v>
      </c>
      <c r="AL205" s="307">
        <v>5.4320700000000004</v>
      </c>
      <c r="AM205" s="307">
        <v>6.7138359999999997</v>
      </c>
      <c r="AN205" s="307">
        <v>10.0471</v>
      </c>
      <c r="AO205" s="307">
        <v>5.6020500000000002</v>
      </c>
      <c r="AP205" s="307">
        <v>6.1924210000000004</v>
      </c>
      <c r="AQ205" s="307">
        <v>4.9483100000000002</v>
      </c>
      <c r="AR205" s="307">
        <v>0</v>
      </c>
      <c r="AS205" s="307">
        <v>0</v>
      </c>
      <c r="AT205" s="307">
        <v>8.5284429999999993</v>
      </c>
      <c r="AU205" s="307">
        <v>6.3954950000000004</v>
      </c>
      <c r="AV205" s="307">
        <v>9.9237459999999995</v>
      </c>
      <c r="AW205" s="307">
        <v>3.9025240000000001</v>
      </c>
      <c r="AX205" s="307">
        <v>4.9460660000000001</v>
      </c>
      <c r="AY205" s="307">
        <v>4.3190249999999999</v>
      </c>
      <c r="AZ205" s="307">
        <v>5.3005079999999998</v>
      </c>
      <c r="BA205" s="307">
        <v>8.6210850000000008</v>
      </c>
      <c r="BB205" s="307">
        <v>0</v>
      </c>
      <c r="BC205" s="307">
        <v>5.0807919999999998</v>
      </c>
      <c r="BD205" s="307">
        <v>5.7018890000000004</v>
      </c>
      <c r="BE205" s="307">
        <v>5.8468119999999999</v>
      </c>
      <c r="BF205" s="307">
        <v>5.7871170000000003</v>
      </c>
      <c r="BG205" s="307">
        <v>4.7652489999999998</v>
      </c>
      <c r="BH205" s="307">
        <v>8.2235829999999996</v>
      </c>
      <c r="BI205" s="307">
        <v>6.6563470000000002</v>
      </c>
      <c r="BJ205" s="307">
        <v>5.8447490000000002</v>
      </c>
      <c r="BK205" s="307">
        <v>4.416137</v>
      </c>
      <c r="BL205">
        <f t="shared" si="12"/>
        <v>5</v>
      </c>
      <c r="BM205">
        <f t="shared" si="13"/>
        <v>6.3213147678571415</v>
      </c>
      <c r="BN205">
        <f t="shared" si="14"/>
        <v>10.0471</v>
      </c>
      <c r="BO205">
        <f t="array" ref="BO205">MIN(IF($C205:$BK205&gt;0, $C205:$BK205))</f>
        <v>3.9025240000000001</v>
      </c>
      <c r="BP205">
        <f t="shared" si="15"/>
        <v>5.6432140000000004</v>
      </c>
    </row>
    <row r="206" spans="1:68" x14ac:dyDescent="0.25">
      <c r="A206" s="306">
        <v>333315</v>
      </c>
      <c r="B206" s="307" t="s">
        <v>189</v>
      </c>
      <c r="C206" s="307">
        <v>3.2131560000000001</v>
      </c>
      <c r="D206" s="307">
        <v>0</v>
      </c>
      <c r="E206" s="307">
        <v>4.3121739999999997</v>
      </c>
      <c r="F206" s="307">
        <v>0</v>
      </c>
      <c r="G206" s="307">
        <v>2.6159249999999998</v>
      </c>
      <c r="H206" s="307">
        <v>4.2441870000000002</v>
      </c>
      <c r="I206" s="307">
        <v>3.4666960000000002</v>
      </c>
      <c r="J206" s="307">
        <v>6.26152</v>
      </c>
      <c r="K206" s="307">
        <v>0</v>
      </c>
      <c r="L206" s="307">
        <v>0</v>
      </c>
      <c r="M206" s="307">
        <v>3.1724420000000002</v>
      </c>
      <c r="N206" s="307">
        <v>3.8452190000000002</v>
      </c>
      <c r="O206" s="307">
        <v>0</v>
      </c>
      <c r="P206" s="307">
        <v>0</v>
      </c>
      <c r="Q206" s="307">
        <v>2.3763480000000001</v>
      </c>
      <c r="R206" s="307">
        <v>4.125642</v>
      </c>
      <c r="S206" s="307">
        <v>4.7366720000000004</v>
      </c>
      <c r="T206" s="307">
        <v>3.816103</v>
      </c>
      <c r="U206" s="307">
        <v>6.0937929999999998</v>
      </c>
      <c r="V206" s="307">
        <v>0</v>
      </c>
      <c r="W206" s="307">
        <v>2.201419</v>
      </c>
      <c r="X206" s="307">
        <v>5.1876720000000001</v>
      </c>
      <c r="Y206" s="307">
        <v>3.4165450000000002</v>
      </c>
      <c r="Z206" s="307">
        <v>6.6505890000000001</v>
      </c>
      <c r="AA206" s="307">
        <v>3.026627</v>
      </c>
      <c r="AB206" s="307">
        <v>4.4751450000000004</v>
      </c>
      <c r="AC206" s="307">
        <v>0</v>
      </c>
      <c r="AD206" s="307">
        <v>3.0605180000000001</v>
      </c>
      <c r="AE206" s="307">
        <v>6.3556179999999998</v>
      </c>
      <c r="AF206" s="307">
        <v>5.2695920000000003</v>
      </c>
      <c r="AG206" s="307">
        <v>4.7576309999999999</v>
      </c>
      <c r="AH206" s="307">
        <v>4.4651670000000001</v>
      </c>
      <c r="AI206" s="307">
        <v>2.1516869999999999</v>
      </c>
      <c r="AJ206" s="307">
        <v>4.3317170000000003</v>
      </c>
      <c r="AK206" s="307">
        <v>0</v>
      </c>
      <c r="AL206" s="307">
        <v>2.6904840000000001</v>
      </c>
      <c r="AM206" s="307">
        <v>2.3532639999999998</v>
      </c>
      <c r="AN206" s="307">
        <v>5.856509</v>
      </c>
      <c r="AO206" s="307">
        <v>5.5521070000000003</v>
      </c>
      <c r="AP206" s="307">
        <v>4.0564809999999998</v>
      </c>
      <c r="AQ206" s="307">
        <v>0</v>
      </c>
      <c r="AR206" s="307">
        <v>3.4728210000000002</v>
      </c>
      <c r="AS206" s="307">
        <v>0</v>
      </c>
      <c r="AT206" s="307">
        <v>2.2648860000000002</v>
      </c>
      <c r="AU206" s="307">
        <v>6.0184620000000004</v>
      </c>
      <c r="AV206" s="307">
        <v>4.7826089999999999</v>
      </c>
      <c r="AW206" s="307">
        <v>3.495565</v>
      </c>
      <c r="AX206" s="307">
        <v>0</v>
      </c>
      <c r="AY206" s="307">
        <v>5.3566729999999998</v>
      </c>
      <c r="AZ206" s="307">
        <v>5.0933719999999996</v>
      </c>
      <c r="BA206" s="307">
        <v>0</v>
      </c>
      <c r="BB206" s="307">
        <v>0</v>
      </c>
      <c r="BC206" s="307">
        <v>2.7315860000000001</v>
      </c>
      <c r="BD206" s="307">
        <v>2.7383000000000002</v>
      </c>
      <c r="BE206" s="307">
        <v>4.7054130000000001</v>
      </c>
      <c r="BF206" s="307">
        <v>3.6496080000000002</v>
      </c>
      <c r="BG206" s="307">
        <v>3.6878229999999999</v>
      </c>
      <c r="BH206" s="307">
        <v>2.6641900000000001</v>
      </c>
      <c r="BI206" s="307">
        <v>5.8905190000000003</v>
      </c>
      <c r="BJ206" s="307">
        <v>3.219598</v>
      </c>
      <c r="BK206" s="307">
        <v>4.2606710000000003</v>
      </c>
      <c r="BL206">
        <f t="shared" si="12"/>
        <v>14</v>
      </c>
      <c r="BM206">
        <f t="shared" si="13"/>
        <v>4.0887392553191484</v>
      </c>
      <c r="BN206">
        <f t="shared" si="14"/>
        <v>6.6505890000000001</v>
      </c>
      <c r="BO206">
        <f t="array" ref="BO206">MIN(IF($C206:$BK206&gt;0, $C206:$BK206))</f>
        <v>2.1516869999999999</v>
      </c>
      <c r="BP206">
        <f t="shared" si="15"/>
        <v>3.4666960000000002</v>
      </c>
    </row>
    <row r="207" spans="1:68" x14ac:dyDescent="0.25">
      <c r="A207" s="306">
        <v>333319</v>
      </c>
      <c r="B207" s="307" t="s">
        <v>190</v>
      </c>
      <c r="C207" s="307">
        <v>4.1976389999999997</v>
      </c>
      <c r="D207" s="307">
        <v>0</v>
      </c>
      <c r="E207" s="307">
        <v>4.8690100000000003</v>
      </c>
      <c r="F207" s="307">
        <v>4.6312249999999997</v>
      </c>
      <c r="G207" s="307">
        <v>5.3194780000000002</v>
      </c>
      <c r="H207" s="307">
        <v>3.775023</v>
      </c>
      <c r="I207" s="307">
        <v>4.3562149999999997</v>
      </c>
      <c r="J207" s="307">
        <v>3.9904639999999998</v>
      </c>
      <c r="K207" s="307">
        <v>0</v>
      </c>
      <c r="L207" s="307">
        <v>0</v>
      </c>
      <c r="M207" s="307">
        <v>3.466634</v>
      </c>
      <c r="N207" s="307">
        <v>3.8804500000000002</v>
      </c>
      <c r="O207" s="307">
        <v>4.8553550000000003</v>
      </c>
      <c r="P207" s="307">
        <v>5.3318199999999996</v>
      </c>
      <c r="Q207" s="307">
        <v>5.0731169999999999</v>
      </c>
      <c r="R207" s="307">
        <v>3.4626920000000001</v>
      </c>
      <c r="S207" s="307">
        <v>4.4012270000000004</v>
      </c>
      <c r="T207" s="307">
        <v>3.5068269999999999</v>
      </c>
      <c r="U207" s="307">
        <v>5.0967820000000001</v>
      </c>
      <c r="V207" s="307">
        <v>4.0892049999999998</v>
      </c>
      <c r="W207" s="307">
        <v>3.8717929999999998</v>
      </c>
      <c r="X207" s="307">
        <v>3.8315169999999998</v>
      </c>
      <c r="Y207" s="307">
        <v>4.4984900000000003</v>
      </c>
      <c r="Z207" s="307">
        <v>4.14527</v>
      </c>
      <c r="AA207" s="307">
        <v>3.4387150000000002</v>
      </c>
      <c r="AB207" s="307">
        <v>3.9213990000000001</v>
      </c>
      <c r="AC207" s="307">
        <v>5.225041</v>
      </c>
      <c r="AD207" s="307">
        <v>5.5613400000000004</v>
      </c>
      <c r="AE207" s="307">
        <v>4.3168879999999996</v>
      </c>
      <c r="AF207" s="307">
        <v>4.2329030000000003</v>
      </c>
      <c r="AG207" s="307">
        <v>4.3602600000000002</v>
      </c>
      <c r="AH207" s="307">
        <v>3.0960160000000001</v>
      </c>
      <c r="AI207" s="307">
        <v>3.317612</v>
      </c>
      <c r="AJ207" s="307">
        <v>4.3350309999999999</v>
      </c>
      <c r="AK207" s="307">
        <v>5.5317030000000003</v>
      </c>
      <c r="AL207" s="307">
        <v>5.1207469999999997</v>
      </c>
      <c r="AM207" s="307">
        <v>4.5251960000000002</v>
      </c>
      <c r="AN207" s="307">
        <v>4.2122109999999999</v>
      </c>
      <c r="AO207" s="307">
        <v>4.4746199999999998</v>
      </c>
      <c r="AP207" s="307">
        <v>3.672005</v>
      </c>
      <c r="AQ207" s="307">
        <v>3.6620849999999998</v>
      </c>
      <c r="AR207" s="307">
        <v>5.4852069999999999</v>
      </c>
      <c r="AS207" s="307">
        <v>5.4085010000000002</v>
      </c>
      <c r="AT207" s="307">
        <v>4.7548370000000002</v>
      </c>
      <c r="AU207" s="307">
        <v>4.5333969999999999</v>
      </c>
      <c r="AV207" s="307">
        <v>4.5293780000000003</v>
      </c>
      <c r="AW207" s="307">
        <v>3.417805</v>
      </c>
      <c r="AX207" s="307">
        <v>3.4927009999999998</v>
      </c>
      <c r="AY207" s="307">
        <v>4.8438619999999997</v>
      </c>
      <c r="AZ207" s="307">
        <v>4.411397</v>
      </c>
      <c r="BA207" s="307">
        <v>0</v>
      </c>
      <c r="BB207" s="307">
        <v>5.3550180000000003</v>
      </c>
      <c r="BC207" s="307">
        <v>3.9694609999999999</v>
      </c>
      <c r="BD207" s="307">
        <v>3.9462510000000002</v>
      </c>
      <c r="BE207" s="307">
        <v>4.1210389999999997</v>
      </c>
      <c r="BF207" s="307">
        <v>3.9944090000000001</v>
      </c>
      <c r="BG207" s="307">
        <v>3.7779500000000001</v>
      </c>
      <c r="BH207" s="307">
        <v>5.0981439999999996</v>
      </c>
      <c r="BI207" s="307">
        <v>4.380833</v>
      </c>
      <c r="BJ207" s="307">
        <v>4.8309749999999996</v>
      </c>
      <c r="BK207" s="307">
        <v>3.9894590000000001</v>
      </c>
      <c r="BL207">
        <f t="shared" si="12"/>
        <v>4</v>
      </c>
      <c r="BM207">
        <f t="shared" si="13"/>
        <v>4.3507829649122804</v>
      </c>
      <c r="BN207">
        <f t="shared" si="14"/>
        <v>5.5613400000000004</v>
      </c>
      <c r="BO207">
        <f t="array" ref="BO207">MIN(IF($C207:$BK207&gt;0, $C207:$BK207))</f>
        <v>3.0960160000000001</v>
      </c>
      <c r="BP207">
        <f t="shared" si="15"/>
        <v>4.2329030000000003</v>
      </c>
    </row>
    <row r="208" spans="1:68" x14ac:dyDescent="0.25">
      <c r="A208" s="306" t="s">
        <v>731</v>
      </c>
      <c r="B208" s="307" t="s">
        <v>187</v>
      </c>
      <c r="C208" s="307">
        <v>3.8281230000000002</v>
      </c>
      <c r="D208" s="307">
        <v>0</v>
      </c>
      <c r="E208" s="307">
        <v>2.9954390000000002</v>
      </c>
      <c r="F208" s="307">
        <v>6.4762550000000001</v>
      </c>
      <c r="G208" s="307">
        <v>7.0253759999999996</v>
      </c>
      <c r="H208" s="307">
        <v>3.2649509999999999</v>
      </c>
      <c r="I208" s="307">
        <v>5.0271499999999998</v>
      </c>
      <c r="J208" s="307">
        <v>2.7069809999999999</v>
      </c>
      <c r="K208" s="307">
        <v>0</v>
      </c>
      <c r="L208" s="307">
        <v>0</v>
      </c>
      <c r="M208" s="307">
        <v>4.1717170000000001</v>
      </c>
      <c r="N208" s="307">
        <v>4.122134</v>
      </c>
      <c r="O208" s="307">
        <v>0</v>
      </c>
      <c r="P208" s="307">
        <v>5.0432430000000004</v>
      </c>
      <c r="Q208" s="307">
        <v>5.8609730000000004</v>
      </c>
      <c r="R208" s="307">
        <v>3.437452</v>
      </c>
      <c r="S208" s="307">
        <v>4.7968140000000004</v>
      </c>
      <c r="T208" s="307">
        <v>6.1687440000000002</v>
      </c>
      <c r="U208" s="307">
        <v>5.9184349999999997</v>
      </c>
      <c r="V208" s="307">
        <v>4.6982010000000001</v>
      </c>
      <c r="W208" s="307">
        <v>4.0994229999999998</v>
      </c>
      <c r="X208" s="307">
        <v>4.1275579999999996</v>
      </c>
      <c r="Y208" s="307">
        <v>0</v>
      </c>
      <c r="Z208" s="307">
        <v>5.6583189999999997</v>
      </c>
      <c r="AA208" s="307">
        <v>3.9142000000000001</v>
      </c>
      <c r="AB208" s="307">
        <v>4.4894129999999999</v>
      </c>
      <c r="AC208" s="307">
        <v>0</v>
      </c>
      <c r="AD208" s="307">
        <v>6.8757080000000004</v>
      </c>
      <c r="AE208" s="307">
        <v>2.7477849999999999</v>
      </c>
      <c r="AF208" s="307">
        <v>0</v>
      </c>
      <c r="AG208" s="307">
        <v>5.6702430000000001</v>
      </c>
      <c r="AH208" s="307">
        <v>2.7418749999999998</v>
      </c>
      <c r="AI208" s="307">
        <v>2.9474710000000002</v>
      </c>
      <c r="AJ208" s="307">
        <v>0</v>
      </c>
      <c r="AK208" s="307">
        <v>0</v>
      </c>
      <c r="AL208" s="307">
        <v>4.2763840000000002</v>
      </c>
      <c r="AM208" s="307">
        <v>5.2785960000000003</v>
      </c>
      <c r="AN208" s="307">
        <v>4.3847810000000003</v>
      </c>
      <c r="AO208" s="307">
        <v>5.2512590000000001</v>
      </c>
      <c r="AP208" s="307">
        <v>2.797364</v>
      </c>
      <c r="AQ208" s="307">
        <v>0</v>
      </c>
      <c r="AR208" s="307">
        <v>6.456086</v>
      </c>
      <c r="AS208" s="307">
        <v>0</v>
      </c>
      <c r="AT208" s="307">
        <v>5.4469289999999999</v>
      </c>
      <c r="AU208" s="307">
        <v>2.888115</v>
      </c>
      <c r="AV208" s="307">
        <v>6.9973419999999997</v>
      </c>
      <c r="AW208" s="307">
        <v>4.7980530000000003</v>
      </c>
      <c r="AX208" s="307">
        <v>0</v>
      </c>
      <c r="AY208" s="307">
        <v>5.5531329999999999</v>
      </c>
      <c r="AZ208" s="307">
        <v>4.8578320000000001</v>
      </c>
      <c r="BA208" s="307">
        <v>6.0788190000000002</v>
      </c>
      <c r="BB208" s="307">
        <v>3.311553</v>
      </c>
      <c r="BC208" s="307">
        <v>2.9997579999999999</v>
      </c>
      <c r="BD208" s="307">
        <v>3.3927269999999998</v>
      </c>
      <c r="BE208" s="307">
        <v>4.341666</v>
      </c>
      <c r="BF208" s="307">
        <v>4.6448929999999997</v>
      </c>
      <c r="BG208" s="307">
        <v>4.4159410000000001</v>
      </c>
      <c r="BH208" s="307">
        <v>4.3677830000000002</v>
      </c>
      <c r="BI208" s="307">
        <v>3.46448</v>
      </c>
      <c r="BJ208" s="307">
        <v>5.870171</v>
      </c>
      <c r="BK208" s="307">
        <v>3.3293900000000001</v>
      </c>
      <c r="BL208">
        <f t="shared" si="12"/>
        <v>12</v>
      </c>
      <c r="BM208">
        <f t="shared" si="13"/>
        <v>4.5717762857142867</v>
      </c>
      <c r="BN208">
        <f t="shared" si="14"/>
        <v>7.0253759999999996</v>
      </c>
      <c r="BO208">
        <f t="array" ref="BO208">MIN(IF($C208:$BK208&gt;0, $C208:$BK208))</f>
        <v>2.7069809999999999</v>
      </c>
      <c r="BP208">
        <f t="shared" si="15"/>
        <v>4.1275579999999996</v>
      </c>
    </row>
    <row r="209" spans="1:68" x14ac:dyDescent="0.25">
      <c r="A209" s="306">
        <v>333414</v>
      </c>
      <c r="B209" s="307" t="s">
        <v>5</v>
      </c>
      <c r="C209" s="307">
        <v>5.0951000000000004</v>
      </c>
      <c r="D209" s="307">
        <v>7.2088400000000004</v>
      </c>
      <c r="E209" s="307">
        <v>6.9561929999999998</v>
      </c>
      <c r="F209" s="307">
        <v>0</v>
      </c>
      <c r="G209" s="307">
        <v>4.4779220000000004</v>
      </c>
      <c r="H209" s="307">
        <v>4.0158860000000001</v>
      </c>
      <c r="I209" s="307">
        <v>4.6756159999999998</v>
      </c>
      <c r="J209" s="307">
        <v>4.151726</v>
      </c>
      <c r="K209" s="307">
        <v>0</v>
      </c>
      <c r="L209" s="307">
        <v>4.8636840000000001</v>
      </c>
      <c r="M209" s="307">
        <v>6.1886169999999998</v>
      </c>
      <c r="N209" s="307">
        <v>4.5868320000000002</v>
      </c>
      <c r="O209" s="307">
        <v>6.4034969999999998</v>
      </c>
      <c r="P209" s="307">
        <v>5.00176</v>
      </c>
      <c r="Q209" s="307">
        <v>6.1238210000000004</v>
      </c>
      <c r="R209" s="307">
        <v>4.1081479999999999</v>
      </c>
      <c r="S209" s="307">
        <v>4.143732</v>
      </c>
      <c r="T209" s="307">
        <v>5.2492320000000001</v>
      </c>
      <c r="U209" s="307">
        <v>5.5188990000000002</v>
      </c>
      <c r="V209" s="307">
        <v>3.4368650000000001</v>
      </c>
      <c r="W209" s="307">
        <v>4.3428690000000003</v>
      </c>
      <c r="X209" s="307">
        <v>3.3440729999999999</v>
      </c>
      <c r="Y209" s="307">
        <v>5.2313080000000003</v>
      </c>
      <c r="Z209" s="307">
        <v>5.1334350000000004</v>
      </c>
      <c r="AA209" s="307">
        <v>4.8384450000000001</v>
      </c>
      <c r="AB209" s="307">
        <v>3.9044910000000002</v>
      </c>
      <c r="AC209" s="307">
        <v>4.9012529999999996</v>
      </c>
      <c r="AD209" s="307">
        <v>0</v>
      </c>
      <c r="AE209" s="307">
        <v>5.8655249999999999</v>
      </c>
      <c r="AF209" s="307">
        <v>3.8749820000000001</v>
      </c>
      <c r="AG209" s="307">
        <v>6.2804830000000003</v>
      </c>
      <c r="AH209" s="307">
        <v>4.6265689999999999</v>
      </c>
      <c r="AI209" s="307">
        <v>4.4114519999999997</v>
      </c>
      <c r="AJ209" s="307">
        <v>7.0445039999999999</v>
      </c>
      <c r="AK209" s="307">
        <v>4.3296679999999999</v>
      </c>
      <c r="AL209" s="307">
        <v>4.3589950000000002</v>
      </c>
      <c r="AM209" s="307">
        <v>4.7468190000000003</v>
      </c>
      <c r="AN209" s="307">
        <v>5.1580899999999996</v>
      </c>
      <c r="AO209" s="307">
        <v>7.1008709999999997</v>
      </c>
      <c r="AP209" s="307">
        <v>4.9269550000000004</v>
      </c>
      <c r="AQ209" s="307">
        <v>3.6932469999999999</v>
      </c>
      <c r="AR209" s="307">
        <v>5.1688330000000002</v>
      </c>
      <c r="AS209" s="307">
        <v>7.1333380000000002</v>
      </c>
      <c r="AT209" s="307">
        <v>6.0041019999999996</v>
      </c>
      <c r="AU209" s="307">
        <v>3.8247439999999999</v>
      </c>
      <c r="AV209" s="307">
        <v>6.1994579999999999</v>
      </c>
      <c r="AW209" s="307">
        <v>4.2098959999999996</v>
      </c>
      <c r="AX209" s="307">
        <v>5.0106169999999999</v>
      </c>
      <c r="AY209" s="307">
        <v>5.381094</v>
      </c>
      <c r="AZ209" s="307">
        <v>5.0570219999999999</v>
      </c>
      <c r="BA209" s="307">
        <v>0</v>
      </c>
      <c r="BB209" s="307">
        <v>0</v>
      </c>
      <c r="BC209" s="307">
        <v>4.6921679999999997</v>
      </c>
      <c r="BD209" s="307">
        <v>4.7886119999999996</v>
      </c>
      <c r="BE209" s="307">
        <v>4.5865179999999999</v>
      </c>
      <c r="BF209" s="307">
        <v>4.9937430000000003</v>
      </c>
      <c r="BG209" s="307">
        <v>5.3451589999999998</v>
      </c>
      <c r="BH209" s="307">
        <v>6.0715570000000003</v>
      </c>
      <c r="BI209" s="307">
        <v>4.3835850000000001</v>
      </c>
      <c r="BJ209" s="307">
        <v>5.9500130000000002</v>
      </c>
      <c r="BK209" s="307">
        <v>4.7613760000000003</v>
      </c>
      <c r="BL209">
        <f t="shared" si="12"/>
        <v>5</v>
      </c>
      <c r="BM209">
        <f t="shared" si="13"/>
        <v>5.06932569642857</v>
      </c>
      <c r="BN209">
        <f t="shared" si="14"/>
        <v>7.2088400000000004</v>
      </c>
      <c r="BO209">
        <f t="array" ref="BO209">MIN(IF($C209:$BK209&gt;0, $C209:$BK209))</f>
        <v>3.3440729999999999</v>
      </c>
      <c r="BP209">
        <f t="shared" si="15"/>
        <v>4.8384450000000001</v>
      </c>
    </row>
    <row r="210" spans="1:68" x14ac:dyDescent="0.25">
      <c r="A210" s="306">
        <v>333415</v>
      </c>
      <c r="B210" s="307" t="s">
        <v>192</v>
      </c>
      <c r="C210" s="307">
        <v>3.9460259999999998</v>
      </c>
      <c r="D210" s="307">
        <v>0</v>
      </c>
      <c r="E210" s="307">
        <v>5.0057900000000002</v>
      </c>
      <c r="F210" s="307">
        <v>4.8903800000000004</v>
      </c>
      <c r="G210" s="307">
        <v>4.7317679999999998</v>
      </c>
      <c r="H210" s="307">
        <v>3.7414459999999998</v>
      </c>
      <c r="I210" s="307">
        <v>3.3495870000000001</v>
      </c>
      <c r="J210" s="307">
        <v>3.8192560000000002</v>
      </c>
      <c r="K210" s="307">
        <v>0</v>
      </c>
      <c r="L210" s="307">
        <v>2.3626860000000001</v>
      </c>
      <c r="M210" s="307">
        <v>4.7571300000000001</v>
      </c>
      <c r="N210" s="307">
        <v>3.8253590000000002</v>
      </c>
      <c r="O210" s="307">
        <v>0</v>
      </c>
      <c r="P210" s="307">
        <v>4.3206230000000003</v>
      </c>
      <c r="Q210" s="307">
        <v>5.0030099999999997</v>
      </c>
      <c r="R210" s="307">
        <v>3.6929240000000001</v>
      </c>
      <c r="S210" s="307">
        <v>3.6005180000000001</v>
      </c>
      <c r="T210" s="307">
        <v>4.0347489999999997</v>
      </c>
      <c r="U210" s="307">
        <v>3.4815179999999999</v>
      </c>
      <c r="V210" s="307">
        <v>5.0600149999999999</v>
      </c>
      <c r="W210" s="307">
        <v>2.7546339999999998</v>
      </c>
      <c r="X210" s="307">
        <v>3.0212940000000001</v>
      </c>
      <c r="Y210" s="307">
        <v>4.550535</v>
      </c>
      <c r="Z210" s="307">
        <v>3.7134230000000001</v>
      </c>
      <c r="AA210" s="307">
        <v>3.0889120000000001</v>
      </c>
      <c r="AB210" s="307">
        <v>4.3398880000000002</v>
      </c>
      <c r="AC210" s="307">
        <v>4.6744640000000004</v>
      </c>
      <c r="AD210" s="307">
        <v>0</v>
      </c>
      <c r="AE210" s="307">
        <v>3.401224</v>
      </c>
      <c r="AF210" s="307">
        <v>3.9745819999999998</v>
      </c>
      <c r="AG210" s="307">
        <v>4.9307319999999999</v>
      </c>
      <c r="AH210" s="307">
        <v>3.7711790000000001</v>
      </c>
      <c r="AI210" s="307">
        <v>3.3130820000000001</v>
      </c>
      <c r="AJ210" s="307">
        <v>4.7881260000000001</v>
      </c>
      <c r="AK210" s="307">
        <v>2.9401579999999998</v>
      </c>
      <c r="AL210" s="307">
        <v>3.1180249999999998</v>
      </c>
      <c r="AM210" s="307">
        <v>3.285787</v>
      </c>
      <c r="AN210" s="307">
        <v>4.2446419999999998</v>
      </c>
      <c r="AO210" s="307">
        <v>3.7273679999999998</v>
      </c>
      <c r="AP210" s="307">
        <v>3.3572419999999998</v>
      </c>
      <c r="AQ210" s="307">
        <v>3.0885180000000001</v>
      </c>
      <c r="AR210" s="307">
        <v>4.7085220000000003</v>
      </c>
      <c r="AS210" s="307">
        <v>4.8480689999999997</v>
      </c>
      <c r="AT210" s="307">
        <v>3.7911899999999998</v>
      </c>
      <c r="AU210" s="307">
        <v>3.4055589999999998</v>
      </c>
      <c r="AV210" s="307">
        <v>2.9782920000000002</v>
      </c>
      <c r="AW210" s="307">
        <v>3.6913830000000001</v>
      </c>
      <c r="AX210" s="307">
        <v>4.5772659999999998</v>
      </c>
      <c r="AY210" s="307">
        <v>4.3187519999999999</v>
      </c>
      <c r="AZ210" s="307">
        <v>3.2943570000000002</v>
      </c>
      <c r="BA210" s="307">
        <v>0</v>
      </c>
      <c r="BB210" s="307">
        <v>0</v>
      </c>
      <c r="BC210" s="307">
        <v>3.492054</v>
      </c>
      <c r="BD210" s="307">
        <v>3.359823</v>
      </c>
      <c r="BE210" s="307">
        <v>3.5164279999999999</v>
      </c>
      <c r="BF210" s="307">
        <v>4.2171099999999999</v>
      </c>
      <c r="BG210" s="307">
        <v>4.0168049999999997</v>
      </c>
      <c r="BH210" s="307">
        <v>4.1432120000000001</v>
      </c>
      <c r="BI210" s="307">
        <v>3.9238369999999998</v>
      </c>
      <c r="BJ210" s="307">
        <v>3.8578679999999999</v>
      </c>
      <c r="BK210" s="307">
        <v>3.8091059999999999</v>
      </c>
      <c r="BL210">
        <f t="shared" si="12"/>
        <v>6</v>
      </c>
      <c r="BM210">
        <f t="shared" si="13"/>
        <v>3.8846587818181817</v>
      </c>
      <c r="BN210">
        <f t="shared" si="14"/>
        <v>5.0600149999999999</v>
      </c>
      <c r="BO210">
        <f t="array" ref="BO210">MIN(IF($C210:$BK210&gt;0, $C210:$BK210))</f>
        <v>2.3626860000000001</v>
      </c>
      <c r="BP210">
        <f t="shared" si="15"/>
        <v>3.7414459999999998</v>
      </c>
    </row>
    <row r="211" spans="1:68" x14ac:dyDescent="0.25">
      <c r="A211" s="306" t="s">
        <v>599</v>
      </c>
      <c r="B211" s="307" t="s">
        <v>191</v>
      </c>
      <c r="C211" s="307">
        <v>6.0852500000000003</v>
      </c>
      <c r="D211" s="307">
        <v>0</v>
      </c>
      <c r="E211" s="307">
        <v>6.065029</v>
      </c>
      <c r="F211" s="307">
        <v>6.6168279999999999</v>
      </c>
      <c r="G211" s="307">
        <v>5.0973100000000002</v>
      </c>
      <c r="H211" s="307">
        <v>6.3087669999999996</v>
      </c>
      <c r="I211" s="307">
        <v>6.4950169999999998</v>
      </c>
      <c r="J211" s="307">
        <v>4.2376659999999999</v>
      </c>
      <c r="K211" s="307">
        <v>0</v>
      </c>
      <c r="L211" s="307">
        <v>0</v>
      </c>
      <c r="M211" s="307">
        <v>6.9639730000000002</v>
      </c>
      <c r="N211" s="307">
        <v>4.6559229999999996</v>
      </c>
      <c r="O211" s="307">
        <v>6.6981539999999997</v>
      </c>
      <c r="P211" s="307">
        <v>7.4288850000000002</v>
      </c>
      <c r="Q211" s="307">
        <v>6.1473389999999997</v>
      </c>
      <c r="R211" s="307">
        <v>5.5834570000000001</v>
      </c>
      <c r="S211" s="307">
        <v>6.0422719999999996</v>
      </c>
      <c r="T211" s="307">
        <v>6.627669</v>
      </c>
      <c r="U211" s="307">
        <v>5.9409140000000003</v>
      </c>
      <c r="V211" s="307">
        <v>4.4667820000000003</v>
      </c>
      <c r="W211" s="307">
        <v>4.9094309999999997</v>
      </c>
      <c r="X211" s="307">
        <v>5.5178609999999999</v>
      </c>
      <c r="Y211" s="307">
        <v>0</v>
      </c>
      <c r="Z211" s="307">
        <v>5.1515630000000003</v>
      </c>
      <c r="AA211" s="307">
        <v>5.2982500000000003</v>
      </c>
      <c r="AB211" s="307">
        <v>5.846622</v>
      </c>
      <c r="AC211" s="307">
        <v>7.20831</v>
      </c>
      <c r="AD211" s="307">
        <v>0</v>
      </c>
      <c r="AE211" s="307">
        <v>6.6410109999999998</v>
      </c>
      <c r="AF211" s="307">
        <v>0</v>
      </c>
      <c r="AG211" s="307">
        <v>7.1899300000000004</v>
      </c>
      <c r="AH211" s="307">
        <v>6.5988179999999996</v>
      </c>
      <c r="AI211" s="307">
        <v>4.2424679999999997</v>
      </c>
      <c r="AJ211" s="307">
        <v>4.2268819999999998</v>
      </c>
      <c r="AK211" s="307">
        <v>5.9421860000000004</v>
      </c>
      <c r="AL211" s="307">
        <v>5.5148299999999999</v>
      </c>
      <c r="AM211" s="307">
        <v>5.7070619999999996</v>
      </c>
      <c r="AN211" s="307">
        <v>5.7870609999999996</v>
      </c>
      <c r="AO211" s="307">
        <v>4.7009220000000003</v>
      </c>
      <c r="AP211" s="307">
        <v>4.6255940000000004</v>
      </c>
      <c r="AQ211" s="307">
        <v>0</v>
      </c>
      <c r="AR211" s="307">
        <v>7.6902910000000002</v>
      </c>
      <c r="AS211" s="307">
        <v>7.0464669999999998</v>
      </c>
      <c r="AT211" s="307">
        <v>6.727017</v>
      </c>
      <c r="AU211" s="307">
        <v>6.63544</v>
      </c>
      <c r="AV211" s="307">
        <v>7.2596530000000001</v>
      </c>
      <c r="AW211" s="307">
        <v>5.8959609999999998</v>
      </c>
      <c r="AX211" s="307">
        <v>7.044219</v>
      </c>
      <c r="AY211" s="307">
        <v>5.083691</v>
      </c>
      <c r="AZ211" s="307">
        <v>5.2776420000000002</v>
      </c>
      <c r="BA211" s="307">
        <v>0</v>
      </c>
      <c r="BB211" s="307">
        <v>5.9112070000000001</v>
      </c>
      <c r="BC211" s="307">
        <v>4.8751660000000001</v>
      </c>
      <c r="BD211" s="307">
        <v>4.9451799999999997</v>
      </c>
      <c r="BE211" s="307">
        <v>5.6163949999999998</v>
      </c>
      <c r="BF211" s="307">
        <v>6.4351859999999999</v>
      </c>
      <c r="BG211" s="307">
        <v>6.635675</v>
      </c>
      <c r="BH211" s="307">
        <v>6.3541740000000004</v>
      </c>
      <c r="BI211" s="307">
        <v>6.5145949999999999</v>
      </c>
      <c r="BJ211" s="307">
        <v>6.1291310000000001</v>
      </c>
      <c r="BK211" s="307">
        <v>5.8264740000000002</v>
      </c>
      <c r="BL211">
        <f t="shared" si="12"/>
        <v>8</v>
      </c>
      <c r="BM211">
        <f t="shared" si="13"/>
        <v>5.9334641509433936</v>
      </c>
      <c r="BN211">
        <f t="shared" si="14"/>
        <v>7.6902910000000002</v>
      </c>
      <c r="BO211">
        <f t="array" ref="BO211">MIN(IF($C211:$BK211&gt;0, $C211:$BK211))</f>
        <v>4.2268819999999998</v>
      </c>
      <c r="BP211">
        <f t="shared" si="15"/>
        <v>5.846622</v>
      </c>
    </row>
    <row r="212" spans="1:68" x14ac:dyDescent="0.25">
      <c r="A212" s="306">
        <v>333511</v>
      </c>
      <c r="B212" s="307" t="s">
        <v>193</v>
      </c>
      <c r="C212" s="307">
        <v>8.5490589999999997</v>
      </c>
      <c r="D212" s="307">
        <v>0</v>
      </c>
      <c r="E212" s="307">
        <v>11.148490000000001</v>
      </c>
      <c r="F212" s="307">
        <v>10.891679999999999</v>
      </c>
      <c r="G212" s="307">
        <v>8.1348760000000002</v>
      </c>
      <c r="H212" s="307">
        <v>9.7390980000000003</v>
      </c>
      <c r="I212" s="307">
        <v>10.282209999999999</v>
      </c>
      <c r="J212" s="307">
        <v>6.7504629999999999</v>
      </c>
      <c r="K212" s="307">
        <v>0</v>
      </c>
      <c r="L212" s="307">
        <v>0</v>
      </c>
      <c r="M212" s="307">
        <v>10.310700000000001</v>
      </c>
      <c r="N212" s="307">
        <v>7.7455939999999996</v>
      </c>
      <c r="O212" s="307">
        <v>0</v>
      </c>
      <c r="P212" s="307">
        <v>8.3166229999999999</v>
      </c>
      <c r="Q212" s="307">
        <v>11.28234</v>
      </c>
      <c r="R212" s="307">
        <v>7.3449689999999999</v>
      </c>
      <c r="S212" s="307">
        <v>8.4786940000000008</v>
      </c>
      <c r="T212" s="307">
        <v>8.0090400000000006</v>
      </c>
      <c r="U212" s="307">
        <v>10.404680000000001</v>
      </c>
      <c r="V212" s="307">
        <v>6.72438</v>
      </c>
      <c r="W212" s="307">
        <v>7.7610140000000003</v>
      </c>
      <c r="X212" s="307">
        <v>8.2349449999999997</v>
      </c>
      <c r="Y212" s="307">
        <v>8.4980569999999993</v>
      </c>
      <c r="Z212" s="307">
        <v>7.3873660000000001</v>
      </c>
      <c r="AA212" s="307">
        <v>7.6905599999999996</v>
      </c>
      <c r="AB212" s="307">
        <v>6.9673530000000001</v>
      </c>
      <c r="AC212" s="307">
        <v>10.43168</v>
      </c>
      <c r="AD212" s="307">
        <v>0</v>
      </c>
      <c r="AE212" s="307">
        <v>7.2457289999999999</v>
      </c>
      <c r="AF212" s="307">
        <v>0</v>
      </c>
      <c r="AG212" s="307">
        <v>9.3962819999999994</v>
      </c>
      <c r="AH212" s="307">
        <v>6.589944</v>
      </c>
      <c r="AI212" s="307">
        <v>6.6612679999999997</v>
      </c>
      <c r="AJ212" s="307">
        <v>10.66399</v>
      </c>
      <c r="AK212" s="307">
        <v>6.777647</v>
      </c>
      <c r="AL212" s="307">
        <v>8.3899860000000004</v>
      </c>
      <c r="AM212" s="307">
        <v>8.8031199999999998</v>
      </c>
      <c r="AN212" s="307">
        <v>11.440469999999999</v>
      </c>
      <c r="AO212" s="307">
        <v>8.2524200000000008</v>
      </c>
      <c r="AP212" s="307">
        <v>8.6831929999999993</v>
      </c>
      <c r="AQ212" s="307">
        <v>8.6017189999999992</v>
      </c>
      <c r="AR212" s="307">
        <v>9.2100860000000004</v>
      </c>
      <c r="AS212" s="307">
        <v>9.8050739999999994</v>
      </c>
      <c r="AT212" s="307">
        <v>8.6875440000000008</v>
      </c>
      <c r="AU212" s="307">
        <v>9.8635719999999996</v>
      </c>
      <c r="AV212" s="307">
        <v>11.3003</v>
      </c>
      <c r="AW212" s="307">
        <v>8.5981159999999992</v>
      </c>
      <c r="AX212" s="307">
        <v>6.5112459999999999</v>
      </c>
      <c r="AY212" s="307">
        <v>7.3576249999999996</v>
      </c>
      <c r="AZ212" s="307">
        <v>7.0423689999999999</v>
      </c>
      <c r="BA212" s="307">
        <v>9.8166659999999997</v>
      </c>
      <c r="BB212" s="307">
        <v>0</v>
      </c>
      <c r="BC212" s="307">
        <v>7.916067</v>
      </c>
      <c r="BD212" s="307">
        <v>8.5241600000000002</v>
      </c>
      <c r="BE212" s="307">
        <v>7.8979619999999997</v>
      </c>
      <c r="BF212" s="307">
        <v>7.8031420000000002</v>
      </c>
      <c r="BG212" s="307">
        <v>8.8495170000000005</v>
      </c>
      <c r="BH212" s="307">
        <v>10.418559999999999</v>
      </c>
      <c r="BI212" s="307">
        <v>10.558770000000001</v>
      </c>
      <c r="BJ212" s="307">
        <v>9.8022570000000009</v>
      </c>
      <c r="BK212" s="307">
        <v>9.3532630000000001</v>
      </c>
      <c r="BL212">
        <f t="shared" si="12"/>
        <v>7</v>
      </c>
      <c r="BM212">
        <f t="shared" si="13"/>
        <v>8.7389987962962969</v>
      </c>
      <c r="BN212">
        <f t="shared" si="14"/>
        <v>11.440469999999999</v>
      </c>
      <c r="BO212">
        <f t="array" ref="BO212">MIN(IF($C212:$BK212&gt;0, $C212:$BK212))</f>
        <v>6.5112459999999999</v>
      </c>
      <c r="BP212">
        <f t="shared" si="15"/>
        <v>8.3899860000000004</v>
      </c>
    </row>
    <row r="213" spans="1:68" x14ac:dyDescent="0.25">
      <c r="A213" s="306">
        <v>333514</v>
      </c>
      <c r="B213" s="307" t="s">
        <v>195</v>
      </c>
      <c r="C213" s="307">
        <v>8.5117080000000005</v>
      </c>
      <c r="D213" s="307">
        <v>0</v>
      </c>
      <c r="E213" s="307">
        <v>10.943350000000001</v>
      </c>
      <c r="F213" s="307">
        <v>10.69056</v>
      </c>
      <c r="G213" s="307">
        <v>8.9655620000000003</v>
      </c>
      <c r="H213" s="307">
        <v>8.4241340000000005</v>
      </c>
      <c r="I213" s="307">
        <v>7.50875</v>
      </c>
      <c r="J213" s="307">
        <v>7.0980759999999998</v>
      </c>
      <c r="K213" s="307">
        <v>0</v>
      </c>
      <c r="L213" s="307">
        <v>0</v>
      </c>
      <c r="M213" s="307">
        <v>10.305289999999999</v>
      </c>
      <c r="N213" s="307">
        <v>9.1225670000000001</v>
      </c>
      <c r="O213" s="307">
        <v>0</v>
      </c>
      <c r="P213" s="307">
        <v>8.6108860000000007</v>
      </c>
      <c r="Q213" s="307">
        <v>11.07344</v>
      </c>
      <c r="R213" s="307">
        <v>7.7695920000000003</v>
      </c>
      <c r="S213" s="307">
        <v>9.1070309999999992</v>
      </c>
      <c r="T213" s="307">
        <v>8.5932549999999992</v>
      </c>
      <c r="U213" s="307">
        <v>9.106662</v>
      </c>
      <c r="V213" s="307">
        <v>10.07916</v>
      </c>
      <c r="W213" s="307">
        <v>6.9391090000000002</v>
      </c>
      <c r="X213" s="307">
        <v>8.1586090000000002</v>
      </c>
      <c r="Y213" s="307">
        <v>7.2897249999999998</v>
      </c>
      <c r="Z213" s="307">
        <v>7.5572860000000004</v>
      </c>
      <c r="AA213" s="307">
        <v>7.8047659999999999</v>
      </c>
      <c r="AB213" s="307">
        <v>7.4980650000000004</v>
      </c>
      <c r="AC213" s="307">
        <v>10.2394</v>
      </c>
      <c r="AD213" s="307">
        <v>0</v>
      </c>
      <c r="AE213" s="307">
        <v>9.5012489999999996</v>
      </c>
      <c r="AF213" s="307">
        <v>10.352679999999999</v>
      </c>
      <c r="AG213" s="307">
        <v>9.396096</v>
      </c>
      <c r="AH213" s="307">
        <v>6.7501939999999996</v>
      </c>
      <c r="AI213" s="307">
        <v>7.4761649999999999</v>
      </c>
      <c r="AJ213" s="307">
        <v>10.46672</v>
      </c>
      <c r="AK213" s="307">
        <v>10.84027</v>
      </c>
      <c r="AL213" s="307">
        <v>9.1848910000000004</v>
      </c>
      <c r="AM213" s="307">
        <v>8.0139910000000008</v>
      </c>
      <c r="AN213" s="307">
        <v>10.906650000000001</v>
      </c>
      <c r="AO213" s="307">
        <v>10.07447</v>
      </c>
      <c r="AP213" s="307">
        <v>8.6044029999999996</v>
      </c>
      <c r="AQ213" s="307">
        <v>8.5707559999999994</v>
      </c>
      <c r="AR213" s="307">
        <v>8.6292720000000003</v>
      </c>
      <c r="AS213" s="307">
        <v>8.9493849999999995</v>
      </c>
      <c r="AT213" s="307">
        <v>8.9673780000000001</v>
      </c>
      <c r="AU213" s="307">
        <v>8.6937130000000007</v>
      </c>
      <c r="AV213" s="307">
        <v>11.091089999999999</v>
      </c>
      <c r="AW213" s="307">
        <v>10.06854</v>
      </c>
      <c r="AX213" s="307">
        <v>9.5827989999999996</v>
      </c>
      <c r="AY213" s="307">
        <v>8.8037639999999993</v>
      </c>
      <c r="AZ213" s="307">
        <v>8.1674340000000001</v>
      </c>
      <c r="BA213" s="307">
        <v>9.4020519999999994</v>
      </c>
      <c r="BB213" s="307">
        <v>0</v>
      </c>
      <c r="BC213" s="307">
        <v>7.7551370000000004</v>
      </c>
      <c r="BD213" s="307">
        <v>8.9029380000000007</v>
      </c>
      <c r="BE213" s="307">
        <v>8.0220889999999994</v>
      </c>
      <c r="BF213" s="307">
        <v>8.1362919999999992</v>
      </c>
      <c r="BG213" s="307">
        <v>9.7357110000000002</v>
      </c>
      <c r="BH213" s="307">
        <v>9.6925120000000007</v>
      </c>
      <c r="BI213" s="307">
        <v>9.4361569999999997</v>
      </c>
      <c r="BJ213" s="307">
        <v>9.231795</v>
      </c>
      <c r="BK213" s="307">
        <v>8.6038449999999997</v>
      </c>
      <c r="BL213">
        <f t="shared" si="12"/>
        <v>6</v>
      </c>
      <c r="BM213">
        <f t="shared" si="13"/>
        <v>8.9710440181818196</v>
      </c>
      <c r="BN213">
        <f t="shared" si="14"/>
        <v>11.091089999999999</v>
      </c>
      <c r="BO213">
        <f t="array" ref="BO213">MIN(IF($C213:$BK213&gt;0, $C213:$BK213))</f>
        <v>6.7501939999999996</v>
      </c>
      <c r="BP213">
        <f t="shared" si="15"/>
        <v>8.6937130000000007</v>
      </c>
    </row>
    <row r="214" spans="1:68" x14ac:dyDescent="0.25">
      <c r="A214" s="306">
        <v>333515</v>
      </c>
      <c r="B214" s="307" t="s">
        <v>196</v>
      </c>
      <c r="C214" s="307">
        <v>7.7756689999999997</v>
      </c>
      <c r="D214" s="307">
        <v>0</v>
      </c>
      <c r="E214" s="307">
        <v>9.988372</v>
      </c>
      <c r="F214" s="307">
        <v>7.609756</v>
      </c>
      <c r="G214" s="307">
        <v>8.0079639999999994</v>
      </c>
      <c r="H214" s="307">
        <v>8.7066770000000009</v>
      </c>
      <c r="I214" s="307">
        <v>6.8920789999999998</v>
      </c>
      <c r="J214" s="307">
        <v>7.330184</v>
      </c>
      <c r="K214" s="307">
        <v>0</v>
      </c>
      <c r="L214" s="307">
        <v>0</v>
      </c>
      <c r="M214" s="307">
        <v>9.9930260000000004</v>
      </c>
      <c r="N214" s="307">
        <v>8.0649280000000001</v>
      </c>
      <c r="O214" s="307">
        <v>0</v>
      </c>
      <c r="P214" s="307">
        <v>8.1831139999999998</v>
      </c>
      <c r="Q214" s="307">
        <v>8.2964330000000004</v>
      </c>
      <c r="R214" s="307">
        <v>7.1494049999999998</v>
      </c>
      <c r="S214" s="307">
        <v>7.7388519999999996</v>
      </c>
      <c r="T214" s="307">
        <v>7.3870149999999999</v>
      </c>
      <c r="U214" s="307">
        <v>7.6565219999999998</v>
      </c>
      <c r="V214" s="307">
        <v>10.09686</v>
      </c>
      <c r="W214" s="307">
        <v>6.7219480000000003</v>
      </c>
      <c r="X214" s="307">
        <v>5.3546370000000003</v>
      </c>
      <c r="Y214" s="307">
        <v>8.8495240000000006</v>
      </c>
      <c r="Z214" s="307">
        <v>6.9722879999999998</v>
      </c>
      <c r="AA214" s="307">
        <v>7.505064</v>
      </c>
      <c r="AB214" s="307">
        <v>7.3850699999999998</v>
      </c>
      <c r="AC214" s="307">
        <v>9.3463619999999992</v>
      </c>
      <c r="AD214" s="307">
        <v>9.9475630000000006</v>
      </c>
      <c r="AE214" s="307">
        <v>7.7010430000000003</v>
      </c>
      <c r="AF214" s="307">
        <v>0</v>
      </c>
      <c r="AG214" s="307">
        <v>7.4558119999999999</v>
      </c>
      <c r="AH214" s="307">
        <v>6.3077360000000002</v>
      </c>
      <c r="AI214" s="307">
        <v>5.5199720000000001</v>
      </c>
      <c r="AJ214" s="307">
        <v>9.5540160000000007</v>
      </c>
      <c r="AK214" s="307">
        <v>6.0006469999999998</v>
      </c>
      <c r="AL214" s="307">
        <v>6.7412710000000002</v>
      </c>
      <c r="AM214" s="307">
        <v>7.4360910000000002</v>
      </c>
      <c r="AN214" s="307">
        <v>8.8008389999999999</v>
      </c>
      <c r="AO214" s="307">
        <v>8.4002820000000007</v>
      </c>
      <c r="AP214" s="307">
        <v>7.1993520000000002</v>
      </c>
      <c r="AQ214" s="307">
        <v>8.0412309999999998</v>
      </c>
      <c r="AR214" s="307">
        <v>8.0891040000000007</v>
      </c>
      <c r="AS214" s="307">
        <v>9.6744199999999996</v>
      </c>
      <c r="AT214" s="307">
        <v>6.9158429999999997</v>
      </c>
      <c r="AU214" s="307">
        <v>7.0783829999999996</v>
      </c>
      <c r="AV214" s="307">
        <v>6.9505619999999997</v>
      </c>
      <c r="AW214" s="307">
        <v>8.1446480000000001</v>
      </c>
      <c r="AX214" s="307">
        <v>8.7690800000000007</v>
      </c>
      <c r="AY214" s="307">
        <v>9.9093789999999995</v>
      </c>
      <c r="AZ214" s="307">
        <v>7.7059670000000002</v>
      </c>
      <c r="BA214" s="307">
        <v>0</v>
      </c>
      <c r="BB214" s="307">
        <v>0</v>
      </c>
      <c r="BC214" s="307">
        <v>8.1547370000000008</v>
      </c>
      <c r="BD214" s="307">
        <v>6.984362</v>
      </c>
      <c r="BE214" s="307">
        <v>7.3120050000000001</v>
      </c>
      <c r="BF214" s="307">
        <v>7.8804270000000001</v>
      </c>
      <c r="BG214" s="307">
        <v>8.4212199999999999</v>
      </c>
      <c r="BH214" s="307">
        <v>7.5244840000000002</v>
      </c>
      <c r="BI214" s="307">
        <v>7.5916410000000001</v>
      </c>
      <c r="BJ214" s="307">
        <v>7.8070570000000004</v>
      </c>
      <c r="BK214" s="307">
        <v>8.7733249999999998</v>
      </c>
      <c r="BL214">
        <f t="shared" si="12"/>
        <v>7</v>
      </c>
      <c r="BM214">
        <f t="shared" si="13"/>
        <v>7.8852638518518496</v>
      </c>
      <c r="BN214">
        <f t="shared" si="14"/>
        <v>10.09686</v>
      </c>
      <c r="BO214">
        <f t="array" ref="BO214">MIN(IF($C214:$BK214&gt;0, $C214:$BK214))</f>
        <v>5.3546370000000003</v>
      </c>
      <c r="BP214">
        <f t="shared" si="15"/>
        <v>7.609756</v>
      </c>
    </row>
    <row r="215" spans="1:68" x14ac:dyDescent="0.25">
      <c r="A215" s="306" t="s">
        <v>732</v>
      </c>
      <c r="B215" s="307" t="s">
        <v>194</v>
      </c>
      <c r="C215" s="307">
        <v>6.6143390000000002</v>
      </c>
      <c r="D215" s="307">
        <v>0</v>
      </c>
      <c r="E215" s="307">
        <v>8.2175410000000007</v>
      </c>
      <c r="F215" s="307">
        <v>7.1397519999999997</v>
      </c>
      <c r="G215" s="307">
        <v>8.2584490000000006</v>
      </c>
      <c r="H215" s="307">
        <v>6.523244</v>
      </c>
      <c r="I215" s="307">
        <v>5.7950679999999997</v>
      </c>
      <c r="J215" s="307">
        <v>5.5456130000000003</v>
      </c>
      <c r="K215" s="307">
        <v>0</v>
      </c>
      <c r="L215" s="307">
        <v>4.8748399999999998</v>
      </c>
      <c r="M215" s="307">
        <v>8.8160749999999997</v>
      </c>
      <c r="N215" s="307">
        <v>7.5432639999999997</v>
      </c>
      <c r="O215" s="307">
        <v>0</v>
      </c>
      <c r="P215" s="307">
        <v>6.3899540000000004</v>
      </c>
      <c r="Q215" s="307">
        <v>8.7372019999999999</v>
      </c>
      <c r="R215" s="307">
        <v>6.1890330000000002</v>
      </c>
      <c r="S215" s="307">
        <v>6.5440769999999997</v>
      </c>
      <c r="T215" s="307">
        <v>6.0394019999999999</v>
      </c>
      <c r="U215" s="307">
        <v>5.229984</v>
      </c>
      <c r="V215" s="307">
        <v>6.3640290000000004</v>
      </c>
      <c r="W215" s="307">
        <v>6.2801619999999998</v>
      </c>
      <c r="X215" s="307">
        <v>4.7166090000000001</v>
      </c>
      <c r="Y215" s="307">
        <v>0</v>
      </c>
      <c r="Z215" s="307">
        <v>6.0466949999999997</v>
      </c>
      <c r="AA215" s="307">
        <v>6.3633150000000001</v>
      </c>
      <c r="AB215" s="307">
        <v>6.5325170000000004</v>
      </c>
      <c r="AC215" s="307">
        <v>8.0787139999999997</v>
      </c>
      <c r="AD215" s="307">
        <v>8.5986209999999996</v>
      </c>
      <c r="AE215" s="307">
        <v>5.7396880000000001</v>
      </c>
      <c r="AF215" s="307">
        <v>0</v>
      </c>
      <c r="AG215" s="307">
        <v>8.2411720000000006</v>
      </c>
      <c r="AH215" s="307">
        <v>5.7506139999999997</v>
      </c>
      <c r="AI215" s="307">
        <v>5.2351669999999997</v>
      </c>
      <c r="AJ215" s="307">
        <v>8.2583470000000005</v>
      </c>
      <c r="AK215" s="307">
        <v>6.1141480000000001</v>
      </c>
      <c r="AL215" s="307">
        <v>5.7693690000000002</v>
      </c>
      <c r="AM215" s="307">
        <v>6.4934500000000002</v>
      </c>
      <c r="AN215" s="307">
        <v>8.7704319999999996</v>
      </c>
      <c r="AO215" s="307">
        <v>6.7252270000000003</v>
      </c>
      <c r="AP215" s="307">
        <v>7.3691490000000002</v>
      </c>
      <c r="AQ215" s="307">
        <v>5.6556360000000003</v>
      </c>
      <c r="AR215" s="307">
        <v>6.0080349999999996</v>
      </c>
      <c r="AS215" s="307">
        <v>8.3620239999999999</v>
      </c>
      <c r="AT215" s="307">
        <v>6.3919189999999997</v>
      </c>
      <c r="AU215" s="307">
        <v>7.6906330000000001</v>
      </c>
      <c r="AV215" s="307">
        <v>8.5160359999999997</v>
      </c>
      <c r="AW215" s="307">
        <v>5.0215569999999996</v>
      </c>
      <c r="AX215" s="307">
        <v>6.9671969999999996</v>
      </c>
      <c r="AY215" s="307">
        <v>5.1987030000000001</v>
      </c>
      <c r="AZ215" s="307">
        <v>6.079402</v>
      </c>
      <c r="BA215" s="307">
        <v>0</v>
      </c>
      <c r="BB215" s="307">
        <v>8.2794190000000008</v>
      </c>
      <c r="BC215" s="307">
        <v>6.3262039999999997</v>
      </c>
      <c r="BD215" s="307">
        <v>6.5304549999999999</v>
      </c>
      <c r="BE215" s="307">
        <v>6.33223</v>
      </c>
      <c r="BF215" s="307">
        <v>6.7454429999999999</v>
      </c>
      <c r="BG215" s="307">
        <v>6.498793</v>
      </c>
      <c r="BH215" s="307">
        <v>6.0325249999999997</v>
      </c>
      <c r="BI215" s="307">
        <v>7.8814849999999996</v>
      </c>
      <c r="BJ215" s="307">
        <v>7.4009460000000002</v>
      </c>
      <c r="BK215" s="307">
        <v>6.4211999999999998</v>
      </c>
      <c r="BL215">
        <f t="shared" si="12"/>
        <v>6</v>
      </c>
      <c r="BM215">
        <f t="shared" si="13"/>
        <v>6.7317291636363645</v>
      </c>
      <c r="BN215">
        <f t="shared" si="14"/>
        <v>8.8160749999999997</v>
      </c>
      <c r="BO215">
        <f t="array" ref="BO215">MIN(IF($C215:$BK215&gt;0, $C215:$BK215))</f>
        <v>4.7166090000000001</v>
      </c>
      <c r="BP215">
        <f t="shared" si="15"/>
        <v>6.3899540000000004</v>
      </c>
    </row>
    <row r="216" spans="1:68" x14ac:dyDescent="0.25">
      <c r="A216" s="306" t="s">
        <v>733</v>
      </c>
      <c r="B216" s="307" t="s">
        <v>197</v>
      </c>
      <c r="C216" s="307">
        <v>5.7477910000000003</v>
      </c>
      <c r="D216" s="307">
        <v>0</v>
      </c>
      <c r="E216" s="307">
        <v>5.2633770000000002</v>
      </c>
      <c r="F216" s="307">
        <v>8.4320760000000003</v>
      </c>
      <c r="G216" s="307">
        <v>7.2976869999999998</v>
      </c>
      <c r="H216" s="307">
        <v>6.875095</v>
      </c>
      <c r="I216" s="307">
        <v>7.4396740000000001</v>
      </c>
      <c r="J216" s="307">
        <v>4.3398690000000002</v>
      </c>
      <c r="K216" s="307">
        <v>0</v>
      </c>
      <c r="L216" s="307">
        <v>0</v>
      </c>
      <c r="M216" s="307">
        <v>8.813625</v>
      </c>
      <c r="N216" s="307">
        <v>6.6172000000000004</v>
      </c>
      <c r="O216" s="307">
        <v>0</v>
      </c>
      <c r="P216" s="307">
        <v>7.6629690000000004</v>
      </c>
      <c r="Q216" s="307">
        <v>7.6099129999999997</v>
      </c>
      <c r="R216" s="307">
        <v>4.9085219999999996</v>
      </c>
      <c r="S216" s="307">
        <v>5.5078079999999998</v>
      </c>
      <c r="T216" s="307">
        <v>5.8344860000000001</v>
      </c>
      <c r="U216" s="307">
        <v>8.0556029999999996</v>
      </c>
      <c r="V216" s="307">
        <v>0</v>
      </c>
      <c r="W216" s="307">
        <v>4.2423719999999996</v>
      </c>
      <c r="X216" s="307">
        <v>5.655316</v>
      </c>
      <c r="Y216" s="307">
        <v>6.4945589999999997</v>
      </c>
      <c r="Z216" s="307">
        <v>5.2381549999999999</v>
      </c>
      <c r="AA216" s="307">
        <v>4.8268930000000001</v>
      </c>
      <c r="AB216" s="307">
        <v>5.1139060000000001</v>
      </c>
      <c r="AC216" s="307">
        <v>8.0758639999999993</v>
      </c>
      <c r="AD216" s="307">
        <v>0</v>
      </c>
      <c r="AE216" s="307">
        <v>8.1635559999999998</v>
      </c>
      <c r="AF216" s="307">
        <v>0</v>
      </c>
      <c r="AG216" s="307">
        <v>6.8374300000000003</v>
      </c>
      <c r="AH216" s="307">
        <v>5.2296250000000004</v>
      </c>
      <c r="AI216" s="307">
        <v>4.1237599999999999</v>
      </c>
      <c r="AJ216" s="307">
        <v>0</v>
      </c>
      <c r="AK216" s="307">
        <v>0</v>
      </c>
      <c r="AL216" s="307">
        <v>6.0974880000000002</v>
      </c>
      <c r="AM216" s="307">
        <v>5.8140980000000004</v>
      </c>
      <c r="AN216" s="307">
        <v>7.1634640000000003</v>
      </c>
      <c r="AO216" s="307">
        <v>0</v>
      </c>
      <c r="AP216" s="307">
        <v>5.5182149999999996</v>
      </c>
      <c r="AQ216" s="307">
        <v>6.0769549999999999</v>
      </c>
      <c r="AR216" s="307">
        <v>5.8667860000000003</v>
      </c>
      <c r="AS216" s="307">
        <v>8.1105400000000003</v>
      </c>
      <c r="AT216" s="307">
        <v>5.3177139999999996</v>
      </c>
      <c r="AU216" s="307">
        <v>5.4639490000000004</v>
      </c>
      <c r="AV216" s="307">
        <v>8.7481369999999998</v>
      </c>
      <c r="AW216" s="307">
        <v>7.5338380000000003</v>
      </c>
      <c r="AX216" s="307">
        <v>0</v>
      </c>
      <c r="AY216" s="307">
        <v>6.1610719999999999</v>
      </c>
      <c r="AZ216" s="307">
        <v>5.7478239999999996</v>
      </c>
      <c r="BA216" s="307">
        <v>5.069496</v>
      </c>
      <c r="BB216" s="307">
        <v>0</v>
      </c>
      <c r="BC216" s="307">
        <v>4.8817050000000002</v>
      </c>
      <c r="BD216" s="307">
        <v>5.7705510000000002</v>
      </c>
      <c r="BE216" s="307">
        <v>5.4382929999999998</v>
      </c>
      <c r="BF216" s="307">
        <v>6.0442999999999998</v>
      </c>
      <c r="BG216" s="307">
        <v>7.9345869999999996</v>
      </c>
      <c r="BH216" s="307">
        <v>5.5331590000000004</v>
      </c>
      <c r="BI216" s="307">
        <v>5.8939810000000001</v>
      </c>
      <c r="BJ216" s="307">
        <v>7.4343659999999998</v>
      </c>
      <c r="BK216" s="307">
        <v>6.6523469999999998</v>
      </c>
      <c r="BL216">
        <f t="shared" si="12"/>
        <v>12</v>
      </c>
      <c r="BM216">
        <f t="shared" si="13"/>
        <v>6.2995917551020435</v>
      </c>
      <c r="BN216">
        <f t="shared" si="14"/>
        <v>8.813625</v>
      </c>
      <c r="BO216">
        <f t="array" ref="BO216">MIN(IF($C216:$BK216&gt;0, $C216:$BK216))</f>
        <v>4.1237599999999999</v>
      </c>
      <c r="BP216">
        <f t="shared" si="15"/>
        <v>5.7477910000000003</v>
      </c>
    </row>
    <row r="217" spans="1:68" x14ac:dyDescent="0.25">
      <c r="A217" s="306">
        <v>333611</v>
      </c>
      <c r="B217" s="307" t="s">
        <v>198</v>
      </c>
      <c r="C217" s="307">
        <v>1.4893339999999999</v>
      </c>
      <c r="D217" s="307">
        <v>0</v>
      </c>
      <c r="E217" s="307">
        <v>1.7626280000000001</v>
      </c>
      <c r="F217" s="307">
        <v>2.324176</v>
      </c>
      <c r="G217" s="307">
        <v>2.1518700000000002</v>
      </c>
      <c r="H217" s="307">
        <v>1.2724070000000001</v>
      </c>
      <c r="I217" s="307">
        <v>2.0812889999999999</v>
      </c>
      <c r="J217" s="307">
        <v>1.1392139999999999</v>
      </c>
      <c r="K217" s="307">
        <v>0.21301290000000001</v>
      </c>
      <c r="L217" s="307">
        <v>0</v>
      </c>
      <c r="M217" s="307">
        <v>1.670156</v>
      </c>
      <c r="N217" s="307">
        <v>2.0426380000000002</v>
      </c>
      <c r="O217" s="307">
        <v>0</v>
      </c>
      <c r="P217" s="307">
        <v>2.1600079999999999</v>
      </c>
      <c r="Q217" s="307">
        <v>2.4074300000000002</v>
      </c>
      <c r="R217" s="307">
        <v>1.530856</v>
      </c>
      <c r="S217" s="307">
        <v>1.248068</v>
      </c>
      <c r="T217" s="307">
        <v>2.0669719999999998</v>
      </c>
      <c r="U217" s="307">
        <v>1.9211549999999999</v>
      </c>
      <c r="V217" s="307">
        <v>1.932563</v>
      </c>
      <c r="W217" s="307">
        <v>1.1136299999999999</v>
      </c>
      <c r="X217" s="307">
        <v>0</v>
      </c>
      <c r="Y217" s="307">
        <v>1.891707</v>
      </c>
      <c r="Z217" s="307">
        <v>1.9392689999999999</v>
      </c>
      <c r="AA217" s="307">
        <v>1.315347</v>
      </c>
      <c r="AB217" s="307">
        <v>1.316557</v>
      </c>
      <c r="AC217" s="307">
        <v>2.2261139999999999</v>
      </c>
      <c r="AD217" s="307">
        <v>0</v>
      </c>
      <c r="AE217" s="307">
        <v>1.448653</v>
      </c>
      <c r="AF217" s="307">
        <v>2.250753</v>
      </c>
      <c r="AG217" s="307">
        <v>0</v>
      </c>
      <c r="AH217" s="307">
        <v>1.2539849999999999</v>
      </c>
      <c r="AI217" s="307">
        <v>1.2052529999999999</v>
      </c>
      <c r="AJ217" s="307">
        <v>0</v>
      </c>
      <c r="AK217" s="307">
        <v>2.005798</v>
      </c>
      <c r="AL217" s="307">
        <v>1.3225720000000001</v>
      </c>
      <c r="AM217" s="307">
        <v>1.517668</v>
      </c>
      <c r="AN217" s="307">
        <v>1.711816</v>
      </c>
      <c r="AO217" s="307">
        <v>0</v>
      </c>
      <c r="AP217" s="307">
        <v>1.6212089999999999</v>
      </c>
      <c r="AQ217" s="307">
        <v>0</v>
      </c>
      <c r="AR217" s="307">
        <v>1.3723669999999999</v>
      </c>
      <c r="AS217" s="307">
        <v>2.3041109999999998</v>
      </c>
      <c r="AT217" s="307">
        <v>1.7609919999999999</v>
      </c>
      <c r="AU217" s="307">
        <v>1.394158</v>
      </c>
      <c r="AV217" s="307">
        <v>2.2386170000000001</v>
      </c>
      <c r="AW217" s="307">
        <v>2.2715719999999999</v>
      </c>
      <c r="AX217" s="307">
        <v>1.6235919999999999</v>
      </c>
      <c r="AY217" s="307">
        <v>2.038033</v>
      </c>
      <c r="AZ217" s="307">
        <v>1.5289250000000001</v>
      </c>
      <c r="BA217" s="307">
        <v>0</v>
      </c>
      <c r="BB217" s="307">
        <v>2.0291929999999998</v>
      </c>
      <c r="BC217" s="307">
        <v>1.282402</v>
      </c>
      <c r="BD217" s="307">
        <v>1.3931359999999999</v>
      </c>
      <c r="BE217" s="307">
        <v>1.5472619999999999</v>
      </c>
      <c r="BF217" s="307">
        <v>2.2467640000000002</v>
      </c>
      <c r="BG217" s="307">
        <v>1.456588</v>
      </c>
      <c r="BH217" s="307">
        <v>1.8104279999999999</v>
      </c>
      <c r="BI217" s="307">
        <v>1.5777030000000001</v>
      </c>
      <c r="BJ217" s="307">
        <v>2.1223749999999999</v>
      </c>
      <c r="BK217" s="307">
        <v>1.277255</v>
      </c>
      <c r="BL217">
        <f t="shared" si="12"/>
        <v>10</v>
      </c>
      <c r="BM217">
        <f t="shared" si="13"/>
        <v>1.7025408019607848</v>
      </c>
      <c r="BN217">
        <f t="shared" si="14"/>
        <v>2.4074300000000002</v>
      </c>
      <c r="BO217">
        <f t="array" ref="BO217">MIN(IF($C217:$BK217&gt;0, $C217:$BK217))</f>
        <v>0.21301290000000001</v>
      </c>
      <c r="BP217">
        <f t="shared" si="15"/>
        <v>1.530856</v>
      </c>
    </row>
    <row r="218" spans="1:68" x14ac:dyDescent="0.25">
      <c r="A218" s="306">
        <v>333612</v>
      </c>
      <c r="B218" s="307" t="s">
        <v>199</v>
      </c>
      <c r="C218" s="307">
        <v>5.6898780000000002</v>
      </c>
      <c r="D218" s="307">
        <v>0</v>
      </c>
      <c r="E218" s="307">
        <v>8.3946629999999995</v>
      </c>
      <c r="F218" s="307">
        <v>0</v>
      </c>
      <c r="G218" s="307">
        <v>6.5489839999999999</v>
      </c>
      <c r="H218" s="307">
        <v>3.8772600000000002</v>
      </c>
      <c r="I218" s="307">
        <v>0</v>
      </c>
      <c r="J218" s="307">
        <v>4.1567879999999997</v>
      </c>
      <c r="K218" s="307">
        <v>0</v>
      </c>
      <c r="L218" s="307">
        <v>0</v>
      </c>
      <c r="M218" s="307">
        <v>7.402533</v>
      </c>
      <c r="N218" s="307">
        <v>6.5585269999999998</v>
      </c>
      <c r="O218" s="307">
        <v>0</v>
      </c>
      <c r="P218" s="307">
        <v>5.6370250000000004</v>
      </c>
      <c r="Q218" s="307">
        <v>4.1596080000000004</v>
      </c>
      <c r="R218" s="307">
        <v>5.1329789999999997</v>
      </c>
      <c r="S218" s="307">
        <v>6.3660560000000004</v>
      </c>
      <c r="T218" s="307">
        <v>7.6470409999999998</v>
      </c>
      <c r="U218" s="307">
        <v>6.8966370000000001</v>
      </c>
      <c r="V218" s="307">
        <v>8.4855099999999997</v>
      </c>
      <c r="W218" s="307">
        <v>4.8659179999999997</v>
      </c>
      <c r="X218" s="307">
        <v>3.3427419999999999</v>
      </c>
      <c r="Y218" s="307">
        <v>5.1017799999999998</v>
      </c>
      <c r="Z218" s="307">
        <v>6.3015189999999999</v>
      </c>
      <c r="AA218" s="307">
        <v>6.1862019999999998</v>
      </c>
      <c r="AB218" s="307">
        <v>6.7337889999999998</v>
      </c>
      <c r="AC218" s="307">
        <v>7.529382</v>
      </c>
      <c r="AD218" s="307">
        <v>0</v>
      </c>
      <c r="AE218" s="307">
        <v>5.0039990000000003</v>
      </c>
      <c r="AF218" s="307">
        <v>0</v>
      </c>
      <c r="AG218" s="307">
        <v>5.3586010000000002</v>
      </c>
      <c r="AH218" s="307">
        <v>4.9485489999999999</v>
      </c>
      <c r="AI218" s="307">
        <v>5.4076409999999999</v>
      </c>
      <c r="AJ218" s="307">
        <v>6.6398669999999997</v>
      </c>
      <c r="AK218" s="307">
        <v>0</v>
      </c>
      <c r="AL218" s="307">
        <v>5.7927070000000001</v>
      </c>
      <c r="AM218" s="307">
        <v>5.3538360000000003</v>
      </c>
      <c r="AN218" s="307">
        <v>6.1521869999999996</v>
      </c>
      <c r="AO218" s="307">
        <v>3.6460530000000002</v>
      </c>
      <c r="AP218" s="307">
        <v>6.0094729999999998</v>
      </c>
      <c r="AQ218" s="307">
        <v>0</v>
      </c>
      <c r="AR218" s="307">
        <v>5.3722409999999998</v>
      </c>
      <c r="AS218" s="307">
        <v>8.0320630000000008</v>
      </c>
      <c r="AT218" s="307">
        <v>7.228065</v>
      </c>
      <c r="AU218" s="307">
        <v>5.0989690000000003</v>
      </c>
      <c r="AV218" s="307">
        <v>8.5089459999999999</v>
      </c>
      <c r="AW218" s="307">
        <v>5.4047559999999999</v>
      </c>
      <c r="AX218" s="307">
        <v>0</v>
      </c>
      <c r="AY218" s="307">
        <v>5.2201870000000001</v>
      </c>
      <c r="AZ218" s="307">
        <v>4.8454879999999996</v>
      </c>
      <c r="BA218" s="307">
        <v>0</v>
      </c>
      <c r="BB218" s="307">
        <v>0</v>
      </c>
      <c r="BC218" s="307">
        <v>5.0282289999999996</v>
      </c>
      <c r="BD218" s="307">
        <v>5.9564450000000004</v>
      </c>
      <c r="BE218" s="307">
        <v>5.4890140000000001</v>
      </c>
      <c r="BF218" s="307">
        <v>6.9295159999999996</v>
      </c>
      <c r="BG218" s="307">
        <v>5.7316260000000003</v>
      </c>
      <c r="BH218" s="307">
        <v>7.5577870000000003</v>
      </c>
      <c r="BI218" s="307">
        <v>5.3230700000000004</v>
      </c>
      <c r="BJ218" s="307">
        <v>6.8531610000000001</v>
      </c>
      <c r="BK218" s="307">
        <v>4.2006889999999997</v>
      </c>
      <c r="BL218">
        <f t="shared" si="12"/>
        <v>13</v>
      </c>
      <c r="BM218">
        <f t="shared" si="13"/>
        <v>5.9189163750000011</v>
      </c>
      <c r="BN218">
        <f t="shared" si="14"/>
        <v>8.5089459999999999</v>
      </c>
      <c r="BO218">
        <f t="array" ref="BO218">MIN(IF($C218:$BK218&gt;0, $C218:$BK218))</f>
        <v>3.3427419999999999</v>
      </c>
      <c r="BP218">
        <f t="shared" si="15"/>
        <v>5.3586010000000002</v>
      </c>
    </row>
    <row r="219" spans="1:68" x14ac:dyDescent="0.25">
      <c r="A219" s="306">
        <v>333613</v>
      </c>
      <c r="B219" s="307" t="s">
        <v>200</v>
      </c>
      <c r="C219" s="307">
        <v>5.8108630000000003</v>
      </c>
      <c r="D219" s="307">
        <v>0</v>
      </c>
      <c r="E219" s="307">
        <v>5.287979</v>
      </c>
      <c r="F219" s="307">
        <v>7.4068269999999998</v>
      </c>
      <c r="G219" s="307">
        <v>0</v>
      </c>
      <c r="H219" s="307">
        <v>7.124447</v>
      </c>
      <c r="I219" s="307">
        <v>0</v>
      </c>
      <c r="J219" s="307">
        <v>4.8871779999999996</v>
      </c>
      <c r="K219" s="307">
        <v>0</v>
      </c>
      <c r="L219" s="307">
        <v>0</v>
      </c>
      <c r="M219" s="307">
        <v>4.784821</v>
      </c>
      <c r="N219" s="307">
        <v>5.6595129999999996</v>
      </c>
      <c r="O219" s="307">
        <v>0</v>
      </c>
      <c r="P219" s="307">
        <v>0</v>
      </c>
      <c r="Q219" s="307">
        <v>0</v>
      </c>
      <c r="R219" s="307">
        <v>5.2886870000000004</v>
      </c>
      <c r="S219" s="307">
        <v>5.7031729999999996</v>
      </c>
      <c r="T219" s="307">
        <v>4.9343789999999998</v>
      </c>
      <c r="U219" s="307">
        <v>6.1272140000000004</v>
      </c>
      <c r="V219" s="307">
        <v>7.2964520000000004</v>
      </c>
      <c r="W219" s="307">
        <v>4.6303000000000001</v>
      </c>
      <c r="X219" s="307">
        <v>4.4906790000000001</v>
      </c>
      <c r="Y219" s="307">
        <v>0</v>
      </c>
      <c r="Z219" s="307">
        <v>6.2287020000000002</v>
      </c>
      <c r="AA219" s="307">
        <v>5.8315289999999997</v>
      </c>
      <c r="AB219" s="307">
        <v>7.2043379999999999</v>
      </c>
      <c r="AC219" s="307">
        <v>7.0941229999999997</v>
      </c>
      <c r="AD219" s="307">
        <v>0</v>
      </c>
      <c r="AE219" s="307">
        <v>5.2234699999999998</v>
      </c>
      <c r="AF219" s="307">
        <v>0</v>
      </c>
      <c r="AG219" s="307">
        <v>5.873335</v>
      </c>
      <c r="AH219" s="307">
        <v>6.9138640000000002</v>
      </c>
      <c r="AI219" s="307">
        <v>4.8404319999999998</v>
      </c>
      <c r="AJ219" s="307">
        <v>0</v>
      </c>
      <c r="AK219" s="307">
        <v>0</v>
      </c>
      <c r="AL219" s="307">
        <v>6.056209</v>
      </c>
      <c r="AM219" s="307">
        <v>4.8437789999999996</v>
      </c>
      <c r="AN219" s="307">
        <v>7.7795329999999998</v>
      </c>
      <c r="AO219" s="307">
        <v>5.740361</v>
      </c>
      <c r="AP219" s="307">
        <v>5.5554309999999996</v>
      </c>
      <c r="AQ219" s="307">
        <v>6.5542769999999999</v>
      </c>
      <c r="AR219" s="307">
        <v>5.7551839999999999</v>
      </c>
      <c r="AS219" s="307">
        <v>0</v>
      </c>
      <c r="AT219" s="307">
        <v>7.3125960000000001</v>
      </c>
      <c r="AU219" s="307">
        <v>5.6899879999999996</v>
      </c>
      <c r="AV219" s="307">
        <v>0</v>
      </c>
      <c r="AW219" s="307">
        <v>0</v>
      </c>
      <c r="AX219" s="307">
        <v>0</v>
      </c>
      <c r="AY219" s="307">
        <v>7.2568169999999999</v>
      </c>
      <c r="AZ219" s="307">
        <v>5.1045259999999999</v>
      </c>
      <c r="BA219" s="307">
        <v>5.2701510000000003</v>
      </c>
      <c r="BB219" s="307">
        <v>0</v>
      </c>
      <c r="BC219" s="307">
        <v>5.2245850000000003</v>
      </c>
      <c r="BD219" s="307">
        <v>5.8561719999999999</v>
      </c>
      <c r="BE219" s="307">
        <v>5.4432980000000004</v>
      </c>
      <c r="BF219" s="307">
        <v>5.6607390000000004</v>
      </c>
      <c r="BG219" s="307">
        <v>5.438288</v>
      </c>
      <c r="BH219" s="307">
        <v>6.3545550000000004</v>
      </c>
      <c r="BI219" s="307">
        <v>5.9125040000000002</v>
      </c>
      <c r="BJ219" s="307">
        <v>0</v>
      </c>
      <c r="BK219" s="307">
        <v>6.9431149999999997</v>
      </c>
      <c r="BL219">
        <f t="shared" si="12"/>
        <v>19</v>
      </c>
      <c r="BM219">
        <f t="shared" si="13"/>
        <v>5.9141526904761905</v>
      </c>
      <c r="BN219">
        <f t="shared" si="14"/>
        <v>7.7795329999999998</v>
      </c>
      <c r="BO219">
        <f t="array" ref="BO219">MIN(IF($C219:$BK219&gt;0, $C219:$BK219))</f>
        <v>4.4906790000000001</v>
      </c>
      <c r="BP219">
        <f t="shared" si="15"/>
        <v>5.287979</v>
      </c>
    </row>
    <row r="220" spans="1:68" x14ac:dyDescent="0.25">
      <c r="A220" s="306">
        <v>333618</v>
      </c>
      <c r="B220" s="307" t="s">
        <v>201</v>
      </c>
      <c r="C220" s="307">
        <v>2.124139</v>
      </c>
      <c r="D220" s="307">
        <v>0</v>
      </c>
      <c r="E220" s="307">
        <v>2.9981010000000001</v>
      </c>
      <c r="F220" s="307">
        <v>3.1915269999999998</v>
      </c>
      <c r="G220" s="307">
        <v>2.8008069999999998</v>
      </c>
      <c r="H220" s="307">
        <v>2.2584330000000001</v>
      </c>
      <c r="I220" s="307">
        <v>1.946285</v>
      </c>
      <c r="J220" s="307">
        <v>2.8793489999999999</v>
      </c>
      <c r="K220" s="307">
        <v>0</v>
      </c>
      <c r="L220" s="307">
        <v>0</v>
      </c>
      <c r="M220" s="307">
        <v>2.7111130000000001</v>
      </c>
      <c r="N220" s="307">
        <v>2.7589269999999999</v>
      </c>
      <c r="O220" s="307">
        <v>3.1337359999999999</v>
      </c>
      <c r="P220" s="307">
        <v>1.6398170000000001</v>
      </c>
      <c r="Q220" s="307">
        <v>0</v>
      </c>
      <c r="R220" s="307">
        <v>1.6674359999999999</v>
      </c>
      <c r="S220" s="307">
        <v>1.6922360000000001</v>
      </c>
      <c r="T220" s="307">
        <v>3.129718</v>
      </c>
      <c r="U220" s="307">
        <v>3.3637039999999998</v>
      </c>
      <c r="V220" s="307">
        <v>2.7558220000000002</v>
      </c>
      <c r="W220" s="307">
        <v>2.7166649999999999</v>
      </c>
      <c r="X220" s="307">
        <v>1.5981890000000001</v>
      </c>
      <c r="Y220" s="307">
        <v>0</v>
      </c>
      <c r="Z220" s="307">
        <v>1.7320469999999999</v>
      </c>
      <c r="AA220" s="307">
        <v>2.7467969999999999</v>
      </c>
      <c r="AB220" s="307">
        <v>3.4197090000000001</v>
      </c>
      <c r="AC220" s="307">
        <v>2.596762</v>
      </c>
      <c r="AD220" s="307">
        <v>0</v>
      </c>
      <c r="AE220" s="307">
        <v>2.4799349999999998</v>
      </c>
      <c r="AF220" s="307">
        <v>2.519952</v>
      </c>
      <c r="AG220" s="307">
        <v>0</v>
      </c>
      <c r="AH220" s="307">
        <v>0</v>
      </c>
      <c r="AI220" s="307">
        <v>2.5584660000000001</v>
      </c>
      <c r="AJ220" s="307">
        <v>2.8915139999999999</v>
      </c>
      <c r="AK220" s="307">
        <v>2.9604940000000002</v>
      </c>
      <c r="AL220" s="307">
        <v>2.3368869999999999</v>
      </c>
      <c r="AM220" s="307">
        <v>2.904671</v>
      </c>
      <c r="AN220" s="307">
        <v>3.0314640000000002</v>
      </c>
      <c r="AO220" s="307">
        <v>3.22899</v>
      </c>
      <c r="AP220" s="307">
        <v>2.0671759999999999</v>
      </c>
      <c r="AQ220" s="307">
        <v>0</v>
      </c>
      <c r="AR220" s="307">
        <v>2.415273</v>
      </c>
      <c r="AS220" s="307">
        <v>2.70627</v>
      </c>
      <c r="AT220" s="307">
        <v>2.0503870000000002</v>
      </c>
      <c r="AU220" s="307">
        <v>2.0971600000000001</v>
      </c>
      <c r="AV220" s="307">
        <v>3.3745759999999998</v>
      </c>
      <c r="AW220" s="307">
        <v>3.4412280000000002</v>
      </c>
      <c r="AX220" s="307">
        <v>0</v>
      </c>
      <c r="AY220" s="307">
        <v>2.6036579999999998</v>
      </c>
      <c r="AZ220" s="307">
        <v>1.9531130000000001</v>
      </c>
      <c r="BA220" s="307">
        <v>0</v>
      </c>
      <c r="BB220" s="307">
        <v>0</v>
      </c>
      <c r="BC220" s="307">
        <v>2.9780329999999999</v>
      </c>
      <c r="BD220" s="307">
        <v>2.260418</v>
      </c>
      <c r="BE220" s="307">
        <v>1.8438429999999999</v>
      </c>
      <c r="BF220" s="307">
        <v>2.5871819999999999</v>
      </c>
      <c r="BG220" s="307">
        <v>2.3683749999999999</v>
      </c>
      <c r="BH220" s="307">
        <v>2.6959680000000001</v>
      </c>
      <c r="BI220" s="307">
        <v>2.5364879999999999</v>
      </c>
      <c r="BJ220" s="307">
        <v>2.2007989999999999</v>
      </c>
      <c r="BK220" s="307">
        <v>2.3629929999999999</v>
      </c>
      <c r="BL220">
        <f t="shared" si="12"/>
        <v>12</v>
      </c>
      <c r="BM220">
        <f t="shared" si="13"/>
        <v>2.5574822857142858</v>
      </c>
      <c r="BN220">
        <f t="shared" si="14"/>
        <v>3.4412280000000002</v>
      </c>
      <c r="BO220">
        <f t="array" ref="BO220">MIN(IF($C220:$BK220&gt;0, $C220:$BK220))</f>
        <v>1.5981890000000001</v>
      </c>
      <c r="BP220">
        <f t="shared" si="15"/>
        <v>2.415273</v>
      </c>
    </row>
    <row r="221" spans="1:68" x14ac:dyDescent="0.25">
      <c r="A221" s="306">
        <v>333911</v>
      </c>
      <c r="B221" s="307" t="s">
        <v>202</v>
      </c>
      <c r="C221" s="307">
        <v>3.9037790000000001</v>
      </c>
      <c r="D221" s="307">
        <v>0</v>
      </c>
      <c r="E221" s="307">
        <v>6.1385630000000004</v>
      </c>
      <c r="F221" s="307">
        <v>4.3290369999999996</v>
      </c>
      <c r="G221" s="307">
        <v>5.487323</v>
      </c>
      <c r="H221" s="307">
        <v>3.882857</v>
      </c>
      <c r="I221" s="307">
        <v>6.2271039999999998</v>
      </c>
      <c r="J221" s="307">
        <v>2.6324860000000001</v>
      </c>
      <c r="K221" s="307">
        <v>0</v>
      </c>
      <c r="L221" s="307">
        <v>4.0303050000000002</v>
      </c>
      <c r="M221" s="307">
        <v>4.8025760000000002</v>
      </c>
      <c r="N221" s="307">
        <v>4.031148</v>
      </c>
      <c r="O221" s="307">
        <v>0</v>
      </c>
      <c r="P221" s="307">
        <v>3.7827890000000002</v>
      </c>
      <c r="Q221" s="307">
        <v>0</v>
      </c>
      <c r="R221" s="307">
        <v>3.2268490000000001</v>
      </c>
      <c r="S221" s="307">
        <v>4.5453799999999998</v>
      </c>
      <c r="T221" s="307">
        <v>4.4447619999999999</v>
      </c>
      <c r="U221" s="307">
        <v>4.5063570000000004</v>
      </c>
      <c r="V221" s="307">
        <v>4.1866219999999998</v>
      </c>
      <c r="W221" s="307">
        <v>3.186995</v>
      </c>
      <c r="X221" s="307">
        <v>2.9492609999999999</v>
      </c>
      <c r="Y221" s="307">
        <v>2.703633</v>
      </c>
      <c r="Z221" s="307">
        <v>4.0489610000000003</v>
      </c>
      <c r="AA221" s="307">
        <v>3.5605540000000002</v>
      </c>
      <c r="AB221" s="307">
        <v>3.6670060000000002</v>
      </c>
      <c r="AC221" s="307">
        <v>5.0557280000000002</v>
      </c>
      <c r="AD221" s="307">
        <v>6.1136010000000001</v>
      </c>
      <c r="AE221" s="307">
        <v>3.144574</v>
      </c>
      <c r="AF221" s="307">
        <v>0</v>
      </c>
      <c r="AG221" s="307">
        <v>4.820824</v>
      </c>
      <c r="AH221" s="307">
        <v>5.5978370000000002</v>
      </c>
      <c r="AI221" s="307">
        <v>2.5014889999999999</v>
      </c>
      <c r="AJ221" s="307">
        <v>5.8712819999999999</v>
      </c>
      <c r="AK221" s="307">
        <v>3.5325859999999998</v>
      </c>
      <c r="AL221" s="307">
        <v>3.6579199999999998</v>
      </c>
      <c r="AM221" s="307">
        <v>3.9755549999999999</v>
      </c>
      <c r="AN221" s="307">
        <v>3.752815</v>
      </c>
      <c r="AO221" s="307">
        <v>3.9393910000000001</v>
      </c>
      <c r="AP221" s="307">
        <v>4.0452279999999998</v>
      </c>
      <c r="AQ221" s="307">
        <v>5.3067080000000004</v>
      </c>
      <c r="AR221" s="307">
        <v>4.3706069999999997</v>
      </c>
      <c r="AS221" s="307">
        <v>5.9450029999999998</v>
      </c>
      <c r="AT221" s="307">
        <v>5.0635649999999996</v>
      </c>
      <c r="AU221" s="307">
        <v>4.1750800000000003</v>
      </c>
      <c r="AV221" s="307">
        <v>3.5059179999999999</v>
      </c>
      <c r="AW221" s="307">
        <v>2.6211000000000002</v>
      </c>
      <c r="AX221" s="307">
        <v>3.996251</v>
      </c>
      <c r="AY221" s="307">
        <v>3.769231</v>
      </c>
      <c r="AZ221" s="307">
        <v>3.7569569999999999</v>
      </c>
      <c r="BA221" s="307">
        <v>4.5778889999999999</v>
      </c>
      <c r="BB221" s="307">
        <v>5.8865959999999999</v>
      </c>
      <c r="BC221" s="307">
        <v>3.4400629999999999</v>
      </c>
      <c r="BD221" s="307">
        <v>3.6258949999999999</v>
      </c>
      <c r="BE221" s="307">
        <v>3.7412610000000002</v>
      </c>
      <c r="BF221" s="307">
        <v>3.9401109999999999</v>
      </c>
      <c r="BG221" s="307">
        <v>3.6660400000000002</v>
      </c>
      <c r="BH221" s="307">
        <v>5.060333</v>
      </c>
      <c r="BI221" s="307">
        <v>3.938145</v>
      </c>
      <c r="BJ221" s="307">
        <v>4.1738479999999996</v>
      </c>
      <c r="BK221" s="307">
        <v>3.9177059999999999</v>
      </c>
      <c r="BL221">
        <f t="shared" si="12"/>
        <v>5</v>
      </c>
      <c r="BM221">
        <f t="shared" si="13"/>
        <v>4.1921693571428591</v>
      </c>
      <c r="BN221">
        <f t="shared" si="14"/>
        <v>6.2271039999999998</v>
      </c>
      <c r="BO221">
        <f t="array" ref="BO221">MIN(IF($C221:$BK221&gt;0, $C221:$BK221))</f>
        <v>2.5014889999999999</v>
      </c>
      <c r="BP221">
        <f t="shared" si="15"/>
        <v>3.9393910000000001</v>
      </c>
    </row>
    <row r="222" spans="1:68" x14ac:dyDescent="0.25">
      <c r="A222" s="306">
        <v>333912</v>
      </c>
      <c r="B222" s="307" t="s">
        <v>203</v>
      </c>
      <c r="C222" s="307">
        <v>3.5868929999999999</v>
      </c>
      <c r="D222" s="307">
        <v>0</v>
      </c>
      <c r="E222" s="307">
        <v>4.5616000000000003</v>
      </c>
      <c r="F222" s="307">
        <v>4.3166089999999997</v>
      </c>
      <c r="G222" s="307">
        <v>0</v>
      </c>
      <c r="H222" s="307">
        <v>4.3915600000000001</v>
      </c>
      <c r="I222" s="307">
        <v>3.6747990000000001</v>
      </c>
      <c r="J222" s="307">
        <v>2.8743080000000001</v>
      </c>
      <c r="K222" s="307">
        <v>0</v>
      </c>
      <c r="L222" s="307">
        <v>0</v>
      </c>
      <c r="M222" s="307">
        <v>4.416366</v>
      </c>
      <c r="N222" s="307">
        <v>4.2344400000000002</v>
      </c>
      <c r="O222" s="307">
        <v>0</v>
      </c>
      <c r="P222" s="307">
        <v>5.2946949999999999</v>
      </c>
      <c r="Q222" s="307">
        <v>0</v>
      </c>
      <c r="R222" s="307">
        <v>2.7186859999999999</v>
      </c>
      <c r="S222" s="307">
        <v>3.785879</v>
      </c>
      <c r="T222" s="307">
        <v>3.8267799999999998</v>
      </c>
      <c r="U222" s="307">
        <v>4.4868690000000004</v>
      </c>
      <c r="V222" s="307">
        <v>4.4612550000000004</v>
      </c>
      <c r="W222" s="307">
        <v>3.1519180000000002</v>
      </c>
      <c r="X222" s="307">
        <v>3.3866269999999998</v>
      </c>
      <c r="Y222" s="307">
        <v>0</v>
      </c>
      <c r="Z222" s="307">
        <v>3.6337600000000001</v>
      </c>
      <c r="AA222" s="307">
        <v>4.106007</v>
      </c>
      <c r="AB222" s="307">
        <v>3.6280700000000001</v>
      </c>
      <c r="AC222" s="307">
        <v>3.9721310000000001</v>
      </c>
      <c r="AD222" s="307">
        <v>0</v>
      </c>
      <c r="AE222" s="307">
        <v>2.8815279999999999</v>
      </c>
      <c r="AF222" s="307">
        <v>0</v>
      </c>
      <c r="AG222" s="307">
        <v>3.4087360000000002</v>
      </c>
      <c r="AH222" s="307">
        <v>4.1235179999999998</v>
      </c>
      <c r="AI222" s="307">
        <v>2.5265249999999999</v>
      </c>
      <c r="AJ222" s="307">
        <v>4.5355600000000003</v>
      </c>
      <c r="AK222" s="307">
        <v>5.4390580000000002</v>
      </c>
      <c r="AL222" s="307">
        <v>3.4775510000000001</v>
      </c>
      <c r="AM222" s="307">
        <v>3.071736</v>
      </c>
      <c r="AN222" s="307">
        <v>3.6460460000000001</v>
      </c>
      <c r="AO222" s="307">
        <v>4.1163720000000001</v>
      </c>
      <c r="AP222" s="307">
        <v>3.331191</v>
      </c>
      <c r="AQ222" s="307">
        <v>2.3968829999999999</v>
      </c>
      <c r="AR222" s="307">
        <v>4.8127680000000002</v>
      </c>
      <c r="AS222" s="307">
        <v>5.3177130000000004</v>
      </c>
      <c r="AT222" s="307">
        <v>5.2957020000000004</v>
      </c>
      <c r="AU222" s="307">
        <v>2.9439980000000001</v>
      </c>
      <c r="AV222" s="307">
        <v>5.5649389999999999</v>
      </c>
      <c r="AW222" s="307">
        <v>5.1423059999999996</v>
      </c>
      <c r="AX222" s="307">
        <v>0</v>
      </c>
      <c r="AY222" s="307">
        <v>4.6210990000000001</v>
      </c>
      <c r="AZ222" s="307">
        <v>3.8618809999999999</v>
      </c>
      <c r="BA222" s="307">
        <v>4.8343699999999998</v>
      </c>
      <c r="BB222" s="307">
        <v>0</v>
      </c>
      <c r="BC222" s="307">
        <v>3.4543550000000001</v>
      </c>
      <c r="BD222" s="307">
        <v>3.3996059999999999</v>
      </c>
      <c r="BE222" s="307">
        <v>3.341348</v>
      </c>
      <c r="BF222" s="307">
        <v>4.1794640000000003</v>
      </c>
      <c r="BG222" s="307">
        <v>3.523641</v>
      </c>
      <c r="BH222" s="307">
        <v>4.9527330000000003</v>
      </c>
      <c r="BI222" s="307">
        <v>3.216402</v>
      </c>
      <c r="BJ222" s="307">
        <v>4.5656889999999999</v>
      </c>
      <c r="BK222" s="307">
        <v>4.4044590000000001</v>
      </c>
      <c r="BL222">
        <f t="shared" si="12"/>
        <v>11</v>
      </c>
      <c r="BM222">
        <f t="shared" si="13"/>
        <v>3.9779285800000008</v>
      </c>
      <c r="BN222">
        <f t="shared" si="14"/>
        <v>5.5649389999999999</v>
      </c>
      <c r="BO222">
        <f t="array" ref="BO222">MIN(IF($C222:$BK222&gt;0, $C222:$BK222))</f>
        <v>2.3968829999999999</v>
      </c>
      <c r="BP222">
        <f t="shared" si="15"/>
        <v>3.6337600000000001</v>
      </c>
    </row>
    <row r="223" spans="1:68" s="215" customFormat="1" x14ac:dyDescent="0.25">
      <c r="A223" s="606">
        <v>333920</v>
      </c>
      <c r="B223" s="607" t="s">
        <v>204</v>
      </c>
      <c r="C223" s="607">
        <v>5.0089949999999996</v>
      </c>
      <c r="D223" s="607">
        <v>6.2992350000000004</v>
      </c>
      <c r="E223" s="607">
        <v>5.6197059999999999</v>
      </c>
      <c r="F223" s="607">
        <v>6.2873789999999996</v>
      </c>
      <c r="G223" s="607">
        <v>6.4774989999999999</v>
      </c>
      <c r="H223" s="607">
        <v>5.601013</v>
      </c>
      <c r="I223" s="607">
        <v>4.3907600000000002</v>
      </c>
      <c r="J223" s="607">
        <v>3.5538029999999998</v>
      </c>
      <c r="K223" s="607">
        <v>0.66446079999999996</v>
      </c>
      <c r="L223" s="607">
        <v>3.3434599999999999</v>
      </c>
      <c r="M223" s="607">
        <v>5.4503490000000001</v>
      </c>
      <c r="N223" s="607">
        <v>5.4113449999999998</v>
      </c>
      <c r="O223" s="607">
        <v>0</v>
      </c>
      <c r="P223" s="607">
        <v>5.2995960000000002</v>
      </c>
      <c r="Q223" s="607">
        <v>6.5125149999999996</v>
      </c>
      <c r="R223" s="607">
        <v>4.402101</v>
      </c>
      <c r="S223" s="607">
        <v>5.2884909999999996</v>
      </c>
      <c r="T223" s="607">
        <v>5.2242430000000004</v>
      </c>
      <c r="U223" s="607">
        <v>4.7581309999999997</v>
      </c>
      <c r="V223" s="607">
        <v>4.6767370000000001</v>
      </c>
      <c r="W223" s="607">
        <v>3.7434699999999999</v>
      </c>
      <c r="X223" s="607">
        <v>3.2757320000000001</v>
      </c>
      <c r="Y223" s="607">
        <v>5.2543530000000001</v>
      </c>
      <c r="Z223" s="607">
        <v>3.9737659999999999</v>
      </c>
      <c r="AA223" s="607">
        <v>5.4030810000000002</v>
      </c>
      <c r="AB223" s="607">
        <v>4.4099089999999999</v>
      </c>
      <c r="AC223" s="607">
        <v>5.3768549999999999</v>
      </c>
      <c r="AD223" s="607">
        <v>0</v>
      </c>
      <c r="AE223" s="607">
        <v>4.6228720000000001</v>
      </c>
      <c r="AF223" s="607">
        <v>6.0888559999999998</v>
      </c>
      <c r="AG223" s="607">
        <v>5.783207</v>
      </c>
      <c r="AH223" s="607">
        <v>3.5614699999999999</v>
      </c>
      <c r="AI223" s="607">
        <v>3.376795</v>
      </c>
      <c r="AJ223" s="607">
        <v>6.1554840000000004</v>
      </c>
      <c r="AK223" s="607">
        <v>5.9857899999999997</v>
      </c>
      <c r="AL223" s="607">
        <v>4.6168209999999998</v>
      </c>
      <c r="AM223" s="607">
        <v>4.7491190000000003</v>
      </c>
      <c r="AN223" s="607">
        <v>5.0959989999999999</v>
      </c>
      <c r="AO223" s="607">
        <v>4.5607379999999997</v>
      </c>
      <c r="AP223" s="607">
        <v>4.5103140000000002</v>
      </c>
      <c r="AQ223" s="607">
        <v>5.5636590000000004</v>
      </c>
      <c r="AR223" s="607">
        <v>4.9503399999999997</v>
      </c>
      <c r="AS223" s="607">
        <v>5.0815650000000003</v>
      </c>
      <c r="AT223" s="607">
        <v>5.032991</v>
      </c>
      <c r="AU223" s="607">
        <v>4.5917859999999999</v>
      </c>
      <c r="AV223" s="607">
        <v>4.8032110000000001</v>
      </c>
      <c r="AW223" s="607">
        <v>4.6948600000000003</v>
      </c>
      <c r="AX223" s="607">
        <v>0</v>
      </c>
      <c r="AY223" s="607">
        <v>4.6133509999999998</v>
      </c>
      <c r="AZ223" s="607">
        <v>4.5024309999999996</v>
      </c>
      <c r="BA223" s="607">
        <v>5.6666439999999998</v>
      </c>
      <c r="BB223" s="607">
        <v>0</v>
      </c>
      <c r="BC223" s="607">
        <v>4.0337639999999997</v>
      </c>
      <c r="BD223" s="607">
        <v>4.4382770000000002</v>
      </c>
      <c r="BE223" s="607">
        <v>4.6634390000000003</v>
      </c>
      <c r="BF223" s="607">
        <v>5.4080579999999996</v>
      </c>
      <c r="BG223" s="607">
        <v>5.0966040000000001</v>
      </c>
      <c r="BH223" s="607">
        <v>5.3056950000000001</v>
      </c>
      <c r="BI223" s="607">
        <v>5.0295769999999997</v>
      </c>
      <c r="BJ223" s="607">
        <v>4.8629759999999997</v>
      </c>
      <c r="BK223" s="607">
        <v>5.0178570000000002</v>
      </c>
      <c r="BL223" s="215">
        <f t="shared" si="12"/>
        <v>4</v>
      </c>
      <c r="BM223" s="215">
        <f t="shared" si="13"/>
        <v>4.8802023649122823</v>
      </c>
      <c r="BN223" s="215">
        <f t="shared" si="14"/>
        <v>6.5125149999999996</v>
      </c>
      <c r="BO223" s="215">
        <f t="array" ref="BO223">MIN(IF($C223:$BK223&gt;0, $C223:$BK223))</f>
        <v>0.66446079999999996</v>
      </c>
      <c r="BP223" s="215">
        <f t="shared" si="15"/>
        <v>4.8629759999999997</v>
      </c>
    </row>
    <row r="224" spans="1:68" s="215" customFormat="1" x14ac:dyDescent="0.25">
      <c r="A224" s="606">
        <v>333991</v>
      </c>
      <c r="B224" s="607" t="s">
        <v>205</v>
      </c>
      <c r="C224" s="607">
        <v>2.6788530000000002</v>
      </c>
      <c r="D224" s="607">
        <v>0</v>
      </c>
      <c r="E224" s="607">
        <v>4.3431680000000004</v>
      </c>
      <c r="F224" s="607">
        <v>3.9531040000000002</v>
      </c>
      <c r="G224" s="607">
        <v>1.613583</v>
      </c>
      <c r="H224" s="607">
        <v>3.1850369999999999</v>
      </c>
      <c r="I224" s="607">
        <v>2.7393239999999999</v>
      </c>
      <c r="J224" s="607">
        <v>3.139888</v>
      </c>
      <c r="K224" s="607">
        <v>0</v>
      </c>
      <c r="L224" s="607">
        <v>0</v>
      </c>
      <c r="M224" s="607">
        <v>3.3911889999999998</v>
      </c>
      <c r="N224" s="607">
        <v>3.013042</v>
      </c>
      <c r="O224" s="607">
        <v>0</v>
      </c>
      <c r="P224" s="607">
        <v>3.683052</v>
      </c>
      <c r="Q224" s="607">
        <v>2.324614</v>
      </c>
      <c r="R224" s="607">
        <v>3.060584</v>
      </c>
      <c r="S224" s="607">
        <v>2.022167</v>
      </c>
      <c r="T224" s="607">
        <v>1.506896</v>
      </c>
      <c r="U224" s="607">
        <v>0</v>
      </c>
      <c r="V224" s="607">
        <v>2.7067019999999999</v>
      </c>
      <c r="W224" s="607">
        <v>1.7056210000000001</v>
      </c>
      <c r="X224" s="607">
        <v>1.635456</v>
      </c>
      <c r="Y224" s="607">
        <v>0</v>
      </c>
      <c r="Z224" s="607">
        <v>2.5481410000000002</v>
      </c>
      <c r="AA224" s="607">
        <v>3.0538810000000001</v>
      </c>
      <c r="AB224" s="607">
        <v>2.203328</v>
      </c>
      <c r="AC224" s="607">
        <v>3.5664259999999999</v>
      </c>
      <c r="AD224" s="607">
        <v>0</v>
      </c>
      <c r="AE224" s="607">
        <v>2.7225619999999999</v>
      </c>
      <c r="AF224" s="607">
        <v>0</v>
      </c>
      <c r="AG224" s="607">
        <v>3.9362819999999998</v>
      </c>
      <c r="AH224" s="607">
        <v>0</v>
      </c>
      <c r="AI224" s="607">
        <v>2.8132809999999999</v>
      </c>
      <c r="AJ224" s="607">
        <v>0</v>
      </c>
      <c r="AK224" s="607">
        <v>2.561833</v>
      </c>
      <c r="AL224" s="607">
        <v>2.6361330000000001</v>
      </c>
      <c r="AM224" s="607">
        <v>1.917022</v>
      </c>
      <c r="AN224" s="607">
        <v>4.1563749999999997</v>
      </c>
      <c r="AO224" s="607">
        <v>2.6146590000000001</v>
      </c>
      <c r="AP224" s="607">
        <v>2.5746229999999999</v>
      </c>
      <c r="AQ224" s="607">
        <v>3.2056900000000002</v>
      </c>
      <c r="AR224" s="607">
        <v>2.3618079999999999</v>
      </c>
      <c r="AS224" s="607">
        <v>0</v>
      </c>
      <c r="AT224" s="607">
        <v>3.2132839999999998</v>
      </c>
      <c r="AU224" s="607">
        <v>2.6962410000000001</v>
      </c>
      <c r="AV224" s="607">
        <v>0</v>
      </c>
      <c r="AW224" s="607">
        <v>2.6079979999999998</v>
      </c>
      <c r="AX224" s="607">
        <v>3.9713690000000001</v>
      </c>
      <c r="AY224" s="607">
        <v>1.573029</v>
      </c>
      <c r="AZ224" s="607">
        <v>1.8075349999999999</v>
      </c>
      <c r="BA224" s="607">
        <v>0</v>
      </c>
      <c r="BB224" s="607">
        <v>0</v>
      </c>
      <c r="BC224" s="607">
        <v>2.3289499999999999</v>
      </c>
      <c r="BD224" s="607">
        <v>2.758845</v>
      </c>
      <c r="BE224" s="607">
        <v>2.1003539999999998</v>
      </c>
      <c r="BF224" s="607">
        <v>2.874053</v>
      </c>
      <c r="BG224" s="607">
        <v>2.544502</v>
      </c>
      <c r="BH224" s="607">
        <v>3.4985849999999998</v>
      </c>
      <c r="BI224" s="607">
        <v>3.7910740000000001</v>
      </c>
      <c r="BJ224" s="607">
        <v>2.5700159999999999</v>
      </c>
      <c r="BK224" s="607">
        <v>2.3204639999999999</v>
      </c>
      <c r="BL224" s="215">
        <f t="shared" si="12"/>
        <v>14</v>
      </c>
      <c r="BM224" s="215">
        <f t="shared" si="13"/>
        <v>2.7708643191489357</v>
      </c>
      <c r="BN224" s="215">
        <f t="shared" si="14"/>
        <v>4.3431680000000004</v>
      </c>
      <c r="BO224" s="215">
        <f t="array" ref="BO224">MIN(IF($C224:$BK224&gt;0, $C224:$BK224))</f>
        <v>1.506896</v>
      </c>
      <c r="BP224" s="215">
        <f t="shared" si="15"/>
        <v>2.561833</v>
      </c>
    </row>
    <row r="225" spans="1:68" s="215" customFormat="1" x14ac:dyDescent="0.25">
      <c r="A225" s="606">
        <v>333993</v>
      </c>
      <c r="B225" s="607" t="s">
        <v>207</v>
      </c>
      <c r="C225" s="607">
        <v>5.5275530000000002</v>
      </c>
      <c r="D225" s="607">
        <v>0</v>
      </c>
      <c r="E225" s="607">
        <v>5.8702560000000004</v>
      </c>
      <c r="F225" s="607">
        <v>5.832541</v>
      </c>
      <c r="G225" s="607">
        <v>7.6103750000000003</v>
      </c>
      <c r="H225" s="607">
        <v>6.0409829999999998</v>
      </c>
      <c r="I225" s="607">
        <v>6.6859029999999997</v>
      </c>
      <c r="J225" s="607">
        <v>4.885097</v>
      </c>
      <c r="K225" s="607">
        <v>0</v>
      </c>
      <c r="L225" s="607">
        <v>0</v>
      </c>
      <c r="M225" s="607">
        <v>6.0568400000000002</v>
      </c>
      <c r="N225" s="607">
        <v>5.2327659999999998</v>
      </c>
      <c r="O225" s="607">
        <v>0</v>
      </c>
      <c r="P225" s="607">
        <v>4.474844</v>
      </c>
      <c r="Q225" s="607">
        <v>0</v>
      </c>
      <c r="R225" s="607">
        <v>4.2209380000000003</v>
      </c>
      <c r="S225" s="607">
        <v>7.9268559999999999</v>
      </c>
      <c r="T225" s="607">
        <v>6.0884450000000001</v>
      </c>
      <c r="U225" s="607">
        <v>4.8657329999999996</v>
      </c>
      <c r="V225" s="607">
        <v>6.6120000000000001</v>
      </c>
      <c r="W225" s="607">
        <v>5.0964400000000003</v>
      </c>
      <c r="X225" s="607">
        <v>3.8049710000000001</v>
      </c>
      <c r="Y225" s="607">
        <v>5.6308170000000004</v>
      </c>
      <c r="Z225" s="607">
        <v>5.4571800000000001</v>
      </c>
      <c r="AA225" s="607">
        <v>5.5716950000000001</v>
      </c>
      <c r="AB225" s="607">
        <v>5.5595910000000002</v>
      </c>
      <c r="AC225" s="607">
        <v>4.2790319999999999</v>
      </c>
      <c r="AD225" s="607">
        <v>7.9332330000000004</v>
      </c>
      <c r="AE225" s="607">
        <v>5.0134850000000002</v>
      </c>
      <c r="AF225" s="607">
        <v>6.6014699999999999</v>
      </c>
      <c r="AG225" s="607">
        <v>5.4664910000000004</v>
      </c>
      <c r="AH225" s="607">
        <v>5.7252720000000004</v>
      </c>
      <c r="AI225" s="607">
        <v>4.5238440000000004</v>
      </c>
      <c r="AJ225" s="607">
        <v>7.6188359999999999</v>
      </c>
      <c r="AK225" s="607">
        <v>7.3959960000000002</v>
      </c>
      <c r="AL225" s="607">
        <v>5.9558879999999998</v>
      </c>
      <c r="AM225" s="607">
        <v>5.4528780000000001</v>
      </c>
      <c r="AN225" s="607">
        <v>8.1734600000000004</v>
      </c>
      <c r="AO225" s="607">
        <v>7.6803720000000002</v>
      </c>
      <c r="AP225" s="607">
        <v>5.5052380000000003</v>
      </c>
      <c r="AQ225" s="607">
        <v>0</v>
      </c>
      <c r="AR225" s="607">
        <v>5.7794429999999997</v>
      </c>
      <c r="AS225" s="607">
        <v>0</v>
      </c>
      <c r="AT225" s="607">
        <v>7.6824770000000004</v>
      </c>
      <c r="AU225" s="607">
        <v>6.6964819999999996</v>
      </c>
      <c r="AV225" s="607">
        <v>6.4152589999999998</v>
      </c>
      <c r="AW225" s="607">
        <v>4.3993270000000004</v>
      </c>
      <c r="AX225" s="607">
        <v>0</v>
      </c>
      <c r="AY225" s="607">
        <v>5.6837679999999997</v>
      </c>
      <c r="AZ225" s="607">
        <v>5.1896750000000003</v>
      </c>
      <c r="BA225" s="607">
        <v>0</v>
      </c>
      <c r="BB225" s="607">
        <v>0</v>
      </c>
      <c r="BC225" s="607">
        <v>5.4480760000000004</v>
      </c>
      <c r="BD225" s="607">
        <v>5.4984549999999999</v>
      </c>
      <c r="BE225" s="607">
        <v>4.9851409999999996</v>
      </c>
      <c r="BF225" s="607">
        <v>5.4718540000000004</v>
      </c>
      <c r="BG225" s="607">
        <v>5.4056059999999997</v>
      </c>
      <c r="BH225" s="607">
        <v>5.3358689999999998</v>
      </c>
      <c r="BI225" s="607">
        <v>6.6535209999999996</v>
      </c>
      <c r="BJ225" s="607">
        <v>6.746264</v>
      </c>
      <c r="BK225" s="607">
        <v>6.0244160000000004</v>
      </c>
      <c r="BL225" s="215">
        <f t="shared" si="12"/>
        <v>10</v>
      </c>
      <c r="BM225" s="215">
        <f t="shared" si="13"/>
        <v>5.878293176470585</v>
      </c>
      <c r="BN225" s="215">
        <f t="shared" si="14"/>
        <v>8.1734600000000004</v>
      </c>
      <c r="BO225" s="215">
        <f t="array" ref="BO225">MIN(IF($C225:$BK225&gt;0, $C225:$BK225))</f>
        <v>3.8049710000000001</v>
      </c>
      <c r="BP225" s="215">
        <f t="shared" si="15"/>
        <v>5.4984549999999999</v>
      </c>
    </row>
    <row r="226" spans="1:68" s="215" customFormat="1" x14ac:dyDescent="0.25">
      <c r="A226" s="606">
        <v>333994</v>
      </c>
      <c r="B226" s="607" t="s">
        <v>208</v>
      </c>
      <c r="C226" s="607">
        <v>6.4126839999999996</v>
      </c>
      <c r="D226" s="607">
        <v>0</v>
      </c>
      <c r="E226" s="607">
        <v>7.0792409999999997</v>
      </c>
      <c r="F226" s="607">
        <v>0</v>
      </c>
      <c r="G226" s="607">
        <v>8.4636650000000007</v>
      </c>
      <c r="H226" s="607">
        <v>5.8916139999999997</v>
      </c>
      <c r="I226" s="607">
        <v>5.5082560000000003</v>
      </c>
      <c r="J226" s="607">
        <v>6.8980379999999997</v>
      </c>
      <c r="K226" s="607">
        <v>0</v>
      </c>
      <c r="L226" s="607">
        <v>0</v>
      </c>
      <c r="M226" s="607">
        <v>9.4349880000000006</v>
      </c>
      <c r="N226" s="607">
        <v>5.9952569999999996</v>
      </c>
      <c r="O226" s="607">
        <v>0</v>
      </c>
      <c r="P226" s="607">
        <v>6.9914259999999997</v>
      </c>
      <c r="Q226" s="607">
        <v>6.0936360000000001</v>
      </c>
      <c r="R226" s="607">
        <v>6.3276079999999997</v>
      </c>
      <c r="S226" s="607">
        <v>7.0341959999999997</v>
      </c>
      <c r="T226" s="607">
        <v>6.6672690000000001</v>
      </c>
      <c r="U226" s="607">
        <v>6.6387280000000004</v>
      </c>
      <c r="V226" s="607">
        <v>9.3397120000000005</v>
      </c>
      <c r="W226" s="607">
        <v>6.2037079999999998</v>
      </c>
      <c r="X226" s="607">
        <v>5.9661400000000002</v>
      </c>
      <c r="Y226" s="607">
        <v>0</v>
      </c>
      <c r="Z226" s="607">
        <v>5.526027</v>
      </c>
      <c r="AA226" s="607">
        <v>4.8839030000000001</v>
      </c>
      <c r="AB226" s="607">
        <v>7.7181949999999997</v>
      </c>
      <c r="AC226" s="607">
        <v>0</v>
      </c>
      <c r="AD226" s="607">
        <v>0</v>
      </c>
      <c r="AE226" s="607">
        <v>5.3600909999999997</v>
      </c>
      <c r="AF226" s="607">
        <v>0</v>
      </c>
      <c r="AG226" s="607">
        <v>0</v>
      </c>
      <c r="AH226" s="607">
        <v>3.8598750000000002</v>
      </c>
      <c r="AI226" s="607">
        <v>4.0321550000000004</v>
      </c>
      <c r="AJ226" s="607">
        <v>0</v>
      </c>
      <c r="AK226" s="607">
        <v>8.5857250000000001</v>
      </c>
      <c r="AL226" s="607">
        <v>6.0207290000000002</v>
      </c>
      <c r="AM226" s="607">
        <v>5.9019729999999999</v>
      </c>
      <c r="AN226" s="607">
        <v>5.2882210000000001</v>
      </c>
      <c r="AO226" s="607">
        <v>4.0809530000000001</v>
      </c>
      <c r="AP226" s="607">
        <v>6.7249080000000001</v>
      </c>
      <c r="AQ226" s="607">
        <v>7.0212320000000004</v>
      </c>
      <c r="AR226" s="607">
        <v>9.2242289999999993</v>
      </c>
      <c r="AS226" s="607">
        <v>0</v>
      </c>
      <c r="AT226" s="607">
        <v>8.9121369999999995</v>
      </c>
      <c r="AU226" s="607">
        <v>8.2337520000000008</v>
      </c>
      <c r="AV226" s="607">
        <v>0</v>
      </c>
      <c r="AW226" s="607">
        <v>0</v>
      </c>
      <c r="AX226" s="607">
        <v>0</v>
      </c>
      <c r="AY226" s="607">
        <v>4.1991680000000002</v>
      </c>
      <c r="AZ226" s="607">
        <v>5.9465880000000002</v>
      </c>
      <c r="BA226" s="607">
        <v>8.1352689999999992</v>
      </c>
      <c r="BB226" s="607">
        <v>0</v>
      </c>
      <c r="BC226" s="607">
        <v>6.4968070000000004</v>
      </c>
      <c r="BD226" s="607">
        <v>5.9278890000000004</v>
      </c>
      <c r="BE226" s="607">
        <v>6.0036589999999999</v>
      </c>
      <c r="BF226" s="607">
        <v>7.258305</v>
      </c>
      <c r="BG226" s="607">
        <v>7.0802810000000003</v>
      </c>
      <c r="BH226" s="607">
        <v>7.4406889999999999</v>
      </c>
      <c r="BI226" s="607">
        <v>6.1644649999999999</v>
      </c>
      <c r="BJ226" s="607">
        <v>7.4094959999999999</v>
      </c>
      <c r="BK226" s="607">
        <v>5.7082569999999997</v>
      </c>
      <c r="BL226" s="215">
        <f t="shared" si="12"/>
        <v>16</v>
      </c>
      <c r="BM226" s="215">
        <f t="shared" si="13"/>
        <v>6.5798031999999997</v>
      </c>
      <c r="BN226" s="215">
        <f t="shared" si="14"/>
        <v>9.4349880000000006</v>
      </c>
      <c r="BO226" s="215">
        <f t="array" ref="BO226">MIN(IF($C226:$BK226&gt;0, $C226:$BK226))</f>
        <v>3.8598750000000002</v>
      </c>
      <c r="BP226" s="215">
        <f t="shared" si="15"/>
        <v>5.9661400000000002</v>
      </c>
    </row>
    <row r="227" spans="1:68" s="215" customFormat="1" x14ac:dyDescent="0.25">
      <c r="A227" s="606" t="s">
        <v>734</v>
      </c>
      <c r="B227" s="607" t="s">
        <v>206</v>
      </c>
      <c r="C227" s="607">
        <v>5.2246090000000001</v>
      </c>
      <c r="D227" s="607">
        <v>6.787407</v>
      </c>
      <c r="E227" s="607">
        <v>6.3839420000000002</v>
      </c>
      <c r="F227" s="607">
        <v>6.7740220000000004</v>
      </c>
      <c r="G227" s="607">
        <v>6.7392510000000003</v>
      </c>
      <c r="H227" s="607">
        <v>5.0635000000000003</v>
      </c>
      <c r="I227" s="607">
        <v>5.0251919999999997</v>
      </c>
      <c r="J227" s="607">
        <v>4.3681130000000001</v>
      </c>
      <c r="K227" s="607">
        <v>0</v>
      </c>
      <c r="L227" s="607">
        <v>3.46312</v>
      </c>
      <c r="M227" s="607">
        <v>5.1871850000000004</v>
      </c>
      <c r="N227" s="607">
        <v>6.0320689999999999</v>
      </c>
      <c r="O227" s="607">
        <v>0</v>
      </c>
      <c r="P227" s="607">
        <v>6.6866079999999997</v>
      </c>
      <c r="Q227" s="607">
        <v>6.676158</v>
      </c>
      <c r="R227" s="607">
        <v>5.2726350000000002</v>
      </c>
      <c r="S227" s="607">
        <v>6.0036430000000003</v>
      </c>
      <c r="T227" s="607">
        <v>6.3161899999999997</v>
      </c>
      <c r="U227" s="607">
        <v>4.619491</v>
      </c>
      <c r="V227" s="607">
        <v>4.8943880000000002</v>
      </c>
      <c r="W227" s="607">
        <v>4.0378889999999998</v>
      </c>
      <c r="X227" s="607">
        <v>5.0574180000000002</v>
      </c>
      <c r="Y227" s="607">
        <v>6.8291539999999999</v>
      </c>
      <c r="Z227" s="607">
        <v>4.3873110000000004</v>
      </c>
      <c r="AA227" s="607">
        <v>5.3833169999999999</v>
      </c>
      <c r="AB227" s="607">
        <v>4.4319629999999997</v>
      </c>
      <c r="AC227" s="607">
        <v>6.3258789999999996</v>
      </c>
      <c r="AD227" s="607">
        <v>6.905716</v>
      </c>
      <c r="AE227" s="607">
        <v>4.8936849999999996</v>
      </c>
      <c r="AF227" s="607">
        <v>0</v>
      </c>
      <c r="AG227" s="607">
        <v>6.8301509999999999</v>
      </c>
      <c r="AH227" s="607">
        <v>5.0773700000000002</v>
      </c>
      <c r="AI227" s="607">
        <v>4.4016729999999997</v>
      </c>
      <c r="AJ227" s="607">
        <v>6.5605450000000003</v>
      </c>
      <c r="AK227" s="607">
        <v>5.5233489999999996</v>
      </c>
      <c r="AL227" s="607">
        <v>4.310295</v>
      </c>
      <c r="AM227" s="607">
        <v>4.3163729999999996</v>
      </c>
      <c r="AN227" s="607">
        <v>7.1150539999999998</v>
      </c>
      <c r="AO227" s="607">
        <v>5.252256</v>
      </c>
      <c r="AP227" s="607">
        <v>4.8930569999999998</v>
      </c>
      <c r="AQ227" s="607">
        <v>4.8034169999999996</v>
      </c>
      <c r="AR227" s="607">
        <v>6.3454420000000002</v>
      </c>
      <c r="AS227" s="607">
        <v>6.715865</v>
      </c>
      <c r="AT227" s="607">
        <v>4.8928130000000003</v>
      </c>
      <c r="AU227" s="607">
        <v>5.3535849999999998</v>
      </c>
      <c r="AV227" s="607">
        <v>6.398898</v>
      </c>
      <c r="AW227" s="607">
        <v>5.7293190000000003</v>
      </c>
      <c r="AX227" s="607">
        <v>5.3712109999999997</v>
      </c>
      <c r="AY227" s="607">
        <v>5.2844420000000003</v>
      </c>
      <c r="AZ227" s="607">
        <v>5.8915459999999999</v>
      </c>
      <c r="BA227" s="607">
        <v>6.1053819999999996</v>
      </c>
      <c r="BB227" s="607">
        <v>4.5631389999999996</v>
      </c>
      <c r="BC227" s="607">
        <v>4.8018349999999996</v>
      </c>
      <c r="BD227" s="607">
        <v>4.6475119999999999</v>
      </c>
      <c r="BE227" s="607">
        <v>4.9959980000000002</v>
      </c>
      <c r="BF227" s="607">
        <v>5.4137639999999996</v>
      </c>
      <c r="BG227" s="607">
        <v>5.6094369999999998</v>
      </c>
      <c r="BH227" s="607">
        <v>5.3076489999999996</v>
      </c>
      <c r="BI227" s="607">
        <v>5.5053879999999999</v>
      </c>
      <c r="BJ227" s="607">
        <v>5.8400569999999998</v>
      </c>
      <c r="BK227" s="607">
        <v>5.1457369999999996</v>
      </c>
      <c r="BL227" s="215">
        <f t="shared" si="12"/>
        <v>3</v>
      </c>
      <c r="BM227" s="215">
        <f t="shared" si="13"/>
        <v>5.4960761034482752</v>
      </c>
      <c r="BN227" s="215">
        <f t="shared" si="14"/>
        <v>7.1150539999999998</v>
      </c>
      <c r="BO227" s="215">
        <f t="array" ref="BO227">MIN(IF($C227:$BK227&gt;0, $C227:$BK227))</f>
        <v>3.46312</v>
      </c>
      <c r="BP227" s="215">
        <f t="shared" si="15"/>
        <v>5.2844420000000003</v>
      </c>
    </row>
    <row r="228" spans="1:68" s="215" customFormat="1" x14ac:dyDescent="0.25">
      <c r="A228" s="606" t="s">
        <v>735</v>
      </c>
      <c r="B228" s="607" t="s">
        <v>736</v>
      </c>
      <c r="C228" s="607">
        <v>5.0428129999999998</v>
      </c>
      <c r="D228" s="607">
        <v>0</v>
      </c>
      <c r="E228" s="607">
        <v>6.0861869999999998</v>
      </c>
      <c r="F228" s="607">
        <v>5.8015499999999998</v>
      </c>
      <c r="G228" s="607">
        <v>7.7489400000000002</v>
      </c>
      <c r="H228" s="607">
        <v>3.75305</v>
      </c>
      <c r="I228" s="607">
        <v>4.1677020000000002</v>
      </c>
      <c r="J228" s="607">
        <v>5.1214199999999996</v>
      </c>
      <c r="K228" s="607">
        <v>0</v>
      </c>
      <c r="L228" s="607">
        <v>7.6763310000000002</v>
      </c>
      <c r="M228" s="607">
        <v>6.2761680000000002</v>
      </c>
      <c r="N228" s="607">
        <v>5.2198219999999997</v>
      </c>
      <c r="O228" s="607">
        <v>0</v>
      </c>
      <c r="P228" s="607">
        <v>6.8463200000000004</v>
      </c>
      <c r="Q228" s="607">
        <v>9.6057129999999997</v>
      </c>
      <c r="R228" s="607">
        <v>3.9047109999999998</v>
      </c>
      <c r="S228" s="607">
        <v>5.5776700000000003</v>
      </c>
      <c r="T228" s="607">
        <v>6.409389</v>
      </c>
      <c r="U228" s="607">
        <v>6.2625310000000001</v>
      </c>
      <c r="V228" s="607">
        <v>4.6517799999999996</v>
      </c>
      <c r="W228" s="607">
        <v>4.1189359999999997</v>
      </c>
      <c r="X228" s="607">
        <v>0</v>
      </c>
      <c r="Y228" s="607">
        <v>6.0351429999999997</v>
      </c>
      <c r="Z228" s="607">
        <v>5.0233410000000003</v>
      </c>
      <c r="AA228" s="607">
        <v>4.6890530000000004</v>
      </c>
      <c r="AB228" s="607">
        <v>7.572184</v>
      </c>
      <c r="AC228" s="607">
        <v>4.4594459999999998</v>
      </c>
      <c r="AD228" s="607">
        <v>9.2319060000000004</v>
      </c>
      <c r="AE228" s="607">
        <v>5.2924740000000003</v>
      </c>
      <c r="AF228" s="607">
        <v>0</v>
      </c>
      <c r="AG228" s="607">
        <v>6.8752890000000004</v>
      </c>
      <c r="AH228" s="607">
        <v>2.5100910000000001</v>
      </c>
      <c r="AI228" s="607">
        <v>2.5081889999999998</v>
      </c>
      <c r="AJ228" s="607">
        <v>11.49071</v>
      </c>
      <c r="AK228" s="607">
        <v>8.0603610000000003</v>
      </c>
      <c r="AL228" s="607">
        <v>5.0857809999999999</v>
      </c>
      <c r="AM228" s="607">
        <v>5.3276849999999998</v>
      </c>
      <c r="AN228" s="607">
        <v>4.5903219999999996</v>
      </c>
      <c r="AO228" s="607">
        <v>5.1712889999999998</v>
      </c>
      <c r="AP228" s="607">
        <v>5.4075300000000004</v>
      </c>
      <c r="AQ228" s="607">
        <v>0</v>
      </c>
      <c r="AR228" s="607">
        <v>5.8074880000000002</v>
      </c>
      <c r="AS228" s="607">
        <v>7.1109859999999996</v>
      </c>
      <c r="AT228" s="607">
        <v>5.383648</v>
      </c>
      <c r="AU228" s="607">
        <v>5.336093</v>
      </c>
      <c r="AV228" s="607">
        <v>4.7966179999999996</v>
      </c>
      <c r="AW228" s="607">
        <v>5.1140569999999999</v>
      </c>
      <c r="AX228" s="607">
        <v>4.4252070000000003</v>
      </c>
      <c r="AY228" s="607">
        <v>4.993957</v>
      </c>
      <c r="AZ228" s="607">
        <v>5.5542949999999998</v>
      </c>
      <c r="BA228" s="607">
        <v>6.7700199999999997</v>
      </c>
      <c r="BB228" s="607">
        <v>7.1021229999999997</v>
      </c>
      <c r="BC228" s="607">
        <v>5.1718140000000004</v>
      </c>
      <c r="BD228" s="607">
        <v>5.1297969999999999</v>
      </c>
      <c r="BE228" s="607">
        <v>4.7238490000000004</v>
      </c>
      <c r="BF228" s="607">
        <v>6.260421</v>
      </c>
      <c r="BG228" s="607">
        <v>5.7806189999999997</v>
      </c>
      <c r="BH228" s="607">
        <v>5.5550189999999997</v>
      </c>
      <c r="BI228" s="607">
        <v>5.1509270000000003</v>
      </c>
      <c r="BJ228" s="607">
        <v>4.7861900000000004</v>
      </c>
      <c r="BK228" s="607">
        <v>3.8959299999999999</v>
      </c>
      <c r="BL228" s="215">
        <f t="shared" si="12"/>
        <v>6</v>
      </c>
      <c r="BM228" s="215">
        <f t="shared" si="13"/>
        <v>5.6809251818181821</v>
      </c>
      <c r="BN228" s="215">
        <f t="shared" si="14"/>
        <v>11.49071</v>
      </c>
      <c r="BO228" s="215">
        <f t="array" ref="BO228">MIN(IF($C228:$BK228&gt;0, $C228:$BK228))</f>
        <v>2.5081889999999998</v>
      </c>
      <c r="BP228" s="215">
        <f t="shared" si="15"/>
        <v>5.1718140000000004</v>
      </c>
    </row>
    <row r="229" spans="1:68" x14ac:dyDescent="0.25">
      <c r="A229" s="306">
        <v>334111</v>
      </c>
      <c r="B229" s="307" t="s">
        <v>209</v>
      </c>
      <c r="C229" s="307">
        <v>0.98428570000000004</v>
      </c>
      <c r="D229" s="307">
        <v>0</v>
      </c>
      <c r="E229" s="307">
        <v>1.972121</v>
      </c>
      <c r="F229" s="307">
        <v>0</v>
      </c>
      <c r="G229" s="307">
        <v>1.4684550000000001</v>
      </c>
      <c r="H229" s="307">
        <v>0.86703989999999997</v>
      </c>
      <c r="I229" s="307">
        <v>0.99937540000000002</v>
      </c>
      <c r="J229" s="307">
        <v>1.6117300000000001</v>
      </c>
      <c r="K229" s="307">
        <v>0.16543189999999999</v>
      </c>
      <c r="L229" s="307">
        <v>0</v>
      </c>
      <c r="M229" s="307">
        <v>2.0497960000000002</v>
      </c>
      <c r="N229" s="307">
        <v>1.51457</v>
      </c>
      <c r="O229" s="307">
        <v>2.2118250000000002</v>
      </c>
      <c r="P229" s="307">
        <v>1.444742</v>
      </c>
      <c r="Q229" s="307">
        <v>2.466494</v>
      </c>
      <c r="R229" s="307">
        <v>1.4199850000000001</v>
      </c>
      <c r="S229" s="307">
        <v>2.4391099999999999</v>
      </c>
      <c r="T229" s="307">
        <v>0.93058260000000004</v>
      </c>
      <c r="U229" s="307">
        <v>2.3039999999999998</v>
      </c>
      <c r="V229" s="307">
        <v>2.4342899999999998</v>
      </c>
      <c r="W229" s="307">
        <v>0.77068749999999997</v>
      </c>
      <c r="X229" s="307">
        <v>0.82146759999999996</v>
      </c>
      <c r="Y229" s="307">
        <v>0</v>
      </c>
      <c r="Z229" s="307">
        <v>1.558624</v>
      </c>
      <c r="AA229" s="307">
        <v>1.139321</v>
      </c>
      <c r="AB229" s="307">
        <v>1.6705129999999999</v>
      </c>
      <c r="AC229" s="307">
        <v>2.0220739999999999</v>
      </c>
      <c r="AD229" s="307">
        <v>2.274756</v>
      </c>
      <c r="AE229" s="307">
        <v>1.7065319999999999</v>
      </c>
      <c r="AF229" s="307">
        <v>1.2407570000000001</v>
      </c>
      <c r="AG229" s="307">
        <v>0</v>
      </c>
      <c r="AH229" s="307">
        <v>0.80966859999999996</v>
      </c>
      <c r="AI229" s="307">
        <v>1.28939</v>
      </c>
      <c r="AJ229" s="307">
        <v>1.3579190000000001</v>
      </c>
      <c r="AK229" s="307">
        <v>2.2449870000000001</v>
      </c>
      <c r="AL229" s="307">
        <v>0.78731490000000004</v>
      </c>
      <c r="AM229" s="307">
        <v>2.4576739999999999</v>
      </c>
      <c r="AN229" s="307">
        <v>0.89459909999999998</v>
      </c>
      <c r="AO229" s="307">
        <v>1.281064</v>
      </c>
      <c r="AP229" s="307">
        <v>1.1591940000000001</v>
      </c>
      <c r="AQ229" s="307">
        <v>0</v>
      </c>
      <c r="AR229" s="307">
        <v>1.8974690000000001</v>
      </c>
      <c r="AS229" s="307">
        <v>0</v>
      </c>
      <c r="AT229" s="307">
        <v>2.1382720000000002</v>
      </c>
      <c r="AU229" s="307">
        <v>0.86617670000000002</v>
      </c>
      <c r="AV229" s="307">
        <v>1.412094</v>
      </c>
      <c r="AW229" s="307">
        <v>1.463662</v>
      </c>
      <c r="AX229" s="307">
        <v>0</v>
      </c>
      <c r="AY229" s="307">
        <v>1.066306</v>
      </c>
      <c r="AZ229" s="307">
        <v>1.4901869999999999</v>
      </c>
      <c r="BA229" s="307">
        <v>0</v>
      </c>
      <c r="BB229" s="307">
        <v>0</v>
      </c>
      <c r="BC229" s="307">
        <v>0.89612210000000003</v>
      </c>
      <c r="BD229" s="307">
        <v>0.87795730000000005</v>
      </c>
      <c r="BE229" s="307">
        <v>1.763228</v>
      </c>
      <c r="BF229" s="307">
        <v>1.17492</v>
      </c>
      <c r="BG229" s="307">
        <v>1.7952840000000001</v>
      </c>
      <c r="BH229" s="307">
        <v>2.057588</v>
      </c>
      <c r="BI229" s="307">
        <v>0.86700849999999996</v>
      </c>
      <c r="BJ229" s="307">
        <v>1.294991</v>
      </c>
      <c r="BK229" s="307">
        <v>0.88212009999999996</v>
      </c>
      <c r="BL229">
        <f t="shared" si="12"/>
        <v>10</v>
      </c>
      <c r="BM229">
        <f t="shared" si="13"/>
        <v>1.4649757235294116</v>
      </c>
      <c r="BN229">
        <f t="shared" si="14"/>
        <v>2.466494</v>
      </c>
      <c r="BO229">
        <f t="array" ref="BO229">MIN(IF($C229:$BK229&gt;0, $C229:$BK229))</f>
        <v>0.16543189999999999</v>
      </c>
      <c r="BP229">
        <f t="shared" si="15"/>
        <v>1.281064</v>
      </c>
    </row>
    <row r="230" spans="1:68" x14ac:dyDescent="0.25">
      <c r="A230" s="306">
        <v>334112</v>
      </c>
      <c r="B230" s="307" t="s">
        <v>210</v>
      </c>
      <c r="C230" s="307">
        <v>2.1079910000000002</v>
      </c>
      <c r="D230" s="307">
        <v>0</v>
      </c>
      <c r="E230" s="307">
        <v>3.815712</v>
      </c>
      <c r="F230" s="307">
        <v>0</v>
      </c>
      <c r="G230" s="307">
        <v>2.2882039999999999</v>
      </c>
      <c r="H230" s="307">
        <v>1.9842089999999999</v>
      </c>
      <c r="I230" s="307">
        <v>2.0119549999999999</v>
      </c>
      <c r="J230" s="307">
        <v>2.9724179999999998</v>
      </c>
      <c r="K230" s="307">
        <v>0</v>
      </c>
      <c r="L230" s="307">
        <v>0</v>
      </c>
      <c r="M230" s="307">
        <v>4.1078489999999999</v>
      </c>
      <c r="N230" s="307">
        <v>2.4360889999999999</v>
      </c>
      <c r="O230" s="307">
        <v>0</v>
      </c>
      <c r="P230" s="307">
        <v>6.8469670000000002</v>
      </c>
      <c r="Q230" s="307">
        <v>1.6167830000000001</v>
      </c>
      <c r="R230" s="307">
        <v>2.1662979999999998</v>
      </c>
      <c r="S230" s="307">
        <v>0</v>
      </c>
      <c r="T230" s="307">
        <v>5.4279270000000004</v>
      </c>
      <c r="U230" s="307">
        <v>0</v>
      </c>
      <c r="V230" s="307">
        <v>0</v>
      </c>
      <c r="W230" s="307">
        <v>1.590686</v>
      </c>
      <c r="X230" s="307">
        <v>2.7496269999999998</v>
      </c>
      <c r="Y230" s="307">
        <v>0</v>
      </c>
      <c r="Z230" s="307">
        <v>1.652488</v>
      </c>
      <c r="AA230" s="307">
        <v>2.4834390000000002</v>
      </c>
      <c r="AB230" s="307">
        <v>0</v>
      </c>
      <c r="AC230" s="307">
        <v>0</v>
      </c>
      <c r="AD230" s="307">
        <v>0</v>
      </c>
      <c r="AE230" s="307">
        <v>0</v>
      </c>
      <c r="AF230" s="307">
        <v>0</v>
      </c>
      <c r="AG230" s="307">
        <v>0</v>
      </c>
      <c r="AH230" s="307">
        <v>1.019865</v>
      </c>
      <c r="AI230" s="307">
        <v>2.9375640000000001</v>
      </c>
      <c r="AJ230" s="307">
        <v>0</v>
      </c>
      <c r="AK230" s="307">
        <v>0</v>
      </c>
      <c r="AL230" s="307">
        <v>3.8574600000000001</v>
      </c>
      <c r="AM230" s="307">
        <v>0</v>
      </c>
      <c r="AN230" s="307">
        <v>3.6084420000000001</v>
      </c>
      <c r="AO230" s="307">
        <v>0</v>
      </c>
      <c r="AP230" s="307">
        <v>2.886819</v>
      </c>
      <c r="AQ230" s="307">
        <v>0</v>
      </c>
      <c r="AR230" s="307">
        <v>0</v>
      </c>
      <c r="AS230" s="307">
        <v>3.1479520000000001</v>
      </c>
      <c r="AT230" s="307">
        <v>5.3221509999999999</v>
      </c>
      <c r="AU230" s="307">
        <v>1.4571670000000001</v>
      </c>
      <c r="AV230" s="307">
        <v>1.883456</v>
      </c>
      <c r="AW230" s="307">
        <v>4.1322210000000004</v>
      </c>
      <c r="AX230" s="307">
        <v>0</v>
      </c>
      <c r="AY230" s="307">
        <v>2.123157</v>
      </c>
      <c r="AZ230" s="307">
        <v>4.5824389999999999</v>
      </c>
      <c r="BA230" s="307">
        <v>0</v>
      </c>
      <c r="BB230" s="307">
        <v>0</v>
      </c>
      <c r="BC230" s="307">
        <v>1.783579</v>
      </c>
      <c r="BD230" s="307">
        <v>3.7678310000000002</v>
      </c>
      <c r="BE230" s="307">
        <v>4.2196230000000003</v>
      </c>
      <c r="BF230" s="307">
        <v>2.6282800000000002</v>
      </c>
      <c r="BG230" s="307">
        <v>2.7604869999999999</v>
      </c>
      <c r="BH230" s="307">
        <v>3.9597359999999999</v>
      </c>
      <c r="BI230" s="307">
        <v>2.8691010000000001</v>
      </c>
      <c r="BJ230" s="307">
        <v>1.773228</v>
      </c>
      <c r="BK230" s="307">
        <v>1.99804</v>
      </c>
      <c r="BL230">
        <f t="shared" si="12"/>
        <v>24</v>
      </c>
      <c r="BM230">
        <f t="shared" si="13"/>
        <v>2.9453308108108116</v>
      </c>
      <c r="BN230">
        <f t="shared" si="14"/>
        <v>6.8469670000000002</v>
      </c>
      <c r="BO230">
        <f t="array" ref="BO230">MIN(IF($C230:$BK230&gt;0, $C230:$BK230))</f>
        <v>1.019865</v>
      </c>
      <c r="BP230">
        <f t="shared" si="15"/>
        <v>1.783579</v>
      </c>
    </row>
    <row r="231" spans="1:68" x14ac:dyDescent="0.25">
      <c r="A231" s="306" t="s">
        <v>737</v>
      </c>
      <c r="B231" s="307" t="s">
        <v>211</v>
      </c>
      <c r="C231" s="307">
        <v>2.6934589999999998</v>
      </c>
      <c r="D231" s="307">
        <v>0</v>
      </c>
      <c r="E231" s="307">
        <v>2.8453110000000001</v>
      </c>
      <c r="F231" s="307">
        <v>5.2915679999999998</v>
      </c>
      <c r="G231" s="307">
        <v>2.7782480000000001</v>
      </c>
      <c r="H231" s="307">
        <v>2.325485</v>
      </c>
      <c r="I231" s="307">
        <v>2.8440530000000002</v>
      </c>
      <c r="J231" s="307">
        <v>3.1065010000000002</v>
      </c>
      <c r="K231" s="307">
        <v>0.75570760000000003</v>
      </c>
      <c r="L231" s="307">
        <v>3.3373170000000001</v>
      </c>
      <c r="M231" s="307">
        <v>3.3107600000000001</v>
      </c>
      <c r="N231" s="307">
        <v>2.9853900000000002</v>
      </c>
      <c r="O231" s="307">
        <v>0</v>
      </c>
      <c r="P231" s="307">
        <v>5.3402430000000001</v>
      </c>
      <c r="Q231" s="307">
        <v>4.5015219999999996</v>
      </c>
      <c r="R231" s="307">
        <v>2.759849</v>
      </c>
      <c r="S231" s="307">
        <v>5.3076699999999999</v>
      </c>
      <c r="T231" s="307">
        <v>3.6991869999999998</v>
      </c>
      <c r="U231" s="307">
        <v>2.3590200000000001</v>
      </c>
      <c r="V231" s="307">
        <v>3.7547389999999998</v>
      </c>
      <c r="W231" s="307">
        <v>2.1281029999999999</v>
      </c>
      <c r="X231" s="307">
        <v>2.5747249999999999</v>
      </c>
      <c r="Y231" s="307">
        <v>0</v>
      </c>
      <c r="Z231" s="307">
        <v>3.207649</v>
      </c>
      <c r="AA231" s="307">
        <v>3.0628299999999999</v>
      </c>
      <c r="AB231" s="307">
        <v>4.8338380000000001</v>
      </c>
      <c r="AC231" s="307">
        <v>5.0585889999999996</v>
      </c>
      <c r="AD231" s="307">
        <v>4.9497619999999998</v>
      </c>
      <c r="AE231" s="307">
        <v>2.3052190000000001</v>
      </c>
      <c r="AF231" s="307">
        <v>3.0700620000000001</v>
      </c>
      <c r="AG231" s="307">
        <v>3.1011039999999999</v>
      </c>
      <c r="AH231" s="307">
        <v>2.5419689999999999</v>
      </c>
      <c r="AI231" s="307">
        <v>2.1009760000000002</v>
      </c>
      <c r="AJ231" s="307">
        <v>2.436401</v>
      </c>
      <c r="AK231" s="307">
        <v>4.3611510000000004</v>
      </c>
      <c r="AL231" s="307">
        <v>2.286762</v>
      </c>
      <c r="AM231" s="307">
        <v>3.7719580000000001</v>
      </c>
      <c r="AN231" s="307">
        <v>3.4538850000000001</v>
      </c>
      <c r="AO231" s="307">
        <v>3.3610790000000001</v>
      </c>
      <c r="AP231" s="307">
        <v>3.3099820000000002</v>
      </c>
      <c r="AQ231" s="307">
        <v>3.0852689999999998</v>
      </c>
      <c r="AR231" s="307">
        <v>4.1854009999999997</v>
      </c>
      <c r="AS231" s="307">
        <v>3.556209</v>
      </c>
      <c r="AT231" s="307">
        <v>3.1001029999999998</v>
      </c>
      <c r="AU231" s="307">
        <v>2.9959479999999998</v>
      </c>
      <c r="AV231" s="307">
        <v>3.3525209999999999</v>
      </c>
      <c r="AW231" s="307">
        <v>3.5257700000000001</v>
      </c>
      <c r="AX231" s="307">
        <v>3.4129369999999999</v>
      </c>
      <c r="AY231" s="307">
        <v>2.7379880000000001</v>
      </c>
      <c r="AZ231" s="307">
        <v>3.527501</v>
      </c>
      <c r="BA231" s="307">
        <v>0</v>
      </c>
      <c r="BB231" s="307">
        <v>5.4650290000000004</v>
      </c>
      <c r="BC231" s="307">
        <v>2.6934930000000001</v>
      </c>
      <c r="BD231" s="307">
        <v>2.6238779999999999</v>
      </c>
      <c r="BE231" s="307">
        <v>3.1968540000000001</v>
      </c>
      <c r="BF231" s="307">
        <v>3.1320920000000001</v>
      </c>
      <c r="BG231" s="307">
        <v>2.510122</v>
      </c>
      <c r="BH231" s="307">
        <v>2.5763050000000001</v>
      </c>
      <c r="BI231" s="307">
        <v>3.0744370000000001</v>
      </c>
      <c r="BJ231" s="307">
        <v>3.047825</v>
      </c>
      <c r="BK231" s="307">
        <v>2.504483</v>
      </c>
      <c r="BL231">
        <f t="shared" si="12"/>
        <v>4</v>
      </c>
      <c r="BM231">
        <f t="shared" si="13"/>
        <v>3.266951554385964</v>
      </c>
      <c r="BN231">
        <f t="shared" si="14"/>
        <v>5.4650290000000004</v>
      </c>
      <c r="BO231">
        <f t="array" ref="BO231">MIN(IF($C231:$BK231&gt;0, $C231:$BK231))</f>
        <v>0.75570760000000003</v>
      </c>
      <c r="BP231">
        <f t="shared" si="15"/>
        <v>3.0744370000000001</v>
      </c>
    </row>
    <row r="232" spans="1:68" x14ac:dyDescent="0.25">
      <c r="A232" s="306">
        <v>334210</v>
      </c>
      <c r="B232" s="307" t="s">
        <v>212</v>
      </c>
      <c r="C232" s="307">
        <v>1.660042</v>
      </c>
      <c r="D232" s="307">
        <v>0</v>
      </c>
      <c r="E232" s="307">
        <v>2.5882990000000001</v>
      </c>
      <c r="F232" s="307">
        <v>2.4309940000000001</v>
      </c>
      <c r="G232" s="307">
        <v>2.931454</v>
      </c>
      <c r="H232" s="307">
        <v>1.307056</v>
      </c>
      <c r="I232" s="307">
        <v>1.362255</v>
      </c>
      <c r="J232" s="307">
        <v>1.7925390000000001</v>
      </c>
      <c r="K232" s="307">
        <v>0.201428</v>
      </c>
      <c r="L232" s="307">
        <v>0.81870810000000005</v>
      </c>
      <c r="M232" s="307">
        <v>2.4019249999999999</v>
      </c>
      <c r="N232" s="307">
        <v>2.4967199999999998</v>
      </c>
      <c r="O232" s="307">
        <v>0</v>
      </c>
      <c r="P232" s="307">
        <v>0</v>
      </c>
      <c r="Q232" s="307">
        <v>1.706202</v>
      </c>
      <c r="R232" s="307">
        <v>1.6213789999999999</v>
      </c>
      <c r="S232" s="307">
        <v>0</v>
      </c>
      <c r="T232" s="307">
        <v>2.040251</v>
      </c>
      <c r="U232" s="307">
        <v>3.2914599999999998</v>
      </c>
      <c r="V232" s="307">
        <v>3.3933219999999999</v>
      </c>
      <c r="W232" s="307">
        <v>1.196256</v>
      </c>
      <c r="X232" s="307">
        <v>1.431659</v>
      </c>
      <c r="Y232" s="307">
        <v>0</v>
      </c>
      <c r="Z232" s="307">
        <v>2.1454610000000001</v>
      </c>
      <c r="AA232" s="307">
        <v>2.1831700000000001</v>
      </c>
      <c r="AB232" s="307">
        <v>3.1376249999999999</v>
      </c>
      <c r="AC232" s="307">
        <v>3.2403499999999998</v>
      </c>
      <c r="AD232" s="307">
        <v>0</v>
      </c>
      <c r="AE232" s="307">
        <v>1.483468</v>
      </c>
      <c r="AF232" s="307">
        <v>0</v>
      </c>
      <c r="AG232" s="307">
        <v>2.7051479999999999</v>
      </c>
      <c r="AH232" s="307">
        <v>1.183341</v>
      </c>
      <c r="AI232" s="307">
        <v>1.6646080000000001</v>
      </c>
      <c r="AJ232" s="307">
        <v>3.4536470000000001</v>
      </c>
      <c r="AK232" s="307">
        <v>3.1293829999999998</v>
      </c>
      <c r="AL232" s="307">
        <v>2.5812219999999999</v>
      </c>
      <c r="AM232" s="307">
        <v>1.7464170000000001</v>
      </c>
      <c r="AN232" s="307">
        <v>2.8472119999999999</v>
      </c>
      <c r="AO232" s="307">
        <v>2.1116470000000001</v>
      </c>
      <c r="AP232" s="307">
        <v>2.3337910000000002</v>
      </c>
      <c r="AQ232" s="307">
        <v>2.9742829999999998</v>
      </c>
      <c r="AR232" s="307">
        <v>2.6121249999999998</v>
      </c>
      <c r="AS232" s="307">
        <v>0</v>
      </c>
      <c r="AT232" s="307">
        <v>1.9681949999999999</v>
      </c>
      <c r="AU232" s="307">
        <v>1.3831899999999999</v>
      </c>
      <c r="AV232" s="307">
        <v>2.7722500000000001</v>
      </c>
      <c r="AW232" s="307">
        <v>1.6386940000000001</v>
      </c>
      <c r="AX232" s="307">
        <v>0</v>
      </c>
      <c r="AY232" s="307">
        <v>1.4252819999999999</v>
      </c>
      <c r="AZ232" s="307">
        <v>2.136244</v>
      </c>
      <c r="BA232" s="307">
        <v>0</v>
      </c>
      <c r="BB232" s="307">
        <v>0</v>
      </c>
      <c r="BC232" s="307">
        <v>1.418669</v>
      </c>
      <c r="BD232" s="307">
        <v>2.3268689999999999</v>
      </c>
      <c r="BE232" s="307">
        <v>1.7314959999999999</v>
      </c>
      <c r="BF232" s="307">
        <v>2.422161</v>
      </c>
      <c r="BG232" s="307">
        <v>1.7967770000000001</v>
      </c>
      <c r="BH232" s="307">
        <v>2.4825560000000002</v>
      </c>
      <c r="BI232" s="307">
        <v>1.4775480000000001</v>
      </c>
      <c r="BJ232" s="307">
        <v>1.4309259999999999</v>
      </c>
      <c r="BK232" s="307">
        <v>1.3250649999999999</v>
      </c>
      <c r="BL232">
        <f t="shared" si="12"/>
        <v>11</v>
      </c>
      <c r="BM232">
        <f t="shared" si="13"/>
        <v>2.0788153820000002</v>
      </c>
      <c r="BN232">
        <f t="shared" si="14"/>
        <v>3.4536470000000001</v>
      </c>
      <c r="BO232">
        <f t="array" ref="BO232">MIN(IF($C232:$BK232&gt;0, $C232:$BK232))</f>
        <v>0.201428</v>
      </c>
      <c r="BP232">
        <f t="shared" si="15"/>
        <v>1.7314959999999999</v>
      </c>
    </row>
    <row r="233" spans="1:68" x14ac:dyDescent="0.25">
      <c r="A233" s="306">
        <v>334220</v>
      </c>
      <c r="B233" s="307" t="s">
        <v>738</v>
      </c>
      <c r="C233" s="307">
        <v>2.3014070000000002</v>
      </c>
      <c r="D233" s="307">
        <v>0</v>
      </c>
      <c r="E233" s="307">
        <v>4.3148090000000003</v>
      </c>
      <c r="F233" s="307">
        <v>4.3195730000000001</v>
      </c>
      <c r="G233" s="307">
        <v>2.6313240000000002</v>
      </c>
      <c r="H233" s="307">
        <v>2.1164260000000001</v>
      </c>
      <c r="I233" s="307">
        <v>2.3404430000000001</v>
      </c>
      <c r="J233" s="307">
        <v>2.4453819999999999</v>
      </c>
      <c r="K233" s="307">
        <v>0.33940979999999998</v>
      </c>
      <c r="L233" s="307">
        <v>0</v>
      </c>
      <c r="M233" s="307">
        <v>2.0294789999999998</v>
      </c>
      <c r="N233" s="307">
        <v>1.885723</v>
      </c>
      <c r="O233" s="307">
        <v>0</v>
      </c>
      <c r="P233" s="307">
        <v>4.3595259999999998</v>
      </c>
      <c r="Q233" s="307">
        <v>4.3812810000000004</v>
      </c>
      <c r="R233" s="307">
        <v>2.0108860000000002</v>
      </c>
      <c r="S233" s="307">
        <v>2.6135969999999999</v>
      </c>
      <c r="T233" s="307">
        <v>2.7051090000000002</v>
      </c>
      <c r="U233" s="307">
        <v>0</v>
      </c>
      <c r="V233" s="307">
        <v>2.1699290000000002</v>
      </c>
      <c r="W233" s="307">
        <v>1.9909289999999999</v>
      </c>
      <c r="X233" s="307">
        <v>1.809509</v>
      </c>
      <c r="Y233" s="307">
        <v>3.1721870000000001</v>
      </c>
      <c r="Z233" s="307">
        <v>4.3563460000000003</v>
      </c>
      <c r="AA233" s="307">
        <v>3.9053819999999999</v>
      </c>
      <c r="AB233" s="307">
        <v>3.9984769999999998</v>
      </c>
      <c r="AC233" s="307">
        <v>4.1295130000000002</v>
      </c>
      <c r="AD233" s="307">
        <v>3.3283130000000001</v>
      </c>
      <c r="AE233" s="307">
        <v>1.9128849999999999</v>
      </c>
      <c r="AF233" s="307">
        <v>3.8362250000000002</v>
      </c>
      <c r="AG233" s="307">
        <v>2.3366760000000002</v>
      </c>
      <c r="AH233" s="307">
        <v>1.833971</v>
      </c>
      <c r="AI233" s="307">
        <v>1.801863</v>
      </c>
      <c r="AJ233" s="307">
        <v>3.135303</v>
      </c>
      <c r="AK233" s="307">
        <v>3.4055369999999998</v>
      </c>
      <c r="AL233" s="307">
        <v>2.554786</v>
      </c>
      <c r="AM233" s="307">
        <v>3.045636</v>
      </c>
      <c r="AN233" s="307">
        <v>3.7553939999999999</v>
      </c>
      <c r="AO233" s="307">
        <v>4.1636119999999996</v>
      </c>
      <c r="AP233" s="307">
        <v>2.7759100000000001</v>
      </c>
      <c r="AQ233" s="307">
        <v>2.586694</v>
      </c>
      <c r="AR233" s="307">
        <v>3.676485</v>
      </c>
      <c r="AS233" s="307">
        <v>2.5891600000000001</v>
      </c>
      <c r="AT233" s="307">
        <v>3.3634729999999999</v>
      </c>
      <c r="AU233" s="307">
        <v>2.0860880000000002</v>
      </c>
      <c r="AV233" s="307">
        <v>3.689629</v>
      </c>
      <c r="AW233" s="307">
        <v>1.7362310000000001</v>
      </c>
      <c r="AX233" s="307">
        <v>3.0311400000000002</v>
      </c>
      <c r="AY233" s="307">
        <v>2.676164</v>
      </c>
      <c r="AZ233" s="307">
        <v>4.3114049999999997</v>
      </c>
      <c r="BA233" s="307">
        <v>0</v>
      </c>
      <c r="BB233" s="307">
        <v>0</v>
      </c>
      <c r="BC233" s="307">
        <v>2.4647679999999998</v>
      </c>
      <c r="BD233" s="307">
        <v>2.4701870000000001</v>
      </c>
      <c r="BE233" s="307">
        <v>2.4643009999999999</v>
      </c>
      <c r="BF233" s="307">
        <v>3.2756120000000002</v>
      </c>
      <c r="BG233" s="307">
        <v>1.964825</v>
      </c>
      <c r="BH233" s="307">
        <v>4.1205220000000002</v>
      </c>
      <c r="BI233" s="307">
        <v>2.1364480000000001</v>
      </c>
      <c r="BJ233" s="307">
        <v>2.9326859999999999</v>
      </c>
      <c r="BK233" s="307">
        <v>2.1368490000000002</v>
      </c>
      <c r="BL233">
        <f t="shared" si="12"/>
        <v>6</v>
      </c>
      <c r="BM233">
        <f t="shared" si="13"/>
        <v>2.8713713599999995</v>
      </c>
      <c r="BN233">
        <f t="shared" si="14"/>
        <v>4.3812810000000004</v>
      </c>
      <c r="BO233">
        <f t="array" ref="BO233">MIN(IF($C233:$BK233&gt;0, $C233:$BK233))</f>
        <v>0.33940979999999998</v>
      </c>
      <c r="BP233">
        <f t="shared" si="15"/>
        <v>2.586694</v>
      </c>
    </row>
    <row r="234" spans="1:68" x14ac:dyDescent="0.25">
      <c r="A234" s="306">
        <v>334290</v>
      </c>
      <c r="B234" s="307" t="s">
        <v>213</v>
      </c>
      <c r="C234" s="307">
        <v>3.3726440000000002</v>
      </c>
      <c r="D234" s="307">
        <v>2.9602919999999999</v>
      </c>
      <c r="E234" s="307">
        <v>5.5108389999999998</v>
      </c>
      <c r="F234" s="307">
        <v>0</v>
      </c>
      <c r="G234" s="307">
        <v>3.6372969999999998</v>
      </c>
      <c r="H234" s="307">
        <v>2.5316260000000002</v>
      </c>
      <c r="I234" s="307">
        <v>3.6586400000000001</v>
      </c>
      <c r="J234" s="307">
        <v>2.9968539999999999</v>
      </c>
      <c r="K234" s="307">
        <v>0</v>
      </c>
      <c r="L234" s="307">
        <v>0</v>
      </c>
      <c r="M234" s="307">
        <v>2.6841849999999998</v>
      </c>
      <c r="N234" s="307">
        <v>4.2391139999999998</v>
      </c>
      <c r="O234" s="307">
        <v>0</v>
      </c>
      <c r="P234" s="307">
        <v>5.5307089999999999</v>
      </c>
      <c r="Q234" s="307">
        <v>6.179386</v>
      </c>
      <c r="R234" s="307">
        <v>3.995498</v>
      </c>
      <c r="S234" s="307">
        <v>4.8388309999999999</v>
      </c>
      <c r="T234" s="307">
        <v>2.4842960000000001</v>
      </c>
      <c r="U234" s="307">
        <v>3.8713479999999998</v>
      </c>
      <c r="V234" s="307">
        <v>5.6251680000000004</v>
      </c>
      <c r="W234" s="307">
        <v>2.9902609999999998</v>
      </c>
      <c r="X234" s="307">
        <v>2.2792789999999998</v>
      </c>
      <c r="Y234" s="307">
        <v>6.0261370000000003</v>
      </c>
      <c r="Z234" s="307">
        <v>4.4855669999999996</v>
      </c>
      <c r="AA234" s="307">
        <v>3.5065119999999999</v>
      </c>
      <c r="AB234" s="307">
        <v>3.9204850000000002</v>
      </c>
      <c r="AC234" s="307">
        <v>5.8240290000000003</v>
      </c>
      <c r="AD234" s="307">
        <v>5.6990210000000001</v>
      </c>
      <c r="AE234" s="307">
        <v>5.1473779999999998</v>
      </c>
      <c r="AF234" s="307">
        <v>0</v>
      </c>
      <c r="AG234" s="307">
        <v>5.3414669999999997</v>
      </c>
      <c r="AH234" s="307">
        <v>2.6087220000000002</v>
      </c>
      <c r="AI234" s="307">
        <v>2.6749269999999998</v>
      </c>
      <c r="AJ234" s="307">
        <v>5.2580689999999999</v>
      </c>
      <c r="AK234" s="307">
        <v>4.9791689999999997</v>
      </c>
      <c r="AL234" s="307">
        <v>2.9027790000000002</v>
      </c>
      <c r="AM234" s="307">
        <v>4.0758619999999999</v>
      </c>
      <c r="AN234" s="307">
        <v>5.8951010000000004</v>
      </c>
      <c r="AO234" s="307">
        <v>4.3426119999999999</v>
      </c>
      <c r="AP234" s="307">
        <v>2.9330820000000002</v>
      </c>
      <c r="AQ234" s="307">
        <v>2.3297810000000001</v>
      </c>
      <c r="AR234" s="307">
        <v>4.7128180000000004</v>
      </c>
      <c r="AS234" s="307">
        <v>4.0943230000000002</v>
      </c>
      <c r="AT234" s="307">
        <v>2.4312260000000001</v>
      </c>
      <c r="AU234" s="307">
        <v>3.027193</v>
      </c>
      <c r="AV234" s="307">
        <v>4.415762</v>
      </c>
      <c r="AW234" s="307">
        <v>4.5756829999999997</v>
      </c>
      <c r="AX234" s="307">
        <v>0</v>
      </c>
      <c r="AY234" s="307">
        <v>3.8065150000000001</v>
      </c>
      <c r="AZ234" s="307">
        <v>3.6502560000000002</v>
      </c>
      <c r="BA234" s="307">
        <v>0</v>
      </c>
      <c r="BB234" s="307">
        <v>0</v>
      </c>
      <c r="BC234" s="307">
        <v>3.6348410000000002</v>
      </c>
      <c r="BD234" s="307">
        <v>3.0452240000000002</v>
      </c>
      <c r="BE234" s="307">
        <v>4.1318359999999998</v>
      </c>
      <c r="BF234" s="307">
        <v>4.2482300000000004</v>
      </c>
      <c r="BG234" s="307">
        <v>3.4120720000000002</v>
      </c>
      <c r="BH234" s="307">
        <v>4.0371410000000001</v>
      </c>
      <c r="BI234" s="307">
        <v>3.1778390000000001</v>
      </c>
      <c r="BJ234" s="307">
        <v>3.8760379999999999</v>
      </c>
      <c r="BK234" s="307">
        <v>2.7920400000000001</v>
      </c>
      <c r="BL234">
        <f t="shared" si="12"/>
        <v>8</v>
      </c>
      <c r="BM234">
        <f t="shared" si="13"/>
        <v>3.9699246037735847</v>
      </c>
      <c r="BN234">
        <f t="shared" si="14"/>
        <v>6.179386</v>
      </c>
      <c r="BO234">
        <f t="array" ref="BO234">MIN(IF($C234:$BK234&gt;0, $C234:$BK234))</f>
        <v>2.2792789999999998</v>
      </c>
      <c r="BP234">
        <f t="shared" si="15"/>
        <v>3.6502560000000002</v>
      </c>
    </row>
    <row r="235" spans="1:68" x14ac:dyDescent="0.25">
      <c r="A235" s="306">
        <v>334300</v>
      </c>
      <c r="B235" s="307" t="s">
        <v>214</v>
      </c>
      <c r="C235" s="307">
        <v>1.931489</v>
      </c>
      <c r="D235" s="307">
        <v>0</v>
      </c>
      <c r="E235" s="307">
        <v>2.0646990000000001</v>
      </c>
      <c r="F235" s="307">
        <v>3.5169009999999998</v>
      </c>
      <c r="G235" s="307">
        <v>2.6230169999999999</v>
      </c>
      <c r="H235" s="307">
        <v>1.5109570000000001</v>
      </c>
      <c r="I235" s="307">
        <v>2.1299630000000001</v>
      </c>
      <c r="J235" s="307">
        <v>1.984192</v>
      </c>
      <c r="K235" s="307">
        <v>0.22663040000000001</v>
      </c>
      <c r="L235" s="307">
        <v>1.533444</v>
      </c>
      <c r="M235" s="307">
        <v>2.7549630000000001</v>
      </c>
      <c r="N235" s="307">
        <v>2.1703839999999999</v>
      </c>
      <c r="O235" s="307">
        <v>0</v>
      </c>
      <c r="P235" s="307">
        <v>2.6899109999999999</v>
      </c>
      <c r="Q235" s="307">
        <v>3.879937</v>
      </c>
      <c r="R235" s="307">
        <v>1.596352</v>
      </c>
      <c r="S235" s="307">
        <v>2.6454529999999998</v>
      </c>
      <c r="T235" s="307">
        <v>2.0915349999999999</v>
      </c>
      <c r="U235" s="307">
        <v>3.0750980000000001</v>
      </c>
      <c r="V235" s="307">
        <v>2.698423</v>
      </c>
      <c r="W235" s="307">
        <v>1.2787980000000001</v>
      </c>
      <c r="X235" s="307">
        <v>1.6465050000000001</v>
      </c>
      <c r="Y235" s="307">
        <v>2.896407</v>
      </c>
      <c r="Z235" s="307">
        <v>2.8163999999999998</v>
      </c>
      <c r="AA235" s="307">
        <v>3.50448</v>
      </c>
      <c r="AB235" s="307">
        <v>2.999565</v>
      </c>
      <c r="AC235" s="307">
        <v>3.6569240000000001</v>
      </c>
      <c r="AD235" s="307">
        <v>0</v>
      </c>
      <c r="AE235" s="307">
        <v>2.5931980000000001</v>
      </c>
      <c r="AF235" s="307">
        <v>3.3352390000000001</v>
      </c>
      <c r="AG235" s="307">
        <v>2.9342760000000001</v>
      </c>
      <c r="AH235" s="307">
        <v>1.903211</v>
      </c>
      <c r="AI235" s="307">
        <v>1.351378</v>
      </c>
      <c r="AJ235" s="307">
        <v>2.7591320000000001</v>
      </c>
      <c r="AK235" s="307">
        <v>2.0965929999999999</v>
      </c>
      <c r="AL235" s="307">
        <v>1.5947169999999999</v>
      </c>
      <c r="AM235" s="307">
        <v>2.5274869999999998</v>
      </c>
      <c r="AN235" s="307">
        <v>2.853729</v>
      </c>
      <c r="AO235" s="307">
        <v>1.9530650000000001</v>
      </c>
      <c r="AP235" s="307">
        <v>2.1260880000000002</v>
      </c>
      <c r="AQ235" s="307">
        <v>1.991425</v>
      </c>
      <c r="AR235" s="307">
        <v>2.7982610000000001</v>
      </c>
      <c r="AS235" s="307">
        <v>0</v>
      </c>
      <c r="AT235" s="307">
        <v>1.909378</v>
      </c>
      <c r="AU235" s="307">
        <v>1.7841629999999999</v>
      </c>
      <c r="AV235" s="307">
        <v>2.2748349999999999</v>
      </c>
      <c r="AW235" s="307">
        <v>1.9953190000000001</v>
      </c>
      <c r="AX235" s="307">
        <v>3.8465639999999999</v>
      </c>
      <c r="AY235" s="307">
        <v>1.9411579999999999</v>
      </c>
      <c r="AZ235" s="307">
        <v>3.5742150000000001</v>
      </c>
      <c r="BA235" s="307">
        <v>1.241557</v>
      </c>
      <c r="BB235" s="307">
        <v>3.950631</v>
      </c>
      <c r="BC235" s="307">
        <v>1.5207109999999999</v>
      </c>
      <c r="BD235" s="307">
        <v>1.805382</v>
      </c>
      <c r="BE235" s="307">
        <v>2.15028</v>
      </c>
      <c r="BF235" s="307">
        <v>3.139151</v>
      </c>
      <c r="BG235" s="307">
        <v>2.464655</v>
      </c>
      <c r="BH235" s="307">
        <v>2.770632</v>
      </c>
      <c r="BI235" s="307">
        <v>2.5422699999999998</v>
      </c>
      <c r="BJ235" s="307">
        <v>2.4432109999999998</v>
      </c>
      <c r="BK235" s="307">
        <v>1.5538270000000001</v>
      </c>
      <c r="BL235">
        <f t="shared" si="12"/>
        <v>4</v>
      </c>
      <c r="BM235">
        <f t="shared" si="13"/>
        <v>2.3797923754385959</v>
      </c>
      <c r="BN235">
        <f t="shared" si="14"/>
        <v>3.950631</v>
      </c>
      <c r="BO235">
        <f t="array" ref="BO235">MIN(IF($C235:$BK235&gt;0, $C235:$BK235))</f>
        <v>0.22663040000000001</v>
      </c>
      <c r="BP235">
        <f t="shared" si="15"/>
        <v>2.15028</v>
      </c>
    </row>
    <row r="236" spans="1:68" x14ac:dyDescent="0.25">
      <c r="A236" s="306">
        <v>334411</v>
      </c>
      <c r="B236" s="307" t="s">
        <v>215</v>
      </c>
      <c r="C236" s="307">
        <v>2.2936730000000001</v>
      </c>
      <c r="D236" s="307">
        <v>0</v>
      </c>
      <c r="E236" s="307">
        <v>0</v>
      </c>
      <c r="F236" s="307">
        <v>0</v>
      </c>
      <c r="G236" s="307">
        <v>0</v>
      </c>
      <c r="H236" s="307">
        <v>1.8565480000000001</v>
      </c>
      <c r="I236" s="307">
        <v>2.2040489999999999</v>
      </c>
      <c r="J236" s="307">
        <v>0</v>
      </c>
      <c r="K236" s="307">
        <v>0</v>
      </c>
      <c r="L236" s="307">
        <v>0</v>
      </c>
      <c r="M236" s="307">
        <v>4.0716539999999997</v>
      </c>
      <c r="N236" s="307">
        <v>0</v>
      </c>
      <c r="O236" s="307">
        <v>0</v>
      </c>
      <c r="P236" s="307">
        <v>0</v>
      </c>
      <c r="Q236" s="307">
        <v>0</v>
      </c>
      <c r="R236" s="307">
        <v>5.4145690000000002</v>
      </c>
      <c r="S236" s="307">
        <v>0</v>
      </c>
      <c r="T236" s="307">
        <v>0</v>
      </c>
      <c r="U236" s="307">
        <v>4.1689870000000004</v>
      </c>
      <c r="V236" s="307">
        <v>5.434609</v>
      </c>
      <c r="W236" s="307">
        <v>2.8499750000000001</v>
      </c>
      <c r="X236" s="307">
        <v>3.6831870000000002</v>
      </c>
      <c r="Y236" s="307">
        <v>0</v>
      </c>
      <c r="Z236" s="307">
        <v>1.826964</v>
      </c>
      <c r="AA236" s="307">
        <v>0</v>
      </c>
      <c r="AB236" s="307">
        <v>2.5266929999999999</v>
      </c>
      <c r="AC236" s="307">
        <v>5.1895699999999998</v>
      </c>
      <c r="AD236" s="307">
        <v>0</v>
      </c>
      <c r="AE236" s="307">
        <v>0</v>
      </c>
      <c r="AF236" s="307">
        <v>0</v>
      </c>
      <c r="AG236" s="307">
        <v>0</v>
      </c>
      <c r="AH236" s="307">
        <v>0</v>
      </c>
      <c r="AI236" s="307">
        <v>2.773863</v>
      </c>
      <c r="AJ236" s="307">
        <v>0</v>
      </c>
      <c r="AK236" s="307">
        <v>0</v>
      </c>
      <c r="AL236" s="307">
        <v>3.5820180000000001</v>
      </c>
      <c r="AM236" s="307">
        <v>2.5079060000000002</v>
      </c>
      <c r="AN236" s="307">
        <v>0</v>
      </c>
      <c r="AO236" s="307">
        <v>0</v>
      </c>
      <c r="AP236" s="307">
        <v>3.534872</v>
      </c>
      <c r="AQ236" s="307">
        <v>0</v>
      </c>
      <c r="AR236" s="307">
        <v>1.9991509999999999</v>
      </c>
      <c r="AS236" s="307">
        <v>0</v>
      </c>
      <c r="AT236" s="307">
        <v>0</v>
      </c>
      <c r="AU236" s="307">
        <v>5.5571780000000004</v>
      </c>
      <c r="AV236" s="307">
        <v>0</v>
      </c>
      <c r="AW236" s="307">
        <v>0</v>
      </c>
      <c r="AX236" s="307">
        <v>0</v>
      </c>
      <c r="AY236" s="307">
        <v>0</v>
      </c>
      <c r="AZ236" s="307">
        <v>1.8062720000000001</v>
      </c>
      <c r="BA236" s="307">
        <v>0</v>
      </c>
      <c r="BB236" s="307">
        <v>0</v>
      </c>
      <c r="BC236" s="307">
        <v>3.24946</v>
      </c>
      <c r="BD236" s="307">
        <v>3.4998170000000002</v>
      </c>
      <c r="BE236" s="307">
        <v>2.2170070000000002</v>
      </c>
      <c r="BF236" s="307">
        <v>2.7598150000000001</v>
      </c>
      <c r="BG236" s="307">
        <v>3.1739350000000002</v>
      </c>
      <c r="BH236" s="307">
        <v>4.4012690000000001</v>
      </c>
      <c r="BI236" s="307">
        <v>5.5636609999999997</v>
      </c>
      <c r="BJ236" s="307">
        <v>2.201975</v>
      </c>
      <c r="BK236" s="307">
        <v>1.856808</v>
      </c>
      <c r="BL236">
        <f t="shared" si="12"/>
        <v>33</v>
      </c>
      <c r="BM236">
        <f t="shared" si="13"/>
        <v>3.2930530357142858</v>
      </c>
      <c r="BN236">
        <f t="shared" si="14"/>
        <v>5.5636609999999997</v>
      </c>
      <c r="BO236">
        <f t="array" ref="BO236">MIN(IF($C236:$BK236&gt;0, $C236:$BK236))</f>
        <v>1.8062720000000001</v>
      </c>
      <c r="BP236">
        <f t="shared" si="15"/>
        <v>0</v>
      </c>
    </row>
    <row r="237" spans="1:68" x14ac:dyDescent="0.25">
      <c r="A237" s="306">
        <v>334412</v>
      </c>
      <c r="B237" s="307" t="s">
        <v>216</v>
      </c>
      <c r="C237" s="307">
        <v>5.4776449999999999</v>
      </c>
      <c r="D237" s="307">
        <v>0</v>
      </c>
      <c r="E237" s="307">
        <v>7.2346640000000004</v>
      </c>
      <c r="F237" s="307">
        <v>9.8062400000000007</v>
      </c>
      <c r="G237" s="307">
        <v>5.6309690000000003</v>
      </c>
      <c r="H237" s="307">
        <v>5.0043860000000002</v>
      </c>
      <c r="I237" s="307">
        <v>5.7924800000000003</v>
      </c>
      <c r="J237" s="307">
        <v>5.420566</v>
      </c>
      <c r="K237" s="307">
        <v>0</v>
      </c>
      <c r="L237" s="307">
        <v>0</v>
      </c>
      <c r="M237" s="307">
        <v>4.3925970000000003</v>
      </c>
      <c r="N237" s="307">
        <v>4.2786030000000004</v>
      </c>
      <c r="O237" s="307">
        <v>0</v>
      </c>
      <c r="P237" s="307">
        <v>8.8271200000000007</v>
      </c>
      <c r="Q237" s="307">
        <v>10.81813</v>
      </c>
      <c r="R237" s="307">
        <v>7.3736990000000002</v>
      </c>
      <c r="S237" s="307">
        <v>6.6846639999999997</v>
      </c>
      <c r="T237" s="307">
        <v>8.4457450000000005</v>
      </c>
      <c r="U237" s="307">
        <v>10.7128</v>
      </c>
      <c r="V237" s="307">
        <v>3.580765</v>
      </c>
      <c r="W237" s="307">
        <v>4.2101050000000004</v>
      </c>
      <c r="X237" s="307">
        <v>5.3368010000000004</v>
      </c>
      <c r="Y237" s="307">
        <v>9.3649090000000008</v>
      </c>
      <c r="Z237" s="307">
        <v>5.8629569999999998</v>
      </c>
      <c r="AA237" s="307">
        <v>5.7659630000000002</v>
      </c>
      <c r="AB237" s="307">
        <v>8.9635809999999996</v>
      </c>
      <c r="AC237" s="307">
        <v>8.0727670000000007</v>
      </c>
      <c r="AD237" s="307">
        <v>0</v>
      </c>
      <c r="AE237" s="307">
        <v>4.209613</v>
      </c>
      <c r="AF237" s="307">
        <v>6.407546</v>
      </c>
      <c r="AG237" s="307">
        <v>11.41024</v>
      </c>
      <c r="AH237" s="307">
        <v>4.893694</v>
      </c>
      <c r="AI237" s="307">
        <v>4.9762740000000001</v>
      </c>
      <c r="AJ237" s="307">
        <v>6.0603410000000002</v>
      </c>
      <c r="AK237" s="307">
        <v>5.0488850000000003</v>
      </c>
      <c r="AL237" s="307">
        <v>4.4786510000000002</v>
      </c>
      <c r="AM237" s="307">
        <v>8.4635010000000008</v>
      </c>
      <c r="AN237" s="307">
        <v>11.551690000000001</v>
      </c>
      <c r="AO237" s="307">
        <v>6.8504659999999999</v>
      </c>
      <c r="AP237" s="307">
        <v>6.5562560000000003</v>
      </c>
      <c r="AQ237" s="307">
        <v>10.044600000000001</v>
      </c>
      <c r="AR237" s="307">
        <v>6.397799</v>
      </c>
      <c r="AS237" s="307">
        <v>4.952534</v>
      </c>
      <c r="AT237" s="307">
        <v>5.7626949999999999</v>
      </c>
      <c r="AU237" s="307">
        <v>4.7283739999999996</v>
      </c>
      <c r="AV237" s="307">
        <v>7.4653020000000003</v>
      </c>
      <c r="AW237" s="307">
        <v>4.2195229999999997</v>
      </c>
      <c r="AX237" s="307">
        <v>7.9409549999999998</v>
      </c>
      <c r="AY237" s="307">
        <v>6.1453259999999998</v>
      </c>
      <c r="AZ237" s="307">
        <v>7.672307</v>
      </c>
      <c r="BA237" s="307">
        <v>0</v>
      </c>
      <c r="BB237" s="307">
        <v>0</v>
      </c>
      <c r="BC237" s="307">
        <v>5.3727910000000003</v>
      </c>
      <c r="BD237" s="307">
        <v>5.4837480000000003</v>
      </c>
      <c r="BE237" s="307">
        <v>7.2299309999999997</v>
      </c>
      <c r="BF237" s="307">
        <v>6.0603109999999996</v>
      </c>
      <c r="BG237" s="307">
        <v>4.455711</v>
      </c>
      <c r="BH237" s="307">
        <v>6.8306899999999997</v>
      </c>
      <c r="BI237" s="307">
        <v>4.7740530000000003</v>
      </c>
      <c r="BJ237" s="307">
        <v>6.0117770000000004</v>
      </c>
      <c r="BK237" s="307">
        <v>5.0769279999999997</v>
      </c>
      <c r="BL237">
        <f t="shared" si="12"/>
        <v>7</v>
      </c>
      <c r="BM237">
        <f t="shared" si="13"/>
        <v>6.5664938518518516</v>
      </c>
      <c r="BN237">
        <f t="shared" si="14"/>
        <v>11.551690000000001</v>
      </c>
      <c r="BO237">
        <f t="array" ref="BO237">MIN(IF($C237:$BK237&gt;0, $C237:$BK237))</f>
        <v>3.580765</v>
      </c>
      <c r="BP237">
        <f t="shared" si="15"/>
        <v>5.7659630000000002</v>
      </c>
    </row>
    <row r="238" spans="1:68" x14ac:dyDescent="0.25">
      <c r="A238" s="306">
        <v>334413</v>
      </c>
      <c r="B238" s="307" t="s">
        <v>217</v>
      </c>
      <c r="C238" s="307">
        <v>1.7923519999999999</v>
      </c>
      <c r="D238" s="307">
        <v>0</v>
      </c>
      <c r="E238" s="307">
        <v>1.987525</v>
      </c>
      <c r="F238" s="307">
        <v>3.7917079999999999</v>
      </c>
      <c r="G238" s="307">
        <v>1.789323</v>
      </c>
      <c r="H238" s="307">
        <v>1.461268</v>
      </c>
      <c r="I238" s="307">
        <v>2.3296589999999999</v>
      </c>
      <c r="J238" s="307">
        <v>2.0841159999999999</v>
      </c>
      <c r="K238" s="307">
        <v>0.19967109999999999</v>
      </c>
      <c r="L238" s="307">
        <v>1.4730939999999999</v>
      </c>
      <c r="M238" s="307">
        <v>2.0795849999999998</v>
      </c>
      <c r="N238" s="307">
        <v>1.6647149999999999</v>
      </c>
      <c r="O238" s="307">
        <v>2.9756170000000002</v>
      </c>
      <c r="P238" s="307">
        <v>2.437395</v>
      </c>
      <c r="Q238" s="307">
        <v>2.4155419999999999</v>
      </c>
      <c r="R238" s="307">
        <v>2.1862729999999999</v>
      </c>
      <c r="S238" s="307">
        <v>2.1683509999999999</v>
      </c>
      <c r="T238" s="307">
        <v>1.8933219999999999</v>
      </c>
      <c r="U238" s="307">
        <v>1.7310399999999999</v>
      </c>
      <c r="V238" s="307">
        <v>0</v>
      </c>
      <c r="W238" s="307">
        <v>1.6236440000000001</v>
      </c>
      <c r="X238" s="307">
        <v>2.4671150000000002</v>
      </c>
      <c r="Y238" s="307">
        <v>2.144603</v>
      </c>
      <c r="Z238" s="307">
        <v>3.4578959999999999</v>
      </c>
      <c r="AA238" s="307">
        <v>2.3250169999999999</v>
      </c>
      <c r="AB238" s="307">
        <v>1.7448619999999999</v>
      </c>
      <c r="AC238" s="307">
        <v>2.0201319999999998</v>
      </c>
      <c r="AD238" s="307">
        <v>3.5470769999999998</v>
      </c>
      <c r="AE238" s="307">
        <v>2.08813</v>
      </c>
      <c r="AF238" s="307">
        <v>0</v>
      </c>
      <c r="AG238" s="307">
        <v>3.7071200000000002</v>
      </c>
      <c r="AH238" s="307">
        <v>2.2425999999999999</v>
      </c>
      <c r="AI238" s="307">
        <v>1.982378</v>
      </c>
      <c r="AJ238" s="307">
        <v>2.000467</v>
      </c>
      <c r="AK238" s="307">
        <v>2.3883209999999999</v>
      </c>
      <c r="AL238" s="307">
        <v>1.8105800000000001</v>
      </c>
      <c r="AM238" s="307">
        <v>1.27647</v>
      </c>
      <c r="AN238" s="307">
        <v>1.289418</v>
      </c>
      <c r="AO238" s="307">
        <v>1.5750010000000001</v>
      </c>
      <c r="AP238" s="307">
        <v>2.2751480000000002</v>
      </c>
      <c r="AQ238" s="307">
        <v>1.3651180000000001</v>
      </c>
      <c r="AR238" s="307">
        <v>2.6559650000000001</v>
      </c>
      <c r="AS238" s="307">
        <v>2.5482749999999998</v>
      </c>
      <c r="AT238" s="307">
        <v>3.7357140000000002</v>
      </c>
      <c r="AU238" s="307">
        <v>1.7413190000000001</v>
      </c>
      <c r="AV238" s="307">
        <v>2.0789550000000001</v>
      </c>
      <c r="AW238" s="307">
        <v>2.0976870000000001</v>
      </c>
      <c r="AX238" s="307">
        <v>2.17719</v>
      </c>
      <c r="AY238" s="307">
        <v>2.732091</v>
      </c>
      <c r="AZ238" s="307">
        <v>2.1960630000000001</v>
      </c>
      <c r="BA238" s="307">
        <v>3.1063399999999999</v>
      </c>
      <c r="BB238" s="307">
        <v>0</v>
      </c>
      <c r="BC238" s="307">
        <v>1.986097</v>
      </c>
      <c r="BD238" s="307">
        <v>2.0327660000000001</v>
      </c>
      <c r="BE238" s="307">
        <v>1.7356529999999999</v>
      </c>
      <c r="BF238" s="307">
        <v>2.1859470000000001</v>
      </c>
      <c r="BG238" s="307">
        <v>2.1539220000000001</v>
      </c>
      <c r="BH238" s="307">
        <v>2.0782609999999999</v>
      </c>
      <c r="BI238" s="307">
        <v>1.7477149999999999</v>
      </c>
      <c r="BJ238" s="307">
        <v>2.0011549999999998</v>
      </c>
      <c r="BK238" s="307">
        <v>1.535236</v>
      </c>
      <c r="BL238">
        <f t="shared" si="12"/>
        <v>4</v>
      </c>
      <c r="BM238">
        <f t="shared" si="13"/>
        <v>2.1459298964912277</v>
      </c>
      <c r="BN238">
        <f t="shared" si="14"/>
        <v>3.7917079999999999</v>
      </c>
      <c r="BO238">
        <f t="array" ref="BO238">MIN(IF($C238:$BK238&gt;0, $C238:$BK238))</f>
        <v>0.19967109999999999</v>
      </c>
      <c r="BP238">
        <f t="shared" si="15"/>
        <v>2.0782609999999999</v>
      </c>
    </row>
    <row r="239" spans="1:68" x14ac:dyDescent="0.25">
      <c r="A239" s="306">
        <v>334417</v>
      </c>
      <c r="B239" s="307" t="s">
        <v>219</v>
      </c>
      <c r="C239" s="307">
        <v>5.5163640000000003</v>
      </c>
      <c r="D239" s="307">
        <v>0</v>
      </c>
      <c r="E239" s="307">
        <v>5.658658</v>
      </c>
      <c r="F239" s="307">
        <v>6.6566599999999996</v>
      </c>
      <c r="G239" s="307">
        <v>5.7973999999999997</v>
      </c>
      <c r="H239" s="307">
        <v>5.2613469999999998</v>
      </c>
      <c r="I239" s="307">
        <v>8.0828749999999996</v>
      </c>
      <c r="J239" s="307">
        <v>4.8837989999999998</v>
      </c>
      <c r="K239" s="307">
        <v>0</v>
      </c>
      <c r="L239" s="307">
        <v>5.222931</v>
      </c>
      <c r="M239" s="307">
        <v>4.9138510000000002</v>
      </c>
      <c r="N239" s="307">
        <v>4.6975509999999998</v>
      </c>
      <c r="O239" s="307">
        <v>0</v>
      </c>
      <c r="P239" s="307">
        <v>8.3572469999999992</v>
      </c>
      <c r="Q239" s="307">
        <v>0</v>
      </c>
      <c r="R239" s="307">
        <v>5.0318420000000001</v>
      </c>
      <c r="S239" s="307">
        <v>4.5679369999999997</v>
      </c>
      <c r="T239" s="307">
        <v>4.1885310000000002</v>
      </c>
      <c r="U239" s="307">
        <v>0</v>
      </c>
      <c r="V239" s="307">
        <v>0</v>
      </c>
      <c r="W239" s="307">
        <v>4.509665</v>
      </c>
      <c r="X239" s="307">
        <v>5.5744740000000004</v>
      </c>
      <c r="Y239" s="307">
        <v>6.7066650000000001</v>
      </c>
      <c r="Z239" s="307">
        <v>4.6546849999999997</v>
      </c>
      <c r="AA239" s="307">
        <v>5.8194140000000001</v>
      </c>
      <c r="AB239" s="307">
        <v>6.2469200000000003</v>
      </c>
      <c r="AC239" s="307">
        <v>6.7802530000000001</v>
      </c>
      <c r="AD239" s="307">
        <v>0</v>
      </c>
      <c r="AE239" s="307">
        <v>4.2379660000000001</v>
      </c>
      <c r="AF239" s="307">
        <v>0</v>
      </c>
      <c r="AG239" s="307">
        <v>6.8394079999999997</v>
      </c>
      <c r="AH239" s="307">
        <v>3.7147899999999998</v>
      </c>
      <c r="AI239" s="307">
        <v>4.2983070000000003</v>
      </c>
      <c r="AJ239" s="307">
        <v>0</v>
      </c>
      <c r="AK239" s="307">
        <v>7.6452900000000001</v>
      </c>
      <c r="AL239" s="307">
        <v>4.7786590000000002</v>
      </c>
      <c r="AM239" s="307">
        <v>8.3700369999999999</v>
      </c>
      <c r="AN239" s="307">
        <v>8.4549880000000002</v>
      </c>
      <c r="AO239" s="307">
        <v>4.4041030000000001</v>
      </c>
      <c r="AP239" s="307">
        <v>4.507587</v>
      </c>
      <c r="AQ239" s="307">
        <v>6.8666809999999998</v>
      </c>
      <c r="AR239" s="307">
        <v>8.1960770000000007</v>
      </c>
      <c r="AS239" s="307">
        <v>0</v>
      </c>
      <c r="AT239" s="307">
        <v>7.6199029999999999</v>
      </c>
      <c r="AU239" s="307">
        <v>6.5887770000000003</v>
      </c>
      <c r="AV239" s="307">
        <v>8.3477709999999998</v>
      </c>
      <c r="AW239" s="307">
        <v>5.9195840000000004</v>
      </c>
      <c r="AX239" s="307">
        <v>0</v>
      </c>
      <c r="AY239" s="307">
        <v>6.6306099999999999</v>
      </c>
      <c r="AZ239" s="307">
        <v>0</v>
      </c>
      <c r="BA239" s="307">
        <v>0</v>
      </c>
      <c r="BB239" s="307">
        <v>0</v>
      </c>
      <c r="BC239" s="307">
        <v>5.1796490000000004</v>
      </c>
      <c r="BD239" s="307">
        <v>4.9119669999999998</v>
      </c>
      <c r="BE239" s="307">
        <v>5.0464399999999996</v>
      </c>
      <c r="BF239" s="307">
        <v>6.7214119999999999</v>
      </c>
      <c r="BG239" s="307">
        <v>5.3463279999999997</v>
      </c>
      <c r="BH239" s="307">
        <v>7.0236409999999996</v>
      </c>
      <c r="BI239" s="307">
        <v>6.9014040000000003</v>
      </c>
      <c r="BJ239" s="307">
        <v>6.2038460000000004</v>
      </c>
      <c r="BK239" s="307">
        <v>5.3167910000000003</v>
      </c>
      <c r="BL239">
        <f t="shared" si="12"/>
        <v>14</v>
      </c>
      <c r="BM239">
        <f t="shared" si="13"/>
        <v>5.9404486170212758</v>
      </c>
      <c r="BN239">
        <f t="shared" si="14"/>
        <v>8.4549880000000002</v>
      </c>
      <c r="BO239">
        <f t="array" ref="BO239">MIN(IF($C239:$BK239&gt;0, $C239:$BK239))</f>
        <v>3.7147899999999998</v>
      </c>
      <c r="BP239">
        <f t="shared" si="15"/>
        <v>5.1796490000000004</v>
      </c>
    </row>
    <row r="240" spans="1:68" x14ac:dyDescent="0.25">
      <c r="A240" s="306">
        <v>334418</v>
      </c>
      <c r="B240" s="307" t="s">
        <v>220</v>
      </c>
      <c r="C240" s="307">
        <v>3.5516990000000002</v>
      </c>
      <c r="D240" s="307">
        <v>0</v>
      </c>
      <c r="E240" s="307">
        <v>3.7477010000000002</v>
      </c>
      <c r="F240" s="307">
        <v>5.1830939999999996</v>
      </c>
      <c r="G240" s="307">
        <v>2.5400680000000002</v>
      </c>
      <c r="H240" s="307">
        <v>3.4625249999999999</v>
      </c>
      <c r="I240" s="307">
        <v>2.5396450000000002</v>
      </c>
      <c r="J240" s="307">
        <v>3.1282679999999998</v>
      </c>
      <c r="K240" s="307">
        <v>0</v>
      </c>
      <c r="L240" s="307">
        <v>0</v>
      </c>
      <c r="M240" s="307">
        <v>2.5282429999999998</v>
      </c>
      <c r="N240" s="307">
        <v>3.747347</v>
      </c>
      <c r="O240" s="307">
        <v>0</v>
      </c>
      <c r="P240" s="307">
        <v>5.3085019999999998</v>
      </c>
      <c r="Q240" s="307">
        <v>3.9007230000000002</v>
      </c>
      <c r="R240" s="307">
        <v>3.5140359999999999</v>
      </c>
      <c r="S240" s="307">
        <v>4.3577019999999997</v>
      </c>
      <c r="T240" s="307">
        <v>3.238308</v>
      </c>
      <c r="U240" s="307">
        <v>5.1031019999999998</v>
      </c>
      <c r="V240" s="307">
        <v>2.9074249999999999</v>
      </c>
      <c r="W240" s="307">
        <v>2.8738769999999998</v>
      </c>
      <c r="X240" s="307">
        <v>3.4496709999999999</v>
      </c>
      <c r="Y240" s="307">
        <v>4.9856059999999998</v>
      </c>
      <c r="Z240" s="307">
        <v>3.789558</v>
      </c>
      <c r="AA240" s="307">
        <v>4.0491020000000004</v>
      </c>
      <c r="AB240" s="307">
        <v>4.2908790000000003</v>
      </c>
      <c r="AC240" s="307">
        <v>4.8280640000000004</v>
      </c>
      <c r="AD240" s="307">
        <v>4.9202950000000003</v>
      </c>
      <c r="AE240" s="307">
        <v>2.9663620000000002</v>
      </c>
      <c r="AF240" s="307">
        <v>4.671462</v>
      </c>
      <c r="AG240" s="307">
        <v>3.8490790000000001</v>
      </c>
      <c r="AH240" s="307">
        <v>2.777914</v>
      </c>
      <c r="AI240" s="307">
        <v>2.8376030000000001</v>
      </c>
      <c r="AJ240" s="307">
        <v>4.0045710000000003</v>
      </c>
      <c r="AK240" s="307">
        <v>3.6503030000000001</v>
      </c>
      <c r="AL240" s="307">
        <v>3.4573010000000002</v>
      </c>
      <c r="AM240" s="307">
        <v>4.6192399999999996</v>
      </c>
      <c r="AN240" s="307">
        <v>2.7672059999999998</v>
      </c>
      <c r="AO240" s="307">
        <v>3.7657440000000002</v>
      </c>
      <c r="AP240" s="307">
        <v>3.5677020000000002</v>
      </c>
      <c r="AQ240" s="307">
        <v>4.6155860000000004</v>
      </c>
      <c r="AR240" s="307">
        <v>3.7136909999999999</v>
      </c>
      <c r="AS240" s="307">
        <v>2.9899800000000001</v>
      </c>
      <c r="AT240" s="307">
        <v>2.4451049999999999</v>
      </c>
      <c r="AU240" s="307">
        <v>2.5435819999999998</v>
      </c>
      <c r="AV240" s="307">
        <v>4.2389729999999997</v>
      </c>
      <c r="AW240" s="307">
        <v>3.1224430000000001</v>
      </c>
      <c r="AX240" s="307">
        <v>4.7929680000000001</v>
      </c>
      <c r="AY240" s="307">
        <v>4.0102669999999998</v>
      </c>
      <c r="AZ240" s="307">
        <v>3.9168150000000002</v>
      </c>
      <c r="BA240" s="307">
        <v>4.3072509999999999</v>
      </c>
      <c r="BB240" s="307">
        <v>0</v>
      </c>
      <c r="BC240" s="307">
        <v>3.3904359999999998</v>
      </c>
      <c r="BD240" s="307">
        <v>3.5854159999999999</v>
      </c>
      <c r="BE240" s="307">
        <v>3.9996779999999998</v>
      </c>
      <c r="BF240" s="307">
        <v>4.3270770000000001</v>
      </c>
      <c r="BG240" s="307">
        <v>2.8864550000000002</v>
      </c>
      <c r="BH240" s="307">
        <v>3.692326</v>
      </c>
      <c r="BI240" s="307">
        <v>2.839556</v>
      </c>
      <c r="BJ240" s="307">
        <v>2.8929779999999998</v>
      </c>
      <c r="BK240" s="307">
        <v>3.572365</v>
      </c>
      <c r="BL240">
        <f t="shared" si="12"/>
        <v>5</v>
      </c>
      <c r="BM240">
        <f t="shared" si="13"/>
        <v>3.6921941964285723</v>
      </c>
      <c r="BN240">
        <f t="shared" si="14"/>
        <v>5.3085019999999998</v>
      </c>
      <c r="BO240">
        <f t="array" ref="BO240">MIN(IF($C240:$BK240&gt;0, $C240:$BK240))</f>
        <v>2.4451049999999999</v>
      </c>
      <c r="BP240">
        <f t="shared" si="15"/>
        <v>3.572365</v>
      </c>
    </row>
    <row r="241" spans="1:68" s="385" customFormat="1" x14ac:dyDescent="0.25">
      <c r="A241" s="580">
        <v>334419</v>
      </c>
      <c r="B241" s="581" t="s">
        <v>221</v>
      </c>
      <c r="C241" s="581">
        <v>5.8289010000000001</v>
      </c>
      <c r="D241" s="581">
        <v>0</v>
      </c>
      <c r="E241" s="581">
        <v>5.9433590000000001</v>
      </c>
      <c r="F241" s="581">
        <v>9.4652940000000001</v>
      </c>
      <c r="G241" s="581">
        <v>6.6944220000000003</v>
      </c>
      <c r="H241" s="581">
        <v>4.756386</v>
      </c>
      <c r="I241" s="581">
        <v>6.2549099999999997</v>
      </c>
      <c r="J241" s="581">
        <v>5.4231230000000004</v>
      </c>
      <c r="K241" s="581">
        <v>0</v>
      </c>
      <c r="L241" s="581">
        <v>3.5380029999999998</v>
      </c>
      <c r="M241" s="581">
        <v>6.4964339999999998</v>
      </c>
      <c r="N241" s="581">
        <v>9.3219600000000007</v>
      </c>
      <c r="O241" s="581">
        <v>0</v>
      </c>
      <c r="P241" s="581">
        <v>8.6482220000000005</v>
      </c>
      <c r="Q241" s="581">
        <v>7.6286199999999997</v>
      </c>
      <c r="R241" s="581">
        <v>6.6601309999999998</v>
      </c>
      <c r="S241" s="581">
        <v>7.2093730000000003</v>
      </c>
      <c r="T241" s="581">
        <v>7.3118090000000002</v>
      </c>
      <c r="U241" s="581">
        <v>8.1685269999999992</v>
      </c>
      <c r="V241" s="581">
        <v>4.6413549999999999</v>
      </c>
      <c r="W241" s="581">
        <v>4.4222429999999999</v>
      </c>
      <c r="X241" s="581">
        <v>5.101845</v>
      </c>
      <c r="Y241" s="581">
        <v>7.294645</v>
      </c>
      <c r="Z241" s="581">
        <v>7.5923870000000004</v>
      </c>
      <c r="AA241" s="581">
        <v>7.6160519999999998</v>
      </c>
      <c r="AB241" s="581">
        <v>7.8069680000000004</v>
      </c>
      <c r="AC241" s="581">
        <v>9.0486550000000001</v>
      </c>
      <c r="AD241" s="581">
        <v>6.283156</v>
      </c>
      <c r="AE241" s="581">
        <v>8.1164480000000001</v>
      </c>
      <c r="AF241" s="581">
        <v>7.358924</v>
      </c>
      <c r="AG241" s="581">
        <v>8.6037370000000006</v>
      </c>
      <c r="AH241" s="581">
        <v>4.4209779999999999</v>
      </c>
      <c r="AI241" s="581">
        <v>4.6668430000000001</v>
      </c>
      <c r="AJ241" s="581">
        <v>6.4852319999999999</v>
      </c>
      <c r="AK241" s="581">
        <v>5.1815670000000003</v>
      </c>
      <c r="AL241" s="581">
        <v>5.3235970000000004</v>
      </c>
      <c r="AM241" s="581">
        <v>6.3324449999999999</v>
      </c>
      <c r="AN241" s="581">
        <v>9.6638310000000001</v>
      </c>
      <c r="AO241" s="581">
        <v>5.8877389999999998</v>
      </c>
      <c r="AP241" s="581">
        <v>6.3837089999999996</v>
      </c>
      <c r="AQ241" s="581">
        <v>6.9243819999999996</v>
      </c>
      <c r="AR241" s="581">
        <v>7.4477960000000003</v>
      </c>
      <c r="AS241" s="581">
        <v>6.3610090000000001</v>
      </c>
      <c r="AT241" s="581">
        <v>9.3253990000000009</v>
      </c>
      <c r="AU241" s="581">
        <v>4.7516259999999999</v>
      </c>
      <c r="AV241" s="581">
        <v>5.3134300000000003</v>
      </c>
      <c r="AW241" s="581">
        <v>5.06264</v>
      </c>
      <c r="AX241" s="581">
        <v>6.2869840000000003</v>
      </c>
      <c r="AY241" s="581">
        <v>6.1838920000000002</v>
      </c>
      <c r="AZ241" s="581">
        <v>6.2801489999999998</v>
      </c>
      <c r="BA241" s="581">
        <v>7.7542150000000003</v>
      </c>
      <c r="BB241" s="581">
        <v>0</v>
      </c>
      <c r="BC241" s="581">
        <v>5.2746930000000001</v>
      </c>
      <c r="BD241" s="581">
        <v>5.7386549999999996</v>
      </c>
      <c r="BE241" s="581">
        <v>6.8226310000000003</v>
      </c>
      <c r="BF241" s="581">
        <v>8.0780809999999992</v>
      </c>
      <c r="BG241" s="581">
        <v>6.6597210000000002</v>
      </c>
      <c r="BH241" s="581">
        <v>7.301361</v>
      </c>
      <c r="BI241" s="581">
        <v>5.116085</v>
      </c>
      <c r="BJ241" s="581">
        <v>6.3195370000000004</v>
      </c>
      <c r="BK241" s="581">
        <v>5.0515980000000003</v>
      </c>
      <c r="BL241" s="385">
        <f t="shared" si="12"/>
        <v>4</v>
      </c>
      <c r="BM241" s="385">
        <f t="shared" si="13"/>
        <v>6.5901002456140354</v>
      </c>
      <c r="BN241" s="385">
        <f t="shared" si="14"/>
        <v>9.6638310000000001</v>
      </c>
      <c r="BO241" s="385">
        <f t="array" ref="BO241">MIN(IF($C241:$BK241&gt;0, $C241:$BK241))</f>
        <v>3.5380029999999998</v>
      </c>
      <c r="BP241" s="385">
        <f t="shared" si="15"/>
        <v>6.3324449999999999</v>
      </c>
    </row>
    <row r="242" spans="1:68" x14ac:dyDescent="0.25">
      <c r="A242" s="306" t="s">
        <v>739</v>
      </c>
      <c r="B242" s="307" t="s">
        <v>218</v>
      </c>
      <c r="C242" s="307">
        <v>7.5556650000000003</v>
      </c>
      <c r="D242" s="307">
        <v>0</v>
      </c>
      <c r="E242" s="307">
        <v>8.5184490000000004</v>
      </c>
      <c r="F242" s="307">
        <v>10.47444</v>
      </c>
      <c r="G242" s="307">
        <v>6.6748430000000001</v>
      </c>
      <c r="H242" s="307">
        <v>6.8728259999999999</v>
      </c>
      <c r="I242" s="307">
        <v>9.2211949999999998</v>
      </c>
      <c r="J242" s="307">
        <v>8.1538520000000005</v>
      </c>
      <c r="K242" s="307">
        <v>0</v>
      </c>
      <c r="L242" s="307">
        <v>0</v>
      </c>
      <c r="M242" s="307">
        <v>9.3780540000000006</v>
      </c>
      <c r="N242" s="307">
        <v>7.935276</v>
      </c>
      <c r="O242" s="307">
        <v>0</v>
      </c>
      <c r="P242" s="307">
        <v>10.57067</v>
      </c>
      <c r="Q242" s="307">
        <v>0</v>
      </c>
      <c r="R242" s="307">
        <v>8.5647640000000003</v>
      </c>
      <c r="S242" s="307">
        <v>9.1838440000000006</v>
      </c>
      <c r="T242" s="307">
        <v>9.0046689999999998</v>
      </c>
      <c r="U242" s="307">
        <v>5.8402380000000003</v>
      </c>
      <c r="V242" s="307">
        <v>5.7399889999999996</v>
      </c>
      <c r="W242" s="307">
        <v>5.1147910000000003</v>
      </c>
      <c r="X242" s="307">
        <v>9.6738300000000006</v>
      </c>
      <c r="Y242" s="307">
        <v>7.2004400000000004</v>
      </c>
      <c r="Z242" s="307">
        <v>7.7040490000000004</v>
      </c>
      <c r="AA242" s="307">
        <v>8.0651919999999997</v>
      </c>
      <c r="AB242" s="307">
        <v>8.6274829999999998</v>
      </c>
      <c r="AC242" s="307">
        <v>10.01323</v>
      </c>
      <c r="AD242" s="307">
        <v>0</v>
      </c>
      <c r="AE242" s="307">
        <v>8.3805040000000002</v>
      </c>
      <c r="AF242" s="307">
        <v>0</v>
      </c>
      <c r="AG242" s="307">
        <v>8.9427029999999998</v>
      </c>
      <c r="AH242" s="307">
        <v>5.9951660000000002</v>
      </c>
      <c r="AI242" s="307">
        <v>6.333469</v>
      </c>
      <c r="AJ242" s="307">
        <v>9.2004199999999994</v>
      </c>
      <c r="AK242" s="307">
        <v>8.0813389999999998</v>
      </c>
      <c r="AL242" s="307">
        <v>6.7548019999999998</v>
      </c>
      <c r="AM242" s="307">
        <v>7.7986649999999997</v>
      </c>
      <c r="AN242" s="307">
        <v>0</v>
      </c>
      <c r="AO242" s="307">
        <v>7.6426090000000002</v>
      </c>
      <c r="AP242" s="307">
        <v>5.6378909999999998</v>
      </c>
      <c r="AQ242" s="307">
        <v>6.3781220000000003</v>
      </c>
      <c r="AR242" s="307">
        <v>5.7274789999999998</v>
      </c>
      <c r="AS242" s="307">
        <v>6.2008650000000003</v>
      </c>
      <c r="AT242" s="307">
        <v>7.2775619999999996</v>
      </c>
      <c r="AU242" s="307">
        <v>8.7809840000000001</v>
      </c>
      <c r="AV242" s="307">
        <v>7.0843020000000001</v>
      </c>
      <c r="AW242" s="307">
        <v>8.4959000000000007</v>
      </c>
      <c r="AX242" s="307">
        <v>9.9084489999999992</v>
      </c>
      <c r="AY242" s="307">
        <v>8.6787650000000003</v>
      </c>
      <c r="AZ242" s="307">
        <v>8.5614640000000009</v>
      </c>
      <c r="BA242" s="307">
        <v>8.5806249999999995</v>
      </c>
      <c r="BB242" s="307">
        <v>0</v>
      </c>
      <c r="BC242" s="307">
        <v>7.0113890000000003</v>
      </c>
      <c r="BD242" s="307">
        <v>6.7531990000000004</v>
      </c>
      <c r="BE242" s="307">
        <v>8.6692180000000008</v>
      </c>
      <c r="BF242" s="307">
        <v>8.9334260000000008</v>
      </c>
      <c r="BG242" s="307">
        <v>7.2166329999999999</v>
      </c>
      <c r="BH242" s="307">
        <v>7.1868379999999998</v>
      </c>
      <c r="BI242" s="307">
        <v>8.4733900000000002</v>
      </c>
      <c r="BJ242" s="307">
        <v>7.2467579999999998</v>
      </c>
      <c r="BK242" s="307">
        <v>7.0450759999999999</v>
      </c>
      <c r="BL242">
        <f t="shared" si="12"/>
        <v>9</v>
      </c>
      <c r="BM242">
        <f t="shared" si="13"/>
        <v>7.8666500192307707</v>
      </c>
      <c r="BN242">
        <f t="shared" si="14"/>
        <v>10.57067</v>
      </c>
      <c r="BO242">
        <f t="array" ref="BO242">MIN(IF($C242:$BK242&gt;0, $C242:$BK242))</f>
        <v>5.1147910000000003</v>
      </c>
      <c r="BP242">
        <f t="shared" si="15"/>
        <v>7.5556650000000003</v>
      </c>
    </row>
    <row r="243" spans="1:68" x14ac:dyDescent="0.25">
      <c r="A243" s="306">
        <v>334510</v>
      </c>
      <c r="B243" s="307" t="s">
        <v>222</v>
      </c>
      <c r="C243" s="307">
        <v>2.6805300000000001</v>
      </c>
      <c r="D243" s="307">
        <v>0</v>
      </c>
      <c r="E243" s="307">
        <v>0</v>
      </c>
      <c r="F243" s="307">
        <v>0</v>
      </c>
      <c r="G243" s="307">
        <v>3.899826</v>
      </c>
      <c r="H243" s="307">
        <v>2.201438</v>
      </c>
      <c r="I243" s="307">
        <v>2.8005749999999998</v>
      </c>
      <c r="J243" s="307">
        <v>2.9308839999999998</v>
      </c>
      <c r="K243" s="307">
        <v>0</v>
      </c>
      <c r="L243" s="307">
        <v>1.556387</v>
      </c>
      <c r="M243" s="307">
        <v>3.511673</v>
      </c>
      <c r="N243" s="307">
        <v>4.205781</v>
      </c>
      <c r="O243" s="307">
        <v>5.0163180000000001</v>
      </c>
      <c r="P243" s="307">
        <v>5.56576</v>
      </c>
      <c r="Q243" s="307">
        <v>4.4262860000000002</v>
      </c>
      <c r="R243" s="307">
        <v>2.5165169999999999</v>
      </c>
      <c r="S243" s="307">
        <v>1.945621</v>
      </c>
      <c r="T243" s="307">
        <v>2.1049630000000001</v>
      </c>
      <c r="U243" s="307">
        <v>3.9213420000000001</v>
      </c>
      <c r="V243" s="307">
        <v>4.0496670000000003</v>
      </c>
      <c r="W243" s="307">
        <v>2.0146600000000001</v>
      </c>
      <c r="X243" s="307">
        <v>2.7986059999999999</v>
      </c>
      <c r="Y243" s="307">
        <v>5.0061179999999998</v>
      </c>
      <c r="Z243" s="307">
        <v>2.1983540000000001</v>
      </c>
      <c r="AA243" s="307">
        <v>2.4473199999999999</v>
      </c>
      <c r="AB243" s="307">
        <v>3.276564</v>
      </c>
      <c r="AC243" s="307">
        <v>0</v>
      </c>
      <c r="AD243" s="307">
        <v>2.8844979999999998</v>
      </c>
      <c r="AE243" s="307">
        <v>4.6329409999999998</v>
      </c>
      <c r="AF243" s="307">
        <v>0</v>
      </c>
      <c r="AG243" s="307">
        <v>0</v>
      </c>
      <c r="AH243" s="307">
        <v>2.4530180000000001</v>
      </c>
      <c r="AI243" s="307">
        <v>2.3963739999999998</v>
      </c>
      <c r="AJ243" s="307">
        <v>4.4732070000000004</v>
      </c>
      <c r="AK243" s="307">
        <v>0</v>
      </c>
      <c r="AL243" s="307">
        <v>2.9721259999999998</v>
      </c>
      <c r="AM243" s="307">
        <v>3.8261059999999998</v>
      </c>
      <c r="AN243" s="307">
        <v>3.6459630000000001</v>
      </c>
      <c r="AO243" s="307">
        <v>3.8624390000000002</v>
      </c>
      <c r="AP243" s="307">
        <v>3.1060240000000001</v>
      </c>
      <c r="AQ243" s="307">
        <v>4.8393759999999997</v>
      </c>
      <c r="AR243" s="307">
        <v>3.3302689999999999</v>
      </c>
      <c r="AS243" s="307">
        <v>3.7064409999999999</v>
      </c>
      <c r="AT243" s="307">
        <v>2.5015149999999999</v>
      </c>
      <c r="AU243" s="307">
        <v>3.2464789999999999</v>
      </c>
      <c r="AV243" s="307">
        <v>3.7073809999999998</v>
      </c>
      <c r="AW243" s="307">
        <v>3.4563000000000001</v>
      </c>
      <c r="AX243" s="307">
        <v>5.0896379999999999</v>
      </c>
      <c r="AY243" s="307">
        <v>2.335626</v>
      </c>
      <c r="AZ243" s="307">
        <v>2.7019730000000002</v>
      </c>
      <c r="BA243" s="307">
        <v>0</v>
      </c>
      <c r="BB243" s="307">
        <v>0</v>
      </c>
      <c r="BC243" s="307">
        <v>2.474307</v>
      </c>
      <c r="BD243" s="307">
        <v>2.9702320000000002</v>
      </c>
      <c r="BE243" s="307">
        <v>2.6936979999999999</v>
      </c>
      <c r="BF243" s="307">
        <v>2.4930759999999998</v>
      </c>
      <c r="BG243" s="307">
        <v>3.3337219999999999</v>
      </c>
      <c r="BH243" s="307">
        <v>2.5690219999999999</v>
      </c>
      <c r="BI243" s="307">
        <v>3.2662840000000002</v>
      </c>
      <c r="BJ243" s="307">
        <v>3.2398690000000001</v>
      </c>
      <c r="BK243" s="307">
        <v>2.3084340000000001</v>
      </c>
      <c r="BL243">
        <f t="shared" si="12"/>
        <v>10</v>
      </c>
      <c r="BM243">
        <f t="shared" si="13"/>
        <v>3.2468927058823533</v>
      </c>
      <c r="BN243">
        <f t="shared" si="14"/>
        <v>5.56576</v>
      </c>
      <c r="BO243">
        <f t="array" ref="BO243">MIN(IF($C243:$BK243&gt;0, $C243:$BK243))</f>
        <v>1.556387</v>
      </c>
      <c r="BP243">
        <f t="shared" si="15"/>
        <v>2.8005749999999998</v>
      </c>
    </row>
    <row r="244" spans="1:68" x14ac:dyDescent="0.25">
      <c r="A244" s="306">
        <v>334511</v>
      </c>
      <c r="B244" s="307" t="s">
        <v>223</v>
      </c>
      <c r="C244" s="307">
        <v>3.5047860000000002</v>
      </c>
      <c r="D244" s="307">
        <v>0</v>
      </c>
      <c r="E244" s="307">
        <v>6.2884039999999999</v>
      </c>
      <c r="F244" s="307">
        <v>6.295299</v>
      </c>
      <c r="G244" s="307">
        <v>3.4354900000000002</v>
      </c>
      <c r="H244" s="307">
        <v>3.0988530000000001</v>
      </c>
      <c r="I244" s="307">
        <v>3.0017100000000001</v>
      </c>
      <c r="J244" s="307">
        <v>3.7298779999999998</v>
      </c>
      <c r="K244" s="307">
        <v>0.69219489999999995</v>
      </c>
      <c r="L244" s="307">
        <v>0</v>
      </c>
      <c r="M244" s="307">
        <v>4.5422919999999998</v>
      </c>
      <c r="N244" s="307">
        <v>3.781955</v>
      </c>
      <c r="O244" s="307">
        <v>5.7262230000000001</v>
      </c>
      <c r="P244" s="307">
        <v>4.2528009999999998</v>
      </c>
      <c r="Q244" s="307">
        <v>6.3852029999999997</v>
      </c>
      <c r="R244" s="307">
        <v>3.3619330000000001</v>
      </c>
      <c r="S244" s="307">
        <v>4.4990069999999998</v>
      </c>
      <c r="T244" s="307">
        <v>5.4583279999999998</v>
      </c>
      <c r="U244" s="307">
        <v>4.325278</v>
      </c>
      <c r="V244" s="307">
        <v>4.6836779999999996</v>
      </c>
      <c r="W244" s="307">
        <v>2.6168140000000002</v>
      </c>
      <c r="X244" s="307">
        <v>2.709457</v>
      </c>
      <c r="Y244" s="307">
        <v>6.22715</v>
      </c>
      <c r="Z244" s="307">
        <v>3.9588260000000002</v>
      </c>
      <c r="AA244" s="307">
        <v>4.3765999999999998</v>
      </c>
      <c r="AB244" s="307">
        <v>5.8004949999999997</v>
      </c>
      <c r="AC244" s="307">
        <v>5.6966200000000002</v>
      </c>
      <c r="AD244" s="307">
        <v>5.8887159999999996</v>
      </c>
      <c r="AE244" s="307">
        <v>6.4019069999999996</v>
      </c>
      <c r="AF244" s="307">
        <v>0</v>
      </c>
      <c r="AG244" s="307">
        <v>3.8622190000000001</v>
      </c>
      <c r="AH244" s="307">
        <v>2.6256110000000001</v>
      </c>
      <c r="AI244" s="307">
        <v>3.057776</v>
      </c>
      <c r="AJ244" s="307">
        <v>3.9545789999999998</v>
      </c>
      <c r="AK244" s="307">
        <v>4.9673610000000004</v>
      </c>
      <c r="AL244" s="307">
        <v>3.3008440000000001</v>
      </c>
      <c r="AM244" s="307">
        <v>4.7950949999999999</v>
      </c>
      <c r="AN244" s="307">
        <v>5.5762119999999999</v>
      </c>
      <c r="AO244" s="307">
        <v>2.9291770000000001</v>
      </c>
      <c r="AP244" s="307">
        <v>3.7745380000000002</v>
      </c>
      <c r="AQ244" s="307">
        <v>2.9333710000000002</v>
      </c>
      <c r="AR244" s="307">
        <v>3.3847230000000001</v>
      </c>
      <c r="AS244" s="307">
        <v>4.2306590000000002</v>
      </c>
      <c r="AT244" s="307">
        <v>6.2019729999999997</v>
      </c>
      <c r="AU244" s="307">
        <v>3.421859</v>
      </c>
      <c r="AV244" s="307">
        <v>5.0660189999999998</v>
      </c>
      <c r="AW244" s="307">
        <v>2.7460710000000002</v>
      </c>
      <c r="AX244" s="307">
        <v>5.7280059999999997</v>
      </c>
      <c r="AY244" s="307">
        <v>3.5833460000000001</v>
      </c>
      <c r="AZ244" s="307">
        <v>4.9769399999999999</v>
      </c>
      <c r="BA244" s="307">
        <v>0</v>
      </c>
      <c r="BB244" s="307">
        <v>6.5017810000000003</v>
      </c>
      <c r="BC244" s="307">
        <v>3.1382789999999998</v>
      </c>
      <c r="BD244" s="307">
        <v>3.470637</v>
      </c>
      <c r="BE244" s="307">
        <v>4.112984</v>
      </c>
      <c r="BF244" s="307">
        <v>4.4332070000000003</v>
      </c>
      <c r="BG244" s="307">
        <v>3.5226150000000001</v>
      </c>
      <c r="BH244" s="307">
        <v>6.1240040000000002</v>
      </c>
      <c r="BI244" s="307">
        <v>3.607685</v>
      </c>
      <c r="BJ244" s="307">
        <v>3.4426670000000001</v>
      </c>
      <c r="BK244" s="307">
        <v>3.123739</v>
      </c>
      <c r="BL244">
        <f t="shared" si="12"/>
        <v>4</v>
      </c>
      <c r="BM244">
        <f t="shared" si="13"/>
        <v>4.2690153491228093</v>
      </c>
      <c r="BN244">
        <f t="shared" si="14"/>
        <v>6.5017810000000003</v>
      </c>
      <c r="BO244">
        <f t="array" ref="BO244">MIN(IF($C244:$BK244&gt;0, $C244:$BK244))</f>
        <v>0.69219489999999995</v>
      </c>
      <c r="BP244">
        <f t="shared" si="15"/>
        <v>3.8622190000000001</v>
      </c>
    </row>
    <row r="245" spans="1:68" x14ac:dyDescent="0.25">
      <c r="A245" s="306">
        <v>334512</v>
      </c>
      <c r="B245" s="307" t="s">
        <v>224</v>
      </c>
      <c r="C245" s="307">
        <v>4.171881</v>
      </c>
      <c r="D245" s="307">
        <v>3.3232029999999999</v>
      </c>
      <c r="E245" s="307">
        <v>5.8016709999999998</v>
      </c>
      <c r="F245" s="307">
        <v>5.7812419999999998</v>
      </c>
      <c r="G245" s="307">
        <v>3.1967379999999999</v>
      </c>
      <c r="H245" s="307">
        <v>3.9086569999999998</v>
      </c>
      <c r="I245" s="307">
        <v>5.7248020000000004</v>
      </c>
      <c r="J245" s="307">
        <v>4.679011</v>
      </c>
      <c r="K245" s="307">
        <v>0</v>
      </c>
      <c r="L245" s="307">
        <v>0</v>
      </c>
      <c r="M245" s="307">
        <v>5.1114990000000002</v>
      </c>
      <c r="N245" s="307">
        <v>3.7343310000000001</v>
      </c>
      <c r="O245" s="307">
        <v>0</v>
      </c>
      <c r="P245" s="307">
        <v>6.6690240000000003</v>
      </c>
      <c r="Q245" s="307">
        <v>0</v>
      </c>
      <c r="R245" s="307">
        <v>3.5213260000000002</v>
      </c>
      <c r="S245" s="307">
        <v>5.7897619999999996</v>
      </c>
      <c r="T245" s="307">
        <v>3.7521450000000001</v>
      </c>
      <c r="U245" s="307">
        <v>5.9174319999999998</v>
      </c>
      <c r="V245" s="307">
        <v>6.6153959999999996</v>
      </c>
      <c r="W245" s="307">
        <v>3.5021360000000001</v>
      </c>
      <c r="X245" s="307">
        <v>3.0070770000000002</v>
      </c>
      <c r="Y245" s="307">
        <v>6.13117</v>
      </c>
      <c r="Z245" s="307">
        <v>6.1027430000000003</v>
      </c>
      <c r="AA245" s="307">
        <v>3.1643539999999999</v>
      </c>
      <c r="AB245" s="307">
        <v>3.6524800000000002</v>
      </c>
      <c r="AC245" s="307">
        <v>0</v>
      </c>
      <c r="AD245" s="307">
        <v>0</v>
      </c>
      <c r="AE245" s="307">
        <v>6.7202450000000002</v>
      </c>
      <c r="AF245" s="307">
        <v>0</v>
      </c>
      <c r="AG245" s="307">
        <v>6.4606329999999996</v>
      </c>
      <c r="AH245" s="307">
        <v>3.7916690000000002</v>
      </c>
      <c r="AI245" s="307">
        <v>3.5322149999999999</v>
      </c>
      <c r="AJ245" s="307">
        <v>3.182515</v>
      </c>
      <c r="AK245" s="307">
        <v>6.1011449999999998</v>
      </c>
      <c r="AL245" s="307">
        <v>4.5788460000000004</v>
      </c>
      <c r="AM245" s="307">
        <v>5.5213150000000004</v>
      </c>
      <c r="AN245" s="307">
        <v>5.3921530000000004</v>
      </c>
      <c r="AO245" s="307">
        <v>4.4951509999999999</v>
      </c>
      <c r="AP245" s="307">
        <v>5.8816490000000003</v>
      </c>
      <c r="AQ245" s="307">
        <v>4.7096229999999997</v>
      </c>
      <c r="AR245" s="307">
        <v>4.2438929999999999</v>
      </c>
      <c r="AS245" s="307">
        <v>4.4413400000000003</v>
      </c>
      <c r="AT245" s="307">
        <v>5.3447699999999996</v>
      </c>
      <c r="AU245" s="307">
        <v>4.1661760000000001</v>
      </c>
      <c r="AV245" s="307">
        <v>3.7900230000000001</v>
      </c>
      <c r="AW245" s="307">
        <v>3.3603700000000001</v>
      </c>
      <c r="AX245" s="307">
        <v>0</v>
      </c>
      <c r="AY245" s="307">
        <v>3.1609180000000001</v>
      </c>
      <c r="AZ245" s="307">
        <v>6.263801</v>
      </c>
      <c r="BA245" s="307">
        <v>3.4034749999999998</v>
      </c>
      <c r="BB245" s="307">
        <v>5.1604840000000003</v>
      </c>
      <c r="BC245" s="307">
        <v>4.6344070000000004</v>
      </c>
      <c r="BD245" s="307">
        <v>4.7850710000000003</v>
      </c>
      <c r="BE245" s="307">
        <v>4.2957609999999997</v>
      </c>
      <c r="BF245" s="307">
        <v>3.3963640000000002</v>
      </c>
      <c r="BG245" s="307">
        <v>4.6309250000000004</v>
      </c>
      <c r="BH245" s="307">
        <v>5.5321230000000003</v>
      </c>
      <c r="BI245" s="307">
        <v>5.3203690000000003</v>
      </c>
      <c r="BJ245" s="307">
        <v>3.3330609999999998</v>
      </c>
      <c r="BK245" s="307">
        <v>3.868916</v>
      </c>
      <c r="BL245">
        <f t="shared" si="12"/>
        <v>8</v>
      </c>
      <c r="BM245">
        <f t="shared" si="13"/>
        <v>4.6558016226415093</v>
      </c>
      <c r="BN245">
        <f t="shared" si="14"/>
        <v>6.7202450000000002</v>
      </c>
      <c r="BO245">
        <f t="array" ref="BO245">MIN(IF($C245:$BK245&gt;0, $C245:$BK245))</f>
        <v>3.0070770000000002</v>
      </c>
      <c r="BP245">
        <f t="shared" si="15"/>
        <v>4.2438929999999999</v>
      </c>
    </row>
    <row r="246" spans="1:68" x14ac:dyDescent="0.25">
      <c r="A246" s="306">
        <v>334513</v>
      </c>
      <c r="B246" s="307" t="s">
        <v>6</v>
      </c>
      <c r="C246" s="307">
        <v>4.5336340000000002</v>
      </c>
      <c r="D246" s="307">
        <v>4.1228049999999996</v>
      </c>
      <c r="E246" s="307">
        <v>5.4629139999999996</v>
      </c>
      <c r="F246" s="307">
        <v>6.3809589999999998</v>
      </c>
      <c r="G246" s="307">
        <v>5.4354690000000003</v>
      </c>
      <c r="H246" s="307">
        <v>4.2558239999999996</v>
      </c>
      <c r="I246" s="307">
        <v>4.3483099999999997</v>
      </c>
      <c r="J246" s="307">
        <v>4.2415440000000002</v>
      </c>
      <c r="K246" s="307">
        <v>0</v>
      </c>
      <c r="L246" s="307">
        <v>3.795032</v>
      </c>
      <c r="M246" s="307">
        <v>5.5549179999999998</v>
      </c>
      <c r="N246" s="307">
        <v>6.082967</v>
      </c>
      <c r="O246" s="307">
        <v>3.2235499999999999</v>
      </c>
      <c r="P246" s="307">
        <v>4.3523339999999999</v>
      </c>
      <c r="Q246" s="307">
        <v>4.439209</v>
      </c>
      <c r="R246" s="307">
        <v>4.2486649999999999</v>
      </c>
      <c r="S246" s="307">
        <v>6.3612399999999996</v>
      </c>
      <c r="T246" s="307">
        <v>5.1766909999999999</v>
      </c>
      <c r="U246" s="307">
        <v>6.2711860000000001</v>
      </c>
      <c r="V246" s="307">
        <v>5.2856120000000004</v>
      </c>
      <c r="W246" s="307">
        <v>3.1614450000000001</v>
      </c>
      <c r="X246" s="307">
        <v>4.1945220000000001</v>
      </c>
      <c r="Y246" s="307">
        <v>5.4088539999999998</v>
      </c>
      <c r="Z246" s="307">
        <v>4.1750600000000002</v>
      </c>
      <c r="AA246" s="307">
        <v>5.1149420000000001</v>
      </c>
      <c r="AB246" s="307">
        <v>4.852989</v>
      </c>
      <c r="AC246" s="307">
        <v>4.1301920000000001</v>
      </c>
      <c r="AD246" s="307">
        <v>6.0994520000000003</v>
      </c>
      <c r="AE246" s="307">
        <v>3.6039050000000001</v>
      </c>
      <c r="AF246" s="307">
        <v>0</v>
      </c>
      <c r="AG246" s="307">
        <v>6.1555109999999997</v>
      </c>
      <c r="AH246" s="307">
        <v>4.0920430000000003</v>
      </c>
      <c r="AI246" s="307">
        <v>3.6080510000000001</v>
      </c>
      <c r="AJ246" s="307">
        <v>4.6200890000000001</v>
      </c>
      <c r="AK246" s="307">
        <v>4.319706</v>
      </c>
      <c r="AL246" s="307">
        <v>4.6182470000000002</v>
      </c>
      <c r="AM246" s="307">
        <v>4.479984</v>
      </c>
      <c r="AN246" s="307">
        <v>6.126951</v>
      </c>
      <c r="AO246" s="307">
        <v>5.2757839999999998</v>
      </c>
      <c r="AP246" s="307">
        <v>3.9621430000000002</v>
      </c>
      <c r="AQ246" s="307">
        <v>5.0793650000000001</v>
      </c>
      <c r="AR246" s="307">
        <v>5.3042199999999999</v>
      </c>
      <c r="AS246" s="307">
        <v>4.3820410000000001</v>
      </c>
      <c r="AT246" s="307">
        <v>6.0061090000000004</v>
      </c>
      <c r="AU246" s="307">
        <v>4.0147269999999997</v>
      </c>
      <c r="AV246" s="307">
        <v>5.6345109999999998</v>
      </c>
      <c r="AW246" s="307">
        <v>4.6759440000000003</v>
      </c>
      <c r="AX246" s="307">
        <v>5.3123690000000003</v>
      </c>
      <c r="AY246" s="307">
        <v>4.626925</v>
      </c>
      <c r="AZ246" s="307">
        <v>5.1762280000000001</v>
      </c>
      <c r="BA246" s="307">
        <v>5.3417000000000003</v>
      </c>
      <c r="BB246" s="307">
        <v>0</v>
      </c>
      <c r="BC246" s="307">
        <v>4.0567770000000003</v>
      </c>
      <c r="BD246" s="307">
        <v>4.209822</v>
      </c>
      <c r="BE246" s="307">
        <v>4.7553609999999997</v>
      </c>
      <c r="BF246" s="307">
        <v>5.1649900000000004</v>
      </c>
      <c r="BG246" s="307">
        <v>4.4954580000000002</v>
      </c>
      <c r="BH246" s="307">
        <v>5.8826479999999997</v>
      </c>
      <c r="BI246" s="307">
        <v>4.4038550000000001</v>
      </c>
      <c r="BJ246" s="307">
        <v>4.7983269999999996</v>
      </c>
      <c r="BK246" s="307">
        <v>4.3314700000000004</v>
      </c>
      <c r="BL246">
        <f t="shared" si="12"/>
        <v>3</v>
      </c>
      <c r="BM246">
        <f t="shared" si="13"/>
        <v>4.8142341379310345</v>
      </c>
      <c r="BN246">
        <f t="shared" si="14"/>
        <v>6.3809589999999998</v>
      </c>
      <c r="BO246">
        <f t="array" ref="BO246">MIN(IF($C246:$BK246&gt;0, $C246:$BK246))</f>
        <v>3.1614450000000001</v>
      </c>
      <c r="BP246">
        <f t="shared" si="15"/>
        <v>4.6182470000000002</v>
      </c>
    </row>
    <row r="247" spans="1:68" x14ac:dyDescent="0.25">
      <c r="A247" s="306">
        <v>334514</v>
      </c>
      <c r="B247" s="307" t="s">
        <v>225</v>
      </c>
      <c r="C247" s="307">
        <v>2.9456479999999998</v>
      </c>
      <c r="D247" s="307">
        <v>0</v>
      </c>
      <c r="E247" s="307">
        <v>2.867604</v>
      </c>
      <c r="F247" s="307">
        <v>3.8590010000000001</v>
      </c>
      <c r="G247" s="307">
        <v>2.32192</v>
      </c>
      <c r="H247" s="307">
        <v>2.4760010000000001</v>
      </c>
      <c r="I247" s="307">
        <v>3.2473640000000001</v>
      </c>
      <c r="J247" s="307">
        <v>4.0766200000000001</v>
      </c>
      <c r="K247" s="307">
        <v>0</v>
      </c>
      <c r="L247" s="307">
        <v>0</v>
      </c>
      <c r="M247" s="307">
        <v>3.5459700000000001</v>
      </c>
      <c r="N247" s="307">
        <v>4.663761</v>
      </c>
      <c r="O247" s="307">
        <v>0</v>
      </c>
      <c r="P247" s="307">
        <v>3.6263770000000002</v>
      </c>
      <c r="Q247" s="307">
        <v>4.6524489999999998</v>
      </c>
      <c r="R247" s="307">
        <v>3.0491809999999999</v>
      </c>
      <c r="S247" s="307">
        <v>3.1954820000000002</v>
      </c>
      <c r="T247" s="307">
        <v>0</v>
      </c>
      <c r="U247" s="307">
        <v>3.9892509999999999</v>
      </c>
      <c r="V247" s="307">
        <v>2.9685169999999999</v>
      </c>
      <c r="W247" s="307">
        <v>2.94767</v>
      </c>
      <c r="X247" s="307">
        <v>3.3030400000000002</v>
      </c>
      <c r="Y247" s="307">
        <v>0</v>
      </c>
      <c r="Z247" s="307">
        <v>3.2383959999999998</v>
      </c>
      <c r="AA247" s="307">
        <v>4.6465990000000001</v>
      </c>
      <c r="AB247" s="307">
        <v>4.2459220000000002</v>
      </c>
      <c r="AC247" s="307">
        <v>0</v>
      </c>
      <c r="AD247" s="307">
        <v>0</v>
      </c>
      <c r="AE247" s="307">
        <v>3.3218730000000001</v>
      </c>
      <c r="AF247" s="307">
        <v>0</v>
      </c>
      <c r="AG247" s="307">
        <v>4.0194780000000003</v>
      </c>
      <c r="AH247" s="307">
        <v>0</v>
      </c>
      <c r="AI247" s="307">
        <v>2.9283130000000002</v>
      </c>
      <c r="AJ247" s="307">
        <v>3.1973229999999999</v>
      </c>
      <c r="AK247" s="307">
        <v>3.656218</v>
      </c>
      <c r="AL247" s="307">
        <v>2.3822920000000001</v>
      </c>
      <c r="AM247" s="307">
        <v>3.0392070000000002</v>
      </c>
      <c r="AN247" s="307">
        <v>2.316373</v>
      </c>
      <c r="AO247" s="307">
        <v>4.5800510000000001</v>
      </c>
      <c r="AP247" s="307">
        <v>2.571097</v>
      </c>
      <c r="AQ247" s="307">
        <v>0</v>
      </c>
      <c r="AR247" s="307">
        <v>3.4048210000000001</v>
      </c>
      <c r="AS247" s="307">
        <v>0</v>
      </c>
      <c r="AT247" s="307">
        <v>0</v>
      </c>
      <c r="AU247" s="307">
        <v>2.4159639999999998</v>
      </c>
      <c r="AV247" s="307">
        <v>0</v>
      </c>
      <c r="AW247" s="307">
        <v>2.7271209999999999</v>
      </c>
      <c r="AX247" s="307">
        <v>2.28423</v>
      </c>
      <c r="AY247" s="307">
        <v>3.4317959999999998</v>
      </c>
      <c r="AZ247" s="307">
        <v>2.2645040000000001</v>
      </c>
      <c r="BA247" s="307">
        <v>3.757517</v>
      </c>
      <c r="BB247" s="307">
        <v>0</v>
      </c>
      <c r="BC247" s="307">
        <v>4.1475160000000004</v>
      </c>
      <c r="BD247" s="307">
        <v>2.6349480000000001</v>
      </c>
      <c r="BE247" s="307">
        <v>2.9417589999999998</v>
      </c>
      <c r="BF247" s="307">
        <v>4.1517119999999998</v>
      </c>
      <c r="BG247" s="307">
        <v>3.49532</v>
      </c>
      <c r="BH247" s="307">
        <v>3.1445379999999998</v>
      </c>
      <c r="BI247" s="307">
        <v>2.4897300000000002</v>
      </c>
      <c r="BJ247" s="307">
        <v>2.562805</v>
      </c>
      <c r="BK247" s="307">
        <v>2.645572</v>
      </c>
      <c r="BL247">
        <f t="shared" si="12"/>
        <v>15</v>
      </c>
      <c r="BM247">
        <f t="shared" si="13"/>
        <v>3.2691054565217392</v>
      </c>
      <c r="BN247">
        <f t="shared" si="14"/>
        <v>4.663761</v>
      </c>
      <c r="BO247">
        <f t="array" ref="BO247">MIN(IF($C247:$BK247&gt;0, $C247:$BK247))</f>
        <v>2.2645040000000001</v>
      </c>
      <c r="BP247">
        <f t="shared" si="15"/>
        <v>2.9417589999999998</v>
      </c>
    </row>
    <row r="248" spans="1:68" x14ac:dyDescent="0.25">
      <c r="A248" s="306">
        <v>334515</v>
      </c>
      <c r="B248" s="307" t="s">
        <v>4</v>
      </c>
      <c r="C248" s="307">
        <v>4.4807139999999999</v>
      </c>
      <c r="D248" s="307">
        <v>0</v>
      </c>
      <c r="E248" s="307">
        <v>5.1115250000000003</v>
      </c>
      <c r="F248" s="307">
        <v>9.7931299999999997</v>
      </c>
      <c r="G248" s="307">
        <v>5.5072469999999996</v>
      </c>
      <c r="H248" s="307">
        <v>3.6033759999999999</v>
      </c>
      <c r="I248" s="307">
        <v>3.5943130000000001</v>
      </c>
      <c r="J248" s="307">
        <v>4.5488419999999996</v>
      </c>
      <c r="K248" s="307">
        <v>0.55531909999999995</v>
      </c>
      <c r="L248" s="307">
        <v>5.4196629999999999</v>
      </c>
      <c r="M248" s="307">
        <v>6.6144879999999997</v>
      </c>
      <c r="N248" s="307">
        <v>5.982227</v>
      </c>
      <c r="O248" s="307">
        <v>0</v>
      </c>
      <c r="P248" s="307">
        <v>9.2155539999999991</v>
      </c>
      <c r="Q248" s="307">
        <v>6.7560380000000002</v>
      </c>
      <c r="R248" s="307">
        <v>5.5634629999999996</v>
      </c>
      <c r="S248" s="307">
        <v>5.4868180000000004</v>
      </c>
      <c r="T248" s="307">
        <v>6.4072190000000004</v>
      </c>
      <c r="U248" s="307">
        <v>9.510135</v>
      </c>
      <c r="V248" s="307">
        <v>9.8033009999999994</v>
      </c>
      <c r="W248" s="307">
        <v>3.3647710000000002</v>
      </c>
      <c r="X248" s="307">
        <v>3.244364</v>
      </c>
      <c r="Y248" s="307">
        <v>0</v>
      </c>
      <c r="Z248" s="307">
        <v>6.2890959999999998</v>
      </c>
      <c r="AA248" s="307">
        <v>5.9784750000000004</v>
      </c>
      <c r="AB248" s="307">
        <v>6.7800969999999996</v>
      </c>
      <c r="AC248" s="307">
        <v>9.3614669999999993</v>
      </c>
      <c r="AD248" s="307">
        <v>7.6398149999999996</v>
      </c>
      <c r="AE248" s="307">
        <v>5.1116029999999997</v>
      </c>
      <c r="AF248" s="307">
        <v>0</v>
      </c>
      <c r="AG248" s="307">
        <v>8.5826910000000005</v>
      </c>
      <c r="AH248" s="307">
        <v>4.8653399999999998</v>
      </c>
      <c r="AI248" s="307">
        <v>4.4475559999999996</v>
      </c>
      <c r="AJ248" s="307">
        <v>8.0277940000000001</v>
      </c>
      <c r="AK248" s="307">
        <v>6.4376879999999996</v>
      </c>
      <c r="AL248" s="307">
        <v>5.2615930000000004</v>
      </c>
      <c r="AM248" s="307">
        <v>7.4836960000000001</v>
      </c>
      <c r="AN248" s="307">
        <v>5.922828</v>
      </c>
      <c r="AO248" s="307">
        <v>3.6849259999999999</v>
      </c>
      <c r="AP248" s="307">
        <v>5.1756799999999998</v>
      </c>
      <c r="AQ248" s="307">
        <v>6.6015069999999998</v>
      </c>
      <c r="AR248" s="307">
        <v>9.6923569999999994</v>
      </c>
      <c r="AS248" s="307">
        <v>3.8810280000000001</v>
      </c>
      <c r="AT248" s="307">
        <v>3.4605570000000001</v>
      </c>
      <c r="AU248" s="307">
        <v>5.8144559999999998</v>
      </c>
      <c r="AV248" s="307">
        <v>4.7210869999999998</v>
      </c>
      <c r="AW248" s="307">
        <v>5.60459</v>
      </c>
      <c r="AX248" s="307">
        <v>8.1111719999999998</v>
      </c>
      <c r="AY248" s="307">
        <v>4.0812059999999999</v>
      </c>
      <c r="AZ248" s="307">
        <v>9.7743859999999998</v>
      </c>
      <c r="BA248" s="307">
        <v>8.0223700000000004</v>
      </c>
      <c r="BB248" s="307">
        <v>0</v>
      </c>
      <c r="BC248" s="307">
        <v>4.2621599999999997</v>
      </c>
      <c r="BD248" s="307">
        <v>5.2582719999999998</v>
      </c>
      <c r="BE248" s="307">
        <v>6.5650029999999999</v>
      </c>
      <c r="BF248" s="307">
        <v>6.8156480000000004</v>
      </c>
      <c r="BG248" s="307">
        <v>4.8480530000000002</v>
      </c>
      <c r="BH248" s="307">
        <v>6.137289</v>
      </c>
      <c r="BI248" s="307">
        <v>5.8452840000000004</v>
      </c>
      <c r="BJ248" s="307">
        <v>4.5661230000000002</v>
      </c>
      <c r="BK248" s="307">
        <v>3.6936200000000001</v>
      </c>
      <c r="BL248">
        <f t="shared" si="12"/>
        <v>5</v>
      </c>
      <c r="BM248">
        <f t="shared" si="13"/>
        <v>5.9530182160714293</v>
      </c>
      <c r="BN248">
        <f t="shared" si="14"/>
        <v>9.8033009999999994</v>
      </c>
      <c r="BO248">
        <f t="array" ref="BO248">MIN(IF($C248:$BK248&gt;0, $C248:$BK248))</f>
        <v>0.55531909999999995</v>
      </c>
      <c r="BP248">
        <f t="shared" si="15"/>
        <v>5.5072469999999996</v>
      </c>
    </row>
    <row r="249" spans="1:68" x14ac:dyDescent="0.25">
      <c r="A249" s="306">
        <v>334516</v>
      </c>
      <c r="B249" s="307" t="s">
        <v>226</v>
      </c>
      <c r="C249" s="307">
        <v>3.459673</v>
      </c>
      <c r="D249" s="307">
        <v>0</v>
      </c>
      <c r="E249" s="307">
        <v>5.147939</v>
      </c>
      <c r="F249" s="307">
        <v>0</v>
      </c>
      <c r="G249" s="307">
        <v>3.4677410000000002</v>
      </c>
      <c r="H249" s="307">
        <v>3.0483150000000001</v>
      </c>
      <c r="I249" s="307">
        <v>3.9992700000000001</v>
      </c>
      <c r="J249" s="307">
        <v>2.9184399999999999</v>
      </c>
      <c r="K249" s="307">
        <v>0.5656525</v>
      </c>
      <c r="L249" s="307">
        <v>1.9150229999999999</v>
      </c>
      <c r="M249" s="307">
        <v>4.8792299999999997</v>
      </c>
      <c r="N249" s="307">
        <v>5.55633</v>
      </c>
      <c r="O249" s="307">
        <v>0</v>
      </c>
      <c r="P249" s="307">
        <v>0</v>
      </c>
      <c r="Q249" s="307">
        <v>5.9302599999999996</v>
      </c>
      <c r="R249" s="307">
        <v>4.2540230000000001</v>
      </c>
      <c r="S249" s="307">
        <v>4.3123699999999996</v>
      </c>
      <c r="T249" s="307">
        <v>0</v>
      </c>
      <c r="U249" s="307">
        <v>5.4471569999999998</v>
      </c>
      <c r="V249" s="307">
        <v>5.8529629999999999</v>
      </c>
      <c r="W249" s="307">
        <v>2.650595</v>
      </c>
      <c r="X249" s="307">
        <v>3.1473450000000001</v>
      </c>
      <c r="Y249" s="307">
        <v>4.8346609999999997</v>
      </c>
      <c r="Z249" s="307">
        <v>4.6206259999999997</v>
      </c>
      <c r="AA249" s="307">
        <v>3.8622809999999999</v>
      </c>
      <c r="AB249" s="307">
        <v>5.4120569999999999</v>
      </c>
      <c r="AC249" s="307">
        <v>5.5892030000000004</v>
      </c>
      <c r="AD249" s="307">
        <v>5.4692049999999997</v>
      </c>
      <c r="AE249" s="307">
        <v>4.799213</v>
      </c>
      <c r="AF249" s="307">
        <v>0</v>
      </c>
      <c r="AG249" s="307">
        <v>4.4525300000000003</v>
      </c>
      <c r="AH249" s="307">
        <v>4.8696700000000002</v>
      </c>
      <c r="AI249" s="307">
        <v>3.5101800000000001</v>
      </c>
      <c r="AJ249" s="307">
        <v>4.0641420000000004</v>
      </c>
      <c r="AK249" s="307">
        <v>4.2777649999999996</v>
      </c>
      <c r="AL249" s="307">
        <v>3.5211809999999999</v>
      </c>
      <c r="AM249" s="307">
        <v>4.8208270000000004</v>
      </c>
      <c r="AN249" s="307">
        <v>3.965268</v>
      </c>
      <c r="AO249" s="307">
        <v>3.0471300000000001</v>
      </c>
      <c r="AP249" s="307">
        <v>4.2770919999999997</v>
      </c>
      <c r="AQ249" s="307">
        <v>4.3413899999999996</v>
      </c>
      <c r="AR249" s="307">
        <v>5.294441</v>
      </c>
      <c r="AS249" s="307">
        <v>0</v>
      </c>
      <c r="AT249" s="307">
        <v>3.7947320000000002</v>
      </c>
      <c r="AU249" s="307">
        <v>3.5620219999999998</v>
      </c>
      <c r="AV249" s="307">
        <v>5.0406459999999997</v>
      </c>
      <c r="AW249" s="307">
        <v>3.8791980000000001</v>
      </c>
      <c r="AX249" s="307">
        <v>4.4795290000000003</v>
      </c>
      <c r="AY249" s="307">
        <v>2.9069780000000001</v>
      </c>
      <c r="AZ249" s="307">
        <v>3.7818160000000001</v>
      </c>
      <c r="BA249" s="307">
        <v>0</v>
      </c>
      <c r="BB249" s="307">
        <v>4.3528789999999997</v>
      </c>
      <c r="BC249" s="307">
        <v>3.1700210000000002</v>
      </c>
      <c r="BD249" s="307">
        <v>3.998456</v>
      </c>
      <c r="BE249" s="307">
        <v>4.3740319999999997</v>
      </c>
      <c r="BF249" s="307">
        <v>4.5420509999999998</v>
      </c>
      <c r="BG249" s="307">
        <v>3.7748550000000001</v>
      </c>
      <c r="BH249" s="307">
        <v>4.7140250000000004</v>
      </c>
      <c r="BI249" s="307">
        <v>3.6191490000000002</v>
      </c>
      <c r="BJ249" s="307">
        <v>4.1844400000000004</v>
      </c>
      <c r="BK249" s="307">
        <v>3.0540980000000002</v>
      </c>
      <c r="BL249">
        <f t="shared" si="12"/>
        <v>8</v>
      </c>
      <c r="BM249">
        <f t="shared" si="13"/>
        <v>4.1284927452830198</v>
      </c>
      <c r="BN249">
        <f t="shared" si="14"/>
        <v>5.9302599999999996</v>
      </c>
      <c r="BO249">
        <f t="array" ref="BO249">MIN(IF($C249:$BK249&gt;0, $C249:$BK249))</f>
        <v>0.5656525</v>
      </c>
      <c r="BP249">
        <f t="shared" si="15"/>
        <v>3.998456</v>
      </c>
    </row>
    <row r="250" spans="1:68" x14ac:dyDescent="0.25">
      <c r="A250" s="306">
        <v>334517</v>
      </c>
      <c r="B250" s="307" t="s">
        <v>227</v>
      </c>
      <c r="C250" s="307">
        <v>2.205781</v>
      </c>
      <c r="D250" s="307">
        <v>2.1669260000000001</v>
      </c>
      <c r="E250" s="307">
        <v>4.4694500000000001</v>
      </c>
      <c r="F250" s="307">
        <v>0</v>
      </c>
      <c r="G250" s="307">
        <v>2.026383</v>
      </c>
      <c r="H250" s="307">
        <v>2.2649940000000002</v>
      </c>
      <c r="I250" s="307">
        <v>2.0109530000000002</v>
      </c>
      <c r="J250" s="307">
        <v>1.8874500000000001</v>
      </c>
      <c r="K250" s="307">
        <v>0</v>
      </c>
      <c r="L250" s="307">
        <v>0</v>
      </c>
      <c r="M250" s="307">
        <v>2.6789890000000001</v>
      </c>
      <c r="N250" s="307">
        <v>3.573982</v>
      </c>
      <c r="O250" s="307">
        <v>0</v>
      </c>
      <c r="P250" s="307">
        <v>4.5155640000000004</v>
      </c>
      <c r="Q250" s="307">
        <v>0</v>
      </c>
      <c r="R250" s="307">
        <v>2.4756390000000001</v>
      </c>
      <c r="S250" s="307">
        <v>2.7788909999999998</v>
      </c>
      <c r="T250" s="307">
        <v>4.077483</v>
      </c>
      <c r="U250" s="307">
        <v>4.3450329999999999</v>
      </c>
      <c r="V250" s="307">
        <v>1.728726</v>
      </c>
      <c r="W250" s="307">
        <v>1.5596380000000001</v>
      </c>
      <c r="X250" s="307">
        <v>1.8602780000000001</v>
      </c>
      <c r="Y250" s="307">
        <v>0</v>
      </c>
      <c r="Z250" s="307">
        <v>1.7415860000000001</v>
      </c>
      <c r="AA250" s="307">
        <v>3.3042799999999999</v>
      </c>
      <c r="AB250" s="307">
        <v>4.1416909999999998</v>
      </c>
      <c r="AC250" s="307">
        <v>0</v>
      </c>
      <c r="AD250" s="307">
        <v>0</v>
      </c>
      <c r="AE250" s="307">
        <v>4.5502099999999999</v>
      </c>
      <c r="AF250" s="307">
        <v>0</v>
      </c>
      <c r="AG250" s="307">
        <v>0</v>
      </c>
      <c r="AH250" s="307">
        <v>0</v>
      </c>
      <c r="AI250" s="307">
        <v>3.2748219999999999</v>
      </c>
      <c r="AJ250" s="307">
        <v>2.9598879999999999</v>
      </c>
      <c r="AK250" s="307">
        <v>0</v>
      </c>
      <c r="AL250" s="307">
        <v>1.936663</v>
      </c>
      <c r="AM250" s="307">
        <v>2.993738</v>
      </c>
      <c r="AN250" s="307">
        <v>3.3085119999999999</v>
      </c>
      <c r="AO250" s="307">
        <v>4.4679180000000001</v>
      </c>
      <c r="AP250" s="307">
        <v>1.874654</v>
      </c>
      <c r="AQ250" s="307">
        <v>3.55999</v>
      </c>
      <c r="AR250" s="307">
        <v>0</v>
      </c>
      <c r="AS250" s="307">
        <v>0</v>
      </c>
      <c r="AT250" s="307">
        <v>2.9136709999999999</v>
      </c>
      <c r="AU250" s="307">
        <v>2.1711529999999999</v>
      </c>
      <c r="AV250" s="307">
        <v>2.3864420000000002</v>
      </c>
      <c r="AW250" s="307">
        <v>0</v>
      </c>
      <c r="AX250" s="307">
        <v>3.3616899999999998</v>
      </c>
      <c r="AY250" s="307">
        <v>2.6649790000000002</v>
      </c>
      <c r="AZ250" s="307">
        <v>1.91947</v>
      </c>
      <c r="BA250" s="307">
        <v>3.6655579999999999</v>
      </c>
      <c r="BB250" s="307">
        <v>0</v>
      </c>
      <c r="BC250" s="307">
        <v>2.124158</v>
      </c>
      <c r="BD250" s="307">
        <v>2.1390920000000002</v>
      </c>
      <c r="BE250" s="307">
        <v>2.05315</v>
      </c>
      <c r="BF250" s="307">
        <v>4.1852970000000003</v>
      </c>
      <c r="BG250" s="307">
        <v>3.5280499999999999</v>
      </c>
      <c r="BH250" s="307">
        <v>3.953414</v>
      </c>
      <c r="BI250" s="307">
        <v>2.3579850000000002</v>
      </c>
      <c r="BJ250" s="307">
        <v>2.4149889999999998</v>
      </c>
      <c r="BK250" s="307">
        <v>2.277739</v>
      </c>
      <c r="BL250">
        <f t="shared" si="12"/>
        <v>16</v>
      </c>
      <c r="BM250">
        <f t="shared" si="13"/>
        <v>2.863487755555556</v>
      </c>
      <c r="BN250">
        <f t="shared" si="14"/>
        <v>4.5502099999999999</v>
      </c>
      <c r="BO250">
        <f t="array" ref="BO250">MIN(IF($C250:$BK250&gt;0, $C250:$BK250))</f>
        <v>1.5596380000000001</v>
      </c>
      <c r="BP250">
        <f t="shared" si="15"/>
        <v>2.1711529999999999</v>
      </c>
    </row>
    <row r="251" spans="1:68" x14ac:dyDescent="0.25">
      <c r="A251" s="306" t="s">
        <v>740</v>
      </c>
      <c r="B251" s="307" t="s">
        <v>228</v>
      </c>
      <c r="C251" s="307">
        <v>4.6727350000000003</v>
      </c>
      <c r="D251" s="307">
        <v>0</v>
      </c>
      <c r="E251" s="307">
        <v>7.4552259999999997</v>
      </c>
      <c r="F251" s="307">
        <v>7.4634090000000004</v>
      </c>
      <c r="G251" s="307">
        <v>6.1249349999999998</v>
      </c>
      <c r="H251" s="307">
        <v>4.1075650000000001</v>
      </c>
      <c r="I251" s="307">
        <v>4.9726569999999999</v>
      </c>
      <c r="J251" s="307">
        <v>3.6782979999999998</v>
      </c>
      <c r="K251" s="307">
        <v>0</v>
      </c>
      <c r="L251" s="307">
        <v>0</v>
      </c>
      <c r="M251" s="307">
        <v>5.1510129999999998</v>
      </c>
      <c r="N251" s="307">
        <v>5.5277659999999997</v>
      </c>
      <c r="O251" s="307">
        <v>0</v>
      </c>
      <c r="P251" s="307">
        <v>5.8904240000000003</v>
      </c>
      <c r="Q251" s="307">
        <v>6.3038749999999997</v>
      </c>
      <c r="R251" s="307">
        <v>4.5942020000000001</v>
      </c>
      <c r="S251" s="307">
        <v>5.0484330000000002</v>
      </c>
      <c r="T251" s="307">
        <v>5.9611539999999996</v>
      </c>
      <c r="U251" s="307">
        <v>5.9888839999999997</v>
      </c>
      <c r="V251" s="307">
        <v>5.8984449999999997</v>
      </c>
      <c r="W251" s="307">
        <v>3.3849130000000001</v>
      </c>
      <c r="X251" s="307">
        <v>4.7994329999999996</v>
      </c>
      <c r="Y251" s="307">
        <v>7.3826419999999997</v>
      </c>
      <c r="Z251" s="307">
        <v>4.9621829999999996</v>
      </c>
      <c r="AA251" s="307">
        <v>3.810883</v>
      </c>
      <c r="AB251" s="307">
        <v>3.568038</v>
      </c>
      <c r="AC251" s="307">
        <v>7.1343560000000004</v>
      </c>
      <c r="AD251" s="307">
        <v>6.9814930000000004</v>
      </c>
      <c r="AE251" s="307">
        <v>5.9779660000000003</v>
      </c>
      <c r="AF251" s="307">
        <v>6.6280029999999996</v>
      </c>
      <c r="AG251" s="307">
        <v>7.2964510000000002</v>
      </c>
      <c r="AH251" s="307">
        <v>3.5177209999999999</v>
      </c>
      <c r="AI251" s="307">
        <v>3.8935149999999998</v>
      </c>
      <c r="AJ251" s="307">
        <v>4.8633290000000002</v>
      </c>
      <c r="AK251" s="307">
        <v>4.8193060000000001</v>
      </c>
      <c r="AL251" s="307">
        <v>4.2955610000000002</v>
      </c>
      <c r="AM251" s="307">
        <v>5.1558999999999999</v>
      </c>
      <c r="AN251" s="307">
        <v>7.1186299999999996</v>
      </c>
      <c r="AO251" s="307">
        <v>4.8963650000000003</v>
      </c>
      <c r="AP251" s="307">
        <v>4.9538159999999998</v>
      </c>
      <c r="AQ251" s="307">
        <v>6.5489689999999996</v>
      </c>
      <c r="AR251" s="307">
        <v>5.1092449999999996</v>
      </c>
      <c r="AS251" s="307">
        <v>0</v>
      </c>
      <c r="AT251" s="307">
        <v>4.443295</v>
      </c>
      <c r="AU251" s="307">
        <v>4.6929499999999997</v>
      </c>
      <c r="AV251" s="307">
        <v>5.0804119999999999</v>
      </c>
      <c r="AW251" s="307">
        <v>3.521595</v>
      </c>
      <c r="AX251" s="307">
        <v>4.3832690000000003</v>
      </c>
      <c r="AY251" s="307">
        <v>4.2897150000000002</v>
      </c>
      <c r="AZ251" s="307">
        <v>5.102201</v>
      </c>
      <c r="BA251" s="307">
        <v>6.1138149999999998</v>
      </c>
      <c r="BB251" s="307">
        <v>5.3546509999999996</v>
      </c>
      <c r="BC251" s="307">
        <v>3.9937269999999998</v>
      </c>
      <c r="BD251" s="307">
        <v>4.655348</v>
      </c>
      <c r="BE251" s="307">
        <v>4.999676</v>
      </c>
      <c r="BF251" s="307">
        <v>4.3669580000000003</v>
      </c>
      <c r="BG251" s="307">
        <v>5.4584770000000002</v>
      </c>
      <c r="BH251" s="307">
        <v>4.8881930000000002</v>
      </c>
      <c r="BI251" s="307">
        <v>4.8736600000000001</v>
      </c>
      <c r="BJ251" s="307">
        <v>5.3319429999999999</v>
      </c>
      <c r="BK251" s="307">
        <v>4.2213969999999996</v>
      </c>
      <c r="BL251">
        <f t="shared" si="12"/>
        <v>5</v>
      </c>
      <c r="BM251">
        <f t="shared" si="13"/>
        <v>5.2090896607142856</v>
      </c>
      <c r="BN251">
        <f t="shared" si="14"/>
        <v>7.4634090000000004</v>
      </c>
      <c r="BO251">
        <f t="array" ref="BO251">MIN(IF($C251:$BK251&gt;0, $C251:$BK251))</f>
        <v>3.3849130000000001</v>
      </c>
      <c r="BP251">
        <f t="shared" si="15"/>
        <v>4.9538159999999998</v>
      </c>
    </row>
    <row r="252" spans="1:68" x14ac:dyDescent="0.25">
      <c r="A252" s="306">
        <v>334613</v>
      </c>
      <c r="B252" s="307" t="s">
        <v>229</v>
      </c>
      <c r="C252" s="307">
        <v>1.6340399999999999</v>
      </c>
      <c r="D252" s="307">
        <v>0</v>
      </c>
      <c r="E252" s="307">
        <v>2.2451569999999998</v>
      </c>
      <c r="F252" s="307">
        <v>0</v>
      </c>
      <c r="G252" s="307">
        <v>1.3592630000000001</v>
      </c>
      <c r="H252" s="307">
        <v>1.3576079999999999</v>
      </c>
      <c r="I252" s="307">
        <v>1.799272</v>
      </c>
      <c r="J252" s="307">
        <v>2.194045</v>
      </c>
      <c r="K252" s="307">
        <v>0.38652130000000001</v>
      </c>
      <c r="L252" s="307">
        <v>0</v>
      </c>
      <c r="M252" s="307">
        <v>1.5995809999999999</v>
      </c>
      <c r="N252" s="307">
        <v>1.902647</v>
      </c>
      <c r="O252" s="307">
        <v>0</v>
      </c>
      <c r="P252" s="307">
        <v>0</v>
      </c>
      <c r="Q252" s="307">
        <v>0</v>
      </c>
      <c r="R252" s="307">
        <v>2.0882070000000001</v>
      </c>
      <c r="S252" s="307">
        <v>0</v>
      </c>
      <c r="T252" s="307">
        <v>2.3301059999999998</v>
      </c>
      <c r="U252" s="307">
        <v>0</v>
      </c>
      <c r="V252" s="307">
        <v>0</v>
      </c>
      <c r="W252" s="307">
        <v>2.0730659999999999</v>
      </c>
      <c r="X252" s="307">
        <v>3.1555520000000001</v>
      </c>
      <c r="Y252" s="307">
        <v>3.3795459999999999</v>
      </c>
      <c r="Z252" s="307">
        <v>0</v>
      </c>
      <c r="AA252" s="307">
        <v>2.4097080000000002</v>
      </c>
      <c r="AB252" s="307">
        <v>0</v>
      </c>
      <c r="AC252" s="307">
        <v>0</v>
      </c>
      <c r="AD252" s="307">
        <v>0</v>
      </c>
      <c r="AE252" s="307">
        <v>2.445443</v>
      </c>
      <c r="AF252" s="307">
        <v>1.2389319999999999</v>
      </c>
      <c r="AG252" s="307">
        <v>0</v>
      </c>
      <c r="AH252" s="307">
        <v>0</v>
      </c>
      <c r="AI252" s="307">
        <v>1.287749</v>
      </c>
      <c r="AJ252" s="307">
        <v>0</v>
      </c>
      <c r="AK252" s="307">
        <v>2.650493</v>
      </c>
      <c r="AL252" s="307">
        <v>1.4582349999999999</v>
      </c>
      <c r="AM252" s="307">
        <v>0</v>
      </c>
      <c r="AN252" s="307">
        <v>1.987641</v>
      </c>
      <c r="AO252" s="307">
        <v>0</v>
      </c>
      <c r="AP252" s="307">
        <v>0</v>
      </c>
      <c r="AQ252" s="307">
        <v>0</v>
      </c>
      <c r="AR252" s="307">
        <v>0</v>
      </c>
      <c r="AS252" s="307">
        <v>0</v>
      </c>
      <c r="AT252" s="307">
        <v>0</v>
      </c>
      <c r="AU252" s="307">
        <v>2.8420550000000002</v>
      </c>
      <c r="AV252" s="307">
        <v>2.784322</v>
      </c>
      <c r="AW252" s="307">
        <v>0</v>
      </c>
      <c r="AX252" s="307">
        <v>0</v>
      </c>
      <c r="AY252" s="307">
        <v>3.3426490000000002</v>
      </c>
      <c r="AZ252" s="307">
        <v>0</v>
      </c>
      <c r="BA252" s="307">
        <v>0</v>
      </c>
      <c r="BB252" s="307">
        <v>0</v>
      </c>
      <c r="BC252" s="307">
        <v>2.373551</v>
      </c>
      <c r="BD252" s="307">
        <v>1.5480510000000001</v>
      </c>
      <c r="BE252" s="307">
        <v>2.1358980000000001</v>
      </c>
      <c r="BF252" s="307">
        <v>1.8972180000000001</v>
      </c>
      <c r="BG252" s="307">
        <v>2.2760549999999999</v>
      </c>
      <c r="BH252" s="307">
        <v>2.2591290000000002</v>
      </c>
      <c r="BI252" s="307">
        <v>2.3804340000000002</v>
      </c>
      <c r="BJ252" s="307">
        <v>2.2516259999999999</v>
      </c>
      <c r="BK252" s="307">
        <v>1.358857</v>
      </c>
      <c r="BL252">
        <f t="shared" si="12"/>
        <v>28</v>
      </c>
      <c r="BM252">
        <f t="shared" si="13"/>
        <v>2.0737168878787879</v>
      </c>
      <c r="BN252">
        <f t="shared" si="14"/>
        <v>3.3795459999999999</v>
      </c>
      <c r="BO252">
        <f t="array" ref="BO252">MIN(IF($C252:$BK252&gt;0, $C252:$BK252))</f>
        <v>0.38652130000000001</v>
      </c>
      <c r="BP252">
        <f t="shared" si="15"/>
        <v>1.287749</v>
      </c>
    </row>
    <row r="253" spans="1:68" x14ac:dyDescent="0.25">
      <c r="A253" s="306" t="s">
        <v>741</v>
      </c>
      <c r="B253" s="307" t="s">
        <v>742</v>
      </c>
      <c r="C253" s="307">
        <v>3.729784</v>
      </c>
      <c r="D253" s="307">
        <v>0</v>
      </c>
      <c r="E253" s="307">
        <v>6.6759649999999997</v>
      </c>
      <c r="F253" s="307">
        <v>3.443791</v>
      </c>
      <c r="G253" s="307">
        <v>4.7878280000000002</v>
      </c>
      <c r="H253" s="307">
        <v>3.1675239999999998</v>
      </c>
      <c r="I253" s="307">
        <v>2.4938500000000001</v>
      </c>
      <c r="J253" s="307">
        <v>5.3296210000000004</v>
      </c>
      <c r="K253" s="307">
        <v>0.46276309999999998</v>
      </c>
      <c r="L253" s="307">
        <v>3.5757409999999998</v>
      </c>
      <c r="M253" s="307">
        <v>4.6514389999999999</v>
      </c>
      <c r="N253" s="307">
        <v>3.7289089999999998</v>
      </c>
      <c r="O253" s="307">
        <v>0</v>
      </c>
      <c r="P253" s="307">
        <v>3.461036</v>
      </c>
      <c r="Q253" s="307">
        <v>5.2138400000000003</v>
      </c>
      <c r="R253" s="307">
        <v>3.145546</v>
      </c>
      <c r="S253" s="307">
        <v>5.2923090000000004</v>
      </c>
      <c r="T253" s="307">
        <v>2.2208960000000002</v>
      </c>
      <c r="U253" s="307">
        <v>6.1803800000000004</v>
      </c>
      <c r="V253" s="307">
        <v>4.4178249999999997</v>
      </c>
      <c r="W253" s="307">
        <v>3.2041650000000002</v>
      </c>
      <c r="X253" s="307">
        <v>2.2509730000000001</v>
      </c>
      <c r="Y253" s="307">
        <v>4.5259729999999996</v>
      </c>
      <c r="Z253" s="307">
        <v>5.6749409999999996</v>
      </c>
      <c r="AA253" s="307">
        <v>4.6780520000000001</v>
      </c>
      <c r="AB253" s="307">
        <v>2.7860749999999999</v>
      </c>
      <c r="AC253" s="307">
        <v>0</v>
      </c>
      <c r="AD253" s="307">
        <v>5.735347</v>
      </c>
      <c r="AE253" s="307">
        <v>2.4783330000000001</v>
      </c>
      <c r="AF253" s="307">
        <v>0</v>
      </c>
      <c r="AG253" s="307">
        <v>6.5341449999999996</v>
      </c>
      <c r="AH253" s="307">
        <v>5.3152169999999996</v>
      </c>
      <c r="AI253" s="307">
        <v>4.0556950000000001</v>
      </c>
      <c r="AJ253" s="307">
        <v>6.8094219999999996</v>
      </c>
      <c r="AK253" s="307">
        <v>6.1702450000000004</v>
      </c>
      <c r="AL253" s="307">
        <v>2.888808</v>
      </c>
      <c r="AM253" s="307">
        <v>2.4632580000000002</v>
      </c>
      <c r="AN253" s="307">
        <v>5.0465590000000002</v>
      </c>
      <c r="AO253" s="307">
        <v>6.2805689999999998</v>
      </c>
      <c r="AP253" s="307">
        <v>3.471975</v>
      </c>
      <c r="AQ253" s="307">
        <v>3.3167689999999999</v>
      </c>
      <c r="AR253" s="307">
        <v>3.8114430000000001</v>
      </c>
      <c r="AS253" s="307">
        <v>0</v>
      </c>
      <c r="AT253" s="307">
        <v>4.5029719999999998</v>
      </c>
      <c r="AU253" s="307">
        <v>2.9932379999999998</v>
      </c>
      <c r="AV253" s="307">
        <v>5.3454100000000002</v>
      </c>
      <c r="AW253" s="307">
        <v>2.481131</v>
      </c>
      <c r="AX253" s="307">
        <v>6.7202060000000001</v>
      </c>
      <c r="AY253" s="307">
        <v>5.8590289999999996</v>
      </c>
      <c r="AZ253" s="307">
        <v>4.7787879999999996</v>
      </c>
      <c r="BA253" s="307">
        <v>2.6053989999999998</v>
      </c>
      <c r="BB253" s="307">
        <v>0</v>
      </c>
      <c r="BC253" s="307">
        <v>5.3763040000000002</v>
      </c>
      <c r="BD253" s="307">
        <v>3.6436649999999999</v>
      </c>
      <c r="BE253" s="307">
        <v>4.6536850000000003</v>
      </c>
      <c r="BF253" s="307">
        <v>4.0586349999999998</v>
      </c>
      <c r="BG253" s="307">
        <v>2.773825</v>
      </c>
      <c r="BH253" s="307">
        <v>6.4010949999999998</v>
      </c>
      <c r="BI253" s="307">
        <v>3.0426839999999999</v>
      </c>
      <c r="BJ253" s="307">
        <v>3.7879689999999999</v>
      </c>
      <c r="BK253" s="307">
        <v>3.2729810000000001</v>
      </c>
      <c r="BL253">
        <f t="shared" si="12"/>
        <v>6</v>
      </c>
      <c r="BM253">
        <f t="shared" si="13"/>
        <v>4.2140732199999995</v>
      </c>
      <c r="BN253">
        <f t="shared" si="14"/>
        <v>6.8094219999999996</v>
      </c>
      <c r="BO253">
        <f t="array" ref="BO253">MIN(IF($C253:$BK253&gt;0, $C253:$BK253))</f>
        <v>0.46276309999999998</v>
      </c>
      <c r="BP253">
        <f t="shared" si="15"/>
        <v>3.729784</v>
      </c>
    </row>
    <row r="254" spans="1:68" x14ac:dyDescent="0.25">
      <c r="A254" s="306">
        <v>335110</v>
      </c>
      <c r="B254" s="307" t="s">
        <v>230</v>
      </c>
      <c r="C254" s="307">
        <v>3.9630719999999999</v>
      </c>
      <c r="D254" s="307">
        <v>0</v>
      </c>
      <c r="E254" s="307">
        <v>7.6696249999999999</v>
      </c>
      <c r="F254" s="307">
        <v>4.5714769999999998</v>
      </c>
      <c r="G254" s="307">
        <v>7.1863570000000001</v>
      </c>
      <c r="H254" s="307">
        <v>5.1120390000000002</v>
      </c>
      <c r="I254" s="307">
        <v>4.098706</v>
      </c>
      <c r="J254" s="307">
        <v>4.7394449999999999</v>
      </c>
      <c r="K254" s="307">
        <v>0</v>
      </c>
      <c r="L254" s="307">
        <v>0</v>
      </c>
      <c r="M254" s="307">
        <v>6.686026</v>
      </c>
      <c r="N254" s="307">
        <v>0</v>
      </c>
      <c r="O254" s="307">
        <v>0</v>
      </c>
      <c r="P254" s="307">
        <v>6.4385440000000003</v>
      </c>
      <c r="Q254" s="307">
        <v>0</v>
      </c>
      <c r="R254" s="307">
        <v>4.9544810000000004</v>
      </c>
      <c r="S254" s="307">
        <v>4.9012529999999996</v>
      </c>
      <c r="T254" s="307">
        <v>0</v>
      </c>
      <c r="U254" s="307">
        <v>3.7550870000000001</v>
      </c>
      <c r="V254" s="307">
        <v>6.2470889999999999</v>
      </c>
      <c r="W254" s="307">
        <v>2.4802409999999999</v>
      </c>
      <c r="X254" s="307">
        <v>3.278762</v>
      </c>
      <c r="Y254" s="307">
        <v>7.7629359999999998</v>
      </c>
      <c r="Z254" s="307">
        <v>0</v>
      </c>
      <c r="AA254" s="307">
        <v>0</v>
      </c>
      <c r="AB254" s="307">
        <v>5.8990640000000001</v>
      </c>
      <c r="AC254" s="307">
        <v>0</v>
      </c>
      <c r="AD254" s="307">
        <v>0</v>
      </c>
      <c r="AE254" s="307">
        <v>3.772214</v>
      </c>
      <c r="AF254" s="307">
        <v>0</v>
      </c>
      <c r="AG254" s="307">
        <v>0</v>
      </c>
      <c r="AH254" s="307">
        <v>3.433932</v>
      </c>
      <c r="AI254" s="307">
        <v>2.697746</v>
      </c>
      <c r="AJ254" s="307">
        <v>0</v>
      </c>
      <c r="AK254" s="307">
        <v>0</v>
      </c>
      <c r="AL254" s="307">
        <v>3.7926250000000001</v>
      </c>
      <c r="AM254" s="307">
        <v>3.2126800000000002</v>
      </c>
      <c r="AN254" s="307">
        <v>0</v>
      </c>
      <c r="AO254" s="307">
        <v>4.6868439999999998</v>
      </c>
      <c r="AP254" s="307">
        <v>5.1159889999999999</v>
      </c>
      <c r="AQ254" s="307">
        <v>0</v>
      </c>
      <c r="AR254" s="307">
        <v>7.5365289999999998</v>
      </c>
      <c r="AS254" s="307">
        <v>0</v>
      </c>
      <c r="AT254" s="307">
        <v>7.5157239999999996</v>
      </c>
      <c r="AU254" s="307">
        <v>3.6550150000000001</v>
      </c>
      <c r="AV254" s="307">
        <v>0</v>
      </c>
      <c r="AW254" s="307">
        <v>3.476845</v>
      </c>
      <c r="AX254" s="307">
        <v>4.7069960000000002</v>
      </c>
      <c r="AY254" s="307">
        <v>0</v>
      </c>
      <c r="AZ254" s="307">
        <v>0</v>
      </c>
      <c r="BA254" s="307">
        <v>3.7633190000000001</v>
      </c>
      <c r="BB254" s="307">
        <v>0</v>
      </c>
      <c r="BC254" s="307">
        <v>3.6333530000000001</v>
      </c>
      <c r="BD254" s="307">
        <v>3.9710909999999999</v>
      </c>
      <c r="BE254" s="307">
        <v>3.7808570000000001</v>
      </c>
      <c r="BF254" s="307">
        <v>6.1697920000000002</v>
      </c>
      <c r="BG254" s="307">
        <v>4.1847459999999996</v>
      </c>
      <c r="BH254" s="307">
        <v>3.9534639999999999</v>
      </c>
      <c r="BI254" s="307">
        <v>3.955355</v>
      </c>
      <c r="BJ254" s="307">
        <v>6.3909050000000001</v>
      </c>
      <c r="BK254" s="307">
        <v>5.1414689999999998</v>
      </c>
      <c r="BL254">
        <f t="shared" si="12"/>
        <v>22</v>
      </c>
      <c r="BM254">
        <f t="shared" si="13"/>
        <v>4.8279921538461537</v>
      </c>
      <c r="BN254">
        <f t="shared" si="14"/>
        <v>7.7629359999999998</v>
      </c>
      <c r="BO254">
        <f t="array" ref="BO254">MIN(IF($C254:$BK254&gt;0, $C254:$BK254))</f>
        <v>2.4802409999999999</v>
      </c>
      <c r="BP254">
        <f t="shared" si="15"/>
        <v>3.7550870000000001</v>
      </c>
    </row>
    <row r="255" spans="1:68" x14ac:dyDescent="0.25">
      <c r="A255" s="306">
        <v>335120</v>
      </c>
      <c r="B255" s="307" t="s">
        <v>231</v>
      </c>
      <c r="C255" s="307">
        <v>4.6525679999999996</v>
      </c>
      <c r="D255" s="307">
        <v>0</v>
      </c>
      <c r="E255" s="307">
        <v>6.5671910000000002</v>
      </c>
      <c r="F255" s="307">
        <v>4.9116730000000004</v>
      </c>
      <c r="G255" s="307">
        <v>5.8115839999999999</v>
      </c>
      <c r="H255" s="307">
        <v>4.7181430000000004</v>
      </c>
      <c r="I255" s="307">
        <v>5.3543539999999998</v>
      </c>
      <c r="J255" s="307">
        <v>3.686016</v>
      </c>
      <c r="K255" s="307">
        <v>0</v>
      </c>
      <c r="L255" s="307">
        <v>5.3759009999999998</v>
      </c>
      <c r="M255" s="307">
        <v>5.8370519999999999</v>
      </c>
      <c r="N255" s="307">
        <v>4.2246790000000001</v>
      </c>
      <c r="O255" s="307">
        <v>7.0985050000000003</v>
      </c>
      <c r="P255" s="307">
        <v>3.7090999999999998</v>
      </c>
      <c r="Q255" s="307">
        <v>6.257339</v>
      </c>
      <c r="R255" s="307">
        <v>4.7397090000000004</v>
      </c>
      <c r="S255" s="307">
        <v>5.2155719999999999</v>
      </c>
      <c r="T255" s="307">
        <v>3.5455739999999998</v>
      </c>
      <c r="U255" s="307">
        <v>5.1399990000000004</v>
      </c>
      <c r="V255" s="307">
        <v>6.6948379999999998</v>
      </c>
      <c r="W255" s="307">
        <v>3.1854100000000001</v>
      </c>
      <c r="X255" s="307">
        <v>5.4012209999999996</v>
      </c>
      <c r="Y255" s="307">
        <v>7.0783589999999998</v>
      </c>
      <c r="Z255" s="307">
        <v>5.3642529999999997</v>
      </c>
      <c r="AA255" s="307">
        <v>4.8136289999999997</v>
      </c>
      <c r="AB255" s="307">
        <v>4.0780570000000003</v>
      </c>
      <c r="AC255" s="307">
        <v>5.1022639999999999</v>
      </c>
      <c r="AD255" s="307">
        <v>6.6514949999999997</v>
      </c>
      <c r="AE255" s="307">
        <v>4.4096520000000003</v>
      </c>
      <c r="AF255" s="307">
        <v>0</v>
      </c>
      <c r="AG255" s="307">
        <v>3.818432</v>
      </c>
      <c r="AH255" s="307">
        <v>3.6543190000000001</v>
      </c>
      <c r="AI255" s="307">
        <v>3.5093329999999998</v>
      </c>
      <c r="AJ255" s="307">
        <v>6.5238389999999997</v>
      </c>
      <c r="AK255" s="307">
        <v>6.2323709999999997</v>
      </c>
      <c r="AL255" s="307">
        <v>4.5145710000000001</v>
      </c>
      <c r="AM255" s="307">
        <v>4.0922989999999997</v>
      </c>
      <c r="AN255" s="307">
        <v>6.4239230000000003</v>
      </c>
      <c r="AO255" s="307">
        <v>4.3127009999999997</v>
      </c>
      <c r="AP255" s="307">
        <v>4.6004589999999999</v>
      </c>
      <c r="AQ255" s="307">
        <v>4.7137989999999999</v>
      </c>
      <c r="AR255" s="307">
        <v>3.7939059999999998</v>
      </c>
      <c r="AS255" s="307">
        <v>6.0192410000000001</v>
      </c>
      <c r="AT255" s="307">
        <v>3.6417259999999998</v>
      </c>
      <c r="AU255" s="307">
        <v>4.588012</v>
      </c>
      <c r="AV255" s="307">
        <v>5.3502450000000001</v>
      </c>
      <c r="AW255" s="307">
        <v>4.536359</v>
      </c>
      <c r="AX255" s="307">
        <v>4.9493169999999997</v>
      </c>
      <c r="AY255" s="307">
        <v>5.5909769999999996</v>
      </c>
      <c r="AZ255" s="307">
        <v>4.5603579999999999</v>
      </c>
      <c r="BA255" s="307">
        <v>6.2671720000000004</v>
      </c>
      <c r="BB255" s="307">
        <v>5.0267600000000003</v>
      </c>
      <c r="BC255" s="307">
        <v>4.1221759999999996</v>
      </c>
      <c r="BD255" s="307">
        <v>4.3949470000000002</v>
      </c>
      <c r="BE255" s="307">
        <v>4.7440619999999996</v>
      </c>
      <c r="BF255" s="307">
        <v>3.9849190000000001</v>
      </c>
      <c r="BG255" s="307">
        <v>4.6510350000000003</v>
      </c>
      <c r="BH255" s="307">
        <v>4.4747029999999999</v>
      </c>
      <c r="BI255" s="307">
        <v>4.9016710000000003</v>
      </c>
      <c r="BJ255" s="307">
        <v>5.7319560000000003</v>
      </c>
      <c r="BK255" s="307">
        <v>4.7761899999999997</v>
      </c>
      <c r="BL255">
        <f t="shared" si="12"/>
        <v>3</v>
      </c>
      <c r="BM255">
        <f t="shared" si="13"/>
        <v>4.9676881896551714</v>
      </c>
      <c r="BN255">
        <f t="shared" si="14"/>
        <v>7.0985050000000003</v>
      </c>
      <c r="BO255">
        <f t="array" ref="BO255">MIN(IF($C255:$BK255&gt;0, $C255:$BK255))</f>
        <v>3.1854100000000001</v>
      </c>
      <c r="BP255">
        <f t="shared" si="15"/>
        <v>4.7397090000000004</v>
      </c>
    </row>
    <row r="256" spans="1:68" x14ac:dyDescent="0.25">
      <c r="A256" s="306">
        <v>335210</v>
      </c>
      <c r="B256" s="307" t="s">
        <v>232</v>
      </c>
      <c r="C256" s="307">
        <v>3.7967430000000002</v>
      </c>
      <c r="D256" s="307">
        <v>0</v>
      </c>
      <c r="E256" s="307">
        <v>5.9307590000000001</v>
      </c>
      <c r="F256" s="307">
        <v>5.2509170000000003</v>
      </c>
      <c r="G256" s="307">
        <v>4.0076679999999998</v>
      </c>
      <c r="H256" s="307">
        <v>5.3943859999999999</v>
      </c>
      <c r="I256" s="307">
        <v>3.1051820000000001</v>
      </c>
      <c r="J256" s="307">
        <v>2.1462490000000001</v>
      </c>
      <c r="K256" s="307">
        <v>0</v>
      </c>
      <c r="L256" s="307">
        <v>0</v>
      </c>
      <c r="M256" s="307">
        <v>2.8414160000000002</v>
      </c>
      <c r="N256" s="307">
        <v>0</v>
      </c>
      <c r="O256" s="307">
        <v>0</v>
      </c>
      <c r="P256" s="307">
        <v>4.0604779999999998</v>
      </c>
      <c r="Q256" s="307">
        <v>5.345472</v>
      </c>
      <c r="R256" s="307">
        <v>3.0012949999999998</v>
      </c>
      <c r="S256" s="307">
        <v>3.8791859999999998</v>
      </c>
      <c r="T256" s="307">
        <v>3.0342850000000001</v>
      </c>
      <c r="U256" s="307">
        <v>2.610986</v>
      </c>
      <c r="V256" s="307">
        <v>0</v>
      </c>
      <c r="W256" s="307">
        <v>3.0299589999999998</v>
      </c>
      <c r="X256" s="307">
        <v>2.7842229999999999</v>
      </c>
      <c r="Y256" s="307">
        <v>0</v>
      </c>
      <c r="Z256" s="307">
        <v>2.748021</v>
      </c>
      <c r="AA256" s="307">
        <v>4.9323009999999998</v>
      </c>
      <c r="AB256" s="307">
        <v>5.7481369999999998</v>
      </c>
      <c r="AC256" s="307">
        <v>5.7818800000000001</v>
      </c>
      <c r="AD256" s="307">
        <v>0</v>
      </c>
      <c r="AE256" s="307">
        <v>4.9876829999999996</v>
      </c>
      <c r="AF256" s="307">
        <v>0</v>
      </c>
      <c r="AG256" s="307">
        <v>0</v>
      </c>
      <c r="AH256" s="307">
        <v>0</v>
      </c>
      <c r="AI256" s="307">
        <v>4.1122399999999999</v>
      </c>
      <c r="AJ256" s="307">
        <v>0</v>
      </c>
      <c r="AK256" s="307">
        <v>0</v>
      </c>
      <c r="AL256" s="307">
        <v>5.3880549999999996</v>
      </c>
      <c r="AM256" s="307">
        <v>3.47512</v>
      </c>
      <c r="AN256" s="307">
        <v>0</v>
      </c>
      <c r="AO256" s="307">
        <v>0</v>
      </c>
      <c r="AP256" s="307">
        <v>3.3938329999999999</v>
      </c>
      <c r="AQ256" s="307">
        <v>0</v>
      </c>
      <c r="AR256" s="307">
        <v>2.3839419999999998</v>
      </c>
      <c r="AS256" s="307">
        <v>3.257139</v>
      </c>
      <c r="AT256" s="307">
        <v>4.4138529999999996</v>
      </c>
      <c r="AU256" s="307">
        <v>4.4212800000000003</v>
      </c>
      <c r="AV256" s="307">
        <v>3.6651720000000001</v>
      </c>
      <c r="AW256" s="307">
        <v>4.1770940000000003</v>
      </c>
      <c r="AX256" s="307">
        <v>0</v>
      </c>
      <c r="AY256" s="307">
        <v>2.5234960000000002</v>
      </c>
      <c r="AZ256" s="307">
        <v>3.6336550000000001</v>
      </c>
      <c r="BA256" s="307">
        <v>0</v>
      </c>
      <c r="BB256" s="307">
        <v>0</v>
      </c>
      <c r="BC256" s="307">
        <v>2.5074510000000001</v>
      </c>
      <c r="BD256" s="307">
        <v>4.568778</v>
      </c>
      <c r="BE256" s="307">
        <v>3.3427929999999999</v>
      </c>
      <c r="BF256" s="307">
        <v>4.4915180000000001</v>
      </c>
      <c r="BG256" s="307">
        <v>4.0839449999999999</v>
      </c>
      <c r="BH256" s="307">
        <v>4.5657300000000003</v>
      </c>
      <c r="BI256" s="307">
        <v>4.5017170000000002</v>
      </c>
      <c r="BJ256" s="307">
        <v>3.4677310000000001</v>
      </c>
      <c r="BK256" s="307">
        <v>3.3447339999999999</v>
      </c>
      <c r="BL256">
        <f t="shared" si="12"/>
        <v>19</v>
      </c>
      <c r="BM256">
        <f t="shared" si="13"/>
        <v>3.9080119523809524</v>
      </c>
      <c r="BN256">
        <f t="shared" si="14"/>
        <v>5.9307590000000001</v>
      </c>
      <c r="BO256">
        <f t="array" ref="BO256">MIN(IF($C256:$BK256&gt;0, $C256:$BK256))</f>
        <v>2.1462490000000001</v>
      </c>
      <c r="BP256">
        <f t="shared" si="15"/>
        <v>3.1051820000000001</v>
      </c>
    </row>
    <row r="257" spans="1:68" x14ac:dyDescent="0.25">
      <c r="A257" s="306">
        <v>335221</v>
      </c>
      <c r="B257" s="307" t="s">
        <v>233</v>
      </c>
      <c r="C257" s="307">
        <v>3.5671460000000002</v>
      </c>
      <c r="D257" s="307">
        <v>0</v>
      </c>
      <c r="E257" s="307">
        <v>0</v>
      </c>
      <c r="F257" s="307">
        <v>0</v>
      </c>
      <c r="G257" s="307">
        <v>4.2282200000000003</v>
      </c>
      <c r="H257" s="307">
        <v>3.060419</v>
      </c>
      <c r="I257" s="307">
        <v>0</v>
      </c>
      <c r="J257" s="307">
        <v>3.4981270000000002</v>
      </c>
      <c r="K257" s="307">
        <v>0</v>
      </c>
      <c r="L257" s="307">
        <v>0</v>
      </c>
      <c r="M257" s="307">
        <v>4.4701820000000003</v>
      </c>
      <c r="N257" s="307">
        <v>3.415581</v>
      </c>
      <c r="O257" s="307">
        <v>0</v>
      </c>
      <c r="P257" s="307">
        <v>3.119364</v>
      </c>
      <c r="Q257" s="307">
        <v>4.1566720000000004</v>
      </c>
      <c r="R257" s="307">
        <v>3.0186220000000001</v>
      </c>
      <c r="S257" s="307">
        <v>4.0886839999999998</v>
      </c>
      <c r="T257" s="307">
        <v>4.7436189999999998</v>
      </c>
      <c r="U257" s="307">
        <v>4.7440759999999997</v>
      </c>
      <c r="V257" s="307">
        <v>4.877631</v>
      </c>
      <c r="W257" s="307">
        <v>0</v>
      </c>
      <c r="X257" s="307">
        <v>2.9442840000000001</v>
      </c>
      <c r="Y257" s="307">
        <v>0</v>
      </c>
      <c r="Z257" s="307">
        <v>0</v>
      </c>
      <c r="AA257" s="307">
        <v>0</v>
      </c>
      <c r="AB257" s="307">
        <v>3.3418299999999999</v>
      </c>
      <c r="AC257" s="307">
        <v>4.1056720000000002</v>
      </c>
      <c r="AD257" s="307">
        <v>3.3825660000000002</v>
      </c>
      <c r="AE257" s="307">
        <v>4.1375679999999999</v>
      </c>
      <c r="AF257" s="307">
        <v>0</v>
      </c>
      <c r="AG257" s="307">
        <v>0</v>
      </c>
      <c r="AH257" s="307">
        <v>0</v>
      </c>
      <c r="AI257" s="307">
        <v>2.6260979999999998</v>
      </c>
      <c r="AJ257" s="307">
        <v>0</v>
      </c>
      <c r="AK257" s="307">
        <v>3.9109370000000001</v>
      </c>
      <c r="AL257" s="307">
        <v>4.8583629999999998</v>
      </c>
      <c r="AM257" s="307">
        <v>3.520845</v>
      </c>
      <c r="AN257" s="307">
        <v>3.950723</v>
      </c>
      <c r="AO257" s="307">
        <v>2.6156139999999999</v>
      </c>
      <c r="AP257" s="307">
        <v>3.6899790000000001</v>
      </c>
      <c r="AQ257" s="307">
        <v>0</v>
      </c>
      <c r="AR257" s="307">
        <v>4.9702630000000001</v>
      </c>
      <c r="AS257" s="307">
        <v>0</v>
      </c>
      <c r="AT257" s="307">
        <v>3.4870299999999999</v>
      </c>
      <c r="AU257" s="307">
        <v>4.35548</v>
      </c>
      <c r="AV257" s="307">
        <v>4.502275</v>
      </c>
      <c r="AW257" s="307">
        <v>0</v>
      </c>
      <c r="AX257" s="307">
        <v>0</v>
      </c>
      <c r="AY257" s="307">
        <v>0</v>
      </c>
      <c r="AZ257" s="307">
        <v>2.834997</v>
      </c>
      <c r="BA257" s="307">
        <v>0</v>
      </c>
      <c r="BB257" s="307">
        <v>0</v>
      </c>
      <c r="BC257" s="307">
        <v>3.821304</v>
      </c>
      <c r="BD257" s="307">
        <v>3.6029770000000001</v>
      </c>
      <c r="BE257" s="307">
        <v>3.0268160000000002</v>
      </c>
      <c r="BF257" s="307">
        <v>3.4240159999999999</v>
      </c>
      <c r="BG257" s="307">
        <v>3.4981</v>
      </c>
      <c r="BH257" s="307">
        <v>3.6518890000000002</v>
      </c>
      <c r="BI257" s="307">
        <v>4.0665589999999998</v>
      </c>
      <c r="BJ257" s="307">
        <v>4.1837910000000003</v>
      </c>
      <c r="BK257" s="307">
        <v>3.0606559999999998</v>
      </c>
      <c r="BL257">
        <f t="shared" si="12"/>
        <v>22</v>
      </c>
      <c r="BM257">
        <f t="shared" si="13"/>
        <v>3.7579224358974361</v>
      </c>
      <c r="BN257">
        <f t="shared" si="14"/>
        <v>4.9702630000000001</v>
      </c>
      <c r="BO257">
        <f t="array" ref="BO257">MIN(IF($C257:$BK257&gt;0, $C257:$BK257))</f>
        <v>2.6156139999999999</v>
      </c>
      <c r="BP257">
        <f t="shared" si="15"/>
        <v>3.119364</v>
      </c>
    </row>
    <row r="258" spans="1:68" x14ac:dyDescent="0.25">
      <c r="A258" s="306">
        <v>335222</v>
      </c>
      <c r="B258" s="307" t="s">
        <v>234</v>
      </c>
      <c r="C258" s="307">
        <v>3.5861040000000002</v>
      </c>
      <c r="D258" s="307">
        <v>0</v>
      </c>
      <c r="E258" s="307">
        <v>3.6881889999999999</v>
      </c>
      <c r="F258" s="307">
        <v>4.2531920000000003</v>
      </c>
      <c r="G258" s="307">
        <v>4.183986</v>
      </c>
      <c r="H258" s="307">
        <v>3.5601829999999999</v>
      </c>
      <c r="I258" s="307">
        <v>0</v>
      </c>
      <c r="J258" s="307">
        <v>0</v>
      </c>
      <c r="K258" s="307">
        <v>0</v>
      </c>
      <c r="L258" s="307">
        <v>0</v>
      </c>
      <c r="M258" s="307">
        <v>6.4012960000000003</v>
      </c>
      <c r="N258" s="307">
        <v>0</v>
      </c>
      <c r="O258" s="307">
        <v>0</v>
      </c>
      <c r="P258" s="307">
        <v>3.3073700000000001</v>
      </c>
      <c r="Q258" s="307">
        <v>0</v>
      </c>
      <c r="R258" s="307">
        <v>6.2191789999999996</v>
      </c>
      <c r="S258" s="307">
        <v>2.9074170000000001</v>
      </c>
      <c r="T258" s="307">
        <v>0</v>
      </c>
      <c r="U258" s="307">
        <v>2.6374029999999999</v>
      </c>
      <c r="V258" s="307">
        <v>0</v>
      </c>
      <c r="W258" s="307">
        <v>0</v>
      </c>
      <c r="X258" s="307">
        <v>0</v>
      </c>
      <c r="Y258" s="307">
        <v>0</v>
      </c>
      <c r="Z258" s="307">
        <v>3.9210090000000002</v>
      </c>
      <c r="AA258" s="307">
        <v>4.8331119999999999</v>
      </c>
      <c r="AB258" s="307">
        <v>0</v>
      </c>
      <c r="AC258" s="307">
        <v>6.1259199999999998</v>
      </c>
      <c r="AD258" s="307">
        <v>0</v>
      </c>
      <c r="AE258" s="307">
        <v>0</v>
      </c>
      <c r="AF258" s="307">
        <v>0</v>
      </c>
      <c r="AG258" s="307">
        <v>0</v>
      </c>
      <c r="AH258" s="307">
        <v>0</v>
      </c>
      <c r="AI258" s="307">
        <v>0</v>
      </c>
      <c r="AJ258" s="307">
        <v>0</v>
      </c>
      <c r="AK258" s="307">
        <v>0</v>
      </c>
      <c r="AL258" s="307">
        <v>0</v>
      </c>
      <c r="AM258" s="307">
        <v>4.4131330000000002</v>
      </c>
      <c r="AN258" s="307">
        <v>0</v>
      </c>
      <c r="AO258" s="307">
        <v>0</v>
      </c>
      <c r="AP258" s="307">
        <v>0</v>
      </c>
      <c r="AQ258" s="307">
        <v>0</v>
      </c>
      <c r="AR258" s="307">
        <v>4.3437109999999999</v>
      </c>
      <c r="AS258" s="307">
        <v>0</v>
      </c>
      <c r="AT258" s="307">
        <v>0</v>
      </c>
      <c r="AU258" s="307">
        <v>5.7913769999999998</v>
      </c>
      <c r="AV258" s="307">
        <v>0</v>
      </c>
      <c r="AW258" s="307">
        <v>0</v>
      </c>
      <c r="AX258" s="307">
        <v>0</v>
      </c>
      <c r="AY258" s="307">
        <v>6.3094760000000001</v>
      </c>
      <c r="AZ258" s="307">
        <v>2.8947349999999998</v>
      </c>
      <c r="BA258" s="307">
        <v>0</v>
      </c>
      <c r="BB258" s="307">
        <v>0</v>
      </c>
      <c r="BC258" s="307">
        <v>0</v>
      </c>
      <c r="BD258" s="307">
        <v>0</v>
      </c>
      <c r="BE258" s="307">
        <v>3.225565</v>
      </c>
      <c r="BF258" s="307">
        <v>3.8260830000000001</v>
      </c>
      <c r="BG258" s="307">
        <v>4.5477290000000004</v>
      </c>
      <c r="BH258" s="307">
        <v>2.9681479999999998</v>
      </c>
      <c r="BI258" s="307">
        <v>4.8444099999999999</v>
      </c>
      <c r="BJ258" s="307">
        <v>4.2241330000000001</v>
      </c>
      <c r="BK258" s="307">
        <v>3.6103649999999998</v>
      </c>
      <c r="BL258">
        <f t="shared" si="12"/>
        <v>36</v>
      </c>
      <c r="BM258">
        <f t="shared" si="13"/>
        <v>4.2649289999999995</v>
      </c>
      <c r="BN258">
        <f t="shared" si="14"/>
        <v>6.4012960000000003</v>
      </c>
      <c r="BO258">
        <f t="array" ref="BO258">MIN(IF($C258:$BK258&gt;0, $C258:$BK258))</f>
        <v>2.6374029999999999</v>
      </c>
      <c r="BP258">
        <f t="shared" si="15"/>
        <v>0</v>
      </c>
    </row>
    <row r="259" spans="1:68" x14ac:dyDescent="0.25">
      <c r="A259" s="306">
        <v>335224</v>
      </c>
      <c r="B259" s="307" t="s">
        <v>235</v>
      </c>
      <c r="C259" s="307">
        <v>3.7600980000000002</v>
      </c>
      <c r="D259" s="307">
        <v>0</v>
      </c>
      <c r="E259" s="307">
        <v>0</v>
      </c>
      <c r="F259" s="307">
        <v>0</v>
      </c>
      <c r="G259" s="307">
        <v>0</v>
      </c>
      <c r="H259" s="307">
        <v>14.812580000000001</v>
      </c>
      <c r="I259" s="307">
        <v>0</v>
      </c>
      <c r="J259" s="307">
        <v>0</v>
      </c>
      <c r="K259" s="307">
        <v>0</v>
      </c>
      <c r="L259" s="307">
        <v>0</v>
      </c>
      <c r="M259" s="307">
        <v>11.130520000000001</v>
      </c>
      <c r="N259" s="307">
        <v>0</v>
      </c>
      <c r="O259" s="307">
        <v>0</v>
      </c>
      <c r="P259" s="307">
        <v>4.514869</v>
      </c>
      <c r="Q259" s="307">
        <v>0</v>
      </c>
      <c r="R259" s="307">
        <v>12.43581</v>
      </c>
      <c r="S259" s="307">
        <v>0</v>
      </c>
      <c r="T259" s="307">
        <v>0</v>
      </c>
      <c r="U259" s="307">
        <v>0</v>
      </c>
      <c r="V259" s="307">
        <v>0</v>
      </c>
      <c r="W259" s="307">
        <v>0</v>
      </c>
      <c r="X259" s="307">
        <v>0</v>
      </c>
      <c r="Y259" s="307">
        <v>0</v>
      </c>
      <c r="Z259" s="307">
        <v>2.3724129999999999</v>
      </c>
      <c r="AA259" s="307">
        <v>0</v>
      </c>
      <c r="AB259" s="307">
        <v>0</v>
      </c>
      <c r="AC259" s="307">
        <v>0</v>
      </c>
      <c r="AD259" s="307">
        <v>0</v>
      </c>
      <c r="AE259" s="307">
        <v>0</v>
      </c>
      <c r="AF259" s="307">
        <v>0</v>
      </c>
      <c r="AG259" s="307">
        <v>0</v>
      </c>
      <c r="AH259" s="307">
        <v>0</v>
      </c>
      <c r="AI259" s="307">
        <v>3.0533600000000001</v>
      </c>
      <c r="AJ259" s="307">
        <v>0</v>
      </c>
      <c r="AK259" s="307">
        <v>0</v>
      </c>
      <c r="AL259" s="307">
        <v>8.0772089999999999</v>
      </c>
      <c r="AM259" s="307">
        <v>4.7654709999999998</v>
      </c>
      <c r="AN259" s="307">
        <v>0</v>
      </c>
      <c r="AO259" s="307">
        <v>0</v>
      </c>
      <c r="AP259" s="307">
        <v>0</v>
      </c>
      <c r="AQ259" s="307">
        <v>0</v>
      </c>
      <c r="AR259" s="307">
        <v>0</v>
      </c>
      <c r="AS259" s="307">
        <v>0</v>
      </c>
      <c r="AT259" s="307">
        <v>0</v>
      </c>
      <c r="AU259" s="307">
        <v>0</v>
      </c>
      <c r="AV259" s="307">
        <v>0</v>
      </c>
      <c r="AW259" s="307">
        <v>10.88523</v>
      </c>
      <c r="AX259" s="307">
        <v>0</v>
      </c>
      <c r="AY259" s="307">
        <v>0</v>
      </c>
      <c r="AZ259" s="307">
        <v>0</v>
      </c>
      <c r="BA259" s="307">
        <v>0</v>
      </c>
      <c r="BB259" s="307">
        <v>0</v>
      </c>
      <c r="BC259" s="307">
        <v>0</v>
      </c>
      <c r="BD259" s="307">
        <v>8.2782549999999997</v>
      </c>
      <c r="BE259" s="307">
        <v>3.544788</v>
      </c>
      <c r="BF259" s="307">
        <v>4.5992579999999998</v>
      </c>
      <c r="BG259" s="307">
        <v>11.272600000000001</v>
      </c>
      <c r="BH259" s="307">
        <v>0</v>
      </c>
      <c r="BI259" s="307">
        <v>0</v>
      </c>
      <c r="BJ259" s="307">
        <v>0</v>
      </c>
      <c r="BK259" s="307">
        <v>14.81643</v>
      </c>
      <c r="BL259">
        <f t="shared" si="12"/>
        <v>46</v>
      </c>
      <c r="BM259">
        <f t="shared" si="13"/>
        <v>7.8879260666666662</v>
      </c>
      <c r="BN259">
        <f t="shared" si="14"/>
        <v>14.81643</v>
      </c>
      <c r="BO259">
        <f t="array" ref="BO259">MIN(IF($C259:$BK259&gt;0, $C259:$BK259))</f>
        <v>2.3724129999999999</v>
      </c>
      <c r="BP259">
        <f t="shared" si="15"/>
        <v>0</v>
      </c>
    </row>
    <row r="260" spans="1:68" x14ac:dyDescent="0.25">
      <c r="A260" s="306">
        <v>335228</v>
      </c>
      <c r="B260" s="307" t="s">
        <v>236</v>
      </c>
      <c r="C260" s="307">
        <v>3.441567</v>
      </c>
      <c r="D260" s="307">
        <v>0</v>
      </c>
      <c r="E260" s="307">
        <v>3.2650540000000001</v>
      </c>
      <c r="F260" s="307">
        <v>0</v>
      </c>
      <c r="G260" s="307">
        <v>0</v>
      </c>
      <c r="H260" s="307">
        <v>3.0098760000000002</v>
      </c>
      <c r="I260" s="307">
        <v>0</v>
      </c>
      <c r="J260" s="307">
        <v>2.0113430000000001</v>
      </c>
      <c r="K260" s="307">
        <v>0</v>
      </c>
      <c r="L260" s="307">
        <v>0</v>
      </c>
      <c r="M260" s="307">
        <v>3.554481</v>
      </c>
      <c r="N260" s="307">
        <v>0</v>
      </c>
      <c r="O260" s="307">
        <v>0</v>
      </c>
      <c r="P260" s="307">
        <v>0</v>
      </c>
      <c r="Q260" s="307">
        <v>0</v>
      </c>
      <c r="R260" s="307">
        <v>0</v>
      </c>
      <c r="S260" s="307">
        <v>0</v>
      </c>
      <c r="T260" s="307">
        <v>0</v>
      </c>
      <c r="U260" s="307">
        <v>2.0754549999999998</v>
      </c>
      <c r="V260" s="307">
        <v>4.5915559999999997</v>
      </c>
      <c r="W260" s="307">
        <v>2.7741470000000001</v>
      </c>
      <c r="X260" s="307">
        <v>3.6745540000000001</v>
      </c>
      <c r="Y260" s="307">
        <v>0</v>
      </c>
      <c r="Z260" s="307">
        <v>3.2330000000000001</v>
      </c>
      <c r="AA260" s="307">
        <v>3.0284230000000001</v>
      </c>
      <c r="AB260" s="307">
        <v>0</v>
      </c>
      <c r="AC260" s="307">
        <v>4.0957150000000002</v>
      </c>
      <c r="AD260" s="307">
        <v>0</v>
      </c>
      <c r="AE260" s="307">
        <v>3.6301320000000001</v>
      </c>
      <c r="AF260" s="307">
        <v>0</v>
      </c>
      <c r="AG260" s="307">
        <v>0</v>
      </c>
      <c r="AH260" s="307">
        <v>4.3936270000000004</v>
      </c>
      <c r="AI260" s="307">
        <v>2.0888149999999999</v>
      </c>
      <c r="AJ260" s="307">
        <v>0</v>
      </c>
      <c r="AK260" s="307">
        <v>0</v>
      </c>
      <c r="AL260" s="307">
        <v>2.8459020000000002</v>
      </c>
      <c r="AM260" s="307">
        <v>3.8152599999999999</v>
      </c>
      <c r="AN260" s="307">
        <v>0</v>
      </c>
      <c r="AO260" s="307">
        <v>0</v>
      </c>
      <c r="AP260" s="307">
        <v>4.7128240000000003</v>
      </c>
      <c r="AQ260" s="307">
        <v>0</v>
      </c>
      <c r="AR260" s="307">
        <v>3.0655060000000001</v>
      </c>
      <c r="AS260" s="307">
        <v>0</v>
      </c>
      <c r="AT260" s="307">
        <v>3.1127020000000001</v>
      </c>
      <c r="AU260" s="307">
        <v>4.1005320000000003</v>
      </c>
      <c r="AV260" s="307">
        <v>0</v>
      </c>
      <c r="AW260" s="307">
        <v>0</v>
      </c>
      <c r="AX260" s="307">
        <v>0</v>
      </c>
      <c r="AY260" s="307">
        <v>2.990551</v>
      </c>
      <c r="AZ260" s="307">
        <v>3.242159</v>
      </c>
      <c r="BA260" s="307">
        <v>0</v>
      </c>
      <c r="BB260" s="307">
        <v>0</v>
      </c>
      <c r="BC260" s="307">
        <v>3.209368</v>
      </c>
      <c r="BD260" s="307">
        <v>2.384388</v>
      </c>
      <c r="BE260" s="307">
        <v>3.5456490000000001</v>
      </c>
      <c r="BF260" s="307">
        <v>2.9811540000000001</v>
      </c>
      <c r="BG260" s="307">
        <v>3.5537030000000001</v>
      </c>
      <c r="BH260" s="307">
        <v>3.1813289999999999</v>
      </c>
      <c r="BI260" s="307">
        <v>4.1676089999999997</v>
      </c>
      <c r="BJ260" s="307">
        <v>0</v>
      </c>
      <c r="BK260" s="307">
        <v>3.0132409999999998</v>
      </c>
      <c r="BL260">
        <f t="shared" si="12"/>
        <v>30</v>
      </c>
      <c r="BM260">
        <f t="shared" si="13"/>
        <v>3.3157942580645163</v>
      </c>
      <c r="BN260">
        <f t="shared" si="14"/>
        <v>4.7128240000000003</v>
      </c>
      <c r="BO260">
        <f t="array" ref="BO260">MIN(IF($C260:$BK260&gt;0, $C260:$BK260))</f>
        <v>2.0113430000000001</v>
      </c>
      <c r="BP260">
        <f t="shared" si="15"/>
        <v>2.0113430000000001</v>
      </c>
    </row>
    <row r="261" spans="1:68" s="215" customFormat="1" x14ac:dyDescent="0.25">
      <c r="A261" s="606">
        <v>335311</v>
      </c>
      <c r="B261" s="607" t="s">
        <v>237</v>
      </c>
      <c r="C261" s="607">
        <v>4.4998760000000004</v>
      </c>
      <c r="D261" s="607">
        <v>5.4594529999999999</v>
      </c>
      <c r="E261" s="607">
        <v>5.730194</v>
      </c>
      <c r="F261" s="607">
        <v>5.0189450000000004</v>
      </c>
      <c r="G261" s="607">
        <v>6.5774800000000004</v>
      </c>
      <c r="H261" s="607">
        <v>4.1762050000000004</v>
      </c>
      <c r="I261" s="607">
        <v>6.1141120000000004</v>
      </c>
      <c r="J261" s="607">
        <v>6.1314469999999996</v>
      </c>
      <c r="K261" s="607">
        <v>0</v>
      </c>
      <c r="L261" s="607">
        <v>0</v>
      </c>
      <c r="M261" s="607">
        <v>4.0778840000000001</v>
      </c>
      <c r="N261" s="607">
        <v>3.352436</v>
      </c>
      <c r="O261" s="607">
        <v>0</v>
      </c>
      <c r="P261" s="607">
        <v>6.4866479999999997</v>
      </c>
      <c r="Q261" s="607">
        <v>4.8035030000000001</v>
      </c>
      <c r="R261" s="607">
        <v>4.2088359999999998</v>
      </c>
      <c r="S261" s="607">
        <v>4.6810239999999999</v>
      </c>
      <c r="T261" s="607">
        <v>5.129664</v>
      </c>
      <c r="U261" s="607">
        <v>5.1207770000000004</v>
      </c>
      <c r="V261" s="607">
        <v>3.5254780000000001</v>
      </c>
      <c r="W261" s="607">
        <v>3.1421790000000001</v>
      </c>
      <c r="X261" s="607">
        <v>4.2972289999999997</v>
      </c>
      <c r="Y261" s="607">
        <v>0</v>
      </c>
      <c r="Z261" s="607">
        <v>4.5864690000000001</v>
      </c>
      <c r="AA261" s="607">
        <v>6.2860120000000004</v>
      </c>
      <c r="AB261" s="607">
        <v>4.2243329999999997</v>
      </c>
      <c r="AC261" s="607">
        <v>5.442958</v>
      </c>
      <c r="AD261" s="607">
        <v>0</v>
      </c>
      <c r="AE261" s="607">
        <v>3.6487980000000002</v>
      </c>
      <c r="AF261" s="607">
        <v>0</v>
      </c>
      <c r="AG261" s="607">
        <v>0</v>
      </c>
      <c r="AH261" s="607">
        <v>5.1379190000000001</v>
      </c>
      <c r="AI261" s="607">
        <v>4.079644</v>
      </c>
      <c r="AJ261" s="607">
        <v>4.4638989999999996</v>
      </c>
      <c r="AK261" s="607">
        <v>0</v>
      </c>
      <c r="AL261" s="607">
        <v>5.4901739999999997</v>
      </c>
      <c r="AM261" s="607">
        <v>3.3936320000000002</v>
      </c>
      <c r="AN261" s="607">
        <v>6.635707</v>
      </c>
      <c r="AO261" s="607">
        <v>5.7945229999999999</v>
      </c>
      <c r="AP261" s="607">
        <v>5.072559</v>
      </c>
      <c r="AQ261" s="607">
        <v>0</v>
      </c>
      <c r="AR261" s="607">
        <v>4.8354299999999997</v>
      </c>
      <c r="AS261" s="607">
        <v>4.8030299999999997</v>
      </c>
      <c r="AT261" s="607">
        <v>4.7069570000000001</v>
      </c>
      <c r="AU261" s="607">
        <v>4.9134359999999999</v>
      </c>
      <c r="AV261" s="607">
        <v>4.5942350000000003</v>
      </c>
      <c r="AW261" s="607">
        <v>4.1957789999999999</v>
      </c>
      <c r="AX261" s="607">
        <v>4.2415180000000001</v>
      </c>
      <c r="AY261" s="607">
        <v>3.7312319999999999</v>
      </c>
      <c r="AZ261" s="607">
        <v>3.7958090000000002</v>
      </c>
      <c r="BA261" s="607">
        <v>6.0111990000000004</v>
      </c>
      <c r="BB261" s="607">
        <v>0</v>
      </c>
      <c r="BC261" s="607">
        <v>4.0107499999999998</v>
      </c>
      <c r="BD261" s="607">
        <v>4.9739810000000002</v>
      </c>
      <c r="BE261" s="607">
        <v>3.926552</v>
      </c>
      <c r="BF261" s="607">
        <v>4.76328</v>
      </c>
      <c r="BG261" s="607">
        <v>3.8661880000000002</v>
      </c>
      <c r="BH261" s="607">
        <v>5.3279529999999999</v>
      </c>
      <c r="BI261" s="607">
        <v>4.9447539999999996</v>
      </c>
      <c r="BJ261" s="607">
        <v>5.8605689999999999</v>
      </c>
      <c r="BK261" s="607">
        <v>4.2636039999999999</v>
      </c>
      <c r="BL261" s="215">
        <f t="shared" si="12"/>
        <v>10</v>
      </c>
      <c r="BM261" s="215">
        <f t="shared" si="13"/>
        <v>4.7952206470588239</v>
      </c>
      <c r="BN261" s="215">
        <f t="shared" si="14"/>
        <v>6.635707</v>
      </c>
      <c r="BO261" s="215">
        <f t="array" ref="BO261">MIN(IF($C261:$BK261&gt;0, $C261:$BK261))</f>
        <v>3.1421790000000001</v>
      </c>
      <c r="BP261" s="215">
        <f t="shared" si="15"/>
        <v>4.4998760000000004</v>
      </c>
    </row>
    <row r="262" spans="1:68" s="215" customFormat="1" x14ac:dyDescent="0.25">
      <c r="A262" s="606">
        <v>335312</v>
      </c>
      <c r="B262" s="607" t="s">
        <v>238</v>
      </c>
      <c r="C262" s="607">
        <v>4.8087840000000002</v>
      </c>
      <c r="D262" s="607">
        <v>0</v>
      </c>
      <c r="E262" s="607">
        <v>5.0490449999999996</v>
      </c>
      <c r="F262" s="607">
        <v>5.0162610000000001</v>
      </c>
      <c r="G262" s="607">
        <v>3.5229360000000001</v>
      </c>
      <c r="H262" s="607">
        <v>4.7997959999999997</v>
      </c>
      <c r="I262" s="607">
        <v>3.438024</v>
      </c>
      <c r="J262" s="607">
        <v>3.7413120000000002</v>
      </c>
      <c r="K262" s="607">
        <v>0</v>
      </c>
      <c r="L262" s="607">
        <v>2.6264460000000001</v>
      </c>
      <c r="M262" s="607">
        <v>6.1991509999999996</v>
      </c>
      <c r="N262" s="607">
        <v>4.2307980000000001</v>
      </c>
      <c r="O262" s="607">
        <v>0</v>
      </c>
      <c r="P262" s="607">
        <v>6.0103710000000001</v>
      </c>
      <c r="Q262" s="607">
        <v>5.0311709999999996</v>
      </c>
      <c r="R262" s="607">
        <v>3.509763</v>
      </c>
      <c r="S262" s="607">
        <v>4.4170210000000001</v>
      </c>
      <c r="T262" s="607">
        <v>4.7082079999999999</v>
      </c>
      <c r="U262" s="607">
        <v>5.9687239999999999</v>
      </c>
      <c r="V262" s="607">
        <v>4.6086159999999996</v>
      </c>
      <c r="W262" s="607">
        <v>3.9881730000000002</v>
      </c>
      <c r="X262" s="607">
        <v>5.7740159999999996</v>
      </c>
      <c r="Y262" s="607">
        <v>6.4051070000000001</v>
      </c>
      <c r="Z262" s="607">
        <v>5.2556880000000001</v>
      </c>
      <c r="AA262" s="607">
        <v>3.5119210000000001</v>
      </c>
      <c r="AB262" s="607">
        <v>4.5180360000000004</v>
      </c>
      <c r="AC262" s="607">
        <v>5.4119640000000002</v>
      </c>
      <c r="AD262" s="607">
        <v>3.3771230000000001</v>
      </c>
      <c r="AE262" s="607">
        <v>5.3963710000000003</v>
      </c>
      <c r="AF262" s="607">
        <v>0</v>
      </c>
      <c r="AG262" s="607">
        <v>6.1079990000000004</v>
      </c>
      <c r="AH262" s="607">
        <v>3.173225</v>
      </c>
      <c r="AI262" s="607">
        <v>3.640666</v>
      </c>
      <c r="AJ262" s="607">
        <v>6.3293119999999998</v>
      </c>
      <c r="AK262" s="607">
        <v>6.0656970000000001</v>
      </c>
      <c r="AL262" s="607">
        <v>6.0322050000000003</v>
      </c>
      <c r="AM262" s="607">
        <v>4.0551349999999999</v>
      </c>
      <c r="AN262" s="607">
        <v>5.4042750000000002</v>
      </c>
      <c r="AO262" s="607">
        <v>3.804001</v>
      </c>
      <c r="AP262" s="607">
        <v>4.4318710000000001</v>
      </c>
      <c r="AQ262" s="607">
        <v>0</v>
      </c>
      <c r="AR262" s="607">
        <v>4.6072959999999998</v>
      </c>
      <c r="AS262" s="607">
        <v>0</v>
      </c>
      <c r="AT262" s="607">
        <v>5.6835880000000003</v>
      </c>
      <c r="AU262" s="607">
        <v>4.5348629999999996</v>
      </c>
      <c r="AV262" s="607">
        <v>3.4009140000000002</v>
      </c>
      <c r="AW262" s="607">
        <v>4.7955030000000001</v>
      </c>
      <c r="AX262" s="607">
        <v>0</v>
      </c>
      <c r="AY262" s="607">
        <v>3.6399309999999998</v>
      </c>
      <c r="AZ262" s="607">
        <v>5.1628530000000001</v>
      </c>
      <c r="BA262" s="607">
        <v>5.1487980000000002</v>
      </c>
      <c r="BB262" s="607">
        <v>3.1069429999999998</v>
      </c>
      <c r="BC262" s="607">
        <v>4.1505349999999996</v>
      </c>
      <c r="BD262" s="607">
        <v>5.1292359999999997</v>
      </c>
      <c r="BE262" s="607">
        <v>4.4725840000000003</v>
      </c>
      <c r="BF262" s="607">
        <v>4.1516669999999998</v>
      </c>
      <c r="BG262" s="607">
        <v>4.9758889999999996</v>
      </c>
      <c r="BH262" s="607">
        <v>5.7452240000000003</v>
      </c>
      <c r="BI262" s="607">
        <v>5.2170249999999996</v>
      </c>
      <c r="BJ262" s="607">
        <v>4.0043559999999996</v>
      </c>
      <c r="BK262" s="607">
        <v>4.6907180000000004</v>
      </c>
      <c r="BL262" s="215">
        <f t="shared" ref="BL262:BL325" si="16">COUNTIFS($C262:$BK262, 0)</f>
        <v>7</v>
      </c>
      <c r="BM262" s="215">
        <f t="shared" ref="BM262:BM325" si="17">AVERAGEIF($C262:$BK262, "&lt;&gt;0", $C262:$BK262)</f>
        <v>4.6849469444444445</v>
      </c>
      <c r="BN262" s="215">
        <f t="shared" ref="BN262:BN325" si="18">MAX($C262:$BK262)</f>
        <v>6.4051070000000001</v>
      </c>
      <c r="BO262" s="215">
        <f t="array" ref="BO262">MIN(IF($C262:$BK262&gt;0, $C262:$BK262))</f>
        <v>2.6264460000000001</v>
      </c>
      <c r="BP262" s="215">
        <f t="shared" ref="BP262:BP325" si="19">MEDIAN($C262:$BK262)</f>
        <v>4.5348629999999996</v>
      </c>
    </row>
    <row r="263" spans="1:68" s="215" customFormat="1" x14ac:dyDescent="0.25">
      <c r="A263" s="606">
        <v>335313</v>
      </c>
      <c r="B263" s="607" t="s">
        <v>239</v>
      </c>
      <c r="C263" s="607">
        <v>3.9884949999999999</v>
      </c>
      <c r="D263" s="607">
        <v>5.4006480000000003</v>
      </c>
      <c r="E263" s="607">
        <v>5.2668569999999999</v>
      </c>
      <c r="F263" s="607">
        <v>3.999673</v>
      </c>
      <c r="G263" s="607">
        <v>4.7596059999999998</v>
      </c>
      <c r="H263" s="607">
        <v>4.4741879999999998</v>
      </c>
      <c r="I263" s="607">
        <v>5.0004970000000002</v>
      </c>
      <c r="J263" s="607">
        <v>2.632555</v>
      </c>
      <c r="K263" s="607">
        <v>0</v>
      </c>
      <c r="L263" s="607">
        <v>3.319868</v>
      </c>
      <c r="M263" s="607">
        <v>4.1299400000000004</v>
      </c>
      <c r="N263" s="607">
        <v>2.8166699999999998</v>
      </c>
      <c r="O263" s="607">
        <v>0</v>
      </c>
      <c r="P263" s="607">
        <v>3.1905299999999999</v>
      </c>
      <c r="Q263" s="607">
        <v>0</v>
      </c>
      <c r="R263" s="607">
        <v>3.7183950000000001</v>
      </c>
      <c r="S263" s="607">
        <v>4.1942690000000002</v>
      </c>
      <c r="T263" s="607">
        <v>4.7527780000000002</v>
      </c>
      <c r="U263" s="607">
        <v>3.7281</v>
      </c>
      <c r="V263" s="607">
        <v>4.1529350000000003</v>
      </c>
      <c r="W263" s="607">
        <v>3.1910919999999998</v>
      </c>
      <c r="X263" s="607">
        <v>4.1061649999999998</v>
      </c>
      <c r="Y263" s="607">
        <v>3.2596810000000001</v>
      </c>
      <c r="Z263" s="607">
        <v>4.7238110000000004</v>
      </c>
      <c r="AA263" s="607">
        <v>3.9145310000000002</v>
      </c>
      <c r="AB263" s="607">
        <v>3.8936419999999998</v>
      </c>
      <c r="AC263" s="607">
        <v>4.1088500000000003</v>
      </c>
      <c r="AD263" s="607">
        <v>0</v>
      </c>
      <c r="AE263" s="607">
        <v>3.4239579999999998</v>
      </c>
      <c r="AF263" s="607">
        <v>0</v>
      </c>
      <c r="AG263" s="607">
        <v>4.4890319999999999</v>
      </c>
      <c r="AH263" s="607">
        <v>4.6342080000000001</v>
      </c>
      <c r="AI263" s="607">
        <v>3.1401569999999999</v>
      </c>
      <c r="AJ263" s="607">
        <v>2.9768319999999999</v>
      </c>
      <c r="AK263" s="607">
        <v>5.4965070000000003</v>
      </c>
      <c r="AL263" s="607">
        <v>3.0712190000000001</v>
      </c>
      <c r="AM263" s="607">
        <v>4.6733010000000004</v>
      </c>
      <c r="AN263" s="607">
        <v>5.3713649999999999</v>
      </c>
      <c r="AO263" s="607">
        <v>3.8978890000000002</v>
      </c>
      <c r="AP263" s="607">
        <v>3.7646350000000002</v>
      </c>
      <c r="AQ263" s="607">
        <v>0</v>
      </c>
      <c r="AR263" s="607">
        <v>4.1859120000000001</v>
      </c>
      <c r="AS263" s="607">
        <v>5.0948019999999996</v>
      </c>
      <c r="AT263" s="607">
        <v>3.0815619999999999</v>
      </c>
      <c r="AU263" s="607">
        <v>4.4135460000000002</v>
      </c>
      <c r="AV263" s="607">
        <v>5.4508900000000002</v>
      </c>
      <c r="AW263" s="607">
        <v>3.9673449999999999</v>
      </c>
      <c r="AX263" s="607">
        <v>0</v>
      </c>
      <c r="AY263" s="607">
        <v>4.1063109999999998</v>
      </c>
      <c r="AZ263" s="607">
        <v>3.8908849999999999</v>
      </c>
      <c r="BA263" s="607">
        <v>3.8889550000000002</v>
      </c>
      <c r="BB263" s="607">
        <v>3.5605280000000001</v>
      </c>
      <c r="BC263" s="607">
        <v>3.2716560000000001</v>
      </c>
      <c r="BD263" s="607">
        <v>3.6930269999999998</v>
      </c>
      <c r="BE263" s="607">
        <v>4.1014369999999998</v>
      </c>
      <c r="BF263" s="607">
        <v>3.9990290000000002</v>
      </c>
      <c r="BG263" s="607">
        <v>3.664787</v>
      </c>
      <c r="BH263" s="607">
        <v>3.520397</v>
      </c>
      <c r="BI263" s="607">
        <v>4.4866330000000003</v>
      </c>
      <c r="BJ263" s="607">
        <v>4.8802019999999997</v>
      </c>
      <c r="BK263" s="607">
        <v>4.4634910000000003</v>
      </c>
      <c r="BL263" s="215">
        <f t="shared" si="16"/>
        <v>7</v>
      </c>
      <c r="BM263" s="215">
        <f t="shared" si="17"/>
        <v>4.0626717407407407</v>
      </c>
      <c r="BN263" s="215">
        <f t="shared" si="18"/>
        <v>5.4965070000000003</v>
      </c>
      <c r="BO263" s="215">
        <f t="array" ref="BO263">MIN(IF($C263:$BK263&gt;0, $C263:$BK263))</f>
        <v>2.632555</v>
      </c>
      <c r="BP263" s="215">
        <f t="shared" si="19"/>
        <v>3.9145310000000002</v>
      </c>
    </row>
    <row r="264" spans="1:68" s="215" customFormat="1" x14ac:dyDescent="0.25">
      <c r="A264" s="606">
        <v>335314</v>
      </c>
      <c r="B264" s="607" t="s">
        <v>9</v>
      </c>
      <c r="C264" s="607">
        <v>4.2074689999999997</v>
      </c>
      <c r="D264" s="607">
        <v>8.6110600000000002</v>
      </c>
      <c r="E264" s="607">
        <v>4.6647689999999997</v>
      </c>
      <c r="F264" s="607">
        <v>5.6673640000000001</v>
      </c>
      <c r="G264" s="607">
        <v>6.6567530000000001</v>
      </c>
      <c r="H264" s="607">
        <v>4.6435170000000001</v>
      </c>
      <c r="I264" s="607">
        <v>4.7794740000000004</v>
      </c>
      <c r="J264" s="607">
        <v>2.6446670000000001</v>
      </c>
      <c r="K264" s="607">
        <v>0</v>
      </c>
      <c r="L264" s="607">
        <v>2.224218</v>
      </c>
      <c r="M264" s="607">
        <v>5.3546050000000003</v>
      </c>
      <c r="N264" s="607">
        <v>4.1554979999999997</v>
      </c>
      <c r="O264" s="607">
        <v>0</v>
      </c>
      <c r="P264" s="607">
        <v>6.5236229999999997</v>
      </c>
      <c r="Q264" s="607">
        <v>7.5904689999999997</v>
      </c>
      <c r="R264" s="607">
        <v>4.4565330000000003</v>
      </c>
      <c r="S264" s="607">
        <v>6.4278389999999996</v>
      </c>
      <c r="T264" s="607">
        <v>5.0784890000000003</v>
      </c>
      <c r="U264" s="607">
        <v>4.9327069999999997</v>
      </c>
      <c r="V264" s="607">
        <v>4.0490329999999997</v>
      </c>
      <c r="W264" s="607">
        <v>2.861653</v>
      </c>
      <c r="X264" s="607">
        <v>5.4897609999999997</v>
      </c>
      <c r="Y264" s="607">
        <v>6.2412320000000001</v>
      </c>
      <c r="Z264" s="607">
        <v>3.9106640000000001</v>
      </c>
      <c r="AA264" s="607">
        <v>4.8444500000000001</v>
      </c>
      <c r="AB264" s="607">
        <v>4.9328659999999998</v>
      </c>
      <c r="AC264" s="607">
        <v>5.6801300000000001</v>
      </c>
      <c r="AD264" s="607">
        <v>0</v>
      </c>
      <c r="AE264" s="607">
        <v>3.9554990000000001</v>
      </c>
      <c r="AF264" s="607">
        <v>3.460661</v>
      </c>
      <c r="AG264" s="607">
        <v>5.881551</v>
      </c>
      <c r="AH264" s="607">
        <v>4.6124609999999997</v>
      </c>
      <c r="AI264" s="607">
        <v>3.73021</v>
      </c>
      <c r="AJ264" s="607">
        <v>3.720504</v>
      </c>
      <c r="AK264" s="607">
        <v>7.9003009999999998</v>
      </c>
      <c r="AL264" s="607">
        <v>3.9839380000000002</v>
      </c>
      <c r="AM264" s="607">
        <v>3.6939730000000002</v>
      </c>
      <c r="AN264" s="607">
        <v>6.8429140000000004</v>
      </c>
      <c r="AO264" s="607">
        <v>4.4808139999999996</v>
      </c>
      <c r="AP264" s="607">
        <v>4.0078139999999998</v>
      </c>
      <c r="AQ264" s="607">
        <v>3.0268160000000002</v>
      </c>
      <c r="AR264" s="607">
        <v>4.9372619999999996</v>
      </c>
      <c r="AS264" s="607">
        <v>7.4779239999999998</v>
      </c>
      <c r="AT264" s="607">
        <v>7.4179620000000002</v>
      </c>
      <c r="AU264" s="607">
        <v>5.1940169999999997</v>
      </c>
      <c r="AV264" s="607">
        <v>5.3646390000000004</v>
      </c>
      <c r="AW264" s="607">
        <v>3.482885</v>
      </c>
      <c r="AX264" s="607">
        <v>5.9223689999999998</v>
      </c>
      <c r="AY264" s="607">
        <v>4.9981289999999996</v>
      </c>
      <c r="AZ264" s="607">
        <v>3.4054720000000001</v>
      </c>
      <c r="BA264" s="607">
        <v>4.9504479999999997</v>
      </c>
      <c r="BB264" s="607">
        <v>7.136018</v>
      </c>
      <c r="BC264" s="607">
        <v>3.27779</v>
      </c>
      <c r="BD264" s="607">
        <v>4.103993</v>
      </c>
      <c r="BE264" s="607">
        <v>3.84944</v>
      </c>
      <c r="BF264" s="607">
        <v>5.124797</v>
      </c>
      <c r="BG264" s="607">
        <v>4.3956480000000004</v>
      </c>
      <c r="BH264" s="607">
        <v>5.996429</v>
      </c>
      <c r="BI264" s="607">
        <v>5.2118149999999996</v>
      </c>
      <c r="BJ264" s="607">
        <v>5.4523789999999996</v>
      </c>
      <c r="BK264" s="607">
        <v>4.8155479999999997</v>
      </c>
      <c r="BL264" s="215">
        <f t="shared" si="16"/>
        <v>3</v>
      </c>
      <c r="BM264" s="215">
        <f t="shared" si="17"/>
        <v>4.9731252241379318</v>
      </c>
      <c r="BN264" s="215">
        <f t="shared" si="18"/>
        <v>8.6110600000000002</v>
      </c>
      <c r="BO264" s="215">
        <f t="array" ref="BO264">MIN(IF($C264:$BK264&gt;0, $C264:$BK264))</f>
        <v>2.224218</v>
      </c>
      <c r="BP264" s="215">
        <f t="shared" si="19"/>
        <v>4.8155479999999997</v>
      </c>
    </row>
    <row r="265" spans="1:68" x14ac:dyDescent="0.25">
      <c r="A265" s="306">
        <v>335911</v>
      </c>
      <c r="B265" s="307" t="s">
        <v>240</v>
      </c>
      <c r="C265" s="307">
        <v>4.4586199999999998</v>
      </c>
      <c r="D265" s="307">
        <v>0</v>
      </c>
      <c r="E265" s="307">
        <v>0</v>
      </c>
      <c r="F265" s="307">
        <v>3.6871239999999998</v>
      </c>
      <c r="G265" s="307">
        <v>5.9054859999999998</v>
      </c>
      <c r="H265" s="307">
        <v>4.4966439999999999</v>
      </c>
      <c r="I265" s="307">
        <v>5.2173150000000001</v>
      </c>
      <c r="J265" s="307">
        <v>3.8477929999999998</v>
      </c>
      <c r="K265" s="307">
        <v>0</v>
      </c>
      <c r="L265" s="307">
        <v>2.8259889999999999</v>
      </c>
      <c r="M265" s="307">
        <v>3.5618789999999998</v>
      </c>
      <c r="N265" s="307">
        <v>3.1013000000000002</v>
      </c>
      <c r="O265" s="307">
        <v>0</v>
      </c>
      <c r="P265" s="307">
        <v>4.8643980000000004</v>
      </c>
      <c r="Q265" s="307">
        <v>0</v>
      </c>
      <c r="R265" s="307">
        <v>3.511806</v>
      </c>
      <c r="S265" s="307">
        <v>4.8217869999999996</v>
      </c>
      <c r="T265" s="307">
        <v>4.5389099999999996</v>
      </c>
      <c r="U265" s="307">
        <v>5.2446469999999996</v>
      </c>
      <c r="V265" s="307">
        <v>0</v>
      </c>
      <c r="W265" s="307">
        <v>0</v>
      </c>
      <c r="X265" s="307">
        <v>0</v>
      </c>
      <c r="Y265" s="307">
        <v>0</v>
      </c>
      <c r="Z265" s="307">
        <v>3.064235</v>
      </c>
      <c r="AA265" s="307">
        <v>3.173476</v>
      </c>
      <c r="AB265" s="307">
        <v>5.0896850000000002</v>
      </c>
      <c r="AC265" s="307">
        <v>5.1413419999999999</v>
      </c>
      <c r="AD265" s="307">
        <v>0</v>
      </c>
      <c r="AE265" s="307">
        <v>4.3837650000000004</v>
      </c>
      <c r="AF265" s="307">
        <v>0</v>
      </c>
      <c r="AG265" s="307">
        <v>0</v>
      </c>
      <c r="AH265" s="307">
        <v>0</v>
      </c>
      <c r="AI265" s="307">
        <v>4.7327849999999998</v>
      </c>
      <c r="AJ265" s="307">
        <v>0</v>
      </c>
      <c r="AK265" s="307">
        <v>0</v>
      </c>
      <c r="AL265" s="307">
        <v>0</v>
      </c>
      <c r="AM265" s="307">
        <v>4.4004890000000003</v>
      </c>
      <c r="AN265" s="307">
        <v>6.029604</v>
      </c>
      <c r="AO265" s="307">
        <v>3.4445779999999999</v>
      </c>
      <c r="AP265" s="307">
        <v>4.571237</v>
      </c>
      <c r="AQ265" s="307">
        <v>5.1773600000000002</v>
      </c>
      <c r="AR265" s="307">
        <v>5.374873</v>
      </c>
      <c r="AS265" s="307">
        <v>0</v>
      </c>
      <c r="AT265" s="307">
        <v>5.2500439999999999</v>
      </c>
      <c r="AU265" s="307">
        <v>4.2324109999999999</v>
      </c>
      <c r="AV265" s="307">
        <v>3.911384</v>
      </c>
      <c r="AW265" s="307">
        <v>0</v>
      </c>
      <c r="AX265" s="307">
        <v>0</v>
      </c>
      <c r="AY265" s="307">
        <v>5.4901580000000001</v>
      </c>
      <c r="AZ265" s="307">
        <v>3.993525</v>
      </c>
      <c r="BA265" s="307">
        <v>5.3976369999999996</v>
      </c>
      <c r="BB265" s="307">
        <v>0</v>
      </c>
      <c r="BC265" s="307">
        <v>4.2564690000000001</v>
      </c>
      <c r="BD265" s="307">
        <v>4.6859630000000001</v>
      </c>
      <c r="BE265" s="307">
        <v>4.2131550000000004</v>
      </c>
      <c r="BF265" s="307">
        <v>5.0155240000000001</v>
      </c>
      <c r="BG265" s="307">
        <v>3.585871</v>
      </c>
      <c r="BH265" s="307">
        <v>5.3462730000000001</v>
      </c>
      <c r="BI265" s="307">
        <v>4.2844680000000004</v>
      </c>
      <c r="BJ265" s="307">
        <v>5.5278770000000002</v>
      </c>
      <c r="BK265" s="307">
        <v>4.4664580000000003</v>
      </c>
      <c r="BL265">
        <f t="shared" si="16"/>
        <v>20</v>
      </c>
      <c r="BM265">
        <f t="shared" si="17"/>
        <v>4.4957157073170722</v>
      </c>
      <c r="BN265">
        <f t="shared" si="18"/>
        <v>6.029604</v>
      </c>
      <c r="BO265">
        <f t="array" ref="BO265">MIN(IF($C265:$BK265&gt;0, $C265:$BK265))</f>
        <v>2.8259889999999999</v>
      </c>
      <c r="BP265">
        <f t="shared" si="19"/>
        <v>3.911384</v>
      </c>
    </row>
    <row r="266" spans="1:68" x14ac:dyDescent="0.25">
      <c r="A266" s="306">
        <v>335912</v>
      </c>
      <c r="B266" s="307" t="s">
        <v>241</v>
      </c>
      <c r="C266" s="307">
        <v>2.6258819999999998</v>
      </c>
      <c r="D266" s="307">
        <v>0</v>
      </c>
      <c r="E266" s="307">
        <v>4.1826480000000004</v>
      </c>
      <c r="F266" s="307">
        <v>0</v>
      </c>
      <c r="G266" s="307">
        <v>2.0114109999999998</v>
      </c>
      <c r="H266" s="307">
        <v>1.8159970000000001</v>
      </c>
      <c r="I266" s="307">
        <v>4.2395480000000001</v>
      </c>
      <c r="J266" s="307">
        <v>2.2770220000000001</v>
      </c>
      <c r="K266" s="307">
        <v>0</v>
      </c>
      <c r="L266" s="307">
        <v>0</v>
      </c>
      <c r="M266" s="307">
        <v>2.1912630000000002</v>
      </c>
      <c r="N266" s="307">
        <v>2.570011</v>
      </c>
      <c r="O266" s="307">
        <v>0</v>
      </c>
      <c r="P266" s="307">
        <v>2.0579909999999999</v>
      </c>
      <c r="Q266" s="307">
        <v>0</v>
      </c>
      <c r="R266" s="307">
        <v>4.1381829999999997</v>
      </c>
      <c r="S266" s="307">
        <v>1.66953</v>
      </c>
      <c r="T266" s="307">
        <v>0</v>
      </c>
      <c r="U266" s="307">
        <v>3.9738410000000002</v>
      </c>
      <c r="V266" s="307">
        <v>0</v>
      </c>
      <c r="W266" s="307">
        <v>2.0548999999999999</v>
      </c>
      <c r="X266" s="307">
        <v>0</v>
      </c>
      <c r="Y266" s="307">
        <v>0</v>
      </c>
      <c r="Z266" s="307">
        <v>0</v>
      </c>
      <c r="AA266" s="307">
        <v>4.2159170000000001</v>
      </c>
      <c r="AB266" s="307">
        <v>2.6137860000000002</v>
      </c>
      <c r="AC266" s="307">
        <v>0</v>
      </c>
      <c r="AD266" s="307">
        <v>0</v>
      </c>
      <c r="AE266" s="307">
        <v>2.7516310000000002</v>
      </c>
      <c r="AF266" s="307">
        <v>0</v>
      </c>
      <c r="AG266" s="307">
        <v>0</v>
      </c>
      <c r="AH266" s="307">
        <v>0</v>
      </c>
      <c r="AI266" s="307">
        <v>1.5630269999999999</v>
      </c>
      <c r="AJ266" s="307">
        <v>0</v>
      </c>
      <c r="AK266" s="307">
        <v>3.2340439999999999</v>
      </c>
      <c r="AL266" s="307">
        <v>2.8877679999999999</v>
      </c>
      <c r="AM266" s="307">
        <v>0</v>
      </c>
      <c r="AN266" s="307">
        <v>0</v>
      </c>
      <c r="AO266" s="307">
        <v>0</v>
      </c>
      <c r="AP266" s="307">
        <v>2.5896370000000002</v>
      </c>
      <c r="AQ266" s="307">
        <v>0</v>
      </c>
      <c r="AR266" s="307">
        <v>1.972342</v>
      </c>
      <c r="AS266" s="307">
        <v>0</v>
      </c>
      <c r="AT266" s="307">
        <v>2.614331</v>
      </c>
      <c r="AU266" s="307">
        <v>3.9672960000000002</v>
      </c>
      <c r="AV266" s="307">
        <v>0</v>
      </c>
      <c r="AW266" s="307">
        <v>0</v>
      </c>
      <c r="AX266" s="307">
        <v>2.6751670000000001</v>
      </c>
      <c r="AY266" s="307">
        <v>0</v>
      </c>
      <c r="AZ266" s="307">
        <v>1.7806690000000001</v>
      </c>
      <c r="BA266" s="307">
        <v>0</v>
      </c>
      <c r="BB266" s="307">
        <v>0</v>
      </c>
      <c r="BC266" s="307">
        <v>2.5242909999999998</v>
      </c>
      <c r="BD266" s="307">
        <v>2.6717369999999998</v>
      </c>
      <c r="BE266" s="307">
        <v>1.927951</v>
      </c>
      <c r="BF266" s="307">
        <v>2.7051850000000002</v>
      </c>
      <c r="BG266" s="307">
        <v>2.5419269999999998</v>
      </c>
      <c r="BH266" s="307">
        <v>2.8560889999999999</v>
      </c>
      <c r="BI266" s="307">
        <v>4.0007479999999997</v>
      </c>
      <c r="BJ266" s="307">
        <v>2.6202860000000001</v>
      </c>
      <c r="BK266" s="307">
        <v>1.8165230000000001</v>
      </c>
      <c r="BL266">
        <f t="shared" si="16"/>
        <v>27</v>
      </c>
      <c r="BM266">
        <f t="shared" si="17"/>
        <v>2.7158405588235293</v>
      </c>
      <c r="BN266">
        <f t="shared" si="18"/>
        <v>4.2395480000000001</v>
      </c>
      <c r="BO266">
        <f t="array" ref="BO266">MIN(IF($C266:$BK266&gt;0, $C266:$BK266))</f>
        <v>1.5630269999999999</v>
      </c>
      <c r="BP266">
        <f t="shared" si="19"/>
        <v>1.8159970000000001</v>
      </c>
    </row>
    <row r="267" spans="1:68" x14ac:dyDescent="0.25">
      <c r="A267" s="306">
        <v>335920</v>
      </c>
      <c r="B267" s="307" t="s">
        <v>242</v>
      </c>
      <c r="C267" s="307">
        <v>3.2239080000000002</v>
      </c>
      <c r="D267" s="307">
        <v>0</v>
      </c>
      <c r="E267" s="307">
        <v>4.3495540000000004</v>
      </c>
      <c r="F267" s="307">
        <v>2.4451580000000002</v>
      </c>
      <c r="G267" s="307">
        <v>2.788243</v>
      </c>
      <c r="H267" s="307">
        <v>2.6772710000000002</v>
      </c>
      <c r="I267" s="307">
        <v>4.504283</v>
      </c>
      <c r="J267" s="307">
        <v>2.842727</v>
      </c>
      <c r="K267" s="307">
        <v>0</v>
      </c>
      <c r="L267" s="307">
        <v>1.631553</v>
      </c>
      <c r="M267" s="307">
        <v>4.3400819999999998</v>
      </c>
      <c r="N267" s="307">
        <v>3.120463</v>
      </c>
      <c r="O267" s="307">
        <v>0</v>
      </c>
      <c r="P267" s="307">
        <v>5.7226530000000002</v>
      </c>
      <c r="Q267" s="307">
        <v>4.1003689999999997</v>
      </c>
      <c r="R267" s="307">
        <v>2.7692040000000002</v>
      </c>
      <c r="S267" s="307">
        <v>3.0992950000000001</v>
      </c>
      <c r="T267" s="307">
        <v>0</v>
      </c>
      <c r="U267" s="307">
        <v>4.5392010000000003</v>
      </c>
      <c r="V267" s="307">
        <v>0</v>
      </c>
      <c r="W267" s="307">
        <v>2.6891060000000002</v>
      </c>
      <c r="X267" s="307">
        <v>2.1217920000000001</v>
      </c>
      <c r="Y267" s="307">
        <v>2.7958729999999998</v>
      </c>
      <c r="Z267" s="307">
        <v>3.0425140000000002</v>
      </c>
      <c r="AA267" s="307">
        <v>3.596943</v>
      </c>
      <c r="AB267" s="307">
        <v>5.0238719999999999</v>
      </c>
      <c r="AC267" s="307">
        <v>3.1853690000000001</v>
      </c>
      <c r="AD267" s="307">
        <v>5.0025029999999999</v>
      </c>
      <c r="AE267" s="307">
        <v>3.1955460000000002</v>
      </c>
      <c r="AF267" s="307">
        <v>2.8965329999999998</v>
      </c>
      <c r="AG267" s="307">
        <v>2.0485479999999998</v>
      </c>
      <c r="AH267" s="307">
        <v>3.0431659999999998</v>
      </c>
      <c r="AI267" s="307">
        <v>2.4128970000000001</v>
      </c>
      <c r="AJ267" s="307">
        <v>5.0262419999999999</v>
      </c>
      <c r="AK267" s="307">
        <v>3.4376449999999998</v>
      </c>
      <c r="AL267" s="307">
        <v>3.6409980000000002</v>
      </c>
      <c r="AM267" s="307">
        <v>4.1554330000000004</v>
      </c>
      <c r="AN267" s="307">
        <v>0</v>
      </c>
      <c r="AO267" s="307">
        <v>4.1746239999999997</v>
      </c>
      <c r="AP267" s="307">
        <v>3.505655</v>
      </c>
      <c r="AQ267" s="307">
        <v>2.9640089999999999</v>
      </c>
      <c r="AR267" s="307">
        <v>2.6848969999999999</v>
      </c>
      <c r="AS267" s="307">
        <v>0</v>
      </c>
      <c r="AT267" s="307">
        <v>4.700323</v>
      </c>
      <c r="AU267" s="307">
        <v>2.4849779999999999</v>
      </c>
      <c r="AV267" s="307">
        <v>5.8906720000000004</v>
      </c>
      <c r="AW267" s="307">
        <v>3.377596</v>
      </c>
      <c r="AX267" s="307">
        <v>3.5483169999999999</v>
      </c>
      <c r="AY267" s="307">
        <v>4.6302680000000001</v>
      </c>
      <c r="AZ267" s="307">
        <v>2.9454940000000001</v>
      </c>
      <c r="BA267" s="307">
        <v>0</v>
      </c>
      <c r="BB267" s="307">
        <v>4.9777959999999997</v>
      </c>
      <c r="BC267" s="307">
        <v>3.2070979999999998</v>
      </c>
      <c r="BD267" s="307">
        <v>3.5050910000000002</v>
      </c>
      <c r="BE267" s="307">
        <v>3.1247639999999999</v>
      </c>
      <c r="BF267" s="307">
        <v>4.0641699999999998</v>
      </c>
      <c r="BG267" s="307">
        <v>3.1772269999999998</v>
      </c>
      <c r="BH267" s="307">
        <v>4.4931380000000001</v>
      </c>
      <c r="BI267" s="307">
        <v>2.5602170000000002</v>
      </c>
      <c r="BJ267" s="307">
        <v>4.0258050000000001</v>
      </c>
      <c r="BK267" s="307">
        <v>2.7376779999999998</v>
      </c>
      <c r="BL267">
        <f t="shared" si="16"/>
        <v>8</v>
      </c>
      <c r="BM267">
        <f t="shared" si="17"/>
        <v>3.5141275660377347</v>
      </c>
      <c r="BN267">
        <f t="shared" si="18"/>
        <v>5.8906720000000004</v>
      </c>
      <c r="BO267">
        <f t="array" ref="BO267">MIN(IF($C267:$BK267&gt;0, $C267:$BK267))</f>
        <v>1.631553</v>
      </c>
      <c r="BP267">
        <f t="shared" si="19"/>
        <v>3.1247639999999999</v>
      </c>
    </row>
    <row r="268" spans="1:68" x14ac:dyDescent="0.25">
      <c r="A268" s="306">
        <v>335930</v>
      </c>
      <c r="B268" s="307" t="s">
        <v>243</v>
      </c>
      <c r="C268" s="307">
        <v>4.4833730000000003</v>
      </c>
      <c r="D268" s="307">
        <v>7.4018280000000001</v>
      </c>
      <c r="E268" s="307">
        <v>6.1104659999999997</v>
      </c>
      <c r="F268" s="307">
        <v>5.4135</v>
      </c>
      <c r="G268" s="307">
        <v>5.4028970000000003</v>
      </c>
      <c r="H268" s="307">
        <v>3.8712179999999998</v>
      </c>
      <c r="I268" s="307">
        <v>5.8613720000000002</v>
      </c>
      <c r="J268" s="307">
        <v>3.6189800000000001</v>
      </c>
      <c r="K268" s="307">
        <v>0</v>
      </c>
      <c r="L268" s="307">
        <v>4.3654719999999996</v>
      </c>
      <c r="M268" s="307">
        <v>5.6874359999999999</v>
      </c>
      <c r="N268" s="307">
        <v>5.1272760000000002</v>
      </c>
      <c r="O268" s="307">
        <v>0</v>
      </c>
      <c r="P268" s="307">
        <v>5.2189699999999997</v>
      </c>
      <c r="Q268" s="307">
        <v>6.5252299999999996</v>
      </c>
      <c r="R268" s="307">
        <v>3.9002729999999999</v>
      </c>
      <c r="S268" s="307">
        <v>4.5791959999999996</v>
      </c>
      <c r="T268" s="307">
        <v>6.7895770000000004</v>
      </c>
      <c r="U268" s="307">
        <v>4.8086799999999998</v>
      </c>
      <c r="V268" s="307">
        <v>0</v>
      </c>
      <c r="W268" s="307">
        <v>3.3491789999999999</v>
      </c>
      <c r="X268" s="307">
        <v>5.7288990000000002</v>
      </c>
      <c r="Y268" s="307">
        <v>6.3929349999999996</v>
      </c>
      <c r="Z268" s="307">
        <v>3.9812159999999999</v>
      </c>
      <c r="AA268" s="307">
        <v>4.4260020000000004</v>
      </c>
      <c r="AB268" s="307">
        <v>5.3171470000000003</v>
      </c>
      <c r="AC268" s="307">
        <v>6.1158679999999999</v>
      </c>
      <c r="AD268" s="307">
        <v>5.2766590000000004</v>
      </c>
      <c r="AE268" s="307">
        <v>4.7417400000000001</v>
      </c>
      <c r="AF268" s="307">
        <v>3.5693039999999998</v>
      </c>
      <c r="AG268" s="307">
        <v>7.0388149999999996</v>
      </c>
      <c r="AH268" s="307">
        <v>4.3328170000000004</v>
      </c>
      <c r="AI268" s="307">
        <v>3.4869370000000002</v>
      </c>
      <c r="AJ268" s="307">
        <v>7.2934950000000001</v>
      </c>
      <c r="AK268" s="307">
        <v>4.082694</v>
      </c>
      <c r="AL268" s="307">
        <v>3.5920709999999998</v>
      </c>
      <c r="AM268" s="307">
        <v>5.1124239999999999</v>
      </c>
      <c r="AN268" s="307">
        <v>4.7498690000000003</v>
      </c>
      <c r="AO268" s="307">
        <v>4.1070460000000004</v>
      </c>
      <c r="AP268" s="307">
        <v>3.7017950000000002</v>
      </c>
      <c r="AQ268" s="307">
        <v>3.841027</v>
      </c>
      <c r="AR268" s="307">
        <v>4.592651</v>
      </c>
      <c r="AS268" s="307">
        <v>0</v>
      </c>
      <c r="AT268" s="307">
        <v>6.9842599999999999</v>
      </c>
      <c r="AU268" s="307">
        <v>4.5894240000000002</v>
      </c>
      <c r="AV268" s="307">
        <v>5.4712300000000003</v>
      </c>
      <c r="AW268" s="307">
        <v>5.4729580000000002</v>
      </c>
      <c r="AX268" s="307">
        <v>0</v>
      </c>
      <c r="AY268" s="307">
        <v>7.0481259999999999</v>
      </c>
      <c r="AZ268" s="307">
        <v>7.2869190000000001</v>
      </c>
      <c r="BA268" s="307">
        <v>0</v>
      </c>
      <c r="BB268" s="307">
        <v>0</v>
      </c>
      <c r="BC268" s="307">
        <v>4.1254710000000001</v>
      </c>
      <c r="BD268" s="307">
        <v>3.762737</v>
      </c>
      <c r="BE268" s="307">
        <v>4.4769059999999996</v>
      </c>
      <c r="BF268" s="307">
        <v>5.1359519999999996</v>
      </c>
      <c r="BG268" s="307">
        <v>4.924906</v>
      </c>
      <c r="BH268" s="307">
        <v>6.0110159999999997</v>
      </c>
      <c r="BI268" s="307">
        <v>4.9204699999999999</v>
      </c>
      <c r="BJ268" s="307">
        <v>5.3958089999999999</v>
      </c>
      <c r="BK268" s="307">
        <v>3.9809510000000001</v>
      </c>
      <c r="BL268">
        <f t="shared" si="16"/>
        <v>7</v>
      </c>
      <c r="BM268">
        <f t="shared" si="17"/>
        <v>5.0663605370370366</v>
      </c>
      <c r="BN268">
        <f t="shared" si="18"/>
        <v>7.4018280000000001</v>
      </c>
      <c r="BO268">
        <f t="array" ref="BO268">MIN(IF($C268:$BK268&gt;0, $C268:$BK268))</f>
        <v>3.3491789999999999</v>
      </c>
      <c r="BP268">
        <f t="shared" si="19"/>
        <v>4.7417400000000001</v>
      </c>
    </row>
    <row r="269" spans="1:68" s="381" customFormat="1" x14ac:dyDescent="0.25">
      <c r="A269" s="379">
        <v>335991</v>
      </c>
      <c r="B269" s="380" t="s">
        <v>0</v>
      </c>
      <c r="C269" s="380">
        <v>4.4372319999999998</v>
      </c>
      <c r="D269" s="380">
        <v>0</v>
      </c>
      <c r="E269" s="380">
        <v>4.2824350000000004</v>
      </c>
      <c r="F269" s="380">
        <v>4.0911609999999996</v>
      </c>
      <c r="G269" s="380">
        <v>6.3315510000000002</v>
      </c>
      <c r="H269" s="380">
        <v>4.4750500000000004</v>
      </c>
      <c r="I269" s="380">
        <v>6.0002750000000002</v>
      </c>
      <c r="J269" s="380">
        <v>3.9551129999999999</v>
      </c>
      <c r="K269" s="380">
        <v>0</v>
      </c>
      <c r="L269" s="380">
        <v>0</v>
      </c>
      <c r="M269" s="380">
        <v>5.3106650000000002</v>
      </c>
      <c r="N269" s="380">
        <v>0</v>
      </c>
      <c r="O269" s="380">
        <v>0</v>
      </c>
      <c r="P269" s="380">
        <v>5.6285569999999998</v>
      </c>
      <c r="Q269" s="380">
        <v>0</v>
      </c>
      <c r="R269" s="380">
        <v>3.2723070000000001</v>
      </c>
      <c r="S269" s="380">
        <v>0</v>
      </c>
      <c r="T269" s="380">
        <v>0</v>
      </c>
      <c r="U269" s="380">
        <v>4.4074369999999998</v>
      </c>
      <c r="V269" s="380">
        <v>0</v>
      </c>
      <c r="W269" s="380">
        <v>3.2075290000000001</v>
      </c>
      <c r="X269" s="380">
        <v>0</v>
      </c>
      <c r="Y269" s="380">
        <v>6.5359080000000001</v>
      </c>
      <c r="Z269" s="380">
        <v>5.2249790000000003</v>
      </c>
      <c r="AA269" s="380">
        <v>4.4593160000000003</v>
      </c>
      <c r="AB269" s="380">
        <v>6.2130679999999998</v>
      </c>
      <c r="AC269" s="380">
        <v>0</v>
      </c>
      <c r="AD269" s="380">
        <v>0</v>
      </c>
      <c r="AE269" s="380">
        <v>5.5037890000000003</v>
      </c>
      <c r="AF269" s="380">
        <v>0</v>
      </c>
      <c r="AG269" s="380">
        <v>0</v>
      </c>
      <c r="AH269" s="380">
        <v>3.234334</v>
      </c>
      <c r="AI269" s="380">
        <v>5.723643</v>
      </c>
      <c r="AJ269" s="380">
        <v>0</v>
      </c>
      <c r="AK269" s="380">
        <v>0</v>
      </c>
      <c r="AL269" s="380">
        <v>3.782759</v>
      </c>
      <c r="AM269" s="380">
        <v>2.9253529999999999</v>
      </c>
      <c r="AN269" s="380">
        <v>0</v>
      </c>
      <c r="AO269" s="380">
        <v>3.9029829999999999</v>
      </c>
      <c r="AP269" s="380">
        <v>4.7499710000000004</v>
      </c>
      <c r="AQ269" s="380">
        <v>0</v>
      </c>
      <c r="AR269" s="380">
        <v>3.782343</v>
      </c>
      <c r="AS269" s="380">
        <v>0</v>
      </c>
      <c r="AT269" s="380">
        <v>3.4487860000000001</v>
      </c>
      <c r="AU269" s="380">
        <v>4.7688269999999999</v>
      </c>
      <c r="AV269" s="380">
        <v>3.9422060000000001</v>
      </c>
      <c r="AW269" s="380">
        <v>3.740402</v>
      </c>
      <c r="AX269" s="380">
        <v>3.5152100000000002</v>
      </c>
      <c r="AY269" s="380">
        <v>0</v>
      </c>
      <c r="AZ269" s="380">
        <v>5.5980119999999998</v>
      </c>
      <c r="BA269" s="380">
        <v>3.414949</v>
      </c>
      <c r="BB269" s="380">
        <v>4.4645979999999996</v>
      </c>
      <c r="BC269" s="380">
        <v>3.9980530000000001</v>
      </c>
      <c r="BD269" s="380">
        <v>4.8472689999999998</v>
      </c>
      <c r="BE269" s="380">
        <v>3.911689</v>
      </c>
      <c r="BF269" s="380">
        <v>5.8839139999999999</v>
      </c>
      <c r="BG269" s="380">
        <v>4.3589960000000003</v>
      </c>
      <c r="BH269" s="380">
        <v>3.9191889999999998</v>
      </c>
      <c r="BI269" s="380">
        <v>4.7717229999999997</v>
      </c>
      <c r="BJ269" s="380">
        <v>4.0943709999999998</v>
      </c>
      <c r="BK269" s="380">
        <v>4.4981070000000001</v>
      </c>
      <c r="BL269" s="381">
        <f t="shared" si="16"/>
        <v>20</v>
      </c>
      <c r="BM269">
        <f t="shared" si="17"/>
        <v>4.502781926829269</v>
      </c>
      <c r="BN269">
        <f t="shared" si="18"/>
        <v>6.5359080000000001</v>
      </c>
      <c r="BO269">
        <f t="array" ref="BO269">MIN(IF($C269:$BK269&gt;0, $C269:$BK269))</f>
        <v>2.9253529999999999</v>
      </c>
      <c r="BP269">
        <f t="shared" si="19"/>
        <v>3.9029829999999999</v>
      </c>
    </row>
    <row r="270" spans="1:68" x14ac:dyDescent="0.25">
      <c r="A270" s="306">
        <v>335999</v>
      </c>
      <c r="B270" s="307" t="s">
        <v>3</v>
      </c>
      <c r="C270" s="307">
        <v>5.1287390000000004</v>
      </c>
      <c r="D270" s="307">
        <v>0</v>
      </c>
      <c r="E270" s="307">
        <v>3.9418440000000001</v>
      </c>
      <c r="F270" s="307">
        <v>6.129575</v>
      </c>
      <c r="G270" s="307">
        <v>4.7709010000000003</v>
      </c>
      <c r="H270" s="307">
        <v>4.8749929999999999</v>
      </c>
      <c r="I270" s="307">
        <v>5.8351889999999997</v>
      </c>
      <c r="J270" s="307">
        <v>3.6292610000000001</v>
      </c>
      <c r="K270" s="307">
        <v>0</v>
      </c>
      <c r="L270" s="307">
        <v>0</v>
      </c>
      <c r="M270" s="307">
        <v>6.6930370000000003</v>
      </c>
      <c r="N270" s="307">
        <v>5.8673539999999997</v>
      </c>
      <c r="O270" s="307">
        <v>0</v>
      </c>
      <c r="P270" s="307">
        <v>6.7437389999999997</v>
      </c>
      <c r="Q270" s="307">
        <v>4.8858899999999998</v>
      </c>
      <c r="R270" s="307">
        <v>4.449897</v>
      </c>
      <c r="S270" s="307">
        <v>6.6801519999999996</v>
      </c>
      <c r="T270" s="307">
        <v>5.3207870000000002</v>
      </c>
      <c r="U270" s="307">
        <v>6.2228110000000001</v>
      </c>
      <c r="V270" s="307">
        <v>4.8672719999999998</v>
      </c>
      <c r="W270" s="307">
        <v>3.378736</v>
      </c>
      <c r="X270" s="307">
        <v>3.622881</v>
      </c>
      <c r="Y270" s="307">
        <v>7.0587</v>
      </c>
      <c r="Z270" s="307">
        <v>5.4184789999999996</v>
      </c>
      <c r="AA270" s="307">
        <v>4.9768999999999997</v>
      </c>
      <c r="AB270" s="307">
        <v>6.7104100000000004</v>
      </c>
      <c r="AC270" s="307">
        <v>6.7991289999999998</v>
      </c>
      <c r="AD270" s="307">
        <v>6.3298909999999999</v>
      </c>
      <c r="AE270" s="307">
        <v>6.5702860000000003</v>
      </c>
      <c r="AF270" s="307">
        <v>0</v>
      </c>
      <c r="AG270" s="307">
        <v>6.5479839999999996</v>
      </c>
      <c r="AH270" s="307">
        <v>3.7176490000000002</v>
      </c>
      <c r="AI270" s="307">
        <v>5.2321559999999998</v>
      </c>
      <c r="AJ270" s="307">
        <v>6.3790050000000003</v>
      </c>
      <c r="AK270" s="307">
        <v>3.8061419999999999</v>
      </c>
      <c r="AL270" s="307">
        <v>4.2750000000000004</v>
      </c>
      <c r="AM270" s="307">
        <v>5.9356999999999998</v>
      </c>
      <c r="AN270" s="307">
        <v>5.8667189999999998</v>
      </c>
      <c r="AO270" s="307">
        <v>4.046932</v>
      </c>
      <c r="AP270" s="307">
        <v>5.2256210000000003</v>
      </c>
      <c r="AQ270" s="307">
        <v>3.5168210000000002</v>
      </c>
      <c r="AR270" s="307">
        <v>5.5042299999999997</v>
      </c>
      <c r="AS270" s="307">
        <v>0</v>
      </c>
      <c r="AT270" s="307">
        <v>4.5333370000000004</v>
      </c>
      <c r="AU270" s="307">
        <v>5.0589490000000001</v>
      </c>
      <c r="AV270" s="307">
        <v>6.3975239999999998</v>
      </c>
      <c r="AW270" s="307">
        <v>5.8796660000000003</v>
      </c>
      <c r="AX270" s="307">
        <v>5.39466</v>
      </c>
      <c r="AY270" s="307">
        <v>4.4106110000000003</v>
      </c>
      <c r="AZ270" s="307">
        <v>4.9525300000000003</v>
      </c>
      <c r="BA270" s="307">
        <v>5.5940050000000001</v>
      </c>
      <c r="BB270" s="307">
        <v>0</v>
      </c>
      <c r="BC270" s="307">
        <v>3.9926189999999999</v>
      </c>
      <c r="BD270" s="307">
        <v>4.9398359999999997</v>
      </c>
      <c r="BE270" s="307">
        <v>5.3119290000000001</v>
      </c>
      <c r="BF270" s="307">
        <v>6.0819520000000002</v>
      </c>
      <c r="BG270" s="307">
        <v>6.1678750000000004</v>
      </c>
      <c r="BH270" s="307">
        <v>4.4878270000000002</v>
      </c>
      <c r="BI270" s="307">
        <v>5.3099040000000004</v>
      </c>
      <c r="BJ270" s="307">
        <v>5.0163799999999998</v>
      </c>
      <c r="BK270" s="307">
        <v>4.7778099999999997</v>
      </c>
      <c r="BL270">
        <f t="shared" si="16"/>
        <v>7</v>
      </c>
      <c r="BM270">
        <f t="shared" si="17"/>
        <v>5.2827449259259245</v>
      </c>
      <c r="BN270">
        <f t="shared" si="18"/>
        <v>7.0587</v>
      </c>
      <c r="BO270">
        <f t="array" ref="BO270">MIN(IF($C270:$BK270&gt;0, $C270:$BK270))</f>
        <v>3.378736</v>
      </c>
      <c r="BP270">
        <f t="shared" si="19"/>
        <v>5.0589490000000001</v>
      </c>
    </row>
    <row r="271" spans="1:68" x14ac:dyDescent="0.25">
      <c r="A271" s="306">
        <v>336111</v>
      </c>
      <c r="B271" s="307" t="s">
        <v>244</v>
      </c>
      <c r="C271" s="307">
        <v>1.3539810000000001</v>
      </c>
      <c r="D271" s="307">
        <v>0</v>
      </c>
      <c r="E271" s="307">
        <v>1.7055499999999999</v>
      </c>
      <c r="F271" s="307">
        <v>0</v>
      </c>
      <c r="G271" s="307">
        <v>2.3675920000000001</v>
      </c>
      <c r="H271" s="307">
        <v>1.3448519999999999</v>
      </c>
      <c r="I271" s="307">
        <v>3.3171059999999999</v>
      </c>
      <c r="J271" s="307">
        <v>0</v>
      </c>
      <c r="K271" s="307">
        <v>0</v>
      </c>
      <c r="L271" s="307">
        <v>0.89955989999999997</v>
      </c>
      <c r="M271" s="307">
        <v>3.102141</v>
      </c>
      <c r="N271" s="307">
        <v>1.2851840000000001</v>
      </c>
      <c r="O271" s="307">
        <v>0</v>
      </c>
      <c r="P271" s="307">
        <v>3.1841910000000002</v>
      </c>
      <c r="Q271" s="307">
        <v>0</v>
      </c>
      <c r="R271" s="307">
        <v>1.402868</v>
      </c>
      <c r="S271" s="307">
        <v>1.7669840000000001</v>
      </c>
      <c r="T271" s="307">
        <v>1.1141160000000001</v>
      </c>
      <c r="U271" s="307">
        <v>1.35687</v>
      </c>
      <c r="V271" s="307">
        <v>2.8185250000000002</v>
      </c>
      <c r="W271" s="307">
        <v>2.3325330000000002</v>
      </c>
      <c r="X271" s="307">
        <v>1.1403239999999999</v>
      </c>
      <c r="Y271" s="307">
        <v>0</v>
      </c>
      <c r="Z271" s="307">
        <v>1.1864870000000001</v>
      </c>
      <c r="AA271" s="307">
        <v>3.1984979999999998</v>
      </c>
      <c r="AB271" s="307">
        <v>2.477795</v>
      </c>
      <c r="AC271" s="307">
        <v>0</v>
      </c>
      <c r="AD271" s="307">
        <v>0</v>
      </c>
      <c r="AE271" s="307">
        <v>2.5083139999999999</v>
      </c>
      <c r="AF271" s="307">
        <v>2.1486200000000002</v>
      </c>
      <c r="AG271" s="307">
        <v>0</v>
      </c>
      <c r="AH271" s="307">
        <v>0</v>
      </c>
      <c r="AI271" s="307">
        <v>1.1104039999999999</v>
      </c>
      <c r="AJ271" s="307">
        <v>0</v>
      </c>
      <c r="AK271" s="307">
        <v>2.7939820000000002</v>
      </c>
      <c r="AL271" s="307">
        <v>1.1800349999999999</v>
      </c>
      <c r="AM271" s="307">
        <v>1.3200700000000001</v>
      </c>
      <c r="AN271" s="307">
        <v>2.6216710000000001</v>
      </c>
      <c r="AO271" s="307">
        <v>2.4507430000000001</v>
      </c>
      <c r="AP271" s="307">
        <v>3.088184</v>
      </c>
      <c r="AQ271" s="307">
        <v>0</v>
      </c>
      <c r="AR271" s="307">
        <v>1.469765</v>
      </c>
      <c r="AS271" s="307">
        <v>3.1154790000000001</v>
      </c>
      <c r="AT271" s="307">
        <v>1.19092</v>
      </c>
      <c r="AU271" s="307">
        <v>1.6017269999999999</v>
      </c>
      <c r="AV271" s="307">
        <v>0</v>
      </c>
      <c r="AW271" s="307">
        <v>2.9871639999999999</v>
      </c>
      <c r="AX271" s="307">
        <v>0</v>
      </c>
      <c r="AY271" s="307">
        <v>2.609677</v>
      </c>
      <c r="AZ271" s="307">
        <v>3.2539530000000001</v>
      </c>
      <c r="BA271" s="307">
        <v>0</v>
      </c>
      <c r="BB271" s="307">
        <v>0</v>
      </c>
      <c r="BC271" s="307">
        <v>2.5837669999999999</v>
      </c>
      <c r="BD271" s="307">
        <v>1.239196</v>
      </c>
      <c r="BE271" s="307">
        <v>1.2757689999999999</v>
      </c>
      <c r="BF271" s="307">
        <v>1.196742</v>
      </c>
      <c r="BG271" s="307">
        <v>1.4559009999999999</v>
      </c>
      <c r="BH271" s="307">
        <v>1.375605</v>
      </c>
      <c r="BI271" s="307">
        <v>1.697209</v>
      </c>
      <c r="BJ271" s="307">
        <v>2.787245</v>
      </c>
      <c r="BK271" s="307">
        <v>1.348411</v>
      </c>
      <c r="BL271">
        <f t="shared" si="16"/>
        <v>17</v>
      </c>
      <c r="BM271">
        <f t="shared" si="17"/>
        <v>1.9946752249999997</v>
      </c>
      <c r="BN271">
        <f t="shared" si="18"/>
        <v>3.3171059999999999</v>
      </c>
      <c r="BO271">
        <f t="array" ref="BO271">MIN(IF($C271:$BK271&gt;0, $C271:$BK271))</f>
        <v>0.89955989999999997</v>
      </c>
      <c r="BP271">
        <f t="shared" si="19"/>
        <v>1.348411</v>
      </c>
    </row>
    <row r="272" spans="1:68" x14ac:dyDescent="0.25">
      <c r="A272" s="306">
        <v>336112</v>
      </c>
      <c r="B272" s="307" t="s">
        <v>245</v>
      </c>
      <c r="C272" s="307">
        <v>1.38513</v>
      </c>
      <c r="D272" s="307">
        <v>0</v>
      </c>
      <c r="E272" s="307">
        <v>1.4026829999999999</v>
      </c>
      <c r="F272" s="307">
        <v>0</v>
      </c>
      <c r="G272" s="307">
        <v>3.792564</v>
      </c>
      <c r="H272" s="307">
        <v>1.2776209999999999</v>
      </c>
      <c r="I272" s="307">
        <v>0</v>
      </c>
      <c r="J272" s="307">
        <v>0</v>
      </c>
      <c r="K272" s="307">
        <v>0</v>
      </c>
      <c r="L272" s="307">
        <v>0</v>
      </c>
      <c r="M272" s="307">
        <v>0</v>
      </c>
      <c r="N272" s="307">
        <v>1.70339</v>
      </c>
      <c r="O272" s="307">
        <v>0</v>
      </c>
      <c r="P272" s="307">
        <v>0</v>
      </c>
      <c r="Q272" s="307">
        <v>4.0624250000000002</v>
      </c>
      <c r="R272" s="307">
        <v>1.287525</v>
      </c>
      <c r="S272" s="307">
        <v>1.271981</v>
      </c>
      <c r="T272" s="307">
        <v>3.0588030000000002</v>
      </c>
      <c r="U272" s="307">
        <v>1.1300509999999999</v>
      </c>
      <c r="V272" s="307">
        <v>4.4991969999999997</v>
      </c>
      <c r="W272" s="307">
        <v>1.6520109999999999</v>
      </c>
      <c r="X272" s="307">
        <v>0.87362859999999998</v>
      </c>
      <c r="Y272" s="307">
        <v>0</v>
      </c>
      <c r="Z272" s="307">
        <v>1.4276329999999999</v>
      </c>
      <c r="AA272" s="307">
        <v>1.4192849999999999</v>
      </c>
      <c r="AB272" s="307">
        <v>1.0261709999999999</v>
      </c>
      <c r="AC272" s="307">
        <v>1.7849219999999999</v>
      </c>
      <c r="AD272" s="307">
        <v>0</v>
      </c>
      <c r="AE272" s="307">
        <v>3.7136909999999999</v>
      </c>
      <c r="AF272" s="307">
        <v>0</v>
      </c>
      <c r="AG272" s="307">
        <v>0</v>
      </c>
      <c r="AH272" s="307">
        <v>0</v>
      </c>
      <c r="AI272" s="307">
        <v>2.6625049999999999</v>
      </c>
      <c r="AJ272" s="307">
        <v>0</v>
      </c>
      <c r="AK272" s="307">
        <v>0</v>
      </c>
      <c r="AL272" s="307">
        <v>6.881958</v>
      </c>
      <c r="AM272" s="307">
        <v>1.3639790000000001</v>
      </c>
      <c r="AN272" s="307">
        <v>2.6987009999999998</v>
      </c>
      <c r="AO272" s="307">
        <v>3.0846469999999999</v>
      </c>
      <c r="AP272" s="307">
        <v>1.481465</v>
      </c>
      <c r="AQ272" s="307">
        <v>0</v>
      </c>
      <c r="AR272" s="307">
        <v>1.211487</v>
      </c>
      <c r="AS272" s="307">
        <v>0</v>
      </c>
      <c r="AT272" s="307">
        <v>0</v>
      </c>
      <c r="AU272" s="307">
        <v>2.1177229999999998</v>
      </c>
      <c r="AV272" s="307">
        <v>4.1940879999999998</v>
      </c>
      <c r="AW272" s="307">
        <v>0.72099230000000003</v>
      </c>
      <c r="AX272" s="307">
        <v>0</v>
      </c>
      <c r="AY272" s="307">
        <v>2.8904070000000002</v>
      </c>
      <c r="AZ272" s="307">
        <v>1.4269890000000001</v>
      </c>
      <c r="BA272" s="307">
        <v>0</v>
      </c>
      <c r="BB272" s="307">
        <v>0</v>
      </c>
      <c r="BC272" s="307">
        <v>1.829906</v>
      </c>
      <c r="BD272" s="307">
        <v>1.828562</v>
      </c>
      <c r="BE272" s="307">
        <v>1.387222</v>
      </c>
      <c r="BF272" s="307">
        <v>1.1155660000000001</v>
      </c>
      <c r="BG272" s="307">
        <v>0.95595379999999996</v>
      </c>
      <c r="BH272" s="307">
        <v>1.4338329999999999</v>
      </c>
      <c r="BI272" s="307">
        <v>2.147427</v>
      </c>
      <c r="BJ272" s="307">
        <v>4.1105080000000003</v>
      </c>
      <c r="BK272" s="307">
        <v>1.414029</v>
      </c>
      <c r="BL272">
        <f t="shared" si="16"/>
        <v>22</v>
      </c>
      <c r="BM272">
        <f t="shared" si="17"/>
        <v>2.1468374282051279</v>
      </c>
      <c r="BN272">
        <f t="shared" si="18"/>
        <v>6.881958</v>
      </c>
      <c r="BO272">
        <f t="array" ref="BO272">MIN(IF($C272:$BK272&gt;0, $C272:$BK272))</f>
        <v>0.72099230000000003</v>
      </c>
      <c r="BP272">
        <f t="shared" si="19"/>
        <v>1.2776209999999999</v>
      </c>
    </row>
    <row r="273" spans="1:68" x14ac:dyDescent="0.25">
      <c r="A273" s="306">
        <v>336120</v>
      </c>
      <c r="B273" s="307" t="s">
        <v>246</v>
      </c>
      <c r="C273" s="307">
        <v>2.0105270000000002</v>
      </c>
      <c r="D273" s="307">
        <v>0</v>
      </c>
      <c r="E273" s="307">
        <v>2.2130550000000002</v>
      </c>
      <c r="F273" s="307">
        <v>2.2074180000000001</v>
      </c>
      <c r="G273" s="307">
        <v>1.478863</v>
      </c>
      <c r="H273" s="307">
        <v>1.9319059999999999</v>
      </c>
      <c r="I273" s="307">
        <v>3.1053630000000001</v>
      </c>
      <c r="J273" s="307">
        <v>1.3728739999999999</v>
      </c>
      <c r="K273" s="307">
        <v>0</v>
      </c>
      <c r="L273" s="307">
        <v>0</v>
      </c>
      <c r="M273" s="307">
        <v>2.3458290000000002</v>
      </c>
      <c r="N273" s="307">
        <v>2.6796229999999999</v>
      </c>
      <c r="O273" s="307">
        <v>0</v>
      </c>
      <c r="P273" s="307">
        <v>3.2284009999999999</v>
      </c>
      <c r="Q273" s="307">
        <v>2.4811040000000002</v>
      </c>
      <c r="R273" s="307">
        <v>1.6645099999999999</v>
      </c>
      <c r="S273" s="307">
        <v>2.301739</v>
      </c>
      <c r="T273" s="307">
        <v>2.6171190000000002</v>
      </c>
      <c r="U273" s="307">
        <v>1.9475640000000001</v>
      </c>
      <c r="V273" s="307">
        <v>1.3987769999999999</v>
      </c>
      <c r="W273" s="307">
        <v>0</v>
      </c>
      <c r="X273" s="307">
        <v>1.8020069999999999</v>
      </c>
      <c r="Y273" s="307">
        <v>0</v>
      </c>
      <c r="Z273" s="307">
        <v>2.7770890000000001</v>
      </c>
      <c r="AA273" s="307">
        <v>2.9226420000000002</v>
      </c>
      <c r="AB273" s="307">
        <v>2.9181490000000001</v>
      </c>
      <c r="AC273" s="307">
        <v>3.0339040000000002</v>
      </c>
      <c r="AD273" s="307">
        <v>3.359159</v>
      </c>
      <c r="AE273" s="307">
        <v>1.7525790000000001</v>
      </c>
      <c r="AF273" s="307">
        <v>2.5041799999999999</v>
      </c>
      <c r="AG273" s="307">
        <v>3.229622</v>
      </c>
      <c r="AH273" s="307">
        <v>0</v>
      </c>
      <c r="AI273" s="307">
        <v>2.3979529999999998</v>
      </c>
      <c r="AJ273" s="307">
        <v>2.3896030000000001</v>
      </c>
      <c r="AK273" s="307">
        <v>0</v>
      </c>
      <c r="AL273" s="307">
        <v>2.6827040000000002</v>
      </c>
      <c r="AM273" s="307">
        <v>1.6985209999999999</v>
      </c>
      <c r="AN273" s="307">
        <v>2.559831</v>
      </c>
      <c r="AO273" s="307">
        <v>2.612841</v>
      </c>
      <c r="AP273" s="307">
        <v>1.625626</v>
      </c>
      <c r="AQ273" s="307">
        <v>0</v>
      </c>
      <c r="AR273" s="307">
        <v>2.714242</v>
      </c>
      <c r="AS273" s="307">
        <v>2.7870330000000001</v>
      </c>
      <c r="AT273" s="307">
        <v>1.5428409999999999</v>
      </c>
      <c r="AU273" s="307">
        <v>2.2896679999999998</v>
      </c>
      <c r="AV273" s="307">
        <v>0</v>
      </c>
      <c r="AW273" s="307">
        <v>1.7851379999999999</v>
      </c>
      <c r="AX273" s="307">
        <v>0</v>
      </c>
      <c r="AY273" s="307">
        <v>1.4845740000000001</v>
      </c>
      <c r="AZ273" s="307">
        <v>1.7365999999999999</v>
      </c>
      <c r="BA273" s="307">
        <v>2.6639059999999999</v>
      </c>
      <c r="BB273" s="307">
        <v>0</v>
      </c>
      <c r="BC273" s="307">
        <v>1.475463</v>
      </c>
      <c r="BD273" s="307">
        <v>1.941003</v>
      </c>
      <c r="BE273" s="307">
        <v>1.861648</v>
      </c>
      <c r="BF273" s="307">
        <v>2.9370210000000001</v>
      </c>
      <c r="BG273" s="307">
        <v>1.893424</v>
      </c>
      <c r="BH273" s="307">
        <v>1.9670350000000001</v>
      </c>
      <c r="BI273" s="307">
        <v>1.8098639999999999</v>
      </c>
      <c r="BJ273" s="307">
        <v>1.863882</v>
      </c>
      <c r="BK273" s="307">
        <v>2.3467410000000002</v>
      </c>
      <c r="BL273">
        <f t="shared" si="16"/>
        <v>12</v>
      </c>
      <c r="BM273">
        <f t="shared" si="17"/>
        <v>2.2520645918367346</v>
      </c>
      <c r="BN273">
        <f t="shared" si="18"/>
        <v>3.359159</v>
      </c>
      <c r="BO273">
        <f t="array" ref="BO273">MIN(IF($C273:$BK273&gt;0, $C273:$BK273))</f>
        <v>1.3728739999999999</v>
      </c>
      <c r="BP273">
        <f t="shared" si="19"/>
        <v>1.941003</v>
      </c>
    </row>
    <row r="274" spans="1:68" x14ac:dyDescent="0.25">
      <c r="A274" s="306">
        <v>336211</v>
      </c>
      <c r="B274" s="307" t="s">
        <v>247</v>
      </c>
      <c r="C274" s="307">
        <v>3.8980769999999998</v>
      </c>
      <c r="D274" s="307">
        <v>4.7492809999999999</v>
      </c>
      <c r="E274" s="307">
        <v>4.3321059999999996</v>
      </c>
      <c r="F274" s="307">
        <v>4.5655640000000002</v>
      </c>
      <c r="G274" s="307">
        <v>4.7275910000000003</v>
      </c>
      <c r="H274" s="307">
        <v>3.0842230000000002</v>
      </c>
      <c r="I274" s="307">
        <v>3.7391100000000002</v>
      </c>
      <c r="J274" s="307">
        <v>4.8208270000000004</v>
      </c>
      <c r="K274" s="307">
        <v>0</v>
      </c>
      <c r="L274" s="307">
        <v>2.354959</v>
      </c>
      <c r="M274" s="307">
        <v>4.0786819999999997</v>
      </c>
      <c r="N274" s="307">
        <v>3.2021700000000002</v>
      </c>
      <c r="O274" s="307">
        <v>3.0052249999999998</v>
      </c>
      <c r="P274" s="307">
        <v>4.9263159999999999</v>
      </c>
      <c r="Q274" s="307">
        <v>4.8797779999999999</v>
      </c>
      <c r="R274" s="307">
        <v>3.1185170000000002</v>
      </c>
      <c r="S274" s="307">
        <v>3.3873760000000002</v>
      </c>
      <c r="T274" s="307">
        <v>4.2122549999999999</v>
      </c>
      <c r="U274" s="307">
        <v>4.2092840000000002</v>
      </c>
      <c r="V274" s="307">
        <v>4.2874869999999996</v>
      </c>
      <c r="W274" s="307">
        <v>3.4</v>
      </c>
      <c r="X274" s="307">
        <v>3.2929309999999998</v>
      </c>
      <c r="Y274" s="307">
        <v>0</v>
      </c>
      <c r="Z274" s="307">
        <v>3.0762</v>
      </c>
      <c r="AA274" s="307">
        <v>3.842422</v>
      </c>
      <c r="AB274" s="307">
        <v>5.0356300000000003</v>
      </c>
      <c r="AC274" s="307">
        <v>4.2906690000000003</v>
      </c>
      <c r="AD274" s="307">
        <v>5.4921959999999999</v>
      </c>
      <c r="AE274" s="307">
        <v>4.0438419999999997</v>
      </c>
      <c r="AF274" s="307">
        <v>4.7119619999999998</v>
      </c>
      <c r="AG274" s="307">
        <v>5.2803440000000004</v>
      </c>
      <c r="AH274" s="307">
        <v>4.2264439999999999</v>
      </c>
      <c r="AI274" s="307">
        <v>3.0873390000000001</v>
      </c>
      <c r="AJ274" s="307">
        <v>4.6564569999999996</v>
      </c>
      <c r="AK274" s="307">
        <v>5.4024929999999998</v>
      </c>
      <c r="AL274" s="307">
        <v>4.8273830000000002</v>
      </c>
      <c r="AM274" s="307">
        <v>4.2690010000000003</v>
      </c>
      <c r="AN274" s="307">
        <v>4.3835740000000003</v>
      </c>
      <c r="AO274" s="307">
        <v>4.5657290000000001</v>
      </c>
      <c r="AP274" s="307">
        <v>4.5814700000000004</v>
      </c>
      <c r="AQ274" s="307">
        <v>3.673098</v>
      </c>
      <c r="AR274" s="307">
        <v>2.9984510000000002</v>
      </c>
      <c r="AS274" s="307">
        <v>4.1419740000000003</v>
      </c>
      <c r="AT274" s="307">
        <v>4.1287669999999999</v>
      </c>
      <c r="AU274" s="307">
        <v>3.8792960000000001</v>
      </c>
      <c r="AV274" s="307">
        <v>4.0600199999999997</v>
      </c>
      <c r="AW274" s="307">
        <v>4.5373929999999998</v>
      </c>
      <c r="AX274" s="307">
        <v>3.810073</v>
      </c>
      <c r="AY274" s="307">
        <v>4.3486750000000001</v>
      </c>
      <c r="AZ274" s="307">
        <v>3.6995619999999998</v>
      </c>
      <c r="BA274" s="307">
        <v>4.6095810000000004</v>
      </c>
      <c r="BB274" s="307">
        <v>3.3640110000000001</v>
      </c>
      <c r="BC274" s="307">
        <v>4.0090219999999999</v>
      </c>
      <c r="BD274" s="307">
        <v>4.7704250000000004</v>
      </c>
      <c r="BE274" s="307">
        <v>3.542808</v>
      </c>
      <c r="BF274" s="307">
        <v>4.7756569999999998</v>
      </c>
      <c r="BG274" s="307">
        <v>3.6156030000000001</v>
      </c>
      <c r="BH274" s="307">
        <v>4.3692710000000003</v>
      </c>
      <c r="BI274" s="307">
        <v>4.1565560000000001</v>
      </c>
      <c r="BJ274" s="307">
        <v>4.3068489999999997</v>
      </c>
      <c r="BK274" s="307">
        <v>3.1868470000000002</v>
      </c>
      <c r="BL274">
        <f t="shared" si="16"/>
        <v>2</v>
      </c>
      <c r="BM274">
        <f t="shared" si="17"/>
        <v>4.1021839491525425</v>
      </c>
      <c r="BN274">
        <f t="shared" si="18"/>
        <v>5.4921959999999999</v>
      </c>
      <c r="BO274">
        <f t="array" ref="BO274">MIN(IF($C274:$BK274&gt;0, $C274:$BK274))</f>
        <v>2.354959</v>
      </c>
      <c r="BP274">
        <f t="shared" si="19"/>
        <v>4.1565560000000001</v>
      </c>
    </row>
    <row r="275" spans="1:68" x14ac:dyDescent="0.25">
      <c r="A275" s="306">
        <v>336212</v>
      </c>
      <c r="B275" s="307" t="s">
        <v>248</v>
      </c>
      <c r="C275" s="307">
        <v>5.1395169999999997</v>
      </c>
      <c r="D275" s="307">
        <v>5.8014539999999997</v>
      </c>
      <c r="E275" s="307">
        <v>5.2063350000000002</v>
      </c>
      <c r="F275" s="307">
        <v>5.9783860000000004</v>
      </c>
      <c r="G275" s="307">
        <v>6.1592269999999996</v>
      </c>
      <c r="H275" s="307">
        <v>4.1227099999999997</v>
      </c>
      <c r="I275" s="307">
        <v>5.4438550000000001</v>
      </c>
      <c r="J275" s="307">
        <v>0</v>
      </c>
      <c r="K275" s="307">
        <v>0</v>
      </c>
      <c r="L275" s="307">
        <v>3.0026730000000001</v>
      </c>
      <c r="M275" s="307">
        <v>4.5667179999999998</v>
      </c>
      <c r="N275" s="307">
        <v>4.9692259999999999</v>
      </c>
      <c r="O275" s="307">
        <v>0</v>
      </c>
      <c r="P275" s="307">
        <v>4.6923459999999997</v>
      </c>
      <c r="Q275" s="307">
        <v>4.7761449999999996</v>
      </c>
      <c r="R275" s="307">
        <v>4.248685</v>
      </c>
      <c r="S275" s="307">
        <v>5.177244</v>
      </c>
      <c r="T275" s="307">
        <v>5.0051230000000002</v>
      </c>
      <c r="U275" s="307">
        <v>4.4797140000000004</v>
      </c>
      <c r="V275" s="307">
        <v>4.6793750000000003</v>
      </c>
      <c r="W275" s="307">
        <v>3.6032950000000001</v>
      </c>
      <c r="X275" s="307">
        <v>0</v>
      </c>
      <c r="Y275" s="307">
        <v>5.6103690000000004</v>
      </c>
      <c r="Z275" s="307">
        <v>4.6330150000000003</v>
      </c>
      <c r="AA275" s="307">
        <v>4.5259910000000003</v>
      </c>
      <c r="AB275" s="307">
        <v>3.7163710000000001</v>
      </c>
      <c r="AC275" s="307">
        <v>4.9959290000000003</v>
      </c>
      <c r="AD275" s="307">
        <v>4.4364340000000002</v>
      </c>
      <c r="AE275" s="307">
        <v>5.5816039999999996</v>
      </c>
      <c r="AF275" s="307">
        <v>5.0936360000000001</v>
      </c>
      <c r="AG275" s="307">
        <v>5.3552330000000001</v>
      </c>
      <c r="AH275" s="307">
        <v>0</v>
      </c>
      <c r="AI275" s="307">
        <v>3.4968159999999999</v>
      </c>
      <c r="AJ275" s="307">
        <v>4.7941900000000004</v>
      </c>
      <c r="AK275" s="307">
        <v>0</v>
      </c>
      <c r="AL275" s="307">
        <v>3.914193</v>
      </c>
      <c r="AM275" s="307">
        <v>4.9064360000000002</v>
      </c>
      <c r="AN275" s="307">
        <v>5.9765839999999999</v>
      </c>
      <c r="AO275" s="307">
        <v>4.3376460000000003</v>
      </c>
      <c r="AP275" s="307">
        <v>4.8924960000000004</v>
      </c>
      <c r="AQ275" s="307">
        <v>4.3832310000000003</v>
      </c>
      <c r="AR275" s="307">
        <v>5.9899199999999997</v>
      </c>
      <c r="AS275" s="307">
        <v>4.7701190000000002</v>
      </c>
      <c r="AT275" s="307">
        <v>6.0809360000000003</v>
      </c>
      <c r="AU275" s="307">
        <v>4.7894509999999997</v>
      </c>
      <c r="AV275" s="307">
        <v>5.3485760000000004</v>
      </c>
      <c r="AW275" s="307">
        <v>5.4981429999999998</v>
      </c>
      <c r="AX275" s="307">
        <v>0</v>
      </c>
      <c r="AY275" s="307">
        <v>4.016178</v>
      </c>
      <c r="AZ275" s="307">
        <v>5.6823309999999996</v>
      </c>
      <c r="BA275" s="307">
        <v>5.147335</v>
      </c>
      <c r="BB275" s="307">
        <v>0</v>
      </c>
      <c r="BC275" s="307">
        <v>4.4923900000000003</v>
      </c>
      <c r="BD275" s="307">
        <v>5.0628289999999998</v>
      </c>
      <c r="BE275" s="307">
        <v>5.2678000000000003</v>
      </c>
      <c r="BF275" s="307">
        <v>4.6965180000000002</v>
      </c>
      <c r="BG275" s="307">
        <v>5.1872280000000002</v>
      </c>
      <c r="BH275" s="307">
        <v>5.2286580000000002</v>
      </c>
      <c r="BI275" s="307">
        <v>5.3135009999999996</v>
      </c>
      <c r="BJ275" s="307">
        <v>5.2538629999999999</v>
      </c>
      <c r="BK275" s="307">
        <v>4.3706610000000001</v>
      </c>
      <c r="BL275">
        <f t="shared" si="16"/>
        <v>8</v>
      </c>
      <c r="BM275">
        <f t="shared" si="17"/>
        <v>4.9037479056603788</v>
      </c>
      <c r="BN275">
        <f t="shared" si="18"/>
        <v>6.1592269999999996</v>
      </c>
      <c r="BO275">
        <f t="array" ref="BO275">MIN(IF($C275:$BK275&gt;0, $C275:$BK275))</f>
        <v>3.0026730000000001</v>
      </c>
      <c r="BP275">
        <f t="shared" si="19"/>
        <v>4.7894509999999997</v>
      </c>
    </row>
    <row r="276" spans="1:68" x14ac:dyDescent="0.25">
      <c r="A276" s="306">
        <v>336213</v>
      </c>
      <c r="B276" s="307" t="s">
        <v>249</v>
      </c>
      <c r="C276" s="307">
        <v>3.213473</v>
      </c>
      <c r="D276" s="307">
        <v>0</v>
      </c>
      <c r="E276" s="307">
        <v>4.0452219999999999</v>
      </c>
      <c r="F276" s="307">
        <v>0</v>
      </c>
      <c r="G276" s="307">
        <v>7.1347240000000003</v>
      </c>
      <c r="H276" s="307">
        <v>3.6415489999999999</v>
      </c>
      <c r="I276" s="307">
        <v>0</v>
      </c>
      <c r="J276" s="307">
        <v>0</v>
      </c>
      <c r="K276" s="307">
        <v>0</v>
      </c>
      <c r="L276" s="307">
        <v>0</v>
      </c>
      <c r="M276" s="307">
        <v>2.9986999999999999</v>
      </c>
      <c r="N276" s="307">
        <v>0</v>
      </c>
      <c r="O276" s="307">
        <v>0</v>
      </c>
      <c r="P276" s="307">
        <v>3.6759719999999998</v>
      </c>
      <c r="Q276" s="307">
        <v>0</v>
      </c>
      <c r="R276" s="307">
        <v>0</v>
      </c>
      <c r="S276" s="307">
        <v>2.8145229999999999</v>
      </c>
      <c r="T276" s="307">
        <v>0</v>
      </c>
      <c r="U276" s="307">
        <v>0</v>
      </c>
      <c r="V276" s="307">
        <v>0</v>
      </c>
      <c r="W276" s="307">
        <v>0</v>
      </c>
      <c r="X276" s="307">
        <v>0</v>
      </c>
      <c r="Y276" s="307">
        <v>0</v>
      </c>
      <c r="Z276" s="307">
        <v>4.9145139999999996</v>
      </c>
      <c r="AA276" s="307">
        <v>4.5371430000000004</v>
      </c>
      <c r="AB276" s="307">
        <v>5.2447800000000004</v>
      </c>
      <c r="AC276" s="307">
        <v>4.0492999999999997</v>
      </c>
      <c r="AD276" s="307">
        <v>0</v>
      </c>
      <c r="AE276" s="307">
        <v>0</v>
      </c>
      <c r="AF276" s="307">
        <v>0</v>
      </c>
      <c r="AG276" s="307">
        <v>0</v>
      </c>
      <c r="AH276" s="307">
        <v>0</v>
      </c>
      <c r="AI276" s="307">
        <v>0</v>
      </c>
      <c r="AJ276" s="307">
        <v>0</v>
      </c>
      <c r="AK276" s="307">
        <v>0</v>
      </c>
      <c r="AL276" s="307">
        <v>2.5990440000000001</v>
      </c>
      <c r="AM276" s="307">
        <v>3.915664</v>
      </c>
      <c r="AN276" s="307">
        <v>2.367451</v>
      </c>
      <c r="AO276" s="307">
        <v>2.751827</v>
      </c>
      <c r="AP276" s="307">
        <v>3.3282949999999998</v>
      </c>
      <c r="AQ276" s="307">
        <v>0</v>
      </c>
      <c r="AR276" s="307">
        <v>4.6450199999999997</v>
      </c>
      <c r="AS276" s="307">
        <v>0</v>
      </c>
      <c r="AT276" s="307">
        <v>0</v>
      </c>
      <c r="AU276" s="307">
        <v>3.3400880000000002</v>
      </c>
      <c r="AV276" s="307">
        <v>1.66608</v>
      </c>
      <c r="AW276" s="307">
        <v>3.4802840000000002</v>
      </c>
      <c r="AX276" s="307">
        <v>0</v>
      </c>
      <c r="AY276" s="307">
        <v>0</v>
      </c>
      <c r="AZ276" s="307">
        <v>4.5449210000000004</v>
      </c>
      <c r="BA276" s="307">
        <v>0</v>
      </c>
      <c r="BB276" s="307">
        <v>0</v>
      </c>
      <c r="BC276" s="307">
        <v>0</v>
      </c>
      <c r="BD276" s="307">
        <v>3.5198450000000001</v>
      </c>
      <c r="BE276" s="307">
        <v>2.948197</v>
      </c>
      <c r="BF276" s="307">
        <v>3.742378</v>
      </c>
      <c r="BG276" s="307">
        <v>3.0414119999999998</v>
      </c>
      <c r="BH276" s="307">
        <v>4.1261150000000004</v>
      </c>
      <c r="BI276" s="307">
        <v>2.8011720000000002</v>
      </c>
      <c r="BJ276" s="307">
        <v>3.7105570000000001</v>
      </c>
      <c r="BK276" s="307">
        <v>3.4771480000000001</v>
      </c>
      <c r="BL276">
        <f t="shared" si="16"/>
        <v>32</v>
      </c>
      <c r="BM276">
        <f t="shared" si="17"/>
        <v>3.6646688965517229</v>
      </c>
      <c r="BN276">
        <f t="shared" si="18"/>
        <v>7.1347240000000003</v>
      </c>
      <c r="BO276">
        <f t="array" ref="BO276">MIN(IF($C276:$BK276&gt;0, $C276:$BK276))</f>
        <v>1.66608</v>
      </c>
      <c r="BP276">
        <f t="shared" si="19"/>
        <v>0</v>
      </c>
    </row>
    <row r="277" spans="1:68" x14ac:dyDescent="0.25">
      <c r="A277" s="306">
        <v>336214</v>
      </c>
      <c r="B277" s="307" t="s">
        <v>250</v>
      </c>
      <c r="C277" s="307">
        <v>5.6376670000000004</v>
      </c>
      <c r="D277" s="307">
        <v>6.3084239999999996</v>
      </c>
      <c r="E277" s="307">
        <v>7.8425960000000003</v>
      </c>
      <c r="F277" s="307">
        <v>7.7250110000000003</v>
      </c>
      <c r="G277" s="307">
        <v>6.5617140000000003</v>
      </c>
      <c r="H277" s="307">
        <v>6.2444610000000003</v>
      </c>
      <c r="I277" s="307">
        <v>4.6265409999999996</v>
      </c>
      <c r="J277" s="307">
        <v>5.6852960000000001</v>
      </c>
      <c r="K277" s="307">
        <v>0</v>
      </c>
      <c r="L277" s="307">
        <v>0</v>
      </c>
      <c r="M277" s="307">
        <v>5.3678660000000002</v>
      </c>
      <c r="N277" s="307">
        <v>6.454669</v>
      </c>
      <c r="O277" s="307">
        <v>0</v>
      </c>
      <c r="P277" s="307">
        <v>5.9095129999999996</v>
      </c>
      <c r="Q277" s="307">
        <v>6.418323</v>
      </c>
      <c r="R277" s="307">
        <v>5.220377</v>
      </c>
      <c r="S277" s="307">
        <v>4.6068730000000002</v>
      </c>
      <c r="T277" s="307">
        <v>6.8842030000000003</v>
      </c>
      <c r="U277" s="307">
        <v>7.1154570000000001</v>
      </c>
      <c r="V277" s="307">
        <v>7.1977419999999999</v>
      </c>
      <c r="W277" s="307">
        <v>4.1720689999999996</v>
      </c>
      <c r="X277" s="307">
        <v>3.9182999999999999</v>
      </c>
      <c r="Y277" s="307">
        <v>5.2529849999999998</v>
      </c>
      <c r="Z277" s="307">
        <v>6.0296269999999996</v>
      </c>
      <c r="AA277" s="307">
        <v>5.8119750000000003</v>
      </c>
      <c r="AB277" s="307">
        <v>7.5642399999999999</v>
      </c>
      <c r="AC277" s="307">
        <v>7.4321820000000001</v>
      </c>
      <c r="AD277" s="307">
        <v>7.4051390000000001</v>
      </c>
      <c r="AE277" s="307">
        <v>5.5965040000000004</v>
      </c>
      <c r="AF277" s="307">
        <v>6.4670899999999998</v>
      </c>
      <c r="AG277" s="307">
        <v>4.3556850000000003</v>
      </c>
      <c r="AH277" s="307">
        <v>7.4591690000000002</v>
      </c>
      <c r="AI277" s="307">
        <v>4.3352659999999998</v>
      </c>
      <c r="AJ277" s="307">
        <v>8.0482639999999996</v>
      </c>
      <c r="AK277" s="307">
        <v>7.3946630000000004</v>
      </c>
      <c r="AL277" s="307">
        <v>6.2843090000000004</v>
      </c>
      <c r="AM277" s="307">
        <v>5.1525939999999997</v>
      </c>
      <c r="AN277" s="307">
        <v>6.6950890000000003</v>
      </c>
      <c r="AO277" s="307">
        <v>5.7102259999999996</v>
      </c>
      <c r="AP277" s="307">
        <v>5.7962189999999998</v>
      </c>
      <c r="AQ277" s="307">
        <v>0</v>
      </c>
      <c r="AR277" s="307">
        <v>4.4247899999999998</v>
      </c>
      <c r="AS277" s="307">
        <v>7.2415419999999999</v>
      </c>
      <c r="AT277" s="307">
        <v>6.8719669999999997</v>
      </c>
      <c r="AU277" s="307">
        <v>6.5726180000000003</v>
      </c>
      <c r="AV277" s="307">
        <v>6.6395530000000003</v>
      </c>
      <c r="AW277" s="307">
        <v>6.2439229999999997</v>
      </c>
      <c r="AX277" s="307">
        <v>7.8463070000000004</v>
      </c>
      <c r="AY277" s="307">
        <v>6.0550280000000001</v>
      </c>
      <c r="AZ277" s="307">
        <v>6.47776</v>
      </c>
      <c r="BA277" s="307">
        <v>0</v>
      </c>
      <c r="BB277" s="307">
        <v>5.8338929999999998</v>
      </c>
      <c r="BC277" s="307">
        <v>5.514392</v>
      </c>
      <c r="BD277" s="307">
        <v>6.18825</v>
      </c>
      <c r="BE277" s="307">
        <v>4.9295679999999997</v>
      </c>
      <c r="BF277" s="307">
        <v>6.5562449999999997</v>
      </c>
      <c r="BG277" s="307">
        <v>5.281212</v>
      </c>
      <c r="BH277" s="307">
        <v>7.2456420000000001</v>
      </c>
      <c r="BI277" s="307">
        <v>6.7367400000000002</v>
      </c>
      <c r="BJ277" s="307">
        <v>6.2953900000000003</v>
      </c>
      <c r="BK277" s="307">
        <v>6.3448419999999999</v>
      </c>
      <c r="BL277">
        <f t="shared" si="16"/>
        <v>5</v>
      </c>
      <c r="BM277">
        <f t="shared" si="17"/>
        <v>6.1783569642857135</v>
      </c>
      <c r="BN277">
        <f t="shared" si="18"/>
        <v>8.0482639999999996</v>
      </c>
      <c r="BO277">
        <f t="array" ref="BO277">MIN(IF($C277:$BK277&gt;0, $C277:$BK277))</f>
        <v>3.9182999999999999</v>
      </c>
      <c r="BP277">
        <f t="shared" si="19"/>
        <v>6.2439229999999997</v>
      </c>
    </row>
    <row r="278" spans="1:68" x14ac:dyDescent="0.25">
      <c r="A278" s="580">
        <v>336300</v>
      </c>
      <c r="B278" s="734" t="s">
        <v>251</v>
      </c>
      <c r="C278" s="307">
        <v>3.7419950000000002</v>
      </c>
      <c r="D278" s="307">
        <v>4.9733910000000003</v>
      </c>
      <c r="E278" s="307">
        <v>3.9421930000000001</v>
      </c>
      <c r="F278" s="307">
        <v>5.1348209999999996</v>
      </c>
      <c r="G278" s="307">
        <v>3.9131990000000001</v>
      </c>
      <c r="H278" s="307">
        <v>4.3342429999999998</v>
      </c>
      <c r="I278" s="307">
        <v>3.9594740000000002</v>
      </c>
      <c r="J278" s="307">
        <v>3.0610599999999999</v>
      </c>
      <c r="K278" s="307">
        <v>0</v>
      </c>
      <c r="L278" s="307">
        <v>3.3603070000000002</v>
      </c>
      <c r="M278" s="307">
        <v>4.0226369999999996</v>
      </c>
      <c r="N278" s="307">
        <v>4.2177300000000004</v>
      </c>
      <c r="O278" s="307">
        <v>5.1626479999999999</v>
      </c>
      <c r="P278" s="307">
        <v>4.0768259999999996</v>
      </c>
      <c r="Q278" s="307">
        <v>3.509312</v>
      </c>
      <c r="R278" s="307">
        <v>3.554446</v>
      </c>
      <c r="S278" s="307">
        <v>3.2831109999999999</v>
      </c>
      <c r="T278" s="307">
        <v>4.9287299999999998</v>
      </c>
      <c r="U278" s="307">
        <v>4.2371990000000004</v>
      </c>
      <c r="V278" s="307">
        <v>4.6423579999999998</v>
      </c>
      <c r="W278" s="307">
        <v>3.1518190000000001</v>
      </c>
      <c r="X278" s="307">
        <v>2.7601499999999999</v>
      </c>
      <c r="Y278" s="307">
        <v>4.1699840000000004</v>
      </c>
      <c r="Z278" s="307">
        <v>3.2075960000000001</v>
      </c>
      <c r="AA278" s="307">
        <v>4.3261950000000002</v>
      </c>
      <c r="AB278" s="307">
        <v>4.3787159999999998</v>
      </c>
      <c r="AC278" s="307">
        <v>4.2315759999999996</v>
      </c>
      <c r="AD278" s="307">
        <v>5.0664259999999999</v>
      </c>
      <c r="AE278" s="307">
        <v>3.8563350000000001</v>
      </c>
      <c r="AF278" s="307">
        <v>4.5104790000000001</v>
      </c>
      <c r="AG278" s="307">
        <v>4.3443630000000004</v>
      </c>
      <c r="AH278" s="307">
        <v>4.5193859999999999</v>
      </c>
      <c r="AI278" s="307">
        <v>3.4404279999999998</v>
      </c>
      <c r="AJ278" s="307">
        <v>4.3402329999999996</v>
      </c>
      <c r="AK278" s="307">
        <v>4.1684619999999999</v>
      </c>
      <c r="AL278" s="307">
        <v>3.1360440000000001</v>
      </c>
      <c r="AM278" s="307">
        <v>3.2375440000000002</v>
      </c>
      <c r="AN278" s="307">
        <v>4.5703329999999998</v>
      </c>
      <c r="AO278" s="307">
        <v>3.7972959999999998</v>
      </c>
      <c r="AP278" s="307">
        <v>3.7315520000000002</v>
      </c>
      <c r="AQ278" s="307">
        <v>2.8930600000000002</v>
      </c>
      <c r="AR278" s="307">
        <v>3.78424</v>
      </c>
      <c r="AS278" s="307">
        <v>4.9439409999999997</v>
      </c>
      <c r="AT278" s="307">
        <v>4.3567629999999999</v>
      </c>
      <c r="AU278" s="307">
        <v>4.2960229999999999</v>
      </c>
      <c r="AV278" s="307">
        <v>3.9340329999999999</v>
      </c>
      <c r="AW278" s="307">
        <v>3.9650409999999998</v>
      </c>
      <c r="AX278" s="307">
        <v>4.0053099999999997</v>
      </c>
      <c r="AY278" s="307">
        <v>4.1094569999999999</v>
      </c>
      <c r="AZ278" s="307">
        <v>3.562659</v>
      </c>
      <c r="BA278" s="307">
        <v>2.6785429999999999</v>
      </c>
      <c r="BB278" s="307">
        <v>5.0983359999999998</v>
      </c>
      <c r="BC278" s="307">
        <v>3.5413559999999999</v>
      </c>
      <c r="BD278" s="307">
        <v>3.4067460000000001</v>
      </c>
      <c r="BE278" s="307">
        <v>3.3584779999999999</v>
      </c>
      <c r="BF278" s="307">
        <v>4.4926329999999997</v>
      </c>
      <c r="BG278" s="307">
        <v>3.9361229999999998</v>
      </c>
      <c r="BH278" s="307">
        <v>4.310162</v>
      </c>
      <c r="BI278" s="307">
        <v>4.535164</v>
      </c>
      <c r="BJ278" s="307">
        <v>3.9776639999999999</v>
      </c>
      <c r="BK278" s="307">
        <v>4.3148080000000002</v>
      </c>
      <c r="BL278">
        <f t="shared" si="16"/>
        <v>1</v>
      </c>
      <c r="BM278">
        <f t="shared" si="17"/>
        <v>4.008352283333334</v>
      </c>
      <c r="BN278">
        <f t="shared" si="18"/>
        <v>5.1626479999999999</v>
      </c>
      <c r="BO278">
        <f t="array" ref="BO278">MIN(IF($C278:$BK278&gt;0, $C278:$BK278))</f>
        <v>2.6785429999999999</v>
      </c>
      <c r="BP278">
        <f t="shared" si="19"/>
        <v>4.0053099999999997</v>
      </c>
    </row>
    <row r="279" spans="1:68" x14ac:dyDescent="0.25">
      <c r="A279" s="306">
        <v>336411</v>
      </c>
      <c r="B279" s="307" t="s">
        <v>252</v>
      </c>
      <c r="C279" s="307">
        <v>2.211036</v>
      </c>
      <c r="D279" s="307">
        <v>4.772195</v>
      </c>
      <c r="E279" s="307">
        <v>3.035685</v>
      </c>
      <c r="F279" s="307">
        <v>2.9922960000000001</v>
      </c>
      <c r="G279" s="307">
        <v>2.212968</v>
      </c>
      <c r="H279" s="307">
        <v>1.8329150000000001</v>
      </c>
      <c r="I279" s="307">
        <v>2.754073</v>
      </c>
      <c r="J279" s="307">
        <v>1.890944</v>
      </c>
      <c r="K279" s="307">
        <v>0</v>
      </c>
      <c r="L279" s="307">
        <v>1.185951</v>
      </c>
      <c r="M279" s="307">
        <v>3.0019279999999999</v>
      </c>
      <c r="N279" s="307">
        <v>2.2381060000000002</v>
      </c>
      <c r="O279" s="307">
        <v>0</v>
      </c>
      <c r="P279" s="307">
        <v>4.8486219999999998</v>
      </c>
      <c r="Q279" s="307">
        <v>4.3662720000000004</v>
      </c>
      <c r="R279" s="307">
        <v>2.9156080000000002</v>
      </c>
      <c r="S279" s="307">
        <v>4.1843940000000002</v>
      </c>
      <c r="T279" s="307">
        <v>2.488016</v>
      </c>
      <c r="U279" s="307">
        <v>3.2908140000000001</v>
      </c>
      <c r="V279" s="307">
        <v>3.9130069999999999</v>
      </c>
      <c r="W279" s="307">
        <v>2.1557019999999998</v>
      </c>
      <c r="X279" s="307">
        <v>2.4477449999999998</v>
      </c>
      <c r="Y279" s="307">
        <v>4.6150890000000002</v>
      </c>
      <c r="Z279" s="307">
        <v>3.5101789999999999</v>
      </c>
      <c r="AA279" s="307">
        <v>3.5551520000000001</v>
      </c>
      <c r="AB279" s="307">
        <v>1.741533</v>
      </c>
      <c r="AC279" s="307">
        <v>2.9658090000000001</v>
      </c>
      <c r="AD279" s="307">
        <v>5.0451420000000002</v>
      </c>
      <c r="AE279" s="307">
        <v>2.7795239999999999</v>
      </c>
      <c r="AF279" s="307">
        <v>0</v>
      </c>
      <c r="AG279" s="307">
        <v>0</v>
      </c>
      <c r="AH279" s="307">
        <v>1.557825</v>
      </c>
      <c r="AI279" s="307">
        <v>2.2441249999999999</v>
      </c>
      <c r="AJ279" s="307">
        <v>3.1244420000000002</v>
      </c>
      <c r="AK279" s="307">
        <v>4.9624030000000001</v>
      </c>
      <c r="AL279" s="307">
        <v>1.9986930000000001</v>
      </c>
      <c r="AM279" s="307">
        <v>2.5509629999999999</v>
      </c>
      <c r="AN279" s="307">
        <v>2.90062</v>
      </c>
      <c r="AO279" s="307">
        <v>3.5403889999999998</v>
      </c>
      <c r="AP279" s="307">
        <v>1.9550000000000001</v>
      </c>
      <c r="AQ279" s="307">
        <v>0</v>
      </c>
      <c r="AR279" s="307">
        <v>1.678717</v>
      </c>
      <c r="AS279" s="307">
        <v>3.3396140000000001</v>
      </c>
      <c r="AT279" s="307">
        <v>3.1543139999999998</v>
      </c>
      <c r="AU279" s="307">
        <v>2.182925</v>
      </c>
      <c r="AV279" s="307">
        <v>3.7356509999999998</v>
      </c>
      <c r="AW279" s="307">
        <v>2.3316430000000001</v>
      </c>
      <c r="AX279" s="307">
        <v>0</v>
      </c>
      <c r="AY279" s="307">
        <v>1.9822770000000001</v>
      </c>
      <c r="AZ279" s="307">
        <v>2.8170999999999999</v>
      </c>
      <c r="BA279" s="307">
        <v>3.2955770000000002</v>
      </c>
      <c r="BB279" s="307">
        <v>4.8921590000000004</v>
      </c>
      <c r="BC279" s="307">
        <v>2.033013</v>
      </c>
      <c r="BD279" s="307">
        <v>2.067304</v>
      </c>
      <c r="BE279" s="307">
        <v>3.005309</v>
      </c>
      <c r="BF279" s="307">
        <v>2.360754</v>
      </c>
      <c r="BG279" s="307">
        <v>2.4247809999999999</v>
      </c>
      <c r="BH279" s="307">
        <v>3.1393219999999999</v>
      </c>
      <c r="BI279" s="307">
        <v>2.2802859999999998</v>
      </c>
      <c r="BJ279" s="307">
        <v>2.5066039999999998</v>
      </c>
      <c r="BK279" s="307">
        <v>1.949954</v>
      </c>
      <c r="BL279">
        <f t="shared" si="16"/>
        <v>6</v>
      </c>
      <c r="BM279">
        <f t="shared" si="17"/>
        <v>2.8902267090909084</v>
      </c>
      <c r="BN279">
        <f t="shared" si="18"/>
        <v>5.0451420000000002</v>
      </c>
      <c r="BO279">
        <f t="array" ref="BO279">MIN(IF($C279:$BK279&gt;0, $C279:$BK279))</f>
        <v>1.185951</v>
      </c>
      <c r="BP279">
        <f t="shared" si="19"/>
        <v>2.5066039999999998</v>
      </c>
    </row>
    <row r="280" spans="1:68" x14ac:dyDescent="0.25">
      <c r="A280" s="306">
        <v>336412</v>
      </c>
      <c r="B280" s="307" t="s">
        <v>253</v>
      </c>
      <c r="C280" s="307">
        <v>2.9094829999999998</v>
      </c>
      <c r="D280" s="307">
        <v>4.5102989999999998</v>
      </c>
      <c r="E280" s="307">
        <v>2.9950760000000001</v>
      </c>
      <c r="F280" s="307">
        <v>4.160463</v>
      </c>
      <c r="G280" s="307">
        <v>2.5981209999999999</v>
      </c>
      <c r="H280" s="307">
        <v>2.889256</v>
      </c>
      <c r="I280" s="307">
        <v>4.7734899999999998</v>
      </c>
      <c r="J280" s="307">
        <v>2.3725399999999999</v>
      </c>
      <c r="K280" s="307">
        <v>0</v>
      </c>
      <c r="L280" s="307">
        <v>0</v>
      </c>
      <c r="M280" s="307">
        <v>3.1206670000000001</v>
      </c>
      <c r="N280" s="307">
        <v>4.1085339999999997</v>
      </c>
      <c r="O280" s="307">
        <v>0</v>
      </c>
      <c r="P280" s="307">
        <v>3.9188130000000001</v>
      </c>
      <c r="Q280" s="307">
        <v>4.5272379999999997</v>
      </c>
      <c r="R280" s="307">
        <v>2.7698710000000002</v>
      </c>
      <c r="S280" s="307">
        <v>2.4644050000000002</v>
      </c>
      <c r="T280" s="307">
        <v>3.3025530000000001</v>
      </c>
      <c r="U280" s="307">
        <v>3.2470180000000002</v>
      </c>
      <c r="V280" s="307">
        <v>2.7570950000000001</v>
      </c>
      <c r="W280" s="307">
        <v>2.3019080000000001</v>
      </c>
      <c r="X280" s="307">
        <v>2.4225249999999998</v>
      </c>
      <c r="Y280" s="307">
        <v>3.670995</v>
      </c>
      <c r="Z280" s="307">
        <v>3.3187069999999999</v>
      </c>
      <c r="AA280" s="307">
        <v>3.6129549999999999</v>
      </c>
      <c r="AB280" s="307">
        <v>4.2337420000000003</v>
      </c>
      <c r="AC280" s="307">
        <v>4.3063820000000002</v>
      </c>
      <c r="AD280" s="307">
        <v>0</v>
      </c>
      <c r="AE280" s="307">
        <v>2.5093860000000001</v>
      </c>
      <c r="AF280" s="307">
        <v>0</v>
      </c>
      <c r="AG280" s="307">
        <v>2.9985179999999998</v>
      </c>
      <c r="AH280" s="307">
        <v>2.9336920000000002</v>
      </c>
      <c r="AI280" s="307">
        <v>3.116428</v>
      </c>
      <c r="AJ280" s="307">
        <v>2.9373010000000002</v>
      </c>
      <c r="AK280" s="307">
        <v>3.3830550000000001</v>
      </c>
      <c r="AL280" s="307">
        <v>3.991015</v>
      </c>
      <c r="AM280" s="307">
        <v>2.476909</v>
      </c>
      <c r="AN280" s="307">
        <v>4.662852</v>
      </c>
      <c r="AO280" s="307">
        <v>3.9943810000000002</v>
      </c>
      <c r="AP280" s="307">
        <v>3.4850780000000001</v>
      </c>
      <c r="AQ280" s="307">
        <v>0</v>
      </c>
      <c r="AR280" s="307">
        <v>3.211354</v>
      </c>
      <c r="AS280" s="307">
        <v>4.4834949999999996</v>
      </c>
      <c r="AT280" s="307">
        <v>4.4878080000000002</v>
      </c>
      <c r="AU280" s="307">
        <v>4.0245709999999999</v>
      </c>
      <c r="AV280" s="307">
        <v>3.741215</v>
      </c>
      <c r="AW280" s="307">
        <v>3.1605560000000001</v>
      </c>
      <c r="AX280" s="307">
        <v>3.0398540000000001</v>
      </c>
      <c r="AY280" s="307">
        <v>3.6780879999999998</v>
      </c>
      <c r="AZ280" s="307">
        <v>3.6637119999999999</v>
      </c>
      <c r="BA280" s="307">
        <v>2.853742</v>
      </c>
      <c r="BB280" s="307">
        <v>4.6238229999999998</v>
      </c>
      <c r="BC280" s="307">
        <v>2.6400960000000002</v>
      </c>
      <c r="BD280" s="307">
        <v>3.795547</v>
      </c>
      <c r="BE280" s="307">
        <v>2.6556999999999999</v>
      </c>
      <c r="BF280" s="307">
        <v>3.604892</v>
      </c>
      <c r="BG280" s="307">
        <v>3.0873089999999999</v>
      </c>
      <c r="BH280" s="307">
        <v>3.6392730000000002</v>
      </c>
      <c r="BI280" s="307">
        <v>3.9868779999999999</v>
      </c>
      <c r="BJ280" s="307">
        <v>2.7489089999999998</v>
      </c>
      <c r="BK280" s="307">
        <v>2.9302419999999998</v>
      </c>
      <c r="BL280">
        <f t="shared" si="16"/>
        <v>6</v>
      </c>
      <c r="BM280">
        <f t="shared" si="17"/>
        <v>3.4152330000000006</v>
      </c>
      <c r="BN280">
        <f t="shared" si="18"/>
        <v>4.7734899999999998</v>
      </c>
      <c r="BO280">
        <f t="array" ref="BO280">MIN(IF($C280:$BK280&gt;0, $C280:$BK280))</f>
        <v>2.3019080000000001</v>
      </c>
      <c r="BP280">
        <f t="shared" si="19"/>
        <v>3.1605560000000001</v>
      </c>
    </row>
    <row r="281" spans="1:68" x14ac:dyDescent="0.25">
      <c r="A281" s="306">
        <v>336413</v>
      </c>
      <c r="B281" s="307" t="s">
        <v>254</v>
      </c>
      <c r="C281" s="307">
        <v>5.0408020000000002</v>
      </c>
      <c r="D281" s="307">
        <v>7.1337910000000004</v>
      </c>
      <c r="E281" s="307">
        <v>5.5296900000000004</v>
      </c>
      <c r="F281" s="307">
        <v>7.230156</v>
      </c>
      <c r="G281" s="307">
        <v>5.0520740000000002</v>
      </c>
      <c r="H281" s="307">
        <v>4.9031979999999997</v>
      </c>
      <c r="I281" s="307">
        <v>5.2991130000000002</v>
      </c>
      <c r="J281" s="307">
        <v>3.7359879999999999</v>
      </c>
      <c r="K281" s="307">
        <v>0</v>
      </c>
      <c r="L281" s="307">
        <v>3.625375</v>
      </c>
      <c r="M281" s="307">
        <v>6.0307269999999997</v>
      </c>
      <c r="N281" s="307">
        <v>6.3653560000000002</v>
      </c>
      <c r="O281" s="307">
        <v>7.186566</v>
      </c>
      <c r="P281" s="307">
        <v>4.6979369999999996</v>
      </c>
      <c r="Q281" s="307">
        <v>7.1607750000000001</v>
      </c>
      <c r="R281" s="307">
        <v>3.6447080000000001</v>
      </c>
      <c r="S281" s="307">
        <v>4.3683569999999996</v>
      </c>
      <c r="T281" s="307">
        <v>6.3193820000000001</v>
      </c>
      <c r="U281" s="307">
        <v>5.3227330000000004</v>
      </c>
      <c r="V281" s="307">
        <v>6.940855</v>
      </c>
      <c r="W281" s="307">
        <v>4.1338020000000002</v>
      </c>
      <c r="X281" s="307">
        <v>4.0987</v>
      </c>
      <c r="Y281" s="307">
        <v>0</v>
      </c>
      <c r="Z281" s="307">
        <v>4.7759479999999996</v>
      </c>
      <c r="AA281" s="307">
        <v>6.0286939999999998</v>
      </c>
      <c r="AB281" s="307">
        <v>4.4022750000000004</v>
      </c>
      <c r="AC281" s="307">
        <v>4.2815519999999996</v>
      </c>
      <c r="AD281" s="307">
        <v>7.5416670000000003</v>
      </c>
      <c r="AE281" s="307">
        <v>4.0490500000000003</v>
      </c>
      <c r="AF281" s="307">
        <v>5.3306250000000004</v>
      </c>
      <c r="AG281" s="307">
        <v>6.3016199999999998</v>
      </c>
      <c r="AH281" s="307">
        <v>5.526764</v>
      </c>
      <c r="AI281" s="307">
        <v>3.7627079999999999</v>
      </c>
      <c r="AJ281" s="307">
        <v>7.3756589999999997</v>
      </c>
      <c r="AK281" s="307">
        <v>6.7573730000000003</v>
      </c>
      <c r="AL281" s="307">
        <v>5.1191360000000001</v>
      </c>
      <c r="AM281" s="307">
        <v>4.288767</v>
      </c>
      <c r="AN281" s="307">
        <v>6.7700339999999999</v>
      </c>
      <c r="AO281" s="307">
        <v>3.7780800000000001</v>
      </c>
      <c r="AP281" s="307">
        <v>4.9233849999999997</v>
      </c>
      <c r="AQ281" s="307">
        <v>0</v>
      </c>
      <c r="AR281" s="307">
        <v>5.4291010000000002</v>
      </c>
      <c r="AS281" s="307">
        <v>6.6163069999999999</v>
      </c>
      <c r="AT281" s="307">
        <v>4.406263</v>
      </c>
      <c r="AU281" s="307">
        <v>4.1212460000000002</v>
      </c>
      <c r="AV281" s="307">
        <v>5.1394929999999999</v>
      </c>
      <c r="AW281" s="307">
        <v>5.5128110000000001</v>
      </c>
      <c r="AX281" s="307">
        <v>6.2012689999999999</v>
      </c>
      <c r="AY281" s="307">
        <v>5.5361500000000001</v>
      </c>
      <c r="AZ281" s="307">
        <v>6.5218170000000004</v>
      </c>
      <c r="BA281" s="307">
        <v>5.2290760000000001</v>
      </c>
      <c r="BB281" s="307">
        <v>7.3132419999999998</v>
      </c>
      <c r="BC281" s="307">
        <v>4.0971039999999999</v>
      </c>
      <c r="BD281" s="307">
        <v>5.0714449999999998</v>
      </c>
      <c r="BE281" s="307">
        <v>4.4845980000000001</v>
      </c>
      <c r="BF281" s="307">
        <v>5.8269190000000002</v>
      </c>
      <c r="BG281" s="307">
        <v>5.5138509999999998</v>
      </c>
      <c r="BH281" s="307">
        <v>5.0009139999999999</v>
      </c>
      <c r="BI281" s="307">
        <v>4.5383389999999997</v>
      </c>
      <c r="BJ281" s="307">
        <v>5.205686</v>
      </c>
      <c r="BK281" s="307">
        <v>5.0192620000000003</v>
      </c>
      <c r="BL281">
        <f t="shared" si="16"/>
        <v>3</v>
      </c>
      <c r="BM281">
        <f t="shared" si="17"/>
        <v>5.372729568965517</v>
      </c>
      <c r="BN281">
        <f t="shared" si="18"/>
        <v>7.5416670000000003</v>
      </c>
      <c r="BO281">
        <f t="array" ref="BO281">MIN(IF($C281:$BK281&gt;0, $C281:$BK281))</f>
        <v>3.625375</v>
      </c>
      <c r="BP281">
        <f t="shared" si="19"/>
        <v>5.1394929999999999</v>
      </c>
    </row>
    <row r="282" spans="1:68" x14ac:dyDescent="0.25">
      <c r="A282" s="306">
        <v>336414</v>
      </c>
      <c r="B282" s="307" t="s">
        <v>255</v>
      </c>
      <c r="C282" s="307">
        <v>2.6170939999999998</v>
      </c>
      <c r="D282" s="307">
        <v>0</v>
      </c>
      <c r="E282" s="307">
        <v>2.6019939999999999</v>
      </c>
      <c r="F282" s="307">
        <v>3.8222839999999998</v>
      </c>
      <c r="G282" s="307">
        <v>2.862905</v>
      </c>
      <c r="H282" s="307">
        <v>2.3556149999999998</v>
      </c>
      <c r="I282" s="307">
        <v>2.6589969999999998</v>
      </c>
      <c r="J282" s="307">
        <v>0</v>
      </c>
      <c r="K282" s="307">
        <v>0</v>
      </c>
      <c r="L282" s="307">
        <v>0</v>
      </c>
      <c r="M282" s="307">
        <v>2.854555</v>
      </c>
      <c r="N282" s="307">
        <v>3.6557339999999998</v>
      </c>
      <c r="O282" s="307">
        <v>0</v>
      </c>
      <c r="P282" s="307">
        <v>0</v>
      </c>
      <c r="Q282" s="307">
        <v>0</v>
      </c>
      <c r="R282" s="307">
        <v>0</v>
      </c>
      <c r="S282" s="307">
        <v>2.776529</v>
      </c>
      <c r="T282" s="307">
        <v>0</v>
      </c>
      <c r="U282" s="307">
        <v>0</v>
      </c>
      <c r="V282" s="307">
        <v>0</v>
      </c>
      <c r="W282" s="307">
        <v>2.0980379999999998</v>
      </c>
      <c r="X282" s="307">
        <v>0</v>
      </c>
      <c r="Y282" s="307">
        <v>0</v>
      </c>
      <c r="Z282" s="307">
        <v>0</v>
      </c>
      <c r="AA282" s="307">
        <v>0</v>
      </c>
      <c r="AB282" s="307">
        <v>0</v>
      </c>
      <c r="AC282" s="307">
        <v>0</v>
      </c>
      <c r="AD282" s="307">
        <v>0</v>
      </c>
      <c r="AE282" s="307">
        <v>0</v>
      </c>
      <c r="AF282" s="307">
        <v>0</v>
      </c>
      <c r="AG282" s="307">
        <v>0</v>
      </c>
      <c r="AH282" s="307">
        <v>0</v>
      </c>
      <c r="AI282" s="307">
        <v>0</v>
      </c>
      <c r="AJ282" s="307">
        <v>3.8273990000000002</v>
      </c>
      <c r="AK282" s="307">
        <v>3.3112740000000001</v>
      </c>
      <c r="AL282" s="307">
        <v>0</v>
      </c>
      <c r="AM282" s="307">
        <v>0</v>
      </c>
      <c r="AN282" s="307">
        <v>3.8902990000000002</v>
      </c>
      <c r="AO282" s="307">
        <v>0</v>
      </c>
      <c r="AP282" s="307">
        <v>0</v>
      </c>
      <c r="AQ282" s="307">
        <v>0</v>
      </c>
      <c r="AR282" s="307">
        <v>0</v>
      </c>
      <c r="AS282" s="307">
        <v>0</v>
      </c>
      <c r="AT282" s="307">
        <v>0</v>
      </c>
      <c r="AU282" s="307">
        <v>2.6848839999999998</v>
      </c>
      <c r="AV282" s="307">
        <v>2.7981449999999999</v>
      </c>
      <c r="AW282" s="307">
        <v>2.1934849999999999</v>
      </c>
      <c r="AX282" s="307">
        <v>0</v>
      </c>
      <c r="AY282" s="307">
        <v>0</v>
      </c>
      <c r="AZ282" s="307">
        <v>0</v>
      </c>
      <c r="BA282" s="307">
        <v>0</v>
      </c>
      <c r="BB282" s="307">
        <v>0</v>
      </c>
      <c r="BC282" s="307">
        <v>2.324017</v>
      </c>
      <c r="BD282" s="307">
        <v>0</v>
      </c>
      <c r="BE282" s="307">
        <v>2.8856250000000001</v>
      </c>
      <c r="BF282" s="307">
        <v>0</v>
      </c>
      <c r="BG282" s="307">
        <v>2.8624589999999999</v>
      </c>
      <c r="BH282" s="307">
        <v>2.6187049999999998</v>
      </c>
      <c r="BI282" s="307">
        <v>2.7407089999999998</v>
      </c>
      <c r="BJ282" s="307">
        <v>2.8088009999999999</v>
      </c>
      <c r="BK282" s="307">
        <v>2.358565</v>
      </c>
      <c r="BL282">
        <f t="shared" si="16"/>
        <v>38</v>
      </c>
      <c r="BM282">
        <f t="shared" si="17"/>
        <v>2.8525266086956518</v>
      </c>
      <c r="BN282">
        <f t="shared" si="18"/>
        <v>3.8902990000000002</v>
      </c>
      <c r="BO282">
        <f t="array" ref="BO282">MIN(IF($C282:$BK282&gt;0, $C282:$BK282))</f>
        <v>2.0980379999999998</v>
      </c>
      <c r="BP282">
        <f t="shared" si="19"/>
        <v>0</v>
      </c>
    </row>
    <row r="283" spans="1:68" x14ac:dyDescent="0.25">
      <c r="A283" s="306" t="s">
        <v>743</v>
      </c>
      <c r="B283" s="307" t="s">
        <v>744</v>
      </c>
      <c r="C283" s="307">
        <v>5.5170859999999999</v>
      </c>
      <c r="D283" s="307">
        <v>0</v>
      </c>
      <c r="E283" s="307">
        <v>6.1728779999999999</v>
      </c>
      <c r="F283" s="307">
        <v>0</v>
      </c>
      <c r="G283" s="307">
        <v>7.6018330000000001</v>
      </c>
      <c r="H283" s="307">
        <v>5.2242129999999998</v>
      </c>
      <c r="I283" s="307">
        <v>4.7422639999999996</v>
      </c>
      <c r="J283" s="307">
        <v>0</v>
      </c>
      <c r="K283" s="307">
        <v>0</v>
      </c>
      <c r="L283" s="307">
        <v>0</v>
      </c>
      <c r="M283" s="307">
        <v>6.3155869999999998</v>
      </c>
      <c r="N283" s="307">
        <v>6.1448980000000004</v>
      </c>
      <c r="O283" s="307">
        <v>0</v>
      </c>
      <c r="P283" s="307">
        <v>0</v>
      </c>
      <c r="Q283" s="307">
        <v>0</v>
      </c>
      <c r="R283" s="307">
        <v>0</v>
      </c>
      <c r="S283" s="307">
        <v>0</v>
      </c>
      <c r="T283" s="307">
        <v>0</v>
      </c>
      <c r="U283" s="307">
        <v>0</v>
      </c>
      <c r="V283" s="307">
        <v>5.1192669999999998</v>
      </c>
      <c r="W283" s="307">
        <v>4.1604609999999997</v>
      </c>
      <c r="X283" s="307">
        <v>4.0773380000000001</v>
      </c>
      <c r="Y283" s="307">
        <v>8.5443879999999996</v>
      </c>
      <c r="Z283" s="307">
        <v>4.3546240000000003</v>
      </c>
      <c r="AA283" s="307">
        <v>0</v>
      </c>
      <c r="AB283" s="307">
        <v>0</v>
      </c>
      <c r="AC283" s="307">
        <v>5.3733310000000003</v>
      </c>
      <c r="AD283" s="307">
        <v>0</v>
      </c>
      <c r="AE283" s="307">
        <v>0</v>
      </c>
      <c r="AF283" s="307">
        <v>0</v>
      </c>
      <c r="AG283" s="307">
        <v>0</v>
      </c>
      <c r="AH283" s="307">
        <v>0</v>
      </c>
      <c r="AI283" s="307">
        <v>0</v>
      </c>
      <c r="AJ283" s="307">
        <v>0</v>
      </c>
      <c r="AK283" s="307">
        <v>0</v>
      </c>
      <c r="AL283" s="307">
        <v>6.699344</v>
      </c>
      <c r="AM283" s="307">
        <v>9.0908879999999996</v>
      </c>
      <c r="AN283" s="307">
        <v>9.2842870000000008</v>
      </c>
      <c r="AO283" s="307">
        <v>0</v>
      </c>
      <c r="AP283" s="307">
        <v>3.885459</v>
      </c>
      <c r="AQ283" s="307">
        <v>0</v>
      </c>
      <c r="AR283" s="307">
        <v>0</v>
      </c>
      <c r="AS283" s="307">
        <v>8.7821189999999998</v>
      </c>
      <c r="AT283" s="307">
        <v>0</v>
      </c>
      <c r="AU283" s="307">
        <v>7.8024810000000002</v>
      </c>
      <c r="AV283" s="307">
        <v>5.5496340000000002</v>
      </c>
      <c r="AW283" s="307">
        <v>5.1495309999999996</v>
      </c>
      <c r="AX283" s="307">
        <v>0</v>
      </c>
      <c r="AY283" s="307">
        <v>5.3944419999999997</v>
      </c>
      <c r="AZ283" s="307">
        <v>9.1744380000000003</v>
      </c>
      <c r="BA283" s="307">
        <v>5.771611</v>
      </c>
      <c r="BB283" s="307">
        <v>0</v>
      </c>
      <c r="BC283" s="307">
        <v>4.8471529999999996</v>
      </c>
      <c r="BD283" s="307">
        <v>4.4416909999999996</v>
      </c>
      <c r="BE283" s="307">
        <v>4.4028289999999997</v>
      </c>
      <c r="BF283" s="307">
        <v>9.1200960000000002</v>
      </c>
      <c r="BG283" s="307">
        <v>5.5741310000000004</v>
      </c>
      <c r="BH283" s="307">
        <v>6.1490289999999996</v>
      </c>
      <c r="BI283" s="307">
        <v>5.5899429999999999</v>
      </c>
      <c r="BJ283" s="307">
        <v>5.6919599999999999</v>
      </c>
      <c r="BK283" s="307">
        <v>5.2586380000000004</v>
      </c>
      <c r="BL283">
        <f t="shared" si="16"/>
        <v>28</v>
      </c>
      <c r="BM283">
        <f t="shared" si="17"/>
        <v>6.091147636363635</v>
      </c>
      <c r="BN283">
        <f t="shared" si="18"/>
        <v>9.2842870000000008</v>
      </c>
      <c r="BO283">
        <f t="array" ref="BO283">MIN(IF($C283:$BK283&gt;0, $C283:$BK283))</f>
        <v>3.885459</v>
      </c>
      <c r="BP283">
        <f t="shared" si="19"/>
        <v>4.1604609999999997</v>
      </c>
    </row>
    <row r="284" spans="1:68" x14ac:dyDescent="0.25">
      <c r="A284" s="306">
        <v>336500</v>
      </c>
      <c r="B284" s="307" t="s">
        <v>256</v>
      </c>
      <c r="C284" s="307">
        <v>3.3323489999999998</v>
      </c>
      <c r="D284" s="307">
        <v>0</v>
      </c>
      <c r="E284" s="307">
        <v>4.0170630000000003</v>
      </c>
      <c r="F284" s="307">
        <v>4.4953440000000002</v>
      </c>
      <c r="G284" s="307">
        <v>2.3286980000000002</v>
      </c>
      <c r="H284" s="307">
        <v>3.336363</v>
      </c>
      <c r="I284" s="307">
        <v>3.1724700000000001</v>
      </c>
      <c r="J284" s="307">
        <v>5.5114570000000001</v>
      </c>
      <c r="K284" s="307">
        <v>0</v>
      </c>
      <c r="L284" s="307">
        <v>4.0597690000000002</v>
      </c>
      <c r="M284" s="307">
        <v>4.1060100000000004</v>
      </c>
      <c r="N284" s="307">
        <v>3.971854</v>
      </c>
      <c r="O284" s="307">
        <v>0</v>
      </c>
      <c r="P284" s="307">
        <v>3.1079089999999998</v>
      </c>
      <c r="Q284" s="307">
        <v>4.3834869999999997</v>
      </c>
      <c r="R284" s="307">
        <v>2.8623419999999999</v>
      </c>
      <c r="S284" s="307">
        <v>2.7979280000000002</v>
      </c>
      <c r="T284" s="307">
        <v>4.1430410000000002</v>
      </c>
      <c r="U284" s="307">
        <v>3.808611</v>
      </c>
      <c r="V284" s="307">
        <v>4.3171679999999997</v>
      </c>
      <c r="W284" s="307">
        <v>0</v>
      </c>
      <c r="X284" s="307">
        <v>2.536794</v>
      </c>
      <c r="Y284" s="307">
        <v>4.6665320000000001</v>
      </c>
      <c r="Z284" s="307">
        <v>4.5894779999999997</v>
      </c>
      <c r="AA284" s="307">
        <v>3.2702870000000002</v>
      </c>
      <c r="AB284" s="307">
        <v>4.0230990000000002</v>
      </c>
      <c r="AC284" s="307">
        <v>0</v>
      </c>
      <c r="AD284" s="307">
        <v>0</v>
      </c>
      <c r="AE284" s="307">
        <v>3.3050000000000002</v>
      </c>
      <c r="AF284" s="307">
        <v>0</v>
      </c>
      <c r="AG284" s="307">
        <v>4.3686600000000002</v>
      </c>
      <c r="AH284" s="307">
        <v>0</v>
      </c>
      <c r="AI284" s="307">
        <v>2.8138369999999999</v>
      </c>
      <c r="AJ284" s="307">
        <v>0</v>
      </c>
      <c r="AK284" s="307">
        <v>4.8993820000000001</v>
      </c>
      <c r="AL284" s="307">
        <v>3.636606</v>
      </c>
      <c r="AM284" s="307">
        <v>4.4892830000000004</v>
      </c>
      <c r="AN284" s="307">
        <v>4.5045500000000001</v>
      </c>
      <c r="AO284" s="307">
        <v>3.2743739999999999</v>
      </c>
      <c r="AP284" s="307">
        <v>2.2409240000000001</v>
      </c>
      <c r="AQ284" s="307">
        <v>0</v>
      </c>
      <c r="AR284" s="307">
        <v>3.5781360000000002</v>
      </c>
      <c r="AS284" s="307">
        <v>0</v>
      </c>
      <c r="AT284" s="307">
        <v>4.8255619999999997</v>
      </c>
      <c r="AU284" s="307">
        <v>4.0024990000000003</v>
      </c>
      <c r="AV284" s="307">
        <v>5.8811119999999999</v>
      </c>
      <c r="AW284" s="307">
        <v>4.0610489999999997</v>
      </c>
      <c r="AX284" s="307">
        <v>2.2106680000000001</v>
      </c>
      <c r="AY284" s="307">
        <v>4.5923990000000003</v>
      </c>
      <c r="AZ284" s="307">
        <v>2.7529699999999999</v>
      </c>
      <c r="BA284" s="307">
        <v>3.5732949999999999</v>
      </c>
      <c r="BB284" s="307">
        <v>0</v>
      </c>
      <c r="BC284" s="307">
        <v>4.9256650000000004</v>
      </c>
      <c r="BD284" s="307">
        <v>2.6639300000000001</v>
      </c>
      <c r="BE284" s="307">
        <v>3.2271290000000001</v>
      </c>
      <c r="BF284" s="307">
        <v>3.8640569999999999</v>
      </c>
      <c r="BG284" s="307">
        <v>3.8294800000000002</v>
      </c>
      <c r="BH284" s="307">
        <v>4.0675819999999998</v>
      </c>
      <c r="BI284" s="307">
        <v>4.185835</v>
      </c>
      <c r="BJ284" s="307">
        <v>4.3190770000000001</v>
      </c>
      <c r="BK284" s="307">
        <v>3.7235860000000001</v>
      </c>
      <c r="BL284">
        <f t="shared" si="16"/>
        <v>12</v>
      </c>
      <c r="BM284">
        <f t="shared" si="17"/>
        <v>3.8092795918367344</v>
      </c>
      <c r="BN284">
        <f t="shared" si="18"/>
        <v>5.8811119999999999</v>
      </c>
      <c r="BO284">
        <f t="array" ref="BO284">MIN(IF($C284:$BK284&gt;0, $C284:$BK284))</f>
        <v>2.2106680000000001</v>
      </c>
      <c r="BP284">
        <f t="shared" si="19"/>
        <v>3.5781360000000002</v>
      </c>
    </row>
    <row r="285" spans="1:68" x14ac:dyDescent="0.25">
      <c r="A285" s="306">
        <v>336611</v>
      </c>
      <c r="B285" s="307" t="s">
        <v>257</v>
      </c>
      <c r="C285" s="307">
        <v>5.6642000000000001</v>
      </c>
      <c r="D285" s="307">
        <v>7.6731369999999997</v>
      </c>
      <c r="E285" s="307">
        <v>7.0528130000000004</v>
      </c>
      <c r="F285" s="307">
        <v>9.6001060000000003</v>
      </c>
      <c r="G285" s="307">
        <v>0</v>
      </c>
      <c r="H285" s="307">
        <v>6.0771940000000004</v>
      </c>
      <c r="I285" s="307">
        <v>0</v>
      </c>
      <c r="J285" s="307">
        <v>3.8691460000000002</v>
      </c>
      <c r="K285" s="307">
        <v>0.7041866</v>
      </c>
      <c r="L285" s="307">
        <v>6.8751620000000004</v>
      </c>
      <c r="M285" s="307">
        <v>6.7608639999999998</v>
      </c>
      <c r="N285" s="307">
        <v>8.6353950000000008</v>
      </c>
      <c r="O285" s="307">
        <v>5.4269939999999997</v>
      </c>
      <c r="P285" s="307">
        <v>0</v>
      </c>
      <c r="Q285" s="307">
        <v>0</v>
      </c>
      <c r="R285" s="307">
        <v>7.2801650000000002</v>
      </c>
      <c r="S285" s="307">
        <v>6.2685050000000002</v>
      </c>
      <c r="T285" s="307">
        <v>0</v>
      </c>
      <c r="U285" s="307">
        <v>8.7086020000000008</v>
      </c>
      <c r="V285" s="307">
        <v>5.9520960000000001</v>
      </c>
      <c r="W285" s="307">
        <v>5.3359490000000003</v>
      </c>
      <c r="X285" s="307">
        <v>5.2100229999999996</v>
      </c>
      <c r="Y285" s="307">
        <v>5.1046399999999998</v>
      </c>
      <c r="Z285" s="307">
        <v>7.0289580000000003</v>
      </c>
      <c r="AA285" s="307">
        <v>0</v>
      </c>
      <c r="AB285" s="307">
        <v>6.8531269999999997</v>
      </c>
      <c r="AC285" s="307">
        <v>5.1821080000000004</v>
      </c>
      <c r="AD285" s="307">
        <v>0</v>
      </c>
      <c r="AE285" s="307">
        <v>9.825761</v>
      </c>
      <c r="AF285" s="307">
        <v>0</v>
      </c>
      <c r="AG285" s="307">
        <v>0</v>
      </c>
      <c r="AH285" s="307">
        <v>8.4884129999999995</v>
      </c>
      <c r="AI285" s="307">
        <v>4.8786120000000004</v>
      </c>
      <c r="AJ285" s="307">
        <v>0</v>
      </c>
      <c r="AK285" s="307">
        <v>0</v>
      </c>
      <c r="AL285" s="307">
        <v>5.0727690000000001</v>
      </c>
      <c r="AM285" s="307">
        <v>7.4408859999999999</v>
      </c>
      <c r="AN285" s="307">
        <v>0</v>
      </c>
      <c r="AO285" s="307">
        <v>4.7744749999999998</v>
      </c>
      <c r="AP285" s="307">
        <v>5.4554090000000004</v>
      </c>
      <c r="AQ285" s="307">
        <v>4.889068</v>
      </c>
      <c r="AR285" s="307">
        <v>6.1909720000000004</v>
      </c>
      <c r="AS285" s="307">
        <v>0</v>
      </c>
      <c r="AT285" s="307">
        <v>7.0318449999999997</v>
      </c>
      <c r="AU285" s="307">
        <v>6.1638130000000002</v>
      </c>
      <c r="AV285" s="307">
        <v>8.8254280000000005</v>
      </c>
      <c r="AW285" s="307">
        <v>4.9422629999999996</v>
      </c>
      <c r="AX285" s="307">
        <v>0</v>
      </c>
      <c r="AY285" s="307">
        <v>4.6752250000000002</v>
      </c>
      <c r="AZ285" s="307">
        <v>6.7179190000000002</v>
      </c>
      <c r="BA285" s="307">
        <v>0</v>
      </c>
      <c r="BB285" s="307">
        <v>0</v>
      </c>
      <c r="BC285" s="307">
        <v>4.9230900000000002</v>
      </c>
      <c r="BD285" s="307">
        <v>5.567221</v>
      </c>
      <c r="BE285" s="307">
        <v>6.8604830000000003</v>
      </c>
      <c r="BF285" s="307">
        <v>7.23726</v>
      </c>
      <c r="BG285" s="307">
        <v>5.4466789999999996</v>
      </c>
      <c r="BH285" s="307">
        <v>6.0009430000000004</v>
      </c>
      <c r="BI285" s="307">
        <v>6.2503460000000004</v>
      </c>
      <c r="BJ285" s="307">
        <v>8.8940710000000003</v>
      </c>
      <c r="BK285" s="307">
        <v>5.2442200000000003</v>
      </c>
      <c r="BL285">
        <f t="shared" si="16"/>
        <v>16</v>
      </c>
      <c r="BM285">
        <f t="shared" si="17"/>
        <v>6.2902342577777768</v>
      </c>
      <c r="BN285">
        <f t="shared" si="18"/>
        <v>9.825761</v>
      </c>
      <c r="BO285">
        <f t="array" ref="BO285">MIN(IF($C285:$BK285&gt;0, $C285:$BK285))</f>
        <v>0.7041866</v>
      </c>
      <c r="BP285">
        <f t="shared" si="19"/>
        <v>5.4269939999999997</v>
      </c>
    </row>
    <row r="286" spans="1:68" x14ac:dyDescent="0.25">
      <c r="A286" s="306">
        <v>336612</v>
      </c>
      <c r="B286" s="307" t="s">
        <v>258</v>
      </c>
      <c r="C286" s="307">
        <v>5.5232919999999996</v>
      </c>
      <c r="D286" s="307">
        <v>6.2465419999999998</v>
      </c>
      <c r="E286" s="307">
        <v>6.1150950000000002</v>
      </c>
      <c r="F286" s="307">
        <v>6.8821370000000002</v>
      </c>
      <c r="G286" s="307">
        <v>6.1377740000000003</v>
      </c>
      <c r="H286" s="307">
        <v>5.254969</v>
      </c>
      <c r="I286" s="307">
        <v>7.7043860000000004</v>
      </c>
      <c r="J286" s="307">
        <v>4.0277700000000003</v>
      </c>
      <c r="K286" s="307">
        <v>0</v>
      </c>
      <c r="L286" s="307">
        <v>3.1321620000000001</v>
      </c>
      <c r="M286" s="307">
        <v>5.5715250000000003</v>
      </c>
      <c r="N286" s="307">
        <v>6.274311</v>
      </c>
      <c r="O286" s="307">
        <v>7.5565600000000002</v>
      </c>
      <c r="P286" s="307">
        <v>7.3964350000000003</v>
      </c>
      <c r="Q286" s="307">
        <v>5.7899950000000002</v>
      </c>
      <c r="R286" s="307">
        <v>3.9293689999999999</v>
      </c>
      <c r="S286" s="307">
        <v>4.8815540000000004</v>
      </c>
      <c r="T286" s="307">
        <v>6.1930750000000003</v>
      </c>
      <c r="U286" s="307">
        <v>6.9677189999999998</v>
      </c>
      <c r="V286" s="307">
        <v>4.4383629999999998</v>
      </c>
      <c r="W286" s="307">
        <v>4.620444</v>
      </c>
      <c r="X286" s="307">
        <v>4.5882719999999999</v>
      </c>
      <c r="Y286" s="307">
        <v>5.2971880000000002</v>
      </c>
      <c r="Z286" s="307">
        <v>4.5757120000000002</v>
      </c>
      <c r="AA286" s="307">
        <v>6.0424639999999998</v>
      </c>
      <c r="AB286" s="307">
        <v>6.8328009999999999</v>
      </c>
      <c r="AC286" s="307">
        <v>6.4254540000000002</v>
      </c>
      <c r="AD286" s="307">
        <v>7.6960940000000004</v>
      </c>
      <c r="AE286" s="307">
        <v>5.732869</v>
      </c>
      <c r="AF286" s="307">
        <v>6.6027149999999999</v>
      </c>
      <c r="AG286" s="307">
        <v>4.7540529999999999</v>
      </c>
      <c r="AH286" s="307">
        <v>4.3646539999999998</v>
      </c>
      <c r="AI286" s="307">
        <v>4.3313420000000002</v>
      </c>
      <c r="AJ286" s="307">
        <v>0</v>
      </c>
      <c r="AK286" s="307">
        <v>5.2735209999999997</v>
      </c>
      <c r="AL286" s="307">
        <v>6.1872879999999997</v>
      </c>
      <c r="AM286" s="307">
        <v>5.4252599999999997</v>
      </c>
      <c r="AN286" s="307">
        <v>7.6040530000000004</v>
      </c>
      <c r="AO286" s="307">
        <v>5.2644260000000003</v>
      </c>
      <c r="AP286" s="307">
        <v>7.0165689999999996</v>
      </c>
      <c r="AQ286" s="307">
        <v>3.5874410000000001</v>
      </c>
      <c r="AR286" s="307">
        <v>6.028581</v>
      </c>
      <c r="AS286" s="307">
        <v>0</v>
      </c>
      <c r="AT286" s="307">
        <v>4.7789440000000001</v>
      </c>
      <c r="AU286" s="307">
        <v>5.6410970000000002</v>
      </c>
      <c r="AV286" s="307">
        <v>7.6563400000000001</v>
      </c>
      <c r="AW286" s="307">
        <v>5.4978959999999999</v>
      </c>
      <c r="AX286" s="307">
        <v>5.4587630000000003</v>
      </c>
      <c r="AY286" s="307">
        <v>4.7621859999999998</v>
      </c>
      <c r="AZ286" s="307">
        <v>5.2425649999999999</v>
      </c>
      <c r="BA286" s="307">
        <v>4.6274629999999997</v>
      </c>
      <c r="BB286" s="307">
        <v>0</v>
      </c>
      <c r="BC286" s="307">
        <v>5.0225689999999998</v>
      </c>
      <c r="BD286" s="307">
        <v>5.0199259999999999</v>
      </c>
      <c r="BE286" s="307">
        <v>4.9636550000000002</v>
      </c>
      <c r="BF286" s="307">
        <v>6.5417800000000002</v>
      </c>
      <c r="BG286" s="307">
        <v>5.6917590000000002</v>
      </c>
      <c r="BH286" s="307">
        <v>5.0711009999999996</v>
      </c>
      <c r="BI286" s="307">
        <v>6.0435509999999999</v>
      </c>
      <c r="BJ286" s="307">
        <v>6.1720689999999996</v>
      </c>
      <c r="BK286" s="307">
        <v>5.0146540000000002</v>
      </c>
      <c r="BL286">
        <f t="shared" si="16"/>
        <v>4</v>
      </c>
      <c r="BM286">
        <f t="shared" si="17"/>
        <v>5.6400096842105265</v>
      </c>
      <c r="BN286">
        <f t="shared" si="18"/>
        <v>7.7043860000000004</v>
      </c>
      <c r="BO286">
        <f t="array" ref="BO286">MIN(IF($C286:$BK286&gt;0, $C286:$BK286))</f>
        <v>3.1321620000000001</v>
      </c>
      <c r="BP286">
        <f t="shared" si="19"/>
        <v>5.4587630000000003</v>
      </c>
    </row>
    <row r="287" spans="1:68" x14ac:dyDescent="0.25">
      <c r="A287" s="306">
        <v>336991</v>
      </c>
      <c r="B287" s="307" t="s">
        <v>259</v>
      </c>
      <c r="C287" s="307">
        <v>2.9194450000000001</v>
      </c>
      <c r="D287" s="307">
        <v>0</v>
      </c>
      <c r="E287" s="307">
        <v>3.5469569999999999</v>
      </c>
      <c r="F287" s="307">
        <v>6.5759629999999998</v>
      </c>
      <c r="G287" s="307">
        <v>4.4082299999999996</v>
      </c>
      <c r="H287" s="307">
        <v>3.9674320000000001</v>
      </c>
      <c r="I287" s="307">
        <v>4.6227130000000001</v>
      </c>
      <c r="J287" s="307">
        <v>2.085194</v>
      </c>
      <c r="K287" s="307">
        <v>0</v>
      </c>
      <c r="L287" s="307">
        <v>0</v>
      </c>
      <c r="M287" s="307">
        <v>4.555491</v>
      </c>
      <c r="N287" s="307">
        <v>4.5819739999999998</v>
      </c>
      <c r="O287" s="307">
        <v>0</v>
      </c>
      <c r="P287" s="307">
        <v>6.607132</v>
      </c>
      <c r="Q287" s="307">
        <v>4.5036969999999998</v>
      </c>
      <c r="R287" s="307">
        <v>2.0342340000000001</v>
      </c>
      <c r="S287" s="307">
        <v>4.0677139999999996</v>
      </c>
      <c r="T287" s="307">
        <v>3.7193350000000001</v>
      </c>
      <c r="U287" s="307">
        <v>4.5373489999999999</v>
      </c>
      <c r="V287" s="307">
        <v>5.2886110000000004</v>
      </c>
      <c r="W287" s="307">
        <v>3.9168349999999998</v>
      </c>
      <c r="X287" s="307">
        <v>6.6704340000000002</v>
      </c>
      <c r="Y287" s="307">
        <v>5.3474349999999999</v>
      </c>
      <c r="Z287" s="307">
        <v>3.460216</v>
      </c>
      <c r="AA287" s="307">
        <v>4.2325999999999997</v>
      </c>
      <c r="AB287" s="307">
        <v>2.7797149999999999</v>
      </c>
      <c r="AC287" s="307">
        <v>0</v>
      </c>
      <c r="AD287" s="307">
        <v>7.7934020000000004</v>
      </c>
      <c r="AE287" s="307">
        <v>3.9694630000000002</v>
      </c>
      <c r="AF287" s="307">
        <v>0</v>
      </c>
      <c r="AG287" s="307">
        <v>5.1846180000000004</v>
      </c>
      <c r="AH287" s="307">
        <v>2.8692730000000002</v>
      </c>
      <c r="AI287" s="307">
        <v>4.191592</v>
      </c>
      <c r="AJ287" s="307">
        <v>5.2502680000000002</v>
      </c>
      <c r="AK287" s="307">
        <v>4.507987</v>
      </c>
      <c r="AL287" s="307">
        <v>3.2717420000000002</v>
      </c>
      <c r="AM287" s="307">
        <v>2.4107609999999999</v>
      </c>
      <c r="AN287" s="307">
        <v>4.0552999999999999</v>
      </c>
      <c r="AO287" s="307">
        <v>4.3123490000000002</v>
      </c>
      <c r="AP287" s="307">
        <v>2.619224</v>
      </c>
      <c r="AQ287" s="307">
        <v>4.7276829999999999</v>
      </c>
      <c r="AR287" s="307">
        <v>3.0127009999999999</v>
      </c>
      <c r="AS287" s="307">
        <v>4.4033829999999998</v>
      </c>
      <c r="AT287" s="307">
        <v>4.0404970000000002</v>
      </c>
      <c r="AU287" s="307">
        <v>5.0416030000000003</v>
      </c>
      <c r="AV287" s="307">
        <v>6.0951079999999997</v>
      </c>
      <c r="AW287" s="307">
        <v>3.996696</v>
      </c>
      <c r="AX287" s="307">
        <v>0</v>
      </c>
      <c r="AY287" s="307">
        <v>4.8215820000000003</v>
      </c>
      <c r="AZ287" s="307">
        <v>2.1969500000000002</v>
      </c>
      <c r="BA287" s="307">
        <v>0</v>
      </c>
      <c r="BB287" s="307">
        <v>0</v>
      </c>
      <c r="BC287" s="307">
        <v>2.8982209999999999</v>
      </c>
      <c r="BD287" s="307">
        <v>2.8203260000000001</v>
      </c>
      <c r="BE287" s="307">
        <v>2.3016160000000001</v>
      </c>
      <c r="BF287" s="307">
        <v>3.4043860000000001</v>
      </c>
      <c r="BG287" s="307">
        <v>4.4620480000000002</v>
      </c>
      <c r="BH287" s="307">
        <v>4.296087</v>
      </c>
      <c r="BI287" s="307">
        <v>4.9297129999999996</v>
      </c>
      <c r="BJ287" s="307">
        <v>4.6988880000000002</v>
      </c>
      <c r="BK287" s="307">
        <v>4.093788</v>
      </c>
      <c r="BL287">
        <f t="shared" si="16"/>
        <v>9</v>
      </c>
      <c r="BM287">
        <f t="shared" si="17"/>
        <v>4.1751146346153849</v>
      </c>
      <c r="BN287">
        <f t="shared" si="18"/>
        <v>7.7934020000000004</v>
      </c>
      <c r="BO287">
        <f t="array" ref="BO287">MIN(IF($C287:$BK287&gt;0, $C287:$BK287))</f>
        <v>2.0342340000000001</v>
      </c>
      <c r="BP287">
        <f t="shared" si="19"/>
        <v>4.0404970000000002</v>
      </c>
    </row>
    <row r="288" spans="1:68" x14ac:dyDescent="0.25">
      <c r="A288" s="306">
        <v>336992</v>
      </c>
      <c r="B288" s="307" t="s">
        <v>260</v>
      </c>
      <c r="C288" s="307">
        <v>3.4496030000000002</v>
      </c>
      <c r="D288" s="307">
        <v>0</v>
      </c>
      <c r="E288" s="307">
        <v>4.3944099999999997</v>
      </c>
      <c r="F288" s="307">
        <v>0</v>
      </c>
      <c r="G288" s="307">
        <v>5.2604949999999997</v>
      </c>
      <c r="H288" s="307">
        <v>2.4068010000000002</v>
      </c>
      <c r="I288" s="307">
        <v>0</v>
      </c>
      <c r="J288" s="307">
        <v>0</v>
      </c>
      <c r="K288" s="307">
        <v>0</v>
      </c>
      <c r="L288" s="307">
        <v>0</v>
      </c>
      <c r="M288" s="307">
        <v>9.4757149999999992</v>
      </c>
      <c r="N288" s="307">
        <v>2.2928289999999998</v>
      </c>
      <c r="O288" s="307">
        <v>0</v>
      </c>
      <c r="P288" s="307">
        <v>0</v>
      </c>
      <c r="Q288" s="307">
        <v>0</v>
      </c>
      <c r="R288" s="307">
        <v>3.5487500000000001</v>
      </c>
      <c r="S288" s="307">
        <v>0</v>
      </c>
      <c r="T288" s="307">
        <v>0</v>
      </c>
      <c r="U288" s="307">
        <v>0</v>
      </c>
      <c r="V288" s="307">
        <v>3.9796109999999998</v>
      </c>
      <c r="W288" s="307">
        <v>0</v>
      </c>
      <c r="X288" s="307">
        <v>1.5571280000000001</v>
      </c>
      <c r="Y288" s="307">
        <v>0</v>
      </c>
      <c r="Z288" s="307">
        <v>3.203605</v>
      </c>
      <c r="AA288" s="307">
        <v>5.3218969999999999</v>
      </c>
      <c r="AB288" s="307">
        <v>0</v>
      </c>
      <c r="AC288" s="307">
        <v>0</v>
      </c>
      <c r="AD288" s="307">
        <v>0</v>
      </c>
      <c r="AE288" s="307">
        <v>5.3436279999999998</v>
      </c>
      <c r="AF288" s="307">
        <v>0</v>
      </c>
      <c r="AG288" s="307">
        <v>0</v>
      </c>
      <c r="AH288" s="307">
        <v>0</v>
      </c>
      <c r="AI288" s="307">
        <v>6.3465049999999996</v>
      </c>
      <c r="AJ288" s="307">
        <v>0</v>
      </c>
      <c r="AK288" s="307">
        <v>0</v>
      </c>
      <c r="AL288" s="307">
        <v>3.8413719999999998</v>
      </c>
      <c r="AM288" s="307">
        <v>3.4984000000000002</v>
      </c>
      <c r="AN288" s="307">
        <v>3.4277000000000002</v>
      </c>
      <c r="AO288" s="307">
        <v>0</v>
      </c>
      <c r="AP288" s="307">
        <v>3.1664620000000001</v>
      </c>
      <c r="AQ288" s="307">
        <v>0</v>
      </c>
      <c r="AR288" s="307">
        <v>4.3588209999999998</v>
      </c>
      <c r="AS288" s="307">
        <v>0</v>
      </c>
      <c r="AT288" s="307">
        <v>6.0926780000000003</v>
      </c>
      <c r="AU288" s="307">
        <v>7.240335</v>
      </c>
      <c r="AV288" s="307">
        <v>0</v>
      </c>
      <c r="AW288" s="307">
        <v>1.6939919999999999</v>
      </c>
      <c r="AX288" s="307">
        <v>0</v>
      </c>
      <c r="AY288" s="307">
        <v>0</v>
      </c>
      <c r="AZ288" s="307">
        <v>4.7839159999999996</v>
      </c>
      <c r="BA288" s="307">
        <v>0</v>
      </c>
      <c r="BB288" s="307">
        <v>0</v>
      </c>
      <c r="BC288" s="307">
        <v>0</v>
      </c>
      <c r="BD288" s="307">
        <v>3.3846539999999998</v>
      </c>
      <c r="BE288" s="307">
        <v>3.5303270000000002</v>
      </c>
      <c r="BF288" s="307">
        <v>5.3834330000000001</v>
      </c>
      <c r="BG288" s="307">
        <v>2.8843299999999998</v>
      </c>
      <c r="BH288" s="307">
        <v>4.438091</v>
      </c>
      <c r="BI288" s="307">
        <v>4.3180269999999998</v>
      </c>
      <c r="BJ288" s="307">
        <v>5.251544</v>
      </c>
      <c r="BK288" s="307">
        <v>2.409815</v>
      </c>
      <c r="BL288">
        <f t="shared" si="16"/>
        <v>31</v>
      </c>
      <c r="BM288">
        <f t="shared" si="17"/>
        <v>4.2094958</v>
      </c>
      <c r="BN288">
        <f t="shared" si="18"/>
        <v>9.4757149999999992</v>
      </c>
      <c r="BO288">
        <f t="array" ref="BO288">MIN(IF($C288:$BK288&gt;0, $C288:$BK288))</f>
        <v>1.5571280000000001</v>
      </c>
      <c r="BP288">
        <f t="shared" si="19"/>
        <v>0</v>
      </c>
    </row>
    <row r="289" spans="1:68" x14ac:dyDescent="0.25">
      <c r="A289" s="306">
        <v>336999</v>
      </c>
      <c r="B289" s="307" t="s">
        <v>261</v>
      </c>
      <c r="C289" s="307">
        <v>2.6642389999999998</v>
      </c>
      <c r="D289" s="307">
        <v>0</v>
      </c>
      <c r="E289" s="307">
        <v>2.148371</v>
      </c>
      <c r="F289" s="307">
        <v>2.3901370000000002</v>
      </c>
      <c r="G289" s="307">
        <v>3.5228299999999999</v>
      </c>
      <c r="H289" s="307">
        <v>2.6479689999999998</v>
      </c>
      <c r="I289" s="307">
        <v>3.875896</v>
      </c>
      <c r="J289" s="307">
        <v>4.1322419999999997</v>
      </c>
      <c r="K289" s="307">
        <v>0</v>
      </c>
      <c r="L289" s="307">
        <v>3.058227</v>
      </c>
      <c r="M289" s="307">
        <v>3.2465839999999999</v>
      </c>
      <c r="N289" s="307">
        <v>2.2798780000000001</v>
      </c>
      <c r="O289" s="307">
        <v>0</v>
      </c>
      <c r="P289" s="307">
        <v>3.0120529999999999</v>
      </c>
      <c r="Q289" s="307">
        <v>4.0211949999999996</v>
      </c>
      <c r="R289" s="307">
        <v>2.889802</v>
      </c>
      <c r="S289" s="307">
        <v>2.811032</v>
      </c>
      <c r="T289" s="307">
        <v>2.3390149999999998</v>
      </c>
      <c r="U289" s="307">
        <v>2.7865570000000002</v>
      </c>
      <c r="V289" s="307">
        <v>3.483206</v>
      </c>
      <c r="W289" s="307">
        <v>0</v>
      </c>
      <c r="X289" s="307">
        <v>3.6279240000000001</v>
      </c>
      <c r="Y289" s="307">
        <v>0</v>
      </c>
      <c r="Z289" s="307">
        <v>2.03132</v>
      </c>
      <c r="AA289" s="307">
        <v>2.5480779999999998</v>
      </c>
      <c r="AB289" s="307">
        <v>3.066478</v>
      </c>
      <c r="AC289" s="307">
        <v>3.797374</v>
      </c>
      <c r="AD289" s="307">
        <v>0</v>
      </c>
      <c r="AE289" s="307">
        <v>1.9930950000000001</v>
      </c>
      <c r="AF289" s="307">
        <v>0</v>
      </c>
      <c r="AG289" s="307">
        <v>2.7702749999999998</v>
      </c>
      <c r="AH289" s="307">
        <v>1.8318939999999999</v>
      </c>
      <c r="AI289" s="307">
        <v>2.7251569999999998</v>
      </c>
      <c r="AJ289" s="307">
        <v>0</v>
      </c>
      <c r="AK289" s="307">
        <v>2.646055</v>
      </c>
      <c r="AL289" s="307">
        <v>4.1365030000000003</v>
      </c>
      <c r="AM289" s="307">
        <v>2.131551</v>
      </c>
      <c r="AN289" s="307">
        <v>4.4055809999999997</v>
      </c>
      <c r="AO289" s="307">
        <v>1.9220569999999999</v>
      </c>
      <c r="AP289" s="307">
        <v>3.0597210000000001</v>
      </c>
      <c r="AQ289" s="307">
        <v>0</v>
      </c>
      <c r="AR289" s="307">
        <v>2.547345</v>
      </c>
      <c r="AS289" s="307">
        <v>4.027056</v>
      </c>
      <c r="AT289" s="307">
        <v>3.2996799999999999</v>
      </c>
      <c r="AU289" s="307">
        <v>4.1541790000000001</v>
      </c>
      <c r="AV289" s="307">
        <v>3.8803649999999998</v>
      </c>
      <c r="AW289" s="307">
        <v>2.5885389999999999</v>
      </c>
      <c r="AX289" s="307">
        <v>3.2754259999999999</v>
      </c>
      <c r="AY289" s="307">
        <v>3.0761699999999998</v>
      </c>
      <c r="AZ289" s="307">
        <v>2.5701350000000001</v>
      </c>
      <c r="BA289" s="307">
        <v>0</v>
      </c>
      <c r="BB289" s="307">
        <v>4.2977619999999996</v>
      </c>
      <c r="BC289" s="307">
        <v>2.1050089999999999</v>
      </c>
      <c r="BD289" s="307">
        <v>3.3045230000000001</v>
      </c>
      <c r="BE289" s="307">
        <v>2.6222699999999999</v>
      </c>
      <c r="BF289" s="307">
        <v>2.700745</v>
      </c>
      <c r="BG289" s="307">
        <v>2.3947240000000001</v>
      </c>
      <c r="BH289" s="307">
        <v>2.7611140000000001</v>
      </c>
      <c r="BI289" s="307">
        <v>3.1758479999999998</v>
      </c>
      <c r="BJ289" s="307">
        <v>3.7290779999999999</v>
      </c>
      <c r="BK289" s="307">
        <v>2.6392739999999999</v>
      </c>
      <c r="BL289">
        <f t="shared" si="16"/>
        <v>10</v>
      </c>
      <c r="BM289">
        <f t="shared" si="17"/>
        <v>3.0029713333333325</v>
      </c>
      <c r="BN289">
        <f t="shared" si="18"/>
        <v>4.4055809999999997</v>
      </c>
      <c r="BO289">
        <f t="array" ref="BO289">MIN(IF($C289:$BK289&gt;0, $C289:$BK289))</f>
        <v>1.8318939999999999</v>
      </c>
      <c r="BP289">
        <f t="shared" si="19"/>
        <v>2.700745</v>
      </c>
    </row>
    <row r="290" spans="1:68" x14ac:dyDescent="0.25">
      <c r="A290" s="306">
        <v>337110</v>
      </c>
      <c r="B290" s="307" t="s">
        <v>262</v>
      </c>
      <c r="C290" s="307">
        <v>7.5737680000000003</v>
      </c>
      <c r="D290" s="307">
        <v>9.3253160000000008</v>
      </c>
      <c r="E290" s="307">
        <v>8.5912649999999999</v>
      </c>
      <c r="F290" s="307">
        <v>8.3184900000000006</v>
      </c>
      <c r="G290" s="307">
        <v>7.6906400000000001</v>
      </c>
      <c r="H290" s="307">
        <v>6.3486130000000003</v>
      </c>
      <c r="I290" s="307">
        <v>7.0008540000000004</v>
      </c>
      <c r="J290" s="307">
        <v>5.6081839999999996</v>
      </c>
      <c r="K290" s="307">
        <v>1.60405</v>
      </c>
      <c r="L290" s="307">
        <v>5.5481030000000002</v>
      </c>
      <c r="M290" s="307">
        <v>7.7610609999999998</v>
      </c>
      <c r="N290" s="307">
        <v>8.3167829999999991</v>
      </c>
      <c r="O290" s="307">
        <v>6.869624</v>
      </c>
      <c r="P290" s="307">
        <v>7.5608940000000002</v>
      </c>
      <c r="Q290" s="307">
        <v>8.6875699999999991</v>
      </c>
      <c r="R290" s="307">
        <v>6.6025739999999997</v>
      </c>
      <c r="S290" s="307">
        <v>6.918412</v>
      </c>
      <c r="T290" s="307">
        <v>7.6577089999999997</v>
      </c>
      <c r="U290" s="307">
        <v>7.7703730000000002</v>
      </c>
      <c r="V290" s="307">
        <v>8.91873</v>
      </c>
      <c r="W290" s="307">
        <v>5.6232689999999996</v>
      </c>
      <c r="X290" s="307">
        <v>6.4477159999999998</v>
      </c>
      <c r="Y290" s="307">
        <v>8.6458680000000001</v>
      </c>
      <c r="Z290" s="307">
        <v>6.354959</v>
      </c>
      <c r="AA290" s="307">
        <v>7.7477099999999997</v>
      </c>
      <c r="AB290" s="307">
        <v>5.7332150000000004</v>
      </c>
      <c r="AC290" s="307">
        <v>9.2409330000000001</v>
      </c>
      <c r="AD290" s="307">
        <v>9.3869109999999996</v>
      </c>
      <c r="AE290" s="307">
        <v>7.7311699999999997</v>
      </c>
      <c r="AF290" s="307">
        <v>7.7662890000000004</v>
      </c>
      <c r="AG290" s="307">
        <v>6.8348009999999997</v>
      </c>
      <c r="AH290" s="307">
        <v>5.8559320000000001</v>
      </c>
      <c r="AI290" s="307">
        <v>5.947006</v>
      </c>
      <c r="AJ290" s="307">
        <v>8.9352990000000005</v>
      </c>
      <c r="AK290" s="307">
        <v>6.6787619999999999</v>
      </c>
      <c r="AL290" s="307">
        <v>6.683656</v>
      </c>
      <c r="AM290" s="307">
        <v>6.7863429999999996</v>
      </c>
      <c r="AN290" s="307">
        <v>8.8480509999999999</v>
      </c>
      <c r="AO290" s="307">
        <v>7.8058040000000002</v>
      </c>
      <c r="AP290" s="307">
        <v>6.9965609999999998</v>
      </c>
      <c r="AQ290" s="307">
        <v>6.1018100000000004</v>
      </c>
      <c r="AR290" s="307">
        <v>8.9360890000000008</v>
      </c>
      <c r="AS290" s="307">
        <v>8.7889370000000007</v>
      </c>
      <c r="AT290" s="307">
        <v>8.5157019999999992</v>
      </c>
      <c r="AU290" s="307">
        <v>8.3372960000000003</v>
      </c>
      <c r="AV290" s="307">
        <v>7.933395</v>
      </c>
      <c r="AW290" s="307">
        <v>7.3680009999999996</v>
      </c>
      <c r="AX290" s="307">
        <v>6.3341229999999999</v>
      </c>
      <c r="AY290" s="307">
        <v>7.3414599999999997</v>
      </c>
      <c r="AZ290" s="307">
        <v>7.3282389999999999</v>
      </c>
      <c r="BA290" s="307">
        <v>8.4373670000000001</v>
      </c>
      <c r="BB290" s="307">
        <v>9.3869769999999999</v>
      </c>
      <c r="BC290" s="307">
        <v>6.3177770000000004</v>
      </c>
      <c r="BD290" s="307">
        <v>6.998075</v>
      </c>
      <c r="BE290" s="307">
        <v>7.0476409999999996</v>
      </c>
      <c r="BF290" s="307">
        <v>7.4891670000000001</v>
      </c>
      <c r="BG290" s="307">
        <v>7.9573169999999998</v>
      </c>
      <c r="BH290" s="307">
        <v>8.6324760000000005</v>
      </c>
      <c r="BI290" s="307">
        <v>8.4487199999999998</v>
      </c>
      <c r="BJ290" s="307">
        <v>7.7994479999999999</v>
      </c>
      <c r="BK290" s="307">
        <v>6.8611300000000002</v>
      </c>
      <c r="BL290">
        <f t="shared" si="16"/>
        <v>0</v>
      </c>
      <c r="BM290">
        <f t="shared" si="17"/>
        <v>7.4276133606557355</v>
      </c>
      <c r="BN290">
        <f t="shared" si="18"/>
        <v>9.3869769999999999</v>
      </c>
      <c r="BO290">
        <f t="array" ref="BO290">MIN(IF($C290:$BK290&gt;0, $C290:$BK290))</f>
        <v>1.60405</v>
      </c>
      <c r="BP290">
        <f t="shared" si="19"/>
        <v>7.5737680000000003</v>
      </c>
    </row>
    <row r="291" spans="1:68" x14ac:dyDescent="0.25">
      <c r="A291" s="306">
        <v>337121</v>
      </c>
      <c r="B291" s="307" t="s">
        <v>263</v>
      </c>
      <c r="C291" s="307">
        <v>7.6978619999999998</v>
      </c>
      <c r="D291" s="307">
        <v>0</v>
      </c>
      <c r="E291" s="307">
        <v>8.4843010000000003</v>
      </c>
      <c r="F291" s="307">
        <v>7.6743259999999998</v>
      </c>
      <c r="G291" s="307">
        <v>9.3014270000000003</v>
      </c>
      <c r="H291" s="307">
        <v>7.065798</v>
      </c>
      <c r="I291" s="307">
        <v>10.15474</v>
      </c>
      <c r="J291" s="307">
        <v>6.0780010000000004</v>
      </c>
      <c r="K291" s="307">
        <v>2.4113859999999998</v>
      </c>
      <c r="L291" s="307">
        <v>0</v>
      </c>
      <c r="M291" s="307">
        <v>8.4750119999999995</v>
      </c>
      <c r="N291" s="307">
        <v>8.1066509999999994</v>
      </c>
      <c r="O291" s="307">
        <v>0</v>
      </c>
      <c r="P291" s="307">
        <v>5.8428849999999999</v>
      </c>
      <c r="Q291" s="307">
        <v>9.6847110000000001</v>
      </c>
      <c r="R291" s="307">
        <v>5.8447420000000001</v>
      </c>
      <c r="S291" s="307">
        <v>7.0062360000000004</v>
      </c>
      <c r="T291" s="307">
        <v>9.2573249999999998</v>
      </c>
      <c r="U291" s="307">
        <v>9.1380579999999991</v>
      </c>
      <c r="V291" s="307">
        <v>0</v>
      </c>
      <c r="W291" s="307">
        <v>7.377332</v>
      </c>
      <c r="X291" s="307">
        <v>7.2379170000000004</v>
      </c>
      <c r="Y291" s="307">
        <v>0</v>
      </c>
      <c r="Z291" s="307">
        <v>7.3918629999999999</v>
      </c>
      <c r="AA291" s="307">
        <v>5.9145219999999998</v>
      </c>
      <c r="AB291" s="307">
        <v>5.6913470000000004</v>
      </c>
      <c r="AC291" s="307">
        <v>8.0729699999999998</v>
      </c>
      <c r="AD291" s="307">
        <v>10.28416</v>
      </c>
      <c r="AE291" s="307">
        <v>7.6020099999999999</v>
      </c>
      <c r="AF291" s="307">
        <v>0</v>
      </c>
      <c r="AG291" s="307">
        <v>0</v>
      </c>
      <c r="AH291" s="307">
        <v>0</v>
      </c>
      <c r="AI291" s="307">
        <v>6.2477809999999998</v>
      </c>
      <c r="AJ291" s="307">
        <v>9.7899419999999999</v>
      </c>
      <c r="AK291" s="307">
        <v>8.6818670000000004</v>
      </c>
      <c r="AL291" s="307">
        <v>5.6159869999999996</v>
      </c>
      <c r="AM291" s="307">
        <v>6.8845330000000002</v>
      </c>
      <c r="AN291" s="307">
        <v>8.4636580000000006</v>
      </c>
      <c r="AO291" s="307">
        <v>9.0416150000000002</v>
      </c>
      <c r="AP291" s="307">
        <v>7.4835029999999998</v>
      </c>
      <c r="AQ291" s="307">
        <v>9.4318039999999996</v>
      </c>
      <c r="AR291" s="307">
        <v>9.9911919999999999</v>
      </c>
      <c r="AS291" s="307">
        <v>9.931756</v>
      </c>
      <c r="AT291" s="307">
        <v>7.755941</v>
      </c>
      <c r="AU291" s="307">
        <v>6.3210579999999998</v>
      </c>
      <c r="AV291" s="307">
        <v>7.9669829999999999</v>
      </c>
      <c r="AW291" s="307">
        <v>8.2214200000000002</v>
      </c>
      <c r="AX291" s="307">
        <v>0</v>
      </c>
      <c r="AY291" s="307">
        <v>7.8016870000000003</v>
      </c>
      <c r="AZ291" s="307">
        <v>7.783925</v>
      </c>
      <c r="BA291" s="307">
        <v>0</v>
      </c>
      <c r="BB291" s="307">
        <v>7.2685180000000003</v>
      </c>
      <c r="BC291" s="307">
        <v>7.6467520000000002</v>
      </c>
      <c r="BD291" s="307">
        <v>6.7469770000000002</v>
      </c>
      <c r="BE291" s="307">
        <v>7.0200829999999996</v>
      </c>
      <c r="BF291" s="307">
        <v>6.0831309999999998</v>
      </c>
      <c r="BG291" s="307">
        <v>7.7404080000000004</v>
      </c>
      <c r="BH291" s="307">
        <v>8.0734829999999995</v>
      </c>
      <c r="BI291" s="307">
        <v>6.9909809999999997</v>
      </c>
      <c r="BJ291" s="307">
        <v>8.7762030000000006</v>
      </c>
      <c r="BK291" s="307">
        <v>7.1712429999999996</v>
      </c>
      <c r="BL291">
        <f t="shared" si="16"/>
        <v>10</v>
      </c>
      <c r="BM291">
        <f t="shared" si="17"/>
        <v>7.7005492745098056</v>
      </c>
      <c r="BN291">
        <f t="shared" si="18"/>
        <v>10.28416</v>
      </c>
      <c r="BO291">
        <f t="array" ref="BO291">MIN(IF($C291:$BK291&gt;0, $C291:$BK291))</f>
        <v>2.4113859999999998</v>
      </c>
      <c r="BP291">
        <f t="shared" si="19"/>
        <v>7.3918629999999999</v>
      </c>
    </row>
    <row r="292" spans="1:68" x14ac:dyDescent="0.25">
      <c r="A292" s="306">
        <v>337122</v>
      </c>
      <c r="B292" s="307" t="s">
        <v>264</v>
      </c>
      <c r="C292" s="307">
        <v>8.1616929999999996</v>
      </c>
      <c r="D292" s="307">
        <v>10.314030000000001</v>
      </c>
      <c r="E292" s="307">
        <v>10.10844</v>
      </c>
      <c r="F292" s="307">
        <v>9.0019449999999992</v>
      </c>
      <c r="G292" s="307">
        <v>8.4042060000000003</v>
      </c>
      <c r="H292" s="307">
        <v>7.8334089999999996</v>
      </c>
      <c r="I292" s="307">
        <v>8.0395570000000003</v>
      </c>
      <c r="J292" s="307">
        <v>6.0993029999999999</v>
      </c>
      <c r="K292" s="307">
        <v>0</v>
      </c>
      <c r="L292" s="307">
        <v>5.0985230000000001</v>
      </c>
      <c r="M292" s="307">
        <v>7.9460290000000002</v>
      </c>
      <c r="N292" s="307">
        <v>7.9702890000000002</v>
      </c>
      <c r="O292" s="307">
        <v>7.2049250000000002</v>
      </c>
      <c r="P292" s="307">
        <v>8.428229</v>
      </c>
      <c r="Q292" s="307">
        <v>8.8755600000000001</v>
      </c>
      <c r="R292" s="307">
        <v>7.2334310000000004</v>
      </c>
      <c r="S292" s="307">
        <v>7.453595</v>
      </c>
      <c r="T292" s="307">
        <v>7.5574139999999996</v>
      </c>
      <c r="U292" s="307">
        <v>8.7409389999999991</v>
      </c>
      <c r="V292" s="307">
        <v>8.3407409999999995</v>
      </c>
      <c r="W292" s="307">
        <v>6.116136</v>
      </c>
      <c r="X292" s="307">
        <v>6.8534980000000001</v>
      </c>
      <c r="Y292" s="307">
        <v>7.8773730000000004</v>
      </c>
      <c r="Z292" s="307">
        <v>7.8569630000000004</v>
      </c>
      <c r="AA292" s="307">
        <v>9.6529620000000005</v>
      </c>
      <c r="AB292" s="307">
        <v>6.2357750000000003</v>
      </c>
      <c r="AC292" s="307">
        <v>9.5316799999999997</v>
      </c>
      <c r="AD292" s="307">
        <v>10.38209</v>
      </c>
      <c r="AE292" s="307">
        <v>8.2477199999999993</v>
      </c>
      <c r="AF292" s="307">
        <v>7.8646960000000004</v>
      </c>
      <c r="AG292" s="307">
        <v>8.945722</v>
      </c>
      <c r="AH292" s="307">
        <v>8.4039750000000009</v>
      </c>
      <c r="AI292" s="307">
        <v>6.858867</v>
      </c>
      <c r="AJ292" s="307">
        <v>9.7830829999999995</v>
      </c>
      <c r="AK292" s="307">
        <v>6.7976159999999997</v>
      </c>
      <c r="AL292" s="307">
        <v>7.2785770000000003</v>
      </c>
      <c r="AM292" s="307">
        <v>7.0072850000000004</v>
      </c>
      <c r="AN292" s="307">
        <v>10.00196</v>
      </c>
      <c r="AO292" s="307">
        <v>8.3912200000000006</v>
      </c>
      <c r="AP292" s="307">
        <v>8.2570289999999993</v>
      </c>
      <c r="AQ292" s="307">
        <v>7.8139440000000002</v>
      </c>
      <c r="AR292" s="307">
        <v>10.086600000000001</v>
      </c>
      <c r="AS292" s="307">
        <v>8.6577269999999995</v>
      </c>
      <c r="AT292" s="307">
        <v>8.1114189999999997</v>
      </c>
      <c r="AU292" s="307">
        <v>8.8741149999999998</v>
      </c>
      <c r="AV292" s="307">
        <v>9.3750280000000004</v>
      </c>
      <c r="AW292" s="307">
        <v>7.9656929999999999</v>
      </c>
      <c r="AX292" s="307">
        <v>7.4409359999999998</v>
      </c>
      <c r="AY292" s="307">
        <v>8.0096819999999997</v>
      </c>
      <c r="AZ292" s="307">
        <v>7.3408660000000001</v>
      </c>
      <c r="BA292" s="307">
        <v>9.4730109999999996</v>
      </c>
      <c r="BB292" s="307">
        <v>10.382350000000001</v>
      </c>
      <c r="BC292" s="307">
        <v>7.8063200000000004</v>
      </c>
      <c r="BD292" s="307">
        <v>7.8177279999999998</v>
      </c>
      <c r="BE292" s="307">
        <v>7.4643199999999998</v>
      </c>
      <c r="BF292" s="307">
        <v>8.2407380000000003</v>
      </c>
      <c r="BG292" s="307">
        <v>8.266337</v>
      </c>
      <c r="BH292" s="307">
        <v>9.5648920000000004</v>
      </c>
      <c r="BI292" s="307">
        <v>9.1106490000000004</v>
      </c>
      <c r="BJ292" s="307">
        <v>8.7108810000000005</v>
      </c>
      <c r="BK292" s="307">
        <v>7.9136899999999999</v>
      </c>
      <c r="BL292">
        <f t="shared" si="16"/>
        <v>1</v>
      </c>
      <c r="BM292">
        <f t="shared" si="17"/>
        <v>8.2263901833333328</v>
      </c>
      <c r="BN292">
        <f t="shared" si="18"/>
        <v>10.382350000000001</v>
      </c>
      <c r="BO292">
        <f t="array" ref="BO292">MIN(IF($C292:$BK292&gt;0, $C292:$BK292))</f>
        <v>5.0985230000000001</v>
      </c>
      <c r="BP292">
        <f t="shared" si="19"/>
        <v>8.1114189999999997</v>
      </c>
    </row>
    <row r="293" spans="1:68" x14ac:dyDescent="0.25">
      <c r="A293" s="306">
        <v>337127</v>
      </c>
      <c r="B293" s="307" t="s">
        <v>266</v>
      </c>
      <c r="C293" s="307">
        <v>6.075501</v>
      </c>
      <c r="D293" s="307">
        <v>0</v>
      </c>
      <c r="E293" s="307">
        <v>7.7694460000000003</v>
      </c>
      <c r="F293" s="307">
        <v>6.0769320000000002</v>
      </c>
      <c r="G293" s="307">
        <v>5.0521849999999997</v>
      </c>
      <c r="H293" s="307">
        <v>5.6093419999999998</v>
      </c>
      <c r="I293" s="307">
        <v>6.6781819999999996</v>
      </c>
      <c r="J293" s="307">
        <v>5.8453720000000002</v>
      </c>
      <c r="K293" s="307">
        <v>0</v>
      </c>
      <c r="L293" s="307">
        <v>5.9169140000000002</v>
      </c>
      <c r="M293" s="307">
        <v>7.207166</v>
      </c>
      <c r="N293" s="307">
        <v>7.2332190000000001</v>
      </c>
      <c r="O293" s="307">
        <v>0</v>
      </c>
      <c r="P293" s="307">
        <v>7.7726009999999999</v>
      </c>
      <c r="Q293" s="307">
        <v>7.8901630000000003</v>
      </c>
      <c r="R293" s="307">
        <v>5.5990250000000001</v>
      </c>
      <c r="S293" s="307">
        <v>6.0805720000000001</v>
      </c>
      <c r="T293" s="307">
        <v>5.8430910000000003</v>
      </c>
      <c r="U293" s="307">
        <v>4.6187459999999998</v>
      </c>
      <c r="V293" s="307">
        <v>8.0000719999999994</v>
      </c>
      <c r="W293" s="307">
        <v>4.7236779999999996</v>
      </c>
      <c r="X293" s="307">
        <v>5.7367340000000002</v>
      </c>
      <c r="Y293" s="307">
        <v>4.8874050000000002</v>
      </c>
      <c r="Z293" s="307">
        <v>5.1991269999999998</v>
      </c>
      <c r="AA293" s="307">
        <v>5.2102890000000004</v>
      </c>
      <c r="AB293" s="307">
        <v>4.5006159999999999</v>
      </c>
      <c r="AC293" s="307">
        <v>7.8740730000000001</v>
      </c>
      <c r="AD293" s="307">
        <v>8.4199280000000005</v>
      </c>
      <c r="AE293" s="307">
        <v>8.3130229999999994</v>
      </c>
      <c r="AF293" s="307">
        <v>6.611961</v>
      </c>
      <c r="AG293" s="307">
        <v>6.8598929999999996</v>
      </c>
      <c r="AH293" s="307">
        <v>4.1415889999999997</v>
      </c>
      <c r="AI293" s="307">
        <v>4.9241419999999998</v>
      </c>
      <c r="AJ293" s="307">
        <v>4.6060359999999996</v>
      </c>
      <c r="AK293" s="307">
        <v>5.3473249999999997</v>
      </c>
      <c r="AL293" s="307">
        <v>5.8968090000000002</v>
      </c>
      <c r="AM293" s="307">
        <v>4.6954659999999997</v>
      </c>
      <c r="AN293" s="307">
        <v>5.802181</v>
      </c>
      <c r="AO293" s="307">
        <v>6.4173679999999997</v>
      </c>
      <c r="AP293" s="307">
        <v>6.8302670000000001</v>
      </c>
      <c r="AQ293" s="307">
        <v>0</v>
      </c>
      <c r="AR293" s="307">
        <v>6.2106700000000004</v>
      </c>
      <c r="AS293" s="307">
        <v>0</v>
      </c>
      <c r="AT293" s="307">
        <v>6.8742700000000001</v>
      </c>
      <c r="AU293" s="307">
        <v>6.5693849999999996</v>
      </c>
      <c r="AV293" s="307">
        <v>5.6424599999999998</v>
      </c>
      <c r="AW293" s="307">
        <v>8.0864349999999998</v>
      </c>
      <c r="AX293" s="307">
        <v>6.9223710000000001</v>
      </c>
      <c r="AY293" s="307">
        <v>6.5443239999999996</v>
      </c>
      <c r="AZ293" s="307">
        <v>5.7228060000000003</v>
      </c>
      <c r="BA293" s="307">
        <v>0</v>
      </c>
      <c r="BB293" s="307">
        <v>0</v>
      </c>
      <c r="BC293" s="307">
        <v>5.1097989999999998</v>
      </c>
      <c r="BD293" s="307">
        <v>6.5673560000000002</v>
      </c>
      <c r="BE293" s="307">
        <v>5.4663599999999999</v>
      </c>
      <c r="BF293" s="307">
        <v>5.3060140000000002</v>
      </c>
      <c r="BG293" s="307">
        <v>7.4288990000000004</v>
      </c>
      <c r="BH293" s="307">
        <v>7.1043180000000001</v>
      </c>
      <c r="BI293" s="307">
        <v>6.5445149999999996</v>
      </c>
      <c r="BJ293" s="307">
        <v>6.2736169999999998</v>
      </c>
      <c r="BK293" s="307">
        <v>5.8918629999999999</v>
      </c>
      <c r="BL293">
        <f t="shared" si="16"/>
        <v>7</v>
      </c>
      <c r="BM293">
        <f t="shared" si="17"/>
        <v>6.1950352037037035</v>
      </c>
      <c r="BN293">
        <f t="shared" si="18"/>
        <v>8.4199280000000005</v>
      </c>
      <c r="BO293">
        <f t="array" ref="BO293">MIN(IF($C293:$BK293&gt;0, $C293:$BK293))</f>
        <v>4.1415889999999997</v>
      </c>
      <c r="BP293">
        <f t="shared" si="19"/>
        <v>5.8918629999999999</v>
      </c>
    </row>
    <row r="294" spans="1:68" x14ac:dyDescent="0.25">
      <c r="A294" s="306" t="s">
        <v>745</v>
      </c>
      <c r="B294" s="307" t="s">
        <v>265</v>
      </c>
      <c r="C294" s="307">
        <v>5.808738</v>
      </c>
      <c r="D294" s="307">
        <v>8.7394130000000008</v>
      </c>
      <c r="E294" s="307">
        <v>6.6257910000000004</v>
      </c>
      <c r="F294" s="307">
        <v>4.4218830000000002</v>
      </c>
      <c r="G294" s="307">
        <v>8.1205960000000008</v>
      </c>
      <c r="H294" s="307">
        <v>5.9284319999999999</v>
      </c>
      <c r="I294" s="307">
        <v>6.1632239999999996</v>
      </c>
      <c r="J294" s="307">
        <v>3.9743909999999998</v>
      </c>
      <c r="K294" s="307">
        <v>1.136771</v>
      </c>
      <c r="L294" s="307">
        <v>4.6474060000000001</v>
      </c>
      <c r="M294" s="307">
        <v>7.2819770000000004</v>
      </c>
      <c r="N294" s="307">
        <v>5.0774319999999999</v>
      </c>
      <c r="O294" s="307">
        <v>8.9147700000000007</v>
      </c>
      <c r="P294" s="307">
        <v>6.5863040000000002</v>
      </c>
      <c r="Q294" s="307">
        <v>4.6928340000000004</v>
      </c>
      <c r="R294" s="307">
        <v>5.5753380000000003</v>
      </c>
      <c r="S294" s="307">
        <v>5.3885180000000004</v>
      </c>
      <c r="T294" s="307">
        <v>6.0730979999999999</v>
      </c>
      <c r="U294" s="307">
        <v>8.5510629999999992</v>
      </c>
      <c r="V294" s="307">
        <v>0</v>
      </c>
      <c r="W294" s="307">
        <v>4.6569370000000001</v>
      </c>
      <c r="X294" s="307">
        <v>4.8722750000000001</v>
      </c>
      <c r="Y294" s="307">
        <v>0</v>
      </c>
      <c r="Z294" s="307">
        <v>5.0510929999999998</v>
      </c>
      <c r="AA294" s="307">
        <v>6.2953250000000001</v>
      </c>
      <c r="AB294" s="307">
        <v>4.4310850000000004</v>
      </c>
      <c r="AC294" s="307">
        <v>7.7162870000000003</v>
      </c>
      <c r="AD294" s="307">
        <v>4.7279799999999996</v>
      </c>
      <c r="AE294" s="307">
        <v>6.0650389999999996</v>
      </c>
      <c r="AF294" s="307">
        <v>0</v>
      </c>
      <c r="AG294" s="307">
        <v>7.6812050000000003</v>
      </c>
      <c r="AH294" s="307">
        <v>7.7720710000000004</v>
      </c>
      <c r="AI294" s="307">
        <v>3.8832309999999999</v>
      </c>
      <c r="AJ294" s="307">
        <v>8.2193330000000007</v>
      </c>
      <c r="AK294" s="307">
        <v>8.5085420000000003</v>
      </c>
      <c r="AL294" s="307">
        <v>4.8339309999999998</v>
      </c>
      <c r="AM294" s="307">
        <v>4.7654040000000002</v>
      </c>
      <c r="AN294" s="307">
        <v>7.9685129999999997</v>
      </c>
      <c r="AO294" s="307">
        <v>8.485792</v>
      </c>
      <c r="AP294" s="307">
        <v>4.3599509999999997</v>
      </c>
      <c r="AQ294" s="307">
        <v>0</v>
      </c>
      <c r="AR294" s="307">
        <v>8.6609010000000008</v>
      </c>
      <c r="AS294" s="307">
        <v>0</v>
      </c>
      <c r="AT294" s="307">
        <v>4.8517929999999998</v>
      </c>
      <c r="AU294" s="307">
        <v>6.5557420000000004</v>
      </c>
      <c r="AV294" s="307">
        <v>5.9668489999999998</v>
      </c>
      <c r="AW294" s="307">
        <v>4.9635259999999999</v>
      </c>
      <c r="AX294" s="307">
        <v>7.3297129999999999</v>
      </c>
      <c r="AY294" s="307">
        <v>5.1780920000000004</v>
      </c>
      <c r="AZ294" s="307">
        <v>5.3899169999999996</v>
      </c>
      <c r="BA294" s="307">
        <v>0</v>
      </c>
      <c r="BB294" s="307">
        <v>8.9150600000000004</v>
      </c>
      <c r="BC294" s="307">
        <v>4.778257</v>
      </c>
      <c r="BD294" s="307">
        <v>4.6242489999999998</v>
      </c>
      <c r="BE294" s="307">
        <v>5.3323169999999998</v>
      </c>
      <c r="BF294" s="307">
        <v>6.1745429999999999</v>
      </c>
      <c r="BG294" s="307">
        <v>6.2616500000000004</v>
      </c>
      <c r="BH294" s="307">
        <v>5.956048</v>
      </c>
      <c r="BI294" s="307">
        <v>6.2078860000000002</v>
      </c>
      <c r="BJ294" s="307">
        <v>7.2109860000000001</v>
      </c>
      <c r="BK294" s="307">
        <v>5.949732</v>
      </c>
      <c r="BL294">
        <f t="shared" si="16"/>
        <v>6</v>
      </c>
      <c r="BM294">
        <f t="shared" si="17"/>
        <v>6.078349709090908</v>
      </c>
      <c r="BN294">
        <f t="shared" si="18"/>
        <v>8.9150600000000004</v>
      </c>
      <c r="BO294">
        <f t="array" ref="BO294">MIN(IF($C294:$BK294&gt;0, $C294:$BK294))</f>
        <v>1.136771</v>
      </c>
      <c r="BP294">
        <f t="shared" si="19"/>
        <v>5.808738</v>
      </c>
    </row>
    <row r="295" spans="1:68" x14ac:dyDescent="0.25">
      <c r="A295" s="306">
        <v>337212</v>
      </c>
      <c r="B295" s="307" t="s">
        <v>268</v>
      </c>
      <c r="C295" s="307">
        <v>5.5015179999999999</v>
      </c>
      <c r="D295" s="307">
        <v>0</v>
      </c>
      <c r="E295" s="307">
        <v>7.2861089999999997</v>
      </c>
      <c r="F295" s="307">
        <v>6.7140190000000004</v>
      </c>
      <c r="G295" s="307">
        <v>6.5580179999999997</v>
      </c>
      <c r="H295" s="307">
        <v>4.8837849999999996</v>
      </c>
      <c r="I295" s="307">
        <v>5.9488669999999999</v>
      </c>
      <c r="J295" s="307">
        <v>4.9832299999999998</v>
      </c>
      <c r="K295" s="307">
        <v>1.2363170000000001</v>
      </c>
      <c r="L295" s="307">
        <v>5.3338890000000001</v>
      </c>
      <c r="M295" s="307">
        <v>5.5475329999999996</v>
      </c>
      <c r="N295" s="307">
        <v>6.0655089999999996</v>
      </c>
      <c r="O295" s="307">
        <v>5.1902809999999997</v>
      </c>
      <c r="P295" s="307">
        <v>5.1335220000000001</v>
      </c>
      <c r="Q295" s="307">
        <v>7.0471640000000004</v>
      </c>
      <c r="R295" s="307">
        <v>4.5382980000000002</v>
      </c>
      <c r="S295" s="307">
        <v>7.0633049999999997</v>
      </c>
      <c r="T295" s="307">
        <v>5.8799330000000003</v>
      </c>
      <c r="U295" s="307">
        <v>6.7211309999999997</v>
      </c>
      <c r="V295" s="307">
        <v>7.1101419999999997</v>
      </c>
      <c r="W295" s="307">
        <v>4.4607749999999999</v>
      </c>
      <c r="X295" s="307">
        <v>5.048394</v>
      </c>
      <c r="Y295" s="307">
        <v>6.0528079999999997</v>
      </c>
      <c r="Z295" s="307">
        <v>4.596177</v>
      </c>
      <c r="AA295" s="307">
        <v>5.3827559999999997</v>
      </c>
      <c r="AB295" s="307">
        <v>4.5403089999999997</v>
      </c>
      <c r="AC295" s="307">
        <v>7.2637830000000001</v>
      </c>
      <c r="AD295" s="307">
        <v>7.4834959999999997</v>
      </c>
      <c r="AE295" s="307">
        <v>6.4008459999999996</v>
      </c>
      <c r="AF295" s="307">
        <v>6.2689690000000002</v>
      </c>
      <c r="AG295" s="307">
        <v>6.1908240000000001</v>
      </c>
      <c r="AH295" s="307">
        <v>4.9054070000000003</v>
      </c>
      <c r="AI295" s="307">
        <v>4.7874819999999998</v>
      </c>
      <c r="AJ295" s="307">
        <v>6.9517189999999998</v>
      </c>
      <c r="AK295" s="307">
        <v>4.5793990000000004</v>
      </c>
      <c r="AL295" s="307">
        <v>5.2195410000000004</v>
      </c>
      <c r="AM295" s="307">
        <v>5.3957329999999999</v>
      </c>
      <c r="AN295" s="307">
        <v>6.4344530000000004</v>
      </c>
      <c r="AO295" s="307">
        <v>6.0065010000000001</v>
      </c>
      <c r="AP295" s="307">
        <v>5.0517899999999996</v>
      </c>
      <c r="AQ295" s="307">
        <v>5.2830370000000002</v>
      </c>
      <c r="AR295" s="307">
        <v>7.2702679999999997</v>
      </c>
      <c r="AS295" s="307">
        <v>7.3341370000000001</v>
      </c>
      <c r="AT295" s="307">
        <v>6.5863040000000002</v>
      </c>
      <c r="AU295" s="307">
        <v>6.276427</v>
      </c>
      <c r="AV295" s="307">
        <v>5.3638630000000003</v>
      </c>
      <c r="AW295" s="307">
        <v>4.7877650000000003</v>
      </c>
      <c r="AX295" s="307">
        <v>4.8662700000000001</v>
      </c>
      <c r="AY295" s="307">
        <v>5.8832170000000001</v>
      </c>
      <c r="AZ295" s="307">
        <v>5.7507669999999997</v>
      </c>
      <c r="BA295" s="307">
        <v>6.7611220000000003</v>
      </c>
      <c r="BB295" s="307">
        <v>0</v>
      </c>
      <c r="BC295" s="307">
        <v>5.0475539999999999</v>
      </c>
      <c r="BD295" s="307">
        <v>5.3121600000000004</v>
      </c>
      <c r="BE295" s="307">
        <v>5.1535310000000001</v>
      </c>
      <c r="BF295" s="307">
        <v>5.3680630000000003</v>
      </c>
      <c r="BG295" s="307">
        <v>5.9908510000000001</v>
      </c>
      <c r="BH295" s="307">
        <v>7.0338589999999996</v>
      </c>
      <c r="BI295" s="307">
        <v>6.349297</v>
      </c>
      <c r="BJ295" s="307">
        <v>6.0985950000000004</v>
      </c>
      <c r="BK295" s="307">
        <v>5.1538979999999999</v>
      </c>
      <c r="BL295">
        <f t="shared" si="16"/>
        <v>2</v>
      </c>
      <c r="BM295">
        <f t="shared" si="17"/>
        <v>5.7531307966101695</v>
      </c>
      <c r="BN295">
        <f t="shared" si="18"/>
        <v>7.4834959999999997</v>
      </c>
      <c r="BO295">
        <f t="array" ref="BO295">MIN(IF($C295:$BK295&gt;0, $C295:$BK295))</f>
        <v>1.2363170000000001</v>
      </c>
      <c r="BP295">
        <f t="shared" si="19"/>
        <v>5.5475329999999996</v>
      </c>
    </row>
    <row r="296" spans="1:68" x14ac:dyDescent="0.25">
      <c r="A296" s="306">
        <v>337215</v>
      </c>
      <c r="B296" s="307" t="s">
        <v>269</v>
      </c>
      <c r="C296" s="307">
        <v>7.0881429999999996</v>
      </c>
      <c r="D296" s="307">
        <v>7.7308750000000002</v>
      </c>
      <c r="E296" s="307">
        <v>6.8635840000000004</v>
      </c>
      <c r="F296" s="307">
        <v>6.5750890000000002</v>
      </c>
      <c r="G296" s="307">
        <v>6.3113289999999997</v>
      </c>
      <c r="H296" s="307">
        <v>6.4940420000000003</v>
      </c>
      <c r="I296" s="307">
        <v>7.7208040000000002</v>
      </c>
      <c r="J296" s="307">
        <v>5.3103939999999996</v>
      </c>
      <c r="K296" s="307">
        <v>0</v>
      </c>
      <c r="L296" s="307">
        <v>0</v>
      </c>
      <c r="M296" s="307">
        <v>8.1312840000000008</v>
      </c>
      <c r="N296" s="307">
        <v>7.6237979999999999</v>
      </c>
      <c r="O296" s="307">
        <v>9.4025870000000005</v>
      </c>
      <c r="P296" s="307">
        <v>8.540324</v>
      </c>
      <c r="Q296" s="307">
        <v>8.8546499999999995</v>
      </c>
      <c r="R296" s="307">
        <v>6.1464549999999996</v>
      </c>
      <c r="S296" s="307">
        <v>7.209632</v>
      </c>
      <c r="T296" s="307">
        <v>6.9978990000000003</v>
      </c>
      <c r="U296" s="307">
        <v>7.9227230000000004</v>
      </c>
      <c r="V296" s="307">
        <v>8.3419699999999999</v>
      </c>
      <c r="W296" s="307">
        <v>6.019495</v>
      </c>
      <c r="X296" s="307">
        <v>5.5871130000000004</v>
      </c>
      <c r="Y296" s="307">
        <v>9.0123829999999998</v>
      </c>
      <c r="Z296" s="307">
        <v>6.8599259999999997</v>
      </c>
      <c r="AA296" s="307">
        <v>6.4686070000000004</v>
      </c>
      <c r="AB296" s="307">
        <v>5.4767340000000004</v>
      </c>
      <c r="AC296" s="307">
        <v>9.2559310000000004</v>
      </c>
      <c r="AD296" s="307">
        <v>9.4027480000000008</v>
      </c>
      <c r="AE296" s="307">
        <v>8.9310100000000006</v>
      </c>
      <c r="AF296" s="307">
        <v>6.3708299999999998</v>
      </c>
      <c r="AG296" s="307">
        <v>5.5880590000000003</v>
      </c>
      <c r="AH296" s="307">
        <v>7.9894100000000003</v>
      </c>
      <c r="AI296" s="307">
        <v>5.1885599999999998</v>
      </c>
      <c r="AJ296" s="307">
        <v>8.9507069999999995</v>
      </c>
      <c r="AK296" s="307">
        <v>6.7779689999999997</v>
      </c>
      <c r="AL296" s="307">
        <v>6.8601470000000004</v>
      </c>
      <c r="AM296" s="307">
        <v>6.2928860000000002</v>
      </c>
      <c r="AN296" s="307">
        <v>6.7327209999999997</v>
      </c>
      <c r="AO296" s="307">
        <v>6.243112</v>
      </c>
      <c r="AP296" s="307">
        <v>6.4665100000000004</v>
      </c>
      <c r="AQ296" s="307">
        <v>6.225797</v>
      </c>
      <c r="AR296" s="307">
        <v>7.0478959999999997</v>
      </c>
      <c r="AS296" s="307">
        <v>6.1404339999999999</v>
      </c>
      <c r="AT296" s="307">
        <v>7.6299219999999996</v>
      </c>
      <c r="AU296" s="307">
        <v>7.6861800000000002</v>
      </c>
      <c r="AV296" s="307">
        <v>7.4543569999999999</v>
      </c>
      <c r="AW296" s="307">
        <v>7.0059659999999999</v>
      </c>
      <c r="AX296" s="307">
        <v>5.9685779999999999</v>
      </c>
      <c r="AY296" s="307">
        <v>6.6088449999999996</v>
      </c>
      <c r="AZ296" s="307">
        <v>6.7270450000000004</v>
      </c>
      <c r="BA296" s="307">
        <v>8.5789629999999999</v>
      </c>
      <c r="BB296" s="307">
        <v>9.4028989999999997</v>
      </c>
      <c r="BC296" s="307">
        <v>6.8316939999999997</v>
      </c>
      <c r="BD296" s="307">
        <v>6.6389250000000004</v>
      </c>
      <c r="BE296" s="307">
        <v>6.7370489999999998</v>
      </c>
      <c r="BF296" s="307">
        <v>6.2422760000000004</v>
      </c>
      <c r="BG296" s="307">
        <v>8.0296839999999996</v>
      </c>
      <c r="BH296" s="307">
        <v>7.7273969999999998</v>
      </c>
      <c r="BI296" s="307">
        <v>7.4304949999999996</v>
      </c>
      <c r="BJ296" s="307">
        <v>7.2729879999999998</v>
      </c>
      <c r="BK296" s="307">
        <v>6.5404169999999997</v>
      </c>
      <c r="BL296">
        <f t="shared" si="16"/>
        <v>2</v>
      </c>
      <c r="BM296">
        <f t="shared" si="17"/>
        <v>7.1808177457627123</v>
      </c>
      <c r="BN296">
        <f t="shared" si="18"/>
        <v>9.4028989999999997</v>
      </c>
      <c r="BO296">
        <f t="array" ref="BO296">MIN(IF($C296:$BK296&gt;0, $C296:$BK296))</f>
        <v>5.1885599999999998</v>
      </c>
      <c r="BP296">
        <f t="shared" si="19"/>
        <v>6.8601470000000004</v>
      </c>
    </row>
    <row r="297" spans="1:68" x14ac:dyDescent="0.25">
      <c r="A297" s="306" t="s">
        <v>746</v>
      </c>
      <c r="B297" s="307" t="s">
        <v>267</v>
      </c>
      <c r="C297" s="307">
        <v>5.5473270000000001</v>
      </c>
      <c r="D297" s="307">
        <v>0</v>
      </c>
      <c r="E297" s="307">
        <v>0</v>
      </c>
      <c r="F297" s="307">
        <v>6.3617419999999996</v>
      </c>
      <c r="G297" s="307">
        <v>4.8886479999999999</v>
      </c>
      <c r="H297" s="307">
        <v>4.5319510000000003</v>
      </c>
      <c r="I297" s="307">
        <v>0</v>
      </c>
      <c r="J297" s="307">
        <v>5.0310069999999998</v>
      </c>
      <c r="K297" s="307">
        <v>0</v>
      </c>
      <c r="L297" s="307">
        <v>0</v>
      </c>
      <c r="M297" s="307">
        <v>6.0541799999999997</v>
      </c>
      <c r="N297" s="307">
        <v>7.0071620000000001</v>
      </c>
      <c r="O297" s="307">
        <v>4.7944560000000003</v>
      </c>
      <c r="P297" s="307">
        <v>9.2023469999999996</v>
      </c>
      <c r="Q297" s="307">
        <v>6.9757749999999996</v>
      </c>
      <c r="R297" s="307">
        <v>5.377014</v>
      </c>
      <c r="S297" s="307">
        <v>6.0196909999999999</v>
      </c>
      <c r="T297" s="307">
        <v>6.3609390000000001</v>
      </c>
      <c r="U297" s="307">
        <v>0</v>
      </c>
      <c r="V297" s="307">
        <v>9.4516539999999996</v>
      </c>
      <c r="W297" s="307">
        <v>5.2316279999999997</v>
      </c>
      <c r="X297" s="307">
        <v>5.7108420000000004</v>
      </c>
      <c r="Y297" s="307">
        <v>4.4034399999999998</v>
      </c>
      <c r="Z297" s="307">
        <v>7.5819559999999999</v>
      </c>
      <c r="AA297" s="307">
        <v>4.5586830000000003</v>
      </c>
      <c r="AB297" s="307">
        <v>4.3081940000000003</v>
      </c>
      <c r="AC297" s="307">
        <v>0</v>
      </c>
      <c r="AD297" s="307">
        <v>9.3240479999999994</v>
      </c>
      <c r="AE297" s="307">
        <v>6.9905989999999996</v>
      </c>
      <c r="AF297" s="307">
        <v>0</v>
      </c>
      <c r="AG297" s="307">
        <v>6.6095350000000002</v>
      </c>
      <c r="AH297" s="307">
        <v>0</v>
      </c>
      <c r="AI297" s="307">
        <v>4.1507440000000004</v>
      </c>
      <c r="AJ297" s="307">
        <v>9.4693339999999999</v>
      </c>
      <c r="AK297" s="307">
        <v>9.7663360000000008</v>
      </c>
      <c r="AL297" s="307">
        <v>9.2997809999999994</v>
      </c>
      <c r="AM297" s="307">
        <v>7.2806090000000001</v>
      </c>
      <c r="AN297" s="307">
        <v>9.5837129999999995</v>
      </c>
      <c r="AO297" s="307">
        <v>7.0970789999999999</v>
      </c>
      <c r="AP297" s="307">
        <v>5.745355</v>
      </c>
      <c r="AQ297" s="307">
        <v>0</v>
      </c>
      <c r="AR297" s="307">
        <v>9.6645570000000003</v>
      </c>
      <c r="AS297" s="307">
        <v>0</v>
      </c>
      <c r="AT297" s="307">
        <v>7.4501369999999998</v>
      </c>
      <c r="AU297" s="307">
        <v>6.7027469999999996</v>
      </c>
      <c r="AV297" s="307">
        <v>9.7775470000000002</v>
      </c>
      <c r="AW297" s="307">
        <v>6.2648539999999997</v>
      </c>
      <c r="AX297" s="307">
        <v>0</v>
      </c>
      <c r="AY297" s="307">
        <v>7.6201189999999999</v>
      </c>
      <c r="AZ297" s="307">
        <v>6.1607269999999996</v>
      </c>
      <c r="BA297" s="307">
        <v>0</v>
      </c>
      <c r="BB297" s="307">
        <v>5.4285360000000003</v>
      </c>
      <c r="BC297" s="307">
        <v>5.4342269999999999</v>
      </c>
      <c r="BD297" s="307">
        <v>6.0795430000000001</v>
      </c>
      <c r="BE297" s="307">
        <v>6.4197449999999998</v>
      </c>
      <c r="BF297" s="307">
        <v>5.7576720000000003</v>
      </c>
      <c r="BG297" s="307">
        <v>6.7943230000000003</v>
      </c>
      <c r="BH297" s="307">
        <v>7.6924840000000003</v>
      </c>
      <c r="BI297" s="307">
        <v>6.7709469999999996</v>
      </c>
      <c r="BJ297" s="307">
        <v>5.5914140000000003</v>
      </c>
      <c r="BK297" s="307">
        <v>4.5919689999999997</v>
      </c>
      <c r="BL297">
        <f t="shared" si="16"/>
        <v>13</v>
      </c>
      <c r="BM297">
        <f t="shared" si="17"/>
        <v>6.6441107708333327</v>
      </c>
      <c r="BN297">
        <f t="shared" si="18"/>
        <v>9.7775470000000002</v>
      </c>
      <c r="BO297">
        <f t="array" ref="BO297">MIN(IF($C297:$BK297&gt;0, $C297:$BK297))</f>
        <v>4.1507440000000004</v>
      </c>
      <c r="BP297">
        <f t="shared" si="19"/>
        <v>5.7576720000000003</v>
      </c>
    </row>
    <row r="298" spans="1:68" x14ac:dyDescent="0.25">
      <c r="A298" s="306">
        <v>337910</v>
      </c>
      <c r="B298" s="307" t="s">
        <v>270</v>
      </c>
      <c r="C298" s="307">
        <v>4.1051919999999997</v>
      </c>
      <c r="D298" s="307">
        <v>0</v>
      </c>
      <c r="E298" s="307">
        <v>4.8701970000000001</v>
      </c>
      <c r="F298" s="307">
        <v>5.2030659999999997</v>
      </c>
      <c r="G298" s="307">
        <v>4.2293580000000004</v>
      </c>
      <c r="H298" s="307">
        <v>4.0301179999999999</v>
      </c>
      <c r="I298" s="307">
        <v>3.9316399999999998</v>
      </c>
      <c r="J298" s="307">
        <v>3.8443870000000002</v>
      </c>
      <c r="K298" s="307">
        <v>0</v>
      </c>
      <c r="L298" s="307">
        <v>0</v>
      </c>
      <c r="M298" s="307">
        <v>4.1525749999999997</v>
      </c>
      <c r="N298" s="307">
        <v>4.2335859999999998</v>
      </c>
      <c r="O298" s="307">
        <v>4.900366</v>
      </c>
      <c r="P298" s="307">
        <v>4.2813559999999997</v>
      </c>
      <c r="Q298" s="307">
        <v>4.439743</v>
      </c>
      <c r="R298" s="307">
        <v>3.734836</v>
      </c>
      <c r="S298" s="307">
        <v>4.0650180000000002</v>
      </c>
      <c r="T298" s="307">
        <v>3.4332769999999999</v>
      </c>
      <c r="U298" s="307">
        <v>4.1518879999999996</v>
      </c>
      <c r="V298" s="307">
        <v>4.3251879999999998</v>
      </c>
      <c r="W298" s="307">
        <v>3.5034909999999999</v>
      </c>
      <c r="X298" s="307">
        <v>3.7077399999999998</v>
      </c>
      <c r="Y298" s="307">
        <v>5.5584429999999996</v>
      </c>
      <c r="Z298" s="307">
        <v>3.6278250000000001</v>
      </c>
      <c r="AA298" s="307">
        <v>3.3370310000000001</v>
      </c>
      <c r="AB298" s="307">
        <v>2.9623430000000002</v>
      </c>
      <c r="AC298" s="307">
        <v>4.9516739999999997</v>
      </c>
      <c r="AD298" s="307">
        <v>5.7990519999999997</v>
      </c>
      <c r="AE298" s="307">
        <v>3.4369019999999999</v>
      </c>
      <c r="AF298" s="307">
        <v>4.74261</v>
      </c>
      <c r="AG298" s="307">
        <v>3.2267649999999999</v>
      </c>
      <c r="AH298" s="307">
        <v>2.7260089999999999</v>
      </c>
      <c r="AI298" s="307">
        <v>3.5872160000000002</v>
      </c>
      <c r="AJ298" s="307">
        <v>4.8509589999999996</v>
      </c>
      <c r="AK298" s="307">
        <v>5.693079</v>
      </c>
      <c r="AL298" s="307">
        <v>4.2804760000000002</v>
      </c>
      <c r="AM298" s="307">
        <v>3.5161129999999998</v>
      </c>
      <c r="AN298" s="307">
        <v>4.8477930000000002</v>
      </c>
      <c r="AO298" s="307">
        <v>4.0640330000000002</v>
      </c>
      <c r="AP298" s="307">
        <v>4.0510770000000003</v>
      </c>
      <c r="AQ298" s="307">
        <v>0</v>
      </c>
      <c r="AR298" s="307">
        <v>5.2182040000000001</v>
      </c>
      <c r="AS298" s="307">
        <v>0</v>
      </c>
      <c r="AT298" s="307">
        <v>5.5343689999999999</v>
      </c>
      <c r="AU298" s="307">
        <v>4.7637890000000001</v>
      </c>
      <c r="AV298" s="307">
        <v>4.6387010000000002</v>
      </c>
      <c r="AW298" s="307">
        <v>4.0826149999999997</v>
      </c>
      <c r="AX298" s="307">
        <v>0</v>
      </c>
      <c r="AY298" s="307">
        <v>4.293984</v>
      </c>
      <c r="AZ298" s="307">
        <v>3.795134</v>
      </c>
      <c r="BA298" s="307">
        <v>4.7523150000000003</v>
      </c>
      <c r="BB298" s="307">
        <v>0</v>
      </c>
      <c r="BC298" s="307">
        <v>3.8238859999999999</v>
      </c>
      <c r="BD298" s="307">
        <v>4.2191580000000002</v>
      </c>
      <c r="BE298" s="307">
        <v>3.8446180000000001</v>
      </c>
      <c r="BF298" s="307">
        <v>3.246518</v>
      </c>
      <c r="BG298" s="307">
        <v>3.9573809999999998</v>
      </c>
      <c r="BH298" s="307">
        <v>4.9618659999999997</v>
      </c>
      <c r="BI298" s="307">
        <v>4.7846799999999998</v>
      </c>
      <c r="BJ298" s="307">
        <v>4.3237220000000001</v>
      </c>
      <c r="BK298" s="307">
        <v>4.1179519999999998</v>
      </c>
      <c r="BL298">
        <f t="shared" si="16"/>
        <v>7</v>
      </c>
      <c r="BM298">
        <f t="shared" si="17"/>
        <v>4.2363206296296285</v>
      </c>
      <c r="BN298">
        <f t="shared" si="18"/>
        <v>5.7990519999999997</v>
      </c>
      <c r="BO298">
        <f t="array" ref="BO298">MIN(IF($C298:$BK298&gt;0, $C298:$BK298))</f>
        <v>2.7260089999999999</v>
      </c>
      <c r="BP298">
        <f t="shared" si="19"/>
        <v>4.0826149999999997</v>
      </c>
    </row>
    <row r="299" spans="1:68" x14ac:dyDescent="0.25">
      <c r="A299" s="306">
        <v>337920</v>
      </c>
      <c r="B299" s="307" t="s">
        <v>271</v>
      </c>
      <c r="C299" s="307">
        <v>6.9928140000000001</v>
      </c>
      <c r="D299" s="307">
        <v>10.18805</v>
      </c>
      <c r="E299" s="307">
        <v>9.7496919999999996</v>
      </c>
      <c r="F299" s="307">
        <v>0</v>
      </c>
      <c r="G299" s="307">
        <v>7.9384519999999998</v>
      </c>
      <c r="H299" s="307">
        <v>6.6685309999999998</v>
      </c>
      <c r="I299" s="307">
        <v>5.0907179999999999</v>
      </c>
      <c r="J299" s="307">
        <v>5.7461469999999997</v>
      </c>
      <c r="K299" s="307">
        <v>0</v>
      </c>
      <c r="L299" s="307">
        <v>6.3588940000000003</v>
      </c>
      <c r="M299" s="307">
        <v>8.5125150000000005</v>
      </c>
      <c r="N299" s="307">
        <v>5.8588209999999998</v>
      </c>
      <c r="O299" s="307">
        <v>10.25582</v>
      </c>
      <c r="P299" s="307">
        <v>9.4872800000000002</v>
      </c>
      <c r="Q299" s="307">
        <v>0</v>
      </c>
      <c r="R299" s="307">
        <v>5.0162570000000004</v>
      </c>
      <c r="S299" s="307">
        <v>8.7228919999999999</v>
      </c>
      <c r="T299" s="307">
        <v>4.6407069999999999</v>
      </c>
      <c r="U299" s="307">
        <v>9.1658279999999994</v>
      </c>
      <c r="V299" s="307">
        <v>9.4021939999999997</v>
      </c>
      <c r="W299" s="307">
        <v>6.5397040000000004</v>
      </c>
      <c r="X299" s="307">
        <v>7.7431539999999996</v>
      </c>
      <c r="Y299" s="307">
        <v>0</v>
      </c>
      <c r="Z299" s="307">
        <v>8.7258999999999993</v>
      </c>
      <c r="AA299" s="307">
        <v>7.2970119999999996</v>
      </c>
      <c r="AB299" s="307">
        <v>4.9087059999999996</v>
      </c>
      <c r="AC299" s="307">
        <v>5.5629109999999997</v>
      </c>
      <c r="AD299" s="307">
        <v>0</v>
      </c>
      <c r="AE299" s="307">
        <v>5.0900860000000003</v>
      </c>
      <c r="AF299" s="307">
        <v>6.2603900000000001</v>
      </c>
      <c r="AG299" s="307">
        <v>6.4402429999999997</v>
      </c>
      <c r="AH299" s="307">
        <v>6.1135070000000002</v>
      </c>
      <c r="AI299" s="307">
        <v>5.2659229999999999</v>
      </c>
      <c r="AJ299" s="307">
        <v>8.2694770000000002</v>
      </c>
      <c r="AK299" s="307">
        <v>9.0358850000000004</v>
      </c>
      <c r="AL299" s="307">
        <v>6.6161599999999998</v>
      </c>
      <c r="AM299" s="307">
        <v>6.7448180000000004</v>
      </c>
      <c r="AN299" s="307">
        <v>6.5198260000000001</v>
      </c>
      <c r="AO299" s="307">
        <v>8.4683609999999998</v>
      </c>
      <c r="AP299" s="307">
        <v>6.8404759999999998</v>
      </c>
      <c r="AQ299" s="307">
        <v>6.313326</v>
      </c>
      <c r="AR299" s="307">
        <v>9.5850749999999998</v>
      </c>
      <c r="AS299" s="307">
        <v>10.05124</v>
      </c>
      <c r="AT299" s="307">
        <v>8.9384130000000006</v>
      </c>
      <c r="AU299" s="307">
        <v>9.7977720000000001</v>
      </c>
      <c r="AV299" s="307">
        <v>7.654172</v>
      </c>
      <c r="AW299" s="307">
        <v>6.643713</v>
      </c>
      <c r="AX299" s="307">
        <v>6.7553029999999996</v>
      </c>
      <c r="AY299" s="307">
        <v>7.2026810000000001</v>
      </c>
      <c r="AZ299" s="307">
        <v>5.1207799999999999</v>
      </c>
      <c r="BA299" s="307">
        <v>0</v>
      </c>
      <c r="BB299" s="307">
        <v>0</v>
      </c>
      <c r="BC299" s="307">
        <v>6.6847029999999998</v>
      </c>
      <c r="BD299" s="307">
        <v>6.4993359999999996</v>
      </c>
      <c r="BE299" s="307">
        <v>6.2922950000000002</v>
      </c>
      <c r="BF299" s="307">
        <v>7.2202219999999997</v>
      </c>
      <c r="BG299" s="307">
        <v>7.3933099999999996</v>
      </c>
      <c r="BH299" s="307">
        <v>7.7500619999999998</v>
      </c>
      <c r="BI299" s="307">
        <v>9.7126330000000003</v>
      </c>
      <c r="BJ299" s="307">
        <v>6.3377879999999998</v>
      </c>
      <c r="BK299" s="307">
        <v>6.8225829999999998</v>
      </c>
      <c r="BL299">
        <f t="shared" si="16"/>
        <v>7</v>
      </c>
      <c r="BM299">
        <f t="shared" si="17"/>
        <v>7.3150658888888893</v>
      </c>
      <c r="BN299">
        <f t="shared" si="18"/>
        <v>10.25582</v>
      </c>
      <c r="BO299">
        <f t="array" ref="BO299">MIN(IF($C299:$BK299&gt;0, $C299:$BK299))</f>
        <v>4.6407069999999999</v>
      </c>
      <c r="BP299">
        <f t="shared" si="19"/>
        <v>6.6847029999999998</v>
      </c>
    </row>
    <row r="300" spans="1:68" x14ac:dyDescent="0.25">
      <c r="A300" s="306">
        <v>339112</v>
      </c>
      <c r="B300" s="307" t="s">
        <v>747</v>
      </c>
      <c r="C300" s="307">
        <v>4.8554339999999998</v>
      </c>
      <c r="D300" s="307">
        <v>6.8030160000000004</v>
      </c>
      <c r="E300" s="307">
        <v>6.7647310000000003</v>
      </c>
      <c r="F300" s="307">
        <v>6.8783269999999996</v>
      </c>
      <c r="G300" s="307">
        <v>8.2200950000000006</v>
      </c>
      <c r="H300" s="307">
        <v>3.978202</v>
      </c>
      <c r="I300" s="307">
        <v>5.5169269999999999</v>
      </c>
      <c r="J300" s="307">
        <v>3.7343519999999999</v>
      </c>
      <c r="K300" s="307">
        <v>0</v>
      </c>
      <c r="L300" s="307">
        <v>0</v>
      </c>
      <c r="M300" s="307">
        <v>5.5975669999999997</v>
      </c>
      <c r="N300" s="307">
        <v>4.3849720000000003</v>
      </c>
      <c r="O300" s="307">
        <v>0</v>
      </c>
      <c r="P300" s="307">
        <v>9.376906</v>
      </c>
      <c r="Q300" s="307">
        <v>9.2941859999999998</v>
      </c>
      <c r="R300" s="307">
        <v>3.5772659999999998</v>
      </c>
      <c r="S300" s="307">
        <v>4.8644699999999998</v>
      </c>
      <c r="T300" s="307">
        <v>6.9950780000000004</v>
      </c>
      <c r="U300" s="307">
        <v>4.5589069999999996</v>
      </c>
      <c r="V300" s="307">
        <v>9.8219309999999993</v>
      </c>
      <c r="W300" s="307">
        <v>3.5126919999999999</v>
      </c>
      <c r="X300" s="307">
        <v>4.8522109999999996</v>
      </c>
      <c r="Y300" s="307">
        <v>9.6627709999999993</v>
      </c>
      <c r="Z300" s="307">
        <v>5.7392149999999997</v>
      </c>
      <c r="AA300" s="307">
        <v>4.5080770000000001</v>
      </c>
      <c r="AB300" s="307">
        <v>5.4346759999999996</v>
      </c>
      <c r="AC300" s="307">
        <v>9.3469040000000003</v>
      </c>
      <c r="AD300" s="307">
        <v>9.9052620000000005</v>
      </c>
      <c r="AE300" s="307">
        <v>5.1672219999999998</v>
      </c>
      <c r="AF300" s="307">
        <v>7.0822130000000003</v>
      </c>
      <c r="AG300" s="307">
        <v>7.0606450000000001</v>
      </c>
      <c r="AH300" s="307">
        <v>6.7571570000000003</v>
      </c>
      <c r="AI300" s="307">
        <v>3.2876159999999999</v>
      </c>
      <c r="AJ300" s="307">
        <v>0</v>
      </c>
      <c r="AK300" s="307">
        <v>6.7700490000000002</v>
      </c>
      <c r="AL300" s="307">
        <v>5.4160180000000002</v>
      </c>
      <c r="AM300" s="307">
        <v>5.5720919999999996</v>
      </c>
      <c r="AN300" s="307">
        <v>7.6391530000000003</v>
      </c>
      <c r="AO300" s="307">
        <v>5.5092600000000003</v>
      </c>
      <c r="AP300" s="307">
        <v>4.2401520000000001</v>
      </c>
      <c r="AQ300" s="307">
        <v>4.8125159999999996</v>
      </c>
      <c r="AR300" s="307">
        <v>6.5430799999999998</v>
      </c>
      <c r="AS300" s="307">
        <v>9.7102570000000004</v>
      </c>
      <c r="AT300" s="307">
        <v>4.8931040000000001</v>
      </c>
      <c r="AU300" s="307">
        <v>6.155106</v>
      </c>
      <c r="AV300" s="307">
        <v>6.4591269999999996</v>
      </c>
      <c r="AW300" s="307">
        <v>5.7110989999999999</v>
      </c>
      <c r="AX300" s="307">
        <v>8.8024850000000008</v>
      </c>
      <c r="AY300" s="307">
        <v>5.5456989999999999</v>
      </c>
      <c r="AZ300" s="307">
        <v>5.3871070000000003</v>
      </c>
      <c r="BA300" s="307">
        <v>0</v>
      </c>
      <c r="BB300" s="307">
        <v>0</v>
      </c>
      <c r="BC300" s="307">
        <v>4.165953</v>
      </c>
      <c r="BD300" s="307">
        <v>4.607183</v>
      </c>
      <c r="BE300" s="307">
        <v>4.7396479999999999</v>
      </c>
      <c r="BF300" s="307">
        <v>5.1758709999999999</v>
      </c>
      <c r="BG300" s="307">
        <v>5.4846870000000001</v>
      </c>
      <c r="BH300" s="307">
        <v>5.653791</v>
      </c>
      <c r="BI300" s="307">
        <v>6.459301</v>
      </c>
      <c r="BJ300" s="307">
        <v>6.1407259999999999</v>
      </c>
      <c r="BK300" s="307">
        <v>4.019495</v>
      </c>
      <c r="BL300">
        <f t="shared" si="16"/>
        <v>6</v>
      </c>
      <c r="BM300">
        <f t="shared" si="17"/>
        <v>6.0573088545454539</v>
      </c>
      <c r="BN300">
        <f t="shared" si="18"/>
        <v>9.9052620000000005</v>
      </c>
      <c r="BO300">
        <f t="array" ref="BO300">MIN(IF($C300:$BK300&gt;0, $C300:$BK300))</f>
        <v>3.2876159999999999</v>
      </c>
      <c r="BP300">
        <f t="shared" si="19"/>
        <v>5.5092600000000003</v>
      </c>
    </row>
    <row r="301" spans="1:68" x14ac:dyDescent="0.25">
      <c r="A301" s="306">
        <v>339114</v>
      </c>
      <c r="B301" s="307" t="s">
        <v>272</v>
      </c>
      <c r="C301" s="307">
        <v>6.2795329999999998</v>
      </c>
      <c r="D301" s="307">
        <v>0</v>
      </c>
      <c r="E301" s="307">
        <v>7.8054410000000001</v>
      </c>
      <c r="F301" s="307">
        <v>10.79935</v>
      </c>
      <c r="G301" s="307">
        <v>10.25423</v>
      </c>
      <c r="H301" s="307">
        <v>5.8223950000000002</v>
      </c>
      <c r="I301" s="307">
        <v>9.2812210000000004</v>
      </c>
      <c r="J301" s="307">
        <v>4.4644899999999996</v>
      </c>
      <c r="K301" s="307">
        <v>0</v>
      </c>
      <c r="L301" s="307">
        <v>3.705241</v>
      </c>
      <c r="M301" s="307">
        <v>6.0539849999999999</v>
      </c>
      <c r="N301" s="307">
        <v>8.9054330000000004</v>
      </c>
      <c r="O301" s="307">
        <v>0</v>
      </c>
      <c r="P301" s="307">
        <v>0</v>
      </c>
      <c r="Q301" s="307">
        <v>10.91488</v>
      </c>
      <c r="R301" s="307">
        <v>5.1327829999999999</v>
      </c>
      <c r="S301" s="307">
        <v>6.51614</v>
      </c>
      <c r="T301" s="307">
        <v>7.3821700000000003</v>
      </c>
      <c r="U301" s="307">
        <v>6.7687169999999997</v>
      </c>
      <c r="V301" s="307">
        <v>0</v>
      </c>
      <c r="W301" s="307">
        <v>4.4037319999999998</v>
      </c>
      <c r="X301" s="307">
        <v>7.156155</v>
      </c>
      <c r="Y301" s="307">
        <v>0</v>
      </c>
      <c r="Z301" s="307">
        <v>6.5853830000000002</v>
      </c>
      <c r="AA301" s="307">
        <v>4.7341230000000003</v>
      </c>
      <c r="AB301" s="307">
        <v>7.7142229999999996</v>
      </c>
      <c r="AC301" s="307">
        <v>10.69126</v>
      </c>
      <c r="AD301" s="307">
        <v>11.329269999999999</v>
      </c>
      <c r="AE301" s="307">
        <v>6.5064000000000002</v>
      </c>
      <c r="AF301" s="307">
        <v>10.10824</v>
      </c>
      <c r="AG301" s="307">
        <v>0</v>
      </c>
      <c r="AH301" s="307">
        <v>0</v>
      </c>
      <c r="AI301" s="307">
        <v>4.8292219999999997</v>
      </c>
      <c r="AJ301" s="307">
        <v>7.4446700000000003</v>
      </c>
      <c r="AK301" s="307">
        <v>7.4300259999999998</v>
      </c>
      <c r="AL301" s="307">
        <v>5.5330130000000004</v>
      </c>
      <c r="AM301" s="307">
        <v>7.1172250000000004</v>
      </c>
      <c r="AN301" s="307">
        <v>9.3788850000000004</v>
      </c>
      <c r="AO301" s="307">
        <v>6.3983489999999996</v>
      </c>
      <c r="AP301" s="307">
        <v>6.0968059999999999</v>
      </c>
      <c r="AQ301" s="307">
        <v>6.3286809999999996</v>
      </c>
      <c r="AR301" s="307">
        <v>11.03424</v>
      </c>
      <c r="AS301" s="307">
        <v>7.8085560000000003</v>
      </c>
      <c r="AT301" s="307">
        <v>7.7916030000000003</v>
      </c>
      <c r="AU301" s="307">
        <v>7.1078270000000003</v>
      </c>
      <c r="AV301" s="307">
        <v>7.3726609999999999</v>
      </c>
      <c r="AW301" s="307">
        <v>0</v>
      </c>
      <c r="AX301" s="307">
        <v>0</v>
      </c>
      <c r="AY301" s="307">
        <v>11.252649999999999</v>
      </c>
      <c r="AZ301" s="307">
        <v>7.7358900000000004</v>
      </c>
      <c r="BA301" s="307">
        <v>0</v>
      </c>
      <c r="BB301" s="307">
        <v>0</v>
      </c>
      <c r="BC301" s="307">
        <v>4.8281720000000004</v>
      </c>
      <c r="BD301" s="307">
        <v>5.954364</v>
      </c>
      <c r="BE301" s="307">
        <v>6.0938220000000003</v>
      </c>
      <c r="BF301" s="307">
        <v>5.9949969999999997</v>
      </c>
      <c r="BG301" s="307">
        <v>5.8299519999999996</v>
      </c>
      <c r="BH301" s="307">
        <v>7.6140869999999996</v>
      </c>
      <c r="BI301" s="307">
        <v>9.2399229999999992</v>
      </c>
      <c r="BJ301" s="307">
        <v>8.2528120000000005</v>
      </c>
      <c r="BK301" s="307">
        <v>6.0833050000000002</v>
      </c>
      <c r="BL301">
        <f t="shared" si="16"/>
        <v>12</v>
      </c>
      <c r="BM301">
        <f t="shared" si="17"/>
        <v>7.3442149591836721</v>
      </c>
      <c r="BN301">
        <f t="shared" si="18"/>
        <v>11.329269999999999</v>
      </c>
      <c r="BO301">
        <f t="array" ref="BO301">MIN(IF($C301:$BK301&gt;0, $C301:$BK301))</f>
        <v>3.705241</v>
      </c>
      <c r="BP301">
        <f t="shared" si="19"/>
        <v>6.3983489999999996</v>
      </c>
    </row>
    <row r="302" spans="1:68" x14ac:dyDescent="0.25">
      <c r="A302" s="306">
        <v>339115</v>
      </c>
      <c r="B302" s="307" t="s">
        <v>273</v>
      </c>
      <c r="C302" s="307">
        <v>6.6218839999999997</v>
      </c>
      <c r="D302" s="307">
        <v>0</v>
      </c>
      <c r="E302" s="307">
        <v>10.10215</v>
      </c>
      <c r="F302" s="307">
        <v>11.458629999999999</v>
      </c>
      <c r="G302" s="307">
        <v>6.5359119999999997</v>
      </c>
      <c r="H302" s="307">
        <v>5.7397989999999997</v>
      </c>
      <c r="I302" s="307">
        <v>9.6676110000000008</v>
      </c>
      <c r="J302" s="307">
        <v>6.7201180000000003</v>
      </c>
      <c r="K302" s="307">
        <v>0</v>
      </c>
      <c r="L302" s="307">
        <v>0</v>
      </c>
      <c r="M302" s="307">
        <v>5.026573</v>
      </c>
      <c r="N302" s="307">
        <v>4.8773949999999999</v>
      </c>
      <c r="O302" s="307">
        <v>8.9532690000000006</v>
      </c>
      <c r="P302" s="307">
        <v>11.576000000000001</v>
      </c>
      <c r="Q302" s="307">
        <v>4.8386180000000003</v>
      </c>
      <c r="R302" s="307">
        <v>5.4194509999999996</v>
      </c>
      <c r="S302" s="307">
        <v>10.12017</v>
      </c>
      <c r="T302" s="307">
        <v>8.8188230000000001</v>
      </c>
      <c r="U302" s="307">
        <v>5.4636469999999999</v>
      </c>
      <c r="V302" s="307">
        <v>9.1810179999999999</v>
      </c>
      <c r="W302" s="307">
        <v>5.0608120000000003</v>
      </c>
      <c r="X302" s="307">
        <v>6.8533270000000002</v>
      </c>
      <c r="Y302" s="307">
        <v>11.92812</v>
      </c>
      <c r="Z302" s="307">
        <v>8.0126340000000003</v>
      </c>
      <c r="AA302" s="307">
        <v>6.9236760000000004</v>
      </c>
      <c r="AB302" s="307">
        <v>6.6109400000000003</v>
      </c>
      <c r="AC302" s="307">
        <v>10.33473</v>
      </c>
      <c r="AD302" s="307">
        <v>12.228109999999999</v>
      </c>
      <c r="AE302" s="307">
        <v>10.500629999999999</v>
      </c>
      <c r="AF302" s="307">
        <v>0</v>
      </c>
      <c r="AG302" s="307">
        <v>9.5259140000000002</v>
      </c>
      <c r="AH302" s="307">
        <v>4.8527779999999998</v>
      </c>
      <c r="AI302" s="307">
        <v>7.3013250000000003</v>
      </c>
      <c r="AJ302" s="307">
        <v>7.5149609999999996</v>
      </c>
      <c r="AK302" s="307">
        <v>8.9267640000000004</v>
      </c>
      <c r="AL302" s="307">
        <v>4.6911759999999996</v>
      </c>
      <c r="AM302" s="307">
        <v>8.8355259999999998</v>
      </c>
      <c r="AN302" s="307">
        <v>7.0781289999999997</v>
      </c>
      <c r="AO302" s="307">
        <v>9.9666610000000002</v>
      </c>
      <c r="AP302" s="307">
        <v>7.3106</v>
      </c>
      <c r="AQ302" s="307">
        <v>6.2735969999999996</v>
      </c>
      <c r="AR302" s="307">
        <v>9.8676619999999993</v>
      </c>
      <c r="AS302" s="307">
        <v>12.03674</v>
      </c>
      <c r="AT302" s="307">
        <v>7.8607680000000002</v>
      </c>
      <c r="AU302" s="307">
        <v>7.3399570000000001</v>
      </c>
      <c r="AV302" s="307">
        <v>8.6624389999999991</v>
      </c>
      <c r="AW302" s="307">
        <v>9.2246229999999994</v>
      </c>
      <c r="AX302" s="307">
        <v>8.3913860000000007</v>
      </c>
      <c r="AY302" s="307">
        <v>10.73062</v>
      </c>
      <c r="AZ302" s="307">
        <v>10.528119999999999</v>
      </c>
      <c r="BA302" s="307">
        <v>10.677149999999999</v>
      </c>
      <c r="BB302" s="307">
        <v>5.8243359999999997</v>
      </c>
      <c r="BC302" s="307">
        <v>6.1325539999999998</v>
      </c>
      <c r="BD302" s="307">
        <v>5.7214660000000004</v>
      </c>
      <c r="BE302" s="307">
        <v>8.418412</v>
      </c>
      <c r="BF302" s="307">
        <v>7.5717319999999999</v>
      </c>
      <c r="BG302" s="307">
        <v>5.45052</v>
      </c>
      <c r="BH302" s="307">
        <v>7.8294740000000003</v>
      </c>
      <c r="BI302" s="307">
        <v>7.9249939999999999</v>
      </c>
      <c r="BJ302" s="307">
        <v>7.5790249999999997</v>
      </c>
      <c r="BK302" s="307">
        <v>6.3168939999999996</v>
      </c>
      <c r="BL302">
        <f t="shared" si="16"/>
        <v>4</v>
      </c>
      <c r="BM302">
        <f t="shared" si="17"/>
        <v>7.9989535087719315</v>
      </c>
      <c r="BN302">
        <f t="shared" si="18"/>
        <v>12.228109999999999</v>
      </c>
      <c r="BO302">
        <f t="array" ref="BO302">MIN(IF($C302:$BK302&gt;0, $C302:$BK302))</f>
        <v>4.6911759999999996</v>
      </c>
      <c r="BP302">
        <f t="shared" si="19"/>
        <v>7.5717319999999999</v>
      </c>
    </row>
    <row r="303" spans="1:68" x14ac:dyDescent="0.25">
      <c r="A303" s="306">
        <v>339116</v>
      </c>
      <c r="B303" s="307" t="s">
        <v>748</v>
      </c>
      <c r="C303" s="307">
        <v>15.496700000000001</v>
      </c>
      <c r="D303" s="307">
        <v>18.94763</v>
      </c>
      <c r="E303" s="307">
        <v>16.982520000000001</v>
      </c>
      <c r="F303" s="307">
        <v>15.892620000000001</v>
      </c>
      <c r="G303" s="307">
        <v>17.955259999999999</v>
      </c>
      <c r="H303" s="307">
        <v>14.715579999999999</v>
      </c>
      <c r="I303" s="307">
        <v>17.6478</v>
      </c>
      <c r="J303" s="307">
        <v>11.24966</v>
      </c>
      <c r="K303" s="307">
        <v>5.6198499999999996</v>
      </c>
      <c r="L303" s="307">
        <v>9.3368789999999997</v>
      </c>
      <c r="M303" s="307">
        <v>14.831329999999999</v>
      </c>
      <c r="N303" s="307">
        <v>13.618639999999999</v>
      </c>
      <c r="O303" s="307">
        <v>21.2197</v>
      </c>
      <c r="P303" s="307">
        <v>19.047350000000002</v>
      </c>
      <c r="Q303" s="307">
        <v>15.85017</v>
      </c>
      <c r="R303" s="307">
        <v>13.626139999999999</v>
      </c>
      <c r="S303" s="307">
        <v>16.008790000000001</v>
      </c>
      <c r="T303" s="307">
        <v>12.386939999999999</v>
      </c>
      <c r="U303" s="307">
        <v>15.72714</v>
      </c>
      <c r="V303" s="307">
        <v>18.438659999999999</v>
      </c>
      <c r="W303" s="307">
        <v>11.096769999999999</v>
      </c>
      <c r="X303" s="307">
        <v>12.40156</v>
      </c>
      <c r="Y303" s="307">
        <v>20.950700000000001</v>
      </c>
      <c r="Z303" s="307">
        <v>13.97772</v>
      </c>
      <c r="AA303" s="307">
        <v>14.97142</v>
      </c>
      <c r="AB303" s="307">
        <v>14.91117</v>
      </c>
      <c r="AC303" s="307">
        <v>18.248169999999998</v>
      </c>
      <c r="AD303" s="307">
        <v>21.476510000000001</v>
      </c>
      <c r="AE303" s="307">
        <v>15.005369999999999</v>
      </c>
      <c r="AF303" s="307">
        <v>17.552040000000002</v>
      </c>
      <c r="AG303" s="307">
        <v>15.571199999999999</v>
      </c>
      <c r="AH303" s="307">
        <v>14.42048</v>
      </c>
      <c r="AI303" s="307">
        <v>10.847770000000001</v>
      </c>
      <c r="AJ303" s="307">
        <v>15.697900000000001</v>
      </c>
      <c r="AK303" s="307">
        <v>13.47789</v>
      </c>
      <c r="AL303" s="307">
        <v>13.061640000000001</v>
      </c>
      <c r="AM303" s="307">
        <v>14.817629999999999</v>
      </c>
      <c r="AN303" s="307">
        <v>18.449629999999999</v>
      </c>
      <c r="AO303" s="307">
        <v>17.27065</v>
      </c>
      <c r="AP303" s="307">
        <v>13.3375</v>
      </c>
      <c r="AQ303" s="307">
        <v>14.79266</v>
      </c>
      <c r="AR303" s="307">
        <v>15.250830000000001</v>
      </c>
      <c r="AS303" s="307">
        <v>17.983319999999999</v>
      </c>
      <c r="AT303" s="307">
        <v>15.099119999999999</v>
      </c>
      <c r="AU303" s="307">
        <v>16.059149999999999</v>
      </c>
      <c r="AV303" s="307">
        <v>14.4298</v>
      </c>
      <c r="AW303" s="307">
        <v>15.8773</v>
      </c>
      <c r="AX303" s="307">
        <v>19.71537</v>
      </c>
      <c r="AY303" s="307">
        <v>19.261800000000001</v>
      </c>
      <c r="AZ303" s="307">
        <v>16.64903</v>
      </c>
      <c r="BA303" s="307">
        <v>18.145130000000002</v>
      </c>
      <c r="BB303" s="307">
        <v>21.049530000000001</v>
      </c>
      <c r="BC303" s="307">
        <v>13.59582</v>
      </c>
      <c r="BD303" s="307">
        <v>13.39869</v>
      </c>
      <c r="BE303" s="307">
        <v>15.083959999999999</v>
      </c>
      <c r="BF303" s="307">
        <v>15.633279999999999</v>
      </c>
      <c r="BG303" s="307">
        <v>14.85746</v>
      </c>
      <c r="BH303" s="307">
        <v>16.63109</v>
      </c>
      <c r="BI303" s="307">
        <v>16.663789999999999</v>
      </c>
      <c r="BJ303" s="307">
        <v>16.531649999999999</v>
      </c>
      <c r="BK303" s="307">
        <v>15.795500000000001</v>
      </c>
      <c r="BL303">
        <f t="shared" si="16"/>
        <v>0</v>
      </c>
      <c r="BM303">
        <f t="shared" si="17"/>
        <v>15.649956704918029</v>
      </c>
      <c r="BN303">
        <f t="shared" si="18"/>
        <v>21.476510000000001</v>
      </c>
      <c r="BO303">
        <f t="array" ref="BO303">MIN(IF($C303:$BK303&gt;0, $C303:$BK303))</f>
        <v>5.6198499999999996</v>
      </c>
      <c r="BP303">
        <f t="shared" si="19"/>
        <v>15.633279999999999</v>
      </c>
    </row>
    <row r="304" spans="1:68" x14ac:dyDescent="0.25">
      <c r="A304" s="306" t="s">
        <v>749</v>
      </c>
      <c r="B304" s="307" t="s">
        <v>750</v>
      </c>
      <c r="C304" s="307">
        <v>5.048864</v>
      </c>
      <c r="D304" s="307">
        <v>8.3853159999999995</v>
      </c>
      <c r="E304" s="307">
        <v>7.3048450000000003</v>
      </c>
      <c r="F304" s="307">
        <v>5.6341349999999997</v>
      </c>
      <c r="G304" s="307">
        <v>5.3272640000000004</v>
      </c>
      <c r="H304" s="307">
        <v>4.170331</v>
      </c>
      <c r="I304" s="307">
        <v>6.148021</v>
      </c>
      <c r="J304" s="307">
        <v>4.2974110000000003</v>
      </c>
      <c r="K304" s="307">
        <v>0</v>
      </c>
      <c r="L304" s="307">
        <v>2.883003</v>
      </c>
      <c r="M304" s="307">
        <v>6.0361729999999998</v>
      </c>
      <c r="N304" s="307">
        <v>4.3782420000000002</v>
      </c>
      <c r="O304" s="307">
        <v>9.3903040000000004</v>
      </c>
      <c r="P304" s="307">
        <v>7.1028570000000002</v>
      </c>
      <c r="Q304" s="307">
        <v>8.8908159999999992</v>
      </c>
      <c r="R304" s="307">
        <v>3.6448019999999999</v>
      </c>
      <c r="S304" s="307">
        <v>4.2646990000000002</v>
      </c>
      <c r="T304" s="307">
        <v>7.3280750000000001</v>
      </c>
      <c r="U304" s="307">
        <v>7.2671760000000001</v>
      </c>
      <c r="V304" s="307">
        <v>7.5257909999999999</v>
      </c>
      <c r="W304" s="307">
        <v>4.1218669999999999</v>
      </c>
      <c r="X304" s="307">
        <v>3.297304</v>
      </c>
      <c r="Y304" s="307">
        <v>9.2713579999999993</v>
      </c>
      <c r="Z304" s="307">
        <v>4.1447329999999996</v>
      </c>
      <c r="AA304" s="307">
        <v>4.3764690000000002</v>
      </c>
      <c r="AB304" s="307">
        <v>6.809666</v>
      </c>
      <c r="AC304" s="307">
        <v>6.8965490000000003</v>
      </c>
      <c r="AD304" s="307">
        <v>9.5044160000000009</v>
      </c>
      <c r="AE304" s="307">
        <v>6.2634090000000002</v>
      </c>
      <c r="AF304" s="307">
        <v>7.8579629999999998</v>
      </c>
      <c r="AG304" s="307">
        <v>5.7560180000000001</v>
      </c>
      <c r="AH304" s="307">
        <v>5.1885820000000002</v>
      </c>
      <c r="AI304" s="307">
        <v>3.349647</v>
      </c>
      <c r="AJ304" s="307">
        <v>7.3174000000000001</v>
      </c>
      <c r="AK304" s="307">
        <v>6.1143619999999999</v>
      </c>
      <c r="AL304" s="307">
        <v>5.3880330000000001</v>
      </c>
      <c r="AM304" s="307">
        <v>6.1385339999999999</v>
      </c>
      <c r="AN304" s="307">
        <v>7.2669069999999998</v>
      </c>
      <c r="AO304" s="307">
        <v>6.3483619999999998</v>
      </c>
      <c r="AP304" s="307">
        <v>5.5545010000000001</v>
      </c>
      <c r="AQ304" s="307">
        <v>4.3404470000000002</v>
      </c>
      <c r="AR304" s="307">
        <v>7.0868270000000004</v>
      </c>
      <c r="AS304" s="307">
        <v>5.221241</v>
      </c>
      <c r="AT304" s="307">
        <v>3.8644020000000001</v>
      </c>
      <c r="AU304" s="307">
        <v>5.037509</v>
      </c>
      <c r="AV304" s="307">
        <v>5.5195379999999998</v>
      </c>
      <c r="AW304" s="307">
        <v>6.744586</v>
      </c>
      <c r="AX304" s="307">
        <v>8.9034619999999993</v>
      </c>
      <c r="AY304" s="307">
        <v>9.2645499999999998</v>
      </c>
      <c r="AZ304" s="307">
        <v>6.9901359999999997</v>
      </c>
      <c r="BA304" s="307">
        <v>6.5663799999999997</v>
      </c>
      <c r="BB304" s="307">
        <v>9.3149219999999993</v>
      </c>
      <c r="BC304" s="307">
        <v>5.3363019999999999</v>
      </c>
      <c r="BD304" s="307">
        <v>4.682086</v>
      </c>
      <c r="BE304" s="307">
        <v>4.6428130000000003</v>
      </c>
      <c r="BF304" s="307">
        <v>5.1632699999999998</v>
      </c>
      <c r="BG304" s="307">
        <v>5.7555959999999997</v>
      </c>
      <c r="BH304" s="307">
        <v>4.7253369999999997</v>
      </c>
      <c r="BI304" s="307">
        <v>5.2636609999999999</v>
      </c>
      <c r="BJ304" s="307">
        <v>5.8724449999999999</v>
      </c>
      <c r="BK304" s="307">
        <v>4.5974440000000003</v>
      </c>
      <c r="BL304">
        <f t="shared" si="16"/>
        <v>1</v>
      </c>
      <c r="BM304">
        <f t="shared" si="17"/>
        <v>6.0147859833333355</v>
      </c>
      <c r="BN304">
        <f t="shared" si="18"/>
        <v>9.5044160000000009</v>
      </c>
      <c r="BO304">
        <f t="array" ref="BO304">MIN(IF($C304:$BK304&gt;0, $C304:$BK304))</f>
        <v>2.883003</v>
      </c>
      <c r="BP304">
        <f t="shared" si="19"/>
        <v>5.7555959999999997</v>
      </c>
    </row>
    <row r="305" spans="1:68" x14ac:dyDescent="0.25">
      <c r="A305" s="306">
        <v>339910</v>
      </c>
      <c r="B305" s="307" t="s">
        <v>274</v>
      </c>
      <c r="C305" s="307">
        <v>6.1644589999999999</v>
      </c>
      <c r="D305" s="307">
        <v>5.3058880000000004</v>
      </c>
      <c r="E305" s="307">
        <v>6.6154529999999996</v>
      </c>
      <c r="F305" s="307">
        <v>4.6200099999999997</v>
      </c>
      <c r="G305" s="307">
        <v>9.1302269999999996</v>
      </c>
      <c r="H305" s="307">
        <v>7.5469010000000001</v>
      </c>
      <c r="I305" s="307">
        <v>5.6851019999999997</v>
      </c>
      <c r="J305" s="307">
        <v>4.460089</v>
      </c>
      <c r="K305" s="307">
        <v>0</v>
      </c>
      <c r="L305" s="307">
        <v>3.3714439999999999</v>
      </c>
      <c r="M305" s="307">
        <v>6.4671219999999998</v>
      </c>
      <c r="N305" s="307">
        <v>10.249470000000001</v>
      </c>
      <c r="O305" s="307">
        <v>11.509449999999999</v>
      </c>
      <c r="P305" s="307">
        <v>5.6936080000000002</v>
      </c>
      <c r="Q305" s="307">
        <v>8.9081030000000005</v>
      </c>
      <c r="R305" s="307">
        <v>6.0469970000000002</v>
      </c>
      <c r="S305" s="307">
        <v>7.5334060000000003</v>
      </c>
      <c r="T305" s="307">
        <v>10.41175</v>
      </c>
      <c r="U305" s="307">
        <v>10.68355</v>
      </c>
      <c r="V305" s="307">
        <v>8.0338390000000004</v>
      </c>
      <c r="W305" s="307">
        <v>5.4901099999999996</v>
      </c>
      <c r="X305" s="307">
        <v>6.1748320000000003</v>
      </c>
      <c r="Y305" s="307">
        <v>11.36379</v>
      </c>
      <c r="Z305" s="307">
        <v>5.4886590000000002</v>
      </c>
      <c r="AA305" s="307">
        <v>4.3074589999999997</v>
      </c>
      <c r="AB305" s="307">
        <v>7.825526</v>
      </c>
      <c r="AC305" s="307">
        <v>10.99206</v>
      </c>
      <c r="AD305" s="307">
        <v>9.6620439999999999</v>
      </c>
      <c r="AE305" s="307">
        <v>7.6432440000000001</v>
      </c>
      <c r="AF305" s="307">
        <v>10.392670000000001</v>
      </c>
      <c r="AG305" s="307">
        <v>11.187139999999999</v>
      </c>
      <c r="AH305" s="307">
        <v>7.0244030000000004</v>
      </c>
      <c r="AI305" s="307">
        <v>3.9170500000000001</v>
      </c>
      <c r="AJ305" s="307">
        <v>7.7282200000000003</v>
      </c>
      <c r="AK305" s="307">
        <v>7.4234080000000002</v>
      </c>
      <c r="AL305" s="307">
        <v>4.4510860000000001</v>
      </c>
      <c r="AM305" s="307">
        <v>6.0652929999999996</v>
      </c>
      <c r="AN305" s="307">
        <v>8.9752240000000008</v>
      </c>
      <c r="AO305" s="307">
        <v>9.9795879999999997</v>
      </c>
      <c r="AP305" s="307">
        <v>4.2313470000000004</v>
      </c>
      <c r="AQ305" s="307">
        <v>6.3077030000000001</v>
      </c>
      <c r="AR305" s="307">
        <v>7.542503</v>
      </c>
      <c r="AS305" s="307">
        <v>7.8660290000000002</v>
      </c>
      <c r="AT305" s="307">
        <v>7.1336209999999998</v>
      </c>
      <c r="AU305" s="307">
        <v>6.0305540000000004</v>
      </c>
      <c r="AV305" s="307">
        <v>7.660933</v>
      </c>
      <c r="AW305" s="307">
        <v>6.5858449999999999</v>
      </c>
      <c r="AX305" s="307">
        <v>10.91316</v>
      </c>
      <c r="AY305" s="307">
        <v>7.4753749999999997</v>
      </c>
      <c r="AZ305" s="307">
        <v>9.0298250000000007</v>
      </c>
      <c r="BA305" s="307">
        <v>5.2508780000000002</v>
      </c>
      <c r="BB305" s="307">
        <v>5.8944349999999996</v>
      </c>
      <c r="BC305" s="307">
        <v>6.6507540000000001</v>
      </c>
      <c r="BD305" s="307">
        <v>4.6147530000000003</v>
      </c>
      <c r="BE305" s="307">
        <v>6.3390599999999999</v>
      </c>
      <c r="BF305" s="307">
        <v>5.982145</v>
      </c>
      <c r="BG305" s="307">
        <v>7.0031189999999999</v>
      </c>
      <c r="BH305" s="307">
        <v>8.1845549999999996</v>
      </c>
      <c r="BI305" s="307">
        <v>6.8271449999999998</v>
      </c>
      <c r="BJ305" s="307">
        <v>7.56196</v>
      </c>
      <c r="BK305" s="307">
        <v>8.0521820000000002</v>
      </c>
      <c r="BL305">
        <f t="shared" si="16"/>
        <v>1</v>
      </c>
      <c r="BM305">
        <f t="shared" si="17"/>
        <v>7.2944425833333355</v>
      </c>
      <c r="BN305">
        <f t="shared" si="18"/>
        <v>11.509449999999999</v>
      </c>
      <c r="BO305">
        <f t="array" ref="BO305">MIN(IF($C305:$BK305&gt;0, $C305:$BK305))</f>
        <v>3.3714439999999999</v>
      </c>
      <c r="BP305">
        <f t="shared" si="19"/>
        <v>7.0244030000000004</v>
      </c>
    </row>
    <row r="306" spans="1:68" x14ac:dyDescent="0.25">
      <c r="A306" s="306">
        <v>339920</v>
      </c>
      <c r="B306" s="307" t="s">
        <v>275</v>
      </c>
      <c r="C306" s="307">
        <v>6.4329260000000001</v>
      </c>
      <c r="D306" s="307">
        <v>0</v>
      </c>
      <c r="E306" s="307">
        <v>6.8502460000000003</v>
      </c>
      <c r="F306" s="307">
        <v>8.5784230000000008</v>
      </c>
      <c r="G306" s="307">
        <v>7.4342090000000001</v>
      </c>
      <c r="H306" s="307">
        <v>5.3092990000000002</v>
      </c>
      <c r="I306" s="307">
        <v>7.930955</v>
      </c>
      <c r="J306" s="307">
        <v>5.1659870000000003</v>
      </c>
      <c r="K306" s="307">
        <v>0</v>
      </c>
      <c r="L306" s="307">
        <v>5.4353429999999996</v>
      </c>
      <c r="M306" s="307">
        <v>7.392169</v>
      </c>
      <c r="N306" s="307">
        <v>5.693181</v>
      </c>
      <c r="O306" s="307">
        <v>9.1911349999999992</v>
      </c>
      <c r="P306" s="307">
        <v>7.0091060000000001</v>
      </c>
      <c r="Q306" s="307">
        <v>8.9624620000000004</v>
      </c>
      <c r="R306" s="307">
        <v>4.840052</v>
      </c>
      <c r="S306" s="307">
        <v>6.6162270000000003</v>
      </c>
      <c r="T306" s="307">
        <v>5.1340399999999997</v>
      </c>
      <c r="U306" s="307">
        <v>6.1379659999999996</v>
      </c>
      <c r="V306" s="307">
        <v>9.2238410000000002</v>
      </c>
      <c r="W306" s="307">
        <v>4.5502200000000004</v>
      </c>
      <c r="X306" s="307">
        <v>5.0894159999999999</v>
      </c>
      <c r="Y306" s="307">
        <v>8.6037330000000001</v>
      </c>
      <c r="Z306" s="307">
        <v>5.7730769999999998</v>
      </c>
      <c r="AA306" s="307">
        <v>6.5780159999999999</v>
      </c>
      <c r="AB306" s="307">
        <v>6.74437</v>
      </c>
      <c r="AC306" s="307">
        <v>6.0905120000000004</v>
      </c>
      <c r="AD306" s="307">
        <v>9.3029860000000006</v>
      </c>
      <c r="AE306" s="307">
        <v>8.774559</v>
      </c>
      <c r="AF306" s="307">
        <v>8.2995300000000007</v>
      </c>
      <c r="AG306" s="307">
        <v>8.2283639999999991</v>
      </c>
      <c r="AH306" s="307">
        <v>5.3298370000000004</v>
      </c>
      <c r="AI306" s="307">
        <v>4.5798709999999998</v>
      </c>
      <c r="AJ306" s="307">
        <v>9.0296190000000003</v>
      </c>
      <c r="AK306" s="307">
        <v>6.0566230000000001</v>
      </c>
      <c r="AL306" s="307">
        <v>5.7184860000000004</v>
      </c>
      <c r="AM306" s="307">
        <v>7.2698499999999999</v>
      </c>
      <c r="AN306" s="307">
        <v>7.7900749999999999</v>
      </c>
      <c r="AO306" s="307">
        <v>5.9730949999999998</v>
      </c>
      <c r="AP306" s="307">
        <v>5.4448439999999998</v>
      </c>
      <c r="AQ306" s="307">
        <v>8.4843080000000004</v>
      </c>
      <c r="AR306" s="307">
        <v>5.6382750000000001</v>
      </c>
      <c r="AS306" s="307">
        <v>0</v>
      </c>
      <c r="AT306" s="307">
        <v>4.8799039999999998</v>
      </c>
      <c r="AU306" s="307">
        <v>6.5491950000000001</v>
      </c>
      <c r="AV306" s="307">
        <v>7.6202300000000003</v>
      </c>
      <c r="AW306" s="307">
        <v>6.9244260000000004</v>
      </c>
      <c r="AX306" s="307">
        <v>4.9539340000000003</v>
      </c>
      <c r="AY306" s="307">
        <v>7.4159319999999997</v>
      </c>
      <c r="AZ306" s="307">
        <v>7.51004</v>
      </c>
      <c r="BA306" s="307">
        <v>8.1228689999999997</v>
      </c>
      <c r="BB306" s="307">
        <v>5.8966779999999996</v>
      </c>
      <c r="BC306" s="307">
        <v>5.1597609999999996</v>
      </c>
      <c r="BD306" s="307">
        <v>5.6715549999999997</v>
      </c>
      <c r="BE306" s="307">
        <v>6.0657449999999997</v>
      </c>
      <c r="BF306" s="307">
        <v>6.7068320000000003</v>
      </c>
      <c r="BG306" s="307">
        <v>6.9609480000000001</v>
      </c>
      <c r="BH306" s="307">
        <v>6.0308719999999996</v>
      </c>
      <c r="BI306" s="307">
        <v>7.1899740000000003</v>
      </c>
      <c r="BJ306" s="307">
        <v>7.6985489999999999</v>
      </c>
      <c r="BK306" s="307">
        <v>5.8943339999999997</v>
      </c>
      <c r="BL306">
        <f t="shared" si="16"/>
        <v>3</v>
      </c>
      <c r="BM306">
        <f t="shared" si="17"/>
        <v>6.7230863965517251</v>
      </c>
      <c r="BN306">
        <f t="shared" si="18"/>
        <v>9.3029860000000006</v>
      </c>
      <c r="BO306">
        <f t="array" ref="BO306">MIN(IF($C306:$BK306&gt;0, $C306:$BK306))</f>
        <v>4.5502200000000004</v>
      </c>
      <c r="BP306">
        <f t="shared" si="19"/>
        <v>6.5491950000000001</v>
      </c>
    </row>
    <row r="307" spans="1:68" x14ac:dyDescent="0.25">
      <c r="A307" s="306">
        <v>339930</v>
      </c>
      <c r="B307" s="307" t="s">
        <v>276</v>
      </c>
      <c r="C307" s="307">
        <v>4.3611610000000001</v>
      </c>
      <c r="D307" s="307">
        <v>2.9651420000000002</v>
      </c>
      <c r="E307" s="307">
        <v>0</v>
      </c>
      <c r="F307" s="307">
        <v>8.0066240000000004</v>
      </c>
      <c r="G307" s="307">
        <v>9.2563139999999997</v>
      </c>
      <c r="H307" s="307">
        <v>3.044114</v>
      </c>
      <c r="I307" s="307">
        <v>6.7377039999999999</v>
      </c>
      <c r="J307" s="307">
        <v>2.804071</v>
      </c>
      <c r="K307" s="307">
        <v>0</v>
      </c>
      <c r="L307" s="307">
        <v>2.5007239999999999</v>
      </c>
      <c r="M307" s="307">
        <v>8.7309719999999995</v>
      </c>
      <c r="N307" s="307">
        <v>3.413529</v>
      </c>
      <c r="O307" s="307">
        <v>0</v>
      </c>
      <c r="P307" s="307">
        <v>6.80389</v>
      </c>
      <c r="Q307" s="307">
        <v>12.12703</v>
      </c>
      <c r="R307" s="307">
        <v>3.3948589999999998</v>
      </c>
      <c r="S307" s="307">
        <v>5.7500330000000002</v>
      </c>
      <c r="T307" s="307">
        <v>9.7340409999999995</v>
      </c>
      <c r="U307" s="307">
        <v>10.81339</v>
      </c>
      <c r="V307" s="307">
        <v>12.481030000000001</v>
      </c>
      <c r="W307" s="307">
        <v>5.1137319999999997</v>
      </c>
      <c r="X307" s="307">
        <v>4.0450090000000003</v>
      </c>
      <c r="Y307" s="307">
        <v>3.278556</v>
      </c>
      <c r="Z307" s="307">
        <v>5.0066009999999999</v>
      </c>
      <c r="AA307" s="307">
        <v>4.0625080000000002</v>
      </c>
      <c r="AB307" s="307">
        <v>8.3851870000000002</v>
      </c>
      <c r="AC307" s="307">
        <v>8.7490179999999995</v>
      </c>
      <c r="AD307" s="307">
        <v>12.58764</v>
      </c>
      <c r="AE307" s="307">
        <v>8.6780650000000001</v>
      </c>
      <c r="AF307" s="307">
        <v>0</v>
      </c>
      <c r="AG307" s="307">
        <v>12.08853</v>
      </c>
      <c r="AH307" s="307">
        <v>4.4585290000000004</v>
      </c>
      <c r="AI307" s="307">
        <v>4.1044749999999999</v>
      </c>
      <c r="AJ307" s="307">
        <v>5.1908279999999998</v>
      </c>
      <c r="AK307" s="307">
        <v>4.3958659999999998</v>
      </c>
      <c r="AL307" s="307">
        <v>4.1504979999999998</v>
      </c>
      <c r="AM307" s="307">
        <v>5.7641010000000001</v>
      </c>
      <c r="AN307" s="307">
        <v>6.6379229999999998</v>
      </c>
      <c r="AO307" s="307">
        <v>9.0070209999999999</v>
      </c>
      <c r="AP307" s="307">
        <v>4.232183</v>
      </c>
      <c r="AQ307" s="307">
        <v>5.6654929999999997</v>
      </c>
      <c r="AR307" s="307">
        <v>0</v>
      </c>
      <c r="AS307" s="307">
        <v>9.9317790000000006</v>
      </c>
      <c r="AT307" s="307">
        <v>5.500953</v>
      </c>
      <c r="AU307" s="307">
        <v>5.8910879999999999</v>
      </c>
      <c r="AV307" s="307">
        <v>11.687150000000001</v>
      </c>
      <c r="AW307" s="307">
        <v>9.4079899999999999</v>
      </c>
      <c r="AX307" s="307">
        <v>8.7674000000000003</v>
      </c>
      <c r="AY307" s="307">
        <v>3.7115170000000002</v>
      </c>
      <c r="AZ307" s="307">
        <v>5.3900360000000003</v>
      </c>
      <c r="BA307" s="307">
        <v>10.990270000000001</v>
      </c>
      <c r="BB307" s="307">
        <v>3.2941039999999999</v>
      </c>
      <c r="BC307" s="307">
        <v>4.934755</v>
      </c>
      <c r="BD307" s="307">
        <v>4.4069799999999999</v>
      </c>
      <c r="BE307" s="307">
        <v>4.5709200000000001</v>
      </c>
      <c r="BF307" s="307">
        <v>8.2677390000000006</v>
      </c>
      <c r="BG307" s="307">
        <v>5.7534080000000003</v>
      </c>
      <c r="BH307" s="307">
        <v>8.1016779999999997</v>
      </c>
      <c r="BI307" s="307">
        <v>7.1305750000000003</v>
      </c>
      <c r="BJ307" s="307">
        <v>7.2337360000000004</v>
      </c>
      <c r="BK307" s="307">
        <v>3.340014</v>
      </c>
      <c r="BL307">
        <f t="shared" si="16"/>
        <v>5</v>
      </c>
      <c r="BM307">
        <f t="shared" si="17"/>
        <v>6.550687196428572</v>
      </c>
      <c r="BN307">
        <f t="shared" si="18"/>
        <v>12.58764</v>
      </c>
      <c r="BO307">
        <f t="array" ref="BO307">MIN(IF($C307:$BK307&gt;0, $C307:$BK307))</f>
        <v>2.5007239999999999</v>
      </c>
      <c r="BP307">
        <f t="shared" si="19"/>
        <v>5.500953</v>
      </c>
    </row>
    <row r="308" spans="1:68" x14ac:dyDescent="0.25">
      <c r="A308" s="306">
        <v>339940</v>
      </c>
      <c r="B308" s="307" t="s">
        <v>277</v>
      </c>
      <c r="C308" s="307">
        <v>6.7994510000000004</v>
      </c>
      <c r="D308" s="307">
        <v>5.9312269999999998</v>
      </c>
      <c r="E308" s="307">
        <v>9.9850370000000002</v>
      </c>
      <c r="F308" s="307">
        <v>6.7790699999999999</v>
      </c>
      <c r="G308" s="307">
        <v>10.036820000000001</v>
      </c>
      <c r="H308" s="307">
        <v>7.4379280000000003</v>
      </c>
      <c r="I308" s="307">
        <v>9.2848260000000007</v>
      </c>
      <c r="J308" s="307">
        <v>4.4756169999999997</v>
      </c>
      <c r="K308" s="307">
        <v>3.658725</v>
      </c>
      <c r="L308" s="307">
        <v>3.714467</v>
      </c>
      <c r="M308" s="307">
        <v>6.7522820000000001</v>
      </c>
      <c r="N308" s="307">
        <v>8.1654040000000006</v>
      </c>
      <c r="O308" s="307">
        <v>12.0009</v>
      </c>
      <c r="P308" s="307">
        <v>7.9343820000000003</v>
      </c>
      <c r="Q308" s="307">
        <v>6.1353049999999998</v>
      </c>
      <c r="R308" s="307">
        <v>4.6959739999999996</v>
      </c>
      <c r="S308" s="307">
        <v>7.0813699999999997</v>
      </c>
      <c r="T308" s="307">
        <v>9.4934609999999999</v>
      </c>
      <c r="U308" s="307">
        <v>7.8464720000000003</v>
      </c>
      <c r="V308" s="307">
        <v>12.0435</v>
      </c>
      <c r="W308" s="307">
        <v>6.5517320000000003</v>
      </c>
      <c r="X308" s="307">
        <v>10.51559</v>
      </c>
      <c r="Y308" s="307">
        <v>8.269171</v>
      </c>
      <c r="Z308" s="307">
        <v>4.8234640000000004</v>
      </c>
      <c r="AA308" s="307">
        <v>7.7302790000000003</v>
      </c>
      <c r="AB308" s="307">
        <v>6.1405060000000002</v>
      </c>
      <c r="AC308" s="307">
        <v>11.46123</v>
      </c>
      <c r="AD308" s="307">
        <v>6.7226699999999999</v>
      </c>
      <c r="AE308" s="307">
        <v>7.9540259999999998</v>
      </c>
      <c r="AF308" s="307">
        <v>10.086040000000001</v>
      </c>
      <c r="AG308" s="307">
        <v>6.8488059999999997</v>
      </c>
      <c r="AH308" s="307">
        <v>7.5573420000000002</v>
      </c>
      <c r="AI308" s="307">
        <v>4.4702820000000001</v>
      </c>
      <c r="AJ308" s="307">
        <v>8.9957499999999992</v>
      </c>
      <c r="AK308" s="307">
        <v>7.6646619999999999</v>
      </c>
      <c r="AL308" s="307">
        <v>5.8828230000000001</v>
      </c>
      <c r="AM308" s="307">
        <v>7.5579970000000003</v>
      </c>
      <c r="AN308" s="307">
        <v>8.9957449999999994</v>
      </c>
      <c r="AO308" s="307">
        <v>7.5993560000000002</v>
      </c>
      <c r="AP308" s="307">
        <v>5.9131280000000004</v>
      </c>
      <c r="AQ308" s="307">
        <v>4.4791999999999996</v>
      </c>
      <c r="AR308" s="307">
        <v>6.0566839999999997</v>
      </c>
      <c r="AS308" s="307">
        <v>11.955030000000001</v>
      </c>
      <c r="AT308" s="307">
        <v>6.6945230000000002</v>
      </c>
      <c r="AU308" s="307">
        <v>9.0170969999999997</v>
      </c>
      <c r="AV308" s="307">
        <v>7.602144</v>
      </c>
      <c r="AW308" s="307">
        <v>8.9122719999999997</v>
      </c>
      <c r="AX308" s="307">
        <v>0</v>
      </c>
      <c r="AY308" s="307">
        <v>11.095499999999999</v>
      </c>
      <c r="AZ308" s="307">
        <v>7.3103350000000002</v>
      </c>
      <c r="BA308" s="307">
        <v>6.2741540000000002</v>
      </c>
      <c r="BB308" s="307">
        <v>11.904949999999999</v>
      </c>
      <c r="BC308" s="307">
        <v>5.2829230000000003</v>
      </c>
      <c r="BD308" s="307">
        <v>5.9183620000000001</v>
      </c>
      <c r="BE308" s="307">
        <v>5.7177720000000001</v>
      </c>
      <c r="BF308" s="307">
        <v>7.6871489999999998</v>
      </c>
      <c r="BG308" s="307">
        <v>7.0668160000000002</v>
      </c>
      <c r="BH308" s="307">
        <v>6.9243129999999997</v>
      </c>
      <c r="BI308" s="307">
        <v>8.5803750000000001</v>
      </c>
      <c r="BJ308" s="307">
        <v>8.2040989999999994</v>
      </c>
      <c r="BK308" s="307">
        <v>8.0175439999999991</v>
      </c>
      <c r="BL308">
        <f t="shared" si="16"/>
        <v>1</v>
      </c>
      <c r="BM308">
        <f t="shared" si="17"/>
        <v>7.6115676499999987</v>
      </c>
      <c r="BN308">
        <f t="shared" si="18"/>
        <v>12.0435</v>
      </c>
      <c r="BO308">
        <f t="array" ref="BO308">MIN(IF($C308:$BK308&gt;0, $C308:$BK308))</f>
        <v>3.658725</v>
      </c>
      <c r="BP308">
        <f t="shared" si="19"/>
        <v>7.5573420000000002</v>
      </c>
    </row>
    <row r="309" spans="1:68" x14ac:dyDescent="0.25">
      <c r="A309" s="306">
        <v>339950</v>
      </c>
      <c r="B309" s="307" t="s">
        <v>278</v>
      </c>
      <c r="C309" s="307">
        <v>8.0913520000000005</v>
      </c>
      <c r="D309" s="307">
        <v>11.022209999999999</v>
      </c>
      <c r="E309" s="307">
        <v>9.6065550000000002</v>
      </c>
      <c r="F309" s="307">
        <v>9.8624050000000008</v>
      </c>
      <c r="G309" s="307">
        <v>8.7327300000000001</v>
      </c>
      <c r="H309" s="307">
        <v>8.3117739999999998</v>
      </c>
      <c r="I309" s="307">
        <v>9.9304749999999995</v>
      </c>
      <c r="J309" s="307">
        <v>5.4193259999999999</v>
      </c>
      <c r="K309" s="307">
        <v>3.3676919999999999</v>
      </c>
      <c r="L309" s="307">
        <v>4.4977549999999997</v>
      </c>
      <c r="M309" s="307">
        <v>8.3515779999999999</v>
      </c>
      <c r="N309" s="307">
        <v>7.4639639999999998</v>
      </c>
      <c r="O309" s="307">
        <v>12.34342</v>
      </c>
      <c r="P309" s="307">
        <v>9.2065219999999997</v>
      </c>
      <c r="Q309" s="307">
        <v>10.280430000000001</v>
      </c>
      <c r="R309" s="307">
        <v>5.6861300000000004</v>
      </c>
      <c r="S309" s="307">
        <v>8.1578909999999993</v>
      </c>
      <c r="T309" s="307">
        <v>9.0298069999999999</v>
      </c>
      <c r="U309" s="307">
        <v>7.5559519999999996</v>
      </c>
      <c r="V309" s="307">
        <v>10.14118</v>
      </c>
      <c r="W309" s="307">
        <v>5.4155360000000003</v>
      </c>
      <c r="X309" s="307">
        <v>5.4027609999999999</v>
      </c>
      <c r="Y309" s="307">
        <v>12.187049999999999</v>
      </c>
      <c r="Z309" s="307">
        <v>7.2050770000000002</v>
      </c>
      <c r="AA309" s="307">
        <v>7.1304569999999998</v>
      </c>
      <c r="AB309" s="307">
        <v>8.2775859999999994</v>
      </c>
      <c r="AC309" s="307">
        <v>10.88203</v>
      </c>
      <c r="AD309" s="307">
        <v>11.902089999999999</v>
      </c>
      <c r="AE309" s="307">
        <v>8.343394</v>
      </c>
      <c r="AF309" s="307">
        <v>10.077170000000001</v>
      </c>
      <c r="AG309" s="307">
        <v>9.4835130000000003</v>
      </c>
      <c r="AH309" s="307">
        <v>6.2625450000000003</v>
      </c>
      <c r="AI309" s="307">
        <v>5.2493840000000001</v>
      </c>
      <c r="AJ309" s="307">
        <v>8.7984150000000003</v>
      </c>
      <c r="AK309" s="307">
        <v>6.1994800000000003</v>
      </c>
      <c r="AL309" s="307">
        <v>7.1545680000000003</v>
      </c>
      <c r="AM309" s="307">
        <v>7.8783380000000003</v>
      </c>
      <c r="AN309" s="307">
        <v>10.71855</v>
      </c>
      <c r="AO309" s="307">
        <v>8.7180750000000007</v>
      </c>
      <c r="AP309" s="307">
        <v>6.8381109999999996</v>
      </c>
      <c r="AQ309" s="307">
        <v>7.2373209999999997</v>
      </c>
      <c r="AR309" s="307">
        <v>8.7935180000000006</v>
      </c>
      <c r="AS309" s="307">
        <v>9.6271039999999992</v>
      </c>
      <c r="AT309" s="307">
        <v>7.0454299999999996</v>
      </c>
      <c r="AU309" s="307">
        <v>8.770645</v>
      </c>
      <c r="AV309" s="307">
        <v>8.4895569999999996</v>
      </c>
      <c r="AW309" s="307">
        <v>8.4818639999999998</v>
      </c>
      <c r="AX309" s="307">
        <v>11.33362</v>
      </c>
      <c r="AY309" s="307">
        <v>10.40619</v>
      </c>
      <c r="AZ309" s="307">
        <v>6.5596189999999996</v>
      </c>
      <c r="BA309" s="307">
        <v>10.90827</v>
      </c>
      <c r="BB309" s="307">
        <v>12.24433</v>
      </c>
      <c r="BC309" s="307">
        <v>6.6775450000000003</v>
      </c>
      <c r="BD309" s="307">
        <v>6.9171750000000003</v>
      </c>
      <c r="BE309" s="307">
        <v>7.0228200000000003</v>
      </c>
      <c r="BF309" s="307">
        <v>8.8221380000000007</v>
      </c>
      <c r="BG309" s="307">
        <v>8.0606519999999993</v>
      </c>
      <c r="BH309" s="307">
        <v>8.4654439999999997</v>
      </c>
      <c r="BI309" s="307">
        <v>9.1654820000000008</v>
      </c>
      <c r="BJ309" s="307">
        <v>8.5994449999999993</v>
      </c>
      <c r="BK309" s="307">
        <v>8.8835949999999997</v>
      </c>
      <c r="BL309">
        <f t="shared" si="16"/>
        <v>0</v>
      </c>
      <c r="BM309">
        <f t="shared" si="17"/>
        <v>8.421230196721309</v>
      </c>
      <c r="BN309">
        <f t="shared" si="18"/>
        <v>12.34342</v>
      </c>
      <c r="BO309">
        <f t="array" ref="BO309">MIN(IF($C309:$BK309&gt;0, $C309:$BK309))</f>
        <v>3.3676919999999999</v>
      </c>
      <c r="BP309">
        <f t="shared" si="19"/>
        <v>8.4818639999999998</v>
      </c>
    </row>
    <row r="310" spans="1:68" s="381" customFormat="1" x14ac:dyDescent="0.25">
      <c r="A310" s="379">
        <v>339991</v>
      </c>
      <c r="B310" s="380" t="s">
        <v>1</v>
      </c>
      <c r="C310" s="380">
        <v>7.9699879999999999</v>
      </c>
      <c r="D310" s="380">
        <v>0</v>
      </c>
      <c r="E310" s="380">
        <v>8.6260539999999999</v>
      </c>
      <c r="F310" s="380">
        <v>10.353870000000001</v>
      </c>
      <c r="G310" s="380">
        <v>9.6189269999999993</v>
      </c>
      <c r="H310" s="380">
        <v>8.5546260000000007</v>
      </c>
      <c r="I310" s="380">
        <v>9.8765319999999992</v>
      </c>
      <c r="J310" s="380">
        <v>6.2408239999999999</v>
      </c>
      <c r="K310" s="380">
        <v>0</v>
      </c>
      <c r="L310" s="380">
        <v>6.6983319999999997</v>
      </c>
      <c r="M310" s="380">
        <v>9.8532189999999993</v>
      </c>
      <c r="N310" s="380">
        <v>8.8343579999999999</v>
      </c>
      <c r="O310" s="380">
        <v>0</v>
      </c>
      <c r="P310" s="380">
        <v>9.5993440000000003</v>
      </c>
      <c r="Q310" s="380">
        <v>0</v>
      </c>
      <c r="R310" s="380">
        <v>6.2141330000000004</v>
      </c>
      <c r="S310" s="380">
        <v>8.3454999999999995</v>
      </c>
      <c r="T310" s="380">
        <v>9.9260570000000001</v>
      </c>
      <c r="U310" s="380">
        <v>9.8142189999999996</v>
      </c>
      <c r="V310" s="380">
        <v>7.8784369999999999</v>
      </c>
      <c r="W310" s="380">
        <v>5.7171440000000002</v>
      </c>
      <c r="X310" s="380">
        <v>5.6100510000000003</v>
      </c>
      <c r="Y310" s="380">
        <v>6.8255710000000001</v>
      </c>
      <c r="Z310" s="380">
        <v>6.171646</v>
      </c>
      <c r="AA310" s="380">
        <v>6.5171840000000003</v>
      </c>
      <c r="AB310" s="380">
        <v>8.7758929999999999</v>
      </c>
      <c r="AC310" s="380">
        <v>10.89245</v>
      </c>
      <c r="AD310" s="380">
        <v>11.54364</v>
      </c>
      <c r="AE310" s="380">
        <v>8.7929189999999995</v>
      </c>
      <c r="AF310" s="380">
        <v>0</v>
      </c>
      <c r="AG310" s="380">
        <v>11.0861</v>
      </c>
      <c r="AH310" s="380">
        <v>7.6444830000000001</v>
      </c>
      <c r="AI310" s="380">
        <v>5.5221629999999999</v>
      </c>
      <c r="AJ310" s="380">
        <v>8.5521270000000005</v>
      </c>
      <c r="AK310" s="380">
        <v>9.9246879999999997</v>
      </c>
      <c r="AL310" s="380">
        <v>7.2955779999999999</v>
      </c>
      <c r="AM310" s="380">
        <v>9.0695639999999997</v>
      </c>
      <c r="AN310" s="380">
        <v>10.772080000000001</v>
      </c>
      <c r="AO310" s="380">
        <v>11.07227</v>
      </c>
      <c r="AP310" s="380">
        <v>5.9654129999999999</v>
      </c>
      <c r="AQ310" s="380">
        <v>5.6562270000000003</v>
      </c>
      <c r="AR310" s="380">
        <v>8.194483</v>
      </c>
      <c r="AS310" s="380">
        <v>0</v>
      </c>
      <c r="AT310" s="380">
        <v>7.6576430000000002</v>
      </c>
      <c r="AU310" s="380">
        <v>7.3471380000000002</v>
      </c>
      <c r="AV310" s="380">
        <v>10.21077</v>
      </c>
      <c r="AW310" s="380">
        <v>10.292490000000001</v>
      </c>
      <c r="AX310" s="380">
        <v>9.1373859999999993</v>
      </c>
      <c r="AY310" s="380">
        <v>11.3986</v>
      </c>
      <c r="AZ310" s="380">
        <v>7.9877500000000001</v>
      </c>
      <c r="BA310" s="380">
        <v>10.02725</v>
      </c>
      <c r="BB310" s="380">
        <v>0</v>
      </c>
      <c r="BC310" s="380">
        <v>6.9672320000000001</v>
      </c>
      <c r="BD310" s="380">
        <v>6.8971150000000003</v>
      </c>
      <c r="BE310" s="380">
        <v>7.4672419999999997</v>
      </c>
      <c r="BF310" s="380">
        <v>8.7342469999999999</v>
      </c>
      <c r="BG310" s="380">
        <v>9.1303040000000006</v>
      </c>
      <c r="BH310" s="380">
        <v>9.1469620000000003</v>
      </c>
      <c r="BI310" s="380">
        <v>7.7207720000000002</v>
      </c>
      <c r="BJ310" s="380">
        <v>10.13692</v>
      </c>
      <c r="BK310" s="380">
        <v>9.2868110000000001</v>
      </c>
      <c r="BL310" s="381">
        <f t="shared" si="16"/>
        <v>7</v>
      </c>
      <c r="BM310">
        <f t="shared" si="17"/>
        <v>8.5102356666666665</v>
      </c>
      <c r="BN310">
        <f t="shared" si="18"/>
        <v>11.54364</v>
      </c>
      <c r="BO310">
        <f t="array" ref="BO310">MIN(IF($C310:$BK310&gt;0, $C310:$BK310))</f>
        <v>5.5221629999999999</v>
      </c>
      <c r="BP310">
        <f t="shared" si="19"/>
        <v>8.3454999999999995</v>
      </c>
    </row>
    <row r="311" spans="1:68" x14ac:dyDescent="0.25">
      <c r="A311" s="306">
        <v>339992</v>
      </c>
      <c r="B311" s="307" t="s">
        <v>279</v>
      </c>
      <c r="C311" s="307">
        <v>9.4390479999999997</v>
      </c>
      <c r="D311" s="307">
        <v>0</v>
      </c>
      <c r="E311" s="307">
        <v>0</v>
      </c>
      <c r="F311" s="307">
        <v>12.363799999999999</v>
      </c>
      <c r="G311" s="307">
        <v>16.61232</v>
      </c>
      <c r="H311" s="307">
        <v>9.5272830000000006</v>
      </c>
      <c r="I311" s="307">
        <v>15.222910000000001</v>
      </c>
      <c r="J311" s="307">
        <v>9.6790160000000007</v>
      </c>
      <c r="K311" s="307">
        <v>0</v>
      </c>
      <c r="L311" s="307">
        <v>0</v>
      </c>
      <c r="M311" s="307">
        <v>11.18197</v>
      </c>
      <c r="N311" s="307">
        <v>10.950670000000001</v>
      </c>
      <c r="O311" s="307">
        <v>16.437609999999999</v>
      </c>
      <c r="P311" s="307">
        <v>10.82066</v>
      </c>
      <c r="Q311" s="307">
        <v>16.02863</v>
      </c>
      <c r="R311" s="307">
        <v>7.782578</v>
      </c>
      <c r="S311" s="307">
        <v>8.4506680000000003</v>
      </c>
      <c r="T311" s="307">
        <v>11.66372</v>
      </c>
      <c r="U311" s="307">
        <v>13.984590000000001</v>
      </c>
      <c r="V311" s="307">
        <v>12.38923</v>
      </c>
      <c r="W311" s="307">
        <v>7.2126089999999996</v>
      </c>
      <c r="X311" s="307">
        <v>6.9407350000000001</v>
      </c>
      <c r="Y311" s="307">
        <v>16.22973</v>
      </c>
      <c r="Z311" s="307">
        <v>9.8959259999999993</v>
      </c>
      <c r="AA311" s="307">
        <v>16.291219999999999</v>
      </c>
      <c r="AB311" s="307">
        <v>12.7156</v>
      </c>
      <c r="AC311" s="307">
        <v>11.85566</v>
      </c>
      <c r="AD311" s="307">
        <v>14.732699999999999</v>
      </c>
      <c r="AE311" s="307">
        <v>10.92802</v>
      </c>
      <c r="AF311" s="307">
        <v>9.9650920000000003</v>
      </c>
      <c r="AG311" s="307">
        <v>12.13101</v>
      </c>
      <c r="AH311" s="307">
        <v>14.648820000000001</v>
      </c>
      <c r="AI311" s="307">
        <v>7.050942</v>
      </c>
      <c r="AJ311" s="307">
        <v>16.147259999999999</v>
      </c>
      <c r="AK311" s="307">
        <v>8.9767340000000004</v>
      </c>
      <c r="AL311" s="307">
        <v>8.7175449999999994</v>
      </c>
      <c r="AM311" s="307">
        <v>9.1102310000000006</v>
      </c>
      <c r="AN311" s="307">
        <v>16.539670000000001</v>
      </c>
      <c r="AO311" s="307">
        <v>9.7145860000000006</v>
      </c>
      <c r="AP311" s="307">
        <v>7.6169469999999997</v>
      </c>
      <c r="AQ311" s="307">
        <v>15.17388</v>
      </c>
      <c r="AR311" s="307">
        <v>10.607939999999999</v>
      </c>
      <c r="AS311" s="307">
        <v>10.632210000000001</v>
      </c>
      <c r="AT311" s="307">
        <v>7.6269099999999996</v>
      </c>
      <c r="AU311" s="307">
        <v>9.2423190000000002</v>
      </c>
      <c r="AV311" s="307">
        <v>12.3727</v>
      </c>
      <c r="AW311" s="307">
        <v>11.596450000000001</v>
      </c>
      <c r="AX311" s="307">
        <v>15.58512</v>
      </c>
      <c r="AY311" s="307">
        <v>12.173</v>
      </c>
      <c r="AZ311" s="307">
        <v>12.64995</v>
      </c>
      <c r="BA311" s="307">
        <v>8.0449289999999998</v>
      </c>
      <c r="BB311" s="307">
        <v>0</v>
      </c>
      <c r="BC311" s="307">
        <v>8.8121189999999991</v>
      </c>
      <c r="BD311" s="307">
        <v>8.6262380000000007</v>
      </c>
      <c r="BE311" s="307">
        <v>9.1122049999999994</v>
      </c>
      <c r="BF311" s="307">
        <v>13.154450000000001</v>
      </c>
      <c r="BG311" s="307">
        <v>9.2092989999999997</v>
      </c>
      <c r="BH311" s="307">
        <v>8.0330259999999996</v>
      </c>
      <c r="BI311" s="307">
        <v>10.332750000000001</v>
      </c>
      <c r="BJ311" s="307">
        <v>14.91046</v>
      </c>
      <c r="BK311" s="307">
        <v>9.8620110000000007</v>
      </c>
      <c r="BL311">
        <f t="shared" si="16"/>
        <v>5</v>
      </c>
      <c r="BM311">
        <f t="shared" si="17"/>
        <v>11.387744750000001</v>
      </c>
      <c r="BN311">
        <f t="shared" si="18"/>
        <v>16.61232</v>
      </c>
      <c r="BO311">
        <f t="array" ref="BO311">MIN(IF($C311:$BK311&gt;0, $C311:$BK311))</f>
        <v>6.9407350000000001</v>
      </c>
      <c r="BP311">
        <f t="shared" si="19"/>
        <v>10.607939999999999</v>
      </c>
    </row>
    <row r="312" spans="1:68" x14ac:dyDescent="0.25">
      <c r="A312" s="306">
        <v>339994</v>
      </c>
      <c r="B312" s="307" t="s">
        <v>281</v>
      </c>
      <c r="C312" s="307">
        <v>7.4472509999999996</v>
      </c>
      <c r="D312" s="307">
        <v>0</v>
      </c>
      <c r="E312" s="307">
        <v>12.141299999999999</v>
      </c>
      <c r="F312" s="307">
        <v>8.1506699999999999</v>
      </c>
      <c r="G312" s="307">
        <v>0</v>
      </c>
      <c r="H312" s="307">
        <v>7.6573580000000003</v>
      </c>
      <c r="I312" s="307">
        <v>8.2806300000000004</v>
      </c>
      <c r="J312" s="307">
        <v>4.5669829999999996</v>
      </c>
      <c r="K312" s="307">
        <v>0</v>
      </c>
      <c r="L312" s="307">
        <v>4.9483059999999996</v>
      </c>
      <c r="M312" s="307">
        <v>8.7403060000000004</v>
      </c>
      <c r="N312" s="307">
        <v>8.0440640000000005</v>
      </c>
      <c r="O312" s="307">
        <v>0</v>
      </c>
      <c r="P312" s="307">
        <v>6.435594</v>
      </c>
      <c r="Q312" s="307">
        <v>0</v>
      </c>
      <c r="R312" s="307">
        <v>5.7466080000000002</v>
      </c>
      <c r="S312" s="307">
        <v>10.062200000000001</v>
      </c>
      <c r="T312" s="307">
        <v>6.9725380000000001</v>
      </c>
      <c r="U312" s="307">
        <v>6.9364270000000001</v>
      </c>
      <c r="V312" s="307">
        <v>12.32282</v>
      </c>
      <c r="W312" s="307">
        <v>6.6086689999999999</v>
      </c>
      <c r="X312" s="307">
        <v>5.8512919999999999</v>
      </c>
      <c r="Y312" s="307">
        <v>0</v>
      </c>
      <c r="Z312" s="307">
        <v>6.0859899999999998</v>
      </c>
      <c r="AA312" s="307">
        <v>11.52502</v>
      </c>
      <c r="AB312" s="307">
        <v>8.7868879999999994</v>
      </c>
      <c r="AC312" s="307">
        <v>11.727349999999999</v>
      </c>
      <c r="AD312" s="307">
        <v>0</v>
      </c>
      <c r="AE312" s="307">
        <v>5.1781420000000002</v>
      </c>
      <c r="AF312" s="307">
        <v>0</v>
      </c>
      <c r="AG312" s="307">
        <v>11.935409999999999</v>
      </c>
      <c r="AH312" s="307">
        <v>5.6184919999999998</v>
      </c>
      <c r="AI312" s="307">
        <v>4.4037810000000004</v>
      </c>
      <c r="AJ312" s="307">
        <v>0</v>
      </c>
      <c r="AK312" s="307">
        <v>4.8184930000000001</v>
      </c>
      <c r="AL312" s="307">
        <v>8.8672780000000007</v>
      </c>
      <c r="AM312" s="307">
        <v>7.0761419999999999</v>
      </c>
      <c r="AN312" s="307">
        <v>10.37764</v>
      </c>
      <c r="AO312" s="307">
        <v>10.54186</v>
      </c>
      <c r="AP312" s="307">
        <v>6.1235239999999997</v>
      </c>
      <c r="AQ312" s="307">
        <v>11.33507</v>
      </c>
      <c r="AR312" s="307">
        <v>9.1168150000000008</v>
      </c>
      <c r="AS312" s="307">
        <v>8.3934700000000007</v>
      </c>
      <c r="AT312" s="307">
        <v>5.3579949999999998</v>
      </c>
      <c r="AU312" s="307">
        <v>9.7630630000000007</v>
      </c>
      <c r="AV312" s="307">
        <v>0</v>
      </c>
      <c r="AW312" s="307">
        <v>7.4050719999999997</v>
      </c>
      <c r="AX312" s="307">
        <v>10.832129999999999</v>
      </c>
      <c r="AY312" s="307">
        <v>12.34347</v>
      </c>
      <c r="AZ312" s="307">
        <v>8.4732149999999997</v>
      </c>
      <c r="BA312" s="307">
        <v>0</v>
      </c>
      <c r="BB312" s="307">
        <v>0</v>
      </c>
      <c r="BC312" s="307">
        <v>6.8567390000000001</v>
      </c>
      <c r="BD312" s="307">
        <v>6.8715130000000002</v>
      </c>
      <c r="BE312" s="307">
        <v>7.1662309999999998</v>
      </c>
      <c r="BF312" s="307">
        <v>7.5655739999999998</v>
      </c>
      <c r="BG312" s="307">
        <v>6.6921150000000003</v>
      </c>
      <c r="BH312" s="307">
        <v>7.465306</v>
      </c>
      <c r="BI312" s="307">
        <v>9.7768099999999993</v>
      </c>
      <c r="BJ312" s="307">
        <v>6.8712859999999996</v>
      </c>
      <c r="BK312" s="307">
        <v>8.6746269999999992</v>
      </c>
      <c r="BL312">
        <f t="shared" si="16"/>
        <v>12</v>
      </c>
      <c r="BM312">
        <f t="shared" si="17"/>
        <v>8.0599903469387755</v>
      </c>
      <c r="BN312">
        <f t="shared" si="18"/>
        <v>12.34347</v>
      </c>
      <c r="BO312">
        <f t="array" ref="BO312">MIN(IF($C312:$BK312&gt;0, $C312:$BK312))</f>
        <v>4.4037810000000004</v>
      </c>
      <c r="BP312">
        <f t="shared" si="19"/>
        <v>6.9725380000000001</v>
      </c>
    </row>
    <row r="313" spans="1:68" x14ac:dyDescent="0.25">
      <c r="A313" s="306" t="s">
        <v>751</v>
      </c>
      <c r="B313" s="307" t="s">
        <v>280</v>
      </c>
      <c r="C313" s="307">
        <v>8.1765109999999996</v>
      </c>
      <c r="D313" s="307">
        <v>6.691859</v>
      </c>
      <c r="E313" s="307">
        <v>9.8984719999999999</v>
      </c>
      <c r="F313" s="307">
        <v>11.908010000000001</v>
      </c>
      <c r="G313" s="307">
        <v>12.23822</v>
      </c>
      <c r="H313" s="307">
        <v>7.1714770000000003</v>
      </c>
      <c r="I313" s="307">
        <v>9.8637180000000004</v>
      </c>
      <c r="J313" s="307">
        <v>5.6246029999999996</v>
      </c>
      <c r="K313" s="307">
        <v>0</v>
      </c>
      <c r="L313" s="307">
        <v>0</v>
      </c>
      <c r="M313" s="307">
        <v>8.0891280000000005</v>
      </c>
      <c r="N313" s="307">
        <v>6.9802650000000002</v>
      </c>
      <c r="O313" s="307">
        <v>13.87898</v>
      </c>
      <c r="P313" s="307">
        <v>13.29739</v>
      </c>
      <c r="Q313" s="307">
        <v>13.532249999999999</v>
      </c>
      <c r="R313" s="307">
        <v>5.9013410000000004</v>
      </c>
      <c r="S313" s="307">
        <v>6.7551920000000001</v>
      </c>
      <c r="T313" s="307">
        <v>9.9052679999999995</v>
      </c>
      <c r="U313" s="307">
        <v>9.9618179999999992</v>
      </c>
      <c r="V313" s="307">
        <v>10.097440000000001</v>
      </c>
      <c r="W313" s="307">
        <v>11.59304</v>
      </c>
      <c r="X313" s="307">
        <v>5.3385930000000004</v>
      </c>
      <c r="Y313" s="307">
        <v>13.70293</v>
      </c>
      <c r="Z313" s="307">
        <v>7.1260349999999999</v>
      </c>
      <c r="AA313" s="307">
        <v>8.6910139999999991</v>
      </c>
      <c r="AB313" s="307">
        <v>7.2717270000000003</v>
      </c>
      <c r="AC313" s="307">
        <v>10.741239999999999</v>
      </c>
      <c r="AD313" s="307">
        <v>14.04682</v>
      </c>
      <c r="AE313" s="307">
        <v>8.7506749999999993</v>
      </c>
      <c r="AF313" s="307">
        <v>12.284409999999999</v>
      </c>
      <c r="AG313" s="307">
        <v>12.992190000000001</v>
      </c>
      <c r="AH313" s="307">
        <v>6.7206539999999997</v>
      </c>
      <c r="AI313" s="307">
        <v>7.7784639999999996</v>
      </c>
      <c r="AJ313" s="307">
        <v>13.63353</v>
      </c>
      <c r="AK313" s="307">
        <v>5.9344000000000001</v>
      </c>
      <c r="AL313" s="307">
        <v>7.4303419999999996</v>
      </c>
      <c r="AM313" s="307">
        <v>8.7020219999999995</v>
      </c>
      <c r="AN313" s="307">
        <v>11.22719</v>
      </c>
      <c r="AO313" s="307">
        <v>11.09606</v>
      </c>
      <c r="AP313" s="307">
        <v>7.0802550000000002</v>
      </c>
      <c r="AQ313" s="307">
        <v>8.4658630000000006</v>
      </c>
      <c r="AR313" s="307">
        <v>9.5751659999999994</v>
      </c>
      <c r="AS313" s="307">
        <v>10.698539999999999</v>
      </c>
      <c r="AT313" s="307">
        <v>7.8680339999999998</v>
      </c>
      <c r="AU313" s="307">
        <v>9.5689969999999995</v>
      </c>
      <c r="AV313" s="307">
        <v>11.59953</v>
      </c>
      <c r="AW313" s="307">
        <v>8.6472789999999993</v>
      </c>
      <c r="AX313" s="307">
        <v>12.253069999999999</v>
      </c>
      <c r="AY313" s="307">
        <v>10.72672</v>
      </c>
      <c r="AZ313" s="307">
        <v>8.5374879999999997</v>
      </c>
      <c r="BA313" s="307">
        <v>12.26417</v>
      </c>
      <c r="BB313" s="307">
        <v>7.4340570000000001</v>
      </c>
      <c r="BC313" s="307">
        <v>8.7913589999999999</v>
      </c>
      <c r="BD313" s="307">
        <v>7.7517699999999996</v>
      </c>
      <c r="BE313" s="307">
        <v>7.2469130000000002</v>
      </c>
      <c r="BF313" s="307">
        <v>9.4101090000000003</v>
      </c>
      <c r="BG313" s="307">
        <v>8.0750919999999997</v>
      </c>
      <c r="BH313" s="307">
        <v>9.7517829999999996</v>
      </c>
      <c r="BI313" s="307">
        <v>10.24159</v>
      </c>
      <c r="BJ313" s="307">
        <v>7.3397050000000004</v>
      </c>
      <c r="BK313" s="307">
        <v>7.7099719999999996</v>
      </c>
      <c r="BL313">
        <f t="shared" si="16"/>
        <v>2</v>
      </c>
      <c r="BM313">
        <f t="shared" si="17"/>
        <v>9.4249277966101719</v>
      </c>
      <c r="BN313">
        <f t="shared" si="18"/>
        <v>14.04682</v>
      </c>
      <c r="BO313">
        <f t="array" ref="BO313">MIN(IF($C313:$BK313&gt;0, $C313:$BK313))</f>
        <v>5.3385930000000004</v>
      </c>
      <c r="BP313">
        <f t="shared" si="19"/>
        <v>8.7506749999999993</v>
      </c>
    </row>
    <row r="314" spans="1:68" x14ac:dyDescent="0.25">
      <c r="A314" s="306">
        <v>420000</v>
      </c>
      <c r="B314" s="307" t="s">
        <v>425</v>
      </c>
      <c r="C314" s="307">
        <v>5.0784799999999999</v>
      </c>
      <c r="D314" s="307">
        <v>5.9074150000000003</v>
      </c>
      <c r="E314" s="307">
        <v>5.7123590000000002</v>
      </c>
      <c r="F314" s="307">
        <v>5.8238459999999996</v>
      </c>
      <c r="G314" s="307">
        <v>5.1485479999999999</v>
      </c>
      <c r="H314" s="307">
        <v>4.8115430000000003</v>
      </c>
      <c r="I314" s="307">
        <v>4.7792690000000002</v>
      </c>
      <c r="J314" s="307">
        <v>3.9078529999999998</v>
      </c>
      <c r="K314" s="307">
        <v>0.91687969999999996</v>
      </c>
      <c r="L314" s="307">
        <v>3.469846</v>
      </c>
      <c r="M314" s="307">
        <v>5.391743</v>
      </c>
      <c r="N314" s="307">
        <v>4.7902969999999998</v>
      </c>
      <c r="O314" s="307">
        <v>6.37087</v>
      </c>
      <c r="P314" s="307">
        <v>5.7860529999999999</v>
      </c>
      <c r="Q314" s="307">
        <v>6.2387589999999999</v>
      </c>
      <c r="R314" s="307">
        <v>4.4767260000000002</v>
      </c>
      <c r="S314" s="307">
        <v>5.6592650000000004</v>
      </c>
      <c r="T314" s="307">
        <v>4.7868849999999998</v>
      </c>
      <c r="U314" s="307">
        <v>5.259233</v>
      </c>
      <c r="V314" s="307">
        <v>5.5164739999999997</v>
      </c>
      <c r="W314" s="307">
        <v>3.97594</v>
      </c>
      <c r="X314" s="307">
        <v>4.3064090000000004</v>
      </c>
      <c r="Y314" s="307">
        <v>6.2595710000000002</v>
      </c>
      <c r="Z314" s="307">
        <v>5.0867620000000002</v>
      </c>
      <c r="AA314" s="307">
        <v>4.570398</v>
      </c>
      <c r="AB314" s="307">
        <v>4.8590869999999997</v>
      </c>
      <c r="AC314" s="307">
        <v>5.8781590000000001</v>
      </c>
      <c r="AD314" s="307">
        <v>6.3147310000000001</v>
      </c>
      <c r="AE314" s="307">
        <v>5.4730819999999998</v>
      </c>
      <c r="AF314" s="307">
        <v>5.5063110000000002</v>
      </c>
      <c r="AG314" s="307">
        <v>5.4591380000000003</v>
      </c>
      <c r="AH314" s="307">
        <v>4.081645</v>
      </c>
      <c r="AI314" s="307">
        <v>3.823385</v>
      </c>
      <c r="AJ314" s="307">
        <v>6.2332289999999997</v>
      </c>
      <c r="AK314" s="307">
        <v>5.2248279999999996</v>
      </c>
      <c r="AL314" s="307">
        <v>4.002834</v>
      </c>
      <c r="AM314" s="307">
        <v>5.3034699999999999</v>
      </c>
      <c r="AN314" s="307">
        <v>6.0281849999999997</v>
      </c>
      <c r="AO314" s="307">
        <v>4.7151310000000004</v>
      </c>
      <c r="AP314" s="307">
        <v>4.7472000000000003</v>
      </c>
      <c r="AQ314" s="307">
        <v>4.323175</v>
      </c>
      <c r="AR314" s="307">
        <v>5.6463010000000002</v>
      </c>
      <c r="AS314" s="307">
        <v>6.1115339999999998</v>
      </c>
      <c r="AT314" s="307">
        <v>5.3241699999999996</v>
      </c>
      <c r="AU314" s="307">
        <v>4.61538</v>
      </c>
      <c r="AV314" s="307">
        <v>6.0603449999999999</v>
      </c>
      <c r="AW314" s="307">
        <v>4.7322030000000002</v>
      </c>
      <c r="AX314" s="307">
        <v>5.6295190000000002</v>
      </c>
      <c r="AY314" s="307">
        <v>5.045452</v>
      </c>
      <c r="AZ314" s="307">
        <v>5.5970110000000002</v>
      </c>
      <c r="BA314" s="307">
        <v>5.6762240000000004</v>
      </c>
      <c r="BB314" s="307">
        <v>5.167719</v>
      </c>
      <c r="BC314" s="307">
        <v>4.4858500000000001</v>
      </c>
      <c r="BD314" s="307">
        <v>4.5024610000000003</v>
      </c>
      <c r="BE314" s="307">
        <v>5.1453490000000004</v>
      </c>
      <c r="BF314" s="307">
        <v>5.2410740000000002</v>
      </c>
      <c r="BG314" s="307">
        <v>5.2193139999999998</v>
      </c>
      <c r="BH314" s="307">
        <v>5.595675</v>
      </c>
      <c r="BI314" s="307">
        <v>4.8909840000000004</v>
      </c>
      <c r="BJ314" s="307">
        <v>5.3685260000000001</v>
      </c>
      <c r="BK314" s="307">
        <v>4.9085419999999997</v>
      </c>
      <c r="BL314">
        <f t="shared" si="16"/>
        <v>0</v>
      </c>
      <c r="BM314">
        <f t="shared" si="17"/>
        <v>5.0978466672131155</v>
      </c>
      <c r="BN314">
        <f t="shared" si="18"/>
        <v>6.37087</v>
      </c>
      <c r="BO314">
        <f t="array" ref="BO314">MIN(IF($C314:$BK314&gt;0, $C314:$BK314))</f>
        <v>0.91687969999999996</v>
      </c>
      <c r="BP314">
        <f t="shared" si="19"/>
        <v>5.2193139999999998</v>
      </c>
    </row>
    <row r="315" spans="1:68" x14ac:dyDescent="0.25">
      <c r="A315" s="306">
        <v>481000</v>
      </c>
      <c r="B315" s="307" t="s">
        <v>752</v>
      </c>
      <c r="C315" s="307">
        <v>6.0895440000000001</v>
      </c>
      <c r="D315" s="307">
        <v>6.5131940000000004</v>
      </c>
      <c r="E315" s="307">
        <v>7.9095449999999996</v>
      </c>
      <c r="F315" s="307">
        <v>6.8942459999999999</v>
      </c>
      <c r="G315" s="307">
        <v>5.3234110000000001</v>
      </c>
      <c r="H315" s="307">
        <v>5.8001690000000004</v>
      </c>
      <c r="I315" s="307">
        <v>6.849977</v>
      </c>
      <c r="J315" s="307">
        <v>4.5193849999999998</v>
      </c>
      <c r="K315" s="307">
        <v>0.75656239999999997</v>
      </c>
      <c r="L315" s="307">
        <v>3.2784840000000002</v>
      </c>
      <c r="M315" s="307">
        <v>6.312214</v>
      </c>
      <c r="N315" s="307">
        <v>4.802073</v>
      </c>
      <c r="O315" s="307">
        <v>7.2434329999999996</v>
      </c>
      <c r="P315" s="307">
        <v>9.9703049999999998</v>
      </c>
      <c r="Q315" s="307">
        <v>9.4179929999999992</v>
      </c>
      <c r="R315" s="307">
        <v>4.2557879999999999</v>
      </c>
      <c r="S315" s="307">
        <v>7.6572979999999999</v>
      </c>
      <c r="T315" s="307">
        <v>6.9794429999999998</v>
      </c>
      <c r="U315" s="307">
        <v>4.1589270000000003</v>
      </c>
      <c r="V315" s="307">
        <v>4.9433009999999999</v>
      </c>
      <c r="W315" s="307">
        <v>5.9254829999999998</v>
      </c>
      <c r="X315" s="307">
        <v>4.5629189999999999</v>
      </c>
      <c r="Y315" s="307">
        <v>9.491142</v>
      </c>
      <c r="Z315" s="307">
        <v>4.4990940000000004</v>
      </c>
      <c r="AA315" s="307">
        <v>3.9897499999999999</v>
      </c>
      <c r="AB315" s="307">
        <v>4.6528729999999996</v>
      </c>
      <c r="AC315" s="307">
        <v>10.678419999999999</v>
      </c>
      <c r="AD315" s="307">
        <v>11.346730000000001</v>
      </c>
      <c r="AE315" s="307">
        <v>6.1920140000000004</v>
      </c>
      <c r="AF315" s="307">
        <v>7.1052210000000002</v>
      </c>
      <c r="AG315" s="307">
        <v>8.0079740000000008</v>
      </c>
      <c r="AH315" s="307">
        <v>6.618125</v>
      </c>
      <c r="AI315" s="307">
        <v>3.7888329999999999</v>
      </c>
      <c r="AJ315" s="307">
        <v>8.1937390000000008</v>
      </c>
      <c r="AK315" s="307">
        <v>6.670979</v>
      </c>
      <c r="AL315" s="307">
        <v>4.5009230000000002</v>
      </c>
      <c r="AM315" s="307">
        <v>4.3741680000000001</v>
      </c>
      <c r="AN315" s="307">
        <v>5.9766209999999997</v>
      </c>
      <c r="AO315" s="307">
        <v>4.8751530000000001</v>
      </c>
      <c r="AP315" s="307">
        <v>4.8624489999999998</v>
      </c>
      <c r="AQ315" s="307">
        <v>7.2342219999999999</v>
      </c>
      <c r="AR315" s="307">
        <v>8.6052400000000002</v>
      </c>
      <c r="AS315" s="307">
        <v>11.04748</v>
      </c>
      <c r="AT315" s="307">
        <v>6.5750780000000004</v>
      </c>
      <c r="AU315" s="307">
        <v>5.0410320000000004</v>
      </c>
      <c r="AV315" s="307">
        <v>5.3952879999999999</v>
      </c>
      <c r="AW315" s="307">
        <v>5.1320430000000004</v>
      </c>
      <c r="AX315" s="307">
        <v>9.4550350000000005</v>
      </c>
      <c r="AY315" s="307">
        <v>5.9349460000000001</v>
      </c>
      <c r="AZ315" s="307">
        <v>6.1980130000000004</v>
      </c>
      <c r="BA315" s="307">
        <v>9.7941529999999997</v>
      </c>
      <c r="BB315" s="307">
        <v>8.3265630000000002</v>
      </c>
      <c r="BC315" s="307">
        <v>6.8119230000000002</v>
      </c>
      <c r="BD315" s="307">
        <v>4.938148</v>
      </c>
      <c r="BE315" s="307">
        <v>4.9603640000000002</v>
      </c>
      <c r="BF315" s="307">
        <v>4.5413350000000001</v>
      </c>
      <c r="BG315" s="307">
        <v>5.8657950000000003</v>
      </c>
      <c r="BH315" s="307">
        <v>6.0727070000000003</v>
      </c>
      <c r="BI315" s="307">
        <v>5.2300079999999998</v>
      </c>
      <c r="BJ315" s="307">
        <v>6.3117999999999999</v>
      </c>
      <c r="BK315" s="307">
        <v>6.2554980000000002</v>
      </c>
      <c r="BL315">
        <f t="shared" si="16"/>
        <v>0</v>
      </c>
      <c r="BM315">
        <f t="shared" si="17"/>
        <v>6.3231897278688525</v>
      </c>
      <c r="BN315">
        <f t="shared" si="18"/>
        <v>11.346730000000001</v>
      </c>
      <c r="BO315">
        <f t="array" ref="BO315">MIN(IF($C315:$BK315&gt;0, $C315:$BK315))</f>
        <v>0.75656239999999997</v>
      </c>
      <c r="BP315">
        <f t="shared" si="19"/>
        <v>6.0895440000000001</v>
      </c>
    </row>
    <row r="316" spans="1:68" x14ac:dyDescent="0.25">
      <c r="A316" s="306">
        <v>482000</v>
      </c>
      <c r="B316" s="307" t="s">
        <v>753</v>
      </c>
      <c r="C316" s="307">
        <v>2.6894209999999998</v>
      </c>
      <c r="D316" s="307">
        <v>0</v>
      </c>
      <c r="E316" s="307">
        <v>2.7710710000000001</v>
      </c>
      <c r="F316" s="307">
        <v>2.8454440000000001</v>
      </c>
      <c r="G316" s="307">
        <v>2.3074979999999998</v>
      </c>
      <c r="H316" s="307">
        <v>2.6241059999999998</v>
      </c>
      <c r="I316" s="307">
        <v>2.469147</v>
      </c>
      <c r="J316" s="307">
        <v>2.4469940000000001</v>
      </c>
      <c r="K316" s="307">
        <v>0.47374759999999999</v>
      </c>
      <c r="L316" s="307">
        <v>2.1843620000000001</v>
      </c>
      <c r="M316" s="307">
        <v>2.3521420000000002</v>
      </c>
      <c r="N316" s="307">
        <v>2.4501750000000002</v>
      </c>
      <c r="O316" s="307">
        <v>0</v>
      </c>
      <c r="P316" s="307">
        <v>2.1704159999999999</v>
      </c>
      <c r="Q316" s="307">
        <v>2.7725580000000001</v>
      </c>
      <c r="R316" s="307">
        <v>2.3502679999999998</v>
      </c>
      <c r="S316" s="307">
        <v>2.5974010000000001</v>
      </c>
      <c r="T316" s="307">
        <v>2.145813</v>
      </c>
      <c r="U316" s="307">
        <v>2.5024099999999998</v>
      </c>
      <c r="V316" s="307">
        <v>2.443851</v>
      </c>
      <c r="W316" s="307">
        <v>2.2025890000000001</v>
      </c>
      <c r="X316" s="307">
        <v>2.2805110000000002</v>
      </c>
      <c r="Y316" s="307">
        <v>2.9238499999999998</v>
      </c>
      <c r="Z316" s="307">
        <v>2.548152</v>
      </c>
      <c r="AA316" s="307">
        <v>2.4697230000000001</v>
      </c>
      <c r="AB316" s="307">
        <v>2.1004800000000001</v>
      </c>
      <c r="AC316" s="307">
        <v>2.3053780000000001</v>
      </c>
      <c r="AD316" s="307">
        <v>2.8884219999999998</v>
      </c>
      <c r="AE316" s="307">
        <v>2.655049</v>
      </c>
      <c r="AF316" s="307">
        <v>2.5267110000000002</v>
      </c>
      <c r="AG316" s="307">
        <v>2.1522670000000002</v>
      </c>
      <c r="AH316" s="307">
        <v>2.173603</v>
      </c>
      <c r="AI316" s="307">
        <v>2.10344</v>
      </c>
      <c r="AJ316" s="307">
        <v>2.252567</v>
      </c>
      <c r="AK316" s="307">
        <v>2.3989319999999998</v>
      </c>
      <c r="AL316" s="307">
        <v>2.4706869999999999</v>
      </c>
      <c r="AM316" s="307">
        <v>2.496896</v>
      </c>
      <c r="AN316" s="307">
        <v>2.4675410000000002</v>
      </c>
      <c r="AO316" s="307">
        <v>2.5730870000000001</v>
      </c>
      <c r="AP316" s="307">
        <v>2.6193590000000002</v>
      </c>
      <c r="AQ316" s="307">
        <v>1.9539010000000001</v>
      </c>
      <c r="AR316" s="307">
        <v>2.602716</v>
      </c>
      <c r="AS316" s="307">
        <v>2.6226509999999998</v>
      </c>
      <c r="AT316" s="307">
        <v>2.3643369999999999</v>
      </c>
      <c r="AU316" s="307">
        <v>2.3329110000000002</v>
      </c>
      <c r="AV316" s="307">
        <v>2.4872969999999999</v>
      </c>
      <c r="AW316" s="307">
        <v>2.4626109999999999</v>
      </c>
      <c r="AX316" s="307">
        <v>2.7554750000000001</v>
      </c>
      <c r="AY316" s="307">
        <v>2.5864389999999999</v>
      </c>
      <c r="AZ316" s="307">
        <v>2.2229939999999999</v>
      </c>
      <c r="BA316" s="307">
        <v>2.1730239999999998</v>
      </c>
      <c r="BB316" s="307">
        <v>2.2358500000000001</v>
      </c>
      <c r="BC316" s="307">
        <v>2.6517559999999998</v>
      </c>
      <c r="BD316" s="307">
        <v>2.7787389999999998</v>
      </c>
      <c r="BE316" s="307">
        <v>2.5897190000000001</v>
      </c>
      <c r="BF316" s="307">
        <v>2.4268149999999999</v>
      </c>
      <c r="BG316" s="307">
        <v>2.563545</v>
      </c>
      <c r="BH316" s="307">
        <v>2.6668919999999998</v>
      </c>
      <c r="BI316" s="307">
        <v>2.4617439999999999</v>
      </c>
      <c r="BJ316" s="307">
        <v>2.543901</v>
      </c>
      <c r="BK316" s="307">
        <v>2.6893159999999998</v>
      </c>
      <c r="BL316">
        <f t="shared" si="16"/>
        <v>2</v>
      </c>
      <c r="BM316">
        <f t="shared" si="17"/>
        <v>2.4301474847457634</v>
      </c>
      <c r="BN316">
        <f t="shared" si="18"/>
        <v>2.9238499999999998</v>
      </c>
      <c r="BO316">
        <f t="array" ref="BO316">MIN(IF($C316:$BK316&gt;0, $C316:$BK316))</f>
        <v>0.47374759999999999</v>
      </c>
      <c r="BP316">
        <f t="shared" si="19"/>
        <v>2.4675410000000002</v>
      </c>
    </row>
    <row r="317" spans="1:68" x14ac:dyDescent="0.25">
      <c r="A317" s="306">
        <v>483000</v>
      </c>
      <c r="B317" s="307" t="s">
        <v>754</v>
      </c>
      <c r="C317" s="307">
        <v>1.9269590000000001</v>
      </c>
      <c r="D317" s="307">
        <v>1.464812</v>
      </c>
      <c r="E317" s="307">
        <v>1.8092550000000001</v>
      </c>
      <c r="F317" s="307">
        <v>2.0948259999999999</v>
      </c>
      <c r="G317" s="307">
        <v>4.245679</v>
      </c>
      <c r="H317" s="307">
        <v>1.515646</v>
      </c>
      <c r="I317" s="307">
        <v>0</v>
      </c>
      <c r="J317" s="307">
        <v>1.2206459999999999</v>
      </c>
      <c r="K317" s="307">
        <v>0.49246600000000001</v>
      </c>
      <c r="L317" s="307">
        <v>3.25196</v>
      </c>
      <c r="M317" s="307">
        <v>1.988059</v>
      </c>
      <c r="N317" s="307">
        <v>2.320319</v>
      </c>
      <c r="O317" s="307">
        <v>2.4527429999999999</v>
      </c>
      <c r="P317" s="307">
        <v>2.2671220000000001</v>
      </c>
      <c r="Q317" s="307">
        <v>0</v>
      </c>
      <c r="R317" s="307">
        <v>1.9002939999999999</v>
      </c>
      <c r="S317" s="307">
        <v>1.088417</v>
      </c>
      <c r="T317" s="307">
        <v>0</v>
      </c>
      <c r="U317" s="307">
        <v>1.6267940000000001</v>
      </c>
      <c r="V317" s="307">
        <v>1.3821779999999999</v>
      </c>
      <c r="W317" s="307">
        <v>2.3196219999999999</v>
      </c>
      <c r="X317" s="307">
        <v>1.567056</v>
      </c>
      <c r="Y317" s="307">
        <v>4.5918549999999998</v>
      </c>
      <c r="Z317" s="307">
        <v>3.8750810000000002</v>
      </c>
      <c r="AA317" s="307">
        <v>0.99492610000000004</v>
      </c>
      <c r="AB317" s="307">
        <v>1.299741</v>
      </c>
      <c r="AC317" s="307">
        <v>1.4483029999999999</v>
      </c>
      <c r="AD317" s="307">
        <v>0</v>
      </c>
      <c r="AE317" s="307">
        <v>1.2150810000000001</v>
      </c>
      <c r="AF317" s="307">
        <v>0</v>
      </c>
      <c r="AG317" s="307">
        <v>0</v>
      </c>
      <c r="AH317" s="307">
        <v>0</v>
      </c>
      <c r="AI317" s="307">
        <v>1.201462</v>
      </c>
      <c r="AJ317" s="307">
        <v>4.0207920000000001</v>
      </c>
      <c r="AK317" s="307">
        <v>4.5916680000000003</v>
      </c>
      <c r="AL317" s="307">
        <v>1.1166499999999999</v>
      </c>
      <c r="AM317" s="307">
        <v>1.982888</v>
      </c>
      <c r="AN317" s="307">
        <v>0</v>
      </c>
      <c r="AO317" s="307">
        <v>1.270086</v>
      </c>
      <c r="AP317" s="307">
        <v>1.7724709999999999</v>
      </c>
      <c r="AQ317" s="307">
        <v>4.0340509999999998</v>
      </c>
      <c r="AR317" s="307">
        <v>3.68804</v>
      </c>
      <c r="AS317" s="307">
        <v>0</v>
      </c>
      <c r="AT317" s="307">
        <v>1.89415</v>
      </c>
      <c r="AU317" s="307">
        <v>1.6851609999999999</v>
      </c>
      <c r="AV317" s="307">
        <v>3.21848</v>
      </c>
      <c r="AW317" s="307">
        <v>1.2088179999999999</v>
      </c>
      <c r="AX317" s="307">
        <v>3.205908</v>
      </c>
      <c r="AY317" s="307">
        <v>1.975282</v>
      </c>
      <c r="AZ317" s="307">
        <v>3.5595599999999998</v>
      </c>
      <c r="BA317" s="307">
        <v>1.588271</v>
      </c>
      <c r="BB317" s="307">
        <v>3.9834230000000002</v>
      </c>
      <c r="BC317" s="307">
        <v>2.0791629999999999</v>
      </c>
      <c r="BD317" s="307">
        <v>1.429643</v>
      </c>
      <c r="BE317" s="307">
        <v>1.9373210000000001</v>
      </c>
      <c r="BF317" s="307">
        <v>1.331958</v>
      </c>
      <c r="BG317" s="307">
        <v>1.8814580000000001</v>
      </c>
      <c r="BH317" s="307">
        <v>1.8401670000000001</v>
      </c>
      <c r="BI317" s="307">
        <v>1.557199</v>
      </c>
      <c r="BJ317" s="307">
        <v>4.1189960000000001</v>
      </c>
      <c r="BK317" s="307">
        <v>1.9179740000000001</v>
      </c>
      <c r="BL317">
        <f t="shared" si="16"/>
        <v>9</v>
      </c>
      <c r="BM317">
        <f t="shared" si="17"/>
        <v>2.2009784634615377</v>
      </c>
      <c r="BN317">
        <f t="shared" si="18"/>
        <v>4.5918549999999998</v>
      </c>
      <c r="BO317">
        <f t="array" ref="BO317">MIN(IF($C317:$BK317&gt;0, $C317:$BK317))</f>
        <v>0.49246600000000001</v>
      </c>
      <c r="BP317">
        <f t="shared" si="19"/>
        <v>1.7724709999999999</v>
      </c>
    </row>
    <row r="318" spans="1:68" s="375" customFormat="1" x14ac:dyDescent="0.25">
      <c r="A318" s="382">
        <v>484000</v>
      </c>
      <c r="B318" s="383" t="s">
        <v>755</v>
      </c>
      <c r="C318" s="383">
        <v>7.5344540000000002</v>
      </c>
      <c r="D318" s="383">
        <v>6.92631</v>
      </c>
      <c r="E318" s="383">
        <v>7.4209870000000002</v>
      </c>
      <c r="F318" s="383">
        <v>6.6807030000000003</v>
      </c>
      <c r="G318" s="383">
        <v>6.8267509999999998</v>
      </c>
      <c r="H318" s="383">
        <v>7.3556150000000002</v>
      </c>
      <c r="I318" s="383">
        <v>6.8866620000000003</v>
      </c>
      <c r="J318" s="383">
        <v>5.9322499999999998</v>
      </c>
      <c r="K318" s="383">
        <v>1.507452</v>
      </c>
      <c r="L318" s="383">
        <v>4.9105840000000001</v>
      </c>
      <c r="M318" s="383">
        <v>7.9479899999999999</v>
      </c>
      <c r="N318" s="383">
        <v>7.6575290000000003</v>
      </c>
      <c r="O318" s="383">
        <v>8.0295629999999996</v>
      </c>
      <c r="P318" s="383">
        <v>6.9194209999999998</v>
      </c>
      <c r="Q318" s="383">
        <v>7.3222319999999996</v>
      </c>
      <c r="R318" s="383">
        <v>6.4457279999999999</v>
      </c>
      <c r="S318" s="383">
        <v>6.4522589999999997</v>
      </c>
      <c r="T318" s="383">
        <v>5.5238860000000001</v>
      </c>
      <c r="U318" s="383">
        <v>6.8294480000000002</v>
      </c>
      <c r="V318" s="383">
        <v>7.7100429999999998</v>
      </c>
      <c r="W318" s="383">
        <v>5.7412900000000002</v>
      </c>
      <c r="X318" s="383">
        <v>6.4688600000000003</v>
      </c>
      <c r="Y318" s="383">
        <v>7.3695589999999997</v>
      </c>
      <c r="Z318" s="383">
        <v>7.356719</v>
      </c>
      <c r="AA318" s="383">
        <v>6.2408619999999999</v>
      </c>
      <c r="AB318" s="383">
        <v>6.1503680000000003</v>
      </c>
      <c r="AC318" s="383">
        <v>7.4953409999999998</v>
      </c>
      <c r="AD318" s="383">
        <v>6.5820259999999999</v>
      </c>
      <c r="AE318" s="383">
        <v>7.4179269999999997</v>
      </c>
      <c r="AF318" s="383">
        <v>5.5420610000000003</v>
      </c>
      <c r="AG318" s="383">
        <v>6.127948</v>
      </c>
      <c r="AH318" s="383">
        <v>5.6099459999999999</v>
      </c>
      <c r="AI318" s="383">
        <v>5.5701720000000003</v>
      </c>
      <c r="AJ318" s="383">
        <v>7.0959630000000002</v>
      </c>
      <c r="AK318" s="383">
        <v>7.4505109999999997</v>
      </c>
      <c r="AL318" s="383">
        <v>6.4476149999999999</v>
      </c>
      <c r="AM318" s="383">
        <v>6.6327629999999997</v>
      </c>
      <c r="AN318" s="383">
        <v>7.3115949999999996</v>
      </c>
      <c r="AO318" s="383">
        <v>6.4508409999999996</v>
      </c>
      <c r="AP318" s="383">
        <v>5.9490420000000004</v>
      </c>
      <c r="AQ318" s="383">
        <v>6.169708</v>
      </c>
      <c r="AR318" s="383">
        <v>7.7028290000000004</v>
      </c>
      <c r="AS318" s="383">
        <v>6.5145479999999996</v>
      </c>
      <c r="AT318" s="383">
        <v>6.228491</v>
      </c>
      <c r="AU318" s="383">
        <v>7.9620870000000004</v>
      </c>
      <c r="AV318" s="383">
        <v>6.7002990000000002</v>
      </c>
      <c r="AW318" s="383">
        <v>7.0414149999999998</v>
      </c>
      <c r="AX318" s="383">
        <v>5.6544059999999998</v>
      </c>
      <c r="AY318" s="383">
        <v>7.0286270000000002</v>
      </c>
      <c r="AZ318" s="383">
        <v>6.0788349999999998</v>
      </c>
      <c r="BA318" s="383">
        <v>6.7192160000000003</v>
      </c>
      <c r="BB318" s="383">
        <v>6.1242939999999999</v>
      </c>
      <c r="BC318" s="383">
        <v>6.5622809999999996</v>
      </c>
      <c r="BD318" s="383">
        <v>6.4025949999999998</v>
      </c>
      <c r="BE318" s="383">
        <v>6.8648020000000001</v>
      </c>
      <c r="BF318" s="383">
        <v>6.7455769999999999</v>
      </c>
      <c r="BG318" s="383">
        <v>7.7959839999999998</v>
      </c>
      <c r="BH318" s="383">
        <v>7.1768650000000003</v>
      </c>
      <c r="BI318" s="383">
        <v>7.86876</v>
      </c>
      <c r="BJ318" s="383">
        <v>7.0545109999999998</v>
      </c>
      <c r="BK318" s="383">
        <v>7.3721199999999998</v>
      </c>
      <c r="BL318" s="375">
        <f t="shared" si="16"/>
        <v>0</v>
      </c>
      <c r="BM318">
        <f t="shared" si="17"/>
        <v>6.6819594426229534</v>
      </c>
      <c r="BN318">
        <f t="shared" si="18"/>
        <v>8.0295629999999996</v>
      </c>
      <c r="BO318">
        <f t="array" ref="BO318">MIN(IF($C318:$BK318&gt;0, $C318:$BK318))</f>
        <v>1.507452</v>
      </c>
      <c r="BP318">
        <f t="shared" si="19"/>
        <v>6.7455769999999999</v>
      </c>
    </row>
    <row r="319" spans="1:68" x14ac:dyDescent="0.25">
      <c r="A319" s="306" t="s">
        <v>756</v>
      </c>
      <c r="B319" s="307" t="s">
        <v>282</v>
      </c>
      <c r="C319" s="307">
        <v>13.99518</v>
      </c>
      <c r="D319" s="307">
        <v>14.8504</v>
      </c>
      <c r="E319" s="307">
        <v>12.69515</v>
      </c>
      <c r="F319" s="307">
        <v>14.85599</v>
      </c>
      <c r="G319" s="307">
        <v>10.436210000000001</v>
      </c>
      <c r="H319" s="307">
        <v>12.435370000000001</v>
      </c>
      <c r="I319" s="307">
        <v>9.0801940000000005</v>
      </c>
      <c r="J319" s="307">
        <v>9.7527460000000001</v>
      </c>
      <c r="K319" s="307">
        <v>2.466742</v>
      </c>
      <c r="L319" s="307">
        <v>17.576270000000001</v>
      </c>
      <c r="M319" s="307">
        <v>14.31312</v>
      </c>
      <c r="N319" s="307">
        <v>13.686629999999999</v>
      </c>
      <c r="O319" s="307">
        <v>20.315339999999999</v>
      </c>
      <c r="P319" s="307">
        <v>16.205100000000002</v>
      </c>
      <c r="Q319" s="307">
        <v>17.88128</v>
      </c>
      <c r="R319" s="307">
        <v>13.613849999999999</v>
      </c>
      <c r="S319" s="307">
        <v>19.236789999999999</v>
      </c>
      <c r="T319" s="307">
        <v>15.00137</v>
      </c>
      <c r="U319" s="307">
        <v>12.419269999999999</v>
      </c>
      <c r="V319" s="307">
        <v>14.26191</v>
      </c>
      <c r="W319" s="307">
        <v>12.78782</v>
      </c>
      <c r="X319" s="307">
        <v>17.369440000000001</v>
      </c>
      <c r="Y319" s="307">
        <v>16.061969999999999</v>
      </c>
      <c r="Z319" s="307">
        <v>14.18282</v>
      </c>
      <c r="AA319" s="307">
        <v>15.38658</v>
      </c>
      <c r="AB319" s="307">
        <v>14.373620000000001</v>
      </c>
      <c r="AC319" s="307">
        <v>14.12345</v>
      </c>
      <c r="AD319" s="307">
        <v>15.71115</v>
      </c>
      <c r="AE319" s="307">
        <v>10.318770000000001</v>
      </c>
      <c r="AF319" s="307">
        <v>10.6828</v>
      </c>
      <c r="AG319" s="307">
        <v>15.272169999999999</v>
      </c>
      <c r="AH319" s="307">
        <v>12.847580000000001</v>
      </c>
      <c r="AI319" s="307">
        <v>12.33891</v>
      </c>
      <c r="AJ319" s="307">
        <v>13.839880000000001</v>
      </c>
      <c r="AK319" s="307">
        <v>9.0455860000000001</v>
      </c>
      <c r="AL319" s="307">
        <v>15.06203</v>
      </c>
      <c r="AM319" s="307">
        <v>17.76173</v>
      </c>
      <c r="AN319" s="307">
        <v>16.416730000000001</v>
      </c>
      <c r="AO319" s="307">
        <v>14.96988</v>
      </c>
      <c r="AP319" s="307">
        <v>17.473649999999999</v>
      </c>
      <c r="AQ319" s="307">
        <v>14.33836</v>
      </c>
      <c r="AR319" s="307">
        <v>14.707190000000001</v>
      </c>
      <c r="AS319" s="307">
        <v>15.503920000000001</v>
      </c>
      <c r="AT319" s="307">
        <v>11.20078</v>
      </c>
      <c r="AU319" s="307">
        <v>10.60721</v>
      </c>
      <c r="AV319" s="307">
        <v>9.023809</v>
      </c>
      <c r="AW319" s="307">
        <v>15.226940000000001</v>
      </c>
      <c r="AX319" s="307">
        <v>13.0143</v>
      </c>
      <c r="AY319" s="307">
        <v>14.268219999999999</v>
      </c>
      <c r="AZ319" s="307">
        <v>13.95327</v>
      </c>
      <c r="BA319" s="307">
        <v>15.956009999999999</v>
      </c>
      <c r="BB319" s="307">
        <v>8.6389309999999995</v>
      </c>
      <c r="BC319" s="307">
        <v>12.317410000000001</v>
      </c>
      <c r="BD319" s="307">
        <v>15.49502</v>
      </c>
      <c r="BE319" s="307">
        <v>14.856730000000001</v>
      </c>
      <c r="BF319" s="307">
        <v>15.316319999999999</v>
      </c>
      <c r="BG319" s="307">
        <v>15.05564</v>
      </c>
      <c r="BH319" s="307">
        <v>12.195690000000001</v>
      </c>
      <c r="BI319" s="307">
        <v>11.459989999999999</v>
      </c>
      <c r="BJ319" s="307">
        <v>10.19604</v>
      </c>
      <c r="BK319" s="307">
        <v>13.19725</v>
      </c>
      <c r="BL319">
        <f t="shared" si="16"/>
        <v>0</v>
      </c>
      <c r="BM319">
        <f t="shared" si="17"/>
        <v>13.73171324590164</v>
      </c>
      <c r="BN319">
        <f t="shared" si="18"/>
        <v>20.315339999999999</v>
      </c>
      <c r="BO319">
        <f t="array" ref="BO319">MIN(IF($C319:$BK319&gt;0, $C319:$BK319))</f>
        <v>2.466742</v>
      </c>
      <c r="BP319">
        <f t="shared" si="19"/>
        <v>14.26191</v>
      </c>
    </row>
    <row r="320" spans="1:68" x14ac:dyDescent="0.25">
      <c r="A320" s="306">
        <v>486000</v>
      </c>
      <c r="B320" s="307" t="s">
        <v>757</v>
      </c>
      <c r="C320" s="307">
        <v>2.1239970000000001</v>
      </c>
      <c r="D320" s="307">
        <v>1.4770639999999999</v>
      </c>
      <c r="E320" s="307">
        <v>2.48455</v>
      </c>
      <c r="F320" s="307">
        <v>3.081483</v>
      </c>
      <c r="G320" s="307">
        <v>2.3115559999999999</v>
      </c>
      <c r="H320" s="307">
        <v>2.3134809999999999</v>
      </c>
      <c r="I320" s="307">
        <v>1.8675660000000001</v>
      </c>
      <c r="J320" s="307">
        <v>1.8470249999999999</v>
      </c>
      <c r="K320" s="307">
        <v>7.4450000000000002E-2</v>
      </c>
      <c r="L320" s="307">
        <v>0.94980929999999997</v>
      </c>
      <c r="M320" s="307">
        <v>2.319553</v>
      </c>
      <c r="N320" s="307">
        <v>2.4807649999999999</v>
      </c>
      <c r="O320" s="307">
        <v>0</v>
      </c>
      <c r="P320" s="307">
        <v>2.378644</v>
      </c>
      <c r="Q320" s="307">
        <v>2.37324</v>
      </c>
      <c r="R320" s="307">
        <v>1.9598009999999999</v>
      </c>
      <c r="S320" s="307">
        <v>2.4369489999999998</v>
      </c>
      <c r="T320" s="307">
        <v>2.5580020000000001</v>
      </c>
      <c r="U320" s="307">
        <v>2.4197359999999999</v>
      </c>
      <c r="V320" s="307">
        <v>2.4614880000000001</v>
      </c>
      <c r="W320" s="307">
        <v>1.916642</v>
      </c>
      <c r="X320" s="307">
        <v>2.0439669999999999</v>
      </c>
      <c r="Y320" s="307">
        <v>1.4758100000000001</v>
      </c>
      <c r="Z320" s="307">
        <v>2.589683</v>
      </c>
      <c r="AA320" s="307">
        <v>1.8469979999999999</v>
      </c>
      <c r="AB320" s="307">
        <v>2.4012859999999998</v>
      </c>
      <c r="AC320" s="307">
        <v>2.8520840000000001</v>
      </c>
      <c r="AD320" s="307">
        <v>3.3262019999999999</v>
      </c>
      <c r="AE320" s="307">
        <v>2.486945</v>
      </c>
      <c r="AF320" s="307">
        <v>2.3577599999999999</v>
      </c>
      <c r="AG320" s="307">
        <v>2.0750869999999999</v>
      </c>
      <c r="AH320" s="307">
        <v>0.61830779999999996</v>
      </c>
      <c r="AI320" s="307">
        <v>2.2375949999999998</v>
      </c>
      <c r="AJ320" s="307">
        <v>2.9192480000000001</v>
      </c>
      <c r="AK320" s="307">
        <v>1.7872790000000001</v>
      </c>
      <c r="AL320" s="307">
        <v>2.341453</v>
      </c>
      <c r="AM320" s="307">
        <v>2.607558</v>
      </c>
      <c r="AN320" s="307">
        <v>2.2082570000000001</v>
      </c>
      <c r="AO320" s="307">
        <v>2.1133229999999998</v>
      </c>
      <c r="AP320" s="307">
        <v>2.4330120000000002</v>
      </c>
      <c r="AQ320" s="307">
        <v>3.4087209999999999</v>
      </c>
      <c r="AR320" s="307">
        <v>2.5522089999999999</v>
      </c>
      <c r="AS320" s="307">
        <v>2.7665380000000002</v>
      </c>
      <c r="AT320" s="307">
        <v>2.0636930000000002</v>
      </c>
      <c r="AU320" s="307">
        <v>1.548621</v>
      </c>
      <c r="AV320" s="307">
        <v>2.2797179999999999</v>
      </c>
      <c r="AW320" s="307">
        <v>2.1587149999999999</v>
      </c>
      <c r="AX320" s="307">
        <v>0</v>
      </c>
      <c r="AY320" s="307">
        <v>1.9141250000000001</v>
      </c>
      <c r="AZ320" s="307">
        <v>2.0043139999999999</v>
      </c>
      <c r="BA320" s="307">
        <v>2.5963250000000002</v>
      </c>
      <c r="BB320" s="307">
        <v>2.5002420000000001</v>
      </c>
      <c r="BC320" s="307">
        <v>1.927389</v>
      </c>
      <c r="BD320" s="307">
        <v>2.4521670000000002</v>
      </c>
      <c r="BE320" s="307">
        <v>2.4653719999999999</v>
      </c>
      <c r="BF320" s="307">
        <v>2.3794279999999999</v>
      </c>
      <c r="BG320" s="307">
        <v>2.5443509999999998</v>
      </c>
      <c r="BH320" s="307">
        <v>2.588587</v>
      </c>
      <c r="BI320" s="307">
        <v>1.7490300000000001</v>
      </c>
      <c r="BJ320" s="307">
        <v>2.465808</v>
      </c>
      <c r="BK320" s="307">
        <v>2.090179</v>
      </c>
      <c r="BL320">
        <f t="shared" si="16"/>
        <v>2</v>
      </c>
      <c r="BM320">
        <f t="shared" si="17"/>
        <v>2.2205625101694921</v>
      </c>
      <c r="BN320">
        <f t="shared" si="18"/>
        <v>3.4087209999999999</v>
      </c>
      <c r="BO320">
        <f t="array" ref="BO320">MIN(IF($C320:$BK320&gt;0, $C320:$BK320))</f>
        <v>7.4450000000000002E-2</v>
      </c>
      <c r="BP320">
        <f t="shared" si="19"/>
        <v>2.319553</v>
      </c>
    </row>
    <row r="321" spans="1:68" x14ac:dyDescent="0.25">
      <c r="A321" s="306" t="s">
        <v>758</v>
      </c>
      <c r="B321" s="307" t="s">
        <v>283</v>
      </c>
      <c r="C321" s="307">
        <v>8.3870280000000008</v>
      </c>
      <c r="D321" s="307">
        <v>9.3972529999999992</v>
      </c>
      <c r="E321" s="307">
        <v>8.7020850000000003</v>
      </c>
      <c r="F321" s="307">
        <v>7.7443280000000003</v>
      </c>
      <c r="G321" s="307">
        <v>10.05067</v>
      </c>
      <c r="H321" s="307">
        <v>6.9414319999999998</v>
      </c>
      <c r="I321" s="307">
        <v>9.7216900000000006</v>
      </c>
      <c r="J321" s="307">
        <v>5.8699630000000003</v>
      </c>
      <c r="K321" s="307">
        <v>2.0634999999999999</v>
      </c>
      <c r="L321" s="307">
        <v>8.2141710000000003</v>
      </c>
      <c r="M321" s="307">
        <v>9.5223460000000006</v>
      </c>
      <c r="N321" s="307">
        <v>9.441452</v>
      </c>
      <c r="O321" s="307">
        <v>9.4174100000000003</v>
      </c>
      <c r="P321" s="307">
        <v>9.6304029999999994</v>
      </c>
      <c r="Q321" s="307">
        <v>11.567500000000001</v>
      </c>
      <c r="R321" s="307">
        <v>7.7008770000000002</v>
      </c>
      <c r="S321" s="307">
        <v>9.3326360000000008</v>
      </c>
      <c r="T321" s="307">
        <v>8.0297370000000008</v>
      </c>
      <c r="U321" s="307">
        <v>7.5040680000000002</v>
      </c>
      <c r="V321" s="307">
        <v>6.4838709999999997</v>
      </c>
      <c r="W321" s="307">
        <v>8.508362</v>
      </c>
      <c r="X321" s="307">
        <v>8.1886100000000006</v>
      </c>
      <c r="Y321" s="307">
        <v>10.506740000000001</v>
      </c>
      <c r="Z321" s="307">
        <v>10.210739999999999</v>
      </c>
      <c r="AA321" s="307">
        <v>8.9858469999999997</v>
      </c>
      <c r="AB321" s="307">
        <v>8.6439140000000005</v>
      </c>
      <c r="AC321" s="307">
        <v>8.7644500000000001</v>
      </c>
      <c r="AD321" s="307">
        <v>11.864850000000001</v>
      </c>
      <c r="AE321" s="307">
        <v>9.9500930000000007</v>
      </c>
      <c r="AF321" s="307">
        <v>8.8122779999999992</v>
      </c>
      <c r="AG321" s="307">
        <v>9.2066370000000006</v>
      </c>
      <c r="AH321" s="307">
        <v>9.0320839999999993</v>
      </c>
      <c r="AI321" s="307">
        <v>6.1386120000000002</v>
      </c>
      <c r="AJ321" s="307">
        <v>9.8999799999999993</v>
      </c>
      <c r="AK321" s="307">
        <v>10.973089999999999</v>
      </c>
      <c r="AL321" s="307">
        <v>6.9577710000000002</v>
      </c>
      <c r="AM321" s="307">
        <v>9.4653980000000004</v>
      </c>
      <c r="AN321" s="307">
        <v>10.15648</v>
      </c>
      <c r="AO321" s="307">
        <v>6.3952400000000003</v>
      </c>
      <c r="AP321" s="307">
        <v>6.2190079999999996</v>
      </c>
      <c r="AQ321" s="307">
        <v>10.293100000000001</v>
      </c>
      <c r="AR321" s="307">
        <v>10.390980000000001</v>
      </c>
      <c r="AS321" s="307">
        <v>10.93573</v>
      </c>
      <c r="AT321" s="307">
        <v>7.417637</v>
      </c>
      <c r="AU321" s="307">
        <v>7.237101</v>
      </c>
      <c r="AV321" s="307">
        <v>8.7555510000000005</v>
      </c>
      <c r="AW321" s="307">
        <v>8.7846899999999994</v>
      </c>
      <c r="AX321" s="307">
        <v>8.9189299999999996</v>
      </c>
      <c r="AY321" s="307">
        <v>7.2403789999999999</v>
      </c>
      <c r="AZ321" s="307">
        <v>10.154019999999999</v>
      </c>
      <c r="BA321" s="307">
        <v>8.5729089999999992</v>
      </c>
      <c r="BB321" s="307">
        <v>9.6920059999999992</v>
      </c>
      <c r="BC321" s="307">
        <v>8.7844750000000005</v>
      </c>
      <c r="BD321" s="307">
        <v>7.1146479999999999</v>
      </c>
      <c r="BE321" s="307">
        <v>9.0732769999999991</v>
      </c>
      <c r="BF321" s="307">
        <v>9.5012419999999995</v>
      </c>
      <c r="BG321" s="307">
        <v>9.6656200000000005</v>
      </c>
      <c r="BH321" s="307">
        <v>8.4835170000000009</v>
      </c>
      <c r="BI321" s="307">
        <v>7.2991440000000001</v>
      </c>
      <c r="BJ321" s="307">
        <v>10.18351</v>
      </c>
      <c r="BK321" s="307">
        <v>7.2534289999999997</v>
      </c>
      <c r="BL321">
        <f t="shared" si="16"/>
        <v>0</v>
      </c>
      <c r="BM321">
        <f t="shared" si="17"/>
        <v>8.6943360491803272</v>
      </c>
      <c r="BN321">
        <f t="shared" si="18"/>
        <v>11.864850000000001</v>
      </c>
      <c r="BO321">
        <f t="array" ref="BO321">MIN(IF($C321:$BK321&gt;0, $C321:$BK321))</f>
        <v>2.0634999999999999</v>
      </c>
      <c r="BP321">
        <f t="shared" si="19"/>
        <v>8.8122779999999992</v>
      </c>
    </row>
    <row r="322" spans="1:68" x14ac:dyDescent="0.25">
      <c r="A322" s="306">
        <v>491000</v>
      </c>
      <c r="B322" s="307" t="s">
        <v>759</v>
      </c>
      <c r="C322" s="307">
        <v>11.02126</v>
      </c>
      <c r="D322" s="307">
        <v>9.7017430000000004</v>
      </c>
      <c r="E322" s="307">
        <v>11.563510000000001</v>
      </c>
      <c r="F322" s="307">
        <v>12.168900000000001</v>
      </c>
      <c r="G322" s="307">
        <v>11.022169999999999</v>
      </c>
      <c r="H322" s="307">
        <v>10.72809</v>
      </c>
      <c r="I322" s="307">
        <v>10.47785</v>
      </c>
      <c r="J322" s="307">
        <v>10.03782</v>
      </c>
      <c r="K322" s="307">
        <v>1.671937</v>
      </c>
      <c r="L322" s="307">
        <v>10.25741</v>
      </c>
      <c r="M322" s="307">
        <v>10.620850000000001</v>
      </c>
      <c r="N322" s="307">
        <v>10.81151</v>
      </c>
      <c r="O322" s="307">
        <v>9.7468470000000007</v>
      </c>
      <c r="P322" s="307">
        <v>11.60436</v>
      </c>
      <c r="Q322" s="307">
        <v>12.408379999999999</v>
      </c>
      <c r="R322" s="307">
        <v>10.362270000000001</v>
      </c>
      <c r="S322" s="307">
        <v>11.284509999999999</v>
      </c>
      <c r="T322" s="307">
        <v>11.440189999999999</v>
      </c>
      <c r="U322" s="307">
        <v>11.15985</v>
      </c>
      <c r="V322" s="307">
        <v>10.949579999999999</v>
      </c>
      <c r="W322" s="307">
        <v>9.9570679999999996</v>
      </c>
      <c r="X322" s="307">
        <v>10.148490000000001</v>
      </c>
      <c r="Y322" s="307">
        <v>12.38368</v>
      </c>
      <c r="Z322" s="307">
        <v>11.101509999999999</v>
      </c>
      <c r="AA322" s="307">
        <v>10.92498</v>
      </c>
      <c r="AB322" s="307">
        <v>10.14019</v>
      </c>
      <c r="AC322" s="307">
        <v>12.36214</v>
      </c>
      <c r="AD322" s="307">
        <v>12.5655</v>
      </c>
      <c r="AE322" s="307">
        <v>11.12609</v>
      </c>
      <c r="AF322" s="307">
        <v>11.67869</v>
      </c>
      <c r="AG322" s="307">
        <v>11.231059999999999</v>
      </c>
      <c r="AH322" s="307">
        <v>10.272740000000001</v>
      </c>
      <c r="AI322" s="307">
        <v>10.206060000000001</v>
      </c>
      <c r="AJ322" s="307">
        <v>11.56992</v>
      </c>
      <c r="AK322" s="307">
        <v>10.58888</v>
      </c>
      <c r="AL322" s="307">
        <v>10.179169999999999</v>
      </c>
      <c r="AM322" s="307">
        <v>10.50943</v>
      </c>
      <c r="AN322" s="307">
        <v>11.671049999999999</v>
      </c>
      <c r="AO322" s="307">
        <v>10.634119999999999</v>
      </c>
      <c r="AP322" s="307">
        <v>10.47485</v>
      </c>
      <c r="AQ322" s="307">
        <v>9.5703390000000006</v>
      </c>
      <c r="AR322" s="307">
        <v>11.2546</v>
      </c>
      <c r="AS322" s="307">
        <v>12.312989999999999</v>
      </c>
      <c r="AT322" s="307">
        <v>10.78445</v>
      </c>
      <c r="AU322" s="307">
        <v>10.66348</v>
      </c>
      <c r="AV322" s="307">
        <v>12.47775</v>
      </c>
      <c r="AW322" s="307">
        <v>9.589969</v>
      </c>
      <c r="AX322" s="307">
        <v>10.923080000000001</v>
      </c>
      <c r="AY322" s="307">
        <v>10.83822</v>
      </c>
      <c r="AZ322" s="307">
        <v>11.43285</v>
      </c>
      <c r="BA322" s="307">
        <v>11.72658</v>
      </c>
      <c r="BB322" s="307">
        <v>11.76637</v>
      </c>
      <c r="BC322" s="307">
        <v>10.62744</v>
      </c>
      <c r="BD322" s="307">
        <v>10.641260000000001</v>
      </c>
      <c r="BE322" s="307">
        <v>10.913600000000001</v>
      </c>
      <c r="BF322" s="307">
        <v>11.394679999999999</v>
      </c>
      <c r="BG322" s="307">
        <v>10.81649</v>
      </c>
      <c r="BH322" s="307">
        <v>11.40272</v>
      </c>
      <c r="BI322" s="307">
        <v>10.965909999999999</v>
      </c>
      <c r="BJ322" s="307">
        <v>11.237920000000001</v>
      </c>
      <c r="BK322" s="307">
        <v>10.745609999999999</v>
      </c>
      <c r="BL322">
        <f t="shared" si="16"/>
        <v>0</v>
      </c>
      <c r="BM322">
        <f t="shared" si="17"/>
        <v>10.833622344262297</v>
      </c>
      <c r="BN322">
        <f t="shared" si="18"/>
        <v>12.5655</v>
      </c>
      <c r="BO322">
        <f t="array" ref="BO322">MIN(IF($C322:$BK322&gt;0, $C322:$BK322))</f>
        <v>1.671937</v>
      </c>
      <c r="BP322">
        <f t="shared" si="19"/>
        <v>10.923080000000001</v>
      </c>
    </row>
    <row r="323" spans="1:68" x14ac:dyDescent="0.25">
      <c r="A323" s="306">
        <v>492000</v>
      </c>
      <c r="B323" s="307" t="s">
        <v>284</v>
      </c>
      <c r="C323" s="307">
        <v>10.71585</v>
      </c>
      <c r="D323" s="307">
        <v>6.9892440000000002</v>
      </c>
      <c r="E323" s="307">
        <v>11.6143</v>
      </c>
      <c r="F323" s="307">
        <v>11.273260000000001</v>
      </c>
      <c r="G323" s="307">
        <v>12.16089</v>
      </c>
      <c r="H323" s="307">
        <v>10.045199999999999</v>
      </c>
      <c r="I323" s="307">
        <v>11.706519999999999</v>
      </c>
      <c r="J323" s="307">
        <v>9.9788060000000005</v>
      </c>
      <c r="K323" s="307">
        <v>2.3164250000000002</v>
      </c>
      <c r="L323" s="307">
        <v>9.0285329999999995</v>
      </c>
      <c r="M323" s="307">
        <v>12.8125</v>
      </c>
      <c r="N323" s="307">
        <v>8.5028170000000003</v>
      </c>
      <c r="O323" s="307">
        <v>9.5404429999999998</v>
      </c>
      <c r="P323" s="307">
        <v>12.2371</v>
      </c>
      <c r="Q323" s="307">
        <v>11.65034</v>
      </c>
      <c r="R323" s="307">
        <v>11.593920000000001</v>
      </c>
      <c r="S323" s="307">
        <v>11.72622</v>
      </c>
      <c r="T323" s="307">
        <v>7.1026509999999998</v>
      </c>
      <c r="U323" s="307">
        <v>6.0447559999999996</v>
      </c>
      <c r="V323" s="307">
        <v>10.73404</v>
      </c>
      <c r="W323" s="307">
        <v>10.30458</v>
      </c>
      <c r="X323" s="307">
        <v>11.16756</v>
      </c>
      <c r="Y323" s="307">
        <v>11.281420000000001</v>
      </c>
      <c r="Z323" s="307">
        <v>11.18928</v>
      </c>
      <c r="AA323" s="307">
        <v>12.809139999999999</v>
      </c>
      <c r="AB323" s="307">
        <v>11.407439999999999</v>
      </c>
      <c r="AC323" s="307">
        <v>11.19084</v>
      </c>
      <c r="AD323" s="307">
        <v>11.67108</v>
      </c>
      <c r="AE323" s="307">
        <v>11.46308</v>
      </c>
      <c r="AF323" s="307">
        <v>10.82737</v>
      </c>
      <c r="AG323" s="307">
        <v>10.83925</v>
      </c>
      <c r="AH323" s="307">
        <v>11.118370000000001</v>
      </c>
      <c r="AI323" s="307">
        <v>8.5983780000000003</v>
      </c>
      <c r="AJ323" s="307">
        <v>10.143789999999999</v>
      </c>
      <c r="AK323" s="307">
        <v>10.81054</v>
      </c>
      <c r="AL323" s="307">
        <v>9.3398439999999994</v>
      </c>
      <c r="AM323" s="307">
        <v>9.1022099999999995</v>
      </c>
      <c r="AN323" s="307">
        <v>11.92948</v>
      </c>
      <c r="AO323" s="307">
        <v>9.8208710000000004</v>
      </c>
      <c r="AP323" s="307">
        <v>9.9008839999999996</v>
      </c>
      <c r="AQ323" s="307">
        <v>10.2372</v>
      </c>
      <c r="AR323" s="307">
        <v>11.642189999999999</v>
      </c>
      <c r="AS323" s="307">
        <v>12.20566</v>
      </c>
      <c r="AT323" s="307">
        <v>6.0870740000000003</v>
      </c>
      <c r="AU323" s="307">
        <v>12.467280000000001</v>
      </c>
      <c r="AV323" s="307">
        <v>11.397</v>
      </c>
      <c r="AW323" s="307">
        <v>10.98068</v>
      </c>
      <c r="AX323" s="307">
        <v>11.89113</v>
      </c>
      <c r="AY323" s="307">
        <v>10.679</v>
      </c>
      <c r="AZ323" s="307">
        <v>11.023059999999999</v>
      </c>
      <c r="BA323" s="307">
        <v>11.0159</v>
      </c>
      <c r="BB323" s="307">
        <v>10.838710000000001</v>
      </c>
      <c r="BC323" s="307">
        <v>11.03387</v>
      </c>
      <c r="BD323" s="307">
        <v>10.06926</v>
      </c>
      <c r="BE323" s="307">
        <v>10.72696</v>
      </c>
      <c r="BF323" s="307">
        <v>11.819089999999999</v>
      </c>
      <c r="BG323" s="307">
        <v>11.27454</v>
      </c>
      <c r="BH323" s="307">
        <v>6.8906070000000001</v>
      </c>
      <c r="BI323" s="307">
        <v>12.199159999999999</v>
      </c>
      <c r="BJ323" s="307">
        <v>11.61234</v>
      </c>
      <c r="BK323" s="307">
        <v>10.13331</v>
      </c>
      <c r="BL323">
        <f t="shared" si="16"/>
        <v>0</v>
      </c>
      <c r="BM323">
        <f t="shared" si="17"/>
        <v>10.473987590163933</v>
      </c>
      <c r="BN323">
        <f t="shared" si="18"/>
        <v>12.8125</v>
      </c>
      <c r="BO323">
        <f t="array" ref="BO323">MIN(IF($C323:$BK323&gt;0, $C323:$BK323))</f>
        <v>2.3164250000000002</v>
      </c>
      <c r="BP323">
        <f t="shared" si="19"/>
        <v>11.0159</v>
      </c>
    </row>
    <row r="324" spans="1:68" x14ac:dyDescent="0.25">
      <c r="A324" s="306">
        <v>493000</v>
      </c>
      <c r="B324" s="307" t="s">
        <v>285</v>
      </c>
      <c r="C324" s="307">
        <v>11.801489999999999</v>
      </c>
      <c r="D324" s="307">
        <v>13.073869999999999</v>
      </c>
      <c r="E324" s="307">
        <v>13.239000000000001</v>
      </c>
      <c r="F324" s="307">
        <v>12.77814</v>
      </c>
      <c r="G324" s="307">
        <v>11.480980000000001</v>
      </c>
      <c r="H324" s="307">
        <v>10.37951</v>
      </c>
      <c r="I324" s="307">
        <v>11.99878</v>
      </c>
      <c r="J324" s="307">
        <v>8.9705820000000003</v>
      </c>
      <c r="K324" s="307">
        <v>3.6008789999999999</v>
      </c>
      <c r="L324" s="307">
        <v>8.6004269999999998</v>
      </c>
      <c r="M324" s="307">
        <v>12.20886</v>
      </c>
      <c r="N324" s="307">
        <v>11.40631</v>
      </c>
      <c r="O324" s="307">
        <v>12.681190000000001</v>
      </c>
      <c r="P324" s="307">
        <v>12.460369999999999</v>
      </c>
      <c r="Q324" s="307">
        <v>15.10252</v>
      </c>
      <c r="R324" s="307">
        <v>10.49747</v>
      </c>
      <c r="S324" s="307">
        <v>12.50601</v>
      </c>
      <c r="T324" s="307">
        <v>11.378819999999999</v>
      </c>
      <c r="U324" s="307">
        <v>11.63766</v>
      </c>
      <c r="V324" s="307">
        <v>10.39443</v>
      </c>
      <c r="W324" s="307">
        <v>8.586055</v>
      </c>
      <c r="X324" s="307">
        <v>9.7209339999999997</v>
      </c>
      <c r="Y324" s="307">
        <v>12.93158</v>
      </c>
      <c r="Z324" s="307">
        <v>9.8737200000000005</v>
      </c>
      <c r="AA324" s="307">
        <v>10.89695</v>
      </c>
      <c r="AB324" s="307">
        <v>10.56864</v>
      </c>
      <c r="AC324" s="307">
        <v>12.765940000000001</v>
      </c>
      <c r="AD324" s="307">
        <v>15.360760000000001</v>
      </c>
      <c r="AE324" s="307">
        <v>12.17273</v>
      </c>
      <c r="AF324" s="307">
        <v>15.14292</v>
      </c>
      <c r="AG324" s="307">
        <v>14.057740000000001</v>
      </c>
      <c r="AH324" s="307">
        <v>11.64809</v>
      </c>
      <c r="AI324" s="307">
        <v>9.0823579999999993</v>
      </c>
      <c r="AJ324" s="307">
        <v>12.774480000000001</v>
      </c>
      <c r="AK324" s="307">
        <v>12.275080000000001</v>
      </c>
      <c r="AL324" s="307">
        <v>11.20973</v>
      </c>
      <c r="AM324" s="307">
        <v>11.362299999999999</v>
      </c>
      <c r="AN324" s="307">
        <v>14.49793</v>
      </c>
      <c r="AO324" s="307">
        <v>9.9227080000000001</v>
      </c>
      <c r="AP324" s="307">
        <v>11.188470000000001</v>
      </c>
      <c r="AQ324" s="307">
        <v>12.9841</v>
      </c>
      <c r="AR324" s="307">
        <v>14.172700000000001</v>
      </c>
      <c r="AS324" s="307">
        <v>15.13409</v>
      </c>
      <c r="AT324" s="307">
        <v>11.840109999999999</v>
      </c>
      <c r="AU324" s="307">
        <v>12.518700000000001</v>
      </c>
      <c r="AV324" s="307">
        <v>12.00629</v>
      </c>
      <c r="AW324" s="307">
        <v>11.55785</v>
      </c>
      <c r="AX324" s="307">
        <v>8.7907729999999997</v>
      </c>
      <c r="AY324" s="307">
        <v>11.49441</v>
      </c>
      <c r="AZ324" s="307">
        <v>12.00113</v>
      </c>
      <c r="BA324" s="307">
        <v>14.83911</v>
      </c>
      <c r="BB324" s="307">
        <v>12.539720000000001</v>
      </c>
      <c r="BC324" s="307">
        <v>10.922929999999999</v>
      </c>
      <c r="BD324" s="307">
        <v>11.1509</v>
      </c>
      <c r="BE324" s="307">
        <v>11.34985</v>
      </c>
      <c r="BF324" s="307">
        <v>12.1562</v>
      </c>
      <c r="BG324" s="307">
        <v>12.140219999999999</v>
      </c>
      <c r="BH324" s="307">
        <v>12.624930000000001</v>
      </c>
      <c r="BI324" s="307">
        <v>12.454000000000001</v>
      </c>
      <c r="BJ324" s="307">
        <v>12.219150000000001</v>
      </c>
      <c r="BK324" s="307">
        <v>10.599930000000001</v>
      </c>
      <c r="BL324">
        <f t="shared" si="16"/>
        <v>0</v>
      </c>
      <c r="BM324">
        <f t="shared" si="17"/>
        <v>11.766123049180324</v>
      </c>
      <c r="BN324">
        <f t="shared" si="18"/>
        <v>15.360760000000001</v>
      </c>
      <c r="BO324">
        <f t="array" ref="BO324">MIN(IF($C324:$BK324&gt;0, $C324:$BK324))</f>
        <v>3.6008789999999999</v>
      </c>
      <c r="BP324">
        <f t="shared" si="19"/>
        <v>11.99878</v>
      </c>
    </row>
    <row r="325" spans="1:68" x14ac:dyDescent="0.25">
      <c r="A325" s="306" t="s">
        <v>760</v>
      </c>
      <c r="B325" s="307" t="s">
        <v>761</v>
      </c>
      <c r="C325" s="307">
        <v>13.97195</v>
      </c>
      <c r="D325" s="307">
        <v>12.982139999999999</v>
      </c>
      <c r="E325" s="307">
        <v>15.0129</v>
      </c>
      <c r="F325" s="307">
        <v>15.256270000000001</v>
      </c>
      <c r="G325" s="307">
        <v>12.45956</v>
      </c>
      <c r="H325" s="307">
        <v>12.334770000000001</v>
      </c>
      <c r="I325" s="307">
        <v>13.815020000000001</v>
      </c>
      <c r="J325" s="307">
        <v>11.55367</v>
      </c>
      <c r="K325" s="307">
        <v>4.0823150000000004</v>
      </c>
      <c r="L325" s="307">
        <v>11.948370000000001</v>
      </c>
      <c r="M325" s="307">
        <v>13.63152</v>
      </c>
      <c r="N325" s="307">
        <v>13.99799</v>
      </c>
      <c r="O325" s="307">
        <v>14.261699999999999</v>
      </c>
      <c r="P325" s="307">
        <v>15.41206</v>
      </c>
      <c r="Q325" s="307">
        <v>14.766069999999999</v>
      </c>
      <c r="R325" s="307">
        <v>13.575889999999999</v>
      </c>
      <c r="S325" s="307">
        <v>15.545389999999999</v>
      </c>
      <c r="T325" s="307">
        <v>14.57516</v>
      </c>
      <c r="U325" s="307">
        <v>15.09712</v>
      </c>
      <c r="V325" s="307">
        <v>14.073219999999999</v>
      </c>
      <c r="W325" s="307">
        <v>12.18032</v>
      </c>
      <c r="X325" s="307">
        <v>12.410819999999999</v>
      </c>
      <c r="Y325" s="307">
        <v>15.28335</v>
      </c>
      <c r="Z325" s="307">
        <v>15.34455</v>
      </c>
      <c r="AA325" s="307">
        <v>15.38804</v>
      </c>
      <c r="AB325" s="307">
        <v>13.70913</v>
      </c>
      <c r="AC325" s="307">
        <v>15.113939999999999</v>
      </c>
      <c r="AD325" s="307">
        <v>16.084320000000002</v>
      </c>
      <c r="AE325" s="307">
        <v>14.03755</v>
      </c>
      <c r="AF325" s="307">
        <v>14.89611</v>
      </c>
      <c r="AG325" s="307">
        <v>15.622249999999999</v>
      </c>
      <c r="AH325" s="307">
        <v>11.563750000000001</v>
      </c>
      <c r="AI325" s="307">
        <v>11.338329999999999</v>
      </c>
      <c r="AJ325" s="307">
        <v>14.351330000000001</v>
      </c>
      <c r="AK325" s="307">
        <v>12.82015</v>
      </c>
      <c r="AL325" s="307">
        <v>11.420199999999999</v>
      </c>
      <c r="AM325" s="307">
        <v>14.71415</v>
      </c>
      <c r="AN325" s="307">
        <v>14.521879999999999</v>
      </c>
      <c r="AO325" s="307">
        <v>13.86631</v>
      </c>
      <c r="AP325" s="307">
        <v>14.4253</v>
      </c>
      <c r="AQ325" s="307">
        <v>12.06339</v>
      </c>
      <c r="AR325" s="307">
        <v>14.629020000000001</v>
      </c>
      <c r="AS325" s="307">
        <v>15.65842</v>
      </c>
      <c r="AT325" s="307">
        <v>12.951739999999999</v>
      </c>
      <c r="AU325" s="307">
        <v>13.614459999999999</v>
      </c>
      <c r="AV325" s="307">
        <v>14.17423</v>
      </c>
      <c r="AW325" s="307">
        <v>13.487579999999999</v>
      </c>
      <c r="AX325" s="307">
        <v>13.89411</v>
      </c>
      <c r="AY325" s="307">
        <v>12.23991</v>
      </c>
      <c r="AZ325" s="307">
        <v>15.844379999999999</v>
      </c>
      <c r="BA325" s="307">
        <v>14.8307</v>
      </c>
      <c r="BB325" s="307">
        <v>14.701499999999999</v>
      </c>
      <c r="BC325" s="307">
        <v>13.066940000000001</v>
      </c>
      <c r="BD325" s="307">
        <v>12.962719999999999</v>
      </c>
      <c r="BE325" s="307">
        <v>14.975849999999999</v>
      </c>
      <c r="BF325" s="307">
        <v>15.35979</v>
      </c>
      <c r="BG325" s="307">
        <v>14.03964</v>
      </c>
      <c r="BH325" s="307">
        <v>14.480029999999999</v>
      </c>
      <c r="BI325" s="307">
        <v>13.939249999999999</v>
      </c>
      <c r="BJ325" s="307">
        <v>13.61687</v>
      </c>
      <c r="BK325" s="307">
        <v>12.57127</v>
      </c>
      <c r="BL325">
        <f t="shared" si="16"/>
        <v>0</v>
      </c>
      <c r="BM325">
        <f t="shared" si="17"/>
        <v>13.779453524590163</v>
      </c>
      <c r="BN325">
        <f t="shared" si="18"/>
        <v>16.084320000000002</v>
      </c>
      <c r="BO325">
        <f t="array" ref="BO325">MIN(IF($C325:$BK325&gt;0, $C325:$BK325))</f>
        <v>4.0823150000000004</v>
      </c>
      <c r="BP325">
        <f t="shared" si="19"/>
        <v>14.03755</v>
      </c>
    </row>
    <row r="326" spans="1:68" x14ac:dyDescent="0.25">
      <c r="A326" s="306">
        <v>511110</v>
      </c>
      <c r="B326" s="307" t="s">
        <v>286</v>
      </c>
      <c r="C326" s="307">
        <v>8.3493390000000005</v>
      </c>
      <c r="D326" s="307">
        <v>11.220470000000001</v>
      </c>
      <c r="E326" s="307">
        <v>9.4714609999999997</v>
      </c>
      <c r="F326" s="307">
        <v>11.98306</v>
      </c>
      <c r="G326" s="307">
        <v>8.3669460000000004</v>
      </c>
      <c r="H326" s="307">
        <v>7.4712560000000003</v>
      </c>
      <c r="I326" s="307">
        <v>7.8785790000000002</v>
      </c>
      <c r="J326" s="307">
        <v>7.523809</v>
      </c>
      <c r="K326" s="307">
        <v>1.8472569999999999</v>
      </c>
      <c r="L326" s="307">
        <v>7.9851720000000004</v>
      </c>
      <c r="M326" s="307">
        <v>7.7052579999999997</v>
      </c>
      <c r="N326" s="307">
        <v>8.2787980000000001</v>
      </c>
      <c r="O326" s="307">
        <v>6.7868019999999998</v>
      </c>
      <c r="P326" s="307">
        <v>11.71405</v>
      </c>
      <c r="Q326" s="307">
        <v>10.88832</v>
      </c>
      <c r="R326" s="307">
        <v>7.4482619999999997</v>
      </c>
      <c r="S326" s="307">
        <v>10.373430000000001</v>
      </c>
      <c r="T326" s="307">
        <v>10.959020000000001</v>
      </c>
      <c r="U326" s="307">
        <v>10.57174</v>
      </c>
      <c r="V326" s="307">
        <v>9.1391249999999999</v>
      </c>
      <c r="W326" s="307">
        <v>6.1937259999999998</v>
      </c>
      <c r="X326" s="307">
        <v>7.9360039999999996</v>
      </c>
      <c r="Y326" s="307">
        <v>11.55298</v>
      </c>
      <c r="Z326" s="307">
        <v>8.3363309999999995</v>
      </c>
      <c r="AA326" s="307">
        <v>8.8151449999999993</v>
      </c>
      <c r="AB326" s="307">
        <v>7.3292669999999998</v>
      </c>
      <c r="AC326" s="307">
        <v>11.411250000000001</v>
      </c>
      <c r="AD326" s="307">
        <v>13.152559999999999</v>
      </c>
      <c r="AE326" s="307">
        <v>8.8397089999999992</v>
      </c>
      <c r="AF326" s="307">
        <v>11.292680000000001</v>
      </c>
      <c r="AG326" s="307">
        <v>11.90607</v>
      </c>
      <c r="AH326" s="307">
        <v>8.5922169999999998</v>
      </c>
      <c r="AI326" s="307">
        <v>5.1906369999999997</v>
      </c>
      <c r="AJ326" s="307">
        <v>10.76332</v>
      </c>
      <c r="AK326" s="307">
        <v>8.5361729999999998</v>
      </c>
      <c r="AL326" s="307">
        <v>5.1027060000000004</v>
      </c>
      <c r="AM326" s="307">
        <v>7.5916779999999999</v>
      </c>
      <c r="AN326" s="307">
        <v>10.01939</v>
      </c>
      <c r="AO326" s="307">
        <v>8.7404989999999998</v>
      </c>
      <c r="AP326" s="307">
        <v>8.3658570000000001</v>
      </c>
      <c r="AQ326" s="307">
        <v>7.5572809999999997</v>
      </c>
      <c r="AR326" s="307">
        <v>9.8195549999999994</v>
      </c>
      <c r="AS326" s="307">
        <v>12.9611</v>
      </c>
      <c r="AT326" s="307">
        <v>10.51286</v>
      </c>
      <c r="AU326" s="307">
        <v>7.6879179999999998</v>
      </c>
      <c r="AV326" s="307">
        <v>9.8501410000000007</v>
      </c>
      <c r="AW326" s="307">
        <v>6.4575690000000003</v>
      </c>
      <c r="AX326" s="307">
        <v>12.10378</v>
      </c>
      <c r="AY326" s="307">
        <v>8.1856059999999999</v>
      </c>
      <c r="AZ326" s="307">
        <v>10.42639</v>
      </c>
      <c r="BA326" s="307">
        <v>10.862500000000001</v>
      </c>
      <c r="BB326" s="307">
        <v>12.735189999999999</v>
      </c>
      <c r="BC326" s="307">
        <v>7.7903390000000003</v>
      </c>
      <c r="BD326" s="307">
        <v>6.6416969999999997</v>
      </c>
      <c r="BE326" s="307">
        <v>8.4854430000000001</v>
      </c>
      <c r="BF326" s="307">
        <v>10.10005</v>
      </c>
      <c r="BG326" s="307">
        <v>8.1982160000000004</v>
      </c>
      <c r="BH326" s="307">
        <v>10.55068</v>
      </c>
      <c r="BI326" s="307">
        <v>8.5044970000000006</v>
      </c>
      <c r="BJ326" s="307">
        <v>9.2380289999999992</v>
      </c>
      <c r="BK326" s="307">
        <v>7.7598440000000002</v>
      </c>
      <c r="BL326">
        <f t="shared" ref="BL326:BL389" si="20">COUNTIFS($C326:$BK326, 0)</f>
        <v>0</v>
      </c>
      <c r="BM326">
        <f t="shared" ref="BM326:BM389" si="21">AVERAGEIF($C326:$BK326, "&lt;&gt;0", $C326:$BK326)</f>
        <v>9.0501481639344252</v>
      </c>
      <c r="BN326">
        <f t="shared" ref="BN326:BN389" si="22">MAX($C326:$BK326)</f>
        <v>13.152559999999999</v>
      </c>
      <c r="BO326">
        <f t="array" ref="BO326">MIN(IF($C326:$BK326&gt;0, $C326:$BK326))</f>
        <v>1.8472569999999999</v>
      </c>
      <c r="BP326">
        <f t="shared" ref="BP326:BP389" si="23">MEDIAN($C326:$BK326)</f>
        <v>8.5922169999999998</v>
      </c>
    </row>
    <row r="327" spans="1:68" x14ac:dyDescent="0.25">
      <c r="A327" s="306">
        <v>511120</v>
      </c>
      <c r="B327" s="307" t="s">
        <v>287</v>
      </c>
      <c r="C327" s="307">
        <v>3.7281719999999998</v>
      </c>
      <c r="D327" s="307">
        <v>5.297174</v>
      </c>
      <c r="E327" s="307">
        <v>4.375858</v>
      </c>
      <c r="F327" s="307">
        <v>6.3271810000000004</v>
      </c>
      <c r="G327" s="307">
        <v>4.4746940000000004</v>
      </c>
      <c r="H327" s="307">
        <v>3.3437579999999998</v>
      </c>
      <c r="I327" s="307">
        <v>4.2330370000000004</v>
      </c>
      <c r="J327" s="307">
        <v>3.084972</v>
      </c>
      <c r="K327" s="307">
        <v>0.93329119999999999</v>
      </c>
      <c r="L327" s="307">
        <v>4.2081099999999996</v>
      </c>
      <c r="M327" s="307">
        <v>4.8167669999999996</v>
      </c>
      <c r="N327" s="307">
        <v>4.1022040000000004</v>
      </c>
      <c r="O327" s="307">
        <v>4.752294</v>
      </c>
      <c r="P327" s="307">
        <v>3.6820849999999998</v>
      </c>
      <c r="Q327" s="307">
        <v>6.5398509999999996</v>
      </c>
      <c r="R327" s="307">
        <v>3.0195379999999998</v>
      </c>
      <c r="S327" s="307">
        <v>5.5710519999999999</v>
      </c>
      <c r="T327" s="307">
        <v>4.3194939999999997</v>
      </c>
      <c r="U327" s="307">
        <v>4.8898619999999999</v>
      </c>
      <c r="V327" s="307">
        <v>6.3711840000000004</v>
      </c>
      <c r="W327" s="307">
        <v>2.9418280000000001</v>
      </c>
      <c r="X327" s="307">
        <v>3.80844</v>
      </c>
      <c r="Y327" s="307">
        <v>5.8731340000000003</v>
      </c>
      <c r="Z327" s="307">
        <v>4.0974560000000002</v>
      </c>
      <c r="AA327" s="307">
        <v>4.531625</v>
      </c>
      <c r="AB327" s="307">
        <v>4.1825989999999997</v>
      </c>
      <c r="AC327" s="307">
        <v>6.0407549999999999</v>
      </c>
      <c r="AD327" s="307">
        <v>6.9393459999999996</v>
      </c>
      <c r="AE327" s="307">
        <v>4.6705110000000003</v>
      </c>
      <c r="AF327" s="307">
        <v>6.31996</v>
      </c>
      <c r="AG327" s="307">
        <v>5.1323970000000001</v>
      </c>
      <c r="AH327" s="307">
        <v>3.3343449999999999</v>
      </c>
      <c r="AI327" s="307">
        <v>2.6224159999999999</v>
      </c>
      <c r="AJ327" s="307">
        <v>5.163748</v>
      </c>
      <c r="AK327" s="307">
        <v>5.2429309999999996</v>
      </c>
      <c r="AL327" s="307">
        <v>2.578052</v>
      </c>
      <c r="AM327" s="307">
        <v>4.3278499999999998</v>
      </c>
      <c r="AN327" s="307">
        <v>5.4275370000000001</v>
      </c>
      <c r="AO327" s="307">
        <v>5.9642520000000001</v>
      </c>
      <c r="AP327" s="307">
        <v>3.5605600000000002</v>
      </c>
      <c r="AQ327" s="307">
        <v>5.0078319999999996</v>
      </c>
      <c r="AR327" s="307">
        <v>5.4606089999999998</v>
      </c>
      <c r="AS327" s="307">
        <v>6.8385569999999998</v>
      </c>
      <c r="AT327" s="307">
        <v>5.0768380000000004</v>
      </c>
      <c r="AU327" s="307">
        <v>4.5169230000000002</v>
      </c>
      <c r="AV327" s="307">
        <v>6.8141340000000001</v>
      </c>
      <c r="AW327" s="307">
        <v>2.6727289999999999</v>
      </c>
      <c r="AX327" s="307">
        <v>5.7361839999999997</v>
      </c>
      <c r="AY327" s="307">
        <v>3.7515839999999998</v>
      </c>
      <c r="AZ327" s="307">
        <v>5.5716890000000001</v>
      </c>
      <c r="BA327" s="307">
        <v>6.4549760000000003</v>
      </c>
      <c r="BB327" s="307">
        <v>6.8862379999999996</v>
      </c>
      <c r="BC327" s="307">
        <v>3.386838</v>
      </c>
      <c r="BD327" s="307">
        <v>3.0944020000000001</v>
      </c>
      <c r="BE327" s="307">
        <v>3.8032560000000002</v>
      </c>
      <c r="BF327" s="307">
        <v>4.4335599999999999</v>
      </c>
      <c r="BG327" s="307">
        <v>4.0347390000000001</v>
      </c>
      <c r="BH327" s="307">
        <v>4.8713600000000001</v>
      </c>
      <c r="BI327" s="307">
        <v>4.8627050000000001</v>
      </c>
      <c r="BJ327" s="307">
        <v>4.7914099999999999</v>
      </c>
      <c r="BK327" s="307">
        <v>3.5327199999999999</v>
      </c>
      <c r="BL327">
        <f t="shared" si="20"/>
        <v>0</v>
      </c>
      <c r="BM327">
        <f t="shared" si="21"/>
        <v>4.6299934950819681</v>
      </c>
      <c r="BN327">
        <f t="shared" si="22"/>
        <v>6.9393459999999996</v>
      </c>
      <c r="BO327">
        <f t="array" ref="BO327">MIN(IF($C327:$BK327&gt;0, $C327:$BK327))</f>
        <v>0.93329119999999999</v>
      </c>
      <c r="BP327">
        <f t="shared" si="23"/>
        <v>4.531625</v>
      </c>
    </row>
    <row r="328" spans="1:68" x14ac:dyDescent="0.25">
      <c r="A328" s="306">
        <v>511130</v>
      </c>
      <c r="B328" s="307" t="s">
        <v>288</v>
      </c>
      <c r="C328" s="307">
        <v>3.4141699999999999</v>
      </c>
      <c r="D328" s="307">
        <v>5.1812820000000004</v>
      </c>
      <c r="E328" s="307">
        <v>4.7220570000000004</v>
      </c>
      <c r="F328" s="307">
        <v>4.2028569999999998</v>
      </c>
      <c r="G328" s="307">
        <v>4.7121199999999996</v>
      </c>
      <c r="H328" s="307">
        <v>3.3525149999999999</v>
      </c>
      <c r="I328" s="307">
        <v>3.9806919999999999</v>
      </c>
      <c r="J328" s="307">
        <v>2.6350289999999998</v>
      </c>
      <c r="K328" s="307">
        <v>0.86661759999999999</v>
      </c>
      <c r="L328" s="307">
        <v>3.3331580000000001</v>
      </c>
      <c r="M328" s="307">
        <v>4.5360519999999998</v>
      </c>
      <c r="N328" s="307">
        <v>3.8481429999999999</v>
      </c>
      <c r="O328" s="307">
        <v>5.5292750000000002</v>
      </c>
      <c r="P328" s="307">
        <v>4.5383110000000002</v>
      </c>
      <c r="Q328" s="307">
        <v>5.6790380000000003</v>
      </c>
      <c r="R328" s="307">
        <v>3.1604760000000001</v>
      </c>
      <c r="S328" s="307">
        <v>4.4180520000000003</v>
      </c>
      <c r="T328" s="307">
        <v>4.5522689999999999</v>
      </c>
      <c r="U328" s="307">
        <v>5.4510079999999999</v>
      </c>
      <c r="V328" s="307">
        <v>3.9531640000000001</v>
      </c>
      <c r="W328" s="307">
        <v>2.7317900000000002</v>
      </c>
      <c r="X328" s="307">
        <v>4.1101549999999998</v>
      </c>
      <c r="Y328" s="307">
        <v>5.2329889999999999</v>
      </c>
      <c r="Z328" s="307">
        <v>3.216828</v>
      </c>
      <c r="AA328" s="307">
        <v>2.9585840000000001</v>
      </c>
      <c r="AB328" s="307">
        <v>3.7944149999999999</v>
      </c>
      <c r="AC328" s="307">
        <v>4.7886470000000001</v>
      </c>
      <c r="AD328" s="307">
        <v>5.5014940000000001</v>
      </c>
      <c r="AE328" s="307">
        <v>4.0252549999999996</v>
      </c>
      <c r="AF328" s="307">
        <v>5.4876529999999999</v>
      </c>
      <c r="AG328" s="307">
        <v>3.9442970000000002</v>
      </c>
      <c r="AH328" s="307">
        <v>3.0200369999999999</v>
      </c>
      <c r="AI328" s="307">
        <v>2.43513</v>
      </c>
      <c r="AJ328" s="307">
        <v>5.4643350000000002</v>
      </c>
      <c r="AK328" s="307">
        <v>3.3429160000000002</v>
      </c>
      <c r="AL328" s="307">
        <v>2.3939680000000001</v>
      </c>
      <c r="AM328" s="307">
        <v>3.42944</v>
      </c>
      <c r="AN328" s="307">
        <v>4.6533709999999999</v>
      </c>
      <c r="AO328" s="307">
        <v>5.2504629999999999</v>
      </c>
      <c r="AP328" s="307">
        <v>3.4598550000000001</v>
      </c>
      <c r="AQ328" s="307">
        <v>4.1078330000000003</v>
      </c>
      <c r="AR328" s="307">
        <v>3.7010000000000001</v>
      </c>
      <c r="AS328" s="307">
        <v>5.938034</v>
      </c>
      <c r="AT328" s="307">
        <v>4.4910040000000002</v>
      </c>
      <c r="AU328" s="307">
        <v>4.2585790000000001</v>
      </c>
      <c r="AV328" s="307">
        <v>5.3192310000000003</v>
      </c>
      <c r="AW328" s="307">
        <v>2.8283450000000001</v>
      </c>
      <c r="AX328" s="307">
        <v>5.3827949999999998</v>
      </c>
      <c r="AY328" s="307">
        <v>3.8765010000000002</v>
      </c>
      <c r="AZ328" s="307">
        <v>3.9550709999999998</v>
      </c>
      <c r="BA328" s="307">
        <v>5.6048439999999999</v>
      </c>
      <c r="BB328" s="307">
        <v>4.7277829999999996</v>
      </c>
      <c r="BC328" s="307">
        <v>2.981627</v>
      </c>
      <c r="BD328" s="307">
        <v>2.8474409999999999</v>
      </c>
      <c r="BE328" s="307">
        <v>3.5682749999999999</v>
      </c>
      <c r="BF328" s="307">
        <v>3.315639</v>
      </c>
      <c r="BG328" s="307">
        <v>3.9173619999999998</v>
      </c>
      <c r="BH328" s="307">
        <v>4.7114710000000004</v>
      </c>
      <c r="BI328" s="307">
        <v>4.2786489999999997</v>
      </c>
      <c r="BJ328" s="307">
        <v>4.5501420000000001</v>
      </c>
      <c r="BK328" s="307">
        <v>3.480388</v>
      </c>
      <c r="BL328">
        <f t="shared" si="20"/>
        <v>0</v>
      </c>
      <c r="BM328">
        <f t="shared" si="21"/>
        <v>4.0844249442622944</v>
      </c>
      <c r="BN328">
        <f t="shared" si="22"/>
        <v>5.938034</v>
      </c>
      <c r="BO328">
        <f t="array" ref="BO328">MIN(IF($C328:$BK328&gt;0, $C328:$BK328))</f>
        <v>0.86661759999999999</v>
      </c>
      <c r="BP328">
        <f t="shared" si="23"/>
        <v>4.0252549999999996</v>
      </c>
    </row>
    <row r="329" spans="1:68" x14ac:dyDescent="0.25">
      <c r="A329" s="306" t="s">
        <v>762</v>
      </c>
      <c r="B329" s="307" t="s">
        <v>289</v>
      </c>
      <c r="C329" s="307">
        <v>2.9551940000000001</v>
      </c>
      <c r="D329" s="307">
        <v>3.32179</v>
      </c>
      <c r="E329" s="307">
        <v>3.7550539999999999</v>
      </c>
      <c r="F329" s="307">
        <v>4.2859230000000004</v>
      </c>
      <c r="G329" s="307">
        <v>3.5932270000000002</v>
      </c>
      <c r="H329" s="307">
        <v>2.9372690000000001</v>
      </c>
      <c r="I329" s="307">
        <v>2.724399</v>
      </c>
      <c r="J329" s="307">
        <v>2.5242710000000002</v>
      </c>
      <c r="K329" s="307">
        <v>0.67995799999999995</v>
      </c>
      <c r="L329" s="307">
        <v>3.5622590000000001</v>
      </c>
      <c r="M329" s="307">
        <v>3.2742339999999999</v>
      </c>
      <c r="N329" s="307">
        <v>2.6175630000000001</v>
      </c>
      <c r="O329" s="307">
        <v>2.2328899999999998</v>
      </c>
      <c r="P329" s="307">
        <v>3.979854</v>
      </c>
      <c r="Q329" s="307">
        <v>4.0847129999999998</v>
      </c>
      <c r="R329" s="307">
        <v>2.9063569999999999</v>
      </c>
      <c r="S329" s="307">
        <v>3.3336700000000001</v>
      </c>
      <c r="T329" s="307">
        <v>3.471444</v>
      </c>
      <c r="U329" s="307">
        <v>3.8170929999999998</v>
      </c>
      <c r="V329" s="307">
        <v>3.4176700000000002</v>
      </c>
      <c r="W329" s="307">
        <v>2.143284</v>
      </c>
      <c r="X329" s="307">
        <v>2.825536</v>
      </c>
      <c r="Y329" s="307">
        <v>4.3186489999999997</v>
      </c>
      <c r="Z329" s="307">
        <v>2.3839039999999998</v>
      </c>
      <c r="AA329" s="307">
        <v>3.3205399999999998</v>
      </c>
      <c r="AB329" s="307">
        <v>2.0749029999999999</v>
      </c>
      <c r="AC329" s="307">
        <v>3.2158720000000001</v>
      </c>
      <c r="AD329" s="307">
        <v>3.8552469999999999</v>
      </c>
      <c r="AE329" s="307">
        <v>3.4117899999999999</v>
      </c>
      <c r="AF329" s="307">
        <v>2.6849050000000001</v>
      </c>
      <c r="AG329" s="307">
        <v>3.731614</v>
      </c>
      <c r="AH329" s="307">
        <v>2.0737299999999999</v>
      </c>
      <c r="AI329" s="307">
        <v>1.9105220000000001</v>
      </c>
      <c r="AJ329" s="307">
        <v>2.9298009999999999</v>
      </c>
      <c r="AK329" s="307">
        <v>2.1716660000000001</v>
      </c>
      <c r="AL329" s="307">
        <v>2.0909270000000002</v>
      </c>
      <c r="AM329" s="307">
        <v>2.845097</v>
      </c>
      <c r="AN329" s="307">
        <v>4.2736669999999997</v>
      </c>
      <c r="AO329" s="307">
        <v>3.5374819999999998</v>
      </c>
      <c r="AP329" s="307">
        <v>3.1054919999999999</v>
      </c>
      <c r="AQ329" s="307">
        <v>3.454466</v>
      </c>
      <c r="AR329" s="307">
        <v>3.0824750000000001</v>
      </c>
      <c r="AS329" s="307">
        <v>3.9223370000000002</v>
      </c>
      <c r="AT329" s="307">
        <v>4.184844</v>
      </c>
      <c r="AU329" s="307">
        <v>2.589159</v>
      </c>
      <c r="AV329" s="307">
        <v>4.3139580000000004</v>
      </c>
      <c r="AW329" s="307">
        <v>2.149292</v>
      </c>
      <c r="AX329" s="307">
        <v>3.9885860000000002</v>
      </c>
      <c r="AY329" s="307">
        <v>2.8415979999999998</v>
      </c>
      <c r="AZ329" s="307">
        <v>3.3817529999999998</v>
      </c>
      <c r="BA329" s="307">
        <v>3.993341</v>
      </c>
      <c r="BB329" s="307">
        <v>2.5593819999999998</v>
      </c>
      <c r="BC329" s="307">
        <v>2.4818280000000001</v>
      </c>
      <c r="BD329" s="307">
        <v>2.5757910000000002</v>
      </c>
      <c r="BE329" s="307">
        <v>2.9084439999999998</v>
      </c>
      <c r="BF329" s="307">
        <v>2.826098</v>
      </c>
      <c r="BG329" s="307">
        <v>3.1496409999999999</v>
      </c>
      <c r="BH329" s="307">
        <v>3.979095</v>
      </c>
      <c r="BI329" s="307">
        <v>3.1553819999999999</v>
      </c>
      <c r="BJ329" s="307">
        <v>2.9123709999999998</v>
      </c>
      <c r="BK329" s="307">
        <v>2.9408300000000001</v>
      </c>
      <c r="BL329">
        <f t="shared" si="20"/>
        <v>0</v>
      </c>
      <c r="BM329">
        <f t="shared" si="21"/>
        <v>3.110985754098361</v>
      </c>
      <c r="BN329">
        <f t="shared" si="22"/>
        <v>4.3186489999999997</v>
      </c>
      <c r="BO329">
        <f t="array" ref="BO329">MIN(IF($C329:$BK329&gt;0, $C329:$BK329))</f>
        <v>0.67995799999999995</v>
      </c>
      <c r="BP329">
        <f t="shared" si="23"/>
        <v>3.1054919999999999</v>
      </c>
    </row>
    <row r="330" spans="1:68" x14ac:dyDescent="0.25">
      <c r="A330" s="306">
        <v>511200</v>
      </c>
      <c r="B330" s="307" t="s">
        <v>290</v>
      </c>
      <c r="C330" s="307">
        <v>3.4281630000000001</v>
      </c>
      <c r="D330" s="307">
        <v>6.1723879999999998</v>
      </c>
      <c r="E330" s="307">
        <v>6.1244649999999998</v>
      </c>
      <c r="F330" s="307">
        <v>5.9714020000000003</v>
      </c>
      <c r="G330" s="307">
        <v>4.8423129999999999</v>
      </c>
      <c r="H330" s="307">
        <v>2.9510019999999999</v>
      </c>
      <c r="I330" s="307">
        <v>3.4821710000000001</v>
      </c>
      <c r="J330" s="307">
        <v>3.0605920000000002</v>
      </c>
      <c r="K330" s="307">
        <v>0.88750700000000005</v>
      </c>
      <c r="L330" s="307">
        <v>4.3210160000000002</v>
      </c>
      <c r="M330" s="307">
        <v>4.0969259999999998</v>
      </c>
      <c r="N330" s="307">
        <v>3.218477</v>
      </c>
      <c r="O330" s="307">
        <v>4.4641070000000003</v>
      </c>
      <c r="P330" s="307">
        <v>5.523244</v>
      </c>
      <c r="Q330" s="307">
        <v>4.5186479999999998</v>
      </c>
      <c r="R330" s="307">
        <v>3.8804940000000001</v>
      </c>
      <c r="S330" s="307">
        <v>4.3935789999999999</v>
      </c>
      <c r="T330" s="307">
        <v>4.3888449999999999</v>
      </c>
      <c r="U330" s="307">
        <v>5.6334970000000002</v>
      </c>
      <c r="V330" s="307">
        <v>5.4400729999999999</v>
      </c>
      <c r="W330" s="307">
        <v>2.9009140000000002</v>
      </c>
      <c r="X330" s="307">
        <v>3.5073660000000002</v>
      </c>
      <c r="Y330" s="307">
        <v>6.2050939999999999</v>
      </c>
      <c r="Z330" s="307">
        <v>3.910676</v>
      </c>
      <c r="AA330" s="307">
        <v>4.0098469999999997</v>
      </c>
      <c r="AB330" s="307">
        <v>3.502186</v>
      </c>
      <c r="AC330" s="307">
        <v>5.7568640000000002</v>
      </c>
      <c r="AD330" s="307">
        <v>6.2277209999999998</v>
      </c>
      <c r="AE330" s="307">
        <v>3.813291</v>
      </c>
      <c r="AF330" s="307">
        <v>3.8412280000000001</v>
      </c>
      <c r="AG330" s="307">
        <v>5.5557999999999996</v>
      </c>
      <c r="AH330" s="307">
        <v>2.9736859999999998</v>
      </c>
      <c r="AI330" s="307">
        <v>2.7029320000000001</v>
      </c>
      <c r="AJ330" s="307">
        <v>4.7768800000000002</v>
      </c>
      <c r="AK330" s="307">
        <v>4.7059139999999999</v>
      </c>
      <c r="AL330" s="307">
        <v>2.5340189999999998</v>
      </c>
      <c r="AM330" s="307">
        <v>4.585966</v>
      </c>
      <c r="AN330" s="307">
        <v>6.1404889999999996</v>
      </c>
      <c r="AO330" s="307">
        <v>4.2525639999999996</v>
      </c>
      <c r="AP330" s="307">
        <v>3.4274710000000002</v>
      </c>
      <c r="AQ330" s="307">
        <v>3.8860399999999999</v>
      </c>
      <c r="AR330" s="307">
        <v>5.6010549999999997</v>
      </c>
      <c r="AS330" s="307">
        <v>6.1369579999999999</v>
      </c>
      <c r="AT330" s="307">
        <v>2.8577789999999998</v>
      </c>
      <c r="AU330" s="307">
        <v>3.4920789999999999</v>
      </c>
      <c r="AV330" s="307">
        <v>5.1542719999999997</v>
      </c>
      <c r="AW330" s="307">
        <v>2.603653</v>
      </c>
      <c r="AX330" s="307">
        <v>5.4369490000000003</v>
      </c>
      <c r="AY330" s="307">
        <v>2.945036</v>
      </c>
      <c r="AZ330" s="307">
        <v>4.6223890000000001</v>
      </c>
      <c r="BA330" s="307">
        <v>5.0453999999999999</v>
      </c>
      <c r="BB330" s="307">
        <v>5.4918180000000003</v>
      </c>
      <c r="BC330" s="307">
        <v>3.0856750000000002</v>
      </c>
      <c r="BD330" s="307">
        <v>3.2117960000000001</v>
      </c>
      <c r="BE330" s="307">
        <v>4.2784930000000001</v>
      </c>
      <c r="BF330" s="307">
        <v>4.2568140000000003</v>
      </c>
      <c r="BG330" s="307">
        <v>3.6054010000000001</v>
      </c>
      <c r="BH330" s="307">
        <v>3.7437399999999998</v>
      </c>
      <c r="BI330" s="307">
        <v>3.6061380000000001</v>
      </c>
      <c r="BJ330" s="307">
        <v>4.0473100000000004</v>
      </c>
      <c r="BK330" s="307">
        <v>3.0469840000000001</v>
      </c>
      <c r="BL330">
        <f t="shared" si="20"/>
        <v>0</v>
      </c>
      <c r="BM330">
        <f t="shared" si="21"/>
        <v>4.2341900983606555</v>
      </c>
      <c r="BN330">
        <f t="shared" si="22"/>
        <v>6.2277209999999998</v>
      </c>
      <c r="BO330">
        <f t="array" ref="BO330">MIN(IF($C330:$BK330&gt;0, $C330:$BK330))</f>
        <v>0.88750700000000005</v>
      </c>
      <c r="BP330">
        <f t="shared" si="23"/>
        <v>4.0969259999999998</v>
      </c>
    </row>
    <row r="331" spans="1:68" x14ac:dyDescent="0.25">
      <c r="A331" s="306">
        <v>512100</v>
      </c>
      <c r="B331" s="307" t="s">
        <v>291</v>
      </c>
      <c r="C331" s="307">
        <v>6.0498760000000003</v>
      </c>
      <c r="D331" s="307">
        <v>16.048629999999999</v>
      </c>
      <c r="E331" s="307">
        <v>16.633220000000001</v>
      </c>
      <c r="F331" s="307">
        <v>13.17779</v>
      </c>
      <c r="G331" s="307">
        <v>12.51646</v>
      </c>
      <c r="H331" s="307">
        <v>4.4952069999999997</v>
      </c>
      <c r="I331" s="307">
        <v>11.64086</v>
      </c>
      <c r="J331" s="307">
        <v>7.4084979999999998</v>
      </c>
      <c r="K331" s="307">
        <v>2.026354</v>
      </c>
      <c r="L331" s="307">
        <v>11.091530000000001</v>
      </c>
      <c r="M331" s="307">
        <v>6.6220359999999996</v>
      </c>
      <c r="N331" s="307">
        <v>8.2679469999999995</v>
      </c>
      <c r="O331" s="307">
        <v>8.1271459999999998</v>
      </c>
      <c r="P331" s="307">
        <v>15.07109</v>
      </c>
      <c r="Q331" s="307">
        <v>3.948356</v>
      </c>
      <c r="R331" s="307">
        <v>7.1092519999999997</v>
      </c>
      <c r="S331" s="307">
        <v>16.255739999999999</v>
      </c>
      <c r="T331" s="307">
        <v>15.253690000000001</v>
      </c>
      <c r="U331" s="307">
        <v>16.697800000000001</v>
      </c>
      <c r="V331" s="307">
        <v>7.918558</v>
      </c>
      <c r="W331" s="307">
        <v>7.2259130000000003</v>
      </c>
      <c r="X331" s="307">
        <v>9.7807560000000002</v>
      </c>
      <c r="Y331" s="307">
        <v>8.3168009999999999</v>
      </c>
      <c r="Z331" s="307">
        <v>10.61393</v>
      </c>
      <c r="AA331" s="307">
        <v>12.9109</v>
      </c>
      <c r="AB331" s="307">
        <v>11.425840000000001</v>
      </c>
      <c r="AC331" s="307">
        <v>4.0205229999999998</v>
      </c>
      <c r="AD331" s="307">
        <v>16.377800000000001</v>
      </c>
      <c r="AE331" s="307">
        <v>13.0793</v>
      </c>
      <c r="AF331" s="307">
        <v>3.340986</v>
      </c>
      <c r="AG331" s="307">
        <v>4.3295640000000004</v>
      </c>
      <c r="AH331" s="307">
        <v>6.487304</v>
      </c>
      <c r="AI331" s="307">
        <v>5.6292980000000004</v>
      </c>
      <c r="AJ331" s="307">
        <v>7.0235830000000004</v>
      </c>
      <c r="AK331" s="307">
        <v>8.8859180000000002</v>
      </c>
      <c r="AL331" s="307">
        <v>3.7926549999999999</v>
      </c>
      <c r="AM331" s="307">
        <v>13.582789999999999</v>
      </c>
      <c r="AN331" s="307">
        <v>14.195880000000001</v>
      </c>
      <c r="AO331" s="307">
        <v>7.8223289999999999</v>
      </c>
      <c r="AP331" s="307">
        <v>8.2404569999999993</v>
      </c>
      <c r="AQ331" s="307">
        <v>8.37561</v>
      </c>
      <c r="AR331" s="307">
        <v>17.085599999999999</v>
      </c>
      <c r="AS331" s="307">
        <v>13.547079999999999</v>
      </c>
      <c r="AT331" s="307">
        <v>6.1877219999999999</v>
      </c>
      <c r="AU331" s="307">
        <v>9.9620610000000003</v>
      </c>
      <c r="AV331" s="307">
        <v>12.42399</v>
      </c>
      <c r="AW331" s="307">
        <v>8.002618</v>
      </c>
      <c r="AX331" s="307">
        <v>17.735240000000001</v>
      </c>
      <c r="AY331" s="307">
        <v>12.186</v>
      </c>
      <c r="AZ331" s="307">
        <v>12.741250000000001</v>
      </c>
      <c r="BA331" s="307">
        <v>4.3273859999999997</v>
      </c>
      <c r="BB331" s="307">
        <v>18.905010000000001</v>
      </c>
      <c r="BC331" s="307">
        <v>7.9279890000000002</v>
      </c>
      <c r="BD331" s="307">
        <v>4.8189849999999996</v>
      </c>
      <c r="BE331" s="307">
        <v>10.25264</v>
      </c>
      <c r="BF331" s="307">
        <v>11.52563</v>
      </c>
      <c r="BG331" s="307">
        <v>8.2089409999999994</v>
      </c>
      <c r="BH331" s="307">
        <v>7.4745900000000001</v>
      </c>
      <c r="BI331" s="307">
        <v>9.9368379999999998</v>
      </c>
      <c r="BJ331" s="307">
        <v>9.9109800000000003</v>
      </c>
      <c r="BK331" s="307">
        <v>4.7081340000000003</v>
      </c>
      <c r="BL331">
        <f t="shared" si="20"/>
        <v>0</v>
      </c>
      <c r="BM331">
        <f t="shared" si="21"/>
        <v>9.8309321475409828</v>
      </c>
      <c r="BN331">
        <f t="shared" si="22"/>
        <v>18.905010000000001</v>
      </c>
      <c r="BO331">
        <f t="array" ref="BO331">MIN(IF($C331:$BK331&gt;0, $C331:$BK331))</f>
        <v>2.026354</v>
      </c>
      <c r="BP331">
        <f t="shared" si="23"/>
        <v>8.8859180000000002</v>
      </c>
    </row>
    <row r="332" spans="1:68" x14ac:dyDescent="0.25">
      <c r="A332" s="306">
        <v>512200</v>
      </c>
      <c r="B332" s="307" t="s">
        <v>292</v>
      </c>
      <c r="C332" s="307">
        <v>3.5563150000000001</v>
      </c>
      <c r="D332" s="307">
        <v>6.4731579999999997</v>
      </c>
      <c r="E332" s="307">
        <v>6.7745430000000004</v>
      </c>
      <c r="F332" s="307">
        <v>6.2392640000000004</v>
      </c>
      <c r="G332" s="307">
        <v>5.5763259999999999</v>
      </c>
      <c r="H332" s="307">
        <v>2.8901750000000002</v>
      </c>
      <c r="I332" s="307">
        <v>5.3184469999999999</v>
      </c>
      <c r="J332" s="307">
        <v>4.2686460000000004</v>
      </c>
      <c r="K332" s="307">
        <v>1.302827</v>
      </c>
      <c r="L332" s="307">
        <v>6.5923600000000002</v>
      </c>
      <c r="M332" s="307">
        <v>3.5180500000000001</v>
      </c>
      <c r="N332" s="307">
        <v>4.6742730000000003</v>
      </c>
      <c r="O332" s="307">
        <v>6.7806860000000002</v>
      </c>
      <c r="P332" s="307">
        <v>7.8287459999999998</v>
      </c>
      <c r="Q332" s="307">
        <v>3.1748440000000002</v>
      </c>
      <c r="R332" s="307">
        <v>4.7160399999999996</v>
      </c>
      <c r="S332" s="307">
        <v>4.5239459999999996</v>
      </c>
      <c r="T332" s="307">
        <v>5.4299429999999997</v>
      </c>
      <c r="U332" s="307">
        <v>7.7561410000000004</v>
      </c>
      <c r="V332" s="307">
        <v>6.9689220000000001</v>
      </c>
      <c r="W332" s="307">
        <v>4.718261</v>
      </c>
      <c r="X332" s="307">
        <v>4.5761890000000003</v>
      </c>
      <c r="Y332" s="307">
        <v>2.7982399999999998</v>
      </c>
      <c r="Z332" s="307">
        <v>4.5394019999999999</v>
      </c>
      <c r="AA332" s="307">
        <v>6.9203419999999998</v>
      </c>
      <c r="AB332" s="307">
        <v>5.0958959999999998</v>
      </c>
      <c r="AC332" s="307">
        <v>4.3892340000000001</v>
      </c>
      <c r="AD332" s="307">
        <v>8.4234069999999992</v>
      </c>
      <c r="AE332" s="307">
        <v>5.6752640000000003</v>
      </c>
      <c r="AF332" s="307">
        <v>4.5314110000000003</v>
      </c>
      <c r="AG332" s="307">
        <v>4.7377729999999998</v>
      </c>
      <c r="AH332" s="307">
        <v>4.5415489999999998</v>
      </c>
      <c r="AI332" s="307">
        <v>4.2170389999999998</v>
      </c>
      <c r="AJ332" s="307">
        <v>5.2093530000000001</v>
      </c>
      <c r="AK332" s="307">
        <v>5.6936689999999999</v>
      </c>
      <c r="AL332" s="307">
        <v>2.4383430000000001</v>
      </c>
      <c r="AM332" s="307">
        <v>5.0258050000000001</v>
      </c>
      <c r="AN332" s="307">
        <v>8.7819839999999996</v>
      </c>
      <c r="AO332" s="307">
        <v>6.3768219999999998</v>
      </c>
      <c r="AP332" s="307">
        <v>4.7937719999999997</v>
      </c>
      <c r="AQ332" s="307">
        <v>5.7536310000000004</v>
      </c>
      <c r="AR332" s="307">
        <v>4.1959330000000001</v>
      </c>
      <c r="AS332" s="307">
        <v>5.7655919999999998</v>
      </c>
      <c r="AT332" s="307">
        <v>3.1771889999999998</v>
      </c>
      <c r="AU332" s="307">
        <v>2.8159619999999999</v>
      </c>
      <c r="AV332" s="307">
        <v>3.7885239999999998</v>
      </c>
      <c r="AW332" s="307">
        <v>3.687357</v>
      </c>
      <c r="AX332" s="307">
        <v>4.5340769999999999</v>
      </c>
      <c r="AY332" s="307">
        <v>5.411035</v>
      </c>
      <c r="AZ332" s="307">
        <v>3.8730259999999999</v>
      </c>
      <c r="BA332" s="307">
        <v>2.8706900000000002</v>
      </c>
      <c r="BB332" s="307">
        <v>6.0035249999999998</v>
      </c>
      <c r="BC332" s="307">
        <v>4.4128090000000002</v>
      </c>
      <c r="BD332" s="307">
        <v>2.990364</v>
      </c>
      <c r="BE332" s="307">
        <v>4.6467210000000003</v>
      </c>
      <c r="BF332" s="307">
        <v>6.4667310000000002</v>
      </c>
      <c r="BG332" s="307">
        <v>4.2133330000000004</v>
      </c>
      <c r="BH332" s="307">
        <v>3.331378</v>
      </c>
      <c r="BI332" s="307">
        <v>3.0341740000000001</v>
      </c>
      <c r="BJ332" s="307">
        <v>5.4745549999999996</v>
      </c>
      <c r="BK332" s="307">
        <v>3.0492020000000002</v>
      </c>
      <c r="BL332">
        <f t="shared" si="20"/>
        <v>0</v>
      </c>
      <c r="BM332">
        <f t="shared" si="21"/>
        <v>4.8744789344262278</v>
      </c>
      <c r="BN332">
        <f t="shared" si="22"/>
        <v>8.7819839999999996</v>
      </c>
      <c r="BO332">
        <f t="array" ref="BO332">MIN(IF($C332:$BK332&gt;0, $C332:$BK332))</f>
        <v>1.302827</v>
      </c>
      <c r="BP332">
        <f t="shared" si="23"/>
        <v>4.6742730000000003</v>
      </c>
    </row>
    <row r="333" spans="1:68" x14ac:dyDescent="0.25">
      <c r="A333" s="306">
        <v>515100</v>
      </c>
      <c r="B333" s="307" t="s">
        <v>293</v>
      </c>
      <c r="C333" s="307">
        <v>4.5844579999999997</v>
      </c>
      <c r="D333" s="307">
        <v>6.3254200000000003</v>
      </c>
      <c r="E333" s="307">
        <v>7.3654580000000003</v>
      </c>
      <c r="F333" s="307">
        <v>5.3716569999999999</v>
      </c>
      <c r="G333" s="307">
        <v>4.345917</v>
      </c>
      <c r="H333" s="307">
        <v>3.602449</v>
      </c>
      <c r="I333" s="307">
        <v>4.4341030000000003</v>
      </c>
      <c r="J333" s="307">
        <v>4.4594449999999997</v>
      </c>
      <c r="K333" s="307">
        <v>0.93165560000000003</v>
      </c>
      <c r="L333" s="307">
        <v>3.4736189999999998</v>
      </c>
      <c r="M333" s="307">
        <v>3.9331070000000001</v>
      </c>
      <c r="N333" s="307">
        <v>3.927492</v>
      </c>
      <c r="O333" s="307">
        <v>6.9048579999999999</v>
      </c>
      <c r="P333" s="307">
        <v>7.017417</v>
      </c>
      <c r="Q333" s="307">
        <v>7.3212320000000002</v>
      </c>
      <c r="R333" s="307">
        <v>3.7333080000000001</v>
      </c>
      <c r="S333" s="307">
        <v>6.5333860000000001</v>
      </c>
      <c r="T333" s="307">
        <v>4.7390160000000003</v>
      </c>
      <c r="U333" s="307">
        <v>6.3516909999999998</v>
      </c>
      <c r="V333" s="307">
        <v>5.8690920000000002</v>
      </c>
      <c r="W333" s="307">
        <v>4.3333899999999996</v>
      </c>
      <c r="X333" s="307">
        <v>2.9429120000000002</v>
      </c>
      <c r="Y333" s="307">
        <v>6.3084860000000003</v>
      </c>
      <c r="Z333" s="307">
        <v>5.3489269999999998</v>
      </c>
      <c r="AA333" s="307">
        <v>5.4707239999999997</v>
      </c>
      <c r="AB333" s="307">
        <v>4.4007740000000002</v>
      </c>
      <c r="AC333" s="307">
        <v>5.4717029999999998</v>
      </c>
      <c r="AD333" s="307">
        <v>7.4651310000000004</v>
      </c>
      <c r="AE333" s="307">
        <v>5.3055979999999998</v>
      </c>
      <c r="AF333" s="307">
        <v>6.4927859999999997</v>
      </c>
      <c r="AG333" s="307">
        <v>7.1769350000000003</v>
      </c>
      <c r="AH333" s="307">
        <v>4.0633210000000002</v>
      </c>
      <c r="AI333" s="307">
        <v>3.105648</v>
      </c>
      <c r="AJ333" s="307">
        <v>5.6195209999999998</v>
      </c>
      <c r="AK333" s="307">
        <v>4.1982629999999999</v>
      </c>
      <c r="AL333" s="307">
        <v>2.9621909999999998</v>
      </c>
      <c r="AM333" s="307">
        <v>6.1869129999999997</v>
      </c>
      <c r="AN333" s="307">
        <v>4.9968849999999998</v>
      </c>
      <c r="AO333" s="307">
        <v>6.1592339999999997</v>
      </c>
      <c r="AP333" s="307">
        <v>3.9793889999999998</v>
      </c>
      <c r="AQ333" s="307">
        <v>4.0427650000000002</v>
      </c>
      <c r="AR333" s="307">
        <v>4.5727989999999998</v>
      </c>
      <c r="AS333" s="307">
        <v>7.0033539999999999</v>
      </c>
      <c r="AT333" s="307">
        <v>5.6835599999999999</v>
      </c>
      <c r="AU333" s="307">
        <v>4.547968</v>
      </c>
      <c r="AV333" s="307">
        <v>6.278734</v>
      </c>
      <c r="AW333" s="307">
        <v>4.1114850000000001</v>
      </c>
      <c r="AX333" s="307">
        <v>7.0586739999999999</v>
      </c>
      <c r="AY333" s="307">
        <v>4.0888960000000001</v>
      </c>
      <c r="AZ333" s="307">
        <v>5.4634080000000003</v>
      </c>
      <c r="BA333" s="307">
        <v>6.5411669999999997</v>
      </c>
      <c r="BB333" s="307">
        <v>7.2367840000000001</v>
      </c>
      <c r="BC333" s="307">
        <v>4.7891490000000001</v>
      </c>
      <c r="BD333" s="307">
        <v>3.6560809999999999</v>
      </c>
      <c r="BE333" s="307">
        <v>5.1368580000000001</v>
      </c>
      <c r="BF333" s="307">
        <v>5.8244040000000004</v>
      </c>
      <c r="BG333" s="307">
        <v>4.205775</v>
      </c>
      <c r="BH333" s="307">
        <v>6.227633</v>
      </c>
      <c r="BI333" s="307">
        <v>4.8410089999999997</v>
      </c>
      <c r="BJ333" s="307">
        <v>5.0264920000000002</v>
      </c>
      <c r="BK333" s="307">
        <v>3.9213260000000001</v>
      </c>
      <c r="BL333">
        <f t="shared" si="20"/>
        <v>0</v>
      </c>
      <c r="BM333">
        <f t="shared" si="21"/>
        <v>5.1388825016393449</v>
      </c>
      <c r="BN333">
        <f t="shared" si="22"/>
        <v>7.4651310000000004</v>
      </c>
      <c r="BO333">
        <f t="array" ref="BO333">MIN(IF($C333:$BK333&gt;0, $C333:$BK333))</f>
        <v>0.93165560000000003</v>
      </c>
      <c r="BP333">
        <f t="shared" si="23"/>
        <v>5.0264920000000002</v>
      </c>
    </row>
    <row r="334" spans="1:68" x14ac:dyDescent="0.25">
      <c r="A334" s="306">
        <v>515200</v>
      </c>
      <c r="B334" s="307" t="s">
        <v>294</v>
      </c>
      <c r="C334" s="307">
        <v>4.0718949999999996</v>
      </c>
      <c r="D334" s="307">
        <v>7.7999669999999997</v>
      </c>
      <c r="E334" s="307">
        <v>7.6956360000000004</v>
      </c>
      <c r="F334" s="307">
        <v>6.0924240000000003</v>
      </c>
      <c r="G334" s="307">
        <v>5.2671999999999999</v>
      </c>
      <c r="H334" s="307">
        <v>3.9953750000000001</v>
      </c>
      <c r="I334" s="307">
        <v>4.0514840000000003</v>
      </c>
      <c r="J334" s="307">
        <v>3.1658430000000002</v>
      </c>
      <c r="K334" s="307">
        <v>0.88057399999999997</v>
      </c>
      <c r="L334" s="307">
        <v>3.5472459999999999</v>
      </c>
      <c r="M334" s="307">
        <v>3.4313400000000001</v>
      </c>
      <c r="N334" s="307">
        <v>3.6509819999999999</v>
      </c>
      <c r="O334" s="307">
        <v>7.5837320000000004</v>
      </c>
      <c r="P334" s="307">
        <v>7.3323450000000001</v>
      </c>
      <c r="Q334" s="307">
        <v>7.6496069999999996</v>
      </c>
      <c r="R334" s="307">
        <v>4.0783569999999996</v>
      </c>
      <c r="S334" s="307">
        <v>2.964216</v>
      </c>
      <c r="T334" s="307">
        <v>4.4456819999999997</v>
      </c>
      <c r="U334" s="307">
        <v>6.6364570000000001</v>
      </c>
      <c r="V334" s="307">
        <v>5.4353480000000003</v>
      </c>
      <c r="W334" s="307">
        <v>4.7355390000000002</v>
      </c>
      <c r="X334" s="307">
        <v>2.5131429999999999</v>
      </c>
      <c r="Y334" s="307">
        <v>5.3920469999999998</v>
      </c>
      <c r="Z334" s="307">
        <v>5.5160650000000002</v>
      </c>
      <c r="AA334" s="307">
        <v>6.8740810000000003</v>
      </c>
      <c r="AB334" s="307">
        <v>4.2056750000000003</v>
      </c>
      <c r="AC334" s="307">
        <v>7.2454549999999998</v>
      </c>
      <c r="AD334" s="307">
        <v>5.0060700000000002</v>
      </c>
      <c r="AE334" s="307">
        <v>4.6921759999999999</v>
      </c>
      <c r="AF334" s="307">
        <v>0</v>
      </c>
      <c r="AG334" s="307">
        <v>5.6323559999999997</v>
      </c>
      <c r="AH334" s="307">
        <v>4.8436880000000002</v>
      </c>
      <c r="AI334" s="307">
        <v>2.6521509999999999</v>
      </c>
      <c r="AJ334" s="307">
        <v>4.8552609999999996</v>
      </c>
      <c r="AK334" s="307">
        <v>4.6011699999999998</v>
      </c>
      <c r="AL334" s="307">
        <v>2.7161010000000001</v>
      </c>
      <c r="AM334" s="307">
        <v>7.2418950000000004</v>
      </c>
      <c r="AN334" s="307">
        <v>4.857996</v>
      </c>
      <c r="AO334" s="307">
        <v>5.1278670000000002</v>
      </c>
      <c r="AP334" s="307">
        <v>3.3638599999999999</v>
      </c>
      <c r="AQ334" s="307">
        <v>3.4693010000000002</v>
      </c>
      <c r="AR334" s="307">
        <v>4.5393990000000004</v>
      </c>
      <c r="AS334" s="307">
        <v>5.385027</v>
      </c>
      <c r="AT334" s="307">
        <v>3.1800799999999998</v>
      </c>
      <c r="AU334" s="307">
        <v>5.0917289999999999</v>
      </c>
      <c r="AV334" s="307">
        <v>6.753482</v>
      </c>
      <c r="AW334" s="307">
        <v>3.5802230000000002</v>
      </c>
      <c r="AX334" s="307">
        <v>7.3756680000000001</v>
      </c>
      <c r="AY334" s="307">
        <v>3.852938</v>
      </c>
      <c r="AZ334" s="307">
        <v>4.5327000000000002</v>
      </c>
      <c r="BA334" s="307">
        <v>6.7213500000000002</v>
      </c>
      <c r="BB334" s="307">
        <v>6.5936130000000004</v>
      </c>
      <c r="BC334" s="307">
        <v>3.7056360000000002</v>
      </c>
      <c r="BD334" s="307">
        <v>3.2167319999999999</v>
      </c>
      <c r="BE334" s="307">
        <v>4.7053240000000001</v>
      </c>
      <c r="BF334" s="307">
        <v>5.6058450000000004</v>
      </c>
      <c r="BG334" s="307">
        <v>3.8993289999999998</v>
      </c>
      <c r="BH334" s="307">
        <v>4.0241980000000002</v>
      </c>
      <c r="BI334" s="307">
        <v>5.146833</v>
      </c>
      <c r="BJ334" s="307">
        <v>4.7485749999999998</v>
      </c>
      <c r="BK334" s="307">
        <v>4.0236400000000003</v>
      </c>
      <c r="BL334">
        <f t="shared" si="20"/>
        <v>1</v>
      </c>
      <c r="BM334">
        <f t="shared" si="21"/>
        <v>4.8666654666666682</v>
      </c>
      <c r="BN334">
        <f t="shared" si="22"/>
        <v>7.7999669999999997</v>
      </c>
      <c r="BO334">
        <f t="array" ref="BO334">MIN(IF($C334:$BK334&gt;0, $C334:$BK334))</f>
        <v>0.88057399999999997</v>
      </c>
      <c r="BP334">
        <f t="shared" si="23"/>
        <v>4.7053240000000001</v>
      </c>
    </row>
    <row r="335" spans="1:68" x14ac:dyDescent="0.25">
      <c r="A335" s="306">
        <v>517000</v>
      </c>
      <c r="B335" s="307" t="s">
        <v>295</v>
      </c>
      <c r="C335" s="307">
        <v>2.7194970000000001</v>
      </c>
      <c r="D335" s="307">
        <v>2.7599260000000001</v>
      </c>
      <c r="E335" s="307">
        <v>3.3515380000000001</v>
      </c>
      <c r="F335" s="307">
        <v>2.6103879999999999</v>
      </c>
      <c r="G335" s="307">
        <v>3.149235</v>
      </c>
      <c r="H335" s="307">
        <v>2.1893509999999998</v>
      </c>
      <c r="I335" s="307">
        <v>2.1749070000000001</v>
      </c>
      <c r="J335" s="307">
        <v>2.2624840000000002</v>
      </c>
      <c r="K335" s="307">
        <v>0.3332484</v>
      </c>
      <c r="L335" s="307">
        <v>2.5507819999999999</v>
      </c>
      <c r="M335" s="307">
        <v>3.340414</v>
      </c>
      <c r="N335" s="307">
        <v>2.3626960000000001</v>
      </c>
      <c r="O335" s="307">
        <v>2.8425929999999999</v>
      </c>
      <c r="P335" s="307">
        <v>3.775601</v>
      </c>
      <c r="Q335" s="307">
        <v>3.8796870000000001</v>
      </c>
      <c r="R335" s="307">
        <v>2.6497660000000001</v>
      </c>
      <c r="S335" s="307">
        <v>3.162722</v>
      </c>
      <c r="T335" s="307">
        <v>1.7862499999999999</v>
      </c>
      <c r="U335" s="307">
        <v>3.5037020000000001</v>
      </c>
      <c r="V335" s="307">
        <v>3.6452070000000001</v>
      </c>
      <c r="W335" s="307">
        <v>2.2106240000000001</v>
      </c>
      <c r="X335" s="307">
        <v>2.5338219999999998</v>
      </c>
      <c r="Y335" s="307">
        <v>3.2935189999999999</v>
      </c>
      <c r="Z335" s="307">
        <v>3.3421750000000001</v>
      </c>
      <c r="AA335" s="307">
        <v>2.9672179999999999</v>
      </c>
      <c r="AB335" s="307">
        <v>2.2836219999999998</v>
      </c>
      <c r="AC335" s="307">
        <v>3.786626</v>
      </c>
      <c r="AD335" s="307">
        <v>3.8146819999999999</v>
      </c>
      <c r="AE335" s="307">
        <v>3.1388470000000002</v>
      </c>
      <c r="AF335" s="307">
        <v>3.097677</v>
      </c>
      <c r="AG335" s="307">
        <v>3.2173379999999998</v>
      </c>
      <c r="AH335" s="307">
        <v>2.858123</v>
      </c>
      <c r="AI335" s="307">
        <v>2.0327920000000002</v>
      </c>
      <c r="AJ335" s="307">
        <v>3.8521779999999999</v>
      </c>
      <c r="AK335" s="307">
        <v>3.253339</v>
      </c>
      <c r="AL335" s="307">
        <v>2.0038649999999998</v>
      </c>
      <c r="AM335" s="307">
        <v>2.9937209999999999</v>
      </c>
      <c r="AN335" s="307">
        <v>3.4146350000000001</v>
      </c>
      <c r="AO335" s="307">
        <v>3.059069</v>
      </c>
      <c r="AP335" s="307">
        <v>2.546675</v>
      </c>
      <c r="AQ335" s="307">
        <v>2.06881</v>
      </c>
      <c r="AR335" s="307">
        <v>3.4376679999999999</v>
      </c>
      <c r="AS335" s="307">
        <v>3.6239189999999999</v>
      </c>
      <c r="AT335" s="307">
        <v>3.5328110000000001</v>
      </c>
      <c r="AU335" s="307">
        <v>2.7832330000000001</v>
      </c>
      <c r="AV335" s="307">
        <v>3.8909069999999999</v>
      </c>
      <c r="AW335" s="307">
        <v>1.8553029999999999</v>
      </c>
      <c r="AX335" s="307">
        <v>2.884563</v>
      </c>
      <c r="AY335" s="307">
        <v>2.3245079999999998</v>
      </c>
      <c r="AZ335" s="307">
        <v>3.3314110000000001</v>
      </c>
      <c r="BA335" s="307">
        <v>3.1022810000000001</v>
      </c>
      <c r="BB335" s="307">
        <v>3.4501240000000002</v>
      </c>
      <c r="BC335" s="307">
        <v>2.5083829999999998</v>
      </c>
      <c r="BD335" s="307">
        <v>2.326619</v>
      </c>
      <c r="BE335" s="307">
        <v>3.0168689999999998</v>
      </c>
      <c r="BF335" s="307">
        <v>2.7741899999999999</v>
      </c>
      <c r="BG335" s="307">
        <v>2.7613850000000002</v>
      </c>
      <c r="BH335" s="307">
        <v>3.573731</v>
      </c>
      <c r="BI335" s="307">
        <v>2.9034970000000002</v>
      </c>
      <c r="BJ335" s="307">
        <v>2.8270010000000001</v>
      </c>
      <c r="BK335" s="307">
        <v>2.2855349999999999</v>
      </c>
      <c r="BL335">
        <f t="shared" si="20"/>
        <v>0</v>
      </c>
      <c r="BM335">
        <f t="shared" si="21"/>
        <v>2.8854637606557381</v>
      </c>
      <c r="BN335">
        <f t="shared" si="22"/>
        <v>3.8909069999999999</v>
      </c>
      <c r="BO335">
        <f t="array" ref="BO335">MIN(IF($C335:$BK335&gt;0, $C335:$BK335))</f>
        <v>0.3332484</v>
      </c>
      <c r="BP335">
        <f t="shared" si="23"/>
        <v>2.9034970000000002</v>
      </c>
    </row>
    <row r="336" spans="1:68" x14ac:dyDescent="0.25">
      <c r="A336" s="306" t="s">
        <v>763</v>
      </c>
      <c r="B336" s="307" t="s">
        <v>764</v>
      </c>
      <c r="C336" s="307">
        <v>4.5872929999999998</v>
      </c>
      <c r="D336" s="307">
        <v>8.1018439999999998</v>
      </c>
      <c r="E336" s="307">
        <v>8.0249970000000008</v>
      </c>
      <c r="F336" s="307">
        <v>6.8934420000000003</v>
      </c>
      <c r="G336" s="307">
        <v>5.6550459999999996</v>
      </c>
      <c r="H336" s="307">
        <v>3.6805720000000002</v>
      </c>
      <c r="I336" s="307">
        <v>3.9404759999999999</v>
      </c>
      <c r="J336" s="307">
        <v>4.2576840000000002</v>
      </c>
      <c r="K336" s="307">
        <v>1.019971</v>
      </c>
      <c r="L336" s="307">
        <v>3.5254650000000001</v>
      </c>
      <c r="M336" s="307">
        <v>5.3366189999999998</v>
      </c>
      <c r="N336" s="307">
        <v>4.0341360000000002</v>
      </c>
      <c r="O336" s="307">
        <v>6.286346</v>
      </c>
      <c r="P336" s="307">
        <v>6.8512579999999996</v>
      </c>
      <c r="Q336" s="307">
        <v>6.416277</v>
      </c>
      <c r="R336" s="307">
        <v>3.7079680000000002</v>
      </c>
      <c r="S336" s="307">
        <v>6.853891</v>
      </c>
      <c r="T336" s="307">
        <v>4.64255</v>
      </c>
      <c r="U336" s="307">
        <v>6.6199349999999999</v>
      </c>
      <c r="V336" s="307">
        <v>6.5450739999999996</v>
      </c>
      <c r="W336" s="307">
        <v>3.4117549999999999</v>
      </c>
      <c r="X336" s="307">
        <v>4.5791259999999996</v>
      </c>
      <c r="Y336" s="307">
        <v>6.4334619999999996</v>
      </c>
      <c r="Z336" s="307">
        <v>6.5680120000000004</v>
      </c>
      <c r="AA336" s="307">
        <v>4.942221</v>
      </c>
      <c r="AB336" s="307">
        <v>3.988775</v>
      </c>
      <c r="AC336" s="307">
        <v>7.4580070000000003</v>
      </c>
      <c r="AD336" s="307">
        <v>7.796068</v>
      </c>
      <c r="AE336" s="307">
        <v>4.1699460000000004</v>
      </c>
      <c r="AF336" s="307">
        <v>7.3818979999999996</v>
      </c>
      <c r="AG336" s="307">
        <v>4.0392419999999998</v>
      </c>
      <c r="AH336" s="307">
        <v>5.4855200000000002</v>
      </c>
      <c r="AI336" s="307">
        <v>3.2157070000000001</v>
      </c>
      <c r="AJ336" s="307">
        <v>8.1253860000000007</v>
      </c>
      <c r="AK336" s="307">
        <v>6.7953419999999998</v>
      </c>
      <c r="AL336" s="307">
        <v>3.3155160000000001</v>
      </c>
      <c r="AM336" s="307">
        <v>5.9319980000000001</v>
      </c>
      <c r="AN336" s="307">
        <v>7.9609120000000004</v>
      </c>
      <c r="AO336" s="307">
        <v>4.2421069999999999</v>
      </c>
      <c r="AP336" s="307">
        <v>5.3162630000000002</v>
      </c>
      <c r="AQ336" s="307">
        <v>4.2885759999999999</v>
      </c>
      <c r="AR336" s="307">
        <v>5.4221149999999998</v>
      </c>
      <c r="AS336" s="307">
        <v>6.9789729999999999</v>
      </c>
      <c r="AT336" s="307">
        <v>5.3411670000000004</v>
      </c>
      <c r="AU336" s="307">
        <v>4.0942829999999999</v>
      </c>
      <c r="AV336" s="307">
        <v>6.503342</v>
      </c>
      <c r="AW336" s="307">
        <v>3.467406</v>
      </c>
      <c r="AX336" s="307">
        <v>6.9274300000000002</v>
      </c>
      <c r="AY336" s="307">
        <v>4.1944809999999997</v>
      </c>
      <c r="AZ336" s="307">
        <v>4.7456699999999996</v>
      </c>
      <c r="BA336" s="307">
        <v>6.7417590000000001</v>
      </c>
      <c r="BB336" s="307">
        <v>7.4992780000000003</v>
      </c>
      <c r="BC336" s="307">
        <v>4.2889090000000003</v>
      </c>
      <c r="BD336" s="307">
        <v>4.1147900000000002</v>
      </c>
      <c r="BE336" s="307">
        <v>4.8740990000000002</v>
      </c>
      <c r="BF336" s="307">
        <v>5.0417480000000001</v>
      </c>
      <c r="BG336" s="307">
        <v>4.6201220000000003</v>
      </c>
      <c r="BH336" s="307">
        <v>6.3798599999999999</v>
      </c>
      <c r="BI336" s="307">
        <v>4.3850569999999998</v>
      </c>
      <c r="BJ336" s="307">
        <v>5.3638940000000002</v>
      </c>
      <c r="BK336" s="307">
        <v>3.8303419999999999</v>
      </c>
      <c r="BL336">
        <f t="shared" si="20"/>
        <v>0</v>
      </c>
      <c r="BM336">
        <f t="shared" si="21"/>
        <v>5.3646132459016398</v>
      </c>
      <c r="BN336">
        <f t="shared" si="22"/>
        <v>8.1253860000000007</v>
      </c>
      <c r="BO336">
        <f t="array" ref="BO336">MIN(IF($C336:$BK336&gt;0, $C336:$BK336))</f>
        <v>1.019971</v>
      </c>
      <c r="BP336">
        <f t="shared" si="23"/>
        <v>5.3162630000000002</v>
      </c>
    </row>
    <row r="337" spans="1:68" x14ac:dyDescent="0.25">
      <c r="A337" s="306" t="s">
        <v>765</v>
      </c>
      <c r="B337" s="307" t="s">
        <v>296</v>
      </c>
      <c r="C337" s="307">
        <v>3.3878409999999999</v>
      </c>
      <c r="D337" s="307">
        <v>3.624037</v>
      </c>
      <c r="E337" s="307">
        <v>5.485589</v>
      </c>
      <c r="F337" s="307">
        <v>4.7035369999999999</v>
      </c>
      <c r="G337" s="307">
        <v>3.9612370000000001</v>
      </c>
      <c r="H337" s="307">
        <v>2.8307159999999998</v>
      </c>
      <c r="I337" s="307">
        <v>3.1854650000000002</v>
      </c>
      <c r="J337" s="307">
        <v>1.960229</v>
      </c>
      <c r="K337" s="307">
        <v>0.52928980000000003</v>
      </c>
      <c r="L337" s="307">
        <v>2.3386689999999999</v>
      </c>
      <c r="M337" s="307">
        <v>4.3795789999999997</v>
      </c>
      <c r="N337" s="307">
        <v>2.9058440000000001</v>
      </c>
      <c r="O337" s="307">
        <v>4.7450169999999998</v>
      </c>
      <c r="P337" s="307">
        <v>3.5108419999999998</v>
      </c>
      <c r="Q337" s="307">
        <v>4.4571690000000004</v>
      </c>
      <c r="R337" s="307">
        <v>2.9293849999999999</v>
      </c>
      <c r="S337" s="307">
        <v>4.2293209999999997</v>
      </c>
      <c r="T337" s="307">
        <v>3.8116970000000001</v>
      </c>
      <c r="U337" s="307">
        <v>4.8728210000000001</v>
      </c>
      <c r="V337" s="307">
        <v>5.5744540000000002</v>
      </c>
      <c r="W337" s="307">
        <v>2.3478279999999998</v>
      </c>
      <c r="X337" s="307">
        <v>3.520632</v>
      </c>
      <c r="Y337" s="307">
        <v>4.8848419999999999</v>
      </c>
      <c r="Z337" s="307">
        <v>3.2183799999999998</v>
      </c>
      <c r="AA337" s="307">
        <v>3.4468770000000002</v>
      </c>
      <c r="AB337" s="307">
        <v>4.0582940000000001</v>
      </c>
      <c r="AC337" s="307">
        <v>6.0544120000000001</v>
      </c>
      <c r="AD337" s="307">
        <v>5.7282200000000003</v>
      </c>
      <c r="AE337" s="307">
        <v>3.5090590000000002</v>
      </c>
      <c r="AF337" s="307">
        <v>5.4060439999999996</v>
      </c>
      <c r="AG337" s="307">
        <v>3.9709810000000001</v>
      </c>
      <c r="AH337" s="307">
        <v>3.1016550000000001</v>
      </c>
      <c r="AI337" s="307">
        <v>2.5840920000000001</v>
      </c>
      <c r="AJ337" s="307">
        <v>5.505255</v>
      </c>
      <c r="AK337" s="307">
        <v>3.1649159999999998</v>
      </c>
      <c r="AL337" s="307">
        <v>1.7575730000000001</v>
      </c>
      <c r="AM337" s="307">
        <v>4.3995259999999998</v>
      </c>
      <c r="AN337" s="307">
        <v>6.0221580000000001</v>
      </c>
      <c r="AO337" s="307">
        <v>3.4984950000000001</v>
      </c>
      <c r="AP337" s="307">
        <v>3.081941</v>
      </c>
      <c r="AQ337" s="307">
        <v>2.6163639999999999</v>
      </c>
      <c r="AR337" s="307">
        <v>5.1986160000000003</v>
      </c>
      <c r="AS337" s="307">
        <v>5.9463049999999997</v>
      </c>
      <c r="AT337" s="307">
        <v>3.477627</v>
      </c>
      <c r="AU337" s="307">
        <v>3.5036589999999999</v>
      </c>
      <c r="AV337" s="307">
        <v>5.3108979999999999</v>
      </c>
      <c r="AW337" s="307">
        <v>2.286686</v>
      </c>
      <c r="AX337" s="307">
        <v>3.5079099999999999</v>
      </c>
      <c r="AY337" s="307">
        <v>2.539749</v>
      </c>
      <c r="AZ337" s="307">
        <v>4.577089</v>
      </c>
      <c r="BA337" s="307">
        <v>4.599558</v>
      </c>
      <c r="BB337" s="307">
        <v>5.5481689999999997</v>
      </c>
      <c r="BC337" s="307">
        <v>2.5520870000000002</v>
      </c>
      <c r="BD337" s="307">
        <v>2.4008660000000002</v>
      </c>
      <c r="BE337" s="307">
        <v>3.5982880000000002</v>
      </c>
      <c r="BF337" s="307">
        <v>4.132587</v>
      </c>
      <c r="BG337" s="307">
        <v>3.4462549999999998</v>
      </c>
      <c r="BH337" s="307">
        <v>4.3614870000000003</v>
      </c>
      <c r="BI337" s="307">
        <v>3.7370649999999999</v>
      </c>
      <c r="BJ337" s="307">
        <v>3.8984480000000001</v>
      </c>
      <c r="BK337" s="307">
        <v>2.867324</v>
      </c>
      <c r="BL337">
        <f t="shared" si="20"/>
        <v>0</v>
      </c>
      <c r="BM337">
        <f t="shared" si="21"/>
        <v>3.8162451770491814</v>
      </c>
      <c r="BN337">
        <f t="shared" si="22"/>
        <v>6.0544120000000001</v>
      </c>
      <c r="BO337">
        <f t="array" ref="BO337">MIN(IF($C337:$BK337&gt;0, $C337:$BK337))</f>
        <v>0.52928980000000003</v>
      </c>
      <c r="BP337">
        <f t="shared" si="23"/>
        <v>3.5982880000000002</v>
      </c>
    </row>
    <row r="338" spans="1:68" x14ac:dyDescent="0.25">
      <c r="A338" s="306">
        <v>523000</v>
      </c>
      <c r="B338" s="307" t="s">
        <v>297</v>
      </c>
      <c r="C338" s="307">
        <v>9.4225200000000005</v>
      </c>
      <c r="D338" s="307">
        <v>22.905349999999999</v>
      </c>
      <c r="E338" s="307">
        <v>21.332190000000001</v>
      </c>
      <c r="F338" s="307">
        <v>16.59385</v>
      </c>
      <c r="G338" s="307">
        <v>21.197929999999999</v>
      </c>
      <c r="H338" s="307">
        <v>8.0793009999999992</v>
      </c>
      <c r="I338" s="307">
        <v>12.54893</v>
      </c>
      <c r="J338" s="307">
        <v>4.3963270000000003</v>
      </c>
      <c r="K338" s="307">
        <v>1.625494</v>
      </c>
      <c r="L338" s="307">
        <v>7.411092</v>
      </c>
      <c r="M338" s="307">
        <v>14.593680000000001</v>
      </c>
      <c r="N338" s="307">
        <v>12.243969999999999</v>
      </c>
      <c r="O338" s="307">
        <v>29.229869999999998</v>
      </c>
      <c r="P338" s="307">
        <v>23.545030000000001</v>
      </c>
      <c r="Q338" s="307">
        <v>27.34657</v>
      </c>
      <c r="R338" s="307">
        <v>6.8130220000000001</v>
      </c>
      <c r="S338" s="307">
        <v>17.591830000000002</v>
      </c>
      <c r="T338" s="307">
        <v>16.528400000000001</v>
      </c>
      <c r="U338" s="307">
        <v>12.459989999999999</v>
      </c>
      <c r="V338" s="307">
        <v>20.207619999999999</v>
      </c>
      <c r="W338" s="307">
        <v>5.2359169999999997</v>
      </c>
      <c r="X338" s="307">
        <v>8.7129410000000007</v>
      </c>
      <c r="Y338" s="307">
        <v>17.33043</v>
      </c>
      <c r="Z338" s="307">
        <v>19.340350000000001</v>
      </c>
      <c r="AA338" s="307">
        <v>9.9089290000000005</v>
      </c>
      <c r="AB338" s="307">
        <v>11.496790000000001</v>
      </c>
      <c r="AC338" s="307">
        <v>30.0166</v>
      </c>
      <c r="AD338" s="307">
        <v>23.21453</v>
      </c>
      <c r="AE338" s="307">
        <v>12.31216</v>
      </c>
      <c r="AF338" s="307">
        <v>30.429939999999998</v>
      </c>
      <c r="AG338" s="307">
        <v>20.70814</v>
      </c>
      <c r="AH338" s="307">
        <v>7.413233</v>
      </c>
      <c r="AI338" s="307">
        <v>5.4407920000000001</v>
      </c>
      <c r="AJ338" s="307">
        <v>15.930680000000001</v>
      </c>
      <c r="AK338" s="307">
        <v>36.97983</v>
      </c>
      <c r="AL338" s="307">
        <v>3.983088</v>
      </c>
      <c r="AM338" s="307">
        <v>15.265359999999999</v>
      </c>
      <c r="AN338" s="307">
        <v>26.018049999999999</v>
      </c>
      <c r="AO338" s="307">
        <v>17.985900000000001</v>
      </c>
      <c r="AP338" s="307">
        <v>10.538830000000001</v>
      </c>
      <c r="AQ338" s="307">
        <v>6.1853930000000004</v>
      </c>
      <c r="AR338" s="307">
        <v>22.855619999999998</v>
      </c>
      <c r="AS338" s="307">
        <v>38.25656</v>
      </c>
      <c r="AT338" s="307">
        <v>10.81418</v>
      </c>
      <c r="AU338" s="307">
        <v>14.47795</v>
      </c>
      <c r="AV338" s="307">
        <v>38.430419999999998</v>
      </c>
      <c r="AW338" s="307">
        <v>11.54697</v>
      </c>
      <c r="AX338" s="307">
        <v>12.67558</v>
      </c>
      <c r="AY338" s="307">
        <v>14.02664</v>
      </c>
      <c r="AZ338" s="307">
        <v>12.10586</v>
      </c>
      <c r="BA338" s="307">
        <v>18.771280000000001</v>
      </c>
      <c r="BB338" s="307">
        <v>33.38082</v>
      </c>
      <c r="BC338" s="307">
        <v>5.5280800000000001</v>
      </c>
      <c r="BD338" s="307">
        <v>5.8650330000000004</v>
      </c>
      <c r="BE338" s="307">
        <v>10.04983</v>
      </c>
      <c r="BF338" s="307">
        <v>13.930999999999999</v>
      </c>
      <c r="BG338" s="307">
        <v>12.59357</v>
      </c>
      <c r="BH338" s="307">
        <v>14.0062</v>
      </c>
      <c r="BI338" s="307">
        <v>15.425380000000001</v>
      </c>
      <c r="BJ338" s="307">
        <v>19.96752</v>
      </c>
      <c r="BK338" s="307">
        <v>8.9918200000000006</v>
      </c>
      <c r="BL338">
        <f t="shared" si="20"/>
        <v>0</v>
      </c>
      <c r="BM338">
        <f t="shared" si="21"/>
        <v>15.970838721311479</v>
      </c>
      <c r="BN338">
        <f t="shared" si="22"/>
        <v>38.430419999999998</v>
      </c>
      <c r="BO338">
        <f t="array" ref="BO338">MIN(IF($C338:$BK338&gt;0, $C338:$BK338))</f>
        <v>1.625494</v>
      </c>
      <c r="BP338">
        <f t="shared" si="23"/>
        <v>14.02664</v>
      </c>
    </row>
    <row r="339" spans="1:68" x14ac:dyDescent="0.25">
      <c r="A339" s="306">
        <v>524100</v>
      </c>
      <c r="B339" s="307" t="s">
        <v>298</v>
      </c>
      <c r="C339" s="307">
        <v>4.479355</v>
      </c>
      <c r="D339" s="307">
        <v>4.63985</v>
      </c>
      <c r="E339" s="307">
        <v>5.090573</v>
      </c>
      <c r="F339" s="307">
        <v>5.5872739999999999</v>
      </c>
      <c r="G339" s="307">
        <v>4.8186270000000002</v>
      </c>
      <c r="H339" s="307">
        <v>4.1578229999999996</v>
      </c>
      <c r="I339" s="307">
        <v>4.6312160000000002</v>
      </c>
      <c r="J339" s="307">
        <v>3.4210739999999999</v>
      </c>
      <c r="K339" s="307">
        <v>0.5730674</v>
      </c>
      <c r="L339" s="307">
        <v>2.892436</v>
      </c>
      <c r="M339" s="307">
        <v>5.0302680000000004</v>
      </c>
      <c r="N339" s="307">
        <v>4.7210359999999998</v>
      </c>
      <c r="O339" s="307">
        <v>5.5110609999999998</v>
      </c>
      <c r="P339" s="307">
        <v>4.7269889999999997</v>
      </c>
      <c r="Q339" s="307">
        <v>5.9579659999999999</v>
      </c>
      <c r="R339" s="307">
        <v>3.8551229999999999</v>
      </c>
      <c r="S339" s="307">
        <v>5.1825809999999999</v>
      </c>
      <c r="T339" s="307">
        <v>4.5732670000000004</v>
      </c>
      <c r="U339" s="307">
        <v>4.2654480000000001</v>
      </c>
      <c r="V339" s="307">
        <v>5.1458899999999996</v>
      </c>
      <c r="W339" s="307">
        <v>3.3975010000000001</v>
      </c>
      <c r="X339" s="307">
        <v>3.845507</v>
      </c>
      <c r="Y339" s="307">
        <v>4.6847050000000001</v>
      </c>
      <c r="Z339" s="307">
        <v>4.9157140000000004</v>
      </c>
      <c r="AA339" s="307">
        <v>3.7056550000000001</v>
      </c>
      <c r="AB339" s="307">
        <v>4.6868340000000002</v>
      </c>
      <c r="AC339" s="307">
        <v>6.0066860000000002</v>
      </c>
      <c r="AD339" s="307">
        <v>6.0341079999999998</v>
      </c>
      <c r="AE339" s="307">
        <v>4.8676180000000002</v>
      </c>
      <c r="AF339" s="307">
        <v>5.2828970000000002</v>
      </c>
      <c r="AG339" s="307">
        <v>5.0368539999999999</v>
      </c>
      <c r="AH339" s="307">
        <v>3.704097</v>
      </c>
      <c r="AI339" s="307">
        <v>3.2589220000000001</v>
      </c>
      <c r="AJ339" s="307">
        <v>5.8725880000000004</v>
      </c>
      <c r="AK339" s="307">
        <v>4.6755269999999998</v>
      </c>
      <c r="AL339" s="307">
        <v>3.003031</v>
      </c>
      <c r="AM339" s="307">
        <v>4.5475130000000004</v>
      </c>
      <c r="AN339" s="307">
        <v>6.0624260000000003</v>
      </c>
      <c r="AO339" s="307">
        <v>4.7081039999999996</v>
      </c>
      <c r="AP339" s="307">
        <v>4.0801049999999996</v>
      </c>
      <c r="AQ339" s="307">
        <v>3.9738380000000002</v>
      </c>
      <c r="AR339" s="307">
        <v>5.5251770000000002</v>
      </c>
      <c r="AS339" s="307">
        <v>5.9416869999999999</v>
      </c>
      <c r="AT339" s="307">
        <v>5.086436</v>
      </c>
      <c r="AU339" s="307">
        <v>4.7010800000000001</v>
      </c>
      <c r="AV339" s="307">
        <v>6.0078899999999997</v>
      </c>
      <c r="AW339" s="307">
        <v>4.5312789999999996</v>
      </c>
      <c r="AX339" s="307">
        <v>4.5571529999999996</v>
      </c>
      <c r="AY339" s="307">
        <v>4.246143</v>
      </c>
      <c r="AZ339" s="307">
        <v>4.9907789999999999</v>
      </c>
      <c r="BA339" s="307">
        <v>5.6819480000000002</v>
      </c>
      <c r="BB339" s="307">
        <v>5.9391780000000001</v>
      </c>
      <c r="BC339" s="307">
        <v>3.7038790000000001</v>
      </c>
      <c r="BD339" s="307">
        <v>3.7977500000000002</v>
      </c>
      <c r="BE339" s="307">
        <v>4.5566389999999997</v>
      </c>
      <c r="BF339" s="307">
        <v>4.6177419999999998</v>
      </c>
      <c r="BG339" s="307">
        <v>4.8276180000000002</v>
      </c>
      <c r="BH339" s="307">
        <v>4.9905569999999999</v>
      </c>
      <c r="BI339" s="307">
        <v>4.8891629999999999</v>
      </c>
      <c r="BJ339" s="307">
        <v>5.0423169999999997</v>
      </c>
      <c r="BK339" s="307">
        <v>4.2719769999999997</v>
      </c>
      <c r="BL339">
        <f t="shared" si="20"/>
        <v>0</v>
      </c>
      <c r="BM339">
        <f t="shared" si="21"/>
        <v>4.6478286295081972</v>
      </c>
      <c r="BN339">
        <f t="shared" si="22"/>
        <v>6.0624260000000003</v>
      </c>
      <c r="BO339">
        <f t="array" ref="BO339">MIN(IF($C339:$BK339&gt;0, $C339:$BK339))</f>
        <v>0.5730674</v>
      </c>
      <c r="BP339">
        <f t="shared" si="23"/>
        <v>4.7010800000000001</v>
      </c>
    </row>
    <row r="340" spans="1:68" x14ac:dyDescent="0.25">
      <c r="A340" s="306">
        <v>524200</v>
      </c>
      <c r="B340" s="307" t="s">
        <v>299</v>
      </c>
      <c r="C340" s="307">
        <v>6.37439</v>
      </c>
      <c r="D340" s="307">
        <v>6.4890489999999996</v>
      </c>
      <c r="E340" s="307">
        <v>6.7171649999999996</v>
      </c>
      <c r="F340" s="307">
        <v>8.8098880000000008</v>
      </c>
      <c r="G340" s="307">
        <v>7.0909089999999999</v>
      </c>
      <c r="H340" s="307">
        <v>5.5776459999999997</v>
      </c>
      <c r="I340" s="307">
        <v>6.8431839999999999</v>
      </c>
      <c r="J340" s="307">
        <v>4.5631029999999999</v>
      </c>
      <c r="K340" s="307">
        <v>0.76438320000000004</v>
      </c>
      <c r="L340" s="307">
        <v>3.881116</v>
      </c>
      <c r="M340" s="307">
        <v>6.6642919999999997</v>
      </c>
      <c r="N340" s="307">
        <v>5.469436</v>
      </c>
      <c r="O340" s="307">
        <v>6.8666330000000002</v>
      </c>
      <c r="P340" s="307">
        <v>7.4856920000000002</v>
      </c>
      <c r="Q340" s="307">
        <v>8.9847059999999992</v>
      </c>
      <c r="R340" s="307">
        <v>5.5587239999999998</v>
      </c>
      <c r="S340" s="307">
        <v>7.847569</v>
      </c>
      <c r="T340" s="307">
        <v>6.5363559999999996</v>
      </c>
      <c r="U340" s="307">
        <v>7.2931359999999996</v>
      </c>
      <c r="V340" s="307">
        <v>6.8227469999999997</v>
      </c>
      <c r="W340" s="307">
        <v>4.6928140000000003</v>
      </c>
      <c r="X340" s="307">
        <v>5.4341819999999998</v>
      </c>
      <c r="Y340" s="307">
        <v>6.8518169999999996</v>
      </c>
      <c r="Z340" s="307">
        <v>7.3245760000000004</v>
      </c>
      <c r="AA340" s="307">
        <v>6.152488</v>
      </c>
      <c r="AB340" s="307">
        <v>6.1388170000000004</v>
      </c>
      <c r="AC340" s="307">
        <v>8.8681590000000003</v>
      </c>
      <c r="AD340" s="307">
        <v>9.15733</v>
      </c>
      <c r="AE340" s="307">
        <v>6.9397419999999999</v>
      </c>
      <c r="AF340" s="307">
        <v>7.8645449999999997</v>
      </c>
      <c r="AG340" s="307">
        <v>7.7596809999999996</v>
      </c>
      <c r="AH340" s="307">
        <v>5.247808</v>
      </c>
      <c r="AI340" s="307">
        <v>4.3469319999999998</v>
      </c>
      <c r="AJ340" s="307">
        <v>8.8671720000000001</v>
      </c>
      <c r="AK340" s="307">
        <v>7.6545920000000001</v>
      </c>
      <c r="AL340" s="307">
        <v>4.0055740000000002</v>
      </c>
      <c r="AM340" s="307">
        <v>6.9392909999999999</v>
      </c>
      <c r="AN340" s="307">
        <v>9.1420499999999993</v>
      </c>
      <c r="AO340" s="307">
        <v>6.9959470000000001</v>
      </c>
      <c r="AP340" s="307">
        <v>5.4079449999999998</v>
      </c>
      <c r="AQ340" s="307">
        <v>5.3888090000000002</v>
      </c>
      <c r="AR340" s="307">
        <v>7.7505300000000004</v>
      </c>
      <c r="AS340" s="307">
        <v>8.9601780000000009</v>
      </c>
      <c r="AT340" s="307">
        <v>6.4539669999999996</v>
      </c>
      <c r="AU340" s="307">
        <v>6.6756609999999998</v>
      </c>
      <c r="AV340" s="307">
        <v>8.2412349999999996</v>
      </c>
      <c r="AW340" s="307">
        <v>6.0274429999999999</v>
      </c>
      <c r="AX340" s="307">
        <v>6.902336</v>
      </c>
      <c r="AY340" s="307">
        <v>6.2766729999999997</v>
      </c>
      <c r="AZ340" s="307">
        <v>7.1488350000000001</v>
      </c>
      <c r="BA340" s="307">
        <v>8.5680049999999994</v>
      </c>
      <c r="BB340" s="307">
        <v>8.9562460000000002</v>
      </c>
      <c r="BC340" s="307">
        <v>5.2255520000000004</v>
      </c>
      <c r="BD340" s="307">
        <v>5.0066930000000003</v>
      </c>
      <c r="BE340" s="307">
        <v>6.6639470000000003</v>
      </c>
      <c r="BF340" s="307">
        <v>7.1728059999999996</v>
      </c>
      <c r="BG340" s="307">
        <v>6.4047580000000002</v>
      </c>
      <c r="BH340" s="307">
        <v>7.0973800000000002</v>
      </c>
      <c r="BI340" s="307">
        <v>7.0255900000000002</v>
      </c>
      <c r="BJ340" s="307">
        <v>7.6126230000000001</v>
      </c>
      <c r="BK340" s="307">
        <v>5.8093190000000003</v>
      </c>
      <c r="BL340">
        <f t="shared" si="20"/>
        <v>0</v>
      </c>
      <c r="BM340">
        <f t="shared" si="21"/>
        <v>6.6852487245901644</v>
      </c>
      <c r="BN340">
        <f t="shared" si="22"/>
        <v>9.15733</v>
      </c>
      <c r="BO340">
        <f t="array" ref="BO340">MIN(IF($C340:$BK340&gt;0, $C340:$BK340))</f>
        <v>0.76438320000000004</v>
      </c>
      <c r="BP340">
        <f t="shared" si="23"/>
        <v>6.8431839999999999</v>
      </c>
    </row>
    <row r="341" spans="1:68" x14ac:dyDescent="0.25">
      <c r="A341" s="306">
        <v>525000</v>
      </c>
      <c r="B341" s="307" t="s">
        <v>300</v>
      </c>
      <c r="C341" s="307">
        <v>2.500311</v>
      </c>
      <c r="D341" s="307">
        <v>2.5345200000000001</v>
      </c>
      <c r="E341" s="307">
        <v>9.7310929999999995</v>
      </c>
      <c r="F341" s="307">
        <v>9.1978600000000004</v>
      </c>
      <c r="G341" s="307">
        <v>5.0333620000000003</v>
      </c>
      <c r="H341" s="307">
        <v>1.8273090000000001</v>
      </c>
      <c r="I341" s="307">
        <v>4.4881010000000003</v>
      </c>
      <c r="J341" s="307">
        <v>1.6207720000000001</v>
      </c>
      <c r="K341" s="307">
        <v>0.55330820000000003</v>
      </c>
      <c r="L341" s="307">
        <v>2.2216079999999998</v>
      </c>
      <c r="M341" s="307">
        <v>6.3088189999999997</v>
      </c>
      <c r="N341" s="307">
        <v>5.4370479999999999</v>
      </c>
      <c r="O341" s="307">
        <v>2.4733299999999998</v>
      </c>
      <c r="P341" s="307">
        <v>2.3985089999999998</v>
      </c>
      <c r="Q341" s="307">
        <v>2.4168780000000001</v>
      </c>
      <c r="R341" s="307">
        <v>3.112441</v>
      </c>
      <c r="S341" s="307">
        <v>2.4647939999999999</v>
      </c>
      <c r="T341" s="307">
        <v>8.6256400000000006</v>
      </c>
      <c r="U341" s="307">
        <v>8.1054080000000006</v>
      </c>
      <c r="V341" s="307">
        <v>3.2884950000000002</v>
      </c>
      <c r="W341" s="307">
        <v>1.3967229999999999</v>
      </c>
      <c r="X341" s="307">
        <v>7.7566090000000001</v>
      </c>
      <c r="Y341" s="307">
        <v>1.5174909999999999</v>
      </c>
      <c r="Z341" s="307">
        <v>2.7449659999999998</v>
      </c>
      <c r="AA341" s="307">
        <v>2.7440329999999999</v>
      </c>
      <c r="AB341" s="307">
        <v>3.7826420000000001</v>
      </c>
      <c r="AC341" s="307">
        <v>2.409046</v>
      </c>
      <c r="AD341" s="307">
        <v>2.4851740000000002</v>
      </c>
      <c r="AE341" s="307">
        <v>5.5042809999999998</v>
      </c>
      <c r="AF341" s="307">
        <v>2.2652450000000002</v>
      </c>
      <c r="AG341" s="307">
        <v>9.3911979999999993</v>
      </c>
      <c r="AH341" s="307">
        <v>5.9405060000000001</v>
      </c>
      <c r="AI341" s="307">
        <v>1.168226</v>
      </c>
      <c r="AJ341" s="307">
        <v>9.5092510000000008</v>
      </c>
      <c r="AK341" s="307">
        <v>6.3006019999999996</v>
      </c>
      <c r="AL341" s="307">
        <v>1.0625709999999999</v>
      </c>
      <c r="AM341" s="307">
        <v>4.9132350000000002</v>
      </c>
      <c r="AN341" s="307">
        <v>2.4685389999999998</v>
      </c>
      <c r="AO341" s="307">
        <v>9.2330459999999999</v>
      </c>
      <c r="AP341" s="307">
        <v>1.868126</v>
      </c>
      <c r="AQ341" s="307">
        <v>1.900231</v>
      </c>
      <c r="AR341" s="307">
        <v>8.5509229999999992</v>
      </c>
      <c r="AS341" s="307">
        <v>2.477436</v>
      </c>
      <c r="AT341" s="307">
        <v>1.6473420000000001</v>
      </c>
      <c r="AU341" s="307">
        <v>2.0829780000000002</v>
      </c>
      <c r="AV341" s="307">
        <v>7.4335560000000003</v>
      </c>
      <c r="AW341" s="307">
        <v>1.781129</v>
      </c>
      <c r="AX341" s="307">
        <v>2.4763519999999999</v>
      </c>
      <c r="AY341" s="307">
        <v>2.7993209999999999</v>
      </c>
      <c r="AZ341" s="307">
        <v>8.4506990000000002</v>
      </c>
      <c r="BA341" s="307">
        <v>2.2002709999999999</v>
      </c>
      <c r="BB341" s="307">
        <v>9.7676379999999998</v>
      </c>
      <c r="BC341" s="307">
        <v>1.683762</v>
      </c>
      <c r="BD341" s="307">
        <v>1.51091</v>
      </c>
      <c r="BE341" s="307">
        <v>3.498437</v>
      </c>
      <c r="BF341" s="307">
        <v>3.4567109999999999</v>
      </c>
      <c r="BG341" s="307">
        <v>4.1900639999999996</v>
      </c>
      <c r="BH341" s="307">
        <v>2.632145</v>
      </c>
      <c r="BI341" s="307">
        <v>2.2222460000000002</v>
      </c>
      <c r="BJ341" s="307">
        <v>5.2190019999999997</v>
      </c>
      <c r="BK341" s="307">
        <v>1.9994460000000001</v>
      </c>
      <c r="BL341">
        <f t="shared" si="20"/>
        <v>0</v>
      </c>
      <c r="BM341">
        <f t="shared" si="21"/>
        <v>4.0456018885245895</v>
      </c>
      <c r="BN341">
        <f t="shared" si="22"/>
        <v>9.7676379999999998</v>
      </c>
      <c r="BO341">
        <f t="array" ref="BO341">MIN(IF($C341:$BK341&gt;0, $C341:$BK341))</f>
        <v>0.55330820000000003</v>
      </c>
      <c r="BP341">
        <f t="shared" si="23"/>
        <v>2.632145</v>
      </c>
    </row>
    <row r="342" spans="1:68" x14ac:dyDescent="0.25">
      <c r="A342" s="306" t="s">
        <v>766</v>
      </c>
      <c r="B342" s="307" t="s">
        <v>767</v>
      </c>
      <c r="C342" s="307">
        <v>4.1931349999999998</v>
      </c>
      <c r="D342" s="307">
        <v>4.7686770000000003</v>
      </c>
      <c r="E342" s="307">
        <v>4.5650029999999999</v>
      </c>
      <c r="F342" s="307">
        <v>5.9032739999999997</v>
      </c>
      <c r="G342" s="307">
        <v>4.8012870000000003</v>
      </c>
      <c r="H342" s="307">
        <v>3.304487</v>
      </c>
      <c r="I342" s="307">
        <v>4.273034</v>
      </c>
      <c r="J342" s="307">
        <v>3.2206139999999999</v>
      </c>
      <c r="K342" s="307">
        <v>0.8209284</v>
      </c>
      <c r="L342" s="307">
        <v>3.2623099999999998</v>
      </c>
      <c r="M342" s="307">
        <v>4.9452790000000002</v>
      </c>
      <c r="N342" s="307">
        <v>3.4679099999999998</v>
      </c>
      <c r="O342" s="307">
        <v>5.8282990000000003</v>
      </c>
      <c r="P342" s="307">
        <v>4.4564909999999998</v>
      </c>
      <c r="Q342" s="307">
        <v>5.0064000000000002</v>
      </c>
      <c r="R342" s="307">
        <v>3.5603319999999998</v>
      </c>
      <c r="S342" s="307">
        <v>5.5266770000000003</v>
      </c>
      <c r="T342" s="307">
        <v>5.1253130000000002</v>
      </c>
      <c r="U342" s="307">
        <v>5.2564190000000002</v>
      </c>
      <c r="V342" s="307">
        <v>5.2812989999999997</v>
      </c>
      <c r="W342" s="307">
        <v>3.1464650000000001</v>
      </c>
      <c r="X342" s="307">
        <v>4.3949420000000003</v>
      </c>
      <c r="Y342" s="307">
        <v>5.6269260000000001</v>
      </c>
      <c r="Z342" s="307">
        <v>4.366282</v>
      </c>
      <c r="AA342" s="307">
        <v>4.349761</v>
      </c>
      <c r="AB342" s="307">
        <v>4.9399240000000004</v>
      </c>
      <c r="AC342" s="307">
        <v>5.876455</v>
      </c>
      <c r="AD342" s="307">
        <v>6.0057330000000002</v>
      </c>
      <c r="AE342" s="307">
        <v>3.5194580000000002</v>
      </c>
      <c r="AF342" s="307">
        <v>5.5465650000000002</v>
      </c>
      <c r="AG342" s="307">
        <v>5.1264989999999999</v>
      </c>
      <c r="AH342" s="307">
        <v>5.1049160000000002</v>
      </c>
      <c r="AI342" s="307">
        <v>3.6801159999999999</v>
      </c>
      <c r="AJ342" s="307">
        <v>5.7336850000000004</v>
      </c>
      <c r="AK342" s="307">
        <v>3.2345120000000001</v>
      </c>
      <c r="AL342" s="307">
        <v>2.607891</v>
      </c>
      <c r="AM342" s="307">
        <v>4.5513159999999999</v>
      </c>
      <c r="AN342" s="307">
        <v>5.7725169999999997</v>
      </c>
      <c r="AO342" s="307">
        <v>4.8179280000000002</v>
      </c>
      <c r="AP342" s="307">
        <v>4.2109240000000003</v>
      </c>
      <c r="AQ342" s="307">
        <v>3.5647730000000002</v>
      </c>
      <c r="AR342" s="307">
        <v>4.8347439999999997</v>
      </c>
      <c r="AS342" s="307">
        <v>5.4791980000000002</v>
      </c>
      <c r="AT342" s="307">
        <v>4.1985859999999997</v>
      </c>
      <c r="AU342" s="307">
        <v>4.1050069999999996</v>
      </c>
      <c r="AV342" s="307">
        <v>5.7306319999999999</v>
      </c>
      <c r="AW342" s="307">
        <v>3.6610309999999999</v>
      </c>
      <c r="AX342" s="307">
        <v>4.3601939999999999</v>
      </c>
      <c r="AY342" s="307">
        <v>3.2687810000000002</v>
      </c>
      <c r="AZ342" s="307">
        <v>5.5850780000000002</v>
      </c>
      <c r="BA342" s="307">
        <v>5.5109009999999996</v>
      </c>
      <c r="BB342" s="307">
        <v>4.986434</v>
      </c>
      <c r="BC342" s="307">
        <v>3.6127310000000001</v>
      </c>
      <c r="BD342" s="307">
        <v>3.6610230000000001</v>
      </c>
      <c r="BE342" s="307">
        <v>4.3581450000000004</v>
      </c>
      <c r="BF342" s="307">
        <v>4.9566319999999999</v>
      </c>
      <c r="BG342" s="307">
        <v>4.1718700000000002</v>
      </c>
      <c r="BH342" s="307">
        <v>4.7498060000000004</v>
      </c>
      <c r="BI342" s="307">
        <v>4.4917170000000004</v>
      </c>
      <c r="BJ342" s="307">
        <v>4.6785560000000004</v>
      </c>
      <c r="BK342" s="307">
        <v>3.4574020000000001</v>
      </c>
      <c r="BL342">
        <f t="shared" si="20"/>
        <v>0</v>
      </c>
      <c r="BM342">
        <f t="shared" si="21"/>
        <v>4.4852987606557386</v>
      </c>
      <c r="BN342">
        <f t="shared" si="22"/>
        <v>6.0057330000000002</v>
      </c>
      <c r="BO342">
        <f t="array" ref="BO342">MIN(IF($C342:$BK342&gt;0, $C342:$BK342))</f>
        <v>0.8209284</v>
      </c>
      <c r="BP342">
        <f t="shared" si="23"/>
        <v>4.5513159999999999</v>
      </c>
    </row>
    <row r="343" spans="1:68" x14ac:dyDescent="0.25">
      <c r="A343" s="306">
        <v>531000</v>
      </c>
      <c r="B343" s="307" t="s">
        <v>416</v>
      </c>
      <c r="C343" s="307">
        <v>10.32662</v>
      </c>
      <c r="D343" s="307">
        <v>10.606619999999999</v>
      </c>
      <c r="E343" s="307">
        <v>15.080120000000001</v>
      </c>
      <c r="F343" s="307">
        <v>17.11637</v>
      </c>
      <c r="G343" s="307">
        <v>9.5208499999999994</v>
      </c>
      <c r="H343" s="307">
        <v>8.0839189999999999</v>
      </c>
      <c r="I343" s="307">
        <v>9.4468840000000007</v>
      </c>
      <c r="J343" s="307">
        <v>11.19162</v>
      </c>
      <c r="K343" s="307">
        <v>2.5290339999999998</v>
      </c>
      <c r="L343" s="307">
        <v>12.2676</v>
      </c>
      <c r="M343" s="307">
        <v>10.317769999999999</v>
      </c>
      <c r="N343" s="307">
        <v>10.160489999999999</v>
      </c>
      <c r="O343" s="307">
        <v>9.0297230000000006</v>
      </c>
      <c r="P343" s="307">
        <v>18.705950000000001</v>
      </c>
      <c r="Q343" s="307">
        <v>10.10201</v>
      </c>
      <c r="R343" s="307">
        <v>8.1303269999999994</v>
      </c>
      <c r="S343" s="307">
        <v>14.10835</v>
      </c>
      <c r="T343" s="307">
        <v>14.138159999999999</v>
      </c>
      <c r="U343" s="307">
        <v>17.597270000000002</v>
      </c>
      <c r="V343" s="307">
        <v>15.994820000000001</v>
      </c>
      <c r="W343" s="307">
        <v>7.1706349999999999</v>
      </c>
      <c r="X343" s="307">
        <v>8.7650950000000005</v>
      </c>
      <c r="Y343" s="307">
        <v>16.844919999999998</v>
      </c>
      <c r="Z343" s="307">
        <v>10.248620000000001</v>
      </c>
      <c r="AA343" s="307">
        <v>10.726559999999999</v>
      </c>
      <c r="AB343" s="307">
        <v>14.206329999999999</v>
      </c>
      <c r="AC343" s="307">
        <v>18.22607</v>
      </c>
      <c r="AD343" s="307">
        <v>13.205719999999999</v>
      </c>
      <c r="AE343" s="307">
        <v>13.83831</v>
      </c>
      <c r="AF343" s="307">
        <v>9.661403</v>
      </c>
      <c r="AG343" s="307">
        <v>17.173819999999999</v>
      </c>
      <c r="AH343" s="307">
        <v>11.06016</v>
      </c>
      <c r="AI343" s="307">
        <v>11.360469999999999</v>
      </c>
      <c r="AJ343" s="307">
        <v>16.13749</v>
      </c>
      <c r="AK343" s="307">
        <v>11.95844</v>
      </c>
      <c r="AL343" s="307">
        <v>6.6890739999999997</v>
      </c>
      <c r="AM343" s="307">
        <v>13.919930000000001</v>
      </c>
      <c r="AN343" s="307">
        <v>17.520879999999998</v>
      </c>
      <c r="AO343" s="307">
        <v>13.78363</v>
      </c>
      <c r="AP343" s="307">
        <v>11.89387</v>
      </c>
      <c r="AQ343" s="307">
        <v>12.49452</v>
      </c>
      <c r="AR343" s="307">
        <v>14.44828</v>
      </c>
      <c r="AS343" s="307">
        <v>15.31532</v>
      </c>
      <c r="AT343" s="307">
        <v>11.906040000000001</v>
      </c>
      <c r="AU343" s="307">
        <v>8.6916960000000003</v>
      </c>
      <c r="AV343" s="307">
        <v>18.003350000000001</v>
      </c>
      <c r="AW343" s="307">
        <v>8.6991080000000007</v>
      </c>
      <c r="AX343" s="307">
        <v>16.414950000000001</v>
      </c>
      <c r="AY343" s="307">
        <v>11.1806</v>
      </c>
      <c r="AZ343" s="307">
        <v>16.4802</v>
      </c>
      <c r="BA343" s="307">
        <v>16.501090000000001</v>
      </c>
      <c r="BB343" s="307">
        <v>15.18451</v>
      </c>
      <c r="BC343" s="307">
        <v>9.6223829999999992</v>
      </c>
      <c r="BD343" s="307">
        <v>9.0418000000000003</v>
      </c>
      <c r="BE343" s="307">
        <v>11.075240000000001</v>
      </c>
      <c r="BF343" s="307">
        <v>13.77782</v>
      </c>
      <c r="BG343" s="307">
        <v>10.717040000000001</v>
      </c>
      <c r="BH343" s="307">
        <v>14.341609999999999</v>
      </c>
      <c r="BI343" s="307">
        <v>9.9765789999999992</v>
      </c>
      <c r="BJ343" s="307">
        <v>11.09299</v>
      </c>
      <c r="BK343" s="307">
        <v>8.7273759999999996</v>
      </c>
      <c r="BL343">
        <f t="shared" si="20"/>
        <v>0</v>
      </c>
      <c r="BM343">
        <f t="shared" si="21"/>
        <v>12.336695672131146</v>
      </c>
      <c r="BN343">
        <f t="shared" si="22"/>
        <v>18.705950000000001</v>
      </c>
      <c r="BO343">
        <f t="array" ref="BO343">MIN(IF($C343:$BK343&gt;0, $C343:$BK343))</f>
        <v>2.5290339999999998</v>
      </c>
      <c r="BP343">
        <f t="shared" si="23"/>
        <v>11.89387</v>
      </c>
    </row>
    <row r="344" spans="1:68" x14ac:dyDescent="0.25">
      <c r="A344" s="306">
        <v>532100</v>
      </c>
      <c r="B344" s="307" t="s">
        <v>301</v>
      </c>
      <c r="C344" s="307">
        <v>4.7214080000000003</v>
      </c>
      <c r="D344" s="307">
        <v>5.8657329999999996</v>
      </c>
      <c r="E344" s="307">
        <v>7.1521410000000003</v>
      </c>
      <c r="F344" s="307">
        <v>4.3104719999999999</v>
      </c>
      <c r="G344" s="307">
        <v>4.339461</v>
      </c>
      <c r="H344" s="307">
        <v>4.481395</v>
      </c>
      <c r="I344" s="307">
        <v>3.7295660000000002</v>
      </c>
      <c r="J344" s="307">
        <v>2.8654380000000002</v>
      </c>
      <c r="K344" s="307">
        <v>1.002407</v>
      </c>
      <c r="L344" s="307">
        <v>2.4264009999999998</v>
      </c>
      <c r="M344" s="307">
        <v>6.2192869999999996</v>
      </c>
      <c r="N344" s="307">
        <v>3.6397919999999999</v>
      </c>
      <c r="O344" s="307">
        <v>6.296767</v>
      </c>
      <c r="P344" s="307">
        <v>5.9590990000000001</v>
      </c>
      <c r="Q344" s="307">
        <v>7.266159</v>
      </c>
      <c r="R344" s="307">
        <v>4.1176250000000003</v>
      </c>
      <c r="S344" s="307">
        <v>5.3194509999999999</v>
      </c>
      <c r="T344" s="307">
        <v>4.2012409999999996</v>
      </c>
      <c r="U344" s="307">
        <v>5.6191139999999997</v>
      </c>
      <c r="V344" s="307">
        <v>6.3926509999999999</v>
      </c>
      <c r="W344" s="307">
        <v>4.6481469999999998</v>
      </c>
      <c r="X344" s="307">
        <v>4.0203069999999999</v>
      </c>
      <c r="Y344" s="307">
        <v>5.4343769999999996</v>
      </c>
      <c r="Z344" s="307">
        <v>6.0309049999999997</v>
      </c>
      <c r="AA344" s="307">
        <v>3.342066</v>
      </c>
      <c r="AB344" s="307">
        <v>3.891899</v>
      </c>
      <c r="AC344" s="307">
        <v>5.9172520000000004</v>
      </c>
      <c r="AD344" s="307">
        <v>7.3352240000000002</v>
      </c>
      <c r="AE344" s="307">
        <v>5.6303510000000001</v>
      </c>
      <c r="AF344" s="307">
        <v>4.331099</v>
      </c>
      <c r="AG344" s="307">
        <v>4.693136</v>
      </c>
      <c r="AH344" s="307">
        <v>4.6355870000000001</v>
      </c>
      <c r="AI344" s="307">
        <v>2.9068640000000001</v>
      </c>
      <c r="AJ344" s="307">
        <v>6.9685920000000001</v>
      </c>
      <c r="AK344" s="307">
        <v>4.5632159999999997</v>
      </c>
      <c r="AL344" s="307">
        <v>3.7659660000000001</v>
      </c>
      <c r="AM344" s="307">
        <v>4.1275529999999998</v>
      </c>
      <c r="AN344" s="307">
        <v>4.6874070000000003</v>
      </c>
      <c r="AO344" s="307">
        <v>5.3881319999999997</v>
      </c>
      <c r="AP344" s="307">
        <v>3.1773150000000001</v>
      </c>
      <c r="AQ344" s="307">
        <v>4.7285349999999999</v>
      </c>
      <c r="AR344" s="307">
        <v>6.8591100000000003</v>
      </c>
      <c r="AS344" s="307">
        <v>7.3017019999999997</v>
      </c>
      <c r="AT344" s="307">
        <v>4.6216900000000001</v>
      </c>
      <c r="AU344" s="307">
        <v>4.7514469999999998</v>
      </c>
      <c r="AV344" s="307">
        <v>5.5610039999999996</v>
      </c>
      <c r="AW344" s="307">
        <v>5.8168430000000004</v>
      </c>
      <c r="AX344" s="307">
        <v>6.1888940000000003</v>
      </c>
      <c r="AY344" s="307">
        <v>5.7906599999999999</v>
      </c>
      <c r="AZ344" s="307">
        <v>6.5681830000000003</v>
      </c>
      <c r="BA344" s="307">
        <v>6.2992710000000001</v>
      </c>
      <c r="BB344" s="307">
        <v>6.372941</v>
      </c>
      <c r="BC344" s="307">
        <v>4.4036499999999998</v>
      </c>
      <c r="BD344" s="307">
        <v>3.4935710000000002</v>
      </c>
      <c r="BE344" s="307">
        <v>4.8228080000000002</v>
      </c>
      <c r="BF344" s="307">
        <v>4.151948</v>
      </c>
      <c r="BG344" s="307">
        <v>5.2779420000000004</v>
      </c>
      <c r="BH344" s="307">
        <v>5.5814640000000004</v>
      </c>
      <c r="BI344" s="307">
        <v>4.8539490000000001</v>
      </c>
      <c r="BJ344" s="307">
        <v>4.645251</v>
      </c>
      <c r="BK344" s="307">
        <v>4.8113250000000001</v>
      </c>
      <c r="BL344">
        <f t="shared" si="20"/>
        <v>0</v>
      </c>
      <c r="BM344">
        <f t="shared" si="21"/>
        <v>4.9889047704918035</v>
      </c>
      <c r="BN344">
        <f t="shared" si="22"/>
        <v>7.3352240000000002</v>
      </c>
      <c r="BO344">
        <f t="array" ref="BO344">MIN(IF($C344:$BK344&gt;0, $C344:$BK344))</f>
        <v>1.002407</v>
      </c>
      <c r="BP344">
        <f t="shared" si="23"/>
        <v>4.7514469999999998</v>
      </c>
    </row>
    <row r="345" spans="1:68" x14ac:dyDescent="0.25">
      <c r="A345" s="306">
        <v>532230</v>
      </c>
      <c r="B345" s="307" t="s">
        <v>303</v>
      </c>
      <c r="C345" s="307">
        <v>17.462810000000001</v>
      </c>
      <c r="D345" s="307">
        <v>19.486630000000002</v>
      </c>
      <c r="E345" s="307">
        <v>25.81859</v>
      </c>
      <c r="F345" s="307">
        <v>17.188549999999999</v>
      </c>
      <c r="G345" s="307">
        <v>14.43779</v>
      </c>
      <c r="H345" s="307">
        <v>12.96401</v>
      </c>
      <c r="I345" s="307">
        <v>12.92731</v>
      </c>
      <c r="J345" s="307">
        <v>11.028689999999999</v>
      </c>
      <c r="K345" s="307">
        <v>2.8721739999999998</v>
      </c>
      <c r="L345" s="307">
        <v>9.6995240000000003</v>
      </c>
      <c r="M345" s="307">
        <v>21.87425</v>
      </c>
      <c r="N345" s="307">
        <v>16.574470000000002</v>
      </c>
      <c r="O345" s="307">
        <v>19.693619999999999</v>
      </c>
      <c r="P345" s="307">
        <v>25.328620000000001</v>
      </c>
      <c r="Q345" s="307">
        <v>26.230429999999998</v>
      </c>
      <c r="R345" s="307">
        <v>15.560090000000001</v>
      </c>
      <c r="S345" s="307">
        <v>21.371880000000001</v>
      </c>
      <c r="T345" s="307">
        <v>18.10876</v>
      </c>
      <c r="U345" s="307">
        <v>23.40326</v>
      </c>
      <c r="V345" s="307">
        <v>23.816929999999999</v>
      </c>
      <c r="W345" s="307">
        <v>17.90568</v>
      </c>
      <c r="X345" s="307">
        <v>18.66675</v>
      </c>
      <c r="Y345" s="307">
        <v>25.29834</v>
      </c>
      <c r="Z345" s="307">
        <v>22.996569999999998</v>
      </c>
      <c r="AA345" s="307">
        <v>17.7072</v>
      </c>
      <c r="AB345" s="307">
        <v>17.636199999999999</v>
      </c>
      <c r="AC345" s="307">
        <v>25.001239999999999</v>
      </c>
      <c r="AD345" s="307">
        <v>26.479769999999998</v>
      </c>
      <c r="AE345" s="307">
        <v>21.39809</v>
      </c>
      <c r="AF345" s="307">
        <v>13.750819999999999</v>
      </c>
      <c r="AG345" s="307">
        <v>18.46679</v>
      </c>
      <c r="AH345" s="307">
        <v>20.20289</v>
      </c>
      <c r="AI345" s="307">
        <v>11.18782</v>
      </c>
      <c r="AJ345" s="307">
        <v>24.959330000000001</v>
      </c>
      <c r="AK345" s="307">
        <v>16.005089999999999</v>
      </c>
      <c r="AL345" s="307">
        <v>14.16511</v>
      </c>
      <c r="AM345" s="307">
        <v>16.420500000000001</v>
      </c>
      <c r="AN345" s="307">
        <v>25.468419999999998</v>
      </c>
      <c r="AO345" s="307">
        <v>15.127890000000001</v>
      </c>
      <c r="AP345" s="307">
        <v>12.784979999999999</v>
      </c>
      <c r="AQ345" s="307">
        <v>14.248620000000001</v>
      </c>
      <c r="AR345" s="307">
        <v>22.45589</v>
      </c>
      <c r="AS345" s="307">
        <v>26.357579999999999</v>
      </c>
      <c r="AT345" s="307">
        <v>16.081230000000001</v>
      </c>
      <c r="AU345" s="307">
        <v>15.015029999999999</v>
      </c>
      <c r="AV345" s="307">
        <v>18.552689999999998</v>
      </c>
      <c r="AW345" s="307">
        <v>20.500589999999999</v>
      </c>
      <c r="AX345" s="307">
        <v>21.937159999999999</v>
      </c>
      <c r="AY345" s="307">
        <v>19.90184</v>
      </c>
      <c r="AZ345" s="307">
        <v>23.80536</v>
      </c>
      <c r="BA345" s="307">
        <v>21.894069999999999</v>
      </c>
      <c r="BB345" s="307">
        <v>15.745340000000001</v>
      </c>
      <c r="BC345" s="307">
        <v>17.809380000000001</v>
      </c>
      <c r="BD345" s="307">
        <v>13.790290000000001</v>
      </c>
      <c r="BE345" s="307">
        <v>19.206949999999999</v>
      </c>
      <c r="BF345" s="307">
        <v>19.16564</v>
      </c>
      <c r="BG345" s="307">
        <v>20.489889999999999</v>
      </c>
      <c r="BH345" s="307">
        <v>20.869700000000002</v>
      </c>
      <c r="BI345" s="307">
        <v>16.766999999999999</v>
      </c>
      <c r="BJ345" s="307">
        <v>16.72296</v>
      </c>
      <c r="BK345" s="307">
        <v>14.420439999999999</v>
      </c>
      <c r="BL345">
        <f t="shared" si="20"/>
        <v>0</v>
      </c>
      <c r="BM345">
        <f t="shared" si="21"/>
        <v>18.577303573770493</v>
      </c>
      <c r="BN345">
        <f t="shared" si="22"/>
        <v>26.479769999999998</v>
      </c>
      <c r="BO345">
        <f t="array" ref="BO345">MIN(IF($C345:$BK345&gt;0, $C345:$BK345))</f>
        <v>2.8721739999999998</v>
      </c>
      <c r="BP345">
        <f t="shared" si="23"/>
        <v>18.46679</v>
      </c>
    </row>
    <row r="346" spans="1:68" x14ac:dyDescent="0.25">
      <c r="A346" s="306">
        <v>532400</v>
      </c>
      <c r="B346" s="307" t="s">
        <v>304</v>
      </c>
      <c r="C346" s="307">
        <v>3.3502770000000002</v>
      </c>
      <c r="D346" s="307">
        <v>3.3158080000000001</v>
      </c>
      <c r="E346" s="307">
        <v>4.5876830000000002</v>
      </c>
      <c r="F346" s="307">
        <v>2.720761</v>
      </c>
      <c r="G346" s="307">
        <v>3.1962799999999998</v>
      </c>
      <c r="H346" s="307">
        <v>3.301498</v>
      </c>
      <c r="I346" s="307">
        <v>2.503196</v>
      </c>
      <c r="J346" s="307">
        <v>2.1354380000000002</v>
      </c>
      <c r="K346" s="307">
        <v>0.93522919999999998</v>
      </c>
      <c r="L346" s="307">
        <v>1.808241</v>
      </c>
      <c r="M346" s="307">
        <v>4.6877779999999998</v>
      </c>
      <c r="N346" s="307">
        <v>2.8312680000000001</v>
      </c>
      <c r="O346" s="307">
        <v>4.7217510000000003</v>
      </c>
      <c r="P346" s="307">
        <v>4.0764740000000002</v>
      </c>
      <c r="Q346" s="307">
        <v>4.6607979999999998</v>
      </c>
      <c r="R346" s="307">
        <v>2.594201</v>
      </c>
      <c r="S346" s="307">
        <v>3.719554</v>
      </c>
      <c r="T346" s="307">
        <v>2.9901960000000001</v>
      </c>
      <c r="U346" s="307">
        <v>3.5737320000000001</v>
      </c>
      <c r="V346" s="307">
        <v>3.6582979999999998</v>
      </c>
      <c r="W346" s="307">
        <v>2.976213</v>
      </c>
      <c r="X346" s="307">
        <v>3.7502629999999999</v>
      </c>
      <c r="Y346" s="307">
        <v>4.0010770000000004</v>
      </c>
      <c r="Z346" s="307">
        <v>4.203837</v>
      </c>
      <c r="AA346" s="307">
        <v>2.4906069999999998</v>
      </c>
      <c r="AB346" s="307">
        <v>3.4848910000000002</v>
      </c>
      <c r="AC346" s="307">
        <v>3.856598</v>
      </c>
      <c r="AD346" s="307">
        <v>4.7051619999999996</v>
      </c>
      <c r="AE346" s="307">
        <v>4.1107750000000003</v>
      </c>
      <c r="AF346" s="307">
        <v>2.3922289999999999</v>
      </c>
      <c r="AG346" s="307">
        <v>3.0477810000000001</v>
      </c>
      <c r="AH346" s="307">
        <v>3.706839</v>
      </c>
      <c r="AI346" s="307">
        <v>2.2709860000000002</v>
      </c>
      <c r="AJ346" s="307">
        <v>3.7162860000000002</v>
      </c>
      <c r="AK346" s="307">
        <v>3.0011169999999998</v>
      </c>
      <c r="AL346" s="307">
        <v>2.8176869999999998</v>
      </c>
      <c r="AM346" s="307">
        <v>3.2140499999999999</v>
      </c>
      <c r="AN346" s="307">
        <v>4.1767390000000004</v>
      </c>
      <c r="AO346" s="307">
        <v>3.3987539999999998</v>
      </c>
      <c r="AP346" s="307">
        <v>2.3677999999999999</v>
      </c>
      <c r="AQ346" s="307">
        <v>3.2083370000000002</v>
      </c>
      <c r="AR346" s="307">
        <v>4.1665169999999998</v>
      </c>
      <c r="AS346" s="307">
        <v>4.5626600000000002</v>
      </c>
      <c r="AT346" s="307">
        <v>3.0161340000000001</v>
      </c>
      <c r="AU346" s="307">
        <v>2.8862549999999998</v>
      </c>
      <c r="AV346" s="307">
        <v>3.480861</v>
      </c>
      <c r="AW346" s="307">
        <v>3.1564179999999999</v>
      </c>
      <c r="AX346" s="307">
        <v>4.190277</v>
      </c>
      <c r="AY346" s="307">
        <v>3.9210370000000001</v>
      </c>
      <c r="AZ346" s="307">
        <v>4.1605670000000003</v>
      </c>
      <c r="BA346" s="307">
        <v>3.3375599999999999</v>
      </c>
      <c r="BB346" s="307">
        <v>2.9650759999999998</v>
      </c>
      <c r="BC346" s="307">
        <v>3.0672160000000002</v>
      </c>
      <c r="BD346" s="307">
        <v>2.6781600000000001</v>
      </c>
      <c r="BE346" s="307">
        <v>3.2556959999999999</v>
      </c>
      <c r="BF346" s="307">
        <v>3.2146970000000001</v>
      </c>
      <c r="BG346" s="307">
        <v>3.9232689999999999</v>
      </c>
      <c r="BH346" s="307">
        <v>3.7333729999999998</v>
      </c>
      <c r="BI346" s="307">
        <v>3.2058779999999998</v>
      </c>
      <c r="BJ346" s="307">
        <v>3.1922839999999999</v>
      </c>
      <c r="BK346" s="307">
        <v>3.4269449999999999</v>
      </c>
      <c r="BL346">
        <f t="shared" si="20"/>
        <v>0</v>
      </c>
      <c r="BM346">
        <f t="shared" si="21"/>
        <v>3.3738912983606553</v>
      </c>
      <c r="BN346">
        <f t="shared" si="22"/>
        <v>4.7217510000000003</v>
      </c>
      <c r="BO346">
        <f t="array" ref="BO346">MIN(IF($C346:$BK346&gt;0, $C346:$BK346))</f>
        <v>0.93522919999999998</v>
      </c>
      <c r="BP346">
        <f t="shared" si="23"/>
        <v>3.3158080000000001</v>
      </c>
    </row>
    <row r="347" spans="1:68" x14ac:dyDescent="0.25">
      <c r="A347" s="306" t="s">
        <v>768</v>
      </c>
      <c r="B347" s="307" t="s">
        <v>302</v>
      </c>
      <c r="C347" s="307">
        <v>8.2669060000000005</v>
      </c>
      <c r="D347" s="307">
        <v>8.945157</v>
      </c>
      <c r="E347" s="307">
        <v>11.56583</v>
      </c>
      <c r="F347" s="307">
        <v>7.3216400000000004</v>
      </c>
      <c r="G347" s="307">
        <v>7.0697919999999996</v>
      </c>
      <c r="H347" s="307">
        <v>8.109102</v>
      </c>
      <c r="I347" s="307">
        <v>5.9880399999999998</v>
      </c>
      <c r="J347" s="307">
        <v>5.1086600000000004</v>
      </c>
      <c r="K347" s="307">
        <v>1.5861419999999999</v>
      </c>
      <c r="L347" s="307">
        <v>4.3259660000000002</v>
      </c>
      <c r="M347" s="307">
        <v>10.326930000000001</v>
      </c>
      <c r="N347" s="307">
        <v>6.3911350000000002</v>
      </c>
      <c r="O347" s="307">
        <v>11.287380000000001</v>
      </c>
      <c r="P347" s="307">
        <v>10.044829999999999</v>
      </c>
      <c r="Q347" s="307">
        <v>11.75</v>
      </c>
      <c r="R347" s="307">
        <v>6.814794</v>
      </c>
      <c r="S347" s="307">
        <v>9.6876829999999998</v>
      </c>
      <c r="T347" s="307">
        <v>6.6059089999999996</v>
      </c>
      <c r="U347" s="307">
        <v>9.7826649999999997</v>
      </c>
      <c r="V347" s="307">
        <v>9.1797260000000005</v>
      </c>
      <c r="W347" s="307">
        <v>7.7194770000000004</v>
      </c>
      <c r="X347" s="307">
        <v>7.8259780000000001</v>
      </c>
      <c r="Y347" s="307">
        <v>10.299939999999999</v>
      </c>
      <c r="Z347" s="307">
        <v>11.72221</v>
      </c>
      <c r="AA347" s="307">
        <v>7.7000270000000004</v>
      </c>
      <c r="AB347" s="307">
        <v>8.1847469999999998</v>
      </c>
      <c r="AC347" s="307">
        <v>10.101100000000001</v>
      </c>
      <c r="AD347" s="307">
        <v>11.861610000000001</v>
      </c>
      <c r="AE347" s="307">
        <v>9.5853540000000006</v>
      </c>
      <c r="AF347" s="307">
        <v>6.7930020000000004</v>
      </c>
      <c r="AG347" s="307">
        <v>7.3192279999999998</v>
      </c>
      <c r="AH347" s="307">
        <v>9.3519799999999993</v>
      </c>
      <c r="AI347" s="307">
        <v>5.1823670000000002</v>
      </c>
      <c r="AJ347" s="307">
        <v>11.723089999999999</v>
      </c>
      <c r="AK347" s="307">
        <v>6.9707869999999996</v>
      </c>
      <c r="AL347" s="307">
        <v>6.2650990000000002</v>
      </c>
      <c r="AM347" s="307">
        <v>8.0007280000000005</v>
      </c>
      <c r="AN347" s="307">
        <v>11.16962</v>
      </c>
      <c r="AO347" s="307">
        <v>8.0446080000000002</v>
      </c>
      <c r="AP347" s="307">
        <v>6.2189259999999997</v>
      </c>
      <c r="AQ347" s="307">
        <v>6.5753310000000003</v>
      </c>
      <c r="AR347" s="307">
        <v>10.51423</v>
      </c>
      <c r="AS347" s="307">
        <v>10.99715</v>
      </c>
      <c r="AT347" s="307">
        <v>7.2998219999999998</v>
      </c>
      <c r="AU347" s="307">
        <v>7.3609840000000002</v>
      </c>
      <c r="AV347" s="307">
        <v>8.6844479999999997</v>
      </c>
      <c r="AW347" s="307">
        <v>9.3789499999999997</v>
      </c>
      <c r="AX347" s="307">
        <v>10.563689999999999</v>
      </c>
      <c r="AY347" s="307">
        <v>9.9063750000000006</v>
      </c>
      <c r="AZ347" s="307">
        <v>11.551270000000001</v>
      </c>
      <c r="BA347" s="307">
        <v>8.4426850000000009</v>
      </c>
      <c r="BB347" s="307">
        <v>8.7962760000000006</v>
      </c>
      <c r="BC347" s="307">
        <v>7.7175409999999998</v>
      </c>
      <c r="BD347" s="307">
        <v>6.3671959999999999</v>
      </c>
      <c r="BE347" s="307">
        <v>8.7600379999999998</v>
      </c>
      <c r="BF347" s="307">
        <v>8.2743570000000002</v>
      </c>
      <c r="BG347" s="307">
        <v>8.9806329999999992</v>
      </c>
      <c r="BH347" s="307">
        <v>9.2809640000000009</v>
      </c>
      <c r="BI347" s="307">
        <v>7.8350879999999998</v>
      </c>
      <c r="BJ347" s="307">
        <v>7.4164250000000003</v>
      </c>
      <c r="BK347" s="307">
        <v>8.4440229999999996</v>
      </c>
      <c r="BL347">
        <f t="shared" si="20"/>
        <v>0</v>
      </c>
      <c r="BM347">
        <f t="shared" si="21"/>
        <v>8.4482891967213103</v>
      </c>
      <c r="BN347">
        <f t="shared" si="22"/>
        <v>11.861610000000001</v>
      </c>
      <c r="BO347">
        <f t="array" ref="BO347">MIN(IF($C347:$BK347&gt;0, $C347:$BK347))</f>
        <v>1.5861419999999999</v>
      </c>
      <c r="BP347">
        <f t="shared" si="23"/>
        <v>8.2743570000000002</v>
      </c>
    </row>
    <row r="348" spans="1:68" x14ac:dyDescent="0.25">
      <c r="A348" s="306">
        <v>533000</v>
      </c>
      <c r="B348" s="307" t="s">
        <v>305</v>
      </c>
      <c r="C348" s="307">
        <v>1.6579630000000001</v>
      </c>
      <c r="D348" s="307">
        <v>2.2677299999999998</v>
      </c>
      <c r="E348" s="307">
        <v>1.8514729999999999</v>
      </c>
      <c r="F348" s="307">
        <v>2.3070369999999998</v>
      </c>
      <c r="G348" s="307">
        <v>1.6679809999999999</v>
      </c>
      <c r="H348" s="307">
        <v>1.317123</v>
      </c>
      <c r="I348" s="307">
        <v>1.6690309999999999</v>
      </c>
      <c r="J348" s="307">
        <v>1.7896920000000001</v>
      </c>
      <c r="K348" s="307">
        <v>0</v>
      </c>
      <c r="L348" s="307">
        <v>1.3874010000000001</v>
      </c>
      <c r="M348" s="307">
        <v>1.782845</v>
      </c>
      <c r="N348" s="307">
        <v>1.5829029999999999</v>
      </c>
      <c r="O348" s="307">
        <v>2.8698709999999998</v>
      </c>
      <c r="P348" s="307">
        <v>2.4057490000000001</v>
      </c>
      <c r="Q348" s="307">
        <v>2.5990869999999999</v>
      </c>
      <c r="R348" s="307">
        <v>1.650317</v>
      </c>
      <c r="S348" s="307">
        <v>1.6354979999999999</v>
      </c>
      <c r="T348" s="307">
        <v>2.009808</v>
      </c>
      <c r="U348" s="307">
        <v>1.7491209999999999</v>
      </c>
      <c r="V348" s="307">
        <v>2.2720600000000002</v>
      </c>
      <c r="W348" s="307">
        <v>1.364422</v>
      </c>
      <c r="X348" s="307">
        <v>1.7075940000000001</v>
      </c>
      <c r="Y348" s="307">
        <v>1.556651</v>
      </c>
      <c r="Z348" s="307">
        <v>1.9803999999999999</v>
      </c>
      <c r="AA348" s="307">
        <v>1.703444</v>
      </c>
      <c r="AB348" s="307">
        <v>1.869956</v>
      </c>
      <c r="AC348" s="307">
        <v>2.80958</v>
      </c>
      <c r="AD348" s="307">
        <v>2.696021</v>
      </c>
      <c r="AE348" s="307">
        <v>2.1591399999999998</v>
      </c>
      <c r="AF348" s="307">
        <v>2.8458549999999998</v>
      </c>
      <c r="AG348" s="307">
        <v>1.8339939999999999</v>
      </c>
      <c r="AH348" s="307">
        <v>2.0209640000000002</v>
      </c>
      <c r="AI348" s="307">
        <v>1.143537</v>
      </c>
      <c r="AJ348" s="307">
        <v>2.9407939999999999</v>
      </c>
      <c r="AK348" s="307">
        <v>2.2631260000000002</v>
      </c>
      <c r="AL348" s="307">
        <v>1.1818139999999999</v>
      </c>
      <c r="AM348" s="307">
        <v>2.1222379999999998</v>
      </c>
      <c r="AN348" s="307">
        <v>2.3705660000000002</v>
      </c>
      <c r="AO348" s="307">
        <v>1.944223</v>
      </c>
      <c r="AP348" s="307">
        <v>1.444793</v>
      </c>
      <c r="AQ348" s="307">
        <v>1.4321109999999999</v>
      </c>
      <c r="AR348" s="307">
        <v>2.6511269999999998</v>
      </c>
      <c r="AS348" s="307">
        <v>2.9619140000000002</v>
      </c>
      <c r="AT348" s="307">
        <v>1.986974</v>
      </c>
      <c r="AU348" s="307">
        <v>1.3880729999999999</v>
      </c>
      <c r="AV348" s="307">
        <v>2.958218</v>
      </c>
      <c r="AW348" s="307">
        <v>1.985649</v>
      </c>
      <c r="AX348" s="307">
        <v>2.6499350000000002</v>
      </c>
      <c r="AY348" s="307">
        <v>2.1337609999999998</v>
      </c>
      <c r="AZ348" s="307">
        <v>2.2755030000000001</v>
      </c>
      <c r="BA348" s="307">
        <v>2.571294</v>
      </c>
      <c r="BB348" s="307">
        <v>1.5397069999999999</v>
      </c>
      <c r="BC348" s="307">
        <v>1.699398</v>
      </c>
      <c r="BD348" s="307">
        <v>1.3218460000000001</v>
      </c>
      <c r="BE348" s="307">
        <v>1.923691</v>
      </c>
      <c r="BF348" s="307">
        <v>1.8516969999999999</v>
      </c>
      <c r="BG348" s="307">
        <v>1.8197030000000001</v>
      </c>
      <c r="BH348" s="307">
        <v>1.9924489999999999</v>
      </c>
      <c r="BI348" s="307">
        <v>1.5960620000000001</v>
      </c>
      <c r="BJ348" s="307">
        <v>1.806373</v>
      </c>
      <c r="BK348" s="307">
        <v>1.459387</v>
      </c>
      <c r="BL348">
        <f t="shared" si="20"/>
        <v>1</v>
      </c>
      <c r="BM348">
        <f t="shared" si="21"/>
        <v>1.9739445666666668</v>
      </c>
      <c r="BN348">
        <f t="shared" si="22"/>
        <v>2.9619140000000002</v>
      </c>
      <c r="BO348">
        <f t="array" ref="BO348">MIN(IF($C348:$BK348&gt;0, $C348:$BK348))</f>
        <v>1.143537</v>
      </c>
      <c r="BP348">
        <f t="shared" si="23"/>
        <v>1.8516969999999999</v>
      </c>
    </row>
    <row r="349" spans="1:68" x14ac:dyDescent="0.25">
      <c r="A349" s="306">
        <v>541100</v>
      </c>
      <c r="B349" s="307" t="s">
        <v>306</v>
      </c>
      <c r="C349" s="307">
        <v>6.1284380000000001</v>
      </c>
      <c r="D349" s="307">
        <v>9.111917</v>
      </c>
      <c r="E349" s="307">
        <v>7.7066189999999999</v>
      </c>
      <c r="F349" s="307">
        <v>9.7756559999999997</v>
      </c>
      <c r="G349" s="307">
        <v>6.7939109999999996</v>
      </c>
      <c r="H349" s="307">
        <v>5.0026450000000002</v>
      </c>
      <c r="I349" s="307">
        <v>6.7849430000000002</v>
      </c>
      <c r="J349" s="307">
        <v>6.0430770000000003</v>
      </c>
      <c r="K349" s="307">
        <v>1.2980179999999999</v>
      </c>
      <c r="L349" s="307">
        <v>4.1316810000000004</v>
      </c>
      <c r="M349" s="307">
        <v>7.4324260000000004</v>
      </c>
      <c r="N349" s="307">
        <v>5.8689790000000004</v>
      </c>
      <c r="O349" s="307">
        <v>6.6050899999999997</v>
      </c>
      <c r="P349" s="307">
        <v>8.779992</v>
      </c>
      <c r="Q349" s="307">
        <v>9.8163389999999993</v>
      </c>
      <c r="R349" s="307">
        <v>4.8896750000000004</v>
      </c>
      <c r="S349" s="307">
        <v>7.9202060000000003</v>
      </c>
      <c r="T349" s="307">
        <v>9.2433730000000001</v>
      </c>
      <c r="U349" s="307">
        <v>7.8930410000000002</v>
      </c>
      <c r="V349" s="307">
        <v>6.9997720000000001</v>
      </c>
      <c r="W349" s="307">
        <v>4.8859599999999999</v>
      </c>
      <c r="X349" s="307">
        <v>6.3264440000000004</v>
      </c>
      <c r="Y349" s="307">
        <v>8.510446</v>
      </c>
      <c r="Z349" s="307">
        <v>7.6657419999999998</v>
      </c>
      <c r="AA349" s="307">
        <v>6.060168</v>
      </c>
      <c r="AB349" s="307">
        <v>5.2727389999999996</v>
      </c>
      <c r="AC349" s="307">
        <v>7.18642</v>
      </c>
      <c r="AD349" s="307">
        <v>9.8609039999999997</v>
      </c>
      <c r="AE349" s="307">
        <v>7.4732839999999996</v>
      </c>
      <c r="AF349" s="307">
        <v>9.2209050000000001</v>
      </c>
      <c r="AG349" s="307">
        <v>7.9449610000000002</v>
      </c>
      <c r="AH349" s="307">
        <v>7.9798239999999998</v>
      </c>
      <c r="AI349" s="307">
        <v>6.4848090000000003</v>
      </c>
      <c r="AJ349" s="307">
        <v>9.5381199999999993</v>
      </c>
      <c r="AK349" s="307">
        <v>7.4485830000000002</v>
      </c>
      <c r="AL349" s="307">
        <v>4.4061380000000003</v>
      </c>
      <c r="AM349" s="307">
        <v>7.6896300000000002</v>
      </c>
      <c r="AN349" s="307">
        <v>9.6078399999999995</v>
      </c>
      <c r="AO349" s="307">
        <v>7.3231149999999996</v>
      </c>
      <c r="AP349" s="307">
        <v>5.2549619999999999</v>
      </c>
      <c r="AQ349" s="307">
        <v>6.4823490000000001</v>
      </c>
      <c r="AR349" s="307">
        <v>8.1920070000000003</v>
      </c>
      <c r="AS349" s="307">
        <v>9.7863629999999997</v>
      </c>
      <c r="AT349" s="307">
        <v>7.2966030000000002</v>
      </c>
      <c r="AU349" s="307">
        <v>5.7157999999999998</v>
      </c>
      <c r="AV349" s="307">
        <v>8.7082979999999992</v>
      </c>
      <c r="AW349" s="307">
        <v>5.9609579999999998</v>
      </c>
      <c r="AX349" s="307">
        <v>8.9766429999999993</v>
      </c>
      <c r="AY349" s="307">
        <v>6.5682830000000001</v>
      </c>
      <c r="AZ349" s="307">
        <v>6.8355189999999997</v>
      </c>
      <c r="BA349" s="307">
        <v>7.7350709999999996</v>
      </c>
      <c r="BB349" s="307">
        <v>9.3027599999999993</v>
      </c>
      <c r="BC349" s="307">
        <v>5.7504059999999999</v>
      </c>
      <c r="BD349" s="307">
        <v>5.3040969999999996</v>
      </c>
      <c r="BE349" s="307">
        <v>6.372198</v>
      </c>
      <c r="BF349" s="307">
        <v>6.9588970000000003</v>
      </c>
      <c r="BG349" s="307">
        <v>6.5926229999999997</v>
      </c>
      <c r="BH349" s="307">
        <v>7.5958509999999997</v>
      </c>
      <c r="BI349" s="307">
        <v>6.3128640000000003</v>
      </c>
      <c r="BJ349" s="307">
        <v>7.5803380000000002</v>
      </c>
      <c r="BK349" s="307">
        <v>5.3117599999999996</v>
      </c>
      <c r="BL349">
        <f t="shared" si="20"/>
        <v>0</v>
      </c>
      <c r="BM349">
        <f t="shared" si="21"/>
        <v>7.1099422950819671</v>
      </c>
      <c r="BN349">
        <f t="shared" si="22"/>
        <v>9.8609039999999997</v>
      </c>
      <c r="BO349">
        <f t="array" ref="BO349">MIN(IF($C349:$BK349&gt;0, $C349:$BK349))</f>
        <v>1.2980179999999999</v>
      </c>
      <c r="BP349">
        <f t="shared" si="23"/>
        <v>7.18642</v>
      </c>
    </row>
    <row r="350" spans="1:68" x14ac:dyDescent="0.25">
      <c r="A350" s="306">
        <v>541200</v>
      </c>
      <c r="B350" s="307" t="s">
        <v>307</v>
      </c>
      <c r="C350" s="307">
        <v>10.218529999999999</v>
      </c>
      <c r="D350" s="307">
        <v>15.033440000000001</v>
      </c>
      <c r="E350" s="307">
        <v>12.000249999999999</v>
      </c>
      <c r="F350" s="307">
        <v>15.04327</v>
      </c>
      <c r="G350" s="307">
        <v>13.133990000000001</v>
      </c>
      <c r="H350" s="307">
        <v>9.2098049999999994</v>
      </c>
      <c r="I350" s="307">
        <v>11.009399999999999</v>
      </c>
      <c r="J350" s="307">
        <v>7.3926259999999999</v>
      </c>
      <c r="K350" s="307">
        <v>1.41652</v>
      </c>
      <c r="L350" s="307">
        <v>8.0763999999999996</v>
      </c>
      <c r="M350" s="307">
        <v>10.93835</v>
      </c>
      <c r="N350" s="307">
        <v>9.7657589999999992</v>
      </c>
      <c r="O350" s="307">
        <v>12.703200000000001</v>
      </c>
      <c r="P350" s="307">
        <v>11.55382</v>
      </c>
      <c r="Q350" s="307">
        <v>14.93042</v>
      </c>
      <c r="R350" s="307">
        <v>8.4918999999999993</v>
      </c>
      <c r="S350" s="307">
        <v>12.849869999999999</v>
      </c>
      <c r="T350" s="307">
        <v>12.57305</v>
      </c>
      <c r="U350" s="307">
        <v>11.641859999999999</v>
      </c>
      <c r="V350" s="307">
        <v>12.81734</v>
      </c>
      <c r="W350" s="307">
        <v>7.8932029999999997</v>
      </c>
      <c r="X350" s="307">
        <v>8.623742</v>
      </c>
      <c r="Y350" s="307">
        <v>12.929349999999999</v>
      </c>
      <c r="Z350" s="307">
        <v>11.12548</v>
      </c>
      <c r="AA350" s="307">
        <v>9.8631250000000001</v>
      </c>
      <c r="AB350" s="307">
        <v>9.4284110000000005</v>
      </c>
      <c r="AC350" s="307">
        <v>15.249269999999999</v>
      </c>
      <c r="AD350" s="307">
        <v>15.3116</v>
      </c>
      <c r="AE350" s="307">
        <v>12.268000000000001</v>
      </c>
      <c r="AF350" s="307">
        <v>13.7859</v>
      </c>
      <c r="AG350" s="307">
        <v>12.87406</v>
      </c>
      <c r="AH350" s="307">
        <v>8.2114630000000002</v>
      </c>
      <c r="AI350" s="307">
        <v>7.3372760000000001</v>
      </c>
      <c r="AJ350" s="307">
        <v>14.48029</v>
      </c>
      <c r="AK350" s="307">
        <v>11.558160000000001</v>
      </c>
      <c r="AL350" s="307">
        <v>6.8169449999999996</v>
      </c>
      <c r="AM350" s="307">
        <v>11.023440000000001</v>
      </c>
      <c r="AN350" s="307">
        <v>13.63503</v>
      </c>
      <c r="AO350" s="307">
        <v>12.439170000000001</v>
      </c>
      <c r="AP350" s="307">
        <v>9.4372220000000002</v>
      </c>
      <c r="AQ350" s="307">
        <v>9.8399570000000001</v>
      </c>
      <c r="AR350" s="307">
        <v>14.372719999999999</v>
      </c>
      <c r="AS350" s="307">
        <v>14.578049999999999</v>
      </c>
      <c r="AT350" s="307">
        <v>9.0820980000000002</v>
      </c>
      <c r="AU350" s="307">
        <v>10.711930000000001</v>
      </c>
      <c r="AV350" s="307">
        <v>14.9038</v>
      </c>
      <c r="AW350" s="307">
        <v>7.6130279999999999</v>
      </c>
      <c r="AX350" s="307">
        <v>13.371639999999999</v>
      </c>
      <c r="AY350" s="307">
        <v>10.97551</v>
      </c>
      <c r="AZ350" s="307">
        <v>10.90624</v>
      </c>
      <c r="BA350" s="307">
        <v>13.32808</v>
      </c>
      <c r="BB350" s="307">
        <v>13.713649999999999</v>
      </c>
      <c r="BC350" s="307">
        <v>8.7367220000000003</v>
      </c>
      <c r="BD350" s="307">
        <v>8.3382480000000001</v>
      </c>
      <c r="BE350" s="307">
        <v>10.31786</v>
      </c>
      <c r="BF350" s="307">
        <v>11.498950000000001</v>
      </c>
      <c r="BG350" s="307">
        <v>10.32701</v>
      </c>
      <c r="BH350" s="307">
        <v>10.92648</v>
      </c>
      <c r="BI350" s="307">
        <v>11.435689999999999</v>
      </c>
      <c r="BJ350" s="307">
        <v>12.786569999999999</v>
      </c>
      <c r="BK350" s="307">
        <v>9.6821249999999992</v>
      </c>
      <c r="BL350">
        <f t="shared" si="20"/>
        <v>0</v>
      </c>
      <c r="BM350">
        <f t="shared" si="21"/>
        <v>11.189135983606556</v>
      </c>
      <c r="BN350">
        <f t="shared" si="22"/>
        <v>15.3116</v>
      </c>
      <c r="BO350">
        <f t="array" ref="BO350">MIN(IF($C350:$BK350&gt;0, $C350:$BK350))</f>
        <v>1.41652</v>
      </c>
      <c r="BP350">
        <f t="shared" si="23"/>
        <v>11.12548</v>
      </c>
    </row>
    <row r="351" spans="1:68" x14ac:dyDescent="0.25">
      <c r="A351" s="306">
        <v>541300</v>
      </c>
      <c r="B351" s="307" t="s">
        <v>308</v>
      </c>
      <c r="C351" s="307">
        <v>5.7954720000000002</v>
      </c>
      <c r="D351" s="307">
        <v>4.8200890000000003</v>
      </c>
      <c r="E351" s="307">
        <v>5.7891719999999998</v>
      </c>
      <c r="F351" s="307">
        <v>7.1543539999999997</v>
      </c>
      <c r="G351" s="307">
        <v>5.8353510000000002</v>
      </c>
      <c r="H351" s="307">
        <v>5.1934490000000002</v>
      </c>
      <c r="I351" s="307">
        <v>5.1863530000000004</v>
      </c>
      <c r="J351" s="307">
        <v>4.5804510000000001</v>
      </c>
      <c r="K351" s="307">
        <v>0.9829561</v>
      </c>
      <c r="L351" s="307">
        <v>3.476369</v>
      </c>
      <c r="M351" s="307">
        <v>6.9058010000000003</v>
      </c>
      <c r="N351" s="307">
        <v>6.0053929999999998</v>
      </c>
      <c r="O351" s="307">
        <v>5.608727</v>
      </c>
      <c r="P351" s="307">
        <v>6.5359379999999998</v>
      </c>
      <c r="Q351" s="307">
        <v>7.2420080000000002</v>
      </c>
      <c r="R351" s="307">
        <v>5.7474059999999998</v>
      </c>
      <c r="S351" s="307">
        <v>6.9407899999999998</v>
      </c>
      <c r="T351" s="307">
        <v>5.3172110000000004</v>
      </c>
      <c r="U351" s="307">
        <v>6.6109150000000003</v>
      </c>
      <c r="V351" s="307">
        <v>5.7817910000000001</v>
      </c>
      <c r="W351" s="307">
        <v>4.7225200000000003</v>
      </c>
      <c r="X351" s="307">
        <v>4.7191039999999997</v>
      </c>
      <c r="Y351" s="307">
        <v>6.5977860000000002</v>
      </c>
      <c r="Z351" s="307">
        <v>5.1112580000000003</v>
      </c>
      <c r="AA351" s="307">
        <v>6.1356520000000003</v>
      </c>
      <c r="AB351" s="307">
        <v>4.7950920000000004</v>
      </c>
      <c r="AC351" s="307">
        <v>6.7159449999999996</v>
      </c>
      <c r="AD351" s="307">
        <v>7.2332140000000003</v>
      </c>
      <c r="AE351" s="307">
        <v>6.4991630000000002</v>
      </c>
      <c r="AF351" s="307">
        <v>6.0000749999999998</v>
      </c>
      <c r="AG351" s="307">
        <v>5.8241620000000003</v>
      </c>
      <c r="AH351" s="307">
        <v>5.5371600000000001</v>
      </c>
      <c r="AI351" s="307">
        <v>4.6368080000000003</v>
      </c>
      <c r="AJ351" s="307">
        <v>6.4190180000000003</v>
      </c>
      <c r="AK351" s="307">
        <v>6.3024310000000003</v>
      </c>
      <c r="AL351" s="307">
        <v>4.9232810000000002</v>
      </c>
      <c r="AM351" s="307">
        <v>6.19719</v>
      </c>
      <c r="AN351" s="307">
        <v>7.2033189999999996</v>
      </c>
      <c r="AO351" s="307">
        <v>6.2206099999999998</v>
      </c>
      <c r="AP351" s="307">
        <v>5.5312000000000001</v>
      </c>
      <c r="AQ351" s="307">
        <v>5.2820070000000001</v>
      </c>
      <c r="AR351" s="307">
        <v>6.1498660000000003</v>
      </c>
      <c r="AS351" s="307">
        <v>7.1222250000000003</v>
      </c>
      <c r="AT351" s="307">
        <v>5.9888659999999998</v>
      </c>
      <c r="AU351" s="307">
        <v>5.3313470000000001</v>
      </c>
      <c r="AV351" s="307">
        <v>7.2156979999999997</v>
      </c>
      <c r="AW351" s="307">
        <v>4.3631869999999999</v>
      </c>
      <c r="AX351" s="307">
        <v>6.6771349999999998</v>
      </c>
      <c r="AY351" s="307">
        <v>5.6962440000000001</v>
      </c>
      <c r="AZ351" s="307">
        <v>7.0475469999999998</v>
      </c>
      <c r="BA351" s="307">
        <v>6.9327949999999996</v>
      </c>
      <c r="BB351" s="307">
        <v>6.1579639999999998</v>
      </c>
      <c r="BC351" s="307">
        <v>5.3135009999999996</v>
      </c>
      <c r="BD351" s="307">
        <v>5.4875189999999998</v>
      </c>
      <c r="BE351" s="307">
        <v>5.9245989999999997</v>
      </c>
      <c r="BF351" s="307">
        <v>6.05823</v>
      </c>
      <c r="BG351" s="307">
        <v>5.9327209999999999</v>
      </c>
      <c r="BH351" s="307">
        <v>6.1948509999999999</v>
      </c>
      <c r="BI351" s="307">
        <v>5.5662269999999996</v>
      </c>
      <c r="BJ351" s="307">
        <v>5.94468</v>
      </c>
      <c r="BK351" s="307">
        <v>5.3470190000000004</v>
      </c>
      <c r="BL351">
        <f t="shared" si="20"/>
        <v>0</v>
      </c>
      <c r="BM351">
        <f t="shared" si="21"/>
        <v>5.812610034426231</v>
      </c>
      <c r="BN351">
        <f t="shared" si="22"/>
        <v>7.2420080000000002</v>
      </c>
      <c r="BO351">
        <f t="array" ref="BO351">MIN(IF($C351:$BK351&gt;0, $C351:$BK351))</f>
        <v>0.9829561</v>
      </c>
      <c r="BP351">
        <f t="shared" si="23"/>
        <v>5.9245989999999997</v>
      </c>
    </row>
    <row r="352" spans="1:68" x14ac:dyDescent="0.25">
      <c r="A352" s="306">
        <v>541400</v>
      </c>
      <c r="B352" s="307" t="s">
        <v>309</v>
      </c>
      <c r="C352" s="307">
        <v>10.96303</v>
      </c>
      <c r="D352" s="307">
        <v>15.589969999999999</v>
      </c>
      <c r="E352" s="307">
        <v>15.979179999999999</v>
      </c>
      <c r="F352" s="307">
        <v>17.647760000000002</v>
      </c>
      <c r="G352" s="307">
        <v>12.795949999999999</v>
      </c>
      <c r="H352" s="307">
        <v>9.0213049999999999</v>
      </c>
      <c r="I352" s="307">
        <v>11.82902</v>
      </c>
      <c r="J352" s="307">
        <v>7.8985139999999996</v>
      </c>
      <c r="K352" s="307">
        <v>3.6926079999999999</v>
      </c>
      <c r="L352" s="307">
        <v>14.56438</v>
      </c>
      <c r="M352" s="307">
        <v>13.39207</v>
      </c>
      <c r="N352" s="307">
        <v>13.30334</v>
      </c>
      <c r="O352" s="307">
        <v>14.635759999999999</v>
      </c>
      <c r="P352" s="307">
        <v>16.665690000000001</v>
      </c>
      <c r="Q352" s="307">
        <v>18.0929</v>
      </c>
      <c r="R352" s="307">
        <v>10.05663</v>
      </c>
      <c r="S352" s="307">
        <v>14.85764</v>
      </c>
      <c r="T352" s="307">
        <v>13.36772</v>
      </c>
      <c r="U352" s="307">
        <v>13.009</v>
      </c>
      <c r="V352" s="307">
        <v>16.90803</v>
      </c>
      <c r="W352" s="307">
        <v>8.7001910000000002</v>
      </c>
      <c r="X352" s="307">
        <v>9.6976060000000004</v>
      </c>
      <c r="Y352" s="307">
        <v>16.710180000000001</v>
      </c>
      <c r="Z352" s="307">
        <v>9.0573800000000002</v>
      </c>
      <c r="AA352" s="307">
        <v>13.376569999999999</v>
      </c>
      <c r="AB352" s="307">
        <v>11.61642</v>
      </c>
      <c r="AC352" s="307">
        <v>18.109010000000001</v>
      </c>
      <c r="AD352" s="307">
        <v>18.208639999999999</v>
      </c>
      <c r="AE352" s="307">
        <v>12.79462</v>
      </c>
      <c r="AF352" s="307">
        <v>17.33624</v>
      </c>
      <c r="AG352" s="307">
        <v>17.31542</v>
      </c>
      <c r="AH352" s="307">
        <v>8.4287860000000006</v>
      </c>
      <c r="AI352" s="307">
        <v>8.6007320000000007</v>
      </c>
      <c r="AJ352" s="307">
        <v>17.407979999999998</v>
      </c>
      <c r="AK352" s="307">
        <v>10.95534</v>
      </c>
      <c r="AL352" s="307">
        <v>7.9088120000000002</v>
      </c>
      <c r="AM352" s="307">
        <v>8.7133800000000008</v>
      </c>
      <c r="AN352" s="307">
        <v>18.201450000000001</v>
      </c>
      <c r="AO352" s="307">
        <v>15.35778</v>
      </c>
      <c r="AP352" s="307">
        <v>11.355560000000001</v>
      </c>
      <c r="AQ352" s="307">
        <v>8.4251900000000006</v>
      </c>
      <c r="AR352" s="307">
        <v>15.36106</v>
      </c>
      <c r="AS352" s="307">
        <v>10.50375</v>
      </c>
      <c r="AT352" s="307">
        <v>12.025130000000001</v>
      </c>
      <c r="AU352" s="307">
        <v>11.845140000000001</v>
      </c>
      <c r="AV352" s="307">
        <v>16.000319999999999</v>
      </c>
      <c r="AW352" s="307">
        <v>11.204420000000001</v>
      </c>
      <c r="AX352" s="307">
        <v>11.50648</v>
      </c>
      <c r="AY352" s="307">
        <v>13.46651</v>
      </c>
      <c r="AZ352" s="307">
        <v>13.33883</v>
      </c>
      <c r="BA352" s="307">
        <v>15.692299999999999</v>
      </c>
      <c r="BB352" s="307">
        <v>10.630979999999999</v>
      </c>
      <c r="BC352" s="307">
        <v>9.2623909999999992</v>
      </c>
      <c r="BD352" s="307">
        <v>9.4922500000000003</v>
      </c>
      <c r="BE352" s="307">
        <v>10.145200000000001</v>
      </c>
      <c r="BF352" s="307">
        <v>13.99808</v>
      </c>
      <c r="BG352" s="307">
        <v>12.8393</v>
      </c>
      <c r="BH352" s="307">
        <v>13.474640000000001</v>
      </c>
      <c r="BI352" s="307">
        <v>12.77716</v>
      </c>
      <c r="BJ352" s="307">
        <v>13.26191</v>
      </c>
      <c r="BK352" s="307">
        <v>9.7749030000000001</v>
      </c>
      <c r="BL352">
        <f t="shared" si="20"/>
        <v>0</v>
      </c>
      <c r="BM352">
        <f t="shared" si="21"/>
        <v>12.772926852459019</v>
      </c>
      <c r="BN352">
        <f t="shared" si="22"/>
        <v>18.208639999999999</v>
      </c>
      <c r="BO352">
        <f t="array" ref="BO352">MIN(IF($C352:$BK352&gt;0, $C352:$BK352))</f>
        <v>3.6926079999999999</v>
      </c>
      <c r="BP352">
        <f t="shared" si="23"/>
        <v>12.8393</v>
      </c>
    </row>
    <row r="353" spans="1:68" x14ac:dyDescent="0.25">
      <c r="A353" s="306">
        <v>541511</v>
      </c>
      <c r="B353" s="307" t="s">
        <v>310</v>
      </c>
      <c r="C353" s="307">
        <v>7.0028879999999996</v>
      </c>
      <c r="D353" s="307">
        <v>8.2176489999999998</v>
      </c>
      <c r="E353" s="307">
        <v>8.0612790000000007</v>
      </c>
      <c r="F353" s="307">
        <v>9.6094969999999993</v>
      </c>
      <c r="G353" s="307">
        <v>8.1891850000000002</v>
      </c>
      <c r="H353" s="307">
        <v>6.0952469999999996</v>
      </c>
      <c r="I353" s="307">
        <v>6.5633809999999997</v>
      </c>
      <c r="J353" s="307">
        <v>5.563955</v>
      </c>
      <c r="K353" s="307">
        <v>1.10805</v>
      </c>
      <c r="L353" s="307">
        <v>5.3712569999999999</v>
      </c>
      <c r="M353" s="307">
        <v>9.1331009999999999</v>
      </c>
      <c r="N353" s="307">
        <v>7.359985</v>
      </c>
      <c r="O353" s="307">
        <v>7.9949269999999997</v>
      </c>
      <c r="P353" s="307">
        <v>9.2856799999999993</v>
      </c>
      <c r="Q353" s="307">
        <v>9.6841709999999992</v>
      </c>
      <c r="R353" s="307">
        <v>6.4287770000000002</v>
      </c>
      <c r="S353" s="307">
        <v>8.8365580000000001</v>
      </c>
      <c r="T353" s="307">
        <v>5.9438789999999999</v>
      </c>
      <c r="U353" s="307">
        <v>7.1732440000000004</v>
      </c>
      <c r="V353" s="307">
        <v>9.4122299999999992</v>
      </c>
      <c r="W353" s="307">
        <v>5.5349250000000003</v>
      </c>
      <c r="X353" s="307">
        <v>5.2418760000000004</v>
      </c>
      <c r="Y353" s="307">
        <v>9.3496290000000002</v>
      </c>
      <c r="Z353" s="307">
        <v>7.4320209999999998</v>
      </c>
      <c r="AA353" s="307">
        <v>7.0023150000000003</v>
      </c>
      <c r="AB353" s="307">
        <v>6.6711179999999999</v>
      </c>
      <c r="AC353" s="307">
        <v>8.5459859999999992</v>
      </c>
      <c r="AD353" s="307">
        <v>9.5652410000000003</v>
      </c>
      <c r="AE353" s="307">
        <v>8.0352990000000002</v>
      </c>
      <c r="AF353" s="307">
        <v>6.9090389999999999</v>
      </c>
      <c r="AG353" s="307">
        <v>8.2257390000000008</v>
      </c>
      <c r="AH353" s="307">
        <v>5.7683989999999996</v>
      </c>
      <c r="AI353" s="307">
        <v>5.5994419999999998</v>
      </c>
      <c r="AJ353" s="307">
        <v>7.0302800000000003</v>
      </c>
      <c r="AK353" s="307">
        <v>7.8957550000000003</v>
      </c>
      <c r="AL353" s="307">
        <v>4.9691109999999998</v>
      </c>
      <c r="AM353" s="307">
        <v>6.9809349999999997</v>
      </c>
      <c r="AN353" s="307">
        <v>9.6308919999999993</v>
      </c>
      <c r="AO353" s="307">
        <v>9.4326000000000008</v>
      </c>
      <c r="AP353" s="307">
        <v>6.6933559999999996</v>
      </c>
      <c r="AQ353" s="307">
        <v>6.6689800000000004</v>
      </c>
      <c r="AR353" s="307">
        <v>8.3140909999999995</v>
      </c>
      <c r="AS353" s="307">
        <v>8.4638819999999999</v>
      </c>
      <c r="AT353" s="307">
        <v>8.0276390000000006</v>
      </c>
      <c r="AU353" s="307">
        <v>6.5996509999999997</v>
      </c>
      <c r="AV353" s="307">
        <v>8.8369750000000007</v>
      </c>
      <c r="AW353" s="307">
        <v>5.1886650000000003</v>
      </c>
      <c r="AX353" s="307">
        <v>8.0305649999999993</v>
      </c>
      <c r="AY353" s="307">
        <v>6.895823</v>
      </c>
      <c r="AZ353" s="307">
        <v>8.7620149999999999</v>
      </c>
      <c r="BA353" s="307">
        <v>7.9551860000000003</v>
      </c>
      <c r="BB353" s="307">
        <v>9.3862220000000001</v>
      </c>
      <c r="BC353" s="307">
        <v>6.3105729999999998</v>
      </c>
      <c r="BD353" s="307">
        <v>6.2704370000000003</v>
      </c>
      <c r="BE353" s="307">
        <v>7.2862099999999996</v>
      </c>
      <c r="BF353" s="307">
        <v>7.6396490000000004</v>
      </c>
      <c r="BG353" s="307">
        <v>7.1506239999999996</v>
      </c>
      <c r="BH353" s="307">
        <v>8.0421270000000007</v>
      </c>
      <c r="BI353" s="307">
        <v>7.0126189999999999</v>
      </c>
      <c r="BJ353" s="307">
        <v>7.6973339999999997</v>
      </c>
      <c r="BK353" s="307">
        <v>6.2443600000000004</v>
      </c>
      <c r="BL353">
        <f t="shared" si="20"/>
        <v>0</v>
      </c>
      <c r="BM353">
        <f t="shared" si="21"/>
        <v>7.3825004098360658</v>
      </c>
      <c r="BN353">
        <f t="shared" si="22"/>
        <v>9.6841709999999992</v>
      </c>
      <c r="BO353">
        <f t="array" ref="BO353">MIN(IF($C353:$BK353&gt;0, $C353:$BK353))</f>
        <v>1.10805</v>
      </c>
      <c r="BP353">
        <f t="shared" si="23"/>
        <v>7.359985</v>
      </c>
    </row>
    <row r="354" spans="1:68" x14ac:dyDescent="0.25">
      <c r="A354" s="306">
        <v>541512</v>
      </c>
      <c r="B354" s="307" t="s">
        <v>311</v>
      </c>
      <c r="C354" s="307">
        <v>6.2502589999999998</v>
      </c>
      <c r="D354" s="307">
        <v>6.0850929999999996</v>
      </c>
      <c r="E354" s="307">
        <v>6.7483310000000003</v>
      </c>
      <c r="F354" s="307">
        <v>7.649724</v>
      </c>
      <c r="G354" s="307">
        <v>6.8756579999999996</v>
      </c>
      <c r="H354" s="307">
        <v>6.0043439999999997</v>
      </c>
      <c r="I354" s="307">
        <v>5.7598320000000003</v>
      </c>
      <c r="J354" s="307">
        <v>4.5226959999999998</v>
      </c>
      <c r="K354" s="307">
        <v>1.00204</v>
      </c>
      <c r="L354" s="307">
        <v>4.5218420000000004</v>
      </c>
      <c r="M354" s="307">
        <v>7.3997060000000001</v>
      </c>
      <c r="N354" s="307">
        <v>6.1866349999999999</v>
      </c>
      <c r="O354" s="307">
        <v>7.2940180000000003</v>
      </c>
      <c r="P354" s="307">
        <v>8.3921329999999994</v>
      </c>
      <c r="Q354" s="307">
        <v>8.7521240000000002</v>
      </c>
      <c r="R354" s="307">
        <v>5.5775579999999998</v>
      </c>
      <c r="S354" s="307">
        <v>7.3859669999999999</v>
      </c>
      <c r="T354" s="307">
        <v>5.6624559999999997</v>
      </c>
      <c r="U354" s="307">
        <v>7.1925039999999996</v>
      </c>
      <c r="V354" s="307">
        <v>7.2343440000000001</v>
      </c>
      <c r="W354" s="307">
        <v>4.8431639999999998</v>
      </c>
      <c r="X354" s="307">
        <v>4.8320720000000001</v>
      </c>
      <c r="Y354" s="307">
        <v>7.8424389999999997</v>
      </c>
      <c r="Z354" s="307">
        <v>6.4892539999999999</v>
      </c>
      <c r="AA354" s="307">
        <v>5.9185569999999998</v>
      </c>
      <c r="AB354" s="307">
        <v>5.7366529999999996</v>
      </c>
      <c r="AC354" s="307">
        <v>8.5832730000000002</v>
      </c>
      <c r="AD354" s="307">
        <v>8.7039249999999999</v>
      </c>
      <c r="AE354" s="307">
        <v>7.3198059999999998</v>
      </c>
      <c r="AF354" s="307">
        <v>7.3409880000000003</v>
      </c>
      <c r="AG354" s="307">
        <v>7.7394480000000003</v>
      </c>
      <c r="AH354" s="307">
        <v>4.546462</v>
      </c>
      <c r="AI354" s="307">
        <v>5.0586339999999996</v>
      </c>
      <c r="AJ354" s="307">
        <v>8.5582779999999996</v>
      </c>
      <c r="AK354" s="307">
        <v>7.2113719999999999</v>
      </c>
      <c r="AL354" s="307">
        <v>4.7052699999999996</v>
      </c>
      <c r="AM354" s="307">
        <v>6.7308589999999997</v>
      </c>
      <c r="AN354" s="307">
        <v>8.8263200000000008</v>
      </c>
      <c r="AO354" s="307">
        <v>7.1593159999999996</v>
      </c>
      <c r="AP354" s="307">
        <v>5.7327000000000004</v>
      </c>
      <c r="AQ354" s="307">
        <v>5.3449010000000001</v>
      </c>
      <c r="AR354" s="307">
        <v>7.4742749999999996</v>
      </c>
      <c r="AS354" s="307">
        <v>7.6495329999999999</v>
      </c>
      <c r="AT354" s="307">
        <v>6.4133779999999998</v>
      </c>
      <c r="AU354" s="307">
        <v>6.0297729999999996</v>
      </c>
      <c r="AV354" s="307">
        <v>5.967835</v>
      </c>
      <c r="AW354" s="307">
        <v>4.5402449999999996</v>
      </c>
      <c r="AX354" s="307">
        <v>7.257206</v>
      </c>
      <c r="AY354" s="307">
        <v>6.324033</v>
      </c>
      <c r="AZ354" s="307">
        <v>7.8945499999999997</v>
      </c>
      <c r="BA354" s="307">
        <v>7.5081129999999998</v>
      </c>
      <c r="BB354" s="307">
        <v>8.4825420000000005</v>
      </c>
      <c r="BC354" s="307">
        <v>5.374949</v>
      </c>
      <c r="BD354" s="307">
        <v>5.7283869999999997</v>
      </c>
      <c r="BE354" s="307">
        <v>6.4203029999999996</v>
      </c>
      <c r="BF354" s="307">
        <v>6.7010199999999998</v>
      </c>
      <c r="BG354" s="307">
        <v>5.9088979999999998</v>
      </c>
      <c r="BH354" s="307">
        <v>6.9197430000000004</v>
      </c>
      <c r="BI354" s="307">
        <v>6.2758000000000003</v>
      </c>
      <c r="BJ354" s="307">
        <v>6.3834749999999998</v>
      </c>
      <c r="BK354" s="307">
        <v>6.1830579999999999</v>
      </c>
      <c r="BL354">
        <f t="shared" si="20"/>
        <v>0</v>
      </c>
      <c r="BM354">
        <f t="shared" si="21"/>
        <v>6.5107880491803289</v>
      </c>
      <c r="BN354">
        <f t="shared" si="22"/>
        <v>8.8263200000000008</v>
      </c>
      <c r="BO354">
        <f t="array" ref="BO354">MIN(IF($C354:$BK354&gt;0, $C354:$BK354))</f>
        <v>1.00204</v>
      </c>
      <c r="BP354">
        <f t="shared" si="23"/>
        <v>6.4203029999999996</v>
      </c>
    </row>
    <row r="355" spans="1:68" x14ac:dyDescent="0.25">
      <c r="A355" s="306" t="s">
        <v>769</v>
      </c>
      <c r="B355" s="307" t="s">
        <v>312</v>
      </c>
      <c r="C355" s="307">
        <v>6.8680690000000002</v>
      </c>
      <c r="D355" s="307">
        <v>7.5004439999999999</v>
      </c>
      <c r="E355" s="307">
        <v>7.1328279999999999</v>
      </c>
      <c r="F355" s="307">
        <v>6.6830069999999999</v>
      </c>
      <c r="G355" s="307">
        <v>8.677721</v>
      </c>
      <c r="H355" s="307">
        <v>6.4118899999999996</v>
      </c>
      <c r="I355" s="307">
        <v>6.3303950000000002</v>
      </c>
      <c r="J355" s="307">
        <v>5.031047</v>
      </c>
      <c r="K355" s="307">
        <v>1.0307379999999999</v>
      </c>
      <c r="L355" s="307">
        <v>4.3744829999999997</v>
      </c>
      <c r="M355" s="307">
        <v>7.6820550000000001</v>
      </c>
      <c r="N355" s="307">
        <v>7.0837669999999999</v>
      </c>
      <c r="O355" s="307">
        <v>9.8228620000000006</v>
      </c>
      <c r="P355" s="307">
        <v>9.3683010000000007</v>
      </c>
      <c r="Q355" s="307">
        <v>9.7709279999999996</v>
      </c>
      <c r="R355" s="307">
        <v>5.7691530000000002</v>
      </c>
      <c r="S355" s="307">
        <v>7.4561669999999998</v>
      </c>
      <c r="T355" s="307">
        <v>4.5568600000000004</v>
      </c>
      <c r="U355" s="307">
        <v>8.0689810000000008</v>
      </c>
      <c r="V355" s="307">
        <v>9.4960909999999998</v>
      </c>
      <c r="W355" s="307">
        <v>5.0203660000000001</v>
      </c>
      <c r="X355" s="307">
        <v>5.2781310000000001</v>
      </c>
      <c r="Y355" s="307">
        <v>9.9107640000000004</v>
      </c>
      <c r="Z355" s="307">
        <v>6.328131</v>
      </c>
      <c r="AA355" s="307">
        <v>5.6884009999999998</v>
      </c>
      <c r="AB355" s="307">
        <v>6.212917</v>
      </c>
      <c r="AC355" s="307">
        <v>9.5824780000000001</v>
      </c>
      <c r="AD355" s="307">
        <v>9.716799</v>
      </c>
      <c r="AE355" s="307">
        <v>7.6443690000000002</v>
      </c>
      <c r="AF355" s="307">
        <v>8.1955519999999993</v>
      </c>
      <c r="AG355" s="307">
        <v>7.328023</v>
      </c>
      <c r="AH355" s="307">
        <v>5.4962960000000001</v>
      </c>
      <c r="AI355" s="307">
        <v>5.3319979999999996</v>
      </c>
      <c r="AJ355" s="307">
        <v>7.47424</v>
      </c>
      <c r="AK355" s="307">
        <v>7.1036460000000003</v>
      </c>
      <c r="AL355" s="307">
        <v>4.5450049999999997</v>
      </c>
      <c r="AM355" s="307">
        <v>7.3519430000000003</v>
      </c>
      <c r="AN355" s="307">
        <v>9.5442800000000005</v>
      </c>
      <c r="AO355" s="307">
        <v>6.3415559999999997</v>
      </c>
      <c r="AP355" s="307">
        <v>5.5484289999999996</v>
      </c>
      <c r="AQ355" s="307">
        <v>5.6827719999999999</v>
      </c>
      <c r="AR355" s="307">
        <v>9.6442920000000001</v>
      </c>
      <c r="AS355" s="307">
        <v>6.8054690000000004</v>
      </c>
      <c r="AT355" s="307">
        <v>7.499555</v>
      </c>
      <c r="AU355" s="307">
        <v>6.4848949999999999</v>
      </c>
      <c r="AV355" s="307">
        <v>7.5940940000000001</v>
      </c>
      <c r="AW355" s="307">
        <v>5.0423349999999996</v>
      </c>
      <c r="AX355" s="307">
        <v>7.8351119999999996</v>
      </c>
      <c r="AY355" s="307">
        <v>7.0309780000000002</v>
      </c>
      <c r="AZ355" s="307">
        <v>8.0425409999999999</v>
      </c>
      <c r="BA355" s="307">
        <v>6.826111</v>
      </c>
      <c r="BB355" s="307">
        <v>9.4695549999999997</v>
      </c>
      <c r="BC355" s="307">
        <v>6.0451410000000001</v>
      </c>
      <c r="BD355" s="307">
        <v>5.7142460000000002</v>
      </c>
      <c r="BE355" s="307">
        <v>6.7600699999999998</v>
      </c>
      <c r="BF355" s="307">
        <v>6.3799200000000003</v>
      </c>
      <c r="BG355" s="307">
        <v>6.8183049999999996</v>
      </c>
      <c r="BH355" s="307">
        <v>8.4543309999999998</v>
      </c>
      <c r="BI355" s="307">
        <v>7.2797780000000003</v>
      </c>
      <c r="BJ355" s="307">
        <v>7.5518179999999999</v>
      </c>
      <c r="BK355" s="307">
        <v>6.8137949999999998</v>
      </c>
      <c r="BL355">
        <f t="shared" si="20"/>
        <v>0</v>
      </c>
      <c r="BM355">
        <f t="shared" si="21"/>
        <v>7.0251512131147571</v>
      </c>
      <c r="BN355">
        <f t="shared" si="22"/>
        <v>9.9107640000000004</v>
      </c>
      <c r="BO355">
        <f t="array" ref="BO355">MIN(IF($C355:$BK355&gt;0, $C355:$BK355))</f>
        <v>1.0307379999999999</v>
      </c>
      <c r="BP355">
        <f t="shared" si="23"/>
        <v>7.0309780000000002</v>
      </c>
    </row>
    <row r="356" spans="1:68" x14ac:dyDescent="0.25">
      <c r="A356" s="306">
        <v>541610</v>
      </c>
      <c r="B356" s="307" t="s">
        <v>313</v>
      </c>
      <c r="C356" s="307">
        <v>8.9721130000000002</v>
      </c>
      <c r="D356" s="307">
        <v>9.5583019999999994</v>
      </c>
      <c r="E356" s="307">
        <v>12.301500000000001</v>
      </c>
      <c r="F356" s="307">
        <v>13.153090000000001</v>
      </c>
      <c r="G356" s="307">
        <v>10.500489999999999</v>
      </c>
      <c r="H356" s="307">
        <v>7.5364890000000004</v>
      </c>
      <c r="I356" s="307">
        <v>9.4377370000000003</v>
      </c>
      <c r="J356" s="307">
        <v>6.3140090000000004</v>
      </c>
      <c r="K356" s="307">
        <v>2.111345</v>
      </c>
      <c r="L356" s="307">
        <v>6.8108779999999998</v>
      </c>
      <c r="M356" s="307">
        <v>10.357849999999999</v>
      </c>
      <c r="N356" s="307">
        <v>8.7696339999999999</v>
      </c>
      <c r="O356" s="307">
        <v>12.64401</v>
      </c>
      <c r="P356" s="307">
        <v>13.24668</v>
      </c>
      <c r="Q356" s="307">
        <v>13.25827</v>
      </c>
      <c r="R356" s="307">
        <v>6.8232359999999996</v>
      </c>
      <c r="S356" s="307">
        <v>11.4068</v>
      </c>
      <c r="T356" s="307">
        <v>10.68092</v>
      </c>
      <c r="U356" s="307">
        <v>10.898999999999999</v>
      </c>
      <c r="V356" s="307">
        <v>11.59334</v>
      </c>
      <c r="W356" s="307">
        <v>6.6426530000000001</v>
      </c>
      <c r="X356" s="307">
        <v>7.9015610000000001</v>
      </c>
      <c r="Y356" s="307">
        <v>9.6727089999999993</v>
      </c>
      <c r="Z356" s="307">
        <v>9.6638029999999997</v>
      </c>
      <c r="AA356" s="307">
        <v>9.5737970000000008</v>
      </c>
      <c r="AB356" s="307">
        <v>8.8885930000000002</v>
      </c>
      <c r="AC356" s="307">
        <v>13.069140000000001</v>
      </c>
      <c r="AD356" s="307">
        <v>14.02022</v>
      </c>
      <c r="AE356" s="307">
        <v>10.025790000000001</v>
      </c>
      <c r="AF356" s="307">
        <v>12.94974</v>
      </c>
      <c r="AG356" s="307">
        <v>10.122030000000001</v>
      </c>
      <c r="AH356" s="307">
        <v>8.76431</v>
      </c>
      <c r="AI356" s="307">
        <v>6.3651070000000001</v>
      </c>
      <c r="AJ356" s="307">
        <v>14.00935</v>
      </c>
      <c r="AK356" s="307">
        <v>8.502993</v>
      </c>
      <c r="AL356" s="307">
        <v>5.5203680000000004</v>
      </c>
      <c r="AM356" s="307">
        <v>9.8616689999999991</v>
      </c>
      <c r="AN356" s="307">
        <v>12.51369</v>
      </c>
      <c r="AO356" s="307">
        <v>11.67582</v>
      </c>
      <c r="AP356" s="307">
        <v>7.5315729999999999</v>
      </c>
      <c r="AQ356" s="307">
        <v>11.363379999999999</v>
      </c>
      <c r="AR356" s="307">
        <v>12.28842</v>
      </c>
      <c r="AS356" s="307">
        <v>11.46078</v>
      </c>
      <c r="AT356" s="307">
        <v>8.1455920000000006</v>
      </c>
      <c r="AU356" s="307">
        <v>8.2862430000000007</v>
      </c>
      <c r="AV356" s="307">
        <v>13.12914</v>
      </c>
      <c r="AW356" s="307">
        <v>6.0029279999999998</v>
      </c>
      <c r="AX356" s="307">
        <v>12.267910000000001</v>
      </c>
      <c r="AY356" s="307">
        <v>9.5712779999999995</v>
      </c>
      <c r="AZ356" s="307">
        <v>11.24431</v>
      </c>
      <c r="BA356" s="307">
        <v>11.763120000000001</v>
      </c>
      <c r="BB356" s="307">
        <v>12.358510000000001</v>
      </c>
      <c r="BC356" s="307">
        <v>7.3565630000000004</v>
      </c>
      <c r="BD356" s="307">
        <v>7.1168319999999996</v>
      </c>
      <c r="BE356" s="307">
        <v>8.5696949999999994</v>
      </c>
      <c r="BF356" s="307">
        <v>10.61063</v>
      </c>
      <c r="BG356" s="307">
        <v>9.0198260000000001</v>
      </c>
      <c r="BH356" s="307">
        <v>9.9467990000000004</v>
      </c>
      <c r="BI356" s="307">
        <v>8.8579650000000001</v>
      </c>
      <c r="BJ356" s="307">
        <v>10.743209999999999</v>
      </c>
      <c r="BK356" s="307">
        <v>8.0269829999999995</v>
      </c>
      <c r="BL356">
        <f t="shared" si="20"/>
        <v>0</v>
      </c>
      <c r="BM356">
        <f t="shared" si="21"/>
        <v>9.8652577540983657</v>
      </c>
      <c r="BN356">
        <f t="shared" si="22"/>
        <v>14.02022</v>
      </c>
      <c r="BO356">
        <f t="array" ref="BO356">MIN(IF($C356:$BK356&gt;0, $C356:$BK356))</f>
        <v>2.111345</v>
      </c>
      <c r="BP356">
        <f t="shared" si="23"/>
        <v>9.8616689999999991</v>
      </c>
    </row>
    <row r="357" spans="1:68" x14ac:dyDescent="0.25">
      <c r="A357" s="306" t="s">
        <v>770</v>
      </c>
      <c r="B357" s="307" t="s">
        <v>314</v>
      </c>
      <c r="C357" s="307">
        <v>10.68554</v>
      </c>
      <c r="D357" s="307">
        <v>12.43135</v>
      </c>
      <c r="E357" s="307">
        <v>10.376810000000001</v>
      </c>
      <c r="F357" s="307">
        <v>13.11347</v>
      </c>
      <c r="G357" s="307">
        <v>11.647069999999999</v>
      </c>
      <c r="H357" s="307">
        <v>10.14958</v>
      </c>
      <c r="I357" s="307">
        <v>12.33042</v>
      </c>
      <c r="J357" s="307">
        <v>8.1513829999999992</v>
      </c>
      <c r="K357" s="307">
        <v>2.2546590000000002</v>
      </c>
      <c r="L357" s="307">
        <v>5.321453</v>
      </c>
      <c r="M357" s="307">
        <v>10.998139999999999</v>
      </c>
      <c r="N357" s="307">
        <v>10.2437</v>
      </c>
      <c r="O357" s="307">
        <v>16.793289999999999</v>
      </c>
      <c r="P357" s="307">
        <v>16.385850000000001</v>
      </c>
      <c r="Q357" s="307">
        <v>13.473750000000001</v>
      </c>
      <c r="R357" s="307">
        <v>7.2856759999999996</v>
      </c>
      <c r="S357" s="307">
        <v>13.003550000000001</v>
      </c>
      <c r="T357" s="307">
        <v>9.1054829999999995</v>
      </c>
      <c r="U357" s="307">
        <v>13.12402</v>
      </c>
      <c r="V357" s="307">
        <v>10.70757</v>
      </c>
      <c r="W357" s="307">
        <v>7.0931100000000002</v>
      </c>
      <c r="X357" s="307">
        <v>7.9123270000000003</v>
      </c>
      <c r="Y357" s="307">
        <v>14.82403</v>
      </c>
      <c r="Z357" s="307">
        <v>13.31494</v>
      </c>
      <c r="AA357" s="307">
        <v>13.26535</v>
      </c>
      <c r="AB357" s="307">
        <v>11.52885</v>
      </c>
      <c r="AC357" s="307">
        <v>15.40634</v>
      </c>
      <c r="AD357" s="307">
        <v>16.52807</v>
      </c>
      <c r="AE357" s="307">
        <v>10.449949999999999</v>
      </c>
      <c r="AF357" s="307">
        <v>11.254339999999999</v>
      </c>
      <c r="AG357" s="307">
        <v>13.619149999999999</v>
      </c>
      <c r="AH357" s="307">
        <v>11.31162</v>
      </c>
      <c r="AI357" s="307">
        <v>7.0778809999999996</v>
      </c>
      <c r="AJ357" s="307">
        <v>12.861800000000001</v>
      </c>
      <c r="AK357" s="307">
        <v>11.484220000000001</v>
      </c>
      <c r="AL357" s="307">
        <v>7.57233</v>
      </c>
      <c r="AM357" s="307">
        <v>12.57319</v>
      </c>
      <c r="AN357" s="307">
        <v>12.819710000000001</v>
      </c>
      <c r="AO357" s="307">
        <v>14.6983</v>
      </c>
      <c r="AP357" s="307">
        <v>8.7154690000000006</v>
      </c>
      <c r="AQ357" s="307">
        <v>11.99919</v>
      </c>
      <c r="AR357" s="307">
        <v>11.07339</v>
      </c>
      <c r="AS357" s="307">
        <v>11.408200000000001</v>
      </c>
      <c r="AT357" s="307">
        <v>9.1968809999999994</v>
      </c>
      <c r="AU357" s="307">
        <v>7.6826189999999999</v>
      </c>
      <c r="AV357" s="307">
        <v>12.91799</v>
      </c>
      <c r="AW357" s="307">
        <v>6.4098629999999996</v>
      </c>
      <c r="AX357" s="307">
        <v>11.7613</v>
      </c>
      <c r="AY357" s="307">
        <v>14.410769999999999</v>
      </c>
      <c r="AZ357" s="307">
        <v>12.48359</v>
      </c>
      <c r="BA357" s="307">
        <v>13.616099999999999</v>
      </c>
      <c r="BB357" s="307">
        <v>12.297219999999999</v>
      </c>
      <c r="BC357" s="307">
        <v>8.8319030000000005</v>
      </c>
      <c r="BD357" s="307">
        <v>8.8055289999999999</v>
      </c>
      <c r="BE357" s="307">
        <v>11.255470000000001</v>
      </c>
      <c r="BF357" s="307">
        <v>12.895379999999999</v>
      </c>
      <c r="BG357" s="307">
        <v>9.6404080000000008</v>
      </c>
      <c r="BH357" s="307">
        <v>11.20844</v>
      </c>
      <c r="BI357" s="307">
        <v>8.5721769999999999</v>
      </c>
      <c r="BJ357" s="307">
        <v>12.88754</v>
      </c>
      <c r="BK357" s="307">
        <v>10.67367</v>
      </c>
      <c r="BL357">
        <f t="shared" si="20"/>
        <v>0</v>
      </c>
      <c r="BM357">
        <f t="shared" si="21"/>
        <v>11.179038868852459</v>
      </c>
      <c r="BN357">
        <f t="shared" si="22"/>
        <v>16.793289999999999</v>
      </c>
      <c r="BO357">
        <f t="array" ref="BO357">MIN(IF($C357:$BK357&gt;0, $C357:$BK357))</f>
        <v>2.2546590000000002</v>
      </c>
      <c r="BP357">
        <f t="shared" si="23"/>
        <v>11.408200000000001</v>
      </c>
    </row>
    <row r="358" spans="1:68" s="375" customFormat="1" x14ac:dyDescent="0.25">
      <c r="A358" s="382">
        <v>541700</v>
      </c>
      <c r="B358" s="383" t="s">
        <v>315</v>
      </c>
      <c r="C358" s="383">
        <v>4.9815529999999999</v>
      </c>
      <c r="D358" s="383">
        <v>8.8190869999999997</v>
      </c>
      <c r="E358" s="383">
        <v>5.5094289999999999</v>
      </c>
      <c r="F358" s="383">
        <v>8.7298229999999997</v>
      </c>
      <c r="G358" s="383">
        <v>6.0491979999999996</v>
      </c>
      <c r="H358" s="383">
        <v>4.1552680000000004</v>
      </c>
      <c r="I358" s="383">
        <v>4.3748870000000002</v>
      </c>
      <c r="J358" s="383">
        <v>3.7076910000000001</v>
      </c>
      <c r="K358" s="383">
        <v>1.1686449999999999</v>
      </c>
      <c r="L358" s="383">
        <v>2.8825500000000002</v>
      </c>
      <c r="M358" s="383">
        <v>6.3573069999999996</v>
      </c>
      <c r="N358" s="383">
        <v>7.0050299999999996</v>
      </c>
      <c r="O358" s="383">
        <v>6.8051700000000004</v>
      </c>
      <c r="P358" s="383">
        <v>8.8354499999999998</v>
      </c>
      <c r="Q358" s="383">
        <v>5.9319990000000002</v>
      </c>
      <c r="R358" s="383">
        <v>4.5941539999999996</v>
      </c>
      <c r="S358" s="383">
        <v>5.9805960000000002</v>
      </c>
      <c r="T358" s="383">
        <v>6.02888</v>
      </c>
      <c r="U358" s="383">
        <v>7.8712549999999997</v>
      </c>
      <c r="V358" s="383">
        <v>8.2597520000000006</v>
      </c>
      <c r="W358" s="383">
        <v>3.9147829999999999</v>
      </c>
      <c r="X358" s="383">
        <v>4.7301140000000004</v>
      </c>
      <c r="Y358" s="383">
        <v>8.8577630000000003</v>
      </c>
      <c r="Z358" s="383">
        <v>4.4422100000000002</v>
      </c>
      <c r="AA358" s="383">
        <v>5.4248979999999998</v>
      </c>
      <c r="AB358" s="383">
        <v>3.3881939999999999</v>
      </c>
      <c r="AC358" s="383">
        <v>7.8941699999999999</v>
      </c>
      <c r="AD358" s="383">
        <v>8.1216899999999992</v>
      </c>
      <c r="AE358" s="383">
        <v>5.4233529999999996</v>
      </c>
      <c r="AF358" s="383">
        <v>7.8370139999999999</v>
      </c>
      <c r="AG358" s="383">
        <v>7.6409940000000001</v>
      </c>
      <c r="AH358" s="383">
        <v>4.0007900000000003</v>
      </c>
      <c r="AI358" s="383">
        <v>3.7284579999999998</v>
      </c>
      <c r="AJ358" s="383">
        <v>5.1724259999999997</v>
      </c>
      <c r="AK358" s="383">
        <v>5.167662</v>
      </c>
      <c r="AL358" s="383">
        <v>6.1808949999999996</v>
      </c>
      <c r="AM358" s="383">
        <v>5.8084100000000003</v>
      </c>
      <c r="AN358" s="383">
        <v>8.5616570000000003</v>
      </c>
      <c r="AO358" s="383">
        <v>6.7692069999999998</v>
      </c>
      <c r="AP358" s="383">
        <v>4.3403689999999999</v>
      </c>
      <c r="AQ358" s="383">
        <v>6.3044320000000003</v>
      </c>
      <c r="AR358" s="383">
        <v>6.7780069999999997</v>
      </c>
      <c r="AS358" s="383">
        <v>5.4994199999999998</v>
      </c>
      <c r="AT358" s="383">
        <v>5.907826</v>
      </c>
      <c r="AU358" s="383">
        <v>5.9530909999999997</v>
      </c>
      <c r="AV358" s="383">
        <v>5.8842230000000004</v>
      </c>
      <c r="AW358" s="383">
        <v>3.9211390000000002</v>
      </c>
      <c r="AX358" s="383">
        <v>8.3558439999999994</v>
      </c>
      <c r="AY358" s="383">
        <v>5.3019860000000003</v>
      </c>
      <c r="AZ358" s="383">
        <v>6.4956829999999997</v>
      </c>
      <c r="BA358" s="383">
        <v>8.1727430000000005</v>
      </c>
      <c r="BB358" s="383">
        <v>8.9730179999999997</v>
      </c>
      <c r="BC358" s="383">
        <v>4.2619610000000003</v>
      </c>
      <c r="BD358" s="383">
        <v>5.0737059999999996</v>
      </c>
      <c r="BE358" s="383">
        <v>5.0086440000000003</v>
      </c>
      <c r="BF358" s="383">
        <v>5.1044739999999997</v>
      </c>
      <c r="BG358" s="383">
        <v>5.1957890000000004</v>
      </c>
      <c r="BH358" s="383">
        <v>5.9866900000000003</v>
      </c>
      <c r="BI358" s="383">
        <v>6.2075870000000002</v>
      </c>
      <c r="BJ358" s="383">
        <v>5.1858979999999999</v>
      </c>
      <c r="BK358" s="383">
        <v>4.385561</v>
      </c>
      <c r="BL358" s="375">
        <f t="shared" si="20"/>
        <v>0</v>
      </c>
      <c r="BM358">
        <f t="shared" si="21"/>
        <v>5.8919754590163924</v>
      </c>
      <c r="BN358">
        <f t="shared" si="22"/>
        <v>8.9730179999999997</v>
      </c>
      <c r="BO358">
        <f t="array" ref="BO358">MIN(IF($C358:$BK358&gt;0, $C358:$BK358))</f>
        <v>1.1686449999999999</v>
      </c>
      <c r="BP358">
        <f t="shared" si="23"/>
        <v>5.8842230000000004</v>
      </c>
    </row>
    <row r="359" spans="1:68" x14ac:dyDescent="0.25">
      <c r="A359" s="306">
        <v>541800</v>
      </c>
      <c r="B359" s="307" t="s">
        <v>316</v>
      </c>
      <c r="C359" s="307">
        <v>7.4006499999999997</v>
      </c>
      <c r="D359" s="307">
        <v>11.28735</v>
      </c>
      <c r="E359" s="307">
        <v>10.33123</v>
      </c>
      <c r="F359" s="307">
        <v>10.89645</v>
      </c>
      <c r="G359" s="307">
        <v>9.7507269999999995</v>
      </c>
      <c r="H359" s="307">
        <v>6.5738079999999997</v>
      </c>
      <c r="I359" s="307">
        <v>7.9078869999999997</v>
      </c>
      <c r="J359" s="307">
        <v>5.5000689999999999</v>
      </c>
      <c r="K359" s="307">
        <v>1.9068560000000001</v>
      </c>
      <c r="L359" s="307">
        <v>8.9281799999999993</v>
      </c>
      <c r="M359" s="307">
        <v>9.8327059999999999</v>
      </c>
      <c r="N359" s="307">
        <v>6.1110480000000003</v>
      </c>
      <c r="O359" s="307">
        <v>11.987819999999999</v>
      </c>
      <c r="P359" s="307">
        <v>11.682359999999999</v>
      </c>
      <c r="Q359" s="307">
        <v>13.99681</v>
      </c>
      <c r="R359" s="307">
        <v>5.647443</v>
      </c>
      <c r="S359" s="307">
        <v>10.096819999999999</v>
      </c>
      <c r="T359" s="307">
        <v>8.6709329999999998</v>
      </c>
      <c r="U359" s="307">
        <v>10.74023</v>
      </c>
      <c r="V359" s="307">
        <v>10.008240000000001</v>
      </c>
      <c r="W359" s="307">
        <v>5.307061</v>
      </c>
      <c r="X359" s="307">
        <v>7.5812629999999999</v>
      </c>
      <c r="Y359" s="307">
        <v>12.201000000000001</v>
      </c>
      <c r="Z359" s="307">
        <v>6.382053</v>
      </c>
      <c r="AA359" s="307">
        <v>8.310867</v>
      </c>
      <c r="AB359" s="307">
        <v>6.7227889999999997</v>
      </c>
      <c r="AC359" s="307">
        <v>12.14921</v>
      </c>
      <c r="AD359" s="307">
        <v>15.207839999999999</v>
      </c>
      <c r="AE359" s="307">
        <v>9.157178</v>
      </c>
      <c r="AF359" s="307">
        <v>11.91169</v>
      </c>
      <c r="AG359" s="307">
        <v>9.8373249999999999</v>
      </c>
      <c r="AH359" s="307">
        <v>9.8346</v>
      </c>
      <c r="AI359" s="307">
        <v>6.3384720000000003</v>
      </c>
      <c r="AJ359" s="307">
        <v>14.40109</v>
      </c>
      <c r="AK359" s="307">
        <v>9.695919</v>
      </c>
      <c r="AL359" s="307">
        <v>4.6074010000000003</v>
      </c>
      <c r="AM359" s="307">
        <v>9.0092309999999998</v>
      </c>
      <c r="AN359" s="307">
        <v>11.012180000000001</v>
      </c>
      <c r="AO359" s="307">
        <v>9.2000740000000008</v>
      </c>
      <c r="AP359" s="307">
        <v>7.9218710000000003</v>
      </c>
      <c r="AQ359" s="307">
        <v>7.7380870000000002</v>
      </c>
      <c r="AR359" s="307">
        <v>12.579459999999999</v>
      </c>
      <c r="AS359" s="307">
        <v>12.94247</v>
      </c>
      <c r="AT359" s="307">
        <v>8.4928460000000001</v>
      </c>
      <c r="AU359" s="307">
        <v>8.0747269999999993</v>
      </c>
      <c r="AV359" s="307">
        <v>10.65221</v>
      </c>
      <c r="AW359" s="307">
        <v>7.3347939999999996</v>
      </c>
      <c r="AX359" s="307">
        <v>9.7037410000000008</v>
      </c>
      <c r="AY359" s="307">
        <v>8.7542810000000006</v>
      </c>
      <c r="AZ359" s="307">
        <v>9.8172060000000005</v>
      </c>
      <c r="BA359" s="307">
        <v>13.357150000000001</v>
      </c>
      <c r="BB359" s="307">
        <v>12.302659999999999</v>
      </c>
      <c r="BC359" s="307">
        <v>6.1467450000000001</v>
      </c>
      <c r="BD359" s="307">
        <v>5.8957189999999997</v>
      </c>
      <c r="BE359" s="307">
        <v>7.0437250000000002</v>
      </c>
      <c r="BF359" s="307">
        <v>9.0292429999999992</v>
      </c>
      <c r="BG359" s="307">
        <v>8.1500800000000009</v>
      </c>
      <c r="BH359" s="307">
        <v>9.8221039999999995</v>
      </c>
      <c r="BI359" s="307">
        <v>8.5299829999999996</v>
      </c>
      <c r="BJ359" s="307">
        <v>9.6234699999999993</v>
      </c>
      <c r="BK359" s="307">
        <v>6.9858159999999998</v>
      </c>
      <c r="BL359">
        <f t="shared" si="20"/>
        <v>0</v>
      </c>
      <c r="BM359">
        <f t="shared" si="21"/>
        <v>9.1643155409836083</v>
      </c>
      <c r="BN359">
        <f t="shared" si="22"/>
        <v>15.207839999999999</v>
      </c>
      <c r="BO359">
        <f t="array" ref="BO359">MIN(IF($C359:$BK359&gt;0, $C359:$BK359))</f>
        <v>1.9068560000000001</v>
      </c>
      <c r="BP359">
        <f t="shared" si="23"/>
        <v>9.157178</v>
      </c>
    </row>
    <row r="360" spans="1:68" x14ac:dyDescent="0.25">
      <c r="A360" s="306">
        <v>541920</v>
      </c>
      <c r="B360" s="307" t="s">
        <v>317</v>
      </c>
      <c r="C360" s="307">
        <v>18.161249999999999</v>
      </c>
      <c r="D360" s="307">
        <v>19.852989999999998</v>
      </c>
      <c r="E360" s="307">
        <v>20.648119999999999</v>
      </c>
      <c r="F360" s="307">
        <v>15.500629999999999</v>
      </c>
      <c r="G360" s="307">
        <v>18.592390000000002</v>
      </c>
      <c r="H360" s="307">
        <v>15.69778</v>
      </c>
      <c r="I360" s="307">
        <v>22.709160000000001</v>
      </c>
      <c r="J360" s="307">
        <v>14.62242</v>
      </c>
      <c r="K360" s="307">
        <v>3.805911</v>
      </c>
      <c r="L360" s="307">
        <v>11.032870000000001</v>
      </c>
      <c r="M360" s="307">
        <v>22.726469999999999</v>
      </c>
      <c r="N360" s="307">
        <v>20.729279999999999</v>
      </c>
      <c r="O360" s="307">
        <v>29.11</v>
      </c>
      <c r="P360" s="307">
        <v>18.54365</v>
      </c>
      <c r="Q360" s="307">
        <v>12.508850000000001</v>
      </c>
      <c r="R360" s="307">
        <v>15.053369999999999</v>
      </c>
      <c r="S360" s="307">
        <v>22.766279999999998</v>
      </c>
      <c r="T360" s="307">
        <v>12.639329999999999</v>
      </c>
      <c r="U360" s="307">
        <v>23.072209999999998</v>
      </c>
      <c r="V360" s="307">
        <v>21.942270000000001</v>
      </c>
      <c r="W360" s="307">
        <v>18.52617</v>
      </c>
      <c r="X360" s="307">
        <v>18.058009999999999</v>
      </c>
      <c r="Y360" s="307">
        <v>28.968240000000002</v>
      </c>
      <c r="Z360" s="307">
        <v>14.647449999999999</v>
      </c>
      <c r="AA360" s="307">
        <v>16.001380000000001</v>
      </c>
      <c r="AB360" s="307">
        <v>20.653770000000002</v>
      </c>
      <c r="AC360" s="307">
        <v>28.31842</v>
      </c>
      <c r="AD360" s="307">
        <v>20.479620000000001</v>
      </c>
      <c r="AE360" s="307">
        <v>18.60087</v>
      </c>
      <c r="AF360" s="307">
        <v>27.265940000000001</v>
      </c>
      <c r="AG360" s="307">
        <v>26.318650000000002</v>
      </c>
      <c r="AH360" s="307">
        <v>17.556830000000001</v>
      </c>
      <c r="AI360" s="307">
        <v>18.399229999999999</v>
      </c>
      <c r="AJ360" s="307">
        <v>22.09883</v>
      </c>
      <c r="AK360" s="307">
        <v>16.522559999999999</v>
      </c>
      <c r="AL360" s="307">
        <v>11.14935</v>
      </c>
      <c r="AM360" s="307">
        <v>16.29308</v>
      </c>
      <c r="AN360" s="307">
        <v>22.458870000000001</v>
      </c>
      <c r="AO360" s="307">
        <v>22.633559999999999</v>
      </c>
      <c r="AP360" s="307">
        <v>24.609449999999999</v>
      </c>
      <c r="AQ360" s="307">
        <v>22.245609999999999</v>
      </c>
      <c r="AR360" s="307">
        <v>21.251110000000001</v>
      </c>
      <c r="AS360" s="307">
        <v>26.28856</v>
      </c>
      <c r="AT360" s="307">
        <v>12.14626</v>
      </c>
      <c r="AU360" s="307">
        <v>19.70026</v>
      </c>
      <c r="AV360" s="307">
        <v>14.434519999999999</v>
      </c>
      <c r="AW360" s="307">
        <v>20.06279</v>
      </c>
      <c r="AX360" s="307">
        <v>26.175039999999999</v>
      </c>
      <c r="AY360" s="307">
        <v>25.524509999999999</v>
      </c>
      <c r="AZ360" s="307">
        <v>22.610410000000002</v>
      </c>
      <c r="BA360" s="307">
        <v>22.397600000000001</v>
      </c>
      <c r="BB360" s="307">
        <v>28.50507</v>
      </c>
      <c r="BC360" s="307">
        <v>19.159600000000001</v>
      </c>
      <c r="BD360" s="307">
        <v>15.71129</v>
      </c>
      <c r="BE360" s="307">
        <v>17.055720000000001</v>
      </c>
      <c r="BF360" s="307">
        <v>18.596160000000001</v>
      </c>
      <c r="BG360" s="307">
        <v>20.919119999999999</v>
      </c>
      <c r="BH360" s="307">
        <v>15.348599999999999</v>
      </c>
      <c r="BI360" s="307">
        <v>20.037569999999999</v>
      </c>
      <c r="BJ360" s="307">
        <v>18.248740000000002</v>
      </c>
      <c r="BK360" s="307">
        <v>17.481870000000001</v>
      </c>
      <c r="BL360">
        <f t="shared" si="20"/>
        <v>0</v>
      </c>
      <c r="BM360">
        <f t="shared" si="21"/>
        <v>19.560261000000001</v>
      </c>
      <c r="BN360">
        <f t="shared" si="22"/>
        <v>29.11</v>
      </c>
      <c r="BO360">
        <f t="array" ref="BO360">MIN(IF($C360:$BK360&gt;0, $C360:$BK360))</f>
        <v>3.805911</v>
      </c>
      <c r="BP360">
        <f t="shared" si="23"/>
        <v>19.70026</v>
      </c>
    </row>
    <row r="361" spans="1:68" x14ac:dyDescent="0.25">
      <c r="A361" s="306">
        <v>541940</v>
      </c>
      <c r="B361" s="307" t="s">
        <v>318</v>
      </c>
      <c r="C361" s="307">
        <v>12.085229999999999</v>
      </c>
      <c r="D361" s="307">
        <v>14.32626</v>
      </c>
      <c r="E361" s="307">
        <v>14.11829</v>
      </c>
      <c r="F361" s="307">
        <v>9.7464739999999992</v>
      </c>
      <c r="G361" s="307">
        <v>11.455640000000001</v>
      </c>
      <c r="H361" s="307">
        <v>9.8660789999999992</v>
      </c>
      <c r="I361" s="307">
        <v>13.348839999999999</v>
      </c>
      <c r="J361" s="307">
        <v>8.5513440000000003</v>
      </c>
      <c r="K361" s="307">
        <v>2.7988659999999999</v>
      </c>
      <c r="L361" s="307">
        <v>7.3263160000000003</v>
      </c>
      <c r="M361" s="307">
        <v>13.92381</v>
      </c>
      <c r="N361" s="307">
        <v>15.046989999999999</v>
      </c>
      <c r="O361" s="307">
        <v>16.316220000000001</v>
      </c>
      <c r="P361" s="307">
        <v>11.84474</v>
      </c>
      <c r="Q361" s="307">
        <v>8.3061520000000009</v>
      </c>
      <c r="R361" s="307">
        <v>10.7483</v>
      </c>
      <c r="S361" s="307">
        <v>14.34971</v>
      </c>
      <c r="T361" s="307">
        <v>9.436083</v>
      </c>
      <c r="U361" s="307">
        <v>11.58395</v>
      </c>
      <c r="V361" s="307">
        <v>15.32104</v>
      </c>
      <c r="W361" s="307">
        <v>10.871169999999999</v>
      </c>
      <c r="X361" s="307">
        <v>11.827809999999999</v>
      </c>
      <c r="Y361" s="307">
        <v>17.68647</v>
      </c>
      <c r="Z361" s="307">
        <v>9.1334420000000005</v>
      </c>
      <c r="AA361" s="307">
        <v>17.132719999999999</v>
      </c>
      <c r="AB361" s="307">
        <v>13.597020000000001</v>
      </c>
      <c r="AC361" s="307">
        <v>17.426590000000001</v>
      </c>
      <c r="AD361" s="307">
        <v>16.249510000000001</v>
      </c>
      <c r="AE361" s="307">
        <v>13.764189999999999</v>
      </c>
      <c r="AF361" s="307">
        <v>14.116569999999999</v>
      </c>
      <c r="AG361" s="307">
        <v>16.756049999999998</v>
      </c>
      <c r="AH361" s="307">
        <v>9.5735419999999998</v>
      </c>
      <c r="AI361" s="307">
        <v>10.406929999999999</v>
      </c>
      <c r="AJ361" s="307">
        <v>13.78753</v>
      </c>
      <c r="AK361" s="307">
        <v>10.754099999999999</v>
      </c>
      <c r="AL361" s="307">
        <v>8.9520300000000006</v>
      </c>
      <c r="AM361" s="307">
        <v>10.53398</v>
      </c>
      <c r="AN361" s="307">
        <v>15.30212</v>
      </c>
      <c r="AO361" s="307">
        <v>14.23028</v>
      </c>
      <c r="AP361" s="307">
        <v>12.32601</v>
      </c>
      <c r="AQ361" s="307">
        <v>13.52525</v>
      </c>
      <c r="AR361" s="307">
        <v>12.231909999999999</v>
      </c>
      <c r="AS361" s="307">
        <v>17.54204</v>
      </c>
      <c r="AT361" s="307">
        <v>9.8320059999999998</v>
      </c>
      <c r="AU361" s="307">
        <v>12.12842</v>
      </c>
      <c r="AV361" s="307">
        <v>8.4071300000000004</v>
      </c>
      <c r="AW361" s="307">
        <v>11.85134</v>
      </c>
      <c r="AX361" s="307">
        <v>16.125959999999999</v>
      </c>
      <c r="AY361" s="307">
        <v>14.661799999999999</v>
      </c>
      <c r="AZ361" s="307">
        <v>13.96528</v>
      </c>
      <c r="BA361" s="307">
        <v>13.121449999999999</v>
      </c>
      <c r="BB361" s="307">
        <v>17.540120000000002</v>
      </c>
      <c r="BC361" s="307">
        <v>11.319979999999999</v>
      </c>
      <c r="BD361" s="307">
        <v>10.906090000000001</v>
      </c>
      <c r="BE361" s="307">
        <v>11.236980000000001</v>
      </c>
      <c r="BF361" s="307">
        <v>13.886010000000001</v>
      </c>
      <c r="BG361" s="307">
        <v>13.580730000000001</v>
      </c>
      <c r="BH361" s="307">
        <v>11.960419999999999</v>
      </c>
      <c r="BI361" s="307">
        <v>12.577579999999999</v>
      </c>
      <c r="BJ361" s="307">
        <v>11.78816</v>
      </c>
      <c r="BK361" s="307">
        <v>10.87994</v>
      </c>
      <c r="BL361">
        <f t="shared" si="20"/>
        <v>0</v>
      </c>
      <c r="BM361">
        <f t="shared" si="21"/>
        <v>12.524540885245901</v>
      </c>
      <c r="BN361">
        <f t="shared" si="22"/>
        <v>17.68647</v>
      </c>
      <c r="BO361">
        <f t="array" ref="BO361">MIN(IF($C361:$BK361&gt;0, $C361:$BK361))</f>
        <v>2.7988659999999999</v>
      </c>
      <c r="BP361">
        <f t="shared" si="23"/>
        <v>12.231909999999999</v>
      </c>
    </row>
    <row r="362" spans="1:68" x14ac:dyDescent="0.25">
      <c r="A362" s="306" t="s">
        <v>771</v>
      </c>
      <c r="B362" s="307" t="s">
        <v>319</v>
      </c>
      <c r="C362" s="307">
        <v>9.6843160000000008</v>
      </c>
      <c r="D362" s="307">
        <v>8.1058260000000004</v>
      </c>
      <c r="E362" s="307">
        <v>16.31259</v>
      </c>
      <c r="F362" s="307">
        <v>11.954230000000001</v>
      </c>
      <c r="G362" s="307">
        <v>12.621840000000001</v>
      </c>
      <c r="H362" s="307">
        <v>8.2961019999999994</v>
      </c>
      <c r="I362" s="307">
        <v>10.07342</v>
      </c>
      <c r="J362" s="307">
        <v>6.3019579999999999</v>
      </c>
      <c r="K362" s="307">
        <v>2.097712</v>
      </c>
      <c r="L362" s="307">
        <v>6.0813249999999996</v>
      </c>
      <c r="M362" s="307">
        <v>13.726889999999999</v>
      </c>
      <c r="N362" s="307">
        <v>11.6113</v>
      </c>
      <c r="O362" s="307">
        <v>16.62143</v>
      </c>
      <c r="P362" s="307">
        <v>16.078589999999998</v>
      </c>
      <c r="Q362" s="307">
        <v>9.8189080000000004</v>
      </c>
      <c r="R362" s="307">
        <v>7.3845599999999996</v>
      </c>
      <c r="S362" s="307">
        <v>8.1863320000000002</v>
      </c>
      <c r="T362" s="307">
        <v>9.0413510000000006</v>
      </c>
      <c r="U362" s="307">
        <v>14.1823</v>
      </c>
      <c r="V362" s="307">
        <v>9.7725950000000008</v>
      </c>
      <c r="W362" s="307">
        <v>7.0739789999999996</v>
      </c>
      <c r="X362" s="307">
        <v>9.3711149999999996</v>
      </c>
      <c r="Y362" s="307">
        <v>15.952970000000001</v>
      </c>
      <c r="Z362" s="307">
        <v>7.6258819999999998</v>
      </c>
      <c r="AA362" s="307">
        <v>11.197990000000001</v>
      </c>
      <c r="AB362" s="307">
        <v>9.6667729999999992</v>
      </c>
      <c r="AC362" s="307">
        <v>10.996359999999999</v>
      </c>
      <c r="AD362" s="307">
        <v>13.03772</v>
      </c>
      <c r="AE362" s="307">
        <v>12.31551</v>
      </c>
      <c r="AF362" s="307">
        <v>15.56678</v>
      </c>
      <c r="AG362" s="307">
        <v>16.12003</v>
      </c>
      <c r="AH362" s="307">
        <v>7.4908229999999998</v>
      </c>
      <c r="AI362" s="307">
        <v>6.8605429999999998</v>
      </c>
      <c r="AJ362" s="307">
        <v>12.54316</v>
      </c>
      <c r="AK362" s="307">
        <v>12.0526</v>
      </c>
      <c r="AL362" s="307">
        <v>6.1456239999999998</v>
      </c>
      <c r="AM362" s="307">
        <v>10.74859</v>
      </c>
      <c r="AN362" s="307">
        <v>10.86835</v>
      </c>
      <c r="AO362" s="307">
        <v>12.57122</v>
      </c>
      <c r="AP362" s="307">
        <v>10.4777</v>
      </c>
      <c r="AQ362" s="307">
        <v>15.884449999999999</v>
      </c>
      <c r="AR362" s="307">
        <v>9.2851900000000001</v>
      </c>
      <c r="AS362" s="307">
        <v>16.274460000000001</v>
      </c>
      <c r="AT362" s="307">
        <v>8.8462429999999994</v>
      </c>
      <c r="AU362" s="307">
        <v>10.023820000000001</v>
      </c>
      <c r="AV362" s="307">
        <v>11.368919999999999</v>
      </c>
      <c r="AW362" s="307">
        <v>8.4050740000000008</v>
      </c>
      <c r="AX362" s="307">
        <v>15.743180000000001</v>
      </c>
      <c r="AY362" s="307">
        <v>14.77094</v>
      </c>
      <c r="AZ362" s="307">
        <v>15.35599</v>
      </c>
      <c r="BA362" s="307">
        <v>14.998659999999999</v>
      </c>
      <c r="BB362" s="307">
        <v>13.456910000000001</v>
      </c>
      <c r="BC362" s="307">
        <v>7.8474550000000001</v>
      </c>
      <c r="BD362" s="307">
        <v>7.6582290000000004</v>
      </c>
      <c r="BE362" s="307">
        <v>8.8975559999999998</v>
      </c>
      <c r="BF362" s="307">
        <v>11.751480000000001</v>
      </c>
      <c r="BG362" s="307">
        <v>11.36059</v>
      </c>
      <c r="BH362" s="307">
        <v>12.86275</v>
      </c>
      <c r="BI362" s="307">
        <v>10.175269999999999</v>
      </c>
      <c r="BJ362" s="307">
        <v>11.27524</v>
      </c>
      <c r="BK362" s="307">
        <v>9.0431830000000009</v>
      </c>
      <c r="BL362">
        <f t="shared" si="20"/>
        <v>0</v>
      </c>
      <c r="BM362">
        <f t="shared" si="21"/>
        <v>11.015129245901639</v>
      </c>
      <c r="BN362">
        <f t="shared" si="22"/>
        <v>16.62143</v>
      </c>
      <c r="BO362">
        <f t="array" ref="BO362">MIN(IF($C362:$BK362&gt;0, $C362:$BK362))</f>
        <v>2.097712</v>
      </c>
      <c r="BP362">
        <f t="shared" si="23"/>
        <v>10.86835</v>
      </c>
    </row>
    <row r="363" spans="1:68" x14ac:dyDescent="0.25">
      <c r="A363" s="306">
        <v>550000</v>
      </c>
      <c r="B363" s="307" t="s">
        <v>320</v>
      </c>
      <c r="C363" s="307">
        <v>4.5113960000000004</v>
      </c>
      <c r="D363" s="307">
        <v>6.1580450000000004</v>
      </c>
      <c r="E363" s="307">
        <v>6.1499860000000002</v>
      </c>
      <c r="F363" s="307">
        <v>5.1876800000000003</v>
      </c>
      <c r="G363" s="307">
        <v>6.0000660000000003</v>
      </c>
      <c r="H363" s="307">
        <v>4.6658270000000002</v>
      </c>
      <c r="I363" s="307">
        <v>3.9943110000000002</v>
      </c>
      <c r="J363" s="307">
        <v>3.2368700000000001</v>
      </c>
      <c r="K363" s="307">
        <v>0.58616330000000005</v>
      </c>
      <c r="L363" s="307">
        <v>3.5838540000000001</v>
      </c>
      <c r="M363" s="307">
        <v>5.2498509999999996</v>
      </c>
      <c r="N363" s="307">
        <v>5.0034929999999997</v>
      </c>
      <c r="O363" s="307">
        <v>5.9089479999999996</v>
      </c>
      <c r="P363" s="307">
        <v>6.0557540000000003</v>
      </c>
      <c r="Q363" s="307">
        <v>5.479749</v>
      </c>
      <c r="R363" s="307">
        <v>3.819334</v>
      </c>
      <c r="S363" s="307">
        <v>5.2745050000000004</v>
      </c>
      <c r="T363" s="307">
        <v>5.0273219999999998</v>
      </c>
      <c r="U363" s="307">
        <v>4.9905520000000001</v>
      </c>
      <c r="V363" s="307">
        <v>6.5355619999999996</v>
      </c>
      <c r="W363" s="307">
        <v>3.8954460000000002</v>
      </c>
      <c r="X363" s="307">
        <v>4.395715</v>
      </c>
      <c r="Y363" s="307">
        <v>5.7575459999999996</v>
      </c>
      <c r="Z363" s="307">
        <v>3.9858169999999999</v>
      </c>
      <c r="AA363" s="307">
        <v>3.572479</v>
      </c>
      <c r="AB363" s="307">
        <v>3.6874829999999998</v>
      </c>
      <c r="AC363" s="307">
        <v>6.2415430000000001</v>
      </c>
      <c r="AD363" s="307">
        <v>7.1783609999999998</v>
      </c>
      <c r="AE363" s="307">
        <v>4.6842100000000002</v>
      </c>
      <c r="AF363" s="307">
        <v>6.878088</v>
      </c>
      <c r="AG363" s="307">
        <v>4.9311780000000001</v>
      </c>
      <c r="AH363" s="307">
        <v>4.362069</v>
      </c>
      <c r="AI363" s="307">
        <v>2.9728910000000002</v>
      </c>
      <c r="AJ363" s="307">
        <v>7.177937</v>
      </c>
      <c r="AK363" s="307">
        <v>3.9783590000000002</v>
      </c>
      <c r="AL363" s="307">
        <v>2.4407839999999998</v>
      </c>
      <c r="AM363" s="307">
        <v>4.440194</v>
      </c>
      <c r="AN363" s="307">
        <v>6.0016670000000003</v>
      </c>
      <c r="AO363" s="307">
        <v>5.2038070000000003</v>
      </c>
      <c r="AP363" s="307">
        <v>4.1421710000000003</v>
      </c>
      <c r="AQ363" s="307">
        <v>3.3945919999999998</v>
      </c>
      <c r="AR363" s="307">
        <v>6.6644300000000003</v>
      </c>
      <c r="AS363" s="307">
        <v>4.9667180000000002</v>
      </c>
      <c r="AT363" s="307">
        <v>5.2747820000000001</v>
      </c>
      <c r="AU363" s="307">
        <v>5.3467640000000003</v>
      </c>
      <c r="AV363" s="307">
        <v>7.0266659999999996</v>
      </c>
      <c r="AW363" s="307">
        <v>3.7653850000000002</v>
      </c>
      <c r="AX363" s="307">
        <v>7.1351659999999999</v>
      </c>
      <c r="AY363" s="307">
        <v>4.3528029999999998</v>
      </c>
      <c r="AZ363" s="307">
        <v>4.9586430000000004</v>
      </c>
      <c r="BA363" s="307">
        <v>6.7385929999999998</v>
      </c>
      <c r="BB363" s="307">
        <v>5.1900250000000003</v>
      </c>
      <c r="BC363" s="307">
        <v>3.955857</v>
      </c>
      <c r="BD363" s="307">
        <v>3.4091990000000001</v>
      </c>
      <c r="BE363" s="307">
        <v>4.387626</v>
      </c>
      <c r="BF363" s="307">
        <v>4.1431680000000002</v>
      </c>
      <c r="BG363" s="307">
        <v>4.8384410000000004</v>
      </c>
      <c r="BH363" s="307">
        <v>5.5517580000000004</v>
      </c>
      <c r="BI363" s="307">
        <v>5.5561249999999998</v>
      </c>
      <c r="BJ363" s="307">
        <v>5.0525260000000003</v>
      </c>
      <c r="BK363" s="307">
        <v>4.757104</v>
      </c>
      <c r="BL363">
        <f t="shared" si="20"/>
        <v>0</v>
      </c>
      <c r="BM363">
        <f t="shared" si="21"/>
        <v>4.9149735131147549</v>
      </c>
      <c r="BN363">
        <f t="shared" si="22"/>
        <v>7.1783609999999998</v>
      </c>
      <c r="BO363">
        <f t="array" ref="BO363">MIN(IF($C363:$BK363&gt;0, $C363:$BK363))</f>
        <v>0.58616330000000005</v>
      </c>
      <c r="BP363">
        <f t="shared" si="23"/>
        <v>4.9667180000000002</v>
      </c>
    </row>
    <row r="364" spans="1:68" s="375" customFormat="1" x14ac:dyDescent="0.25">
      <c r="A364" s="382">
        <v>561100</v>
      </c>
      <c r="B364" s="383" t="s">
        <v>323</v>
      </c>
      <c r="C364" s="383">
        <v>9.3196130000000004</v>
      </c>
      <c r="D364" s="383">
        <v>10.13991</v>
      </c>
      <c r="E364" s="383">
        <v>11.797000000000001</v>
      </c>
      <c r="F364" s="383">
        <v>11.417299999999999</v>
      </c>
      <c r="G364" s="383">
        <v>9.7909330000000008</v>
      </c>
      <c r="H364" s="383">
        <v>8.1568850000000008</v>
      </c>
      <c r="I364" s="383">
        <v>7.7793890000000001</v>
      </c>
      <c r="J364" s="383">
        <v>7.6035700000000004</v>
      </c>
      <c r="K364" s="383">
        <v>3.1792699999999998</v>
      </c>
      <c r="L364" s="383">
        <v>7.1545139999999998</v>
      </c>
      <c r="M364" s="383">
        <v>11.696730000000001</v>
      </c>
      <c r="N364" s="383">
        <v>10.35111</v>
      </c>
      <c r="O364" s="383">
        <v>10.105560000000001</v>
      </c>
      <c r="P364" s="383">
        <v>9.2002170000000003</v>
      </c>
      <c r="Q364" s="383">
        <v>10.618639999999999</v>
      </c>
      <c r="R364" s="383">
        <v>9.7225090000000005</v>
      </c>
      <c r="S364" s="383">
        <v>11.18066</v>
      </c>
      <c r="T364" s="383">
        <v>9.363156</v>
      </c>
      <c r="U364" s="383">
        <v>7.7403339999999998</v>
      </c>
      <c r="V364" s="383">
        <v>8.2525469999999999</v>
      </c>
      <c r="W364" s="383">
        <v>8.6743710000000007</v>
      </c>
      <c r="X364" s="383">
        <v>9.7570739999999994</v>
      </c>
      <c r="Y364" s="383">
        <v>11.81972</v>
      </c>
      <c r="Z364" s="383">
        <v>9.8869070000000008</v>
      </c>
      <c r="AA364" s="383">
        <v>9.3445079999999994</v>
      </c>
      <c r="AB364" s="383">
        <v>8.8295980000000007</v>
      </c>
      <c r="AC364" s="383">
        <v>10.32136</v>
      </c>
      <c r="AD364" s="383">
        <v>11.84573</v>
      </c>
      <c r="AE364" s="383">
        <v>10.52999</v>
      </c>
      <c r="AF364" s="383">
        <v>10.05232</v>
      </c>
      <c r="AG364" s="383">
        <v>11.383749999999999</v>
      </c>
      <c r="AH364" s="383">
        <v>7.5039110000000004</v>
      </c>
      <c r="AI364" s="383">
        <v>7.1669150000000004</v>
      </c>
      <c r="AJ364" s="383">
        <v>9.1064589999999992</v>
      </c>
      <c r="AK364" s="383">
        <v>8.7771539999999995</v>
      </c>
      <c r="AL364" s="383">
        <v>7.1727550000000004</v>
      </c>
      <c r="AM364" s="383">
        <v>9.8050610000000002</v>
      </c>
      <c r="AN364" s="383">
        <v>11.58958</v>
      </c>
      <c r="AO364" s="383">
        <v>9.873818</v>
      </c>
      <c r="AP364" s="383">
        <v>9.0557540000000003</v>
      </c>
      <c r="AQ364" s="383">
        <v>10.980359999999999</v>
      </c>
      <c r="AR364" s="383">
        <v>10.309430000000001</v>
      </c>
      <c r="AS364" s="383">
        <v>10.169840000000001</v>
      </c>
      <c r="AT364" s="383">
        <v>7.4349569999999998</v>
      </c>
      <c r="AU364" s="383">
        <v>8.410088</v>
      </c>
      <c r="AV364" s="383">
        <v>11.333449999999999</v>
      </c>
      <c r="AW364" s="383">
        <v>10.015180000000001</v>
      </c>
      <c r="AX364" s="383">
        <v>11.403779999999999</v>
      </c>
      <c r="AY364" s="383">
        <v>10.94914</v>
      </c>
      <c r="AZ364" s="383">
        <v>10.065289999999999</v>
      </c>
      <c r="BA364" s="383">
        <v>8.5486369999999994</v>
      </c>
      <c r="BB364" s="383">
        <v>11.219569999999999</v>
      </c>
      <c r="BC364" s="383">
        <v>8.9881569999999993</v>
      </c>
      <c r="BD364" s="383">
        <v>8.0047519999999999</v>
      </c>
      <c r="BE364" s="383">
        <v>10.04224</v>
      </c>
      <c r="BF364" s="383">
        <v>9.9541930000000001</v>
      </c>
      <c r="BG364" s="383">
        <v>10.9392</v>
      </c>
      <c r="BH364" s="383">
        <v>8.4463329999999992</v>
      </c>
      <c r="BI364" s="383">
        <v>8.6256269999999997</v>
      </c>
      <c r="BJ364" s="383">
        <v>9.5995799999999996</v>
      </c>
      <c r="BK364" s="383">
        <v>8.3687900000000006</v>
      </c>
      <c r="BL364" s="375">
        <f t="shared" si="20"/>
        <v>0</v>
      </c>
      <c r="BM364">
        <f t="shared" si="21"/>
        <v>9.5225438688524591</v>
      </c>
      <c r="BN364">
        <f t="shared" si="22"/>
        <v>11.84573</v>
      </c>
      <c r="BO364">
        <f t="array" ref="BO364">MIN(IF($C364:$BK364&gt;0, $C364:$BK364))</f>
        <v>3.1792699999999998</v>
      </c>
      <c r="BP364">
        <f t="shared" si="23"/>
        <v>9.7909330000000008</v>
      </c>
    </row>
    <row r="365" spans="1:68" x14ac:dyDescent="0.25">
      <c r="A365" s="306">
        <v>561200</v>
      </c>
      <c r="B365" s="307" t="s">
        <v>324</v>
      </c>
      <c r="C365" s="307">
        <v>11.349909999999999</v>
      </c>
      <c r="D365" s="307">
        <v>11.03435</v>
      </c>
      <c r="E365" s="307">
        <v>13.32268</v>
      </c>
      <c r="F365" s="307">
        <v>20.59862</v>
      </c>
      <c r="G365" s="307">
        <v>9.753228</v>
      </c>
      <c r="H365" s="307">
        <v>9.9588180000000008</v>
      </c>
      <c r="I365" s="307">
        <v>10.72472</v>
      </c>
      <c r="J365" s="307">
        <v>5.0724039999999997</v>
      </c>
      <c r="K365" s="307">
        <v>4.1502610000000004</v>
      </c>
      <c r="L365" s="307">
        <v>4.349977</v>
      </c>
      <c r="M365" s="307">
        <v>8.4773209999999999</v>
      </c>
      <c r="N365" s="307">
        <v>14.42229</v>
      </c>
      <c r="O365" s="307">
        <v>8.7724379999999993</v>
      </c>
      <c r="P365" s="307">
        <v>29.185210000000001</v>
      </c>
      <c r="Q365" s="307">
        <v>12.88625</v>
      </c>
      <c r="R365" s="307">
        <v>13.46266</v>
      </c>
      <c r="S365" s="307">
        <v>13.62899</v>
      </c>
      <c r="T365" s="307">
        <v>9.7706630000000008</v>
      </c>
      <c r="U365" s="307">
        <v>13.84628</v>
      </c>
      <c r="V365" s="307">
        <v>16.732980000000001</v>
      </c>
      <c r="W365" s="307">
        <v>9.1548200000000008</v>
      </c>
      <c r="X365" s="307">
        <v>8.6271430000000002</v>
      </c>
      <c r="Y365" s="307">
        <v>9.4808850000000007</v>
      </c>
      <c r="Z365" s="307">
        <v>13.76493</v>
      </c>
      <c r="AA365" s="307">
        <v>14.9541</v>
      </c>
      <c r="AB365" s="307">
        <v>19.153130000000001</v>
      </c>
      <c r="AC365" s="307">
        <v>15.477589999999999</v>
      </c>
      <c r="AD365" s="307">
        <v>16.407330000000002</v>
      </c>
      <c r="AE365" s="307">
        <v>13.15828</v>
      </c>
      <c r="AF365" s="307">
        <v>18.984279999999998</v>
      </c>
      <c r="AG365" s="307">
        <v>15.12885</v>
      </c>
      <c r="AH365" s="307">
        <v>7.5575539999999997</v>
      </c>
      <c r="AI365" s="307">
        <v>11.16052</v>
      </c>
      <c r="AJ365" s="307">
        <v>9.4806220000000003</v>
      </c>
      <c r="AK365" s="307">
        <v>9.7110029999999998</v>
      </c>
      <c r="AL365" s="307">
        <v>11.60571</v>
      </c>
      <c r="AM365" s="307">
        <v>11.45688</v>
      </c>
      <c r="AN365" s="307">
        <v>11.093389999999999</v>
      </c>
      <c r="AO365" s="307">
        <v>10.7042</v>
      </c>
      <c r="AP365" s="307">
        <v>10.332800000000001</v>
      </c>
      <c r="AQ365" s="307">
        <v>11.031560000000001</v>
      </c>
      <c r="AR365" s="307">
        <v>20.182670000000002</v>
      </c>
      <c r="AS365" s="307">
        <v>15.421379999999999</v>
      </c>
      <c r="AT365" s="307">
        <v>7.2695230000000004</v>
      </c>
      <c r="AU365" s="307">
        <v>13.438739999999999</v>
      </c>
      <c r="AV365" s="307">
        <v>12.35449</v>
      </c>
      <c r="AW365" s="307">
        <v>10.394119999999999</v>
      </c>
      <c r="AX365" s="307">
        <v>19.988330000000001</v>
      </c>
      <c r="AY365" s="307">
        <v>11.34267</v>
      </c>
      <c r="AZ365" s="307">
        <v>7.4013720000000003</v>
      </c>
      <c r="BA365" s="307">
        <v>22.618069999999999</v>
      </c>
      <c r="BB365" s="307">
        <v>13.51976</v>
      </c>
      <c r="BC365" s="307">
        <v>8.7162609999999994</v>
      </c>
      <c r="BD365" s="307">
        <v>11.74593</v>
      </c>
      <c r="BE365" s="307">
        <v>12.002890000000001</v>
      </c>
      <c r="BF365" s="307">
        <v>15.98141</v>
      </c>
      <c r="BG365" s="307">
        <v>10.58394</v>
      </c>
      <c r="BH365" s="307">
        <v>11.63754</v>
      </c>
      <c r="BI365" s="307">
        <v>13.34867</v>
      </c>
      <c r="BJ365" s="307">
        <v>10.31803</v>
      </c>
      <c r="BK365" s="307">
        <v>10.290520000000001</v>
      </c>
      <c r="BL365">
        <f t="shared" si="20"/>
        <v>0</v>
      </c>
      <c r="BM365">
        <f t="shared" si="21"/>
        <v>12.434130213114758</v>
      </c>
      <c r="BN365">
        <f t="shared" si="22"/>
        <v>29.185210000000001</v>
      </c>
      <c r="BO365">
        <f t="array" ref="BO365">MIN(IF($C365:$BK365&gt;0, $C365:$BK365))</f>
        <v>4.1502610000000004</v>
      </c>
      <c r="BP365">
        <f t="shared" si="23"/>
        <v>11.45688</v>
      </c>
    </row>
    <row r="366" spans="1:68" x14ac:dyDescent="0.25">
      <c r="A366" s="306">
        <v>561300</v>
      </c>
      <c r="B366" s="307" t="s">
        <v>321</v>
      </c>
      <c r="C366" s="307">
        <v>29.733250000000002</v>
      </c>
      <c r="D366" s="307">
        <v>22.628720000000001</v>
      </c>
      <c r="E366" s="307">
        <v>36.717109999999998</v>
      </c>
      <c r="F366" s="307">
        <v>35.927860000000003</v>
      </c>
      <c r="G366" s="307">
        <v>24.858979999999999</v>
      </c>
      <c r="H366" s="307">
        <v>26.198979999999999</v>
      </c>
      <c r="I366" s="307">
        <v>27.105979999999999</v>
      </c>
      <c r="J366" s="307">
        <v>27.203970000000002</v>
      </c>
      <c r="K366" s="307">
        <v>7.9436929999999997</v>
      </c>
      <c r="L366" s="307">
        <v>21.450060000000001</v>
      </c>
      <c r="M366" s="307">
        <v>33.045250000000003</v>
      </c>
      <c r="N366" s="307">
        <v>32.703780000000002</v>
      </c>
      <c r="O366" s="307">
        <v>25.776409999999998</v>
      </c>
      <c r="P366" s="307">
        <v>33.582270000000001</v>
      </c>
      <c r="Q366" s="307">
        <v>32.799700000000001</v>
      </c>
      <c r="R366" s="307">
        <v>31.914180000000002</v>
      </c>
      <c r="S366" s="307">
        <v>29.607780000000002</v>
      </c>
      <c r="T366" s="307">
        <v>26.03744</v>
      </c>
      <c r="U366" s="307">
        <v>34.474170000000001</v>
      </c>
      <c r="V366" s="307">
        <v>29.706130000000002</v>
      </c>
      <c r="W366" s="307">
        <v>25.110340000000001</v>
      </c>
      <c r="X366" s="307">
        <v>23.532589999999999</v>
      </c>
      <c r="Y366" s="307">
        <v>36.785760000000003</v>
      </c>
      <c r="Z366" s="307">
        <v>27.588339999999999</v>
      </c>
      <c r="AA366" s="307">
        <v>32.935830000000003</v>
      </c>
      <c r="AB366" s="307">
        <v>24.201129999999999</v>
      </c>
      <c r="AC366" s="307">
        <v>35.745840000000001</v>
      </c>
      <c r="AD366" s="307">
        <v>36.867109999999997</v>
      </c>
      <c r="AE366" s="307">
        <v>31.866890000000001</v>
      </c>
      <c r="AF366" s="307">
        <v>32.027479999999997</v>
      </c>
      <c r="AG366" s="307">
        <v>32.143160000000002</v>
      </c>
      <c r="AH366" s="307">
        <v>24.076450000000001</v>
      </c>
      <c r="AI366" s="307">
        <v>24.346689999999999</v>
      </c>
      <c r="AJ366" s="307">
        <v>27.90286</v>
      </c>
      <c r="AK366" s="307">
        <v>34.163910000000001</v>
      </c>
      <c r="AL366" s="307">
        <v>21.295639999999999</v>
      </c>
      <c r="AM366" s="307">
        <v>30.68929</v>
      </c>
      <c r="AN366" s="307">
        <v>29.56551</v>
      </c>
      <c r="AO366" s="307">
        <v>27.767399999999999</v>
      </c>
      <c r="AP366" s="307">
        <v>28.60998</v>
      </c>
      <c r="AQ366" s="307">
        <v>26.281759999999998</v>
      </c>
      <c r="AR366" s="307">
        <v>31.0458</v>
      </c>
      <c r="AS366" s="307">
        <v>36.013219999999997</v>
      </c>
      <c r="AT366" s="307">
        <v>28.70064</v>
      </c>
      <c r="AU366" s="307">
        <v>30.64753</v>
      </c>
      <c r="AV366" s="307">
        <v>32.96904</v>
      </c>
      <c r="AW366" s="307">
        <v>31.901979999999998</v>
      </c>
      <c r="AX366" s="307">
        <v>35.490119999999997</v>
      </c>
      <c r="AY366" s="307">
        <v>22.95262</v>
      </c>
      <c r="AZ366" s="307">
        <v>33.858789999999999</v>
      </c>
      <c r="BA366" s="307">
        <v>26.262250000000002</v>
      </c>
      <c r="BB366" s="307">
        <v>26.927250000000001</v>
      </c>
      <c r="BC366" s="307">
        <v>27.69857</v>
      </c>
      <c r="BD366" s="307">
        <v>25.56589</v>
      </c>
      <c r="BE366" s="307">
        <v>30.678789999999999</v>
      </c>
      <c r="BF366" s="307">
        <v>30.252500000000001</v>
      </c>
      <c r="BG366" s="307">
        <v>32.089210000000001</v>
      </c>
      <c r="BH366" s="307">
        <v>33.020690000000002</v>
      </c>
      <c r="BI366" s="307">
        <v>30.843299999999999</v>
      </c>
      <c r="BJ366" s="307">
        <v>27.78415</v>
      </c>
      <c r="BK366" s="307">
        <v>26.032419999999998</v>
      </c>
      <c r="BL366">
        <f t="shared" si="20"/>
        <v>0</v>
      </c>
      <c r="BM366">
        <f t="shared" si="21"/>
        <v>29.240236606557378</v>
      </c>
      <c r="BN366">
        <f t="shared" si="22"/>
        <v>36.867109999999997</v>
      </c>
      <c r="BO366">
        <f t="array" ref="BO366">MIN(IF($C366:$BK366&gt;0, $C366:$BK366))</f>
        <v>7.9436929999999997</v>
      </c>
      <c r="BP366">
        <f t="shared" si="23"/>
        <v>29.706130000000002</v>
      </c>
    </row>
    <row r="367" spans="1:68" x14ac:dyDescent="0.25">
      <c r="A367" s="306">
        <v>561400</v>
      </c>
      <c r="B367" s="307" t="s">
        <v>325</v>
      </c>
      <c r="C367" s="307">
        <v>14.130420000000001</v>
      </c>
      <c r="D367" s="307">
        <v>17.37087</v>
      </c>
      <c r="E367" s="307">
        <v>18.938279999999999</v>
      </c>
      <c r="F367" s="307">
        <v>18.53023</v>
      </c>
      <c r="G367" s="307">
        <v>13.61492</v>
      </c>
      <c r="H367" s="307">
        <v>11.69232</v>
      </c>
      <c r="I367" s="307">
        <v>14.648759999999999</v>
      </c>
      <c r="J367" s="307">
        <v>11.25145</v>
      </c>
      <c r="K367" s="307">
        <v>3.8063009999999999</v>
      </c>
      <c r="L367" s="307">
        <v>8.9356030000000004</v>
      </c>
      <c r="M367" s="307">
        <v>14.8126</v>
      </c>
      <c r="N367" s="307">
        <v>12.5199</v>
      </c>
      <c r="O367" s="307">
        <v>15.35164</v>
      </c>
      <c r="P367" s="307">
        <v>18.183450000000001</v>
      </c>
      <c r="Q367" s="307">
        <v>16.88091</v>
      </c>
      <c r="R367" s="307">
        <v>11.910500000000001</v>
      </c>
      <c r="S367" s="307">
        <v>16.109179999999999</v>
      </c>
      <c r="T367" s="307">
        <v>14.054</v>
      </c>
      <c r="U367" s="307">
        <v>16.322340000000001</v>
      </c>
      <c r="V367" s="307">
        <v>17.98263</v>
      </c>
      <c r="W367" s="307">
        <v>11.44336</v>
      </c>
      <c r="X367" s="307">
        <v>14.27312</v>
      </c>
      <c r="Y367" s="307">
        <v>16.274049999999999</v>
      </c>
      <c r="Z367" s="307">
        <v>11.994999999999999</v>
      </c>
      <c r="AA367" s="307">
        <v>13.4581</v>
      </c>
      <c r="AB367" s="307">
        <v>11.39484</v>
      </c>
      <c r="AC367" s="307">
        <v>18.438330000000001</v>
      </c>
      <c r="AD367" s="307">
        <v>19.016590000000001</v>
      </c>
      <c r="AE367" s="307">
        <v>17.57225</v>
      </c>
      <c r="AF367" s="307">
        <v>17.761520000000001</v>
      </c>
      <c r="AG367" s="307">
        <v>15.69694</v>
      </c>
      <c r="AH367" s="307">
        <v>12.5893</v>
      </c>
      <c r="AI367" s="307">
        <v>10.196009999999999</v>
      </c>
      <c r="AJ367" s="307">
        <v>17.461950000000002</v>
      </c>
      <c r="AK367" s="307">
        <v>13.828200000000001</v>
      </c>
      <c r="AL367" s="307">
        <v>10.23922</v>
      </c>
      <c r="AM367" s="307">
        <v>13.19997</v>
      </c>
      <c r="AN367" s="307">
        <v>14.69896</v>
      </c>
      <c r="AO367" s="307">
        <v>14.960900000000001</v>
      </c>
      <c r="AP367" s="307">
        <v>13.35995</v>
      </c>
      <c r="AQ367" s="307">
        <v>10.1404</v>
      </c>
      <c r="AR367" s="307">
        <v>14.62463</v>
      </c>
      <c r="AS367" s="307">
        <v>18.576920000000001</v>
      </c>
      <c r="AT367" s="307">
        <v>11.06209</v>
      </c>
      <c r="AU367" s="307">
        <v>13.431380000000001</v>
      </c>
      <c r="AV367" s="307">
        <v>15.49883</v>
      </c>
      <c r="AW367" s="307">
        <v>16.331189999999999</v>
      </c>
      <c r="AX367" s="307">
        <v>17.71368</v>
      </c>
      <c r="AY367" s="307">
        <v>16.191939999999999</v>
      </c>
      <c r="AZ367" s="307">
        <v>16.206499999999998</v>
      </c>
      <c r="BA367" s="307">
        <v>17.470040000000001</v>
      </c>
      <c r="BB367" s="307">
        <v>18.47054</v>
      </c>
      <c r="BC367" s="307">
        <v>13.1257</v>
      </c>
      <c r="BD367" s="307">
        <v>11.866300000000001</v>
      </c>
      <c r="BE367" s="307">
        <v>13.48625</v>
      </c>
      <c r="BF367" s="307">
        <v>14.671749999999999</v>
      </c>
      <c r="BG367" s="307">
        <v>15.15326</v>
      </c>
      <c r="BH367" s="307">
        <v>14.505409999999999</v>
      </c>
      <c r="BI367" s="307">
        <v>14.090249999999999</v>
      </c>
      <c r="BJ367" s="307">
        <v>15.053430000000001</v>
      </c>
      <c r="BK367" s="307">
        <v>13.029249999999999</v>
      </c>
      <c r="BL367">
        <f t="shared" si="20"/>
        <v>0</v>
      </c>
      <c r="BM367">
        <f t="shared" si="21"/>
        <v>14.518108262295087</v>
      </c>
      <c r="BN367">
        <f t="shared" si="22"/>
        <v>19.016590000000001</v>
      </c>
      <c r="BO367">
        <f t="array" ref="BO367">MIN(IF($C367:$BK367&gt;0, $C367:$BK367))</f>
        <v>3.8063009999999999</v>
      </c>
      <c r="BP367">
        <f t="shared" si="23"/>
        <v>14.648759999999999</v>
      </c>
    </row>
    <row r="368" spans="1:68" x14ac:dyDescent="0.25">
      <c r="A368" s="306">
        <v>561500</v>
      </c>
      <c r="B368" s="307" t="s">
        <v>322</v>
      </c>
      <c r="C368" s="307">
        <v>11.32174</v>
      </c>
      <c r="D368" s="307">
        <v>14.41338</v>
      </c>
      <c r="E368" s="307">
        <v>12.682829999999999</v>
      </c>
      <c r="F368" s="307">
        <v>15.02596</v>
      </c>
      <c r="G368" s="307">
        <v>12.04997</v>
      </c>
      <c r="H368" s="307">
        <v>10.26648</v>
      </c>
      <c r="I368" s="307">
        <v>9.9969459999999994</v>
      </c>
      <c r="J368" s="307">
        <v>8.5925069999999995</v>
      </c>
      <c r="K368" s="307">
        <v>3.4540459999999999</v>
      </c>
      <c r="L368" s="307">
        <v>7.2819099999999999</v>
      </c>
      <c r="M368" s="307">
        <v>12.61539</v>
      </c>
      <c r="N368" s="307">
        <v>9.4885540000000006</v>
      </c>
      <c r="O368" s="307">
        <v>13.69389</v>
      </c>
      <c r="P368" s="307">
        <v>13.97203</v>
      </c>
      <c r="Q368" s="307">
        <v>13.672079999999999</v>
      </c>
      <c r="R368" s="307">
        <v>10.33013</v>
      </c>
      <c r="S368" s="307">
        <v>10.30034</v>
      </c>
      <c r="T368" s="307">
        <v>11.54378</v>
      </c>
      <c r="U368" s="307">
        <v>11.98086</v>
      </c>
      <c r="V368" s="307">
        <v>15.31035</v>
      </c>
      <c r="W368" s="307">
        <v>8.6629140000000007</v>
      </c>
      <c r="X368" s="307">
        <v>9.3191889999999997</v>
      </c>
      <c r="Y368" s="307">
        <v>15.520670000000001</v>
      </c>
      <c r="Z368" s="307">
        <v>11.664400000000001</v>
      </c>
      <c r="AA368" s="307">
        <v>11.476459999999999</v>
      </c>
      <c r="AB368" s="307">
        <v>9.3291559999999993</v>
      </c>
      <c r="AC368" s="307">
        <v>15.082979999999999</v>
      </c>
      <c r="AD368" s="307">
        <v>15.554650000000001</v>
      </c>
      <c r="AE368" s="307">
        <v>13.285679999999999</v>
      </c>
      <c r="AF368" s="307">
        <v>14.52899</v>
      </c>
      <c r="AG368" s="307">
        <v>14.948029999999999</v>
      </c>
      <c r="AH368" s="307">
        <v>10.1524</v>
      </c>
      <c r="AI368" s="307">
        <v>8.3092369999999995</v>
      </c>
      <c r="AJ368" s="307">
        <v>11.85929</v>
      </c>
      <c r="AK368" s="307">
        <v>11.02894</v>
      </c>
      <c r="AL368" s="307">
        <v>9.2473159999999996</v>
      </c>
      <c r="AM368" s="307">
        <v>12.19064</v>
      </c>
      <c r="AN368" s="307">
        <v>13.001709999999999</v>
      </c>
      <c r="AO368" s="307">
        <v>12.333970000000001</v>
      </c>
      <c r="AP368" s="307">
        <v>11.975949999999999</v>
      </c>
      <c r="AQ368" s="307">
        <v>10.993779999999999</v>
      </c>
      <c r="AR368" s="307">
        <v>12.47852</v>
      </c>
      <c r="AS368" s="307">
        <v>15.195790000000001</v>
      </c>
      <c r="AT368" s="307">
        <v>9.1493839999999995</v>
      </c>
      <c r="AU368" s="307">
        <v>11.024509999999999</v>
      </c>
      <c r="AV368" s="307">
        <v>15.57123</v>
      </c>
      <c r="AW368" s="307">
        <v>11.978870000000001</v>
      </c>
      <c r="AX368" s="307">
        <v>12.95289</v>
      </c>
      <c r="AY368" s="307">
        <v>8.9636289999999992</v>
      </c>
      <c r="AZ368" s="307">
        <v>11.09445</v>
      </c>
      <c r="BA368" s="307">
        <v>14.29035</v>
      </c>
      <c r="BB368" s="307">
        <v>14.33703</v>
      </c>
      <c r="BC368" s="307">
        <v>9.8448189999999993</v>
      </c>
      <c r="BD368" s="307">
        <v>10.27219</v>
      </c>
      <c r="BE368" s="307">
        <v>11.087669999999999</v>
      </c>
      <c r="BF368" s="307">
        <v>12.254709999999999</v>
      </c>
      <c r="BG368" s="307">
        <v>12.04739</v>
      </c>
      <c r="BH368" s="307">
        <v>10.59585</v>
      </c>
      <c r="BI368" s="307">
        <v>11.622450000000001</v>
      </c>
      <c r="BJ368" s="307">
        <v>12.36004</v>
      </c>
      <c r="BK368" s="307">
        <v>10.57076</v>
      </c>
      <c r="BL368">
        <f t="shared" si="20"/>
        <v>0</v>
      </c>
      <c r="BM368">
        <f t="shared" si="21"/>
        <v>11.740197655737706</v>
      </c>
      <c r="BN368">
        <f t="shared" si="22"/>
        <v>15.57123</v>
      </c>
      <c r="BO368">
        <f t="array" ref="BO368">MIN(IF($C368:$BK368&gt;0, $C368:$BK368))</f>
        <v>3.4540459999999999</v>
      </c>
      <c r="BP368">
        <f t="shared" si="23"/>
        <v>11.85929</v>
      </c>
    </row>
    <row r="369" spans="1:68" x14ac:dyDescent="0.25">
      <c r="A369" s="306">
        <v>561600</v>
      </c>
      <c r="B369" s="307" t="s">
        <v>326</v>
      </c>
      <c r="C369" s="307">
        <v>25.432700000000001</v>
      </c>
      <c r="D369" s="307">
        <v>20.419180000000001</v>
      </c>
      <c r="E369" s="307">
        <v>29.270720000000001</v>
      </c>
      <c r="F369" s="307">
        <v>26.974609999999998</v>
      </c>
      <c r="G369" s="307">
        <v>22.786860000000001</v>
      </c>
      <c r="H369" s="307">
        <v>24.921859999999999</v>
      </c>
      <c r="I369" s="307">
        <v>23.502579999999998</v>
      </c>
      <c r="J369" s="307">
        <v>20.554559999999999</v>
      </c>
      <c r="K369" s="307">
        <v>7.1681429999999997</v>
      </c>
      <c r="L369" s="307">
        <v>19.255659999999999</v>
      </c>
      <c r="M369" s="307">
        <v>25.136510000000001</v>
      </c>
      <c r="N369" s="307">
        <v>28.26943</v>
      </c>
      <c r="O369" s="307">
        <v>25.929760000000002</v>
      </c>
      <c r="P369" s="307">
        <v>28.104690000000002</v>
      </c>
      <c r="Q369" s="307">
        <v>27.653230000000001</v>
      </c>
      <c r="R369" s="307">
        <v>25.007539999999999</v>
      </c>
      <c r="S369" s="307">
        <v>26.418369999999999</v>
      </c>
      <c r="T369" s="307">
        <v>21.734950000000001</v>
      </c>
      <c r="U369" s="307">
        <v>27.482710000000001</v>
      </c>
      <c r="V369" s="307">
        <v>28.6265</v>
      </c>
      <c r="W369" s="307">
        <v>26.755109999999998</v>
      </c>
      <c r="X369" s="307">
        <v>22.41489</v>
      </c>
      <c r="Y369" s="307">
        <v>27.7088</v>
      </c>
      <c r="Z369" s="307">
        <v>26.969840000000001</v>
      </c>
      <c r="AA369" s="307">
        <v>26.184729999999998</v>
      </c>
      <c r="AB369" s="307">
        <v>20.263750000000002</v>
      </c>
      <c r="AC369" s="307">
        <v>28.497340000000001</v>
      </c>
      <c r="AD369" s="307">
        <v>24.734010000000001</v>
      </c>
      <c r="AE369" s="307">
        <v>28.998270000000002</v>
      </c>
      <c r="AF369" s="307">
        <v>27.239920000000001</v>
      </c>
      <c r="AG369" s="307">
        <v>28.244599999999998</v>
      </c>
      <c r="AH369" s="307">
        <v>19.045639999999999</v>
      </c>
      <c r="AI369" s="307">
        <v>20.412769999999998</v>
      </c>
      <c r="AJ369" s="307">
        <v>23.66001</v>
      </c>
      <c r="AK369" s="307">
        <v>21.596589999999999</v>
      </c>
      <c r="AL369" s="307">
        <v>22.846050000000002</v>
      </c>
      <c r="AM369" s="307">
        <v>25.660319999999999</v>
      </c>
      <c r="AN369" s="307">
        <v>23.765619999999998</v>
      </c>
      <c r="AO369" s="307">
        <v>22.917860000000001</v>
      </c>
      <c r="AP369" s="307">
        <v>24.832429999999999</v>
      </c>
      <c r="AQ369" s="307">
        <v>22.64385</v>
      </c>
      <c r="AR369" s="307">
        <v>22.215409999999999</v>
      </c>
      <c r="AS369" s="307">
        <v>28.00619</v>
      </c>
      <c r="AT369" s="307">
        <v>19.918150000000001</v>
      </c>
      <c r="AU369" s="307">
        <v>26.532029999999999</v>
      </c>
      <c r="AV369" s="307">
        <v>22.966380000000001</v>
      </c>
      <c r="AW369" s="307">
        <v>20.5334</v>
      </c>
      <c r="AX369" s="307">
        <v>23.018879999999999</v>
      </c>
      <c r="AY369" s="307">
        <v>23.182030000000001</v>
      </c>
      <c r="AZ369" s="307">
        <v>28.459119999999999</v>
      </c>
      <c r="BA369" s="307">
        <v>27.00121</v>
      </c>
      <c r="BB369" s="307">
        <v>25.757339999999999</v>
      </c>
      <c r="BC369" s="307">
        <v>24.92108</v>
      </c>
      <c r="BD369" s="307">
        <v>24.317139999999998</v>
      </c>
      <c r="BE369" s="307">
        <v>26.397739999999999</v>
      </c>
      <c r="BF369" s="307">
        <v>24.924299999999999</v>
      </c>
      <c r="BG369" s="307">
        <v>25.330670000000001</v>
      </c>
      <c r="BH369" s="307">
        <v>24.79289</v>
      </c>
      <c r="BI369" s="307">
        <v>26.746269999999999</v>
      </c>
      <c r="BJ369" s="307">
        <v>23.152259999999998</v>
      </c>
      <c r="BK369" s="307">
        <v>24.749569999999999</v>
      </c>
      <c r="BL369">
        <f t="shared" si="20"/>
        <v>0</v>
      </c>
      <c r="BM369">
        <f t="shared" si="21"/>
        <v>24.474836442622955</v>
      </c>
      <c r="BN369">
        <f t="shared" si="22"/>
        <v>29.270720000000001</v>
      </c>
      <c r="BO369">
        <f t="array" ref="BO369">MIN(IF($C369:$BK369&gt;0, $C369:$BK369))</f>
        <v>7.1681429999999997</v>
      </c>
      <c r="BP369">
        <f t="shared" si="23"/>
        <v>24.921859999999999</v>
      </c>
    </row>
    <row r="370" spans="1:68" x14ac:dyDescent="0.25">
      <c r="A370" s="306">
        <v>561700</v>
      </c>
      <c r="B370" s="307" t="s">
        <v>327</v>
      </c>
      <c r="C370" s="307">
        <v>20.59206</v>
      </c>
      <c r="D370" s="307">
        <v>21.271070000000002</v>
      </c>
      <c r="E370" s="307">
        <v>23.835909999999998</v>
      </c>
      <c r="F370" s="307">
        <v>23.685130000000001</v>
      </c>
      <c r="G370" s="307">
        <v>18.143039999999999</v>
      </c>
      <c r="H370" s="307">
        <v>17.87724</v>
      </c>
      <c r="I370" s="307">
        <v>20.072769999999998</v>
      </c>
      <c r="J370" s="307">
        <v>18.745069999999998</v>
      </c>
      <c r="K370" s="307">
        <v>8.5269910000000007</v>
      </c>
      <c r="L370" s="307">
        <v>17.886620000000001</v>
      </c>
      <c r="M370" s="307">
        <v>20.547779999999999</v>
      </c>
      <c r="N370" s="307">
        <v>21.29156</v>
      </c>
      <c r="O370" s="307">
        <v>17.909739999999999</v>
      </c>
      <c r="P370" s="307">
        <v>21.69041</v>
      </c>
      <c r="Q370" s="307">
        <v>21.244710000000001</v>
      </c>
      <c r="R370" s="307">
        <v>18.919080000000001</v>
      </c>
      <c r="S370" s="307">
        <v>19.87097</v>
      </c>
      <c r="T370" s="307">
        <v>17.838529999999999</v>
      </c>
      <c r="U370" s="307">
        <v>21.52422</v>
      </c>
      <c r="V370" s="307">
        <v>23.20955</v>
      </c>
      <c r="W370" s="307">
        <v>19.06851</v>
      </c>
      <c r="X370" s="307">
        <v>19.839230000000001</v>
      </c>
      <c r="Y370" s="307">
        <v>22.948440000000002</v>
      </c>
      <c r="Z370" s="307">
        <v>20.88158</v>
      </c>
      <c r="AA370" s="307">
        <v>21.29862</v>
      </c>
      <c r="AB370" s="307">
        <v>17.440799999999999</v>
      </c>
      <c r="AC370" s="307">
        <v>23.76323</v>
      </c>
      <c r="AD370" s="307">
        <v>24.507680000000001</v>
      </c>
      <c r="AE370" s="307">
        <v>23.362390000000001</v>
      </c>
      <c r="AF370" s="307">
        <v>22.891100000000002</v>
      </c>
      <c r="AG370" s="307">
        <v>23.551300000000001</v>
      </c>
      <c r="AH370" s="307">
        <v>18.781690000000001</v>
      </c>
      <c r="AI370" s="307">
        <v>16.884070000000001</v>
      </c>
      <c r="AJ370" s="307">
        <v>19.75769</v>
      </c>
      <c r="AK370" s="307">
        <v>18.581589999999998</v>
      </c>
      <c r="AL370" s="307">
        <v>16.433720000000001</v>
      </c>
      <c r="AM370" s="307">
        <v>19.300370000000001</v>
      </c>
      <c r="AN370" s="307">
        <v>21.519819999999999</v>
      </c>
      <c r="AO370" s="307">
        <v>18.63035</v>
      </c>
      <c r="AP370" s="307">
        <v>19.687539999999998</v>
      </c>
      <c r="AQ370" s="307">
        <v>16.737590000000001</v>
      </c>
      <c r="AR370" s="307">
        <v>21.675000000000001</v>
      </c>
      <c r="AS370" s="307">
        <v>23.940110000000001</v>
      </c>
      <c r="AT370" s="307">
        <v>17.03425</v>
      </c>
      <c r="AU370" s="307">
        <v>22.921050000000001</v>
      </c>
      <c r="AV370" s="307">
        <v>22.253219999999999</v>
      </c>
      <c r="AW370" s="307">
        <v>22.539300000000001</v>
      </c>
      <c r="AX370" s="307">
        <v>23.593050000000002</v>
      </c>
      <c r="AY370" s="307">
        <v>19.8231</v>
      </c>
      <c r="AZ370" s="307">
        <v>21.154879999999999</v>
      </c>
      <c r="BA370" s="307">
        <v>20.13625</v>
      </c>
      <c r="BB370" s="307">
        <v>23.803180000000001</v>
      </c>
      <c r="BC370" s="307">
        <v>20.155850000000001</v>
      </c>
      <c r="BD370" s="307">
        <v>18.645589999999999</v>
      </c>
      <c r="BE370" s="307">
        <v>20.056920000000002</v>
      </c>
      <c r="BF370" s="307">
        <v>20.727640000000001</v>
      </c>
      <c r="BG370" s="307">
        <v>22.000170000000001</v>
      </c>
      <c r="BH370" s="307">
        <v>20.749790000000001</v>
      </c>
      <c r="BI370" s="307">
        <v>23.004300000000001</v>
      </c>
      <c r="BJ370" s="307">
        <v>19.84459</v>
      </c>
      <c r="BK370" s="307">
        <v>18.280190000000001</v>
      </c>
      <c r="BL370">
        <f t="shared" si="20"/>
        <v>0</v>
      </c>
      <c r="BM370">
        <f t="shared" si="21"/>
        <v>20.375216245901647</v>
      </c>
      <c r="BN370">
        <f t="shared" si="22"/>
        <v>24.507680000000001</v>
      </c>
      <c r="BO370">
        <f t="array" ref="BO370">MIN(IF($C370:$BK370&gt;0, $C370:$BK370))</f>
        <v>8.5269910000000007</v>
      </c>
      <c r="BP370">
        <f t="shared" si="23"/>
        <v>20.547779999999999</v>
      </c>
    </row>
    <row r="371" spans="1:68" x14ac:dyDescent="0.25">
      <c r="A371" s="306">
        <v>561900</v>
      </c>
      <c r="B371" s="307" t="s">
        <v>328</v>
      </c>
      <c r="C371" s="307">
        <v>9.7195429999999998</v>
      </c>
      <c r="D371" s="307">
        <v>9.6393059999999995</v>
      </c>
      <c r="E371" s="307">
        <v>14.85976</v>
      </c>
      <c r="F371" s="307">
        <v>10.375299999999999</v>
      </c>
      <c r="G371" s="307">
        <v>8.3119119999999995</v>
      </c>
      <c r="H371" s="307">
        <v>8.8797169999999994</v>
      </c>
      <c r="I371" s="307">
        <v>8.2921899999999997</v>
      </c>
      <c r="J371" s="307">
        <v>6.9152719999999999</v>
      </c>
      <c r="K371" s="307">
        <v>3.8107190000000002</v>
      </c>
      <c r="L371" s="307">
        <v>11.56277</v>
      </c>
      <c r="M371" s="307">
        <v>9.4730670000000003</v>
      </c>
      <c r="N371" s="307">
        <v>11.47879</v>
      </c>
      <c r="O371" s="307">
        <v>12.06634</v>
      </c>
      <c r="P371" s="307">
        <v>14.2683</v>
      </c>
      <c r="Q371" s="307">
        <v>13.808249999999999</v>
      </c>
      <c r="R371" s="307">
        <v>9.7335130000000003</v>
      </c>
      <c r="S371" s="307">
        <v>10.168279999999999</v>
      </c>
      <c r="T371" s="307">
        <v>10.248530000000001</v>
      </c>
      <c r="U371" s="307">
        <v>13.705159999999999</v>
      </c>
      <c r="V371" s="307">
        <v>7.896204</v>
      </c>
      <c r="W371" s="307">
        <v>7.5848129999999996</v>
      </c>
      <c r="X371" s="307">
        <v>8.3519679999999994</v>
      </c>
      <c r="Y371" s="307">
        <v>13.363189999999999</v>
      </c>
      <c r="Z371" s="307">
        <v>9.3346169999999997</v>
      </c>
      <c r="AA371" s="307">
        <v>9.7447459999999992</v>
      </c>
      <c r="AB371" s="307">
        <v>8.6022879999999997</v>
      </c>
      <c r="AC371" s="307">
        <v>14.46866</v>
      </c>
      <c r="AD371" s="307">
        <v>12.774979999999999</v>
      </c>
      <c r="AE371" s="307">
        <v>11.8725</v>
      </c>
      <c r="AF371" s="307">
        <v>8.8890879999999992</v>
      </c>
      <c r="AG371" s="307">
        <v>11.500439999999999</v>
      </c>
      <c r="AH371" s="307">
        <v>12.37388</v>
      </c>
      <c r="AI371" s="307">
        <v>6.7671049999999999</v>
      </c>
      <c r="AJ371" s="307">
        <v>11.794840000000001</v>
      </c>
      <c r="AK371" s="307">
        <v>8.7803489999999993</v>
      </c>
      <c r="AL371" s="307">
        <v>7.3456960000000002</v>
      </c>
      <c r="AM371" s="307">
        <v>8.5005059999999997</v>
      </c>
      <c r="AN371" s="307">
        <v>10.783810000000001</v>
      </c>
      <c r="AO371" s="307">
        <v>8.85562</v>
      </c>
      <c r="AP371" s="307">
        <v>11.448090000000001</v>
      </c>
      <c r="AQ371" s="307">
        <v>13.831659999999999</v>
      </c>
      <c r="AR371" s="307">
        <v>11.35853</v>
      </c>
      <c r="AS371" s="307">
        <v>14.57592</v>
      </c>
      <c r="AT371" s="307">
        <v>7.0203100000000003</v>
      </c>
      <c r="AU371" s="307">
        <v>10.39701</v>
      </c>
      <c r="AV371" s="307">
        <v>10.930490000000001</v>
      </c>
      <c r="AW371" s="307">
        <v>13.691700000000001</v>
      </c>
      <c r="AX371" s="307">
        <v>14.36482</v>
      </c>
      <c r="AY371" s="307">
        <v>8.8936390000000003</v>
      </c>
      <c r="AZ371" s="307">
        <v>12.137280000000001</v>
      </c>
      <c r="BA371" s="307">
        <v>13.70801</v>
      </c>
      <c r="BB371" s="307">
        <v>13.4367</v>
      </c>
      <c r="BC371" s="307">
        <v>9.390803</v>
      </c>
      <c r="BD371" s="307">
        <v>8.5073729999999994</v>
      </c>
      <c r="BE371" s="307">
        <v>9.8894110000000008</v>
      </c>
      <c r="BF371" s="307">
        <v>10.25916</v>
      </c>
      <c r="BG371" s="307">
        <v>10.977270000000001</v>
      </c>
      <c r="BH371" s="307">
        <v>9.2433130000000006</v>
      </c>
      <c r="BI371" s="307">
        <v>9.8445879999999999</v>
      </c>
      <c r="BJ371" s="307">
        <v>9.0321359999999995</v>
      </c>
      <c r="BK371" s="307">
        <v>9.0136339999999997</v>
      </c>
      <c r="BL371">
        <f t="shared" si="20"/>
        <v>0</v>
      </c>
      <c r="BM371">
        <f t="shared" si="21"/>
        <v>10.47301419672131</v>
      </c>
      <c r="BN371">
        <f t="shared" si="22"/>
        <v>14.85976</v>
      </c>
      <c r="BO371">
        <f t="array" ref="BO371">MIN(IF($C371:$BK371&gt;0, $C371:$BK371))</f>
        <v>3.8107190000000002</v>
      </c>
      <c r="BP371">
        <f t="shared" si="23"/>
        <v>10.168279999999999</v>
      </c>
    </row>
    <row r="372" spans="1:68" x14ac:dyDescent="0.25">
      <c r="A372" s="306">
        <v>562000</v>
      </c>
      <c r="B372" s="307" t="s">
        <v>329</v>
      </c>
      <c r="C372" s="307">
        <v>4.7802730000000002</v>
      </c>
      <c r="D372" s="307">
        <v>4.0984340000000001</v>
      </c>
      <c r="E372" s="307">
        <v>5.786111</v>
      </c>
      <c r="F372" s="307">
        <v>6.5524050000000003</v>
      </c>
      <c r="G372" s="307">
        <v>3.8571049999999998</v>
      </c>
      <c r="H372" s="307">
        <v>4.5059389999999997</v>
      </c>
      <c r="I372" s="307">
        <v>3.8642219999999998</v>
      </c>
      <c r="J372" s="307">
        <v>4.1150370000000001</v>
      </c>
      <c r="K372" s="307">
        <v>2.3631039999999999</v>
      </c>
      <c r="L372" s="307">
        <v>4.4992150000000004</v>
      </c>
      <c r="M372" s="307">
        <v>5.4316509999999996</v>
      </c>
      <c r="N372" s="307">
        <v>5.8143079999999996</v>
      </c>
      <c r="O372" s="307">
        <v>5.0440500000000004</v>
      </c>
      <c r="P372" s="307">
        <v>6.6886609999999997</v>
      </c>
      <c r="Q372" s="307">
        <v>6.7180270000000002</v>
      </c>
      <c r="R372" s="307">
        <v>3.8313269999999999</v>
      </c>
      <c r="S372" s="307">
        <v>4.8001360000000002</v>
      </c>
      <c r="T372" s="307">
        <v>6.3711859999999998</v>
      </c>
      <c r="U372" s="307">
        <v>5.753279</v>
      </c>
      <c r="V372" s="307">
        <v>4.8824719999999999</v>
      </c>
      <c r="W372" s="307">
        <v>4.0591460000000001</v>
      </c>
      <c r="X372" s="307">
        <v>5.4941849999999999</v>
      </c>
      <c r="Y372" s="307">
        <v>6.8003629999999999</v>
      </c>
      <c r="Z372" s="307">
        <v>5.0857080000000003</v>
      </c>
      <c r="AA372" s="307">
        <v>5.3229499999999996</v>
      </c>
      <c r="AB372" s="307">
        <v>5.6139419999999998</v>
      </c>
      <c r="AC372" s="307">
        <v>6.9307809999999996</v>
      </c>
      <c r="AD372" s="307">
        <v>6.5239320000000003</v>
      </c>
      <c r="AE372" s="307">
        <v>6.2813020000000002</v>
      </c>
      <c r="AF372" s="307">
        <v>6.3224280000000004</v>
      </c>
      <c r="AG372" s="307">
        <v>6.459587</v>
      </c>
      <c r="AH372" s="307">
        <v>4.9407990000000002</v>
      </c>
      <c r="AI372" s="307">
        <v>4.3382389999999997</v>
      </c>
      <c r="AJ372" s="307">
        <v>5.152393</v>
      </c>
      <c r="AK372" s="307">
        <v>4.8811900000000001</v>
      </c>
      <c r="AL372" s="307">
        <v>4.2198669999999998</v>
      </c>
      <c r="AM372" s="307">
        <v>4.9814759999999998</v>
      </c>
      <c r="AN372" s="307">
        <v>6.7116369999999996</v>
      </c>
      <c r="AO372" s="307">
        <v>4.7472950000000003</v>
      </c>
      <c r="AP372" s="307">
        <v>5.284027</v>
      </c>
      <c r="AQ372" s="307">
        <v>5.6357309999999998</v>
      </c>
      <c r="AR372" s="307">
        <v>3.9165719999999999</v>
      </c>
      <c r="AS372" s="307">
        <v>6.5769729999999997</v>
      </c>
      <c r="AT372" s="307">
        <v>4.6609879999999997</v>
      </c>
      <c r="AU372" s="307">
        <v>4.4900799999999998</v>
      </c>
      <c r="AV372" s="307">
        <v>4.8297850000000002</v>
      </c>
      <c r="AW372" s="307">
        <v>5.7186339999999998</v>
      </c>
      <c r="AX372" s="307">
        <v>5.3867969999999996</v>
      </c>
      <c r="AY372" s="307">
        <v>3.8548979999999999</v>
      </c>
      <c r="AZ372" s="307">
        <v>5.6330549999999997</v>
      </c>
      <c r="BA372" s="307">
        <v>6.7634249999999998</v>
      </c>
      <c r="BB372" s="307">
        <v>5.8515899999999998</v>
      </c>
      <c r="BC372" s="307">
        <v>4.4561900000000003</v>
      </c>
      <c r="BD372" s="307">
        <v>4.6037059999999999</v>
      </c>
      <c r="BE372" s="307">
        <v>4.6845730000000003</v>
      </c>
      <c r="BF372" s="307">
        <v>5.8961399999999999</v>
      </c>
      <c r="BG372" s="307">
        <v>5.2055530000000001</v>
      </c>
      <c r="BH372" s="307">
        <v>5.3888059999999998</v>
      </c>
      <c r="BI372" s="307">
        <v>4.7862970000000002</v>
      </c>
      <c r="BJ372" s="307">
        <v>4.482748</v>
      </c>
      <c r="BK372" s="307">
        <v>4.3699050000000002</v>
      </c>
      <c r="BL372">
        <f t="shared" si="20"/>
        <v>0</v>
      </c>
      <c r="BM372">
        <f t="shared" si="21"/>
        <v>5.1983710655737694</v>
      </c>
      <c r="BN372">
        <f t="shared" si="22"/>
        <v>6.9307809999999996</v>
      </c>
      <c r="BO372">
        <f t="array" ref="BO372">MIN(IF($C372:$BK372&gt;0, $C372:$BK372))</f>
        <v>2.3631039999999999</v>
      </c>
      <c r="BP372">
        <f t="shared" si="23"/>
        <v>5.0857080000000003</v>
      </c>
    </row>
    <row r="373" spans="1:68" x14ac:dyDescent="0.25">
      <c r="A373" s="306">
        <v>611100</v>
      </c>
      <c r="B373" s="307" t="s">
        <v>772</v>
      </c>
      <c r="C373" s="307">
        <v>18.684139999999999</v>
      </c>
      <c r="D373" s="307">
        <v>27.695180000000001</v>
      </c>
      <c r="E373" s="307">
        <v>26.898199999999999</v>
      </c>
      <c r="F373" s="307">
        <v>27.013159999999999</v>
      </c>
      <c r="G373" s="307">
        <v>19.70223</v>
      </c>
      <c r="H373" s="307">
        <v>16.55115</v>
      </c>
      <c r="I373" s="307">
        <v>23.61355</v>
      </c>
      <c r="J373" s="307">
        <v>13.698919999999999</v>
      </c>
      <c r="K373" s="307">
        <v>4.694299</v>
      </c>
      <c r="L373" s="307">
        <v>15.30772</v>
      </c>
      <c r="M373" s="307">
        <v>20.05696</v>
      </c>
      <c r="N373" s="307">
        <v>18.296510000000001</v>
      </c>
      <c r="O373" s="307">
        <v>14.246779999999999</v>
      </c>
      <c r="P373" s="307">
        <v>26.00281</v>
      </c>
      <c r="Q373" s="307">
        <v>27.262460000000001</v>
      </c>
      <c r="R373" s="307">
        <v>18.53594</v>
      </c>
      <c r="S373" s="307">
        <v>20.846509999999999</v>
      </c>
      <c r="T373" s="307">
        <v>25.734539999999999</v>
      </c>
      <c r="U373" s="307">
        <v>23.436029999999999</v>
      </c>
      <c r="V373" s="307">
        <v>19.682120000000001</v>
      </c>
      <c r="W373" s="307">
        <v>13.805859999999999</v>
      </c>
      <c r="X373" s="307">
        <v>14.829700000000001</v>
      </c>
      <c r="Y373" s="307">
        <v>19.455169999999999</v>
      </c>
      <c r="Z373" s="307">
        <v>22.061050000000002</v>
      </c>
      <c r="AA373" s="307">
        <v>21.048380000000002</v>
      </c>
      <c r="AB373" s="307">
        <v>17.655570000000001</v>
      </c>
      <c r="AC373" s="307">
        <v>25.142679999999999</v>
      </c>
      <c r="AD373" s="307">
        <v>27.733529999999998</v>
      </c>
      <c r="AE373" s="307">
        <v>20.871600000000001</v>
      </c>
      <c r="AF373" s="307">
        <v>26.61129</v>
      </c>
      <c r="AG373" s="307">
        <v>23.01989</v>
      </c>
      <c r="AH373" s="307">
        <v>14.04462</v>
      </c>
      <c r="AI373" s="307">
        <v>15.833489999999999</v>
      </c>
      <c r="AJ373" s="307">
        <v>21.10708</v>
      </c>
      <c r="AK373" s="307">
        <v>23.4617</v>
      </c>
      <c r="AL373" s="307">
        <v>13.716139999999999</v>
      </c>
      <c r="AM373" s="307">
        <v>20.569430000000001</v>
      </c>
      <c r="AN373" s="307">
        <v>25.706520000000001</v>
      </c>
      <c r="AO373" s="307">
        <v>22.33277</v>
      </c>
      <c r="AP373" s="307">
        <v>15.45645</v>
      </c>
      <c r="AQ373" s="307">
        <v>12.51802</v>
      </c>
      <c r="AR373" s="307">
        <v>23.609449999999999</v>
      </c>
      <c r="AS373" s="307">
        <v>22.466670000000001</v>
      </c>
      <c r="AT373" s="307">
        <v>17.866969999999998</v>
      </c>
      <c r="AU373" s="307">
        <v>21.9194</v>
      </c>
      <c r="AV373" s="307">
        <v>23.320530000000002</v>
      </c>
      <c r="AW373" s="307">
        <v>18.074719999999999</v>
      </c>
      <c r="AX373" s="307">
        <v>17.830559999999998</v>
      </c>
      <c r="AY373" s="307">
        <v>22.776710000000001</v>
      </c>
      <c r="AZ373" s="307">
        <v>21.130510000000001</v>
      </c>
      <c r="BA373" s="307">
        <v>26.06747</v>
      </c>
      <c r="BB373" s="307">
        <v>27.790379999999999</v>
      </c>
      <c r="BC373" s="307">
        <v>14.790800000000001</v>
      </c>
      <c r="BD373" s="307">
        <v>15.25789</v>
      </c>
      <c r="BE373" s="307">
        <v>20.53867</v>
      </c>
      <c r="BF373" s="307">
        <v>21.764489999999999</v>
      </c>
      <c r="BG373" s="307">
        <v>18.897400000000001</v>
      </c>
      <c r="BH373" s="307">
        <v>22.334399999999999</v>
      </c>
      <c r="BI373" s="307">
        <v>22.128399999999999</v>
      </c>
      <c r="BJ373" s="307">
        <v>22.338339999999999</v>
      </c>
      <c r="BK373" s="307">
        <v>17.51089</v>
      </c>
      <c r="BL373">
        <f t="shared" si="20"/>
        <v>0</v>
      </c>
      <c r="BM373">
        <f t="shared" si="21"/>
        <v>20.382865557377048</v>
      </c>
      <c r="BN373">
        <f t="shared" si="22"/>
        <v>27.790379999999999</v>
      </c>
      <c r="BO373">
        <f t="array" ref="BO373">MIN(IF($C373:$BK373&gt;0, $C373:$BK373))</f>
        <v>4.694299</v>
      </c>
      <c r="BP373">
        <f t="shared" si="23"/>
        <v>20.871600000000001</v>
      </c>
    </row>
    <row r="374" spans="1:68" x14ac:dyDescent="0.25">
      <c r="A374" s="306" t="s">
        <v>773</v>
      </c>
      <c r="B374" s="307" t="s">
        <v>774</v>
      </c>
      <c r="C374" s="307">
        <v>13.28912</v>
      </c>
      <c r="D374" s="307">
        <v>16.166</v>
      </c>
      <c r="E374" s="307">
        <v>19.263760000000001</v>
      </c>
      <c r="F374" s="307">
        <v>19.253070000000001</v>
      </c>
      <c r="G374" s="307">
        <v>12.81434</v>
      </c>
      <c r="H374" s="307">
        <v>12.667949999999999</v>
      </c>
      <c r="I374" s="307">
        <v>14.79115</v>
      </c>
      <c r="J374" s="307">
        <v>10.738519999999999</v>
      </c>
      <c r="K374" s="307">
        <v>3.679637</v>
      </c>
      <c r="L374" s="307">
        <v>10.795540000000001</v>
      </c>
      <c r="M374" s="307">
        <v>13.16442</v>
      </c>
      <c r="N374" s="307">
        <v>11.50253</v>
      </c>
      <c r="O374" s="307">
        <v>15.972849999999999</v>
      </c>
      <c r="P374" s="307">
        <v>19.188890000000001</v>
      </c>
      <c r="Q374" s="307">
        <v>19.250630000000001</v>
      </c>
      <c r="R374" s="307">
        <v>11.49846</v>
      </c>
      <c r="S374" s="307">
        <v>16.538869999999999</v>
      </c>
      <c r="T374" s="307">
        <v>16.432590000000001</v>
      </c>
      <c r="U374" s="307">
        <v>18.47428</v>
      </c>
      <c r="V374" s="307">
        <v>14.47743</v>
      </c>
      <c r="W374" s="307">
        <v>10.82174</v>
      </c>
      <c r="X374" s="307">
        <v>10.5518</v>
      </c>
      <c r="Y374" s="307">
        <v>15.2254</v>
      </c>
      <c r="Z374" s="307">
        <v>17.42521</v>
      </c>
      <c r="AA374" s="307">
        <v>15.925129999999999</v>
      </c>
      <c r="AB374" s="307">
        <v>12.27017</v>
      </c>
      <c r="AC374" s="307">
        <v>19.381309999999999</v>
      </c>
      <c r="AD374" s="307">
        <v>19.624790000000001</v>
      </c>
      <c r="AE374" s="307">
        <v>13.753450000000001</v>
      </c>
      <c r="AF374" s="307">
        <v>18.829239999999999</v>
      </c>
      <c r="AG374" s="307">
        <v>14.749700000000001</v>
      </c>
      <c r="AH374" s="307">
        <v>9.8550570000000004</v>
      </c>
      <c r="AI374" s="307">
        <v>12.46576</v>
      </c>
      <c r="AJ374" s="307">
        <v>19.202729999999999</v>
      </c>
      <c r="AK374" s="307">
        <v>13.84928</v>
      </c>
      <c r="AL374" s="307">
        <v>10.97986</v>
      </c>
      <c r="AM374" s="307">
        <v>16.311620000000001</v>
      </c>
      <c r="AN374" s="307">
        <v>17.851880000000001</v>
      </c>
      <c r="AO374" s="307">
        <v>19.142869999999998</v>
      </c>
      <c r="AP374" s="307">
        <v>11.77753</v>
      </c>
      <c r="AQ374" s="307">
        <v>10.585419999999999</v>
      </c>
      <c r="AR374" s="307">
        <v>17.276800000000001</v>
      </c>
      <c r="AS374" s="307">
        <v>19.356539999999999</v>
      </c>
      <c r="AT374" s="307">
        <v>13.470560000000001</v>
      </c>
      <c r="AU374" s="307">
        <v>13.67897</v>
      </c>
      <c r="AV374" s="307">
        <v>17.394439999999999</v>
      </c>
      <c r="AW374" s="307">
        <v>11.95865</v>
      </c>
      <c r="AX374" s="307">
        <v>15.549989999999999</v>
      </c>
      <c r="AY374" s="307">
        <v>17.883040000000001</v>
      </c>
      <c r="AZ374" s="307">
        <v>13.7445</v>
      </c>
      <c r="BA374" s="307">
        <v>18.443930000000002</v>
      </c>
      <c r="BB374" s="307">
        <v>19.663699999999999</v>
      </c>
      <c r="BC374" s="307">
        <v>11.48865</v>
      </c>
      <c r="BD374" s="307">
        <v>11.85684</v>
      </c>
      <c r="BE374" s="307">
        <v>14.306520000000001</v>
      </c>
      <c r="BF374" s="307">
        <v>15.22695</v>
      </c>
      <c r="BG374" s="307">
        <v>12.63921</v>
      </c>
      <c r="BH374" s="307">
        <v>16.2547</v>
      </c>
      <c r="BI374" s="307">
        <v>14.42262</v>
      </c>
      <c r="BJ374" s="307">
        <v>15.32962</v>
      </c>
      <c r="BK374" s="307">
        <v>13.75202</v>
      </c>
      <c r="BL374">
        <f t="shared" si="20"/>
        <v>0</v>
      </c>
      <c r="BM374">
        <f t="shared" si="21"/>
        <v>14.823577606557379</v>
      </c>
      <c r="BN374">
        <f t="shared" si="22"/>
        <v>19.663699999999999</v>
      </c>
      <c r="BO374">
        <f t="array" ref="BO374">MIN(IF($C374:$BK374&gt;0, $C374:$BK374))</f>
        <v>3.679637</v>
      </c>
      <c r="BP374">
        <f t="shared" si="23"/>
        <v>14.749700000000001</v>
      </c>
    </row>
    <row r="375" spans="1:68" x14ac:dyDescent="0.25">
      <c r="A375" s="306" t="s">
        <v>775</v>
      </c>
      <c r="B375" s="307" t="s">
        <v>776</v>
      </c>
      <c r="C375" s="307">
        <v>13.05791</v>
      </c>
      <c r="D375" s="307">
        <v>15.268649999999999</v>
      </c>
      <c r="E375" s="307">
        <v>18.781839999999999</v>
      </c>
      <c r="F375" s="307">
        <v>15.63334</v>
      </c>
      <c r="G375" s="307">
        <v>10.34186</v>
      </c>
      <c r="H375" s="307">
        <v>14.665839999999999</v>
      </c>
      <c r="I375" s="307">
        <v>13.243320000000001</v>
      </c>
      <c r="J375" s="307">
        <v>13.43647</v>
      </c>
      <c r="K375" s="307">
        <v>3.3447049999999998</v>
      </c>
      <c r="L375" s="307">
        <v>12.64565</v>
      </c>
      <c r="M375" s="307">
        <v>11.22537</v>
      </c>
      <c r="N375" s="307">
        <v>10.8665</v>
      </c>
      <c r="O375" s="307">
        <v>18.84487</v>
      </c>
      <c r="P375" s="307">
        <v>15.88866</v>
      </c>
      <c r="Q375" s="307">
        <v>18.548310000000001</v>
      </c>
      <c r="R375" s="307">
        <v>10.75145</v>
      </c>
      <c r="S375" s="307">
        <v>16.822980000000001</v>
      </c>
      <c r="T375" s="307">
        <v>14.34892</v>
      </c>
      <c r="U375" s="307">
        <v>17.76388</v>
      </c>
      <c r="V375" s="307">
        <v>14.739190000000001</v>
      </c>
      <c r="W375" s="307">
        <v>12.483549999999999</v>
      </c>
      <c r="X375" s="307">
        <v>10.7111</v>
      </c>
      <c r="Y375" s="307">
        <v>15.69411</v>
      </c>
      <c r="Z375" s="307">
        <v>14.22988</v>
      </c>
      <c r="AA375" s="307">
        <v>18.643219999999999</v>
      </c>
      <c r="AB375" s="307">
        <v>10.622</v>
      </c>
      <c r="AC375" s="307">
        <v>16.728750000000002</v>
      </c>
      <c r="AD375" s="307">
        <v>12.64814</v>
      </c>
      <c r="AE375" s="307">
        <v>13.19233</v>
      </c>
      <c r="AF375" s="307">
        <v>12.13533</v>
      </c>
      <c r="AG375" s="307">
        <v>17.378869999999999</v>
      </c>
      <c r="AH375" s="307">
        <v>10.81071</v>
      </c>
      <c r="AI375" s="307">
        <v>12.373329999999999</v>
      </c>
      <c r="AJ375" s="307">
        <v>17.648579999999999</v>
      </c>
      <c r="AK375" s="307">
        <v>12.09919</v>
      </c>
      <c r="AL375" s="307">
        <v>10.757540000000001</v>
      </c>
      <c r="AM375" s="307">
        <v>16.076370000000001</v>
      </c>
      <c r="AN375" s="307">
        <v>11.024620000000001</v>
      </c>
      <c r="AO375" s="307">
        <v>18.40409</v>
      </c>
      <c r="AP375" s="307">
        <v>12.588520000000001</v>
      </c>
      <c r="AQ375" s="307">
        <v>11.271800000000001</v>
      </c>
      <c r="AR375" s="307">
        <v>15.899940000000001</v>
      </c>
      <c r="AS375" s="307">
        <v>12.47461</v>
      </c>
      <c r="AT375" s="307">
        <v>13.105090000000001</v>
      </c>
      <c r="AU375" s="307">
        <v>11.181929999999999</v>
      </c>
      <c r="AV375" s="307">
        <v>17.182030000000001</v>
      </c>
      <c r="AW375" s="307">
        <v>9.5855859999999993</v>
      </c>
      <c r="AX375" s="307">
        <v>15.363239999999999</v>
      </c>
      <c r="AY375" s="307">
        <v>18.517410000000002</v>
      </c>
      <c r="AZ375" s="307">
        <v>16.589030000000001</v>
      </c>
      <c r="BA375" s="307">
        <v>17.733989999999999</v>
      </c>
      <c r="BB375" s="307">
        <v>18.907029999999999</v>
      </c>
      <c r="BC375" s="307">
        <v>13.23108</v>
      </c>
      <c r="BD375" s="307">
        <v>12.01098</v>
      </c>
      <c r="BE375" s="307">
        <v>13.50061</v>
      </c>
      <c r="BF375" s="307">
        <v>14.9244</v>
      </c>
      <c r="BG375" s="307">
        <v>11.31907</v>
      </c>
      <c r="BH375" s="307">
        <v>15.65766</v>
      </c>
      <c r="BI375" s="307">
        <v>11.748200000000001</v>
      </c>
      <c r="BJ375" s="307">
        <v>13.47941</v>
      </c>
      <c r="BK375" s="307">
        <v>15.43765</v>
      </c>
      <c r="BL375">
        <f t="shared" si="20"/>
        <v>0</v>
      </c>
      <c r="BM375">
        <f t="shared" si="21"/>
        <v>14.026076901639346</v>
      </c>
      <c r="BN375">
        <f t="shared" si="22"/>
        <v>18.907029999999999</v>
      </c>
      <c r="BO375">
        <f t="array" ref="BO375">MIN(IF($C375:$BK375&gt;0, $C375:$BK375))</f>
        <v>3.3447049999999998</v>
      </c>
      <c r="BP375">
        <f t="shared" si="23"/>
        <v>13.47941</v>
      </c>
    </row>
    <row r="376" spans="1:68" x14ac:dyDescent="0.25">
      <c r="A376" s="306">
        <v>621600</v>
      </c>
      <c r="B376" s="307" t="s">
        <v>331</v>
      </c>
      <c r="C376" s="307">
        <v>21.217790000000001</v>
      </c>
      <c r="D376" s="307">
        <v>23.782</v>
      </c>
      <c r="E376" s="307">
        <v>17.429860000000001</v>
      </c>
      <c r="F376" s="307">
        <v>25.282699999999998</v>
      </c>
      <c r="G376" s="307">
        <v>20.646619999999999</v>
      </c>
      <c r="H376" s="307">
        <v>17.879719999999999</v>
      </c>
      <c r="I376" s="307">
        <v>23.098649999999999</v>
      </c>
      <c r="J376" s="307">
        <v>15.912179999999999</v>
      </c>
      <c r="K376" s="307">
        <v>6.3176540000000001</v>
      </c>
      <c r="L376" s="307">
        <v>14.750590000000001</v>
      </c>
      <c r="M376" s="307">
        <v>18.739090000000001</v>
      </c>
      <c r="N376" s="307">
        <v>18.170089999999998</v>
      </c>
      <c r="O376" s="307">
        <v>25.658770000000001</v>
      </c>
      <c r="P376" s="307">
        <v>21.327470000000002</v>
      </c>
      <c r="Q376" s="307">
        <v>25.207899999999999</v>
      </c>
      <c r="R376" s="307">
        <v>19.30002</v>
      </c>
      <c r="S376" s="307">
        <v>19.808879999999998</v>
      </c>
      <c r="T376" s="307">
        <v>22.745809999999999</v>
      </c>
      <c r="U376" s="307">
        <v>15.361560000000001</v>
      </c>
      <c r="V376" s="307">
        <v>18.419720000000002</v>
      </c>
      <c r="W376" s="307">
        <v>16.808789999999998</v>
      </c>
      <c r="X376" s="307">
        <v>16.564720000000001</v>
      </c>
      <c r="Y376" s="307">
        <v>20.946210000000001</v>
      </c>
      <c r="Z376" s="307">
        <v>21.108129999999999</v>
      </c>
      <c r="AA376" s="307">
        <v>25.449549999999999</v>
      </c>
      <c r="AB376" s="307">
        <v>20.012350000000001</v>
      </c>
      <c r="AC376" s="307">
        <v>15.86135</v>
      </c>
      <c r="AD376" s="307">
        <v>25.846720000000001</v>
      </c>
      <c r="AE376" s="307">
        <v>25.476289999999999</v>
      </c>
      <c r="AF376" s="307">
        <v>22.621359999999999</v>
      </c>
      <c r="AG376" s="307">
        <v>19.668700000000001</v>
      </c>
      <c r="AH376" s="307">
        <v>19.301939999999998</v>
      </c>
      <c r="AI376" s="307">
        <v>19.587779999999999</v>
      </c>
      <c r="AJ376" s="307">
        <v>25.47786</v>
      </c>
      <c r="AK376" s="307">
        <v>16.187449999999998</v>
      </c>
      <c r="AL376" s="307">
        <v>18.936990000000002</v>
      </c>
      <c r="AM376" s="307">
        <v>24.447420000000001</v>
      </c>
      <c r="AN376" s="307">
        <v>24.30836</v>
      </c>
      <c r="AO376" s="307">
        <v>18.980419999999999</v>
      </c>
      <c r="AP376" s="307">
        <v>17.328959999999999</v>
      </c>
      <c r="AQ376" s="307">
        <v>19.819130000000001</v>
      </c>
      <c r="AR376" s="307">
        <v>22.856089999999998</v>
      </c>
      <c r="AS376" s="307">
        <v>21.671399999999998</v>
      </c>
      <c r="AT376" s="307">
        <v>15.809939999999999</v>
      </c>
      <c r="AU376" s="307">
        <v>25.759910000000001</v>
      </c>
      <c r="AV376" s="307">
        <v>18.173410000000001</v>
      </c>
      <c r="AW376" s="307">
        <v>23.416119999999999</v>
      </c>
      <c r="AX376" s="307">
        <v>20.62921</v>
      </c>
      <c r="AY376" s="307">
        <v>18.720189999999999</v>
      </c>
      <c r="AZ376" s="307">
        <v>22.641480000000001</v>
      </c>
      <c r="BA376" s="307">
        <v>21.210599999999999</v>
      </c>
      <c r="BB376" s="307">
        <v>22.832640000000001</v>
      </c>
      <c r="BC376" s="307">
        <v>17.944469999999999</v>
      </c>
      <c r="BD376" s="307">
        <v>19.545809999999999</v>
      </c>
      <c r="BE376" s="307">
        <v>21.83596</v>
      </c>
      <c r="BF376" s="307">
        <v>23.04871</v>
      </c>
      <c r="BG376" s="307">
        <v>20.933869999999999</v>
      </c>
      <c r="BH376" s="307">
        <v>16.32563</v>
      </c>
      <c r="BI376" s="307">
        <v>24.91273</v>
      </c>
      <c r="BJ376" s="307">
        <v>21.844339999999999</v>
      </c>
      <c r="BK376" s="307">
        <v>18.34526</v>
      </c>
      <c r="BL376">
        <f t="shared" si="20"/>
        <v>0</v>
      </c>
      <c r="BM376">
        <f t="shared" si="21"/>
        <v>20.397628262295079</v>
      </c>
      <c r="BN376">
        <f t="shared" si="22"/>
        <v>25.846720000000001</v>
      </c>
      <c r="BO376">
        <f t="array" ref="BO376">MIN(IF($C376:$BK376&gt;0, $C376:$BK376))</f>
        <v>6.3176540000000001</v>
      </c>
      <c r="BP376">
        <f t="shared" si="23"/>
        <v>20.62921</v>
      </c>
    </row>
    <row r="377" spans="1:68" x14ac:dyDescent="0.25">
      <c r="A377" s="306" t="s">
        <v>777</v>
      </c>
      <c r="B377" s="307" t="s">
        <v>330</v>
      </c>
      <c r="C377" s="307">
        <v>8.5802750000000003</v>
      </c>
      <c r="D377" s="307">
        <v>9.5444990000000001</v>
      </c>
      <c r="E377" s="307">
        <v>8.0937730000000006</v>
      </c>
      <c r="F377" s="307">
        <v>8.9097430000000006</v>
      </c>
      <c r="G377" s="307">
        <v>8.2749889999999997</v>
      </c>
      <c r="H377" s="307">
        <v>8.3832959999999996</v>
      </c>
      <c r="I377" s="307">
        <v>8.9937500000000004</v>
      </c>
      <c r="J377" s="307">
        <v>7.457808</v>
      </c>
      <c r="K377" s="307">
        <v>1.8744559999999999</v>
      </c>
      <c r="L377" s="307">
        <v>6.7311680000000003</v>
      </c>
      <c r="M377" s="307">
        <v>9.3976550000000003</v>
      </c>
      <c r="N377" s="307">
        <v>8.4608720000000002</v>
      </c>
      <c r="O377" s="307">
        <v>9.2487329999999996</v>
      </c>
      <c r="P377" s="307">
        <v>8.3711669999999998</v>
      </c>
      <c r="Q377" s="307">
        <v>9.3542740000000002</v>
      </c>
      <c r="R377" s="307">
        <v>8.5484760000000009</v>
      </c>
      <c r="S377" s="307">
        <v>7.9771369999999999</v>
      </c>
      <c r="T377" s="307">
        <v>8.2210300000000007</v>
      </c>
      <c r="U377" s="307">
        <v>8.4552940000000003</v>
      </c>
      <c r="V377" s="307">
        <v>8.7790870000000005</v>
      </c>
      <c r="W377" s="307">
        <v>7.4946979999999996</v>
      </c>
      <c r="X377" s="307">
        <v>8.5899619999999999</v>
      </c>
      <c r="Y377" s="307">
        <v>9.3974539999999998</v>
      </c>
      <c r="Z377" s="307">
        <v>9.4178669999999993</v>
      </c>
      <c r="AA377" s="307">
        <v>7.857297</v>
      </c>
      <c r="AB377" s="307">
        <v>7.5433459999999997</v>
      </c>
      <c r="AC377" s="307">
        <v>8.2757450000000006</v>
      </c>
      <c r="AD377" s="307">
        <v>9.4392990000000001</v>
      </c>
      <c r="AE377" s="307">
        <v>8.4675180000000001</v>
      </c>
      <c r="AF377" s="307">
        <v>8.5396049999999999</v>
      </c>
      <c r="AG377" s="307">
        <v>8.9056920000000002</v>
      </c>
      <c r="AH377" s="307">
        <v>7.1003540000000003</v>
      </c>
      <c r="AI377" s="307">
        <v>7.4898300000000004</v>
      </c>
      <c r="AJ377" s="307">
        <v>9.4551879999999997</v>
      </c>
      <c r="AK377" s="307">
        <v>8.2722320000000007</v>
      </c>
      <c r="AL377" s="307">
        <v>8.1183370000000004</v>
      </c>
      <c r="AM377" s="307">
        <v>8.6952449999999999</v>
      </c>
      <c r="AN377" s="307">
        <v>8.8282989999999995</v>
      </c>
      <c r="AO377" s="307">
        <v>9.0459270000000007</v>
      </c>
      <c r="AP377" s="307">
        <v>8.2364189999999997</v>
      </c>
      <c r="AQ377" s="307">
        <v>8.4275029999999997</v>
      </c>
      <c r="AR377" s="307">
        <v>8.8336079999999999</v>
      </c>
      <c r="AS377" s="307">
        <v>7.7304719999999998</v>
      </c>
      <c r="AT377" s="307">
        <v>7.4093280000000004</v>
      </c>
      <c r="AU377" s="307">
        <v>7.9054859999999998</v>
      </c>
      <c r="AV377" s="307">
        <v>9.5507410000000004</v>
      </c>
      <c r="AW377" s="307">
        <v>7.8473829999999998</v>
      </c>
      <c r="AX377" s="307">
        <v>9.1293950000000006</v>
      </c>
      <c r="AY377" s="307">
        <v>9.1092860000000009</v>
      </c>
      <c r="AZ377" s="307">
        <v>7.6091759999999997</v>
      </c>
      <c r="BA377" s="307">
        <v>8.7395119999999995</v>
      </c>
      <c r="BB377" s="307">
        <v>8.9700980000000001</v>
      </c>
      <c r="BC377" s="307">
        <v>7.9994940000000003</v>
      </c>
      <c r="BD377" s="307">
        <v>8.3554790000000008</v>
      </c>
      <c r="BE377" s="307">
        <v>8.6412549999999992</v>
      </c>
      <c r="BF377" s="307">
        <v>8.2792840000000005</v>
      </c>
      <c r="BG377" s="307">
        <v>8.8929880000000008</v>
      </c>
      <c r="BH377" s="307">
        <v>8.0069859999999995</v>
      </c>
      <c r="BI377" s="307">
        <v>8.1989929999999998</v>
      </c>
      <c r="BJ377" s="307">
        <v>8.8522850000000002</v>
      </c>
      <c r="BK377" s="307">
        <v>8.6106580000000008</v>
      </c>
      <c r="BL377">
        <f t="shared" si="20"/>
        <v>0</v>
      </c>
      <c r="BM377">
        <f t="shared" si="21"/>
        <v>8.3594623934426231</v>
      </c>
      <c r="BN377">
        <f t="shared" si="22"/>
        <v>9.5507410000000004</v>
      </c>
      <c r="BO377">
        <f t="array" ref="BO377">MIN(IF($C377:$BK377&gt;0, $C377:$BK377))</f>
        <v>1.8744559999999999</v>
      </c>
      <c r="BP377">
        <f t="shared" si="23"/>
        <v>8.4608720000000002</v>
      </c>
    </row>
    <row r="378" spans="1:68" x14ac:dyDescent="0.25">
      <c r="A378" s="306" t="s">
        <v>778</v>
      </c>
      <c r="B378" s="307" t="s">
        <v>332</v>
      </c>
      <c r="C378" s="307">
        <v>9.9987359999999992</v>
      </c>
      <c r="D378" s="307">
        <v>8.3329950000000004</v>
      </c>
      <c r="E378" s="307">
        <v>9.7119800000000005</v>
      </c>
      <c r="F378" s="307">
        <v>11.62096</v>
      </c>
      <c r="G378" s="307">
        <v>9.262829</v>
      </c>
      <c r="H378" s="307">
        <v>8.5061029999999995</v>
      </c>
      <c r="I378" s="307">
        <v>9.5635429999999992</v>
      </c>
      <c r="J378" s="307">
        <v>8.4895829999999997</v>
      </c>
      <c r="K378" s="307">
        <v>2.0469840000000001</v>
      </c>
      <c r="L378" s="307">
        <v>9.8104099999999992</v>
      </c>
      <c r="M378" s="307">
        <v>11.590680000000001</v>
      </c>
      <c r="N378" s="307">
        <v>10.990349999999999</v>
      </c>
      <c r="O378" s="307">
        <v>9.4611509999999992</v>
      </c>
      <c r="P378" s="307">
        <v>11.395250000000001</v>
      </c>
      <c r="Q378" s="307">
        <v>10.14906</v>
      </c>
      <c r="R378" s="307">
        <v>10.816050000000001</v>
      </c>
      <c r="S378" s="307">
        <v>9.6434200000000008</v>
      </c>
      <c r="T378" s="307">
        <v>10.22442</v>
      </c>
      <c r="U378" s="307">
        <v>11.139519999999999</v>
      </c>
      <c r="V378" s="307">
        <v>10.024839999999999</v>
      </c>
      <c r="W378" s="307">
        <v>8.9436660000000003</v>
      </c>
      <c r="X378" s="307">
        <v>8.674118</v>
      </c>
      <c r="Y378" s="307">
        <v>12.318339999999999</v>
      </c>
      <c r="Z378" s="307">
        <v>10.54454</v>
      </c>
      <c r="AA378" s="307">
        <v>9.186833</v>
      </c>
      <c r="AB378" s="307">
        <v>10.1487</v>
      </c>
      <c r="AC378" s="307">
        <v>11.90311</v>
      </c>
      <c r="AD378" s="307">
        <v>11.519600000000001</v>
      </c>
      <c r="AE378" s="307">
        <v>11.60988</v>
      </c>
      <c r="AF378" s="307">
        <v>11.440480000000001</v>
      </c>
      <c r="AG378" s="307">
        <v>10.032550000000001</v>
      </c>
      <c r="AH378" s="307">
        <v>11.48513</v>
      </c>
      <c r="AI378" s="307">
        <v>7.9137279999999999</v>
      </c>
      <c r="AJ378" s="307">
        <v>10.15147</v>
      </c>
      <c r="AK378" s="307">
        <v>8.8565459999999998</v>
      </c>
      <c r="AL378" s="307">
        <v>9.1019120000000004</v>
      </c>
      <c r="AM378" s="307">
        <v>11.29219</v>
      </c>
      <c r="AN378" s="307">
        <v>10.757999999999999</v>
      </c>
      <c r="AO378" s="307">
        <v>8.119434</v>
      </c>
      <c r="AP378" s="307">
        <v>10.4336</v>
      </c>
      <c r="AQ378" s="307">
        <v>10.2608</v>
      </c>
      <c r="AR378" s="307">
        <v>11.60467</v>
      </c>
      <c r="AS378" s="307">
        <v>10.97541</v>
      </c>
      <c r="AT378" s="307">
        <v>8.6252139999999997</v>
      </c>
      <c r="AU378" s="307">
        <v>9.7972020000000004</v>
      </c>
      <c r="AV378" s="307">
        <v>11.79923</v>
      </c>
      <c r="AW378" s="307">
        <v>9.4559139999999999</v>
      </c>
      <c r="AX378" s="307">
        <v>11.805289999999999</v>
      </c>
      <c r="AY378" s="307">
        <v>8.8815950000000008</v>
      </c>
      <c r="AZ378" s="307">
        <v>9.3733599999999999</v>
      </c>
      <c r="BA378" s="307">
        <v>11.35613</v>
      </c>
      <c r="BB378" s="307">
        <v>10.33785</v>
      </c>
      <c r="BC378" s="307">
        <v>9.7891949999999994</v>
      </c>
      <c r="BD378" s="307">
        <v>9.6310990000000007</v>
      </c>
      <c r="BE378" s="307">
        <v>10.60337</v>
      </c>
      <c r="BF378" s="307">
        <v>10.4824</v>
      </c>
      <c r="BG378" s="307">
        <v>10.91506</v>
      </c>
      <c r="BH378" s="307">
        <v>9.8629540000000002</v>
      </c>
      <c r="BI378" s="307">
        <v>10.09465</v>
      </c>
      <c r="BJ378" s="307">
        <v>9.7388980000000007</v>
      </c>
      <c r="BK378" s="307">
        <v>8.5981389999999998</v>
      </c>
      <c r="BL378">
        <f t="shared" si="20"/>
        <v>0</v>
      </c>
      <c r="BM378">
        <f t="shared" si="21"/>
        <v>10.019690508196721</v>
      </c>
      <c r="BN378">
        <f t="shared" si="22"/>
        <v>12.318339999999999</v>
      </c>
      <c r="BO378">
        <f t="array" ref="BO378">MIN(IF($C378:$BK378&gt;0, $C378:$BK378))</f>
        <v>2.0469840000000001</v>
      </c>
      <c r="BP378">
        <f t="shared" si="23"/>
        <v>10.09465</v>
      </c>
    </row>
    <row r="379" spans="1:68" x14ac:dyDescent="0.25">
      <c r="A379" s="306">
        <v>622000</v>
      </c>
      <c r="B379" s="307" t="s">
        <v>779</v>
      </c>
      <c r="C379" s="307">
        <v>8.4549269999999996</v>
      </c>
      <c r="D379" s="307">
        <v>7.7583909999999996</v>
      </c>
      <c r="E379" s="307">
        <v>9.8043600000000009</v>
      </c>
      <c r="F379" s="307">
        <v>9.6133799999999994</v>
      </c>
      <c r="G379" s="307">
        <v>7.5174770000000004</v>
      </c>
      <c r="H379" s="307">
        <v>7.1894439999999999</v>
      </c>
      <c r="I379" s="307">
        <v>8.3032789999999999</v>
      </c>
      <c r="J379" s="307">
        <v>7.0463170000000002</v>
      </c>
      <c r="K379" s="307">
        <v>1.4227620000000001</v>
      </c>
      <c r="L379" s="307">
        <v>5.9535809999999998</v>
      </c>
      <c r="M379" s="307">
        <v>9.0557300000000005</v>
      </c>
      <c r="N379" s="307">
        <v>8.8544579999999993</v>
      </c>
      <c r="O379" s="307">
        <v>7.4732810000000001</v>
      </c>
      <c r="P379" s="307">
        <v>9.4553659999999997</v>
      </c>
      <c r="Q379" s="307">
        <v>9.2808250000000001</v>
      </c>
      <c r="R379" s="307">
        <v>8.3417600000000007</v>
      </c>
      <c r="S379" s="307">
        <v>9.2761429999999994</v>
      </c>
      <c r="T379" s="307">
        <v>9.0303190000000004</v>
      </c>
      <c r="U379" s="307">
        <v>9.0865989999999996</v>
      </c>
      <c r="V379" s="307">
        <v>9.3078780000000005</v>
      </c>
      <c r="W379" s="307">
        <v>6.9167730000000001</v>
      </c>
      <c r="X379" s="307">
        <v>7.5105029999999999</v>
      </c>
      <c r="Y379" s="307">
        <v>8.3600080000000005</v>
      </c>
      <c r="Z379" s="307">
        <v>8.9967009999999998</v>
      </c>
      <c r="AA379" s="307">
        <v>8.1904789999999998</v>
      </c>
      <c r="AB379" s="307">
        <v>8.2337380000000007</v>
      </c>
      <c r="AC379" s="307">
        <v>9.6411149999999992</v>
      </c>
      <c r="AD379" s="307">
        <v>9.4429219999999994</v>
      </c>
      <c r="AE379" s="307">
        <v>8.9036460000000002</v>
      </c>
      <c r="AF379" s="307">
        <v>9.1782380000000003</v>
      </c>
      <c r="AG379" s="307">
        <v>9.4798559999999998</v>
      </c>
      <c r="AH379" s="307">
        <v>7.7302330000000001</v>
      </c>
      <c r="AI379" s="307">
        <v>7.3217889999999999</v>
      </c>
      <c r="AJ379" s="307">
        <v>7.9511329999999996</v>
      </c>
      <c r="AK379" s="307">
        <v>7.044689</v>
      </c>
      <c r="AL379" s="307">
        <v>6.9471829999999999</v>
      </c>
      <c r="AM379" s="307">
        <v>8.7657989999999995</v>
      </c>
      <c r="AN379" s="307">
        <v>9.6266829999999999</v>
      </c>
      <c r="AO379" s="307">
        <v>7.569464</v>
      </c>
      <c r="AP379" s="307">
        <v>8.4858499999999992</v>
      </c>
      <c r="AQ379" s="307">
        <v>7.8823970000000001</v>
      </c>
      <c r="AR379" s="307">
        <v>9.5029420000000009</v>
      </c>
      <c r="AS379" s="307">
        <v>9.6246349999999996</v>
      </c>
      <c r="AT379" s="307">
        <v>8.5653849999999991</v>
      </c>
      <c r="AU379" s="307">
        <v>8.4904480000000007</v>
      </c>
      <c r="AV379" s="307">
        <v>9.7209559999999993</v>
      </c>
      <c r="AW379" s="307">
        <v>8.6280610000000006</v>
      </c>
      <c r="AX379" s="307">
        <v>7.5760360000000002</v>
      </c>
      <c r="AY379" s="307">
        <v>7.0902750000000001</v>
      </c>
      <c r="AZ379" s="307">
        <v>9.2372510000000005</v>
      </c>
      <c r="BA379" s="307">
        <v>8.2965769999999992</v>
      </c>
      <c r="BB379" s="307">
        <v>8.7068150000000006</v>
      </c>
      <c r="BC379" s="307">
        <v>7.5347799999999996</v>
      </c>
      <c r="BD379" s="307">
        <v>7.9026779999999999</v>
      </c>
      <c r="BE379" s="307">
        <v>8.9237269999999995</v>
      </c>
      <c r="BF379" s="307">
        <v>9.0066930000000003</v>
      </c>
      <c r="BG379" s="307">
        <v>8.7470549999999996</v>
      </c>
      <c r="BH379" s="307">
        <v>9.2181460000000008</v>
      </c>
      <c r="BI379" s="307">
        <v>8.8825970000000005</v>
      </c>
      <c r="BJ379" s="307">
        <v>8.2092659999999995</v>
      </c>
      <c r="BK379" s="307">
        <v>7.2720529999999997</v>
      </c>
      <c r="BL379">
        <f t="shared" si="20"/>
        <v>0</v>
      </c>
      <c r="BM379">
        <f t="shared" si="21"/>
        <v>8.3203582295081979</v>
      </c>
      <c r="BN379">
        <f t="shared" si="22"/>
        <v>9.8043600000000009</v>
      </c>
      <c r="BO379">
        <f t="array" ref="BO379">MIN(IF($C379:$BK379&gt;0, $C379:$BK379))</f>
        <v>1.4227620000000001</v>
      </c>
      <c r="BP379">
        <f t="shared" si="23"/>
        <v>8.4904480000000007</v>
      </c>
    </row>
    <row r="380" spans="1:68" x14ac:dyDescent="0.25">
      <c r="A380" s="306">
        <v>623000</v>
      </c>
      <c r="B380" s="307" t="s">
        <v>333</v>
      </c>
      <c r="C380" s="307">
        <v>18.1022</v>
      </c>
      <c r="D380" s="307">
        <v>15.73428</v>
      </c>
      <c r="E380" s="307">
        <v>20.161470000000001</v>
      </c>
      <c r="F380" s="307">
        <v>20.223289999999999</v>
      </c>
      <c r="G380" s="307">
        <v>17.96969</v>
      </c>
      <c r="H380" s="307">
        <v>16.946670000000001</v>
      </c>
      <c r="I380" s="307">
        <v>16.850449999999999</v>
      </c>
      <c r="J380" s="307">
        <v>14.886559999999999</v>
      </c>
      <c r="K380" s="307">
        <v>5.2353360000000002</v>
      </c>
      <c r="L380" s="307">
        <v>14.255100000000001</v>
      </c>
      <c r="M380" s="307">
        <v>17.881209999999999</v>
      </c>
      <c r="N380" s="307">
        <v>19.11168</v>
      </c>
      <c r="O380" s="307">
        <v>16.75713</v>
      </c>
      <c r="P380" s="307">
        <v>20.593990000000002</v>
      </c>
      <c r="Q380" s="307">
        <v>20.477799999999998</v>
      </c>
      <c r="R380" s="307">
        <v>17.984909999999999</v>
      </c>
      <c r="S380" s="307">
        <v>18.240870000000001</v>
      </c>
      <c r="T380" s="307">
        <v>20.418700000000001</v>
      </c>
      <c r="U380" s="307">
        <v>16.79026</v>
      </c>
      <c r="V380" s="307">
        <v>21.080110000000001</v>
      </c>
      <c r="W380" s="307">
        <v>14.63547</v>
      </c>
      <c r="X380" s="307">
        <v>14.931850000000001</v>
      </c>
      <c r="Y380" s="307">
        <v>19.361730000000001</v>
      </c>
      <c r="Z380" s="307">
        <v>19.975919999999999</v>
      </c>
      <c r="AA380" s="307">
        <v>20.686610000000002</v>
      </c>
      <c r="AB380" s="307">
        <v>20.37847</v>
      </c>
      <c r="AC380" s="307">
        <v>19.984909999999999</v>
      </c>
      <c r="AD380" s="307">
        <v>21.113119999999999</v>
      </c>
      <c r="AE380" s="307">
        <v>20.426960000000001</v>
      </c>
      <c r="AF380" s="307">
        <v>20.29139</v>
      </c>
      <c r="AG380" s="307">
        <v>19.48124</v>
      </c>
      <c r="AH380" s="307">
        <v>15.56945</v>
      </c>
      <c r="AI380" s="307">
        <v>14.7178</v>
      </c>
      <c r="AJ380" s="307">
        <v>18.513069999999999</v>
      </c>
      <c r="AK380" s="307">
        <v>16.106680000000001</v>
      </c>
      <c r="AL380" s="307">
        <v>14.957190000000001</v>
      </c>
      <c r="AM380" s="307">
        <v>18.692219999999999</v>
      </c>
      <c r="AN380" s="307">
        <v>20.871300000000002</v>
      </c>
      <c r="AO380" s="307">
        <v>17.921330000000001</v>
      </c>
      <c r="AP380" s="307">
        <v>16.79609</v>
      </c>
      <c r="AQ380" s="307">
        <v>16.228120000000001</v>
      </c>
      <c r="AR380" s="307">
        <v>19.850470000000001</v>
      </c>
      <c r="AS380" s="307">
        <v>20.559170000000002</v>
      </c>
      <c r="AT380" s="307">
        <v>15.41873</v>
      </c>
      <c r="AU380" s="307">
        <v>19.155570000000001</v>
      </c>
      <c r="AV380" s="307">
        <v>20.958189999999998</v>
      </c>
      <c r="AW380" s="307">
        <v>16.109169999999999</v>
      </c>
      <c r="AX380" s="307">
        <v>16.588979999999999</v>
      </c>
      <c r="AY380" s="307">
        <v>17.4011</v>
      </c>
      <c r="AZ380" s="307">
        <v>20.26803</v>
      </c>
      <c r="BA380" s="307">
        <v>19.25094</v>
      </c>
      <c r="BB380" s="307">
        <v>16.16658</v>
      </c>
      <c r="BC380" s="307">
        <v>15.918710000000001</v>
      </c>
      <c r="BD380" s="307">
        <v>15.949590000000001</v>
      </c>
      <c r="BE380" s="307">
        <v>19.048549999999999</v>
      </c>
      <c r="BF380" s="307">
        <v>20.854199999999999</v>
      </c>
      <c r="BG380" s="307">
        <v>18.17268</v>
      </c>
      <c r="BH380" s="307">
        <v>17.614789999999999</v>
      </c>
      <c r="BI380" s="307">
        <v>19.88992</v>
      </c>
      <c r="BJ380" s="307">
        <v>18.323229999999999</v>
      </c>
      <c r="BK380" s="307">
        <v>17.20234</v>
      </c>
      <c r="BL380">
        <f t="shared" si="20"/>
        <v>0</v>
      </c>
      <c r="BM380">
        <f t="shared" si="21"/>
        <v>17.967927311475407</v>
      </c>
      <c r="BN380">
        <f t="shared" si="22"/>
        <v>21.113119999999999</v>
      </c>
      <c r="BO380">
        <f t="array" ref="BO380">MIN(IF($C380:$BK380&gt;0, $C380:$BK380))</f>
        <v>5.2353360000000002</v>
      </c>
      <c r="BP380">
        <f t="shared" si="23"/>
        <v>18.17268</v>
      </c>
    </row>
    <row r="381" spans="1:68" x14ac:dyDescent="0.25">
      <c r="A381" s="306">
        <v>624200</v>
      </c>
      <c r="B381" s="307" t="s">
        <v>336</v>
      </c>
      <c r="C381" s="307">
        <v>17.85305</v>
      </c>
      <c r="D381" s="307">
        <v>15.62438</v>
      </c>
      <c r="E381" s="307">
        <v>16.975090000000002</v>
      </c>
      <c r="F381" s="307">
        <v>20.242599999999999</v>
      </c>
      <c r="G381" s="307">
        <v>17.754809999999999</v>
      </c>
      <c r="H381" s="307">
        <v>19.328230000000001</v>
      </c>
      <c r="I381" s="307">
        <v>15.07297</v>
      </c>
      <c r="J381" s="307">
        <v>15.62832</v>
      </c>
      <c r="K381" s="307">
        <v>5.0961040000000004</v>
      </c>
      <c r="L381" s="307">
        <v>22.63522</v>
      </c>
      <c r="M381" s="307">
        <v>16.04777</v>
      </c>
      <c r="N381" s="307">
        <v>17.978950000000001</v>
      </c>
      <c r="O381" s="307">
        <v>14.612629999999999</v>
      </c>
      <c r="P381" s="307">
        <v>20.953040000000001</v>
      </c>
      <c r="Q381" s="307">
        <v>21.40117</v>
      </c>
      <c r="R381" s="307">
        <v>16.177610000000001</v>
      </c>
      <c r="S381" s="307">
        <v>18.570979999999999</v>
      </c>
      <c r="T381" s="307">
        <v>18.945060000000002</v>
      </c>
      <c r="U381" s="307">
        <v>18.80865</v>
      </c>
      <c r="V381" s="307">
        <v>20.03218</v>
      </c>
      <c r="W381" s="307">
        <v>13.657489999999999</v>
      </c>
      <c r="X381" s="307">
        <v>15.45332</v>
      </c>
      <c r="Y381" s="307">
        <v>17.43412</v>
      </c>
      <c r="Z381" s="307">
        <v>23.947710000000001</v>
      </c>
      <c r="AA381" s="307">
        <v>18.080030000000001</v>
      </c>
      <c r="AB381" s="307">
        <v>17.676500000000001</v>
      </c>
      <c r="AC381" s="307">
        <v>17.378329999999998</v>
      </c>
      <c r="AD381" s="307">
        <v>21.756509999999999</v>
      </c>
      <c r="AE381" s="307">
        <v>16.640370000000001</v>
      </c>
      <c r="AF381" s="307">
        <v>22.98282</v>
      </c>
      <c r="AG381" s="307">
        <v>22.209900000000001</v>
      </c>
      <c r="AH381" s="307">
        <v>18.5075</v>
      </c>
      <c r="AI381" s="307">
        <v>16.0885</v>
      </c>
      <c r="AJ381" s="307">
        <v>19.057259999999999</v>
      </c>
      <c r="AK381" s="307">
        <v>20.288450000000001</v>
      </c>
      <c r="AL381" s="307">
        <v>13.68845</v>
      </c>
      <c r="AM381" s="307">
        <v>21.98405</v>
      </c>
      <c r="AN381" s="307">
        <v>22.514250000000001</v>
      </c>
      <c r="AO381" s="307">
        <v>19.89378</v>
      </c>
      <c r="AP381" s="307">
        <v>15.75529</v>
      </c>
      <c r="AQ381" s="307">
        <v>18.841699999999999</v>
      </c>
      <c r="AR381" s="307">
        <v>17.385870000000001</v>
      </c>
      <c r="AS381" s="307">
        <v>20.191230000000001</v>
      </c>
      <c r="AT381" s="307">
        <v>17.74436</v>
      </c>
      <c r="AU381" s="307">
        <v>20.157640000000001</v>
      </c>
      <c r="AV381" s="307">
        <v>22.778890000000001</v>
      </c>
      <c r="AW381" s="307">
        <v>15.89523</v>
      </c>
      <c r="AX381" s="307">
        <v>13.514279999999999</v>
      </c>
      <c r="AY381" s="307">
        <v>16.443370000000002</v>
      </c>
      <c r="AZ381" s="307">
        <v>18.623919999999998</v>
      </c>
      <c r="BA381" s="307">
        <v>22.921330000000001</v>
      </c>
      <c r="BB381" s="307">
        <v>18.593440000000001</v>
      </c>
      <c r="BC381" s="307">
        <v>15.52262</v>
      </c>
      <c r="BD381" s="307">
        <v>14.81504</v>
      </c>
      <c r="BE381" s="307">
        <v>19.155380000000001</v>
      </c>
      <c r="BF381" s="307">
        <v>19.568829999999998</v>
      </c>
      <c r="BG381" s="307">
        <v>16.582239999999999</v>
      </c>
      <c r="BH381" s="307">
        <v>17.826229999999999</v>
      </c>
      <c r="BI381" s="307">
        <v>20.55566</v>
      </c>
      <c r="BJ381" s="307">
        <v>18.474460000000001</v>
      </c>
      <c r="BK381" s="307">
        <v>18.782150000000001</v>
      </c>
      <c r="BL381">
        <f t="shared" si="20"/>
        <v>0</v>
      </c>
      <c r="BM381">
        <f t="shared" si="21"/>
        <v>18.182087114754093</v>
      </c>
      <c r="BN381">
        <f t="shared" si="22"/>
        <v>23.947710000000001</v>
      </c>
      <c r="BO381">
        <f t="array" ref="BO381">MIN(IF($C381:$BK381&gt;0, $C381:$BK381))</f>
        <v>5.0961040000000004</v>
      </c>
      <c r="BP381">
        <f t="shared" si="23"/>
        <v>18.474460000000001</v>
      </c>
    </row>
    <row r="382" spans="1:68" x14ac:dyDescent="0.25">
      <c r="A382" s="306">
        <v>624400</v>
      </c>
      <c r="B382" s="307" t="s">
        <v>334</v>
      </c>
      <c r="C382" s="307">
        <v>21.615860000000001</v>
      </c>
      <c r="D382" s="307">
        <v>20.3767</v>
      </c>
      <c r="E382" s="307">
        <v>27.895700000000001</v>
      </c>
      <c r="F382" s="307">
        <v>23.55789</v>
      </c>
      <c r="G382" s="307">
        <v>22.046220000000002</v>
      </c>
      <c r="H382" s="307">
        <v>17.85304</v>
      </c>
      <c r="I382" s="307">
        <v>19.31334</v>
      </c>
      <c r="J382" s="307">
        <v>20.50188</v>
      </c>
      <c r="K382" s="307">
        <v>6.5720239999999999</v>
      </c>
      <c r="L382" s="307">
        <v>22.01343</v>
      </c>
      <c r="M382" s="307">
        <v>19.499669999999998</v>
      </c>
      <c r="N382" s="307">
        <v>25.39612</v>
      </c>
      <c r="O382" s="307">
        <v>18.347069999999999</v>
      </c>
      <c r="P382" s="307">
        <v>27.956569999999999</v>
      </c>
      <c r="Q382" s="307">
        <v>28.328530000000001</v>
      </c>
      <c r="R382" s="307">
        <v>20.486820000000002</v>
      </c>
      <c r="S382" s="307">
        <v>22.05782</v>
      </c>
      <c r="T382" s="307">
        <v>21.919250000000002</v>
      </c>
      <c r="U382" s="307">
        <v>27.618580000000001</v>
      </c>
      <c r="V382" s="307">
        <v>28.17933</v>
      </c>
      <c r="W382" s="307">
        <v>16.458120000000001</v>
      </c>
      <c r="X382" s="307">
        <v>19.14378</v>
      </c>
      <c r="Y382" s="307">
        <v>19.586210000000001</v>
      </c>
      <c r="Z382" s="307">
        <v>28.886520000000001</v>
      </c>
      <c r="AA382" s="307">
        <v>18.775189999999998</v>
      </c>
      <c r="AB382" s="307">
        <v>22.263629999999999</v>
      </c>
      <c r="AC382" s="307">
        <v>27.397739999999999</v>
      </c>
      <c r="AD382" s="307">
        <v>28.999279999999999</v>
      </c>
      <c r="AE382" s="307">
        <v>20.633990000000001</v>
      </c>
      <c r="AF382" s="307">
        <v>27.722719999999999</v>
      </c>
      <c r="AG382" s="307">
        <v>27.89883</v>
      </c>
      <c r="AH382" s="307">
        <v>18.680820000000001</v>
      </c>
      <c r="AI382" s="307">
        <v>18.353490000000001</v>
      </c>
      <c r="AJ382" s="307">
        <v>21.907160000000001</v>
      </c>
      <c r="AK382" s="307">
        <v>22.59226</v>
      </c>
      <c r="AL382" s="307">
        <v>16.425540000000002</v>
      </c>
      <c r="AM382" s="307">
        <v>25.83501</v>
      </c>
      <c r="AN382" s="307">
        <v>25.792459999999998</v>
      </c>
      <c r="AO382" s="307">
        <v>24.476669999999999</v>
      </c>
      <c r="AP382" s="307">
        <v>21.099720000000001</v>
      </c>
      <c r="AQ382" s="307">
        <v>17.06007</v>
      </c>
      <c r="AR382" s="307">
        <v>24.34563</v>
      </c>
      <c r="AS382" s="307">
        <v>28.474769999999999</v>
      </c>
      <c r="AT382" s="307">
        <v>23.243040000000001</v>
      </c>
      <c r="AU382" s="307">
        <v>28.074149999999999</v>
      </c>
      <c r="AV382" s="307">
        <v>28.960429999999999</v>
      </c>
      <c r="AW382" s="307">
        <v>20.242609999999999</v>
      </c>
      <c r="AX382" s="307">
        <v>21.152830000000002</v>
      </c>
      <c r="AY382" s="307">
        <v>22.07056</v>
      </c>
      <c r="AZ382" s="307">
        <v>20.526730000000001</v>
      </c>
      <c r="BA382" s="307">
        <v>27.649909999999998</v>
      </c>
      <c r="BB382" s="307">
        <v>18.1846</v>
      </c>
      <c r="BC382" s="307">
        <v>18.404540000000001</v>
      </c>
      <c r="BD382" s="307">
        <v>18.457540000000002</v>
      </c>
      <c r="BE382" s="307">
        <v>23.11504</v>
      </c>
      <c r="BF382" s="307">
        <v>23.897349999999999</v>
      </c>
      <c r="BG382" s="307">
        <v>21.341750000000001</v>
      </c>
      <c r="BH382" s="307">
        <v>26.159690000000001</v>
      </c>
      <c r="BI382" s="307">
        <v>27.50366</v>
      </c>
      <c r="BJ382" s="307">
        <v>22.18507</v>
      </c>
      <c r="BK382" s="307">
        <v>18.859190000000002</v>
      </c>
      <c r="BL382">
        <f t="shared" si="20"/>
        <v>0</v>
      </c>
      <c r="BM382">
        <f t="shared" si="21"/>
        <v>22.530723672131149</v>
      </c>
      <c r="BN382">
        <f t="shared" si="22"/>
        <v>28.999279999999999</v>
      </c>
      <c r="BO382">
        <f t="array" ref="BO382">MIN(IF($C382:$BK382&gt;0, $C382:$BK382))</f>
        <v>6.5720239999999999</v>
      </c>
      <c r="BP382">
        <f t="shared" si="23"/>
        <v>22.046220000000002</v>
      </c>
    </row>
    <row r="383" spans="1:68" x14ac:dyDescent="0.25">
      <c r="A383" s="306" t="s">
        <v>780</v>
      </c>
      <c r="B383" s="307" t="s">
        <v>335</v>
      </c>
      <c r="C383" s="307">
        <v>20.763999999999999</v>
      </c>
      <c r="D383" s="307">
        <v>17.188669999999998</v>
      </c>
      <c r="E383" s="307">
        <v>23.857669999999999</v>
      </c>
      <c r="F383" s="307">
        <v>23.90654</v>
      </c>
      <c r="G383" s="307">
        <v>20.683029999999999</v>
      </c>
      <c r="H383" s="307">
        <v>18.3809</v>
      </c>
      <c r="I383" s="307">
        <v>21.65588</v>
      </c>
      <c r="J383" s="307">
        <v>16.012319999999999</v>
      </c>
      <c r="K383" s="307">
        <v>6.3727470000000004</v>
      </c>
      <c r="L383" s="307">
        <v>17.160869999999999</v>
      </c>
      <c r="M383" s="307">
        <v>17.229790000000001</v>
      </c>
      <c r="N383" s="307">
        <v>20.79608</v>
      </c>
      <c r="O383" s="307">
        <v>20.031739999999999</v>
      </c>
      <c r="P383" s="307">
        <v>25.822669999999999</v>
      </c>
      <c r="Q383" s="307">
        <v>26.43168</v>
      </c>
      <c r="R383" s="307">
        <v>23.230740000000001</v>
      </c>
      <c r="S383" s="307">
        <v>20.007719999999999</v>
      </c>
      <c r="T383" s="307">
        <v>24.844830000000002</v>
      </c>
      <c r="U383" s="307">
        <v>20.527979999999999</v>
      </c>
      <c r="V383" s="307">
        <v>24.025120000000001</v>
      </c>
      <c r="W383" s="307">
        <v>15.95856</v>
      </c>
      <c r="X383" s="307">
        <v>16.629760000000001</v>
      </c>
      <c r="Y383" s="307">
        <v>20.415669999999999</v>
      </c>
      <c r="Z383" s="307">
        <v>22.297329999999999</v>
      </c>
      <c r="AA383" s="307">
        <v>22.425660000000001</v>
      </c>
      <c r="AB383" s="307">
        <v>23.030940000000001</v>
      </c>
      <c r="AC383" s="307">
        <v>26.530069999999998</v>
      </c>
      <c r="AD383" s="307">
        <v>26.784929999999999</v>
      </c>
      <c r="AE383" s="307">
        <v>21.006889999999999</v>
      </c>
      <c r="AF383" s="307">
        <v>21.34826</v>
      </c>
      <c r="AG383" s="307">
        <v>24.305050000000001</v>
      </c>
      <c r="AH383" s="307">
        <v>21.109539999999999</v>
      </c>
      <c r="AI383" s="307">
        <v>15.80029</v>
      </c>
      <c r="AJ383" s="307">
        <v>24.161660000000001</v>
      </c>
      <c r="AK383" s="307">
        <v>24.183620000000001</v>
      </c>
      <c r="AL383" s="307">
        <v>18.51088</v>
      </c>
      <c r="AM383" s="307">
        <v>20.850809999999999</v>
      </c>
      <c r="AN383" s="307">
        <v>21.499110000000002</v>
      </c>
      <c r="AO383" s="307">
        <v>25.77666</v>
      </c>
      <c r="AP383" s="307">
        <v>21.110430000000001</v>
      </c>
      <c r="AQ383" s="307">
        <v>15.271520000000001</v>
      </c>
      <c r="AR383" s="307">
        <v>26.539300000000001</v>
      </c>
      <c r="AS383" s="307">
        <v>21.879570000000001</v>
      </c>
      <c r="AT383" s="307">
        <v>22.403569999999998</v>
      </c>
      <c r="AU383" s="307">
        <v>21.121479999999998</v>
      </c>
      <c r="AV383" s="307">
        <v>22.146100000000001</v>
      </c>
      <c r="AW383" s="307">
        <v>18.938230000000001</v>
      </c>
      <c r="AX383" s="307">
        <v>25.789809999999999</v>
      </c>
      <c r="AY383" s="307">
        <v>20.287600000000001</v>
      </c>
      <c r="AZ383" s="307">
        <v>22.57921</v>
      </c>
      <c r="BA383" s="307">
        <v>25.538209999999999</v>
      </c>
      <c r="BB383" s="307">
        <v>25.759370000000001</v>
      </c>
      <c r="BC383" s="307">
        <v>17.902979999999999</v>
      </c>
      <c r="BD383" s="307">
        <v>19.288930000000001</v>
      </c>
      <c r="BE383" s="307">
        <v>22.112369999999999</v>
      </c>
      <c r="BF383" s="307">
        <v>23.8309</v>
      </c>
      <c r="BG383" s="307">
        <v>19.689589999999999</v>
      </c>
      <c r="BH383" s="307">
        <v>22.95017</v>
      </c>
      <c r="BI383" s="307">
        <v>22.07686</v>
      </c>
      <c r="BJ383" s="307">
        <v>22.905059999999999</v>
      </c>
      <c r="BK383" s="307">
        <v>19.526409999999998</v>
      </c>
      <c r="BL383">
        <f t="shared" si="20"/>
        <v>0</v>
      </c>
      <c r="BM383">
        <f t="shared" si="21"/>
        <v>21.331218639344264</v>
      </c>
      <c r="BN383">
        <f t="shared" si="22"/>
        <v>26.784929999999999</v>
      </c>
      <c r="BO383">
        <f t="array" ref="BO383">MIN(IF($C383:$BK383&gt;0, $C383:$BK383))</f>
        <v>6.3727470000000004</v>
      </c>
      <c r="BP383">
        <f t="shared" si="23"/>
        <v>21.499110000000002</v>
      </c>
    </row>
    <row r="384" spans="1:68" x14ac:dyDescent="0.25">
      <c r="A384" s="306">
        <v>711100</v>
      </c>
      <c r="B384" s="307" t="s">
        <v>337</v>
      </c>
      <c r="C384" s="307">
        <v>22.878219999999999</v>
      </c>
      <c r="D384" s="307">
        <v>15.57546</v>
      </c>
      <c r="E384" s="307">
        <v>31.755590000000002</v>
      </c>
      <c r="F384" s="307">
        <v>32.637720000000002</v>
      </c>
      <c r="G384" s="307">
        <v>33.671460000000003</v>
      </c>
      <c r="H384" s="307">
        <v>15.25928</v>
      </c>
      <c r="I384" s="307">
        <v>37.858170000000001</v>
      </c>
      <c r="J384" s="307">
        <v>31.53276</v>
      </c>
      <c r="K384" s="307">
        <v>8.2246319999999997</v>
      </c>
      <c r="L384" s="307">
        <v>27.499639999999999</v>
      </c>
      <c r="M384" s="307">
        <v>18.0275</v>
      </c>
      <c r="N384" s="307">
        <v>35.00394</v>
      </c>
      <c r="O384" s="307">
        <v>21.85182</v>
      </c>
      <c r="P384" s="307">
        <v>32.288789999999999</v>
      </c>
      <c r="Q384" s="307">
        <v>14.694610000000001</v>
      </c>
      <c r="R384" s="307">
        <v>33.04401</v>
      </c>
      <c r="S384" s="307">
        <v>38.20973</v>
      </c>
      <c r="T384" s="307">
        <v>18.665400000000002</v>
      </c>
      <c r="U384" s="307">
        <v>23.536190000000001</v>
      </c>
      <c r="V384" s="307">
        <v>34.283050000000003</v>
      </c>
      <c r="W384" s="307">
        <v>23.24755</v>
      </c>
      <c r="X384" s="307">
        <v>33.145020000000002</v>
      </c>
      <c r="Y384" s="307">
        <v>23.890999999999998</v>
      </c>
      <c r="Z384" s="307">
        <v>35.1509</v>
      </c>
      <c r="AA384" s="307">
        <v>33.337769999999999</v>
      </c>
      <c r="AB384" s="307">
        <v>24.749939999999999</v>
      </c>
      <c r="AC384" s="307">
        <v>29.073640000000001</v>
      </c>
      <c r="AD384" s="307">
        <v>22.276060000000001</v>
      </c>
      <c r="AE384" s="307">
        <v>40.929749999999999</v>
      </c>
      <c r="AF384" s="307">
        <v>38.049410000000002</v>
      </c>
      <c r="AG384" s="307">
        <v>36.006</v>
      </c>
      <c r="AH384" s="307">
        <v>26.150379999999998</v>
      </c>
      <c r="AI384" s="307">
        <v>19.26765</v>
      </c>
      <c r="AJ384" s="307">
        <v>31.340679999999999</v>
      </c>
      <c r="AK384" s="307">
        <v>14.291650000000001</v>
      </c>
      <c r="AL384" s="307">
        <v>13.27707</v>
      </c>
      <c r="AM384" s="307">
        <v>37.04486</v>
      </c>
      <c r="AN384" s="307">
        <v>35.79627</v>
      </c>
      <c r="AO384" s="307">
        <v>21.458480000000002</v>
      </c>
      <c r="AP384" s="307">
        <v>23.475539999999999</v>
      </c>
      <c r="AQ384" s="307">
        <v>35.964500000000001</v>
      </c>
      <c r="AR384" s="307">
        <v>26.695820000000001</v>
      </c>
      <c r="AS384" s="307">
        <v>13.880940000000001</v>
      </c>
      <c r="AT384" s="307">
        <v>14.90903</v>
      </c>
      <c r="AU384" s="307">
        <v>28.84196</v>
      </c>
      <c r="AV384" s="307">
        <v>41.241579999999999</v>
      </c>
      <c r="AW384" s="307">
        <v>31.920439999999999</v>
      </c>
      <c r="AX384" s="307">
        <v>22.05864</v>
      </c>
      <c r="AY384" s="307">
        <v>33.481740000000002</v>
      </c>
      <c r="AZ384" s="307">
        <v>21.48743</v>
      </c>
      <c r="BA384" s="307">
        <v>18.641439999999999</v>
      </c>
      <c r="BB384" s="307">
        <v>11.35319</v>
      </c>
      <c r="BC384" s="307">
        <v>27.086819999999999</v>
      </c>
      <c r="BD384" s="307">
        <v>16.581769999999999</v>
      </c>
      <c r="BE384" s="307">
        <v>32.784779999999998</v>
      </c>
      <c r="BF384" s="307">
        <v>28.963609999999999</v>
      </c>
      <c r="BG384" s="307">
        <v>25.77252</v>
      </c>
      <c r="BH384" s="307">
        <v>16.71405</v>
      </c>
      <c r="BI384" s="307">
        <v>30.388629999999999</v>
      </c>
      <c r="BJ384" s="307">
        <v>22.378499999999999</v>
      </c>
      <c r="BK384" s="307">
        <v>17.84994</v>
      </c>
      <c r="BL384">
        <f t="shared" si="20"/>
        <v>0</v>
      </c>
      <c r="BM384">
        <f t="shared" si="21"/>
        <v>26.351720032786879</v>
      </c>
      <c r="BN384">
        <f t="shared" si="22"/>
        <v>41.241579999999999</v>
      </c>
      <c r="BO384">
        <f t="array" ref="BO384">MIN(IF($C384:$BK384&gt;0, $C384:$BK384))</f>
        <v>8.2246319999999997</v>
      </c>
      <c r="BP384">
        <f t="shared" si="23"/>
        <v>26.695820000000001</v>
      </c>
    </row>
    <row r="385" spans="1:68" x14ac:dyDescent="0.25">
      <c r="A385" s="306">
        <v>711200</v>
      </c>
      <c r="B385" s="307" t="s">
        <v>781</v>
      </c>
      <c r="C385" s="307">
        <v>12.0853</v>
      </c>
      <c r="D385" s="307">
        <v>17.359739999999999</v>
      </c>
      <c r="E385" s="307">
        <v>11.345039999999999</v>
      </c>
      <c r="F385" s="307">
        <v>24.790870000000002</v>
      </c>
      <c r="G385" s="307">
        <v>8.0713589999999993</v>
      </c>
      <c r="H385" s="307">
        <v>12.47526</v>
      </c>
      <c r="I385" s="307">
        <v>7.9090299999999996</v>
      </c>
      <c r="J385" s="307">
        <v>15.76995</v>
      </c>
      <c r="K385" s="307">
        <v>3.2119209999999998</v>
      </c>
      <c r="L385" s="307">
        <v>11.21772</v>
      </c>
      <c r="M385" s="307">
        <v>9.7832950000000007</v>
      </c>
      <c r="N385" s="307">
        <v>10.917719999999999</v>
      </c>
      <c r="O385" s="307">
        <v>22.6038</v>
      </c>
      <c r="P385" s="307">
        <v>25.49671</v>
      </c>
      <c r="Q385" s="307">
        <v>23.218900000000001</v>
      </c>
      <c r="R385" s="307">
        <v>10.46452</v>
      </c>
      <c r="S385" s="307">
        <v>15.648020000000001</v>
      </c>
      <c r="T385" s="307">
        <v>9.9188580000000002</v>
      </c>
      <c r="U385" s="307">
        <v>23.163989999999998</v>
      </c>
      <c r="V385" s="307">
        <v>10.02627</v>
      </c>
      <c r="W385" s="307">
        <v>6.2237929999999997</v>
      </c>
      <c r="X385" s="307">
        <v>12.29246</v>
      </c>
      <c r="Y385" s="307">
        <v>25.385809999999999</v>
      </c>
      <c r="Z385" s="307">
        <v>11.817869999999999</v>
      </c>
      <c r="AA385" s="307">
        <v>7.0806680000000002</v>
      </c>
      <c r="AB385" s="307">
        <v>6.0890449999999996</v>
      </c>
      <c r="AC385" s="307">
        <v>10.36693</v>
      </c>
      <c r="AD385" s="307">
        <v>11.837429999999999</v>
      </c>
      <c r="AE385" s="307">
        <v>14.78243</v>
      </c>
      <c r="AF385" s="307">
        <v>10.88771</v>
      </c>
      <c r="AG385" s="307">
        <v>25.793839999999999</v>
      </c>
      <c r="AH385" s="307">
        <v>23.449400000000001</v>
      </c>
      <c r="AI385" s="307">
        <v>10.39195</v>
      </c>
      <c r="AJ385" s="307">
        <v>11.6762</v>
      </c>
      <c r="AK385" s="307">
        <v>18.860510000000001</v>
      </c>
      <c r="AL385" s="307">
        <v>9.2523920000000004</v>
      </c>
      <c r="AM385" s="307">
        <v>11.58559</v>
      </c>
      <c r="AN385" s="307">
        <v>26.93506</v>
      </c>
      <c r="AO385" s="307">
        <v>14.538589999999999</v>
      </c>
      <c r="AP385" s="307">
        <v>8.3145319999999998</v>
      </c>
      <c r="AQ385" s="307">
        <v>24.37567</v>
      </c>
      <c r="AR385" s="307">
        <v>24.164249999999999</v>
      </c>
      <c r="AS385" s="307">
        <v>19.386769999999999</v>
      </c>
      <c r="AT385" s="307">
        <v>7.7987890000000002</v>
      </c>
      <c r="AU385" s="307">
        <v>10.25441</v>
      </c>
      <c r="AV385" s="307">
        <v>13.90217</v>
      </c>
      <c r="AW385" s="307">
        <v>15.512879999999999</v>
      </c>
      <c r="AX385" s="307">
        <v>11.72157</v>
      </c>
      <c r="AY385" s="307">
        <v>10.14583</v>
      </c>
      <c r="AZ385" s="307">
        <v>10.80978</v>
      </c>
      <c r="BA385" s="307">
        <v>17.305630000000001</v>
      </c>
      <c r="BB385" s="307">
        <v>7.9818020000000001</v>
      </c>
      <c r="BC385" s="307">
        <v>10.79819</v>
      </c>
      <c r="BD385" s="307">
        <v>10.23124</v>
      </c>
      <c r="BE385" s="307">
        <v>11.951790000000001</v>
      </c>
      <c r="BF385" s="307">
        <v>8.8979719999999993</v>
      </c>
      <c r="BG385" s="307">
        <v>12.16408</v>
      </c>
      <c r="BH385" s="307">
        <v>12.43915</v>
      </c>
      <c r="BI385" s="307">
        <v>11.94914</v>
      </c>
      <c r="BJ385" s="307">
        <v>9.5489449999999998</v>
      </c>
      <c r="BK385" s="307">
        <v>12.39063</v>
      </c>
      <c r="BL385">
        <f t="shared" si="20"/>
        <v>0</v>
      </c>
      <c r="BM385">
        <f t="shared" si="21"/>
        <v>13.717560180327869</v>
      </c>
      <c r="BN385">
        <f t="shared" si="22"/>
        <v>26.93506</v>
      </c>
      <c r="BO385">
        <f t="array" ref="BO385">MIN(IF($C385:$BK385&gt;0, $C385:$BK385))</f>
        <v>3.2119209999999998</v>
      </c>
      <c r="BP385">
        <f t="shared" si="23"/>
        <v>11.817869999999999</v>
      </c>
    </row>
    <row r="386" spans="1:68" x14ac:dyDescent="0.25">
      <c r="A386" s="306">
        <v>711500</v>
      </c>
      <c r="B386" s="307" t="s">
        <v>339</v>
      </c>
      <c r="C386" s="307">
        <v>7.4764889999999999</v>
      </c>
      <c r="D386" s="307">
        <v>8.8670410000000004</v>
      </c>
      <c r="E386" s="307">
        <v>17.303789999999999</v>
      </c>
      <c r="F386" s="307">
        <v>7.9261049999999997</v>
      </c>
      <c r="G386" s="307">
        <v>12.221780000000001</v>
      </c>
      <c r="H386" s="307">
        <v>4.99411</v>
      </c>
      <c r="I386" s="307">
        <v>22.105619999999998</v>
      </c>
      <c r="J386" s="307">
        <v>6.1090450000000001</v>
      </c>
      <c r="K386" s="307">
        <v>2.9082629999999998</v>
      </c>
      <c r="L386" s="307">
        <v>12.50196</v>
      </c>
      <c r="M386" s="307">
        <v>9.8282819999999997</v>
      </c>
      <c r="N386" s="307">
        <v>6.3364019999999996</v>
      </c>
      <c r="O386" s="307">
        <v>5.8893190000000004</v>
      </c>
      <c r="P386" s="307">
        <v>15.33488</v>
      </c>
      <c r="Q386" s="307">
        <v>11.127000000000001</v>
      </c>
      <c r="R386" s="307">
        <v>17.76408</v>
      </c>
      <c r="S386" s="307">
        <v>19.706299999999999</v>
      </c>
      <c r="T386" s="307">
        <v>5.3871060000000002</v>
      </c>
      <c r="U386" s="307">
        <v>14.93038</v>
      </c>
      <c r="V386" s="307">
        <v>20.23657</v>
      </c>
      <c r="W386" s="307">
        <v>7.3405139999999998</v>
      </c>
      <c r="X386" s="307">
        <v>14.459720000000001</v>
      </c>
      <c r="Y386" s="307">
        <v>6.0433339999999998</v>
      </c>
      <c r="Z386" s="307">
        <v>24.0412</v>
      </c>
      <c r="AA386" s="307">
        <v>19.75761</v>
      </c>
      <c r="AB386" s="307">
        <v>18.556069999999998</v>
      </c>
      <c r="AC386" s="307">
        <v>5.6092709999999997</v>
      </c>
      <c r="AD386" s="307">
        <v>23.042459999999998</v>
      </c>
      <c r="AE386" s="307">
        <v>18.755500000000001</v>
      </c>
      <c r="AF386" s="307">
        <v>5.9136629999999997</v>
      </c>
      <c r="AG386" s="307">
        <v>22.96302</v>
      </c>
      <c r="AH386" s="307">
        <v>4.373259</v>
      </c>
      <c r="AI386" s="307">
        <v>12.52941</v>
      </c>
      <c r="AJ386" s="307">
        <v>11.052210000000001</v>
      </c>
      <c r="AK386" s="307">
        <v>8.6944669999999995</v>
      </c>
      <c r="AL386" s="307">
        <v>4.345332</v>
      </c>
      <c r="AM386" s="307">
        <v>5.9643889999999997</v>
      </c>
      <c r="AN386" s="307">
        <v>6.6327730000000003</v>
      </c>
      <c r="AO386" s="307">
        <v>6.1932879999999999</v>
      </c>
      <c r="AP386" s="307">
        <v>16.301690000000001</v>
      </c>
      <c r="AQ386" s="307">
        <v>11.864979999999999</v>
      </c>
      <c r="AR386" s="307">
        <v>14.03054</v>
      </c>
      <c r="AS386" s="307">
        <v>6.1746129999999999</v>
      </c>
      <c r="AT386" s="307">
        <v>15.29069</v>
      </c>
      <c r="AU386" s="307">
        <v>17.583819999999999</v>
      </c>
      <c r="AV386" s="307">
        <v>24.115349999999999</v>
      </c>
      <c r="AW386" s="307">
        <v>5.7637660000000004</v>
      </c>
      <c r="AX386" s="307">
        <v>16.07236</v>
      </c>
      <c r="AY386" s="307">
        <v>14.35826</v>
      </c>
      <c r="AZ386" s="307">
        <v>6.2016460000000002</v>
      </c>
      <c r="BA386" s="307">
        <v>18.752120000000001</v>
      </c>
      <c r="BB386" s="307">
        <v>3.7157499999999999</v>
      </c>
      <c r="BC386" s="307">
        <v>7.4880649999999997</v>
      </c>
      <c r="BD386" s="307">
        <v>6.4864139999999999</v>
      </c>
      <c r="BE386" s="307">
        <v>11.74709</v>
      </c>
      <c r="BF386" s="307">
        <v>13.29527</v>
      </c>
      <c r="BG386" s="307">
        <v>8.6243300000000005</v>
      </c>
      <c r="BH386" s="307">
        <v>14.63199</v>
      </c>
      <c r="BI386" s="307">
        <v>15.46998</v>
      </c>
      <c r="BJ386" s="307">
        <v>13.098280000000001</v>
      </c>
      <c r="BK386" s="307">
        <v>5.1761379999999999</v>
      </c>
      <c r="BL386">
        <f t="shared" si="20"/>
        <v>0</v>
      </c>
      <c r="BM386">
        <f t="shared" si="21"/>
        <v>11.827297606557373</v>
      </c>
      <c r="BN386">
        <f t="shared" si="22"/>
        <v>24.115349999999999</v>
      </c>
      <c r="BO386">
        <f t="array" ref="BO386">MIN(IF($C386:$BK386&gt;0, $C386:$BK386))</f>
        <v>2.9082629999999998</v>
      </c>
      <c r="BP386">
        <f t="shared" si="23"/>
        <v>11.74709</v>
      </c>
    </row>
    <row r="387" spans="1:68" x14ac:dyDescent="0.25">
      <c r="A387" s="306" t="s">
        <v>782</v>
      </c>
      <c r="B387" s="307" t="s">
        <v>338</v>
      </c>
      <c r="C387" s="307">
        <v>15</v>
      </c>
      <c r="D387" s="307">
        <v>10.316240000000001</v>
      </c>
      <c r="E387" s="307">
        <v>21.510549999999999</v>
      </c>
      <c r="F387" s="307">
        <v>18.18451</v>
      </c>
      <c r="G387" s="307">
        <v>19.733260000000001</v>
      </c>
      <c r="H387" s="307">
        <v>11.807930000000001</v>
      </c>
      <c r="I387" s="307">
        <v>24.376830000000002</v>
      </c>
      <c r="J387" s="307">
        <v>17.569410000000001</v>
      </c>
      <c r="K387" s="307">
        <v>7.417116</v>
      </c>
      <c r="L387" s="307">
        <v>9.6927859999999999</v>
      </c>
      <c r="M387" s="307">
        <v>14.35261</v>
      </c>
      <c r="N387" s="307">
        <v>12.072279999999999</v>
      </c>
      <c r="O387" s="307">
        <v>21.374549999999999</v>
      </c>
      <c r="P387" s="307">
        <v>21.038160000000001</v>
      </c>
      <c r="Q387" s="307">
        <v>9.5016780000000001</v>
      </c>
      <c r="R387" s="307">
        <v>18.28124</v>
      </c>
      <c r="S387" s="307">
        <v>20.48967</v>
      </c>
      <c r="T387" s="307">
        <v>12.993930000000001</v>
      </c>
      <c r="U387" s="307">
        <v>15.802680000000001</v>
      </c>
      <c r="V387" s="307">
        <v>15.466559999999999</v>
      </c>
      <c r="W387" s="307">
        <v>13.84071</v>
      </c>
      <c r="X387" s="307">
        <v>20.270820000000001</v>
      </c>
      <c r="Y387" s="307">
        <v>22.68167</v>
      </c>
      <c r="Z387" s="307">
        <v>15.58474</v>
      </c>
      <c r="AA387" s="307">
        <v>15.745799999999999</v>
      </c>
      <c r="AB387" s="307">
        <v>21.236940000000001</v>
      </c>
      <c r="AC387" s="307">
        <v>13.580679999999999</v>
      </c>
      <c r="AD387" s="307">
        <v>15.507619999999999</v>
      </c>
      <c r="AE387" s="307">
        <v>24.137160000000002</v>
      </c>
      <c r="AF387" s="307">
        <v>14.26343</v>
      </c>
      <c r="AG387" s="307">
        <v>15.31962</v>
      </c>
      <c r="AH387" s="307">
        <v>15.22973</v>
      </c>
      <c r="AI387" s="307">
        <v>10.314690000000001</v>
      </c>
      <c r="AJ387" s="307">
        <v>15.296659999999999</v>
      </c>
      <c r="AK387" s="307">
        <v>10.304449999999999</v>
      </c>
      <c r="AL387" s="307">
        <v>8.7936359999999993</v>
      </c>
      <c r="AM387" s="307">
        <v>17.868220000000001</v>
      </c>
      <c r="AN387" s="307">
        <v>25.094200000000001</v>
      </c>
      <c r="AO387" s="307">
        <v>14.938230000000001</v>
      </c>
      <c r="AP387" s="307">
        <v>22.039449999999999</v>
      </c>
      <c r="AQ387" s="307">
        <v>13.56462</v>
      </c>
      <c r="AR387" s="307">
        <v>19.008209999999998</v>
      </c>
      <c r="AS387" s="307">
        <v>9.1939639999999994</v>
      </c>
      <c r="AT387" s="307">
        <v>10.58154</v>
      </c>
      <c r="AU387" s="307">
        <v>13.99837</v>
      </c>
      <c r="AV387" s="307">
        <v>15.54205</v>
      </c>
      <c r="AW387" s="307">
        <v>21.805479999999999</v>
      </c>
      <c r="AX387" s="307">
        <v>15.355969999999999</v>
      </c>
      <c r="AY387" s="307">
        <v>23.946200000000001</v>
      </c>
      <c r="AZ387" s="307">
        <v>14.95783</v>
      </c>
      <c r="BA387" s="307">
        <v>8.4363770000000002</v>
      </c>
      <c r="BB387" s="307">
        <v>9.0277449999999995</v>
      </c>
      <c r="BC387" s="307">
        <v>15.65757</v>
      </c>
      <c r="BD387" s="307">
        <v>11.531029999999999</v>
      </c>
      <c r="BE387" s="307">
        <v>17.224240000000002</v>
      </c>
      <c r="BF387" s="307">
        <v>16.807580000000002</v>
      </c>
      <c r="BG387" s="307">
        <v>16.045300000000001</v>
      </c>
      <c r="BH387" s="307">
        <v>13.070600000000001</v>
      </c>
      <c r="BI387" s="307">
        <v>14.96603</v>
      </c>
      <c r="BJ387" s="307">
        <v>16.029389999999999</v>
      </c>
      <c r="BK387" s="307">
        <v>13.01132</v>
      </c>
      <c r="BL387">
        <f t="shared" si="20"/>
        <v>0</v>
      </c>
      <c r="BM387">
        <f t="shared" si="21"/>
        <v>15.717899377049177</v>
      </c>
      <c r="BN387">
        <f t="shared" si="22"/>
        <v>25.094200000000001</v>
      </c>
      <c r="BO387">
        <f t="array" ref="BO387">MIN(IF($C387:$BK387&gt;0, $C387:$BK387))</f>
        <v>7.417116</v>
      </c>
      <c r="BP387">
        <f t="shared" si="23"/>
        <v>15.355969999999999</v>
      </c>
    </row>
    <row r="388" spans="1:68" x14ac:dyDescent="0.25">
      <c r="A388" s="306">
        <v>712000</v>
      </c>
      <c r="B388" s="307" t="s">
        <v>340</v>
      </c>
      <c r="C388" s="307">
        <v>16.63212</v>
      </c>
      <c r="D388" s="307">
        <v>14.432449999999999</v>
      </c>
      <c r="E388" s="307">
        <v>21.774640000000002</v>
      </c>
      <c r="F388" s="307">
        <v>15.579700000000001</v>
      </c>
      <c r="G388" s="307">
        <v>16.920310000000001</v>
      </c>
      <c r="H388" s="307">
        <v>14.13763</v>
      </c>
      <c r="I388" s="307">
        <v>17.12237</v>
      </c>
      <c r="J388" s="307">
        <v>15.656169999999999</v>
      </c>
      <c r="K388" s="307">
        <v>3.6348639999999999</v>
      </c>
      <c r="L388" s="307">
        <v>13.57249</v>
      </c>
      <c r="M388" s="307">
        <v>17.233979999999999</v>
      </c>
      <c r="N388" s="307">
        <v>16.245750000000001</v>
      </c>
      <c r="O388" s="307">
        <v>17.358969999999999</v>
      </c>
      <c r="P388" s="307">
        <v>21.844999999999999</v>
      </c>
      <c r="Q388" s="307">
        <v>20.122209999999999</v>
      </c>
      <c r="R388" s="307">
        <v>14.44646</v>
      </c>
      <c r="S388" s="307">
        <v>17.424440000000001</v>
      </c>
      <c r="T388" s="307">
        <v>21.19117</v>
      </c>
      <c r="U388" s="307">
        <v>19.221430000000002</v>
      </c>
      <c r="V388" s="307">
        <v>17.354800000000001</v>
      </c>
      <c r="W388" s="307">
        <v>14.35059</v>
      </c>
      <c r="X388" s="307">
        <v>16.751080000000002</v>
      </c>
      <c r="Y388" s="307">
        <v>16.95074</v>
      </c>
      <c r="Z388" s="307">
        <v>20.69875</v>
      </c>
      <c r="AA388" s="307">
        <v>16.785509999999999</v>
      </c>
      <c r="AB388" s="307">
        <v>14.533429999999999</v>
      </c>
      <c r="AC388" s="307">
        <v>21.237200000000001</v>
      </c>
      <c r="AD388" s="307">
        <v>21.871849999999998</v>
      </c>
      <c r="AE388" s="307">
        <v>19.708629999999999</v>
      </c>
      <c r="AF388" s="307">
        <v>20.48564</v>
      </c>
      <c r="AG388" s="307">
        <v>20.87246</v>
      </c>
      <c r="AH388" s="307">
        <v>19.71283</v>
      </c>
      <c r="AI388" s="307">
        <v>15.332459999999999</v>
      </c>
      <c r="AJ388" s="307">
        <v>16.161549999999998</v>
      </c>
      <c r="AK388" s="307">
        <v>16.192229999999999</v>
      </c>
      <c r="AL388" s="307">
        <v>12.97911</v>
      </c>
      <c r="AM388" s="307">
        <v>16.863939999999999</v>
      </c>
      <c r="AN388" s="307">
        <v>19.914770000000001</v>
      </c>
      <c r="AO388" s="307">
        <v>18.162030000000001</v>
      </c>
      <c r="AP388" s="307">
        <v>16.26932</v>
      </c>
      <c r="AQ388" s="307">
        <v>16.725560000000002</v>
      </c>
      <c r="AR388" s="307">
        <v>20.101649999999999</v>
      </c>
      <c r="AS388" s="307">
        <v>21.76735</v>
      </c>
      <c r="AT388" s="307">
        <v>19.10491</v>
      </c>
      <c r="AU388" s="307">
        <v>17.392009999999999</v>
      </c>
      <c r="AV388" s="307">
        <v>21.594439999999999</v>
      </c>
      <c r="AW388" s="307">
        <v>16.477180000000001</v>
      </c>
      <c r="AX388" s="307">
        <v>17.433240000000001</v>
      </c>
      <c r="AY388" s="307">
        <v>16.551850000000002</v>
      </c>
      <c r="AZ388" s="307">
        <v>20.909109999999998</v>
      </c>
      <c r="BA388" s="307">
        <v>13.6656</v>
      </c>
      <c r="BB388" s="307">
        <v>14.492179999999999</v>
      </c>
      <c r="BC388" s="307">
        <v>16.07479</v>
      </c>
      <c r="BD388" s="307">
        <v>14.8924</v>
      </c>
      <c r="BE388" s="307">
        <v>17.013190000000002</v>
      </c>
      <c r="BF388" s="307">
        <v>18.343579999999999</v>
      </c>
      <c r="BG388" s="307">
        <v>17.490200000000002</v>
      </c>
      <c r="BH388" s="307">
        <v>19.947369999999999</v>
      </c>
      <c r="BI388" s="307">
        <v>17.566130000000001</v>
      </c>
      <c r="BJ388" s="307">
        <v>17.697040000000001</v>
      </c>
      <c r="BK388" s="307">
        <v>14.85206</v>
      </c>
      <c r="BL388">
        <f t="shared" si="20"/>
        <v>0</v>
      </c>
      <c r="BM388">
        <f t="shared" si="21"/>
        <v>17.341523180327862</v>
      </c>
      <c r="BN388">
        <f t="shared" si="22"/>
        <v>21.871849999999998</v>
      </c>
      <c r="BO388">
        <f t="array" ref="BO388">MIN(IF($C388:$BK388&gt;0, $C388:$BK388))</f>
        <v>3.6348639999999999</v>
      </c>
      <c r="BP388">
        <f t="shared" si="23"/>
        <v>17.12237</v>
      </c>
    </row>
    <row r="389" spans="1:68" x14ac:dyDescent="0.25">
      <c r="A389" s="306">
        <v>713940</v>
      </c>
      <c r="B389" s="307" t="s">
        <v>341</v>
      </c>
      <c r="C389" s="307">
        <v>24.25666</v>
      </c>
      <c r="D389" s="307">
        <v>34.254980000000003</v>
      </c>
      <c r="E389" s="307">
        <v>33.197589999999998</v>
      </c>
      <c r="F389" s="307">
        <v>27.24014</v>
      </c>
      <c r="G389" s="307">
        <v>25.183340000000001</v>
      </c>
      <c r="H389" s="307">
        <v>21.51097</v>
      </c>
      <c r="I389" s="307">
        <v>24.491540000000001</v>
      </c>
      <c r="J389" s="307">
        <v>22.066949999999999</v>
      </c>
      <c r="K389" s="307">
        <v>5.5591169999999996</v>
      </c>
      <c r="L389" s="307">
        <v>18.965869999999999</v>
      </c>
      <c r="M389" s="307">
        <v>19.968440000000001</v>
      </c>
      <c r="N389" s="307">
        <v>24.684909999999999</v>
      </c>
      <c r="O389" s="307">
        <v>25.819590000000002</v>
      </c>
      <c r="P389" s="307">
        <v>28.19388</v>
      </c>
      <c r="Q389" s="307">
        <v>30.39828</v>
      </c>
      <c r="R389" s="307">
        <v>19.716360000000002</v>
      </c>
      <c r="S389" s="307">
        <v>24.200890000000001</v>
      </c>
      <c r="T389" s="307">
        <v>30.433050000000001</v>
      </c>
      <c r="U389" s="307">
        <v>29.746649999999999</v>
      </c>
      <c r="V389" s="307">
        <v>22.97672</v>
      </c>
      <c r="W389" s="307">
        <v>20.69725</v>
      </c>
      <c r="X389" s="307">
        <v>22.202380000000002</v>
      </c>
      <c r="Y389" s="307">
        <v>30.829370000000001</v>
      </c>
      <c r="Z389" s="307">
        <v>25.211259999999999</v>
      </c>
      <c r="AA389" s="307">
        <v>29.020859999999999</v>
      </c>
      <c r="AB389" s="307">
        <v>21.099160000000001</v>
      </c>
      <c r="AC389" s="307">
        <v>22.78443</v>
      </c>
      <c r="AD389" s="307">
        <v>34.430320000000002</v>
      </c>
      <c r="AE389" s="307">
        <v>26.894200000000001</v>
      </c>
      <c r="AF389" s="307">
        <v>30.49606</v>
      </c>
      <c r="AG389" s="307">
        <v>33.009279999999997</v>
      </c>
      <c r="AH389" s="307">
        <v>26.91676</v>
      </c>
      <c r="AI389" s="307">
        <v>21.13383</v>
      </c>
      <c r="AJ389" s="307">
        <v>33.753979999999999</v>
      </c>
      <c r="AK389" s="307">
        <v>21.314129999999999</v>
      </c>
      <c r="AL389" s="307">
        <v>18.640979999999999</v>
      </c>
      <c r="AM389" s="307">
        <v>25.511040000000001</v>
      </c>
      <c r="AN389" s="307">
        <v>26.6389</v>
      </c>
      <c r="AO389" s="307">
        <v>27.02224</v>
      </c>
      <c r="AP389" s="307">
        <v>28.287230000000001</v>
      </c>
      <c r="AQ389" s="307">
        <v>22.94136</v>
      </c>
      <c r="AR389" s="307">
        <v>27.56297</v>
      </c>
      <c r="AS389" s="307">
        <v>33.043300000000002</v>
      </c>
      <c r="AT389" s="307">
        <v>24.286639999999998</v>
      </c>
      <c r="AU389" s="307">
        <v>22.57883</v>
      </c>
      <c r="AV389" s="307">
        <v>30.485340000000001</v>
      </c>
      <c r="AW389" s="307">
        <v>23.6767</v>
      </c>
      <c r="AX389" s="307">
        <v>32.705089999999998</v>
      </c>
      <c r="AY389" s="307">
        <v>30.550989999999999</v>
      </c>
      <c r="AZ389" s="307">
        <v>33.665050000000001</v>
      </c>
      <c r="BA389" s="307">
        <v>30.60765</v>
      </c>
      <c r="BB389" s="307">
        <v>22.11908</v>
      </c>
      <c r="BC389" s="307">
        <v>23.883310000000002</v>
      </c>
      <c r="BD389" s="307">
        <v>21.982780000000002</v>
      </c>
      <c r="BE389" s="307">
        <v>23.927160000000001</v>
      </c>
      <c r="BF389" s="307">
        <v>27.466229999999999</v>
      </c>
      <c r="BG389" s="307">
        <v>23.634650000000001</v>
      </c>
      <c r="BH389" s="307">
        <v>27.819500000000001</v>
      </c>
      <c r="BI389" s="307">
        <v>23.25882</v>
      </c>
      <c r="BJ389" s="307">
        <v>26.292750000000002</v>
      </c>
      <c r="BK389" s="307">
        <v>23.39837</v>
      </c>
      <c r="BL389">
        <f t="shared" si="20"/>
        <v>0</v>
      </c>
      <c r="BM389">
        <f t="shared" si="21"/>
        <v>25.813871426229504</v>
      </c>
      <c r="BN389">
        <f t="shared" si="22"/>
        <v>34.430320000000002</v>
      </c>
      <c r="BO389">
        <f t="array" ref="BO389">MIN(IF($C389:$BK389&gt;0, $C389:$BK389))</f>
        <v>5.5591169999999996</v>
      </c>
      <c r="BP389">
        <f t="shared" si="23"/>
        <v>25.211259999999999</v>
      </c>
    </row>
    <row r="390" spans="1:68" x14ac:dyDescent="0.25">
      <c r="A390" s="306">
        <v>713950</v>
      </c>
      <c r="B390" s="307" t="s">
        <v>342</v>
      </c>
      <c r="C390" s="307">
        <v>24.888249999999999</v>
      </c>
      <c r="D390" s="307">
        <v>27.854810000000001</v>
      </c>
      <c r="E390" s="307">
        <v>26.48865</v>
      </c>
      <c r="F390" s="307">
        <v>26.477779999999999</v>
      </c>
      <c r="G390" s="307">
        <v>27.446000000000002</v>
      </c>
      <c r="H390" s="307">
        <v>21.642690000000002</v>
      </c>
      <c r="I390" s="307">
        <v>19.617940000000001</v>
      </c>
      <c r="J390" s="307">
        <v>26.756170000000001</v>
      </c>
      <c r="K390" s="307">
        <v>5.3273960000000002</v>
      </c>
      <c r="L390" s="307">
        <v>20.065850000000001</v>
      </c>
      <c r="M390" s="307">
        <v>20.809090000000001</v>
      </c>
      <c r="N390" s="307">
        <v>24.70439</v>
      </c>
      <c r="O390" s="307">
        <v>20.756080000000001</v>
      </c>
      <c r="P390" s="307">
        <v>26.73057</v>
      </c>
      <c r="Q390" s="307">
        <v>31.3127</v>
      </c>
      <c r="R390" s="307">
        <v>20.255500000000001</v>
      </c>
      <c r="S390" s="307">
        <v>22.626609999999999</v>
      </c>
      <c r="T390" s="307">
        <v>29.67848</v>
      </c>
      <c r="U390" s="307">
        <v>26.534610000000001</v>
      </c>
      <c r="V390" s="307">
        <v>21.578790000000001</v>
      </c>
      <c r="W390" s="307">
        <v>19.192799999999998</v>
      </c>
      <c r="X390" s="307">
        <v>21.882650000000002</v>
      </c>
      <c r="Y390" s="307">
        <v>23.540019999999998</v>
      </c>
      <c r="Z390" s="307">
        <v>25.4848</v>
      </c>
      <c r="AA390" s="307">
        <v>31.45093</v>
      </c>
      <c r="AB390" s="307">
        <v>23.300090000000001</v>
      </c>
      <c r="AC390" s="307">
        <v>24.758240000000001</v>
      </c>
      <c r="AD390" s="307">
        <v>29.652809999999999</v>
      </c>
      <c r="AE390" s="307">
        <v>25.34412</v>
      </c>
      <c r="AF390" s="307">
        <v>28.557179999999999</v>
      </c>
      <c r="AG390" s="307">
        <v>28.10219</v>
      </c>
      <c r="AH390" s="307">
        <v>17.776409999999998</v>
      </c>
      <c r="AI390" s="307">
        <v>18.81841</v>
      </c>
      <c r="AJ390" s="307">
        <v>31.60999</v>
      </c>
      <c r="AK390" s="307">
        <v>18.739629999999998</v>
      </c>
      <c r="AL390" s="307">
        <v>19.94089</v>
      </c>
      <c r="AM390" s="307">
        <v>26.19558</v>
      </c>
      <c r="AN390" s="307">
        <v>31.85951</v>
      </c>
      <c r="AO390" s="307">
        <v>22.83942</v>
      </c>
      <c r="AP390" s="307">
        <v>23.505130000000001</v>
      </c>
      <c r="AQ390" s="307">
        <v>17.641749999999998</v>
      </c>
      <c r="AR390" s="307">
        <v>23.67934</v>
      </c>
      <c r="AS390" s="307">
        <v>30.945820000000001</v>
      </c>
      <c r="AT390" s="307">
        <v>26.613250000000001</v>
      </c>
      <c r="AU390" s="307">
        <v>24.46613</v>
      </c>
      <c r="AV390" s="307">
        <v>26.437480000000001</v>
      </c>
      <c r="AW390" s="307">
        <v>22.205410000000001</v>
      </c>
      <c r="AX390" s="307">
        <v>19.83128</v>
      </c>
      <c r="AY390" s="307">
        <v>24.396409999999999</v>
      </c>
      <c r="AZ390" s="307">
        <v>31.863389999999999</v>
      </c>
      <c r="BA390" s="307">
        <v>25.222079999999998</v>
      </c>
      <c r="BB390" s="307">
        <v>30.044370000000001</v>
      </c>
      <c r="BC390" s="307">
        <v>21.203600000000002</v>
      </c>
      <c r="BD390" s="307">
        <v>21.808350000000001</v>
      </c>
      <c r="BE390" s="307">
        <v>25.578099999999999</v>
      </c>
      <c r="BF390" s="307">
        <v>29.126370000000001</v>
      </c>
      <c r="BG390" s="307">
        <v>23.311430000000001</v>
      </c>
      <c r="BH390" s="307">
        <v>27.07525</v>
      </c>
      <c r="BI390" s="307">
        <v>24.9544</v>
      </c>
      <c r="BJ390" s="307">
        <v>24.852360000000001</v>
      </c>
      <c r="BK390" s="307">
        <v>22.597899999999999</v>
      </c>
      <c r="BL390">
        <f t="shared" ref="BL390:BL410" si="24">COUNTIFS($C390:$BK390, 0)</f>
        <v>0</v>
      </c>
      <c r="BM390">
        <f t="shared" ref="BM390:BM410" si="25">AVERAGEIF($C390:$BK390, "&lt;&gt;0", $C390:$BK390)</f>
        <v>24.392747967213126</v>
      </c>
      <c r="BN390">
        <f t="shared" ref="BN390:BN410" si="26">MAX($C390:$BK390)</f>
        <v>31.863389999999999</v>
      </c>
      <c r="BO390">
        <f t="array" ref="BO390">MIN(IF($C390:$BK390&gt;0, $C390:$BK390))</f>
        <v>5.3273960000000002</v>
      </c>
      <c r="BP390">
        <f t="shared" ref="BP390:BP410" si="27">MEDIAN($C390:$BK390)</f>
        <v>24.758240000000001</v>
      </c>
    </row>
    <row r="391" spans="1:68" x14ac:dyDescent="0.25">
      <c r="A391" s="306" t="s">
        <v>783</v>
      </c>
      <c r="B391" s="307" t="s">
        <v>343</v>
      </c>
      <c r="C391" s="307">
        <v>15.66409</v>
      </c>
      <c r="D391" s="307">
        <v>15.45435</v>
      </c>
      <c r="E391" s="307">
        <v>26.091999999999999</v>
      </c>
      <c r="F391" s="307">
        <v>15.064579999999999</v>
      </c>
      <c r="G391" s="307">
        <v>15.42435</v>
      </c>
      <c r="H391" s="307">
        <v>14.76066</v>
      </c>
      <c r="I391" s="307">
        <v>14.73437</v>
      </c>
      <c r="J391" s="307">
        <v>14.243399999999999</v>
      </c>
      <c r="K391" s="307">
        <v>3.4177330000000001</v>
      </c>
      <c r="L391" s="307">
        <v>11.125120000000001</v>
      </c>
      <c r="M391" s="307">
        <v>12.276389999999999</v>
      </c>
      <c r="N391" s="307">
        <v>26.002890000000001</v>
      </c>
      <c r="O391" s="307">
        <v>26.369409999999998</v>
      </c>
      <c r="P391" s="307">
        <v>12.55692</v>
      </c>
      <c r="Q391" s="307">
        <v>25.957439999999998</v>
      </c>
      <c r="R391" s="307">
        <v>11.939</v>
      </c>
      <c r="S391" s="307">
        <v>10.73676</v>
      </c>
      <c r="T391" s="307">
        <v>18.944870000000002</v>
      </c>
      <c r="U391" s="307">
        <v>25.109290000000001</v>
      </c>
      <c r="V391" s="307">
        <v>13.28417</v>
      </c>
      <c r="W391" s="307">
        <v>24.435700000000001</v>
      </c>
      <c r="X391" s="307">
        <v>23.726769999999998</v>
      </c>
      <c r="Y391" s="307">
        <v>20.693370000000002</v>
      </c>
      <c r="Z391" s="307">
        <v>12.33826</v>
      </c>
      <c r="AA391" s="307">
        <v>20.190470000000001</v>
      </c>
      <c r="AB391" s="307">
        <v>13.667400000000001</v>
      </c>
      <c r="AC391" s="307">
        <v>12.60195</v>
      </c>
      <c r="AD391" s="307">
        <v>25.676359999999999</v>
      </c>
      <c r="AE391" s="307">
        <v>19.95842</v>
      </c>
      <c r="AF391" s="307">
        <v>21.99887</v>
      </c>
      <c r="AG391" s="307">
        <v>22.87424</v>
      </c>
      <c r="AH391" s="307">
        <v>21.278359999999999</v>
      </c>
      <c r="AI391" s="307">
        <v>20.896350000000002</v>
      </c>
      <c r="AJ391" s="307">
        <v>21.2437</v>
      </c>
      <c r="AK391" s="307">
        <v>14.81732</v>
      </c>
      <c r="AL391" s="307">
        <v>16.009160000000001</v>
      </c>
      <c r="AM391" s="307">
        <v>19.240030000000001</v>
      </c>
      <c r="AN391" s="307">
        <v>17.028120000000001</v>
      </c>
      <c r="AO391" s="307">
        <v>17.933350000000001</v>
      </c>
      <c r="AP391" s="307">
        <v>18.88635</v>
      </c>
      <c r="AQ391" s="307">
        <v>12.19135</v>
      </c>
      <c r="AR391" s="307">
        <v>20.925149999999999</v>
      </c>
      <c r="AS391" s="307">
        <v>22.067630000000001</v>
      </c>
      <c r="AT391" s="307">
        <v>24.827529999999999</v>
      </c>
      <c r="AU391" s="307">
        <v>26.56212</v>
      </c>
      <c r="AV391" s="307">
        <v>25.34412</v>
      </c>
      <c r="AW391" s="307">
        <v>25.150279999999999</v>
      </c>
      <c r="AX391" s="307">
        <v>17.609770000000001</v>
      </c>
      <c r="AY391" s="307">
        <v>16.691389999999998</v>
      </c>
      <c r="AZ391" s="307">
        <v>17.90362</v>
      </c>
      <c r="BA391" s="307">
        <v>18.386980000000001</v>
      </c>
      <c r="BB391" s="307">
        <v>19.782820000000001</v>
      </c>
      <c r="BC391" s="307">
        <v>16.780200000000001</v>
      </c>
      <c r="BD391" s="307">
        <v>18.777370000000001</v>
      </c>
      <c r="BE391" s="307">
        <v>13.19511</v>
      </c>
      <c r="BF391" s="307">
        <v>16.86477</v>
      </c>
      <c r="BG391" s="307">
        <v>13.923220000000001</v>
      </c>
      <c r="BH391" s="307">
        <v>17.818619999999999</v>
      </c>
      <c r="BI391" s="307">
        <v>17.132000000000001</v>
      </c>
      <c r="BJ391" s="307">
        <v>17.149660000000001</v>
      </c>
      <c r="BK391" s="307">
        <v>15.213939999999999</v>
      </c>
      <c r="BL391">
        <f t="shared" si="24"/>
        <v>0</v>
      </c>
      <c r="BM391">
        <f t="shared" si="25"/>
        <v>18.179508081967217</v>
      </c>
      <c r="BN391">
        <f t="shared" si="26"/>
        <v>26.56212</v>
      </c>
      <c r="BO391">
        <f t="array" ref="BO391">MIN(IF($C391:$BK391&gt;0, $C391:$BK391))</f>
        <v>3.4177330000000001</v>
      </c>
      <c r="BP391">
        <f t="shared" si="27"/>
        <v>17.818619999999999</v>
      </c>
    </row>
    <row r="392" spans="1:68" x14ac:dyDescent="0.25">
      <c r="A392" s="306" t="s">
        <v>784</v>
      </c>
      <c r="B392" s="307" t="s">
        <v>344</v>
      </c>
      <c r="C392" s="307">
        <v>18.011569999999999</v>
      </c>
      <c r="D392" s="307">
        <v>23.933160000000001</v>
      </c>
      <c r="E392" s="307">
        <v>21.03755</v>
      </c>
      <c r="F392" s="307">
        <v>20.530819999999999</v>
      </c>
      <c r="G392" s="307">
        <v>20.870039999999999</v>
      </c>
      <c r="H392" s="307">
        <v>16.06542</v>
      </c>
      <c r="I392" s="307">
        <v>14.688940000000001</v>
      </c>
      <c r="J392" s="307">
        <v>16.008289999999999</v>
      </c>
      <c r="K392" s="307">
        <v>3.890806</v>
      </c>
      <c r="L392" s="307">
        <v>13.17455</v>
      </c>
      <c r="M392" s="307">
        <v>13.97561</v>
      </c>
      <c r="N392" s="307">
        <v>17.93187</v>
      </c>
      <c r="O392" s="307">
        <v>13.95722</v>
      </c>
      <c r="P392" s="307">
        <v>21.049289999999999</v>
      </c>
      <c r="Q392" s="307">
        <v>19.316310000000001</v>
      </c>
      <c r="R392" s="307">
        <v>16.04562</v>
      </c>
      <c r="S392" s="307">
        <v>18.476749999999999</v>
      </c>
      <c r="T392" s="307">
        <v>23.369959999999999</v>
      </c>
      <c r="U392" s="307">
        <v>21.602730000000001</v>
      </c>
      <c r="V392" s="307">
        <v>18.337969999999999</v>
      </c>
      <c r="W392" s="307">
        <v>14.74301</v>
      </c>
      <c r="X392" s="307">
        <v>15.15982</v>
      </c>
      <c r="Y392" s="307">
        <v>17.95093</v>
      </c>
      <c r="Z392" s="307">
        <v>21.12866</v>
      </c>
      <c r="AA392" s="307">
        <v>24.764769999999999</v>
      </c>
      <c r="AB392" s="307">
        <v>18.211459999999999</v>
      </c>
      <c r="AC392" s="307">
        <v>17.467030000000001</v>
      </c>
      <c r="AD392" s="307">
        <v>19.100539999999999</v>
      </c>
      <c r="AE392" s="307">
        <v>19.224820000000001</v>
      </c>
      <c r="AF392" s="307">
        <v>22.48808</v>
      </c>
      <c r="AG392" s="307">
        <v>23.17906</v>
      </c>
      <c r="AH392" s="307">
        <v>17.856870000000001</v>
      </c>
      <c r="AI392" s="307">
        <v>13.742430000000001</v>
      </c>
      <c r="AJ392" s="307">
        <v>24.890250000000002</v>
      </c>
      <c r="AK392" s="307">
        <v>13.595370000000001</v>
      </c>
      <c r="AL392" s="307">
        <v>13.704000000000001</v>
      </c>
      <c r="AM392" s="307">
        <v>22.150269999999999</v>
      </c>
      <c r="AN392" s="307">
        <v>21.727180000000001</v>
      </c>
      <c r="AO392" s="307">
        <v>20.786059999999999</v>
      </c>
      <c r="AP392" s="307">
        <v>19.260110000000001</v>
      </c>
      <c r="AQ392" s="307">
        <v>13.55687</v>
      </c>
      <c r="AR392" s="307">
        <v>17.578869999999998</v>
      </c>
      <c r="AS392" s="307">
        <v>24.3675</v>
      </c>
      <c r="AT392" s="307">
        <v>21.212330000000001</v>
      </c>
      <c r="AU392" s="307">
        <v>18.371040000000001</v>
      </c>
      <c r="AV392" s="307">
        <v>16.664380000000001</v>
      </c>
      <c r="AW392" s="307">
        <v>18.442299999999999</v>
      </c>
      <c r="AX392" s="307">
        <v>18.360130000000002</v>
      </c>
      <c r="AY392" s="307">
        <v>23.480319999999999</v>
      </c>
      <c r="AZ392" s="307">
        <v>25.089839999999999</v>
      </c>
      <c r="BA392" s="307">
        <v>21.503730000000001</v>
      </c>
      <c r="BB392" s="307">
        <v>21.849170000000001</v>
      </c>
      <c r="BC392" s="307">
        <v>16.612549999999999</v>
      </c>
      <c r="BD392" s="307">
        <v>16.184909999999999</v>
      </c>
      <c r="BE392" s="307">
        <v>20.285640000000001</v>
      </c>
      <c r="BF392" s="307">
        <v>22.884820000000001</v>
      </c>
      <c r="BG392" s="307">
        <v>16.431239999999999</v>
      </c>
      <c r="BH392" s="307">
        <v>21.295559999999998</v>
      </c>
      <c r="BI392" s="307">
        <v>18.84862</v>
      </c>
      <c r="BJ392" s="307">
        <v>16.861190000000001</v>
      </c>
      <c r="BK392" s="307">
        <v>16.96416</v>
      </c>
      <c r="BL392">
        <f t="shared" si="24"/>
        <v>0</v>
      </c>
      <c r="BM392">
        <f t="shared" si="25"/>
        <v>18.692628950819671</v>
      </c>
      <c r="BN392">
        <f t="shared" si="26"/>
        <v>25.089839999999999</v>
      </c>
      <c r="BO392">
        <f t="array" ref="BO392">MIN(IF($C392:$BK392&gt;0, $C392:$BK392))</f>
        <v>3.890806</v>
      </c>
      <c r="BP392">
        <f t="shared" si="27"/>
        <v>18.442299999999999</v>
      </c>
    </row>
    <row r="393" spans="1:68" x14ac:dyDescent="0.25">
      <c r="A393" s="306" t="s">
        <v>785</v>
      </c>
      <c r="B393" s="307" t="s">
        <v>345</v>
      </c>
      <c r="C393" s="307">
        <v>10.575089999999999</v>
      </c>
      <c r="D393" s="307">
        <v>13.63527</v>
      </c>
      <c r="E393" s="307">
        <v>15.47062</v>
      </c>
      <c r="F393" s="307">
        <v>16.114439999999998</v>
      </c>
      <c r="G393" s="307">
        <v>10.26787</v>
      </c>
      <c r="H393" s="307">
        <v>9.3084869999999995</v>
      </c>
      <c r="I393" s="307">
        <v>10.54917</v>
      </c>
      <c r="J393" s="307">
        <v>8.9564299999999992</v>
      </c>
      <c r="K393" s="307">
        <v>2.57856</v>
      </c>
      <c r="L393" s="307">
        <v>11.963660000000001</v>
      </c>
      <c r="M393" s="307">
        <v>10.18125</v>
      </c>
      <c r="N393" s="307">
        <v>11.12405</v>
      </c>
      <c r="O393" s="307">
        <v>8.2439260000000001</v>
      </c>
      <c r="P393" s="307">
        <v>14.39382</v>
      </c>
      <c r="Q393" s="307">
        <v>16.36204</v>
      </c>
      <c r="R393" s="307">
        <v>8.9885059999999992</v>
      </c>
      <c r="S393" s="307">
        <v>13.81654</v>
      </c>
      <c r="T393" s="307">
        <v>14.69839</v>
      </c>
      <c r="U393" s="307">
        <v>12.65338</v>
      </c>
      <c r="V393" s="307">
        <v>10.511670000000001</v>
      </c>
      <c r="W393" s="307">
        <v>8.1955799999999996</v>
      </c>
      <c r="X393" s="307">
        <v>7.3353710000000003</v>
      </c>
      <c r="Y393" s="307">
        <v>14.953569999999999</v>
      </c>
      <c r="Z393" s="307">
        <v>14.567489999999999</v>
      </c>
      <c r="AA393" s="307">
        <v>13.85708</v>
      </c>
      <c r="AB393" s="307">
        <v>12.044930000000001</v>
      </c>
      <c r="AC393" s="307">
        <v>10.11374</v>
      </c>
      <c r="AD393" s="307">
        <v>16.488869999999999</v>
      </c>
      <c r="AE393" s="307">
        <v>14.049989999999999</v>
      </c>
      <c r="AF393" s="307">
        <v>15.31006</v>
      </c>
      <c r="AG393" s="307">
        <v>16.144469999999998</v>
      </c>
      <c r="AH393" s="307">
        <v>11.675840000000001</v>
      </c>
      <c r="AI393" s="307">
        <v>7.6989070000000002</v>
      </c>
      <c r="AJ393" s="307">
        <v>14.17408</v>
      </c>
      <c r="AK393" s="307">
        <v>7.8700619999999999</v>
      </c>
      <c r="AL393" s="307">
        <v>7.4358839999999997</v>
      </c>
      <c r="AM393" s="307">
        <v>13.159470000000001</v>
      </c>
      <c r="AN393" s="307">
        <v>16.637160000000002</v>
      </c>
      <c r="AO393" s="307">
        <v>13.595649999999999</v>
      </c>
      <c r="AP393" s="307">
        <v>11.924709999999999</v>
      </c>
      <c r="AQ393" s="307">
        <v>10.21486</v>
      </c>
      <c r="AR393" s="307">
        <v>12.64141</v>
      </c>
      <c r="AS393" s="307">
        <v>16.397169999999999</v>
      </c>
      <c r="AT393" s="307">
        <v>10.57142</v>
      </c>
      <c r="AU393" s="307">
        <v>11.03534</v>
      </c>
      <c r="AV393" s="307">
        <v>12.764860000000001</v>
      </c>
      <c r="AW393" s="307">
        <v>11.01756</v>
      </c>
      <c r="AX393" s="307">
        <v>12.46627</v>
      </c>
      <c r="AY393" s="307">
        <v>10.87088</v>
      </c>
      <c r="AZ393" s="307">
        <v>16.25656</v>
      </c>
      <c r="BA393" s="307">
        <v>11.71313</v>
      </c>
      <c r="BB393" s="307">
        <v>12.52638</v>
      </c>
      <c r="BC393" s="307">
        <v>10.08047</v>
      </c>
      <c r="BD393" s="307">
        <v>8.893967</v>
      </c>
      <c r="BE393" s="307">
        <v>12.306430000000001</v>
      </c>
      <c r="BF393" s="307">
        <v>14.28265</v>
      </c>
      <c r="BG393" s="307">
        <v>10.87434</v>
      </c>
      <c r="BH393" s="307">
        <v>11.524010000000001</v>
      </c>
      <c r="BI393" s="307">
        <v>11.550789999999999</v>
      </c>
      <c r="BJ393" s="307">
        <v>9.3922600000000003</v>
      </c>
      <c r="BK393" s="307">
        <v>9.6441130000000008</v>
      </c>
      <c r="BL393">
        <f t="shared" si="24"/>
        <v>0</v>
      </c>
      <c r="BM393">
        <f t="shared" si="25"/>
        <v>11.879523819672128</v>
      </c>
      <c r="BN393">
        <f t="shared" si="26"/>
        <v>16.637160000000002</v>
      </c>
      <c r="BO393">
        <f t="array" ref="BO393">MIN(IF($C393:$BK393&gt;0, $C393:$BK393))</f>
        <v>2.57856</v>
      </c>
      <c r="BP393">
        <f t="shared" si="27"/>
        <v>11.71313</v>
      </c>
    </row>
    <row r="394" spans="1:68" x14ac:dyDescent="0.25">
      <c r="A394" s="306" t="s">
        <v>786</v>
      </c>
      <c r="B394" s="307" t="s">
        <v>346</v>
      </c>
      <c r="C394" s="307">
        <v>9.8342890000000001</v>
      </c>
      <c r="D394" s="307">
        <v>7.5288690000000003</v>
      </c>
      <c r="E394" s="307">
        <v>10.302009999999999</v>
      </c>
      <c r="F394" s="307">
        <v>12.64176</v>
      </c>
      <c r="G394" s="307">
        <v>9.8358129999999999</v>
      </c>
      <c r="H394" s="307">
        <v>8.8945080000000001</v>
      </c>
      <c r="I394" s="307">
        <v>9.3851490000000002</v>
      </c>
      <c r="J394" s="307">
        <v>6.8389110000000004</v>
      </c>
      <c r="K394" s="307">
        <v>2.3607320000000001</v>
      </c>
      <c r="L394" s="307">
        <v>7.012289</v>
      </c>
      <c r="M394" s="307">
        <v>9.1093530000000005</v>
      </c>
      <c r="N394" s="307">
        <v>9.7756059999999998</v>
      </c>
      <c r="O394" s="307">
        <v>8.8894599999999997</v>
      </c>
      <c r="P394" s="307">
        <v>12.553470000000001</v>
      </c>
      <c r="Q394" s="307">
        <v>12.944900000000001</v>
      </c>
      <c r="R394" s="307">
        <v>10.437939999999999</v>
      </c>
      <c r="S394" s="307">
        <v>12.38063</v>
      </c>
      <c r="T394" s="307">
        <v>12.274760000000001</v>
      </c>
      <c r="U394" s="307">
        <v>9.5794429999999995</v>
      </c>
      <c r="V394" s="307">
        <v>10.18952</v>
      </c>
      <c r="W394" s="307">
        <v>7.5302689999999997</v>
      </c>
      <c r="X394" s="307">
        <v>6.4305729999999999</v>
      </c>
      <c r="Y394" s="307">
        <v>10.26911</v>
      </c>
      <c r="Z394" s="307">
        <v>12.42872</v>
      </c>
      <c r="AA394" s="307">
        <v>12.73564</v>
      </c>
      <c r="AB394" s="307">
        <v>9.7516440000000006</v>
      </c>
      <c r="AC394" s="307">
        <v>9.4353899999999999</v>
      </c>
      <c r="AD394" s="307">
        <v>9.5264799999999994</v>
      </c>
      <c r="AE394" s="307">
        <v>9.7013770000000008</v>
      </c>
      <c r="AF394" s="307">
        <v>12.010540000000001</v>
      </c>
      <c r="AG394" s="307">
        <v>12.665319999999999</v>
      </c>
      <c r="AH394" s="307">
        <v>9.0539939999999994</v>
      </c>
      <c r="AI394" s="307">
        <v>7.6034389999999998</v>
      </c>
      <c r="AJ394" s="307">
        <v>11.02323</v>
      </c>
      <c r="AK394" s="307">
        <v>8.7589880000000004</v>
      </c>
      <c r="AL394" s="307">
        <v>7.0381869999999997</v>
      </c>
      <c r="AM394" s="307">
        <v>9.7841950000000004</v>
      </c>
      <c r="AN394" s="307">
        <v>12.66512</v>
      </c>
      <c r="AO394" s="307">
        <v>12.622210000000001</v>
      </c>
      <c r="AP394" s="307">
        <v>9.6494700000000009</v>
      </c>
      <c r="AQ394" s="307">
        <v>8.4061690000000002</v>
      </c>
      <c r="AR394" s="307">
        <v>9.1787650000000003</v>
      </c>
      <c r="AS394" s="307">
        <v>10.34259</v>
      </c>
      <c r="AT394" s="307">
        <v>8.5951430000000002</v>
      </c>
      <c r="AU394" s="307">
        <v>9.3913519999999995</v>
      </c>
      <c r="AV394" s="307">
        <v>12.05537</v>
      </c>
      <c r="AW394" s="307">
        <v>9.758051</v>
      </c>
      <c r="AX394" s="307">
        <v>10.51709</v>
      </c>
      <c r="AY394" s="307">
        <v>10.649699999999999</v>
      </c>
      <c r="AZ394" s="307">
        <v>12.878410000000001</v>
      </c>
      <c r="BA394" s="307">
        <v>11.57995</v>
      </c>
      <c r="BB394" s="307">
        <v>7.6689030000000002</v>
      </c>
      <c r="BC394" s="307">
        <v>9.1178369999999997</v>
      </c>
      <c r="BD394" s="307">
        <v>8.4232779999999998</v>
      </c>
      <c r="BE394" s="307">
        <v>11.69425</v>
      </c>
      <c r="BF394" s="307">
        <v>11.64137</v>
      </c>
      <c r="BG394" s="307">
        <v>9.3826669999999996</v>
      </c>
      <c r="BH394" s="307">
        <v>9.1575349999999993</v>
      </c>
      <c r="BI394" s="307">
        <v>10.00048</v>
      </c>
      <c r="BJ394" s="307">
        <v>9.8267810000000004</v>
      </c>
      <c r="BK394" s="307">
        <v>9.3488480000000003</v>
      </c>
      <c r="BL394">
        <f t="shared" si="24"/>
        <v>0</v>
      </c>
      <c r="BM394">
        <f t="shared" si="25"/>
        <v>9.8863581475409816</v>
      </c>
      <c r="BN394">
        <f t="shared" si="26"/>
        <v>12.944900000000001</v>
      </c>
      <c r="BO394">
        <f t="array" ref="BO394">MIN(IF($C394:$BK394&gt;0, $C394:$BK394))</f>
        <v>2.3607320000000001</v>
      </c>
      <c r="BP394">
        <f t="shared" si="27"/>
        <v>9.758051</v>
      </c>
    </row>
    <row r="395" spans="1:68" x14ac:dyDescent="0.25">
      <c r="A395" s="306">
        <v>722000</v>
      </c>
      <c r="B395" s="307" t="s">
        <v>347</v>
      </c>
      <c r="C395" s="307">
        <v>19.035959999999999</v>
      </c>
      <c r="D395" s="307">
        <v>15.77243</v>
      </c>
      <c r="E395" s="307">
        <v>22.681370000000001</v>
      </c>
      <c r="F395" s="307">
        <v>23.264990000000001</v>
      </c>
      <c r="G395" s="307">
        <v>17.41778</v>
      </c>
      <c r="H395" s="307">
        <v>16.156089999999999</v>
      </c>
      <c r="I395" s="307">
        <v>17.89836</v>
      </c>
      <c r="J395" s="307">
        <v>15.77979</v>
      </c>
      <c r="K395" s="307">
        <v>6.3531930000000001</v>
      </c>
      <c r="L395" s="307">
        <v>15.89311</v>
      </c>
      <c r="M395" s="307">
        <v>16.87107</v>
      </c>
      <c r="N395" s="307">
        <v>19.176459999999999</v>
      </c>
      <c r="O395" s="307">
        <v>16.231960000000001</v>
      </c>
      <c r="P395" s="307">
        <v>22.73405</v>
      </c>
      <c r="Q395" s="307">
        <v>23.077110000000001</v>
      </c>
      <c r="R395" s="307">
        <v>18.098230000000001</v>
      </c>
      <c r="S395" s="307">
        <v>22.610109999999999</v>
      </c>
      <c r="T395" s="307">
        <v>18.820139999999999</v>
      </c>
      <c r="U395" s="307">
        <v>20.416450000000001</v>
      </c>
      <c r="V395" s="307">
        <v>19.584959999999999</v>
      </c>
      <c r="W395" s="307">
        <v>16.072710000000001</v>
      </c>
      <c r="X395" s="307">
        <v>16.38091</v>
      </c>
      <c r="Y395" s="307">
        <v>19.570170000000001</v>
      </c>
      <c r="Z395" s="307">
        <v>22.64106</v>
      </c>
      <c r="AA395" s="307">
        <v>21.48319</v>
      </c>
      <c r="AB395" s="307">
        <v>20.06915</v>
      </c>
      <c r="AC395" s="307">
        <v>22.96677</v>
      </c>
      <c r="AD395" s="307">
        <v>23.49605</v>
      </c>
      <c r="AE395" s="307">
        <v>21.092739999999999</v>
      </c>
      <c r="AF395" s="307">
        <v>22.213940000000001</v>
      </c>
      <c r="AG395" s="307">
        <v>23.14507</v>
      </c>
      <c r="AH395" s="307">
        <v>16.32789</v>
      </c>
      <c r="AI395" s="307">
        <v>16.4193</v>
      </c>
      <c r="AJ395" s="307">
        <v>19.315899999999999</v>
      </c>
      <c r="AK395" s="307">
        <v>15.453950000000001</v>
      </c>
      <c r="AL395" s="307">
        <v>15.13893</v>
      </c>
      <c r="AM395" s="307">
        <v>21.36102</v>
      </c>
      <c r="AN395" s="307">
        <v>21.220939999999999</v>
      </c>
      <c r="AO395" s="307">
        <v>18.648160000000001</v>
      </c>
      <c r="AP395" s="307">
        <v>20.472270000000002</v>
      </c>
      <c r="AQ395" s="307">
        <v>18.565090000000001</v>
      </c>
      <c r="AR395" s="307">
        <v>20.955729999999999</v>
      </c>
      <c r="AS395" s="307">
        <v>22.987670000000001</v>
      </c>
      <c r="AT395" s="307">
        <v>19.231470000000002</v>
      </c>
      <c r="AU395" s="307">
        <v>19.093730000000001</v>
      </c>
      <c r="AV395" s="307">
        <v>20.50798</v>
      </c>
      <c r="AW395" s="307">
        <v>18.370830000000002</v>
      </c>
      <c r="AX395" s="307">
        <v>19.19529</v>
      </c>
      <c r="AY395" s="307">
        <v>18.29494</v>
      </c>
      <c r="AZ395" s="307">
        <v>23.281279999999999</v>
      </c>
      <c r="BA395" s="307">
        <v>22.076339999999998</v>
      </c>
      <c r="BB395" s="307">
        <v>20.081040000000002</v>
      </c>
      <c r="BC395" s="307">
        <v>17.28482</v>
      </c>
      <c r="BD395" s="307">
        <v>17.564330000000002</v>
      </c>
      <c r="BE395" s="307">
        <v>21.203720000000001</v>
      </c>
      <c r="BF395" s="307">
        <v>21.614190000000001</v>
      </c>
      <c r="BG395" s="307">
        <v>18.6571</v>
      </c>
      <c r="BH395" s="307">
        <v>21.021059999999999</v>
      </c>
      <c r="BI395" s="307">
        <v>19.65936</v>
      </c>
      <c r="BJ395" s="307">
        <v>18.383970000000001</v>
      </c>
      <c r="BK395" s="307">
        <v>16.6553</v>
      </c>
      <c r="BL395">
        <f t="shared" si="24"/>
        <v>0</v>
      </c>
      <c r="BM395">
        <f t="shared" si="25"/>
        <v>19.279491360655737</v>
      </c>
      <c r="BN395">
        <f t="shared" si="26"/>
        <v>23.49605</v>
      </c>
      <c r="BO395">
        <f t="array" ref="BO395">MIN(IF($C395:$BK395&gt;0, $C395:$BK395))</f>
        <v>6.3531930000000001</v>
      </c>
      <c r="BP395">
        <f t="shared" si="27"/>
        <v>19.231470000000002</v>
      </c>
    </row>
    <row r="396" spans="1:68" x14ac:dyDescent="0.25">
      <c r="A396" s="306">
        <v>811192</v>
      </c>
      <c r="B396" s="307" t="s">
        <v>349</v>
      </c>
      <c r="C396" s="307">
        <v>18.586220000000001</v>
      </c>
      <c r="D396" s="307">
        <v>14.199579999999999</v>
      </c>
      <c r="E396" s="307">
        <v>23.946580000000001</v>
      </c>
      <c r="F396" s="307">
        <v>22.062270000000002</v>
      </c>
      <c r="G396" s="307">
        <v>17.599509999999999</v>
      </c>
      <c r="H396" s="307">
        <v>14.7044</v>
      </c>
      <c r="I396" s="307">
        <v>18.764060000000001</v>
      </c>
      <c r="J396" s="307">
        <v>13.47456</v>
      </c>
      <c r="K396" s="307">
        <v>4.5281710000000004</v>
      </c>
      <c r="L396" s="307">
        <v>14.264989999999999</v>
      </c>
      <c r="M396" s="307">
        <v>20.351009999999999</v>
      </c>
      <c r="N396" s="307">
        <v>23.893280000000001</v>
      </c>
      <c r="O396" s="307">
        <v>14.01881</v>
      </c>
      <c r="P396" s="307">
        <v>22.009340000000002</v>
      </c>
      <c r="Q396" s="307">
        <v>19.331060000000001</v>
      </c>
      <c r="R396" s="307">
        <v>19.89819</v>
      </c>
      <c r="S396" s="307">
        <v>20.980519999999999</v>
      </c>
      <c r="T396" s="307">
        <v>19.650780000000001</v>
      </c>
      <c r="U396" s="307">
        <v>22.9407</v>
      </c>
      <c r="V396" s="307">
        <v>20.876380000000001</v>
      </c>
      <c r="W396" s="307">
        <v>13.18534</v>
      </c>
      <c r="X396" s="307">
        <v>17.369689999999999</v>
      </c>
      <c r="Y396" s="307">
        <v>16.140499999999999</v>
      </c>
      <c r="Z396" s="307">
        <v>22.69913</v>
      </c>
      <c r="AA396" s="307">
        <v>20.969390000000001</v>
      </c>
      <c r="AB396" s="307">
        <v>21.216439999999999</v>
      </c>
      <c r="AC396" s="307">
        <v>17.845020000000002</v>
      </c>
      <c r="AD396" s="307">
        <v>15.646039999999999</v>
      </c>
      <c r="AE396" s="307">
        <v>23.581119999999999</v>
      </c>
      <c r="AF396" s="307">
        <v>17.785219999999999</v>
      </c>
      <c r="AG396" s="307">
        <v>21.772269999999999</v>
      </c>
      <c r="AH396" s="307">
        <v>13.005990000000001</v>
      </c>
      <c r="AI396" s="307">
        <v>15.20763</v>
      </c>
      <c r="AJ396" s="307">
        <v>15.8788</v>
      </c>
      <c r="AK396" s="307">
        <v>21.16405</v>
      </c>
      <c r="AL396" s="307">
        <v>18.413540000000001</v>
      </c>
      <c r="AM396" s="307">
        <v>21.724930000000001</v>
      </c>
      <c r="AN396" s="307">
        <v>24.29365</v>
      </c>
      <c r="AO396" s="307">
        <v>16.410070000000001</v>
      </c>
      <c r="AP396" s="307">
        <v>16.117229999999999</v>
      </c>
      <c r="AQ396" s="307">
        <v>18.437190000000001</v>
      </c>
      <c r="AR396" s="307">
        <v>22.746110000000002</v>
      </c>
      <c r="AS396" s="307">
        <v>22.51013</v>
      </c>
      <c r="AT396" s="307">
        <v>18.266670000000001</v>
      </c>
      <c r="AU396" s="307">
        <v>19.046520000000001</v>
      </c>
      <c r="AV396" s="307">
        <v>24.18289</v>
      </c>
      <c r="AW396" s="307">
        <v>19.224080000000001</v>
      </c>
      <c r="AX396" s="307">
        <v>14.855090000000001</v>
      </c>
      <c r="AY396" s="307">
        <v>16.642189999999999</v>
      </c>
      <c r="AZ396" s="307">
        <v>18.826409999999999</v>
      </c>
      <c r="BA396" s="307">
        <v>16.318200000000001</v>
      </c>
      <c r="BB396" s="307">
        <v>23.776109999999999</v>
      </c>
      <c r="BC396" s="307">
        <v>14.320320000000001</v>
      </c>
      <c r="BD396" s="307">
        <v>17.354980000000001</v>
      </c>
      <c r="BE396" s="307">
        <v>21.209800000000001</v>
      </c>
      <c r="BF396" s="307">
        <v>21.755120000000002</v>
      </c>
      <c r="BG396" s="307">
        <v>21.317769999999999</v>
      </c>
      <c r="BH396" s="307">
        <v>21.114989999999999</v>
      </c>
      <c r="BI396" s="307">
        <v>19.653490000000001</v>
      </c>
      <c r="BJ396" s="307">
        <v>18.991479999999999</v>
      </c>
      <c r="BK396" s="307">
        <v>14.883710000000001</v>
      </c>
      <c r="BL396">
        <f t="shared" si="24"/>
        <v>0</v>
      </c>
      <c r="BM396">
        <f t="shared" si="25"/>
        <v>18.720323131147541</v>
      </c>
      <c r="BN396">
        <f t="shared" si="26"/>
        <v>24.29365</v>
      </c>
      <c r="BO396">
        <f t="array" ref="BO396">MIN(IF($C396:$BK396&gt;0, $C396:$BK396))</f>
        <v>4.5281710000000004</v>
      </c>
      <c r="BP396">
        <f t="shared" si="27"/>
        <v>18.991479999999999</v>
      </c>
    </row>
    <row r="397" spans="1:68" x14ac:dyDescent="0.25">
      <c r="A397" s="306" t="s">
        <v>787</v>
      </c>
      <c r="B397" s="307" t="s">
        <v>348</v>
      </c>
      <c r="C397" s="307">
        <v>8.8817900000000005</v>
      </c>
      <c r="D397" s="307">
        <v>7.370241</v>
      </c>
      <c r="E397" s="307">
        <v>10.429880000000001</v>
      </c>
      <c r="F397" s="307">
        <v>10.20457</v>
      </c>
      <c r="G397" s="307">
        <v>8.481503</v>
      </c>
      <c r="H397" s="307">
        <v>7.3305150000000001</v>
      </c>
      <c r="I397" s="307">
        <v>7.9058960000000003</v>
      </c>
      <c r="J397" s="307">
        <v>7.066865</v>
      </c>
      <c r="K397" s="307">
        <v>2.1945709999999998</v>
      </c>
      <c r="L397" s="307">
        <v>5.9380509999999997</v>
      </c>
      <c r="M397" s="307">
        <v>10.622909999999999</v>
      </c>
      <c r="N397" s="307">
        <v>10.407170000000001</v>
      </c>
      <c r="O397" s="307">
        <v>8.9281500000000005</v>
      </c>
      <c r="P397" s="307">
        <v>9.8085590000000007</v>
      </c>
      <c r="Q397" s="307">
        <v>9.1829529999999995</v>
      </c>
      <c r="R397" s="307">
        <v>8.7834830000000004</v>
      </c>
      <c r="S397" s="307">
        <v>9.4146180000000008</v>
      </c>
      <c r="T397" s="307">
        <v>8.3514789999999994</v>
      </c>
      <c r="U397" s="307">
        <v>9.9917510000000007</v>
      </c>
      <c r="V397" s="307">
        <v>10.33473</v>
      </c>
      <c r="W397" s="307">
        <v>6.9147210000000001</v>
      </c>
      <c r="X397" s="307">
        <v>8.3043479999999992</v>
      </c>
      <c r="Y397" s="307">
        <v>9.2208159999999992</v>
      </c>
      <c r="Z397" s="307">
        <v>9.8254210000000004</v>
      </c>
      <c r="AA397" s="307">
        <v>8.9047730000000005</v>
      </c>
      <c r="AB397" s="307">
        <v>8.8163250000000009</v>
      </c>
      <c r="AC397" s="307">
        <v>9.8417600000000007</v>
      </c>
      <c r="AD397" s="307">
        <v>8.2266739999999992</v>
      </c>
      <c r="AE397" s="307">
        <v>9.9142379999999992</v>
      </c>
      <c r="AF397" s="307">
        <v>8.0428370000000005</v>
      </c>
      <c r="AG397" s="307">
        <v>9.4155069999999998</v>
      </c>
      <c r="AH397" s="307">
        <v>7.1009310000000001</v>
      </c>
      <c r="AI397" s="307">
        <v>6.9310749999999999</v>
      </c>
      <c r="AJ397" s="307">
        <v>8.8729370000000003</v>
      </c>
      <c r="AK397" s="307">
        <v>8.3436280000000007</v>
      </c>
      <c r="AL397" s="307">
        <v>9.1133009999999999</v>
      </c>
      <c r="AM397" s="307">
        <v>9.0906590000000005</v>
      </c>
      <c r="AN397" s="307">
        <v>10.58112</v>
      </c>
      <c r="AO397" s="307">
        <v>8.5521799999999999</v>
      </c>
      <c r="AP397" s="307">
        <v>7.5949099999999996</v>
      </c>
      <c r="AQ397" s="307">
        <v>7.474164</v>
      </c>
      <c r="AR397" s="307">
        <v>9.8291389999999996</v>
      </c>
      <c r="AS397" s="307">
        <v>8.5266509999999993</v>
      </c>
      <c r="AT397" s="307">
        <v>8.0765360000000008</v>
      </c>
      <c r="AU397" s="307">
        <v>9.1327169999999995</v>
      </c>
      <c r="AV397" s="307">
        <v>10.514900000000001</v>
      </c>
      <c r="AW397" s="307">
        <v>7.9316820000000003</v>
      </c>
      <c r="AX397" s="307">
        <v>9.1592939999999992</v>
      </c>
      <c r="AY397" s="307">
        <v>7.9949320000000004</v>
      </c>
      <c r="AZ397" s="307">
        <v>8.7609770000000005</v>
      </c>
      <c r="BA397" s="307">
        <v>9.7968259999999994</v>
      </c>
      <c r="BB397" s="307">
        <v>10.24761</v>
      </c>
      <c r="BC397" s="307">
        <v>7.7079409999999999</v>
      </c>
      <c r="BD397" s="307">
        <v>8.2285369999999993</v>
      </c>
      <c r="BE397" s="307">
        <v>9.3147140000000004</v>
      </c>
      <c r="BF397" s="307">
        <v>9.2452839999999998</v>
      </c>
      <c r="BG397" s="307">
        <v>9.7518259999999994</v>
      </c>
      <c r="BH397" s="307">
        <v>9.5230320000000006</v>
      </c>
      <c r="BI397" s="307">
        <v>9.5486679999999993</v>
      </c>
      <c r="BJ397" s="307">
        <v>8.6787770000000002</v>
      </c>
      <c r="BK397" s="307">
        <v>7.5809490000000004</v>
      </c>
      <c r="BL397">
        <f t="shared" si="24"/>
        <v>0</v>
      </c>
      <c r="BM397">
        <f t="shared" si="25"/>
        <v>8.7256229836065611</v>
      </c>
      <c r="BN397">
        <f t="shared" si="26"/>
        <v>10.622909999999999</v>
      </c>
      <c r="BO397">
        <f t="array" ref="BO397">MIN(IF($C397:$BK397&gt;0, $C397:$BK397))</f>
        <v>2.1945709999999998</v>
      </c>
      <c r="BP397">
        <f t="shared" si="27"/>
        <v>8.8817900000000005</v>
      </c>
    </row>
    <row r="398" spans="1:68" x14ac:dyDescent="0.25">
      <c r="A398" s="306">
        <v>811200</v>
      </c>
      <c r="B398" s="307" t="s">
        <v>350</v>
      </c>
      <c r="C398" s="307">
        <v>7.5030919999999997</v>
      </c>
      <c r="D398" s="307">
        <v>6.3205099999999996</v>
      </c>
      <c r="E398" s="307">
        <v>7.1939849999999996</v>
      </c>
      <c r="F398" s="307">
        <v>8.4934619999999992</v>
      </c>
      <c r="G398" s="307">
        <v>6.702216</v>
      </c>
      <c r="H398" s="307">
        <v>6.0991330000000001</v>
      </c>
      <c r="I398" s="307">
        <v>6.9437379999999997</v>
      </c>
      <c r="J398" s="307">
        <v>5.4947509999999999</v>
      </c>
      <c r="K398" s="307">
        <v>1.0081500000000001</v>
      </c>
      <c r="L398" s="307">
        <v>5.8555060000000001</v>
      </c>
      <c r="M398" s="307">
        <v>8.5291340000000009</v>
      </c>
      <c r="N398" s="307">
        <v>9.1837809999999998</v>
      </c>
      <c r="O398" s="307">
        <v>8.5546050000000005</v>
      </c>
      <c r="P398" s="307">
        <v>6.7150949999999998</v>
      </c>
      <c r="Q398" s="307">
        <v>7.025347</v>
      </c>
      <c r="R398" s="307">
        <v>7.4819849999999999</v>
      </c>
      <c r="S398" s="307">
        <v>9.1935870000000008</v>
      </c>
      <c r="T398" s="307">
        <v>6.40848</v>
      </c>
      <c r="U398" s="307">
        <v>8.6254550000000005</v>
      </c>
      <c r="V398" s="307">
        <v>9.0948919999999998</v>
      </c>
      <c r="W398" s="307">
        <v>5.163214</v>
      </c>
      <c r="X398" s="307">
        <v>6.4352999999999998</v>
      </c>
      <c r="Y398" s="307">
        <v>8.1664809999999992</v>
      </c>
      <c r="Z398" s="307">
        <v>8.9794789999999995</v>
      </c>
      <c r="AA398" s="307">
        <v>7.2031720000000004</v>
      </c>
      <c r="AB398" s="307">
        <v>6.3070959999999996</v>
      </c>
      <c r="AC398" s="307">
        <v>8.6759299999999993</v>
      </c>
      <c r="AD398" s="307">
        <v>7.8097450000000004</v>
      </c>
      <c r="AE398" s="307">
        <v>8.9984570000000001</v>
      </c>
      <c r="AF398" s="307">
        <v>4.7204689999999996</v>
      </c>
      <c r="AG398" s="307">
        <v>7.9995219999999998</v>
      </c>
      <c r="AH398" s="307">
        <v>4.1656789999999999</v>
      </c>
      <c r="AI398" s="307">
        <v>5.6367900000000004</v>
      </c>
      <c r="AJ398" s="307">
        <v>6.8420480000000001</v>
      </c>
      <c r="AK398" s="307">
        <v>8.6566369999999999</v>
      </c>
      <c r="AL398" s="307">
        <v>6.2168219999999996</v>
      </c>
      <c r="AM398" s="307">
        <v>7.6697939999999996</v>
      </c>
      <c r="AN398" s="307">
        <v>9.330508</v>
      </c>
      <c r="AO398" s="307">
        <v>7.5989500000000003</v>
      </c>
      <c r="AP398" s="307">
        <v>5.9369680000000002</v>
      </c>
      <c r="AQ398" s="307">
        <v>6.2675979999999996</v>
      </c>
      <c r="AR398" s="307">
        <v>9.1684570000000001</v>
      </c>
      <c r="AS398" s="307">
        <v>5.9551530000000001</v>
      </c>
      <c r="AT398" s="307">
        <v>7.3125400000000003</v>
      </c>
      <c r="AU398" s="307">
        <v>8.1726639999999993</v>
      </c>
      <c r="AV398" s="307">
        <v>8.4705480000000009</v>
      </c>
      <c r="AW398" s="307">
        <v>5.142728</v>
      </c>
      <c r="AX398" s="307">
        <v>6.8180389999999997</v>
      </c>
      <c r="AY398" s="307">
        <v>7.0043819999999997</v>
      </c>
      <c r="AZ398" s="307">
        <v>7.6696229999999996</v>
      </c>
      <c r="BA398" s="307">
        <v>7.9842029999999999</v>
      </c>
      <c r="BB398" s="307">
        <v>7.2203290000000004</v>
      </c>
      <c r="BC398" s="307">
        <v>5.9279520000000003</v>
      </c>
      <c r="BD398" s="307">
        <v>6.4765990000000002</v>
      </c>
      <c r="BE398" s="307">
        <v>8.1980920000000008</v>
      </c>
      <c r="BF398" s="307">
        <v>7.2707230000000003</v>
      </c>
      <c r="BG398" s="307">
        <v>8.0224159999999998</v>
      </c>
      <c r="BH398" s="307">
        <v>7.9257559999999998</v>
      </c>
      <c r="BI398" s="307">
        <v>8.4683899999999994</v>
      </c>
      <c r="BJ398" s="307">
        <v>7.291099</v>
      </c>
      <c r="BK398" s="307">
        <v>6.3501390000000004</v>
      </c>
      <c r="BL398">
        <f t="shared" si="24"/>
        <v>0</v>
      </c>
      <c r="BM398">
        <f t="shared" si="25"/>
        <v>7.1812687704918021</v>
      </c>
      <c r="BN398">
        <f t="shared" si="26"/>
        <v>9.330508</v>
      </c>
      <c r="BO398">
        <f t="array" ref="BO398">MIN(IF($C398:$BK398&gt;0, $C398:$BK398))</f>
        <v>1.0081500000000001</v>
      </c>
      <c r="BP398">
        <f t="shared" si="27"/>
        <v>7.2707230000000003</v>
      </c>
    </row>
    <row r="399" spans="1:68" s="375" customFormat="1" x14ac:dyDescent="0.25">
      <c r="A399" s="382">
        <v>811300</v>
      </c>
      <c r="B399" s="383" t="s">
        <v>351</v>
      </c>
      <c r="C399" s="383">
        <v>6.6944929999999996</v>
      </c>
      <c r="D399" s="383">
        <v>5.2806300000000004</v>
      </c>
      <c r="E399" s="383">
        <v>7.0230309999999996</v>
      </c>
      <c r="F399" s="383">
        <v>7.4978899999999999</v>
      </c>
      <c r="G399" s="383">
        <v>6.081099</v>
      </c>
      <c r="H399" s="383">
        <v>5.2930520000000003</v>
      </c>
      <c r="I399" s="383">
        <v>6.6791010000000002</v>
      </c>
      <c r="J399" s="383">
        <v>4.7462629999999999</v>
      </c>
      <c r="K399" s="383">
        <v>1.394379</v>
      </c>
      <c r="L399" s="383">
        <v>4.669232</v>
      </c>
      <c r="M399" s="383">
        <v>7.9365600000000001</v>
      </c>
      <c r="N399" s="383">
        <v>7.7674609999999999</v>
      </c>
      <c r="O399" s="383">
        <v>6.3758650000000001</v>
      </c>
      <c r="P399" s="383">
        <v>7.5610270000000002</v>
      </c>
      <c r="Q399" s="383">
        <v>7.6433049999999998</v>
      </c>
      <c r="R399" s="383">
        <v>6.1610009999999997</v>
      </c>
      <c r="S399" s="383">
        <v>7.5956809999999999</v>
      </c>
      <c r="T399" s="383">
        <v>6.1073909999999998</v>
      </c>
      <c r="U399" s="383">
        <v>7.7489270000000001</v>
      </c>
      <c r="V399" s="383">
        <v>6.4635759999999998</v>
      </c>
      <c r="W399" s="383">
        <v>4.809437</v>
      </c>
      <c r="X399" s="383">
        <v>6.5700209999999997</v>
      </c>
      <c r="Y399" s="383">
        <v>5.3586229999999997</v>
      </c>
      <c r="Z399" s="383">
        <v>6.7047869999999996</v>
      </c>
      <c r="AA399" s="383">
        <v>7.7091390000000004</v>
      </c>
      <c r="AB399" s="383">
        <v>7.3684609999999999</v>
      </c>
      <c r="AC399" s="383">
        <v>6.2573699999999999</v>
      </c>
      <c r="AD399" s="383">
        <v>6.9526289999999999</v>
      </c>
      <c r="AE399" s="383">
        <v>7.6456</v>
      </c>
      <c r="AF399" s="383">
        <v>6.7665769999999998</v>
      </c>
      <c r="AG399" s="383">
        <v>7.8401449999999997</v>
      </c>
      <c r="AH399" s="383">
        <v>5.4025639999999999</v>
      </c>
      <c r="AI399" s="383">
        <v>4.8256360000000003</v>
      </c>
      <c r="AJ399" s="383">
        <v>5.9614310000000001</v>
      </c>
      <c r="AK399" s="383">
        <v>5.548915</v>
      </c>
      <c r="AL399" s="383">
        <v>6.2003459999999997</v>
      </c>
      <c r="AM399" s="383">
        <v>7.1119789999999998</v>
      </c>
      <c r="AN399" s="383">
        <v>8.0235620000000001</v>
      </c>
      <c r="AO399" s="383">
        <v>4.6386810000000001</v>
      </c>
      <c r="AP399" s="383">
        <v>5.4688429999999997</v>
      </c>
      <c r="AQ399" s="383">
        <v>6.2141900000000003</v>
      </c>
      <c r="AR399" s="383">
        <v>7.9754550000000002</v>
      </c>
      <c r="AS399" s="383">
        <v>6.9777319999999996</v>
      </c>
      <c r="AT399" s="383">
        <v>5.5570659999999998</v>
      </c>
      <c r="AU399" s="383">
        <v>6.2808440000000001</v>
      </c>
      <c r="AV399" s="383">
        <v>6.6744729999999999</v>
      </c>
      <c r="AW399" s="383">
        <v>6.1906059999999998</v>
      </c>
      <c r="AX399" s="383">
        <v>7.1358139999999999</v>
      </c>
      <c r="AY399" s="383">
        <v>5.5784440000000002</v>
      </c>
      <c r="AZ399" s="383">
        <v>6.5111160000000003</v>
      </c>
      <c r="BA399" s="383">
        <v>7.2665709999999999</v>
      </c>
      <c r="BB399" s="383">
        <v>6.2420840000000002</v>
      </c>
      <c r="BC399" s="383">
        <v>5.4671659999999997</v>
      </c>
      <c r="BD399" s="383">
        <v>5.8237430000000003</v>
      </c>
      <c r="BE399" s="383">
        <v>6.935422</v>
      </c>
      <c r="BF399" s="383">
        <v>7.4658290000000003</v>
      </c>
      <c r="BG399" s="383">
        <v>7.5737370000000004</v>
      </c>
      <c r="BH399" s="383">
        <v>6.7647399999999998</v>
      </c>
      <c r="BI399" s="383">
        <v>6.6260969999999997</v>
      </c>
      <c r="BJ399" s="383">
        <v>6.4057190000000004</v>
      </c>
      <c r="BK399" s="383">
        <v>5.360169</v>
      </c>
      <c r="BL399" s="375">
        <f t="shared" si="24"/>
        <v>0</v>
      </c>
      <c r="BM399">
        <f t="shared" si="25"/>
        <v>6.4083889672131145</v>
      </c>
      <c r="BN399">
        <f t="shared" si="26"/>
        <v>8.0235620000000001</v>
      </c>
      <c r="BO399">
        <f t="array" ref="BO399">MIN(IF($C399:$BK399&gt;0, $C399:$BK399))</f>
        <v>1.394379</v>
      </c>
      <c r="BP399">
        <f t="shared" si="27"/>
        <v>6.5111160000000003</v>
      </c>
    </row>
    <row r="400" spans="1:68" x14ac:dyDescent="0.25">
      <c r="A400" s="306">
        <v>811400</v>
      </c>
      <c r="B400" s="307" t="s">
        <v>352</v>
      </c>
      <c r="C400" s="307">
        <v>6.73034</v>
      </c>
      <c r="D400" s="307">
        <v>5.6786409999999998</v>
      </c>
      <c r="E400" s="307">
        <v>8.8261970000000005</v>
      </c>
      <c r="F400" s="307">
        <v>7.9647560000000004</v>
      </c>
      <c r="G400" s="307">
        <v>6.679862</v>
      </c>
      <c r="H400" s="307">
        <v>5.5285260000000003</v>
      </c>
      <c r="I400" s="307">
        <v>6.6170749999999998</v>
      </c>
      <c r="J400" s="307">
        <v>5.2814589999999999</v>
      </c>
      <c r="K400" s="307">
        <v>1.991644</v>
      </c>
      <c r="L400" s="307">
        <v>3.7366839999999999</v>
      </c>
      <c r="M400" s="307">
        <v>7.3985289999999999</v>
      </c>
      <c r="N400" s="307">
        <v>8.8090340000000005</v>
      </c>
      <c r="O400" s="307">
        <v>6.6843779999999997</v>
      </c>
      <c r="P400" s="307">
        <v>8.103218</v>
      </c>
      <c r="Q400" s="307">
        <v>7.5848500000000003</v>
      </c>
      <c r="R400" s="307">
        <v>6.7996319999999999</v>
      </c>
      <c r="S400" s="307">
        <v>7.0854369999999998</v>
      </c>
      <c r="T400" s="307">
        <v>6.22525</v>
      </c>
      <c r="U400" s="307">
        <v>8.06053</v>
      </c>
      <c r="V400" s="307">
        <v>7.9497489999999997</v>
      </c>
      <c r="W400" s="307">
        <v>5.3169399999999998</v>
      </c>
      <c r="X400" s="307">
        <v>6.1895870000000004</v>
      </c>
      <c r="Y400" s="307">
        <v>6.7135109999999996</v>
      </c>
      <c r="Z400" s="307">
        <v>7.1534329999999997</v>
      </c>
      <c r="AA400" s="307">
        <v>8.1513779999999993</v>
      </c>
      <c r="AB400" s="307">
        <v>7.4989889999999999</v>
      </c>
      <c r="AC400" s="307">
        <v>6.8908370000000003</v>
      </c>
      <c r="AD400" s="307">
        <v>6.9014660000000001</v>
      </c>
      <c r="AE400" s="307">
        <v>7.9970619999999997</v>
      </c>
      <c r="AF400" s="307">
        <v>7.9273610000000003</v>
      </c>
      <c r="AG400" s="307">
        <v>7.5072859999999997</v>
      </c>
      <c r="AH400" s="307">
        <v>5.1758139999999999</v>
      </c>
      <c r="AI400" s="307">
        <v>5.5498830000000003</v>
      </c>
      <c r="AJ400" s="307">
        <v>7.3509080000000004</v>
      </c>
      <c r="AK400" s="307">
        <v>7.1065370000000003</v>
      </c>
      <c r="AL400" s="307">
        <v>5.2599239999999998</v>
      </c>
      <c r="AM400" s="307">
        <v>7.26295</v>
      </c>
      <c r="AN400" s="307">
        <v>8.8209710000000001</v>
      </c>
      <c r="AO400" s="307">
        <v>7.1575749999999996</v>
      </c>
      <c r="AP400" s="307">
        <v>5.5633869999999996</v>
      </c>
      <c r="AQ400" s="307">
        <v>6.8139060000000002</v>
      </c>
      <c r="AR400" s="307">
        <v>8.1752000000000002</v>
      </c>
      <c r="AS400" s="307">
        <v>6.6688349999999996</v>
      </c>
      <c r="AT400" s="307">
        <v>7.7929820000000003</v>
      </c>
      <c r="AU400" s="307">
        <v>6.5827770000000001</v>
      </c>
      <c r="AV400" s="307">
        <v>8.6124120000000008</v>
      </c>
      <c r="AW400" s="307">
        <v>7.3531029999999999</v>
      </c>
      <c r="AX400" s="307">
        <v>7.2117969999999998</v>
      </c>
      <c r="AY400" s="307">
        <v>5.5410959999999996</v>
      </c>
      <c r="AZ400" s="307">
        <v>7.2593930000000002</v>
      </c>
      <c r="BA400" s="307">
        <v>8.5305510000000009</v>
      </c>
      <c r="BB400" s="307">
        <v>8.9139569999999999</v>
      </c>
      <c r="BC400" s="307">
        <v>5.758108</v>
      </c>
      <c r="BD400" s="307">
        <v>5.6581359999999998</v>
      </c>
      <c r="BE400" s="307">
        <v>7.161073</v>
      </c>
      <c r="BF400" s="307">
        <v>7.8165430000000002</v>
      </c>
      <c r="BG400" s="307">
        <v>7.5668889999999998</v>
      </c>
      <c r="BH400" s="307">
        <v>7.9787410000000003</v>
      </c>
      <c r="BI400" s="307">
        <v>7.0114840000000003</v>
      </c>
      <c r="BJ400" s="307">
        <v>7.0372159999999999</v>
      </c>
      <c r="BK400" s="307">
        <v>5.6907160000000001</v>
      </c>
      <c r="BL400">
        <f t="shared" si="24"/>
        <v>0</v>
      </c>
      <c r="BM400">
        <f t="shared" si="25"/>
        <v>6.9240410655737694</v>
      </c>
      <c r="BN400">
        <f t="shared" si="26"/>
        <v>8.9139569999999999</v>
      </c>
      <c r="BO400">
        <f t="array" ref="BO400">MIN(IF($C400:$BK400&gt;0, $C400:$BK400))</f>
        <v>1.991644</v>
      </c>
      <c r="BP400">
        <f t="shared" si="27"/>
        <v>7.1065370000000003</v>
      </c>
    </row>
    <row r="401" spans="1:68" x14ac:dyDescent="0.25">
      <c r="A401" s="306">
        <v>812100</v>
      </c>
      <c r="B401" s="307" t="s">
        <v>353</v>
      </c>
      <c r="C401" s="307">
        <v>10.497109999999999</v>
      </c>
      <c r="D401" s="307">
        <v>8.7368129999999997</v>
      </c>
      <c r="E401" s="307">
        <v>10.790839999999999</v>
      </c>
      <c r="F401" s="307">
        <v>10.914669999999999</v>
      </c>
      <c r="G401" s="307">
        <v>9.6792049999999996</v>
      </c>
      <c r="H401" s="307">
        <v>9.4629490000000001</v>
      </c>
      <c r="I401" s="307">
        <v>9.7641430000000007</v>
      </c>
      <c r="J401" s="307">
        <v>8.3745469999999997</v>
      </c>
      <c r="K401" s="307">
        <v>3.4976970000000001</v>
      </c>
      <c r="L401" s="307">
        <v>10.09857</v>
      </c>
      <c r="M401" s="307">
        <v>11.46843</v>
      </c>
      <c r="N401" s="307">
        <v>10.85383</v>
      </c>
      <c r="O401" s="307">
        <v>9.6144929999999995</v>
      </c>
      <c r="P401" s="307">
        <v>12.04214</v>
      </c>
      <c r="Q401" s="307">
        <v>12.210900000000001</v>
      </c>
      <c r="R401" s="307">
        <v>10.12768</v>
      </c>
      <c r="S401" s="307">
        <v>12.1234</v>
      </c>
      <c r="T401" s="307">
        <v>10.01173</v>
      </c>
      <c r="U401" s="307">
        <v>11.571099999999999</v>
      </c>
      <c r="V401" s="307">
        <v>11.991239999999999</v>
      </c>
      <c r="W401" s="307">
        <v>8.6986699999999999</v>
      </c>
      <c r="X401" s="307">
        <v>10.50887</v>
      </c>
      <c r="Y401" s="307">
        <v>10.267770000000001</v>
      </c>
      <c r="Z401" s="307">
        <v>11.286490000000001</v>
      </c>
      <c r="AA401" s="307">
        <v>10.27969</v>
      </c>
      <c r="AB401" s="307">
        <v>11.590260000000001</v>
      </c>
      <c r="AC401" s="307">
        <v>11.47616</v>
      </c>
      <c r="AD401" s="307">
        <v>10.24926</v>
      </c>
      <c r="AE401" s="307">
        <v>10.23668</v>
      </c>
      <c r="AF401" s="307">
        <v>11.478899999999999</v>
      </c>
      <c r="AG401" s="307">
        <v>10.87233</v>
      </c>
      <c r="AH401" s="307">
        <v>8.3539860000000008</v>
      </c>
      <c r="AI401" s="307">
        <v>12.02956</v>
      </c>
      <c r="AJ401" s="307">
        <v>11.012510000000001</v>
      </c>
      <c r="AK401" s="307">
        <v>8.7053290000000008</v>
      </c>
      <c r="AL401" s="307">
        <v>9.0712869999999999</v>
      </c>
      <c r="AM401" s="307">
        <v>12.11825</v>
      </c>
      <c r="AN401" s="307">
        <v>12.16009</v>
      </c>
      <c r="AO401" s="307">
        <v>9.9590340000000008</v>
      </c>
      <c r="AP401" s="307">
        <v>10.0878</v>
      </c>
      <c r="AQ401" s="307">
        <v>10.469150000000001</v>
      </c>
      <c r="AR401" s="307">
        <v>9.9546930000000007</v>
      </c>
      <c r="AS401" s="307">
        <v>10.95506</v>
      </c>
      <c r="AT401" s="307">
        <v>9.0771820000000005</v>
      </c>
      <c r="AU401" s="307">
        <v>9.9338770000000007</v>
      </c>
      <c r="AV401" s="307">
        <v>12.362579999999999</v>
      </c>
      <c r="AW401" s="307">
        <v>9.9806869999999996</v>
      </c>
      <c r="AX401" s="307">
        <v>8.6978480000000005</v>
      </c>
      <c r="AY401" s="307">
        <v>9.0142889999999998</v>
      </c>
      <c r="AZ401" s="307">
        <v>11.626390000000001</v>
      </c>
      <c r="BA401" s="307">
        <v>11.246359999999999</v>
      </c>
      <c r="BB401" s="307">
        <v>11.690630000000001</v>
      </c>
      <c r="BC401" s="307">
        <v>9.0354910000000004</v>
      </c>
      <c r="BD401" s="307">
        <v>10.295210000000001</v>
      </c>
      <c r="BE401" s="307">
        <v>11.36242</v>
      </c>
      <c r="BF401" s="307">
        <v>11.12289</v>
      </c>
      <c r="BG401" s="307">
        <v>10.874890000000001</v>
      </c>
      <c r="BH401" s="307">
        <v>10.311389999999999</v>
      </c>
      <c r="BI401" s="307">
        <v>10.389469999999999</v>
      </c>
      <c r="BJ401" s="307">
        <v>10.165839999999999</v>
      </c>
      <c r="BK401" s="307">
        <v>9.437481</v>
      </c>
      <c r="BL401">
        <f t="shared" si="24"/>
        <v>0</v>
      </c>
      <c r="BM401">
        <f t="shared" si="25"/>
        <v>10.36521706557377</v>
      </c>
      <c r="BN401">
        <f t="shared" si="26"/>
        <v>12.362579999999999</v>
      </c>
      <c r="BO401">
        <f t="array" ref="BO401">MIN(IF($C401:$BK401&gt;0, $C401:$BK401))</f>
        <v>3.4976970000000001</v>
      </c>
      <c r="BP401">
        <f t="shared" si="27"/>
        <v>10.311389999999999</v>
      </c>
    </row>
    <row r="402" spans="1:68" x14ac:dyDescent="0.25">
      <c r="A402" s="306">
        <v>812200</v>
      </c>
      <c r="B402" s="307" t="s">
        <v>354</v>
      </c>
      <c r="C402" s="307">
        <v>6.0694059999999999</v>
      </c>
      <c r="D402" s="307">
        <v>5.676704</v>
      </c>
      <c r="E402" s="307">
        <v>6.4101480000000004</v>
      </c>
      <c r="F402" s="307">
        <v>6.3499189999999999</v>
      </c>
      <c r="G402" s="307">
        <v>5.8619919999999999</v>
      </c>
      <c r="H402" s="307">
        <v>4.7963800000000001</v>
      </c>
      <c r="I402" s="307">
        <v>6.3088670000000002</v>
      </c>
      <c r="J402" s="307">
        <v>4.6992830000000003</v>
      </c>
      <c r="K402" s="307">
        <v>3.8113239999999999</v>
      </c>
      <c r="L402" s="307">
        <v>5.7286929999999998</v>
      </c>
      <c r="M402" s="307">
        <v>7.1221389999999998</v>
      </c>
      <c r="N402" s="307">
        <v>7.1980950000000004</v>
      </c>
      <c r="O402" s="307">
        <v>5.9022899999999998</v>
      </c>
      <c r="P402" s="307">
        <v>7.2552880000000002</v>
      </c>
      <c r="Q402" s="307">
        <v>7.2195650000000002</v>
      </c>
      <c r="R402" s="307">
        <v>5.18764</v>
      </c>
      <c r="S402" s="307">
        <v>6.5542910000000001</v>
      </c>
      <c r="T402" s="307">
        <v>6.6976950000000004</v>
      </c>
      <c r="U402" s="307">
        <v>6.4180450000000002</v>
      </c>
      <c r="V402" s="307">
        <v>6.720116</v>
      </c>
      <c r="W402" s="307">
        <v>4.6989010000000002</v>
      </c>
      <c r="X402" s="307">
        <v>5.8072530000000002</v>
      </c>
      <c r="Y402" s="307">
        <v>5.974907</v>
      </c>
      <c r="Z402" s="307">
        <v>6.3232439999999999</v>
      </c>
      <c r="AA402" s="307">
        <v>6.7896799999999997</v>
      </c>
      <c r="AB402" s="307">
        <v>6.7454340000000004</v>
      </c>
      <c r="AC402" s="307">
        <v>6.962472</v>
      </c>
      <c r="AD402" s="307">
        <v>5.9952160000000001</v>
      </c>
      <c r="AE402" s="307">
        <v>6.6995209999999998</v>
      </c>
      <c r="AF402" s="307">
        <v>6.7073980000000004</v>
      </c>
      <c r="AG402" s="307">
        <v>6.4813809999999998</v>
      </c>
      <c r="AH402" s="307">
        <v>4.84823</v>
      </c>
      <c r="AI402" s="307">
        <v>5.0528550000000001</v>
      </c>
      <c r="AJ402" s="307">
        <v>6.7259890000000002</v>
      </c>
      <c r="AK402" s="307">
        <v>4.7963240000000003</v>
      </c>
      <c r="AL402" s="307">
        <v>4.6958279999999997</v>
      </c>
      <c r="AM402" s="307">
        <v>6.8617920000000003</v>
      </c>
      <c r="AN402" s="307">
        <v>7.4276669999999996</v>
      </c>
      <c r="AO402" s="307">
        <v>5.4115440000000001</v>
      </c>
      <c r="AP402" s="307">
        <v>5.5537400000000003</v>
      </c>
      <c r="AQ402" s="307">
        <v>5.3183129999999998</v>
      </c>
      <c r="AR402" s="307">
        <v>6.6094819999999999</v>
      </c>
      <c r="AS402" s="307">
        <v>6.3418270000000003</v>
      </c>
      <c r="AT402" s="307">
        <v>5.6723429999999997</v>
      </c>
      <c r="AU402" s="307">
        <v>6.2515359999999998</v>
      </c>
      <c r="AV402" s="307">
        <v>6.4218120000000001</v>
      </c>
      <c r="AW402" s="307">
        <v>7.0268750000000004</v>
      </c>
      <c r="AX402" s="307">
        <v>6.5151950000000003</v>
      </c>
      <c r="AY402" s="307">
        <v>5.3668480000000001</v>
      </c>
      <c r="AZ402" s="307">
        <v>5.2800250000000002</v>
      </c>
      <c r="BA402" s="307">
        <v>6.6412420000000001</v>
      </c>
      <c r="BB402" s="307">
        <v>7.0241759999999998</v>
      </c>
      <c r="BC402" s="307">
        <v>5.0503539999999996</v>
      </c>
      <c r="BD402" s="307">
        <v>5.1863720000000004</v>
      </c>
      <c r="BE402" s="307">
        <v>6.1020979999999998</v>
      </c>
      <c r="BF402" s="307">
        <v>6.9537100000000001</v>
      </c>
      <c r="BG402" s="307">
        <v>6.9061120000000003</v>
      </c>
      <c r="BH402" s="307">
        <v>6.258051</v>
      </c>
      <c r="BI402" s="307">
        <v>6.4886790000000003</v>
      </c>
      <c r="BJ402" s="307">
        <v>6.2082819999999996</v>
      </c>
      <c r="BK402" s="307">
        <v>4.9605560000000004</v>
      </c>
      <c r="BL402">
        <f t="shared" si="24"/>
        <v>0</v>
      </c>
      <c r="BM402">
        <f t="shared" si="25"/>
        <v>6.0841171147541004</v>
      </c>
      <c r="BN402">
        <f t="shared" si="26"/>
        <v>7.4276669999999996</v>
      </c>
      <c r="BO402">
        <f t="array" ref="BO402">MIN(IF($C402:$BK402&gt;0, $C402:$BK402))</f>
        <v>3.8113239999999999</v>
      </c>
      <c r="BP402">
        <f t="shared" si="27"/>
        <v>6.3088670000000002</v>
      </c>
    </row>
    <row r="403" spans="1:68" x14ac:dyDescent="0.25">
      <c r="A403" s="306">
        <v>812300</v>
      </c>
      <c r="B403" s="307" t="s">
        <v>355</v>
      </c>
      <c r="C403" s="307">
        <v>8.3366579999999999</v>
      </c>
      <c r="D403" s="307">
        <v>6.8981469999999998</v>
      </c>
      <c r="E403" s="307">
        <v>8.7467310000000005</v>
      </c>
      <c r="F403" s="307">
        <v>8.5745590000000007</v>
      </c>
      <c r="G403" s="307">
        <v>8.3686220000000002</v>
      </c>
      <c r="H403" s="307">
        <v>6.8805860000000001</v>
      </c>
      <c r="I403" s="307">
        <v>7.9738239999999996</v>
      </c>
      <c r="J403" s="307">
        <v>6.767989</v>
      </c>
      <c r="K403" s="307">
        <v>2.7654800000000002</v>
      </c>
      <c r="L403" s="307">
        <v>7.0964809999999998</v>
      </c>
      <c r="M403" s="307">
        <v>9.7320779999999996</v>
      </c>
      <c r="N403" s="307">
        <v>9.0788770000000003</v>
      </c>
      <c r="O403" s="307">
        <v>9.2908010000000001</v>
      </c>
      <c r="P403" s="307">
        <v>8.5139659999999999</v>
      </c>
      <c r="Q403" s="307">
        <v>8.6407900000000009</v>
      </c>
      <c r="R403" s="307">
        <v>7.5068530000000004</v>
      </c>
      <c r="S403" s="307">
        <v>8.3440080000000005</v>
      </c>
      <c r="T403" s="307">
        <v>8.2910090000000007</v>
      </c>
      <c r="U403" s="307">
        <v>8.6413840000000004</v>
      </c>
      <c r="V403" s="307">
        <v>9.6898590000000002</v>
      </c>
      <c r="W403" s="307">
        <v>6.8755430000000004</v>
      </c>
      <c r="X403" s="307">
        <v>8.3569110000000002</v>
      </c>
      <c r="Y403" s="307">
        <v>8.47959</v>
      </c>
      <c r="Z403" s="307">
        <v>8.5240349999999996</v>
      </c>
      <c r="AA403" s="307">
        <v>6.8766850000000002</v>
      </c>
      <c r="AB403" s="307">
        <v>7.6396759999999997</v>
      </c>
      <c r="AC403" s="307">
        <v>9.6402769999999993</v>
      </c>
      <c r="AD403" s="307">
        <v>8.3420660000000009</v>
      </c>
      <c r="AE403" s="307">
        <v>9.2495999999999992</v>
      </c>
      <c r="AF403" s="307">
        <v>6.2715759999999996</v>
      </c>
      <c r="AG403" s="307">
        <v>7.742807</v>
      </c>
      <c r="AH403" s="307">
        <v>6.5722769999999997</v>
      </c>
      <c r="AI403" s="307">
        <v>8.8777969999999993</v>
      </c>
      <c r="AJ403" s="307">
        <v>9.1492079999999998</v>
      </c>
      <c r="AK403" s="307">
        <v>6.8239770000000002</v>
      </c>
      <c r="AL403" s="307">
        <v>7.9761280000000001</v>
      </c>
      <c r="AM403" s="307">
        <v>8.3871470000000006</v>
      </c>
      <c r="AN403" s="307">
        <v>9.7705990000000007</v>
      </c>
      <c r="AO403" s="307">
        <v>6.3664610000000001</v>
      </c>
      <c r="AP403" s="307">
        <v>7.2021230000000003</v>
      </c>
      <c r="AQ403" s="307">
        <v>7.0392679999999999</v>
      </c>
      <c r="AR403" s="307">
        <v>9.0566849999999999</v>
      </c>
      <c r="AS403" s="307">
        <v>7.1648259999999997</v>
      </c>
      <c r="AT403" s="307">
        <v>7.1582710000000001</v>
      </c>
      <c r="AU403" s="307">
        <v>9.6423260000000006</v>
      </c>
      <c r="AV403" s="307">
        <v>9.7703249999999997</v>
      </c>
      <c r="AW403" s="307">
        <v>9.0068870000000008</v>
      </c>
      <c r="AX403" s="307">
        <v>8.0996950000000005</v>
      </c>
      <c r="AY403" s="307">
        <v>7.1978059999999999</v>
      </c>
      <c r="AZ403" s="307">
        <v>7.7716719999999997</v>
      </c>
      <c r="BA403" s="307">
        <v>7.7099000000000002</v>
      </c>
      <c r="BB403" s="307">
        <v>9.2430470000000007</v>
      </c>
      <c r="BC403" s="307">
        <v>7.2467459999999999</v>
      </c>
      <c r="BD403" s="307">
        <v>8.2032710000000009</v>
      </c>
      <c r="BE403" s="307">
        <v>8.1181319999999992</v>
      </c>
      <c r="BF403" s="307">
        <v>7.8768789999999997</v>
      </c>
      <c r="BG403" s="307">
        <v>9.3490579999999994</v>
      </c>
      <c r="BH403" s="307">
        <v>8.4798950000000008</v>
      </c>
      <c r="BI403" s="307">
        <v>9.6206689999999995</v>
      </c>
      <c r="BJ403" s="307">
        <v>8.1698059999999995</v>
      </c>
      <c r="BK403" s="307">
        <v>6.9839079999999996</v>
      </c>
      <c r="BL403">
        <f t="shared" si="24"/>
        <v>0</v>
      </c>
      <c r="BM403">
        <f t="shared" si="25"/>
        <v>8.0683976557377051</v>
      </c>
      <c r="BN403">
        <f t="shared" si="26"/>
        <v>9.7705990000000007</v>
      </c>
      <c r="BO403">
        <f t="array" ref="BO403">MIN(IF($C403:$BK403&gt;0, $C403:$BK403))</f>
        <v>2.7654800000000002</v>
      </c>
      <c r="BP403">
        <f t="shared" si="27"/>
        <v>8.2910090000000007</v>
      </c>
    </row>
    <row r="404" spans="1:68" x14ac:dyDescent="0.25">
      <c r="A404" s="306">
        <v>812900</v>
      </c>
      <c r="B404" s="307" t="s">
        <v>356</v>
      </c>
      <c r="C404" s="307">
        <v>3.1350769999999999</v>
      </c>
      <c r="D404" s="307">
        <v>2.6777289999999998</v>
      </c>
      <c r="E404" s="307">
        <v>2.9866009999999998</v>
      </c>
      <c r="F404" s="307">
        <v>3.0981809999999999</v>
      </c>
      <c r="G404" s="307">
        <v>3.1009950000000002</v>
      </c>
      <c r="H404" s="307">
        <v>2.6746479999999999</v>
      </c>
      <c r="I404" s="307">
        <v>2.921462</v>
      </c>
      <c r="J404" s="307">
        <v>2.410809</v>
      </c>
      <c r="K404" s="307">
        <v>1.0025329999999999</v>
      </c>
      <c r="L404" s="307">
        <v>2.9603429999999999</v>
      </c>
      <c r="M404" s="307">
        <v>3.9184749999999999</v>
      </c>
      <c r="N404" s="307">
        <v>3.4196819999999999</v>
      </c>
      <c r="O404" s="307">
        <v>3.6441080000000001</v>
      </c>
      <c r="P404" s="307">
        <v>3.6751990000000001</v>
      </c>
      <c r="Q404" s="307">
        <v>2.9643139999999999</v>
      </c>
      <c r="R404" s="307">
        <v>2.623583</v>
      </c>
      <c r="S404" s="307">
        <v>3.5092780000000001</v>
      </c>
      <c r="T404" s="307">
        <v>3.1083430000000001</v>
      </c>
      <c r="U404" s="307">
        <v>3.5370300000000001</v>
      </c>
      <c r="V404" s="307">
        <v>3.8100809999999998</v>
      </c>
      <c r="W404" s="307">
        <v>2.894917</v>
      </c>
      <c r="X404" s="307">
        <v>3.0523959999999999</v>
      </c>
      <c r="Y404" s="307">
        <v>3.9156369999999998</v>
      </c>
      <c r="Z404" s="307">
        <v>3.5507909999999998</v>
      </c>
      <c r="AA404" s="307">
        <v>3.477951</v>
      </c>
      <c r="AB404" s="307">
        <v>2.792745</v>
      </c>
      <c r="AC404" s="307">
        <v>3.9601709999999999</v>
      </c>
      <c r="AD404" s="307">
        <v>4.091202</v>
      </c>
      <c r="AE404" s="307">
        <v>3.39527</v>
      </c>
      <c r="AF404" s="307">
        <v>3.8124600000000002</v>
      </c>
      <c r="AG404" s="307">
        <v>3.72479</v>
      </c>
      <c r="AH404" s="307">
        <v>3.1668780000000001</v>
      </c>
      <c r="AI404" s="307">
        <v>3.4456549999999999</v>
      </c>
      <c r="AJ404" s="307">
        <v>3.5554559999999999</v>
      </c>
      <c r="AK404" s="307">
        <v>2.4561890000000002</v>
      </c>
      <c r="AL404" s="307">
        <v>2.4377119999999999</v>
      </c>
      <c r="AM404" s="307">
        <v>3.7920769999999999</v>
      </c>
      <c r="AN404" s="307">
        <v>3.1799659999999998</v>
      </c>
      <c r="AO404" s="307">
        <v>3.0472459999999999</v>
      </c>
      <c r="AP404" s="307">
        <v>2.6782720000000002</v>
      </c>
      <c r="AQ404" s="307">
        <v>3.3126120000000001</v>
      </c>
      <c r="AR404" s="307">
        <v>3.5632730000000001</v>
      </c>
      <c r="AS404" s="307">
        <v>3.5437729999999998</v>
      </c>
      <c r="AT404" s="307">
        <v>2.6516109999999999</v>
      </c>
      <c r="AU404" s="307">
        <v>3.1358489999999999</v>
      </c>
      <c r="AV404" s="307">
        <v>3.9920749999999998</v>
      </c>
      <c r="AW404" s="307">
        <v>3.5650590000000002</v>
      </c>
      <c r="AX404" s="307">
        <v>3.9899290000000001</v>
      </c>
      <c r="AY404" s="307">
        <v>2.6412390000000001</v>
      </c>
      <c r="AZ404" s="307">
        <v>3.9985520000000001</v>
      </c>
      <c r="BA404" s="307">
        <v>3.8366199999999999</v>
      </c>
      <c r="BB404" s="307">
        <v>4.0379040000000002</v>
      </c>
      <c r="BC404" s="307">
        <v>2.9656410000000002</v>
      </c>
      <c r="BD404" s="307">
        <v>2.840096</v>
      </c>
      <c r="BE404" s="307">
        <v>3.2859769999999999</v>
      </c>
      <c r="BF404" s="307">
        <v>3.2657940000000001</v>
      </c>
      <c r="BG404" s="307">
        <v>3.6966519999999998</v>
      </c>
      <c r="BH404" s="307">
        <v>2.9972460000000001</v>
      </c>
      <c r="BI404" s="307">
        <v>3.2224439999999999</v>
      </c>
      <c r="BJ404" s="307">
        <v>3.0980020000000001</v>
      </c>
      <c r="BK404" s="307">
        <v>2.721511</v>
      </c>
      <c r="BL404">
        <f t="shared" si="24"/>
        <v>0</v>
      </c>
      <c r="BM404">
        <f t="shared" si="25"/>
        <v>3.245378868852459</v>
      </c>
      <c r="BN404">
        <f t="shared" si="26"/>
        <v>4.091202</v>
      </c>
      <c r="BO404">
        <f t="array" ref="BO404">MIN(IF($C404:$BK404&gt;0, $C404:$BK404))</f>
        <v>1.0025329999999999</v>
      </c>
      <c r="BP404">
        <f t="shared" si="27"/>
        <v>3.2224439999999999</v>
      </c>
    </row>
    <row r="405" spans="1:68" x14ac:dyDescent="0.25">
      <c r="A405" s="306">
        <v>813100</v>
      </c>
      <c r="B405" s="307" t="s">
        <v>357</v>
      </c>
      <c r="C405" s="307">
        <v>14.14803</v>
      </c>
      <c r="D405" s="307">
        <v>12.34111</v>
      </c>
      <c r="E405" s="307">
        <v>17.613530000000001</v>
      </c>
      <c r="F405" s="307">
        <v>17.352150000000002</v>
      </c>
      <c r="G405" s="307">
        <v>13.781980000000001</v>
      </c>
      <c r="H405" s="307">
        <v>12.318059999999999</v>
      </c>
      <c r="I405" s="307">
        <v>12.027240000000001</v>
      </c>
      <c r="J405" s="307">
        <v>11.810879999999999</v>
      </c>
      <c r="K405" s="307">
        <v>2.9392589999999998</v>
      </c>
      <c r="L405" s="307">
        <v>11.220079999999999</v>
      </c>
      <c r="M405" s="307">
        <v>12.698829999999999</v>
      </c>
      <c r="N405" s="307">
        <v>14.313029999999999</v>
      </c>
      <c r="O405" s="307">
        <v>11.091699999999999</v>
      </c>
      <c r="P405" s="307">
        <v>17.69492</v>
      </c>
      <c r="Q405" s="307">
        <v>15.61116</v>
      </c>
      <c r="R405" s="307">
        <v>12.48014</v>
      </c>
      <c r="S405" s="307">
        <v>14.458869999999999</v>
      </c>
      <c r="T405" s="307">
        <v>15.646380000000001</v>
      </c>
      <c r="U405" s="307">
        <v>16.4679</v>
      </c>
      <c r="V405" s="307">
        <v>15.694750000000001</v>
      </c>
      <c r="W405" s="307">
        <v>11.4198</v>
      </c>
      <c r="X405" s="307">
        <v>10.40109</v>
      </c>
      <c r="Y405" s="307">
        <v>16.353940000000001</v>
      </c>
      <c r="Z405" s="307">
        <v>13.962949999999999</v>
      </c>
      <c r="AA405" s="307">
        <v>14.651719999999999</v>
      </c>
      <c r="AB405" s="307">
        <v>13.697749999999999</v>
      </c>
      <c r="AC405" s="307">
        <v>17.725290000000001</v>
      </c>
      <c r="AD405" s="307">
        <v>18.169450000000001</v>
      </c>
      <c r="AE405" s="307">
        <v>15.34192</v>
      </c>
      <c r="AF405" s="307">
        <v>17.400939999999999</v>
      </c>
      <c r="AG405" s="307">
        <v>16.28135</v>
      </c>
      <c r="AH405" s="307">
        <v>14.12527</v>
      </c>
      <c r="AI405" s="307">
        <v>11.187799999999999</v>
      </c>
      <c r="AJ405" s="307">
        <v>15.60291</v>
      </c>
      <c r="AK405" s="307">
        <v>11.356310000000001</v>
      </c>
      <c r="AL405" s="307">
        <v>10.963889999999999</v>
      </c>
      <c r="AM405" s="307">
        <v>14.8635</v>
      </c>
      <c r="AN405" s="307">
        <v>18.10643</v>
      </c>
      <c r="AO405" s="307">
        <v>14.007400000000001</v>
      </c>
      <c r="AP405" s="307">
        <v>14.330349999999999</v>
      </c>
      <c r="AQ405" s="307">
        <v>12.271750000000001</v>
      </c>
      <c r="AR405" s="307">
        <v>16.41001</v>
      </c>
      <c r="AS405" s="307">
        <v>17.81437</v>
      </c>
      <c r="AT405" s="307">
        <v>14.99057</v>
      </c>
      <c r="AU405" s="307">
        <v>15.27848</v>
      </c>
      <c r="AV405" s="307">
        <v>10.65063</v>
      </c>
      <c r="AW405" s="307">
        <v>11.88528</v>
      </c>
      <c r="AX405" s="307">
        <v>17.312819999999999</v>
      </c>
      <c r="AY405" s="307">
        <v>12.885339999999999</v>
      </c>
      <c r="AZ405" s="307">
        <v>14.76205</v>
      </c>
      <c r="BA405" s="307">
        <v>16.85894</v>
      </c>
      <c r="BB405" s="307">
        <v>18.000599999999999</v>
      </c>
      <c r="BC405" s="307">
        <v>12.62524</v>
      </c>
      <c r="BD405" s="307">
        <v>12.70557</v>
      </c>
      <c r="BE405" s="307">
        <v>14.08785</v>
      </c>
      <c r="BF405" s="307">
        <v>15.596780000000001</v>
      </c>
      <c r="BG405" s="307">
        <v>13.74587</v>
      </c>
      <c r="BH405" s="307">
        <v>16.56392</v>
      </c>
      <c r="BI405" s="307">
        <v>15.883150000000001</v>
      </c>
      <c r="BJ405" s="307">
        <v>12.713010000000001</v>
      </c>
      <c r="BK405" s="307">
        <v>12.60135</v>
      </c>
      <c r="BL405">
        <f t="shared" si="24"/>
        <v>0</v>
      </c>
      <c r="BM405">
        <f t="shared" si="25"/>
        <v>14.21809244262295</v>
      </c>
      <c r="BN405">
        <f t="shared" si="26"/>
        <v>18.169450000000001</v>
      </c>
      <c r="BO405">
        <f t="array" ref="BO405">MIN(IF($C405:$BK405&gt;0, $C405:$BK405))</f>
        <v>2.9392589999999998</v>
      </c>
      <c r="BP405">
        <f t="shared" si="27"/>
        <v>14.313029999999999</v>
      </c>
    </row>
    <row r="406" spans="1:68" x14ac:dyDescent="0.25">
      <c r="A406" s="306" t="s">
        <v>788</v>
      </c>
      <c r="B406" s="307" t="s">
        <v>358</v>
      </c>
      <c r="C406" s="307">
        <v>8.1838309999999996</v>
      </c>
      <c r="D406" s="307">
        <v>8.5675089999999994</v>
      </c>
      <c r="E406" s="307">
        <v>10.948829999999999</v>
      </c>
      <c r="F406" s="307">
        <v>11.445690000000001</v>
      </c>
      <c r="G406" s="307">
        <v>7.8939859999999999</v>
      </c>
      <c r="H406" s="307">
        <v>7.8607360000000002</v>
      </c>
      <c r="I406" s="307">
        <v>7.0635519999999996</v>
      </c>
      <c r="J406" s="307">
        <v>6.3399650000000003</v>
      </c>
      <c r="K406" s="307">
        <v>1.7925869999999999</v>
      </c>
      <c r="L406" s="307">
        <v>9.0272450000000006</v>
      </c>
      <c r="M406" s="307">
        <v>8.8065960000000008</v>
      </c>
      <c r="N406" s="307">
        <v>8.8385730000000002</v>
      </c>
      <c r="O406" s="307">
        <v>6.494936</v>
      </c>
      <c r="P406" s="307">
        <v>11.28898</v>
      </c>
      <c r="Q406" s="307">
        <v>10.85163</v>
      </c>
      <c r="R406" s="307">
        <v>8.3126599999999993</v>
      </c>
      <c r="S406" s="307">
        <v>8.7266729999999999</v>
      </c>
      <c r="T406" s="307">
        <v>10.882339999999999</v>
      </c>
      <c r="U406" s="307">
        <v>10.07518</v>
      </c>
      <c r="V406" s="307">
        <v>9.9337979999999995</v>
      </c>
      <c r="W406" s="307">
        <v>7.3217100000000004</v>
      </c>
      <c r="X406" s="307">
        <v>6.8461119999999998</v>
      </c>
      <c r="Y406" s="307">
        <v>9.4028500000000008</v>
      </c>
      <c r="Z406" s="307">
        <v>9.5562149999999999</v>
      </c>
      <c r="AA406" s="307">
        <v>9.3073069999999998</v>
      </c>
      <c r="AB406" s="307">
        <v>8.3091419999999996</v>
      </c>
      <c r="AC406" s="307">
        <v>9.9415689999999994</v>
      </c>
      <c r="AD406" s="307">
        <v>11.54745</v>
      </c>
      <c r="AE406" s="307">
        <v>9.7913589999999999</v>
      </c>
      <c r="AF406" s="307">
        <v>11.05951</v>
      </c>
      <c r="AG406" s="307">
        <v>9.5317399999999992</v>
      </c>
      <c r="AH406" s="307">
        <v>11.07413</v>
      </c>
      <c r="AI406" s="307">
        <v>7.8114520000000001</v>
      </c>
      <c r="AJ406" s="307">
        <v>10.046110000000001</v>
      </c>
      <c r="AK406" s="307">
        <v>8.4013469999999995</v>
      </c>
      <c r="AL406" s="307">
        <v>6.14398</v>
      </c>
      <c r="AM406" s="307">
        <v>9.1512869999999999</v>
      </c>
      <c r="AN406" s="307">
        <v>11.174530000000001</v>
      </c>
      <c r="AO406" s="307">
        <v>8.3575320000000008</v>
      </c>
      <c r="AP406" s="307">
        <v>7.3610059999999997</v>
      </c>
      <c r="AQ406" s="307">
        <v>8.6379110000000008</v>
      </c>
      <c r="AR406" s="307">
        <v>10.272119999999999</v>
      </c>
      <c r="AS406" s="307">
        <v>8.973395</v>
      </c>
      <c r="AT406" s="307">
        <v>8.9962149999999994</v>
      </c>
      <c r="AU406" s="307">
        <v>8.8473570000000006</v>
      </c>
      <c r="AV406" s="307">
        <v>7.8180670000000001</v>
      </c>
      <c r="AW406" s="307">
        <v>5.7135020000000001</v>
      </c>
      <c r="AX406" s="307">
        <v>8.5455059999999996</v>
      </c>
      <c r="AY406" s="307">
        <v>6.6568659999999999</v>
      </c>
      <c r="AZ406" s="307">
        <v>10.13264</v>
      </c>
      <c r="BA406" s="307">
        <v>10.714589999999999</v>
      </c>
      <c r="BB406" s="307">
        <v>8.6891730000000003</v>
      </c>
      <c r="BC406" s="307">
        <v>7.9365449999999997</v>
      </c>
      <c r="BD406" s="307">
        <v>6.8964819999999998</v>
      </c>
      <c r="BE406" s="307">
        <v>9.0704019999999996</v>
      </c>
      <c r="BF406" s="307">
        <v>9.8591149999999992</v>
      </c>
      <c r="BG406" s="307">
        <v>7.7911780000000004</v>
      </c>
      <c r="BH406" s="307">
        <v>9.8023830000000007</v>
      </c>
      <c r="BI406" s="307">
        <v>9.6514120000000005</v>
      </c>
      <c r="BJ406" s="307">
        <v>8.3765300000000007</v>
      </c>
      <c r="BK406" s="307">
        <v>7.7585819999999996</v>
      </c>
      <c r="BL406">
        <f t="shared" si="24"/>
        <v>0</v>
      </c>
      <c r="BM406">
        <f t="shared" si="25"/>
        <v>8.7969115737704904</v>
      </c>
      <c r="BN406">
        <f t="shared" si="26"/>
        <v>11.54745</v>
      </c>
      <c r="BO406">
        <f t="array" ref="BO406">MIN(IF($C406:$BK406&gt;0, $C406:$BK406))</f>
        <v>1.7925869999999999</v>
      </c>
      <c r="BP406">
        <f t="shared" si="27"/>
        <v>8.8385730000000002</v>
      </c>
    </row>
    <row r="407" spans="1:68" x14ac:dyDescent="0.25">
      <c r="A407" s="306" t="s">
        <v>789</v>
      </c>
      <c r="B407" s="307" t="s">
        <v>359</v>
      </c>
      <c r="C407" s="307">
        <v>10.76641</v>
      </c>
      <c r="D407" s="307">
        <v>9.7860080000000007</v>
      </c>
      <c r="E407" s="307">
        <v>12.50731</v>
      </c>
      <c r="F407" s="307">
        <v>13.126440000000001</v>
      </c>
      <c r="G407" s="307">
        <v>12.92414</v>
      </c>
      <c r="H407" s="307">
        <v>9.3195139999999999</v>
      </c>
      <c r="I407" s="307">
        <v>8.0234070000000006</v>
      </c>
      <c r="J407" s="307">
        <v>11.393829999999999</v>
      </c>
      <c r="K407" s="307">
        <v>1.956866</v>
      </c>
      <c r="L407" s="307">
        <v>13.65752</v>
      </c>
      <c r="M407" s="307">
        <v>10.486520000000001</v>
      </c>
      <c r="N407" s="307">
        <v>11.53811</v>
      </c>
      <c r="O407" s="307">
        <v>10.979290000000001</v>
      </c>
      <c r="P407" s="307">
        <v>15.044919999999999</v>
      </c>
      <c r="Q407" s="307">
        <v>15.252789999999999</v>
      </c>
      <c r="R407" s="307">
        <v>7.4999120000000001</v>
      </c>
      <c r="S407" s="307">
        <v>14.778119999999999</v>
      </c>
      <c r="T407" s="307">
        <v>11.197279999999999</v>
      </c>
      <c r="U407" s="307">
        <v>12.70448</v>
      </c>
      <c r="V407" s="307">
        <v>11.741</v>
      </c>
      <c r="W407" s="307">
        <v>11.49629</v>
      </c>
      <c r="X407" s="307">
        <v>7.4372990000000003</v>
      </c>
      <c r="Y407" s="307">
        <v>15.658910000000001</v>
      </c>
      <c r="Z407" s="307">
        <v>12.01637</v>
      </c>
      <c r="AA407" s="307">
        <v>15.37383</v>
      </c>
      <c r="AB407" s="307">
        <v>12.04175</v>
      </c>
      <c r="AC407" s="307">
        <v>12.525180000000001</v>
      </c>
      <c r="AD407" s="307">
        <v>14.755459999999999</v>
      </c>
      <c r="AE407" s="307">
        <v>15.24112</v>
      </c>
      <c r="AF407" s="307">
        <v>18.61356</v>
      </c>
      <c r="AG407" s="307">
        <v>15.700950000000001</v>
      </c>
      <c r="AH407" s="307">
        <v>11.80551</v>
      </c>
      <c r="AI407" s="307">
        <v>8.3596540000000008</v>
      </c>
      <c r="AJ407" s="307">
        <v>13.107519999999999</v>
      </c>
      <c r="AK407" s="307">
        <v>8.2186179999999993</v>
      </c>
      <c r="AL407" s="307">
        <v>7.2938970000000003</v>
      </c>
      <c r="AM407" s="307">
        <v>16.011420000000001</v>
      </c>
      <c r="AN407" s="307">
        <v>12.396839999999999</v>
      </c>
      <c r="AO407" s="307">
        <v>11.31246</v>
      </c>
      <c r="AP407" s="307">
        <v>13.814260000000001</v>
      </c>
      <c r="AQ407" s="307">
        <v>12.450979999999999</v>
      </c>
      <c r="AR407" s="307">
        <v>11.21092</v>
      </c>
      <c r="AS407" s="307">
        <v>16.852879999999999</v>
      </c>
      <c r="AT407" s="307">
        <v>13.466379999999999</v>
      </c>
      <c r="AU407" s="307">
        <v>11.362030000000001</v>
      </c>
      <c r="AV407" s="307">
        <v>10.07245</v>
      </c>
      <c r="AW407" s="307">
        <v>6.2370099999999997</v>
      </c>
      <c r="AX407" s="307">
        <v>13.214130000000001</v>
      </c>
      <c r="AY407" s="307">
        <v>11.21489</v>
      </c>
      <c r="AZ407" s="307">
        <v>16.63514</v>
      </c>
      <c r="BA407" s="307">
        <v>16.525960000000001</v>
      </c>
      <c r="BB407" s="307">
        <v>16.373550000000002</v>
      </c>
      <c r="BC407" s="307">
        <v>12.296060000000001</v>
      </c>
      <c r="BD407" s="307">
        <v>9.6892549999999993</v>
      </c>
      <c r="BE407" s="307">
        <v>11.360720000000001</v>
      </c>
      <c r="BF407" s="307">
        <v>14.336399999999999</v>
      </c>
      <c r="BG407" s="307">
        <v>9.4153450000000003</v>
      </c>
      <c r="BH407" s="307">
        <v>13.13829</v>
      </c>
      <c r="BI407" s="307">
        <v>11.61368</v>
      </c>
      <c r="BJ407" s="307">
        <v>10.6265</v>
      </c>
      <c r="BK407" s="307">
        <v>9.9037210000000009</v>
      </c>
      <c r="BL407">
        <f t="shared" si="24"/>
        <v>0</v>
      </c>
      <c r="BM407">
        <f t="shared" si="25"/>
        <v>12.063295999999999</v>
      </c>
      <c r="BN407">
        <f t="shared" si="26"/>
        <v>18.61356</v>
      </c>
      <c r="BO407">
        <f t="array" ref="BO407">MIN(IF($C407:$BK407&gt;0, $C407:$BK407))</f>
        <v>1.956866</v>
      </c>
      <c r="BP407">
        <f t="shared" si="27"/>
        <v>12.01637</v>
      </c>
    </row>
    <row r="408" spans="1:68" x14ac:dyDescent="0.25">
      <c r="A408" s="306" t="s">
        <v>790</v>
      </c>
      <c r="B408" s="307" t="s">
        <v>791</v>
      </c>
      <c r="C408" s="307">
        <v>0</v>
      </c>
      <c r="D408" s="307">
        <v>0</v>
      </c>
      <c r="E408" s="307">
        <v>0</v>
      </c>
      <c r="F408" s="307">
        <v>0</v>
      </c>
      <c r="G408" s="307">
        <v>0</v>
      </c>
      <c r="H408" s="307">
        <v>0</v>
      </c>
      <c r="I408" s="307">
        <v>0</v>
      </c>
      <c r="J408" s="307">
        <v>0</v>
      </c>
      <c r="K408" s="307">
        <v>0</v>
      </c>
      <c r="L408" s="307">
        <v>0</v>
      </c>
      <c r="M408" s="307">
        <v>0</v>
      </c>
      <c r="N408" s="307">
        <v>0</v>
      </c>
      <c r="O408" s="307">
        <v>0</v>
      </c>
      <c r="P408" s="307">
        <v>0</v>
      </c>
      <c r="Q408" s="307">
        <v>0</v>
      </c>
      <c r="R408" s="307">
        <v>0</v>
      </c>
      <c r="S408" s="307">
        <v>0</v>
      </c>
      <c r="T408" s="307">
        <v>0</v>
      </c>
      <c r="U408" s="307">
        <v>0</v>
      </c>
      <c r="V408" s="307">
        <v>0</v>
      </c>
      <c r="W408" s="307">
        <v>0</v>
      </c>
      <c r="X408" s="307">
        <v>0</v>
      </c>
      <c r="Y408" s="307">
        <v>0</v>
      </c>
      <c r="Z408" s="307">
        <v>0</v>
      </c>
      <c r="AA408" s="307">
        <v>0</v>
      </c>
      <c r="AB408" s="307">
        <v>0</v>
      </c>
      <c r="AC408" s="307">
        <v>0</v>
      </c>
      <c r="AD408" s="307">
        <v>0</v>
      </c>
      <c r="AE408" s="307">
        <v>0</v>
      </c>
      <c r="AF408" s="307">
        <v>0</v>
      </c>
      <c r="AG408" s="307">
        <v>0</v>
      </c>
      <c r="AH408" s="307">
        <v>0</v>
      </c>
      <c r="AI408" s="307">
        <v>0</v>
      </c>
      <c r="AJ408" s="307">
        <v>0</v>
      </c>
      <c r="AK408" s="307">
        <v>0</v>
      </c>
      <c r="AL408" s="307">
        <v>0</v>
      </c>
      <c r="AM408" s="307">
        <v>0</v>
      </c>
      <c r="AN408" s="307">
        <v>0</v>
      </c>
      <c r="AO408" s="307">
        <v>0</v>
      </c>
      <c r="AP408" s="307">
        <v>0</v>
      </c>
      <c r="AQ408" s="307">
        <v>0</v>
      </c>
      <c r="AR408" s="307">
        <v>0</v>
      </c>
      <c r="AS408" s="307">
        <v>0</v>
      </c>
      <c r="AT408" s="307">
        <v>0</v>
      </c>
      <c r="AU408" s="307">
        <v>0</v>
      </c>
      <c r="AV408" s="307">
        <v>0</v>
      </c>
      <c r="AW408" s="307">
        <v>0</v>
      </c>
      <c r="AX408" s="307">
        <v>0</v>
      </c>
      <c r="AY408" s="307">
        <v>0</v>
      </c>
      <c r="AZ408" s="307">
        <v>0</v>
      </c>
      <c r="BA408" s="307">
        <v>0</v>
      </c>
      <c r="BB408" s="307">
        <v>0</v>
      </c>
      <c r="BC408" s="307">
        <v>0</v>
      </c>
      <c r="BD408" s="307">
        <v>0</v>
      </c>
      <c r="BE408" s="307">
        <v>0</v>
      </c>
      <c r="BF408" s="307">
        <v>0</v>
      </c>
      <c r="BG408" s="307">
        <v>0</v>
      </c>
      <c r="BH408" s="307">
        <v>0</v>
      </c>
      <c r="BI408" s="307">
        <v>0</v>
      </c>
      <c r="BJ408" s="307">
        <v>0</v>
      </c>
      <c r="BK408" s="307">
        <v>0</v>
      </c>
      <c r="BL408">
        <f t="shared" si="24"/>
        <v>61</v>
      </c>
      <c r="BM408" t="e">
        <f t="shared" si="25"/>
        <v>#DIV/0!</v>
      </c>
      <c r="BN408">
        <f t="shared" si="26"/>
        <v>0</v>
      </c>
      <c r="BO408">
        <f t="array" ref="BO408">MIN(IF($C408:$BK408&gt;0, $C408:$BK408))</f>
        <v>0</v>
      </c>
      <c r="BP408">
        <f t="shared" si="27"/>
        <v>0</v>
      </c>
    </row>
    <row r="409" spans="1:68" x14ac:dyDescent="0.25">
      <c r="A409" s="306" t="s">
        <v>792</v>
      </c>
      <c r="B409" s="307" t="s">
        <v>793</v>
      </c>
      <c r="C409" s="307">
        <v>0</v>
      </c>
      <c r="D409" s="307">
        <v>0</v>
      </c>
      <c r="E409" s="307">
        <v>0</v>
      </c>
      <c r="F409" s="307">
        <v>0</v>
      </c>
      <c r="G409" s="307">
        <v>0</v>
      </c>
      <c r="H409" s="307">
        <v>0</v>
      </c>
      <c r="I409" s="307">
        <v>0</v>
      </c>
      <c r="J409" s="307">
        <v>0</v>
      </c>
      <c r="K409" s="307">
        <v>0</v>
      </c>
      <c r="L409" s="307">
        <v>0</v>
      </c>
      <c r="M409" s="307">
        <v>0</v>
      </c>
      <c r="N409" s="307">
        <v>0</v>
      </c>
      <c r="O409" s="307">
        <v>0</v>
      </c>
      <c r="P409" s="307">
        <v>0</v>
      </c>
      <c r="Q409" s="307">
        <v>0</v>
      </c>
      <c r="R409" s="307">
        <v>0</v>
      </c>
      <c r="S409" s="307">
        <v>0</v>
      </c>
      <c r="T409" s="307">
        <v>0</v>
      </c>
      <c r="U409" s="307">
        <v>0</v>
      </c>
      <c r="V409" s="307">
        <v>0</v>
      </c>
      <c r="W409" s="307">
        <v>0</v>
      </c>
      <c r="X409" s="307">
        <v>0</v>
      </c>
      <c r="Y409" s="307">
        <v>0</v>
      </c>
      <c r="Z409" s="307">
        <v>0</v>
      </c>
      <c r="AA409" s="307">
        <v>0</v>
      </c>
      <c r="AB409" s="307">
        <v>0</v>
      </c>
      <c r="AC409" s="307">
        <v>0</v>
      </c>
      <c r="AD409" s="307">
        <v>0</v>
      </c>
      <c r="AE409" s="307">
        <v>0</v>
      </c>
      <c r="AF409" s="307">
        <v>0</v>
      </c>
      <c r="AG409" s="307">
        <v>0</v>
      </c>
      <c r="AH409" s="307">
        <v>0</v>
      </c>
      <c r="AI409" s="307">
        <v>0</v>
      </c>
      <c r="AJ409" s="307">
        <v>0</v>
      </c>
      <c r="AK409" s="307">
        <v>0</v>
      </c>
      <c r="AL409" s="307">
        <v>0</v>
      </c>
      <c r="AM409" s="307">
        <v>0</v>
      </c>
      <c r="AN409" s="307">
        <v>0</v>
      </c>
      <c r="AO409" s="307">
        <v>0</v>
      </c>
      <c r="AP409" s="307">
        <v>0</v>
      </c>
      <c r="AQ409" s="307">
        <v>0</v>
      </c>
      <c r="AR409" s="307">
        <v>0</v>
      </c>
      <c r="AS409" s="307">
        <v>0</v>
      </c>
      <c r="AT409" s="307">
        <v>0</v>
      </c>
      <c r="AU409" s="307">
        <v>0</v>
      </c>
      <c r="AV409" s="307">
        <v>0</v>
      </c>
      <c r="AW409" s="307">
        <v>0</v>
      </c>
      <c r="AX409" s="307">
        <v>0</v>
      </c>
      <c r="AY409" s="307">
        <v>0</v>
      </c>
      <c r="AZ409" s="307">
        <v>0</v>
      </c>
      <c r="BA409" s="307">
        <v>0</v>
      </c>
      <c r="BB409" s="307">
        <v>0</v>
      </c>
      <c r="BC409" s="307">
        <v>0</v>
      </c>
      <c r="BD409" s="307">
        <v>0</v>
      </c>
      <c r="BE409" s="307">
        <v>0</v>
      </c>
      <c r="BF409" s="307">
        <v>0</v>
      </c>
      <c r="BG409" s="307">
        <v>0</v>
      </c>
      <c r="BH409" s="307">
        <v>0</v>
      </c>
      <c r="BI409" s="307">
        <v>0</v>
      </c>
      <c r="BJ409" s="307">
        <v>0</v>
      </c>
      <c r="BK409" s="307">
        <v>0</v>
      </c>
      <c r="BL409">
        <f t="shared" si="24"/>
        <v>61</v>
      </c>
      <c r="BM409" t="e">
        <f t="shared" si="25"/>
        <v>#DIV/0!</v>
      </c>
      <c r="BN409">
        <f t="shared" si="26"/>
        <v>0</v>
      </c>
      <c r="BO409">
        <f t="array" ref="BO409">MIN(IF($C409:$BK409&gt;0, $C409:$BK409))</f>
        <v>0</v>
      </c>
      <c r="BP409">
        <f t="shared" si="27"/>
        <v>0</v>
      </c>
    </row>
    <row r="410" spans="1:68" x14ac:dyDescent="0.25">
      <c r="A410" s="306" t="s">
        <v>794</v>
      </c>
      <c r="B410" s="307" t="s">
        <v>795</v>
      </c>
      <c r="C410" s="307">
        <v>4.8667870000000004</v>
      </c>
      <c r="D410" s="307">
        <v>4.8581329999999996</v>
      </c>
      <c r="E410" s="307">
        <v>5.7477239999999998</v>
      </c>
      <c r="F410" s="307">
        <v>6.1316179999999996</v>
      </c>
      <c r="G410" s="307">
        <v>4.7505350000000002</v>
      </c>
      <c r="H410" s="307">
        <v>3.8742510000000001</v>
      </c>
      <c r="I410" s="307">
        <v>4.9630210000000003</v>
      </c>
      <c r="J410" s="307">
        <v>3.750054</v>
      </c>
      <c r="K410" s="307">
        <v>0.67578609999999995</v>
      </c>
      <c r="L410" s="307">
        <v>4.3219799999999999</v>
      </c>
      <c r="M410" s="307">
        <v>5.5671799999999996</v>
      </c>
      <c r="N410" s="307">
        <v>6.1354309999999996</v>
      </c>
      <c r="O410" s="307">
        <v>5.3732829999999998</v>
      </c>
      <c r="P410" s="307">
        <v>4.608962</v>
      </c>
      <c r="Q410" s="307">
        <v>6.722728</v>
      </c>
      <c r="R410" s="307">
        <v>3.797479</v>
      </c>
      <c r="S410" s="307">
        <v>5.0199610000000003</v>
      </c>
      <c r="T410" s="307">
        <v>5.8046829999999998</v>
      </c>
      <c r="U410" s="307">
        <v>5.3565449999999997</v>
      </c>
      <c r="V410" s="307">
        <v>6.1411910000000001</v>
      </c>
      <c r="W410" s="307">
        <v>3.752885</v>
      </c>
      <c r="X410" s="307">
        <v>6.0063120000000003</v>
      </c>
      <c r="Y410" s="307">
        <v>5.4568310000000002</v>
      </c>
      <c r="Z410" s="307">
        <v>5.2638540000000003</v>
      </c>
      <c r="AA410" s="307">
        <v>4.2369940000000001</v>
      </c>
      <c r="AB410" s="307">
        <v>4.6070849999999997</v>
      </c>
      <c r="AC410" s="307">
        <v>6.2179960000000003</v>
      </c>
      <c r="AD410" s="307">
        <v>6.8052429999999999</v>
      </c>
      <c r="AE410" s="307">
        <v>6.749466</v>
      </c>
      <c r="AF410" s="307">
        <v>6.5147000000000004</v>
      </c>
      <c r="AG410" s="307">
        <v>4.8190739999999996</v>
      </c>
      <c r="AH410" s="307">
        <v>6.541112</v>
      </c>
      <c r="AI410" s="307">
        <v>3.69821</v>
      </c>
      <c r="AJ410" s="307">
        <v>6.3205749999999998</v>
      </c>
      <c r="AK410" s="307">
        <v>3.999752</v>
      </c>
      <c r="AL410" s="307">
        <v>4.4097600000000003</v>
      </c>
      <c r="AM410" s="307">
        <v>4.369605</v>
      </c>
      <c r="AN410" s="307">
        <v>6.7823089999999997</v>
      </c>
      <c r="AO410" s="307">
        <v>4.2417670000000003</v>
      </c>
      <c r="AP410" s="307">
        <v>4.7168979999999996</v>
      </c>
      <c r="AQ410" s="307">
        <v>4.758534</v>
      </c>
      <c r="AR410" s="307">
        <v>5.4072940000000003</v>
      </c>
      <c r="AS410" s="307">
        <v>6.7255349999999998</v>
      </c>
      <c r="AT410" s="307">
        <v>5.3540590000000003</v>
      </c>
      <c r="AU410" s="307">
        <v>5.2535319999999999</v>
      </c>
      <c r="AV410" s="307">
        <v>5.2768389999999998</v>
      </c>
      <c r="AW410" s="307">
        <v>4.8133419999999996</v>
      </c>
      <c r="AX410" s="307">
        <v>4.2501389999999999</v>
      </c>
      <c r="AY410" s="307">
        <v>4.4103159999999999</v>
      </c>
      <c r="AZ410" s="307">
        <v>5.3623269999999996</v>
      </c>
      <c r="BA410" s="307">
        <v>6.4628410000000001</v>
      </c>
      <c r="BB410" s="307">
        <v>6.6162340000000004</v>
      </c>
      <c r="BC410" s="307">
        <v>4.4613690000000004</v>
      </c>
      <c r="BD410" s="307">
        <v>4.5064659999999996</v>
      </c>
      <c r="BE410" s="307">
        <v>4.444121</v>
      </c>
      <c r="BF410" s="307">
        <v>5.0549160000000004</v>
      </c>
      <c r="BG410" s="307">
        <v>5.7059430000000004</v>
      </c>
      <c r="BH410" s="307">
        <v>5.6291130000000003</v>
      </c>
      <c r="BI410" s="307">
        <v>5.6425289999999997</v>
      </c>
      <c r="BJ410" s="307">
        <v>5.0981269999999999</v>
      </c>
      <c r="BK410" s="307">
        <v>4.0746260000000003</v>
      </c>
      <c r="BL410">
        <f t="shared" si="24"/>
        <v>0</v>
      </c>
      <c r="BM410">
        <f t="shared" si="25"/>
        <v>5.1358354442622955</v>
      </c>
      <c r="BN410">
        <f t="shared" si="26"/>
        <v>6.8052429999999999</v>
      </c>
      <c r="BO410">
        <f t="array" ref="BO410">MIN(IF($C410:$BK410&gt;0, $C410:$BK410))</f>
        <v>0.67578609999999995</v>
      </c>
      <c r="BP410">
        <f t="shared" si="27"/>
        <v>5.0981269999999999</v>
      </c>
    </row>
    <row r="412" spans="1:68" s="135" customFormat="1" x14ac:dyDescent="0.25">
      <c r="A412" s="136"/>
    </row>
    <row r="414" spans="1:68" x14ac:dyDescent="0.25">
      <c r="B414" s="133" t="s">
        <v>797</v>
      </c>
    </row>
    <row r="415" spans="1:68" x14ac:dyDescent="0.25">
      <c r="A415" s="306" t="s">
        <v>617</v>
      </c>
      <c r="B415" s="308" t="s">
        <v>618</v>
      </c>
      <c r="C415" s="308" t="s">
        <v>798</v>
      </c>
      <c r="D415" s="308" t="s">
        <v>799</v>
      </c>
      <c r="E415" s="308" t="s">
        <v>800</v>
      </c>
      <c r="F415" s="308" t="s">
        <v>801</v>
      </c>
      <c r="G415" s="308" t="s">
        <v>802</v>
      </c>
      <c r="H415" s="308" t="s">
        <v>803</v>
      </c>
      <c r="I415" s="308" t="s">
        <v>804</v>
      </c>
      <c r="J415" s="308" t="s">
        <v>805</v>
      </c>
      <c r="K415" s="308" t="s">
        <v>806</v>
      </c>
      <c r="L415" s="308" t="s">
        <v>807</v>
      </c>
      <c r="M415" s="308" t="s">
        <v>808</v>
      </c>
      <c r="N415" s="308" t="s">
        <v>809</v>
      </c>
      <c r="O415" s="308" t="s">
        <v>810</v>
      </c>
      <c r="P415" s="308" t="s">
        <v>811</v>
      </c>
      <c r="Q415" s="308" t="s">
        <v>812</v>
      </c>
      <c r="R415" s="308" t="s">
        <v>813</v>
      </c>
      <c r="S415" s="308" t="s">
        <v>814</v>
      </c>
      <c r="T415" s="308" t="s">
        <v>815</v>
      </c>
      <c r="U415" s="308" t="s">
        <v>816</v>
      </c>
      <c r="V415" s="308" t="s">
        <v>817</v>
      </c>
      <c r="W415" s="308" t="s">
        <v>818</v>
      </c>
      <c r="X415" s="308" t="s">
        <v>819</v>
      </c>
      <c r="Y415" s="308" t="s">
        <v>820</v>
      </c>
      <c r="Z415" s="308" t="s">
        <v>821</v>
      </c>
      <c r="AA415" s="308" t="s">
        <v>822</v>
      </c>
      <c r="AB415" s="308" t="s">
        <v>823</v>
      </c>
      <c r="AC415" s="308" t="s">
        <v>824</v>
      </c>
      <c r="AD415" s="308" t="s">
        <v>825</v>
      </c>
      <c r="AE415" s="308" t="s">
        <v>826</v>
      </c>
      <c r="AF415" s="308" t="s">
        <v>827</v>
      </c>
      <c r="AG415" s="308" t="s">
        <v>828</v>
      </c>
      <c r="AH415" s="308" t="s">
        <v>829</v>
      </c>
      <c r="AI415" s="308" t="s">
        <v>830</v>
      </c>
      <c r="AJ415" s="308" t="s">
        <v>831</v>
      </c>
      <c r="AK415" s="308" t="s">
        <v>832</v>
      </c>
      <c r="AL415" s="308" t="s">
        <v>833</v>
      </c>
      <c r="AM415" s="308" t="s">
        <v>834</v>
      </c>
      <c r="AN415" s="308" t="s">
        <v>835</v>
      </c>
      <c r="AO415" s="308" t="s">
        <v>836</v>
      </c>
      <c r="AP415" s="308" t="s">
        <v>837</v>
      </c>
      <c r="AQ415" s="308" t="s">
        <v>838</v>
      </c>
      <c r="AR415" s="308" t="s">
        <v>839</v>
      </c>
      <c r="AS415" s="308" t="s">
        <v>840</v>
      </c>
      <c r="AT415" s="308" t="s">
        <v>841</v>
      </c>
      <c r="AU415" s="308" t="s">
        <v>842</v>
      </c>
      <c r="AV415" s="308" t="s">
        <v>843</v>
      </c>
      <c r="AW415" s="308" t="s">
        <v>844</v>
      </c>
      <c r="AX415" s="308" t="s">
        <v>845</v>
      </c>
      <c r="AY415" s="308" t="s">
        <v>846</v>
      </c>
      <c r="AZ415" s="308" t="s">
        <v>847</v>
      </c>
      <c r="BA415" s="308" t="s">
        <v>848</v>
      </c>
      <c r="BB415" s="308" t="s">
        <v>849</v>
      </c>
      <c r="BC415" s="308" t="s">
        <v>850</v>
      </c>
      <c r="BD415" s="308" t="s">
        <v>851</v>
      </c>
      <c r="BE415" s="308" t="s">
        <v>852</v>
      </c>
      <c r="BF415" s="308" t="s">
        <v>853</v>
      </c>
      <c r="BG415" s="308" t="s">
        <v>854</v>
      </c>
      <c r="BH415" s="308" t="s">
        <v>855</v>
      </c>
      <c r="BI415" s="308" t="s">
        <v>856</v>
      </c>
      <c r="BJ415" s="308" t="s">
        <v>857</v>
      </c>
      <c r="BK415" s="308" t="s">
        <v>858</v>
      </c>
    </row>
    <row r="416" spans="1:68" x14ac:dyDescent="0.25">
      <c r="A416" s="306" t="s">
        <v>680</v>
      </c>
      <c r="B416" s="308" t="s">
        <v>681</v>
      </c>
      <c r="C416" s="308">
        <v>10.4778</v>
      </c>
      <c r="D416" s="308">
        <v>6.2201000000000004</v>
      </c>
      <c r="E416" s="308">
        <v>12.0229</v>
      </c>
      <c r="F416" s="308">
        <v>8.9346999999999994</v>
      </c>
      <c r="G416" s="308">
        <v>10.470599999999999</v>
      </c>
      <c r="H416" s="308">
        <v>7.4298999999999999</v>
      </c>
      <c r="I416" s="308">
        <v>10.0718</v>
      </c>
      <c r="J416" s="308">
        <v>6.9431000000000003</v>
      </c>
      <c r="K416" s="308">
        <v>0</v>
      </c>
      <c r="L416" s="308">
        <v>5.67</v>
      </c>
      <c r="M416" s="308">
        <v>11.114000000000001</v>
      </c>
      <c r="N416" s="308">
        <v>8.2141999999999999</v>
      </c>
      <c r="O416" s="308">
        <v>9.5883000000000003</v>
      </c>
      <c r="P416" s="308">
        <v>6.8836000000000004</v>
      </c>
      <c r="Q416" s="308">
        <v>7.5683999999999996</v>
      </c>
      <c r="R416" s="308">
        <v>6.4309000000000003</v>
      </c>
      <c r="S416" s="308">
        <v>7.0738000000000003</v>
      </c>
      <c r="T416" s="308">
        <v>7.0838999999999999</v>
      </c>
      <c r="U416" s="308">
        <v>13.818</v>
      </c>
      <c r="V416" s="308">
        <v>10.3116</v>
      </c>
      <c r="W416" s="308">
        <v>6.8551000000000002</v>
      </c>
      <c r="X416" s="308">
        <v>8.7478999999999996</v>
      </c>
      <c r="Y416" s="308">
        <v>8.8817000000000004</v>
      </c>
      <c r="Z416" s="308">
        <v>8.7713999999999999</v>
      </c>
      <c r="AA416" s="308">
        <v>6.9192</v>
      </c>
      <c r="AB416" s="308">
        <v>11.2308</v>
      </c>
      <c r="AC416" s="308">
        <v>12.2</v>
      </c>
      <c r="AD416" s="308">
        <v>13.2392</v>
      </c>
      <c r="AE416" s="308">
        <v>8.8385999999999996</v>
      </c>
      <c r="AF416" s="308">
        <v>5.4980000000000002</v>
      </c>
      <c r="AG416" s="308">
        <v>6.2835999999999999</v>
      </c>
      <c r="AH416" s="308">
        <v>7.2538999999999998</v>
      </c>
      <c r="AI416" s="308">
        <v>10.8629</v>
      </c>
      <c r="AJ416" s="308">
        <v>8.4126999999999992</v>
      </c>
      <c r="AK416" s="308">
        <v>7.6631</v>
      </c>
      <c r="AL416" s="308">
        <v>8.4806000000000008</v>
      </c>
      <c r="AM416" s="308">
        <v>12.5159</v>
      </c>
      <c r="AN416" s="308">
        <v>9.3005999999999993</v>
      </c>
      <c r="AO416" s="308">
        <v>13.1069</v>
      </c>
      <c r="AP416" s="308">
        <v>11.9749</v>
      </c>
      <c r="AQ416" s="308">
        <v>7.1913</v>
      </c>
      <c r="AR416" s="308">
        <v>13.686999999999999</v>
      </c>
      <c r="AS416" s="308">
        <v>5.3418000000000001</v>
      </c>
      <c r="AT416" s="308">
        <v>8.3671000000000006</v>
      </c>
      <c r="AU416" s="308">
        <v>9.3055000000000003</v>
      </c>
      <c r="AV416" s="308">
        <v>10.4841</v>
      </c>
      <c r="AW416" s="308">
        <v>7.5092999999999996</v>
      </c>
      <c r="AX416" s="308">
        <v>8.7834000000000003</v>
      </c>
      <c r="AY416" s="308">
        <v>9.9323999999999995</v>
      </c>
      <c r="AZ416" s="308">
        <v>10.654500000000001</v>
      </c>
      <c r="BA416" s="308">
        <v>7.2819000000000003</v>
      </c>
      <c r="BB416" s="308">
        <v>7.3601999999999999</v>
      </c>
      <c r="BC416" s="308">
        <v>7.5495999999999999</v>
      </c>
      <c r="BD416" s="308">
        <v>10.8513</v>
      </c>
      <c r="BE416" s="308">
        <v>7.5830000000000002</v>
      </c>
      <c r="BF416" s="308">
        <v>7.7767999999999997</v>
      </c>
      <c r="BG416" s="308">
        <v>9.7998999999999992</v>
      </c>
      <c r="BH416" s="308">
        <v>12.410600000000001</v>
      </c>
      <c r="BI416" s="308">
        <v>10.077</v>
      </c>
      <c r="BJ416" s="308">
        <v>10.777100000000001</v>
      </c>
      <c r="BK416" s="308">
        <v>8.9078999999999997</v>
      </c>
    </row>
    <row r="417" spans="1:63" x14ac:dyDescent="0.25">
      <c r="A417" s="306">
        <v>111200</v>
      </c>
      <c r="B417" s="308" t="s">
        <v>11</v>
      </c>
      <c r="C417" s="308">
        <v>11.9556</v>
      </c>
      <c r="D417" s="308">
        <v>7.4988000000000001</v>
      </c>
      <c r="E417" s="308">
        <v>10.899100000000001</v>
      </c>
      <c r="F417" s="308">
        <v>14.3729</v>
      </c>
      <c r="G417" s="308">
        <v>13.190300000000001</v>
      </c>
      <c r="H417" s="308">
        <v>7.8491</v>
      </c>
      <c r="I417" s="308">
        <v>12.9358</v>
      </c>
      <c r="J417" s="308">
        <v>13.0007</v>
      </c>
      <c r="K417" s="308">
        <v>0</v>
      </c>
      <c r="L417" s="308">
        <v>5.3144999999999998</v>
      </c>
      <c r="M417" s="308">
        <v>15.521000000000001</v>
      </c>
      <c r="N417" s="308">
        <v>11.347099999999999</v>
      </c>
      <c r="O417" s="308">
        <v>18.4178</v>
      </c>
      <c r="P417" s="308">
        <v>8.0946999999999996</v>
      </c>
      <c r="Q417" s="308">
        <v>7.8874000000000004</v>
      </c>
      <c r="R417" s="308">
        <v>6.6753</v>
      </c>
      <c r="S417" s="308">
        <v>10.3596</v>
      </c>
      <c r="T417" s="308">
        <v>9.6275999999999993</v>
      </c>
      <c r="U417" s="308">
        <v>11.0129</v>
      </c>
      <c r="V417" s="308">
        <v>10.3276</v>
      </c>
      <c r="W417" s="308">
        <v>16.336300000000001</v>
      </c>
      <c r="X417" s="308">
        <v>15.9162</v>
      </c>
      <c r="Y417" s="308">
        <v>18.6281</v>
      </c>
      <c r="Z417" s="308">
        <v>10.986800000000001</v>
      </c>
      <c r="AA417" s="308">
        <v>6.2797999999999998</v>
      </c>
      <c r="AB417" s="308">
        <v>17.091899999999999</v>
      </c>
      <c r="AC417" s="308">
        <v>17.145700000000001</v>
      </c>
      <c r="AD417" s="308">
        <v>19.383099999999999</v>
      </c>
      <c r="AE417" s="308">
        <v>11.7326</v>
      </c>
      <c r="AF417" s="308">
        <v>6.1223999999999998</v>
      </c>
      <c r="AG417" s="308">
        <v>6.3605</v>
      </c>
      <c r="AH417" s="308">
        <v>8.8630999999999993</v>
      </c>
      <c r="AI417" s="308">
        <v>12.0708</v>
      </c>
      <c r="AJ417" s="308">
        <v>11.352399999999999</v>
      </c>
      <c r="AK417" s="308">
        <v>8.3099000000000007</v>
      </c>
      <c r="AL417" s="308">
        <v>12.0877</v>
      </c>
      <c r="AM417" s="308">
        <v>16.2727</v>
      </c>
      <c r="AN417" s="308">
        <v>10.0082</v>
      </c>
      <c r="AO417" s="308">
        <v>16.299600000000002</v>
      </c>
      <c r="AP417" s="308">
        <v>9.74</v>
      </c>
      <c r="AQ417" s="308">
        <v>8.6960999999999995</v>
      </c>
      <c r="AR417" s="308">
        <v>18.0352</v>
      </c>
      <c r="AS417" s="308">
        <v>5.5061</v>
      </c>
      <c r="AT417" s="308">
        <v>9.7111000000000001</v>
      </c>
      <c r="AU417" s="308">
        <v>10.658200000000001</v>
      </c>
      <c r="AV417" s="308">
        <v>10.9564</v>
      </c>
      <c r="AW417" s="308">
        <v>9.1722999999999999</v>
      </c>
      <c r="AX417" s="308">
        <v>19.174700000000001</v>
      </c>
      <c r="AY417" s="308">
        <v>8.7408999999999999</v>
      </c>
      <c r="AZ417" s="308">
        <v>10.5678</v>
      </c>
      <c r="BA417" s="308">
        <v>9.1722000000000001</v>
      </c>
      <c r="BB417" s="308">
        <v>8.8462999999999994</v>
      </c>
      <c r="BC417" s="308">
        <v>15.247400000000001</v>
      </c>
      <c r="BD417" s="308">
        <v>11.7193</v>
      </c>
      <c r="BE417" s="308">
        <v>10.670199999999999</v>
      </c>
      <c r="BF417" s="308">
        <v>7.2474999999999996</v>
      </c>
      <c r="BG417" s="308">
        <v>13.705500000000001</v>
      </c>
      <c r="BH417" s="308">
        <v>11.902699999999999</v>
      </c>
      <c r="BI417" s="308">
        <v>11.178699999999999</v>
      </c>
      <c r="BJ417" s="308">
        <v>11.7369</v>
      </c>
      <c r="BK417" s="308">
        <v>8.6174999999999997</v>
      </c>
    </row>
    <row r="418" spans="1:63" x14ac:dyDescent="0.25">
      <c r="A418" s="306" t="s">
        <v>682</v>
      </c>
      <c r="B418" s="308" t="s">
        <v>683</v>
      </c>
      <c r="C418" s="308">
        <v>14.41</v>
      </c>
      <c r="D418" s="308">
        <v>9.8821999999999992</v>
      </c>
      <c r="E418" s="308">
        <v>20.128699999999998</v>
      </c>
      <c r="F418" s="308">
        <v>12.160399999999999</v>
      </c>
      <c r="G418" s="308">
        <v>17.024799999999999</v>
      </c>
      <c r="H418" s="308">
        <v>10.5998</v>
      </c>
      <c r="I418" s="308">
        <v>17.898900000000001</v>
      </c>
      <c r="J418" s="308">
        <v>14.8719</v>
      </c>
      <c r="K418" s="308">
        <v>0</v>
      </c>
      <c r="L418" s="308">
        <v>7.7583000000000002</v>
      </c>
      <c r="M418" s="308">
        <v>15.4475</v>
      </c>
      <c r="N418" s="308">
        <v>11.5969</v>
      </c>
      <c r="O418" s="308">
        <v>19.2408</v>
      </c>
      <c r="P418" s="308">
        <v>15.334199999999999</v>
      </c>
      <c r="Q418" s="308">
        <v>11.8725</v>
      </c>
      <c r="R418" s="308">
        <v>9.0280000000000005</v>
      </c>
      <c r="S418" s="308">
        <v>11.3644</v>
      </c>
      <c r="T418" s="308">
        <v>18.2119</v>
      </c>
      <c r="U418" s="308">
        <v>14.578099999999999</v>
      </c>
      <c r="V418" s="308">
        <v>17.756499999999999</v>
      </c>
      <c r="W418" s="308">
        <v>14.156000000000001</v>
      </c>
      <c r="X418" s="308">
        <v>17.479800000000001</v>
      </c>
      <c r="Y418" s="308">
        <v>18.929099999999998</v>
      </c>
      <c r="Z418" s="308">
        <v>14.6188</v>
      </c>
      <c r="AA418" s="308">
        <v>11.3354</v>
      </c>
      <c r="AB418" s="308">
        <v>17.628599999999999</v>
      </c>
      <c r="AC418" s="308">
        <v>19.667200000000001</v>
      </c>
      <c r="AD418" s="308">
        <v>14.2973</v>
      </c>
      <c r="AE418" s="308">
        <v>13.696</v>
      </c>
      <c r="AF418" s="308">
        <v>13.1225</v>
      </c>
      <c r="AG418" s="308">
        <v>9.7875999999999994</v>
      </c>
      <c r="AH418" s="308">
        <v>11.598100000000001</v>
      </c>
      <c r="AI418" s="308">
        <v>13.1181</v>
      </c>
      <c r="AJ418" s="308">
        <v>11.4467</v>
      </c>
      <c r="AK418" s="308">
        <v>8.0353999999999992</v>
      </c>
      <c r="AL418" s="308">
        <v>14.7538</v>
      </c>
      <c r="AM418" s="308">
        <v>18.574200000000001</v>
      </c>
      <c r="AN418" s="308">
        <v>13.0535</v>
      </c>
      <c r="AO418" s="308">
        <v>20.261600000000001</v>
      </c>
      <c r="AP418" s="308">
        <v>12.7239</v>
      </c>
      <c r="AQ418" s="308">
        <v>11.3559</v>
      </c>
      <c r="AR418" s="308">
        <v>13.8408</v>
      </c>
      <c r="AS418" s="308">
        <v>12.375500000000001</v>
      </c>
      <c r="AT418" s="308">
        <v>12.4892</v>
      </c>
      <c r="AU418" s="308">
        <v>13.783099999999999</v>
      </c>
      <c r="AV418" s="308">
        <v>13.4229</v>
      </c>
      <c r="AW418" s="308">
        <v>11.935700000000001</v>
      </c>
      <c r="AX418" s="308">
        <v>19.1905</v>
      </c>
      <c r="AY418" s="308">
        <v>13.442299999999999</v>
      </c>
      <c r="AZ418" s="308">
        <v>11.835699999999999</v>
      </c>
      <c r="BA418" s="308">
        <v>12.223100000000001</v>
      </c>
      <c r="BB418" s="308">
        <v>11.952</v>
      </c>
      <c r="BC418" s="308">
        <v>15.1906</v>
      </c>
      <c r="BD418" s="308">
        <v>13.942</v>
      </c>
      <c r="BE418" s="308">
        <v>13.0312</v>
      </c>
      <c r="BF418" s="308">
        <v>13.780900000000001</v>
      </c>
      <c r="BG418" s="308">
        <v>14.2166</v>
      </c>
      <c r="BH418" s="308">
        <v>15.718400000000001</v>
      </c>
      <c r="BI418" s="308">
        <v>14.0723</v>
      </c>
      <c r="BJ418" s="308">
        <v>14.1637</v>
      </c>
      <c r="BK418" s="308">
        <v>11.9819</v>
      </c>
    </row>
    <row r="419" spans="1:63" x14ac:dyDescent="0.25">
      <c r="A419" s="306">
        <v>111400</v>
      </c>
      <c r="B419" s="308" t="s">
        <v>12</v>
      </c>
      <c r="C419" s="308">
        <v>14.381399999999999</v>
      </c>
      <c r="D419" s="308">
        <v>9.9090000000000007</v>
      </c>
      <c r="E419" s="308">
        <v>19.052299999999999</v>
      </c>
      <c r="F419" s="308">
        <v>10.043100000000001</v>
      </c>
      <c r="G419" s="308">
        <v>17.428699999999999</v>
      </c>
      <c r="H419" s="308">
        <v>9.0143000000000004</v>
      </c>
      <c r="I419" s="308">
        <v>17.057400000000001</v>
      </c>
      <c r="J419" s="308">
        <v>16.410299999999999</v>
      </c>
      <c r="K419" s="308">
        <v>0</v>
      </c>
      <c r="L419" s="308">
        <v>6.8986000000000001</v>
      </c>
      <c r="M419" s="308">
        <v>15.8706</v>
      </c>
      <c r="N419" s="308">
        <v>8.9758999999999993</v>
      </c>
      <c r="O419" s="308">
        <v>12.830500000000001</v>
      </c>
      <c r="P419" s="308">
        <v>8.2751999999999999</v>
      </c>
      <c r="Q419" s="308">
        <v>10.2126</v>
      </c>
      <c r="R419" s="308">
        <v>7.87</v>
      </c>
      <c r="S419" s="308">
        <v>10.859</v>
      </c>
      <c r="T419" s="308">
        <v>12.3851</v>
      </c>
      <c r="U419" s="308">
        <v>12.7475</v>
      </c>
      <c r="V419" s="308">
        <v>15.169</v>
      </c>
      <c r="W419" s="308">
        <v>17.851299999999998</v>
      </c>
      <c r="X419" s="308">
        <v>13.8832</v>
      </c>
      <c r="Y419" s="308">
        <v>20.2058</v>
      </c>
      <c r="Z419" s="308">
        <v>14.432600000000001</v>
      </c>
      <c r="AA419" s="308">
        <v>8.0694999999999997</v>
      </c>
      <c r="AB419" s="308">
        <v>15.6632</v>
      </c>
      <c r="AC419" s="308">
        <v>15.6616</v>
      </c>
      <c r="AD419" s="308">
        <v>12.7151</v>
      </c>
      <c r="AE419" s="308">
        <v>11.267099999999999</v>
      </c>
      <c r="AF419" s="308">
        <v>8.7195</v>
      </c>
      <c r="AG419" s="308">
        <v>7.7397999999999998</v>
      </c>
      <c r="AH419" s="308">
        <v>11.8436</v>
      </c>
      <c r="AI419" s="308">
        <v>13.878</v>
      </c>
      <c r="AJ419" s="308">
        <v>12.4543</v>
      </c>
      <c r="AK419" s="308">
        <v>8.1207999999999991</v>
      </c>
      <c r="AL419" s="308">
        <v>13.6143</v>
      </c>
      <c r="AM419" s="308">
        <v>19.180900000000001</v>
      </c>
      <c r="AN419" s="308">
        <v>12.8538</v>
      </c>
      <c r="AO419" s="308">
        <v>20.117000000000001</v>
      </c>
      <c r="AP419" s="308">
        <v>19.6205</v>
      </c>
      <c r="AQ419" s="308">
        <v>18.818000000000001</v>
      </c>
      <c r="AR419" s="308">
        <v>20.025200000000002</v>
      </c>
      <c r="AS419" s="308">
        <v>7.4653</v>
      </c>
      <c r="AT419" s="308">
        <v>12.5901</v>
      </c>
      <c r="AU419" s="308">
        <v>12.885899999999999</v>
      </c>
      <c r="AV419" s="308">
        <v>13.3889</v>
      </c>
      <c r="AW419" s="308">
        <v>11.744400000000001</v>
      </c>
      <c r="AX419" s="308">
        <v>19.933</v>
      </c>
      <c r="AY419" s="308">
        <v>11.7988</v>
      </c>
      <c r="AZ419" s="308">
        <v>18.898900000000001</v>
      </c>
      <c r="BA419" s="308">
        <v>11.783899999999999</v>
      </c>
      <c r="BB419" s="308">
        <v>10.924300000000001</v>
      </c>
      <c r="BC419" s="308">
        <v>17.095099999999999</v>
      </c>
      <c r="BD419" s="308">
        <v>17.418900000000001</v>
      </c>
      <c r="BE419" s="308">
        <v>12.839499999999999</v>
      </c>
      <c r="BF419" s="308">
        <v>10.175800000000001</v>
      </c>
      <c r="BG419" s="308">
        <v>13.4886</v>
      </c>
      <c r="BH419" s="308">
        <v>14.6768</v>
      </c>
      <c r="BI419" s="308">
        <v>13.148999999999999</v>
      </c>
      <c r="BJ419" s="308">
        <v>15.0655</v>
      </c>
      <c r="BK419" s="308">
        <v>11.697100000000001</v>
      </c>
    </row>
    <row r="420" spans="1:63" x14ac:dyDescent="0.25">
      <c r="A420" s="306">
        <v>111910</v>
      </c>
      <c r="B420" s="308" t="s">
        <v>13</v>
      </c>
      <c r="C420" s="308">
        <v>14.833399999999999</v>
      </c>
      <c r="D420" s="308">
        <v>0</v>
      </c>
      <c r="E420" s="308">
        <v>0</v>
      </c>
      <c r="F420" s="308">
        <v>0</v>
      </c>
      <c r="G420" s="308">
        <v>0</v>
      </c>
      <c r="H420" s="308">
        <v>0</v>
      </c>
      <c r="I420" s="308">
        <v>0</v>
      </c>
      <c r="J420" s="308">
        <v>10.2492</v>
      </c>
      <c r="K420" s="308">
        <v>0</v>
      </c>
      <c r="L420" s="308">
        <v>0</v>
      </c>
      <c r="M420" s="308">
        <v>15.1525</v>
      </c>
      <c r="N420" s="308">
        <v>10.8108</v>
      </c>
      <c r="O420" s="308">
        <v>0</v>
      </c>
      <c r="P420" s="308">
        <v>0</v>
      </c>
      <c r="Q420" s="308">
        <v>0</v>
      </c>
      <c r="R420" s="308">
        <v>11.0463</v>
      </c>
      <c r="S420" s="308">
        <v>11.0863</v>
      </c>
      <c r="T420" s="308">
        <v>0</v>
      </c>
      <c r="U420" s="308">
        <v>16.723800000000001</v>
      </c>
      <c r="V420" s="308">
        <v>0</v>
      </c>
      <c r="W420" s="308">
        <v>9.7082999999999995</v>
      </c>
      <c r="X420" s="308">
        <v>10.1654</v>
      </c>
      <c r="Y420" s="308">
        <v>0</v>
      </c>
      <c r="Z420" s="308">
        <v>0</v>
      </c>
      <c r="AA420" s="308">
        <v>0</v>
      </c>
      <c r="AB420" s="308">
        <v>12.2407</v>
      </c>
      <c r="AC420" s="308">
        <v>0</v>
      </c>
      <c r="AD420" s="308">
        <v>0</v>
      </c>
      <c r="AE420" s="308">
        <v>11.6503</v>
      </c>
      <c r="AF420" s="308">
        <v>0</v>
      </c>
      <c r="AG420" s="308">
        <v>0</v>
      </c>
      <c r="AH420" s="308">
        <v>0</v>
      </c>
      <c r="AI420" s="308">
        <v>0</v>
      </c>
      <c r="AJ420" s="308">
        <v>0</v>
      </c>
      <c r="AK420" s="308">
        <v>0</v>
      </c>
      <c r="AL420" s="308">
        <v>0</v>
      </c>
      <c r="AM420" s="308">
        <v>13.190300000000001</v>
      </c>
      <c r="AN420" s="308">
        <v>0</v>
      </c>
      <c r="AO420" s="308">
        <v>0</v>
      </c>
      <c r="AP420" s="308">
        <v>11.296900000000001</v>
      </c>
      <c r="AQ420" s="308">
        <v>0</v>
      </c>
      <c r="AR420" s="308">
        <v>13.033300000000001</v>
      </c>
      <c r="AS420" s="308">
        <v>0</v>
      </c>
      <c r="AT420" s="308">
        <v>11.404999999999999</v>
      </c>
      <c r="AU420" s="308">
        <v>0</v>
      </c>
      <c r="AV420" s="308">
        <v>0</v>
      </c>
      <c r="AW420" s="308">
        <v>10.6058</v>
      </c>
      <c r="AX420" s="308">
        <v>0</v>
      </c>
      <c r="AY420" s="308">
        <v>0</v>
      </c>
      <c r="AZ420" s="308">
        <v>12.161</v>
      </c>
      <c r="BA420" s="308">
        <v>9.9390999999999998</v>
      </c>
      <c r="BB420" s="308">
        <v>0</v>
      </c>
      <c r="BC420" s="308">
        <v>11.0724</v>
      </c>
      <c r="BD420" s="308">
        <v>10.590299999999999</v>
      </c>
      <c r="BE420" s="308">
        <v>11.678900000000001</v>
      </c>
      <c r="BF420" s="308">
        <v>11.3903</v>
      </c>
      <c r="BG420" s="308">
        <v>12.614599999999999</v>
      </c>
      <c r="BH420" s="308">
        <v>16.324300000000001</v>
      </c>
      <c r="BI420" s="308">
        <v>0</v>
      </c>
      <c r="BJ420" s="308">
        <v>0</v>
      </c>
      <c r="BK420" s="308">
        <v>0</v>
      </c>
    </row>
    <row r="421" spans="1:63" x14ac:dyDescent="0.25">
      <c r="A421" s="306">
        <v>111920</v>
      </c>
      <c r="B421" s="308" t="s">
        <v>14</v>
      </c>
      <c r="C421" s="308">
        <v>13.9773</v>
      </c>
      <c r="D421" s="308">
        <v>0</v>
      </c>
      <c r="E421" s="308">
        <v>14.4781</v>
      </c>
      <c r="F421" s="308">
        <v>10.062900000000001</v>
      </c>
      <c r="G421" s="308">
        <v>13.338800000000001</v>
      </c>
      <c r="H421" s="308">
        <v>9.2485999999999997</v>
      </c>
      <c r="I421" s="308">
        <v>0</v>
      </c>
      <c r="J421" s="308">
        <v>0</v>
      </c>
      <c r="K421" s="308">
        <v>0</v>
      </c>
      <c r="L421" s="308">
        <v>0</v>
      </c>
      <c r="M421" s="308">
        <v>11.8667</v>
      </c>
      <c r="N421" s="308">
        <v>10.671099999999999</v>
      </c>
      <c r="O421" s="308">
        <v>0</v>
      </c>
      <c r="P421" s="308">
        <v>0</v>
      </c>
      <c r="Q421" s="308">
        <v>0</v>
      </c>
      <c r="R421" s="308">
        <v>0</v>
      </c>
      <c r="S421" s="308">
        <v>0</v>
      </c>
      <c r="T421" s="308">
        <v>7.6151999999999997</v>
      </c>
      <c r="U421" s="308">
        <v>0</v>
      </c>
      <c r="V421" s="308">
        <v>13.1799</v>
      </c>
      <c r="W421" s="308">
        <v>0</v>
      </c>
      <c r="X421" s="308">
        <v>0</v>
      </c>
      <c r="Y421" s="308">
        <v>0</v>
      </c>
      <c r="Z421" s="308">
        <v>0</v>
      </c>
      <c r="AA421" s="308">
        <v>0</v>
      </c>
      <c r="AB421" s="308">
        <v>13.8726</v>
      </c>
      <c r="AC421" s="308">
        <v>13.429500000000001</v>
      </c>
      <c r="AD421" s="308">
        <v>0</v>
      </c>
      <c r="AE421" s="308">
        <v>11.0227</v>
      </c>
      <c r="AF421" s="308">
        <v>0</v>
      </c>
      <c r="AG421" s="308">
        <v>0</v>
      </c>
      <c r="AH421" s="308">
        <v>0</v>
      </c>
      <c r="AI421" s="308">
        <v>0</v>
      </c>
      <c r="AJ421" s="308">
        <v>10.973800000000001</v>
      </c>
      <c r="AK421" s="308">
        <v>0</v>
      </c>
      <c r="AL421" s="308">
        <v>0</v>
      </c>
      <c r="AM421" s="308">
        <v>0</v>
      </c>
      <c r="AN421" s="308">
        <v>11.148899999999999</v>
      </c>
      <c r="AO421" s="308">
        <v>0</v>
      </c>
      <c r="AP421" s="308">
        <v>0</v>
      </c>
      <c r="AQ421" s="308">
        <v>0</v>
      </c>
      <c r="AR421" s="308">
        <v>12.441800000000001</v>
      </c>
      <c r="AS421" s="308">
        <v>0</v>
      </c>
      <c r="AT421" s="308">
        <v>10.478300000000001</v>
      </c>
      <c r="AU421" s="308">
        <v>11.8545</v>
      </c>
      <c r="AV421" s="308">
        <v>0</v>
      </c>
      <c r="AW421" s="308">
        <v>9.3221000000000007</v>
      </c>
      <c r="AX421" s="308">
        <v>0</v>
      </c>
      <c r="AY421" s="308">
        <v>0</v>
      </c>
      <c r="AZ421" s="308">
        <v>0</v>
      </c>
      <c r="BA421" s="308">
        <v>0</v>
      </c>
      <c r="BB421" s="308">
        <v>0</v>
      </c>
      <c r="BC421" s="308">
        <v>0</v>
      </c>
      <c r="BD421" s="308">
        <v>0</v>
      </c>
      <c r="BE421" s="308">
        <v>0</v>
      </c>
      <c r="BF421" s="308">
        <v>12.9155</v>
      </c>
      <c r="BG421" s="308">
        <v>11.6525</v>
      </c>
      <c r="BH421" s="308">
        <v>13.877000000000001</v>
      </c>
      <c r="BI421" s="308">
        <v>12.284800000000001</v>
      </c>
      <c r="BJ421" s="308">
        <v>13.7537</v>
      </c>
      <c r="BK421" s="308">
        <v>9.4644999999999992</v>
      </c>
    </row>
    <row r="422" spans="1:63" x14ac:dyDescent="0.25">
      <c r="A422" s="306" t="s">
        <v>684</v>
      </c>
      <c r="B422" s="308" t="s">
        <v>685</v>
      </c>
      <c r="C422" s="308">
        <v>11.771800000000001</v>
      </c>
      <c r="D422" s="308">
        <v>6.9797000000000002</v>
      </c>
      <c r="E422" s="308">
        <v>14.3119</v>
      </c>
      <c r="F422" s="308">
        <v>9.9029000000000007</v>
      </c>
      <c r="G422" s="308">
        <v>12.205299999999999</v>
      </c>
      <c r="H422" s="308">
        <v>8.1412999999999993</v>
      </c>
      <c r="I422" s="308">
        <v>12.0121</v>
      </c>
      <c r="J422" s="308">
        <v>11.900499999999999</v>
      </c>
      <c r="K422" s="308">
        <v>0</v>
      </c>
      <c r="L422" s="308">
        <v>5.9229000000000003</v>
      </c>
      <c r="M422" s="308">
        <v>9.9771000000000001</v>
      </c>
      <c r="N422" s="308">
        <v>8.9575999999999993</v>
      </c>
      <c r="O422" s="308">
        <v>11.619199999999999</v>
      </c>
      <c r="P422" s="308">
        <v>7.7796000000000003</v>
      </c>
      <c r="Q422" s="308">
        <v>7.8483999999999998</v>
      </c>
      <c r="R422" s="308">
        <v>6.5042</v>
      </c>
      <c r="S422" s="308">
        <v>8.2126999999999999</v>
      </c>
      <c r="T422" s="308">
        <v>7.7465000000000002</v>
      </c>
      <c r="U422" s="308">
        <v>10.894600000000001</v>
      </c>
      <c r="V422" s="308">
        <v>11.294600000000001</v>
      </c>
      <c r="W422" s="308">
        <v>11.9053</v>
      </c>
      <c r="X422" s="308">
        <v>12.346399999999999</v>
      </c>
      <c r="Y422" s="308">
        <v>9.9132999999999996</v>
      </c>
      <c r="Z422" s="308">
        <v>10.4566</v>
      </c>
      <c r="AA422" s="308">
        <v>6.9923000000000002</v>
      </c>
      <c r="AB422" s="308">
        <v>13.2112</v>
      </c>
      <c r="AC422" s="308">
        <v>11.3154</v>
      </c>
      <c r="AD422" s="308">
        <v>13.743399999999999</v>
      </c>
      <c r="AE422" s="308">
        <v>10.2418</v>
      </c>
      <c r="AF422" s="308">
        <v>6.3009000000000004</v>
      </c>
      <c r="AG422" s="308">
        <v>6.6635</v>
      </c>
      <c r="AH422" s="308">
        <v>8.0020000000000007</v>
      </c>
      <c r="AI422" s="308">
        <v>9.5484000000000009</v>
      </c>
      <c r="AJ422" s="308">
        <v>9.5737000000000005</v>
      </c>
      <c r="AK422" s="308">
        <v>8.2589000000000006</v>
      </c>
      <c r="AL422" s="308">
        <v>10.215199999999999</v>
      </c>
      <c r="AM422" s="308">
        <v>14.777100000000001</v>
      </c>
      <c r="AN422" s="308">
        <v>10.042</v>
      </c>
      <c r="AO422" s="308">
        <v>14.034599999999999</v>
      </c>
      <c r="AP422" s="308">
        <v>9.6812000000000005</v>
      </c>
      <c r="AQ422" s="308">
        <v>12.4207</v>
      </c>
      <c r="AR422" s="308">
        <v>16.395499999999998</v>
      </c>
      <c r="AS422" s="308">
        <v>5.8464999999999998</v>
      </c>
      <c r="AT422" s="308">
        <v>9.0071999999999992</v>
      </c>
      <c r="AU422" s="308">
        <v>10.262499999999999</v>
      </c>
      <c r="AV422" s="308">
        <v>16.9312</v>
      </c>
      <c r="AW422" s="308">
        <v>8.2810000000000006</v>
      </c>
      <c r="AX422" s="308">
        <v>13.1066</v>
      </c>
      <c r="AY422" s="308">
        <v>9.3853000000000009</v>
      </c>
      <c r="AZ422" s="308">
        <v>11.3156</v>
      </c>
      <c r="BA422" s="308">
        <v>8.3893000000000004</v>
      </c>
      <c r="BB422" s="308">
        <v>8.3910999999999998</v>
      </c>
      <c r="BC422" s="308">
        <v>10.3081</v>
      </c>
      <c r="BD422" s="308">
        <v>10.0511</v>
      </c>
      <c r="BE422" s="308">
        <v>9.0220000000000002</v>
      </c>
      <c r="BF422" s="308">
        <v>7.9866000000000001</v>
      </c>
      <c r="BG422" s="308">
        <v>10.7818</v>
      </c>
      <c r="BH422" s="308">
        <v>11.8078</v>
      </c>
      <c r="BI422" s="308">
        <v>11.312900000000001</v>
      </c>
      <c r="BJ422" s="308">
        <v>10.9777</v>
      </c>
      <c r="BK422" s="308">
        <v>9.4963999999999995</v>
      </c>
    </row>
    <row r="423" spans="1:63" x14ac:dyDescent="0.25">
      <c r="A423" s="306">
        <v>112120</v>
      </c>
      <c r="B423" s="308" t="s">
        <v>16</v>
      </c>
      <c r="C423" s="308">
        <v>10.837300000000001</v>
      </c>
      <c r="D423" s="308">
        <v>5.5208000000000004</v>
      </c>
      <c r="E423" s="308">
        <v>13.8218</v>
      </c>
      <c r="F423" s="308">
        <v>9.3735999999999997</v>
      </c>
      <c r="G423" s="308">
        <v>10.4764</v>
      </c>
      <c r="H423" s="308">
        <v>6.6529999999999996</v>
      </c>
      <c r="I423" s="308">
        <v>11.6408</v>
      </c>
      <c r="J423" s="308">
        <v>9.4679000000000002</v>
      </c>
      <c r="K423" s="308">
        <v>0</v>
      </c>
      <c r="L423" s="308">
        <v>4.5582000000000003</v>
      </c>
      <c r="M423" s="308">
        <v>8.8665000000000003</v>
      </c>
      <c r="N423" s="308">
        <v>7.4568000000000003</v>
      </c>
      <c r="O423" s="308">
        <v>12.258800000000001</v>
      </c>
      <c r="P423" s="308">
        <v>6.5419</v>
      </c>
      <c r="Q423" s="308">
        <v>7.3055000000000003</v>
      </c>
      <c r="R423" s="308">
        <v>6.0117000000000003</v>
      </c>
      <c r="S423" s="308">
        <v>7.4682000000000004</v>
      </c>
      <c r="T423" s="308">
        <v>7.6988000000000003</v>
      </c>
      <c r="U423" s="308">
        <v>10.685</v>
      </c>
      <c r="V423" s="308">
        <v>10.51</v>
      </c>
      <c r="W423" s="308">
        <v>10.3613</v>
      </c>
      <c r="X423" s="308">
        <v>9.0824999999999996</v>
      </c>
      <c r="Y423" s="308">
        <v>12.930300000000001</v>
      </c>
      <c r="Z423" s="308">
        <v>8.4263999999999992</v>
      </c>
      <c r="AA423" s="308">
        <v>7.3338000000000001</v>
      </c>
      <c r="AB423" s="308">
        <v>12.8443</v>
      </c>
      <c r="AC423" s="308">
        <v>10.812799999999999</v>
      </c>
      <c r="AD423" s="308">
        <v>14.9406</v>
      </c>
      <c r="AE423" s="308">
        <v>7.9215999999999998</v>
      </c>
      <c r="AF423" s="308">
        <v>6.2328000000000001</v>
      </c>
      <c r="AG423" s="308">
        <v>6.3333000000000004</v>
      </c>
      <c r="AH423" s="308">
        <v>6.7115</v>
      </c>
      <c r="AI423" s="308">
        <v>7.8643000000000001</v>
      </c>
      <c r="AJ423" s="308">
        <v>8.0602</v>
      </c>
      <c r="AK423" s="308">
        <v>7.2816999999999998</v>
      </c>
      <c r="AL423" s="308">
        <v>8.2727000000000004</v>
      </c>
      <c r="AM423" s="308">
        <v>13.155099999999999</v>
      </c>
      <c r="AN423" s="308">
        <v>9.9764999999999997</v>
      </c>
      <c r="AO423" s="308">
        <v>12.1343</v>
      </c>
      <c r="AP423" s="308">
        <v>8.1984999999999992</v>
      </c>
      <c r="AQ423" s="308">
        <v>6.3082000000000003</v>
      </c>
      <c r="AR423" s="308">
        <v>12.988899999999999</v>
      </c>
      <c r="AS423" s="308">
        <v>5.88</v>
      </c>
      <c r="AT423" s="308">
        <v>7.5034999999999998</v>
      </c>
      <c r="AU423" s="308">
        <v>9.3503000000000007</v>
      </c>
      <c r="AV423" s="308">
        <v>10.616</v>
      </c>
      <c r="AW423" s="308">
        <v>7.3555999999999999</v>
      </c>
      <c r="AX423" s="308">
        <v>11.766500000000001</v>
      </c>
      <c r="AY423" s="308">
        <v>7.8846999999999996</v>
      </c>
      <c r="AZ423" s="308">
        <v>11.998799999999999</v>
      </c>
      <c r="BA423" s="308">
        <v>7.0993000000000004</v>
      </c>
      <c r="BB423" s="308">
        <v>7.2934999999999999</v>
      </c>
      <c r="BC423" s="308">
        <v>9.6600999999999999</v>
      </c>
      <c r="BD423" s="308">
        <v>8.3803000000000001</v>
      </c>
      <c r="BE423" s="308">
        <v>10.2789</v>
      </c>
      <c r="BF423" s="308">
        <v>7.7656999999999998</v>
      </c>
      <c r="BG423" s="308">
        <v>8.6981999999999999</v>
      </c>
      <c r="BH423" s="308">
        <v>10.536300000000001</v>
      </c>
      <c r="BI423" s="308">
        <v>10.3719</v>
      </c>
      <c r="BJ423" s="308">
        <v>9.3879000000000001</v>
      </c>
      <c r="BK423" s="308">
        <v>7.3041</v>
      </c>
    </row>
    <row r="424" spans="1:63" x14ac:dyDescent="0.25">
      <c r="A424" s="306" t="s">
        <v>686</v>
      </c>
      <c r="B424" s="308" t="s">
        <v>15</v>
      </c>
      <c r="C424" s="308">
        <v>12.257099999999999</v>
      </c>
      <c r="D424" s="308">
        <v>4.7643000000000004</v>
      </c>
      <c r="E424" s="308">
        <v>13.493399999999999</v>
      </c>
      <c r="F424" s="308">
        <v>10.3507</v>
      </c>
      <c r="G424" s="308">
        <v>11.108599999999999</v>
      </c>
      <c r="H424" s="308">
        <v>6.4756</v>
      </c>
      <c r="I424" s="308">
        <v>14.386100000000001</v>
      </c>
      <c r="J424" s="308">
        <v>6.0948000000000002</v>
      </c>
      <c r="K424" s="308">
        <v>0</v>
      </c>
      <c r="L424" s="308">
        <v>3.6402000000000001</v>
      </c>
      <c r="M424" s="308">
        <v>7.6821000000000002</v>
      </c>
      <c r="N424" s="308">
        <v>6.8273000000000001</v>
      </c>
      <c r="O424" s="308">
        <v>10.226100000000001</v>
      </c>
      <c r="P424" s="308">
        <v>7.4382000000000001</v>
      </c>
      <c r="Q424" s="308">
        <v>8.6580999999999992</v>
      </c>
      <c r="R424" s="308">
        <v>4.8514999999999997</v>
      </c>
      <c r="S424" s="308">
        <v>6.7412000000000001</v>
      </c>
      <c r="T424" s="308">
        <v>8.8795999999999999</v>
      </c>
      <c r="U424" s="308">
        <v>17.217500000000001</v>
      </c>
      <c r="V424" s="308">
        <v>10.8392</v>
      </c>
      <c r="W424" s="308">
        <v>5.1829999999999998</v>
      </c>
      <c r="X424" s="308">
        <v>7.1885000000000003</v>
      </c>
      <c r="Y424" s="308">
        <v>7.4189999999999996</v>
      </c>
      <c r="Z424" s="308">
        <v>7.9589999999999996</v>
      </c>
      <c r="AA424" s="308">
        <v>8.5227000000000004</v>
      </c>
      <c r="AB424" s="308">
        <v>13.4977</v>
      </c>
      <c r="AC424" s="308">
        <v>10.2235</v>
      </c>
      <c r="AD424" s="308">
        <v>17.732800000000001</v>
      </c>
      <c r="AE424" s="308">
        <v>8.1814</v>
      </c>
      <c r="AF424" s="308">
        <v>7.3089000000000004</v>
      </c>
      <c r="AG424" s="308">
        <v>7.4043000000000001</v>
      </c>
      <c r="AH424" s="308">
        <v>5.6764999999999999</v>
      </c>
      <c r="AI424" s="308">
        <v>5.9432999999999998</v>
      </c>
      <c r="AJ424" s="308">
        <v>10.485099999999999</v>
      </c>
      <c r="AK424" s="308">
        <v>9.2273999999999994</v>
      </c>
      <c r="AL424" s="308">
        <v>7.2968999999999999</v>
      </c>
      <c r="AM424" s="308">
        <v>11.3529</v>
      </c>
      <c r="AN424" s="308">
        <v>11.835000000000001</v>
      </c>
      <c r="AO424" s="308">
        <v>16.141400000000001</v>
      </c>
      <c r="AP424" s="308">
        <v>10.4445</v>
      </c>
      <c r="AQ424" s="308">
        <v>5.3598999999999997</v>
      </c>
      <c r="AR424" s="308">
        <v>11.810600000000001</v>
      </c>
      <c r="AS424" s="308">
        <v>6.9020000000000001</v>
      </c>
      <c r="AT424" s="308">
        <v>7.3052999999999999</v>
      </c>
      <c r="AU424" s="308">
        <v>11.5807</v>
      </c>
      <c r="AV424" s="308">
        <v>12.003399999999999</v>
      </c>
      <c r="AW424" s="308">
        <v>6.4412000000000003</v>
      </c>
      <c r="AX424" s="308">
        <v>11.0939</v>
      </c>
      <c r="AY424" s="308">
        <v>8.1007999999999996</v>
      </c>
      <c r="AZ424" s="308">
        <v>13.1845</v>
      </c>
      <c r="BA424" s="308">
        <v>7.4932999999999996</v>
      </c>
      <c r="BB424" s="308">
        <v>9.5184999999999995</v>
      </c>
      <c r="BC424" s="308">
        <v>6.3070000000000004</v>
      </c>
      <c r="BD424" s="308">
        <v>8.6536000000000008</v>
      </c>
      <c r="BE424" s="308">
        <v>7.8220000000000001</v>
      </c>
      <c r="BF424" s="308">
        <v>9.0965000000000007</v>
      </c>
      <c r="BG424" s="308">
        <v>7.9653999999999998</v>
      </c>
      <c r="BH424" s="308">
        <v>12.5166</v>
      </c>
      <c r="BI424" s="308">
        <v>12.4031</v>
      </c>
      <c r="BJ424" s="308">
        <v>13.5631</v>
      </c>
      <c r="BK424" s="308">
        <v>7.6980000000000004</v>
      </c>
    </row>
    <row r="425" spans="1:63" x14ac:dyDescent="0.25">
      <c r="A425" s="306">
        <v>112300</v>
      </c>
      <c r="B425" s="308" t="s">
        <v>17</v>
      </c>
      <c r="C425" s="308">
        <v>11.686400000000001</v>
      </c>
      <c r="D425" s="308">
        <v>4.0140000000000002</v>
      </c>
      <c r="E425" s="308">
        <v>10.439</v>
      </c>
      <c r="F425" s="308">
        <v>9.3224</v>
      </c>
      <c r="G425" s="308">
        <v>4.7667999999999999</v>
      </c>
      <c r="H425" s="308">
        <v>5.9782000000000002</v>
      </c>
      <c r="I425" s="308">
        <v>9.8667999999999996</v>
      </c>
      <c r="J425" s="308">
        <v>5.2999000000000001</v>
      </c>
      <c r="K425" s="308">
        <v>0</v>
      </c>
      <c r="L425" s="308">
        <v>4.3006000000000002</v>
      </c>
      <c r="M425" s="308">
        <v>6.1284999999999998</v>
      </c>
      <c r="N425" s="308">
        <v>7.1820000000000004</v>
      </c>
      <c r="O425" s="308">
        <v>8.1850000000000005</v>
      </c>
      <c r="P425" s="308">
        <v>7.6384999999999996</v>
      </c>
      <c r="Q425" s="308">
        <v>8.0294000000000008</v>
      </c>
      <c r="R425" s="308">
        <v>6.8959999999999999</v>
      </c>
      <c r="S425" s="308">
        <v>9.6396999999999995</v>
      </c>
      <c r="T425" s="308">
        <v>6.3811</v>
      </c>
      <c r="U425" s="308">
        <v>15.522600000000001</v>
      </c>
      <c r="V425" s="308">
        <v>11.9747</v>
      </c>
      <c r="W425" s="308">
        <v>7.6375000000000002</v>
      </c>
      <c r="X425" s="308">
        <v>7.2419000000000002</v>
      </c>
      <c r="Y425" s="308">
        <v>10.8939</v>
      </c>
      <c r="Z425" s="308">
        <v>6.6247999999999996</v>
      </c>
      <c r="AA425" s="308">
        <v>8.1669</v>
      </c>
      <c r="AB425" s="308">
        <v>12.8451</v>
      </c>
      <c r="AC425" s="308">
        <v>11.6645</v>
      </c>
      <c r="AD425" s="308">
        <v>11.8881</v>
      </c>
      <c r="AE425" s="308">
        <v>8.0881000000000007</v>
      </c>
      <c r="AF425" s="308">
        <v>6.4476000000000004</v>
      </c>
      <c r="AG425" s="308">
        <v>7.4080000000000004</v>
      </c>
      <c r="AH425" s="308">
        <v>4.8669000000000002</v>
      </c>
      <c r="AI425" s="308">
        <v>6.5754999999999999</v>
      </c>
      <c r="AJ425" s="308">
        <v>7.2535999999999996</v>
      </c>
      <c r="AK425" s="308">
        <v>4.6497999999999999</v>
      </c>
      <c r="AL425" s="308">
        <v>5.6144999999999996</v>
      </c>
      <c r="AM425" s="308">
        <v>13.5764</v>
      </c>
      <c r="AN425" s="308">
        <v>10.747999999999999</v>
      </c>
      <c r="AO425" s="308">
        <v>8.5137</v>
      </c>
      <c r="AP425" s="308">
        <v>11.183</v>
      </c>
      <c r="AQ425" s="308">
        <v>4.5026000000000002</v>
      </c>
      <c r="AR425" s="308">
        <v>10.4809</v>
      </c>
      <c r="AS425" s="308">
        <v>6.6742999999999997</v>
      </c>
      <c r="AT425" s="308">
        <v>7.0157999999999996</v>
      </c>
      <c r="AU425" s="308">
        <v>8.1738999999999997</v>
      </c>
      <c r="AV425" s="308">
        <v>11.6607</v>
      </c>
      <c r="AW425" s="308">
        <v>6.8998999999999997</v>
      </c>
      <c r="AX425" s="308">
        <v>9.5047999999999995</v>
      </c>
      <c r="AY425" s="308">
        <v>7.3117000000000001</v>
      </c>
      <c r="AZ425" s="308">
        <v>9.8259000000000007</v>
      </c>
      <c r="BA425" s="308">
        <v>5.7279999999999998</v>
      </c>
      <c r="BB425" s="308">
        <v>5.0218999999999996</v>
      </c>
      <c r="BC425" s="308">
        <v>6.9463999999999997</v>
      </c>
      <c r="BD425" s="308">
        <v>8.5297999999999998</v>
      </c>
      <c r="BE425" s="308">
        <v>9.8346</v>
      </c>
      <c r="BF425" s="308">
        <v>9.2096999999999998</v>
      </c>
      <c r="BG425" s="308">
        <v>7.3106999999999998</v>
      </c>
      <c r="BH425" s="308">
        <v>12.311299999999999</v>
      </c>
      <c r="BI425" s="308">
        <v>10.030900000000001</v>
      </c>
      <c r="BJ425" s="308">
        <v>8.9590999999999994</v>
      </c>
      <c r="BK425" s="308">
        <v>6.5027999999999997</v>
      </c>
    </row>
    <row r="426" spans="1:63" x14ac:dyDescent="0.25">
      <c r="A426" s="306" t="s">
        <v>687</v>
      </c>
      <c r="B426" s="308" t="s">
        <v>18</v>
      </c>
      <c r="C426" s="308">
        <v>8.9450000000000003</v>
      </c>
      <c r="D426" s="308">
        <v>4.8460000000000001</v>
      </c>
      <c r="E426" s="308">
        <v>10.365500000000001</v>
      </c>
      <c r="F426" s="308">
        <v>6.9324000000000003</v>
      </c>
      <c r="G426" s="308">
        <v>8.8672000000000004</v>
      </c>
      <c r="H426" s="308">
        <v>5.4671000000000003</v>
      </c>
      <c r="I426" s="308">
        <v>9.8003</v>
      </c>
      <c r="J426" s="308">
        <v>5.8670999999999998</v>
      </c>
      <c r="K426" s="308">
        <v>0</v>
      </c>
      <c r="L426" s="308">
        <v>4.6917999999999997</v>
      </c>
      <c r="M426" s="308">
        <v>7.9223999999999997</v>
      </c>
      <c r="N426" s="308">
        <v>6.3037999999999998</v>
      </c>
      <c r="O426" s="308">
        <v>8.4568999999999992</v>
      </c>
      <c r="P426" s="308">
        <v>5.6780999999999997</v>
      </c>
      <c r="Q426" s="308">
        <v>7.1048999999999998</v>
      </c>
      <c r="R426" s="308">
        <v>5.1810999999999998</v>
      </c>
      <c r="S426" s="308">
        <v>6.2811000000000003</v>
      </c>
      <c r="T426" s="308">
        <v>6.9949000000000003</v>
      </c>
      <c r="U426" s="308">
        <v>13.446899999999999</v>
      </c>
      <c r="V426" s="308">
        <v>8.7187000000000001</v>
      </c>
      <c r="W426" s="308">
        <v>8.7284000000000006</v>
      </c>
      <c r="X426" s="308">
        <v>7.2173999999999996</v>
      </c>
      <c r="Y426" s="308">
        <v>11.5327</v>
      </c>
      <c r="Z426" s="308">
        <v>7.0801999999999996</v>
      </c>
      <c r="AA426" s="308">
        <v>5.7598000000000003</v>
      </c>
      <c r="AB426" s="308">
        <v>11.0908</v>
      </c>
      <c r="AC426" s="308">
        <v>9.0530000000000008</v>
      </c>
      <c r="AD426" s="308">
        <v>13.4049</v>
      </c>
      <c r="AE426" s="308">
        <v>6.9684999999999997</v>
      </c>
      <c r="AF426" s="308">
        <v>5.2728999999999999</v>
      </c>
      <c r="AG426" s="308">
        <v>5.4383999999999997</v>
      </c>
      <c r="AH426" s="308">
        <v>5.6820000000000004</v>
      </c>
      <c r="AI426" s="308">
        <v>7.8574000000000002</v>
      </c>
      <c r="AJ426" s="308">
        <v>7.1603000000000003</v>
      </c>
      <c r="AK426" s="308">
        <v>6.0186000000000002</v>
      </c>
      <c r="AL426" s="308">
        <v>5.7774000000000001</v>
      </c>
      <c r="AM426" s="308">
        <v>11.492000000000001</v>
      </c>
      <c r="AN426" s="308">
        <v>8.4454999999999991</v>
      </c>
      <c r="AO426" s="308">
        <v>10.6944</v>
      </c>
      <c r="AP426" s="308">
        <v>10.681699999999999</v>
      </c>
      <c r="AQ426" s="308">
        <v>9.4678000000000004</v>
      </c>
      <c r="AR426" s="308">
        <v>10.9238</v>
      </c>
      <c r="AS426" s="308">
        <v>5.0460000000000003</v>
      </c>
      <c r="AT426" s="308">
        <v>6.3579999999999997</v>
      </c>
      <c r="AU426" s="308">
        <v>7.6157000000000004</v>
      </c>
      <c r="AV426" s="308">
        <v>13.3164</v>
      </c>
      <c r="AW426" s="308">
        <v>6.1759000000000004</v>
      </c>
      <c r="AX426" s="308">
        <v>9.3407999999999998</v>
      </c>
      <c r="AY426" s="308">
        <v>6.6702000000000004</v>
      </c>
      <c r="AZ426" s="308">
        <v>9.1837</v>
      </c>
      <c r="BA426" s="308">
        <v>6.0625999999999998</v>
      </c>
      <c r="BB426" s="308">
        <v>6.6841999999999997</v>
      </c>
      <c r="BC426" s="308">
        <v>8.2177000000000007</v>
      </c>
      <c r="BD426" s="308">
        <v>7.9570999999999996</v>
      </c>
      <c r="BE426" s="308">
        <v>6.6961000000000004</v>
      </c>
      <c r="BF426" s="308">
        <v>6.6833999999999998</v>
      </c>
      <c r="BG426" s="308">
        <v>7.6901000000000002</v>
      </c>
      <c r="BH426" s="308">
        <v>11.6929</v>
      </c>
      <c r="BI426" s="308">
        <v>8.2420000000000009</v>
      </c>
      <c r="BJ426" s="308">
        <v>9.8274000000000008</v>
      </c>
      <c r="BK426" s="308">
        <v>6.4732000000000003</v>
      </c>
    </row>
    <row r="427" spans="1:63" x14ac:dyDescent="0.25">
      <c r="A427" s="306">
        <v>113300</v>
      </c>
      <c r="B427" s="308" t="s">
        <v>688</v>
      </c>
      <c r="C427" s="308">
        <v>13.7035</v>
      </c>
      <c r="D427" s="308">
        <v>6.5372000000000003</v>
      </c>
      <c r="E427" s="308">
        <v>11.804</v>
      </c>
      <c r="F427" s="308">
        <v>11.9308</v>
      </c>
      <c r="G427" s="308">
        <v>12.285</v>
      </c>
      <c r="H427" s="308">
        <v>7.4112999999999998</v>
      </c>
      <c r="I427" s="308">
        <v>12.422599999999999</v>
      </c>
      <c r="J427" s="308">
        <v>9.9385999999999992</v>
      </c>
      <c r="K427" s="308">
        <v>0</v>
      </c>
      <c r="L427" s="308">
        <v>4.1459000000000001</v>
      </c>
      <c r="M427" s="308">
        <v>11.9838</v>
      </c>
      <c r="N427" s="308">
        <v>11.9369</v>
      </c>
      <c r="O427" s="308">
        <v>8.0449000000000002</v>
      </c>
      <c r="P427" s="308">
        <v>11.955399999999999</v>
      </c>
      <c r="Q427" s="308">
        <v>11.8314</v>
      </c>
      <c r="R427" s="308">
        <v>9.0785</v>
      </c>
      <c r="S427" s="308">
        <v>9.9565999999999999</v>
      </c>
      <c r="T427" s="308">
        <v>12.0725</v>
      </c>
      <c r="U427" s="308">
        <v>13.0977</v>
      </c>
      <c r="V427" s="308">
        <v>10.844900000000001</v>
      </c>
      <c r="W427" s="308">
        <v>5.2887000000000004</v>
      </c>
      <c r="X427" s="308">
        <v>8.7865000000000002</v>
      </c>
      <c r="Y427" s="308">
        <v>13.3047</v>
      </c>
      <c r="Z427" s="308">
        <v>11.5321</v>
      </c>
      <c r="AA427" s="308">
        <v>11.6792</v>
      </c>
      <c r="AB427" s="308">
        <v>10.4207</v>
      </c>
      <c r="AC427" s="308">
        <v>12.064299999999999</v>
      </c>
      <c r="AD427" s="308">
        <v>13.457599999999999</v>
      </c>
      <c r="AE427" s="308">
        <v>11.624599999999999</v>
      </c>
      <c r="AF427" s="308">
        <v>0</v>
      </c>
      <c r="AG427" s="308">
        <v>9.3047000000000004</v>
      </c>
      <c r="AH427" s="308">
        <v>7.6174999999999997</v>
      </c>
      <c r="AI427" s="308">
        <v>8.1640999999999995</v>
      </c>
      <c r="AJ427" s="308">
        <v>12.645</v>
      </c>
      <c r="AK427" s="308">
        <v>10.7033</v>
      </c>
      <c r="AL427" s="308">
        <v>8.5919000000000008</v>
      </c>
      <c r="AM427" s="308">
        <v>7.7140000000000004</v>
      </c>
      <c r="AN427" s="308">
        <v>8.1830999999999996</v>
      </c>
      <c r="AO427" s="308">
        <v>10.585699999999999</v>
      </c>
      <c r="AP427" s="308">
        <v>8.5327000000000002</v>
      </c>
      <c r="AQ427" s="308">
        <v>11.295999999999999</v>
      </c>
      <c r="AR427" s="308">
        <v>12.9519</v>
      </c>
      <c r="AS427" s="308">
        <v>10.3484</v>
      </c>
      <c r="AT427" s="308">
        <v>6.1759000000000004</v>
      </c>
      <c r="AU427" s="308">
        <v>8.8009000000000004</v>
      </c>
      <c r="AV427" s="308">
        <v>11.765000000000001</v>
      </c>
      <c r="AW427" s="308">
        <v>8.3390000000000004</v>
      </c>
      <c r="AX427" s="308">
        <v>15.189</v>
      </c>
      <c r="AY427" s="308">
        <v>10.4102</v>
      </c>
      <c r="AZ427" s="308">
        <v>13.1911</v>
      </c>
      <c r="BA427" s="308">
        <v>10.149800000000001</v>
      </c>
      <c r="BB427" s="308">
        <v>10.0021</v>
      </c>
      <c r="BC427" s="308">
        <v>10.494</v>
      </c>
      <c r="BD427" s="308">
        <v>8.5673999999999992</v>
      </c>
      <c r="BE427" s="308">
        <v>10.0366</v>
      </c>
      <c r="BF427" s="308">
        <v>10.8147</v>
      </c>
      <c r="BG427" s="308">
        <v>12.7926</v>
      </c>
      <c r="BH427" s="308">
        <v>12.166</v>
      </c>
      <c r="BI427" s="308">
        <v>11.926500000000001</v>
      </c>
      <c r="BJ427" s="308">
        <v>11.0794</v>
      </c>
      <c r="BK427" s="308">
        <v>10.445</v>
      </c>
    </row>
    <row r="428" spans="1:63" x14ac:dyDescent="0.25">
      <c r="A428" s="306" t="s">
        <v>689</v>
      </c>
      <c r="B428" s="308" t="s">
        <v>690</v>
      </c>
      <c r="C428" s="308">
        <v>11.331899999999999</v>
      </c>
      <c r="D428" s="308">
        <v>4.3787000000000003</v>
      </c>
      <c r="E428" s="308">
        <v>9.2965999999999998</v>
      </c>
      <c r="F428" s="308">
        <v>8.8798999999999992</v>
      </c>
      <c r="G428" s="308">
        <v>10.830399999999999</v>
      </c>
      <c r="H428" s="308">
        <v>10.655799999999999</v>
      </c>
      <c r="I428" s="308">
        <v>7.0648</v>
      </c>
      <c r="J428" s="308">
        <v>0</v>
      </c>
      <c r="K428" s="308">
        <v>0</v>
      </c>
      <c r="L428" s="308">
        <v>0</v>
      </c>
      <c r="M428" s="308">
        <v>11.339399999999999</v>
      </c>
      <c r="N428" s="308">
        <v>7.6361999999999997</v>
      </c>
      <c r="O428" s="308">
        <v>11.6058</v>
      </c>
      <c r="P428" s="308">
        <v>0</v>
      </c>
      <c r="Q428" s="308">
        <v>11.2774</v>
      </c>
      <c r="R428" s="308">
        <v>9.7683999999999997</v>
      </c>
      <c r="S428" s="308">
        <v>6.9645999999999999</v>
      </c>
      <c r="T428" s="308">
        <v>0</v>
      </c>
      <c r="U428" s="308">
        <v>15.0801</v>
      </c>
      <c r="V428" s="308">
        <v>7.4203000000000001</v>
      </c>
      <c r="W428" s="308">
        <v>6.0942999999999996</v>
      </c>
      <c r="X428" s="308">
        <v>6.4684999999999997</v>
      </c>
      <c r="Y428" s="308">
        <v>8.6206999999999994</v>
      </c>
      <c r="Z428" s="308">
        <v>8.6439000000000004</v>
      </c>
      <c r="AA428" s="308">
        <v>6.7453000000000003</v>
      </c>
      <c r="AB428" s="308">
        <v>7.7047999999999996</v>
      </c>
      <c r="AC428" s="308">
        <v>9.4704999999999995</v>
      </c>
      <c r="AD428" s="308">
        <v>9.5275999999999996</v>
      </c>
      <c r="AE428" s="308">
        <v>8.3537999999999997</v>
      </c>
      <c r="AF428" s="308">
        <v>11.708299999999999</v>
      </c>
      <c r="AG428" s="308">
        <v>11.0046</v>
      </c>
      <c r="AH428" s="308">
        <v>5.3202999999999996</v>
      </c>
      <c r="AI428" s="308">
        <v>3.9085999999999999</v>
      </c>
      <c r="AJ428" s="308">
        <v>10.223100000000001</v>
      </c>
      <c r="AK428" s="308">
        <v>0</v>
      </c>
      <c r="AL428" s="308">
        <v>6.9363000000000001</v>
      </c>
      <c r="AM428" s="308">
        <v>7.2625000000000002</v>
      </c>
      <c r="AN428" s="308">
        <v>7.7164999999999999</v>
      </c>
      <c r="AO428" s="308">
        <v>9.1654999999999998</v>
      </c>
      <c r="AP428" s="308">
        <v>7.0880999999999998</v>
      </c>
      <c r="AQ428" s="308">
        <v>0</v>
      </c>
      <c r="AR428" s="308">
        <v>9.3252000000000006</v>
      </c>
      <c r="AS428" s="308">
        <v>11.011900000000001</v>
      </c>
      <c r="AT428" s="308">
        <v>5.3182999999999998</v>
      </c>
      <c r="AU428" s="308">
        <v>7.3825000000000003</v>
      </c>
      <c r="AV428" s="308">
        <v>0</v>
      </c>
      <c r="AW428" s="308">
        <v>5.2634999999999996</v>
      </c>
      <c r="AX428" s="308">
        <v>11.1106</v>
      </c>
      <c r="AY428" s="308">
        <v>8.2035</v>
      </c>
      <c r="AZ428" s="308">
        <v>8.5646000000000004</v>
      </c>
      <c r="BA428" s="308">
        <v>4.2126000000000001</v>
      </c>
      <c r="BB428" s="308">
        <v>0</v>
      </c>
      <c r="BC428" s="308">
        <v>6.2930000000000001</v>
      </c>
      <c r="BD428" s="308">
        <v>5.5822000000000003</v>
      </c>
      <c r="BE428" s="308">
        <v>7.7152000000000003</v>
      </c>
      <c r="BF428" s="308">
        <v>8.6003000000000007</v>
      </c>
      <c r="BG428" s="308">
        <v>9.5137999999999998</v>
      </c>
      <c r="BH428" s="308">
        <v>9.6181000000000001</v>
      </c>
      <c r="BI428" s="308">
        <v>8.2239000000000004</v>
      </c>
      <c r="BJ428" s="308">
        <v>10.8779</v>
      </c>
      <c r="BK428" s="308">
        <v>8.6960999999999995</v>
      </c>
    </row>
    <row r="429" spans="1:63" x14ac:dyDescent="0.25">
      <c r="A429" s="306">
        <v>114100</v>
      </c>
      <c r="B429" s="308" t="s">
        <v>691</v>
      </c>
      <c r="C429" s="308">
        <v>21.294599999999999</v>
      </c>
      <c r="D429" s="308">
        <v>13.725300000000001</v>
      </c>
      <c r="E429" s="308">
        <v>20.2638</v>
      </c>
      <c r="F429" s="308">
        <v>19.6721</v>
      </c>
      <c r="G429" s="308">
        <v>0</v>
      </c>
      <c r="H429" s="308">
        <v>20.738299999999999</v>
      </c>
      <c r="I429" s="308">
        <v>0</v>
      </c>
      <c r="J429" s="308">
        <v>21.4389</v>
      </c>
      <c r="K429" s="308">
        <v>0</v>
      </c>
      <c r="L429" s="308">
        <v>14.834199999999999</v>
      </c>
      <c r="M429" s="308">
        <v>20.648</v>
      </c>
      <c r="N429" s="308">
        <v>19.676500000000001</v>
      </c>
      <c r="O429" s="308">
        <v>21.0716</v>
      </c>
      <c r="P429" s="308">
        <v>0</v>
      </c>
      <c r="Q429" s="308">
        <v>20.810099999999998</v>
      </c>
      <c r="R429" s="308">
        <v>27.032800000000002</v>
      </c>
      <c r="S429" s="308">
        <v>0</v>
      </c>
      <c r="T429" s="308">
        <v>0</v>
      </c>
      <c r="U429" s="308">
        <v>21.790700000000001</v>
      </c>
      <c r="V429" s="308">
        <v>36.768099999999997</v>
      </c>
      <c r="W429" s="308">
        <v>14.3215</v>
      </c>
      <c r="X429" s="308">
        <v>37.024500000000003</v>
      </c>
      <c r="Y429" s="308">
        <v>25.229500000000002</v>
      </c>
      <c r="Z429" s="308">
        <v>20.3247</v>
      </c>
      <c r="AA429" s="308">
        <v>20.488299999999999</v>
      </c>
      <c r="AB429" s="308">
        <v>0</v>
      </c>
      <c r="AC429" s="308">
        <v>26.918199999999999</v>
      </c>
      <c r="AD429" s="308">
        <v>26.514399999999998</v>
      </c>
      <c r="AE429" s="308">
        <v>20.490500000000001</v>
      </c>
      <c r="AF429" s="308">
        <v>0</v>
      </c>
      <c r="AG429" s="308">
        <v>0</v>
      </c>
      <c r="AH429" s="308">
        <v>14.899800000000001</v>
      </c>
      <c r="AI429" s="308">
        <v>20.114899999999999</v>
      </c>
      <c r="AJ429" s="308">
        <v>0</v>
      </c>
      <c r="AK429" s="308">
        <v>17.281099999999999</v>
      </c>
      <c r="AL429" s="308">
        <v>35.015599999999999</v>
      </c>
      <c r="AM429" s="308">
        <v>20.877500000000001</v>
      </c>
      <c r="AN429" s="308">
        <v>0</v>
      </c>
      <c r="AO429" s="308">
        <v>21.130800000000001</v>
      </c>
      <c r="AP429" s="308">
        <v>17.8855</v>
      </c>
      <c r="AQ429" s="308">
        <v>20.927900000000001</v>
      </c>
      <c r="AR429" s="308">
        <v>38.620600000000003</v>
      </c>
      <c r="AS429" s="308">
        <v>0</v>
      </c>
      <c r="AT429" s="308">
        <v>21.172499999999999</v>
      </c>
      <c r="AU429" s="308">
        <v>21.3706</v>
      </c>
      <c r="AV429" s="308">
        <v>21.199000000000002</v>
      </c>
      <c r="AW429" s="308">
        <v>32.6937</v>
      </c>
      <c r="AX429" s="308">
        <v>0</v>
      </c>
      <c r="AY429" s="308">
        <v>11.731299999999999</v>
      </c>
      <c r="AZ429" s="308">
        <v>20.235600000000002</v>
      </c>
      <c r="BA429" s="308">
        <v>0</v>
      </c>
      <c r="BB429" s="308">
        <v>0</v>
      </c>
      <c r="BC429" s="308">
        <v>19.616199999999999</v>
      </c>
      <c r="BD429" s="308">
        <v>24.186800000000002</v>
      </c>
      <c r="BE429" s="308">
        <v>20.909500000000001</v>
      </c>
      <c r="BF429" s="308">
        <v>19.703600000000002</v>
      </c>
      <c r="BG429" s="308">
        <v>23.172799999999999</v>
      </c>
      <c r="BH429" s="308">
        <v>22.985700000000001</v>
      </c>
      <c r="BI429" s="308">
        <v>27.0106</v>
      </c>
      <c r="BJ429" s="308">
        <v>22.482800000000001</v>
      </c>
      <c r="BK429" s="308">
        <v>18.192499999999999</v>
      </c>
    </row>
    <row r="430" spans="1:63" x14ac:dyDescent="0.25">
      <c r="A430" s="306">
        <v>114200</v>
      </c>
      <c r="B430" s="308" t="s">
        <v>692</v>
      </c>
      <c r="C430" s="308">
        <v>16.142099999999999</v>
      </c>
      <c r="D430" s="308">
        <v>0</v>
      </c>
      <c r="E430" s="308">
        <v>17.1434</v>
      </c>
      <c r="F430" s="308">
        <v>12.8218</v>
      </c>
      <c r="G430" s="308">
        <v>19.974699999999999</v>
      </c>
      <c r="H430" s="308">
        <v>13.8521</v>
      </c>
      <c r="I430" s="308">
        <v>18.731100000000001</v>
      </c>
      <c r="J430" s="308">
        <v>9.2688000000000006</v>
      </c>
      <c r="K430" s="308">
        <v>0</v>
      </c>
      <c r="L430" s="308">
        <v>0</v>
      </c>
      <c r="M430" s="308">
        <v>14.2804</v>
      </c>
      <c r="N430" s="308">
        <v>11.312099999999999</v>
      </c>
      <c r="O430" s="308">
        <v>9.5045000000000002</v>
      </c>
      <c r="P430" s="308">
        <v>12.5952</v>
      </c>
      <c r="Q430" s="308">
        <v>14.1457</v>
      </c>
      <c r="R430" s="308">
        <v>19.45</v>
      </c>
      <c r="S430" s="308">
        <v>13.8919</v>
      </c>
      <c r="T430" s="308">
        <v>13.2422</v>
      </c>
      <c r="U430" s="308">
        <v>14.087300000000001</v>
      </c>
      <c r="V430" s="308">
        <v>10.9168</v>
      </c>
      <c r="W430" s="308">
        <v>15.1279</v>
      </c>
      <c r="X430" s="308">
        <v>13.819599999999999</v>
      </c>
      <c r="Y430" s="308">
        <v>0</v>
      </c>
      <c r="Z430" s="308">
        <v>19.291</v>
      </c>
      <c r="AA430" s="308">
        <v>18.9407</v>
      </c>
      <c r="AB430" s="308">
        <v>11.3696</v>
      </c>
      <c r="AC430" s="308">
        <v>9.7960999999999991</v>
      </c>
      <c r="AD430" s="308">
        <v>13.581899999999999</v>
      </c>
      <c r="AE430" s="308">
        <v>12.9909</v>
      </c>
      <c r="AF430" s="308">
        <v>19.238700000000001</v>
      </c>
      <c r="AG430" s="308">
        <v>13.2033</v>
      </c>
      <c r="AH430" s="308">
        <v>0</v>
      </c>
      <c r="AI430" s="308">
        <v>13.444000000000001</v>
      </c>
      <c r="AJ430" s="308">
        <v>0</v>
      </c>
      <c r="AK430" s="308">
        <v>12.864100000000001</v>
      </c>
      <c r="AL430" s="308">
        <v>13.8116</v>
      </c>
      <c r="AM430" s="308">
        <v>17.470199999999998</v>
      </c>
      <c r="AN430" s="308">
        <v>14.201000000000001</v>
      </c>
      <c r="AO430" s="308">
        <v>11.5558</v>
      </c>
      <c r="AP430" s="308">
        <v>16.419899999999998</v>
      </c>
      <c r="AQ430" s="308">
        <v>0</v>
      </c>
      <c r="AR430" s="308">
        <v>14.321</v>
      </c>
      <c r="AS430" s="308">
        <v>17.228200000000001</v>
      </c>
      <c r="AT430" s="308">
        <v>20.364799999999999</v>
      </c>
      <c r="AU430" s="308">
        <v>11.5991</v>
      </c>
      <c r="AV430" s="308">
        <v>18.8048</v>
      </c>
      <c r="AW430" s="308">
        <v>11.057</v>
      </c>
      <c r="AX430" s="308">
        <v>12.516400000000001</v>
      </c>
      <c r="AY430" s="308">
        <v>9.7520000000000007</v>
      </c>
      <c r="AZ430" s="308">
        <v>19.567599999999999</v>
      </c>
      <c r="BA430" s="308">
        <v>13.2478</v>
      </c>
      <c r="BB430" s="308">
        <v>14.608499999999999</v>
      </c>
      <c r="BC430" s="308">
        <v>12.1264</v>
      </c>
      <c r="BD430" s="308">
        <v>15.856999999999999</v>
      </c>
      <c r="BE430" s="308">
        <v>18.611599999999999</v>
      </c>
      <c r="BF430" s="308">
        <v>15.107200000000001</v>
      </c>
      <c r="BG430" s="308">
        <v>13.528499999999999</v>
      </c>
      <c r="BH430" s="308">
        <v>16.366700000000002</v>
      </c>
      <c r="BI430" s="308">
        <v>12.619300000000001</v>
      </c>
      <c r="BJ430" s="308">
        <v>17.035</v>
      </c>
      <c r="BK430" s="308">
        <v>12.0602</v>
      </c>
    </row>
    <row r="431" spans="1:63" x14ac:dyDescent="0.25">
      <c r="A431" s="306">
        <v>115000</v>
      </c>
      <c r="B431" s="308" t="s">
        <v>19</v>
      </c>
      <c r="C431" s="308">
        <v>23.245000000000001</v>
      </c>
      <c r="D431" s="308">
        <v>20.291499999999999</v>
      </c>
      <c r="E431" s="308">
        <v>21.5383</v>
      </c>
      <c r="F431" s="308">
        <v>18.083600000000001</v>
      </c>
      <c r="G431" s="308">
        <v>21.4146</v>
      </c>
      <c r="H431" s="308">
        <v>19.5504</v>
      </c>
      <c r="I431" s="308">
        <v>23.6983</v>
      </c>
      <c r="J431" s="308">
        <v>26.025400000000001</v>
      </c>
      <c r="K431" s="308">
        <v>0</v>
      </c>
      <c r="L431" s="308">
        <v>22.587599999999998</v>
      </c>
      <c r="M431" s="308">
        <v>24.204799999999999</v>
      </c>
      <c r="N431" s="308">
        <v>23.689699999999998</v>
      </c>
      <c r="O431" s="308">
        <v>28.976600000000001</v>
      </c>
      <c r="P431" s="308">
        <v>24.715800000000002</v>
      </c>
      <c r="Q431" s="308">
        <v>21.603000000000002</v>
      </c>
      <c r="R431" s="308">
        <v>17.334299999999999</v>
      </c>
      <c r="S431" s="308">
        <v>17.810199999999998</v>
      </c>
      <c r="T431" s="308">
        <v>17.6221</v>
      </c>
      <c r="U431" s="308">
        <v>22.025300000000001</v>
      </c>
      <c r="V431" s="308">
        <v>22.250299999999999</v>
      </c>
      <c r="W431" s="308">
        <v>17.319900000000001</v>
      </c>
      <c r="X431" s="308">
        <v>27.828499999999998</v>
      </c>
      <c r="Y431" s="308">
        <v>29.909800000000001</v>
      </c>
      <c r="Z431" s="308">
        <v>28.843499999999999</v>
      </c>
      <c r="AA431" s="308">
        <v>20.324999999999999</v>
      </c>
      <c r="AB431" s="308">
        <v>20.334900000000001</v>
      </c>
      <c r="AC431" s="308">
        <v>21.6767</v>
      </c>
      <c r="AD431" s="308">
        <v>20.668199999999999</v>
      </c>
      <c r="AE431" s="308">
        <v>21.111999999999998</v>
      </c>
      <c r="AF431" s="308">
        <v>18.594000000000001</v>
      </c>
      <c r="AG431" s="308">
        <v>19.900200000000002</v>
      </c>
      <c r="AH431" s="308">
        <v>26.165299999999998</v>
      </c>
      <c r="AI431" s="308">
        <v>24.974900000000002</v>
      </c>
      <c r="AJ431" s="308">
        <v>24.859000000000002</v>
      </c>
      <c r="AK431" s="308">
        <v>27.626200000000001</v>
      </c>
      <c r="AL431" s="308">
        <v>18.3202</v>
      </c>
      <c r="AM431" s="308">
        <v>29.756799999999998</v>
      </c>
      <c r="AN431" s="308">
        <v>25.3003</v>
      </c>
      <c r="AO431" s="308">
        <v>21.656500000000001</v>
      </c>
      <c r="AP431" s="308">
        <v>25.462299999999999</v>
      </c>
      <c r="AQ431" s="308">
        <v>28.866</v>
      </c>
      <c r="AR431" s="308">
        <v>20.405200000000001</v>
      </c>
      <c r="AS431" s="308">
        <v>17.820699999999999</v>
      </c>
      <c r="AT431" s="308">
        <v>25.386700000000001</v>
      </c>
      <c r="AU431" s="308">
        <v>22.666799999999999</v>
      </c>
      <c r="AV431" s="308">
        <v>28.829699999999999</v>
      </c>
      <c r="AW431" s="308">
        <v>27.905899999999999</v>
      </c>
      <c r="AX431" s="308">
        <v>28.385999999999999</v>
      </c>
      <c r="AY431" s="308">
        <v>19.1617</v>
      </c>
      <c r="AZ431" s="308">
        <v>25.7517</v>
      </c>
      <c r="BA431" s="308">
        <v>26.116399999999999</v>
      </c>
      <c r="BB431" s="308">
        <v>25.607600000000001</v>
      </c>
      <c r="BC431" s="308">
        <v>23.813300000000002</v>
      </c>
      <c r="BD431" s="308">
        <v>22.388999999999999</v>
      </c>
      <c r="BE431" s="308">
        <v>23.710799999999999</v>
      </c>
      <c r="BF431" s="308">
        <v>21.234000000000002</v>
      </c>
      <c r="BG431" s="308">
        <v>24.765699999999999</v>
      </c>
      <c r="BH431" s="308">
        <v>23.6463</v>
      </c>
      <c r="BI431" s="308">
        <v>22.8188</v>
      </c>
      <c r="BJ431" s="308">
        <v>23.531199999999998</v>
      </c>
      <c r="BK431" s="308">
        <v>19.871600000000001</v>
      </c>
    </row>
    <row r="432" spans="1:63" x14ac:dyDescent="0.25">
      <c r="A432" s="306">
        <v>211000</v>
      </c>
      <c r="B432" s="308" t="s">
        <v>693</v>
      </c>
      <c r="C432" s="308">
        <v>5.8124000000000002</v>
      </c>
      <c r="D432" s="308">
        <v>3.2418</v>
      </c>
      <c r="E432" s="308">
        <v>4.8381999999999996</v>
      </c>
      <c r="F432" s="308">
        <v>6.1651999999999996</v>
      </c>
      <c r="G432" s="308">
        <v>8.4215999999999998</v>
      </c>
      <c r="H432" s="308">
        <v>4.6718000000000002</v>
      </c>
      <c r="I432" s="308">
        <v>4.8407999999999998</v>
      </c>
      <c r="J432" s="308">
        <v>5.8182</v>
      </c>
      <c r="K432" s="308">
        <v>0</v>
      </c>
      <c r="L432" s="308">
        <v>0</v>
      </c>
      <c r="M432" s="308">
        <v>9.6814</v>
      </c>
      <c r="N432" s="308">
        <v>0</v>
      </c>
      <c r="O432" s="308">
        <v>3.8290000000000002</v>
      </c>
      <c r="P432" s="308">
        <v>0</v>
      </c>
      <c r="Q432" s="308">
        <v>9.2294</v>
      </c>
      <c r="R432" s="308">
        <v>3.9445000000000001</v>
      </c>
      <c r="S432" s="308">
        <v>8.9509000000000007</v>
      </c>
      <c r="T432" s="308">
        <v>6.8711000000000002</v>
      </c>
      <c r="U432" s="308">
        <v>6.4408000000000003</v>
      </c>
      <c r="V432" s="308">
        <v>4.4348000000000001</v>
      </c>
      <c r="W432" s="308">
        <v>3.3658000000000001</v>
      </c>
      <c r="X432" s="308">
        <v>3.7985000000000002</v>
      </c>
      <c r="Y432" s="308">
        <v>4.1064999999999996</v>
      </c>
      <c r="Z432" s="308">
        <v>7.173</v>
      </c>
      <c r="AA432" s="308">
        <v>10.282400000000001</v>
      </c>
      <c r="AB432" s="308">
        <v>3.7648999999999999</v>
      </c>
      <c r="AC432" s="308">
        <v>4.4938000000000002</v>
      </c>
      <c r="AD432" s="308">
        <v>5.3003999999999998</v>
      </c>
      <c r="AE432" s="308">
        <v>4.1158000000000001</v>
      </c>
      <c r="AF432" s="308">
        <v>5.8886000000000003</v>
      </c>
      <c r="AG432" s="308">
        <v>8.5753000000000004</v>
      </c>
      <c r="AH432" s="308">
        <v>0</v>
      </c>
      <c r="AI432" s="308">
        <v>6.7571000000000003</v>
      </c>
      <c r="AJ432" s="308">
        <v>4.8453999999999997</v>
      </c>
      <c r="AK432" s="308">
        <v>9.6149000000000004</v>
      </c>
      <c r="AL432" s="308">
        <v>2.7519999999999998</v>
      </c>
      <c r="AM432" s="308">
        <v>6.5107999999999997</v>
      </c>
      <c r="AN432" s="308">
        <v>5.4977999999999998</v>
      </c>
      <c r="AO432" s="308">
        <v>4.3897000000000004</v>
      </c>
      <c r="AP432" s="308">
        <v>5.8247</v>
      </c>
      <c r="AQ432" s="308">
        <v>9.7617999999999991</v>
      </c>
      <c r="AR432" s="308">
        <v>4.4574999999999996</v>
      </c>
      <c r="AS432" s="308">
        <v>3.3174999999999999</v>
      </c>
      <c r="AT432" s="308">
        <v>10.053800000000001</v>
      </c>
      <c r="AU432" s="308">
        <v>4.4405999999999999</v>
      </c>
      <c r="AV432" s="308">
        <v>6.1128999999999998</v>
      </c>
      <c r="AW432" s="308">
        <v>6.8426999999999998</v>
      </c>
      <c r="AX432" s="308">
        <v>0</v>
      </c>
      <c r="AY432" s="308">
        <v>0</v>
      </c>
      <c r="AZ432" s="308">
        <v>10.4802</v>
      </c>
      <c r="BA432" s="308">
        <v>6.7839999999999998</v>
      </c>
      <c r="BB432" s="308">
        <v>3.9525999999999999</v>
      </c>
      <c r="BC432" s="308">
        <v>4.6238000000000001</v>
      </c>
      <c r="BD432" s="308">
        <v>4.4588999999999999</v>
      </c>
      <c r="BE432" s="308">
        <v>5.5734000000000004</v>
      </c>
      <c r="BF432" s="308">
        <v>6.7412999999999998</v>
      </c>
      <c r="BG432" s="308">
        <v>7.0194000000000001</v>
      </c>
      <c r="BH432" s="308">
        <v>5.7595999999999998</v>
      </c>
      <c r="BI432" s="308">
        <v>4.7887000000000004</v>
      </c>
      <c r="BJ432" s="308">
        <v>5.4970999999999997</v>
      </c>
      <c r="BK432" s="308">
        <v>4.7847999999999997</v>
      </c>
    </row>
    <row r="433" spans="1:63" x14ac:dyDescent="0.25">
      <c r="A433" s="306">
        <v>212100</v>
      </c>
      <c r="B433" s="308" t="s">
        <v>694</v>
      </c>
      <c r="C433" s="308">
        <v>7.6265999999999998</v>
      </c>
      <c r="D433" s="308">
        <v>7.1432000000000002</v>
      </c>
      <c r="E433" s="308">
        <v>5.8490000000000002</v>
      </c>
      <c r="F433" s="308">
        <v>3.9049999999999998</v>
      </c>
      <c r="G433" s="308">
        <v>5.5585000000000004</v>
      </c>
      <c r="H433" s="308">
        <v>4.7098000000000004</v>
      </c>
      <c r="I433" s="308">
        <v>6.4290000000000003</v>
      </c>
      <c r="J433" s="308">
        <v>0</v>
      </c>
      <c r="K433" s="308">
        <v>0</v>
      </c>
      <c r="L433" s="308">
        <v>0</v>
      </c>
      <c r="M433" s="308">
        <v>0</v>
      </c>
      <c r="N433" s="308">
        <v>4.9960000000000004</v>
      </c>
      <c r="O433" s="308">
        <v>0</v>
      </c>
      <c r="P433" s="308">
        <v>0</v>
      </c>
      <c r="Q433" s="308">
        <v>0</v>
      </c>
      <c r="R433" s="308">
        <v>6.2774000000000001</v>
      </c>
      <c r="S433" s="308">
        <v>5.2789999999999999</v>
      </c>
      <c r="T433" s="308">
        <v>5.8078000000000003</v>
      </c>
      <c r="U433" s="308">
        <v>6.4871999999999996</v>
      </c>
      <c r="V433" s="308">
        <v>5.8183999999999996</v>
      </c>
      <c r="W433" s="308">
        <v>0</v>
      </c>
      <c r="X433" s="308">
        <v>5.8361999999999998</v>
      </c>
      <c r="Y433" s="308">
        <v>0</v>
      </c>
      <c r="Z433" s="308">
        <v>0</v>
      </c>
      <c r="AA433" s="308">
        <v>0</v>
      </c>
      <c r="AB433" s="308">
        <v>3.8397000000000001</v>
      </c>
      <c r="AC433" s="308">
        <v>5.9880000000000004</v>
      </c>
      <c r="AD433" s="308">
        <v>5.4225000000000003</v>
      </c>
      <c r="AE433" s="308">
        <v>11.4221</v>
      </c>
      <c r="AF433" s="308">
        <v>4.9055</v>
      </c>
      <c r="AG433" s="308">
        <v>0</v>
      </c>
      <c r="AH433" s="308">
        <v>0</v>
      </c>
      <c r="AI433" s="308">
        <v>0</v>
      </c>
      <c r="AJ433" s="308">
        <v>5.1650999999999998</v>
      </c>
      <c r="AK433" s="308">
        <v>0</v>
      </c>
      <c r="AL433" s="308">
        <v>9.5614000000000008</v>
      </c>
      <c r="AM433" s="308">
        <v>6.9789000000000003</v>
      </c>
      <c r="AN433" s="308">
        <v>6.4236000000000004</v>
      </c>
      <c r="AO433" s="308">
        <v>0</v>
      </c>
      <c r="AP433" s="308">
        <v>7.1257999999999999</v>
      </c>
      <c r="AQ433" s="308">
        <v>0</v>
      </c>
      <c r="AR433" s="308">
        <v>6.3231999999999999</v>
      </c>
      <c r="AS433" s="308">
        <v>0</v>
      </c>
      <c r="AT433" s="308">
        <v>9.4999000000000002</v>
      </c>
      <c r="AU433" s="308">
        <v>6.2972999999999999</v>
      </c>
      <c r="AV433" s="308">
        <v>8.0908999999999995</v>
      </c>
      <c r="AW433" s="308">
        <v>4.9725000000000001</v>
      </c>
      <c r="AX433" s="308">
        <v>0</v>
      </c>
      <c r="AY433" s="308">
        <v>7.3521000000000001</v>
      </c>
      <c r="AZ433" s="308">
        <v>0</v>
      </c>
      <c r="BA433" s="308">
        <v>5.5664999999999996</v>
      </c>
      <c r="BB433" s="308">
        <v>4.7609000000000004</v>
      </c>
      <c r="BC433" s="308">
        <v>0</v>
      </c>
      <c r="BD433" s="308">
        <v>6.3414000000000001</v>
      </c>
      <c r="BE433" s="308">
        <v>6.3650000000000002</v>
      </c>
      <c r="BF433" s="308">
        <v>4.9787999999999997</v>
      </c>
      <c r="BG433" s="308">
        <v>6.2807000000000004</v>
      </c>
      <c r="BH433" s="308">
        <v>6.6622000000000003</v>
      </c>
      <c r="BI433" s="308">
        <v>6.5997000000000003</v>
      </c>
      <c r="BJ433" s="308">
        <v>6.4427000000000003</v>
      </c>
      <c r="BK433" s="308">
        <v>7.4813999999999998</v>
      </c>
    </row>
    <row r="434" spans="1:63" x14ac:dyDescent="0.25">
      <c r="A434" s="306">
        <v>212210</v>
      </c>
      <c r="B434" s="308" t="s">
        <v>695</v>
      </c>
      <c r="C434" s="308">
        <v>7.9991000000000003</v>
      </c>
      <c r="D434" s="308">
        <v>0</v>
      </c>
      <c r="E434" s="308">
        <v>9.2639999999999993</v>
      </c>
      <c r="F434" s="308">
        <v>0</v>
      </c>
      <c r="G434" s="308">
        <v>7.6528999999999998</v>
      </c>
      <c r="H434" s="308">
        <v>4.968</v>
      </c>
      <c r="I434" s="308">
        <v>4.1592000000000002</v>
      </c>
      <c r="J434" s="308">
        <v>0</v>
      </c>
      <c r="K434" s="308">
        <v>0</v>
      </c>
      <c r="L434" s="308">
        <v>0</v>
      </c>
      <c r="M434" s="308">
        <v>3.2145000000000001</v>
      </c>
      <c r="N434" s="308">
        <v>0</v>
      </c>
      <c r="O434" s="308">
        <v>0</v>
      </c>
      <c r="P434" s="308">
        <v>0</v>
      </c>
      <c r="Q434" s="308">
        <v>0</v>
      </c>
      <c r="R434" s="308">
        <v>0</v>
      </c>
      <c r="S434" s="308">
        <v>0</v>
      </c>
      <c r="T434" s="308">
        <v>0</v>
      </c>
      <c r="U434" s="308">
        <v>0</v>
      </c>
      <c r="V434" s="308">
        <v>15.361700000000001</v>
      </c>
      <c r="W434" s="308">
        <v>0</v>
      </c>
      <c r="X434" s="308">
        <v>0</v>
      </c>
      <c r="Y434" s="308">
        <v>0</v>
      </c>
      <c r="Z434" s="308">
        <v>6.7443</v>
      </c>
      <c r="AA434" s="308">
        <v>5.9225000000000003</v>
      </c>
      <c r="AB434" s="308">
        <v>0</v>
      </c>
      <c r="AC434" s="308">
        <v>0</v>
      </c>
      <c r="AD434" s="308">
        <v>6.0189000000000004</v>
      </c>
      <c r="AE434" s="308">
        <v>0</v>
      </c>
      <c r="AF434" s="308">
        <v>0</v>
      </c>
      <c r="AG434" s="308">
        <v>0</v>
      </c>
      <c r="AH434" s="308">
        <v>0</v>
      </c>
      <c r="AI434" s="308">
        <v>0</v>
      </c>
      <c r="AJ434" s="308">
        <v>0</v>
      </c>
      <c r="AK434" s="308">
        <v>7.6445999999999996</v>
      </c>
      <c r="AL434" s="308">
        <v>0</v>
      </c>
      <c r="AM434" s="308">
        <v>0</v>
      </c>
      <c r="AN434" s="308">
        <v>0</v>
      </c>
      <c r="AO434" s="308">
        <v>0</v>
      </c>
      <c r="AP434" s="308">
        <v>10.1777</v>
      </c>
      <c r="AQ434" s="308">
        <v>0</v>
      </c>
      <c r="AR434" s="308">
        <v>4.9924999999999997</v>
      </c>
      <c r="AS434" s="308">
        <v>0</v>
      </c>
      <c r="AT434" s="308">
        <v>0</v>
      </c>
      <c r="AU434" s="308">
        <v>7.8444000000000003</v>
      </c>
      <c r="AV434" s="308">
        <v>0</v>
      </c>
      <c r="AW434" s="308">
        <v>4.8776000000000002</v>
      </c>
      <c r="AX434" s="308">
        <v>0</v>
      </c>
      <c r="AY434" s="308">
        <v>5.7794999999999996</v>
      </c>
      <c r="AZ434" s="308">
        <v>0</v>
      </c>
      <c r="BA434" s="308">
        <v>6.0759999999999996</v>
      </c>
      <c r="BB434" s="308">
        <v>0</v>
      </c>
      <c r="BC434" s="308">
        <v>0</v>
      </c>
      <c r="BD434" s="308">
        <v>9.4045000000000005</v>
      </c>
      <c r="BE434" s="308">
        <v>7.1943999999999999</v>
      </c>
      <c r="BF434" s="308">
        <v>6.2862999999999998</v>
      </c>
      <c r="BG434" s="308">
        <v>6.7535999999999996</v>
      </c>
      <c r="BH434" s="308">
        <v>9.3504000000000005</v>
      </c>
      <c r="BI434" s="308">
        <v>8.3714999999999993</v>
      </c>
      <c r="BJ434" s="308">
        <v>5.2232000000000003</v>
      </c>
      <c r="BK434" s="308">
        <v>5.5488</v>
      </c>
    </row>
    <row r="435" spans="1:63" x14ac:dyDescent="0.25">
      <c r="A435" s="306">
        <v>212230</v>
      </c>
      <c r="B435" s="308" t="s">
        <v>696</v>
      </c>
      <c r="C435" s="308">
        <v>6.6424000000000003</v>
      </c>
      <c r="D435" s="308">
        <v>5.8860999999999999</v>
      </c>
      <c r="E435" s="308">
        <v>0</v>
      </c>
      <c r="F435" s="308">
        <v>0</v>
      </c>
      <c r="G435" s="308">
        <v>5.1017999999999999</v>
      </c>
      <c r="H435" s="308">
        <v>0</v>
      </c>
      <c r="I435" s="308">
        <v>4.1645000000000003</v>
      </c>
      <c r="J435" s="308">
        <v>0</v>
      </c>
      <c r="K435" s="308">
        <v>0</v>
      </c>
      <c r="L435" s="308">
        <v>0</v>
      </c>
      <c r="M435" s="308">
        <v>0</v>
      </c>
      <c r="N435" s="308">
        <v>0</v>
      </c>
      <c r="O435" s="308">
        <v>0</v>
      </c>
      <c r="P435" s="308">
        <v>0</v>
      </c>
      <c r="Q435" s="308">
        <v>8.6859000000000002</v>
      </c>
      <c r="R435" s="308">
        <v>0</v>
      </c>
      <c r="S435" s="308">
        <v>0</v>
      </c>
      <c r="T435" s="308">
        <v>0</v>
      </c>
      <c r="U435" s="308">
        <v>0</v>
      </c>
      <c r="V435" s="308">
        <v>3.0815000000000001</v>
      </c>
      <c r="W435" s="308">
        <v>0</v>
      </c>
      <c r="X435" s="308">
        <v>0</v>
      </c>
      <c r="Y435" s="308">
        <v>0</v>
      </c>
      <c r="Z435" s="308">
        <v>4.6919000000000004</v>
      </c>
      <c r="AA435" s="308">
        <v>4.9427000000000003</v>
      </c>
      <c r="AB435" s="308">
        <v>5.4532999999999996</v>
      </c>
      <c r="AC435" s="308">
        <v>0</v>
      </c>
      <c r="AD435" s="308">
        <v>4.0762</v>
      </c>
      <c r="AE435" s="308">
        <v>0</v>
      </c>
      <c r="AF435" s="308">
        <v>0</v>
      </c>
      <c r="AG435" s="308">
        <v>0</v>
      </c>
      <c r="AH435" s="308">
        <v>0</v>
      </c>
      <c r="AI435" s="308">
        <v>0</v>
      </c>
      <c r="AJ435" s="308">
        <v>5.7544000000000004</v>
      </c>
      <c r="AK435" s="308">
        <v>5.1573000000000002</v>
      </c>
      <c r="AL435" s="308">
        <v>4.0213999999999999</v>
      </c>
      <c r="AM435" s="308">
        <v>0</v>
      </c>
      <c r="AN435" s="308">
        <v>8.9649999999999999</v>
      </c>
      <c r="AO435" s="308">
        <v>0</v>
      </c>
      <c r="AP435" s="308">
        <v>0</v>
      </c>
      <c r="AQ435" s="308">
        <v>0</v>
      </c>
      <c r="AR435" s="308">
        <v>0</v>
      </c>
      <c r="AS435" s="308">
        <v>5.3231999999999999</v>
      </c>
      <c r="AT435" s="308">
        <v>7.0442</v>
      </c>
      <c r="AU435" s="308">
        <v>0</v>
      </c>
      <c r="AV435" s="308">
        <v>6.7797000000000001</v>
      </c>
      <c r="AW435" s="308">
        <v>0</v>
      </c>
      <c r="AX435" s="308">
        <v>4.5057</v>
      </c>
      <c r="AY435" s="308">
        <v>4.4238</v>
      </c>
      <c r="AZ435" s="308">
        <v>0</v>
      </c>
      <c r="BA435" s="308">
        <v>0</v>
      </c>
      <c r="BB435" s="308">
        <v>0</v>
      </c>
      <c r="BC435" s="308">
        <v>5.0246000000000004</v>
      </c>
      <c r="BD435" s="308">
        <v>6.5186999999999999</v>
      </c>
      <c r="BE435" s="308">
        <v>4.9452999999999996</v>
      </c>
      <c r="BF435" s="308">
        <v>5.4488000000000003</v>
      </c>
      <c r="BG435" s="308">
        <v>0</v>
      </c>
      <c r="BH435" s="308">
        <v>7.2549000000000001</v>
      </c>
      <c r="BI435" s="308">
        <v>4.1811999999999996</v>
      </c>
      <c r="BJ435" s="308">
        <v>6.0559000000000003</v>
      </c>
      <c r="BK435" s="308">
        <v>5.8669000000000002</v>
      </c>
    </row>
    <row r="436" spans="1:63" x14ac:dyDescent="0.25">
      <c r="A436" s="306" t="s">
        <v>697</v>
      </c>
      <c r="B436" s="308" t="s">
        <v>698</v>
      </c>
      <c r="C436" s="308">
        <v>8.2972999999999999</v>
      </c>
      <c r="D436" s="308">
        <v>7.8075999999999999</v>
      </c>
      <c r="E436" s="308">
        <v>9.5442999999999998</v>
      </c>
      <c r="F436" s="308">
        <v>7.4381000000000004</v>
      </c>
      <c r="G436" s="308">
        <v>5.9915000000000003</v>
      </c>
      <c r="H436" s="308">
        <v>6.4865000000000004</v>
      </c>
      <c r="I436" s="308">
        <v>6.3475999999999999</v>
      </c>
      <c r="J436" s="308">
        <v>0</v>
      </c>
      <c r="K436" s="308">
        <v>0</v>
      </c>
      <c r="L436" s="308">
        <v>0</v>
      </c>
      <c r="M436" s="308">
        <v>5.7648000000000001</v>
      </c>
      <c r="N436" s="308">
        <v>0</v>
      </c>
      <c r="O436" s="308">
        <v>0</v>
      </c>
      <c r="P436" s="308">
        <v>0</v>
      </c>
      <c r="Q436" s="308">
        <v>7.5297999999999998</v>
      </c>
      <c r="R436" s="308">
        <v>4.6706000000000003</v>
      </c>
      <c r="S436" s="308">
        <v>0</v>
      </c>
      <c r="T436" s="308">
        <v>0</v>
      </c>
      <c r="U436" s="308">
        <v>0</v>
      </c>
      <c r="V436" s="308">
        <v>4.6662999999999997</v>
      </c>
      <c r="W436" s="308">
        <v>0</v>
      </c>
      <c r="X436" s="308">
        <v>0</v>
      </c>
      <c r="Y436" s="308">
        <v>0</v>
      </c>
      <c r="Z436" s="308">
        <v>0</v>
      </c>
      <c r="AA436" s="308">
        <v>0</v>
      </c>
      <c r="AB436" s="308">
        <v>5.1795999999999998</v>
      </c>
      <c r="AC436" s="308">
        <v>0</v>
      </c>
      <c r="AD436" s="308">
        <v>7.2321999999999997</v>
      </c>
      <c r="AE436" s="308">
        <v>9.3457000000000008</v>
      </c>
      <c r="AF436" s="308">
        <v>0</v>
      </c>
      <c r="AG436" s="308">
        <v>4.4386000000000001</v>
      </c>
      <c r="AH436" s="308">
        <v>0</v>
      </c>
      <c r="AI436" s="308">
        <v>0</v>
      </c>
      <c r="AJ436" s="308">
        <v>6.8943000000000003</v>
      </c>
      <c r="AK436" s="308">
        <v>6.5720999999999998</v>
      </c>
      <c r="AL436" s="308">
        <v>3.0047000000000001</v>
      </c>
      <c r="AM436" s="308">
        <v>0</v>
      </c>
      <c r="AN436" s="308">
        <v>7.1342999999999996</v>
      </c>
      <c r="AO436" s="308">
        <v>8.6781000000000006</v>
      </c>
      <c r="AP436" s="308">
        <v>6.6311999999999998</v>
      </c>
      <c r="AQ436" s="308">
        <v>0</v>
      </c>
      <c r="AR436" s="308">
        <v>6.8967999999999998</v>
      </c>
      <c r="AS436" s="308">
        <v>7.01</v>
      </c>
      <c r="AT436" s="308">
        <v>0</v>
      </c>
      <c r="AU436" s="308">
        <v>8.2670999999999992</v>
      </c>
      <c r="AV436" s="308">
        <v>9.9624000000000006</v>
      </c>
      <c r="AW436" s="308">
        <v>5.9119999999999999</v>
      </c>
      <c r="AX436" s="308">
        <v>0</v>
      </c>
      <c r="AY436" s="308">
        <v>8.3993000000000002</v>
      </c>
      <c r="AZ436" s="308">
        <v>0</v>
      </c>
      <c r="BA436" s="308">
        <v>6.9476000000000004</v>
      </c>
      <c r="BB436" s="308">
        <v>6.2077</v>
      </c>
      <c r="BC436" s="308">
        <v>0</v>
      </c>
      <c r="BD436" s="308">
        <v>5.5190000000000001</v>
      </c>
      <c r="BE436" s="308">
        <v>5.9675000000000002</v>
      </c>
      <c r="BF436" s="308">
        <v>6.3967999999999998</v>
      </c>
      <c r="BG436" s="308">
        <v>6.2447999999999997</v>
      </c>
      <c r="BH436" s="308">
        <v>9.2964000000000002</v>
      </c>
      <c r="BI436" s="308">
        <v>7.8944999999999999</v>
      </c>
      <c r="BJ436" s="308">
        <v>7.4473000000000003</v>
      </c>
      <c r="BK436" s="308">
        <v>7.9325999999999999</v>
      </c>
    </row>
    <row r="437" spans="1:63" x14ac:dyDescent="0.25">
      <c r="A437" s="306">
        <v>212310</v>
      </c>
      <c r="B437" s="308" t="s">
        <v>699</v>
      </c>
      <c r="C437" s="308">
        <v>10.349299999999999</v>
      </c>
      <c r="D437" s="308">
        <v>9.0412999999999997</v>
      </c>
      <c r="E437" s="308">
        <v>7.5163000000000002</v>
      </c>
      <c r="F437" s="308">
        <v>9.6852999999999998</v>
      </c>
      <c r="G437" s="308">
        <v>7.5689000000000002</v>
      </c>
      <c r="H437" s="308">
        <v>9.4941999999999993</v>
      </c>
      <c r="I437" s="308">
        <v>10.9016</v>
      </c>
      <c r="J437" s="308">
        <v>8.6934000000000005</v>
      </c>
      <c r="K437" s="308">
        <v>0</v>
      </c>
      <c r="L437" s="308">
        <v>0</v>
      </c>
      <c r="M437" s="308">
        <v>8.0388999999999999</v>
      </c>
      <c r="N437" s="308">
        <v>8.4094999999999995</v>
      </c>
      <c r="O437" s="308">
        <v>6.0632999999999999</v>
      </c>
      <c r="P437" s="308">
        <v>7.9240000000000004</v>
      </c>
      <c r="Q437" s="308">
        <v>12.1852</v>
      </c>
      <c r="R437" s="308">
        <v>7.6459999999999999</v>
      </c>
      <c r="S437" s="308">
        <v>7.3216999999999999</v>
      </c>
      <c r="T437" s="308">
        <v>8.4981000000000009</v>
      </c>
      <c r="U437" s="308">
        <v>8.6029999999999998</v>
      </c>
      <c r="V437" s="308">
        <v>11.430999999999999</v>
      </c>
      <c r="W437" s="308">
        <v>6.5048000000000004</v>
      </c>
      <c r="X437" s="308">
        <v>7.1319999999999997</v>
      </c>
      <c r="Y437" s="308">
        <v>9.4984000000000002</v>
      </c>
      <c r="Z437" s="308">
        <v>8.4283000000000001</v>
      </c>
      <c r="AA437" s="308">
        <v>7.7743000000000002</v>
      </c>
      <c r="AB437" s="308">
        <v>8.5607000000000006</v>
      </c>
      <c r="AC437" s="308">
        <v>10.347200000000001</v>
      </c>
      <c r="AD437" s="308">
        <v>10.0771</v>
      </c>
      <c r="AE437" s="308">
        <v>7.9545000000000003</v>
      </c>
      <c r="AF437" s="308">
        <v>0</v>
      </c>
      <c r="AG437" s="308">
        <v>6.0448000000000004</v>
      </c>
      <c r="AH437" s="308">
        <v>9.2391000000000005</v>
      </c>
      <c r="AI437" s="308">
        <v>5.6413000000000002</v>
      </c>
      <c r="AJ437" s="308">
        <v>9.9708000000000006</v>
      </c>
      <c r="AK437" s="308">
        <v>8.6739999999999995</v>
      </c>
      <c r="AL437" s="308">
        <v>7.8399000000000001</v>
      </c>
      <c r="AM437" s="308">
        <v>8.9883000000000006</v>
      </c>
      <c r="AN437" s="308">
        <v>11.137700000000001</v>
      </c>
      <c r="AO437" s="308">
        <v>10.798400000000001</v>
      </c>
      <c r="AP437" s="308">
        <v>10.2392</v>
      </c>
      <c r="AQ437" s="308">
        <v>6.1830999999999996</v>
      </c>
      <c r="AR437" s="308">
        <v>9.2894000000000005</v>
      </c>
      <c r="AS437" s="308">
        <v>9.7193000000000005</v>
      </c>
      <c r="AT437" s="308">
        <v>10.5084</v>
      </c>
      <c r="AU437" s="308">
        <v>9.8213000000000008</v>
      </c>
      <c r="AV437" s="308">
        <v>12.2758</v>
      </c>
      <c r="AW437" s="308">
        <v>6.8712999999999997</v>
      </c>
      <c r="AX437" s="308">
        <v>9.9924999999999997</v>
      </c>
      <c r="AY437" s="308">
        <v>11.3863</v>
      </c>
      <c r="AZ437" s="308">
        <v>9.2411999999999992</v>
      </c>
      <c r="BA437" s="308">
        <v>8.4382000000000001</v>
      </c>
      <c r="BB437" s="308">
        <v>7.6820000000000004</v>
      </c>
      <c r="BC437" s="308">
        <v>8.8030000000000008</v>
      </c>
      <c r="BD437" s="308">
        <v>9.2222000000000008</v>
      </c>
      <c r="BE437" s="308">
        <v>8.7212999999999994</v>
      </c>
      <c r="BF437" s="308">
        <v>8.6448</v>
      </c>
      <c r="BG437" s="308">
        <v>8.6620000000000008</v>
      </c>
      <c r="BH437" s="308">
        <v>9.0854999999999997</v>
      </c>
      <c r="BI437" s="308">
        <v>10.420199999999999</v>
      </c>
      <c r="BJ437" s="308">
        <v>9.9902999999999995</v>
      </c>
      <c r="BK437" s="308">
        <v>10.0082</v>
      </c>
    </row>
    <row r="438" spans="1:63" x14ac:dyDescent="0.25">
      <c r="A438" s="306">
        <v>212320</v>
      </c>
      <c r="B438" s="308" t="s">
        <v>700</v>
      </c>
      <c r="C438" s="308">
        <v>10.8226</v>
      </c>
      <c r="D438" s="308">
        <v>10.1501</v>
      </c>
      <c r="E438" s="308">
        <v>9.2162000000000006</v>
      </c>
      <c r="F438" s="308">
        <v>9.9962999999999997</v>
      </c>
      <c r="G438" s="308">
        <v>9.0960999999999999</v>
      </c>
      <c r="H438" s="308">
        <v>9.3065999999999995</v>
      </c>
      <c r="I438" s="308">
        <v>9.8240999999999996</v>
      </c>
      <c r="J438" s="308">
        <v>6.5811999999999999</v>
      </c>
      <c r="K438" s="308">
        <v>0</v>
      </c>
      <c r="L438" s="308">
        <v>4.8258000000000001</v>
      </c>
      <c r="M438" s="308">
        <v>8.4755000000000003</v>
      </c>
      <c r="N438" s="308">
        <v>8.1707000000000001</v>
      </c>
      <c r="O438" s="308">
        <v>6.0960999999999999</v>
      </c>
      <c r="P438" s="308">
        <v>8.4756999999999998</v>
      </c>
      <c r="Q438" s="308">
        <v>11.0412</v>
      </c>
      <c r="R438" s="308">
        <v>7.5951000000000004</v>
      </c>
      <c r="S438" s="308">
        <v>7.6147</v>
      </c>
      <c r="T438" s="308">
        <v>8.2805</v>
      </c>
      <c r="U438" s="308">
        <v>9.4140999999999995</v>
      </c>
      <c r="V438" s="308">
        <v>9.8068000000000008</v>
      </c>
      <c r="W438" s="308">
        <v>7.4707999999999997</v>
      </c>
      <c r="X438" s="308">
        <v>6.9720000000000004</v>
      </c>
      <c r="Y438" s="308">
        <v>6.8400999999999996</v>
      </c>
      <c r="Z438" s="308">
        <v>9.2484999999999999</v>
      </c>
      <c r="AA438" s="308">
        <v>8.4740000000000002</v>
      </c>
      <c r="AB438" s="308">
        <v>8.4906000000000006</v>
      </c>
      <c r="AC438" s="308">
        <v>9.5375999999999994</v>
      </c>
      <c r="AD438" s="308">
        <v>8.3265999999999991</v>
      </c>
      <c r="AE438" s="308">
        <v>10.0961</v>
      </c>
      <c r="AF438" s="308">
        <v>7.4055</v>
      </c>
      <c r="AG438" s="308">
        <v>6.3552999999999997</v>
      </c>
      <c r="AH438" s="308">
        <v>10.932</v>
      </c>
      <c r="AI438" s="308">
        <v>6.0087999999999999</v>
      </c>
      <c r="AJ438" s="308">
        <v>9.9928000000000008</v>
      </c>
      <c r="AK438" s="308">
        <v>8.9228000000000005</v>
      </c>
      <c r="AL438" s="308">
        <v>8.2924000000000007</v>
      </c>
      <c r="AM438" s="308">
        <v>10.5657</v>
      </c>
      <c r="AN438" s="308">
        <v>11.2121</v>
      </c>
      <c r="AO438" s="308">
        <v>9.8622999999999994</v>
      </c>
      <c r="AP438" s="308">
        <v>11.3407</v>
      </c>
      <c r="AQ438" s="308">
        <v>7.1645000000000003</v>
      </c>
      <c r="AR438" s="308">
        <v>9.7256999999999998</v>
      </c>
      <c r="AS438" s="308">
        <v>8.4831000000000003</v>
      </c>
      <c r="AT438" s="308">
        <v>7.2611999999999997</v>
      </c>
      <c r="AU438" s="308">
        <v>9.3757999999999999</v>
      </c>
      <c r="AV438" s="308">
        <v>12.8819</v>
      </c>
      <c r="AW438" s="308">
        <v>6.9545000000000003</v>
      </c>
      <c r="AX438" s="308">
        <v>9.4888999999999992</v>
      </c>
      <c r="AY438" s="308">
        <v>10.193300000000001</v>
      </c>
      <c r="AZ438" s="308">
        <v>8.2467000000000006</v>
      </c>
      <c r="BA438" s="308">
        <v>6.3448000000000002</v>
      </c>
      <c r="BB438" s="308">
        <v>7.5778999999999996</v>
      </c>
      <c r="BC438" s="308">
        <v>8.4834999999999994</v>
      </c>
      <c r="BD438" s="308">
        <v>9.1687999999999992</v>
      </c>
      <c r="BE438" s="308">
        <v>9.1336999999999993</v>
      </c>
      <c r="BF438" s="308">
        <v>8.5731999999999999</v>
      </c>
      <c r="BG438" s="308">
        <v>8.9886999999999997</v>
      </c>
      <c r="BH438" s="308">
        <v>9.2443000000000008</v>
      </c>
      <c r="BI438" s="308">
        <v>9.9494000000000007</v>
      </c>
      <c r="BJ438" s="308">
        <v>10.404999999999999</v>
      </c>
      <c r="BK438" s="308">
        <v>9.7311999999999994</v>
      </c>
    </row>
    <row r="439" spans="1:63" x14ac:dyDescent="0.25">
      <c r="A439" s="306">
        <v>212390</v>
      </c>
      <c r="B439" s="308" t="s">
        <v>701</v>
      </c>
      <c r="C439" s="308">
        <v>8.4398999999999997</v>
      </c>
      <c r="D439" s="308">
        <v>5.6125999999999996</v>
      </c>
      <c r="E439" s="308">
        <v>11.539400000000001</v>
      </c>
      <c r="F439" s="308">
        <v>9.3405000000000005</v>
      </c>
      <c r="G439" s="308">
        <v>7.3808999999999996</v>
      </c>
      <c r="H439" s="308">
        <v>7.6836000000000002</v>
      </c>
      <c r="I439" s="308">
        <v>5.8864000000000001</v>
      </c>
      <c r="J439" s="308">
        <v>5.2801</v>
      </c>
      <c r="K439" s="308">
        <v>0</v>
      </c>
      <c r="L439" s="308">
        <v>0</v>
      </c>
      <c r="M439" s="308">
        <v>5.6981000000000002</v>
      </c>
      <c r="N439" s="308">
        <v>7.6242000000000001</v>
      </c>
      <c r="O439" s="308">
        <v>5.3792</v>
      </c>
      <c r="P439" s="308">
        <v>8.0821000000000005</v>
      </c>
      <c r="Q439" s="308">
        <v>8.5124999999999993</v>
      </c>
      <c r="R439" s="308">
        <v>8.1363000000000003</v>
      </c>
      <c r="S439" s="308">
        <v>5.5522</v>
      </c>
      <c r="T439" s="308">
        <v>6.3762999999999996</v>
      </c>
      <c r="U439" s="308">
        <v>0</v>
      </c>
      <c r="V439" s="308">
        <v>6.8097000000000003</v>
      </c>
      <c r="W439" s="308">
        <v>0</v>
      </c>
      <c r="X439" s="308">
        <v>6.3269000000000002</v>
      </c>
      <c r="Y439" s="308">
        <v>8.8154000000000003</v>
      </c>
      <c r="Z439" s="308">
        <v>8.7471999999999994</v>
      </c>
      <c r="AA439" s="308">
        <v>11.1065</v>
      </c>
      <c r="AB439" s="308">
        <v>8.1012000000000004</v>
      </c>
      <c r="AC439" s="308">
        <v>10.3452</v>
      </c>
      <c r="AD439" s="308">
        <v>6.5274000000000001</v>
      </c>
      <c r="AE439" s="308">
        <v>7.5117000000000003</v>
      </c>
      <c r="AF439" s="308">
        <v>0</v>
      </c>
      <c r="AG439" s="308">
        <v>4.7872000000000003</v>
      </c>
      <c r="AH439" s="308">
        <v>10.83</v>
      </c>
      <c r="AI439" s="308">
        <v>4.8152999999999997</v>
      </c>
      <c r="AJ439" s="308">
        <v>6.7888000000000002</v>
      </c>
      <c r="AK439" s="308">
        <v>7.4737</v>
      </c>
      <c r="AL439" s="308">
        <v>6.3878000000000004</v>
      </c>
      <c r="AM439" s="308">
        <v>7.6806000000000001</v>
      </c>
      <c r="AN439" s="308">
        <v>9.2052999999999994</v>
      </c>
      <c r="AO439" s="308">
        <v>9.9183000000000003</v>
      </c>
      <c r="AP439" s="308">
        <v>10.827299999999999</v>
      </c>
      <c r="AQ439" s="308">
        <v>0</v>
      </c>
      <c r="AR439" s="308">
        <v>8.2178000000000004</v>
      </c>
      <c r="AS439" s="308">
        <v>9.9428000000000001</v>
      </c>
      <c r="AT439" s="308">
        <v>11.3299</v>
      </c>
      <c r="AU439" s="308">
        <v>7.0765000000000002</v>
      </c>
      <c r="AV439" s="308">
        <v>8.3049999999999997</v>
      </c>
      <c r="AW439" s="308">
        <v>5.2209000000000003</v>
      </c>
      <c r="AX439" s="308">
        <v>6.6741000000000001</v>
      </c>
      <c r="AY439" s="308">
        <v>9.0001999999999995</v>
      </c>
      <c r="AZ439" s="308">
        <v>7.0481999999999996</v>
      </c>
      <c r="BA439" s="308">
        <v>5.0163000000000002</v>
      </c>
      <c r="BB439" s="308">
        <v>4.8544999999999998</v>
      </c>
      <c r="BC439" s="308">
        <v>7.4802999999999997</v>
      </c>
      <c r="BD439" s="308">
        <v>7.1722999999999999</v>
      </c>
      <c r="BE439" s="308">
        <v>7.6001000000000003</v>
      </c>
      <c r="BF439" s="308">
        <v>7.6383000000000001</v>
      </c>
      <c r="BG439" s="308">
        <v>6.9744999999999999</v>
      </c>
      <c r="BH439" s="308">
        <v>11.8223</v>
      </c>
      <c r="BI439" s="308">
        <v>7.6433</v>
      </c>
      <c r="BJ439" s="308">
        <v>7.04</v>
      </c>
      <c r="BK439" s="308">
        <v>8.0396000000000001</v>
      </c>
    </row>
    <row r="440" spans="1:63" x14ac:dyDescent="0.25">
      <c r="A440" s="306">
        <v>213111</v>
      </c>
      <c r="B440" s="308" t="s">
        <v>20</v>
      </c>
      <c r="C440" s="308">
        <v>7.5808</v>
      </c>
      <c r="D440" s="308">
        <v>3.8365</v>
      </c>
      <c r="E440" s="308">
        <v>5.4344999999999999</v>
      </c>
      <c r="F440" s="308">
        <v>6.1902999999999997</v>
      </c>
      <c r="G440" s="308">
        <v>4.9566999999999997</v>
      </c>
      <c r="H440" s="308">
        <v>5.5884</v>
      </c>
      <c r="I440" s="308">
        <v>5.7857000000000003</v>
      </c>
      <c r="J440" s="308">
        <v>8.1061999999999994</v>
      </c>
      <c r="K440" s="308">
        <v>0</v>
      </c>
      <c r="L440" s="308">
        <v>7.4292999999999996</v>
      </c>
      <c r="M440" s="308">
        <v>10.201499999999999</v>
      </c>
      <c r="N440" s="308">
        <v>9.7096999999999998</v>
      </c>
      <c r="O440" s="308">
        <v>0</v>
      </c>
      <c r="P440" s="308">
        <v>8.4580000000000002</v>
      </c>
      <c r="Q440" s="308">
        <v>10.2424</v>
      </c>
      <c r="R440" s="308">
        <v>9.1087000000000007</v>
      </c>
      <c r="S440" s="308">
        <v>10.6196</v>
      </c>
      <c r="T440" s="308">
        <v>7.3242000000000003</v>
      </c>
      <c r="U440" s="308">
        <v>8.1928000000000001</v>
      </c>
      <c r="V440" s="308">
        <v>5.8571999999999997</v>
      </c>
      <c r="W440" s="308">
        <v>8.8767999999999994</v>
      </c>
      <c r="X440" s="308">
        <v>7.5595999999999997</v>
      </c>
      <c r="Y440" s="308">
        <v>10.3826</v>
      </c>
      <c r="Z440" s="308">
        <v>7.7061999999999999</v>
      </c>
      <c r="AA440" s="308">
        <v>5.3971</v>
      </c>
      <c r="AB440" s="308">
        <v>6.7817999999999996</v>
      </c>
      <c r="AC440" s="308">
        <v>5.6440999999999999</v>
      </c>
      <c r="AD440" s="308">
        <v>5.8117999999999999</v>
      </c>
      <c r="AE440" s="308">
        <v>9.7317999999999998</v>
      </c>
      <c r="AF440" s="308">
        <v>4.9433999999999996</v>
      </c>
      <c r="AG440" s="308">
        <v>7.4741</v>
      </c>
      <c r="AH440" s="308">
        <v>6.5011999999999999</v>
      </c>
      <c r="AI440" s="308">
        <v>7.2683999999999997</v>
      </c>
      <c r="AJ440" s="308">
        <v>5.6055000000000001</v>
      </c>
      <c r="AK440" s="308">
        <v>7.8814000000000002</v>
      </c>
      <c r="AL440" s="308">
        <v>4.1448</v>
      </c>
      <c r="AM440" s="308">
        <v>8.2646999999999995</v>
      </c>
      <c r="AN440" s="308">
        <v>6.6205999999999996</v>
      </c>
      <c r="AO440" s="308">
        <v>11.2043</v>
      </c>
      <c r="AP440" s="308">
        <v>6.9310999999999998</v>
      </c>
      <c r="AQ440" s="308">
        <v>7.1680000000000001</v>
      </c>
      <c r="AR440" s="308">
        <v>6.8971</v>
      </c>
      <c r="AS440" s="308">
        <v>5.9263000000000003</v>
      </c>
      <c r="AT440" s="308">
        <v>6.6215999999999999</v>
      </c>
      <c r="AU440" s="308">
        <v>6.0523999999999996</v>
      </c>
      <c r="AV440" s="308">
        <v>7.0945</v>
      </c>
      <c r="AW440" s="308">
        <v>6.6170999999999998</v>
      </c>
      <c r="AX440" s="308">
        <v>0</v>
      </c>
      <c r="AY440" s="308">
        <v>9.1823999999999995</v>
      </c>
      <c r="AZ440" s="308">
        <v>10.8192</v>
      </c>
      <c r="BA440" s="308">
        <v>5.9138999999999999</v>
      </c>
      <c r="BB440" s="308">
        <v>4.6574</v>
      </c>
      <c r="BC440" s="308">
        <v>10.2729</v>
      </c>
      <c r="BD440" s="308">
        <v>6.2079000000000004</v>
      </c>
      <c r="BE440" s="308">
        <v>8.8928999999999991</v>
      </c>
      <c r="BF440" s="308">
        <v>6.9744999999999999</v>
      </c>
      <c r="BG440" s="308">
        <v>7.3897000000000004</v>
      </c>
      <c r="BH440" s="308">
        <v>6.8117000000000001</v>
      </c>
      <c r="BI440" s="308">
        <v>6.4942000000000002</v>
      </c>
      <c r="BJ440" s="308">
        <v>6.1212999999999997</v>
      </c>
      <c r="BK440" s="308">
        <v>5.7153999999999998</v>
      </c>
    </row>
    <row r="441" spans="1:63" x14ac:dyDescent="0.25">
      <c r="A441" s="306">
        <v>213112</v>
      </c>
      <c r="B441" s="308" t="s">
        <v>21</v>
      </c>
      <c r="C441" s="308">
        <v>9.6027000000000005</v>
      </c>
      <c r="D441" s="308">
        <v>4.8471000000000002</v>
      </c>
      <c r="E441" s="308">
        <v>6.7210999999999999</v>
      </c>
      <c r="F441" s="308">
        <v>8.1235999999999997</v>
      </c>
      <c r="G441" s="308">
        <v>9.7113999999999994</v>
      </c>
      <c r="H441" s="308">
        <v>7.7682000000000002</v>
      </c>
      <c r="I441" s="308">
        <v>7.5915999999999997</v>
      </c>
      <c r="J441" s="308">
        <v>5.2718999999999996</v>
      </c>
      <c r="K441" s="308">
        <v>0</v>
      </c>
      <c r="L441" s="308">
        <v>0</v>
      </c>
      <c r="M441" s="308">
        <v>12.3142</v>
      </c>
      <c r="N441" s="308">
        <v>5.8994999999999997</v>
      </c>
      <c r="O441" s="308">
        <v>17.581099999999999</v>
      </c>
      <c r="P441" s="308">
        <v>5.4439000000000002</v>
      </c>
      <c r="Q441" s="308">
        <v>7.9240000000000004</v>
      </c>
      <c r="R441" s="308">
        <v>11.8218</v>
      </c>
      <c r="S441" s="308">
        <v>12.7227</v>
      </c>
      <c r="T441" s="308">
        <v>9.1527999999999992</v>
      </c>
      <c r="U441" s="308">
        <v>9.8617000000000008</v>
      </c>
      <c r="V441" s="308">
        <v>7.1805000000000003</v>
      </c>
      <c r="W441" s="308">
        <v>10.850199999999999</v>
      </c>
      <c r="X441" s="308">
        <v>9.0485000000000007</v>
      </c>
      <c r="Y441" s="308">
        <v>0</v>
      </c>
      <c r="Z441" s="308">
        <v>9.3465000000000007</v>
      </c>
      <c r="AA441" s="308">
        <v>8.6199999999999992</v>
      </c>
      <c r="AB441" s="308">
        <v>5.8463000000000003</v>
      </c>
      <c r="AC441" s="308">
        <v>8.3279999999999994</v>
      </c>
      <c r="AD441" s="308">
        <v>7.3456000000000001</v>
      </c>
      <c r="AE441" s="308">
        <v>9.2542000000000009</v>
      </c>
      <c r="AF441" s="308">
        <v>6.3916000000000004</v>
      </c>
      <c r="AG441" s="308">
        <v>8.3404000000000007</v>
      </c>
      <c r="AH441" s="308">
        <v>0</v>
      </c>
      <c r="AI441" s="308">
        <v>8.8510000000000009</v>
      </c>
      <c r="AJ441" s="308">
        <v>7.7389000000000001</v>
      </c>
      <c r="AK441" s="308">
        <v>10.025499999999999</v>
      </c>
      <c r="AL441" s="308">
        <v>7.1351000000000004</v>
      </c>
      <c r="AM441" s="308">
        <v>8.8557000000000006</v>
      </c>
      <c r="AN441" s="308">
        <v>8.2581000000000007</v>
      </c>
      <c r="AO441" s="308">
        <v>17.991199999999999</v>
      </c>
      <c r="AP441" s="308">
        <v>9.0480999999999998</v>
      </c>
      <c r="AQ441" s="308">
        <v>0</v>
      </c>
      <c r="AR441" s="308">
        <v>9.0632999999999999</v>
      </c>
      <c r="AS441" s="308">
        <v>11.732200000000001</v>
      </c>
      <c r="AT441" s="308">
        <v>6.7732000000000001</v>
      </c>
      <c r="AU441" s="308">
        <v>7.7706999999999997</v>
      </c>
      <c r="AV441" s="308">
        <v>10.092599999999999</v>
      </c>
      <c r="AW441" s="308">
        <v>8.7251999999999992</v>
      </c>
      <c r="AX441" s="308">
        <v>0</v>
      </c>
      <c r="AY441" s="308">
        <v>10.965299999999999</v>
      </c>
      <c r="AZ441" s="308">
        <v>10.0001</v>
      </c>
      <c r="BA441" s="308">
        <v>8.7749000000000006</v>
      </c>
      <c r="BB441" s="308">
        <v>6.5831999999999997</v>
      </c>
      <c r="BC441" s="308">
        <v>8.8873999999999995</v>
      </c>
      <c r="BD441" s="308">
        <v>8.7278000000000002</v>
      </c>
      <c r="BE441" s="308">
        <v>9.9961000000000002</v>
      </c>
      <c r="BF441" s="308">
        <v>8.5305</v>
      </c>
      <c r="BG441" s="308">
        <v>9.8833000000000002</v>
      </c>
      <c r="BH441" s="308">
        <v>8.9506999999999994</v>
      </c>
      <c r="BI441" s="308">
        <v>8.1836000000000002</v>
      </c>
      <c r="BJ441" s="308">
        <v>8.3940000000000001</v>
      </c>
      <c r="BK441" s="308">
        <v>7.2268999999999997</v>
      </c>
    </row>
    <row r="442" spans="1:63" x14ac:dyDescent="0.25">
      <c r="A442" s="306" t="s">
        <v>702</v>
      </c>
      <c r="B442" s="308" t="s">
        <v>22</v>
      </c>
      <c r="C442" s="308">
        <v>11.1099</v>
      </c>
      <c r="D442" s="308">
        <v>6.0990000000000002</v>
      </c>
      <c r="E442" s="308">
        <v>7.2911999999999999</v>
      </c>
      <c r="F442" s="308">
        <v>8.1179000000000006</v>
      </c>
      <c r="G442" s="308">
        <v>8.0892999999999997</v>
      </c>
      <c r="H442" s="308">
        <v>8.8910999999999998</v>
      </c>
      <c r="I442" s="308">
        <v>9.0618999999999996</v>
      </c>
      <c r="J442" s="308">
        <v>11.88</v>
      </c>
      <c r="K442" s="308">
        <v>0</v>
      </c>
      <c r="L442" s="308">
        <v>0</v>
      </c>
      <c r="M442" s="308">
        <v>12.4016</v>
      </c>
      <c r="N442" s="308">
        <v>11.2155</v>
      </c>
      <c r="O442" s="308">
        <v>0</v>
      </c>
      <c r="P442" s="308">
        <v>10.914</v>
      </c>
      <c r="Q442" s="308">
        <v>10.6335</v>
      </c>
      <c r="R442" s="308">
        <v>10.307</v>
      </c>
      <c r="S442" s="308">
        <v>10.0472</v>
      </c>
      <c r="T442" s="308">
        <v>10.9755</v>
      </c>
      <c r="U442" s="308">
        <v>9.6638000000000002</v>
      </c>
      <c r="V442" s="308">
        <v>7.2586000000000004</v>
      </c>
      <c r="W442" s="308">
        <v>10.713800000000001</v>
      </c>
      <c r="X442" s="308">
        <v>8.6113</v>
      </c>
      <c r="Y442" s="308">
        <v>0</v>
      </c>
      <c r="Z442" s="308">
        <v>8.7832000000000008</v>
      </c>
      <c r="AA442" s="308">
        <v>11.9231</v>
      </c>
      <c r="AB442" s="308">
        <v>8.0777999999999999</v>
      </c>
      <c r="AC442" s="308">
        <v>11.873799999999999</v>
      </c>
      <c r="AD442" s="308">
        <v>8.0806000000000004</v>
      </c>
      <c r="AE442" s="308">
        <v>11.4057</v>
      </c>
      <c r="AF442" s="308">
        <v>6.7847</v>
      </c>
      <c r="AG442" s="308">
        <v>8.0609000000000002</v>
      </c>
      <c r="AH442" s="308">
        <v>6.5237999999999996</v>
      </c>
      <c r="AI442" s="308">
        <v>8.4282000000000004</v>
      </c>
      <c r="AJ442" s="308">
        <v>9.8213000000000008</v>
      </c>
      <c r="AK442" s="308">
        <v>8.1740999999999993</v>
      </c>
      <c r="AL442" s="308">
        <v>6.9801000000000002</v>
      </c>
      <c r="AM442" s="308">
        <v>8.1537000000000006</v>
      </c>
      <c r="AN442" s="308">
        <v>10.978999999999999</v>
      </c>
      <c r="AO442" s="308">
        <v>13.139699999999999</v>
      </c>
      <c r="AP442" s="308">
        <v>9.6964000000000006</v>
      </c>
      <c r="AQ442" s="308">
        <v>0</v>
      </c>
      <c r="AR442" s="308">
        <v>8.9731000000000005</v>
      </c>
      <c r="AS442" s="308">
        <v>10.0596</v>
      </c>
      <c r="AT442" s="308">
        <v>7.3162000000000003</v>
      </c>
      <c r="AU442" s="308">
        <v>8.1065000000000005</v>
      </c>
      <c r="AV442" s="308">
        <v>9.4238</v>
      </c>
      <c r="AW442" s="308">
        <v>7.7790999999999997</v>
      </c>
      <c r="AX442" s="308">
        <v>6.3015999999999996</v>
      </c>
      <c r="AY442" s="308">
        <v>9.5692000000000004</v>
      </c>
      <c r="AZ442" s="308">
        <v>11.159599999999999</v>
      </c>
      <c r="BA442" s="308">
        <v>7.7674000000000003</v>
      </c>
      <c r="BB442" s="308">
        <v>7.7382999999999997</v>
      </c>
      <c r="BC442" s="308">
        <v>9.4553999999999991</v>
      </c>
      <c r="BD442" s="308">
        <v>8.8051999999999992</v>
      </c>
      <c r="BE442" s="308">
        <v>9.4114000000000004</v>
      </c>
      <c r="BF442" s="308">
        <v>10.101800000000001</v>
      </c>
      <c r="BG442" s="308">
        <v>9.5477000000000007</v>
      </c>
      <c r="BH442" s="308">
        <v>10.181900000000001</v>
      </c>
      <c r="BI442" s="308">
        <v>8.8775999999999993</v>
      </c>
      <c r="BJ442" s="308">
        <v>9.2356999999999996</v>
      </c>
      <c r="BK442" s="308">
        <v>9.5629000000000008</v>
      </c>
    </row>
    <row r="443" spans="1:63" x14ac:dyDescent="0.25">
      <c r="A443" s="306" t="s">
        <v>602</v>
      </c>
      <c r="B443" s="308" t="s">
        <v>23</v>
      </c>
      <c r="C443" s="308">
        <v>5.3009000000000004</v>
      </c>
      <c r="D443" s="308">
        <v>4.6025999999999998</v>
      </c>
      <c r="E443" s="308">
        <v>4.8681000000000001</v>
      </c>
      <c r="F443" s="308">
        <v>4.5334000000000003</v>
      </c>
      <c r="G443" s="308">
        <v>4.1090999999999998</v>
      </c>
      <c r="H443" s="308">
        <v>3.7244000000000002</v>
      </c>
      <c r="I443" s="308">
        <v>5.0423</v>
      </c>
      <c r="J443" s="308">
        <v>2.9849999999999999</v>
      </c>
      <c r="K443" s="308">
        <v>0.59750000000000003</v>
      </c>
      <c r="L443" s="308">
        <v>3.0539000000000001</v>
      </c>
      <c r="M443" s="308">
        <v>4.3023999999999996</v>
      </c>
      <c r="N443" s="308">
        <v>4.1879999999999997</v>
      </c>
      <c r="O443" s="308">
        <v>4.1695000000000002</v>
      </c>
      <c r="P443" s="308">
        <v>3.9104000000000001</v>
      </c>
      <c r="Q443" s="308">
        <v>4.2557</v>
      </c>
      <c r="R443" s="308">
        <v>3.8643000000000001</v>
      </c>
      <c r="S443" s="308">
        <v>4.4410999999999996</v>
      </c>
      <c r="T443" s="308">
        <v>4.2667999999999999</v>
      </c>
      <c r="U443" s="308">
        <v>5.0023</v>
      </c>
      <c r="V443" s="308">
        <v>4.3894000000000002</v>
      </c>
      <c r="W443" s="308">
        <v>3.0989</v>
      </c>
      <c r="X443" s="308">
        <v>3.2263999999999999</v>
      </c>
      <c r="Y443" s="308">
        <v>4.7054999999999998</v>
      </c>
      <c r="Z443" s="308">
        <v>3.8917999999999999</v>
      </c>
      <c r="AA443" s="308">
        <v>4.0869999999999997</v>
      </c>
      <c r="AB443" s="308">
        <v>4.2979000000000003</v>
      </c>
      <c r="AC443" s="308">
        <v>4.8014999999999999</v>
      </c>
      <c r="AD443" s="308">
        <v>4.9621000000000004</v>
      </c>
      <c r="AE443" s="308">
        <v>4.0133000000000001</v>
      </c>
      <c r="AF443" s="308">
        <v>4.4855999999999998</v>
      </c>
      <c r="AG443" s="308">
        <v>3.0851000000000002</v>
      </c>
      <c r="AH443" s="308">
        <v>3.2924000000000002</v>
      </c>
      <c r="AI443" s="308">
        <v>3.1545000000000001</v>
      </c>
      <c r="AJ443" s="308">
        <v>5.1219999999999999</v>
      </c>
      <c r="AK443" s="308">
        <v>3.5903</v>
      </c>
      <c r="AL443" s="308">
        <v>3.0916999999999999</v>
      </c>
      <c r="AM443" s="308">
        <v>4.5411999999999999</v>
      </c>
      <c r="AN443" s="308">
        <v>4.9778000000000002</v>
      </c>
      <c r="AO443" s="308">
        <v>3.8828999999999998</v>
      </c>
      <c r="AP443" s="308">
        <v>4.1932999999999998</v>
      </c>
      <c r="AQ443" s="308">
        <v>3.2477999999999998</v>
      </c>
      <c r="AR443" s="308">
        <v>4.2819000000000003</v>
      </c>
      <c r="AS443" s="308">
        <v>4.1252000000000004</v>
      </c>
      <c r="AT443" s="308">
        <v>4.5190999999999999</v>
      </c>
      <c r="AU443" s="308">
        <v>4.2721</v>
      </c>
      <c r="AV443" s="308">
        <v>5.4593999999999996</v>
      </c>
      <c r="AW443" s="308">
        <v>3.8748</v>
      </c>
      <c r="AX443" s="308">
        <v>3.4049</v>
      </c>
      <c r="AY443" s="308">
        <v>3.9664000000000001</v>
      </c>
      <c r="AZ443" s="308">
        <v>4.1715999999999998</v>
      </c>
      <c r="BA443" s="308">
        <v>4.9283000000000001</v>
      </c>
      <c r="BB443" s="308">
        <v>4.6020000000000003</v>
      </c>
      <c r="BC443" s="308">
        <v>3.5373000000000001</v>
      </c>
      <c r="BD443" s="308">
        <v>3.7766999999999999</v>
      </c>
      <c r="BE443" s="308">
        <v>4.3772000000000002</v>
      </c>
      <c r="BF443" s="308">
        <v>4.3929</v>
      </c>
      <c r="BG443" s="308">
        <v>4.7512999999999996</v>
      </c>
      <c r="BH443" s="308">
        <v>5.1003999999999996</v>
      </c>
      <c r="BI443" s="308">
        <v>4.5053000000000001</v>
      </c>
      <c r="BJ443" s="308">
        <v>5.1475999999999997</v>
      </c>
      <c r="BK443" s="308">
        <v>3.9750000000000001</v>
      </c>
    </row>
    <row r="444" spans="1:63" x14ac:dyDescent="0.25">
      <c r="A444" s="306">
        <v>221200</v>
      </c>
      <c r="B444" s="308" t="s">
        <v>24</v>
      </c>
      <c r="C444" s="308">
        <v>5.6261999999999999</v>
      </c>
      <c r="D444" s="308">
        <v>3.8304999999999998</v>
      </c>
      <c r="E444" s="308">
        <v>3.9975999999999998</v>
      </c>
      <c r="F444" s="308">
        <v>4.1769999999999996</v>
      </c>
      <c r="G444" s="308">
        <v>3.0106999999999999</v>
      </c>
      <c r="H444" s="308">
        <v>3.4399000000000002</v>
      </c>
      <c r="I444" s="308">
        <v>4.5621</v>
      </c>
      <c r="J444" s="308">
        <v>1.9689000000000001</v>
      </c>
      <c r="K444" s="308">
        <v>0.32169999999999999</v>
      </c>
      <c r="L444" s="308">
        <v>2.0165999999999999</v>
      </c>
      <c r="M444" s="308">
        <v>3.0356999999999998</v>
      </c>
      <c r="N444" s="308">
        <v>2.6545000000000001</v>
      </c>
      <c r="O444" s="308">
        <v>2.6855000000000002</v>
      </c>
      <c r="P444" s="308">
        <v>2.5807000000000002</v>
      </c>
      <c r="Q444" s="308">
        <v>2.6972999999999998</v>
      </c>
      <c r="R444" s="308">
        <v>3.0190999999999999</v>
      </c>
      <c r="S444" s="308">
        <v>3.2311999999999999</v>
      </c>
      <c r="T444" s="308">
        <v>4.8289999999999997</v>
      </c>
      <c r="U444" s="308">
        <v>4.3086000000000002</v>
      </c>
      <c r="V444" s="308">
        <v>4.8912000000000004</v>
      </c>
      <c r="W444" s="308">
        <v>1.9746999999999999</v>
      </c>
      <c r="X444" s="308">
        <v>2.1857000000000002</v>
      </c>
      <c r="Y444" s="308">
        <v>2.9660000000000002</v>
      </c>
      <c r="Z444" s="308">
        <v>3.1162999999999998</v>
      </c>
      <c r="AA444" s="308">
        <v>2.8134999999999999</v>
      </c>
      <c r="AB444" s="308">
        <v>2.528</v>
      </c>
      <c r="AC444" s="308">
        <v>4.6890000000000001</v>
      </c>
      <c r="AD444" s="308">
        <v>4.6464999999999996</v>
      </c>
      <c r="AE444" s="308">
        <v>3.0209999999999999</v>
      </c>
      <c r="AF444" s="308">
        <v>4.0796999999999999</v>
      </c>
      <c r="AG444" s="308">
        <v>1.9993000000000001</v>
      </c>
      <c r="AH444" s="308">
        <v>2.1505000000000001</v>
      </c>
      <c r="AI444" s="308">
        <v>2.1514000000000002</v>
      </c>
      <c r="AJ444" s="308">
        <v>5.0227000000000004</v>
      </c>
      <c r="AK444" s="308">
        <v>2.1722000000000001</v>
      </c>
      <c r="AL444" s="308">
        <v>1.8436999999999999</v>
      </c>
      <c r="AM444" s="308">
        <v>3.7902</v>
      </c>
      <c r="AN444" s="308">
        <v>5.0640000000000001</v>
      </c>
      <c r="AO444" s="308">
        <v>2.2698999999999998</v>
      </c>
      <c r="AP444" s="308">
        <v>3.5844999999999998</v>
      </c>
      <c r="AQ444" s="308">
        <v>2.0977999999999999</v>
      </c>
      <c r="AR444" s="308">
        <v>2.7602000000000002</v>
      </c>
      <c r="AS444" s="308">
        <v>2.5428000000000002</v>
      </c>
      <c r="AT444" s="308">
        <v>3.5076999999999998</v>
      </c>
      <c r="AU444" s="308">
        <v>4.5185000000000004</v>
      </c>
      <c r="AV444" s="308">
        <v>5.1963999999999997</v>
      </c>
      <c r="AW444" s="308">
        <v>2.4438</v>
      </c>
      <c r="AX444" s="308">
        <v>2.3368000000000002</v>
      </c>
      <c r="AY444" s="308">
        <v>2.4862000000000002</v>
      </c>
      <c r="AZ444" s="308">
        <v>2.9796999999999998</v>
      </c>
      <c r="BA444" s="308">
        <v>5.3692000000000002</v>
      </c>
      <c r="BB444" s="308">
        <v>4.6540999999999997</v>
      </c>
      <c r="BC444" s="308">
        <v>2.2544</v>
      </c>
      <c r="BD444" s="308">
        <v>2.5276000000000001</v>
      </c>
      <c r="BE444" s="308">
        <v>3.3736999999999999</v>
      </c>
      <c r="BF444" s="308">
        <v>3.2458999999999998</v>
      </c>
      <c r="BG444" s="308">
        <v>3.1644000000000001</v>
      </c>
      <c r="BH444" s="308">
        <v>4.2324000000000002</v>
      </c>
      <c r="BI444" s="308">
        <v>4.8372000000000002</v>
      </c>
      <c r="BJ444" s="308">
        <v>5.3284000000000002</v>
      </c>
      <c r="BK444" s="308">
        <v>3.6055999999999999</v>
      </c>
    </row>
    <row r="445" spans="1:63" x14ac:dyDescent="0.25">
      <c r="A445" s="306">
        <v>221300</v>
      </c>
      <c r="B445" s="308" t="s">
        <v>703</v>
      </c>
      <c r="C445" s="308">
        <v>9.0447000000000006</v>
      </c>
      <c r="D445" s="308">
        <v>7.3501000000000003</v>
      </c>
      <c r="E445" s="308">
        <v>10.541600000000001</v>
      </c>
      <c r="F445" s="308">
        <v>10.351900000000001</v>
      </c>
      <c r="G445" s="308">
        <v>7.8886000000000003</v>
      </c>
      <c r="H445" s="308">
        <v>7.1608000000000001</v>
      </c>
      <c r="I445" s="308">
        <v>8.8234999999999992</v>
      </c>
      <c r="J445" s="308">
        <v>5.7728999999999999</v>
      </c>
      <c r="K445" s="308">
        <v>1.0488</v>
      </c>
      <c r="L445" s="308">
        <v>5.8367000000000004</v>
      </c>
      <c r="M445" s="308">
        <v>9.4444999999999997</v>
      </c>
      <c r="N445" s="308">
        <v>8.7874999999999996</v>
      </c>
      <c r="O445" s="308">
        <v>9.1023999999999994</v>
      </c>
      <c r="P445" s="308">
        <v>8.3500999999999994</v>
      </c>
      <c r="Q445" s="308">
        <v>10.837300000000001</v>
      </c>
      <c r="R445" s="308">
        <v>8.3939000000000004</v>
      </c>
      <c r="S445" s="308">
        <v>8.2525999999999993</v>
      </c>
      <c r="T445" s="308">
        <v>9.6758000000000006</v>
      </c>
      <c r="U445" s="308">
        <v>9.9321000000000002</v>
      </c>
      <c r="V445" s="308">
        <v>10.5115</v>
      </c>
      <c r="W445" s="308">
        <v>6.0058999999999996</v>
      </c>
      <c r="X445" s="308">
        <v>6.992</v>
      </c>
      <c r="Y445" s="308">
        <v>8.6537000000000006</v>
      </c>
      <c r="Z445" s="308">
        <v>7.3724999999999996</v>
      </c>
      <c r="AA445" s="308">
        <v>6.4535</v>
      </c>
      <c r="AB445" s="308">
        <v>7.6303999999999998</v>
      </c>
      <c r="AC445" s="308">
        <v>10.7349</v>
      </c>
      <c r="AD445" s="308">
        <v>11.2165</v>
      </c>
      <c r="AE445" s="308">
        <v>9.8802000000000003</v>
      </c>
      <c r="AF445" s="308">
        <v>9.7196999999999996</v>
      </c>
      <c r="AG445" s="308">
        <v>5.6353</v>
      </c>
      <c r="AH445" s="308">
        <v>8.2698</v>
      </c>
      <c r="AI445" s="308">
        <v>6.0879000000000003</v>
      </c>
      <c r="AJ445" s="308">
        <v>10.882099999999999</v>
      </c>
      <c r="AK445" s="308">
        <v>7.9046000000000003</v>
      </c>
      <c r="AL445" s="308">
        <v>5.9619999999999997</v>
      </c>
      <c r="AM445" s="308">
        <v>8.4739000000000004</v>
      </c>
      <c r="AN445" s="308">
        <v>9.6272000000000002</v>
      </c>
      <c r="AO445" s="308">
        <v>10.0108</v>
      </c>
      <c r="AP445" s="308">
        <v>7.1631</v>
      </c>
      <c r="AQ445" s="308">
        <v>5.8752000000000004</v>
      </c>
      <c r="AR445" s="308">
        <v>9.4814000000000007</v>
      </c>
      <c r="AS445" s="308">
        <v>9.2403999999999993</v>
      </c>
      <c r="AT445" s="308">
        <v>9.4301999999999992</v>
      </c>
      <c r="AU445" s="308">
        <v>7.8708999999999998</v>
      </c>
      <c r="AV445" s="308">
        <v>11.8565</v>
      </c>
      <c r="AW445" s="308">
        <v>8.1821000000000002</v>
      </c>
      <c r="AX445" s="308">
        <v>9.4848999999999997</v>
      </c>
      <c r="AY445" s="308">
        <v>8.2970000000000006</v>
      </c>
      <c r="AZ445" s="308">
        <v>7.0082000000000004</v>
      </c>
      <c r="BA445" s="308">
        <v>7.9145000000000003</v>
      </c>
      <c r="BB445" s="308">
        <v>8.1295999999999999</v>
      </c>
      <c r="BC445" s="308">
        <v>6.8613</v>
      </c>
      <c r="BD445" s="308">
        <v>6.6753</v>
      </c>
      <c r="BE445" s="308">
        <v>8.5206999999999997</v>
      </c>
      <c r="BF445" s="308">
        <v>8.1493000000000002</v>
      </c>
      <c r="BG445" s="308">
        <v>9.1706000000000003</v>
      </c>
      <c r="BH445" s="308">
        <v>10.8626</v>
      </c>
      <c r="BI445" s="308">
        <v>8.7390000000000008</v>
      </c>
      <c r="BJ445" s="308">
        <v>9.4061000000000003</v>
      </c>
      <c r="BK445" s="308">
        <v>7.6726000000000001</v>
      </c>
    </row>
    <row r="446" spans="1:63" x14ac:dyDescent="0.25">
      <c r="A446" s="306">
        <v>230000</v>
      </c>
      <c r="B446" s="308" t="s">
        <v>426</v>
      </c>
      <c r="C446" s="308">
        <v>14.5982</v>
      </c>
      <c r="D446" s="308">
        <v>9.6742000000000008</v>
      </c>
      <c r="E446" s="308">
        <v>15.7585</v>
      </c>
      <c r="F446" s="308">
        <v>14.7067</v>
      </c>
      <c r="G446" s="308">
        <v>12.5243</v>
      </c>
      <c r="H446" s="308">
        <v>10.9335</v>
      </c>
      <c r="I446" s="308">
        <v>12.545999999999999</v>
      </c>
      <c r="J446" s="308">
        <v>9.6776999999999997</v>
      </c>
      <c r="K446" s="308">
        <v>1.6625000000000001</v>
      </c>
      <c r="L446" s="308">
        <v>9.7459000000000007</v>
      </c>
      <c r="M446" s="308">
        <v>13.7986</v>
      </c>
      <c r="N446" s="308">
        <v>14.9635</v>
      </c>
      <c r="O446" s="308">
        <v>10.323499999999999</v>
      </c>
      <c r="P446" s="308">
        <v>13.294700000000001</v>
      </c>
      <c r="Q446" s="308">
        <v>14.9086</v>
      </c>
      <c r="R446" s="308">
        <v>11.171200000000001</v>
      </c>
      <c r="S446" s="308">
        <v>13.467599999999999</v>
      </c>
      <c r="T446" s="308">
        <v>12.2889</v>
      </c>
      <c r="U446" s="308">
        <v>14.7128</v>
      </c>
      <c r="V446" s="308">
        <v>12.9869</v>
      </c>
      <c r="W446" s="308">
        <v>9.7939000000000007</v>
      </c>
      <c r="X446" s="308">
        <v>10.2136</v>
      </c>
      <c r="Y446" s="308">
        <v>15.3659</v>
      </c>
      <c r="Z446" s="308">
        <v>13.359299999999999</v>
      </c>
      <c r="AA446" s="308">
        <v>12.4742</v>
      </c>
      <c r="AB446" s="308">
        <v>12.863099999999999</v>
      </c>
      <c r="AC446" s="308">
        <v>14.856999999999999</v>
      </c>
      <c r="AD446" s="308">
        <v>15.125999999999999</v>
      </c>
      <c r="AE446" s="308">
        <v>15.286899999999999</v>
      </c>
      <c r="AF446" s="308">
        <v>11.4567</v>
      </c>
      <c r="AG446" s="308">
        <v>12.718999999999999</v>
      </c>
      <c r="AH446" s="308">
        <v>11.7277</v>
      </c>
      <c r="AI446" s="308">
        <v>10.009</v>
      </c>
      <c r="AJ446" s="308">
        <v>13.7141</v>
      </c>
      <c r="AK446" s="308">
        <v>10.4741</v>
      </c>
      <c r="AL446" s="308">
        <v>9.4715000000000007</v>
      </c>
      <c r="AM446" s="308">
        <v>14.0306</v>
      </c>
      <c r="AN446" s="308">
        <v>15.694100000000001</v>
      </c>
      <c r="AO446" s="308">
        <v>13.1494</v>
      </c>
      <c r="AP446" s="308">
        <v>12.6318</v>
      </c>
      <c r="AQ446" s="308">
        <v>10.7967</v>
      </c>
      <c r="AR446" s="308">
        <v>15.6228</v>
      </c>
      <c r="AS446" s="308">
        <v>13.952199999999999</v>
      </c>
      <c r="AT446" s="308">
        <v>14.4529</v>
      </c>
      <c r="AU446" s="308">
        <v>13.633699999999999</v>
      </c>
      <c r="AV446" s="308">
        <v>15.138199999999999</v>
      </c>
      <c r="AW446" s="308">
        <v>12.2431</v>
      </c>
      <c r="AX446" s="308">
        <v>14.448600000000001</v>
      </c>
      <c r="AY446" s="308">
        <v>11.8423</v>
      </c>
      <c r="AZ446" s="308">
        <v>13.116899999999999</v>
      </c>
      <c r="BA446" s="308">
        <v>12.821400000000001</v>
      </c>
      <c r="BB446" s="308">
        <v>11.3255</v>
      </c>
      <c r="BC446" s="308">
        <v>11.707800000000001</v>
      </c>
      <c r="BD446" s="308">
        <v>11.4405</v>
      </c>
      <c r="BE446" s="308">
        <v>13.499499999999999</v>
      </c>
      <c r="BF446" s="308">
        <v>13.6768</v>
      </c>
      <c r="BG446" s="308">
        <v>14.589700000000001</v>
      </c>
      <c r="BH446" s="308">
        <v>15.744300000000001</v>
      </c>
      <c r="BI446" s="308">
        <v>14.2714</v>
      </c>
      <c r="BJ446" s="308">
        <v>13.372199999999999</v>
      </c>
      <c r="BK446" s="308">
        <v>11.584899999999999</v>
      </c>
    </row>
    <row r="447" spans="1:63" x14ac:dyDescent="0.25">
      <c r="A447" s="306">
        <v>311111</v>
      </c>
      <c r="B447" s="308" t="s">
        <v>25</v>
      </c>
      <c r="C447" s="308">
        <v>8.4393999999999991</v>
      </c>
      <c r="D447" s="308">
        <v>4.5955000000000004</v>
      </c>
      <c r="E447" s="308">
        <v>6.0766999999999998</v>
      </c>
      <c r="F447" s="308">
        <v>8.1351999999999993</v>
      </c>
      <c r="G447" s="308">
        <v>4.1075999999999997</v>
      </c>
      <c r="H447" s="308">
        <v>4.1184000000000003</v>
      </c>
      <c r="I447" s="308">
        <v>5.9973000000000001</v>
      </c>
      <c r="J447" s="308">
        <v>0</v>
      </c>
      <c r="K447" s="308">
        <v>0</v>
      </c>
      <c r="L447" s="308">
        <v>3.1299000000000001</v>
      </c>
      <c r="M447" s="308">
        <v>6.2257999999999996</v>
      </c>
      <c r="N447" s="308">
        <v>5.3369999999999997</v>
      </c>
      <c r="O447" s="308">
        <v>3.8759000000000001</v>
      </c>
      <c r="P447" s="308">
        <v>5.5585000000000004</v>
      </c>
      <c r="Q447" s="308">
        <v>0</v>
      </c>
      <c r="R447" s="308">
        <v>7.1058000000000003</v>
      </c>
      <c r="S447" s="308">
        <v>7.0138999999999996</v>
      </c>
      <c r="T447" s="308">
        <v>5.9112</v>
      </c>
      <c r="U447" s="308">
        <v>7.7359</v>
      </c>
      <c r="V447" s="308">
        <v>0</v>
      </c>
      <c r="W447" s="308">
        <v>4.7888999999999999</v>
      </c>
      <c r="X447" s="308">
        <v>4.6205999999999996</v>
      </c>
      <c r="Y447" s="308">
        <v>0</v>
      </c>
      <c r="Z447" s="308">
        <v>5.8501000000000003</v>
      </c>
      <c r="AA447" s="308">
        <v>6.9801000000000002</v>
      </c>
      <c r="AB447" s="308">
        <v>6.9162999999999997</v>
      </c>
      <c r="AC447" s="308">
        <v>7.4748000000000001</v>
      </c>
      <c r="AD447" s="308">
        <v>7.2190000000000003</v>
      </c>
      <c r="AE447" s="308">
        <v>6.2186000000000003</v>
      </c>
      <c r="AF447" s="308">
        <v>0</v>
      </c>
      <c r="AG447" s="308">
        <v>5.4661</v>
      </c>
      <c r="AH447" s="308">
        <v>3.6772</v>
      </c>
      <c r="AI447" s="308">
        <v>4.4298000000000002</v>
      </c>
      <c r="AJ447" s="308">
        <v>5.8250000000000002</v>
      </c>
      <c r="AK447" s="308">
        <v>3.8578999999999999</v>
      </c>
      <c r="AL447" s="308">
        <v>3.5276999999999998</v>
      </c>
      <c r="AM447" s="308">
        <v>7.0663999999999998</v>
      </c>
      <c r="AN447" s="308">
        <v>6.7412999999999998</v>
      </c>
      <c r="AO447" s="308">
        <v>7.2028999999999996</v>
      </c>
      <c r="AP447" s="308">
        <v>5.6718000000000002</v>
      </c>
      <c r="AQ447" s="308">
        <v>0</v>
      </c>
      <c r="AR447" s="308">
        <v>5.9526000000000003</v>
      </c>
      <c r="AS447" s="308">
        <v>5.2583000000000002</v>
      </c>
      <c r="AT447" s="308">
        <v>5.3558000000000003</v>
      </c>
      <c r="AU447" s="308">
        <v>7.4675000000000002</v>
      </c>
      <c r="AV447" s="308">
        <v>6.7347000000000001</v>
      </c>
      <c r="AW447" s="308">
        <v>5.7506000000000004</v>
      </c>
      <c r="AX447" s="308">
        <v>5.3844000000000003</v>
      </c>
      <c r="AY447" s="308">
        <v>6.5387000000000004</v>
      </c>
      <c r="AZ447" s="308">
        <v>7.0824999999999996</v>
      </c>
      <c r="BA447" s="308">
        <v>5.7125000000000004</v>
      </c>
      <c r="BB447" s="308">
        <v>0</v>
      </c>
      <c r="BC447" s="308">
        <v>5.1882000000000001</v>
      </c>
      <c r="BD447" s="308">
        <v>4.8368000000000002</v>
      </c>
      <c r="BE447" s="308">
        <v>7.2332999999999998</v>
      </c>
      <c r="BF447" s="308">
        <v>6.7610999999999999</v>
      </c>
      <c r="BG447" s="308">
        <v>5.5824999999999996</v>
      </c>
      <c r="BH447" s="308">
        <v>7.2343999999999999</v>
      </c>
      <c r="BI447" s="308">
        <v>7.6429</v>
      </c>
      <c r="BJ447" s="308">
        <v>6.0449000000000002</v>
      </c>
      <c r="BK447" s="308">
        <v>4.4810999999999996</v>
      </c>
    </row>
    <row r="448" spans="1:63" x14ac:dyDescent="0.25">
      <c r="A448" s="306">
        <v>311119</v>
      </c>
      <c r="B448" s="308" t="s">
        <v>26</v>
      </c>
      <c r="C448" s="308">
        <v>10.713100000000001</v>
      </c>
      <c r="D448" s="308">
        <v>0</v>
      </c>
      <c r="E448" s="308">
        <v>6.8076999999999996</v>
      </c>
      <c r="F448" s="308">
        <v>9.1335999999999995</v>
      </c>
      <c r="G448" s="308">
        <v>5.4509999999999996</v>
      </c>
      <c r="H448" s="308">
        <v>5.1985999999999999</v>
      </c>
      <c r="I448" s="308">
        <v>7.9668999999999999</v>
      </c>
      <c r="J448" s="308">
        <v>3.5558999999999998</v>
      </c>
      <c r="K448" s="308">
        <v>0</v>
      </c>
      <c r="L448" s="308">
        <v>4.4954000000000001</v>
      </c>
      <c r="M448" s="308">
        <v>5.4763000000000002</v>
      </c>
      <c r="N448" s="308">
        <v>6.3471000000000002</v>
      </c>
      <c r="O448" s="308">
        <v>0</v>
      </c>
      <c r="P448" s="308">
        <v>7.1601999999999997</v>
      </c>
      <c r="Q448" s="308">
        <v>7.1276999999999999</v>
      </c>
      <c r="R448" s="308">
        <v>7.8083999999999998</v>
      </c>
      <c r="S448" s="308">
        <v>8.5233000000000008</v>
      </c>
      <c r="T448" s="308">
        <v>6.8799000000000001</v>
      </c>
      <c r="U448" s="308">
        <v>10.613</v>
      </c>
      <c r="V448" s="308">
        <v>8.3188999999999993</v>
      </c>
      <c r="W448" s="308">
        <v>5.3769</v>
      </c>
      <c r="X448" s="308">
        <v>4.2737999999999996</v>
      </c>
      <c r="Y448" s="308">
        <v>6.1273</v>
      </c>
      <c r="Z448" s="308">
        <v>7.5155000000000003</v>
      </c>
      <c r="AA448" s="308">
        <v>8.1094000000000008</v>
      </c>
      <c r="AB448" s="308">
        <v>10.048500000000001</v>
      </c>
      <c r="AC448" s="308">
        <v>10.0655</v>
      </c>
      <c r="AD448" s="308">
        <v>10.0519</v>
      </c>
      <c r="AE448" s="308">
        <v>7.4080000000000004</v>
      </c>
      <c r="AF448" s="308">
        <v>7.4547999999999996</v>
      </c>
      <c r="AG448" s="308">
        <v>7.1322999999999999</v>
      </c>
      <c r="AH448" s="308">
        <v>4.2546999999999997</v>
      </c>
      <c r="AI448" s="308">
        <v>5.2721999999999998</v>
      </c>
      <c r="AJ448" s="308">
        <v>5.4410999999999996</v>
      </c>
      <c r="AK448" s="308">
        <v>5.3491999999999997</v>
      </c>
      <c r="AL448" s="308">
        <v>3.8799000000000001</v>
      </c>
      <c r="AM448" s="308">
        <v>9.9320000000000004</v>
      </c>
      <c r="AN448" s="308">
        <v>9.7344000000000008</v>
      </c>
      <c r="AO448" s="308">
        <v>6.7441000000000004</v>
      </c>
      <c r="AP448" s="308">
        <v>6.0670000000000002</v>
      </c>
      <c r="AQ448" s="308">
        <v>0</v>
      </c>
      <c r="AR448" s="308">
        <v>7.6116000000000001</v>
      </c>
      <c r="AS448" s="308">
        <v>6.3926999999999996</v>
      </c>
      <c r="AT448" s="308">
        <v>6.5069999999999997</v>
      </c>
      <c r="AU448" s="308">
        <v>7.5244999999999997</v>
      </c>
      <c r="AV448" s="308">
        <v>7.4790999999999999</v>
      </c>
      <c r="AW448" s="308">
        <v>5.3848000000000003</v>
      </c>
      <c r="AX448" s="308">
        <v>4.4070999999999998</v>
      </c>
      <c r="AY448" s="308">
        <v>7.5126999999999997</v>
      </c>
      <c r="AZ448" s="308">
        <v>8.2507000000000001</v>
      </c>
      <c r="BA448" s="308">
        <v>0</v>
      </c>
      <c r="BB448" s="308">
        <v>5.7464000000000004</v>
      </c>
      <c r="BC448" s="308">
        <v>4.9053000000000004</v>
      </c>
      <c r="BD448" s="308">
        <v>5.3609</v>
      </c>
      <c r="BE448" s="308">
        <v>8.9779</v>
      </c>
      <c r="BF448" s="308">
        <v>8.6785999999999994</v>
      </c>
      <c r="BG448" s="308">
        <v>6.2984999999999998</v>
      </c>
      <c r="BH448" s="308">
        <v>9.6643000000000008</v>
      </c>
      <c r="BI448" s="308">
        <v>9.1995000000000005</v>
      </c>
      <c r="BJ448" s="308">
        <v>7.7859999999999996</v>
      </c>
      <c r="BK448" s="308">
        <v>5.6974</v>
      </c>
    </row>
    <row r="449" spans="1:63" x14ac:dyDescent="0.25">
      <c r="A449" s="306">
        <v>311210</v>
      </c>
      <c r="B449" s="308" t="s">
        <v>27</v>
      </c>
      <c r="C449" s="308">
        <v>10.218999999999999</v>
      </c>
      <c r="D449" s="308">
        <v>0</v>
      </c>
      <c r="E449" s="308">
        <v>6.6416000000000004</v>
      </c>
      <c r="F449" s="308">
        <v>9.0669000000000004</v>
      </c>
      <c r="G449" s="308">
        <v>5.6087999999999996</v>
      </c>
      <c r="H449" s="308">
        <v>5.9092000000000002</v>
      </c>
      <c r="I449" s="308">
        <v>7.6519000000000004</v>
      </c>
      <c r="J449" s="308">
        <v>0</v>
      </c>
      <c r="K449" s="308">
        <v>0</v>
      </c>
      <c r="L449" s="308">
        <v>0</v>
      </c>
      <c r="M449" s="308">
        <v>4.8151999999999999</v>
      </c>
      <c r="N449" s="308">
        <v>6.4946000000000002</v>
      </c>
      <c r="O449" s="308">
        <v>6.9431000000000003</v>
      </c>
      <c r="P449" s="308">
        <v>6.9783999999999997</v>
      </c>
      <c r="Q449" s="308">
        <v>7.2278000000000002</v>
      </c>
      <c r="R449" s="308">
        <v>7.8800999999999997</v>
      </c>
      <c r="S449" s="308">
        <v>8.7401</v>
      </c>
      <c r="T449" s="308">
        <v>7.1523000000000003</v>
      </c>
      <c r="U449" s="308">
        <v>11.1952</v>
      </c>
      <c r="V449" s="308">
        <v>9.3130000000000006</v>
      </c>
      <c r="W449" s="308">
        <v>4.0298999999999996</v>
      </c>
      <c r="X449" s="308">
        <v>5.4653999999999998</v>
      </c>
      <c r="Y449" s="308">
        <v>5.6285999999999996</v>
      </c>
      <c r="Z449" s="308">
        <v>7.4954999999999998</v>
      </c>
      <c r="AA449" s="308">
        <v>7.3811999999999998</v>
      </c>
      <c r="AB449" s="308">
        <v>9.1722999999999999</v>
      </c>
      <c r="AC449" s="308">
        <v>9.5112000000000005</v>
      </c>
      <c r="AD449" s="308">
        <v>9.7312999999999992</v>
      </c>
      <c r="AE449" s="308">
        <v>8.0053999999999998</v>
      </c>
      <c r="AF449" s="308">
        <v>6.508</v>
      </c>
      <c r="AG449" s="308">
        <v>6.7187000000000001</v>
      </c>
      <c r="AH449" s="308">
        <v>0</v>
      </c>
      <c r="AI449" s="308">
        <v>4.2484000000000002</v>
      </c>
      <c r="AJ449" s="308">
        <v>0</v>
      </c>
      <c r="AK449" s="308">
        <v>0</v>
      </c>
      <c r="AL449" s="308">
        <v>4.0263999999999998</v>
      </c>
      <c r="AM449" s="308">
        <v>10.1282</v>
      </c>
      <c r="AN449" s="308">
        <v>8.7524999999999995</v>
      </c>
      <c r="AO449" s="308">
        <v>7.5975000000000001</v>
      </c>
      <c r="AP449" s="308">
        <v>6.5103</v>
      </c>
      <c r="AQ449" s="308">
        <v>6.3639000000000001</v>
      </c>
      <c r="AR449" s="308">
        <v>7.3954000000000004</v>
      </c>
      <c r="AS449" s="308">
        <v>0</v>
      </c>
      <c r="AT449" s="308">
        <v>7.6616999999999997</v>
      </c>
      <c r="AU449" s="308">
        <v>7.5899000000000001</v>
      </c>
      <c r="AV449" s="308">
        <v>7.2995000000000001</v>
      </c>
      <c r="AW449" s="308">
        <v>5.8189000000000002</v>
      </c>
      <c r="AX449" s="308">
        <v>0</v>
      </c>
      <c r="AY449" s="308">
        <v>7.7614000000000001</v>
      </c>
      <c r="AZ449" s="308">
        <v>9.1335999999999995</v>
      </c>
      <c r="BA449" s="308">
        <v>0</v>
      </c>
      <c r="BB449" s="308">
        <v>0</v>
      </c>
      <c r="BC449" s="308">
        <v>4.5984999999999996</v>
      </c>
      <c r="BD449" s="308">
        <v>5.3358999999999996</v>
      </c>
      <c r="BE449" s="308">
        <v>8.6381999999999994</v>
      </c>
      <c r="BF449" s="308">
        <v>8.1005000000000003</v>
      </c>
      <c r="BG449" s="308">
        <v>7.0654000000000003</v>
      </c>
      <c r="BH449" s="308">
        <v>9.6222999999999992</v>
      </c>
      <c r="BI449" s="308">
        <v>9.3210999999999995</v>
      </c>
      <c r="BJ449" s="308">
        <v>8.1645000000000003</v>
      </c>
      <c r="BK449" s="308">
        <v>6.5186000000000002</v>
      </c>
    </row>
    <row r="450" spans="1:63" x14ac:dyDescent="0.25">
      <c r="A450" s="306">
        <v>311221</v>
      </c>
      <c r="B450" s="308" t="s">
        <v>28</v>
      </c>
      <c r="C450" s="308">
        <v>9.8379999999999992</v>
      </c>
      <c r="D450" s="308">
        <v>0</v>
      </c>
      <c r="E450" s="308">
        <v>5.8543000000000003</v>
      </c>
      <c r="F450" s="308">
        <v>8.5084999999999997</v>
      </c>
      <c r="G450" s="308">
        <v>0</v>
      </c>
      <c r="H450" s="308">
        <v>5.1006</v>
      </c>
      <c r="I450" s="308">
        <v>8.8965999999999994</v>
      </c>
      <c r="J450" s="308">
        <v>0</v>
      </c>
      <c r="K450" s="308">
        <v>0</v>
      </c>
      <c r="L450" s="308">
        <v>0</v>
      </c>
      <c r="M450" s="308">
        <v>4.8224</v>
      </c>
      <c r="N450" s="308">
        <v>0</v>
      </c>
      <c r="O450" s="308">
        <v>0</v>
      </c>
      <c r="P450" s="308">
        <v>6.7035</v>
      </c>
      <c r="Q450" s="308">
        <v>8.3361999999999998</v>
      </c>
      <c r="R450" s="308">
        <v>7.1333000000000002</v>
      </c>
      <c r="S450" s="308">
        <v>7.6178999999999997</v>
      </c>
      <c r="T450" s="308">
        <v>8.0904000000000007</v>
      </c>
      <c r="U450" s="308">
        <v>0</v>
      </c>
      <c r="V450" s="308">
        <v>0</v>
      </c>
      <c r="W450" s="308">
        <v>0</v>
      </c>
      <c r="X450" s="308">
        <v>0</v>
      </c>
      <c r="Y450" s="308">
        <v>6.0530999999999997</v>
      </c>
      <c r="Z450" s="308">
        <v>0</v>
      </c>
      <c r="AA450" s="308">
        <v>7.6722000000000001</v>
      </c>
      <c r="AB450" s="308">
        <v>9.1956000000000007</v>
      </c>
      <c r="AC450" s="308">
        <v>0</v>
      </c>
      <c r="AD450" s="308">
        <v>0</v>
      </c>
      <c r="AE450" s="308">
        <v>6.0936000000000003</v>
      </c>
      <c r="AF450" s="308">
        <v>6.306</v>
      </c>
      <c r="AG450" s="308">
        <v>0</v>
      </c>
      <c r="AH450" s="308">
        <v>0</v>
      </c>
      <c r="AI450" s="308">
        <v>4.0426000000000002</v>
      </c>
      <c r="AJ450" s="308">
        <v>0</v>
      </c>
      <c r="AK450" s="308">
        <v>0</v>
      </c>
      <c r="AL450" s="308">
        <v>0</v>
      </c>
      <c r="AM450" s="308">
        <v>10.314500000000001</v>
      </c>
      <c r="AN450" s="308">
        <v>0</v>
      </c>
      <c r="AO450" s="308">
        <v>8.1174999999999997</v>
      </c>
      <c r="AP450" s="308">
        <v>5.8128000000000002</v>
      </c>
      <c r="AQ450" s="308">
        <v>0</v>
      </c>
      <c r="AR450" s="308">
        <v>7.5997000000000003</v>
      </c>
      <c r="AS450" s="308">
        <v>0</v>
      </c>
      <c r="AT450" s="308">
        <v>6.4741999999999997</v>
      </c>
      <c r="AU450" s="308">
        <v>7.7731000000000003</v>
      </c>
      <c r="AV450" s="308">
        <v>0</v>
      </c>
      <c r="AW450" s="308">
        <v>0</v>
      </c>
      <c r="AX450" s="308">
        <v>0</v>
      </c>
      <c r="AY450" s="308">
        <v>7.6981999999999999</v>
      </c>
      <c r="AZ450" s="308">
        <v>0</v>
      </c>
      <c r="BA450" s="308">
        <v>0</v>
      </c>
      <c r="BB450" s="308">
        <v>0</v>
      </c>
      <c r="BC450" s="308">
        <v>5.4382999999999999</v>
      </c>
      <c r="BD450" s="308">
        <v>4.6830999999999996</v>
      </c>
      <c r="BE450" s="308">
        <v>8.0530000000000008</v>
      </c>
      <c r="BF450" s="308">
        <v>8.0556000000000001</v>
      </c>
      <c r="BG450" s="308">
        <v>6.0004999999999997</v>
      </c>
      <c r="BH450" s="308">
        <v>8.7477999999999998</v>
      </c>
      <c r="BI450" s="308">
        <v>9.1155000000000008</v>
      </c>
      <c r="BJ450" s="308">
        <v>9.0815000000000001</v>
      </c>
      <c r="BK450" s="308">
        <v>5.7366000000000001</v>
      </c>
    </row>
    <row r="451" spans="1:63" x14ac:dyDescent="0.25">
      <c r="A451" s="306">
        <v>311225</v>
      </c>
      <c r="B451" s="308" t="s">
        <v>30</v>
      </c>
      <c r="C451" s="308">
        <v>10.625400000000001</v>
      </c>
      <c r="D451" s="308">
        <v>0</v>
      </c>
      <c r="E451" s="308">
        <v>7.1989999999999998</v>
      </c>
      <c r="F451" s="308">
        <v>10.711499999999999</v>
      </c>
      <c r="G451" s="308">
        <v>3.9706000000000001</v>
      </c>
      <c r="H451" s="308">
        <v>4.7308000000000003</v>
      </c>
      <c r="I451" s="308">
        <v>5.8525</v>
      </c>
      <c r="J451" s="308">
        <v>3.8252000000000002</v>
      </c>
      <c r="K451" s="308">
        <v>0</v>
      </c>
      <c r="L451" s="308">
        <v>3.0888</v>
      </c>
      <c r="M451" s="308">
        <v>5.0403000000000002</v>
      </c>
      <c r="N451" s="308">
        <v>7.0492999999999997</v>
      </c>
      <c r="O451" s="308">
        <v>0</v>
      </c>
      <c r="P451" s="308">
        <v>7.9844999999999997</v>
      </c>
      <c r="Q451" s="308">
        <v>0</v>
      </c>
      <c r="R451" s="308">
        <v>8.0039999999999996</v>
      </c>
      <c r="S451" s="308">
        <v>8.7668999999999997</v>
      </c>
      <c r="T451" s="308">
        <v>7.4240000000000004</v>
      </c>
      <c r="U451" s="308">
        <v>11.082599999999999</v>
      </c>
      <c r="V451" s="308">
        <v>6.8518999999999997</v>
      </c>
      <c r="W451" s="308">
        <v>3.851</v>
      </c>
      <c r="X451" s="308">
        <v>3.3180999999999998</v>
      </c>
      <c r="Y451" s="308">
        <v>0</v>
      </c>
      <c r="Z451" s="308">
        <v>7.2872000000000003</v>
      </c>
      <c r="AA451" s="308">
        <v>8.4969000000000001</v>
      </c>
      <c r="AB451" s="308">
        <v>9.8978000000000002</v>
      </c>
      <c r="AC451" s="308">
        <v>0</v>
      </c>
      <c r="AD451" s="308">
        <v>8.2468000000000004</v>
      </c>
      <c r="AE451" s="308">
        <v>0</v>
      </c>
      <c r="AF451" s="308">
        <v>6.8728999999999996</v>
      </c>
      <c r="AG451" s="308">
        <v>6.8802000000000003</v>
      </c>
      <c r="AH451" s="308">
        <v>0</v>
      </c>
      <c r="AI451" s="308">
        <v>3.6364999999999998</v>
      </c>
      <c r="AJ451" s="308">
        <v>0</v>
      </c>
      <c r="AK451" s="308">
        <v>0</v>
      </c>
      <c r="AL451" s="308">
        <v>4.1646999999999998</v>
      </c>
      <c r="AM451" s="308">
        <v>8.1913</v>
      </c>
      <c r="AN451" s="308">
        <v>8.6547000000000001</v>
      </c>
      <c r="AO451" s="308">
        <v>6.5358999999999998</v>
      </c>
      <c r="AP451" s="308">
        <v>5.1859999999999999</v>
      </c>
      <c r="AQ451" s="308">
        <v>0</v>
      </c>
      <c r="AR451" s="308">
        <v>5.72</v>
      </c>
      <c r="AS451" s="308">
        <v>6.5701000000000001</v>
      </c>
      <c r="AT451" s="308">
        <v>6.5819999999999999</v>
      </c>
      <c r="AU451" s="308">
        <v>5.6970000000000001</v>
      </c>
      <c r="AV451" s="308">
        <v>0</v>
      </c>
      <c r="AW451" s="308">
        <v>5.4097</v>
      </c>
      <c r="AX451" s="308">
        <v>0</v>
      </c>
      <c r="AY451" s="308">
        <v>6.5753000000000004</v>
      </c>
      <c r="AZ451" s="308">
        <v>0</v>
      </c>
      <c r="BA451" s="308">
        <v>0</v>
      </c>
      <c r="BB451" s="308">
        <v>0</v>
      </c>
      <c r="BC451" s="308">
        <v>4.1216999999999997</v>
      </c>
      <c r="BD451" s="308">
        <v>4.3752000000000004</v>
      </c>
      <c r="BE451" s="308">
        <v>9.1953999999999994</v>
      </c>
      <c r="BF451" s="308">
        <v>9.2309000000000001</v>
      </c>
      <c r="BG451" s="308">
        <v>5.5422000000000002</v>
      </c>
      <c r="BH451" s="308">
        <v>9.6527999999999992</v>
      </c>
      <c r="BI451" s="308">
        <v>8.2098999999999993</v>
      </c>
      <c r="BJ451" s="308">
        <v>5.1078999999999999</v>
      </c>
      <c r="BK451" s="308">
        <v>5.0921000000000003</v>
      </c>
    </row>
    <row r="452" spans="1:63" x14ac:dyDescent="0.25">
      <c r="A452" s="306" t="s">
        <v>704</v>
      </c>
      <c r="B452" s="308" t="s">
        <v>29</v>
      </c>
      <c r="C452" s="308">
        <v>11.236000000000001</v>
      </c>
      <c r="D452" s="308">
        <v>0</v>
      </c>
      <c r="E452" s="308">
        <v>6.0864000000000003</v>
      </c>
      <c r="F452" s="308">
        <v>10.7661</v>
      </c>
      <c r="G452" s="308">
        <v>5.4847000000000001</v>
      </c>
      <c r="H452" s="308">
        <v>4.5919999999999996</v>
      </c>
      <c r="I452" s="308">
        <v>9.5551999999999992</v>
      </c>
      <c r="J452" s="308">
        <v>0</v>
      </c>
      <c r="K452" s="308">
        <v>0</v>
      </c>
      <c r="L452" s="308">
        <v>0</v>
      </c>
      <c r="M452" s="308">
        <v>0</v>
      </c>
      <c r="N452" s="308">
        <v>5.6715999999999998</v>
      </c>
      <c r="O452" s="308">
        <v>5.3330000000000002</v>
      </c>
      <c r="P452" s="308">
        <v>8.1461000000000006</v>
      </c>
      <c r="Q452" s="308">
        <v>8.8488000000000007</v>
      </c>
      <c r="R452" s="308">
        <v>7.9391999999999996</v>
      </c>
      <c r="S452" s="308">
        <v>8.8620000000000001</v>
      </c>
      <c r="T452" s="308">
        <v>8.9154999999999998</v>
      </c>
      <c r="U452" s="308">
        <v>12.7342</v>
      </c>
      <c r="V452" s="308">
        <v>10.0983</v>
      </c>
      <c r="W452" s="308">
        <v>3.3544999999999998</v>
      </c>
      <c r="X452" s="308">
        <v>0</v>
      </c>
      <c r="Y452" s="308">
        <v>0</v>
      </c>
      <c r="Z452" s="308">
        <v>7.6349</v>
      </c>
      <c r="AA452" s="308">
        <v>8.4542000000000002</v>
      </c>
      <c r="AB452" s="308">
        <v>11.488799999999999</v>
      </c>
      <c r="AC452" s="308">
        <v>12.8858</v>
      </c>
      <c r="AD452" s="308">
        <v>13.027900000000001</v>
      </c>
      <c r="AE452" s="308">
        <v>6.2516999999999996</v>
      </c>
      <c r="AF452" s="308">
        <v>7.2584999999999997</v>
      </c>
      <c r="AG452" s="308">
        <v>7.4481000000000002</v>
      </c>
      <c r="AH452" s="308">
        <v>0</v>
      </c>
      <c r="AI452" s="308">
        <v>0</v>
      </c>
      <c r="AJ452" s="308">
        <v>0</v>
      </c>
      <c r="AK452" s="308">
        <v>4.7573999999999996</v>
      </c>
      <c r="AL452" s="308">
        <v>4.508</v>
      </c>
      <c r="AM452" s="308">
        <v>12.4039</v>
      </c>
      <c r="AN452" s="308">
        <v>10.077299999999999</v>
      </c>
      <c r="AO452" s="308">
        <v>0</v>
      </c>
      <c r="AP452" s="308">
        <v>6.4359999999999999</v>
      </c>
      <c r="AQ452" s="308">
        <v>0</v>
      </c>
      <c r="AR452" s="308">
        <v>7.0079000000000002</v>
      </c>
      <c r="AS452" s="308">
        <v>6.8369</v>
      </c>
      <c r="AT452" s="308">
        <v>6.4207000000000001</v>
      </c>
      <c r="AU452" s="308">
        <v>7.4103000000000003</v>
      </c>
      <c r="AV452" s="308">
        <v>6.0362</v>
      </c>
      <c r="AW452" s="308">
        <v>0</v>
      </c>
      <c r="AX452" s="308">
        <v>4.9158999999999997</v>
      </c>
      <c r="AY452" s="308">
        <v>8.6109000000000009</v>
      </c>
      <c r="AZ452" s="308">
        <v>11.0284</v>
      </c>
      <c r="BA452" s="308">
        <v>0</v>
      </c>
      <c r="BB452" s="308">
        <v>0</v>
      </c>
      <c r="BC452" s="308">
        <v>3.6737000000000002</v>
      </c>
      <c r="BD452" s="308">
        <v>5.4598000000000004</v>
      </c>
      <c r="BE452" s="308">
        <v>9.0178999999999991</v>
      </c>
      <c r="BF452" s="308">
        <v>9.3856000000000002</v>
      </c>
      <c r="BG452" s="308">
        <v>5.4024000000000001</v>
      </c>
      <c r="BH452" s="308">
        <v>10.282400000000001</v>
      </c>
      <c r="BI452" s="308">
        <v>10.021800000000001</v>
      </c>
      <c r="BJ452" s="308">
        <v>9.2692999999999994</v>
      </c>
      <c r="BK452" s="308">
        <v>5.4379</v>
      </c>
    </row>
    <row r="453" spans="1:63" x14ac:dyDescent="0.25">
      <c r="A453" s="306">
        <v>311230</v>
      </c>
      <c r="B453" s="308" t="s">
        <v>31</v>
      </c>
      <c r="C453" s="308">
        <v>6.5845000000000002</v>
      </c>
      <c r="D453" s="308">
        <v>0</v>
      </c>
      <c r="E453" s="308">
        <v>0</v>
      </c>
      <c r="F453" s="308">
        <v>5.4579000000000004</v>
      </c>
      <c r="G453" s="308">
        <v>0</v>
      </c>
      <c r="H453" s="308">
        <v>3.9727000000000001</v>
      </c>
      <c r="I453" s="308">
        <v>5.8654000000000002</v>
      </c>
      <c r="J453" s="308">
        <v>2.8035999999999999</v>
      </c>
      <c r="K453" s="308">
        <v>0</v>
      </c>
      <c r="L453" s="308">
        <v>0</v>
      </c>
      <c r="M453" s="308">
        <v>0</v>
      </c>
      <c r="N453" s="308">
        <v>4.7142999999999997</v>
      </c>
      <c r="O453" s="308">
        <v>0</v>
      </c>
      <c r="P453" s="308">
        <v>3.9117999999999999</v>
      </c>
      <c r="Q453" s="308">
        <v>0</v>
      </c>
      <c r="R453" s="308">
        <v>4.5778999999999996</v>
      </c>
      <c r="S453" s="308">
        <v>0</v>
      </c>
      <c r="T453" s="308">
        <v>5.4848999999999997</v>
      </c>
      <c r="U453" s="308">
        <v>0</v>
      </c>
      <c r="V453" s="308">
        <v>0</v>
      </c>
      <c r="W453" s="308">
        <v>4.0450999999999997</v>
      </c>
      <c r="X453" s="308">
        <v>4.7375999999999996</v>
      </c>
      <c r="Y453" s="308">
        <v>0</v>
      </c>
      <c r="Z453" s="308">
        <v>4.8429000000000002</v>
      </c>
      <c r="AA453" s="308">
        <v>5.1524000000000001</v>
      </c>
      <c r="AB453" s="308">
        <v>6.5297999999999998</v>
      </c>
      <c r="AC453" s="308">
        <v>0</v>
      </c>
      <c r="AD453" s="308">
        <v>5.8117999999999999</v>
      </c>
      <c r="AE453" s="308">
        <v>6.2384000000000004</v>
      </c>
      <c r="AF453" s="308">
        <v>0</v>
      </c>
      <c r="AG453" s="308">
        <v>3.8559999999999999</v>
      </c>
      <c r="AH453" s="308">
        <v>0</v>
      </c>
      <c r="AI453" s="308">
        <v>4.1024000000000003</v>
      </c>
      <c r="AJ453" s="308">
        <v>3.1211000000000002</v>
      </c>
      <c r="AK453" s="308">
        <v>3.2618</v>
      </c>
      <c r="AL453" s="308">
        <v>0</v>
      </c>
      <c r="AM453" s="308">
        <v>5.6984000000000004</v>
      </c>
      <c r="AN453" s="308">
        <v>0</v>
      </c>
      <c r="AO453" s="308">
        <v>5.0439999999999996</v>
      </c>
      <c r="AP453" s="308">
        <v>4.4598000000000004</v>
      </c>
      <c r="AQ453" s="308">
        <v>0</v>
      </c>
      <c r="AR453" s="308">
        <v>0</v>
      </c>
      <c r="AS453" s="308">
        <v>0</v>
      </c>
      <c r="AT453" s="308">
        <v>4.2496999999999998</v>
      </c>
      <c r="AU453" s="308">
        <v>4.5090000000000003</v>
      </c>
      <c r="AV453" s="308">
        <v>5.1947000000000001</v>
      </c>
      <c r="AW453" s="308">
        <v>0</v>
      </c>
      <c r="AX453" s="308">
        <v>0</v>
      </c>
      <c r="AY453" s="308">
        <v>5.6254999999999997</v>
      </c>
      <c r="AZ453" s="308">
        <v>6.3525999999999998</v>
      </c>
      <c r="BA453" s="308">
        <v>0</v>
      </c>
      <c r="BB453" s="308">
        <v>2.875</v>
      </c>
      <c r="BC453" s="308">
        <v>4.0918000000000001</v>
      </c>
      <c r="BD453" s="308">
        <v>4.0975000000000001</v>
      </c>
      <c r="BE453" s="308">
        <v>5.5063000000000004</v>
      </c>
      <c r="BF453" s="308">
        <v>5.1630000000000003</v>
      </c>
      <c r="BG453" s="308">
        <v>4.5541999999999998</v>
      </c>
      <c r="BH453" s="308">
        <v>4.9385000000000003</v>
      </c>
      <c r="BI453" s="308">
        <v>5.4801000000000002</v>
      </c>
      <c r="BJ453" s="308">
        <v>4.6356999999999999</v>
      </c>
      <c r="BK453" s="308">
        <v>4.4142000000000001</v>
      </c>
    </row>
    <row r="454" spans="1:63" x14ac:dyDescent="0.25">
      <c r="A454" s="306">
        <v>311313</v>
      </c>
      <c r="B454" s="308" t="s">
        <v>33</v>
      </c>
      <c r="C454" s="308">
        <v>11.6424</v>
      </c>
      <c r="D454" s="308">
        <v>0</v>
      </c>
      <c r="E454" s="308">
        <v>0</v>
      </c>
      <c r="F454" s="308">
        <v>0</v>
      </c>
      <c r="G454" s="308">
        <v>0</v>
      </c>
      <c r="H454" s="308">
        <v>8.4555000000000007</v>
      </c>
      <c r="I454" s="308">
        <v>9.8168000000000006</v>
      </c>
      <c r="J454" s="308">
        <v>0</v>
      </c>
      <c r="K454" s="308">
        <v>0</v>
      </c>
      <c r="L454" s="308">
        <v>0</v>
      </c>
      <c r="M454" s="308">
        <v>0</v>
      </c>
      <c r="N454" s="308">
        <v>0</v>
      </c>
      <c r="O454" s="308">
        <v>0</v>
      </c>
      <c r="P454" s="308">
        <v>0</v>
      </c>
      <c r="Q454" s="308">
        <v>8.0416000000000007</v>
      </c>
      <c r="R454" s="308">
        <v>0</v>
      </c>
      <c r="S454" s="308">
        <v>0</v>
      </c>
      <c r="T454" s="308">
        <v>0</v>
      </c>
      <c r="U454" s="308">
        <v>9.5042000000000009</v>
      </c>
      <c r="V454" s="308">
        <v>11.302099999999999</v>
      </c>
      <c r="W454" s="308">
        <v>0</v>
      </c>
      <c r="X454" s="308">
        <v>0</v>
      </c>
      <c r="Y454" s="308">
        <v>0</v>
      </c>
      <c r="Z454" s="308">
        <v>9.1638000000000002</v>
      </c>
      <c r="AA454" s="308">
        <v>7.8613999999999997</v>
      </c>
      <c r="AB454" s="308">
        <v>0</v>
      </c>
      <c r="AC454" s="308">
        <v>0</v>
      </c>
      <c r="AD454" s="308">
        <v>11.2509</v>
      </c>
      <c r="AE454" s="308">
        <v>0</v>
      </c>
      <c r="AF454" s="308">
        <v>6.3762999999999996</v>
      </c>
      <c r="AG454" s="308">
        <v>7.4771000000000001</v>
      </c>
      <c r="AH454" s="308">
        <v>0</v>
      </c>
      <c r="AI454" s="308">
        <v>4.5138999999999996</v>
      </c>
      <c r="AJ454" s="308">
        <v>0</v>
      </c>
      <c r="AK454" s="308">
        <v>0</v>
      </c>
      <c r="AL454" s="308">
        <v>5.9368999999999996</v>
      </c>
      <c r="AM454" s="308">
        <v>7.4512</v>
      </c>
      <c r="AN454" s="308">
        <v>0</v>
      </c>
      <c r="AO454" s="308">
        <v>11.713900000000001</v>
      </c>
      <c r="AP454" s="308">
        <v>0</v>
      </c>
      <c r="AQ454" s="308">
        <v>0</v>
      </c>
      <c r="AR454" s="308">
        <v>0</v>
      </c>
      <c r="AS454" s="308">
        <v>6.5682</v>
      </c>
      <c r="AT454" s="308">
        <v>0</v>
      </c>
      <c r="AU454" s="308">
        <v>0</v>
      </c>
      <c r="AV454" s="308">
        <v>0</v>
      </c>
      <c r="AW454" s="308">
        <v>0</v>
      </c>
      <c r="AX454" s="308">
        <v>0</v>
      </c>
      <c r="AY454" s="308">
        <v>0</v>
      </c>
      <c r="AZ454" s="308">
        <v>0</v>
      </c>
      <c r="BA454" s="308">
        <v>0</v>
      </c>
      <c r="BB454" s="308">
        <v>8.6030999999999995</v>
      </c>
      <c r="BC454" s="308">
        <v>0</v>
      </c>
      <c r="BD454" s="308">
        <v>6.0808</v>
      </c>
      <c r="BE454" s="308">
        <v>7.5572999999999997</v>
      </c>
      <c r="BF454" s="308">
        <v>8.6128999999999998</v>
      </c>
      <c r="BG454" s="308">
        <v>0</v>
      </c>
      <c r="BH454" s="308">
        <v>9.1280000000000001</v>
      </c>
      <c r="BI454" s="308">
        <v>11.640599999999999</v>
      </c>
      <c r="BJ454" s="308">
        <v>10.2598</v>
      </c>
      <c r="BK454" s="308">
        <v>9.2744999999999997</v>
      </c>
    </row>
    <row r="455" spans="1:63" x14ac:dyDescent="0.25">
      <c r="A455" s="306" t="s">
        <v>705</v>
      </c>
      <c r="B455" s="308" t="s">
        <v>32</v>
      </c>
      <c r="C455" s="308">
        <v>10.3446</v>
      </c>
      <c r="D455" s="308">
        <v>0</v>
      </c>
      <c r="E455" s="308">
        <v>9.2943999999999996</v>
      </c>
      <c r="F455" s="308">
        <v>0</v>
      </c>
      <c r="G455" s="308">
        <v>0</v>
      </c>
      <c r="H455" s="308">
        <v>6.4843999999999999</v>
      </c>
      <c r="I455" s="308">
        <v>0</v>
      </c>
      <c r="J455" s="308">
        <v>0</v>
      </c>
      <c r="K455" s="308">
        <v>0</v>
      </c>
      <c r="L455" s="308">
        <v>0</v>
      </c>
      <c r="M455" s="308">
        <v>7.1490999999999998</v>
      </c>
      <c r="N455" s="308">
        <v>8.0421999999999993</v>
      </c>
      <c r="O455" s="308">
        <v>8.7409999999999997</v>
      </c>
      <c r="P455" s="308">
        <v>0</v>
      </c>
      <c r="Q455" s="308">
        <v>0</v>
      </c>
      <c r="R455" s="308">
        <v>4.3958000000000004</v>
      </c>
      <c r="S455" s="308">
        <v>0</v>
      </c>
      <c r="T455" s="308">
        <v>0</v>
      </c>
      <c r="U455" s="308">
        <v>0</v>
      </c>
      <c r="V455" s="308">
        <v>8.6971000000000007</v>
      </c>
      <c r="W455" s="308">
        <v>0</v>
      </c>
      <c r="X455" s="308">
        <v>4.2252999999999998</v>
      </c>
      <c r="Y455" s="308">
        <v>0</v>
      </c>
      <c r="Z455" s="308">
        <v>8.4121000000000006</v>
      </c>
      <c r="AA455" s="308">
        <v>0</v>
      </c>
      <c r="AB455" s="308">
        <v>0</v>
      </c>
      <c r="AC455" s="308">
        <v>0</v>
      </c>
      <c r="AD455" s="308">
        <v>0</v>
      </c>
      <c r="AE455" s="308">
        <v>0</v>
      </c>
      <c r="AF455" s="308">
        <v>0</v>
      </c>
      <c r="AG455" s="308">
        <v>7.4253</v>
      </c>
      <c r="AH455" s="308">
        <v>6.4593999999999996</v>
      </c>
      <c r="AI455" s="308">
        <v>0</v>
      </c>
      <c r="AJ455" s="308">
        <v>0</v>
      </c>
      <c r="AK455" s="308">
        <v>0</v>
      </c>
      <c r="AL455" s="308">
        <v>3.7732999999999999</v>
      </c>
      <c r="AM455" s="308">
        <v>7.3674999999999997</v>
      </c>
      <c r="AN455" s="308">
        <v>0</v>
      </c>
      <c r="AO455" s="308">
        <v>0</v>
      </c>
      <c r="AP455" s="308">
        <v>0</v>
      </c>
      <c r="AQ455" s="308">
        <v>0</v>
      </c>
      <c r="AR455" s="308">
        <v>0</v>
      </c>
      <c r="AS455" s="308">
        <v>0</v>
      </c>
      <c r="AT455" s="308">
        <v>4.8522999999999996</v>
      </c>
      <c r="AU455" s="308">
        <v>7.3613999999999997</v>
      </c>
      <c r="AV455" s="308">
        <v>0</v>
      </c>
      <c r="AW455" s="308">
        <v>0</v>
      </c>
      <c r="AX455" s="308">
        <v>0</v>
      </c>
      <c r="AY455" s="308">
        <v>0</v>
      </c>
      <c r="AZ455" s="308">
        <v>0</v>
      </c>
      <c r="BA455" s="308">
        <v>0</v>
      </c>
      <c r="BB455" s="308">
        <v>0</v>
      </c>
      <c r="BC455" s="308">
        <v>5.4013999999999998</v>
      </c>
      <c r="BD455" s="308">
        <v>4.3167999999999997</v>
      </c>
      <c r="BE455" s="308">
        <v>7.0519999999999996</v>
      </c>
      <c r="BF455" s="308">
        <v>8.6813000000000002</v>
      </c>
      <c r="BG455" s="308">
        <v>7.5403000000000002</v>
      </c>
      <c r="BH455" s="308">
        <v>6.6676000000000002</v>
      </c>
      <c r="BI455" s="308">
        <v>8.6159999999999997</v>
      </c>
      <c r="BJ455" s="308">
        <v>0</v>
      </c>
      <c r="BK455" s="308">
        <v>7.4737999999999998</v>
      </c>
    </row>
    <row r="456" spans="1:63" x14ac:dyDescent="0.25">
      <c r="A456" s="306">
        <v>311320</v>
      </c>
      <c r="B456" s="308" t="s">
        <v>34</v>
      </c>
      <c r="C456" s="308">
        <v>9.4940999999999995</v>
      </c>
      <c r="D456" s="308">
        <v>0</v>
      </c>
      <c r="E456" s="308">
        <v>0</v>
      </c>
      <c r="F456" s="308">
        <v>5.6894</v>
      </c>
      <c r="G456" s="308">
        <v>0</v>
      </c>
      <c r="H456" s="308">
        <v>6.8048999999999999</v>
      </c>
      <c r="I456" s="308">
        <v>8.2080000000000002</v>
      </c>
      <c r="J456" s="308">
        <v>5.8357999999999999</v>
      </c>
      <c r="K456" s="308">
        <v>0</v>
      </c>
      <c r="L456" s="308">
        <v>0</v>
      </c>
      <c r="M456" s="308">
        <v>9.5264000000000006</v>
      </c>
      <c r="N456" s="308">
        <v>10.513400000000001</v>
      </c>
      <c r="O456" s="308">
        <v>0</v>
      </c>
      <c r="P456" s="308">
        <v>0</v>
      </c>
      <c r="Q456" s="308">
        <v>0</v>
      </c>
      <c r="R456" s="308">
        <v>5.7988999999999997</v>
      </c>
      <c r="S456" s="308">
        <v>0</v>
      </c>
      <c r="T456" s="308">
        <v>0</v>
      </c>
      <c r="U456" s="308">
        <v>0</v>
      </c>
      <c r="V456" s="308">
        <v>0</v>
      </c>
      <c r="W456" s="308">
        <v>5.9847999999999999</v>
      </c>
      <c r="X456" s="308">
        <v>6.9661999999999997</v>
      </c>
      <c r="Y456" s="308">
        <v>0</v>
      </c>
      <c r="Z456" s="308">
        <v>10.4581</v>
      </c>
      <c r="AA456" s="308">
        <v>9.7225999999999999</v>
      </c>
      <c r="AB456" s="308">
        <v>6.7788000000000004</v>
      </c>
      <c r="AC456" s="308">
        <v>0</v>
      </c>
      <c r="AD456" s="308">
        <v>0</v>
      </c>
      <c r="AE456" s="308">
        <v>0</v>
      </c>
      <c r="AF456" s="308">
        <v>0</v>
      </c>
      <c r="AG456" s="308">
        <v>0</v>
      </c>
      <c r="AH456" s="308">
        <v>5.2081</v>
      </c>
      <c r="AI456" s="308">
        <v>5.2276999999999996</v>
      </c>
      <c r="AJ456" s="308">
        <v>5.0414000000000003</v>
      </c>
      <c r="AK456" s="308">
        <v>4.7092000000000001</v>
      </c>
      <c r="AL456" s="308">
        <v>6.0186999999999999</v>
      </c>
      <c r="AM456" s="308">
        <v>10.2936</v>
      </c>
      <c r="AN456" s="308">
        <v>6.3935000000000004</v>
      </c>
      <c r="AO456" s="308">
        <v>10.9069</v>
      </c>
      <c r="AP456" s="308">
        <v>6.1509</v>
      </c>
      <c r="AQ456" s="308">
        <v>0</v>
      </c>
      <c r="AR456" s="308">
        <v>0</v>
      </c>
      <c r="AS456" s="308">
        <v>0</v>
      </c>
      <c r="AT456" s="308">
        <v>7.4280999999999997</v>
      </c>
      <c r="AU456" s="308">
        <v>10.1568</v>
      </c>
      <c r="AV456" s="308">
        <v>10.679399999999999</v>
      </c>
      <c r="AW456" s="308">
        <v>0</v>
      </c>
      <c r="AX456" s="308">
        <v>0</v>
      </c>
      <c r="AY456" s="308">
        <v>8.3741000000000003</v>
      </c>
      <c r="AZ456" s="308">
        <v>7.1342999999999996</v>
      </c>
      <c r="BA456" s="308">
        <v>0</v>
      </c>
      <c r="BB456" s="308">
        <v>0</v>
      </c>
      <c r="BC456" s="308">
        <v>5.9732000000000003</v>
      </c>
      <c r="BD456" s="308">
        <v>5.7874999999999996</v>
      </c>
      <c r="BE456" s="308">
        <v>7.2683999999999997</v>
      </c>
      <c r="BF456" s="308">
        <v>7.8036000000000003</v>
      </c>
      <c r="BG456" s="308">
        <v>10.4817</v>
      </c>
      <c r="BH456" s="308">
        <v>8.2712000000000003</v>
      </c>
      <c r="BI456" s="308">
        <v>8.2781000000000002</v>
      </c>
      <c r="BJ456" s="308">
        <v>7.5944000000000003</v>
      </c>
      <c r="BK456" s="308">
        <v>7.2122000000000002</v>
      </c>
    </row>
    <row r="457" spans="1:63" x14ac:dyDescent="0.25">
      <c r="A457" s="306">
        <v>311330</v>
      </c>
      <c r="B457" s="308" t="s">
        <v>35</v>
      </c>
      <c r="C457" s="308">
        <v>9.6653000000000002</v>
      </c>
      <c r="D457" s="308">
        <v>9.4338999999999995</v>
      </c>
      <c r="E457" s="308">
        <v>12.999700000000001</v>
      </c>
      <c r="F457" s="308">
        <v>10.777100000000001</v>
      </c>
      <c r="G457" s="308">
        <v>9.9825999999999997</v>
      </c>
      <c r="H457" s="308">
        <v>6.9656000000000002</v>
      </c>
      <c r="I457" s="308">
        <v>8.2134999999999998</v>
      </c>
      <c r="J457" s="308">
        <v>6.2183000000000002</v>
      </c>
      <c r="K457" s="308">
        <v>0.81030000000000002</v>
      </c>
      <c r="L457" s="308">
        <v>5.2416999999999998</v>
      </c>
      <c r="M457" s="308">
        <v>11.080299999999999</v>
      </c>
      <c r="N457" s="308">
        <v>7.1304999999999996</v>
      </c>
      <c r="O457" s="308">
        <v>7.3137999999999996</v>
      </c>
      <c r="P457" s="308">
        <v>7.7903000000000002</v>
      </c>
      <c r="Q457" s="308">
        <v>9.7396999999999991</v>
      </c>
      <c r="R457" s="308">
        <v>6.2744999999999997</v>
      </c>
      <c r="S457" s="308">
        <v>8.6692999999999998</v>
      </c>
      <c r="T457" s="308">
        <v>6.5103999999999997</v>
      </c>
      <c r="U457" s="308">
        <v>11.481199999999999</v>
      </c>
      <c r="V457" s="308">
        <v>7.6</v>
      </c>
      <c r="W457" s="308">
        <v>7.9063999999999997</v>
      </c>
      <c r="X457" s="308">
        <v>7.4782999999999999</v>
      </c>
      <c r="Y457" s="308">
        <v>11.6355</v>
      </c>
      <c r="Z457" s="308">
        <v>7.5713999999999997</v>
      </c>
      <c r="AA457" s="308">
        <v>7.2347000000000001</v>
      </c>
      <c r="AB457" s="308">
        <v>9.5434999999999999</v>
      </c>
      <c r="AC457" s="308">
        <v>5.9333999999999998</v>
      </c>
      <c r="AD457" s="308">
        <v>9.8583999999999996</v>
      </c>
      <c r="AE457" s="308">
        <v>8.1042000000000005</v>
      </c>
      <c r="AF457" s="308">
        <v>10.365500000000001</v>
      </c>
      <c r="AG457" s="308">
        <v>10.4306</v>
      </c>
      <c r="AH457" s="308">
        <v>10.0558</v>
      </c>
      <c r="AI457" s="308">
        <v>5.0956000000000001</v>
      </c>
      <c r="AJ457" s="308">
        <v>10.763999999999999</v>
      </c>
      <c r="AK457" s="308">
        <v>5.8503999999999996</v>
      </c>
      <c r="AL457" s="308">
        <v>6.2770999999999999</v>
      </c>
      <c r="AM457" s="308">
        <v>9.7011000000000003</v>
      </c>
      <c r="AN457" s="308">
        <v>0</v>
      </c>
      <c r="AO457" s="308">
        <v>9.7578999999999994</v>
      </c>
      <c r="AP457" s="308">
        <v>7.0391000000000004</v>
      </c>
      <c r="AQ457" s="308">
        <v>11.6515</v>
      </c>
      <c r="AR457" s="308">
        <v>11.0213</v>
      </c>
      <c r="AS457" s="308">
        <v>4.6478999999999999</v>
      </c>
      <c r="AT457" s="308">
        <v>5.9928999999999997</v>
      </c>
      <c r="AU457" s="308">
        <v>6.8986999999999998</v>
      </c>
      <c r="AV457" s="308">
        <v>11.8987</v>
      </c>
      <c r="AW457" s="308">
        <v>5.4661</v>
      </c>
      <c r="AX457" s="308">
        <v>6.3247999999999998</v>
      </c>
      <c r="AY457" s="308">
        <v>8.0427</v>
      </c>
      <c r="AZ457" s="308">
        <v>8.1918000000000006</v>
      </c>
      <c r="BA457" s="308">
        <v>8.3348999999999993</v>
      </c>
      <c r="BB457" s="308">
        <v>9.7986000000000004</v>
      </c>
      <c r="BC457" s="308">
        <v>8.4033999999999995</v>
      </c>
      <c r="BD457" s="308">
        <v>6.7393999999999998</v>
      </c>
      <c r="BE457" s="308">
        <v>8.0187000000000008</v>
      </c>
      <c r="BF457" s="308">
        <v>8.2352000000000007</v>
      </c>
      <c r="BG457" s="308">
        <v>7.9420999999999999</v>
      </c>
      <c r="BH457" s="308">
        <v>6.7130000000000001</v>
      </c>
      <c r="BI457" s="308">
        <v>7.3604000000000003</v>
      </c>
      <c r="BJ457" s="308">
        <v>8.9174000000000007</v>
      </c>
      <c r="BK457" s="308">
        <v>7.6940999999999997</v>
      </c>
    </row>
    <row r="458" spans="1:63" x14ac:dyDescent="0.25">
      <c r="A458" s="306">
        <v>311340</v>
      </c>
      <c r="B458" s="308" t="s">
        <v>36</v>
      </c>
      <c r="C458" s="308">
        <v>9.8698999999999995</v>
      </c>
      <c r="D458" s="308">
        <v>4.1357999999999997</v>
      </c>
      <c r="E458" s="308">
        <v>13.119400000000001</v>
      </c>
      <c r="F458" s="308">
        <v>10.733700000000001</v>
      </c>
      <c r="G458" s="308">
        <v>4.8188000000000004</v>
      </c>
      <c r="H458" s="308">
        <v>6.5787000000000004</v>
      </c>
      <c r="I458" s="308">
        <v>8.7704000000000004</v>
      </c>
      <c r="J458" s="308">
        <v>6.2346000000000004</v>
      </c>
      <c r="K458" s="308">
        <v>0</v>
      </c>
      <c r="L458" s="308">
        <v>8.1923999999999992</v>
      </c>
      <c r="M458" s="308">
        <v>9.3179999999999996</v>
      </c>
      <c r="N458" s="308">
        <v>7.3657000000000004</v>
      </c>
      <c r="O458" s="308">
        <v>12.2498</v>
      </c>
      <c r="P458" s="308">
        <v>7.5936000000000003</v>
      </c>
      <c r="Q458" s="308">
        <v>5.7515999999999998</v>
      </c>
      <c r="R458" s="308">
        <v>6.4302000000000001</v>
      </c>
      <c r="S458" s="308">
        <v>7.9291999999999998</v>
      </c>
      <c r="T458" s="308">
        <v>6.1284000000000001</v>
      </c>
      <c r="U458" s="308">
        <v>6.5658000000000003</v>
      </c>
      <c r="V458" s="308">
        <v>11.132899999999999</v>
      </c>
      <c r="W458" s="308">
        <v>6.6067</v>
      </c>
      <c r="X458" s="308">
        <v>6.2583000000000002</v>
      </c>
      <c r="Y458" s="308">
        <v>12.7128</v>
      </c>
      <c r="Z458" s="308">
        <v>12.319900000000001</v>
      </c>
      <c r="AA458" s="308">
        <v>7.2988</v>
      </c>
      <c r="AB458" s="308">
        <v>8.7594999999999992</v>
      </c>
      <c r="AC458" s="308">
        <v>6.6806999999999999</v>
      </c>
      <c r="AD458" s="308">
        <v>10.3188</v>
      </c>
      <c r="AE458" s="308">
        <v>7.4580000000000002</v>
      </c>
      <c r="AF458" s="308">
        <v>0</v>
      </c>
      <c r="AG458" s="308">
        <v>5.8883000000000001</v>
      </c>
      <c r="AH458" s="308">
        <v>5.9339000000000004</v>
      </c>
      <c r="AI458" s="308">
        <v>5.5631000000000004</v>
      </c>
      <c r="AJ458" s="308">
        <v>8.8353000000000002</v>
      </c>
      <c r="AK458" s="308">
        <v>6.7142999999999997</v>
      </c>
      <c r="AL458" s="308">
        <v>6.1848000000000001</v>
      </c>
      <c r="AM458" s="308">
        <v>9.4664999999999999</v>
      </c>
      <c r="AN458" s="308">
        <v>10.681800000000001</v>
      </c>
      <c r="AO458" s="308">
        <v>9.2335999999999991</v>
      </c>
      <c r="AP458" s="308">
        <v>7.0502000000000002</v>
      </c>
      <c r="AQ458" s="308">
        <v>0</v>
      </c>
      <c r="AR458" s="308">
        <v>10.807</v>
      </c>
      <c r="AS458" s="308">
        <v>9.4671000000000003</v>
      </c>
      <c r="AT458" s="308">
        <v>7.1933999999999996</v>
      </c>
      <c r="AU458" s="308">
        <v>8.4419000000000004</v>
      </c>
      <c r="AV458" s="308">
        <v>9.1791999999999998</v>
      </c>
      <c r="AW458" s="308">
        <v>8.0414999999999992</v>
      </c>
      <c r="AX458" s="308">
        <v>5.0987</v>
      </c>
      <c r="AY458" s="308">
        <v>9.2910000000000004</v>
      </c>
      <c r="AZ458" s="308">
        <v>8.4182000000000006</v>
      </c>
      <c r="BA458" s="308">
        <v>5.3430999999999997</v>
      </c>
      <c r="BB458" s="308">
        <v>10.6852</v>
      </c>
      <c r="BC458" s="308">
        <v>7.4779</v>
      </c>
      <c r="BD458" s="308">
        <v>6.7648000000000001</v>
      </c>
      <c r="BE458" s="308">
        <v>7.8182999999999998</v>
      </c>
      <c r="BF458" s="308">
        <v>7.9035000000000002</v>
      </c>
      <c r="BG458" s="308">
        <v>7.9199000000000002</v>
      </c>
      <c r="BH458" s="308">
        <v>8.1919000000000004</v>
      </c>
      <c r="BI458" s="308">
        <v>9.4260999999999999</v>
      </c>
      <c r="BJ458" s="308">
        <v>7.7191999999999998</v>
      </c>
      <c r="BK458" s="308">
        <v>7.1294000000000004</v>
      </c>
    </row>
    <row r="459" spans="1:63" x14ac:dyDescent="0.25">
      <c r="A459" s="306">
        <v>311410</v>
      </c>
      <c r="B459" s="308" t="s">
        <v>37</v>
      </c>
      <c r="C459" s="308">
        <v>11.2265</v>
      </c>
      <c r="D459" s="308">
        <v>0</v>
      </c>
      <c r="E459" s="308">
        <v>0</v>
      </c>
      <c r="F459" s="308">
        <v>8.8958999999999993</v>
      </c>
      <c r="G459" s="308">
        <v>8.2078000000000007</v>
      </c>
      <c r="H459" s="308">
        <v>7.5003000000000002</v>
      </c>
      <c r="I459" s="308">
        <v>9.0206</v>
      </c>
      <c r="J459" s="308">
        <v>4.9191000000000003</v>
      </c>
      <c r="K459" s="308">
        <v>0</v>
      </c>
      <c r="L459" s="308">
        <v>5.7916999999999996</v>
      </c>
      <c r="M459" s="308">
        <v>6.9192999999999998</v>
      </c>
      <c r="N459" s="308">
        <v>8.1409000000000002</v>
      </c>
      <c r="O459" s="308">
        <v>8.6425999999999998</v>
      </c>
      <c r="P459" s="308">
        <v>6.8380999999999998</v>
      </c>
      <c r="Q459" s="308">
        <v>8.0694999999999997</v>
      </c>
      <c r="R459" s="308">
        <v>7.0044000000000004</v>
      </c>
      <c r="S459" s="308">
        <v>8.0105000000000004</v>
      </c>
      <c r="T459" s="308">
        <v>7.7327000000000004</v>
      </c>
      <c r="U459" s="308">
        <v>8.9006000000000007</v>
      </c>
      <c r="V459" s="308">
        <v>9.1097000000000001</v>
      </c>
      <c r="W459" s="308">
        <v>6.1307999999999998</v>
      </c>
      <c r="X459" s="308">
        <v>6.9406999999999996</v>
      </c>
      <c r="Y459" s="308">
        <v>9.8919999999999995</v>
      </c>
      <c r="Z459" s="308">
        <v>8.4097000000000008</v>
      </c>
      <c r="AA459" s="308">
        <v>8.1126000000000005</v>
      </c>
      <c r="AB459" s="308">
        <v>8.4959000000000007</v>
      </c>
      <c r="AC459" s="308">
        <v>9.9042999999999992</v>
      </c>
      <c r="AD459" s="308">
        <v>0</v>
      </c>
      <c r="AE459" s="308">
        <v>8.6692</v>
      </c>
      <c r="AF459" s="308">
        <v>6.4024000000000001</v>
      </c>
      <c r="AG459" s="308">
        <v>7.0038</v>
      </c>
      <c r="AH459" s="308">
        <v>6.8662000000000001</v>
      </c>
      <c r="AI459" s="308">
        <v>6.2576000000000001</v>
      </c>
      <c r="AJ459" s="308">
        <v>8.3596000000000004</v>
      </c>
      <c r="AK459" s="308">
        <v>7.2019000000000002</v>
      </c>
      <c r="AL459" s="308">
        <v>5.0659000000000001</v>
      </c>
      <c r="AM459" s="308">
        <v>8.5638000000000005</v>
      </c>
      <c r="AN459" s="308">
        <v>9.2413000000000007</v>
      </c>
      <c r="AO459" s="308">
        <v>9.7308000000000003</v>
      </c>
      <c r="AP459" s="308">
        <v>8.1464999999999996</v>
      </c>
      <c r="AQ459" s="308">
        <v>5.5416999999999996</v>
      </c>
      <c r="AR459" s="308">
        <v>8.3218999999999994</v>
      </c>
      <c r="AS459" s="308">
        <v>5.702</v>
      </c>
      <c r="AT459" s="308">
        <v>7.2290999999999999</v>
      </c>
      <c r="AU459" s="308">
        <v>9.1591000000000005</v>
      </c>
      <c r="AV459" s="308">
        <v>8.8606999999999996</v>
      </c>
      <c r="AW459" s="308">
        <v>7.4798</v>
      </c>
      <c r="AX459" s="308">
        <v>7.8860000000000001</v>
      </c>
      <c r="AY459" s="308">
        <v>7.8087999999999997</v>
      </c>
      <c r="AZ459" s="308">
        <v>9.7232000000000003</v>
      </c>
      <c r="BA459" s="308">
        <v>5.6574999999999998</v>
      </c>
      <c r="BB459" s="308">
        <v>0</v>
      </c>
      <c r="BC459" s="308">
        <v>7.2824</v>
      </c>
      <c r="BD459" s="308">
        <v>6.7045000000000003</v>
      </c>
      <c r="BE459" s="308">
        <v>8.7550000000000008</v>
      </c>
      <c r="BF459" s="308">
        <v>8.7484999999999999</v>
      </c>
      <c r="BG459" s="308">
        <v>8.3637999999999995</v>
      </c>
      <c r="BH459" s="308">
        <v>8.6463000000000001</v>
      </c>
      <c r="BI459" s="308">
        <v>9.5503999999999998</v>
      </c>
      <c r="BJ459" s="308">
        <v>8.7824000000000009</v>
      </c>
      <c r="BK459" s="308">
        <v>8.0281000000000002</v>
      </c>
    </row>
    <row r="460" spans="1:63" x14ac:dyDescent="0.25">
      <c r="A460" s="306">
        <v>311420</v>
      </c>
      <c r="B460" s="308" t="s">
        <v>38</v>
      </c>
      <c r="C460" s="308">
        <v>9.0873000000000008</v>
      </c>
      <c r="D460" s="308">
        <v>0</v>
      </c>
      <c r="E460" s="308">
        <v>7.0246000000000004</v>
      </c>
      <c r="F460" s="308">
        <v>6.6489000000000003</v>
      </c>
      <c r="G460" s="308">
        <v>6.8710000000000004</v>
      </c>
      <c r="H460" s="308">
        <v>6.5006000000000004</v>
      </c>
      <c r="I460" s="308">
        <v>8.2264999999999997</v>
      </c>
      <c r="J460" s="308">
        <v>4.915</v>
      </c>
      <c r="K460" s="308">
        <v>0</v>
      </c>
      <c r="L460" s="308">
        <v>4.1875999999999998</v>
      </c>
      <c r="M460" s="308">
        <v>6.1451000000000002</v>
      </c>
      <c r="N460" s="308">
        <v>7.4619</v>
      </c>
      <c r="O460" s="308">
        <v>7.3700999999999999</v>
      </c>
      <c r="P460" s="308">
        <v>5.7773000000000003</v>
      </c>
      <c r="Q460" s="308">
        <v>6.5438000000000001</v>
      </c>
      <c r="R460" s="308">
        <v>5.9126000000000003</v>
      </c>
      <c r="S460" s="308">
        <v>6.9922000000000004</v>
      </c>
      <c r="T460" s="308">
        <v>6.12</v>
      </c>
      <c r="U460" s="308">
        <v>6.0050999999999997</v>
      </c>
      <c r="V460" s="308">
        <v>6.7428999999999997</v>
      </c>
      <c r="W460" s="308">
        <v>4.6707000000000001</v>
      </c>
      <c r="X460" s="308">
        <v>4.5601000000000003</v>
      </c>
      <c r="Y460" s="308">
        <v>7.6181999999999999</v>
      </c>
      <c r="Z460" s="308">
        <v>6.7843999999999998</v>
      </c>
      <c r="AA460" s="308">
        <v>6.8982999999999999</v>
      </c>
      <c r="AB460" s="308">
        <v>6.0541999999999998</v>
      </c>
      <c r="AC460" s="308">
        <v>7.9519000000000002</v>
      </c>
      <c r="AD460" s="308">
        <v>6.9142000000000001</v>
      </c>
      <c r="AE460" s="308">
        <v>7.2393000000000001</v>
      </c>
      <c r="AF460" s="308">
        <v>4.9036</v>
      </c>
      <c r="AG460" s="308">
        <v>6.4600999999999997</v>
      </c>
      <c r="AH460" s="308">
        <v>6.3880999999999997</v>
      </c>
      <c r="AI460" s="308">
        <v>5.1715999999999998</v>
      </c>
      <c r="AJ460" s="308">
        <v>7.2662000000000004</v>
      </c>
      <c r="AK460" s="308">
        <v>5.0168999999999997</v>
      </c>
      <c r="AL460" s="308">
        <v>4.7935999999999996</v>
      </c>
      <c r="AM460" s="308">
        <v>6.6971999999999996</v>
      </c>
      <c r="AN460" s="308">
        <v>6.8662000000000001</v>
      </c>
      <c r="AO460" s="308">
        <v>8.1480999999999995</v>
      </c>
      <c r="AP460" s="308">
        <v>6.9253999999999998</v>
      </c>
      <c r="AQ460" s="308">
        <v>6.79</v>
      </c>
      <c r="AR460" s="308">
        <v>8.0226000000000006</v>
      </c>
      <c r="AS460" s="308">
        <v>0</v>
      </c>
      <c r="AT460" s="308">
        <v>5.7850999999999999</v>
      </c>
      <c r="AU460" s="308">
        <v>6.4753999999999996</v>
      </c>
      <c r="AV460" s="308">
        <v>8.6486000000000001</v>
      </c>
      <c r="AW460" s="308">
        <v>6.2072000000000003</v>
      </c>
      <c r="AX460" s="308">
        <v>7.1581999999999999</v>
      </c>
      <c r="AY460" s="308">
        <v>7.1868999999999996</v>
      </c>
      <c r="AZ460" s="308">
        <v>7.7655000000000003</v>
      </c>
      <c r="BA460" s="308">
        <v>6.4551999999999996</v>
      </c>
      <c r="BB460" s="308">
        <v>0</v>
      </c>
      <c r="BC460" s="308">
        <v>5.6432000000000002</v>
      </c>
      <c r="BD460" s="308">
        <v>6.1468999999999996</v>
      </c>
      <c r="BE460" s="308">
        <v>7.3258999999999999</v>
      </c>
      <c r="BF460" s="308">
        <v>6.8848000000000003</v>
      </c>
      <c r="BG460" s="308">
        <v>7.4854000000000003</v>
      </c>
      <c r="BH460" s="308">
        <v>6.6330999999999998</v>
      </c>
      <c r="BI460" s="308">
        <v>7.0387000000000004</v>
      </c>
      <c r="BJ460" s="308">
        <v>7.4599000000000002</v>
      </c>
      <c r="BK460" s="308">
        <v>6.8963000000000001</v>
      </c>
    </row>
    <row r="461" spans="1:63" x14ac:dyDescent="0.25">
      <c r="A461" s="306">
        <v>311513</v>
      </c>
      <c r="B461" s="308" t="s">
        <v>40</v>
      </c>
      <c r="C461" s="308">
        <v>11.7318</v>
      </c>
      <c r="D461" s="308">
        <v>0</v>
      </c>
      <c r="E461" s="308">
        <v>6.6586999999999996</v>
      </c>
      <c r="F461" s="308">
        <v>5.4109999999999996</v>
      </c>
      <c r="G461" s="308">
        <v>0</v>
      </c>
      <c r="H461" s="308">
        <v>8.2175999999999991</v>
      </c>
      <c r="I461" s="308">
        <v>9.3431999999999995</v>
      </c>
      <c r="J461" s="308">
        <v>4.8341000000000003</v>
      </c>
      <c r="K461" s="308">
        <v>0</v>
      </c>
      <c r="L461" s="308">
        <v>0</v>
      </c>
      <c r="M461" s="308">
        <v>4.6318000000000001</v>
      </c>
      <c r="N461" s="308">
        <v>6.4593999999999996</v>
      </c>
      <c r="O461" s="308">
        <v>4.3170000000000002</v>
      </c>
      <c r="P461" s="308">
        <v>8.9068000000000005</v>
      </c>
      <c r="Q461" s="308">
        <v>9.1722000000000001</v>
      </c>
      <c r="R461" s="308">
        <v>5.7823000000000002</v>
      </c>
      <c r="S461" s="308">
        <v>8.7851999999999997</v>
      </c>
      <c r="T461" s="308">
        <v>0</v>
      </c>
      <c r="U461" s="308">
        <v>8.3995999999999995</v>
      </c>
      <c r="V461" s="308">
        <v>7.0647000000000002</v>
      </c>
      <c r="W461" s="308">
        <v>5.6414999999999997</v>
      </c>
      <c r="X461" s="308">
        <v>4.9349999999999996</v>
      </c>
      <c r="Y461" s="308">
        <v>11.3467</v>
      </c>
      <c r="Z461" s="308">
        <v>9.1478000000000002</v>
      </c>
      <c r="AA461" s="308">
        <v>8.9667999999999992</v>
      </c>
      <c r="AB461" s="308">
        <v>8.0564999999999998</v>
      </c>
      <c r="AC461" s="308">
        <v>0</v>
      </c>
      <c r="AD461" s="308">
        <v>0</v>
      </c>
      <c r="AE461" s="308">
        <v>6.6074999999999999</v>
      </c>
      <c r="AF461" s="308">
        <v>6.9439000000000002</v>
      </c>
      <c r="AG461" s="308">
        <v>6.3708</v>
      </c>
      <c r="AH461" s="308">
        <v>0</v>
      </c>
      <c r="AI461" s="308">
        <v>4.8179999999999996</v>
      </c>
      <c r="AJ461" s="308">
        <v>9.1047999999999991</v>
      </c>
      <c r="AK461" s="308">
        <v>0</v>
      </c>
      <c r="AL461" s="308">
        <v>7.3117000000000001</v>
      </c>
      <c r="AM461" s="308">
        <v>10.2493</v>
      </c>
      <c r="AN461" s="308">
        <v>8.0581999999999994</v>
      </c>
      <c r="AO461" s="308">
        <v>11.038600000000001</v>
      </c>
      <c r="AP461" s="308">
        <v>9.3888999999999996</v>
      </c>
      <c r="AQ461" s="308">
        <v>4.7729999999999997</v>
      </c>
      <c r="AR461" s="308">
        <v>7.0468000000000002</v>
      </c>
      <c r="AS461" s="308">
        <v>7.7428999999999997</v>
      </c>
      <c r="AT461" s="308">
        <v>6.5998999999999999</v>
      </c>
      <c r="AU461" s="308">
        <v>6.6330999999999998</v>
      </c>
      <c r="AV461" s="308">
        <v>11.6038</v>
      </c>
      <c r="AW461" s="308">
        <v>0</v>
      </c>
      <c r="AX461" s="308">
        <v>12.285</v>
      </c>
      <c r="AY461" s="308">
        <v>9.2735000000000003</v>
      </c>
      <c r="AZ461" s="308">
        <v>11.9231</v>
      </c>
      <c r="BA461" s="308">
        <v>0</v>
      </c>
      <c r="BB461" s="308">
        <v>0</v>
      </c>
      <c r="BC461" s="308">
        <v>7.2689000000000004</v>
      </c>
      <c r="BD461" s="308">
        <v>8.1636000000000006</v>
      </c>
      <c r="BE461" s="308">
        <v>11.387</v>
      </c>
      <c r="BF461" s="308">
        <v>9.5832999999999995</v>
      </c>
      <c r="BG461" s="308">
        <v>6.2584999999999997</v>
      </c>
      <c r="BH461" s="308">
        <v>7.1757999999999997</v>
      </c>
      <c r="BI461" s="308">
        <v>6.7286000000000001</v>
      </c>
      <c r="BJ461" s="308">
        <v>10.3284</v>
      </c>
      <c r="BK461" s="308">
        <v>8.7017000000000007</v>
      </c>
    </row>
    <row r="462" spans="1:63" x14ac:dyDescent="0.25">
      <c r="A462" s="306">
        <v>311514</v>
      </c>
      <c r="B462" s="308" t="s">
        <v>41</v>
      </c>
      <c r="C462" s="308">
        <v>9.8716000000000008</v>
      </c>
      <c r="D462" s="308">
        <v>0</v>
      </c>
      <c r="E462" s="308">
        <v>0</v>
      </c>
      <c r="F462" s="308">
        <v>6.4653</v>
      </c>
      <c r="G462" s="308">
        <v>7.1910999999999996</v>
      </c>
      <c r="H462" s="308">
        <v>6.7263999999999999</v>
      </c>
      <c r="I462" s="308">
        <v>6.9348999999999998</v>
      </c>
      <c r="J462" s="308">
        <v>0</v>
      </c>
      <c r="K462" s="308">
        <v>0</v>
      </c>
      <c r="L462" s="308">
        <v>0</v>
      </c>
      <c r="M462" s="308">
        <v>6.1651999999999996</v>
      </c>
      <c r="N462" s="308">
        <v>5.7693000000000003</v>
      </c>
      <c r="O462" s="308">
        <v>0</v>
      </c>
      <c r="P462" s="308">
        <v>7.6817000000000002</v>
      </c>
      <c r="Q462" s="308">
        <v>7.5555000000000003</v>
      </c>
      <c r="R462" s="308">
        <v>5.6222000000000003</v>
      </c>
      <c r="S462" s="308">
        <v>7.4341999999999997</v>
      </c>
      <c r="T462" s="308">
        <v>7.5656999999999996</v>
      </c>
      <c r="U462" s="308">
        <v>7.6980000000000004</v>
      </c>
      <c r="V462" s="308">
        <v>4.9436</v>
      </c>
      <c r="W462" s="308">
        <v>4.7286000000000001</v>
      </c>
      <c r="X462" s="308">
        <v>4.9053000000000004</v>
      </c>
      <c r="Y462" s="308">
        <v>0</v>
      </c>
      <c r="Z462" s="308">
        <v>7.3836000000000004</v>
      </c>
      <c r="AA462" s="308">
        <v>7.7298999999999998</v>
      </c>
      <c r="AB462" s="308">
        <v>7.2877999999999998</v>
      </c>
      <c r="AC462" s="308">
        <v>0</v>
      </c>
      <c r="AD462" s="308">
        <v>0</v>
      </c>
      <c r="AE462" s="308">
        <v>0</v>
      </c>
      <c r="AF462" s="308">
        <v>0</v>
      </c>
      <c r="AG462" s="308">
        <v>5.7070999999999996</v>
      </c>
      <c r="AH462" s="308">
        <v>0</v>
      </c>
      <c r="AI462" s="308">
        <v>4.6669999999999998</v>
      </c>
      <c r="AJ462" s="308">
        <v>7.1102999999999996</v>
      </c>
      <c r="AK462" s="308">
        <v>0</v>
      </c>
      <c r="AL462" s="308">
        <v>5.8029000000000002</v>
      </c>
      <c r="AM462" s="308">
        <v>8.5357000000000003</v>
      </c>
      <c r="AN462" s="308">
        <v>6.7811000000000003</v>
      </c>
      <c r="AO462" s="308">
        <v>8.7721</v>
      </c>
      <c r="AP462" s="308">
        <v>8.3361000000000001</v>
      </c>
      <c r="AQ462" s="308">
        <v>0</v>
      </c>
      <c r="AR462" s="308">
        <v>0</v>
      </c>
      <c r="AS462" s="308">
        <v>6.7</v>
      </c>
      <c r="AT462" s="308">
        <v>5.7089999999999996</v>
      </c>
      <c r="AU462" s="308">
        <v>6.3331</v>
      </c>
      <c r="AV462" s="308">
        <v>10.3476</v>
      </c>
      <c r="AW462" s="308">
        <v>5.2157999999999998</v>
      </c>
      <c r="AX462" s="308">
        <v>8.2546999999999997</v>
      </c>
      <c r="AY462" s="308">
        <v>6.4667000000000003</v>
      </c>
      <c r="AZ462" s="308">
        <v>10.0082</v>
      </c>
      <c r="BA462" s="308">
        <v>0</v>
      </c>
      <c r="BB462" s="308">
        <v>0</v>
      </c>
      <c r="BC462" s="308">
        <v>6.0246000000000004</v>
      </c>
      <c r="BD462" s="308">
        <v>7.0343</v>
      </c>
      <c r="BE462" s="308">
        <v>9.0876999999999999</v>
      </c>
      <c r="BF462" s="308">
        <v>8.3659999999999997</v>
      </c>
      <c r="BG462" s="308">
        <v>5.6182999999999996</v>
      </c>
      <c r="BH462" s="308">
        <v>6.5857999999999999</v>
      </c>
      <c r="BI462" s="308">
        <v>6.5351999999999997</v>
      </c>
      <c r="BJ462" s="308">
        <v>7.9370000000000003</v>
      </c>
      <c r="BK462" s="308">
        <v>6.9923999999999999</v>
      </c>
    </row>
    <row r="463" spans="1:63" x14ac:dyDescent="0.25">
      <c r="A463" s="306" t="s">
        <v>706</v>
      </c>
      <c r="B463" s="308" t="s">
        <v>39</v>
      </c>
      <c r="C463" s="308">
        <v>10.369</v>
      </c>
      <c r="D463" s="308">
        <v>0</v>
      </c>
      <c r="E463" s="308">
        <v>5.9119000000000002</v>
      </c>
      <c r="F463" s="308">
        <v>5.7793000000000001</v>
      </c>
      <c r="G463" s="308">
        <v>8.5648999999999997</v>
      </c>
      <c r="H463" s="308">
        <v>7.1757</v>
      </c>
      <c r="I463" s="308">
        <v>8.5937999999999999</v>
      </c>
      <c r="J463" s="308">
        <v>4.3505000000000003</v>
      </c>
      <c r="K463" s="308">
        <v>0</v>
      </c>
      <c r="L463" s="308">
        <v>3.9350999999999998</v>
      </c>
      <c r="M463" s="308">
        <v>5.5972999999999997</v>
      </c>
      <c r="N463" s="308">
        <v>6.1379999999999999</v>
      </c>
      <c r="O463" s="308">
        <v>4.3300999999999998</v>
      </c>
      <c r="P463" s="308">
        <v>7.3129999999999997</v>
      </c>
      <c r="Q463" s="308">
        <v>7.8013000000000003</v>
      </c>
      <c r="R463" s="308">
        <v>5.9276</v>
      </c>
      <c r="S463" s="308">
        <v>8.1263000000000005</v>
      </c>
      <c r="T463" s="308">
        <v>7.3937999999999997</v>
      </c>
      <c r="U463" s="308">
        <v>7.5570000000000004</v>
      </c>
      <c r="V463" s="308">
        <v>6.2657999999999996</v>
      </c>
      <c r="W463" s="308">
        <v>4.4593999999999996</v>
      </c>
      <c r="X463" s="308">
        <v>5.1878000000000002</v>
      </c>
      <c r="Y463" s="308">
        <v>10.361800000000001</v>
      </c>
      <c r="Z463" s="308">
        <v>8.5298999999999996</v>
      </c>
      <c r="AA463" s="308">
        <v>7.7995999999999999</v>
      </c>
      <c r="AB463" s="308">
        <v>7.1858000000000004</v>
      </c>
      <c r="AC463" s="308">
        <v>6.2839</v>
      </c>
      <c r="AD463" s="308">
        <v>7.7057000000000002</v>
      </c>
      <c r="AE463" s="308">
        <v>6.8079999999999998</v>
      </c>
      <c r="AF463" s="308">
        <v>5.6928999999999998</v>
      </c>
      <c r="AG463" s="308">
        <v>5.7435999999999998</v>
      </c>
      <c r="AH463" s="308">
        <v>5.2020999999999997</v>
      </c>
      <c r="AI463" s="308">
        <v>4.2051999999999996</v>
      </c>
      <c r="AJ463" s="308">
        <v>7.9337999999999997</v>
      </c>
      <c r="AK463" s="308">
        <v>5.4599000000000002</v>
      </c>
      <c r="AL463" s="308">
        <v>6.2100999999999997</v>
      </c>
      <c r="AM463" s="308">
        <v>9.8475000000000001</v>
      </c>
      <c r="AN463" s="308">
        <v>7.2183000000000002</v>
      </c>
      <c r="AO463" s="308">
        <v>9.4865999999999993</v>
      </c>
      <c r="AP463" s="308">
        <v>8.7763000000000009</v>
      </c>
      <c r="AQ463" s="308">
        <v>4.6792999999999996</v>
      </c>
      <c r="AR463" s="308">
        <v>5.8811</v>
      </c>
      <c r="AS463" s="308">
        <v>6.0781000000000001</v>
      </c>
      <c r="AT463" s="308">
        <v>6.0061</v>
      </c>
      <c r="AU463" s="308">
        <v>6.8335999999999997</v>
      </c>
      <c r="AV463" s="308">
        <v>10.344099999999999</v>
      </c>
      <c r="AW463" s="308">
        <v>5.6174999999999997</v>
      </c>
      <c r="AX463" s="308">
        <v>9.8388000000000009</v>
      </c>
      <c r="AY463" s="308">
        <v>7.4790999999999999</v>
      </c>
      <c r="AZ463" s="308">
        <v>10.3474</v>
      </c>
      <c r="BA463" s="308">
        <v>4.9858000000000002</v>
      </c>
      <c r="BB463" s="308">
        <v>4.8815</v>
      </c>
      <c r="BC463" s="308">
        <v>6.4497999999999998</v>
      </c>
      <c r="BD463" s="308">
        <v>7.4048999999999996</v>
      </c>
      <c r="BE463" s="308">
        <v>9.9191000000000003</v>
      </c>
      <c r="BF463" s="308">
        <v>8.3506</v>
      </c>
      <c r="BG463" s="308">
        <v>6.2447999999999997</v>
      </c>
      <c r="BH463" s="308">
        <v>6.8098999999999998</v>
      </c>
      <c r="BI463" s="308">
        <v>7.1151</v>
      </c>
      <c r="BJ463" s="308">
        <v>9.0126000000000008</v>
      </c>
      <c r="BK463" s="308">
        <v>7.6002000000000001</v>
      </c>
    </row>
    <row r="464" spans="1:63" x14ac:dyDescent="0.25">
      <c r="A464" s="306">
        <v>311520</v>
      </c>
      <c r="B464" s="308" t="s">
        <v>42</v>
      </c>
      <c r="C464" s="308">
        <v>9.8138000000000005</v>
      </c>
      <c r="D464" s="308">
        <v>4.8620000000000001</v>
      </c>
      <c r="E464" s="308">
        <v>7.3937999999999997</v>
      </c>
      <c r="F464" s="308">
        <v>6.5564999999999998</v>
      </c>
      <c r="G464" s="308">
        <v>5.9555999999999996</v>
      </c>
      <c r="H464" s="308">
        <v>6.7873999999999999</v>
      </c>
      <c r="I464" s="308">
        <v>6.5895000000000001</v>
      </c>
      <c r="J464" s="308">
        <v>4.8784000000000001</v>
      </c>
      <c r="K464" s="308">
        <v>0</v>
      </c>
      <c r="L464" s="308">
        <v>0</v>
      </c>
      <c r="M464" s="308">
        <v>6.8944999999999999</v>
      </c>
      <c r="N464" s="308">
        <v>6.4611999999999998</v>
      </c>
      <c r="O464" s="308">
        <v>6.7118000000000002</v>
      </c>
      <c r="P464" s="308">
        <v>6.0358999999999998</v>
      </c>
      <c r="Q464" s="308">
        <v>0</v>
      </c>
      <c r="R464" s="308">
        <v>6.95</v>
      </c>
      <c r="S464" s="308">
        <v>7.4497</v>
      </c>
      <c r="T464" s="308">
        <v>0</v>
      </c>
      <c r="U464" s="308">
        <v>7.8296000000000001</v>
      </c>
      <c r="V464" s="308">
        <v>0</v>
      </c>
      <c r="W464" s="308">
        <v>5.0464000000000002</v>
      </c>
      <c r="X464" s="308">
        <v>5.3348000000000004</v>
      </c>
      <c r="Y464" s="308">
        <v>8.5984999999999996</v>
      </c>
      <c r="Z464" s="308">
        <v>8.4135000000000009</v>
      </c>
      <c r="AA464" s="308">
        <v>7.1958000000000002</v>
      </c>
      <c r="AB464" s="308">
        <v>7.2458</v>
      </c>
      <c r="AC464" s="308">
        <v>5.9189999999999996</v>
      </c>
      <c r="AD464" s="308">
        <v>5.5876999999999999</v>
      </c>
      <c r="AE464" s="308">
        <v>7.2561999999999998</v>
      </c>
      <c r="AF464" s="308">
        <v>0</v>
      </c>
      <c r="AG464" s="308">
        <v>5.8669000000000002</v>
      </c>
      <c r="AH464" s="308">
        <v>5.4485999999999999</v>
      </c>
      <c r="AI464" s="308">
        <v>5.8895</v>
      </c>
      <c r="AJ464" s="308">
        <v>0</v>
      </c>
      <c r="AK464" s="308">
        <v>5.2896000000000001</v>
      </c>
      <c r="AL464" s="308">
        <v>6.2667000000000002</v>
      </c>
      <c r="AM464" s="308">
        <v>8.7242999999999995</v>
      </c>
      <c r="AN464" s="308">
        <v>7.1139000000000001</v>
      </c>
      <c r="AO464" s="308">
        <v>7.6927000000000003</v>
      </c>
      <c r="AP464" s="308">
        <v>7.8453999999999997</v>
      </c>
      <c r="AQ464" s="308">
        <v>6.5079000000000002</v>
      </c>
      <c r="AR464" s="308">
        <v>7.0484</v>
      </c>
      <c r="AS464" s="308">
        <v>5.0620000000000003</v>
      </c>
      <c r="AT464" s="308">
        <v>7.7496999999999998</v>
      </c>
      <c r="AU464" s="308">
        <v>6.8242000000000003</v>
      </c>
      <c r="AV464" s="308">
        <v>9.2903000000000002</v>
      </c>
      <c r="AW464" s="308">
        <v>7.452</v>
      </c>
      <c r="AX464" s="308">
        <v>7.1779000000000002</v>
      </c>
      <c r="AY464" s="308">
        <v>6.5454999999999997</v>
      </c>
      <c r="AZ464" s="308">
        <v>7.7134</v>
      </c>
      <c r="BA464" s="308">
        <v>6.0743</v>
      </c>
      <c r="BB464" s="308">
        <v>0</v>
      </c>
      <c r="BC464" s="308">
        <v>6.3623000000000003</v>
      </c>
      <c r="BD464" s="308">
        <v>7.3710000000000004</v>
      </c>
      <c r="BE464" s="308">
        <v>8.7098999999999993</v>
      </c>
      <c r="BF464" s="308">
        <v>7.4897</v>
      </c>
      <c r="BG464" s="308">
        <v>7.4470999999999998</v>
      </c>
      <c r="BH464" s="308">
        <v>8.1686999999999994</v>
      </c>
      <c r="BI464" s="308">
        <v>7.3089000000000004</v>
      </c>
      <c r="BJ464" s="308">
        <v>7.1536999999999997</v>
      </c>
      <c r="BK464" s="308">
        <v>7.1139000000000001</v>
      </c>
    </row>
    <row r="465" spans="1:63" x14ac:dyDescent="0.25">
      <c r="A465" s="306">
        <v>311615</v>
      </c>
      <c r="B465" s="308" t="s">
        <v>44</v>
      </c>
      <c r="C465" s="308">
        <v>14.6365</v>
      </c>
      <c r="D465" s="308">
        <v>7.0602</v>
      </c>
      <c r="E465" s="308">
        <v>13.4374</v>
      </c>
      <c r="F465" s="308">
        <v>12.590199999999999</v>
      </c>
      <c r="G465" s="308">
        <v>8.5978999999999992</v>
      </c>
      <c r="H465" s="308">
        <v>7.5221999999999998</v>
      </c>
      <c r="I465" s="308">
        <v>7.5881999999999996</v>
      </c>
      <c r="J465" s="308">
        <v>6.3315999999999999</v>
      </c>
      <c r="K465" s="308">
        <v>0</v>
      </c>
      <c r="L465" s="308">
        <v>7.7782</v>
      </c>
      <c r="M465" s="308">
        <v>8.1363000000000003</v>
      </c>
      <c r="N465" s="308">
        <v>11.9763</v>
      </c>
      <c r="O465" s="308">
        <v>7.4671000000000003</v>
      </c>
      <c r="P465" s="308">
        <v>10.017300000000001</v>
      </c>
      <c r="Q465" s="308">
        <v>7.7405999999999997</v>
      </c>
      <c r="R465" s="308">
        <v>6.6295999999999999</v>
      </c>
      <c r="S465" s="308">
        <v>11.914999999999999</v>
      </c>
      <c r="T465" s="308">
        <v>8.6315000000000008</v>
      </c>
      <c r="U465" s="308">
        <v>14.392799999999999</v>
      </c>
      <c r="V465" s="308">
        <v>13.631500000000001</v>
      </c>
      <c r="W465" s="308">
        <v>7.2057000000000002</v>
      </c>
      <c r="X465" s="308">
        <v>10.1434</v>
      </c>
      <c r="Y465" s="308">
        <v>10.1587</v>
      </c>
      <c r="Z465" s="308">
        <v>7.7183999999999999</v>
      </c>
      <c r="AA465" s="308">
        <v>10.815200000000001</v>
      </c>
      <c r="AB465" s="308">
        <v>13.199400000000001</v>
      </c>
      <c r="AC465" s="308">
        <v>14.001200000000001</v>
      </c>
      <c r="AD465" s="308">
        <v>5.6532999999999998</v>
      </c>
      <c r="AE465" s="308">
        <v>12.785299999999999</v>
      </c>
      <c r="AF465" s="308">
        <v>0</v>
      </c>
      <c r="AG465" s="308">
        <v>7.7064000000000004</v>
      </c>
      <c r="AH465" s="308">
        <v>0</v>
      </c>
      <c r="AI465" s="308">
        <v>7.2550999999999997</v>
      </c>
      <c r="AJ465" s="308">
        <v>7.1353</v>
      </c>
      <c r="AK465" s="308">
        <v>0</v>
      </c>
      <c r="AL465" s="308">
        <v>6.9897999999999998</v>
      </c>
      <c r="AM465" s="308">
        <v>11.8208</v>
      </c>
      <c r="AN465" s="308">
        <v>12.909800000000001</v>
      </c>
      <c r="AO465" s="308">
        <v>7.4204999999999997</v>
      </c>
      <c r="AP465" s="308">
        <v>11.0214</v>
      </c>
      <c r="AQ465" s="308">
        <v>6.4554</v>
      </c>
      <c r="AR465" s="308">
        <v>12.906499999999999</v>
      </c>
      <c r="AS465" s="308">
        <v>9.3366000000000007</v>
      </c>
      <c r="AT465" s="308">
        <v>11.043799999999999</v>
      </c>
      <c r="AU465" s="308">
        <v>10.0488</v>
      </c>
      <c r="AV465" s="308">
        <v>10.8911</v>
      </c>
      <c r="AW465" s="308">
        <v>10.4276</v>
      </c>
      <c r="AX465" s="308">
        <v>0</v>
      </c>
      <c r="AY465" s="308">
        <v>8.1930999999999994</v>
      </c>
      <c r="AZ465" s="308">
        <v>9.8143999999999991</v>
      </c>
      <c r="BA465" s="308">
        <v>10.522399999999999</v>
      </c>
      <c r="BB465" s="308">
        <v>0</v>
      </c>
      <c r="BC465" s="308">
        <v>6.9326999999999996</v>
      </c>
      <c r="BD465" s="308">
        <v>8.3902999999999999</v>
      </c>
      <c r="BE465" s="308">
        <v>9.7919999999999998</v>
      </c>
      <c r="BF465" s="308">
        <v>11.842000000000001</v>
      </c>
      <c r="BG465" s="308">
        <v>12.223599999999999</v>
      </c>
      <c r="BH465" s="308">
        <v>14.474399999999999</v>
      </c>
      <c r="BI465" s="308">
        <v>12.9572</v>
      </c>
      <c r="BJ465" s="308">
        <v>7.7087000000000003</v>
      </c>
      <c r="BK465" s="308">
        <v>7.6814</v>
      </c>
    </row>
    <row r="466" spans="1:63" x14ac:dyDescent="0.25">
      <c r="A466" s="306" t="s">
        <v>707</v>
      </c>
      <c r="B466" s="308" t="s">
        <v>43</v>
      </c>
      <c r="C466" s="308">
        <v>12.4838</v>
      </c>
      <c r="D466" s="308">
        <v>4.8392999999999997</v>
      </c>
      <c r="E466" s="308">
        <v>8.8092000000000006</v>
      </c>
      <c r="F466" s="308">
        <v>10.8339</v>
      </c>
      <c r="G466" s="308">
        <v>7.8743999999999996</v>
      </c>
      <c r="H466" s="308">
        <v>5.4496000000000002</v>
      </c>
      <c r="I466" s="308">
        <v>12.9582</v>
      </c>
      <c r="J466" s="308">
        <v>4.6551</v>
      </c>
      <c r="K466" s="308">
        <v>0</v>
      </c>
      <c r="L466" s="308">
        <v>4.0095000000000001</v>
      </c>
      <c r="M466" s="308">
        <v>5.9107000000000003</v>
      </c>
      <c r="N466" s="308">
        <v>6.4630999999999998</v>
      </c>
      <c r="O466" s="308">
        <v>6.7770000000000001</v>
      </c>
      <c r="P466" s="308">
        <v>9.0271000000000008</v>
      </c>
      <c r="Q466" s="308">
        <v>10.461</v>
      </c>
      <c r="R466" s="308">
        <v>6.7878999999999996</v>
      </c>
      <c r="S466" s="308">
        <v>8.3957999999999995</v>
      </c>
      <c r="T466" s="308">
        <v>9.5776000000000003</v>
      </c>
      <c r="U466" s="308">
        <v>14.379799999999999</v>
      </c>
      <c r="V466" s="308">
        <v>7.2704000000000004</v>
      </c>
      <c r="W466" s="308">
        <v>4.1454000000000004</v>
      </c>
      <c r="X466" s="308">
        <v>4.6055999999999999</v>
      </c>
      <c r="Y466" s="308">
        <v>7.5442</v>
      </c>
      <c r="Z466" s="308">
        <v>6.5709</v>
      </c>
      <c r="AA466" s="308">
        <v>9.7277000000000005</v>
      </c>
      <c r="AB466" s="308">
        <v>12.6899</v>
      </c>
      <c r="AC466" s="308">
        <v>9.3180999999999994</v>
      </c>
      <c r="AD466" s="308">
        <v>13.914199999999999</v>
      </c>
      <c r="AE466" s="308">
        <v>9.0577000000000005</v>
      </c>
      <c r="AF466" s="308">
        <v>8.4809999999999999</v>
      </c>
      <c r="AG466" s="308">
        <v>8.4774999999999991</v>
      </c>
      <c r="AH466" s="308">
        <v>5.2583000000000002</v>
      </c>
      <c r="AI466" s="308">
        <v>4.2671999999999999</v>
      </c>
      <c r="AJ466" s="308">
        <v>9.5620999999999992</v>
      </c>
      <c r="AK466" s="308">
        <v>5.8262</v>
      </c>
      <c r="AL466" s="308">
        <v>3.9965000000000002</v>
      </c>
      <c r="AM466" s="308">
        <v>8.0401000000000007</v>
      </c>
      <c r="AN466" s="308">
        <v>11.9963</v>
      </c>
      <c r="AO466" s="308">
        <v>11.356400000000001</v>
      </c>
      <c r="AP466" s="308">
        <v>7.3728999999999996</v>
      </c>
      <c r="AQ466" s="308">
        <v>4.6546000000000003</v>
      </c>
      <c r="AR466" s="308">
        <v>7.2446000000000002</v>
      </c>
      <c r="AS466" s="308">
        <v>8.1555</v>
      </c>
      <c r="AT466" s="308">
        <v>7.4981</v>
      </c>
      <c r="AU466" s="308">
        <v>11.065</v>
      </c>
      <c r="AV466" s="308">
        <v>11.584199999999999</v>
      </c>
      <c r="AW466" s="308">
        <v>6.7496</v>
      </c>
      <c r="AX466" s="308">
        <v>7.4591000000000003</v>
      </c>
      <c r="AY466" s="308">
        <v>7.1466000000000003</v>
      </c>
      <c r="AZ466" s="308">
        <v>10.667299999999999</v>
      </c>
      <c r="BA466" s="308">
        <v>7.0384000000000002</v>
      </c>
      <c r="BB466" s="308">
        <v>9.4732000000000003</v>
      </c>
      <c r="BC466" s="308">
        <v>4.7671999999999999</v>
      </c>
      <c r="BD466" s="308">
        <v>5.3041999999999998</v>
      </c>
      <c r="BE466" s="308">
        <v>7.9272</v>
      </c>
      <c r="BF466" s="308">
        <v>10.4038</v>
      </c>
      <c r="BG466" s="308">
        <v>7.7546999999999997</v>
      </c>
      <c r="BH466" s="308">
        <v>10.8888</v>
      </c>
      <c r="BI466" s="308">
        <v>11.937200000000001</v>
      </c>
      <c r="BJ466" s="308">
        <v>11.9436</v>
      </c>
      <c r="BK466" s="308">
        <v>6.0998000000000001</v>
      </c>
    </row>
    <row r="467" spans="1:63" x14ac:dyDescent="0.25">
      <c r="A467" s="306">
        <v>311700</v>
      </c>
      <c r="B467" s="308" t="s">
        <v>45</v>
      </c>
      <c r="C467" s="308">
        <v>8.5825999999999993</v>
      </c>
      <c r="D467" s="308">
        <v>5.9114000000000004</v>
      </c>
      <c r="E467" s="308">
        <v>9.4814000000000007</v>
      </c>
      <c r="F467" s="308">
        <v>8.9931000000000001</v>
      </c>
      <c r="G467" s="308">
        <v>0</v>
      </c>
      <c r="H467" s="308">
        <v>6.9301000000000004</v>
      </c>
      <c r="I467" s="308">
        <v>6.2549999999999999</v>
      </c>
      <c r="J467" s="308">
        <v>5.5640999999999998</v>
      </c>
      <c r="K467" s="308">
        <v>0</v>
      </c>
      <c r="L467" s="308">
        <v>4.3895999999999997</v>
      </c>
      <c r="M467" s="308">
        <v>7.0426000000000002</v>
      </c>
      <c r="N467" s="308">
        <v>6.7674000000000003</v>
      </c>
      <c r="O467" s="308">
        <v>9.0863999999999994</v>
      </c>
      <c r="P467" s="308">
        <v>6.9493</v>
      </c>
      <c r="Q467" s="308">
        <v>7.3301999999999996</v>
      </c>
      <c r="R467" s="308">
        <v>6.9847999999999999</v>
      </c>
      <c r="S467" s="308">
        <v>8.9911999999999992</v>
      </c>
      <c r="T467" s="308">
        <v>0</v>
      </c>
      <c r="U467" s="308">
        <v>9.0070999999999994</v>
      </c>
      <c r="V467" s="308">
        <v>9.3964999999999996</v>
      </c>
      <c r="W467" s="308">
        <v>5.7572000000000001</v>
      </c>
      <c r="X467" s="308">
        <v>5.5968999999999998</v>
      </c>
      <c r="Y467" s="308">
        <v>9.5328999999999997</v>
      </c>
      <c r="Z467" s="308">
        <v>5.7398999999999996</v>
      </c>
      <c r="AA467" s="308">
        <v>6.9653999999999998</v>
      </c>
      <c r="AB467" s="308">
        <v>0</v>
      </c>
      <c r="AC467" s="308">
        <v>9.1915999999999993</v>
      </c>
      <c r="AD467" s="308">
        <v>6.1402999999999999</v>
      </c>
      <c r="AE467" s="308">
        <v>9.3577999999999992</v>
      </c>
      <c r="AF467" s="308">
        <v>7.3836000000000004</v>
      </c>
      <c r="AG467" s="308">
        <v>5.5240999999999998</v>
      </c>
      <c r="AH467" s="308">
        <v>5.6368</v>
      </c>
      <c r="AI467" s="308">
        <v>5.3771000000000004</v>
      </c>
      <c r="AJ467" s="308">
        <v>0</v>
      </c>
      <c r="AK467" s="308">
        <v>8.5127000000000006</v>
      </c>
      <c r="AL467" s="308">
        <v>4.4134000000000002</v>
      </c>
      <c r="AM467" s="308">
        <v>8.39</v>
      </c>
      <c r="AN467" s="308">
        <v>0</v>
      </c>
      <c r="AO467" s="308">
        <v>9.2560000000000002</v>
      </c>
      <c r="AP467" s="308">
        <v>6.8891999999999998</v>
      </c>
      <c r="AQ467" s="308">
        <v>6.1506999999999996</v>
      </c>
      <c r="AR467" s="308">
        <v>9.1499000000000006</v>
      </c>
      <c r="AS467" s="308">
        <v>0</v>
      </c>
      <c r="AT467" s="308">
        <v>0</v>
      </c>
      <c r="AU467" s="308">
        <v>7.5838000000000001</v>
      </c>
      <c r="AV467" s="308">
        <v>0</v>
      </c>
      <c r="AW467" s="308">
        <v>6.8304</v>
      </c>
      <c r="AX467" s="308">
        <v>0</v>
      </c>
      <c r="AY467" s="308">
        <v>5.8701999999999996</v>
      </c>
      <c r="AZ467" s="308">
        <v>7.4180000000000001</v>
      </c>
      <c r="BA467" s="308">
        <v>0</v>
      </c>
      <c r="BB467" s="308">
        <v>0</v>
      </c>
      <c r="BC467" s="308">
        <v>6.7401</v>
      </c>
      <c r="BD467" s="308">
        <v>5.6165000000000003</v>
      </c>
      <c r="BE467" s="308">
        <v>7.1016000000000004</v>
      </c>
      <c r="BF467" s="308">
        <v>7.0774999999999997</v>
      </c>
      <c r="BG467" s="308">
        <v>7.6921999999999997</v>
      </c>
      <c r="BH467" s="308">
        <v>9.7200000000000006</v>
      </c>
      <c r="BI467" s="308">
        <v>8.6121999999999996</v>
      </c>
      <c r="BJ467" s="308">
        <v>7.8535000000000004</v>
      </c>
      <c r="BK467" s="308">
        <v>7.0145</v>
      </c>
    </row>
    <row r="468" spans="1:63" x14ac:dyDescent="0.25">
      <c r="A468" s="306">
        <v>311810</v>
      </c>
      <c r="B468" s="308" t="s">
        <v>46</v>
      </c>
      <c r="C468" s="308">
        <v>14.9711</v>
      </c>
      <c r="D468" s="308">
        <v>9.4586000000000006</v>
      </c>
      <c r="E468" s="308">
        <v>11.422700000000001</v>
      </c>
      <c r="F468" s="308">
        <v>11.7576</v>
      </c>
      <c r="G468" s="308">
        <v>11.8653</v>
      </c>
      <c r="H468" s="308">
        <v>12.161300000000001</v>
      </c>
      <c r="I468" s="308">
        <v>12.732799999999999</v>
      </c>
      <c r="J468" s="308">
        <v>9.8458000000000006</v>
      </c>
      <c r="K468" s="308">
        <v>2.0990000000000002</v>
      </c>
      <c r="L468" s="308">
        <v>10.6646</v>
      </c>
      <c r="M468" s="308">
        <v>13.436500000000001</v>
      </c>
      <c r="N468" s="308">
        <v>11.901999999999999</v>
      </c>
      <c r="O468" s="308">
        <v>14.388500000000001</v>
      </c>
      <c r="P468" s="308">
        <v>13.349299999999999</v>
      </c>
      <c r="Q468" s="308">
        <v>14.5122</v>
      </c>
      <c r="R468" s="308">
        <v>11.6471</v>
      </c>
      <c r="S468" s="308">
        <v>12.648</v>
      </c>
      <c r="T468" s="308">
        <v>10.421099999999999</v>
      </c>
      <c r="U468" s="308">
        <v>12.0085</v>
      </c>
      <c r="V468" s="308">
        <v>11.674300000000001</v>
      </c>
      <c r="W468" s="308">
        <v>11.7148</v>
      </c>
      <c r="X468" s="308">
        <v>10.424300000000001</v>
      </c>
      <c r="Y468" s="308">
        <v>14.107900000000001</v>
      </c>
      <c r="Z468" s="308">
        <v>14.7318</v>
      </c>
      <c r="AA468" s="308">
        <v>13.1166</v>
      </c>
      <c r="AB468" s="308">
        <v>12.3287</v>
      </c>
      <c r="AC468" s="308">
        <v>12.358000000000001</v>
      </c>
      <c r="AD468" s="308">
        <v>14.149800000000001</v>
      </c>
      <c r="AE468" s="308">
        <v>12.603899999999999</v>
      </c>
      <c r="AF468" s="308">
        <v>11.0433</v>
      </c>
      <c r="AG468" s="308">
        <v>9.5325000000000006</v>
      </c>
      <c r="AH468" s="308">
        <v>13.3384</v>
      </c>
      <c r="AI468" s="308">
        <v>11.6713</v>
      </c>
      <c r="AJ468" s="308">
        <v>12.7296</v>
      </c>
      <c r="AK468" s="308">
        <v>13.4137</v>
      </c>
      <c r="AL468" s="308">
        <v>11.97</v>
      </c>
      <c r="AM468" s="308">
        <v>13.186500000000001</v>
      </c>
      <c r="AN468" s="308">
        <v>11.586399999999999</v>
      </c>
      <c r="AO468" s="308">
        <v>13.0518</v>
      </c>
      <c r="AP468" s="308">
        <v>11.561199999999999</v>
      </c>
      <c r="AQ468" s="308">
        <v>13.044600000000001</v>
      </c>
      <c r="AR468" s="308">
        <v>11.7781</v>
      </c>
      <c r="AS468" s="308">
        <v>9.8539999999999992</v>
      </c>
      <c r="AT468" s="308">
        <v>11.3886</v>
      </c>
      <c r="AU468" s="308">
        <v>11.8078</v>
      </c>
      <c r="AV468" s="308">
        <v>15.481</v>
      </c>
      <c r="AW468" s="308">
        <v>13.220800000000001</v>
      </c>
      <c r="AX468" s="308">
        <v>13.024699999999999</v>
      </c>
      <c r="AY468" s="308">
        <v>12.829599999999999</v>
      </c>
      <c r="AZ468" s="308">
        <v>15.483000000000001</v>
      </c>
      <c r="BA468" s="308">
        <v>11.475899999999999</v>
      </c>
      <c r="BB468" s="308">
        <v>9.7579999999999991</v>
      </c>
      <c r="BC468" s="308">
        <v>12.6166</v>
      </c>
      <c r="BD468" s="308">
        <v>12.6532</v>
      </c>
      <c r="BE468" s="308">
        <v>13.644600000000001</v>
      </c>
      <c r="BF468" s="308">
        <v>12.914199999999999</v>
      </c>
      <c r="BG468" s="308">
        <v>13.2371</v>
      </c>
      <c r="BH468" s="308">
        <v>12.5571</v>
      </c>
      <c r="BI468" s="308">
        <v>12.4217</v>
      </c>
      <c r="BJ468" s="308">
        <v>13.705</v>
      </c>
      <c r="BK468" s="308">
        <v>12.6366</v>
      </c>
    </row>
    <row r="469" spans="1:63" x14ac:dyDescent="0.25">
      <c r="A469" s="306">
        <v>311820</v>
      </c>
      <c r="B469" s="308" t="s">
        <v>47</v>
      </c>
      <c r="C469" s="308">
        <v>9.9347999999999992</v>
      </c>
      <c r="D469" s="308">
        <v>0</v>
      </c>
      <c r="E469" s="308">
        <v>7.5629</v>
      </c>
      <c r="F469" s="308">
        <v>7.2782</v>
      </c>
      <c r="G469" s="308">
        <v>6.7069999999999999</v>
      </c>
      <c r="H469" s="308">
        <v>7.2670000000000003</v>
      </c>
      <c r="I469" s="308">
        <v>6.4339000000000004</v>
      </c>
      <c r="J469" s="308">
        <v>7.0209000000000001</v>
      </c>
      <c r="K469" s="308">
        <v>1.0653999999999999</v>
      </c>
      <c r="L469" s="308">
        <v>0</v>
      </c>
      <c r="M469" s="308">
        <v>7.5769000000000002</v>
      </c>
      <c r="N469" s="308">
        <v>7.2637999999999998</v>
      </c>
      <c r="O469" s="308">
        <v>8.3713999999999995</v>
      </c>
      <c r="P469" s="308">
        <v>6.5578000000000003</v>
      </c>
      <c r="Q469" s="308">
        <v>8.6892999999999994</v>
      </c>
      <c r="R469" s="308">
        <v>7.5053999999999998</v>
      </c>
      <c r="S469" s="308">
        <v>7.5022000000000002</v>
      </c>
      <c r="T469" s="308">
        <v>5.8644999999999996</v>
      </c>
      <c r="U469" s="308">
        <v>7.6520999999999999</v>
      </c>
      <c r="V469" s="308">
        <v>9.7681000000000004</v>
      </c>
      <c r="W469" s="308">
        <v>5.6470000000000002</v>
      </c>
      <c r="X469" s="308">
        <v>5.7736000000000001</v>
      </c>
      <c r="Y469" s="308">
        <v>8.7051999999999996</v>
      </c>
      <c r="Z469" s="308">
        <v>6.9790999999999999</v>
      </c>
      <c r="AA469" s="308">
        <v>6.9550999999999998</v>
      </c>
      <c r="AB469" s="308">
        <v>7.5156999999999998</v>
      </c>
      <c r="AC469" s="308">
        <v>8.4992999999999999</v>
      </c>
      <c r="AD469" s="308">
        <v>8.4955999999999996</v>
      </c>
      <c r="AE469" s="308">
        <v>7.3791000000000002</v>
      </c>
      <c r="AF469" s="308">
        <v>6.0940000000000003</v>
      </c>
      <c r="AG469" s="308">
        <v>6.5759999999999996</v>
      </c>
      <c r="AH469" s="308">
        <v>6.7663000000000002</v>
      </c>
      <c r="AI469" s="308">
        <v>5.8270999999999997</v>
      </c>
      <c r="AJ469" s="308">
        <v>7.5373999999999999</v>
      </c>
      <c r="AK469" s="308">
        <v>7.6494</v>
      </c>
      <c r="AL469" s="308">
        <v>6.5739000000000001</v>
      </c>
      <c r="AM469" s="308">
        <v>8.3948999999999998</v>
      </c>
      <c r="AN469" s="308">
        <v>7.7782999999999998</v>
      </c>
      <c r="AO469" s="308">
        <v>7.4150999999999998</v>
      </c>
      <c r="AP469" s="308">
        <v>7.5941000000000001</v>
      </c>
      <c r="AQ469" s="308">
        <v>7.6454000000000004</v>
      </c>
      <c r="AR469" s="308">
        <v>7.2131999999999996</v>
      </c>
      <c r="AS469" s="308">
        <v>5.4635999999999996</v>
      </c>
      <c r="AT469" s="308">
        <v>7.1772</v>
      </c>
      <c r="AU469" s="308">
        <v>7.4702999999999999</v>
      </c>
      <c r="AV469" s="308">
        <v>9.3110999999999997</v>
      </c>
      <c r="AW469" s="308">
        <v>5.7370999999999999</v>
      </c>
      <c r="AX469" s="308">
        <v>7.1939000000000002</v>
      </c>
      <c r="AY469" s="308">
        <v>6.0647000000000002</v>
      </c>
      <c r="AZ469" s="308">
        <v>8.9971999999999994</v>
      </c>
      <c r="BA469" s="308">
        <v>6.9687000000000001</v>
      </c>
      <c r="BB469" s="308">
        <v>0</v>
      </c>
      <c r="BC469" s="308">
        <v>6.5426000000000002</v>
      </c>
      <c r="BD469" s="308">
        <v>7.1822999999999997</v>
      </c>
      <c r="BE469" s="308">
        <v>8.5294000000000008</v>
      </c>
      <c r="BF469" s="308">
        <v>7.8569000000000004</v>
      </c>
      <c r="BG469" s="308">
        <v>7.5673000000000004</v>
      </c>
      <c r="BH469" s="308">
        <v>8.1628000000000007</v>
      </c>
      <c r="BI469" s="308">
        <v>8.3978999999999999</v>
      </c>
      <c r="BJ469" s="308">
        <v>7.9996999999999998</v>
      </c>
      <c r="BK469" s="308">
        <v>7.3685</v>
      </c>
    </row>
    <row r="470" spans="1:63" x14ac:dyDescent="0.25">
      <c r="A470" s="306">
        <v>311830</v>
      </c>
      <c r="B470" s="308" t="s">
        <v>48</v>
      </c>
      <c r="C470" s="308">
        <v>14.624499999999999</v>
      </c>
      <c r="D470" s="308">
        <v>7.7245999999999997</v>
      </c>
      <c r="E470" s="308">
        <v>0</v>
      </c>
      <c r="F470" s="308">
        <v>11.7659</v>
      </c>
      <c r="G470" s="308">
        <v>13.726100000000001</v>
      </c>
      <c r="H470" s="308">
        <v>10.701499999999999</v>
      </c>
      <c r="I470" s="308">
        <v>12.533099999999999</v>
      </c>
      <c r="J470" s="308">
        <v>0</v>
      </c>
      <c r="K470" s="308">
        <v>0</v>
      </c>
      <c r="L470" s="308">
        <v>0</v>
      </c>
      <c r="M470" s="308">
        <v>12.6578</v>
      </c>
      <c r="N470" s="308">
        <v>12.6586</v>
      </c>
      <c r="O470" s="308">
        <v>13.1553</v>
      </c>
      <c r="P470" s="308">
        <v>0</v>
      </c>
      <c r="Q470" s="308">
        <v>11.2346</v>
      </c>
      <c r="R470" s="308">
        <v>12.1469</v>
      </c>
      <c r="S470" s="308">
        <v>12.8668</v>
      </c>
      <c r="T470" s="308">
        <v>11.940099999999999</v>
      </c>
      <c r="U470" s="308">
        <v>0</v>
      </c>
      <c r="V470" s="308">
        <v>0</v>
      </c>
      <c r="W470" s="308">
        <v>10.227399999999999</v>
      </c>
      <c r="X470" s="308">
        <v>11.962999999999999</v>
      </c>
      <c r="Y470" s="308">
        <v>0</v>
      </c>
      <c r="Z470" s="308">
        <v>14.6045</v>
      </c>
      <c r="AA470" s="308">
        <v>11.3847</v>
      </c>
      <c r="AB470" s="308">
        <v>11.443899999999999</v>
      </c>
      <c r="AC470" s="308">
        <v>0</v>
      </c>
      <c r="AD470" s="308">
        <v>12.576599999999999</v>
      </c>
      <c r="AE470" s="308">
        <v>13.505699999999999</v>
      </c>
      <c r="AF470" s="308">
        <v>0</v>
      </c>
      <c r="AG470" s="308">
        <v>10.7684</v>
      </c>
      <c r="AH470" s="308">
        <v>0</v>
      </c>
      <c r="AI470" s="308">
        <v>9.3878000000000004</v>
      </c>
      <c r="AJ470" s="308">
        <v>13.744300000000001</v>
      </c>
      <c r="AK470" s="308">
        <v>11.994</v>
      </c>
      <c r="AL470" s="308">
        <v>12.138400000000001</v>
      </c>
      <c r="AM470" s="308">
        <v>16.395199999999999</v>
      </c>
      <c r="AN470" s="308">
        <v>15.9122</v>
      </c>
      <c r="AO470" s="308">
        <v>13.078200000000001</v>
      </c>
      <c r="AP470" s="308">
        <v>11.378</v>
      </c>
      <c r="AQ470" s="308">
        <v>13.154400000000001</v>
      </c>
      <c r="AR470" s="308">
        <v>0</v>
      </c>
      <c r="AS470" s="308">
        <v>9.0716999999999999</v>
      </c>
      <c r="AT470" s="308">
        <v>15.2233</v>
      </c>
      <c r="AU470" s="308">
        <v>14.9224</v>
      </c>
      <c r="AV470" s="308">
        <v>16.850100000000001</v>
      </c>
      <c r="AW470" s="308">
        <v>9.8186</v>
      </c>
      <c r="AX470" s="308">
        <v>0</v>
      </c>
      <c r="AY470" s="308">
        <v>13.731199999999999</v>
      </c>
      <c r="AZ470" s="308">
        <v>16.452400000000001</v>
      </c>
      <c r="BA470" s="308">
        <v>0</v>
      </c>
      <c r="BB470" s="308">
        <v>0</v>
      </c>
      <c r="BC470" s="308">
        <v>10.9975</v>
      </c>
      <c r="BD470" s="308">
        <v>11.399900000000001</v>
      </c>
      <c r="BE470" s="308">
        <v>13.242599999999999</v>
      </c>
      <c r="BF470" s="308">
        <v>12.244199999999999</v>
      </c>
      <c r="BG470" s="308">
        <v>12.825200000000001</v>
      </c>
      <c r="BH470" s="308">
        <v>16.386399999999998</v>
      </c>
      <c r="BI470" s="308">
        <v>14.9893</v>
      </c>
      <c r="BJ470" s="308">
        <v>14.1799</v>
      </c>
      <c r="BK470" s="308">
        <v>11.0594</v>
      </c>
    </row>
    <row r="471" spans="1:63" x14ac:dyDescent="0.25">
      <c r="A471" s="306">
        <v>311910</v>
      </c>
      <c r="B471" s="308" t="s">
        <v>49</v>
      </c>
      <c r="C471" s="308">
        <v>9.1437000000000008</v>
      </c>
      <c r="D471" s="308">
        <v>5.4664000000000001</v>
      </c>
      <c r="E471" s="308">
        <v>7.7294</v>
      </c>
      <c r="F471" s="308">
        <v>7.0289999999999999</v>
      </c>
      <c r="G471" s="308">
        <v>6.3074000000000003</v>
      </c>
      <c r="H471" s="308">
        <v>6.4722999999999997</v>
      </c>
      <c r="I471" s="308">
        <v>6.5594999999999999</v>
      </c>
      <c r="J471" s="308">
        <v>4.7499000000000002</v>
      </c>
      <c r="K471" s="308">
        <v>0</v>
      </c>
      <c r="L471" s="308">
        <v>0</v>
      </c>
      <c r="M471" s="308">
        <v>6.9541000000000004</v>
      </c>
      <c r="N471" s="308">
        <v>7.0411999999999999</v>
      </c>
      <c r="O471" s="308">
        <v>8.6552000000000007</v>
      </c>
      <c r="P471" s="308">
        <v>4.7481</v>
      </c>
      <c r="Q471" s="308">
        <v>5.0323000000000002</v>
      </c>
      <c r="R471" s="308">
        <v>6.3708999999999998</v>
      </c>
      <c r="S471" s="308">
        <v>6.6657999999999999</v>
      </c>
      <c r="T471" s="308">
        <v>6.1886000000000001</v>
      </c>
      <c r="U471" s="308">
        <v>6.7615999999999996</v>
      </c>
      <c r="V471" s="308">
        <v>7.1727999999999996</v>
      </c>
      <c r="W471" s="308">
        <v>4.8151999999999999</v>
      </c>
      <c r="X471" s="308">
        <v>4.5353000000000003</v>
      </c>
      <c r="Y471" s="308">
        <v>0</v>
      </c>
      <c r="Z471" s="308">
        <v>7.2565999999999997</v>
      </c>
      <c r="AA471" s="308">
        <v>6.7756999999999996</v>
      </c>
      <c r="AB471" s="308">
        <v>8.0983000000000001</v>
      </c>
      <c r="AC471" s="308">
        <v>8.7527000000000008</v>
      </c>
      <c r="AD471" s="308">
        <v>6.4157999999999999</v>
      </c>
      <c r="AE471" s="308">
        <v>6.7827999999999999</v>
      </c>
      <c r="AF471" s="308">
        <v>5.3840000000000003</v>
      </c>
      <c r="AG471" s="308">
        <v>5.1357999999999997</v>
      </c>
      <c r="AH471" s="308">
        <v>5.6409000000000002</v>
      </c>
      <c r="AI471" s="308">
        <v>6.1544999999999996</v>
      </c>
      <c r="AJ471" s="308">
        <v>6.8434999999999997</v>
      </c>
      <c r="AK471" s="308">
        <v>7.4635999999999996</v>
      </c>
      <c r="AL471" s="308">
        <v>4.8753000000000002</v>
      </c>
      <c r="AM471" s="308">
        <v>7.3727</v>
      </c>
      <c r="AN471" s="308">
        <v>7.7285000000000004</v>
      </c>
      <c r="AO471" s="308">
        <v>7.6454000000000004</v>
      </c>
      <c r="AP471" s="308">
        <v>6.6868999999999996</v>
      </c>
      <c r="AQ471" s="308">
        <v>6.8865999999999996</v>
      </c>
      <c r="AR471" s="308">
        <v>8.5372000000000003</v>
      </c>
      <c r="AS471" s="308">
        <v>5.4688999999999997</v>
      </c>
      <c r="AT471" s="308">
        <v>6.0236000000000001</v>
      </c>
      <c r="AU471" s="308">
        <v>6.0544000000000002</v>
      </c>
      <c r="AV471" s="308">
        <v>7.8006000000000002</v>
      </c>
      <c r="AW471" s="308">
        <v>5.7016999999999998</v>
      </c>
      <c r="AX471" s="308">
        <v>8.0023</v>
      </c>
      <c r="AY471" s="308">
        <v>6.2412999999999998</v>
      </c>
      <c r="AZ471" s="308">
        <v>7.2225000000000001</v>
      </c>
      <c r="BA471" s="308">
        <v>6.9767999999999999</v>
      </c>
      <c r="BB471" s="308">
        <v>0</v>
      </c>
      <c r="BC471" s="308">
        <v>5.7072000000000003</v>
      </c>
      <c r="BD471" s="308">
        <v>6.2018000000000004</v>
      </c>
      <c r="BE471" s="308">
        <v>7.4443000000000001</v>
      </c>
      <c r="BF471" s="308">
        <v>7.2447999999999997</v>
      </c>
      <c r="BG471" s="308">
        <v>7.4520999999999997</v>
      </c>
      <c r="BH471" s="308">
        <v>7.3827999999999996</v>
      </c>
      <c r="BI471" s="308">
        <v>6.7817999999999996</v>
      </c>
      <c r="BJ471" s="308">
        <v>6.7891000000000004</v>
      </c>
      <c r="BK471" s="308">
        <v>6.7766999999999999</v>
      </c>
    </row>
    <row r="472" spans="1:63" x14ac:dyDescent="0.25">
      <c r="A472" s="306">
        <v>311920</v>
      </c>
      <c r="B472" s="308" t="s">
        <v>50</v>
      </c>
      <c r="C472" s="308">
        <v>7.6257000000000001</v>
      </c>
      <c r="D472" s="308">
        <v>5.2934999999999999</v>
      </c>
      <c r="E472" s="308">
        <v>6.6097999999999999</v>
      </c>
      <c r="F472" s="308">
        <v>6.4492000000000003</v>
      </c>
      <c r="G472" s="308">
        <v>5.2473999999999998</v>
      </c>
      <c r="H472" s="308">
        <v>5.7119</v>
      </c>
      <c r="I472" s="308">
        <v>6.5975000000000001</v>
      </c>
      <c r="J472" s="308">
        <v>4.2736999999999998</v>
      </c>
      <c r="K472" s="308">
        <v>0</v>
      </c>
      <c r="L472" s="308">
        <v>0</v>
      </c>
      <c r="M472" s="308">
        <v>5.5251999999999999</v>
      </c>
      <c r="N472" s="308">
        <v>7.0138999999999996</v>
      </c>
      <c r="O472" s="308">
        <v>6.3735999999999997</v>
      </c>
      <c r="P472" s="308">
        <v>4.5834999999999999</v>
      </c>
      <c r="Q472" s="308">
        <v>5.3815</v>
      </c>
      <c r="R472" s="308">
        <v>5.8681999999999999</v>
      </c>
      <c r="S472" s="308">
        <v>6.6022999999999996</v>
      </c>
      <c r="T472" s="308">
        <v>6.0517000000000003</v>
      </c>
      <c r="U472" s="308">
        <v>6.4198000000000004</v>
      </c>
      <c r="V472" s="308">
        <v>5.2084999999999999</v>
      </c>
      <c r="W472" s="308">
        <v>4.4404000000000003</v>
      </c>
      <c r="X472" s="308">
        <v>4.7695999999999996</v>
      </c>
      <c r="Y472" s="308">
        <v>7.5724999999999998</v>
      </c>
      <c r="Z472" s="308">
        <v>6.0206999999999997</v>
      </c>
      <c r="AA472" s="308">
        <v>6.0728999999999997</v>
      </c>
      <c r="AB472" s="308">
        <v>5.5877999999999997</v>
      </c>
      <c r="AC472" s="308">
        <v>0</v>
      </c>
      <c r="AD472" s="308">
        <v>6.5608000000000004</v>
      </c>
      <c r="AE472" s="308">
        <v>6.1395999999999997</v>
      </c>
      <c r="AF472" s="308">
        <v>0</v>
      </c>
      <c r="AG472" s="308">
        <v>6.5060000000000002</v>
      </c>
      <c r="AH472" s="308">
        <v>6.6573000000000002</v>
      </c>
      <c r="AI472" s="308">
        <v>4.7115999999999998</v>
      </c>
      <c r="AJ472" s="308">
        <v>0</v>
      </c>
      <c r="AK472" s="308">
        <v>5.7023000000000001</v>
      </c>
      <c r="AL472" s="308">
        <v>4.4779999999999998</v>
      </c>
      <c r="AM472" s="308">
        <v>7.1787999999999998</v>
      </c>
      <c r="AN472" s="308">
        <v>6.3998999999999997</v>
      </c>
      <c r="AO472" s="308">
        <v>6.7206000000000001</v>
      </c>
      <c r="AP472" s="308">
        <v>7.0312999999999999</v>
      </c>
      <c r="AQ472" s="308">
        <v>5.1824000000000003</v>
      </c>
      <c r="AR472" s="308">
        <v>8.1460000000000008</v>
      </c>
      <c r="AS472" s="308">
        <v>0</v>
      </c>
      <c r="AT472" s="308">
        <v>6.3483999999999998</v>
      </c>
      <c r="AU472" s="308">
        <v>5.8212999999999999</v>
      </c>
      <c r="AV472" s="308">
        <v>8.9055</v>
      </c>
      <c r="AW472" s="308">
        <v>5.2827000000000002</v>
      </c>
      <c r="AX472" s="308">
        <v>6.6265000000000001</v>
      </c>
      <c r="AY472" s="308">
        <v>6.7941000000000003</v>
      </c>
      <c r="AZ472" s="308">
        <v>8.2287999999999997</v>
      </c>
      <c r="BA472" s="308">
        <v>0</v>
      </c>
      <c r="BB472" s="308">
        <v>5.67</v>
      </c>
      <c r="BC472" s="308">
        <v>5.8437999999999999</v>
      </c>
      <c r="BD472" s="308">
        <v>5.7465999999999999</v>
      </c>
      <c r="BE472" s="308">
        <v>6.8448000000000002</v>
      </c>
      <c r="BF472" s="308">
        <v>5.8289</v>
      </c>
      <c r="BG472" s="308">
        <v>6.5868000000000002</v>
      </c>
      <c r="BH472" s="308">
        <v>6.7762000000000002</v>
      </c>
      <c r="BI472" s="308">
        <v>5.9790999999999999</v>
      </c>
      <c r="BJ472" s="308">
        <v>6.5991999999999997</v>
      </c>
      <c r="BK472" s="308">
        <v>6.3776000000000002</v>
      </c>
    </row>
    <row r="473" spans="1:63" x14ac:dyDescent="0.25">
      <c r="A473" s="306">
        <v>311930</v>
      </c>
      <c r="B473" s="308" t="s">
        <v>51</v>
      </c>
      <c r="C473" s="308">
        <v>3.0091999999999999</v>
      </c>
      <c r="D473" s="308">
        <v>0</v>
      </c>
      <c r="E473" s="308">
        <v>4.0419999999999998</v>
      </c>
      <c r="F473" s="308">
        <v>3.8008999999999999</v>
      </c>
      <c r="G473" s="308">
        <v>2.7463000000000002</v>
      </c>
      <c r="H473" s="308">
        <v>2.7698999999999998</v>
      </c>
      <c r="I473" s="308">
        <v>0</v>
      </c>
      <c r="J473" s="308">
        <v>2.2877999999999998</v>
      </c>
      <c r="K473" s="308">
        <v>0</v>
      </c>
      <c r="L473" s="308">
        <v>0</v>
      </c>
      <c r="M473" s="308">
        <v>4.2266000000000004</v>
      </c>
      <c r="N473" s="308">
        <v>2.2040999999999999</v>
      </c>
      <c r="O473" s="308">
        <v>4.2100999999999997</v>
      </c>
      <c r="P473" s="308">
        <v>0</v>
      </c>
      <c r="Q473" s="308">
        <v>0</v>
      </c>
      <c r="R473" s="308">
        <v>2.6429</v>
      </c>
      <c r="S473" s="308">
        <v>2.4434</v>
      </c>
      <c r="T473" s="308">
        <v>3.7774999999999999</v>
      </c>
      <c r="U473" s="308">
        <v>2.4413999999999998</v>
      </c>
      <c r="V473" s="308">
        <v>4.1089000000000002</v>
      </c>
      <c r="W473" s="308">
        <v>0</v>
      </c>
      <c r="X473" s="308">
        <v>1.7502</v>
      </c>
      <c r="Y473" s="308">
        <v>0</v>
      </c>
      <c r="Z473" s="308">
        <v>2.6377000000000002</v>
      </c>
      <c r="AA473" s="308">
        <v>0</v>
      </c>
      <c r="AB473" s="308">
        <v>2.6673</v>
      </c>
      <c r="AC473" s="308">
        <v>2.3260999999999998</v>
      </c>
      <c r="AD473" s="308">
        <v>0</v>
      </c>
      <c r="AE473" s="308">
        <v>2.7602000000000002</v>
      </c>
      <c r="AF473" s="308">
        <v>0</v>
      </c>
      <c r="AG473" s="308">
        <v>0</v>
      </c>
      <c r="AH473" s="308">
        <v>1.6653</v>
      </c>
      <c r="AI473" s="308">
        <v>2.1492</v>
      </c>
      <c r="AJ473" s="308">
        <v>0</v>
      </c>
      <c r="AK473" s="308">
        <v>2.7505000000000002</v>
      </c>
      <c r="AL473" s="308">
        <v>2.2553999999999998</v>
      </c>
      <c r="AM473" s="308">
        <v>2.6937000000000002</v>
      </c>
      <c r="AN473" s="308">
        <v>1.7403999999999999</v>
      </c>
      <c r="AO473" s="308">
        <v>2.7465000000000002</v>
      </c>
      <c r="AP473" s="308">
        <v>2.5585</v>
      </c>
      <c r="AQ473" s="308">
        <v>3.6414</v>
      </c>
      <c r="AR473" s="308">
        <v>0</v>
      </c>
      <c r="AS473" s="308">
        <v>0</v>
      </c>
      <c r="AT473" s="308">
        <v>2.4700000000000002</v>
      </c>
      <c r="AU473" s="308">
        <v>2.5301999999999998</v>
      </c>
      <c r="AV473" s="308">
        <v>0</v>
      </c>
      <c r="AW473" s="308">
        <v>0</v>
      </c>
      <c r="AX473" s="308">
        <v>0</v>
      </c>
      <c r="AY473" s="308">
        <v>3.5857000000000001</v>
      </c>
      <c r="AZ473" s="308">
        <v>4.2595000000000001</v>
      </c>
      <c r="BA473" s="308">
        <v>0</v>
      </c>
      <c r="BB473" s="308">
        <v>0</v>
      </c>
      <c r="BC473" s="308">
        <v>2.847</v>
      </c>
      <c r="BD473" s="308">
        <v>2.4824999999999999</v>
      </c>
      <c r="BE473" s="308">
        <v>2.7761999999999998</v>
      </c>
      <c r="BF473" s="308">
        <v>3.1398000000000001</v>
      </c>
      <c r="BG473" s="308">
        <v>2.415</v>
      </c>
      <c r="BH473" s="308">
        <v>2.6278999999999999</v>
      </c>
      <c r="BI473" s="308">
        <v>2.7793000000000001</v>
      </c>
      <c r="BJ473" s="308">
        <v>3.0771000000000002</v>
      </c>
      <c r="BK473" s="308">
        <v>2.903</v>
      </c>
    </row>
    <row r="474" spans="1:63" x14ac:dyDescent="0.25">
      <c r="A474" s="306">
        <v>311940</v>
      </c>
      <c r="B474" s="308" t="s">
        <v>52</v>
      </c>
      <c r="C474" s="308">
        <v>9.5991</v>
      </c>
      <c r="D474" s="308">
        <v>0</v>
      </c>
      <c r="E474" s="308">
        <v>8.1218000000000004</v>
      </c>
      <c r="F474" s="308">
        <v>9.3316999999999997</v>
      </c>
      <c r="G474" s="308">
        <v>8.9074000000000009</v>
      </c>
      <c r="H474" s="308">
        <v>6.6593999999999998</v>
      </c>
      <c r="I474" s="308">
        <v>6.6371000000000002</v>
      </c>
      <c r="J474" s="308">
        <v>4.5143000000000004</v>
      </c>
      <c r="K474" s="308">
        <v>0</v>
      </c>
      <c r="L474" s="308">
        <v>3.7467000000000001</v>
      </c>
      <c r="M474" s="308">
        <v>7.0473999999999997</v>
      </c>
      <c r="N474" s="308">
        <v>8.0922000000000001</v>
      </c>
      <c r="O474" s="308">
        <v>8.1311</v>
      </c>
      <c r="P474" s="308">
        <v>6.1733000000000002</v>
      </c>
      <c r="Q474" s="308">
        <v>6.4497999999999998</v>
      </c>
      <c r="R474" s="308">
        <v>6.1439000000000004</v>
      </c>
      <c r="S474" s="308">
        <v>6.6413000000000002</v>
      </c>
      <c r="T474" s="308">
        <v>5.5458999999999996</v>
      </c>
      <c r="U474" s="308">
        <v>8.2227999999999994</v>
      </c>
      <c r="V474" s="308">
        <v>8.1654999999999998</v>
      </c>
      <c r="W474" s="308">
        <v>5.3044000000000002</v>
      </c>
      <c r="X474" s="308">
        <v>4.6844000000000001</v>
      </c>
      <c r="Y474" s="308">
        <v>7.4448999999999996</v>
      </c>
      <c r="Z474" s="308">
        <v>6.6966000000000001</v>
      </c>
      <c r="AA474" s="308">
        <v>7.2683</v>
      </c>
      <c r="AB474" s="308">
        <v>7.3932000000000002</v>
      </c>
      <c r="AC474" s="308">
        <v>6.6749000000000001</v>
      </c>
      <c r="AD474" s="308">
        <v>8.4367999999999999</v>
      </c>
      <c r="AE474" s="308">
        <v>6.3788</v>
      </c>
      <c r="AF474" s="308">
        <v>5.8327</v>
      </c>
      <c r="AG474" s="308">
        <v>4.6307999999999998</v>
      </c>
      <c r="AH474" s="308">
        <v>5.9634999999999998</v>
      </c>
      <c r="AI474" s="308">
        <v>5.1289999999999996</v>
      </c>
      <c r="AJ474" s="308">
        <v>6.5458999999999996</v>
      </c>
      <c r="AK474" s="308">
        <v>6.2256</v>
      </c>
      <c r="AL474" s="308">
        <v>4.4532999999999996</v>
      </c>
      <c r="AM474" s="308">
        <v>7.4527999999999999</v>
      </c>
      <c r="AN474" s="308">
        <v>8.4883000000000006</v>
      </c>
      <c r="AO474" s="308">
        <v>8.3248999999999995</v>
      </c>
      <c r="AP474" s="308">
        <v>7.1414999999999997</v>
      </c>
      <c r="AQ474" s="308">
        <v>6.5368000000000004</v>
      </c>
      <c r="AR474" s="308">
        <v>7.8791000000000002</v>
      </c>
      <c r="AS474" s="308">
        <v>5.5446999999999997</v>
      </c>
      <c r="AT474" s="308">
        <v>7.1999000000000004</v>
      </c>
      <c r="AU474" s="308">
        <v>6.9080000000000004</v>
      </c>
      <c r="AV474" s="308">
        <v>8.1971000000000007</v>
      </c>
      <c r="AW474" s="308">
        <v>5.7412000000000001</v>
      </c>
      <c r="AX474" s="308">
        <v>8.4098000000000006</v>
      </c>
      <c r="AY474" s="308">
        <v>6.9356999999999998</v>
      </c>
      <c r="AZ474" s="308">
        <v>7.0406000000000004</v>
      </c>
      <c r="BA474" s="308">
        <v>5.9943999999999997</v>
      </c>
      <c r="BB474" s="308">
        <v>6.5469999999999997</v>
      </c>
      <c r="BC474" s="308">
        <v>5.9226999999999999</v>
      </c>
      <c r="BD474" s="308">
        <v>6.0339</v>
      </c>
      <c r="BE474" s="308">
        <v>7.3686999999999996</v>
      </c>
      <c r="BF474" s="308">
        <v>7.3122999999999996</v>
      </c>
      <c r="BG474" s="308">
        <v>7.6921999999999997</v>
      </c>
      <c r="BH474" s="308">
        <v>8.4261999999999997</v>
      </c>
      <c r="BI474" s="308">
        <v>7.9458000000000002</v>
      </c>
      <c r="BJ474" s="308">
        <v>7.3281000000000001</v>
      </c>
      <c r="BK474" s="308">
        <v>7.0109000000000004</v>
      </c>
    </row>
    <row r="475" spans="1:63" x14ac:dyDescent="0.25">
      <c r="A475" s="306">
        <v>311990</v>
      </c>
      <c r="B475" s="308" t="s">
        <v>53</v>
      </c>
      <c r="C475" s="308">
        <v>10.8604</v>
      </c>
      <c r="D475" s="308">
        <v>7.6119000000000003</v>
      </c>
      <c r="E475" s="308">
        <v>7.5227000000000004</v>
      </c>
      <c r="F475" s="308">
        <v>9.7454999999999998</v>
      </c>
      <c r="G475" s="308">
        <v>8.3389000000000006</v>
      </c>
      <c r="H475" s="308">
        <v>8.3033000000000001</v>
      </c>
      <c r="I475" s="308">
        <v>7.9413</v>
      </c>
      <c r="J475" s="308">
        <v>7.4424000000000001</v>
      </c>
      <c r="K475" s="308">
        <v>1.1653</v>
      </c>
      <c r="L475" s="308">
        <v>7.2378</v>
      </c>
      <c r="M475" s="308">
        <v>9.5135000000000005</v>
      </c>
      <c r="N475" s="308">
        <v>8.8664000000000005</v>
      </c>
      <c r="O475" s="308">
        <v>10.444699999999999</v>
      </c>
      <c r="P475" s="308">
        <v>6.8192000000000004</v>
      </c>
      <c r="Q475" s="308">
        <v>8.3667999999999996</v>
      </c>
      <c r="R475" s="308">
        <v>7.7160000000000002</v>
      </c>
      <c r="S475" s="308">
        <v>7.7263999999999999</v>
      </c>
      <c r="T475" s="308">
        <v>6.7626999999999997</v>
      </c>
      <c r="U475" s="308">
        <v>8.0667000000000009</v>
      </c>
      <c r="V475" s="308">
        <v>10.448499999999999</v>
      </c>
      <c r="W475" s="308">
        <v>7.0816999999999997</v>
      </c>
      <c r="X475" s="308">
        <v>7.0678999999999998</v>
      </c>
      <c r="Y475" s="308">
        <v>9.5701999999999998</v>
      </c>
      <c r="Z475" s="308">
        <v>10.001099999999999</v>
      </c>
      <c r="AA475" s="308">
        <v>7.7465000000000002</v>
      </c>
      <c r="AB475" s="308">
        <v>8.6272000000000002</v>
      </c>
      <c r="AC475" s="308">
        <v>8.2357999999999993</v>
      </c>
      <c r="AD475" s="308">
        <v>10.128299999999999</v>
      </c>
      <c r="AE475" s="308">
        <v>10.7507</v>
      </c>
      <c r="AF475" s="308">
        <v>7.3326000000000002</v>
      </c>
      <c r="AG475" s="308">
        <v>7.8860999999999999</v>
      </c>
      <c r="AH475" s="308">
        <v>9.1576000000000004</v>
      </c>
      <c r="AI475" s="308">
        <v>6.5425000000000004</v>
      </c>
      <c r="AJ475" s="308">
        <v>9.6447000000000003</v>
      </c>
      <c r="AK475" s="308">
        <v>9.0505999999999993</v>
      </c>
      <c r="AL475" s="308">
        <v>7.1048999999999998</v>
      </c>
      <c r="AM475" s="308">
        <v>9.5901999999999994</v>
      </c>
      <c r="AN475" s="308">
        <v>7.9539999999999997</v>
      </c>
      <c r="AO475" s="308">
        <v>10.532500000000001</v>
      </c>
      <c r="AP475" s="308">
        <v>9.6262000000000008</v>
      </c>
      <c r="AQ475" s="308">
        <v>8.3932000000000002</v>
      </c>
      <c r="AR475" s="308">
        <v>9.5553000000000008</v>
      </c>
      <c r="AS475" s="308">
        <v>7.7676999999999996</v>
      </c>
      <c r="AT475" s="308">
        <v>7.8357999999999999</v>
      </c>
      <c r="AU475" s="308">
        <v>9.2165999999999997</v>
      </c>
      <c r="AV475" s="308">
        <v>9.9512</v>
      </c>
      <c r="AW475" s="308">
        <v>7.4606000000000003</v>
      </c>
      <c r="AX475" s="308">
        <v>9.1897000000000002</v>
      </c>
      <c r="AY475" s="308">
        <v>9.4321999999999999</v>
      </c>
      <c r="AZ475" s="308">
        <v>8.6405999999999992</v>
      </c>
      <c r="BA475" s="308">
        <v>6.4047000000000001</v>
      </c>
      <c r="BB475" s="308">
        <v>0</v>
      </c>
      <c r="BC475" s="308">
        <v>8.32</v>
      </c>
      <c r="BD475" s="308">
        <v>8.1054999999999993</v>
      </c>
      <c r="BE475" s="308">
        <v>8.9114000000000004</v>
      </c>
      <c r="BF475" s="308">
        <v>8.3282000000000007</v>
      </c>
      <c r="BG475" s="308">
        <v>9.9382999999999999</v>
      </c>
      <c r="BH475" s="308">
        <v>8.6633999999999993</v>
      </c>
      <c r="BI475" s="308">
        <v>9.4808000000000003</v>
      </c>
      <c r="BJ475" s="308">
        <v>9.2030999999999992</v>
      </c>
      <c r="BK475" s="308">
        <v>8.8895999999999997</v>
      </c>
    </row>
    <row r="476" spans="1:63" x14ac:dyDescent="0.25">
      <c r="A476" s="306">
        <v>312110</v>
      </c>
      <c r="B476" s="308" t="s">
        <v>54</v>
      </c>
      <c r="C476" s="308">
        <v>7.9870999999999999</v>
      </c>
      <c r="D476" s="308">
        <v>4.1520000000000001</v>
      </c>
      <c r="E476" s="308">
        <v>5.9768999999999997</v>
      </c>
      <c r="F476" s="308">
        <v>5.9185999999999996</v>
      </c>
      <c r="G476" s="308">
        <v>5.5526999999999997</v>
      </c>
      <c r="H476" s="308">
        <v>5.3661000000000003</v>
      </c>
      <c r="I476" s="308">
        <v>4.8117000000000001</v>
      </c>
      <c r="J476" s="308">
        <v>4.0867000000000004</v>
      </c>
      <c r="K476" s="308">
        <v>0</v>
      </c>
      <c r="L476" s="308">
        <v>3.3258000000000001</v>
      </c>
      <c r="M476" s="308">
        <v>5.2093999999999996</v>
      </c>
      <c r="N476" s="308">
        <v>6.6471999999999998</v>
      </c>
      <c r="O476" s="308">
        <v>4.8539000000000003</v>
      </c>
      <c r="P476" s="308">
        <v>5.9851000000000001</v>
      </c>
      <c r="Q476" s="308">
        <v>4.9131</v>
      </c>
      <c r="R476" s="308">
        <v>5.8836000000000004</v>
      </c>
      <c r="S476" s="308">
        <v>6.3269000000000002</v>
      </c>
      <c r="T476" s="308">
        <v>4.7373000000000003</v>
      </c>
      <c r="U476" s="308">
        <v>6.7004000000000001</v>
      </c>
      <c r="V476" s="308">
        <v>6.0285000000000002</v>
      </c>
      <c r="W476" s="308">
        <v>4.3646000000000003</v>
      </c>
      <c r="X476" s="308">
        <v>4.8559999999999999</v>
      </c>
      <c r="Y476" s="308">
        <v>4.53</v>
      </c>
      <c r="Z476" s="308">
        <v>6.3890000000000002</v>
      </c>
      <c r="AA476" s="308">
        <v>5.2431999999999999</v>
      </c>
      <c r="AB476" s="308">
        <v>6.8038999999999996</v>
      </c>
      <c r="AC476" s="308">
        <v>5.5143000000000004</v>
      </c>
      <c r="AD476" s="308">
        <v>4.5911999999999997</v>
      </c>
      <c r="AE476" s="308">
        <v>6.2137000000000002</v>
      </c>
      <c r="AF476" s="308">
        <v>3.9355000000000002</v>
      </c>
      <c r="AG476" s="308">
        <v>3.9813000000000001</v>
      </c>
      <c r="AH476" s="308">
        <v>5.0890000000000004</v>
      </c>
      <c r="AI476" s="308">
        <v>5.4290000000000003</v>
      </c>
      <c r="AJ476" s="308">
        <v>4.4362000000000004</v>
      </c>
      <c r="AK476" s="308">
        <v>5.0064000000000002</v>
      </c>
      <c r="AL476" s="308">
        <v>3.3248000000000002</v>
      </c>
      <c r="AM476" s="308">
        <v>7.3845999999999998</v>
      </c>
      <c r="AN476" s="308">
        <v>5.8409000000000004</v>
      </c>
      <c r="AO476" s="308">
        <v>6.0308999999999999</v>
      </c>
      <c r="AP476" s="308">
        <v>6.2561999999999998</v>
      </c>
      <c r="AQ476" s="308">
        <v>4.0414000000000003</v>
      </c>
      <c r="AR476" s="308">
        <v>6.3121</v>
      </c>
      <c r="AS476" s="308">
        <v>3.9285999999999999</v>
      </c>
      <c r="AT476" s="308">
        <v>5.8330000000000002</v>
      </c>
      <c r="AU476" s="308">
        <v>5.7744</v>
      </c>
      <c r="AV476" s="308">
        <v>6.5987</v>
      </c>
      <c r="AW476" s="308">
        <v>5.6310000000000002</v>
      </c>
      <c r="AX476" s="308">
        <v>4.5049000000000001</v>
      </c>
      <c r="AY476" s="308">
        <v>5.3769999999999998</v>
      </c>
      <c r="AZ476" s="308">
        <v>6.3737000000000004</v>
      </c>
      <c r="BA476" s="308">
        <v>4.3669000000000002</v>
      </c>
      <c r="BB476" s="308">
        <v>3.5807000000000002</v>
      </c>
      <c r="BC476" s="308">
        <v>4.8705999999999996</v>
      </c>
      <c r="BD476" s="308">
        <v>5.3071000000000002</v>
      </c>
      <c r="BE476" s="308">
        <v>7.1176000000000004</v>
      </c>
      <c r="BF476" s="308">
        <v>6.3300999999999998</v>
      </c>
      <c r="BG476" s="308">
        <v>6.7154999999999996</v>
      </c>
      <c r="BH476" s="308">
        <v>6.6257999999999999</v>
      </c>
      <c r="BI476" s="308">
        <v>6.3745000000000003</v>
      </c>
      <c r="BJ476" s="308">
        <v>5.4191000000000003</v>
      </c>
      <c r="BK476" s="308">
        <v>5.5430999999999999</v>
      </c>
    </row>
    <row r="477" spans="1:63" x14ac:dyDescent="0.25">
      <c r="A477" s="306">
        <v>312120</v>
      </c>
      <c r="B477" s="308" t="s">
        <v>55</v>
      </c>
      <c r="C477" s="308">
        <v>6.1593999999999998</v>
      </c>
      <c r="D477" s="308">
        <v>4.4132999999999996</v>
      </c>
      <c r="E477" s="308">
        <v>0</v>
      </c>
      <c r="F477" s="308">
        <v>7.8776999999999999</v>
      </c>
      <c r="G477" s="308">
        <v>8.5790000000000006</v>
      </c>
      <c r="H477" s="308">
        <v>4.3674999999999997</v>
      </c>
      <c r="I477" s="308">
        <v>4.1108000000000002</v>
      </c>
      <c r="J477" s="308">
        <v>3.7317</v>
      </c>
      <c r="K477" s="308">
        <v>1.095</v>
      </c>
      <c r="L477" s="308">
        <v>2.6429999999999998</v>
      </c>
      <c r="M477" s="308">
        <v>3.3589000000000002</v>
      </c>
      <c r="N477" s="308">
        <v>4.8879000000000001</v>
      </c>
      <c r="O477" s="308">
        <v>5.5495000000000001</v>
      </c>
      <c r="P477" s="308">
        <v>9.1224000000000007</v>
      </c>
      <c r="Q477" s="308">
        <v>7.1304999999999996</v>
      </c>
      <c r="R477" s="308">
        <v>6.0503</v>
      </c>
      <c r="S477" s="308">
        <v>6.9424999999999999</v>
      </c>
      <c r="T477" s="308">
        <v>3.3273000000000001</v>
      </c>
      <c r="U477" s="308">
        <v>5.2145000000000001</v>
      </c>
      <c r="V477" s="308">
        <v>5.7392000000000003</v>
      </c>
      <c r="W477" s="308">
        <v>2.8694000000000002</v>
      </c>
      <c r="X477" s="308">
        <v>4.2206000000000001</v>
      </c>
      <c r="Y477" s="308">
        <v>4.4797000000000002</v>
      </c>
      <c r="Z477" s="308">
        <v>7.7469999999999999</v>
      </c>
      <c r="AA477" s="308">
        <v>5.7731000000000003</v>
      </c>
      <c r="AB477" s="308">
        <v>4.5255999999999998</v>
      </c>
      <c r="AC477" s="308">
        <v>5.4711999999999996</v>
      </c>
      <c r="AD477" s="308">
        <v>7.7557999999999998</v>
      </c>
      <c r="AE477" s="308">
        <v>4.8968999999999996</v>
      </c>
      <c r="AF477" s="308">
        <v>0</v>
      </c>
      <c r="AG477" s="308">
        <v>4.2329999999999997</v>
      </c>
      <c r="AH477" s="308">
        <v>2.7088999999999999</v>
      </c>
      <c r="AI477" s="308">
        <v>3.6301999999999999</v>
      </c>
      <c r="AJ477" s="308">
        <v>8.8422999999999998</v>
      </c>
      <c r="AK477" s="308">
        <v>9.8267000000000007</v>
      </c>
      <c r="AL477" s="308">
        <v>2.7357</v>
      </c>
      <c r="AM477" s="308">
        <v>5.3787000000000003</v>
      </c>
      <c r="AN477" s="308">
        <v>11.7209</v>
      </c>
      <c r="AO477" s="308">
        <v>5.7012</v>
      </c>
      <c r="AP477" s="308">
        <v>5.8060999999999998</v>
      </c>
      <c r="AQ477" s="308">
        <v>5.2845000000000004</v>
      </c>
      <c r="AR477" s="308">
        <v>5.8989000000000003</v>
      </c>
      <c r="AS477" s="308">
        <v>2.6696</v>
      </c>
      <c r="AT477" s="308">
        <v>8.4016999999999999</v>
      </c>
      <c r="AU477" s="308">
        <v>4.0377999999999998</v>
      </c>
      <c r="AV477" s="308">
        <v>5.8673999999999999</v>
      </c>
      <c r="AW477" s="308">
        <v>3.9733000000000001</v>
      </c>
      <c r="AX477" s="308">
        <v>4.3323</v>
      </c>
      <c r="AY477" s="308">
        <v>6.4446000000000003</v>
      </c>
      <c r="AZ477" s="308">
        <v>5.6910999999999996</v>
      </c>
      <c r="BA477" s="308">
        <v>7.9625000000000004</v>
      </c>
      <c r="BB477" s="308">
        <v>0</v>
      </c>
      <c r="BC477" s="308">
        <v>3.6307</v>
      </c>
      <c r="BD477" s="308">
        <v>4.2304000000000004</v>
      </c>
      <c r="BE477" s="308">
        <v>5.7652999999999999</v>
      </c>
      <c r="BF477" s="308">
        <v>4.4273999999999996</v>
      </c>
      <c r="BG477" s="308">
        <v>4.7304000000000004</v>
      </c>
      <c r="BH477" s="308">
        <v>6.0632999999999999</v>
      </c>
      <c r="BI477" s="308">
        <v>4.7682000000000002</v>
      </c>
      <c r="BJ477" s="308">
        <v>4.0744999999999996</v>
      </c>
      <c r="BK477" s="308">
        <v>4.7659000000000002</v>
      </c>
    </row>
    <row r="478" spans="1:63" x14ac:dyDescent="0.25">
      <c r="A478" s="306">
        <v>312130</v>
      </c>
      <c r="B478" s="308" t="s">
        <v>56</v>
      </c>
      <c r="C478" s="308">
        <v>10.1083</v>
      </c>
      <c r="D478" s="308">
        <v>6.6997</v>
      </c>
      <c r="E478" s="308">
        <v>6.0976999999999997</v>
      </c>
      <c r="F478" s="308">
        <v>6.4070999999999998</v>
      </c>
      <c r="G478" s="308">
        <v>9.1557999999999993</v>
      </c>
      <c r="H478" s="308">
        <v>7.8803999999999998</v>
      </c>
      <c r="I478" s="308">
        <v>9.9555000000000007</v>
      </c>
      <c r="J478" s="308">
        <v>5.3536000000000001</v>
      </c>
      <c r="K478" s="308">
        <v>0</v>
      </c>
      <c r="L478" s="308">
        <v>0</v>
      </c>
      <c r="M478" s="308">
        <v>8.2113999999999994</v>
      </c>
      <c r="N478" s="308">
        <v>10.051600000000001</v>
      </c>
      <c r="O478" s="308">
        <v>8.8247</v>
      </c>
      <c r="P478" s="308">
        <v>12.0236</v>
      </c>
      <c r="Q478" s="308">
        <v>9.9176000000000002</v>
      </c>
      <c r="R478" s="308">
        <v>12.0496</v>
      </c>
      <c r="S478" s="308">
        <v>9.2568000000000001</v>
      </c>
      <c r="T478" s="308">
        <v>8.2218</v>
      </c>
      <c r="U478" s="308">
        <v>10.2866</v>
      </c>
      <c r="V478" s="308">
        <v>8.2591999999999999</v>
      </c>
      <c r="W478" s="308">
        <v>10.0131</v>
      </c>
      <c r="X478" s="308">
        <v>8.5581999999999994</v>
      </c>
      <c r="Y478" s="308">
        <v>7.4630999999999998</v>
      </c>
      <c r="Z478" s="308">
        <v>10.0823</v>
      </c>
      <c r="AA478" s="308">
        <v>13.0067</v>
      </c>
      <c r="AB478" s="308">
        <v>11.295299999999999</v>
      </c>
      <c r="AC478" s="308">
        <v>0</v>
      </c>
      <c r="AD478" s="308">
        <v>11.1966</v>
      </c>
      <c r="AE478" s="308">
        <v>9.5967000000000002</v>
      </c>
      <c r="AF478" s="308">
        <v>9.0451999999999995</v>
      </c>
      <c r="AG478" s="308">
        <v>11.395300000000001</v>
      </c>
      <c r="AH478" s="308">
        <v>11.2827</v>
      </c>
      <c r="AI478" s="308">
        <v>9.0457000000000001</v>
      </c>
      <c r="AJ478" s="308">
        <v>8.2173999999999996</v>
      </c>
      <c r="AK478" s="308">
        <v>0</v>
      </c>
      <c r="AL478" s="308">
        <v>5.9503000000000004</v>
      </c>
      <c r="AM478" s="308">
        <v>12.8345</v>
      </c>
      <c r="AN478" s="308">
        <v>12.8466</v>
      </c>
      <c r="AO478" s="308">
        <v>10.9391</v>
      </c>
      <c r="AP478" s="308">
        <v>11.606400000000001</v>
      </c>
      <c r="AQ478" s="308">
        <v>8.7192000000000007</v>
      </c>
      <c r="AR478" s="308">
        <v>9.6193000000000008</v>
      </c>
      <c r="AS478" s="308">
        <v>4.7961999999999998</v>
      </c>
      <c r="AT478" s="308">
        <v>7.4842000000000004</v>
      </c>
      <c r="AU478" s="308">
        <v>9.4247999999999994</v>
      </c>
      <c r="AV478" s="308">
        <v>0</v>
      </c>
      <c r="AW478" s="308">
        <v>8.9184999999999999</v>
      </c>
      <c r="AX478" s="308">
        <v>8.5282999999999998</v>
      </c>
      <c r="AY478" s="308">
        <v>9.9789999999999992</v>
      </c>
      <c r="AZ478" s="308">
        <v>9.5603999999999996</v>
      </c>
      <c r="BA478" s="308">
        <v>4.7478999999999996</v>
      </c>
      <c r="BB478" s="308">
        <v>0</v>
      </c>
      <c r="BC478" s="308">
        <v>7.8483000000000001</v>
      </c>
      <c r="BD478" s="308">
        <v>8.0386000000000006</v>
      </c>
      <c r="BE478" s="308">
        <v>11.0069</v>
      </c>
      <c r="BF478" s="308">
        <v>11.0848</v>
      </c>
      <c r="BG478" s="308">
        <v>10.2066</v>
      </c>
      <c r="BH478" s="308">
        <v>8.8376999999999999</v>
      </c>
      <c r="BI478" s="308">
        <v>9.3930000000000007</v>
      </c>
      <c r="BJ478" s="308">
        <v>9.5416000000000007</v>
      </c>
      <c r="BK478" s="308">
        <v>8.2904</v>
      </c>
    </row>
    <row r="479" spans="1:63" x14ac:dyDescent="0.25">
      <c r="A479" s="306">
        <v>312140</v>
      </c>
      <c r="B479" s="308" t="s">
        <v>57</v>
      </c>
      <c r="C479" s="308">
        <v>4.1345000000000001</v>
      </c>
      <c r="D479" s="308">
        <v>0</v>
      </c>
      <c r="E479" s="308">
        <v>0</v>
      </c>
      <c r="F479" s="308">
        <v>4.0315000000000003</v>
      </c>
      <c r="G479" s="308">
        <v>0</v>
      </c>
      <c r="H479" s="308">
        <v>3.3675999999999999</v>
      </c>
      <c r="I479" s="308">
        <v>5.0934999999999997</v>
      </c>
      <c r="J479" s="308">
        <v>2.0870000000000002</v>
      </c>
      <c r="K479" s="308">
        <v>0</v>
      </c>
      <c r="L479" s="308">
        <v>0</v>
      </c>
      <c r="M479" s="308">
        <v>3.6608999999999998</v>
      </c>
      <c r="N479" s="308">
        <v>2.8226</v>
      </c>
      <c r="O479" s="308">
        <v>4.5887000000000002</v>
      </c>
      <c r="P479" s="308">
        <v>4.7521000000000004</v>
      </c>
      <c r="Q479" s="308">
        <v>3.9868000000000001</v>
      </c>
      <c r="R479" s="308">
        <v>3.7900999999999998</v>
      </c>
      <c r="S479" s="308">
        <v>3.5076000000000001</v>
      </c>
      <c r="T479" s="308">
        <v>0</v>
      </c>
      <c r="U479" s="308">
        <v>3.1709999999999998</v>
      </c>
      <c r="V479" s="308">
        <v>0</v>
      </c>
      <c r="W479" s="308">
        <v>0</v>
      </c>
      <c r="X479" s="308">
        <v>3.0861999999999998</v>
      </c>
      <c r="Y479" s="308">
        <v>4.1144999999999996</v>
      </c>
      <c r="Z479" s="308">
        <v>3.0133000000000001</v>
      </c>
      <c r="AA479" s="308">
        <v>3.6533000000000002</v>
      </c>
      <c r="AB479" s="308">
        <v>4.2148000000000003</v>
      </c>
      <c r="AC479" s="308">
        <v>0</v>
      </c>
      <c r="AD479" s="308">
        <v>0</v>
      </c>
      <c r="AE479" s="308">
        <v>0</v>
      </c>
      <c r="AF479" s="308">
        <v>0</v>
      </c>
      <c r="AG479" s="308">
        <v>0</v>
      </c>
      <c r="AH479" s="308">
        <v>4.1007999999999996</v>
      </c>
      <c r="AI479" s="308">
        <v>3.6086</v>
      </c>
      <c r="AJ479" s="308">
        <v>0</v>
      </c>
      <c r="AK479" s="308">
        <v>0</v>
      </c>
      <c r="AL479" s="308">
        <v>1.8229</v>
      </c>
      <c r="AM479" s="308">
        <v>4.5441000000000003</v>
      </c>
      <c r="AN479" s="308">
        <v>0</v>
      </c>
      <c r="AO479" s="308">
        <v>4.8844000000000003</v>
      </c>
      <c r="AP479" s="308">
        <v>3.5996000000000001</v>
      </c>
      <c r="AQ479" s="308">
        <v>0</v>
      </c>
      <c r="AR479" s="308">
        <v>0</v>
      </c>
      <c r="AS479" s="308">
        <v>0</v>
      </c>
      <c r="AT479" s="308">
        <v>3.3801000000000001</v>
      </c>
      <c r="AU479" s="308">
        <v>2.7662</v>
      </c>
      <c r="AV479" s="308">
        <v>3.0975999999999999</v>
      </c>
      <c r="AW479" s="308">
        <v>0</v>
      </c>
      <c r="AX479" s="308">
        <v>0</v>
      </c>
      <c r="AY479" s="308">
        <v>3.4306000000000001</v>
      </c>
      <c r="AZ479" s="308">
        <v>3.3067000000000002</v>
      </c>
      <c r="BA479" s="308">
        <v>0</v>
      </c>
      <c r="BB479" s="308">
        <v>3.8368000000000002</v>
      </c>
      <c r="BC479" s="308">
        <v>2.9142000000000001</v>
      </c>
      <c r="BD479" s="308">
        <v>2.6959</v>
      </c>
      <c r="BE479" s="308">
        <v>4.0311000000000003</v>
      </c>
      <c r="BF479" s="308">
        <v>3.8942999999999999</v>
      </c>
      <c r="BG479" s="308">
        <v>3.8622999999999998</v>
      </c>
      <c r="BH479" s="308">
        <v>3.3340999999999998</v>
      </c>
      <c r="BI479" s="308">
        <v>3.7949999999999999</v>
      </c>
      <c r="BJ479" s="308">
        <v>4.2102000000000004</v>
      </c>
      <c r="BK479" s="308">
        <v>3.6126999999999998</v>
      </c>
    </row>
    <row r="480" spans="1:63" x14ac:dyDescent="0.25">
      <c r="A480" s="306" t="s">
        <v>708</v>
      </c>
      <c r="B480" s="308" t="s">
        <v>58</v>
      </c>
      <c r="C480" s="308">
        <v>3.5621</v>
      </c>
      <c r="D480" s="308">
        <v>0</v>
      </c>
      <c r="E480" s="308">
        <v>4.3174999999999999</v>
      </c>
      <c r="F480" s="308">
        <v>0</v>
      </c>
      <c r="G480" s="308">
        <v>0</v>
      </c>
      <c r="H480" s="308">
        <v>1.7645</v>
      </c>
      <c r="I480" s="308">
        <v>0</v>
      </c>
      <c r="J480" s="308">
        <v>2.1913</v>
      </c>
      <c r="K480" s="308">
        <v>0.83640000000000003</v>
      </c>
      <c r="L480" s="308">
        <v>0</v>
      </c>
      <c r="M480" s="308">
        <v>2.7936000000000001</v>
      </c>
      <c r="N480" s="308">
        <v>3.2825000000000002</v>
      </c>
      <c r="O480" s="308">
        <v>0</v>
      </c>
      <c r="P480" s="308">
        <v>0</v>
      </c>
      <c r="Q480" s="308">
        <v>0</v>
      </c>
      <c r="R480" s="308">
        <v>2.3609</v>
      </c>
      <c r="S480" s="308">
        <v>5.226</v>
      </c>
      <c r="T480" s="308">
        <v>0</v>
      </c>
      <c r="U480" s="308">
        <v>3.4944000000000002</v>
      </c>
      <c r="V480" s="308">
        <v>0</v>
      </c>
      <c r="W480" s="308">
        <v>0</v>
      </c>
      <c r="X480" s="308">
        <v>0</v>
      </c>
      <c r="Y480" s="308">
        <v>0</v>
      </c>
      <c r="Z480" s="308">
        <v>0</v>
      </c>
      <c r="AA480" s="308">
        <v>0</v>
      </c>
      <c r="AB480" s="308">
        <v>1.8914</v>
      </c>
      <c r="AC480" s="308">
        <v>0</v>
      </c>
      <c r="AD480" s="308">
        <v>0</v>
      </c>
      <c r="AE480" s="308">
        <v>3.1509</v>
      </c>
      <c r="AF480" s="308">
        <v>0</v>
      </c>
      <c r="AG480" s="308">
        <v>0</v>
      </c>
      <c r="AH480" s="308">
        <v>0</v>
      </c>
      <c r="AI480" s="308">
        <v>7.5925000000000002</v>
      </c>
      <c r="AJ480" s="308">
        <v>3.5891000000000002</v>
      </c>
      <c r="AK480" s="308">
        <v>0</v>
      </c>
      <c r="AL480" s="308">
        <v>0.84909999999999997</v>
      </c>
      <c r="AM480" s="308">
        <v>0</v>
      </c>
      <c r="AN480" s="308">
        <v>2.2098</v>
      </c>
      <c r="AO480" s="308">
        <v>0</v>
      </c>
      <c r="AP480" s="308">
        <v>2.9575999999999998</v>
      </c>
      <c r="AQ480" s="308">
        <v>0</v>
      </c>
      <c r="AR480" s="308">
        <v>6.7007000000000003</v>
      </c>
      <c r="AS480" s="308">
        <v>0</v>
      </c>
      <c r="AT480" s="308">
        <v>2.7309000000000001</v>
      </c>
      <c r="AU480" s="308">
        <v>5.0557999999999996</v>
      </c>
      <c r="AV480" s="308">
        <v>3.0787</v>
      </c>
      <c r="AW480" s="308">
        <v>2.5889000000000002</v>
      </c>
      <c r="AX480" s="308">
        <v>0</v>
      </c>
      <c r="AY480" s="308">
        <v>4.1848999999999998</v>
      </c>
      <c r="AZ480" s="308">
        <v>6.0801999999999996</v>
      </c>
      <c r="BA480" s="308">
        <v>1.9888999999999999</v>
      </c>
      <c r="BB480" s="308">
        <v>6.9819000000000004</v>
      </c>
      <c r="BC480" s="308">
        <v>2.5055999999999998</v>
      </c>
      <c r="BD480" s="308">
        <v>1.9752000000000001</v>
      </c>
      <c r="BE480" s="308">
        <v>2.7305999999999999</v>
      </c>
      <c r="BF480" s="308">
        <v>1.8912</v>
      </c>
      <c r="BG480" s="308">
        <v>3.2086999999999999</v>
      </c>
      <c r="BH480" s="308">
        <v>3.4946000000000002</v>
      </c>
      <c r="BI480" s="308">
        <v>3.0592000000000001</v>
      </c>
      <c r="BJ480" s="308">
        <v>3.9495</v>
      </c>
      <c r="BK480" s="308">
        <v>2.2724000000000002</v>
      </c>
    </row>
    <row r="481" spans="1:63" x14ac:dyDescent="0.25">
      <c r="A481" s="306">
        <v>313100</v>
      </c>
      <c r="B481" s="308" t="s">
        <v>59</v>
      </c>
      <c r="C481" s="308">
        <v>12.2905</v>
      </c>
      <c r="D481" s="308">
        <v>0</v>
      </c>
      <c r="E481" s="308">
        <v>11.1593</v>
      </c>
      <c r="F481" s="308">
        <v>0</v>
      </c>
      <c r="G481" s="308">
        <v>7.4294000000000002</v>
      </c>
      <c r="H481" s="308">
        <v>8.8256999999999994</v>
      </c>
      <c r="I481" s="308">
        <v>0</v>
      </c>
      <c r="J481" s="308">
        <v>6.4943</v>
      </c>
      <c r="K481" s="308">
        <v>0</v>
      </c>
      <c r="L481" s="308">
        <v>0</v>
      </c>
      <c r="M481" s="308">
        <v>7.2217000000000002</v>
      </c>
      <c r="N481" s="308">
        <v>9.9710000000000001</v>
      </c>
      <c r="O481" s="308">
        <v>0</v>
      </c>
      <c r="P481" s="308">
        <v>0</v>
      </c>
      <c r="Q481" s="308">
        <v>4.5937999999999999</v>
      </c>
      <c r="R481" s="308">
        <v>7.3316999999999997</v>
      </c>
      <c r="S481" s="308">
        <v>7.6506999999999996</v>
      </c>
      <c r="T481" s="308">
        <v>8.9938000000000002</v>
      </c>
      <c r="U481" s="308">
        <v>0</v>
      </c>
      <c r="V481" s="308">
        <v>6.7207999999999997</v>
      </c>
      <c r="W481" s="308">
        <v>6.4107000000000003</v>
      </c>
      <c r="X481" s="308">
        <v>4.4733000000000001</v>
      </c>
      <c r="Y481" s="308">
        <v>8.891</v>
      </c>
      <c r="Z481" s="308">
        <v>9.5733999999999995</v>
      </c>
      <c r="AA481" s="308">
        <v>0</v>
      </c>
      <c r="AB481" s="308">
        <v>0</v>
      </c>
      <c r="AC481" s="308">
        <v>8.5069999999999997</v>
      </c>
      <c r="AD481" s="308">
        <v>0</v>
      </c>
      <c r="AE481" s="308">
        <v>10.8874</v>
      </c>
      <c r="AF481" s="308">
        <v>0</v>
      </c>
      <c r="AG481" s="308">
        <v>8.0175000000000001</v>
      </c>
      <c r="AH481" s="308">
        <v>7.1135999999999999</v>
      </c>
      <c r="AI481" s="308">
        <v>4.4805999999999999</v>
      </c>
      <c r="AJ481" s="308">
        <v>7.8075999999999999</v>
      </c>
      <c r="AK481" s="308">
        <v>0</v>
      </c>
      <c r="AL481" s="308">
        <v>6.6990999999999996</v>
      </c>
      <c r="AM481" s="308">
        <v>8.7081</v>
      </c>
      <c r="AN481" s="308">
        <v>6.0198999999999998</v>
      </c>
      <c r="AO481" s="308">
        <v>6.5880999999999998</v>
      </c>
      <c r="AP481" s="308">
        <v>8.0501000000000005</v>
      </c>
      <c r="AQ481" s="308">
        <v>6.2777000000000003</v>
      </c>
      <c r="AR481" s="308">
        <v>10.682499999999999</v>
      </c>
      <c r="AS481" s="308">
        <v>0</v>
      </c>
      <c r="AT481" s="308">
        <v>9.7147000000000006</v>
      </c>
      <c r="AU481" s="308">
        <v>10.0632</v>
      </c>
      <c r="AV481" s="308">
        <v>10.449400000000001</v>
      </c>
      <c r="AW481" s="308">
        <v>9.4446999999999992</v>
      </c>
      <c r="AX481" s="308">
        <v>10.344200000000001</v>
      </c>
      <c r="AY481" s="308">
        <v>5.4995000000000003</v>
      </c>
      <c r="AZ481" s="308">
        <v>6.7305999999999999</v>
      </c>
      <c r="BA481" s="308">
        <v>6.5388999999999999</v>
      </c>
      <c r="BB481" s="308">
        <v>9.2614999999999998</v>
      </c>
      <c r="BC481" s="308">
        <v>7.5201000000000002</v>
      </c>
      <c r="BD481" s="308">
        <v>7.2031999999999998</v>
      </c>
      <c r="BE481" s="308">
        <v>7.6624999999999996</v>
      </c>
      <c r="BF481" s="308">
        <v>9.4692000000000007</v>
      </c>
      <c r="BG481" s="308">
        <v>10.9945</v>
      </c>
      <c r="BH481" s="308">
        <v>11.151199999999999</v>
      </c>
      <c r="BI481" s="308">
        <v>7.2614999999999998</v>
      </c>
      <c r="BJ481" s="308">
        <v>6.8441999999999998</v>
      </c>
      <c r="BK481" s="308">
        <v>8.734</v>
      </c>
    </row>
    <row r="482" spans="1:63" x14ac:dyDescent="0.25">
      <c r="A482" s="306">
        <v>313210</v>
      </c>
      <c r="B482" s="308" t="s">
        <v>60</v>
      </c>
      <c r="C482" s="308">
        <v>12.353300000000001</v>
      </c>
      <c r="D482" s="308">
        <v>0</v>
      </c>
      <c r="E482" s="308">
        <v>11.754899999999999</v>
      </c>
      <c r="F482" s="308">
        <v>9.0645000000000007</v>
      </c>
      <c r="G482" s="308">
        <v>10.3935</v>
      </c>
      <c r="H482" s="308">
        <v>8.4824000000000002</v>
      </c>
      <c r="I482" s="308">
        <v>0</v>
      </c>
      <c r="J482" s="308">
        <v>6.9154999999999998</v>
      </c>
      <c r="K482" s="308">
        <v>1.2681</v>
      </c>
      <c r="L482" s="308">
        <v>3.9893999999999998</v>
      </c>
      <c r="M482" s="308">
        <v>9.5263000000000009</v>
      </c>
      <c r="N482" s="308">
        <v>10.906000000000001</v>
      </c>
      <c r="O482" s="308">
        <v>0</v>
      </c>
      <c r="P482" s="308">
        <v>0</v>
      </c>
      <c r="Q482" s="308">
        <v>10.9275</v>
      </c>
      <c r="R482" s="308">
        <v>8.4214000000000002</v>
      </c>
      <c r="S482" s="308">
        <v>11.9261</v>
      </c>
      <c r="T482" s="308">
        <v>0</v>
      </c>
      <c r="U482" s="308">
        <v>8.6968999999999994</v>
      </c>
      <c r="V482" s="308">
        <v>8.5104000000000006</v>
      </c>
      <c r="W482" s="308">
        <v>6.4381000000000004</v>
      </c>
      <c r="X482" s="308">
        <v>9.0015999999999998</v>
      </c>
      <c r="Y482" s="308">
        <v>9.3071000000000002</v>
      </c>
      <c r="Z482" s="308">
        <v>7.2398999999999996</v>
      </c>
      <c r="AA482" s="308">
        <v>7.5053000000000001</v>
      </c>
      <c r="AB482" s="308">
        <v>11.627000000000001</v>
      </c>
      <c r="AC482" s="308">
        <v>8.9896999999999991</v>
      </c>
      <c r="AD482" s="308">
        <v>13.9129</v>
      </c>
      <c r="AE482" s="308">
        <v>11.085000000000001</v>
      </c>
      <c r="AF482" s="308">
        <v>7.1673</v>
      </c>
      <c r="AG482" s="308">
        <v>0</v>
      </c>
      <c r="AH482" s="308">
        <v>6.3182999999999998</v>
      </c>
      <c r="AI482" s="308">
        <v>8.7085000000000008</v>
      </c>
      <c r="AJ482" s="308">
        <v>14.3032</v>
      </c>
      <c r="AK482" s="308">
        <v>14.0905</v>
      </c>
      <c r="AL482" s="308">
        <v>5.7484999999999999</v>
      </c>
      <c r="AM482" s="308">
        <v>9.0625999999999998</v>
      </c>
      <c r="AN482" s="308">
        <v>11.885</v>
      </c>
      <c r="AO482" s="308">
        <v>10.782999999999999</v>
      </c>
      <c r="AP482" s="308">
        <v>9.2974999999999994</v>
      </c>
      <c r="AQ482" s="308">
        <v>10.217700000000001</v>
      </c>
      <c r="AR482" s="308">
        <v>10.582000000000001</v>
      </c>
      <c r="AS482" s="308">
        <v>0</v>
      </c>
      <c r="AT482" s="308">
        <v>8.9443000000000001</v>
      </c>
      <c r="AU482" s="308">
        <v>10.150399999999999</v>
      </c>
      <c r="AV482" s="308">
        <v>8.3247999999999998</v>
      </c>
      <c r="AW482" s="308">
        <v>9.6237999999999992</v>
      </c>
      <c r="AX482" s="308">
        <v>8.1857000000000006</v>
      </c>
      <c r="AY482" s="308">
        <v>7.9183000000000003</v>
      </c>
      <c r="AZ482" s="308">
        <v>6.7404000000000002</v>
      </c>
      <c r="BA482" s="308">
        <v>0</v>
      </c>
      <c r="BB482" s="308">
        <v>0</v>
      </c>
      <c r="BC482" s="308">
        <v>8.2737999999999996</v>
      </c>
      <c r="BD482" s="308">
        <v>8.3590999999999998</v>
      </c>
      <c r="BE482" s="308">
        <v>7.5865999999999998</v>
      </c>
      <c r="BF482" s="308">
        <v>8.1054999999999993</v>
      </c>
      <c r="BG482" s="308">
        <v>11.4049</v>
      </c>
      <c r="BH482" s="308">
        <v>11.648300000000001</v>
      </c>
      <c r="BI482" s="308">
        <v>10.0938</v>
      </c>
      <c r="BJ482" s="308">
        <v>9.0474999999999994</v>
      </c>
      <c r="BK482" s="308">
        <v>8.9372000000000007</v>
      </c>
    </row>
    <row r="483" spans="1:63" x14ac:dyDescent="0.25">
      <c r="A483" s="306">
        <v>313220</v>
      </c>
      <c r="B483" s="308" t="s">
        <v>61</v>
      </c>
      <c r="C483" s="308">
        <v>14.487299999999999</v>
      </c>
      <c r="D483" s="308">
        <v>0</v>
      </c>
      <c r="E483" s="308">
        <v>13.777100000000001</v>
      </c>
      <c r="F483" s="308">
        <v>0</v>
      </c>
      <c r="G483" s="308">
        <v>12.6747</v>
      </c>
      <c r="H483" s="308">
        <v>10.8508</v>
      </c>
      <c r="I483" s="308">
        <v>13.3757</v>
      </c>
      <c r="J483" s="308">
        <v>8.3475000000000001</v>
      </c>
      <c r="K483" s="308">
        <v>0</v>
      </c>
      <c r="L483" s="308">
        <v>0</v>
      </c>
      <c r="M483" s="308">
        <v>11.8063</v>
      </c>
      <c r="N483" s="308">
        <v>11.518700000000001</v>
      </c>
      <c r="O483" s="308">
        <v>0</v>
      </c>
      <c r="P483" s="308">
        <v>0</v>
      </c>
      <c r="Q483" s="308">
        <v>10.2462</v>
      </c>
      <c r="R483" s="308">
        <v>11.873699999999999</v>
      </c>
      <c r="S483" s="308">
        <v>0</v>
      </c>
      <c r="T483" s="308">
        <v>11.950699999999999</v>
      </c>
      <c r="U483" s="308">
        <v>10.3386</v>
      </c>
      <c r="V483" s="308">
        <v>13.9152</v>
      </c>
      <c r="W483" s="308">
        <v>10.913</v>
      </c>
      <c r="X483" s="308">
        <v>10.889799999999999</v>
      </c>
      <c r="Y483" s="308">
        <v>11.7911</v>
      </c>
      <c r="Z483" s="308">
        <v>13.844799999999999</v>
      </c>
      <c r="AA483" s="308">
        <v>9.2477999999999998</v>
      </c>
      <c r="AB483" s="308">
        <v>0</v>
      </c>
      <c r="AC483" s="308">
        <v>0</v>
      </c>
      <c r="AD483" s="308">
        <v>9.9573</v>
      </c>
      <c r="AE483" s="308">
        <v>12.356400000000001</v>
      </c>
      <c r="AF483" s="308">
        <v>0</v>
      </c>
      <c r="AG483" s="308">
        <v>0</v>
      </c>
      <c r="AH483" s="308">
        <v>10.175000000000001</v>
      </c>
      <c r="AI483" s="308">
        <v>8.4623000000000008</v>
      </c>
      <c r="AJ483" s="308">
        <v>11.026999999999999</v>
      </c>
      <c r="AK483" s="308">
        <v>0</v>
      </c>
      <c r="AL483" s="308">
        <v>7.0937000000000001</v>
      </c>
      <c r="AM483" s="308">
        <v>9.9640000000000004</v>
      </c>
      <c r="AN483" s="308">
        <v>14.2895</v>
      </c>
      <c r="AO483" s="308">
        <v>0</v>
      </c>
      <c r="AP483" s="308">
        <v>11.210900000000001</v>
      </c>
      <c r="AQ483" s="308">
        <v>10.7461</v>
      </c>
      <c r="AR483" s="308">
        <v>14.222799999999999</v>
      </c>
      <c r="AS483" s="308">
        <v>0</v>
      </c>
      <c r="AT483" s="308">
        <v>11.7462</v>
      </c>
      <c r="AU483" s="308">
        <v>11.6967</v>
      </c>
      <c r="AV483" s="308">
        <v>15.1747</v>
      </c>
      <c r="AW483" s="308">
        <v>15.655900000000001</v>
      </c>
      <c r="AX483" s="308">
        <v>0</v>
      </c>
      <c r="AY483" s="308">
        <v>0</v>
      </c>
      <c r="AZ483" s="308">
        <v>0</v>
      </c>
      <c r="BA483" s="308">
        <v>0</v>
      </c>
      <c r="BB483" s="308">
        <v>0</v>
      </c>
      <c r="BC483" s="308">
        <v>11.253500000000001</v>
      </c>
      <c r="BD483" s="308">
        <v>10.0046</v>
      </c>
      <c r="BE483" s="308">
        <v>10.9434</v>
      </c>
      <c r="BF483" s="308">
        <v>10.1187</v>
      </c>
      <c r="BG483" s="308">
        <v>14.0875</v>
      </c>
      <c r="BH483" s="308">
        <v>13.7105</v>
      </c>
      <c r="BI483" s="308">
        <v>11.8977</v>
      </c>
      <c r="BJ483" s="308">
        <v>11.5077</v>
      </c>
      <c r="BK483" s="308">
        <v>10.8804</v>
      </c>
    </row>
    <row r="484" spans="1:63" x14ac:dyDescent="0.25">
      <c r="A484" s="306">
        <v>313230</v>
      </c>
      <c r="B484" s="308" t="s">
        <v>62</v>
      </c>
      <c r="C484" s="308">
        <v>8.7235999999999994</v>
      </c>
      <c r="D484" s="308">
        <v>0</v>
      </c>
      <c r="E484" s="308">
        <v>7.9480000000000004</v>
      </c>
      <c r="F484" s="308">
        <v>5.3581000000000003</v>
      </c>
      <c r="G484" s="308">
        <v>7.3013000000000003</v>
      </c>
      <c r="H484" s="308">
        <v>6.6997999999999998</v>
      </c>
      <c r="I484" s="308">
        <v>0</v>
      </c>
      <c r="J484" s="308">
        <v>4.1177999999999999</v>
      </c>
      <c r="K484" s="308">
        <v>0</v>
      </c>
      <c r="L484" s="308">
        <v>3.6736</v>
      </c>
      <c r="M484" s="308">
        <v>6.4264999999999999</v>
      </c>
      <c r="N484" s="308">
        <v>6.2656000000000001</v>
      </c>
      <c r="O484" s="308">
        <v>0</v>
      </c>
      <c r="P484" s="308">
        <v>0</v>
      </c>
      <c r="Q484" s="308">
        <v>5.8654000000000002</v>
      </c>
      <c r="R484" s="308">
        <v>7.0536000000000003</v>
      </c>
      <c r="S484" s="308">
        <v>7.2054999999999998</v>
      </c>
      <c r="T484" s="308">
        <v>6.5335000000000001</v>
      </c>
      <c r="U484" s="308">
        <v>6.8396999999999997</v>
      </c>
      <c r="V484" s="308">
        <v>0</v>
      </c>
      <c r="W484" s="308">
        <v>5.3956</v>
      </c>
      <c r="X484" s="308">
        <v>4.4108000000000001</v>
      </c>
      <c r="Y484" s="308">
        <v>6.4134000000000002</v>
      </c>
      <c r="Z484" s="308">
        <v>0</v>
      </c>
      <c r="AA484" s="308">
        <v>0</v>
      </c>
      <c r="AB484" s="308">
        <v>5.0831999999999997</v>
      </c>
      <c r="AC484" s="308">
        <v>6.0340999999999996</v>
      </c>
      <c r="AD484" s="308">
        <v>0</v>
      </c>
      <c r="AE484" s="308">
        <v>7.0335999999999999</v>
      </c>
      <c r="AF484" s="308">
        <v>0</v>
      </c>
      <c r="AG484" s="308">
        <v>5.4587000000000003</v>
      </c>
      <c r="AH484" s="308">
        <v>5.4751000000000003</v>
      </c>
      <c r="AI484" s="308">
        <v>4.9671000000000003</v>
      </c>
      <c r="AJ484" s="308">
        <v>0</v>
      </c>
      <c r="AK484" s="308">
        <v>5.5568</v>
      </c>
      <c r="AL484" s="308">
        <v>4.3692000000000002</v>
      </c>
      <c r="AM484" s="308">
        <v>7.6106999999999996</v>
      </c>
      <c r="AN484" s="308">
        <v>7.4322999999999997</v>
      </c>
      <c r="AO484" s="308">
        <v>0</v>
      </c>
      <c r="AP484" s="308">
        <v>7.1783999999999999</v>
      </c>
      <c r="AQ484" s="308">
        <v>6.0156000000000001</v>
      </c>
      <c r="AR484" s="308">
        <v>7.3314000000000004</v>
      </c>
      <c r="AS484" s="308">
        <v>0</v>
      </c>
      <c r="AT484" s="308">
        <v>6.1841999999999997</v>
      </c>
      <c r="AU484" s="308">
        <v>7.0130999999999997</v>
      </c>
      <c r="AV484" s="308">
        <v>0</v>
      </c>
      <c r="AW484" s="308">
        <v>6.3009000000000004</v>
      </c>
      <c r="AX484" s="308">
        <v>0</v>
      </c>
      <c r="AY484" s="308">
        <v>5.1148999999999996</v>
      </c>
      <c r="AZ484" s="308">
        <v>5.9673999999999996</v>
      </c>
      <c r="BA484" s="308">
        <v>6.3733000000000004</v>
      </c>
      <c r="BB484" s="308">
        <v>0</v>
      </c>
      <c r="BC484" s="308">
        <v>6.4455999999999998</v>
      </c>
      <c r="BD484" s="308">
        <v>6.1279000000000003</v>
      </c>
      <c r="BE484" s="308">
        <v>7.1646999999999998</v>
      </c>
      <c r="BF484" s="308">
        <v>6.1311</v>
      </c>
      <c r="BG484" s="308">
        <v>7.2626999999999997</v>
      </c>
      <c r="BH484" s="308">
        <v>7.3529999999999998</v>
      </c>
      <c r="BI484" s="308">
        <v>6.8388</v>
      </c>
      <c r="BJ484" s="308">
        <v>6.9245999999999999</v>
      </c>
      <c r="BK484" s="308">
        <v>6.4888000000000003</v>
      </c>
    </row>
    <row r="485" spans="1:63" x14ac:dyDescent="0.25">
      <c r="A485" s="306">
        <v>313240</v>
      </c>
      <c r="B485" s="308" t="s">
        <v>63</v>
      </c>
      <c r="C485" s="308">
        <v>13.2455</v>
      </c>
      <c r="D485" s="308">
        <v>0</v>
      </c>
      <c r="E485" s="308">
        <v>14.207700000000001</v>
      </c>
      <c r="F485" s="308">
        <v>0</v>
      </c>
      <c r="G485" s="308">
        <v>12.6435</v>
      </c>
      <c r="H485" s="308">
        <v>10.773899999999999</v>
      </c>
      <c r="I485" s="308">
        <v>0</v>
      </c>
      <c r="J485" s="308">
        <v>0</v>
      </c>
      <c r="K485" s="308">
        <v>0</v>
      </c>
      <c r="L485" s="308">
        <v>0</v>
      </c>
      <c r="M485" s="308">
        <v>9.8512000000000004</v>
      </c>
      <c r="N485" s="308">
        <v>11.5166</v>
      </c>
      <c r="O485" s="308">
        <v>0</v>
      </c>
      <c r="P485" s="308">
        <v>6.9261999999999997</v>
      </c>
      <c r="Q485" s="308">
        <v>0</v>
      </c>
      <c r="R485" s="308">
        <v>12.0008</v>
      </c>
      <c r="S485" s="308">
        <v>11.853199999999999</v>
      </c>
      <c r="T485" s="308">
        <v>9.0397999999999996</v>
      </c>
      <c r="U485" s="308">
        <v>9.7538</v>
      </c>
      <c r="V485" s="308">
        <v>0</v>
      </c>
      <c r="W485" s="308">
        <v>6.9416000000000002</v>
      </c>
      <c r="X485" s="308">
        <v>8.6550999999999991</v>
      </c>
      <c r="Y485" s="308">
        <v>14.1286</v>
      </c>
      <c r="Z485" s="308">
        <v>7.9760999999999997</v>
      </c>
      <c r="AA485" s="308">
        <v>10.174200000000001</v>
      </c>
      <c r="AB485" s="308">
        <v>10.8446</v>
      </c>
      <c r="AC485" s="308">
        <v>12.3249</v>
      </c>
      <c r="AD485" s="308">
        <v>0</v>
      </c>
      <c r="AE485" s="308">
        <v>11.829700000000001</v>
      </c>
      <c r="AF485" s="308">
        <v>0</v>
      </c>
      <c r="AG485" s="308">
        <v>0</v>
      </c>
      <c r="AH485" s="308">
        <v>7.7740999999999998</v>
      </c>
      <c r="AI485" s="308">
        <v>7.8231000000000002</v>
      </c>
      <c r="AJ485" s="308">
        <v>0</v>
      </c>
      <c r="AK485" s="308">
        <v>0</v>
      </c>
      <c r="AL485" s="308">
        <v>6.0279999999999996</v>
      </c>
      <c r="AM485" s="308">
        <v>0</v>
      </c>
      <c r="AN485" s="308">
        <v>0</v>
      </c>
      <c r="AO485" s="308">
        <v>0</v>
      </c>
      <c r="AP485" s="308">
        <v>9.6199999999999992</v>
      </c>
      <c r="AQ485" s="308">
        <v>8.0564999999999998</v>
      </c>
      <c r="AR485" s="308">
        <v>11.1251</v>
      </c>
      <c r="AS485" s="308">
        <v>0</v>
      </c>
      <c r="AT485" s="308">
        <v>11.043699999999999</v>
      </c>
      <c r="AU485" s="308">
        <v>0</v>
      </c>
      <c r="AV485" s="308">
        <v>0</v>
      </c>
      <c r="AW485" s="308">
        <v>0</v>
      </c>
      <c r="AX485" s="308">
        <v>0</v>
      </c>
      <c r="AY485" s="308">
        <v>0</v>
      </c>
      <c r="AZ485" s="308">
        <v>7.7824999999999998</v>
      </c>
      <c r="BA485" s="308">
        <v>0</v>
      </c>
      <c r="BB485" s="308">
        <v>0</v>
      </c>
      <c r="BC485" s="308">
        <v>8.1647999999999996</v>
      </c>
      <c r="BD485" s="308">
        <v>8.3590999999999998</v>
      </c>
      <c r="BE485" s="308">
        <v>10.2042</v>
      </c>
      <c r="BF485" s="308">
        <v>9.0959000000000003</v>
      </c>
      <c r="BG485" s="308">
        <v>12.2758</v>
      </c>
      <c r="BH485" s="308">
        <v>12.7593</v>
      </c>
      <c r="BI485" s="308">
        <v>0</v>
      </c>
      <c r="BJ485" s="308">
        <v>12.3584</v>
      </c>
      <c r="BK485" s="308">
        <v>10.8292</v>
      </c>
    </row>
    <row r="486" spans="1:63" x14ac:dyDescent="0.25">
      <c r="A486" s="306">
        <v>313310</v>
      </c>
      <c r="B486" s="308" t="s">
        <v>64</v>
      </c>
      <c r="C486" s="308">
        <v>10.36</v>
      </c>
      <c r="D486" s="308">
        <v>5.5242000000000004</v>
      </c>
      <c r="E486" s="308">
        <v>9.9450000000000003</v>
      </c>
      <c r="F486" s="308">
        <v>7.5822000000000003</v>
      </c>
      <c r="G486" s="308">
        <v>8.9540000000000006</v>
      </c>
      <c r="H486" s="308">
        <v>8.4010999999999996</v>
      </c>
      <c r="I486" s="308">
        <v>5.9901</v>
      </c>
      <c r="J486" s="308">
        <v>5.6894999999999998</v>
      </c>
      <c r="K486" s="308">
        <v>2.6225000000000001</v>
      </c>
      <c r="L486" s="308">
        <v>6.4402999999999997</v>
      </c>
      <c r="M486" s="308">
        <v>5.6372</v>
      </c>
      <c r="N486" s="308">
        <v>7.9798999999999998</v>
      </c>
      <c r="O486" s="308">
        <v>8.2657000000000007</v>
      </c>
      <c r="P486" s="308">
        <v>8.5479000000000003</v>
      </c>
      <c r="Q486" s="308">
        <v>9.3590999999999998</v>
      </c>
      <c r="R486" s="308">
        <v>6.1039000000000003</v>
      </c>
      <c r="S486" s="308">
        <v>8.1028000000000002</v>
      </c>
      <c r="T486" s="308">
        <v>7.8806000000000003</v>
      </c>
      <c r="U486" s="308">
        <v>7.0327000000000002</v>
      </c>
      <c r="V486" s="308">
        <v>6.2032999999999996</v>
      </c>
      <c r="W486" s="308">
        <v>5.6142000000000003</v>
      </c>
      <c r="X486" s="308">
        <v>5.9611000000000001</v>
      </c>
      <c r="Y486" s="308">
        <v>8.5855999999999995</v>
      </c>
      <c r="Z486" s="308">
        <v>6.4995000000000003</v>
      </c>
      <c r="AA486" s="308">
        <v>8.9692000000000007</v>
      </c>
      <c r="AB486" s="308">
        <v>6.6722000000000001</v>
      </c>
      <c r="AC486" s="308">
        <v>10.558199999999999</v>
      </c>
      <c r="AD486" s="308">
        <v>9.2645</v>
      </c>
      <c r="AE486" s="308">
        <v>9.3452000000000002</v>
      </c>
      <c r="AF486" s="308">
        <v>6.2206999999999999</v>
      </c>
      <c r="AG486" s="308">
        <v>6.9775999999999998</v>
      </c>
      <c r="AH486" s="308">
        <v>7.9787999999999997</v>
      </c>
      <c r="AI486" s="308">
        <v>5.9055</v>
      </c>
      <c r="AJ486" s="308">
        <v>9.2661999999999995</v>
      </c>
      <c r="AK486" s="308">
        <v>0</v>
      </c>
      <c r="AL486" s="308">
        <v>4.7215999999999996</v>
      </c>
      <c r="AM486" s="308">
        <v>5.9924999999999997</v>
      </c>
      <c r="AN486" s="308">
        <v>9.8027999999999995</v>
      </c>
      <c r="AO486" s="308">
        <v>9.7363999999999997</v>
      </c>
      <c r="AP486" s="308">
        <v>8.2339000000000002</v>
      </c>
      <c r="AQ486" s="308">
        <v>5.9638999999999998</v>
      </c>
      <c r="AR486" s="308">
        <v>9.0762999999999998</v>
      </c>
      <c r="AS486" s="308">
        <v>5.5877999999999997</v>
      </c>
      <c r="AT486" s="308">
        <v>8.702</v>
      </c>
      <c r="AU486" s="308">
        <v>7.9699</v>
      </c>
      <c r="AV486" s="308">
        <v>8.7007999999999992</v>
      </c>
      <c r="AW486" s="308">
        <v>8.4107000000000003</v>
      </c>
      <c r="AX486" s="308">
        <v>8.4391999999999996</v>
      </c>
      <c r="AY486" s="308">
        <v>9.2251999999999992</v>
      </c>
      <c r="AZ486" s="308">
        <v>10.724299999999999</v>
      </c>
      <c r="BA486" s="308">
        <v>0</v>
      </c>
      <c r="BB486" s="308">
        <v>8.8230000000000004</v>
      </c>
      <c r="BC486" s="308">
        <v>7.0038999999999998</v>
      </c>
      <c r="BD486" s="308">
        <v>6.6700999999999997</v>
      </c>
      <c r="BE486" s="308">
        <v>6.6147</v>
      </c>
      <c r="BF486" s="308">
        <v>8.4603999999999999</v>
      </c>
      <c r="BG486" s="308">
        <v>9.4472000000000005</v>
      </c>
      <c r="BH486" s="308">
        <v>10.3431</v>
      </c>
      <c r="BI486" s="308">
        <v>8.1652000000000005</v>
      </c>
      <c r="BJ486" s="308">
        <v>8.2650000000000006</v>
      </c>
      <c r="BK486" s="308">
        <v>8.4925999999999995</v>
      </c>
    </row>
    <row r="487" spans="1:63" x14ac:dyDescent="0.25">
      <c r="A487" s="306">
        <v>313320</v>
      </c>
      <c r="B487" s="308" t="s">
        <v>65</v>
      </c>
      <c r="C487" s="308">
        <v>10.3835</v>
      </c>
      <c r="D487" s="308">
        <v>0</v>
      </c>
      <c r="E487" s="308">
        <v>0</v>
      </c>
      <c r="F487" s="308">
        <v>8.3412000000000006</v>
      </c>
      <c r="G487" s="308">
        <v>5.3571</v>
      </c>
      <c r="H487" s="308">
        <v>6.4227999999999996</v>
      </c>
      <c r="I487" s="308">
        <v>8.3414999999999999</v>
      </c>
      <c r="J487" s="308">
        <v>5.7146999999999997</v>
      </c>
      <c r="K487" s="308">
        <v>0</v>
      </c>
      <c r="L487" s="308">
        <v>6.1650999999999998</v>
      </c>
      <c r="M487" s="308">
        <v>7.6436999999999999</v>
      </c>
      <c r="N487" s="308">
        <v>10.0999</v>
      </c>
      <c r="O487" s="308">
        <v>0</v>
      </c>
      <c r="P487" s="308">
        <v>0</v>
      </c>
      <c r="Q487" s="308">
        <v>0</v>
      </c>
      <c r="R487" s="308">
        <v>7.1566000000000001</v>
      </c>
      <c r="S487" s="308">
        <v>8.4486000000000008</v>
      </c>
      <c r="T487" s="308">
        <v>0</v>
      </c>
      <c r="U487" s="308">
        <v>0</v>
      </c>
      <c r="V487" s="308">
        <v>0</v>
      </c>
      <c r="W487" s="308">
        <v>6.1322999999999999</v>
      </c>
      <c r="X487" s="308">
        <v>5.0964999999999998</v>
      </c>
      <c r="Y487" s="308">
        <v>7.1352000000000002</v>
      </c>
      <c r="Z487" s="308">
        <v>7.2319000000000004</v>
      </c>
      <c r="AA487" s="308">
        <v>6.6334999999999997</v>
      </c>
      <c r="AB487" s="308">
        <v>5.7588999999999997</v>
      </c>
      <c r="AC487" s="308">
        <v>0</v>
      </c>
      <c r="AD487" s="308">
        <v>0</v>
      </c>
      <c r="AE487" s="308">
        <v>9.5965000000000007</v>
      </c>
      <c r="AF487" s="308">
        <v>0</v>
      </c>
      <c r="AG487" s="308">
        <v>0</v>
      </c>
      <c r="AH487" s="308">
        <v>6.3319000000000001</v>
      </c>
      <c r="AI487" s="308">
        <v>6.3821000000000003</v>
      </c>
      <c r="AJ487" s="308">
        <v>8.1196000000000002</v>
      </c>
      <c r="AK487" s="308">
        <v>7.2245999999999997</v>
      </c>
      <c r="AL487" s="308">
        <v>5.5293999999999999</v>
      </c>
      <c r="AM487" s="308">
        <v>8.0081000000000007</v>
      </c>
      <c r="AN487" s="308">
        <v>7.5571999999999999</v>
      </c>
      <c r="AO487" s="308">
        <v>0</v>
      </c>
      <c r="AP487" s="308">
        <v>8.0572999999999997</v>
      </c>
      <c r="AQ487" s="308">
        <v>8.0335000000000001</v>
      </c>
      <c r="AR487" s="308">
        <v>9.0161999999999995</v>
      </c>
      <c r="AS487" s="308">
        <v>0</v>
      </c>
      <c r="AT487" s="308">
        <v>8.9583999999999993</v>
      </c>
      <c r="AU487" s="308">
        <v>8.5968999999999998</v>
      </c>
      <c r="AV487" s="308">
        <v>9.6697000000000006</v>
      </c>
      <c r="AW487" s="308">
        <v>8.7516999999999996</v>
      </c>
      <c r="AX487" s="308">
        <v>0</v>
      </c>
      <c r="AY487" s="308">
        <v>7.1458000000000004</v>
      </c>
      <c r="AZ487" s="308">
        <v>8.1638999999999999</v>
      </c>
      <c r="BA487" s="308">
        <v>0</v>
      </c>
      <c r="BB487" s="308">
        <v>0</v>
      </c>
      <c r="BC487" s="308">
        <v>7.319</v>
      </c>
      <c r="BD487" s="308">
        <v>7.2576999999999998</v>
      </c>
      <c r="BE487" s="308">
        <v>8.1663999999999994</v>
      </c>
      <c r="BF487" s="308">
        <v>6.0675999999999997</v>
      </c>
      <c r="BG487" s="308">
        <v>9.9520999999999997</v>
      </c>
      <c r="BH487" s="308">
        <v>9.8743999999999996</v>
      </c>
      <c r="BI487" s="308">
        <v>8.8023000000000007</v>
      </c>
      <c r="BJ487" s="308">
        <v>7.3434999999999997</v>
      </c>
      <c r="BK487" s="308">
        <v>6.6028000000000002</v>
      </c>
    </row>
    <row r="488" spans="1:63" x14ac:dyDescent="0.25">
      <c r="A488" s="306">
        <v>314110</v>
      </c>
      <c r="B488" s="308" t="s">
        <v>66</v>
      </c>
      <c r="C488" s="308">
        <v>9.8812999999999995</v>
      </c>
      <c r="D488" s="308">
        <v>0</v>
      </c>
      <c r="E488" s="308">
        <v>9.8597999999999999</v>
      </c>
      <c r="F488" s="308">
        <v>4.8329000000000004</v>
      </c>
      <c r="G488" s="308">
        <v>4.2590000000000003</v>
      </c>
      <c r="H488" s="308">
        <v>4.7830000000000004</v>
      </c>
      <c r="I488" s="308">
        <v>4.0026000000000002</v>
      </c>
      <c r="J488" s="308">
        <v>3.0632000000000001</v>
      </c>
      <c r="K488" s="308">
        <v>1.9843</v>
      </c>
      <c r="L488" s="308">
        <v>0</v>
      </c>
      <c r="M488" s="308">
        <v>5.1936999999999998</v>
      </c>
      <c r="N488" s="308">
        <v>8.0656999999999996</v>
      </c>
      <c r="O488" s="308">
        <v>0</v>
      </c>
      <c r="P488" s="308">
        <v>3.4047000000000001</v>
      </c>
      <c r="Q488" s="308">
        <v>0</v>
      </c>
      <c r="R488" s="308">
        <v>3.5222000000000002</v>
      </c>
      <c r="S488" s="308">
        <v>5.0589000000000004</v>
      </c>
      <c r="T488" s="308">
        <v>3.5556000000000001</v>
      </c>
      <c r="U488" s="308">
        <v>5.1352000000000002</v>
      </c>
      <c r="V488" s="308">
        <v>0</v>
      </c>
      <c r="W488" s="308">
        <v>5.1410999999999998</v>
      </c>
      <c r="X488" s="308">
        <v>4.3842999999999996</v>
      </c>
      <c r="Y488" s="308">
        <v>7.0162000000000004</v>
      </c>
      <c r="Z488" s="308">
        <v>4.0372000000000003</v>
      </c>
      <c r="AA488" s="308">
        <v>5.8334999999999999</v>
      </c>
      <c r="AB488" s="308">
        <v>4.8129</v>
      </c>
      <c r="AC488" s="308">
        <v>0</v>
      </c>
      <c r="AD488" s="308">
        <v>0</v>
      </c>
      <c r="AE488" s="308">
        <v>9.3529</v>
      </c>
      <c r="AF488" s="308">
        <v>0</v>
      </c>
      <c r="AG488" s="308">
        <v>5.7797999999999998</v>
      </c>
      <c r="AH488" s="308">
        <v>4.0309999999999997</v>
      </c>
      <c r="AI488" s="308">
        <v>3.8216000000000001</v>
      </c>
      <c r="AJ488" s="308">
        <v>5.8497000000000003</v>
      </c>
      <c r="AK488" s="308">
        <v>0</v>
      </c>
      <c r="AL488" s="308">
        <v>3.0945</v>
      </c>
      <c r="AM488" s="308">
        <v>5.3912000000000004</v>
      </c>
      <c r="AN488" s="308">
        <v>3.3365</v>
      </c>
      <c r="AO488" s="308">
        <v>0</v>
      </c>
      <c r="AP488" s="308">
        <v>5.2685000000000004</v>
      </c>
      <c r="AQ488" s="308">
        <v>6.8030999999999997</v>
      </c>
      <c r="AR488" s="308">
        <v>8.6816999999999993</v>
      </c>
      <c r="AS488" s="308">
        <v>0</v>
      </c>
      <c r="AT488" s="308">
        <v>7.8975999999999997</v>
      </c>
      <c r="AU488" s="308">
        <v>4.5677000000000003</v>
      </c>
      <c r="AV488" s="308">
        <v>0</v>
      </c>
      <c r="AW488" s="308">
        <v>7.8379000000000003</v>
      </c>
      <c r="AX488" s="308">
        <v>6.3715000000000002</v>
      </c>
      <c r="AY488" s="308">
        <v>4.4577</v>
      </c>
      <c r="AZ488" s="308">
        <v>6.0830000000000002</v>
      </c>
      <c r="BA488" s="308">
        <v>0</v>
      </c>
      <c r="BB488" s="308">
        <v>0</v>
      </c>
      <c r="BC488" s="308">
        <v>6.1106999999999996</v>
      </c>
      <c r="BD488" s="308">
        <v>4.5157999999999996</v>
      </c>
      <c r="BE488" s="308">
        <v>4.9061000000000003</v>
      </c>
      <c r="BF488" s="308">
        <v>4.3078000000000003</v>
      </c>
      <c r="BG488" s="308">
        <v>8.6821999999999999</v>
      </c>
      <c r="BH488" s="308">
        <v>9.9274000000000004</v>
      </c>
      <c r="BI488" s="308">
        <v>4.7398999999999996</v>
      </c>
      <c r="BJ488" s="308">
        <v>4.0223000000000004</v>
      </c>
      <c r="BK488" s="308">
        <v>4.7866</v>
      </c>
    </row>
    <row r="489" spans="1:63" x14ac:dyDescent="0.25">
      <c r="A489" s="306">
        <v>314120</v>
      </c>
      <c r="B489" s="308" t="s">
        <v>67</v>
      </c>
      <c r="C489" s="308">
        <v>11.7591</v>
      </c>
      <c r="D489" s="308">
        <v>0</v>
      </c>
      <c r="E489" s="308">
        <v>11.841699999999999</v>
      </c>
      <c r="F489" s="308">
        <v>10.716100000000001</v>
      </c>
      <c r="G489" s="308">
        <v>8.5442</v>
      </c>
      <c r="H489" s="308">
        <v>8.4266000000000005</v>
      </c>
      <c r="I489" s="308">
        <v>6.915</v>
      </c>
      <c r="J489" s="308">
        <v>7.7153</v>
      </c>
      <c r="K489" s="308">
        <v>2.1741000000000001</v>
      </c>
      <c r="L489" s="308">
        <v>6.8959000000000001</v>
      </c>
      <c r="M489" s="308">
        <v>9.6428999999999991</v>
      </c>
      <c r="N489" s="308">
        <v>10.3422</v>
      </c>
      <c r="O489" s="308">
        <v>7.7241</v>
      </c>
      <c r="P489" s="308">
        <v>10.417899999999999</v>
      </c>
      <c r="Q489" s="308">
        <v>10.3812</v>
      </c>
      <c r="R489" s="308">
        <v>8.3187999999999995</v>
      </c>
      <c r="S489" s="308">
        <v>9.7127999999999997</v>
      </c>
      <c r="T489" s="308">
        <v>8.5816999999999997</v>
      </c>
      <c r="U489" s="308">
        <v>8.7187000000000001</v>
      </c>
      <c r="V489" s="308">
        <v>10.2066</v>
      </c>
      <c r="W489" s="308">
        <v>7.0666000000000002</v>
      </c>
      <c r="X489" s="308">
        <v>7.0938999999999997</v>
      </c>
      <c r="Y489" s="308">
        <v>11.1227</v>
      </c>
      <c r="Z489" s="308">
        <v>9.8277999999999999</v>
      </c>
      <c r="AA489" s="308">
        <v>9.2795000000000005</v>
      </c>
      <c r="AB489" s="308">
        <v>10.6036</v>
      </c>
      <c r="AC489" s="308">
        <v>10.0526</v>
      </c>
      <c r="AD489" s="308">
        <v>9.0324000000000009</v>
      </c>
      <c r="AE489" s="308">
        <v>10.943300000000001</v>
      </c>
      <c r="AF489" s="308">
        <v>7.4330999999999996</v>
      </c>
      <c r="AG489" s="308">
        <v>8.2248000000000001</v>
      </c>
      <c r="AH489" s="308">
        <v>9.1344999999999992</v>
      </c>
      <c r="AI489" s="308">
        <v>6.1532999999999998</v>
      </c>
      <c r="AJ489" s="308">
        <v>7.3079000000000001</v>
      </c>
      <c r="AK489" s="308">
        <v>6.9547999999999996</v>
      </c>
      <c r="AL489" s="308">
        <v>5.9545000000000003</v>
      </c>
      <c r="AM489" s="308">
        <v>8.1890000000000001</v>
      </c>
      <c r="AN489" s="308">
        <v>9.7347000000000001</v>
      </c>
      <c r="AO489" s="308">
        <v>8.8186</v>
      </c>
      <c r="AP489" s="308">
        <v>11.005699999999999</v>
      </c>
      <c r="AQ489" s="308">
        <v>7.5060000000000002</v>
      </c>
      <c r="AR489" s="308">
        <v>11.379300000000001</v>
      </c>
      <c r="AS489" s="308">
        <v>10.4343</v>
      </c>
      <c r="AT489" s="308">
        <v>9.0164000000000009</v>
      </c>
      <c r="AU489" s="308">
        <v>9.9029000000000007</v>
      </c>
      <c r="AV489" s="308">
        <v>11.0242</v>
      </c>
      <c r="AW489" s="308">
        <v>10.250999999999999</v>
      </c>
      <c r="AX489" s="308">
        <v>10.118600000000001</v>
      </c>
      <c r="AY489" s="308">
        <v>6.6360000000000001</v>
      </c>
      <c r="AZ489" s="308">
        <v>10.791700000000001</v>
      </c>
      <c r="BA489" s="308">
        <v>9.4633000000000003</v>
      </c>
      <c r="BB489" s="308">
        <v>3.5059999999999998</v>
      </c>
      <c r="BC489" s="308">
        <v>9.3581000000000003</v>
      </c>
      <c r="BD489" s="308">
        <v>7.9114000000000004</v>
      </c>
      <c r="BE489" s="308">
        <v>9.1904000000000003</v>
      </c>
      <c r="BF489" s="308">
        <v>9.9677000000000007</v>
      </c>
      <c r="BG489" s="308">
        <v>11.2684</v>
      </c>
      <c r="BH489" s="308">
        <v>11.613200000000001</v>
      </c>
      <c r="BI489" s="308">
        <v>9.9911999999999992</v>
      </c>
      <c r="BJ489" s="308">
        <v>8.3453999999999997</v>
      </c>
      <c r="BK489" s="308">
        <v>8.4330999999999996</v>
      </c>
    </row>
    <row r="490" spans="1:63" x14ac:dyDescent="0.25">
      <c r="A490" s="306">
        <v>314910</v>
      </c>
      <c r="B490" s="308" t="s">
        <v>68</v>
      </c>
      <c r="C490" s="308">
        <v>14.9815</v>
      </c>
      <c r="D490" s="308">
        <v>11.9467</v>
      </c>
      <c r="E490" s="308">
        <v>14.517300000000001</v>
      </c>
      <c r="F490" s="308">
        <v>11.2447</v>
      </c>
      <c r="G490" s="308">
        <v>14.585900000000001</v>
      </c>
      <c r="H490" s="308">
        <v>11.0212</v>
      </c>
      <c r="I490" s="308">
        <v>12.063000000000001</v>
      </c>
      <c r="J490" s="308">
        <v>9.9513999999999996</v>
      </c>
      <c r="K490" s="308">
        <v>0</v>
      </c>
      <c r="L490" s="308">
        <v>7.2561</v>
      </c>
      <c r="M490" s="308">
        <v>11.4611</v>
      </c>
      <c r="N490" s="308">
        <v>14.6738</v>
      </c>
      <c r="O490" s="308">
        <v>14.0906</v>
      </c>
      <c r="P490" s="308">
        <v>13.347200000000001</v>
      </c>
      <c r="Q490" s="308">
        <v>15.0916</v>
      </c>
      <c r="R490" s="308">
        <v>12.8636</v>
      </c>
      <c r="S490" s="308">
        <v>11.679600000000001</v>
      </c>
      <c r="T490" s="308">
        <v>13.9231</v>
      </c>
      <c r="U490" s="308">
        <v>15.5664</v>
      </c>
      <c r="V490" s="308">
        <v>11.3725</v>
      </c>
      <c r="W490" s="308">
        <v>9.2721</v>
      </c>
      <c r="X490" s="308">
        <v>9.8612000000000002</v>
      </c>
      <c r="Y490" s="308">
        <v>11.3165</v>
      </c>
      <c r="Z490" s="308">
        <v>13.193</v>
      </c>
      <c r="AA490" s="308">
        <v>13.650600000000001</v>
      </c>
      <c r="AB490" s="308">
        <v>13.0678</v>
      </c>
      <c r="AC490" s="308">
        <v>14.681699999999999</v>
      </c>
      <c r="AD490" s="308">
        <v>15</v>
      </c>
      <c r="AE490" s="308">
        <v>15.1976</v>
      </c>
      <c r="AF490" s="308">
        <v>9.5660000000000007</v>
      </c>
      <c r="AG490" s="308">
        <v>14.1342</v>
      </c>
      <c r="AH490" s="308">
        <v>9.6926000000000005</v>
      </c>
      <c r="AI490" s="308">
        <v>11.1546</v>
      </c>
      <c r="AJ490" s="308">
        <v>14.8286</v>
      </c>
      <c r="AK490" s="308">
        <v>9.8796999999999997</v>
      </c>
      <c r="AL490" s="308">
        <v>10.814</v>
      </c>
      <c r="AM490" s="308">
        <v>12.5197</v>
      </c>
      <c r="AN490" s="308">
        <v>14.2401</v>
      </c>
      <c r="AO490" s="308">
        <v>12.9137</v>
      </c>
      <c r="AP490" s="308">
        <v>13.224</v>
      </c>
      <c r="AQ490" s="308">
        <v>11.233599999999999</v>
      </c>
      <c r="AR490" s="308">
        <v>15.3714</v>
      </c>
      <c r="AS490" s="308">
        <v>11.696</v>
      </c>
      <c r="AT490" s="308">
        <v>10.287000000000001</v>
      </c>
      <c r="AU490" s="308">
        <v>15.551600000000001</v>
      </c>
      <c r="AV490" s="308">
        <v>13.242599999999999</v>
      </c>
      <c r="AW490" s="308">
        <v>10.9688</v>
      </c>
      <c r="AX490" s="308">
        <v>11.656599999999999</v>
      </c>
      <c r="AY490" s="308">
        <v>10.759600000000001</v>
      </c>
      <c r="AZ490" s="308">
        <v>14.953900000000001</v>
      </c>
      <c r="BA490" s="308">
        <v>13.292999999999999</v>
      </c>
      <c r="BB490" s="308">
        <v>7.7390999999999996</v>
      </c>
      <c r="BC490" s="308">
        <v>11.5311</v>
      </c>
      <c r="BD490" s="308">
        <v>12.663399999999999</v>
      </c>
      <c r="BE490" s="308">
        <v>13.362299999999999</v>
      </c>
      <c r="BF490" s="308">
        <v>13.622999999999999</v>
      </c>
      <c r="BG490" s="308">
        <v>13.928699999999999</v>
      </c>
      <c r="BH490" s="308">
        <v>14.2303</v>
      </c>
      <c r="BI490" s="308">
        <v>14.7026</v>
      </c>
      <c r="BJ490" s="308">
        <v>13.0192</v>
      </c>
      <c r="BK490" s="308">
        <v>11.3954</v>
      </c>
    </row>
    <row r="491" spans="1:63" x14ac:dyDescent="0.25">
      <c r="A491" s="306">
        <v>314990</v>
      </c>
      <c r="B491" s="308" t="s">
        <v>69</v>
      </c>
      <c r="C491" s="308">
        <v>13.2537</v>
      </c>
      <c r="D491" s="308">
        <v>12.3917</v>
      </c>
      <c r="E491" s="308">
        <v>11.4099</v>
      </c>
      <c r="F491" s="308">
        <v>8.1344999999999992</v>
      </c>
      <c r="G491" s="308">
        <v>9.0227000000000004</v>
      </c>
      <c r="H491" s="308">
        <v>10.492800000000001</v>
      </c>
      <c r="I491" s="308">
        <v>10.4544</v>
      </c>
      <c r="J491" s="308">
        <v>7.4957000000000003</v>
      </c>
      <c r="K491" s="308">
        <v>0</v>
      </c>
      <c r="L491" s="308">
        <v>6.3293999999999997</v>
      </c>
      <c r="M491" s="308">
        <v>9.8316999999999997</v>
      </c>
      <c r="N491" s="308">
        <v>11.2255</v>
      </c>
      <c r="O491" s="308">
        <v>13.365399999999999</v>
      </c>
      <c r="P491" s="308">
        <v>13.168100000000001</v>
      </c>
      <c r="Q491" s="308">
        <v>12.559200000000001</v>
      </c>
      <c r="R491" s="308">
        <v>10.2492</v>
      </c>
      <c r="S491" s="308">
        <v>10.341799999999999</v>
      </c>
      <c r="T491" s="308">
        <v>10.6562</v>
      </c>
      <c r="U491" s="308">
        <v>9.7688000000000006</v>
      </c>
      <c r="V491" s="308">
        <v>10.486000000000001</v>
      </c>
      <c r="W491" s="308">
        <v>8.6419999999999995</v>
      </c>
      <c r="X491" s="308">
        <v>8.8186999999999998</v>
      </c>
      <c r="Y491" s="308">
        <v>10.051299999999999</v>
      </c>
      <c r="Z491" s="308">
        <v>10.3636</v>
      </c>
      <c r="AA491" s="308">
        <v>9.6820000000000004</v>
      </c>
      <c r="AB491" s="308">
        <v>10.7471</v>
      </c>
      <c r="AC491" s="308">
        <v>12.9132</v>
      </c>
      <c r="AD491" s="308">
        <v>13.4153</v>
      </c>
      <c r="AE491" s="308">
        <v>11.4885</v>
      </c>
      <c r="AF491" s="308">
        <v>11.874700000000001</v>
      </c>
      <c r="AG491" s="308">
        <v>12.6029</v>
      </c>
      <c r="AH491" s="308">
        <v>12.2591</v>
      </c>
      <c r="AI491" s="308">
        <v>8.1742000000000008</v>
      </c>
      <c r="AJ491" s="308">
        <v>9.3644999999999996</v>
      </c>
      <c r="AK491" s="308">
        <v>10.9794</v>
      </c>
      <c r="AL491" s="308">
        <v>7.3474000000000004</v>
      </c>
      <c r="AM491" s="308">
        <v>12.4849</v>
      </c>
      <c r="AN491" s="308">
        <v>13.2</v>
      </c>
      <c r="AO491" s="308">
        <v>10.925700000000001</v>
      </c>
      <c r="AP491" s="308">
        <v>10.227</v>
      </c>
      <c r="AQ491" s="308">
        <v>8.9891000000000005</v>
      </c>
      <c r="AR491" s="308">
        <v>12.0511</v>
      </c>
      <c r="AS491" s="308">
        <v>12.714</v>
      </c>
      <c r="AT491" s="308">
        <v>10.838900000000001</v>
      </c>
      <c r="AU491" s="308">
        <v>12.2088</v>
      </c>
      <c r="AV491" s="308">
        <v>13.130100000000001</v>
      </c>
      <c r="AW491" s="308">
        <v>11.2186</v>
      </c>
      <c r="AX491" s="308">
        <v>12.7719</v>
      </c>
      <c r="AY491" s="308">
        <v>9.3642000000000003</v>
      </c>
      <c r="AZ491" s="308">
        <v>10.670199999999999</v>
      </c>
      <c r="BA491" s="308">
        <v>11.874700000000001</v>
      </c>
      <c r="BB491" s="308">
        <v>7.1463999999999999</v>
      </c>
      <c r="BC491" s="308">
        <v>10.0923</v>
      </c>
      <c r="BD491" s="308">
        <v>9.2530000000000001</v>
      </c>
      <c r="BE491" s="308">
        <v>11.3956</v>
      </c>
      <c r="BF491" s="308">
        <v>10.642899999999999</v>
      </c>
      <c r="BG491" s="308">
        <v>11.951700000000001</v>
      </c>
      <c r="BH491" s="308">
        <v>12.2882</v>
      </c>
      <c r="BI491" s="308">
        <v>11.398</v>
      </c>
      <c r="BJ491" s="308">
        <v>10.6904</v>
      </c>
      <c r="BK491" s="308">
        <v>10.5716</v>
      </c>
    </row>
    <row r="492" spans="1:63" x14ac:dyDescent="0.25">
      <c r="A492" s="306">
        <v>315100</v>
      </c>
      <c r="B492" s="308" t="s">
        <v>70</v>
      </c>
      <c r="C492" s="308">
        <v>14.1379</v>
      </c>
      <c r="D492" s="308">
        <v>0</v>
      </c>
      <c r="E492" s="308">
        <v>13.8741</v>
      </c>
      <c r="F492" s="308">
        <v>12.656599999999999</v>
      </c>
      <c r="G492" s="308">
        <v>11.727399999999999</v>
      </c>
      <c r="H492" s="308">
        <v>11.3965</v>
      </c>
      <c r="I492" s="308">
        <v>10.3133</v>
      </c>
      <c r="J492" s="308">
        <v>0</v>
      </c>
      <c r="K492" s="308">
        <v>0</v>
      </c>
      <c r="L492" s="308">
        <v>0</v>
      </c>
      <c r="M492" s="308">
        <v>8.0974000000000004</v>
      </c>
      <c r="N492" s="308">
        <v>10.1638</v>
      </c>
      <c r="O492" s="308">
        <v>0</v>
      </c>
      <c r="P492" s="308">
        <v>9.56</v>
      </c>
      <c r="Q492" s="308">
        <v>0</v>
      </c>
      <c r="R492" s="308">
        <v>10.285</v>
      </c>
      <c r="S492" s="308">
        <v>11.763199999999999</v>
      </c>
      <c r="T492" s="308">
        <v>9.2312999999999992</v>
      </c>
      <c r="U492" s="308">
        <v>11.1905</v>
      </c>
      <c r="V492" s="308">
        <v>9.8450000000000006</v>
      </c>
      <c r="W492" s="308">
        <v>7.4604999999999997</v>
      </c>
      <c r="X492" s="308">
        <v>0</v>
      </c>
      <c r="Y492" s="308">
        <v>0</v>
      </c>
      <c r="Z492" s="308">
        <v>10.521800000000001</v>
      </c>
      <c r="AA492" s="308">
        <v>14.560700000000001</v>
      </c>
      <c r="AB492" s="308">
        <v>12.549799999999999</v>
      </c>
      <c r="AC492" s="308">
        <v>15.705500000000001</v>
      </c>
      <c r="AD492" s="308">
        <v>0</v>
      </c>
      <c r="AE492" s="308">
        <v>10.777799999999999</v>
      </c>
      <c r="AF492" s="308">
        <v>0</v>
      </c>
      <c r="AG492" s="308">
        <v>0</v>
      </c>
      <c r="AH492" s="308">
        <v>0</v>
      </c>
      <c r="AI492" s="308">
        <v>8.2835000000000001</v>
      </c>
      <c r="AJ492" s="308">
        <v>5.7339000000000002</v>
      </c>
      <c r="AK492" s="308">
        <v>0</v>
      </c>
      <c r="AL492" s="308">
        <v>9.2230000000000008</v>
      </c>
      <c r="AM492" s="308">
        <v>16.0014</v>
      </c>
      <c r="AN492" s="308">
        <v>0</v>
      </c>
      <c r="AO492" s="308">
        <v>14.9788</v>
      </c>
      <c r="AP492" s="308">
        <v>13.1351</v>
      </c>
      <c r="AQ492" s="308">
        <v>13.174899999999999</v>
      </c>
      <c r="AR492" s="308">
        <v>14.868399999999999</v>
      </c>
      <c r="AS492" s="308">
        <v>0</v>
      </c>
      <c r="AT492" s="308">
        <v>13.7957</v>
      </c>
      <c r="AU492" s="308">
        <v>15.8362</v>
      </c>
      <c r="AV492" s="308">
        <v>10.884399999999999</v>
      </c>
      <c r="AW492" s="308">
        <v>13.255599999999999</v>
      </c>
      <c r="AX492" s="308">
        <v>15.3004</v>
      </c>
      <c r="AY492" s="308">
        <v>0</v>
      </c>
      <c r="AZ492" s="308">
        <v>12.8453</v>
      </c>
      <c r="BA492" s="308">
        <v>0</v>
      </c>
      <c r="BB492" s="308">
        <v>0</v>
      </c>
      <c r="BC492" s="308">
        <v>12.481</v>
      </c>
      <c r="BD492" s="308">
        <v>11.894</v>
      </c>
      <c r="BE492" s="308">
        <v>12.411099999999999</v>
      </c>
      <c r="BF492" s="308">
        <v>12.3789</v>
      </c>
      <c r="BG492" s="308">
        <v>11.492100000000001</v>
      </c>
      <c r="BH492" s="308">
        <v>14.287699999999999</v>
      </c>
      <c r="BI492" s="308">
        <v>13.408899999999999</v>
      </c>
      <c r="BJ492" s="308">
        <v>10.7812</v>
      </c>
      <c r="BK492" s="308">
        <v>11.408200000000001</v>
      </c>
    </row>
    <row r="493" spans="1:63" x14ac:dyDescent="0.25">
      <c r="A493" s="306">
        <v>315210</v>
      </c>
      <c r="B493" s="308" t="s">
        <v>71</v>
      </c>
      <c r="C493" s="308">
        <v>24.096499999999999</v>
      </c>
      <c r="D493" s="308">
        <v>0</v>
      </c>
      <c r="E493" s="308">
        <v>20.350999999999999</v>
      </c>
      <c r="F493" s="308">
        <v>33.819000000000003</v>
      </c>
      <c r="G493" s="308">
        <v>22.153500000000001</v>
      </c>
      <c r="H493" s="308">
        <v>21.847200000000001</v>
      </c>
      <c r="I493" s="308">
        <v>37.9375</v>
      </c>
      <c r="J493" s="308">
        <v>17.353100000000001</v>
      </c>
      <c r="K493" s="308">
        <v>3.7582</v>
      </c>
      <c r="L493" s="308">
        <v>18.571000000000002</v>
      </c>
      <c r="M493" s="308">
        <v>25.899799999999999</v>
      </c>
      <c r="N493" s="308">
        <v>30.4254</v>
      </c>
      <c r="O493" s="308">
        <v>22.077100000000002</v>
      </c>
      <c r="P493" s="308">
        <v>34.878500000000003</v>
      </c>
      <c r="Q493" s="308">
        <v>39.716099999999997</v>
      </c>
      <c r="R493" s="308">
        <v>25.136800000000001</v>
      </c>
      <c r="S493" s="308">
        <v>34.8461</v>
      </c>
      <c r="T493" s="308">
        <v>14.057</v>
      </c>
      <c r="U493" s="308">
        <v>29.23</v>
      </c>
      <c r="V493" s="308">
        <v>34.309699999999999</v>
      </c>
      <c r="W493" s="308">
        <v>30.8154</v>
      </c>
      <c r="X493" s="308">
        <v>19.479900000000001</v>
      </c>
      <c r="Y493" s="308">
        <v>22.676400000000001</v>
      </c>
      <c r="Z493" s="308">
        <v>32.561100000000003</v>
      </c>
      <c r="AA493" s="308">
        <v>35.073599999999999</v>
      </c>
      <c r="AB493" s="308">
        <v>13.0863</v>
      </c>
      <c r="AC493" s="308">
        <v>31.246700000000001</v>
      </c>
      <c r="AD493" s="308">
        <v>0</v>
      </c>
      <c r="AE493" s="308">
        <v>24.962800000000001</v>
      </c>
      <c r="AF493" s="308">
        <v>9.8706999999999994</v>
      </c>
      <c r="AG493" s="308">
        <v>18.244800000000001</v>
      </c>
      <c r="AH493" s="308">
        <v>20.0152</v>
      </c>
      <c r="AI493" s="308">
        <v>19.207899999999999</v>
      </c>
      <c r="AJ493" s="308">
        <v>12.1266</v>
      </c>
      <c r="AK493" s="308">
        <v>21.855599999999999</v>
      </c>
      <c r="AL493" s="308">
        <v>17.882300000000001</v>
      </c>
      <c r="AM493" s="308">
        <v>27.646699999999999</v>
      </c>
      <c r="AN493" s="308">
        <v>24.8401</v>
      </c>
      <c r="AO493" s="308">
        <v>42.137799999999999</v>
      </c>
      <c r="AP493" s="308">
        <v>18.750299999999999</v>
      </c>
      <c r="AQ493" s="308">
        <v>37.781100000000002</v>
      </c>
      <c r="AR493" s="308">
        <v>27.281300000000002</v>
      </c>
      <c r="AS493" s="308">
        <v>28.1388</v>
      </c>
      <c r="AT493" s="308">
        <v>18.848199999999999</v>
      </c>
      <c r="AU493" s="308">
        <v>22.851800000000001</v>
      </c>
      <c r="AV493" s="308">
        <v>23.246200000000002</v>
      </c>
      <c r="AW493" s="308">
        <v>32.616999999999997</v>
      </c>
      <c r="AX493" s="308">
        <v>20.3172</v>
      </c>
      <c r="AY493" s="308">
        <v>30.5762</v>
      </c>
      <c r="AZ493" s="308">
        <v>41.9101</v>
      </c>
      <c r="BA493" s="308">
        <v>38.376100000000001</v>
      </c>
      <c r="BB493" s="308">
        <v>0</v>
      </c>
      <c r="BC493" s="308">
        <v>26.310600000000001</v>
      </c>
      <c r="BD493" s="308">
        <v>21.306100000000001</v>
      </c>
      <c r="BE493" s="308">
        <v>31.0458</v>
      </c>
      <c r="BF493" s="308">
        <v>19.040400000000002</v>
      </c>
      <c r="BG493" s="308">
        <v>28.207100000000001</v>
      </c>
      <c r="BH493" s="308">
        <v>21.6142</v>
      </c>
      <c r="BI493" s="308">
        <v>23.9725</v>
      </c>
      <c r="BJ493" s="308">
        <v>27.703399999999998</v>
      </c>
      <c r="BK493" s="308">
        <v>22.127700000000001</v>
      </c>
    </row>
    <row r="494" spans="1:63" x14ac:dyDescent="0.25">
      <c r="A494" s="306">
        <v>315220</v>
      </c>
      <c r="B494" s="308" t="s">
        <v>72</v>
      </c>
      <c r="C494" s="308">
        <v>12.109299999999999</v>
      </c>
      <c r="D494" s="308">
        <v>0</v>
      </c>
      <c r="E494" s="308">
        <v>11.8552</v>
      </c>
      <c r="F494" s="308">
        <v>10.622400000000001</v>
      </c>
      <c r="G494" s="308">
        <v>7.9177999999999997</v>
      </c>
      <c r="H494" s="308">
        <v>8.7317</v>
      </c>
      <c r="I494" s="308">
        <v>9.5785999999999998</v>
      </c>
      <c r="J494" s="308">
        <v>8.3427000000000007</v>
      </c>
      <c r="K494" s="308">
        <v>1.3452999999999999</v>
      </c>
      <c r="L494" s="308">
        <v>0</v>
      </c>
      <c r="M494" s="308">
        <v>9.1275999999999993</v>
      </c>
      <c r="N494" s="308">
        <v>10.478400000000001</v>
      </c>
      <c r="O494" s="308">
        <v>7.8502000000000001</v>
      </c>
      <c r="P494" s="308">
        <v>9.3589000000000002</v>
      </c>
      <c r="Q494" s="308">
        <v>8.0547000000000004</v>
      </c>
      <c r="R494" s="308">
        <v>9.3491999999999997</v>
      </c>
      <c r="S494" s="308">
        <v>8.2767999999999997</v>
      </c>
      <c r="T494" s="308">
        <v>8.35</v>
      </c>
      <c r="U494" s="308">
        <v>8.9860000000000007</v>
      </c>
      <c r="V494" s="308">
        <v>11.568899999999999</v>
      </c>
      <c r="W494" s="308">
        <v>9.6466999999999992</v>
      </c>
      <c r="X494" s="308">
        <v>7.6315</v>
      </c>
      <c r="Y494" s="308">
        <v>12.647600000000001</v>
      </c>
      <c r="Z494" s="308">
        <v>7.1882000000000001</v>
      </c>
      <c r="AA494" s="308">
        <v>10.9946</v>
      </c>
      <c r="AB494" s="308">
        <v>11.5459</v>
      </c>
      <c r="AC494" s="308">
        <v>9.7481000000000009</v>
      </c>
      <c r="AD494" s="308">
        <v>0</v>
      </c>
      <c r="AE494" s="308">
        <v>11.466699999999999</v>
      </c>
      <c r="AF494" s="308">
        <v>0</v>
      </c>
      <c r="AG494" s="308">
        <v>6.2803000000000004</v>
      </c>
      <c r="AH494" s="308">
        <v>11.233599999999999</v>
      </c>
      <c r="AI494" s="308">
        <v>8.3627000000000002</v>
      </c>
      <c r="AJ494" s="308">
        <v>4.9619999999999997</v>
      </c>
      <c r="AK494" s="308">
        <v>7.5266000000000002</v>
      </c>
      <c r="AL494" s="308">
        <v>6.6848999999999998</v>
      </c>
      <c r="AM494" s="308">
        <v>8.3486999999999991</v>
      </c>
      <c r="AN494" s="308">
        <v>11.4779</v>
      </c>
      <c r="AO494" s="308">
        <v>9.9907000000000004</v>
      </c>
      <c r="AP494" s="308">
        <v>9.5250000000000004</v>
      </c>
      <c r="AQ494" s="308">
        <v>12.516999999999999</v>
      </c>
      <c r="AR494" s="308">
        <v>10.029299999999999</v>
      </c>
      <c r="AS494" s="308">
        <v>0</v>
      </c>
      <c r="AT494" s="308">
        <v>9.1563999999999997</v>
      </c>
      <c r="AU494" s="308">
        <v>11.739100000000001</v>
      </c>
      <c r="AV494" s="308">
        <v>9.3150999999999993</v>
      </c>
      <c r="AW494" s="308">
        <v>9.9242000000000008</v>
      </c>
      <c r="AX494" s="308">
        <v>11.6995</v>
      </c>
      <c r="AY494" s="308">
        <v>9.5176999999999996</v>
      </c>
      <c r="AZ494" s="308">
        <v>11.719900000000001</v>
      </c>
      <c r="BA494" s="308">
        <v>10.431900000000001</v>
      </c>
      <c r="BB494" s="308">
        <v>7.0887000000000002</v>
      </c>
      <c r="BC494" s="308">
        <v>11.0556</v>
      </c>
      <c r="BD494" s="308">
        <v>9.0939999999999994</v>
      </c>
      <c r="BE494" s="308">
        <v>8.8420000000000005</v>
      </c>
      <c r="BF494" s="308">
        <v>11.231299999999999</v>
      </c>
      <c r="BG494" s="308">
        <v>11.372</v>
      </c>
      <c r="BH494" s="308">
        <v>11.057600000000001</v>
      </c>
      <c r="BI494" s="308">
        <v>11.8009</v>
      </c>
      <c r="BJ494" s="308">
        <v>8.8422000000000001</v>
      </c>
      <c r="BK494" s="308">
        <v>9.2446000000000002</v>
      </c>
    </row>
    <row r="495" spans="1:63" x14ac:dyDescent="0.25">
      <c r="A495" s="306">
        <v>315230</v>
      </c>
      <c r="B495" s="308" t="s">
        <v>73</v>
      </c>
      <c r="C495" s="308">
        <v>11.646599999999999</v>
      </c>
      <c r="D495" s="308">
        <v>0</v>
      </c>
      <c r="E495" s="308">
        <v>10.6974</v>
      </c>
      <c r="F495" s="308">
        <v>14.270200000000001</v>
      </c>
      <c r="G495" s="308">
        <v>7.0266000000000002</v>
      </c>
      <c r="H495" s="308">
        <v>9.3013999999999992</v>
      </c>
      <c r="I495" s="308">
        <v>13.400600000000001</v>
      </c>
      <c r="J495" s="308">
        <v>9.2124000000000006</v>
      </c>
      <c r="K495" s="308">
        <v>1.2495000000000001</v>
      </c>
      <c r="L495" s="308">
        <v>0</v>
      </c>
      <c r="M495" s="308">
        <v>10.1509</v>
      </c>
      <c r="N495" s="308">
        <v>9.2650000000000006</v>
      </c>
      <c r="O495" s="308">
        <v>15.428100000000001</v>
      </c>
      <c r="P495" s="308">
        <v>11.7675</v>
      </c>
      <c r="Q495" s="308">
        <v>6.7104999999999997</v>
      </c>
      <c r="R495" s="308">
        <v>8.6403999999999996</v>
      </c>
      <c r="S495" s="308">
        <v>9.4465000000000003</v>
      </c>
      <c r="T495" s="308">
        <v>6.7736999999999998</v>
      </c>
      <c r="U495" s="308">
        <v>6.2835000000000001</v>
      </c>
      <c r="V495" s="308">
        <v>14.4968</v>
      </c>
      <c r="W495" s="308">
        <v>8.2376000000000005</v>
      </c>
      <c r="X495" s="308">
        <v>10.038500000000001</v>
      </c>
      <c r="Y495" s="308">
        <v>9.3149999999999995</v>
      </c>
      <c r="Z495" s="308">
        <v>7.0967000000000002</v>
      </c>
      <c r="AA495" s="308">
        <v>14.446199999999999</v>
      </c>
      <c r="AB495" s="308">
        <v>9.0140999999999991</v>
      </c>
      <c r="AC495" s="308">
        <v>12.0505</v>
      </c>
      <c r="AD495" s="308">
        <v>0</v>
      </c>
      <c r="AE495" s="308">
        <v>12.3102</v>
      </c>
      <c r="AF495" s="308">
        <v>3.5234999999999999</v>
      </c>
      <c r="AG495" s="308">
        <v>10.4838</v>
      </c>
      <c r="AH495" s="308">
        <v>9.4579000000000004</v>
      </c>
      <c r="AI495" s="308">
        <v>6.8647</v>
      </c>
      <c r="AJ495" s="308">
        <v>4.8554000000000004</v>
      </c>
      <c r="AK495" s="308">
        <v>6.6077000000000004</v>
      </c>
      <c r="AL495" s="308">
        <v>5.8826000000000001</v>
      </c>
      <c r="AM495" s="308">
        <v>12.413500000000001</v>
      </c>
      <c r="AN495" s="308">
        <v>12.0114</v>
      </c>
      <c r="AO495" s="308">
        <v>15.1525</v>
      </c>
      <c r="AP495" s="308">
        <v>9.5571000000000002</v>
      </c>
      <c r="AQ495" s="308">
        <v>0</v>
      </c>
      <c r="AR495" s="308">
        <v>13.766400000000001</v>
      </c>
      <c r="AS495" s="308">
        <v>0</v>
      </c>
      <c r="AT495" s="308">
        <v>13.168100000000001</v>
      </c>
      <c r="AU495" s="308">
        <v>14.172499999999999</v>
      </c>
      <c r="AV495" s="308">
        <v>8.5113000000000003</v>
      </c>
      <c r="AW495" s="308">
        <v>11.709300000000001</v>
      </c>
      <c r="AX495" s="308">
        <v>14.540800000000001</v>
      </c>
      <c r="AY495" s="308">
        <v>9.8897999999999993</v>
      </c>
      <c r="AZ495" s="308">
        <v>10.162000000000001</v>
      </c>
      <c r="BA495" s="308">
        <v>0</v>
      </c>
      <c r="BB495" s="308">
        <v>12.934100000000001</v>
      </c>
      <c r="BC495" s="308">
        <v>9.6483000000000008</v>
      </c>
      <c r="BD495" s="308">
        <v>7.9348999999999998</v>
      </c>
      <c r="BE495" s="308">
        <v>9.4048999999999996</v>
      </c>
      <c r="BF495" s="308">
        <v>8.8514999999999997</v>
      </c>
      <c r="BG495" s="308">
        <v>11.979100000000001</v>
      </c>
      <c r="BH495" s="308">
        <v>11.971299999999999</v>
      </c>
      <c r="BI495" s="308">
        <v>14.3118</v>
      </c>
      <c r="BJ495" s="308">
        <v>8.8401999999999994</v>
      </c>
      <c r="BK495" s="308">
        <v>9.5954999999999995</v>
      </c>
    </row>
    <row r="496" spans="1:63" x14ac:dyDescent="0.25">
      <c r="A496" s="306">
        <v>315290</v>
      </c>
      <c r="B496" s="308" t="s">
        <v>74</v>
      </c>
      <c r="C496" s="308">
        <v>16.571999999999999</v>
      </c>
      <c r="D496" s="308">
        <v>0</v>
      </c>
      <c r="E496" s="308">
        <v>17.721</v>
      </c>
      <c r="F496" s="308">
        <v>0</v>
      </c>
      <c r="G496" s="308">
        <v>24.286899999999999</v>
      </c>
      <c r="H496" s="308">
        <v>10.897500000000001</v>
      </c>
      <c r="I496" s="308">
        <v>19.0198</v>
      </c>
      <c r="J496" s="308">
        <v>8.9418000000000006</v>
      </c>
      <c r="K496" s="308">
        <v>0</v>
      </c>
      <c r="L496" s="308">
        <v>0</v>
      </c>
      <c r="M496" s="308">
        <v>17.0092</v>
      </c>
      <c r="N496" s="308">
        <v>15.2692</v>
      </c>
      <c r="O496" s="308">
        <v>12.46</v>
      </c>
      <c r="P496" s="308">
        <v>15.198399999999999</v>
      </c>
      <c r="Q496" s="308">
        <v>12.5204</v>
      </c>
      <c r="R496" s="308">
        <v>16.813600000000001</v>
      </c>
      <c r="S496" s="308">
        <v>17.411899999999999</v>
      </c>
      <c r="T496" s="308">
        <v>15.958600000000001</v>
      </c>
      <c r="U496" s="308">
        <v>22.630700000000001</v>
      </c>
      <c r="V496" s="308">
        <v>18.422899999999998</v>
      </c>
      <c r="W496" s="308">
        <v>14.664</v>
      </c>
      <c r="X496" s="308">
        <v>11.053000000000001</v>
      </c>
      <c r="Y496" s="308">
        <v>17.7013</v>
      </c>
      <c r="Z496" s="308">
        <v>25.226500000000001</v>
      </c>
      <c r="AA496" s="308">
        <v>19.113099999999999</v>
      </c>
      <c r="AB496" s="308">
        <v>17.6935</v>
      </c>
      <c r="AC496" s="308">
        <v>15.529400000000001</v>
      </c>
      <c r="AD496" s="308">
        <v>0</v>
      </c>
      <c r="AE496" s="308">
        <v>12.500999999999999</v>
      </c>
      <c r="AF496" s="308">
        <v>0</v>
      </c>
      <c r="AG496" s="308">
        <v>17.3369</v>
      </c>
      <c r="AH496" s="308">
        <v>11.8324</v>
      </c>
      <c r="AI496" s="308">
        <v>10.509399999999999</v>
      </c>
      <c r="AJ496" s="308">
        <v>7.4718</v>
      </c>
      <c r="AK496" s="308">
        <v>12.5726</v>
      </c>
      <c r="AL496" s="308">
        <v>9.1935000000000002</v>
      </c>
      <c r="AM496" s="308">
        <v>20.283899999999999</v>
      </c>
      <c r="AN496" s="308">
        <v>19.063099999999999</v>
      </c>
      <c r="AO496" s="308">
        <v>24.286899999999999</v>
      </c>
      <c r="AP496" s="308">
        <v>17.055199999999999</v>
      </c>
      <c r="AQ496" s="308">
        <v>26.596499999999999</v>
      </c>
      <c r="AR496" s="308">
        <v>12.6319</v>
      </c>
      <c r="AS496" s="308">
        <v>24.721499999999999</v>
      </c>
      <c r="AT496" s="308">
        <v>17.388500000000001</v>
      </c>
      <c r="AU496" s="308">
        <v>16.609400000000001</v>
      </c>
      <c r="AV496" s="308">
        <v>27.709299999999999</v>
      </c>
      <c r="AW496" s="308">
        <v>17.720400000000001</v>
      </c>
      <c r="AX496" s="308">
        <v>11.8629</v>
      </c>
      <c r="AY496" s="308">
        <v>20.8703</v>
      </c>
      <c r="AZ496" s="308">
        <v>19.110399999999998</v>
      </c>
      <c r="BA496" s="308">
        <v>0</v>
      </c>
      <c r="BB496" s="308">
        <v>0</v>
      </c>
      <c r="BC496" s="308">
        <v>14.66</v>
      </c>
      <c r="BD496" s="308">
        <v>13.252700000000001</v>
      </c>
      <c r="BE496" s="308">
        <v>18.192599999999999</v>
      </c>
      <c r="BF496" s="308">
        <v>18.359300000000001</v>
      </c>
      <c r="BG496" s="308">
        <v>15.8376</v>
      </c>
      <c r="BH496" s="308">
        <v>18.0562</v>
      </c>
      <c r="BI496" s="308">
        <v>17.2791</v>
      </c>
      <c r="BJ496" s="308">
        <v>20.290500000000002</v>
      </c>
      <c r="BK496" s="308">
        <v>11.326499999999999</v>
      </c>
    </row>
    <row r="497" spans="1:63" x14ac:dyDescent="0.25">
      <c r="A497" s="306">
        <v>315900</v>
      </c>
      <c r="B497" s="308" t="s">
        <v>75</v>
      </c>
      <c r="C497" s="308">
        <v>16.954899999999999</v>
      </c>
      <c r="D497" s="308">
        <v>11.2986</v>
      </c>
      <c r="E497" s="308">
        <v>16.9237</v>
      </c>
      <c r="F497" s="308">
        <v>18.263000000000002</v>
      </c>
      <c r="G497" s="308">
        <v>12.5467</v>
      </c>
      <c r="H497" s="308">
        <v>12.0869</v>
      </c>
      <c r="I497" s="308">
        <v>19.623699999999999</v>
      </c>
      <c r="J497" s="308">
        <v>16.144100000000002</v>
      </c>
      <c r="K497" s="308">
        <v>0</v>
      </c>
      <c r="L497" s="308">
        <v>15.2881</v>
      </c>
      <c r="M497" s="308">
        <v>16.382300000000001</v>
      </c>
      <c r="N497" s="308">
        <v>15.902799999999999</v>
      </c>
      <c r="O497" s="308">
        <v>12.1974</v>
      </c>
      <c r="P497" s="308">
        <v>12.922499999999999</v>
      </c>
      <c r="Q497" s="308">
        <v>19.103999999999999</v>
      </c>
      <c r="R497" s="308">
        <v>11.9305</v>
      </c>
      <c r="S497" s="308">
        <v>18.726400000000002</v>
      </c>
      <c r="T497" s="308">
        <v>15.744899999999999</v>
      </c>
      <c r="U497" s="308">
        <v>12.680999999999999</v>
      </c>
      <c r="V497" s="308">
        <v>16.668299999999999</v>
      </c>
      <c r="W497" s="308">
        <v>11.5509</v>
      </c>
      <c r="X497" s="308">
        <v>10.156000000000001</v>
      </c>
      <c r="Y497" s="308">
        <v>12.5192</v>
      </c>
      <c r="Z497" s="308">
        <v>12.771100000000001</v>
      </c>
      <c r="AA497" s="308">
        <v>15.3165</v>
      </c>
      <c r="AB497" s="308">
        <v>16.275300000000001</v>
      </c>
      <c r="AC497" s="308">
        <v>14.4848</v>
      </c>
      <c r="AD497" s="308">
        <v>19.418600000000001</v>
      </c>
      <c r="AE497" s="308">
        <v>17.8491</v>
      </c>
      <c r="AF497" s="308">
        <v>5.9512999999999998</v>
      </c>
      <c r="AG497" s="308">
        <v>10.3209</v>
      </c>
      <c r="AH497" s="308">
        <v>13.772399999999999</v>
      </c>
      <c r="AI497" s="308">
        <v>12.9831</v>
      </c>
      <c r="AJ497" s="308">
        <v>7.4200999999999997</v>
      </c>
      <c r="AK497" s="308">
        <v>12.064399999999999</v>
      </c>
      <c r="AL497" s="308">
        <v>9.5611999999999995</v>
      </c>
      <c r="AM497" s="308">
        <v>13.2056</v>
      </c>
      <c r="AN497" s="308">
        <v>14.253500000000001</v>
      </c>
      <c r="AO497" s="308">
        <v>18.4116</v>
      </c>
      <c r="AP497" s="308">
        <v>13.4838</v>
      </c>
      <c r="AQ497" s="308">
        <v>18.5167</v>
      </c>
      <c r="AR497" s="308">
        <v>12.7515</v>
      </c>
      <c r="AS497" s="308">
        <v>10.9876</v>
      </c>
      <c r="AT497" s="308">
        <v>18.441099999999999</v>
      </c>
      <c r="AU497" s="308">
        <v>20.058900000000001</v>
      </c>
      <c r="AV497" s="308">
        <v>20.851400000000002</v>
      </c>
      <c r="AW497" s="308">
        <v>17.291599999999999</v>
      </c>
      <c r="AX497" s="308">
        <v>18.362500000000001</v>
      </c>
      <c r="AY497" s="308">
        <v>19.172000000000001</v>
      </c>
      <c r="AZ497" s="308">
        <v>18.255600000000001</v>
      </c>
      <c r="BA497" s="308">
        <v>11.058299999999999</v>
      </c>
      <c r="BB497" s="308">
        <v>11.6068</v>
      </c>
      <c r="BC497" s="308">
        <v>16.284700000000001</v>
      </c>
      <c r="BD497" s="308">
        <v>12.8729</v>
      </c>
      <c r="BE497" s="308">
        <v>13.449400000000001</v>
      </c>
      <c r="BF497" s="308">
        <v>15.2446</v>
      </c>
      <c r="BG497" s="308">
        <v>17.593599999999999</v>
      </c>
      <c r="BH497" s="308">
        <v>17.313500000000001</v>
      </c>
      <c r="BI497" s="308">
        <v>19.552700000000002</v>
      </c>
      <c r="BJ497" s="308">
        <v>18.241900000000001</v>
      </c>
      <c r="BK497" s="308">
        <v>12.6037</v>
      </c>
    </row>
    <row r="498" spans="1:63" x14ac:dyDescent="0.25">
      <c r="A498" s="306">
        <v>316100</v>
      </c>
      <c r="B498" s="308" t="s">
        <v>76</v>
      </c>
      <c r="C498" s="308">
        <v>12.222300000000001</v>
      </c>
      <c r="D498" s="308">
        <v>4.7523999999999997</v>
      </c>
      <c r="E498" s="308">
        <v>8.2210000000000001</v>
      </c>
      <c r="F498" s="308">
        <v>0</v>
      </c>
      <c r="G498" s="308">
        <v>7.4379</v>
      </c>
      <c r="H498" s="308">
        <v>5.3472999999999997</v>
      </c>
      <c r="I498" s="308">
        <v>14.3223</v>
      </c>
      <c r="J498" s="308">
        <v>0</v>
      </c>
      <c r="K498" s="308">
        <v>0</v>
      </c>
      <c r="L498" s="308">
        <v>0</v>
      </c>
      <c r="M498" s="308">
        <v>6.8996000000000004</v>
      </c>
      <c r="N498" s="308">
        <v>12.033899999999999</v>
      </c>
      <c r="O498" s="308">
        <v>0</v>
      </c>
      <c r="P498" s="308">
        <v>9.1296999999999997</v>
      </c>
      <c r="Q498" s="308">
        <v>14.3386</v>
      </c>
      <c r="R498" s="308">
        <v>9.6033000000000008</v>
      </c>
      <c r="S498" s="308">
        <v>9.4688999999999997</v>
      </c>
      <c r="T498" s="308">
        <v>0</v>
      </c>
      <c r="U498" s="308">
        <v>12.142200000000001</v>
      </c>
      <c r="V498" s="308">
        <v>6.3507999999999996</v>
      </c>
      <c r="W498" s="308">
        <v>5.6835000000000004</v>
      </c>
      <c r="X498" s="308">
        <v>3.7254</v>
      </c>
      <c r="Y498" s="308">
        <v>5.3509000000000002</v>
      </c>
      <c r="Z498" s="308">
        <v>6.5378999999999996</v>
      </c>
      <c r="AA498" s="308">
        <v>8.8261000000000003</v>
      </c>
      <c r="AB498" s="308">
        <v>11.557</v>
      </c>
      <c r="AC498" s="308">
        <v>10.6694</v>
      </c>
      <c r="AD498" s="308">
        <v>12.652799999999999</v>
      </c>
      <c r="AE498" s="308">
        <v>10.6404</v>
      </c>
      <c r="AF498" s="308">
        <v>0</v>
      </c>
      <c r="AG498" s="308">
        <v>8.5473999999999997</v>
      </c>
      <c r="AH498" s="308">
        <v>4.0542999999999996</v>
      </c>
      <c r="AI498" s="308">
        <v>6.2652999999999999</v>
      </c>
      <c r="AJ498" s="308">
        <v>0</v>
      </c>
      <c r="AK498" s="308">
        <v>0</v>
      </c>
      <c r="AL498" s="308">
        <v>4.4413</v>
      </c>
      <c r="AM498" s="308">
        <v>9.7409999999999997</v>
      </c>
      <c r="AN498" s="308">
        <v>10.8916</v>
      </c>
      <c r="AO498" s="308">
        <v>10.131</v>
      </c>
      <c r="AP498" s="308">
        <v>8.5913000000000004</v>
      </c>
      <c r="AQ498" s="308">
        <v>0</v>
      </c>
      <c r="AR498" s="308">
        <v>12.2599</v>
      </c>
      <c r="AS498" s="308">
        <v>0</v>
      </c>
      <c r="AT498" s="308">
        <v>9.5452999999999992</v>
      </c>
      <c r="AU498" s="308">
        <v>12.248100000000001</v>
      </c>
      <c r="AV498" s="308">
        <v>15.509600000000001</v>
      </c>
      <c r="AW498" s="308">
        <v>0</v>
      </c>
      <c r="AX498" s="308">
        <v>0</v>
      </c>
      <c r="AY498" s="308">
        <v>8.9838000000000005</v>
      </c>
      <c r="AZ498" s="308">
        <v>10.542999999999999</v>
      </c>
      <c r="BA498" s="308">
        <v>9.7935999999999996</v>
      </c>
      <c r="BB498" s="308">
        <v>5.5372000000000003</v>
      </c>
      <c r="BC498" s="308">
        <v>5.7206999999999999</v>
      </c>
      <c r="BD498" s="308">
        <v>6.3040000000000003</v>
      </c>
      <c r="BE498" s="308">
        <v>9.2949999999999999</v>
      </c>
      <c r="BF498" s="308">
        <v>10.105399999999999</v>
      </c>
      <c r="BG498" s="308">
        <v>8.7711000000000006</v>
      </c>
      <c r="BH498" s="308">
        <v>11.010899999999999</v>
      </c>
      <c r="BI498" s="308">
        <v>12.344200000000001</v>
      </c>
      <c r="BJ498" s="308">
        <v>11.7531</v>
      </c>
      <c r="BK498" s="308">
        <v>5.8826000000000001</v>
      </c>
    </row>
    <row r="499" spans="1:63" x14ac:dyDescent="0.25">
      <c r="A499" s="306">
        <v>316200</v>
      </c>
      <c r="B499" s="308" t="s">
        <v>77</v>
      </c>
      <c r="C499" s="308">
        <v>12.3573</v>
      </c>
      <c r="D499" s="308">
        <v>0</v>
      </c>
      <c r="E499" s="308">
        <v>0</v>
      </c>
      <c r="F499" s="308">
        <v>12.8649</v>
      </c>
      <c r="G499" s="308">
        <v>10.4156</v>
      </c>
      <c r="H499" s="308">
        <v>10.560700000000001</v>
      </c>
      <c r="I499" s="308">
        <v>11.485900000000001</v>
      </c>
      <c r="J499" s="308">
        <v>0</v>
      </c>
      <c r="K499" s="308">
        <v>0</v>
      </c>
      <c r="L499" s="308">
        <v>0</v>
      </c>
      <c r="M499" s="308">
        <v>12.135899999999999</v>
      </c>
      <c r="N499" s="308">
        <v>10.257899999999999</v>
      </c>
      <c r="O499" s="308">
        <v>14.0625</v>
      </c>
      <c r="P499" s="308">
        <v>0</v>
      </c>
      <c r="Q499" s="308">
        <v>10.6975</v>
      </c>
      <c r="R499" s="308">
        <v>9.3544</v>
      </c>
      <c r="S499" s="308">
        <v>12.3444</v>
      </c>
      <c r="T499" s="308">
        <v>0</v>
      </c>
      <c r="U499" s="308">
        <v>13.1213</v>
      </c>
      <c r="V499" s="308">
        <v>0</v>
      </c>
      <c r="W499" s="308">
        <v>7.6946000000000003</v>
      </c>
      <c r="X499" s="308">
        <v>7.6993</v>
      </c>
      <c r="Y499" s="308">
        <v>11.274699999999999</v>
      </c>
      <c r="Z499" s="308">
        <v>12.910399999999999</v>
      </c>
      <c r="AA499" s="308">
        <v>6.7427000000000001</v>
      </c>
      <c r="AB499" s="308">
        <v>8.5202000000000009</v>
      </c>
      <c r="AC499" s="308">
        <v>0</v>
      </c>
      <c r="AD499" s="308">
        <v>14.481199999999999</v>
      </c>
      <c r="AE499" s="308">
        <v>13.004200000000001</v>
      </c>
      <c r="AF499" s="308">
        <v>8.5877999999999997</v>
      </c>
      <c r="AG499" s="308">
        <v>10.187799999999999</v>
      </c>
      <c r="AH499" s="308">
        <v>9.4291999999999998</v>
      </c>
      <c r="AI499" s="308">
        <v>7.6893000000000002</v>
      </c>
      <c r="AJ499" s="308">
        <v>0</v>
      </c>
      <c r="AK499" s="308">
        <v>0</v>
      </c>
      <c r="AL499" s="308">
        <v>6.7583000000000002</v>
      </c>
      <c r="AM499" s="308">
        <v>10.764799999999999</v>
      </c>
      <c r="AN499" s="308">
        <v>13.4063</v>
      </c>
      <c r="AO499" s="308">
        <v>8.0602999999999998</v>
      </c>
      <c r="AP499" s="308">
        <v>9.3376000000000001</v>
      </c>
      <c r="AQ499" s="308">
        <v>0</v>
      </c>
      <c r="AR499" s="308">
        <v>15.636799999999999</v>
      </c>
      <c r="AS499" s="308">
        <v>0</v>
      </c>
      <c r="AT499" s="308">
        <v>13.7424</v>
      </c>
      <c r="AU499" s="308">
        <v>12.8369</v>
      </c>
      <c r="AV499" s="308">
        <v>0</v>
      </c>
      <c r="AW499" s="308">
        <v>14.52</v>
      </c>
      <c r="AX499" s="308">
        <v>0</v>
      </c>
      <c r="AY499" s="308">
        <v>10.1937</v>
      </c>
      <c r="AZ499" s="308">
        <v>11.291399999999999</v>
      </c>
      <c r="BA499" s="308">
        <v>0</v>
      </c>
      <c r="BB499" s="308">
        <v>0</v>
      </c>
      <c r="BC499" s="308">
        <v>9.9984000000000002</v>
      </c>
      <c r="BD499" s="308">
        <v>8.6956000000000007</v>
      </c>
      <c r="BE499" s="308">
        <v>11.104100000000001</v>
      </c>
      <c r="BF499" s="308">
        <v>8.0269999999999992</v>
      </c>
      <c r="BG499" s="308">
        <v>13.0427</v>
      </c>
      <c r="BH499" s="308">
        <v>14.1944</v>
      </c>
      <c r="BI499" s="308">
        <v>13.3538</v>
      </c>
      <c r="BJ499" s="308">
        <v>11.3361</v>
      </c>
      <c r="BK499" s="308">
        <v>10.098599999999999</v>
      </c>
    </row>
    <row r="500" spans="1:63" x14ac:dyDescent="0.25">
      <c r="A500" s="306">
        <v>316900</v>
      </c>
      <c r="B500" s="308" t="s">
        <v>78</v>
      </c>
      <c r="C500" s="308">
        <v>13.039199999999999</v>
      </c>
      <c r="D500" s="308">
        <v>0</v>
      </c>
      <c r="E500" s="308">
        <v>15.173</v>
      </c>
      <c r="F500" s="308">
        <v>10.760899999999999</v>
      </c>
      <c r="G500" s="308">
        <v>11.5947</v>
      </c>
      <c r="H500" s="308">
        <v>10.3804</v>
      </c>
      <c r="I500" s="308">
        <v>12.5976</v>
      </c>
      <c r="J500" s="308">
        <v>6.3032000000000004</v>
      </c>
      <c r="K500" s="308">
        <v>0</v>
      </c>
      <c r="L500" s="308">
        <v>8.2308000000000003</v>
      </c>
      <c r="M500" s="308">
        <v>10.2667</v>
      </c>
      <c r="N500" s="308">
        <v>16.2606</v>
      </c>
      <c r="O500" s="308">
        <v>0</v>
      </c>
      <c r="P500" s="308">
        <v>14.0565</v>
      </c>
      <c r="Q500" s="308">
        <v>18.119599999999998</v>
      </c>
      <c r="R500" s="308">
        <v>10.5472</v>
      </c>
      <c r="S500" s="308">
        <v>8.3331999999999997</v>
      </c>
      <c r="T500" s="308">
        <v>10.5002</v>
      </c>
      <c r="U500" s="308">
        <v>14.4933</v>
      </c>
      <c r="V500" s="308">
        <v>14.385199999999999</v>
      </c>
      <c r="W500" s="308">
        <v>9.1852</v>
      </c>
      <c r="X500" s="308">
        <v>7.8072999999999997</v>
      </c>
      <c r="Y500" s="308">
        <v>12.186</v>
      </c>
      <c r="Z500" s="308">
        <v>7.5804</v>
      </c>
      <c r="AA500" s="308">
        <v>11.371600000000001</v>
      </c>
      <c r="AB500" s="308">
        <v>15.464600000000001</v>
      </c>
      <c r="AC500" s="308">
        <v>17.526599999999998</v>
      </c>
      <c r="AD500" s="308">
        <v>9.8918999999999997</v>
      </c>
      <c r="AE500" s="308">
        <v>12.245699999999999</v>
      </c>
      <c r="AF500" s="308">
        <v>18.3825</v>
      </c>
      <c r="AG500" s="308">
        <v>7.3116000000000003</v>
      </c>
      <c r="AH500" s="308">
        <v>10.000500000000001</v>
      </c>
      <c r="AI500" s="308">
        <v>7.0842000000000001</v>
      </c>
      <c r="AJ500" s="308">
        <v>16.1661</v>
      </c>
      <c r="AK500" s="308">
        <v>24.398</v>
      </c>
      <c r="AL500" s="308">
        <v>8.4559999999999995</v>
      </c>
      <c r="AM500" s="308">
        <v>13.677</v>
      </c>
      <c r="AN500" s="308">
        <v>10.0989</v>
      </c>
      <c r="AO500" s="308">
        <v>13.061500000000001</v>
      </c>
      <c r="AP500" s="308">
        <v>10.599500000000001</v>
      </c>
      <c r="AQ500" s="308">
        <v>12.483599999999999</v>
      </c>
      <c r="AR500" s="308">
        <v>17.427399999999999</v>
      </c>
      <c r="AS500" s="308">
        <v>14.2913</v>
      </c>
      <c r="AT500" s="308">
        <v>10.8973</v>
      </c>
      <c r="AU500" s="308">
        <v>14.167</v>
      </c>
      <c r="AV500" s="308">
        <v>20.670500000000001</v>
      </c>
      <c r="AW500" s="308">
        <v>13.3447</v>
      </c>
      <c r="AX500" s="308">
        <v>7.8620999999999999</v>
      </c>
      <c r="AY500" s="308">
        <v>10.0252</v>
      </c>
      <c r="AZ500" s="308">
        <v>12.802300000000001</v>
      </c>
      <c r="BA500" s="308">
        <v>0</v>
      </c>
      <c r="BB500" s="308">
        <v>15.197699999999999</v>
      </c>
      <c r="BC500" s="308">
        <v>9.8453999999999997</v>
      </c>
      <c r="BD500" s="308">
        <v>9.5953999999999997</v>
      </c>
      <c r="BE500" s="308">
        <v>10.917</v>
      </c>
      <c r="BF500" s="308">
        <v>13.698</v>
      </c>
      <c r="BG500" s="308">
        <v>12.0162</v>
      </c>
      <c r="BH500" s="308">
        <v>13.6806</v>
      </c>
      <c r="BI500" s="308">
        <v>13.2699</v>
      </c>
      <c r="BJ500" s="308">
        <v>14.5685</v>
      </c>
      <c r="BK500" s="308">
        <v>10.5045</v>
      </c>
    </row>
    <row r="501" spans="1:63" x14ac:dyDescent="0.25">
      <c r="A501" s="306">
        <v>321100</v>
      </c>
      <c r="B501" s="308" t="s">
        <v>79</v>
      </c>
      <c r="C501" s="308">
        <v>13.025499999999999</v>
      </c>
      <c r="D501" s="308">
        <v>9.1303999999999998</v>
      </c>
      <c r="E501" s="308">
        <v>11.6326</v>
      </c>
      <c r="F501" s="308">
        <v>11.3643</v>
      </c>
      <c r="G501" s="308">
        <v>6.5495999999999999</v>
      </c>
      <c r="H501" s="308">
        <v>6.2435999999999998</v>
      </c>
      <c r="I501" s="308">
        <v>6.8288000000000002</v>
      </c>
      <c r="J501" s="308">
        <v>6.1736000000000004</v>
      </c>
      <c r="K501" s="308">
        <v>0</v>
      </c>
      <c r="L501" s="308">
        <v>4.5614999999999997</v>
      </c>
      <c r="M501" s="308">
        <v>9.8207000000000004</v>
      </c>
      <c r="N501" s="308">
        <v>11.492699999999999</v>
      </c>
      <c r="O501" s="308">
        <v>7.1417000000000002</v>
      </c>
      <c r="P501" s="308">
        <v>6.1097000000000001</v>
      </c>
      <c r="Q501" s="308">
        <v>10.3348</v>
      </c>
      <c r="R501" s="308">
        <v>6.1204999999999998</v>
      </c>
      <c r="S501" s="308">
        <v>7.4040999999999997</v>
      </c>
      <c r="T501" s="308">
        <v>6.7672999999999996</v>
      </c>
      <c r="U501" s="308">
        <v>9.5246999999999993</v>
      </c>
      <c r="V501" s="308">
        <v>10.5281</v>
      </c>
      <c r="W501" s="308">
        <v>5.5601000000000003</v>
      </c>
      <c r="X501" s="308">
        <v>5.4118000000000004</v>
      </c>
      <c r="Y501" s="308">
        <v>11.882</v>
      </c>
      <c r="Z501" s="308">
        <v>10.135400000000001</v>
      </c>
      <c r="AA501" s="308">
        <v>8.6463999999999999</v>
      </c>
      <c r="AB501" s="308">
        <v>8.1683000000000003</v>
      </c>
      <c r="AC501" s="308">
        <v>11.2981</v>
      </c>
      <c r="AD501" s="308">
        <v>12.3066</v>
      </c>
      <c r="AE501" s="308">
        <v>11.315300000000001</v>
      </c>
      <c r="AF501" s="308">
        <v>4.1765999999999996</v>
      </c>
      <c r="AG501" s="308">
        <v>6.5827</v>
      </c>
      <c r="AH501" s="308">
        <v>8.8321000000000005</v>
      </c>
      <c r="AI501" s="308">
        <v>4.0549999999999997</v>
      </c>
      <c r="AJ501" s="308">
        <v>7.6220999999999997</v>
      </c>
      <c r="AK501" s="308">
        <v>4.8993000000000002</v>
      </c>
      <c r="AL501" s="308">
        <v>5.9215999999999998</v>
      </c>
      <c r="AM501" s="308">
        <v>7.33</v>
      </c>
      <c r="AN501" s="308">
        <v>6.4276999999999997</v>
      </c>
      <c r="AO501" s="308">
        <v>10.295299999999999</v>
      </c>
      <c r="AP501" s="308">
        <v>7.8673999999999999</v>
      </c>
      <c r="AQ501" s="308">
        <v>4.8933</v>
      </c>
      <c r="AR501" s="308">
        <v>11.965</v>
      </c>
      <c r="AS501" s="308">
        <v>8.2124000000000006</v>
      </c>
      <c r="AT501" s="308">
        <v>8.5494000000000003</v>
      </c>
      <c r="AU501" s="308">
        <v>7.5488999999999997</v>
      </c>
      <c r="AV501" s="308">
        <v>8.5615000000000006</v>
      </c>
      <c r="AW501" s="308">
        <v>9.1065000000000005</v>
      </c>
      <c r="AX501" s="308">
        <v>12.5313</v>
      </c>
      <c r="AY501" s="308">
        <v>9.8282000000000007</v>
      </c>
      <c r="AZ501" s="308">
        <v>10.1851</v>
      </c>
      <c r="BA501" s="308">
        <v>10.7507</v>
      </c>
      <c r="BB501" s="308">
        <v>7.6002999999999998</v>
      </c>
      <c r="BC501" s="308">
        <v>9.8489000000000004</v>
      </c>
      <c r="BD501" s="308">
        <v>6.9105999999999996</v>
      </c>
      <c r="BE501" s="308">
        <v>7.9984999999999999</v>
      </c>
      <c r="BF501" s="308">
        <v>7.8570000000000002</v>
      </c>
      <c r="BG501" s="308">
        <v>12.274699999999999</v>
      </c>
      <c r="BH501" s="308">
        <v>12.301299999999999</v>
      </c>
      <c r="BI501" s="308">
        <v>11.4778</v>
      </c>
      <c r="BJ501" s="308">
        <v>9.4613999999999994</v>
      </c>
      <c r="BK501" s="308">
        <v>10.0025</v>
      </c>
    </row>
    <row r="502" spans="1:63" x14ac:dyDescent="0.25">
      <c r="A502" s="306">
        <v>321219</v>
      </c>
      <c r="B502" s="308" t="s">
        <v>82</v>
      </c>
      <c r="C502" s="308">
        <v>9.6820000000000004</v>
      </c>
      <c r="D502" s="308">
        <v>0</v>
      </c>
      <c r="E502" s="308">
        <v>8.4091000000000005</v>
      </c>
      <c r="F502" s="308">
        <v>7.9069000000000003</v>
      </c>
      <c r="G502" s="308">
        <v>6.3939000000000004</v>
      </c>
      <c r="H502" s="308">
        <v>5.7275999999999998</v>
      </c>
      <c r="I502" s="308">
        <v>5.2146999999999997</v>
      </c>
      <c r="J502" s="308">
        <v>0</v>
      </c>
      <c r="K502" s="308">
        <v>0</v>
      </c>
      <c r="L502" s="308">
        <v>4.0483000000000002</v>
      </c>
      <c r="M502" s="308">
        <v>7.3316999999999997</v>
      </c>
      <c r="N502" s="308">
        <v>8.2417999999999996</v>
      </c>
      <c r="O502" s="308">
        <v>0</v>
      </c>
      <c r="P502" s="308">
        <v>0</v>
      </c>
      <c r="Q502" s="308">
        <v>7.0982000000000003</v>
      </c>
      <c r="R502" s="308">
        <v>5.6901999999999999</v>
      </c>
      <c r="S502" s="308">
        <v>6.9873000000000003</v>
      </c>
      <c r="T502" s="308">
        <v>0</v>
      </c>
      <c r="U502" s="308">
        <v>7.4512999999999998</v>
      </c>
      <c r="V502" s="308">
        <v>7.9307999999999996</v>
      </c>
      <c r="W502" s="308">
        <v>4.5399000000000003</v>
      </c>
      <c r="X502" s="308">
        <v>5.2304000000000004</v>
      </c>
      <c r="Y502" s="308">
        <v>8.4312000000000005</v>
      </c>
      <c r="Z502" s="308">
        <v>7.415</v>
      </c>
      <c r="AA502" s="308">
        <v>5.6463000000000001</v>
      </c>
      <c r="AB502" s="308">
        <v>7.0534999999999997</v>
      </c>
      <c r="AC502" s="308">
        <v>8.1356999999999999</v>
      </c>
      <c r="AD502" s="308">
        <v>7.9523999999999999</v>
      </c>
      <c r="AE502" s="308">
        <v>8.1286000000000005</v>
      </c>
      <c r="AF502" s="308">
        <v>4.9561999999999999</v>
      </c>
      <c r="AG502" s="308">
        <v>0</v>
      </c>
      <c r="AH502" s="308">
        <v>6.9798999999999998</v>
      </c>
      <c r="AI502" s="308">
        <v>4.7465999999999999</v>
      </c>
      <c r="AJ502" s="308">
        <v>6.18</v>
      </c>
      <c r="AK502" s="308">
        <v>5.5979000000000001</v>
      </c>
      <c r="AL502" s="308">
        <v>5.3117999999999999</v>
      </c>
      <c r="AM502" s="308">
        <v>5.96</v>
      </c>
      <c r="AN502" s="308">
        <v>7.2655000000000003</v>
      </c>
      <c r="AO502" s="308">
        <v>7.7542</v>
      </c>
      <c r="AP502" s="308">
        <v>7.1429</v>
      </c>
      <c r="AQ502" s="308">
        <v>0</v>
      </c>
      <c r="AR502" s="308">
        <v>8.42</v>
      </c>
      <c r="AS502" s="308">
        <v>6.8559000000000001</v>
      </c>
      <c r="AT502" s="308">
        <v>6.1711</v>
      </c>
      <c r="AU502" s="308">
        <v>6.4729000000000001</v>
      </c>
      <c r="AV502" s="308">
        <v>0</v>
      </c>
      <c r="AW502" s="308">
        <v>7.2567000000000004</v>
      </c>
      <c r="AX502" s="308">
        <v>0</v>
      </c>
      <c r="AY502" s="308">
        <v>8.1003000000000007</v>
      </c>
      <c r="AZ502" s="308">
        <v>7.5026000000000002</v>
      </c>
      <c r="BA502" s="308">
        <v>7.2156000000000002</v>
      </c>
      <c r="BB502" s="308">
        <v>0</v>
      </c>
      <c r="BC502" s="308">
        <v>7.3941999999999997</v>
      </c>
      <c r="BD502" s="308">
        <v>6.0971000000000002</v>
      </c>
      <c r="BE502" s="308">
        <v>6.8323</v>
      </c>
      <c r="BF502" s="308">
        <v>5.8583999999999996</v>
      </c>
      <c r="BG502" s="308">
        <v>8.6475000000000009</v>
      </c>
      <c r="BH502" s="308">
        <v>8.8806999999999992</v>
      </c>
      <c r="BI502" s="308">
        <v>8.4641000000000002</v>
      </c>
      <c r="BJ502" s="308">
        <v>7.4386999999999999</v>
      </c>
      <c r="BK502" s="308">
        <v>7.5267999999999997</v>
      </c>
    </row>
    <row r="503" spans="1:63" x14ac:dyDescent="0.25">
      <c r="A503" s="306" t="s">
        <v>709</v>
      </c>
      <c r="B503" s="308" t="s">
        <v>80</v>
      </c>
      <c r="C503" s="308">
        <v>12.4261</v>
      </c>
      <c r="D503" s="308">
        <v>11.5967</v>
      </c>
      <c r="E503" s="308">
        <v>11.3188</v>
      </c>
      <c r="F503" s="308">
        <v>10.668200000000001</v>
      </c>
      <c r="G503" s="308">
        <v>6.5819999999999999</v>
      </c>
      <c r="H503" s="308">
        <v>7.6508000000000003</v>
      </c>
      <c r="I503" s="308">
        <v>11.233599999999999</v>
      </c>
      <c r="J503" s="308">
        <v>0</v>
      </c>
      <c r="K503" s="308">
        <v>0</v>
      </c>
      <c r="L503" s="308">
        <v>8.9125999999999994</v>
      </c>
      <c r="M503" s="308">
        <v>8.5843000000000007</v>
      </c>
      <c r="N503" s="308">
        <v>11.034000000000001</v>
      </c>
      <c r="O503" s="308">
        <v>6.2891000000000004</v>
      </c>
      <c r="P503" s="308">
        <v>8.6679999999999993</v>
      </c>
      <c r="Q503" s="308">
        <v>9.1872000000000007</v>
      </c>
      <c r="R503" s="308">
        <v>6.6662999999999997</v>
      </c>
      <c r="S503" s="308">
        <v>8.1163000000000007</v>
      </c>
      <c r="T503" s="308">
        <v>0</v>
      </c>
      <c r="U503" s="308">
        <v>11.0099</v>
      </c>
      <c r="V503" s="308">
        <v>10.121600000000001</v>
      </c>
      <c r="W503" s="308">
        <v>6.6641000000000004</v>
      </c>
      <c r="X503" s="308">
        <v>4.2686999999999999</v>
      </c>
      <c r="Y503" s="308">
        <v>13.510899999999999</v>
      </c>
      <c r="Z503" s="308">
        <v>10.2689</v>
      </c>
      <c r="AA503" s="308">
        <v>7.6130000000000004</v>
      </c>
      <c r="AB503" s="308">
        <v>10.8714</v>
      </c>
      <c r="AC503" s="308">
        <v>10.629</v>
      </c>
      <c r="AD503" s="308">
        <v>11.070399999999999</v>
      </c>
      <c r="AE503" s="308">
        <v>11.178000000000001</v>
      </c>
      <c r="AF503" s="308">
        <v>0</v>
      </c>
      <c r="AG503" s="308">
        <v>10.175599999999999</v>
      </c>
      <c r="AH503" s="308">
        <v>8.7467000000000006</v>
      </c>
      <c r="AI503" s="308">
        <v>3.9801000000000002</v>
      </c>
      <c r="AJ503" s="308">
        <v>0</v>
      </c>
      <c r="AK503" s="308">
        <v>0</v>
      </c>
      <c r="AL503" s="308">
        <v>6.7137000000000002</v>
      </c>
      <c r="AM503" s="308">
        <v>8.2759</v>
      </c>
      <c r="AN503" s="308">
        <v>7.4610000000000003</v>
      </c>
      <c r="AO503" s="308">
        <v>10.3931</v>
      </c>
      <c r="AP503" s="308">
        <v>9.4672999999999998</v>
      </c>
      <c r="AQ503" s="308">
        <v>9.3229000000000006</v>
      </c>
      <c r="AR503" s="308">
        <v>11.938000000000001</v>
      </c>
      <c r="AS503" s="308">
        <v>0</v>
      </c>
      <c r="AT503" s="308">
        <v>8.5207999999999995</v>
      </c>
      <c r="AU503" s="308">
        <v>7.3513000000000002</v>
      </c>
      <c r="AV503" s="308">
        <v>9.2373999999999992</v>
      </c>
      <c r="AW503" s="308">
        <v>9.7035999999999998</v>
      </c>
      <c r="AX503" s="308">
        <v>12.677199999999999</v>
      </c>
      <c r="AY503" s="308">
        <v>9.9372000000000007</v>
      </c>
      <c r="AZ503" s="308">
        <v>10.845000000000001</v>
      </c>
      <c r="BA503" s="308">
        <v>10.1053</v>
      </c>
      <c r="BB503" s="308">
        <v>0</v>
      </c>
      <c r="BC503" s="308">
        <v>11.0083</v>
      </c>
      <c r="BD503" s="308">
        <v>8.2344000000000008</v>
      </c>
      <c r="BE503" s="308">
        <v>9.0517000000000003</v>
      </c>
      <c r="BF503" s="308">
        <v>8.3402999999999992</v>
      </c>
      <c r="BG503" s="308">
        <v>11.8034</v>
      </c>
      <c r="BH503" s="308">
        <v>11.7128</v>
      </c>
      <c r="BI503" s="308">
        <v>10.669499999999999</v>
      </c>
      <c r="BJ503" s="308">
        <v>9.2885000000000009</v>
      </c>
      <c r="BK503" s="308">
        <v>10.218400000000001</v>
      </c>
    </row>
    <row r="504" spans="1:63" x14ac:dyDescent="0.25">
      <c r="A504" s="306" t="s">
        <v>710</v>
      </c>
      <c r="B504" s="308" t="s">
        <v>81</v>
      </c>
      <c r="C504" s="308">
        <v>13.108599999999999</v>
      </c>
      <c r="D504" s="308">
        <v>10.4941</v>
      </c>
      <c r="E504" s="308">
        <v>13.0037</v>
      </c>
      <c r="F504" s="308">
        <v>12.5144</v>
      </c>
      <c r="G504" s="308">
        <v>10.4476</v>
      </c>
      <c r="H504" s="308">
        <v>9.4369999999999994</v>
      </c>
      <c r="I504" s="308">
        <v>9.7603000000000009</v>
      </c>
      <c r="J504" s="308">
        <v>9.0442999999999998</v>
      </c>
      <c r="K504" s="308">
        <v>0</v>
      </c>
      <c r="L504" s="308">
        <v>8.6143999999999998</v>
      </c>
      <c r="M504" s="308">
        <v>10.045500000000001</v>
      </c>
      <c r="N504" s="308">
        <v>12.3271</v>
      </c>
      <c r="O504" s="308">
        <v>10.0198</v>
      </c>
      <c r="P504" s="308">
        <v>9.0608000000000004</v>
      </c>
      <c r="Q504" s="308">
        <v>10.490500000000001</v>
      </c>
      <c r="R504" s="308">
        <v>8.4252000000000002</v>
      </c>
      <c r="S504" s="308">
        <v>10.261699999999999</v>
      </c>
      <c r="T504" s="308">
        <v>9.1999999999999993</v>
      </c>
      <c r="U504" s="308">
        <v>11.4435</v>
      </c>
      <c r="V504" s="308">
        <v>11.493499999999999</v>
      </c>
      <c r="W504" s="308">
        <v>8.6496999999999993</v>
      </c>
      <c r="X504" s="308">
        <v>7.2119999999999997</v>
      </c>
      <c r="Y504" s="308">
        <v>11.3874</v>
      </c>
      <c r="Z504" s="308">
        <v>10.200200000000001</v>
      </c>
      <c r="AA504" s="308">
        <v>8.2830999999999992</v>
      </c>
      <c r="AB504" s="308">
        <v>11.797000000000001</v>
      </c>
      <c r="AC504" s="308">
        <v>12.8873</v>
      </c>
      <c r="AD504" s="308">
        <v>12.9091</v>
      </c>
      <c r="AE504" s="308">
        <v>11.967000000000001</v>
      </c>
      <c r="AF504" s="308">
        <v>8.3574999999999999</v>
      </c>
      <c r="AG504" s="308">
        <v>8.9094999999999995</v>
      </c>
      <c r="AH504" s="308">
        <v>10.9087</v>
      </c>
      <c r="AI504" s="308">
        <v>7.4241000000000001</v>
      </c>
      <c r="AJ504" s="308">
        <v>10.315</v>
      </c>
      <c r="AK504" s="308">
        <v>8.9062000000000001</v>
      </c>
      <c r="AL504" s="308">
        <v>8.7597000000000005</v>
      </c>
      <c r="AM504" s="308">
        <v>10.0284</v>
      </c>
      <c r="AN504" s="308">
        <v>12.132400000000001</v>
      </c>
      <c r="AO504" s="308">
        <v>10.830399999999999</v>
      </c>
      <c r="AP504" s="308">
        <v>11.348100000000001</v>
      </c>
      <c r="AQ504" s="308">
        <v>8.16</v>
      </c>
      <c r="AR504" s="308">
        <v>11.666399999999999</v>
      </c>
      <c r="AS504" s="308">
        <v>9.9979999999999993</v>
      </c>
      <c r="AT504" s="308">
        <v>11.4749</v>
      </c>
      <c r="AU504" s="308">
        <v>10.759600000000001</v>
      </c>
      <c r="AV504" s="308">
        <v>11.610300000000001</v>
      </c>
      <c r="AW504" s="308">
        <v>10.864800000000001</v>
      </c>
      <c r="AX504" s="308">
        <v>12.3094</v>
      </c>
      <c r="AY504" s="308">
        <v>10.803900000000001</v>
      </c>
      <c r="AZ504" s="308">
        <v>11.668799999999999</v>
      </c>
      <c r="BA504" s="308">
        <v>10.5345</v>
      </c>
      <c r="BB504" s="308">
        <v>10.672599999999999</v>
      </c>
      <c r="BC504" s="308">
        <v>10.4552</v>
      </c>
      <c r="BD504" s="308">
        <v>9.8475000000000001</v>
      </c>
      <c r="BE504" s="308">
        <v>10.393800000000001</v>
      </c>
      <c r="BF504" s="308">
        <v>9.9354999999999993</v>
      </c>
      <c r="BG504" s="308">
        <v>12.270899999999999</v>
      </c>
      <c r="BH504" s="308">
        <v>12.973100000000001</v>
      </c>
      <c r="BI504" s="308">
        <v>12.5975</v>
      </c>
      <c r="BJ504" s="308">
        <v>11.5245</v>
      </c>
      <c r="BK504" s="308">
        <v>11.1412</v>
      </c>
    </row>
    <row r="505" spans="1:63" x14ac:dyDescent="0.25">
      <c r="A505" s="306">
        <v>321910</v>
      </c>
      <c r="B505" s="308" t="s">
        <v>711</v>
      </c>
      <c r="C505" s="308">
        <v>12.7904</v>
      </c>
      <c r="D505" s="308">
        <v>9.4350000000000005</v>
      </c>
      <c r="E505" s="308">
        <v>12.1229</v>
      </c>
      <c r="F505" s="308">
        <v>12.3588</v>
      </c>
      <c r="G505" s="308">
        <v>8.9915000000000003</v>
      </c>
      <c r="H505" s="308">
        <v>9.0145</v>
      </c>
      <c r="I505" s="308">
        <v>9.0818999999999992</v>
      </c>
      <c r="J505" s="308">
        <v>6.8871000000000002</v>
      </c>
      <c r="K505" s="308">
        <v>0</v>
      </c>
      <c r="L505" s="308">
        <v>6.9180000000000001</v>
      </c>
      <c r="M505" s="308">
        <v>9.2138000000000009</v>
      </c>
      <c r="N505" s="308">
        <v>11.4732</v>
      </c>
      <c r="O505" s="308">
        <v>9.2063000000000006</v>
      </c>
      <c r="P505" s="308">
        <v>7.5415999999999999</v>
      </c>
      <c r="Q505" s="308">
        <v>9.8622999999999994</v>
      </c>
      <c r="R505" s="308">
        <v>8.4002999999999997</v>
      </c>
      <c r="S505" s="308">
        <v>10.237399999999999</v>
      </c>
      <c r="T505" s="308">
        <v>8.6003000000000007</v>
      </c>
      <c r="U505" s="308">
        <v>12.193199999999999</v>
      </c>
      <c r="V505" s="308">
        <v>10.7294</v>
      </c>
      <c r="W505" s="308">
        <v>7.0148999999999999</v>
      </c>
      <c r="X505" s="308">
        <v>6.5401999999999996</v>
      </c>
      <c r="Y505" s="308">
        <v>11.988099999999999</v>
      </c>
      <c r="Z505" s="308">
        <v>10.024800000000001</v>
      </c>
      <c r="AA505" s="308">
        <v>7.8361999999999998</v>
      </c>
      <c r="AB505" s="308">
        <v>11.146599999999999</v>
      </c>
      <c r="AC505" s="308">
        <v>12.231</v>
      </c>
      <c r="AD505" s="308">
        <v>10.5802</v>
      </c>
      <c r="AE505" s="308">
        <v>11.3749</v>
      </c>
      <c r="AF505" s="308">
        <v>7.3239000000000001</v>
      </c>
      <c r="AG505" s="308">
        <v>9.1397999999999993</v>
      </c>
      <c r="AH505" s="308">
        <v>8.4303000000000008</v>
      </c>
      <c r="AI505" s="308">
        <v>6.7525000000000004</v>
      </c>
      <c r="AJ505" s="308">
        <v>9.4962</v>
      </c>
      <c r="AK505" s="308">
        <v>7.2093999999999996</v>
      </c>
      <c r="AL505" s="308">
        <v>6.8644999999999996</v>
      </c>
      <c r="AM505" s="308">
        <v>10.5593</v>
      </c>
      <c r="AN505" s="308">
        <v>10.86</v>
      </c>
      <c r="AO505" s="308">
        <v>11.041499999999999</v>
      </c>
      <c r="AP505" s="308">
        <v>11.027699999999999</v>
      </c>
      <c r="AQ505" s="308">
        <v>7.4809999999999999</v>
      </c>
      <c r="AR505" s="308">
        <v>12.142099999999999</v>
      </c>
      <c r="AS505" s="308">
        <v>9.4902999999999995</v>
      </c>
      <c r="AT505" s="308">
        <v>10.777799999999999</v>
      </c>
      <c r="AU505" s="308">
        <v>10.361700000000001</v>
      </c>
      <c r="AV505" s="308">
        <v>11.6738</v>
      </c>
      <c r="AW505" s="308">
        <v>10.6127</v>
      </c>
      <c r="AX505" s="308">
        <v>11.608599999999999</v>
      </c>
      <c r="AY505" s="308">
        <v>10.3414</v>
      </c>
      <c r="AZ505" s="308">
        <v>11.85</v>
      </c>
      <c r="BA505" s="308">
        <v>11.652699999999999</v>
      </c>
      <c r="BB505" s="308">
        <v>9.7737999999999996</v>
      </c>
      <c r="BC505" s="308">
        <v>9.3688000000000002</v>
      </c>
      <c r="BD505" s="308">
        <v>8.9526000000000003</v>
      </c>
      <c r="BE505" s="308">
        <v>10.8622</v>
      </c>
      <c r="BF505" s="308">
        <v>8.8666</v>
      </c>
      <c r="BG505" s="308">
        <v>11.930400000000001</v>
      </c>
      <c r="BH505" s="308">
        <v>12.796799999999999</v>
      </c>
      <c r="BI505" s="308">
        <v>12.134600000000001</v>
      </c>
      <c r="BJ505" s="308">
        <v>10.553000000000001</v>
      </c>
      <c r="BK505" s="308">
        <v>10.7377</v>
      </c>
    </row>
    <row r="506" spans="1:63" x14ac:dyDescent="0.25">
      <c r="A506" s="306">
        <v>321920</v>
      </c>
      <c r="B506" s="308" t="s">
        <v>83</v>
      </c>
      <c r="C506" s="308">
        <v>14.767899999999999</v>
      </c>
      <c r="D506" s="308">
        <v>12.281000000000001</v>
      </c>
      <c r="E506" s="308">
        <v>15.166700000000001</v>
      </c>
      <c r="F506" s="308">
        <v>14.1043</v>
      </c>
      <c r="G506" s="308">
        <v>11.865500000000001</v>
      </c>
      <c r="H506" s="308">
        <v>10.639099999999999</v>
      </c>
      <c r="I506" s="308">
        <v>11.4558</v>
      </c>
      <c r="J506" s="308">
        <v>9.6271000000000004</v>
      </c>
      <c r="K506" s="308">
        <v>0</v>
      </c>
      <c r="L506" s="308">
        <v>9.0390999999999995</v>
      </c>
      <c r="M506" s="308">
        <v>11.4719</v>
      </c>
      <c r="N506" s="308">
        <v>13.8474</v>
      </c>
      <c r="O506" s="308">
        <v>0</v>
      </c>
      <c r="P506" s="308">
        <v>11.2119</v>
      </c>
      <c r="Q506" s="308">
        <v>10.7852</v>
      </c>
      <c r="R506" s="308">
        <v>11.0694</v>
      </c>
      <c r="S506" s="308">
        <v>12.1913</v>
      </c>
      <c r="T506" s="308">
        <v>10.9198</v>
      </c>
      <c r="U506" s="308">
        <v>11.181699999999999</v>
      </c>
      <c r="V506" s="308">
        <v>12.801</v>
      </c>
      <c r="W506" s="308">
        <v>8.9797999999999991</v>
      </c>
      <c r="X506" s="308">
        <v>8.8583999999999996</v>
      </c>
      <c r="Y506" s="308">
        <v>12.5213</v>
      </c>
      <c r="Z506" s="308">
        <v>11.525399999999999</v>
      </c>
      <c r="AA506" s="308">
        <v>9.8714999999999993</v>
      </c>
      <c r="AB506" s="308">
        <v>12.0617</v>
      </c>
      <c r="AC506" s="308">
        <v>12.147399999999999</v>
      </c>
      <c r="AD506" s="308">
        <v>14.3705</v>
      </c>
      <c r="AE506" s="308">
        <v>13.515499999999999</v>
      </c>
      <c r="AF506" s="308">
        <v>9.6085999999999991</v>
      </c>
      <c r="AG506" s="308">
        <v>11.1677</v>
      </c>
      <c r="AH506" s="308">
        <v>10.9735</v>
      </c>
      <c r="AI506" s="308">
        <v>9.4379000000000008</v>
      </c>
      <c r="AJ506" s="308">
        <v>12.284000000000001</v>
      </c>
      <c r="AK506" s="308">
        <v>11.9819</v>
      </c>
      <c r="AL506" s="308">
        <v>10.2409</v>
      </c>
      <c r="AM506" s="308">
        <v>11.9458</v>
      </c>
      <c r="AN506" s="308">
        <v>13.150600000000001</v>
      </c>
      <c r="AO506" s="308">
        <v>12.4917</v>
      </c>
      <c r="AP506" s="308">
        <v>12.955500000000001</v>
      </c>
      <c r="AQ506" s="308">
        <v>10.5518</v>
      </c>
      <c r="AR506" s="308">
        <v>15.278600000000001</v>
      </c>
      <c r="AS506" s="308">
        <v>10.115399999999999</v>
      </c>
      <c r="AT506" s="308">
        <v>13.2776</v>
      </c>
      <c r="AU506" s="308">
        <v>12.3864</v>
      </c>
      <c r="AV506" s="308">
        <v>13.919700000000001</v>
      </c>
      <c r="AW506" s="308">
        <v>11.293699999999999</v>
      </c>
      <c r="AX506" s="308">
        <v>13.9781</v>
      </c>
      <c r="AY506" s="308">
        <v>12.2986</v>
      </c>
      <c r="AZ506" s="308">
        <v>13.893000000000001</v>
      </c>
      <c r="BA506" s="308">
        <v>13.7376</v>
      </c>
      <c r="BB506" s="308">
        <v>12.733700000000001</v>
      </c>
      <c r="BC506" s="308">
        <v>11.4856</v>
      </c>
      <c r="BD506" s="308">
        <v>11.8765</v>
      </c>
      <c r="BE506" s="308">
        <v>12.507899999999999</v>
      </c>
      <c r="BF506" s="308">
        <v>11.4861</v>
      </c>
      <c r="BG506" s="308">
        <v>13.9961</v>
      </c>
      <c r="BH506" s="308">
        <v>13.705399999999999</v>
      </c>
      <c r="BI506" s="308">
        <v>13.9194</v>
      </c>
      <c r="BJ506" s="308">
        <v>13.009600000000001</v>
      </c>
      <c r="BK506" s="308">
        <v>12.1297</v>
      </c>
    </row>
    <row r="507" spans="1:63" x14ac:dyDescent="0.25">
      <c r="A507" s="306">
        <v>321991</v>
      </c>
      <c r="B507" s="308" t="s">
        <v>84</v>
      </c>
      <c r="C507" s="308">
        <v>13.554600000000001</v>
      </c>
      <c r="D507" s="308">
        <v>0</v>
      </c>
      <c r="E507" s="308">
        <v>13.5563</v>
      </c>
      <c r="F507" s="308">
        <v>10.474399999999999</v>
      </c>
      <c r="G507" s="308">
        <v>10.5724</v>
      </c>
      <c r="H507" s="308">
        <v>9.3092000000000006</v>
      </c>
      <c r="I507" s="308">
        <v>11.0451</v>
      </c>
      <c r="J507" s="308">
        <v>0</v>
      </c>
      <c r="K507" s="308">
        <v>0</v>
      </c>
      <c r="L507" s="308">
        <v>0</v>
      </c>
      <c r="M507" s="308">
        <v>10.715</v>
      </c>
      <c r="N507" s="308">
        <v>13.194100000000001</v>
      </c>
      <c r="O507" s="308">
        <v>0</v>
      </c>
      <c r="P507" s="308">
        <v>12.504</v>
      </c>
      <c r="Q507" s="308">
        <v>9.2438000000000002</v>
      </c>
      <c r="R507" s="308">
        <v>11.841900000000001</v>
      </c>
      <c r="S507" s="308">
        <v>10.1104</v>
      </c>
      <c r="T507" s="308">
        <v>10.5405</v>
      </c>
      <c r="U507" s="308">
        <v>12.3546</v>
      </c>
      <c r="V507" s="308">
        <v>9.6752000000000002</v>
      </c>
      <c r="W507" s="308">
        <v>0</v>
      </c>
      <c r="X507" s="308">
        <v>7.1920999999999999</v>
      </c>
      <c r="Y507" s="308">
        <v>11.127800000000001</v>
      </c>
      <c r="Z507" s="308">
        <v>9.4536999999999995</v>
      </c>
      <c r="AA507" s="308">
        <v>9.8126999999999995</v>
      </c>
      <c r="AB507" s="308">
        <v>12.796900000000001</v>
      </c>
      <c r="AC507" s="308">
        <v>12.203900000000001</v>
      </c>
      <c r="AD507" s="308">
        <v>12.9833</v>
      </c>
      <c r="AE507" s="308">
        <v>11.8809</v>
      </c>
      <c r="AF507" s="308">
        <v>9.9031000000000002</v>
      </c>
      <c r="AG507" s="308">
        <v>10.281499999999999</v>
      </c>
      <c r="AH507" s="308">
        <v>0</v>
      </c>
      <c r="AI507" s="308">
        <v>10.969200000000001</v>
      </c>
      <c r="AJ507" s="308">
        <v>12.162599999999999</v>
      </c>
      <c r="AK507" s="308">
        <v>0</v>
      </c>
      <c r="AL507" s="308">
        <v>7.8948999999999998</v>
      </c>
      <c r="AM507" s="308">
        <v>11.517300000000001</v>
      </c>
      <c r="AN507" s="308">
        <v>13.581799999999999</v>
      </c>
      <c r="AO507" s="308">
        <v>11.222799999999999</v>
      </c>
      <c r="AP507" s="308">
        <v>11.7507</v>
      </c>
      <c r="AQ507" s="308">
        <v>0</v>
      </c>
      <c r="AR507" s="308">
        <v>10.9274</v>
      </c>
      <c r="AS507" s="308">
        <v>11.5732</v>
      </c>
      <c r="AT507" s="308">
        <v>10.1706</v>
      </c>
      <c r="AU507" s="308">
        <v>11.379300000000001</v>
      </c>
      <c r="AV507" s="308">
        <v>12.552199999999999</v>
      </c>
      <c r="AW507" s="308">
        <v>11.780200000000001</v>
      </c>
      <c r="AX507" s="308">
        <v>12.4688</v>
      </c>
      <c r="AY507" s="308">
        <v>11.948700000000001</v>
      </c>
      <c r="AZ507" s="308">
        <v>11.2666</v>
      </c>
      <c r="BA507" s="308">
        <v>8.9883000000000006</v>
      </c>
      <c r="BB507" s="308">
        <v>8.9657999999999998</v>
      </c>
      <c r="BC507" s="308">
        <v>12.598599999999999</v>
      </c>
      <c r="BD507" s="308">
        <v>10.535</v>
      </c>
      <c r="BE507" s="308">
        <v>11.0732</v>
      </c>
      <c r="BF507" s="308">
        <v>11.445499999999999</v>
      </c>
      <c r="BG507" s="308">
        <v>12.866099999999999</v>
      </c>
      <c r="BH507" s="308">
        <v>12.7149</v>
      </c>
      <c r="BI507" s="308">
        <v>12.1942</v>
      </c>
      <c r="BJ507" s="308">
        <v>11.323600000000001</v>
      </c>
      <c r="BK507" s="308">
        <v>10.4755</v>
      </c>
    </row>
    <row r="508" spans="1:63" x14ac:dyDescent="0.25">
      <c r="A508" s="306">
        <v>321992</v>
      </c>
      <c r="B508" s="308" t="s">
        <v>85</v>
      </c>
      <c r="C508" s="308">
        <v>13.329599999999999</v>
      </c>
      <c r="D508" s="308">
        <v>8.7873999999999999</v>
      </c>
      <c r="E508" s="308">
        <v>14.0276</v>
      </c>
      <c r="F508" s="308">
        <v>12.0313</v>
      </c>
      <c r="G508" s="308">
        <v>9.6953999999999994</v>
      </c>
      <c r="H508" s="308">
        <v>9.3635999999999999</v>
      </c>
      <c r="I508" s="308">
        <v>10.844200000000001</v>
      </c>
      <c r="J508" s="308">
        <v>8.1748999999999992</v>
      </c>
      <c r="K508" s="308">
        <v>0</v>
      </c>
      <c r="L508" s="308">
        <v>7.4701000000000004</v>
      </c>
      <c r="M508" s="308">
        <v>8.6492000000000004</v>
      </c>
      <c r="N508" s="308">
        <v>13.708299999999999</v>
      </c>
      <c r="O508" s="308">
        <v>11.5242</v>
      </c>
      <c r="P508" s="308">
        <v>9.7642000000000007</v>
      </c>
      <c r="Q508" s="308">
        <v>9.4869000000000003</v>
      </c>
      <c r="R508" s="308">
        <v>8.4535</v>
      </c>
      <c r="S508" s="308">
        <v>10.490500000000001</v>
      </c>
      <c r="T508" s="308">
        <v>10.130699999999999</v>
      </c>
      <c r="U508" s="308">
        <v>11.314</v>
      </c>
      <c r="V508" s="308">
        <v>9.1356999999999999</v>
      </c>
      <c r="W508" s="308">
        <v>7.952</v>
      </c>
      <c r="X508" s="308">
        <v>6.0782999999999996</v>
      </c>
      <c r="Y508" s="308">
        <v>12.148</v>
      </c>
      <c r="Z508" s="308">
        <v>9.5037000000000003</v>
      </c>
      <c r="AA508" s="308">
        <v>8.6014999999999997</v>
      </c>
      <c r="AB508" s="308">
        <v>11.002800000000001</v>
      </c>
      <c r="AC508" s="308">
        <v>11.7067</v>
      </c>
      <c r="AD508" s="308">
        <v>11.0303</v>
      </c>
      <c r="AE508" s="308">
        <v>11.6366</v>
      </c>
      <c r="AF508" s="308">
        <v>8.0747999999999998</v>
      </c>
      <c r="AG508" s="308">
        <v>9.3444000000000003</v>
      </c>
      <c r="AH508" s="308">
        <v>9.7164999999999999</v>
      </c>
      <c r="AI508" s="308">
        <v>8.3952000000000009</v>
      </c>
      <c r="AJ508" s="308">
        <v>11.020799999999999</v>
      </c>
      <c r="AK508" s="308">
        <v>8.2047000000000008</v>
      </c>
      <c r="AL508" s="308">
        <v>8.2833000000000006</v>
      </c>
      <c r="AM508" s="308">
        <v>10.507099999999999</v>
      </c>
      <c r="AN508" s="308">
        <v>13.694000000000001</v>
      </c>
      <c r="AO508" s="308">
        <v>11.920999999999999</v>
      </c>
      <c r="AP508" s="308">
        <v>12.0932</v>
      </c>
      <c r="AQ508" s="308">
        <v>10.7796</v>
      </c>
      <c r="AR508" s="308">
        <v>11.1882</v>
      </c>
      <c r="AS508" s="308">
        <v>10.895300000000001</v>
      </c>
      <c r="AT508" s="308">
        <v>11.2475</v>
      </c>
      <c r="AU508" s="308">
        <v>10.0318</v>
      </c>
      <c r="AV508" s="308">
        <v>12.525</v>
      </c>
      <c r="AW508" s="308">
        <v>11.417299999999999</v>
      </c>
      <c r="AX508" s="308">
        <v>9.9570000000000007</v>
      </c>
      <c r="AY508" s="308">
        <v>10.8797</v>
      </c>
      <c r="AZ508" s="308">
        <v>11.699299999999999</v>
      </c>
      <c r="BA508" s="308">
        <v>12.8073</v>
      </c>
      <c r="BB508" s="308">
        <v>11.8939</v>
      </c>
      <c r="BC508" s="308">
        <v>10.2661</v>
      </c>
      <c r="BD508" s="308">
        <v>10.6496</v>
      </c>
      <c r="BE508" s="308">
        <v>10.817600000000001</v>
      </c>
      <c r="BF508" s="308">
        <v>10.471299999999999</v>
      </c>
      <c r="BG508" s="308">
        <v>12.573399999999999</v>
      </c>
      <c r="BH508" s="308">
        <v>12.926</v>
      </c>
      <c r="BI508" s="308">
        <v>11.4178</v>
      </c>
      <c r="BJ508" s="308">
        <v>11.108000000000001</v>
      </c>
      <c r="BK508" s="308">
        <v>10.988899999999999</v>
      </c>
    </row>
    <row r="509" spans="1:63" x14ac:dyDescent="0.25">
      <c r="A509" s="306">
        <v>321999</v>
      </c>
      <c r="B509" s="308" t="s">
        <v>86</v>
      </c>
      <c r="C509" s="308">
        <v>14.8977</v>
      </c>
      <c r="D509" s="308">
        <v>13.0862</v>
      </c>
      <c r="E509" s="308">
        <v>12.2186</v>
      </c>
      <c r="F509" s="308">
        <v>15.3939</v>
      </c>
      <c r="G509" s="308">
        <v>12.423400000000001</v>
      </c>
      <c r="H509" s="308">
        <v>10.0467</v>
      </c>
      <c r="I509" s="308">
        <v>13.732699999999999</v>
      </c>
      <c r="J509" s="308">
        <v>8.7138000000000009</v>
      </c>
      <c r="K509" s="308">
        <v>0</v>
      </c>
      <c r="L509" s="308">
        <v>0</v>
      </c>
      <c r="M509" s="308">
        <v>10.812099999999999</v>
      </c>
      <c r="N509" s="308">
        <v>12.251200000000001</v>
      </c>
      <c r="O509" s="308">
        <v>10.2034</v>
      </c>
      <c r="P509" s="308">
        <v>12.4818</v>
      </c>
      <c r="Q509" s="308">
        <v>11.6105</v>
      </c>
      <c r="R509" s="308">
        <v>10.293699999999999</v>
      </c>
      <c r="S509" s="308">
        <v>12.0242</v>
      </c>
      <c r="T509" s="308">
        <v>10.0319</v>
      </c>
      <c r="U509" s="308">
        <v>14.351000000000001</v>
      </c>
      <c r="V509" s="308">
        <v>13.4293</v>
      </c>
      <c r="W509" s="308">
        <v>8.8046000000000006</v>
      </c>
      <c r="X509" s="308">
        <v>9.9492999999999991</v>
      </c>
      <c r="Y509" s="308">
        <v>14.4687</v>
      </c>
      <c r="Z509" s="308">
        <v>12.606999999999999</v>
      </c>
      <c r="AA509" s="308">
        <v>10.487399999999999</v>
      </c>
      <c r="AB509" s="308">
        <v>13.992900000000001</v>
      </c>
      <c r="AC509" s="308">
        <v>13.0747</v>
      </c>
      <c r="AD509" s="308">
        <v>14.7598</v>
      </c>
      <c r="AE509" s="308">
        <v>12.0853</v>
      </c>
      <c r="AF509" s="308">
        <v>10.076000000000001</v>
      </c>
      <c r="AG509" s="308">
        <v>12.5251</v>
      </c>
      <c r="AH509" s="308">
        <v>11.5169</v>
      </c>
      <c r="AI509" s="308">
        <v>8.2830999999999992</v>
      </c>
      <c r="AJ509" s="308">
        <v>13.070499999999999</v>
      </c>
      <c r="AK509" s="308">
        <v>12.780099999999999</v>
      </c>
      <c r="AL509" s="308">
        <v>9.7635000000000005</v>
      </c>
      <c r="AM509" s="308">
        <v>12.6686</v>
      </c>
      <c r="AN509" s="308">
        <v>12.165800000000001</v>
      </c>
      <c r="AO509" s="308">
        <v>13.4741</v>
      </c>
      <c r="AP509" s="308">
        <v>12.691599999999999</v>
      </c>
      <c r="AQ509" s="308">
        <v>10.557399999999999</v>
      </c>
      <c r="AR509" s="308">
        <v>15.0723</v>
      </c>
      <c r="AS509" s="308">
        <v>13.835800000000001</v>
      </c>
      <c r="AT509" s="308">
        <v>13.9984</v>
      </c>
      <c r="AU509" s="308">
        <v>11.623799999999999</v>
      </c>
      <c r="AV509" s="308">
        <v>14.2563</v>
      </c>
      <c r="AW509" s="308">
        <v>13.3713</v>
      </c>
      <c r="AX509" s="308">
        <v>13.204000000000001</v>
      </c>
      <c r="AY509" s="308">
        <v>14.163</v>
      </c>
      <c r="AZ509" s="308">
        <v>12.716699999999999</v>
      </c>
      <c r="BA509" s="308">
        <v>13.3766</v>
      </c>
      <c r="BB509" s="308">
        <v>11.846399999999999</v>
      </c>
      <c r="BC509" s="308">
        <v>12.5535</v>
      </c>
      <c r="BD509" s="308">
        <v>11.4801</v>
      </c>
      <c r="BE509" s="308">
        <v>12.4474</v>
      </c>
      <c r="BF509" s="308">
        <v>12.1037</v>
      </c>
      <c r="BG509" s="308">
        <v>13.450900000000001</v>
      </c>
      <c r="BH509" s="308">
        <v>14.244999999999999</v>
      </c>
      <c r="BI509" s="308">
        <v>13.6698</v>
      </c>
      <c r="BJ509" s="308">
        <v>13.7738</v>
      </c>
      <c r="BK509" s="308">
        <v>12.415900000000001</v>
      </c>
    </row>
    <row r="510" spans="1:63" x14ac:dyDescent="0.25">
      <c r="A510" s="306">
        <v>322110</v>
      </c>
      <c r="B510" s="308" t="s">
        <v>87</v>
      </c>
      <c r="C510" s="308">
        <v>8.7193000000000005</v>
      </c>
      <c r="D510" s="308">
        <v>0</v>
      </c>
      <c r="E510" s="308">
        <v>7.2186000000000003</v>
      </c>
      <c r="F510" s="308">
        <v>0</v>
      </c>
      <c r="G510" s="308">
        <v>6.8323</v>
      </c>
      <c r="H510" s="308">
        <v>5.4382999999999999</v>
      </c>
      <c r="I510" s="308">
        <v>0</v>
      </c>
      <c r="J510" s="308">
        <v>0</v>
      </c>
      <c r="K510" s="308">
        <v>0</v>
      </c>
      <c r="L510" s="308">
        <v>0</v>
      </c>
      <c r="M510" s="308">
        <v>5.6105999999999998</v>
      </c>
      <c r="N510" s="308">
        <v>7.2920999999999996</v>
      </c>
      <c r="O510" s="308">
        <v>0</v>
      </c>
      <c r="P510" s="308">
        <v>6.1734</v>
      </c>
      <c r="Q510" s="308">
        <v>0</v>
      </c>
      <c r="R510" s="308">
        <v>0</v>
      </c>
      <c r="S510" s="308">
        <v>0</v>
      </c>
      <c r="T510" s="308">
        <v>0</v>
      </c>
      <c r="U510" s="308">
        <v>0</v>
      </c>
      <c r="V510" s="308">
        <v>0</v>
      </c>
      <c r="W510" s="308">
        <v>0</v>
      </c>
      <c r="X510" s="308">
        <v>5.8287000000000004</v>
      </c>
      <c r="Y510" s="308">
        <v>8.4948999999999995</v>
      </c>
      <c r="Z510" s="308">
        <v>7.2290000000000001</v>
      </c>
      <c r="AA510" s="308">
        <v>0</v>
      </c>
      <c r="AB510" s="308">
        <v>0</v>
      </c>
      <c r="AC510" s="308">
        <v>7.9084000000000003</v>
      </c>
      <c r="AD510" s="308">
        <v>0</v>
      </c>
      <c r="AE510" s="308">
        <v>7.2857000000000003</v>
      </c>
      <c r="AF510" s="308">
        <v>0</v>
      </c>
      <c r="AG510" s="308">
        <v>0</v>
      </c>
      <c r="AH510" s="308">
        <v>0</v>
      </c>
      <c r="AI510" s="308">
        <v>0</v>
      </c>
      <c r="AJ510" s="308">
        <v>0</v>
      </c>
      <c r="AK510" s="308">
        <v>0</v>
      </c>
      <c r="AL510" s="308">
        <v>5.5278</v>
      </c>
      <c r="AM510" s="308">
        <v>7.2199</v>
      </c>
      <c r="AN510" s="308">
        <v>7.7028999999999996</v>
      </c>
      <c r="AO510" s="308">
        <v>7.0541999999999998</v>
      </c>
      <c r="AP510" s="308">
        <v>0</v>
      </c>
      <c r="AQ510" s="308">
        <v>0</v>
      </c>
      <c r="AR510" s="308">
        <v>7.2859999999999996</v>
      </c>
      <c r="AS510" s="308">
        <v>0</v>
      </c>
      <c r="AT510" s="308">
        <v>5.6847000000000003</v>
      </c>
      <c r="AU510" s="308">
        <v>6.9236000000000004</v>
      </c>
      <c r="AV510" s="308">
        <v>0</v>
      </c>
      <c r="AW510" s="308">
        <v>0</v>
      </c>
      <c r="AX510" s="308">
        <v>0</v>
      </c>
      <c r="AY510" s="308">
        <v>7.04</v>
      </c>
      <c r="AZ510" s="308">
        <v>7.5358999999999998</v>
      </c>
      <c r="BA510" s="308">
        <v>7.5552000000000001</v>
      </c>
      <c r="BB510" s="308">
        <v>0</v>
      </c>
      <c r="BC510" s="308">
        <v>7.4325999999999999</v>
      </c>
      <c r="BD510" s="308">
        <v>6.6885000000000003</v>
      </c>
      <c r="BE510" s="308">
        <v>6.99</v>
      </c>
      <c r="BF510" s="308">
        <v>7.2811000000000003</v>
      </c>
      <c r="BG510" s="308">
        <v>7.6196000000000002</v>
      </c>
      <c r="BH510" s="308">
        <v>7.5389999999999997</v>
      </c>
      <c r="BI510" s="308">
        <v>9.4301999999999992</v>
      </c>
      <c r="BJ510" s="308">
        <v>8.6518999999999995</v>
      </c>
      <c r="BK510" s="308">
        <v>7.1201999999999996</v>
      </c>
    </row>
    <row r="511" spans="1:63" x14ac:dyDescent="0.25">
      <c r="A511" s="306">
        <v>322120</v>
      </c>
      <c r="B511" s="308" t="s">
        <v>88</v>
      </c>
      <c r="C511" s="308">
        <v>6.9771000000000001</v>
      </c>
      <c r="D511" s="308">
        <v>0</v>
      </c>
      <c r="E511" s="308">
        <v>5.6379000000000001</v>
      </c>
      <c r="F511" s="308">
        <v>5.3804999999999996</v>
      </c>
      <c r="G511" s="308">
        <v>4.1496000000000004</v>
      </c>
      <c r="H511" s="308">
        <v>4.6792999999999996</v>
      </c>
      <c r="I511" s="308">
        <v>5.4569000000000001</v>
      </c>
      <c r="J511" s="308">
        <v>3.6781000000000001</v>
      </c>
      <c r="K511" s="308">
        <v>0</v>
      </c>
      <c r="L511" s="308">
        <v>0</v>
      </c>
      <c r="M511" s="308">
        <v>4.5606</v>
      </c>
      <c r="N511" s="308">
        <v>5.7366000000000001</v>
      </c>
      <c r="O511" s="308">
        <v>4.5785</v>
      </c>
      <c r="P511" s="308">
        <v>4.7672999999999996</v>
      </c>
      <c r="Q511" s="308">
        <v>5.0148999999999999</v>
      </c>
      <c r="R511" s="308">
        <v>5.0033000000000003</v>
      </c>
      <c r="S511" s="308">
        <v>5.1615000000000002</v>
      </c>
      <c r="T511" s="308">
        <v>4.6562000000000001</v>
      </c>
      <c r="U511" s="308">
        <v>4.9282000000000004</v>
      </c>
      <c r="V511" s="308">
        <v>4.9740000000000002</v>
      </c>
      <c r="W511" s="308">
        <v>3.7909999999999999</v>
      </c>
      <c r="X511" s="308">
        <v>3.6901000000000002</v>
      </c>
      <c r="Y511" s="308">
        <v>5.5529999999999999</v>
      </c>
      <c r="Z511" s="308">
        <v>5.3635000000000002</v>
      </c>
      <c r="AA511" s="308">
        <v>4.8220000000000001</v>
      </c>
      <c r="AB511" s="308">
        <v>4.9015000000000004</v>
      </c>
      <c r="AC511" s="308">
        <v>5.0804</v>
      </c>
      <c r="AD511" s="308">
        <v>0</v>
      </c>
      <c r="AE511" s="308">
        <v>5.8407</v>
      </c>
      <c r="AF511" s="308">
        <v>0</v>
      </c>
      <c r="AG511" s="308">
        <v>4.4470000000000001</v>
      </c>
      <c r="AH511" s="308">
        <v>4.6978</v>
      </c>
      <c r="AI511" s="308">
        <v>4.0061</v>
      </c>
      <c r="AJ511" s="308">
        <v>4.2859999999999996</v>
      </c>
      <c r="AK511" s="308">
        <v>0</v>
      </c>
      <c r="AL511" s="308">
        <v>3.8967999999999998</v>
      </c>
      <c r="AM511" s="308">
        <v>5.5080999999999998</v>
      </c>
      <c r="AN511" s="308">
        <v>5.1288999999999998</v>
      </c>
      <c r="AO511" s="308">
        <v>5.2275</v>
      </c>
      <c r="AP511" s="308">
        <v>5.0609000000000002</v>
      </c>
      <c r="AQ511" s="308">
        <v>0</v>
      </c>
      <c r="AR511" s="308">
        <v>5.7375999999999996</v>
      </c>
      <c r="AS511" s="308">
        <v>0</v>
      </c>
      <c r="AT511" s="308">
        <v>4.7237999999999998</v>
      </c>
      <c r="AU511" s="308">
        <v>4.5896999999999997</v>
      </c>
      <c r="AV511" s="308">
        <v>6.1351000000000004</v>
      </c>
      <c r="AW511" s="308">
        <v>4.7210999999999999</v>
      </c>
      <c r="AX511" s="308">
        <v>4.7511000000000001</v>
      </c>
      <c r="AY511" s="308">
        <v>4.9820000000000002</v>
      </c>
      <c r="AZ511" s="308">
        <v>5.5740999999999996</v>
      </c>
      <c r="BA511" s="308">
        <v>0</v>
      </c>
      <c r="BB511" s="308">
        <v>0</v>
      </c>
      <c r="BC511" s="308">
        <v>5.1032000000000002</v>
      </c>
      <c r="BD511" s="308">
        <v>4.7454000000000001</v>
      </c>
      <c r="BE511" s="308">
        <v>5.6292999999999997</v>
      </c>
      <c r="BF511" s="308">
        <v>4.8710000000000004</v>
      </c>
      <c r="BG511" s="308">
        <v>5.9565999999999999</v>
      </c>
      <c r="BH511" s="308">
        <v>5.8501000000000003</v>
      </c>
      <c r="BI511" s="308">
        <v>5.7568999999999999</v>
      </c>
      <c r="BJ511" s="308">
        <v>5.3727999999999998</v>
      </c>
      <c r="BK511" s="308">
        <v>5.1327999999999996</v>
      </c>
    </row>
    <row r="512" spans="1:63" x14ac:dyDescent="0.25">
      <c r="A512" s="306">
        <v>322130</v>
      </c>
      <c r="B512" s="308" t="s">
        <v>712</v>
      </c>
      <c r="C512" s="308">
        <v>7.7445000000000004</v>
      </c>
      <c r="D512" s="308">
        <v>0</v>
      </c>
      <c r="E512" s="308">
        <v>6.4649000000000001</v>
      </c>
      <c r="F512" s="308">
        <v>6.2024999999999997</v>
      </c>
      <c r="G512" s="308">
        <v>5.4284999999999997</v>
      </c>
      <c r="H512" s="308">
        <v>5.2484000000000002</v>
      </c>
      <c r="I512" s="308">
        <v>0</v>
      </c>
      <c r="J512" s="308">
        <v>4.1158999999999999</v>
      </c>
      <c r="K512" s="308">
        <v>0</v>
      </c>
      <c r="L512" s="308">
        <v>0</v>
      </c>
      <c r="M512" s="308">
        <v>5.1905999999999999</v>
      </c>
      <c r="N512" s="308">
        <v>6.2925000000000004</v>
      </c>
      <c r="O512" s="308">
        <v>0</v>
      </c>
      <c r="P512" s="308">
        <v>4.9414999999999996</v>
      </c>
      <c r="Q512" s="308">
        <v>5.4366000000000003</v>
      </c>
      <c r="R512" s="308">
        <v>5.9720000000000004</v>
      </c>
      <c r="S512" s="308">
        <v>5.5434999999999999</v>
      </c>
      <c r="T512" s="308">
        <v>4.8197999999999999</v>
      </c>
      <c r="U512" s="308">
        <v>5.665</v>
      </c>
      <c r="V512" s="308">
        <v>5.9126000000000003</v>
      </c>
      <c r="W512" s="308">
        <v>4.7709000000000001</v>
      </c>
      <c r="X512" s="308">
        <v>4.8201999999999998</v>
      </c>
      <c r="Y512" s="308">
        <v>7.4019000000000004</v>
      </c>
      <c r="Z512" s="308">
        <v>6.2359999999999998</v>
      </c>
      <c r="AA512" s="308">
        <v>5.6036000000000001</v>
      </c>
      <c r="AB512" s="308">
        <v>6.0509000000000004</v>
      </c>
      <c r="AC512" s="308">
        <v>5.6666999999999996</v>
      </c>
      <c r="AD512" s="308">
        <v>5.9659000000000004</v>
      </c>
      <c r="AE512" s="308">
        <v>6.3338999999999999</v>
      </c>
      <c r="AF512" s="308">
        <v>0</v>
      </c>
      <c r="AG512" s="308">
        <v>0</v>
      </c>
      <c r="AH512" s="308">
        <v>0</v>
      </c>
      <c r="AI512" s="308">
        <v>5.0235000000000003</v>
      </c>
      <c r="AJ512" s="308">
        <v>0</v>
      </c>
      <c r="AK512" s="308">
        <v>0</v>
      </c>
      <c r="AL512" s="308">
        <v>3.6071</v>
      </c>
      <c r="AM512" s="308">
        <v>5.8948999999999998</v>
      </c>
      <c r="AN512" s="308">
        <v>5.5113000000000003</v>
      </c>
      <c r="AO512" s="308">
        <v>5.7207999999999997</v>
      </c>
      <c r="AP512" s="308">
        <v>5.5071000000000003</v>
      </c>
      <c r="AQ512" s="308">
        <v>4.3571999999999997</v>
      </c>
      <c r="AR512" s="308">
        <v>6.5384000000000002</v>
      </c>
      <c r="AS512" s="308">
        <v>0</v>
      </c>
      <c r="AT512" s="308">
        <v>5.5058999999999996</v>
      </c>
      <c r="AU512" s="308">
        <v>5.3901000000000003</v>
      </c>
      <c r="AV512" s="308">
        <v>0</v>
      </c>
      <c r="AW512" s="308">
        <v>5.5335999999999999</v>
      </c>
      <c r="AX512" s="308">
        <v>5.7214999999999998</v>
      </c>
      <c r="AY512" s="308">
        <v>5.7950999999999997</v>
      </c>
      <c r="AZ512" s="308">
        <v>6.4287999999999998</v>
      </c>
      <c r="BA512" s="308">
        <v>6.8377999999999997</v>
      </c>
      <c r="BB512" s="308">
        <v>0</v>
      </c>
      <c r="BC512" s="308">
        <v>6.2435999999999998</v>
      </c>
      <c r="BD512" s="308">
        <v>4.7305999999999999</v>
      </c>
      <c r="BE512" s="308">
        <v>6.1841999999999997</v>
      </c>
      <c r="BF512" s="308">
        <v>5.7450999999999999</v>
      </c>
      <c r="BG512" s="308">
        <v>6.6780999999999997</v>
      </c>
      <c r="BH512" s="308">
        <v>6.7272999999999996</v>
      </c>
      <c r="BI512" s="308">
        <v>6.6035000000000004</v>
      </c>
      <c r="BJ512" s="308">
        <v>5.9245000000000001</v>
      </c>
      <c r="BK512" s="308">
        <v>5.9767000000000001</v>
      </c>
    </row>
    <row r="513" spans="1:63" x14ac:dyDescent="0.25">
      <c r="A513" s="306">
        <v>322210</v>
      </c>
      <c r="B513" s="308" t="s">
        <v>89</v>
      </c>
      <c r="C513" s="308">
        <v>9.5205000000000002</v>
      </c>
      <c r="D513" s="308">
        <v>0</v>
      </c>
      <c r="E513" s="308">
        <v>8.9036000000000008</v>
      </c>
      <c r="F513" s="308">
        <v>8.2664000000000009</v>
      </c>
      <c r="G513" s="308">
        <v>6.3960999999999997</v>
      </c>
      <c r="H513" s="308">
        <v>5.8460000000000001</v>
      </c>
      <c r="I513" s="308">
        <v>6.0774999999999997</v>
      </c>
      <c r="J513" s="308">
        <v>5.5324</v>
      </c>
      <c r="K513" s="308">
        <v>0</v>
      </c>
      <c r="L513" s="308">
        <v>5.4179000000000004</v>
      </c>
      <c r="M513" s="308">
        <v>6.5441000000000003</v>
      </c>
      <c r="N513" s="308">
        <v>8.2339000000000002</v>
      </c>
      <c r="O513" s="308">
        <v>4.8266999999999998</v>
      </c>
      <c r="P513" s="308">
        <v>5.6429</v>
      </c>
      <c r="Q513" s="308">
        <v>7.3833000000000002</v>
      </c>
      <c r="R513" s="308">
        <v>6.2450999999999999</v>
      </c>
      <c r="S513" s="308">
        <v>7.1406999999999998</v>
      </c>
      <c r="T513" s="308">
        <v>5.1638000000000002</v>
      </c>
      <c r="U513" s="308">
        <v>7.5510000000000002</v>
      </c>
      <c r="V513" s="308">
        <v>7.3548</v>
      </c>
      <c r="W513" s="308">
        <v>6.2838000000000003</v>
      </c>
      <c r="X513" s="308">
        <v>5.7267999999999999</v>
      </c>
      <c r="Y513" s="308">
        <v>7.5462999999999996</v>
      </c>
      <c r="Z513" s="308">
        <v>8.6235999999999997</v>
      </c>
      <c r="AA513" s="308">
        <v>6.6657000000000002</v>
      </c>
      <c r="AB513" s="308">
        <v>6.19</v>
      </c>
      <c r="AC513" s="308">
        <v>7.6849999999999996</v>
      </c>
      <c r="AD513" s="308">
        <v>7.5079000000000002</v>
      </c>
      <c r="AE513" s="308">
        <v>8.3629999999999995</v>
      </c>
      <c r="AF513" s="308">
        <v>4.7270000000000003</v>
      </c>
      <c r="AG513" s="308">
        <v>5.415</v>
      </c>
      <c r="AH513" s="308">
        <v>6.7172999999999998</v>
      </c>
      <c r="AI513" s="308">
        <v>5.1127000000000002</v>
      </c>
      <c r="AJ513" s="308">
        <v>6.3250000000000002</v>
      </c>
      <c r="AK513" s="308">
        <v>6.2473999999999998</v>
      </c>
      <c r="AL513" s="308">
        <v>5.4469000000000003</v>
      </c>
      <c r="AM513" s="308">
        <v>8.3451000000000004</v>
      </c>
      <c r="AN513" s="308">
        <v>7.7769000000000004</v>
      </c>
      <c r="AO513" s="308">
        <v>7.6776999999999997</v>
      </c>
      <c r="AP513" s="308">
        <v>7.3714000000000004</v>
      </c>
      <c r="AQ513" s="308">
        <v>6.5938999999999997</v>
      </c>
      <c r="AR513" s="308">
        <v>7.5342000000000002</v>
      </c>
      <c r="AS513" s="308">
        <v>5.7211999999999996</v>
      </c>
      <c r="AT513" s="308">
        <v>8.0711999999999993</v>
      </c>
      <c r="AU513" s="308">
        <v>7.4490999999999996</v>
      </c>
      <c r="AV513" s="308">
        <v>7.2534999999999998</v>
      </c>
      <c r="AW513" s="308">
        <v>7.8144999999999998</v>
      </c>
      <c r="AX513" s="308">
        <v>6.0185000000000004</v>
      </c>
      <c r="AY513" s="308">
        <v>7.4145000000000003</v>
      </c>
      <c r="AZ513" s="308">
        <v>7.9328000000000003</v>
      </c>
      <c r="BA513" s="308">
        <v>6.4478</v>
      </c>
      <c r="BB513" s="308">
        <v>0</v>
      </c>
      <c r="BC513" s="308">
        <v>7.3593000000000002</v>
      </c>
      <c r="BD513" s="308">
        <v>6.5442</v>
      </c>
      <c r="BE513" s="308">
        <v>8.2225000000000001</v>
      </c>
      <c r="BF513" s="308">
        <v>6.6148999999999996</v>
      </c>
      <c r="BG513" s="308">
        <v>8.3712999999999997</v>
      </c>
      <c r="BH513" s="308">
        <v>8.9056999999999995</v>
      </c>
      <c r="BI513" s="308">
        <v>8.5831</v>
      </c>
      <c r="BJ513" s="308">
        <v>6.96</v>
      </c>
      <c r="BK513" s="308">
        <v>6.7615999999999996</v>
      </c>
    </row>
    <row r="514" spans="1:63" x14ac:dyDescent="0.25">
      <c r="A514" s="306" t="s">
        <v>713</v>
      </c>
      <c r="B514" s="308" t="s">
        <v>90</v>
      </c>
      <c r="C514" s="308">
        <v>7.7873999999999999</v>
      </c>
      <c r="D514" s="308">
        <v>0</v>
      </c>
      <c r="E514" s="308">
        <v>5.9139999999999997</v>
      </c>
      <c r="F514" s="308">
        <v>6.5397999999999996</v>
      </c>
      <c r="G514" s="308">
        <v>4.9488000000000003</v>
      </c>
      <c r="H514" s="308">
        <v>5.4252000000000002</v>
      </c>
      <c r="I514" s="308">
        <v>5.3861999999999997</v>
      </c>
      <c r="J514" s="308">
        <v>4.7080000000000002</v>
      </c>
      <c r="K514" s="308">
        <v>0</v>
      </c>
      <c r="L514" s="308">
        <v>4.5406000000000004</v>
      </c>
      <c r="M514" s="308">
        <v>5.2511999999999999</v>
      </c>
      <c r="N514" s="308">
        <v>7.0484</v>
      </c>
      <c r="O514" s="308">
        <v>0</v>
      </c>
      <c r="P514" s="308">
        <v>4.5959000000000003</v>
      </c>
      <c r="Q514" s="308">
        <v>0</v>
      </c>
      <c r="R514" s="308">
        <v>5.6189999999999998</v>
      </c>
      <c r="S514" s="308">
        <v>6.4321999999999999</v>
      </c>
      <c r="T514" s="308">
        <v>5.1191000000000004</v>
      </c>
      <c r="U514" s="308">
        <v>6.1386000000000003</v>
      </c>
      <c r="V514" s="308">
        <v>6.1695000000000002</v>
      </c>
      <c r="W514" s="308">
        <v>5.0777999999999999</v>
      </c>
      <c r="X514" s="308">
        <v>4.6045999999999996</v>
      </c>
      <c r="Y514" s="308">
        <v>0</v>
      </c>
      <c r="Z514" s="308">
        <v>6.2766999999999999</v>
      </c>
      <c r="AA514" s="308">
        <v>5.4416000000000002</v>
      </c>
      <c r="AB514" s="308">
        <v>5.2493999999999996</v>
      </c>
      <c r="AC514" s="308">
        <v>5.4759000000000002</v>
      </c>
      <c r="AD514" s="308">
        <v>0</v>
      </c>
      <c r="AE514" s="308">
        <v>6.6231</v>
      </c>
      <c r="AF514" s="308">
        <v>0</v>
      </c>
      <c r="AG514" s="308">
        <v>4.9028</v>
      </c>
      <c r="AH514" s="308">
        <v>5.8018999999999998</v>
      </c>
      <c r="AI514" s="308">
        <v>4.5884</v>
      </c>
      <c r="AJ514" s="308">
        <v>3.8668999999999998</v>
      </c>
      <c r="AK514" s="308">
        <v>5.4889000000000001</v>
      </c>
      <c r="AL514" s="308">
        <v>4.4240000000000004</v>
      </c>
      <c r="AM514" s="308">
        <v>6.5625999999999998</v>
      </c>
      <c r="AN514" s="308">
        <v>5.3409000000000004</v>
      </c>
      <c r="AO514" s="308">
        <v>6.0056000000000003</v>
      </c>
      <c r="AP514" s="308">
        <v>6.1154000000000002</v>
      </c>
      <c r="AQ514" s="308">
        <v>5.0780000000000003</v>
      </c>
      <c r="AR514" s="308">
        <v>6.4386999999999999</v>
      </c>
      <c r="AS514" s="308">
        <v>0</v>
      </c>
      <c r="AT514" s="308">
        <v>6.5674000000000001</v>
      </c>
      <c r="AU514" s="308">
        <v>6.0785</v>
      </c>
      <c r="AV514" s="308">
        <v>6.3438999999999997</v>
      </c>
      <c r="AW514" s="308">
        <v>6.1809000000000003</v>
      </c>
      <c r="AX514" s="308">
        <v>3.9148999999999998</v>
      </c>
      <c r="AY514" s="308">
        <v>5.4954999999999998</v>
      </c>
      <c r="AZ514" s="308">
        <v>6.2663000000000002</v>
      </c>
      <c r="BA514" s="308">
        <v>0</v>
      </c>
      <c r="BB514" s="308">
        <v>0</v>
      </c>
      <c r="BC514" s="308">
        <v>5.9462000000000002</v>
      </c>
      <c r="BD514" s="308">
        <v>5.5061999999999998</v>
      </c>
      <c r="BE514" s="308">
        <v>6.7201000000000004</v>
      </c>
      <c r="BF514" s="308">
        <v>5.5861000000000001</v>
      </c>
      <c r="BG514" s="308">
        <v>6.8933</v>
      </c>
      <c r="BH514" s="308">
        <v>7.0369000000000002</v>
      </c>
      <c r="BI514" s="308">
        <v>6.7784000000000004</v>
      </c>
      <c r="BJ514" s="308">
        <v>5.6771000000000003</v>
      </c>
      <c r="BK514" s="308">
        <v>5.7986000000000004</v>
      </c>
    </row>
    <row r="515" spans="1:63" x14ac:dyDescent="0.25">
      <c r="A515" s="306" t="s">
        <v>714</v>
      </c>
      <c r="B515" s="308" t="s">
        <v>91</v>
      </c>
      <c r="C515" s="308">
        <v>10.0305</v>
      </c>
      <c r="D515" s="308">
        <v>0</v>
      </c>
      <c r="E515" s="308">
        <v>9.0671999999999997</v>
      </c>
      <c r="F515" s="308">
        <v>8.2041000000000004</v>
      </c>
      <c r="G515" s="308">
        <v>7.5140000000000002</v>
      </c>
      <c r="H515" s="308">
        <v>7.0693999999999999</v>
      </c>
      <c r="I515" s="308">
        <v>0</v>
      </c>
      <c r="J515" s="308">
        <v>7.5198</v>
      </c>
      <c r="K515" s="308">
        <v>0</v>
      </c>
      <c r="L515" s="308">
        <v>0</v>
      </c>
      <c r="M515" s="308">
        <v>6.6050000000000004</v>
      </c>
      <c r="N515" s="308">
        <v>9.2713999999999999</v>
      </c>
      <c r="O515" s="308">
        <v>5.6585000000000001</v>
      </c>
      <c r="P515" s="308">
        <v>6.5952000000000002</v>
      </c>
      <c r="Q515" s="308">
        <v>0</v>
      </c>
      <c r="R515" s="308">
        <v>7.7919999999999998</v>
      </c>
      <c r="S515" s="308">
        <v>7.8257000000000003</v>
      </c>
      <c r="T515" s="308">
        <v>5.9257</v>
      </c>
      <c r="U515" s="308">
        <v>7.9309000000000003</v>
      </c>
      <c r="V515" s="308">
        <v>8.5751000000000008</v>
      </c>
      <c r="W515" s="308">
        <v>6.7942999999999998</v>
      </c>
      <c r="X515" s="308">
        <v>0</v>
      </c>
      <c r="Y515" s="308">
        <v>8.7142999999999997</v>
      </c>
      <c r="Z515" s="308">
        <v>8.6630000000000003</v>
      </c>
      <c r="AA515" s="308">
        <v>6.8846999999999996</v>
      </c>
      <c r="AB515" s="308">
        <v>7.1776</v>
      </c>
      <c r="AC515" s="308">
        <v>8.282</v>
      </c>
      <c r="AD515" s="308">
        <v>0</v>
      </c>
      <c r="AE515" s="308">
        <v>8.7256</v>
      </c>
      <c r="AF515" s="308">
        <v>0</v>
      </c>
      <c r="AG515" s="308">
        <v>5.3677999999999999</v>
      </c>
      <c r="AH515" s="308">
        <v>7.0556000000000001</v>
      </c>
      <c r="AI515" s="308">
        <v>6.3409000000000004</v>
      </c>
      <c r="AJ515" s="308">
        <v>0</v>
      </c>
      <c r="AK515" s="308">
        <v>5.7329999999999997</v>
      </c>
      <c r="AL515" s="308">
        <v>6.4573</v>
      </c>
      <c r="AM515" s="308">
        <v>8.7569999999999997</v>
      </c>
      <c r="AN515" s="308">
        <v>8.6927000000000003</v>
      </c>
      <c r="AO515" s="308">
        <v>7.9878</v>
      </c>
      <c r="AP515" s="308">
        <v>7.4691000000000001</v>
      </c>
      <c r="AQ515" s="308">
        <v>5.5307000000000004</v>
      </c>
      <c r="AR515" s="308">
        <v>7.9622000000000002</v>
      </c>
      <c r="AS515" s="308">
        <v>0</v>
      </c>
      <c r="AT515" s="308">
        <v>8.0909999999999993</v>
      </c>
      <c r="AU515" s="308">
        <v>8.4097000000000008</v>
      </c>
      <c r="AV515" s="308">
        <v>7.9901999999999997</v>
      </c>
      <c r="AW515" s="308">
        <v>7.7293000000000003</v>
      </c>
      <c r="AX515" s="308">
        <v>0</v>
      </c>
      <c r="AY515" s="308">
        <v>7.3627000000000002</v>
      </c>
      <c r="AZ515" s="308">
        <v>7.6877000000000004</v>
      </c>
      <c r="BA515" s="308">
        <v>6.8399000000000001</v>
      </c>
      <c r="BB515" s="308">
        <v>0</v>
      </c>
      <c r="BC515" s="308">
        <v>8.1329999999999991</v>
      </c>
      <c r="BD515" s="308">
        <v>7.4337999999999997</v>
      </c>
      <c r="BE515" s="308">
        <v>8.9718999999999998</v>
      </c>
      <c r="BF515" s="308">
        <v>7.2697000000000003</v>
      </c>
      <c r="BG515" s="308">
        <v>8.7430000000000003</v>
      </c>
      <c r="BH515" s="308">
        <v>8.9434000000000005</v>
      </c>
      <c r="BI515" s="308">
        <v>9.3156999999999996</v>
      </c>
      <c r="BJ515" s="308">
        <v>7.2625000000000002</v>
      </c>
      <c r="BK515" s="308">
        <v>7.5834000000000001</v>
      </c>
    </row>
    <row r="516" spans="1:63" x14ac:dyDescent="0.25">
      <c r="A516" s="306">
        <v>322230</v>
      </c>
      <c r="B516" s="308" t="s">
        <v>92</v>
      </c>
      <c r="C516" s="308">
        <v>10.0451</v>
      </c>
      <c r="D516" s="308">
        <v>0</v>
      </c>
      <c r="E516" s="308">
        <v>10.164</v>
      </c>
      <c r="F516" s="308">
        <v>9.8264999999999993</v>
      </c>
      <c r="G516" s="308">
        <v>7.2352999999999996</v>
      </c>
      <c r="H516" s="308">
        <v>6.3635000000000002</v>
      </c>
      <c r="I516" s="308">
        <v>7.0034000000000001</v>
      </c>
      <c r="J516" s="308">
        <v>6.2705000000000002</v>
      </c>
      <c r="K516" s="308">
        <v>0</v>
      </c>
      <c r="L516" s="308">
        <v>0</v>
      </c>
      <c r="M516" s="308">
        <v>7.2478999999999996</v>
      </c>
      <c r="N516" s="308">
        <v>8.4062999999999999</v>
      </c>
      <c r="O516" s="308">
        <v>5.5444000000000004</v>
      </c>
      <c r="P516" s="308">
        <v>7.0084</v>
      </c>
      <c r="Q516" s="308">
        <v>8.3977000000000004</v>
      </c>
      <c r="R516" s="308">
        <v>7.3460000000000001</v>
      </c>
      <c r="S516" s="308">
        <v>8.2737999999999996</v>
      </c>
      <c r="T516" s="308">
        <v>6.7291999999999996</v>
      </c>
      <c r="U516" s="308">
        <v>7.6833</v>
      </c>
      <c r="V516" s="308">
        <v>9.3308</v>
      </c>
      <c r="W516" s="308">
        <v>6.6749000000000001</v>
      </c>
      <c r="X516" s="308">
        <v>5.7393999999999998</v>
      </c>
      <c r="Y516" s="308">
        <v>9.6119000000000003</v>
      </c>
      <c r="Z516" s="308">
        <v>9.0588999999999995</v>
      </c>
      <c r="AA516" s="308">
        <v>7.0401999999999996</v>
      </c>
      <c r="AB516" s="308">
        <v>6.6980000000000004</v>
      </c>
      <c r="AC516" s="308">
        <v>9.3350000000000009</v>
      </c>
      <c r="AD516" s="308">
        <v>0</v>
      </c>
      <c r="AE516" s="308">
        <v>8.7377000000000002</v>
      </c>
      <c r="AF516" s="308">
        <v>0</v>
      </c>
      <c r="AG516" s="308">
        <v>6.2137000000000002</v>
      </c>
      <c r="AH516" s="308">
        <v>7.4718999999999998</v>
      </c>
      <c r="AI516" s="308">
        <v>6.9627999999999997</v>
      </c>
      <c r="AJ516" s="308">
        <v>7.5762</v>
      </c>
      <c r="AK516" s="308">
        <v>8.33</v>
      </c>
      <c r="AL516" s="308">
        <v>6.0323000000000002</v>
      </c>
      <c r="AM516" s="308">
        <v>9.6030999999999995</v>
      </c>
      <c r="AN516" s="308">
        <v>7.6329000000000002</v>
      </c>
      <c r="AO516" s="308">
        <v>8.8682999999999996</v>
      </c>
      <c r="AP516" s="308">
        <v>8.5945</v>
      </c>
      <c r="AQ516" s="308">
        <v>7.9481999999999999</v>
      </c>
      <c r="AR516" s="308">
        <v>7.8592000000000004</v>
      </c>
      <c r="AS516" s="308">
        <v>7.6837999999999997</v>
      </c>
      <c r="AT516" s="308">
        <v>8.8690999999999995</v>
      </c>
      <c r="AU516" s="308">
        <v>7.8036000000000003</v>
      </c>
      <c r="AV516" s="308">
        <v>8.6029</v>
      </c>
      <c r="AW516" s="308">
        <v>8.2929999999999993</v>
      </c>
      <c r="AX516" s="308">
        <v>0</v>
      </c>
      <c r="AY516" s="308">
        <v>8.0986999999999991</v>
      </c>
      <c r="AZ516" s="308">
        <v>8.6602999999999994</v>
      </c>
      <c r="BA516" s="308">
        <v>7.9473000000000003</v>
      </c>
      <c r="BB516" s="308">
        <v>0</v>
      </c>
      <c r="BC516" s="308">
        <v>8.0000999999999998</v>
      </c>
      <c r="BD516" s="308">
        <v>7.7992999999999997</v>
      </c>
      <c r="BE516" s="308">
        <v>9.0724999999999998</v>
      </c>
      <c r="BF516" s="308">
        <v>7.3464999999999998</v>
      </c>
      <c r="BG516" s="308">
        <v>8.7645</v>
      </c>
      <c r="BH516" s="308">
        <v>9.5607000000000006</v>
      </c>
      <c r="BI516" s="308">
        <v>8.9140999999999995</v>
      </c>
      <c r="BJ516" s="308">
        <v>7.8840000000000003</v>
      </c>
      <c r="BK516" s="308">
        <v>7.1783999999999999</v>
      </c>
    </row>
    <row r="517" spans="1:63" x14ac:dyDescent="0.25">
      <c r="A517" s="306">
        <v>322291</v>
      </c>
      <c r="B517" s="308" t="s">
        <v>93</v>
      </c>
      <c r="C517" s="308">
        <v>4.9329999999999998</v>
      </c>
      <c r="D517" s="308">
        <v>0</v>
      </c>
      <c r="E517" s="308">
        <v>0</v>
      </c>
      <c r="F517" s="308">
        <v>3.9737</v>
      </c>
      <c r="G517" s="308">
        <v>3.7841</v>
      </c>
      <c r="H517" s="308">
        <v>3.1543999999999999</v>
      </c>
      <c r="I517" s="308">
        <v>0</v>
      </c>
      <c r="J517" s="308">
        <v>0</v>
      </c>
      <c r="K517" s="308">
        <v>0</v>
      </c>
      <c r="L517" s="308">
        <v>2.4672000000000001</v>
      </c>
      <c r="M517" s="308">
        <v>3.3237999999999999</v>
      </c>
      <c r="N517" s="308">
        <v>3.9965999999999999</v>
      </c>
      <c r="O517" s="308">
        <v>0</v>
      </c>
      <c r="P517" s="308">
        <v>0</v>
      </c>
      <c r="Q517" s="308">
        <v>3.9842</v>
      </c>
      <c r="R517" s="308">
        <v>3.8117999999999999</v>
      </c>
      <c r="S517" s="308">
        <v>4.54</v>
      </c>
      <c r="T517" s="308">
        <v>0</v>
      </c>
      <c r="U517" s="308">
        <v>4.1288999999999998</v>
      </c>
      <c r="V517" s="308">
        <v>0</v>
      </c>
      <c r="W517" s="308">
        <v>4.1566999999999998</v>
      </c>
      <c r="X517" s="308">
        <v>3.7084000000000001</v>
      </c>
      <c r="Y517" s="308">
        <v>4.1950000000000003</v>
      </c>
      <c r="Z517" s="308">
        <v>5.1523000000000003</v>
      </c>
      <c r="AA517" s="308">
        <v>4.7069999999999999</v>
      </c>
      <c r="AB517" s="308">
        <v>3.1490999999999998</v>
      </c>
      <c r="AC517" s="308">
        <v>4.524</v>
      </c>
      <c r="AD517" s="308">
        <v>0</v>
      </c>
      <c r="AE517" s="308">
        <v>4.3452999999999999</v>
      </c>
      <c r="AF517" s="308">
        <v>0</v>
      </c>
      <c r="AG517" s="308">
        <v>3.9260000000000002</v>
      </c>
      <c r="AH517" s="308">
        <v>0</v>
      </c>
      <c r="AI517" s="308">
        <v>2.6438999999999999</v>
      </c>
      <c r="AJ517" s="308">
        <v>3.9462999999999999</v>
      </c>
      <c r="AK517" s="308">
        <v>2.9931999999999999</v>
      </c>
      <c r="AL517" s="308">
        <v>3.0720000000000001</v>
      </c>
      <c r="AM517" s="308">
        <v>4.8324999999999996</v>
      </c>
      <c r="AN517" s="308">
        <v>0</v>
      </c>
      <c r="AO517" s="308">
        <v>3.2568000000000001</v>
      </c>
      <c r="AP517" s="308">
        <v>3.9889999999999999</v>
      </c>
      <c r="AQ517" s="308">
        <v>0</v>
      </c>
      <c r="AR517" s="308">
        <v>4.0707000000000004</v>
      </c>
      <c r="AS517" s="308">
        <v>0</v>
      </c>
      <c r="AT517" s="308">
        <v>4.0263999999999998</v>
      </c>
      <c r="AU517" s="308">
        <v>3.2519999999999998</v>
      </c>
      <c r="AV517" s="308">
        <v>3.4759000000000002</v>
      </c>
      <c r="AW517" s="308">
        <v>0</v>
      </c>
      <c r="AX517" s="308">
        <v>0</v>
      </c>
      <c r="AY517" s="308">
        <v>3.2656000000000001</v>
      </c>
      <c r="AZ517" s="308">
        <v>4.2615999999999996</v>
      </c>
      <c r="BA517" s="308">
        <v>0</v>
      </c>
      <c r="BB517" s="308">
        <v>0</v>
      </c>
      <c r="BC517" s="308">
        <v>4.1158000000000001</v>
      </c>
      <c r="BD517" s="308">
        <v>3.4028999999999998</v>
      </c>
      <c r="BE517" s="308">
        <v>4.5663</v>
      </c>
      <c r="BF517" s="308">
        <v>3.4681000000000002</v>
      </c>
      <c r="BG517" s="308">
        <v>4.1321000000000003</v>
      </c>
      <c r="BH517" s="308">
        <v>4.6436000000000002</v>
      </c>
      <c r="BI517" s="308">
        <v>3.9355000000000002</v>
      </c>
      <c r="BJ517" s="308">
        <v>3.4708000000000001</v>
      </c>
      <c r="BK517" s="308">
        <v>3.2254</v>
      </c>
    </row>
    <row r="518" spans="1:63" x14ac:dyDescent="0.25">
      <c r="A518" s="306">
        <v>322299</v>
      </c>
      <c r="B518" s="308" t="s">
        <v>94</v>
      </c>
      <c r="C518" s="308">
        <v>9.8996999999999993</v>
      </c>
      <c r="D518" s="308">
        <v>4.5827999999999998</v>
      </c>
      <c r="E518" s="308">
        <v>8.3779000000000003</v>
      </c>
      <c r="F518" s="308">
        <v>10.4251</v>
      </c>
      <c r="G518" s="308">
        <v>7.4520999999999997</v>
      </c>
      <c r="H518" s="308">
        <v>7.0209000000000001</v>
      </c>
      <c r="I518" s="308">
        <v>7.4725999999999999</v>
      </c>
      <c r="J518" s="308">
        <v>6.5785999999999998</v>
      </c>
      <c r="K518" s="308">
        <v>0</v>
      </c>
      <c r="L518" s="308">
        <v>6.98</v>
      </c>
      <c r="M518" s="308">
        <v>7.9231999999999996</v>
      </c>
      <c r="N518" s="308">
        <v>10.360300000000001</v>
      </c>
      <c r="O518" s="308">
        <v>7.5500999999999996</v>
      </c>
      <c r="P518" s="308">
        <v>6.6928000000000001</v>
      </c>
      <c r="Q518" s="308">
        <v>7.1752000000000002</v>
      </c>
      <c r="R518" s="308">
        <v>6.9207999999999998</v>
      </c>
      <c r="S518" s="308">
        <v>7.6927000000000003</v>
      </c>
      <c r="T518" s="308">
        <v>6.0147000000000004</v>
      </c>
      <c r="U518" s="308">
        <v>7.0712999999999999</v>
      </c>
      <c r="V518" s="308">
        <v>8.875</v>
      </c>
      <c r="W518" s="308">
        <v>5.7946999999999997</v>
      </c>
      <c r="X518" s="308">
        <v>5.5080999999999998</v>
      </c>
      <c r="Y518" s="308">
        <v>7.5441000000000003</v>
      </c>
      <c r="Z518" s="308">
        <v>8.0871999999999993</v>
      </c>
      <c r="AA518" s="308">
        <v>7.9535</v>
      </c>
      <c r="AB518" s="308">
        <v>8.3201999999999998</v>
      </c>
      <c r="AC518" s="308">
        <v>10.1717</v>
      </c>
      <c r="AD518" s="308">
        <v>9.8081999999999994</v>
      </c>
      <c r="AE518" s="308">
        <v>8.5360999999999994</v>
      </c>
      <c r="AF518" s="308">
        <v>4.3552999999999997</v>
      </c>
      <c r="AG518" s="308">
        <v>5.8448000000000002</v>
      </c>
      <c r="AH518" s="308">
        <v>6.1767000000000003</v>
      </c>
      <c r="AI518" s="308">
        <v>6.5605000000000002</v>
      </c>
      <c r="AJ518" s="308">
        <v>0</v>
      </c>
      <c r="AK518" s="308">
        <v>6.6905000000000001</v>
      </c>
      <c r="AL518" s="308">
        <v>7.1333000000000002</v>
      </c>
      <c r="AM518" s="308">
        <v>8.7431000000000001</v>
      </c>
      <c r="AN518" s="308">
        <v>8.8896999999999995</v>
      </c>
      <c r="AO518" s="308">
        <v>7.5242000000000004</v>
      </c>
      <c r="AP518" s="308">
        <v>7.8090999999999999</v>
      </c>
      <c r="AQ518" s="308">
        <v>7.2243000000000004</v>
      </c>
      <c r="AR518" s="308">
        <v>9.0435999999999996</v>
      </c>
      <c r="AS518" s="308">
        <v>0</v>
      </c>
      <c r="AT518" s="308">
        <v>9.6689000000000007</v>
      </c>
      <c r="AU518" s="308">
        <v>7.5926</v>
      </c>
      <c r="AV518" s="308">
        <v>10.0715</v>
      </c>
      <c r="AW518" s="308">
        <v>9.4522999999999993</v>
      </c>
      <c r="AX518" s="308">
        <v>0</v>
      </c>
      <c r="AY518" s="308">
        <v>7.4156000000000004</v>
      </c>
      <c r="AZ518" s="308">
        <v>8.6940000000000008</v>
      </c>
      <c r="BA518" s="308">
        <v>0</v>
      </c>
      <c r="BB518" s="308">
        <v>0</v>
      </c>
      <c r="BC518" s="308">
        <v>7.4831000000000003</v>
      </c>
      <c r="BD518" s="308">
        <v>7.6580000000000004</v>
      </c>
      <c r="BE518" s="308">
        <v>8.6121999999999996</v>
      </c>
      <c r="BF518" s="308">
        <v>7.8489000000000004</v>
      </c>
      <c r="BG518" s="308">
        <v>9.4131999999999998</v>
      </c>
      <c r="BH518" s="308">
        <v>9.1722999999999999</v>
      </c>
      <c r="BI518" s="308">
        <v>8.5367999999999995</v>
      </c>
      <c r="BJ518" s="308">
        <v>8.3241999999999994</v>
      </c>
      <c r="BK518" s="308">
        <v>7.5370999999999997</v>
      </c>
    </row>
    <row r="519" spans="1:63" x14ac:dyDescent="0.25">
      <c r="A519" s="306">
        <v>323110</v>
      </c>
      <c r="B519" s="308" t="s">
        <v>95</v>
      </c>
      <c r="C519" s="308">
        <v>12.1312</v>
      </c>
      <c r="D519" s="308">
        <v>11.1128</v>
      </c>
      <c r="E519" s="308">
        <v>12.1417</v>
      </c>
      <c r="F519" s="308">
        <v>11.0472</v>
      </c>
      <c r="G519" s="308">
        <v>11.4689</v>
      </c>
      <c r="H519" s="308">
        <v>10.2966</v>
      </c>
      <c r="I519" s="308">
        <v>10.745799999999999</v>
      </c>
      <c r="J519" s="308">
        <v>8.3156999999999996</v>
      </c>
      <c r="K519" s="308">
        <v>1.4613</v>
      </c>
      <c r="L519" s="308">
        <v>7.9695</v>
      </c>
      <c r="M519" s="308">
        <v>11.4984</v>
      </c>
      <c r="N519" s="308">
        <v>10.7659</v>
      </c>
      <c r="O519" s="308">
        <v>11.891400000000001</v>
      </c>
      <c r="P519" s="308">
        <v>10.5037</v>
      </c>
      <c r="Q519" s="308">
        <v>12.049300000000001</v>
      </c>
      <c r="R519" s="308">
        <v>9.5541999999999998</v>
      </c>
      <c r="S519" s="308">
        <v>10.651</v>
      </c>
      <c r="T519" s="308">
        <v>9.6722000000000001</v>
      </c>
      <c r="U519" s="308">
        <v>10.506</v>
      </c>
      <c r="V519" s="308">
        <v>12.3688</v>
      </c>
      <c r="W519" s="308">
        <v>8.5132999999999992</v>
      </c>
      <c r="X519" s="308">
        <v>8.2698</v>
      </c>
      <c r="Y519" s="308">
        <v>11.0923</v>
      </c>
      <c r="Z519" s="308">
        <v>11.232699999999999</v>
      </c>
      <c r="AA519" s="308">
        <v>10.1562</v>
      </c>
      <c r="AB519" s="308">
        <v>9.5760000000000005</v>
      </c>
      <c r="AC519" s="308">
        <v>11.611499999999999</v>
      </c>
      <c r="AD519" s="308">
        <v>11.857900000000001</v>
      </c>
      <c r="AE519" s="308">
        <v>10.6492</v>
      </c>
      <c r="AF519" s="308">
        <v>9.4236000000000004</v>
      </c>
      <c r="AG519" s="308">
        <v>9.8915000000000006</v>
      </c>
      <c r="AH519" s="308">
        <v>9.8324999999999996</v>
      </c>
      <c r="AI519" s="308">
        <v>8.2985000000000007</v>
      </c>
      <c r="AJ519" s="308">
        <v>11.9979</v>
      </c>
      <c r="AK519" s="308">
        <v>9.8524999999999991</v>
      </c>
      <c r="AL519" s="308">
        <v>8.2957999999999998</v>
      </c>
      <c r="AM519" s="308">
        <v>11.3847</v>
      </c>
      <c r="AN519" s="308">
        <v>12.613899999999999</v>
      </c>
      <c r="AO519" s="308">
        <v>11.084099999999999</v>
      </c>
      <c r="AP519" s="308">
        <v>10.5672</v>
      </c>
      <c r="AQ519" s="308">
        <v>9.4997000000000007</v>
      </c>
      <c r="AR519" s="308">
        <v>11.729900000000001</v>
      </c>
      <c r="AS519" s="308">
        <v>10.577</v>
      </c>
      <c r="AT519" s="308">
        <v>10.599299999999999</v>
      </c>
      <c r="AU519" s="308">
        <v>10.776</v>
      </c>
      <c r="AV519" s="308">
        <v>12.153700000000001</v>
      </c>
      <c r="AW519" s="308">
        <v>10.1412</v>
      </c>
      <c r="AX519" s="308">
        <v>9.7841000000000005</v>
      </c>
      <c r="AY519" s="308">
        <v>10.4131</v>
      </c>
      <c r="AZ519" s="308">
        <v>10.5656</v>
      </c>
      <c r="BA519" s="308">
        <v>10.733599999999999</v>
      </c>
      <c r="BB519" s="308">
        <v>10.6768</v>
      </c>
      <c r="BC519" s="308">
        <v>9.8561999999999994</v>
      </c>
      <c r="BD519" s="308">
        <v>9.9969000000000001</v>
      </c>
      <c r="BE519" s="308">
        <v>11.093400000000001</v>
      </c>
      <c r="BF519" s="308">
        <v>10.607699999999999</v>
      </c>
      <c r="BG519" s="308">
        <v>11.2158</v>
      </c>
      <c r="BH519" s="308">
        <v>11.431900000000001</v>
      </c>
      <c r="BI519" s="308">
        <v>11.6036</v>
      </c>
      <c r="BJ519" s="308">
        <v>11.465199999999999</v>
      </c>
      <c r="BK519" s="308">
        <v>10.7056</v>
      </c>
    </row>
    <row r="520" spans="1:63" x14ac:dyDescent="0.25">
      <c r="A520" s="306">
        <v>323120</v>
      </c>
      <c r="B520" s="308" t="s">
        <v>96</v>
      </c>
      <c r="C520" s="308">
        <v>14.106</v>
      </c>
      <c r="D520" s="308">
        <v>17.176300000000001</v>
      </c>
      <c r="E520" s="308">
        <v>10.1632</v>
      </c>
      <c r="F520" s="308">
        <v>17.862300000000001</v>
      </c>
      <c r="G520" s="308">
        <v>14.4215</v>
      </c>
      <c r="H520" s="308">
        <v>12.312900000000001</v>
      </c>
      <c r="I520" s="308">
        <v>14.1694</v>
      </c>
      <c r="J520" s="308">
        <v>9.3682999999999996</v>
      </c>
      <c r="K520" s="308">
        <v>1.9897</v>
      </c>
      <c r="L520" s="308">
        <v>11.3163</v>
      </c>
      <c r="M520" s="308">
        <v>13.580399999999999</v>
      </c>
      <c r="N520" s="308">
        <v>17.179500000000001</v>
      </c>
      <c r="O520" s="308">
        <v>15.8413</v>
      </c>
      <c r="P520" s="308">
        <v>13.715199999999999</v>
      </c>
      <c r="Q520" s="308">
        <v>16.564299999999999</v>
      </c>
      <c r="R520" s="308">
        <v>12.1494</v>
      </c>
      <c r="S520" s="308">
        <v>16.694900000000001</v>
      </c>
      <c r="T520" s="308">
        <v>11.744</v>
      </c>
      <c r="U520" s="308">
        <v>10.9488</v>
      </c>
      <c r="V520" s="308">
        <v>18.577100000000002</v>
      </c>
      <c r="W520" s="308">
        <v>9.9536999999999995</v>
      </c>
      <c r="X520" s="308">
        <v>12.486599999999999</v>
      </c>
      <c r="Y520" s="308">
        <v>16.955100000000002</v>
      </c>
      <c r="Z520" s="308">
        <v>12.422599999999999</v>
      </c>
      <c r="AA520" s="308">
        <v>10.9194</v>
      </c>
      <c r="AB520" s="308">
        <v>10.691700000000001</v>
      </c>
      <c r="AC520" s="308">
        <v>16.9483</v>
      </c>
      <c r="AD520" s="308">
        <v>11.917899999999999</v>
      </c>
      <c r="AE520" s="308">
        <v>14.898</v>
      </c>
      <c r="AF520" s="308">
        <v>13.255100000000001</v>
      </c>
      <c r="AG520" s="308">
        <v>14.6454</v>
      </c>
      <c r="AH520" s="308">
        <v>11.767099999999999</v>
      </c>
      <c r="AI520" s="308">
        <v>10.428000000000001</v>
      </c>
      <c r="AJ520" s="308">
        <v>18.1008</v>
      </c>
      <c r="AK520" s="308">
        <v>17.1068</v>
      </c>
      <c r="AL520" s="308">
        <v>11.061500000000001</v>
      </c>
      <c r="AM520" s="308">
        <v>12.8101</v>
      </c>
      <c r="AN520" s="308">
        <v>18.695900000000002</v>
      </c>
      <c r="AO520" s="308">
        <v>13.255100000000001</v>
      </c>
      <c r="AP520" s="308">
        <v>13.2797</v>
      </c>
      <c r="AQ520" s="308">
        <v>11.630699999999999</v>
      </c>
      <c r="AR520" s="308">
        <v>14.468</v>
      </c>
      <c r="AS520" s="308">
        <v>0</v>
      </c>
      <c r="AT520" s="308">
        <v>14.7943</v>
      </c>
      <c r="AU520" s="308">
        <v>14.211399999999999</v>
      </c>
      <c r="AV520" s="308">
        <v>18.444700000000001</v>
      </c>
      <c r="AW520" s="308">
        <v>11.1236</v>
      </c>
      <c r="AX520" s="308">
        <v>11.3127</v>
      </c>
      <c r="AY520" s="308">
        <v>14.068199999999999</v>
      </c>
      <c r="AZ520" s="308">
        <v>12.442299999999999</v>
      </c>
      <c r="BA520" s="308">
        <v>0</v>
      </c>
      <c r="BB520" s="308">
        <v>0</v>
      </c>
      <c r="BC520" s="308">
        <v>11.048</v>
      </c>
      <c r="BD520" s="308">
        <v>12.573700000000001</v>
      </c>
      <c r="BE520" s="308">
        <v>13.1081</v>
      </c>
      <c r="BF520" s="308">
        <v>12.0763</v>
      </c>
      <c r="BG520" s="308">
        <v>15.0928</v>
      </c>
      <c r="BH520" s="308">
        <v>13.572900000000001</v>
      </c>
      <c r="BI520" s="308">
        <v>15.023899999999999</v>
      </c>
      <c r="BJ520" s="308">
        <v>15.423500000000001</v>
      </c>
      <c r="BK520" s="308">
        <v>12.7186</v>
      </c>
    </row>
    <row r="521" spans="1:63" x14ac:dyDescent="0.25">
      <c r="A521" s="306">
        <v>324110</v>
      </c>
      <c r="B521" s="308" t="s">
        <v>97</v>
      </c>
      <c r="C521" s="308">
        <v>4.4673999999999996</v>
      </c>
      <c r="D521" s="308">
        <v>2.9154</v>
      </c>
      <c r="E521" s="308">
        <v>2.9556</v>
      </c>
      <c r="F521" s="308">
        <v>3.6093000000000002</v>
      </c>
      <c r="G521" s="308">
        <v>2.2237</v>
      </c>
      <c r="H521" s="308">
        <v>2.8331</v>
      </c>
      <c r="I521" s="308">
        <v>3.4613999999999998</v>
      </c>
      <c r="J521" s="308">
        <v>0</v>
      </c>
      <c r="K521" s="308">
        <v>0.44350000000000001</v>
      </c>
      <c r="L521" s="308">
        <v>1.7279</v>
      </c>
      <c r="M521" s="308">
        <v>2.9948999999999999</v>
      </c>
      <c r="N521" s="308">
        <v>2.2702</v>
      </c>
      <c r="O521" s="308">
        <v>2.1920999999999999</v>
      </c>
      <c r="P521" s="308">
        <v>2.0266999999999999</v>
      </c>
      <c r="Q521" s="308">
        <v>2.4796999999999998</v>
      </c>
      <c r="R521" s="308">
        <v>2.4615999999999998</v>
      </c>
      <c r="S521" s="308">
        <v>2.2395999999999998</v>
      </c>
      <c r="T521" s="308">
        <v>3.7092000000000001</v>
      </c>
      <c r="U521" s="308">
        <v>2.7323</v>
      </c>
      <c r="V521" s="308">
        <v>3.7919999999999998</v>
      </c>
      <c r="W521" s="308">
        <v>2.4319999999999999</v>
      </c>
      <c r="X521" s="308">
        <v>2.6947000000000001</v>
      </c>
      <c r="Y521" s="308">
        <v>2.9460999999999999</v>
      </c>
      <c r="Z521" s="308">
        <v>2.6038000000000001</v>
      </c>
      <c r="AA521" s="308">
        <v>2.2094</v>
      </c>
      <c r="AB521" s="308">
        <v>2.839</v>
      </c>
      <c r="AC521" s="308">
        <v>2.9512</v>
      </c>
      <c r="AD521" s="308">
        <v>3.5693999999999999</v>
      </c>
      <c r="AE521" s="308">
        <v>2.9719000000000002</v>
      </c>
      <c r="AF521" s="308">
        <v>3.2555999999999998</v>
      </c>
      <c r="AG521" s="308">
        <v>1.9236</v>
      </c>
      <c r="AH521" s="308">
        <v>2.7778</v>
      </c>
      <c r="AI521" s="308">
        <v>2.2372999999999998</v>
      </c>
      <c r="AJ521" s="308">
        <v>4.0137999999999998</v>
      </c>
      <c r="AK521" s="308">
        <v>2.6273</v>
      </c>
      <c r="AL521" s="308">
        <v>1.7267999999999999</v>
      </c>
      <c r="AM521" s="308">
        <v>3.0716000000000001</v>
      </c>
      <c r="AN521" s="308">
        <v>4.4043000000000001</v>
      </c>
      <c r="AO521" s="308">
        <v>1.8939999999999999</v>
      </c>
      <c r="AP521" s="308">
        <v>2.8401999999999998</v>
      </c>
      <c r="AQ521" s="308">
        <v>0</v>
      </c>
      <c r="AR521" s="308">
        <v>2.9693999999999998</v>
      </c>
      <c r="AS521" s="308">
        <v>1.6607000000000001</v>
      </c>
      <c r="AT521" s="308">
        <v>2.3266</v>
      </c>
      <c r="AU521" s="308">
        <v>3.7322000000000002</v>
      </c>
      <c r="AV521" s="308">
        <v>4.2263000000000002</v>
      </c>
      <c r="AW521" s="308">
        <v>2.2389999999999999</v>
      </c>
      <c r="AX521" s="308">
        <v>0</v>
      </c>
      <c r="AY521" s="308">
        <v>2.2172000000000001</v>
      </c>
      <c r="AZ521" s="308">
        <v>2.2650000000000001</v>
      </c>
      <c r="BA521" s="308">
        <v>4.3624000000000001</v>
      </c>
      <c r="BB521" s="308">
        <v>3.5314999999999999</v>
      </c>
      <c r="BC521" s="308">
        <v>2.9424000000000001</v>
      </c>
      <c r="BD521" s="308">
        <v>2.4245000000000001</v>
      </c>
      <c r="BE521" s="308">
        <v>2.6995</v>
      </c>
      <c r="BF521" s="308">
        <v>2.6179000000000001</v>
      </c>
      <c r="BG521" s="308">
        <v>2.6631</v>
      </c>
      <c r="BH521" s="308">
        <v>2.9756999999999998</v>
      </c>
      <c r="BI521" s="308">
        <v>3.9632999999999998</v>
      </c>
      <c r="BJ521" s="308">
        <v>4.2159000000000004</v>
      </c>
      <c r="BK521" s="308">
        <v>2.9597000000000002</v>
      </c>
    </row>
    <row r="522" spans="1:63" x14ac:dyDescent="0.25">
      <c r="A522" s="306">
        <v>324121</v>
      </c>
      <c r="B522" s="308" t="s">
        <v>98</v>
      </c>
      <c r="C522" s="308">
        <v>8.1812000000000005</v>
      </c>
      <c r="D522" s="308">
        <v>4.4051999999999998</v>
      </c>
      <c r="E522" s="308">
        <v>6.9927000000000001</v>
      </c>
      <c r="F522" s="308">
        <v>7.2606000000000002</v>
      </c>
      <c r="G522" s="308">
        <v>4.5679999999999996</v>
      </c>
      <c r="H522" s="308">
        <v>5.7145999999999999</v>
      </c>
      <c r="I522" s="308">
        <v>5.8231999999999999</v>
      </c>
      <c r="J522" s="308">
        <v>4.0770999999999997</v>
      </c>
      <c r="K522" s="308">
        <v>0</v>
      </c>
      <c r="L522" s="308">
        <v>5.5730000000000004</v>
      </c>
      <c r="M522" s="308">
        <v>5.5936000000000003</v>
      </c>
      <c r="N522" s="308">
        <v>6.2080000000000002</v>
      </c>
      <c r="O522" s="308">
        <v>4.7131999999999996</v>
      </c>
      <c r="P522" s="308">
        <v>3.5644999999999998</v>
      </c>
      <c r="Q522" s="308">
        <v>4.1981000000000002</v>
      </c>
      <c r="R522" s="308">
        <v>5.5515999999999996</v>
      </c>
      <c r="S522" s="308">
        <v>4.9676</v>
      </c>
      <c r="T522" s="308">
        <v>6.6071999999999997</v>
      </c>
      <c r="U522" s="308">
        <v>6.8574000000000002</v>
      </c>
      <c r="V522" s="308">
        <v>6.9394999999999998</v>
      </c>
      <c r="W522" s="308">
        <v>4.6365999999999996</v>
      </c>
      <c r="X522" s="308">
        <v>5.6078000000000001</v>
      </c>
      <c r="Y522" s="308">
        <v>6.2594000000000003</v>
      </c>
      <c r="Z522" s="308">
        <v>5.2290000000000001</v>
      </c>
      <c r="AA522" s="308">
        <v>7.0208000000000004</v>
      </c>
      <c r="AB522" s="308">
        <v>5.1235999999999997</v>
      </c>
      <c r="AC522" s="308">
        <v>5.6246</v>
      </c>
      <c r="AD522" s="308">
        <v>7.2007000000000003</v>
      </c>
      <c r="AE522" s="308">
        <v>6.8156999999999996</v>
      </c>
      <c r="AF522" s="308">
        <v>0</v>
      </c>
      <c r="AG522" s="308">
        <v>0</v>
      </c>
      <c r="AH522" s="308">
        <v>5.2492999999999999</v>
      </c>
      <c r="AI522" s="308">
        <v>5.7611999999999997</v>
      </c>
      <c r="AJ522" s="308">
        <v>6.9574999999999996</v>
      </c>
      <c r="AK522" s="308">
        <v>4.5395000000000003</v>
      </c>
      <c r="AL522" s="308">
        <v>4.0208000000000004</v>
      </c>
      <c r="AM522" s="308">
        <v>6.6913</v>
      </c>
      <c r="AN522" s="308">
        <v>7.9078999999999997</v>
      </c>
      <c r="AO522" s="308">
        <v>5.6691000000000003</v>
      </c>
      <c r="AP522" s="308">
        <v>6.6044</v>
      </c>
      <c r="AQ522" s="308">
        <v>4.4824999999999999</v>
      </c>
      <c r="AR522" s="308">
        <v>6.1555999999999997</v>
      </c>
      <c r="AS522" s="308">
        <v>3.5973999999999999</v>
      </c>
      <c r="AT522" s="308">
        <v>6.1317000000000004</v>
      </c>
      <c r="AU522" s="308">
        <v>6.9574999999999996</v>
      </c>
      <c r="AV522" s="308">
        <v>8.5421999999999993</v>
      </c>
      <c r="AW522" s="308">
        <v>4.9714999999999998</v>
      </c>
      <c r="AX522" s="308">
        <v>4.0961999999999996</v>
      </c>
      <c r="AY522" s="308">
        <v>4.7965999999999998</v>
      </c>
      <c r="AZ522" s="308">
        <v>6.0522999999999998</v>
      </c>
      <c r="BA522" s="308">
        <v>5.5265000000000004</v>
      </c>
      <c r="BB522" s="308">
        <v>6.6261000000000001</v>
      </c>
      <c r="BC522" s="308">
        <v>5.3624000000000001</v>
      </c>
      <c r="BD522" s="308">
        <v>5.7968000000000002</v>
      </c>
      <c r="BE522" s="308">
        <v>6.2725</v>
      </c>
      <c r="BF522" s="308">
        <v>5.819</v>
      </c>
      <c r="BG522" s="308">
        <v>6.3497000000000003</v>
      </c>
      <c r="BH522" s="308">
        <v>7.3315000000000001</v>
      </c>
      <c r="BI522" s="308">
        <v>7.4733999999999998</v>
      </c>
      <c r="BJ522" s="308">
        <v>6.6980000000000004</v>
      </c>
      <c r="BK522" s="308">
        <v>5.8262</v>
      </c>
    </row>
    <row r="523" spans="1:63" x14ac:dyDescent="0.25">
      <c r="A523" s="306">
        <v>324122</v>
      </c>
      <c r="B523" s="308" t="s">
        <v>99</v>
      </c>
      <c r="C523" s="308">
        <v>8.3259000000000007</v>
      </c>
      <c r="D523" s="308">
        <v>0</v>
      </c>
      <c r="E523" s="308">
        <v>6.2487000000000004</v>
      </c>
      <c r="F523" s="308">
        <v>5.4856999999999996</v>
      </c>
      <c r="G523" s="308">
        <v>4.9291</v>
      </c>
      <c r="H523" s="308">
        <v>6.6067999999999998</v>
      </c>
      <c r="I523" s="308">
        <v>6.1704999999999997</v>
      </c>
      <c r="J523" s="308">
        <v>4.6269</v>
      </c>
      <c r="K523" s="308">
        <v>0</v>
      </c>
      <c r="L523" s="308">
        <v>5.3657000000000004</v>
      </c>
      <c r="M523" s="308">
        <v>5.6695000000000002</v>
      </c>
      <c r="N523" s="308">
        <v>6.4679000000000002</v>
      </c>
      <c r="O523" s="308">
        <v>0</v>
      </c>
      <c r="P523" s="308">
        <v>4.6700999999999997</v>
      </c>
      <c r="Q523" s="308">
        <v>4.5345000000000004</v>
      </c>
      <c r="R523" s="308">
        <v>6.6489000000000003</v>
      </c>
      <c r="S523" s="308">
        <v>6.2126999999999999</v>
      </c>
      <c r="T523" s="308">
        <v>6.3129999999999997</v>
      </c>
      <c r="U523" s="308">
        <v>0</v>
      </c>
      <c r="V523" s="308">
        <v>6.8265000000000002</v>
      </c>
      <c r="W523" s="308">
        <v>5.0956000000000001</v>
      </c>
      <c r="X523" s="308">
        <v>4.4612999999999996</v>
      </c>
      <c r="Y523" s="308">
        <v>0</v>
      </c>
      <c r="Z523" s="308">
        <v>5.7278000000000002</v>
      </c>
      <c r="AA523" s="308">
        <v>5.6104000000000003</v>
      </c>
      <c r="AB523" s="308">
        <v>5.5831</v>
      </c>
      <c r="AC523" s="308">
        <v>5.8243999999999998</v>
      </c>
      <c r="AD523" s="308">
        <v>0</v>
      </c>
      <c r="AE523" s="308">
        <v>6.2508999999999997</v>
      </c>
      <c r="AF523" s="308">
        <v>0</v>
      </c>
      <c r="AG523" s="308">
        <v>5.9485000000000001</v>
      </c>
      <c r="AH523" s="308">
        <v>6.0796000000000001</v>
      </c>
      <c r="AI523" s="308">
        <v>5.8498000000000001</v>
      </c>
      <c r="AJ523" s="308">
        <v>0</v>
      </c>
      <c r="AK523" s="308">
        <v>5.4973999999999998</v>
      </c>
      <c r="AL523" s="308">
        <v>4.5267999999999997</v>
      </c>
      <c r="AM523" s="308">
        <v>6.9029999999999996</v>
      </c>
      <c r="AN523" s="308">
        <v>7.3015999999999996</v>
      </c>
      <c r="AO523" s="308">
        <v>5.5852000000000004</v>
      </c>
      <c r="AP523" s="308">
        <v>7.1421000000000001</v>
      </c>
      <c r="AQ523" s="308">
        <v>0</v>
      </c>
      <c r="AR523" s="308">
        <v>5.3593000000000002</v>
      </c>
      <c r="AS523" s="308">
        <v>0</v>
      </c>
      <c r="AT523" s="308">
        <v>5.9728000000000003</v>
      </c>
      <c r="AU523" s="308">
        <v>6.8936999999999999</v>
      </c>
      <c r="AV523" s="308">
        <v>7.9926000000000004</v>
      </c>
      <c r="AW523" s="308">
        <v>5.9465000000000003</v>
      </c>
      <c r="AX523" s="308">
        <v>0</v>
      </c>
      <c r="AY523" s="308">
        <v>6.9273999999999996</v>
      </c>
      <c r="AZ523" s="308">
        <v>6.1863999999999999</v>
      </c>
      <c r="BA523" s="308">
        <v>0</v>
      </c>
      <c r="BB523" s="308">
        <v>5.9558999999999997</v>
      </c>
      <c r="BC523" s="308">
        <v>5.9584999999999999</v>
      </c>
      <c r="BD523" s="308">
        <v>6.6391</v>
      </c>
      <c r="BE523" s="308">
        <v>7.2984999999999998</v>
      </c>
      <c r="BF523" s="308">
        <v>5.9813999999999998</v>
      </c>
      <c r="BG523" s="308">
        <v>6.4515000000000002</v>
      </c>
      <c r="BH523" s="308">
        <v>6.8758999999999997</v>
      </c>
      <c r="BI523" s="308">
        <v>7.2023000000000001</v>
      </c>
      <c r="BJ523" s="308">
        <v>6.5435999999999996</v>
      </c>
      <c r="BK523" s="308">
        <v>6.7987000000000002</v>
      </c>
    </row>
    <row r="524" spans="1:63" x14ac:dyDescent="0.25">
      <c r="A524" s="306">
        <v>324191</v>
      </c>
      <c r="B524" s="308" t="s">
        <v>100</v>
      </c>
      <c r="C524" s="308">
        <v>8.0321999999999996</v>
      </c>
      <c r="D524" s="308">
        <v>0</v>
      </c>
      <c r="E524" s="308">
        <v>6.7938000000000001</v>
      </c>
      <c r="F524" s="308">
        <v>8.3795000000000002</v>
      </c>
      <c r="G524" s="308">
        <v>5.0494000000000003</v>
      </c>
      <c r="H524" s="308">
        <v>6.2500999999999998</v>
      </c>
      <c r="I524" s="308">
        <v>6.5509000000000004</v>
      </c>
      <c r="J524" s="308">
        <v>6.4253</v>
      </c>
      <c r="K524" s="308">
        <v>0</v>
      </c>
      <c r="L524" s="308">
        <v>4.0762</v>
      </c>
      <c r="M524" s="308">
        <v>6.0995999999999997</v>
      </c>
      <c r="N524" s="308">
        <v>5.8541999999999996</v>
      </c>
      <c r="O524" s="308">
        <v>0</v>
      </c>
      <c r="P524" s="308">
        <v>3.8191000000000002</v>
      </c>
      <c r="Q524" s="308">
        <v>0</v>
      </c>
      <c r="R524" s="308">
        <v>5.8083</v>
      </c>
      <c r="S524" s="308">
        <v>6.1546000000000003</v>
      </c>
      <c r="T524" s="308">
        <v>6.0682999999999998</v>
      </c>
      <c r="U524" s="308">
        <v>4.7667000000000002</v>
      </c>
      <c r="V524" s="308">
        <v>6.3855000000000004</v>
      </c>
      <c r="W524" s="308">
        <v>4.8746</v>
      </c>
      <c r="X524" s="308">
        <v>4.6078000000000001</v>
      </c>
      <c r="Y524" s="308">
        <v>0</v>
      </c>
      <c r="Z524" s="308">
        <v>5.2557</v>
      </c>
      <c r="AA524" s="308">
        <v>6.1989999999999998</v>
      </c>
      <c r="AB524" s="308">
        <v>5.2965</v>
      </c>
      <c r="AC524" s="308">
        <v>6.0598999999999998</v>
      </c>
      <c r="AD524" s="308">
        <v>0</v>
      </c>
      <c r="AE524" s="308">
        <v>5.9821</v>
      </c>
      <c r="AF524" s="308">
        <v>0</v>
      </c>
      <c r="AG524" s="308">
        <v>5.5021000000000004</v>
      </c>
      <c r="AH524" s="308">
        <v>4.6246999999999998</v>
      </c>
      <c r="AI524" s="308">
        <v>4.5358999999999998</v>
      </c>
      <c r="AJ524" s="308">
        <v>7.5166000000000004</v>
      </c>
      <c r="AK524" s="308">
        <v>5.2603999999999997</v>
      </c>
      <c r="AL524" s="308">
        <v>4.7686999999999999</v>
      </c>
      <c r="AM524" s="308">
        <v>6.8071000000000002</v>
      </c>
      <c r="AN524" s="308">
        <v>7.7363</v>
      </c>
      <c r="AO524" s="308">
        <v>4.6489000000000003</v>
      </c>
      <c r="AP524" s="308">
        <v>5.9657</v>
      </c>
      <c r="AQ524" s="308">
        <v>0</v>
      </c>
      <c r="AR524" s="308">
        <v>6.4941000000000004</v>
      </c>
      <c r="AS524" s="308">
        <v>0</v>
      </c>
      <c r="AT524" s="308">
        <v>3.9735999999999998</v>
      </c>
      <c r="AU524" s="308">
        <v>7.1231</v>
      </c>
      <c r="AV524" s="308">
        <v>7.1662999999999997</v>
      </c>
      <c r="AW524" s="308">
        <v>0</v>
      </c>
      <c r="AX524" s="308">
        <v>0</v>
      </c>
      <c r="AY524" s="308">
        <v>6.4561000000000002</v>
      </c>
      <c r="AZ524" s="308">
        <v>5.4055</v>
      </c>
      <c r="BA524" s="308">
        <v>5.3247999999999998</v>
      </c>
      <c r="BB524" s="308">
        <v>0</v>
      </c>
      <c r="BC524" s="308">
        <v>5.3517999999999999</v>
      </c>
      <c r="BD524" s="308">
        <v>5.2088999999999999</v>
      </c>
      <c r="BE524" s="308">
        <v>6.2855999999999996</v>
      </c>
      <c r="BF524" s="308">
        <v>5.7767999999999997</v>
      </c>
      <c r="BG524" s="308">
        <v>6.2152000000000003</v>
      </c>
      <c r="BH524" s="308">
        <v>6.4142999999999999</v>
      </c>
      <c r="BI524" s="308">
        <v>7.2495000000000003</v>
      </c>
      <c r="BJ524" s="308">
        <v>6.9725000000000001</v>
      </c>
      <c r="BK524" s="308">
        <v>6.4222000000000001</v>
      </c>
    </row>
    <row r="525" spans="1:63" x14ac:dyDescent="0.25">
      <c r="A525" s="306">
        <v>324199</v>
      </c>
      <c r="B525" s="308" t="s">
        <v>101</v>
      </c>
      <c r="C525" s="308">
        <v>7.6840000000000002</v>
      </c>
      <c r="D525" s="308">
        <v>0</v>
      </c>
      <c r="E525" s="308">
        <v>5.7733999999999996</v>
      </c>
      <c r="F525" s="308">
        <v>0</v>
      </c>
      <c r="G525" s="308">
        <v>0</v>
      </c>
      <c r="H525" s="308">
        <v>5.4362000000000004</v>
      </c>
      <c r="I525" s="308">
        <v>8.1366999999999994</v>
      </c>
      <c r="J525" s="308">
        <v>0</v>
      </c>
      <c r="K525" s="308">
        <v>0</v>
      </c>
      <c r="L525" s="308">
        <v>0</v>
      </c>
      <c r="M525" s="308">
        <v>6.8503999999999996</v>
      </c>
      <c r="N525" s="308">
        <v>5.5541</v>
      </c>
      <c r="O525" s="308">
        <v>0</v>
      </c>
      <c r="P525" s="308">
        <v>0</v>
      </c>
      <c r="Q525" s="308">
        <v>0</v>
      </c>
      <c r="R525" s="308">
        <v>5.7390999999999996</v>
      </c>
      <c r="S525" s="308">
        <v>4.8807</v>
      </c>
      <c r="T525" s="308">
        <v>0</v>
      </c>
      <c r="U525" s="308">
        <v>4.8028000000000004</v>
      </c>
      <c r="V525" s="308">
        <v>6.8262</v>
      </c>
      <c r="W525" s="308">
        <v>0</v>
      </c>
      <c r="X525" s="308">
        <v>0</v>
      </c>
      <c r="Y525" s="308">
        <v>0</v>
      </c>
      <c r="Z525" s="308">
        <v>5.0350999999999999</v>
      </c>
      <c r="AA525" s="308">
        <v>5.6920000000000002</v>
      </c>
      <c r="AB525" s="308">
        <v>0</v>
      </c>
      <c r="AC525" s="308">
        <v>5.0233999999999996</v>
      </c>
      <c r="AD525" s="308">
        <v>0</v>
      </c>
      <c r="AE525" s="308">
        <v>0</v>
      </c>
      <c r="AF525" s="308">
        <v>0</v>
      </c>
      <c r="AG525" s="308">
        <v>3.4811999999999999</v>
      </c>
      <c r="AH525" s="308">
        <v>0</v>
      </c>
      <c r="AI525" s="308">
        <v>6.8848000000000003</v>
      </c>
      <c r="AJ525" s="308">
        <v>0</v>
      </c>
      <c r="AK525" s="308">
        <v>0</v>
      </c>
      <c r="AL525" s="308">
        <v>4.7694999999999999</v>
      </c>
      <c r="AM525" s="308">
        <v>5.4146000000000001</v>
      </c>
      <c r="AN525" s="308">
        <v>6.7327000000000004</v>
      </c>
      <c r="AO525" s="308">
        <v>0</v>
      </c>
      <c r="AP525" s="308">
        <v>5.6906999999999996</v>
      </c>
      <c r="AQ525" s="308">
        <v>0</v>
      </c>
      <c r="AR525" s="308">
        <v>5.5696000000000003</v>
      </c>
      <c r="AS525" s="308">
        <v>0</v>
      </c>
      <c r="AT525" s="308">
        <v>6.1588000000000003</v>
      </c>
      <c r="AU525" s="308">
        <v>5.7205000000000004</v>
      </c>
      <c r="AV525" s="308">
        <v>7.4534000000000002</v>
      </c>
      <c r="AW525" s="308">
        <v>4.5286999999999997</v>
      </c>
      <c r="AX525" s="308">
        <v>0</v>
      </c>
      <c r="AY525" s="308">
        <v>0</v>
      </c>
      <c r="AZ525" s="308">
        <v>6.6246999999999998</v>
      </c>
      <c r="BA525" s="308">
        <v>5.3990999999999998</v>
      </c>
      <c r="BB525" s="308">
        <v>5.3678999999999997</v>
      </c>
      <c r="BC525" s="308">
        <v>0</v>
      </c>
      <c r="BD525" s="308">
        <v>5.4226000000000001</v>
      </c>
      <c r="BE525" s="308">
        <v>5.6257999999999999</v>
      </c>
      <c r="BF525" s="308">
        <v>4.5605000000000002</v>
      </c>
      <c r="BG525" s="308">
        <v>5.5128000000000004</v>
      </c>
      <c r="BH525" s="308">
        <v>5.6860999999999997</v>
      </c>
      <c r="BI525" s="308">
        <v>6.8728999999999996</v>
      </c>
      <c r="BJ525" s="308">
        <v>6.5814000000000004</v>
      </c>
      <c r="BK525" s="308">
        <v>5.5868000000000002</v>
      </c>
    </row>
    <row r="526" spans="1:63" x14ac:dyDescent="0.25">
      <c r="A526" s="306">
        <v>325110</v>
      </c>
      <c r="B526" s="308" t="s">
        <v>102</v>
      </c>
      <c r="C526" s="308">
        <v>6.7279</v>
      </c>
      <c r="D526" s="308">
        <v>0</v>
      </c>
      <c r="E526" s="308">
        <v>4.7264999999999997</v>
      </c>
      <c r="F526" s="308">
        <v>5.3789999999999996</v>
      </c>
      <c r="G526" s="308">
        <v>0</v>
      </c>
      <c r="H526" s="308">
        <v>4.3589000000000002</v>
      </c>
      <c r="I526" s="308">
        <v>0</v>
      </c>
      <c r="J526" s="308">
        <v>3.7692999999999999</v>
      </c>
      <c r="K526" s="308">
        <v>0</v>
      </c>
      <c r="L526" s="308">
        <v>3.5297999999999998</v>
      </c>
      <c r="M526" s="308">
        <v>3.6366999999999998</v>
      </c>
      <c r="N526" s="308">
        <v>4.6123000000000003</v>
      </c>
      <c r="O526" s="308">
        <v>0</v>
      </c>
      <c r="P526" s="308">
        <v>0</v>
      </c>
      <c r="Q526" s="308">
        <v>0</v>
      </c>
      <c r="R526" s="308">
        <v>4.7633999999999999</v>
      </c>
      <c r="S526" s="308">
        <v>0</v>
      </c>
      <c r="T526" s="308">
        <v>0</v>
      </c>
      <c r="U526" s="308">
        <v>0</v>
      </c>
      <c r="V526" s="308">
        <v>5.1210000000000004</v>
      </c>
      <c r="W526" s="308">
        <v>3.9904000000000002</v>
      </c>
      <c r="X526" s="308">
        <v>0</v>
      </c>
      <c r="Y526" s="308">
        <v>4.2276999999999996</v>
      </c>
      <c r="Z526" s="308">
        <v>4.1219000000000001</v>
      </c>
      <c r="AA526" s="308">
        <v>0</v>
      </c>
      <c r="AB526" s="308">
        <v>4.3146000000000004</v>
      </c>
      <c r="AC526" s="308">
        <v>3.992</v>
      </c>
      <c r="AD526" s="308">
        <v>0</v>
      </c>
      <c r="AE526" s="308">
        <v>4.2064000000000004</v>
      </c>
      <c r="AF526" s="308">
        <v>0</v>
      </c>
      <c r="AG526" s="308">
        <v>0</v>
      </c>
      <c r="AH526" s="308">
        <v>0</v>
      </c>
      <c r="AI526" s="308">
        <v>4.3851000000000004</v>
      </c>
      <c r="AJ526" s="308">
        <v>0</v>
      </c>
      <c r="AK526" s="308">
        <v>0</v>
      </c>
      <c r="AL526" s="308">
        <v>3.476</v>
      </c>
      <c r="AM526" s="308">
        <v>5.1675000000000004</v>
      </c>
      <c r="AN526" s="308">
        <v>0</v>
      </c>
      <c r="AO526" s="308">
        <v>0</v>
      </c>
      <c r="AP526" s="308">
        <v>4.3620000000000001</v>
      </c>
      <c r="AQ526" s="308">
        <v>0</v>
      </c>
      <c r="AR526" s="308">
        <v>4.6512000000000002</v>
      </c>
      <c r="AS526" s="308">
        <v>0</v>
      </c>
      <c r="AT526" s="308">
        <v>4.0216000000000003</v>
      </c>
      <c r="AU526" s="308">
        <v>5.3785999999999996</v>
      </c>
      <c r="AV526" s="308">
        <v>0</v>
      </c>
      <c r="AW526" s="308">
        <v>0</v>
      </c>
      <c r="AX526" s="308">
        <v>0</v>
      </c>
      <c r="AY526" s="308">
        <v>3.7052999999999998</v>
      </c>
      <c r="AZ526" s="308">
        <v>0</v>
      </c>
      <c r="BA526" s="308">
        <v>4.7651000000000003</v>
      </c>
      <c r="BB526" s="308">
        <v>0</v>
      </c>
      <c r="BC526" s="308">
        <v>4.3612000000000002</v>
      </c>
      <c r="BD526" s="308">
        <v>4.1708999999999996</v>
      </c>
      <c r="BE526" s="308">
        <v>5.1798999999999999</v>
      </c>
      <c r="BF526" s="308">
        <v>4.1227999999999998</v>
      </c>
      <c r="BG526" s="308">
        <v>4.5566000000000004</v>
      </c>
      <c r="BH526" s="308">
        <v>5.0484999999999998</v>
      </c>
      <c r="BI526" s="308">
        <v>5.5919999999999996</v>
      </c>
      <c r="BJ526" s="308">
        <v>0</v>
      </c>
      <c r="BK526" s="308">
        <v>4.3155999999999999</v>
      </c>
    </row>
    <row r="527" spans="1:63" x14ac:dyDescent="0.25">
      <c r="A527" s="306">
        <v>325120</v>
      </c>
      <c r="B527" s="308" t="s">
        <v>103</v>
      </c>
      <c r="C527" s="308">
        <v>5.9294000000000002</v>
      </c>
      <c r="D527" s="308">
        <v>0</v>
      </c>
      <c r="E527" s="308">
        <v>4.6900000000000004</v>
      </c>
      <c r="F527" s="308">
        <v>4.8327999999999998</v>
      </c>
      <c r="G527" s="308">
        <v>3.968</v>
      </c>
      <c r="H527" s="308">
        <v>4.1669</v>
      </c>
      <c r="I527" s="308">
        <v>5.0479000000000003</v>
      </c>
      <c r="J527" s="308">
        <v>2.9234</v>
      </c>
      <c r="K527" s="308">
        <v>0</v>
      </c>
      <c r="L527" s="308">
        <v>3.2925</v>
      </c>
      <c r="M527" s="308">
        <v>4.1219999999999999</v>
      </c>
      <c r="N527" s="308">
        <v>4.9493</v>
      </c>
      <c r="O527" s="308">
        <v>4.0823999999999998</v>
      </c>
      <c r="P527" s="308">
        <v>3.9687000000000001</v>
      </c>
      <c r="Q527" s="308">
        <v>4.6675000000000004</v>
      </c>
      <c r="R527" s="308">
        <v>4.4031000000000002</v>
      </c>
      <c r="S527" s="308">
        <v>4.3973000000000004</v>
      </c>
      <c r="T527" s="308">
        <v>4.1847000000000003</v>
      </c>
      <c r="U527" s="308">
        <v>5.5345000000000004</v>
      </c>
      <c r="V527" s="308">
        <v>4.5140000000000002</v>
      </c>
      <c r="W527" s="308">
        <v>3.7342</v>
      </c>
      <c r="X527" s="308">
        <v>3.8228</v>
      </c>
      <c r="Y527" s="308">
        <v>4.3417000000000003</v>
      </c>
      <c r="Z527" s="308">
        <v>4.8837999999999999</v>
      </c>
      <c r="AA527" s="308">
        <v>4.5262000000000002</v>
      </c>
      <c r="AB527" s="308">
        <v>4.2945000000000002</v>
      </c>
      <c r="AC527" s="308">
        <v>5.2354000000000003</v>
      </c>
      <c r="AD527" s="308">
        <v>4.4908000000000001</v>
      </c>
      <c r="AE527" s="308">
        <v>4.8659999999999997</v>
      </c>
      <c r="AF527" s="308">
        <v>0</v>
      </c>
      <c r="AG527" s="308">
        <v>5.9767999999999999</v>
      </c>
      <c r="AH527" s="308">
        <v>0</v>
      </c>
      <c r="AI527" s="308">
        <v>3.2027999999999999</v>
      </c>
      <c r="AJ527" s="308">
        <v>4.2382</v>
      </c>
      <c r="AK527" s="308">
        <v>3.8834</v>
      </c>
      <c r="AL527" s="308">
        <v>2.9860000000000002</v>
      </c>
      <c r="AM527" s="308">
        <v>5.1540999999999997</v>
      </c>
      <c r="AN527" s="308">
        <v>4.9288999999999996</v>
      </c>
      <c r="AO527" s="308">
        <v>4.5450999999999997</v>
      </c>
      <c r="AP527" s="308">
        <v>4.8329000000000004</v>
      </c>
      <c r="AQ527" s="308">
        <v>4.1325000000000003</v>
      </c>
      <c r="AR527" s="308">
        <v>4.9611999999999998</v>
      </c>
      <c r="AS527" s="308">
        <v>0</v>
      </c>
      <c r="AT527" s="308">
        <v>4.9946999999999999</v>
      </c>
      <c r="AU527" s="308">
        <v>4.5224000000000002</v>
      </c>
      <c r="AV527" s="308">
        <v>5.8651999999999997</v>
      </c>
      <c r="AW527" s="308">
        <v>4.3635999999999999</v>
      </c>
      <c r="AX527" s="308">
        <v>0</v>
      </c>
      <c r="AY527" s="308">
        <v>4.3522999999999996</v>
      </c>
      <c r="AZ527" s="308">
        <v>4.8826999999999998</v>
      </c>
      <c r="BA527" s="308">
        <v>4.6761999999999997</v>
      </c>
      <c r="BB527" s="308">
        <v>4.0883000000000003</v>
      </c>
      <c r="BC527" s="308">
        <v>3.5266999999999999</v>
      </c>
      <c r="BD527" s="308">
        <v>4.1185999999999998</v>
      </c>
      <c r="BE527" s="308">
        <v>5.0384000000000002</v>
      </c>
      <c r="BF527" s="308">
        <v>5.0250000000000004</v>
      </c>
      <c r="BG527" s="308">
        <v>5.2461000000000002</v>
      </c>
      <c r="BH527" s="308">
        <v>5.2755999999999998</v>
      </c>
      <c r="BI527" s="308">
        <v>4.7812000000000001</v>
      </c>
      <c r="BJ527" s="308">
        <v>5.2062999999999997</v>
      </c>
      <c r="BK527" s="308">
        <v>4.4127999999999998</v>
      </c>
    </row>
    <row r="528" spans="1:63" x14ac:dyDescent="0.25">
      <c r="A528" s="306">
        <v>325130</v>
      </c>
      <c r="B528" s="308" t="s">
        <v>104</v>
      </c>
      <c r="C528" s="308">
        <v>8.0122999999999998</v>
      </c>
      <c r="D528" s="308">
        <v>0</v>
      </c>
      <c r="E528" s="308">
        <v>5.4211999999999998</v>
      </c>
      <c r="F528" s="308">
        <v>6.2619999999999996</v>
      </c>
      <c r="G528" s="308">
        <v>5.3238000000000003</v>
      </c>
      <c r="H528" s="308">
        <v>6.7652000000000001</v>
      </c>
      <c r="I528" s="308">
        <v>7.0640999999999998</v>
      </c>
      <c r="J528" s="308">
        <v>6.0118</v>
      </c>
      <c r="K528" s="308">
        <v>0</v>
      </c>
      <c r="L528" s="308">
        <v>3.9174000000000002</v>
      </c>
      <c r="M528" s="308">
        <v>6.0098000000000003</v>
      </c>
      <c r="N528" s="308">
        <v>6.2378</v>
      </c>
      <c r="O528" s="308">
        <v>0</v>
      </c>
      <c r="P528" s="308">
        <v>4.9500999999999999</v>
      </c>
      <c r="Q528" s="308">
        <v>6.2065999999999999</v>
      </c>
      <c r="R528" s="308">
        <v>6.9234999999999998</v>
      </c>
      <c r="S528" s="308">
        <v>6.5495000000000001</v>
      </c>
      <c r="T528" s="308">
        <v>5.7314999999999996</v>
      </c>
      <c r="U528" s="308">
        <v>5.9630999999999998</v>
      </c>
      <c r="V528" s="308">
        <v>5.9173</v>
      </c>
      <c r="W528" s="308">
        <v>5.8571</v>
      </c>
      <c r="X528" s="308">
        <v>4.3297999999999996</v>
      </c>
      <c r="Y528" s="308">
        <v>0</v>
      </c>
      <c r="Z528" s="308">
        <v>6.4001000000000001</v>
      </c>
      <c r="AA528" s="308">
        <v>6.0075000000000003</v>
      </c>
      <c r="AB528" s="308">
        <v>6.391</v>
      </c>
      <c r="AC528" s="308">
        <v>5.0970000000000004</v>
      </c>
      <c r="AD528" s="308">
        <v>0</v>
      </c>
      <c r="AE528" s="308">
        <v>5.9852999999999996</v>
      </c>
      <c r="AF528" s="308">
        <v>0</v>
      </c>
      <c r="AG528" s="308">
        <v>0</v>
      </c>
      <c r="AH528" s="308">
        <v>4.5632000000000001</v>
      </c>
      <c r="AI528" s="308">
        <v>5.5242000000000004</v>
      </c>
      <c r="AJ528" s="308">
        <v>0</v>
      </c>
      <c r="AK528" s="308">
        <v>0</v>
      </c>
      <c r="AL528" s="308">
        <v>4.3796999999999997</v>
      </c>
      <c r="AM528" s="308">
        <v>6.875</v>
      </c>
      <c r="AN528" s="308">
        <v>6.0900999999999996</v>
      </c>
      <c r="AO528" s="308">
        <v>5.3834</v>
      </c>
      <c r="AP528" s="308">
        <v>6.3992000000000004</v>
      </c>
      <c r="AQ528" s="308">
        <v>4.6612999999999998</v>
      </c>
      <c r="AR528" s="308">
        <v>6.4108000000000001</v>
      </c>
      <c r="AS528" s="308">
        <v>0</v>
      </c>
      <c r="AT528" s="308">
        <v>5.7317</v>
      </c>
      <c r="AU528" s="308">
        <v>5.9211999999999998</v>
      </c>
      <c r="AV528" s="308">
        <v>0</v>
      </c>
      <c r="AW528" s="308">
        <v>6.1547000000000001</v>
      </c>
      <c r="AX528" s="308">
        <v>0</v>
      </c>
      <c r="AY528" s="308">
        <v>4.9115000000000002</v>
      </c>
      <c r="AZ528" s="308">
        <v>6.0674000000000001</v>
      </c>
      <c r="BA528" s="308">
        <v>4.9145000000000003</v>
      </c>
      <c r="BB528" s="308">
        <v>0</v>
      </c>
      <c r="BC528" s="308">
        <v>6.0533999999999999</v>
      </c>
      <c r="BD528" s="308">
        <v>6.0841000000000003</v>
      </c>
      <c r="BE528" s="308">
        <v>7.1163999999999996</v>
      </c>
      <c r="BF528" s="308">
        <v>6.4644000000000004</v>
      </c>
      <c r="BG528" s="308">
        <v>6.4024999999999999</v>
      </c>
      <c r="BH528" s="308">
        <v>6.2971000000000004</v>
      </c>
      <c r="BI528" s="308">
        <v>6.2609000000000004</v>
      </c>
      <c r="BJ528" s="308">
        <v>6.4516999999999998</v>
      </c>
      <c r="BK528" s="308">
        <v>5.9016000000000002</v>
      </c>
    </row>
    <row r="529" spans="1:63" x14ac:dyDescent="0.25">
      <c r="A529" s="306">
        <v>325181</v>
      </c>
      <c r="B529" s="308" t="s">
        <v>105</v>
      </c>
      <c r="C529" s="308">
        <v>7.742</v>
      </c>
      <c r="D529" s="308">
        <v>0</v>
      </c>
      <c r="E529" s="308">
        <v>5.6738</v>
      </c>
      <c r="F529" s="308">
        <v>0</v>
      </c>
      <c r="G529" s="308">
        <v>0</v>
      </c>
      <c r="H529" s="308">
        <v>5.8183999999999996</v>
      </c>
      <c r="I529" s="308">
        <v>6.1448</v>
      </c>
      <c r="J529" s="308">
        <v>0</v>
      </c>
      <c r="K529" s="308">
        <v>0</v>
      </c>
      <c r="L529" s="308">
        <v>3.7871000000000001</v>
      </c>
      <c r="M529" s="308">
        <v>5.6780999999999997</v>
      </c>
      <c r="N529" s="308">
        <v>5.0926999999999998</v>
      </c>
      <c r="O529" s="308">
        <v>0</v>
      </c>
      <c r="P529" s="308">
        <v>4.6688000000000001</v>
      </c>
      <c r="Q529" s="308">
        <v>0</v>
      </c>
      <c r="R529" s="308">
        <v>8.0350999999999999</v>
      </c>
      <c r="S529" s="308">
        <v>0</v>
      </c>
      <c r="T529" s="308">
        <v>5.2038000000000002</v>
      </c>
      <c r="U529" s="308">
        <v>0</v>
      </c>
      <c r="V529" s="308">
        <v>5.8234000000000004</v>
      </c>
      <c r="W529" s="308">
        <v>0</v>
      </c>
      <c r="X529" s="308">
        <v>4.2892000000000001</v>
      </c>
      <c r="Y529" s="308">
        <v>0</v>
      </c>
      <c r="Z529" s="308">
        <v>8.2349999999999994</v>
      </c>
      <c r="AA529" s="308">
        <v>0</v>
      </c>
      <c r="AB529" s="308">
        <v>0</v>
      </c>
      <c r="AC529" s="308">
        <v>7.1551999999999998</v>
      </c>
      <c r="AD529" s="308">
        <v>0</v>
      </c>
      <c r="AE529" s="308">
        <v>0</v>
      </c>
      <c r="AF529" s="308">
        <v>0</v>
      </c>
      <c r="AG529" s="308">
        <v>0</v>
      </c>
      <c r="AH529" s="308">
        <v>0</v>
      </c>
      <c r="AI529" s="308">
        <v>4.2572999999999999</v>
      </c>
      <c r="AJ529" s="308">
        <v>0</v>
      </c>
      <c r="AK529" s="308">
        <v>4.3933</v>
      </c>
      <c r="AL529" s="308">
        <v>4.3436000000000003</v>
      </c>
      <c r="AM529" s="308">
        <v>7.1242999999999999</v>
      </c>
      <c r="AN529" s="308">
        <v>5.1318999999999999</v>
      </c>
      <c r="AO529" s="308">
        <v>0</v>
      </c>
      <c r="AP529" s="308">
        <v>6.3308</v>
      </c>
      <c r="AQ529" s="308">
        <v>0</v>
      </c>
      <c r="AR529" s="308">
        <v>0</v>
      </c>
      <c r="AS529" s="308">
        <v>0</v>
      </c>
      <c r="AT529" s="308">
        <v>5.6997</v>
      </c>
      <c r="AU529" s="308">
        <v>5.5574000000000003</v>
      </c>
      <c r="AV529" s="308">
        <v>9.0242000000000004</v>
      </c>
      <c r="AW529" s="308">
        <v>5.9962</v>
      </c>
      <c r="AX529" s="308">
        <v>0</v>
      </c>
      <c r="AY529" s="308">
        <v>5.9515000000000002</v>
      </c>
      <c r="AZ529" s="308">
        <v>5.8792999999999997</v>
      </c>
      <c r="BA529" s="308">
        <v>5.5856000000000003</v>
      </c>
      <c r="BB529" s="308">
        <v>4.4421999999999997</v>
      </c>
      <c r="BC529" s="308">
        <v>0</v>
      </c>
      <c r="BD529" s="308">
        <v>5.7558999999999996</v>
      </c>
      <c r="BE529" s="308">
        <v>7.1092000000000004</v>
      </c>
      <c r="BF529" s="308">
        <v>5.9317000000000002</v>
      </c>
      <c r="BG529" s="308">
        <v>6.5289999999999999</v>
      </c>
      <c r="BH529" s="308">
        <v>6.0740999999999996</v>
      </c>
      <c r="BI529" s="308">
        <v>6.0960999999999999</v>
      </c>
      <c r="BJ529" s="308">
        <v>6.3840000000000003</v>
      </c>
      <c r="BK529" s="308">
        <v>6.0692000000000004</v>
      </c>
    </row>
    <row r="530" spans="1:63" x14ac:dyDescent="0.25">
      <c r="A530" s="306">
        <v>325182</v>
      </c>
      <c r="B530" s="308" t="s">
        <v>106</v>
      </c>
      <c r="C530" s="308">
        <v>6.0216000000000003</v>
      </c>
      <c r="D530" s="308">
        <v>0</v>
      </c>
      <c r="E530" s="308">
        <v>4.5669000000000004</v>
      </c>
      <c r="F530" s="308">
        <v>0</v>
      </c>
      <c r="G530" s="308">
        <v>0</v>
      </c>
      <c r="H530" s="308">
        <v>0</v>
      </c>
      <c r="I530" s="308">
        <v>0</v>
      </c>
      <c r="J530" s="308">
        <v>0</v>
      </c>
      <c r="K530" s="308">
        <v>0</v>
      </c>
      <c r="L530" s="308">
        <v>0</v>
      </c>
      <c r="M530" s="308">
        <v>0</v>
      </c>
      <c r="N530" s="308">
        <v>3.9245000000000001</v>
      </c>
      <c r="O530" s="308">
        <v>0</v>
      </c>
      <c r="P530" s="308">
        <v>0</v>
      </c>
      <c r="Q530" s="308">
        <v>0</v>
      </c>
      <c r="R530" s="308">
        <v>0</v>
      </c>
      <c r="S530" s="308">
        <v>0</v>
      </c>
      <c r="T530" s="308">
        <v>4.4885000000000002</v>
      </c>
      <c r="U530" s="308">
        <v>4.4843000000000002</v>
      </c>
      <c r="V530" s="308">
        <v>4.9217000000000004</v>
      </c>
      <c r="W530" s="308">
        <v>0</v>
      </c>
      <c r="X530" s="308">
        <v>0</v>
      </c>
      <c r="Y530" s="308">
        <v>0</v>
      </c>
      <c r="Z530" s="308">
        <v>0</v>
      </c>
      <c r="AA530" s="308">
        <v>0</v>
      </c>
      <c r="AB530" s="308">
        <v>0</v>
      </c>
      <c r="AC530" s="308">
        <v>0</v>
      </c>
      <c r="AD530" s="308">
        <v>0</v>
      </c>
      <c r="AE530" s="308">
        <v>4.5921000000000003</v>
      </c>
      <c r="AF530" s="308">
        <v>0</v>
      </c>
      <c r="AG530" s="308">
        <v>0</v>
      </c>
      <c r="AH530" s="308">
        <v>0</v>
      </c>
      <c r="AI530" s="308">
        <v>0</v>
      </c>
      <c r="AJ530" s="308">
        <v>0</v>
      </c>
      <c r="AK530" s="308">
        <v>0</v>
      </c>
      <c r="AL530" s="308">
        <v>0</v>
      </c>
      <c r="AM530" s="308">
        <v>4.7709000000000001</v>
      </c>
      <c r="AN530" s="308">
        <v>4.9695999999999998</v>
      </c>
      <c r="AO530" s="308">
        <v>0</v>
      </c>
      <c r="AP530" s="308">
        <v>0</v>
      </c>
      <c r="AQ530" s="308">
        <v>0</v>
      </c>
      <c r="AR530" s="308">
        <v>0</v>
      </c>
      <c r="AS530" s="308">
        <v>0</v>
      </c>
      <c r="AT530" s="308">
        <v>0</v>
      </c>
      <c r="AU530" s="308">
        <v>4.8920000000000003</v>
      </c>
      <c r="AV530" s="308">
        <v>0</v>
      </c>
      <c r="AW530" s="308">
        <v>0</v>
      </c>
      <c r="AX530" s="308">
        <v>0</v>
      </c>
      <c r="AY530" s="308">
        <v>0</v>
      </c>
      <c r="AZ530" s="308">
        <v>0</v>
      </c>
      <c r="BA530" s="308">
        <v>4.0396000000000001</v>
      </c>
      <c r="BB530" s="308">
        <v>0</v>
      </c>
      <c r="BC530" s="308">
        <v>0</v>
      </c>
      <c r="BD530" s="308">
        <v>0</v>
      </c>
      <c r="BE530" s="308">
        <v>4.8301999999999996</v>
      </c>
      <c r="BF530" s="308">
        <v>4.5717999999999996</v>
      </c>
      <c r="BG530" s="308">
        <v>4.3578999999999999</v>
      </c>
      <c r="BH530" s="308">
        <v>4.8364000000000003</v>
      </c>
      <c r="BI530" s="308">
        <v>5.1497000000000002</v>
      </c>
      <c r="BJ530" s="308">
        <v>0</v>
      </c>
      <c r="BK530" s="308">
        <v>0</v>
      </c>
    </row>
    <row r="531" spans="1:63" x14ac:dyDescent="0.25">
      <c r="A531" s="306">
        <v>325188</v>
      </c>
      <c r="B531" s="308" t="s">
        <v>107</v>
      </c>
      <c r="C531" s="308">
        <v>8.7424999999999997</v>
      </c>
      <c r="D531" s="308">
        <v>0</v>
      </c>
      <c r="E531" s="308">
        <v>6.9280999999999997</v>
      </c>
      <c r="F531" s="308">
        <v>7.2363</v>
      </c>
      <c r="G531" s="308">
        <v>6.8666</v>
      </c>
      <c r="H531" s="308">
        <v>6.3837000000000002</v>
      </c>
      <c r="I531" s="308">
        <v>7.6117999999999997</v>
      </c>
      <c r="J531" s="308">
        <v>5.8619000000000003</v>
      </c>
      <c r="K531" s="308">
        <v>0</v>
      </c>
      <c r="L531" s="308">
        <v>4.8666</v>
      </c>
      <c r="M531" s="308">
        <v>6.6212</v>
      </c>
      <c r="N531" s="308">
        <v>6.7842000000000002</v>
      </c>
      <c r="O531" s="308">
        <v>6.3297999999999996</v>
      </c>
      <c r="P531" s="308">
        <v>6.1889000000000003</v>
      </c>
      <c r="Q531" s="308">
        <v>7.2469999999999999</v>
      </c>
      <c r="R531" s="308">
        <v>6.5266000000000002</v>
      </c>
      <c r="S531" s="308">
        <v>7.5472000000000001</v>
      </c>
      <c r="T531" s="308">
        <v>5.8353000000000002</v>
      </c>
      <c r="U531" s="308">
        <v>6.6471</v>
      </c>
      <c r="V531" s="308">
        <v>6.7012999999999998</v>
      </c>
      <c r="W531" s="308">
        <v>6.1162999999999998</v>
      </c>
      <c r="X531" s="308">
        <v>5.3334000000000001</v>
      </c>
      <c r="Y531" s="308">
        <v>7.6083999999999996</v>
      </c>
      <c r="Z531" s="308">
        <v>7.6612</v>
      </c>
      <c r="AA531" s="308">
        <v>0</v>
      </c>
      <c r="AB531" s="308">
        <v>6.7450000000000001</v>
      </c>
      <c r="AC531" s="308">
        <v>6.3792999999999997</v>
      </c>
      <c r="AD531" s="308">
        <v>7.1760999999999999</v>
      </c>
      <c r="AE531" s="308">
        <v>7.2005999999999997</v>
      </c>
      <c r="AF531" s="308">
        <v>0</v>
      </c>
      <c r="AG531" s="308">
        <v>6.8444000000000003</v>
      </c>
      <c r="AH531" s="308">
        <v>0</v>
      </c>
      <c r="AI531" s="308">
        <v>5.2005999999999997</v>
      </c>
      <c r="AJ531" s="308">
        <v>5.5696000000000003</v>
      </c>
      <c r="AK531" s="308">
        <v>5.2765000000000004</v>
      </c>
      <c r="AL531" s="308">
        <v>5.7563000000000004</v>
      </c>
      <c r="AM531" s="308">
        <v>7.5987999999999998</v>
      </c>
      <c r="AN531" s="308">
        <v>6.5311000000000003</v>
      </c>
      <c r="AO531" s="308">
        <v>7.2702999999999998</v>
      </c>
      <c r="AP531" s="308">
        <v>7.3003</v>
      </c>
      <c r="AQ531" s="308">
        <v>5.6942000000000004</v>
      </c>
      <c r="AR531" s="308">
        <v>7.3009000000000004</v>
      </c>
      <c r="AS531" s="308">
        <v>0</v>
      </c>
      <c r="AT531" s="308">
        <v>7.4032</v>
      </c>
      <c r="AU531" s="308">
        <v>6.9459999999999997</v>
      </c>
      <c r="AV531" s="308">
        <v>8.7850999999999999</v>
      </c>
      <c r="AW531" s="308">
        <v>5.7908999999999997</v>
      </c>
      <c r="AX531" s="308">
        <v>0</v>
      </c>
      <c r="AY531" s="308">
        <v>6.0126999999999997</v>
      </c>
      <c r="AZ531" s="308">
        <v>7.7446000000000002</v>
      </c>
      <c r="BA531" s="308">
        <v>6.1536999999999997</v>
      </c>
      <c r="BB531" s="308">
        <v>6.8311999999999999</v>
      </c>
      <c r="BC531" s="308">
        <v>6.8338000000000001</v>
      </c>
      <c r="BD531" s="308">
        <v>6.2191999999999998</v>
      </c>
      <c r="BE531" s="308">
        <v>7.7126999999999999</v>
      </c>
      <c r="BF531" s="308">
        <v>7.1204999999999998</v>
      </c>
      <c r="BG531" s="308">
        <v>7.2927</v>
      </c>
      <c r="BH531" s="308">
        <v>7.5369999999999999</v>
      </c>
      <c r="BI531" s="308">
        <v>7.2918000000000003</v>
      </c>
      <c r="BJ531" s="308">
        <v>7.6151999999999997</v>
      </c>
      <c r="BK531" s="308">
        <v>6.6041999999999996</v>
      </c>
    </row>
    <row r="532" spans="1:63" x14ac:dyDescent="0.25">
      <c r="A532" s="306">
        <v>325190</v>
      </c>
      <c r="B532" s="308" t="s">
        <v>108</v>
      </c>
      <c r="C532" s="308">
        <v>7.9610000000000003</v>
      </c>
      <c r="D532" s="308">
        <v>0</v>
      </c>
      <c r="E532" s="308">
        <v>5.7476000000000003</v>
      </c>
      <c r="F532" s="308">
        <v>5.5922000000000001</v>
      </c>
      <c r="G532" s="308">
        <v>4.4340999999999999</v>
      </c>
      <c r="H532" s="308">
        <v>4.9652000000000003</v>
      </c>
      <c r="I532" s="308">
        <v>5.1612999999999998</v>
      </c>
      <c r="J532" s="308">
        <v>3.9401999999999999</v>
      </c>
      <c r="K532" s="308">
        <v>0</v>
      </c>
      <c r="L532" s="308">
        <v>3.7475999999999998</v>
      </c>
      <c r="M532" s="308">
        <v>4.5959000000000003</v>
      </c>
      <c r="N532" s="308">
        <v>5.2678000000000003</v>
      </c>
      <c r="O532" s="308">
        <v>0</v>
      </c>
      <c r="P532" s="308">
        <v>4.8322000000000003</v>
      </c>
      <c r="Q532" s="308">
        <v>4.9810999999999996</v>
      </c>
      <c r="R532" s="308">
        <v>5.6489000000000003</v>
      </c>
      <c r="S532" s="308">
        <v>5.8316999999999997</v>
      </c>
      <c r="T532" s="308">
        <v>5.3722000000000003</v>
      </c>
      <c r="U532" s="308">
        <v>5.6479999999999997</v>
      </c>
      <c r="V532" s="308">
        <v>5.7744</v>
      </c>
      <c r="W532" s="308">
        <v>4.0118999999999998</v>
      </c>
      <c r="X532" s="308">
        <v>4.1756000000000002</v>
      </c>
      <c r="Y532" s="308">
        <v>5.1341999999999999</v>
      </c>
      <c r="Z532" s="308">
        <v>5.6829000000000001</v>
      </c>
      <c r="AA532" s="308">
        <v>5.1845999999999997</v>
      </c>
      <c r="AB532" s="308">
        <v>5.9478</v>
      </c>
      <c r="AC532" s="308">
        <v>5.4321999999999999</v>
      </c>
      <c r="AD532" s="308">
        <v>5.2819000000000003</v>
      </c>
      <c r="AE532" s="308">
        <v>5.6562999999999999</v>
      </c>
      <c r="AF532" s="308">
        <v>4.5350999999999999</v>
      </c>
      <c r="AG532" s="308">
        <v>4.9081000000000001</v>
      </c>
      <c r="AH532" s="308">
        <v>0</v>
      </c>
      <c r="AI532" s="308">
        <v>4.7332999999999998</v>
      </c>
      <c r="AJ532" s="308">
        <v>4.6422999999999996</v>
      </c>
      <c r="AK532" s="308">
        <v>3.9853999999999998</v>
      </c>
      <c r="AL532" s="308">
        <v>3.6074999999999999</v>
      </c>
      <c r="AM532" s="308">
        <v>6.0659999999999998</v>
      </c>
      <c r="AN532" s="308">
        <v>5.5067000000000004</v>
      </c>
      <c r="AO532" s="308">
        <v>4.9488000000000003</v>
      </c>
      <c r="AP532" s="308">
        <v>5.6387</v>
      </c>
      <c r="AQ532" s="308">
        <v>4.3833000000000002</v>
      </c>
      <c r="AR532" s="308">
        <v>6.0019999999999998</v>
      </c>
      <c r="AS532" s="308">
        <v>4.3390000000000004</v>
      </c>
      <c r="AT532" s="308">
        <v>5.7008000000000001</v>
      </c>
      <c r="AU532" s="308">
        <v>6.1204999999999998</v>
      </c>
      <c r="AV532" s="308">
        <v>0</v>
      </c>
      <c r="AW532" s="308">
        <v>4.5956000000000001</v>
      </c>
      <c r="AX532" s="308">
        <v>0</v>
      </c>
      <c r="AY532" s="308">
        <v>4.6638000000000002</v>
      </c>
      <c r="AZ532" s="308">
        <v>5.7752999999999997</v>
      </c>
      <c r="BA532" s="308">
        <v>5.2039999999999997</v>
      </c>
      <c r="BB532" s="308">
        <v>4.8948999999999998</v>
      </c>
      <c r="BC532" s="308">
        <v>4.5415000000000001</v>
      </c>
      <c r="BD532" s="308">
        <v>5.0114999999999998</v>
      </c>
      <c r="BE532" s="308">
        <v>6.2777000000000003</v>
      </c>
      <c r="BF532" s="308">
        <v>5.9901</v>
      </c>
      <c r="BG532" s="308">
        <v>5.7001999999999997</v>
      </c>
      <c r="BH532" s="308">
        <v>6.2625999999999999</v>
      </c>
      <c r="BI532" s="308">
        <v>6.4532999999999996</v>
      </c>
      <c r="BJ532" s="308">
        <v>5.7267999999999999</v>
      </c>
      <c r="BK532" s="308">
        <v>5.1351000000000004</v>
      </c>
    </row>
    <row r="533" spans="1:63" x14ac:dyDescent="0.25">
      <c r="A533" s="306">
        <v>325211</v>
      </c>
      <c r="B533" s="308" t="s">
        <v>2</v>
      </c>
      <c r="C533" s="308">
        <v>7.5534999999999997</v>
      </c>
      <c r="D533" s="308">
        <v>3.8134000000000001</v>
      </c>
      <c r="E533" s="308">
        <v>5.5138999999999996</v>
      </c>
      <c r="F533" s="308">
        <v>5.5719000000000003</v>
      </c>
      <c r="G533" s="308">
        <v>4.2670000000000003</v>
      </c>
      <c r="H533" s="308">
        <v>4.6482000000000001</v>
      </c>
      <c r="I533" s="308">
        <v>4.8640999999999996</v>
      </c>
      <c r="J533" s="308">
        <v>3.9584999999999999</v>
      </c>
      <c r="K533" s="308">
        <v>0</v>
      </c>
      <c r="L533" s="308">
        <v>3.7679</v>
      </c>
      <c r="M533" s="308">
        <v>4.4390000000000001</v>
      </c>
      <c r="N533" s="308">
        <v>5.1147999999999998</v>
      </c>
      <c r="O533" s="308">
        <v>0</v>
      </c>
      <c r="P533" s="308">
        <v>3.9201000000000001</v>
      </c>
      <c r="Q533" s="308">
        <v>4.5617999999999999</v>
      </c>
      <c r="R533" s="308">
        <v>5.4446000000000003</v>
      </c>
      <c r="S533" s="308">
        <v>5.2944000000000004</v>
      </c>
      <c r="T533" s="308">
        <v>4.5815000000000001</v>
      </c>
      <c r="U533" s="308">
        <v>5.2516999999999996</v>
      </c>
      <c r="V533" s="308">
        <v>5.4828000000000001</v>
      </c>
      <c r="W533" s="308">
        <v>3.7482000000000002</v>
      </c>
      <c r="X533" s="308">
        <v>3.9529999999999998</v>
      </c>
      <c r="Y533" s="308">
        <v>4.7267000000000001</v>
      </c>
      <c r="Z533" s="308">
        <v>4.5270999999999999</v>
      </c>
      <c r="AA533" s="308">
        <v>4.8905000000000003</v>
      </c>
      <c r="AB533" s="308">
        <v>5.4760999999999997</v>
      </c>
      <c r="AC533" s="308">
        <v>4.7035999999999998</v>
      </c>
      <c r="AD533" s="308">
        <v>5.1154999999999999</v>
      </c>
      <c r="AE533" s="308">
        <v>5.5979999999999999</v>
      </c>
      <c r="AF533" s="308">
        <v>0</v>
      </c>
      <c r="AG533" s="308">
        <v>4.7183999999999999</v>
      </c>
      <c r="AH533" s="308">
        <v>3.7932999999999999</v>
      </c>
      <c r="AI533" s="308">
        <v>4.9515000000000002</v>
      </c>
      <c r="AJ533" s="308">
        <v>4.0183999999999997</v>
      </c>
      <c r="AK533" s="308">
        <v>3.7124999999999999</v>
      </c>
      <c r="AL533" s="308">
        <v>3.0427</v>
      </c>
      <c r="AM533" s="308">
        <v>6.1134000000000004</v>
      </c>
      <c r="AN533" s="308">
        <v>4.2881</v>
      </c>
      <c r="AO533" s="308">
        <v>4.4268999999999998</v>
      </c>
      <c r="AP533" s="308">
        <v>5.1553000000000004</v>
      </c>
      <c r="AQ533" s="308">
        <v>4.0068999999999999</v>
      </c>
      <c r="AR533" s="308">
        <v>5.71</v>
      </c>
      <c r="AS533" s="308">
        <v>4.3019999999999996</v>
      </c>
      <c r="AT533" s="308">
        <v>4.8574000000000002</v>
      </c>
      <c r="AU533" s="308">
        <v>5.7156000000000002</v>
      </c>
      <c r="AV533" s="308">
        <v>5.6334</v>
      </c>
      <c r="AW533" s="308">
        <v>4.6863999999999999</v>
      </c>
      <c r="AX533" s="308">
        <v>3.7494999999999998</v>
      </c>
      <c r="AY533" s="308">
        <v>4.2957999999999998</v>
      </c>
      <c r="AZ533" s="308">
        <v>5.5647000000000002</v>
      </c>
      <c r="BA533" s="308">
        <v>4.9081000000000001</v>
      </c>
      <c r="BB533" s="308">
        <v>0</v>
      </c>
      <c r="BC533" s="308">
        <v>4.3467000000000002</v>
      </c>
      <c r="BD533" s="308">
        <v>4.9332000000000003</v>
      </c>
      <c r="BE533" s="308">
        <v>5.9962</v>
      </c>
      <c r="BF533" s="308">
        <v>5.3510999999999997</v>
      </c>
      <c r="BG533" s="308">
        <v>5.5237999999999996</v>
      </c>
      <c r="BH533" s="308">
        <v>6.0202</v>
      </c>
      <c r="BI533" s="308">
        <v>5.9938000000000002</v>
      </c>
      <c r="BJ533" s="308">
        <v>5.1984000000000004</v>
      </c>
      <c r="BK533" s="308">
        <v>4.7432999999999996</v>
      </c>
    </row>
    <row r="534" spans="1:63" x14ac:dyDescent="0.25">
      <c r="A534" s="306">
        <v>325212</v>
      </c>
      <c r="B534" s="308" t="s">
        <v>109</v>
      </c>
      <c r="C534" s="308">
        <v>7.7809999999999997</v>
      </c>
      <c r="D534" s="308">
        <v>0</v>
      </c>
      <c r="E534" s="308">
        <v>7.0479000000000003</v>
      </c>
      <c r="F534" s="308">
        <v>0</v>
      </c>
      <c r="G534" s="308">
        <v>3.9607999999999999</v>
      </c>
      <c r="H534" s="308">
        <v>5.8802000000000003</v>
      </c>
      <c r="I534" s="308">
        <v>0</v>
      </c>
      <c r="J534" s="308">
        <v>4.0118</v>
      </c>
      <c r="K534" s="308">
        <v>0</v>
      </c>
      <c r="L534" s="308">
        <v>5.2092999999999998</v>
      </c>
      <c r="M534" s="308">
        <v>5.5156000000000001</v>
      </c>
      <c r="N534" s="308">
        <v>5.4962</v>
      </c>
      <c r="O534" s="308">
        <v>0</v>
      </c>
      <c r="P534" s="308">
        <v>0</v>
      </c>
      <c r="Q534" s="308">
        <v>0</v>
      </c>
      <c r="R534" s="308">
        <v>5.3685</v>
      </c>
      <c r="S534" s="308">
        <v>6.2393000000000001</v>
      </c>
      <c r="T534" s="308">
        <v>0</v>
      </c>
      <c r="U534" s="308">
        <v>4.9222999999999999</v>
      </c>
      <c r="V534" s="308">
        <v>5.5453999999999999</v>
      </c>
      <c r="W534" s="308">
        <v>5.6113</v>
      </c>
      <c r="X534" s="308">
        <v>4.8875000000000002</v>
      </c>
      <c r="Y534" s="308">
        <v>6.2416999999999998</v>
      </c>
      <c r="Z534" s="308">
        <v>5.6420000000000003</v>
      </c>
      <c r="AA534" s="308">
        <v>5.2253999999999996</v>
      </c>
      <c r="AB534" s="308">
        <v>0</v>
      </c>
      <c r="AC534" s="308">
        <v>5.4931000000000001</v>
      </c>
      <c r="AD534" s="308">
        <v>0</v>
      </c>
      <c r="AE534" s="308">
        <v>7.3970000000000002</v>
      </c>
      <c r="AF534" s="308">
        <v>0</v>
      </c>
      <c r="AG534" s="308">
        <v>0</v>
      </c>
      <c r="AH534" s="308">
        <v>5.5301999999999998</v>
      </c>
      <c r="AI534" s="308">
        <v>5.6151</v>
      </c>
      <c r="AJ534" s="308">
        <v>5.4847999999999999</v>
      </c>
      <c r="AK534" s="308">
        <v>0</v>
      </c>
      <c r="AL534" s="308">
        <v>3.278</v>
      </c>
      <c r="AM534" s="308">
        <v>6.5162000000000004</v>
      </c>
      <c r="AN534" s="308">
        <v>5.4907000000000004</v>
      </c>
      <c r="AO534" s="308">
        <v>6.4364999999999997</v>
      </c>
      <c r="AP534" s="308">
        <v>5.7747999999999999</v>
      </c>
      <c r="AQ534" s="308">
        <v>5.6323999999999996</v>
      </c>
      <c r="AR534" s="308">
        <v>6.6078000000000001</v>
      </c>
      <c r="AS534" s="308">
        <v>0</v>
      </c>
      <c r="AT534" s="308">
        <v>6.8625999999999996</v>
      </c>
      <c r="AU534" s="308">
        <v>6.0613999999999999</v>
      </c>
      <c r="AV534" s="308">
        <v>7.8869999999999996</v>
      </c>
      <c r="AW534" s="308">
        <v>5.5961999999999996</v>
      </c>
      <c r="AX534" s="308">
        <v>0</v>
      </c>
      <c r="AY534" s="308">
        <v>6.3136999999999999</v>
      </c>
      <c r="AZ534" s="308">
        <v>5.3304999999999998</v>
      </c>
      <c r="BA534" s="308">
        <v>0</v>
      </c>
      <c r="BB534" s="308">
        <v>0</v>
      </c>
      <c r="BC534" s="308">
        <v>6.1867999999999999</v>
      </c>
      <c r="BD534" s="308">
        <v>4.9667000000000003</v>
      </c>
      <c r="BE534" s="308">
        <v>6.4184000000000001</v>
      </c>
      <c r="BF534" s="308">
        <v>5.5259</v>
      </c>
      <c r="BG534" s="308">
        <v>6.5894000000000004</v>
      </c>
      <c r="BH534" s="308">
        <v>5.8917000000000002</v>
      </c>
      <c r="BI534" s="308">
        <v>6.1406000000000001</v>
      </c>
      <c r="BJ534" s="308">
        <v>6.1105999999999998</v>
      </c>
      <c r="BK534" s="308">
        <v>6.0285000000000002</v>
      </c>
    </row>
    <row r="535" spans="1:63" x14ac:dyDescent="0.25">
      <c r="A535" s="306">
        <v>325220</v>
      </c>
      <c r="B535" s="308" t="s">
        <v>110</v>
      </c>
      <c r="C535" s="308">
        <v>8.5282999999999998</v>
      </c>
      <c r="D535" s="308">
        <v>0</v>
      </c>
      <c r="E535" s="308">
        <v>6.7737999999999996</v>
      </c>
      <c r="F535" s="308">
        <v>6.3594999999999997</v>
      </c>
      <c r="G535" s="308">
        <v>6.6062000000000003</v>
      </c>
      <c r="H535" s="308">
        <v>6.9832999999999998</v>
      </c>
      <c r="I535" s="308">
        <v>8.1585999999999999</v>
      </c>
      <c r="J535" s="308">
        <v>7.1672000000000002</v>
      </c>
      <c r="K535" s="308">
        <v>0</v>
      </c>
      <c r="L535" s="308">
        <v>4.3185000000000002</v>
      </c>
      <c r="M535" s="308">
        <v>4.9259000000000004</v>
      </c>
      <c r="N535" s="308">
        <v>7.0353000000000003</v>
      </c>
      <c r="O535" s="308">
        <v>7.3273999999999999</v>
      </c>
      <c r="P535" s="308">
        <v>7.4371</v>
      </c>
      <c r="Q535" s="308">
        <v>0</v>
      </c>
      <c r="R535" s="308">
        <v>8.6415000000000006</v>
      </c>
      <c r="S535" s="308">
        <v>0</v>
      </c>
      <c r="T535" s="308">
        <v>5.2995999999999999</v>
      </c>
      <c r="U535" s="308">
        <v>0</v>
      </c>
      <c r="V535" s="308">
        <v>0</v>
      </c>
      <c r="W535" s="308">
        <v>5.0186999999999999</v>
      </c>
      <c r="X535" s="308">
        <v>5.8177000000000003</v>
      </c>
      <c r="Y535" s="308">
        <v>0</v>
      </c>
      <c r="Z535" s="308">
        <v>6.7206999999999999</v>
      </c>
      <c r="AA535" s="308">
        <v>0</v>
      </c>
      <c r="AB535" s="308">
        <v>0</v>
      </c>
      <c r="AC535" s="308">
        <v>7.7477999999999998</v>
      </c>
      <c r="AD535" s="308">
        <v>0</v>
      </c>
      <c r="AE535" s="308">
        <v>7.0743</v>
      </c>
      <c r="AF535" s="308">
        <v>0</v>
      </c>
      <c r="AG535" s="308">
        <v>0</v>
      </c>
      <c r="AH535" s="308">
        <v>5.7333999999999996</v>
      </c>
      <c r="AI535" s="308">
        <v>5.3272000000000004</v>
      </c>
      <c r="AJ535" s="308">
        <v>5.2352999999999996</v>
      </c>
      <c r="AK535" s="308">
        <v>0</v>
      </c>
      <c r="AL535" s="308">
        <v>5.6420000000000003</v>
      </c>
      <c r="AM535" s="308">
        <v>7.6035000000000004</v>
      </c>
      <c r="AN535" s="308">
        <v>0</v>
      </c>
      <c r="AO535" s="308">
        <v>5.5389999999999997</v>
      </c>
      <c r="AP535" s="308">
        <v>7.7477</v>
      </c>
      <c r="AQ535" s="308">
        <v>0</v>
      </c>
      <c r="AR535" s="308">
        <v>7.0224000000000002</v>
      </c>
      <c r="AS535" s="308">
        <v>0</v>
      </c>
      <c r="AT535" s="308">
        <v>5.5366</v>
      </c>
      <c r="AU535" s="308">
        <v>7.7034000000000002</v>
      </c>
      <c r="AV535" s="308">
        <v>8.9817999999999998</v>
      </c>
      <c r="AW535" s="308">
        <v>5.3551000000000002</v>
      </c>
      <c r="AX535" s="308">
        <v>5.3457999999999997</v>
      </c>
      <c r="AY535" s="308">
        <v>0</v>
      </c>
      <c r="AZ535" s="308">
        <v>0</v>
      </c>
      <c r="BA535" s="308">
        <v>0</v>
      </c>
      <c r="BB535" s="308">
        <v>0</v>
      </c>
      <c r="BC535" s="308">
        <v>6.5529999999999999</v>
      </c>
      <c r="BD535" s="308">
        <v>7.3205999999999998</v>
      </c>
      <c r="BE535" s="308">
        <v>7.8220999999999998</v>
      </c>
      <c r="BF535" s="308">
        <v>6.4471999999999996</v>
      </c>
      <c r="BG535" s="308">
        <v>6.7953000000000001</v>
      </c>
      <c r="BH535" s="308">
        <v>6.4535999999999998</v>
      </c>
      <c r="BI535" s="308">
        <v>7.883</v>
      </c>
      <c r="BJ535" s="308">
        <v>7.2314999999999996</v>
      </c>
      <c r="BK535" s="308">
        <v>7.0903</v>
      </c>
    </row>
    <row r="536" spans="1:63" x14ac:dyDescent="0.25">
      <c r="A536" s="306">
        <v>325310</v>
      </c>
      <c r="B536" s="308" t="s">
        <v>111</v>
      </c>
      <c r="C536" s="308">
        <v>8.6967999999999996</v>
      </c>
      <c r="D536" s="308">
        <v>4.7163000000000004</v>
      </c>
      <c r="E536" s="308">
        <v>7.3391000000000002</v>
      </c>
      <c r="F536" s="308">
        <v>6.8071999999999999</v>
      </c>
      <c r="G536" s="308">
        <v>5.8174000000000001</v>
      </c>
      <c r="H536" s="308">
        <v>6.2485999999999997</v>
      </c>
      <c r="I536" s="308">
        <v>6.7317</v>
      </c>
      <c r="J536" s="308">
        <v>4.6919000000000004</v>
      </c>
      <c r="K536" s="308">
        <v>0.45429999999999998</v>
      </c>
      <c r="L536" s="308">
        <v>3.7507000000000001</v>
      </c>
      <c r="M536" s="308">
        <v>5.6098999999999997</v>
      </c>
      <c r="N536" s="308">
        <v>6.9408000000000003</v>
      </c>
      <c r="O536" s="308">
        <v>5.4298000000000002</v>
      </c>
      <c r="P536" s="308">
        <v>4.1835000000000004</v>
      </c>
      <c r="Q536" s="308">
        <v>6.6108000000000002</v>
      </c>
      <c r="R536" s="308">
        <v>6.2476000000000003</v>
      </c>
      <c r="S536" s="308">
        <v>6.8794000000000004</v>
      </c>
      <c r="T536" s="308">
        <v>5.7563000000000004</v>
      </c>
      <c r="U536" s="308">
        <v>6.4123999999999999</v>
      </c>
      <c r="V536" s="308">
        <v>6.4954999999999998</v>
      </c>
      <c r="W536" s="308">
        <v>4.6173000000000002</v>
      </c>
      <c r="X536" s="308">
        <v>4.7079000000000004</v>
      </c>
      <c r="Y536" s="308">
        <v>7.5744999999999996</v>
      </c>
      <c r="Z536" s="308">
        <v>6.28</v>
      </c>
      <c r="AA536" s="308">
        <v>5.5290999999999997</v>
      </c>
      <c r="AB536" s="308">
        <v>6.2427999999999999</v>
      </c>
      <c r="AC536" s="308">
        <v>5.5418000000000003</v>
      </c>
      <c r="AD536" s="308">
        <v>7.2426000000000004</v>
      </c>
      <c r="AE536" s="308">
        <v>6.9390999999999998</v>
      </c>
      <c r="AF536" s="308">
        <v>0</v>
      </c>
      <c r="AG536" s="308">
        <v>6.1124000000000001</v>
      </c>
      <c r="AH536" s="308">
        <v>0</v>
      </c>
      <c r="AI536" s="308">
        <v>4.8948999999999998</v>
      </c>
      <c r="AJ536" s="308">
        <v>6.5404</v>
      </c>
      <c r="AK536" s="308">
        <v>4.9214000000000002</v>
      </c>
      <c r="AL536" s="308">
        <v>4.6783000000000001</v>
      </c>
      <c r="AM536" s="308">
        <v>6.9005000000000001</v>
      </c>
      <c r="AN536" s="308">
        <v>6.8201999999999998</v>
      </c>
      <c r="AO536" s="308">
        <v>6.5831999999999997</v>
      </c>
      <c r="AP536" s="308">
        <v>6.6364000000000001</v>
      </c>
      <c r="AQ536" s="308">
        <v>0</v>
      </c>
      <c r="AR536" s="308">
        <v>7.0305999999999997</v>
      </c>
      <c r="AS536" s="308">
        <v>3.7189000000000001</v>
      </c>
      <c r="AT536" s="308">
        <v>6.3170000000000002</v>
      </c>
      <c r="AU536" s="308">
        <v>7.4225000000000003</v>
      </c>
      <c r="AV536" s="308">
        <v>8.1364000000000001</v>
      </c>
      <c r="AW536" s="308">
        <v>6.2481999999999998</v>
      </c>
      <c r="AX536" s="308">
        <v>6.7412999999999998</v>
      </c>
      <c r="AY536" s="308">
        <v>5.492</v>
      </c>
      <c r="AZ536" s="308">
        <v>6.8624999999999998</v>
      </c>
      <c r="BA536" s="308">
        <v>7.7705000000000002</v>
      </c>
      <c r="BB536" s="308">
        <v>5.0589000000000004</v>
      </c>
      <c r="BC536" s="308">
        <v>5.8277999999999999</v>
      </c>
      <c r="BD536" s="308">
        <v>5.5826000000000002</v>
      </c>
      <c r="BE536" s="308">
        <v>7.0507999999999997</v>
      </c>
      <c r="BF536" s="308">
        <v>5.8990999999999998</v>
      </c>
      <c r="BG536" s="308">
        <v>6.9351000000000003</v>
      </c>
      <c r="BH536" s="308">
        <v>6.8087999999999997</v>
      </c>
      <c r="BI536" s="308">
        <v>7.5301</v>
      </c>
      <c r="BJ536" s="308">
        <v>7.6757</v>
      </c>
      <c r="BK536" s="308">
        <v>6.4119000000000002</v>
      </c>
    </row>
    <row r="537" spans="1:63" x14ac:dyDescent="0.25">
      <c r="A537" s="306">
        <v>325320</v>
      </c>
      <c r="B537" s="308" t="s">
        <v>112</v>
      </c>
      <c r="C537" s="308">
        <v>5.9743000000000004</v>
      </c>
      <c r="D537" s="308">
        <v>0</v>
      </c>
      <c r="E537" s="308">
        <v>4.2577999999999996</v>
      </c>
      <c r="F537" s="308">
        <v>5.2247000000000003</v>
      </c>
      <c r="G537" s="308">
        <v>4.2881</v>
      </c>
      <c r="H537" s="308">
        <v>4.0879000000000003</v>
      </c>
      <c r="I537" s="308">
        <v>5.5648</v>
      </c>
      <c r="J537" s="308">
        <v>4.1228999999999996</v>
      </c>
      <c r="K537" s="308">
        <v>0</v>
      </c>
      <c r="L537" s="308">
        <v>0</v>
      </c>
      <c r="M537" s="308">
        <v>4.3044000000000002</v>
      </c>
      <c r="N537" s="308">
        <v>5.4189999999999996</v>
      </c>
      <c r="O537" s="308">
        <v>0</v>
      </c>
      <c r="P537" s="308">
        <v>3.5402</v>
      </c>
      <c r="Q537" s="308">
        <v>4.5674999999999999</v>
      </c>
      <c r="R537" s="308">
        <v>4.7874999999999996</v>
      </c>
      <c r="S537" s="308">
        <v>4.1204999999999998</v>
      </c>
      <c r="T537" s="308">
        <v>4.1482999999999999</v>
      </c>
      <c r="U537" s="308">
        <v>5.5293999999999999</v>
      </c>
      <c r="V537" s="308">
        <v>4.0633999999999997</v>
      </c>
      <c r="W537" s="308">
        <v>3.4992999999999999</v>
      </c>
      <c r="X537" s="308">
        <v>2.9517000000000002</v>
      </c>
      <c r="Y537" s="308">
        <v>5.2129000000000003</v>
      </c>
      <c r="Z537" s="308">
        <v>4.6367000000000003</v>
      </c>
      <c r="AA537" s="308">
        <v>4.3234000000000004</v>
      </c>
      <c r="AB537" s="308">
        <v>4.5340999999999996</v>
      </c>
      <c r="AC537" s="308">
        <v>4.8650000000000002</v>
      </c>
      <c r="AD537" s="308">
        <v>4.9055</v>
      </c>
      <c r="AE537" s="308">
        <v>4.2945000000000002</v>
      </c>
      <c r="AF537" s="308">
        <v>4.24</v>
      </c>
      <c r="AG537" s="308">
        <v>3.6193</v>
      </c>
      <c r="AH537" s="308">
        <v>0</v>
      </c>
      <c r="AI537" s="308">
        <v>4.2929000000000004</v>
      </c>
      <c r="AJ537" s="308">
        <v>4.6311</v>
      </c>
      <c r="AK537" s="308">
        <v>0</v>
      </c>
      <c r="AL537" s="308">
        <v>3.1793999999999998</v>
      </c>
      <c r="AM537" s="308">
        <v>5.5282999999999998</v>
      </c>
      <c r="AN537" s="308">
        <v>3.7839999999999998</v>
      </c>
      <c r="AO537" s="308">
        <v>4.6924999999999999</v>
      </c>
      <c r="AP537" s="308">
        <v>4.8006000000000002</v>
      </c>
      <c r="AQ537" s="308">
        <v>0</v>
      </c>
      <c r="AR537" s="308">
        <v>5.3334000000000001</v>
      </c>
      <c r="AS537" s="308">
        <v>0</v>
      </c>
      <c r="AT537" s="308">
        <v>4.1336000000000004</v>
      </c>
      <c r="AU537" s="308">
        <v>4.4301000000000004</v>
      </c>
      <c r="AV537" s="308">
        <v>4.8930999999999996</v>
      </c>
      <c r="AW537" s="308">
        <v>4.9476000000000004</v>
      </c>
      <c r="AX537" s="308">
        <v>0</v>
      </c>
      <c r="AY537" s="308">
        <v>4.0412999999999997</v>
      </c>
      <c r="AZ537" s="308">
        <v>5.3712999999999997</v>
      </c>
      <c r="BA537" s="308">
        <v>3.8016999999999999</v>
      </c>
      <c r="BB537" s="308">
        <v>0</v>
      </c>
      <c r="BC537" s="308">
        <v>4.3834</v>
      </c>
      <c r="BD537" s="308">
        <v>4.6727999999999996</v>
      </c>
      <c r="BE537" s="308">
        <v>5.0431999999999997</v>
      </c>
      <c r="BF537" s="308">
        <v>4.5930999999999997</v>
      </c>
      <c r="BG537" s="308">
        <v>4.7386999999999997</v>
      </c>
      <c r="BH537" s="308">
        <v>4.8825000000000003</v>
      </c>
      <c r="BI537" s="308">
        <v>4.5664999999999996</v>
      </c>
      <c r="BJ537" s="308">
        <v>4.8825000000000003</v>
      </c>
      <c r="BK537" s="308">
        <v>4.2530000000000001</v>
      </c>
    </row>
    <row r="538" spans="1:63" x14ac:dyDescent="0.25">
      <c r="A538" s="306">
        <v>325411</v>
      </c>
      <c r="B538" s="308" t="s">
        <v>113</v>
      </c>
      <c r="C538" s="308">
        <v>5.2473000000000001</v>
      </c>
      <c r="D538" s="308">
        <v>0</v>
      </c>
      <c r="E538" s="308">
        <v>3.6221999999999999</v>
      </c>
      <c r="F538" s="308">
        <v>4.8726000000000003</v>
      </c>
      <c r="G538" s="308">
        <v>3.7757000000000001</v>
      </c>
      <c r="H538" s="308">
        <v>4.3112000000000004</v>
      </c>
      <c r="I538" s="308">
        <v>4.2102000000000004</v>
      </c>
      <c r="J538" s="308">
        <v>3.1160999999999999</v>
      </c>
      <c r="K538" s="308">
        <v>0</v>
      </c>
      <c r="L538" s="308">
        <v>0</v>
      </c>
      <c r="M538" s="308">
        <v>4.1967999999999996</v>
      </c>
      <c r="N538" s="308">
        <v>3.8450000000000002</v>
      </c>
      <c r="O538" s="308">
        <v>0</v>
      </c>
      <c r="P538" s="308">
        <v>3.9876</v>
      </c>
      <c r="Q538" s="308">
        <v>4.9734999999999996</v>
      </c>
      <c r="R538" s="308">
        <v>4.2271999999999998</v>
      </c>
      <c r="S538" s="308">
        <v>5.0110999999999999</v>
      </c>
      <c r="T538" s="308">
        <v>3.3382000000000001</v>
      </c>
      <c r="U538" s="308">
        <v>3.4245000000000001</v>
      </c>
      <c r="V538" s="308">
        <v>4.8872</v>
      </c>
      <c r="W538" s="308">
        <v>3.5002</v>
      </c>
      <c r="X538" s="308">
        <v>3.5453000000000001</v>
      </c>
      <c r="Y538" s="308">
        <v>5.1642999999999999</v>
      </c>
      <c r="Z538" s="308">
        <v>4.1990999999999996</v>
      </c>
      <c r="AA538" s="308">
        <v>4.2626999999999997</v>
      </c>
      <c r="AB538" s="308">
        <v>4.1243999999999996</v>
      </c>
      <c r="AC538" s="308">
        <v>4.4063999999999997</v>
      </c>
      <c r="AD538" s="308">
        <v>4.9513999999999996</v>
      </c>
      <c r="AE538" s="308">
        <v>4.1497999999999999</v>
      </c>
      <c r="AF538" s="308">
        <v>0</v>
      </c>
      <c r="AG538" s="308">
        <v>4.4543999999999997</v>
      </c>
      <c r="AH538" s="308">
        <v>4.0547000000000004</v>
      </c>
      <c r="AI538" s="308">
        <v>3.6193</v>
      </c>
      <c r="AJ538" s="308">
        <v>4.6157000000000004</v>
      </c>
      <c r="AK538" s="308">
        <v>3.4525999999999999</v>
      </c>
      <c r="AL538" s="308">
        <v>2.9497</v>
      </c>
      <c r="AM538" s="308">
        <v>3.7231999999999998</v>
      </c>
      <c r="AN538" s="308">
        <v>0</v>
      </c>
      <c r="AO538" s="308">
        <v>5.1262999999999996</v>
      </c>
      <c r="AP538" s="308">
        <v>4.4897</v>
      </c>
      <c r="AQ538" s="308">
        <v>0</v>
      </c>
      <c r="AR538" s="308">
        <v>3.2801999999999998</v>
      </c>
      <c r="AS538" s="308">
        <v>0</v>
      </c>
      <c r="AT538" s="308">
        <v>4.8601999999999999</v>
      </c>
      <c r="AU538" s="308">
        <v>4.1066000000000003</v>
      </c>
      <c r="AV538" s="308">
        <v>5.82</v>
      </c>
      <c r="AW538" s="308">
        <v>3.5301</v>
      </c>
      <c r="AX538" s="308">
        <v>0</v>
      </c>
      <c r="AY538" s="308">
        <v>4.2276999999999996</v>
      </c>
      <c r="AZ538" s="308">
        <v>4.7648999999999999</v>
      </c>
      <c r="BA538" s="308">
        <v>3.5369000000000002</v>
      </c>
      <c r="BB538" s="308">
        <v>3.5611000000000002</v>
      </c>
      <c r="BC538" s="308">
        <v>3.9861</v>
      </c>
      <c r="BD538" s="308">
        <v>4.0620000000000003</v>
      </c>
      <c r="BE538" s="308">
        <v>4.6174999999999997</v>
      </c>
      <c r="BF538" s="308">
        <v>4.2779999999999996</v>
      </c>
      <c r="BG538" s="308">
        <v>4.3507999999999996</v>
      </c>
      <c r="BH538" s="308">
        <v>3.6185999999999998</v>
      </c>
      <c r="BI538" s="308">
        <v>4.2187000000000001</v>
      </c>
      <c r="BJ538" s="308">
        <v>4.6120999999999999</v>
      </c>
      <c r="BK538" s="308">
        <v>4.3776999999999999</v>
      </c>
    </row>
    <row r="539" spans="1:63" x14ac:dyDescent="0.25">
      <c r="A539" s="306">
        <v>325412</v>
      </c>
      <c r="B539" s="308" t="s">
        <v>114</v>
      </c>
      <c r="C539" s="308">
        <v>4.8586</v>
      </c>
      <c r="D539" s="308">
        <v>0</v>
      </c>
      <c r="E539" s="308">
        <v>4.2839999999999998</v>
      </c>
      <c r="F539" s="308">
        <v>4.3627000000000002</v>
      </c>
      <c r="G539" s="308">
        <v>3.6299000000000001</v>
      </c>
      <c r="H539" s="308">
        <v>3.3866000000000001</v>
      </c>
      <c r="I539" s="308">
        <v>3.9752000000000001</v>
      </c>
      <c r="J539" s="308">
        <v>2.9998</v>
      </c>
      <c r="K539" s="308">
        <v>0.41710000000000003</v>
      </c>
      <c r="L539" s="308">
        <v>2.4438</v>
      </c>
      <c r="M539" s="308">
        <v>3.8054000000000001</v>
      </c>
      <c r="N539" s="308">
        <v>3.4476</v>
      </c>
      <c r="O539" s="308">
        <v>3.5575999999999999</v>
      </c>
      <c r="P539" s="308">
        <v>3.6421999999999999</v>
      </c>
      <c r="Q539" s="308">
        <v>3.8685999999999998</v>
      </c>
      <c r="R539" s="308">
        <v>3.5948000000000002</v>
      </c>
      <c r="S539" s="308">
        <v>3.0026000000000002</v>
      </c>
      <c r="T539" s="308">
        <v>3.1164999999999998</v>
      </c>
      <c r="U539" s="308">
        <v>4.1315999999999997</v>
      </c>
      <c r="V539" s="308">
        <v>4.1974999999999998</v>
      </c>
      <c r="W539" s="308">
        <v>3.4331</v>
      </c>
      <c r="X539" s="308">
        <v>3.1082000000000001</v>
      </c>
      <c r="Y539" s="308">
        <v>3.9874999999999998</v>
      </c>
      <c r="Z539" s="308">
        <v>3.9464000000000001</v>
      </c>
      <c r="AA539" s="308">
        <v>3.5985999999999998</v>
      </c>
      <c r="AB539" s="308">
        <v>4.109</v>
      </c>
      <c r="AC539" s="308">
        <v>3.7715000000000001</v>
      </c>
      <c r="AD539" s="308">
        <v>3.9746000000000001</v>
      </c>
      <c r="AE539" s="308">
        <v>4.0777000000000001</v>
      </c>
      <c r="AF539" s="308">
        <v>0</v>
      </c>
      <c r="AG539" s="308">
        <v>3.7153</v>
      </c>
      <c r="AH539" s="308">
        <v>4.0791000000000004</v>
      </c>
      <c r="AI539" s="308">
        <v>3.3290000000000002</v>
      </c>
      <c r="AJ539" s="308">
        <v>3.0992999999999999</v>
      </c>
      <c r="AK539" s="308">
        <v>3.6568999999999998</v>
      </c>
      <c r="AL539" s="308">
        <v>2.9207999999999998</v>
      </c>
      <c r="AM539" s="308">
        <v>4.0484999999999998</v>
      </c>
      <c r="AN539" s="308">
        <v>2.8816999999999999</v>
      </c>
      <c r="AO539" s="308">
        <v>4.5793999999999997</v>
      </c>
      <c r="AP539" s="308">
        <v>3.7214</v>
      </c>
      <c r="AQ539" s="308">
        <v>2.843</v>
      </c>
      <c r="AR539" s="308">
        <v>4.0841000000000003</v>
      </c>
      <c r="AS539" s="308">
        <v>3.427</v>
      </c>
      <c r="AT539" s="308">
        <v>3.6678000000000002</v>
      </c>
      <c r="AU539" s="308">
        <v>3.3109999999999999</v>
      </c>
      <c r="AV539" s="308">
        <v>5.5476999999999999</v>
      </c>
      <c r="AW539" s="308">
        <v>3.9190999999999998</v>
      </c>
      <c r="AX539" s="308">
        <v>2.6004999999999998</v>
      </c>
      <c r="AY539" s="308">
        <v>3.2309999999999999</v>
      </c>
      <c r="AZ539" s="308">
        <v>4.2405999999999997</v>
      </c>
      <c r="BA539" s="308">
        <v>3.6135999999999999</v>
      </c>
      <c r="BB539" s="308">
        <v>3.3862000000000001</v>
      </c>
      <c r="BC539" s="308">
        <v>3.7871999999999999</v>
      </c>
      <c r="BD539" s="308">
        <v>3.8698000000000001</v>
      </c>
      <c r="BE539" s="308">
        <v>3.9255</v>
      </c>
      <c r="BF539" s="308">
        <v>4.1509999999999998</v>
      </c>
      <c r="BG539" s="308">
        <v>4.3292999999999999</v>
      </c>
      <c r="BH539" s="308">
        <v>4.0984999999999996</v>
      </c>
      <c r="BI539" s="308">
        <v>3.3984000000000001</v>
      </c>
      <c r="BJ539" s="308">
        <v>4.2671999999999999</v>
      </c>
      <c r="BK539" s="308">
        <v>3.4493999999999998</v>
      </c>
    </row>
    <row r="540" spans="1:63" x14ac:dyDescent="0.25">
      <c r="A540" s="306">
        <v>325413</v>
      </c>
      <c r="B540" s="308" t="s">
        <v>115</v>
      </c>
      <c r="C540" s="308">
        <v>8.6214999999999993</v>
      </c>
      <c r="D540" s="308">
        <v>0</v>
      </c>
      <c r="E540" s="308">
        <v>0</v>
      </c>
      <c r="F540" s="308">
        <v>6.2205000000000004</v>
      </c>
      <c r="G540" s="308">
        <v>0</v>
      </c>
      <c r="H540" s="308">
        <v>6.6121999999999996</v>
      </c>
      <c r="I540" s="308">
        <v>7.3616999999999999</v>
      </c>
      <c r="J540" s="308">
        <v>5.8277000000000001</v>
      </c>
      <c r="K540" s="308">
        <v>0</v>
      </c>
      <c r="L540" s="308">
        <v>0</v>
      </c>
      <c r="M540" s="308">
        <v>7.3555999999999999</v>
      </c>
      <c r="N540" s="308">
        <v>6.3975999999999997</v>
      </c>
      <c r="O540" s="308">
        <v>0</v>
      </c>
      <c r="P540" s="308">
        <v>6.8868999999999998</v>
      </c>
      <c r="Q540" s="308">
        <v>0</v>
      </c>
      <c r="R540" s="308">
        <v>7.4916</v>
      </c>
      <c r="S540" s="308">
        <v>7.4482999999999997</v>
      </c>
      <c r="T540" s="308">
        <v>6.9100999999999999</v>
      </c>
      <c r="U540" s="308">
        <v>7.5773999999999999</v>
      </c>
      <c r="V540" s="308">
        <v>5.7336999999999998</v>
      </c>
      <c r="W540" s="308">
        <v>6.2396000000000003</v>
      </c>
      <c r="X540" s="308">
        <v>6.0338000000000003</v>
      </c>
      <c r="Y540" s="308">
        <v>8.4779999999999998</v>
      </c>
      <c r="Z540" s="308">
        <v>7.1135000000000002</v>
      </c>
      <c r="AA540" s="308">
        <v>7.0678999999999998</v>
      </c>
      <c r="AB540" s="308">
        <v>7.0867000000000004</v>
      </c>
      <c r="AC540" s="308">
        <v>0</v>
      </c>
      <c r="AD540" s="308">
        <v>0</v>
      </c>
      <c r="AE540" s="308">
        <v>8.2361000000000004</v>
      </c>
      <c r="AF540" s="308">
        <v>0</v>
      </c>
      <c r="AG540" s="308">
        <v>6.3071999999999999</v>
      </c>
      <c r="AH540" s="308">
        <v>0</v>
      </c>
      <c r="AI540" s="308">
        <v>6.2240000000000002</v>
      </c>
      <c r="AJ540" s="308">
        <v>7.7323000000000004</v>
      </c>
      <c r="AK540" s="308">
        <v>0</v>
      </c>
      <c r="AL540" s="308">
        <v>6.6657000000000002</v>
      </c>
      <c r="AM540" s="308">
        <v>8.8716000000000008</v>
      </c>
      <c r="AN540" s="308">
        <v>6.8924000000000003</v>
      </c>
      <c r="AO540" s="308">
        <v>8.4039000000000001</v>
      </c>
      <c r="AP540" s="308">
        <v>7.0632000000000001</v>
      </c>
      <c r="AQ540" s="308">
        <v>6.9836999999999998</v>
      </c>
      <c r="AR540" s="308">
        <v>8.0393000000000008</v>
      </c>
      <c r="AS540" s="308">
        <v>0</v>
      </c>
      <c r="AT540" s="308">
        <v>6.2746000000000004</v>
      </c>
      <c r="AU540" s="308">
        <v>7.8109000000000002</v>
      </c>
      <c r="AV540" s="308">
        <v>9.9535999999999998</v>
      </c>
      <c r="AW540" s="308">
        <v>7.5982000000000003</v>
      </c>
      <c r="AX540" s="308">
        <v>6.7666000000000004</v>
      </c>
      <c r="AY540" s="308">
        <v>6.9678000000000004</v>
      </c>
      <c r="AZ540" s="308">
        <v>7.9577</v>
      </c>
      <c r="BA540" s="308">
        <v>0</v>
      </c>
      <c r="BB540" s="308">
        <v>0</v>
      </c>
      <c r="BC540" s="308">
        <v>7.1013000000000002</v>
      </c>
      <c r="BD540" s="308">
        <v>7.1219999999999999</v>
      </c>
      <c r="BE540" s="308">
        <v>8.6042000000000005</v>
      </c>
      <c r="BF540" s="308">
        <v>7.5548000000000002</v>
      </c>
      <c r="BG540" s="308">
        <v>7.6635999999999997</v>
      </c>
      <c r="BH540" s="308">
        <v>7.5151000000000003</v>
      </c>
      <c r="BI540" s="308">
        <v>7.8540999999999999</v>
      </c>
      <c r="BJ540" s="308">
        <v>7.4268000000000001</v>
      </c>
      <c r="BK540" s="308">
        <v>6.8159000000000001</v>
      </c>
    </row>
    <row r="541" spans="1:63" x14ac:dyDescent="0.25">
      <c r="A541" s="306">
        <v>325414</v>
      </c>
      <c r="B541" s="308" t="s">
        <v>116</v>
      </c>
      <c r="C541" s="308">
        <v>7.0472999999999999</v>
      </c>
      <c r="D541" s="308">
        <v>0</v>
      </c>
      <c r="E541" s="308">
        <v>5.7165999999999997</v>
      </c>
      <c r="F541" s="308">
        <v>7.1479999999999997</v>
      </c>
      <c r="G541" s="308">
        <v>4.1576000000000004</v>
      </c>
      <c r="H541" s="308">
        <v>5.7923999999999998</v>
      </c>
      <c r="I541" s="308">
        <v>6.4678000000000004</v>
      </c>
      <c r="J541" s="308">
        <v>5.0555000000000003</v>
      </c>
      <c r="K541" s="308">
        <v>0</v>
      </c>
      <c r="L541" s="308">
        <v>4.4842000000000004</v>
      </c>
      <c r="M541" s="308">
        <v>7.7830000000000004</v>
      </c>
      <c r="N541" s="308">
        <v>5.9581999999999997</v>
      </c>
      <c r="O541" s="308">
        <v>5.5946999999999996</v>
      </c>
      <c r="P541" s="308">
        <v>5.7903000000000002</v>
      </c>
      <c r="Q541" s="308">
        <v>0</v>
      </c>
      <c r="R541" s="308">
        <v>6.032</v>
      </c>
      <c r="S541" s="308">
        <v>5.7163000000000004</v>
      </c>
      <c r="T541" s="308">
        <v>5.6398000000000001</v>
      </c>
      <c r="U541" s="308">
        <v>0</v>
      </c>
      <c r="V541" s="308">
        <v>8.0616000000000003</v>
      </c>
      <c r="W541" s="308">
        <v>4.7648999999999999</v>
      </c>
      <c r="X541" s="308">
        <v>4.2324999999999999</v>
      </c>
      <c r="Y541" s="308">
        <v>8.3169000000000004</v>
      </c>
      <c r="Z541" s="308">
        <v>5.9371999999999998</v>
      </c>
      <c r="AA541" s="308">
        <v>6.6905000000000001</v>
      </c>
      <c r="AB541" s="308">
        <v>5.8143000000000002</v>
      </c>
      <c r="AC541" s="308">
        <v>7.3596000000000004</v>
      </c>
      <c r="AD541" s="308">
        <v>5.8208000000000002</v>
      </c>
      <c r="AE541" s="308">
        <v>6.2096</v>
      </c>
      <c r="AF541" s="308">
        <v>0</v>
      </c>
      <c r="AG541" s="308">
        <v>5.7507000000000001</v>
      </c>
      <c r="AH541" s="308">
        <v>5.15</v>
      </c>
      <c r="AI541" s="308">
        <v>4.5984999999999996</v>
      </c>
      <c r="AJ541" s="308">
        <v>0</v>
      </c>
      <c r="AK541" s="308">
        <v>0</v>
      </c>
      <c r="AL541" s="308">
        <v>4.8246000000000002</v>
      </c>
      <c r="AM541" s="308">
        <v>6.6962999999999999</v>
      </c>
      <c r="AN541" s="308">
        <v>5.1093000000000002</v>
      </c>
      <c r="AO541" s="308">
        <v>7.1359000000000004</v>
      </c>
      <c r="AP541" s="308">
        <v>5.7483000000000004</v>
      </c>
      <c r="AQ541" s="308">
        <v>0</v>
      </c>
      <c r="AR541" s="308">
        <v>5.4976000000000003</v>
      </c>
      <c r="AS541" s="308">
        <v>0</v>
      </c>
      <c r="AT541" s="308">
        <v>7.7478999999999996</v>
      </c>
      <c r="AU541" s="308">
        <v>5.9450000000000003</v>
      </c>
      <c r="AV541" s="308">
        <v>0</v>
      </c>
      <c r="AW541" s="308">
        <v>7.0393999999999997</v>
      </c>
      <c r="AX541" s="308">
        <v>4.8734999999999999</v>
      </c>
      <c r="AY541" s="308">
        <v>5.7708000000000004</v>
      </c>
      <c r="AZ541" s="308">
        <v>6.0364000000000004</v>
      </c>
      <c r="BA541" s="308">
        <v>0</v>
      </c>
      <c r="BB541" s="308">
        <v>0</v>
      </c>
      <c r="BC541" s="308">
        <v>5.7588999999999997</v>
      </c>
      <c r="BD541" s="308">
        <v>5.6314000000000002</v>
      </c>
      <c r="BE541" s="308">
        <v>6.4085000000000001</v>
      </c>
      <c r="BF541" s="308">
        <v>6.5282999999999998</v>
      </c>
      <c r="BG541" s="308">
        <v>6.1368</v>
      </c>
      <c r="BH541" s="308">
        <v>5.9817999999999998</v>
      </c>
      <c r="BI541" s="308">
        <v>6.0994000000000002</v>
      </c>
      <c r="BJ541" s="308">
        <v>6.1475</v>
      </c>
      <c r="BK541" s="308">
        <v>5.9907000000000004</v>
      </c>
    </row>
    <row r="542" spans="1:63" x14ac:dyDescent="0.25">
      <c r="A542" s="306">
        <v>325510</v>
      </c>
      <c r="B542" s="308" t="s">
        <v>117</v>
      </c>
      <c r="C542" s="308">
        <v>7.9573999999999998</v>
      </c>
      <c r="D542" s="308">
        <v>0</v>
      </c>
      <c r="E542" s="308">
        <v>5.9065000000000003</v>
      </c>
      <c r="F542" s="308">
        <v>5.7575000000000003</v>
      </c>
      <c r="G542" s="308">
        <v>4.4862000000000002</v>
      </c>
      <c r="H542" s="308">
        <v>5.2411000000000003</v>
      </c>
      <c r="I542" s="308">
        <v>5.7049000000000003</v>
      </c>
      <c r="J542" s="308">
        <v>4.2061999999999999</v>
      </c>
      <c r="K542" s="308">
        <v>0</v>
      </c>
      <c r="L542" s="308">
        <v>3.8294999999999999</v>
      </c>
      <c r="M542" s="308">
        <v>4.9284999999999997</v>
      </c>
      <c r="N542" s="308">
        <v>6.1124999999999998</v>
      </c>
      <c r="O542" s="308">
        <v>0</v>
      </c>
      <c r="P542" s="308">
        <v>5.0841000000000003</v>
      </c>
      <c r="Q542" s="308">
        <v>5.3593000000000002</v>
      </c>
      <c r="R542" s="308">
        <v>6.0831999999999997</v>
      </c>
      <c r="S542" s="308">
        <v>6.2519</v>
      </c>
      <c r="T542" s="308">
        <v>4.7057000000000002</v>
      </c>
      <c r="U542" s="308">
        <v>6.1615000000000002</v>
      </c>
      <c r="V542" s="308">
        <v>6.3448000000000002</v>
      </c>
      <c r="W542" s="308">
        <v>4.7830000000000004</v>
      </c>
      <c r="X542" s="308">
        <v>4.6959999999999997</v>
      </c>
      <c r="Y542" s="308">
        <v>0</v>
      </c>
      <c r="Z542" s="308">
        <v>5.6586999999999996</v>
      </c>
      <c r="AA542" s="308">
        <v>4.7538999999999998</v>
      </c>
      <c r="AB542" s="308">
        <v>5.7564000000000002</v>
      </c>
      <c r="AC542" s="308">
        <v>5.5077999999999996</v>
      </c>
      <c r="AD542" s="308">
        <v>0</v>
      </c>
      <c r="AE542" s="308">
        <v>6.1881000000000004</v>
      </c>
      <c r="AF542" s="308">
        <v>4.2931999999999997</v>
      </c>
      <c r="AG542" s="308">
        <v>5.2728999999999999</v>
      </c>
      <c r="AH542" s="308">
        <v>4.9531999999999998</v>
      </c>
      <c r="AI542" s="308">
        <v>4.9531999999999998</v>
      </c>
      <c r="AJ542" s="308">
        <v>4.0178000000000003</v>
      </c>
      <c r="AK542" s="308">
        <v>4.2878999999999996</v>
      </c>
      <c r="AL542" s="308">
        <v>4.3434999999999997</v>
      </c>
      <c r="AM542" s="308">
        <v>6.6167999999999996</v>
      </c>
      <c r="AN542" s="308">
        <v>4.6063000000000001</v>
      </c>
      <c r="AO542" s="308">
        <v>5.8914</v>
      </c>
      <c r="AP542" s="308">
        <v>6.1601999999999997</v>
      </c>
      <c r="AQ542" s="308">
        <v>5.0016999999999996</v>
      </c>
      <c r="AR542" s="308">
        <v>6.1060999999999996</v>
      </c>
      <c r="AS542" s="308">
        <v>4.6375000000000002</v>
      </c>
      <c r="AT542" s="308">
        <v>5.9789000000000003</v>
      </c>
      <c r="AU542" s="308">
        <v>6.1638999999999999</v>
      </c>
      <c r="AV542" s="308">
        <v>6.3140000000000001</v>
      </c>
      <c r="AW542" s="308">
        <v>5.0994999999999999</v>
      </c>
      <c r="AX542" s="308">
        <v>4.0420999999999996</v>
      </c>
      <c r="AY542" s="308">
        <v>4.7424999999999997</v>
      </c>
      <c r="AZ542" s="308">
        <v>5.7694999999999999</v>
      </c>
      <c r="BA542" s="308">
        <v>5.7191000000000001</v>
      </c>
      <c r="BB542" s="308">
        <v>0</v>
      </c>
      <c r="BC542" s="308">
        <v>5.2919999999999998</v>
      </c>
      <c r="BD542" s="308">
        <v>5.6603000000000003</v>
      </c>
      <c r="BE542" s="308">
        <v>6.7737999999999996</v>
      </c>
      <c r="BF542" s="308">
        <v>5.6055999999999999</v>
      </c>
      <c r="BG542" s="308">
        <v>6.4021999999999997</v>
      </c>
      <c r="BH542" s="308">
        <v>6.6614000000000004</v>
      </c>
      <c r="BI542" s="308">
        <v>6.4116</v>
      </c>
      <c r="BJ542" s="308">
        <v>5.4153000000000002</v>
      </c>
      <c r="BK542" s="308">
        <v>5.4310999999999998</v>
      </c>
    </row>
    <row r="543" spans="1:63" x14ac:dyDescent="0.25">
      <c r="A543" s="306">
        <v>325520</v>
      </c>
      <c r="B543" s="308" t="s">
        <v>118</v>
      </c>
      <c r="C543" s="308">
        <v>8.4375</v>
      </c>
      <c r="D543" s="308">
        <v>0</v>
      </c>
      <c r="E543" s="308">
        <v>6.843</v>
      </c>
      <c r="F543" s="308">
        <v>5.7245999999999997</v>
      </c>
      <c r="G543" s="308">
        <v>6.0614999999999997</v>
      </c>
      <c r="H543" s="308">
        <v>5.8337000000000003</v>
      </c>
      <c r="I543" s="308">
        <v>6.7382999999999997</v>
      </c>
      <c r="J543" s="308">
        <v>4.6506999999999996</v>
      </c>
      <c r="K543" s="308">
        <v>1.0078</v>
      </c>
      <c r="L543" s="308">
        <v>5.2609000000000004</v>
      </c>
      <c r="M543" s="308">
        <v>6.6631999999999998</v>
      </c>
      <c r="N543" s="308">
        <v>6.8337000000000003</v>
      </c>
      <c r="O543" s="308">
        <v>0</v>
      </c>
      <c r="P543" s="308">
        <v>4.7310999999999996</v>
      </c>
      <c r="Q543" s="308">
        <v>0</v>
      </c>
      <c r="R543" s="308">
        <v>6.7542999999999997</v>
      </c>
      <c r="S543" s="308">
        <v>7.5152000000000001</v>
      </c>
      <c r="T543" s="308">
        <v>5.5453000000000001</v>
      </c>
      <c r="U543" s="308">
        <v>6.2282999999999999</v>
      </c>
      <c r="V543" s="308">
        <v>5.7956000000000003</v>
      </c>
      <c r="W543" s="308">
        <v>4.8768000000000002</v>
      </c>
      <c r="X543" s="308">
        <v>4.8033000000000001</v>
      </c>
      <c r="Y543" s="308">
        <v>0</v>
      </c>
      <c r="Z543" s="308">
        <v>6.4587000000000003</v>
      </c>
      <c r="AA543" s="308">
        <v>5.2008999999999999</v>
      </c>
      <c r="AB543" s="308">
        <v>6.4645000000000001</v>
      </c>
      <c r="AC543" s="308">
        <v>5.4523999999999999</v>
      </c>
      <c r="AD543" s="308">
        <v>0</v>
      </c>
      <c r="AE543" s="308">
        <v>6.8581000000000003</v>
      </c>
      <c r="AF543" s="308">
        <v>5.1219999999999999</v>
      </c>
      <c r="AG543" s="308">
        <v>6.1638999999999999</v>
      </c>
      <c r="AH543" s="308">
        <v>5.3998999999999997</v>
      </c>
      <c r="AI543" s="308">
        <v>5.6908000000000003</v>
      </c>
      <c r="AJ543" s="308">
        <v>0</v>
      </c>
      <c r="AK543" s="308">
        <v>5.6723999999999997</v>
      </c>
      <c r="AL543" s="308">
        <v>4.2636000000000003</v>
      </c>
      <c r="AM543" s="308">
        <v>7.1067999999999998</v>
      </c>
      <c r="AN543" s="308">
        <v>5.6273999999999997</v>
      </c>
      <c r="AO543" s="308">
        <v>5.4631999999999996</v>
      </c>
      <c r="AP543" s="308">
        <v>6.6890999999999998</v>
      </c>
      <c r="AQ543" s="308">
        <v>5.3842999999999996</v>
      </c>
      <c r="AR543" s="308">
        <v>7.0957999999999997</v>
      </c>
      <c r="AS543" s="308">
        <v>0</v>
      </c>
      <c r="AT543" s="308">
        <v>6.6353999999999997</v>
      </c>
      <c r="AU543" s="308">
        <v>7.0521000000000003</v>
      </c>
      <c r="AV543" s="308">
        <v>7.9744000000000002</v>
      </c>
      <c r="AW543" s="308">
        <v>6.1344000000000003</v>
      </c>
      <c r="AX543" s="308">
        <v>4.5102000000000002</v>
      </c>
      <c r="AY543" s="308">
        <v>6.0856000000000003</v>
      </c>
      <c r="AZ543" s="308">
        <v>6.3249000000000004</v>
      </c>
      <c r="BA543" s="308">
        <v>5.5574000000000003</v>
      </c>
      <c r="BB543" s="308">
        <v>0</v>
      </c>
      <c r="BC543" s="308">
        <v>5.5255999999999998</v>
      </c>
      <c r="BD543" s="308">
        <v>6.2144000000000004</v>
      </c>
      <c r="BE543" s="308">
        <v>7.4166999999999996</v>
      </c>
      <c r="BF543" s="308">
        <v>6.2823000000000002</v>
      </c>
      <c r="BG543" s="308">
        <v>7.0772000000000004</v>
      </c>
      <c r="BH543" s="308">
        <v>6.9698000000000002</v>
      </c>
      <c r="BI543" s="308">
        <v>7.1932999999999998</v>
      </c>
      <c r="BJ543" s="308">
        <v>6.9490999999999996</v>
      </c>
      <c r="BK543" s="308">
        <v>5.952</v>
      </c>
    </row>
    <row r="544" spans="1:63" x14ac:dyDescent="0.25">
      <c r="A544" s="306">
        <v>325610</v>
      </c>
      <c r="B544" s="308" t="s">
        <v>119</v>
      </c>
      <c r="C544" s="308">
        <v>6.0621999999999998</v>
      </c>
      <c r="D544" s="308">
        <v>2.6417000000000002</v>
      </c>
      <c r="E544" s="308">
        <v>5.0755999999999997</v>
      </c>
      <c r="F544" s="308">
        <v>4.9043999999999999</v>
      </c>
      <c r="G544" s="308">
        <v>3.7884000000000002</v>
      </c>
      <c r="H544" s="308">
        <v>4.0839999999999996</v>
      </c>
      <c r="I544" s="308">
        <v>4.8521999999999998</v>
      </c>
      <c r="J544" s="308">
        <v>3.5688</v>
      </c>
      <c r="K544" s="308">
        <v>0.38109999999999999</v>
      </c>
      <c r="L544" s="308">
        <v>3.2490000000000001</v>
      </c>
      <c r="M544" s="308">
        <v>4.09</v>
      </c>
      <c r="N544" s="308">
        <v>4.8765000000000001</v>
      </c>
      <c r="O544" s="308">
        <v>5.0944000000000003</v>
      </c>
      <c r="P544" s="308">
        <v>5.3160999999999996</v>
      </c>
      <c r="Q544" s="308">
        <v>6.2561</v>
      </c>
      <c r="R544" s="308">
        <v>5.1143000000000001</v>
      </c>
      <c r="S544" s="308">
        <v>4.9488000000000003</v>
      </c>
      <c r="T544" s="308">
        <v>3.8950999999999998</v>
      </c>
      <c r="U544" s="308">
        <v>5.3989000000000003</v>
      </c>
      <c r="V544" s="308">
        <v>4.4534000000000002</v>
      </c>
      <c r="W544" s="308">
        <v>3.9697</v>
      </c>
      <c r="X544" s="308">
        <v>3.7191000000000001</v>
      </c>
      <c r="Y544" s="308">
        <v>4.3239999999999998</v>
      </c>
      <c r="Z544" s="308">
        <v>4.6893000000000002</v>
      </c>
      <c r="AA544" s="308">
        <v>4.3170000000000002</v>
      </c>
      <c r="AB544" s="308">
        <v>4.99</v>
      </c>
      <c r="AC544" s="308">
        <v>5.3994999999999997</v>
      </c>
      <c r="AD544" s="308">
        <v>5.7460000000000004</v>
      </c>
      <c r="AE544" s="308">
        <v>5.3437000000000001</v>
      </c>
      <c r="AF544" s="308">
        <v>0</v>
      </c>
      <c r="AG544" s="308">
        <v>5.5583999999999998</v>
      </c>
      <c r="AH544" s="308">
        <v>5.6835000000000004</v>
      </c>
      <c r="AI544" s="308">
        <v>3.9653999999999998</v>
      </c>
      <c r="AJ544" s="308">
        <v>5.7847999999999997</v>
      </c>
      <c r="AK544" s="308">
        <v>3.9056000000000002</v>
      </c>
      <c r="AL544" s="308">
        <v>3.9373</v>
      </c>
      <c r="AM544" s="308">
        <v>5.2195</v>
      </c>
      <c r="AN544" s="308">
        <v>3.8530000000000002</v>
      </c>
      <c r="AO544" s="308">
        <v>4.4028999999999998</v>
      </c>
      <c r="AP544" s="308">
        <v>5.2874999999999996</v>
      </c>
      <c r="AQ544" s="308">
        <v>4.6380999999999997</v>
      </c>
      <c r="AR544" s="308">
        <v>5.0278999999999998</v>
      </c>
      <c r="AS544" s="308">
        <v>5.4414999999999996</v>
      </c>
      <c r="AT544" s="308">
        <v>5.2370000000000001</v>
      </c>
      <c r="AU544" s="308">
        <v>4.5152000000000001</v>
      </c>
      <c r="AV544" s="308">
        <v>6.0701999999999998</v>
      </c>
      <c r="AW544" s="308">
        <v>4.0308999999999999</v>
      </c>
      <c r="AX544" s="308">
        <v>4.6398000000000001</v>
      </c>
      <c r="AY544" s="308">
        <v>4.3103999999999996</v>
      </c>
      <c r="AZ544" s="308">
        <v>4.1059999999999999</v>
      </c>
      <c r="BA544" s="308">
        <v>4.3776999999999999</v>
      </c>
      <c r="BB544" s="308">
        <v>2.8622999999999998</v>
      </c>
      <c r="BC544" s="308">
        <v>4.7563000000000004</v>
      </c>
      <c r="BD544" s="308">
        <v>4.6786000000000003</v>
      </c>
      <c r="BE544" s="308">
        <v>5.1528999999999998</v>
      </c>
      <c r="BF544" s="308">
        <v>4.9649000000000001</v>
      </c>
      <c r="BG544" s="308">
        <v>5.2291999999999996</v>
      </c>
      <c r="BH544" s="308">
        <v>5.7034000000000002</v>
      </c>
      <c r="BI544" s="308">
        <v>4.7043999999999997</v>
      </c>
      <c r="BJ544" s="308">
        <v>4.9046000000000003</v>
      </c>
      <c r="BK544" s="308">
        <v>4.1291000000000002</v>
      </c>
    </row>
    <row r="545" spans="1:63" x14ac:dyDescent="0.25">
      <c r="A545" s="306">
        <v>325620</v>
      </c>
      <c r="B545" s="308" t="s">
        <v>120</v>
      </c>
      <c r="C545" s="308">
        <v>6.5114999999999998</v>
      </c>
      <c r="D545" s="308">
        <v>0</v>
      </c>
      <c r="E545" s="308">
        <v>5.0640000000000001</v>
      </c>
      <c r="F545" s="308">
        <v>5.0617999999999999</v>
      </c>
      <c r="G545" s="308">
        <v>4.2843</v>
      </c>
      <c r="H545" s="308">
        <v>5.0922000000000001</v>
      </c>
      <c r="I545" s="308">
        <v>6.4688999999999997</v>
      </c>
      <c r="J545" s="308">
        <v>3.8605999999999998</v>
      </c>
      <c r="K545" s="308">
        <v>0</v>
      </c>
      <c r="L545" s="308">
        <v>3.1107</v>
      </c>
      <c r="M545" s="308">
        <v>4.7614000000000001</v>
      </c>
      <c r="N545" s="308">
        <v>4.9405000000000001</v>
      </c>
      <c r="O545" s="308">
        <v>5.2233999999999998</v>
      </c>
      <c r="P545" s="308">
        <v>4.7492000000000001</v>
      </c>
      <c r="Q545" s="308">
        <v>5.9082999999999997</v>
      </c>
      <c r="R545" s="308">
        <v>5.0343</v>
      </c>
      <c r="S545" s="308">
        <v>4.4775999999999998</v>
      </c>
      <c r="T545" s="308">
        <v>4.0739000000000001</v>
      </c>
      <c r="U545" s="308">
        <v>4.9481999999999999</v>
      </c>
      <c r="V545" s="308">
        <v>5.3632</v>
      </c>
      <c r="W545" s="308">
        <v>4.1120999999999999</v>
      </c>
      <c r="X545" s="308">
        <v>3.7515000000000001</v>
      </c>
      <c r="Y545" s="308">
        <v>6.2152000000000003</v>
      </c>
      <c r="Z545" s="308">
        <v>6.3853</v>
      </c>
      <c r="AA545" s="308">
        <v>4.8025000000000002</v>
      </c>
      <c r="AB545" s="308">
        <v>5.0118999999999998</v>
      </c>
      <c r="AC545" s="308">
        <v>4.8459000000000003</v>
      </c>
      <c r="AD545" s="308">
        <v>5.0983000000000001</v>
      </c>
      <c r="AE545" s="308">
        <v>5.6291000000000002</v>
      </c>
      <c r="AF545" s="308">
        <v>3.3212000000000002</v>
      </c>
      <c r="AG545" s="308">
        <v>5.2469000000000001</v>
      </c>
      <c r="AH545" s="308">
        <v>5.1795</v>
      </c>
      <c r="AI545" s="308">
        <v>4.4305000000000003</v>
      </c>
      <c r="AJ545" s="308">
        <v>4.2935999999999996</v>
      </c>
      <c r="AK545" s="308">
        <v>4.2915000000000001</v>
      </c>
      <c r="AL545" s="308">
        <v>3.4300999999999999</v>
      </c>
      <c r="AM545" s="308">
        <v>5.7771999999999997</v>
      </c>
      <c r="AN545" s="308">
        <v>4.8331</v>
      </c>
      <c r="AO545" s="308">
        <v>6.2864000000000004</v>
      </c>
      <c r="AP545" s="308">
        <v>6.5686</v>
      </c>
      <c r="AQ545" s="308">
        <v>4.3781999999999996</v>
      </c>
      <c r="AR545" s="308">
        <v>6.3489000000000004</v>
      </c>
      <c r="AS545" s="308">
        <v>3.9630000000000001</v>
      </c>
      <c r="AT545" s="308">
        <v>5.7617000000000003</v>
      </c>
      <c r="AU545" s="308">
        <v>4.6851000000000003</v>
      </c>
      <c r="AV545" s="308">
        <v>6.0507</v>
      </c>
      <c r="AW545" s="308">
        <v>5.3263999999999996</v>
      </c>
      <c r="AX545" s="308">
        <v>4.7220000000000004</v>
      </c>
      <c r="AY545" s="308">
        <v>4.5349000000000004</v>
      </c>
      <c r="AZ545" s="308">
        <v>6.6942000000000004</v>
      </c>
      <c r="BA545" s="308">
        <v>0</v>
      </c>
      <c r="BB545" s="308">
        <v>4.7441000000000004</v>
      </c>
      <c r="BC545" s="308">
        <v>4.6978</v>
      </c>
      <c r="BD545" s="308">
        <v>5.0090000000000003</v>
      </c>
      <c r="BE545" s="308">
        <v>5.6614000000000004</v>
      </c>
      <c r="BF545" s="308">
        <v>5.3089000000000004</v>
      </c>
      <c r="BG545" s="308">
        <v>5.5091000000000001</v>
      </c>
      <c r="BH545" s="308">
        <v>5.8503999999999996</v>
      </c>
      <c r="BI545" s="308">
        <v>4.9928999999999997</v>
      </c>
      <c r="BJ545" s="308">
        <v>5.4619</v>
      </c>
      <c r="BK545" s="308">
        <v>5.1798000000000002</v>
      </c>
    </row>
    <row r="546" spans="1:63" x14ac:dyDescent="0.25">
      <c r="A546" s="306">
        <v>325910</v>
      </c>
      <c r="B546" s="308" t="s">
        <v>121</v>
      </c>
      <c r="C546" s="308">
        <v>8.4594000000000005</v>
      </c>
      <c r="D546" s="308">
        <v>0</v>
      </c>
      <c r="E546" s="308">
        <v>6.7081999999999997</v>
      </c>
      <c r="F546" s="308">
        <v>5.6238000000000001</v>
      </c>
      <c r="G546" s="308">
        <v>5.4202000000000004</v>
      </c>
      <c r="H546" s="308">
        <v>5.7156000000000002</v>
      </c>
      <c r="I546" s="308">
        <v>5.4821999999999997</v>
      </c>
      <c r="J546" s="308">
        <v>5.0595999999999997</v>
      </c>
      <c r="K546" s="308">
        <v>0</v>
      </c>
      <c r="L546" s="308">
        <v>4.2267000000000001</v>
      </c>
      <c r="M546" s="308">
        <v>4.7385999999999999</v>
      </c>
      <c r="N546" s="308">
        <v>6.5808</v>
      </c>
      <c r="O546" s="308">
        <v>0</v>
      </c>
      <c r="P546" s="308">
        <v>5.6616</v>
      </c>
      <c r="Q546" s="308">
        <v>0</v>
      </c>
      <c r="R546" s="308">
        <v>6.4610000000000003</v>
      </c>
      <c r="S546" s="308">
        <v>6.7983000000000002</v>
      </c>
      <c r="T546" s="308">
        <v>4.9086999999999996</v>
      </c>
      <c r="U546" s="308">
        <v>6.1257000000000001</v>
      </c>
      <c r="V546" s="308">
        <v>6.6810999999999998</v>
      </c>
      <c r="W546" s="308">
        <v>5.1843000000000004</v>
      </c>
      <c r="X546" s="308">
        <v>5.1311</v>
      </c>
      <c r="Y546" s="308">
        <v>5.9806999999999997</v>
      </c>
      <c r="Z546" s="308">
        <v>6.1375000000000002</v>
      </c>
      <c r="AA546" s="308">
        <v>5.5598000000000001</v>
      </c>
      <c r="AB546" s="308">
        <v>5.8144999999999998</v>
      </c>
      <c r="AC546" s="308">
        <v>0</v>
      </c>
      <c r="AD546" s="308">
        <v>0</v>
      </c>
      <c r="AE546" s="308">
        <v>7.0156999999999998</v>
      </c>
      <c r="AF546" s="308">
        <v>0</v>
      </c>
      <c r="AG546" s="308">
        <v>5.1138000000000003</v>
      </c>
      <c r="AH546" s="308">
        <v>5.3346999999999998</v>
      </c>
      <c r="AI546" s="308">
        <v>5.3057999999999996</v>
      </c>
      <c r="AJ546" s="308">
        <v>5.7267999999999999</v>
      </c>
      <c r="AK546" s="308">
        <v>4.2743000000000002</v>
      </c>
      <c r="AL546" s="308">
        <v>4.1052</v>
      </c>
      <c r="AM546" s="308">
        <v>7.0450999999999997</v>
      </c>
      <c r="AN546" s="308">
        <v>4.9053000000000004</v>
      </c>
      <c r="AO546" s="308">
        <v>6.1432000000000002</v>
      </c>
      <c r="AP546" s="308">
        <v>7.0770999999999997</v>
      </c>
      <c r="AQ546" s="308">
        <v>5.6279000000000003</v>
      </c>
      <c r="AR546" s="308">
        <v>6.4768999999999997</v>
      </c>
      <c r="AS546" s="308">
        <v>0</v>
      </c>
      <c r="AT546" s="308">
        <v>6.3605999999999998</v>
      </c>
      <c r="AU546" s="308">
        <v>6.8807</v>
      </c>
      <c r="AV546" s="308">
        <v>7.4269999999999996</v>
      </c>
      <c r="AW546" s="308">
        <v>5.3074000000000003</v>
      </c>
      <c r="AX546" s="308">
        <v>0</v>
      </c>
      <c r="AY546" s="308">
        <v>4.7165999999999997</v>
      </c>
      <c r="AZ546" s="308">
        <v>5.9162999999999997</v>
      </c>
      <c r="BA546" s="308">
        <v>0</v>
      </c>
      <c r="BB546" s="308">
        <v>0</v>
      </c>
      <c r="BC546" s="308">
        <v>5.8178000000000001</v>
      </c>
      <c r="BD546" s="308">
        <v>5.9564000000000004</v>
      </c>
      <c r="BE546" s="308">
        <v>7.1919000000000004</v>
      </c>
      <c r="BF546" s="308">
        <v>5.8795000000000002</v>
      </c>
      <c r="BG546" s="308">
        <v>6.9199000000000002</v>
      </c>
      <c r="BH546" s="308">
        <v>6.7343999999999999</v>
      </c>
      <c r="BI546" s="308">
        <v>6.9058000000000002</v>
      </c>
      <c r="BJ546" s="308">
        <v>5.9001999999999999</v>
      </c>
      <c r="BK546" s="308">
        <v>5.8734999999999999</v>
      </c>
    </row>
    <row r="547" spans="1:63" x14ac:dyDescent="0.25">
      <c r="A547" s="306" t="s">
        <v>715</v>
      </c>
      <c r="B547" s="308" t="s">
        <v>122</v>
      </c>
      <c r="C547" s="308">
        <v>8.5451999999999995</v>
      </c>
      <c r="D547" s="308">
        <v>5.9032</v>
      </c>
      <c r="E547" s="308">
        <v>6.7488999999999999</v>
      </c>
      <c r="F547" s="308">
        <v>6.8894000000000002</v>
      </c>
      <c r="G547" s="308">
        <v>5.4581</v>
      </c>
      <c r="H547" s="308">
        <v>6.3231000000000002</v>
      </c>
      <c r="I547" s="308">
        <v>6.6711999999999998</v>
      </c>
      <c r="J547" s="308">
        <v>4.8609</v>
      </c>
      <c r="K547" s="308">
        <v>0</v>
      </c>
      <c r="L547" s="308">
        <v>4.7721</v>
      </c>
      <c r="M547" s="308">
        <v>5.8510999999999997</v>
      </c>
      <c r="N547" s="308">
        <v>6.9199000000000002</v>
      </c>
      <c r="O547" s="308">
        <v>4.6848999999999998</v>
      </c>
      <c r="P547" s="308">
        <v>6.5231000000000003</v>
      </c>
      <c r="Q547" s="308">
        <v>4.9535999999999998</v>
      </c>
      <c r="R547" s="308">
        <v>7.0944000000000003</v>
      </c>
      <c r="S547" s="308">
        <v>7.2511999999999999</v>
      </c>
      <c r="T547" s="308">
        <v>6.2182000000000004</v>
      </c>
      <c r="U547" s="308">
        <v>6.4494999999999996</v>
      </c>
      <c r="V547" s="308">
        <v>6.4504999999999999</v>
      </c>
      <c r="W547" s="308">
        <v>5.9173999999999998</v>
      </c>
      <c r="X547" s="308">
        <v>6.5567000000000002</v>
      </c>
      <c r="Y547" s="308">
        <v>7.1938000000000004</v>
      </c>
      <c r="Z547" s="308">
        <v>7.3507999999999996</v>
      </c>
      <c r="AA547" s="308">
        <v>5.6337000000000002</v>
      </c>
      <c r="AB547" s="308">
        <v>7.2675999999999998</v>
      </c>
      <c r="AC547" s="308">
        <v>6.4217000000000004</v>
      </c>
      <c r="AD547" s="308">
        <v>6.5544000000000002</v>
      </c>
      <c r="AE547" s="308">
        <v>7.3113000000000001</v>
      </c>
      <c r="AF547" s="308">
        <v>4.9588000000000001</v>
      </c>
      <c r="AG547" s="308">
        <v>6.7641999999999998</v>
      </c>
      <c r="AH547" s="308">
        <v>5.1939000000000002</v>
      </c>
      <c r="AI547" s="308">
        <v>5.8700999999999999</v>
      </c>
      <c r="AJ547" s="308">
        <v>4.6696</v>
      </c>
      <c r="AK547" s="308">
        <v>4.6547999999999998</v>
      </c>
      <c r="AL547" s="308">
        <v>4.1719999999999997</v>
      </c>
      <c r="AM547" s="308">
        <v>7.2012999999999998</v>
      </c>
      <c r="AN547" s="308">
        <v>5.3944000000000001</v>
      </c>
      <c r="AO547" s="308">
        <v>6.3249000000000004</v>
      </c>
      <c r="AP547" s="308">
        <v>7.0152000000000001</v>
      </c>
      <c r="AQ547" s="308">
        <v>5.2088999999999999</v>
      </c>
      <c r="AR547" s="308">
        <v>6.5898000000000003</v>
      </c>
      <c r="AS547" s="308">
        <v>6.0637999999999996</v>
      </c>
      <c r="AT547" s="308">
        <v>6.8634000000000004</v>
      </c>
      <c r="AU547" s="308">
        <v>6.2804000000000002</v>
      </c>
      <c r="AV547" s="308">
        <v>8.0434000000000001</v>
      </c>
      <c r="AW547" s="308">
        <v>6.5594999999999999</v>
      </c>
      <c r="AX547" s="308">
        <v>5.9306999999999999</v>
      </c>
      <c r="AY547" s="308">
        <v>5.8101000000000003</v>
      </c>
      <c r="AZ547" s="308">
        <v>7.0359999999999996</v>
      </c>
      <c r="BA547" s="308">
        <v>7.0118</v>
      </c>
      <c r="BB547" s="308">
        <v>4.4032</v>
      </c>
      <c r="BC547" s="308">
        <v>6.1932999999999998</v>
      </c>
      <c r="BD547" s="308">
        <v>6.1604000000000001</v>
      </c>
      <c r="BE547" s="308">
        <v>7.7384000000000004</v>
      </c>
      <c r="BF547" s="308">
        <v>6.7127999999999997</v>
      </c>
      <c r="BG547" s="308">
        <v>7.46</v>
      </c>
      <c r="BH547" s="308">
        <v>7.2651000000000003</v>
      </c>
      <c r="BI547" s="308">
        <v>6.6619999999999999</v>
      </c>
      <c r="BJ547" s="308">
        <v>6.4074</v>
      </c>
      <c r="BK547" s="308">
        <v>6.4507000000000003</v>
      </c>
    </row>
    <row r="548" spans="1:63" x14ac:dyDescent="0.25">
      <c r="A548" s="306">
        <v>326110</v>
      </c>
      <c r="B548" s="308" t="s">
        <v>123</v>
      </c>
      <c r="C548" s="308">
        <v>8.4906000000000006</v>
      </c>
      <c r="D548" s="308">
        <v>0</v>
      </c>
      <c r="E548" s="308">
        <v>8.1565999999999992</v>
      </c>
      <c r="F548" s="308">
        <v>6.0277000000000003</v>
      </c>
      <c r="G548" s="308">
        <v>6.5134999999999996</v>
      </c>
      <c r="H548" s="308">
        <v>6.0850999999999997</v>
      </c>
      <c r="I548" s="308">
        <v>6.1269</v>
      </c>
      <c r="J548" s="308">
        <v>4.9846000000000004</v>
      </c>
      <c r="K548" s="308">
        <v>0</v>
      </c>
      <c r="L548" s="308">
        <v>4.4802999999999997</v>
      </c>
      <c r="M548" s="308">
        <v>6.1765999999999996</v>
      </c>
      <c r="N548" s="308">
        <v>6.6974999999999998</v>
      </c>
      <c r="O548" s="308">
        <v>5.3239999999999998</v>
      </c>
      <c r="P548" s="308">
        <v>4.9295999999999998</v>
      </c>
      <c r="Q548" s="308">
        <v>6.3376999999999999</v>
      </c>
      <c r="R548" s="308">
        <v>6.4989999999999997</v>
      </c>
      <c r="S548" s="308">
        <v>6.6391999999999998</v>
      </c>
      <c r="T548" s="308">
        <v>6.5769000000000002</v>
      </c>
      <c r="U548" s="308">
        <v>6.6346999999999996</v>
      </c>
      <c r="V548" s="308">
        <v>7.8132000000000001</v>
      </c>
      <c r="W548" s="308">
        <v>5.2161999999999997</v>
      </c>
      <c r="X548" s="308">
        <v>4.8095999999999997</v>
      </c>
      <c r="Y548" s="308">
        <v>5.4188999999999998</v>
      </c>
      <c r="Z548" s="308">
        <v>6.3372000000000002</v>
      </c>
      <c r="AA548" s="308">
        <v>6.0152999999999999</v>
      </c>
      <c r="AB548" s="308">
        <v>6.4832000000000001</v>
      </c>
      <c r="AC548" s="308">
        <v>6.407</v>
      </c>
      <c r="AD548" s="308">
        <v>0</v>
      </c>
      <c r="AE548" s="308">
        <v>6.2533000000000003</v>
      </c>
      <c r="AF548" s="308">
        <v>5.3962000000000003</v>
      </c>
      <c r="AG548" s="308">
        <v>6.3162000000000003</v>
      </c>
      <c r="AH548" s="308">
        <v>4.8746</v>
      </c>
      <c r="AI548" s="308">
        <v>5.8383000000000003</v>
      </c>
      <c r="AJ548" s="308">
        <v>6.1345000000000001</v>
      </c>
      <c r="AK548" s="308">
        <v>6.1965000000000003</v>
      </c>
      <c r="AL548" s="308">
        <v>5.3426</v>
      </c>
      <c r="AM548" s="308">
        <v>7.1729000000000003</v>
      </c>
      <c r="AN548" s="308">
        <v>6.4345999999999997</v>
      </c>
      <c r="AO548" s="308">
        <v>5.7866999999999997</v>
      </c>
      <c r="AP548" s="308">
        <v>6.9031000000000002</v>
      </c>
      <c r="AQ548" s="308">
        <v>5.0068000000000001</v>
      </c>
      <c r="AR548" s="308">
        <v>6.5561999999999996</v>
      </c>
      <c r="AS548" s="308">
        <v>6.2352999999999996</v>
      </c>
      <c r="AT548" s="308">
        <v>7.0191999999999997</v>
      </c>
      <c r="AU548" s="308">
        <v>7.7767999999999997</v>
      </c>
      <c r="AV548" s="308">
        <v>7.2533000000000003</v>
      </c>
      <c r="AW548" s="308">
        <v>5.2182000000000004</v>
      </c>
      <c r="AX548" s="308">
        <v>5.7477999999999998</v>
      </c>
      <c r="AY548" s="308">
        <v>6.0856000000000003</v>
      </c>
      <c r="AZ548" s="308">
        <v>6.1200999999999999</v>
      </c>
      <c r="BA548" s="308">
        <v>6.4923000000000002</v>
      </c>
      <c r="BB548" s="308">
        <v>0</v>
      </c>
      <c r="BC548" s="308">
        <v>5.8193000000000001</v>
      </c>
      <c r="BD548" s="308">
        <v>6.3880999999999997</v>
      </c>
      <c r="BE548" s="308">
        <v>7.1733000000000002</v>
      </c>
      <c r="BF548" s="308">
        <v>6.3432000000000004</v>
      </c>
      <c r="BG548" s="308">
        <v>6.6788999999999996</v>
      </c>
      <c r="BH548" s="308">
        <v>7.7034000000000002</v>
      </c>
      <c r="BI548" s="308">
        <v>8.0121000000000002</v>
      </c>
      <c r="BJ548" s="308">
        <v>6.7447999999999997</v>
      </c>
      <c r="BK548" s="308">
        <v>6.1878000000000002</v>
      </c>
    </row>
    <row r="549" spans="1:63" x14ac:dyDescent="0.25">
      <c r="A549" s="306">
        <v>326121</v>
      </c>
      <c r="B549" s="308" t="s">
        <v>124</v>
      </c>
      <c r="C549" s="308">
        <v>9.1907999999999994</v>
      </c>
      <c r="D549" s="308">
        <v>0</v>
      </c>
      <c r="E549" s="308">
        <v>8.6475000000000009</v>
      </c>
      <c r="F549" s="308">
        <v>7.1691000000000003</v>
      </c>
      <c r="G549" s="308">
        <v>8.4791000000000007</v>
      </c>
      <c r="H549" s="308">
        <v>6.4249000000000001</v>
      </c>
      <c r="I549" s="308">
        <v>6.8319000000000001</v>
      </c>
      <c r="J549" s="308">
        <v>5.8822000000000001</v>
      </c>
      <c r="K549" s="308">
        <v>0</v>
      </c>
      <c r="L549" s="308">
        <v>4.8673000000000002</v>
      </c>
      <c r="M549" s="308">
        <v>6.1284999999999998</v>
      </c>
      <c r="N549" s="308">
        <v>7.8284000000000002</v>
      </c>
      <c r="O549" s="308">
        <v>7.9770000000000003</v>
      </c>
      <c r="P549" s="308">
        <v>8.1829999999999998</v>
      </c>
      <c r="Q549" s="308">
        <v>8.3066999999999993</v>
      </c>
      <c r="R549" s="308">
        <v>7.7179000000000002</v>
      </c>
      <c r="S549" s="308">
        <v>8.1028000000000002</v>
      </c>
      <c r="T549" s="308">
        <v>8.2751999999999999</v>
      </c>
      <c r="U549" s="308">
        <v>8.0237999999999996</v>
      </c>
      <c r="V549" s="308">
        <v>8.3411000000000008</v>
      </c>
      <c r="W549" s="308">
        <v>6.9131</v>
      </c>
      <c r="X549" s="308">
        <v>5.8112000000000004</v>
      </c>
      <c r="Y549" s="308">
        <v>0</v>
      </c>
      <c r="Z549" s="308">
        <v>8.1076999999999995</v>
      </c>
      <c r="AA549" s="308">
        <v>6.5368000000000004</v>
      </c>
      <c r="AB549" s="308">
        <v>6.8948</v>
      </c>
      <c r="AC549" s="308">
        <v>5.9329000000000001</v>
      </c>
      <c r="AD549" s="308">
        <v>8.0093999999999994</v>
      </c>
      <c r="AE549" s="308">
        <v>8.7100000000000009</v>
      </c>
      <c r="AF549" s="308">
        <v>5.1704999999999997</v>
      </c>
      <c r="AG549" s="308">
        <v>0</v>
      </c>
      <c r="AH549" s="308">
        <v>5.3727</v>
      </c>
      <c r="AI549" s="308">
        <v>5.6557000000000004</v>
      </c>
      <c r="AJ549" s="308">
        <v>0</v>
      </c>
      <c r="AK549" s="308">
        <v>8.0546000000000006</v>
      </c>
      <c r="AL549" s="308">
        <v>4.9291999999999998</v>
      </c>
      <c r="AM549" s="308">
        <v>8.4852000000000007</v>
      </c>
      <c r="AN549" s="308">
        <v>7.7610000000000001</v>
      </c>
      <c r="AO549" s="308">
        <v>8.3541000000000007</v>
      </c>
      <c r="AP549" s="308">
        <v>7.7050000000000001</v>
      </c>
      <c r="AQ549" s="308">
        <v>5.9965000000000002</v>
      </c>
      <c r="AR549" s="308">
        <v>7.3310000000000004</v>
      </c>
      <c r="AS549" s="308">
        <v>0</v>
      </c>
      <c r="AT549" s="308">
        <v>7.7878999999999996</v>
      </c>
      <c r="AU549" s="308">
        <v>9.7439999999999998</v>
      </c>
      <c r="AV549" s="308">
        <v>9.0967000000000002</v>
      </c>
      <c r="AW549" s="308">
        <v>6.8760000000000003</v>
      </c>
      <c r="AX549" s="308">
        <v>0</v>
      </c>
      <c r="AY549" s="308">
        <v>6.9805000000000001</v>
      </c>
      <c r="AZ549" s="308">
        <v>8.1239000000000008</v>
      </c>
      <c r="BA549" s="308">
        <v>6.3329000000000004</v>
      </c>
      <c r="BB549" s="308">
        <v>0</v>
      </c>
      <c r="BC549" s="308">
        <v>6.8216999999999999</v>
      </c>
      <c r="BD549" s="308">
        <v>6.4893000000000001</v>
      </c>
      <c r="BE549" s="308">
        <v>8.5901999999999994</v>
      </c>
      <c r="BF549" s="308">
        <v>7.3202999999999996</v>
      </c>
      <c r="BG549" s="308">
        <v>7.7458999999999998</v>
      </c>
      <c r="BH549" s="308">
        <v>8.2911999999999999</v>
      </c>
      <c r="BI549" s="308">
        <v>9.4773999999999994</v>
      </c>
      <c r="BJ549" s="308">
        <v>7.9169</v>
      </c>
      <c r="BK549" s="308">
        <v>6.8311000000000002</v>
      </c>
    </row>
    <row r="550" spans="1:63" x14ac:dyDescent="0.25">
      <c r="A550" s="306">
        <v>326122</v>
      </c>
      <c r="B550" s="308" t="s">
        <v>125</v>
      </c>
      <c r="C550" s="308">
        <v>8.1054999999999993</v>
      </c>
      <c r="D550" s="308">
        <v>0</v>
      </c>
      <c r="E550" s="308">
        <v>7.2336999999999998</v>
      </c>
      <c r="F550" s="308">
        <v>5.1886999999999999</v>
      </c>
      <c r="G550" s="308">
        <v>4.9215999999999998</v>
      </c>
      <c r="H550" s="308">
        <v>5.1378000000000004</v>
      </c>
      <c r="I550" s="308">
        <v>4.7709000000000001</v>
      </c>
      <c r="J550" s="308">
        <v>5.3102</v>
      </c>
      <c r="K550" s="308">
        <v>0</v>
      </c>
      <c r="L550" s="308">
        <v>0</v>
      </c>
      <c r="M550" s="308">
        <v>5.4749999999999996</v>
      </c>
      <c r="N550" s="308">
        <v>5.2263999999999999</v>
      </c>
      <c r="O550" s="308">
        <v>0</v>
      </c>
      <c r="P550" s="308">
        <v>5.4379999999999997</v>
      </c>
      <c r="Q550" s="308">
        <v>5.4946000000000002</v>
      </c>
      <c r="R550" s="308">
        <v>5.9672000000000001</v>
      </c>
      <c r="S550" s="308">
        <v>6.3817000000000004</v>
      </c>
      <c r="T550" s="308">
        <v>5.5926</v>
      </c>
      <c r="U550" s="308">
        <v>6.6471999999999998</v>
      </c>
      <c r="V550" s="308">
        <v>6.9363999999999999</v>
      </c>
      <c r="W550" s="308">
        <v>4.9844999999999997</v>
      </c>
      <c r="X550" s="308">
        <v>4.2572000000000001</v>
      </c>
      <c r="Y550" s="308">
        <v>4.2777000000000003</v>
      </c>
      <c r="Z550" s="308">
        <v>5.8038999999999996</v>
      </c>
      <c r="AA550" s="308">
        <v>4.6356000000000002</v>
      </c>
      <c r="AB550" s="308">
        <v>6.5952000000000002</v>
      </c>
      <c r="AC550" s="308">
        <v>6.1695000000000002</v>
      </c>
      <c r="AD550" s="308">
        <v>5.2962999999999996</v>
      </c>
      <c r="AE550" s="308">
        <v>5.9311999999999996</v>
      </c>
      <c r="AF550" s="308">
        <v>4.1260000000000003</v>
      </c>
      <c r="AG550" s="308">
        <v>5.1950000000000003</v>
      </c>
      <c r="AH550" s="308">
        <v>4.1493000000000002</v>
      </c>
      <c r="AI550" s="308">
        <v>4.7686999999999999</v>
      </c>
      <c r="AJ550" s="308">
        <v>4.3895999999999997</v>
      </c>
      <c r="AK550" s="308">
        <v>4.58</v>
      </c>
      <c r="AL550" s="308">
        <v>4.5972</v>
      </c>
      <c r="AM550" s="308">
        <v>6.9353999999999996</v>
      </c>
      <c r="AN550" s="308">
        <v>5.0452000000000004</v>
      </c>
      <c r="AO550" s="308">
        <v>5.0484999999999998</v>
      </c>
      <c r="AP550" s="308">
        <v>6.5008999999999997</v>
      </c>
      <c r="AQ550" s="308">
        <v>0</v>
      </c>
      <c r="AR550" s="308">
        <v>7.3651</v>
      </c>
      <c r="AS550" s="308">
        <v>0</v>
      </c>
      <c r="AT550" s="308">
        <v>6.0624000000000002</v>
      </c>
      <c r="AU550" s="308">
        <v>6.4095000000000004</v>
      </c>
      <c r="AV550" s="308">
        <v>6.0265000000000004</v>
      </c>
      <c r="AW550" s="308">
        <v>5.2286000000000001</v>
      </c>
      <c r="AX550" s="308">
        <v>4.9908999999999999</v>
      </c>
      <c r="AY550" s="308">
        <v>5.7371999999999996</v>
      </c>
      <c r="AZ550" s="308">
        <v>5.9554999999999998</v>
      </c>
      <c r="BA550" s="308">
        <v>6.4733999999999998</v>
      </c>
      <c r="BB550" s="308">
        <v>4.5038</v>
      </c>
      <c r="BC550" s="308">
        <v>5.6211000000000002</v>
      </c>
      <c r="BD550" s="308">
        <v>5.6574</v>
      </c>
      <c r="BE550" s="308">
        <v>6.8112000000000004</v>
      </c>
      <c r="BF550" s="308">
        <v>5.8882000000000003</v>
      </c>
      <c r="BG550" s="308">
        <v>6.4419000000000004</v>
      </c>
      <c r="BH550" s="308">
        <v>7.1534000000000004</v>
      </c>
      <c r="BI550" s="308">
        <v>6.7279</v>
      </c>
      <c r="BJ550" s="308">
        <v>5.3643000000000001</v>
      </c>
      <c r="BK550" s="308">
        <v>5.2980999999999998</v>
      </c>
    </row>
    <row r="551" spans="1:63" x14ac:dyDescent="0.25">
      <c r="A551" s="306">
        <v>326130</v>
      </c>
      <c r="B551" s="308" t="s">
        <v>126</v>
      </c>
      <c r="C551" s="308">
        <v>9.859</v>
      </c>
      <c r="D551" s="308">
        <v>0</v>
      </c>
      <c r="E551" s="308">
        <v>8.7714999999999996</v>
      </c>
      <c r="F551" s="308">
        <v>8.6748999999999992</v>
      </c>
      <c r="G551" s="308">
        <v>6.9955999999999996</v>
      </c>
      <c r="H551" s="308">
        <v>7.1939000000000002</v>
      </c>
      <c r="I551" s="308">
        <v>7.0955000000000004</v>
      </c>
      <c r="J551" s="308">
        <v>6.9473000000000003</v>
      </c>
      <c r="K551" s="308">
        <v>0</v>
      </c>
      <c r="L551" s="308">
        <v>5.9135</v>
      </c>
      <c r="M551" s="308">
        <v>9.1201000000000008</v>
      </c>
      <c r="N551" s="308">
        <v>10.289099999999999</v>
      </c>
      <c r="O551" s="308">
        <v>0</v>
      </c>
      <c r="P551" s="308">
        <v>7.7369000000000003</v>
      </c>
      <c r="Q551" s="308">
        <v>9.0211000000000006</v>
      </c>
      <c r="R551" s="308">
        <v>7.5701999999999998</v>
      </c>
      <c r="S551" s="308">
        <v>9.6220999999999997</v>
      </c>
      <c r="T551" s="308">
        <v>8.1774000000000004</v>
      </c>
      <c r="U551" s="308">
        <v>7.3407999999999998</v>
      </c>
      <c r="V551" s="308">
        <v>8.6753999999999998</v>
      </c>
      <c r="W551" s="308">
        <v>6.7789999999999999</v>
      </c>
      <c r="X551" s="308">
        <v>7.2064000000000004</v>
      </c>
      <c r="Y551" s="308">
        <v>8.4678000000000004</v>
      </c>
      <c r="Z551" s="308">
        <v>8.1836000000000002</v>
      </c>
      <c r="AA551" s="308">
        <v>7.7573999999999996</v>
      </c>
      <c r="AB551" s="308">
        <v>7.8070000000000004</v>
      </c>
      <c r="AC551" s="308">
        <v>8.3535000000000004</v>
      </c>
      <c r="AD551" s="308">
        <v>0</v>
      </c>
      <c r="AE551" s="308">
        <v>8.0756999999999994</v>
      </c>
      <c r="AF551" s="308">
        <v>0</v>
      </c>
      <c r="AG551" s="308">
        <v>8.32</v>
      </c>
      <c r="AH551" s="308">
        <v>6.6753999999999998</v>
      </c>
      <c r="AI551" s="308">
        <v>6.3503999999999996</v>
      </c>
      <c r="AJ551" s="308">
        <v>0</v>
      </c>
      <c r="AK551" s="308">
        <v>0</v>
      </c>
      <c r="AL551" s="308">
        <v>6.1577000000000002</v>
      </c>
      <c r="AM551" s="308">
        <v>9.2751999999999999</v>
      </c>
      <c r="AN551" s="308">
        <v>7.8350999999999997</v>
      </c>
      <c r="AO551" s="308">
        <v>7.5917000000000003</v>
      </c>
      <c r="AP551" s="308">
        <v>8.1707999999999998</v>
      </c>
      <c r="AQ551" s="308">
        <v>6.0555000000000003</v>
      </c>
      <c r="AR551" s="308">
        <v>8.6771999999999991</v>
      </c>
      <c r="AS551" s="308">
        <v>8.5696999999999992</v>
      </c>
      <c r="AT551" s="308">
        <v>8.7763000000000009</v>
      </c>
      <c r="AU551" s="308">
        <v>7.7695999999999996</v>
      </c>
      <c r="AV551" s="308">
        <v>8.2392000000000003</v>
      </c>
      <c r="AW551" s="308">
        <v>6.5636999999999999</v>
      </c>
      <c r="AX551" s="308">
        <v>6.4587000000000003</v>
      </c>
      <c r="AY551" s="308">
        <v>8.5597999999999992</v>
      </c>
      <c r="AZ551" s="308">
        <v>8.6242999999999999</v>
      </c>
      <c r="BA551" s="308">
        <v>0</v>
      </c>
      <c r="BB551" s="308">
        <v>7.3198999999999996</v>
      </c>
      <c r="BC551" s="308">
        <v>7.8188000000000004</v>
      </c>
      <c r="BD551" s="308">
        <v>7.4546000000000001</v>
      </c>
      <c r="BE551" s="308">
        <v>9.3978000000000002</v>
      </c>
      <c r="BF551" s="308">
        <v>8.6212</v>
      </c>
      <c r="BG551" s="308">
        <v>8.6447000000000003</v>
      </c>
      <c r="BH551" s="308">
        <v>9.1539000000000001</v>
      </c>
      <c r="BI551" s="308">
        <v>8.4634</v>
      </c>
      <c r="BJ551" s="308">
        <v>7.7337999999999996</v>
      </c>
      <c r="BK551" s="308">
        <v>7.5347</v>
      </c>
    </row>
    <row r="552" spans="1:63" x14ac:dyDescent="0.25">
      <c r="A552" s="306">
        <v>326140</v>
      </c>
      <c r="B552" s="308" t="s">
        <v>127</v>
      </c>
      <c r="C552" s="308">
        <v>9.3230000000000004</v>
      </c>
      <c r="D552" s="308">
        <v>5.3503999999999996</v>
      </c>
      <c r="E552" s="308">
        <v>8.2292000000000005</v>
      </c>
      <c r="F552" s="308">
        <v>6.8141999999999996</v>
      </c>
      <c r="G552" s="308">
        <v>6.7080000000000002</v>
      </c>
      <c r="H552" s="308">
        <v>7.0726000000000004</v>
      </c>
      <c r="I552" s="308">
        <v>7.1981999999999999</v>
      </c>
      <c r="J552" s="308">
        <v>5.7355</v>
      </c>
      <c r="K552" s="308">
        <v>0</v>
      </c>
      <c r="L552" s="308">
        <v>5.13</v>
      </c>
      <c r="M552" s="308">
        <v>7.0637999999999996</v>
      </c>
      <c r="N552" s="308">
        <v>7.4752000000000001</v>
      </c>
      <c r="O552" s="308">
        <v>7.2347999999999999</v>
      </c>
      <c r="P552" s="308">
        <v>7.3990999999999998</v>
      </c>
      <c r="Q552" s="308">
        <v>6.7632000000000003</v>
      </c>
      <c r="R552" s="308">
        <v>7.1982999999999997</v>
      </c>
      <c r="S552" s="308">
        <v>7.9073000000000002</v>
      </c>
      <c r="T552" s="308">
        <v>6.0206999999999997</v>
      </c>
      <c r="U552" s="308">
        <v>8.2437000000000005</v>
      </c>
      <c r="V552" s="308">
        <v>8.4257000000000009</v>
      </c>
      <c r="W552" s="308">
        <v>5.7182000000000004</v>
      </c>
      <c r="X552" s="308">
        <v>4.8128000000000002</v>
      </c>
      <c r="Y552" s="308">
        <v>6.8090000000000002</v>
      </c>
      <c r="Z552" s="308">
        <v>6.9943</v>
      </c>
      <c r="AA552" s="308">
        <v>6.9752000000000001</v>
      </c>
      <c r="AB552" s="308">
        <v>6.8105000000000002</v>
      </c>
      <c r="AC552" s="308">
        <v>7.6345000000000001</v>
      </c>
      <c r="AD552" s="308">
        <v>6.7927</v>
      </c>
      <c r="AE552" s="308">
        <v>7.6111000000000004</v>
      </c>
      <c r="AF552" s="308">
        <v>0</v>
      </c>
      <c r="AG552" s="308">
        <v>7.1692</v>
      </c>
      <c r="AH552" s="308">
        <v>5.2530999999999999</v>
      </c>
      <c r="AI552" s="308">
        <v>5.5766</v>
      </c>
      <c r="AJ552" s="308">
        <v>7.5167999999999999</v>
      </c>
      <c r="AK552" s="308">
        <v>6.7065999999999999</v>
      </c>
      <c r="AL552" s="308">
        <v>5.8868</v>
      </c>
      <c r="AM552" s="308">
        <v>7.9992999999999999</v>
      </c>
      <c r="AN552" s="308">
        <v>8.0357000000000003</v>
      </c>
      <c r="AO552" s="308">
        <v>7.9706999999999999</v>
      </c>
      <c r="AP552" s="308">
        <v>6.7644000000000002</v>
      </c>
      <c r="AQ552" s="308">
        <v>6.5431999999999997</v>
      </c>
      <c r="AR552" s="308">
        <v>7.9336000000000002</v>
      </c>
      <c r="AS552" s="308">
        <v>6.4181999999999997</v>
      </c>
      <c r="AT552" s="308">
        <v>7.8063000000000002</v>
      </c>
      <c r="AU552" s="308">
        <v>8.2142999999999997</v>
      </c>
      <c r="AV552" s="308">
        <v>8.4346999999999994</v>
      </c>
      <c r="AW552" s="308">
        <v>6.9059999999999997</v>
      </c>
      <c r="AX552" s="308">
        <v>0</v>
      </c>
      <c r="AY552" s="308">
        <v>6.1889000000000003</v>
      </c>
      <c r="AZ552" s="308">
        <v>7.3539000000000003</v>
      </c>
      <c r="BA552" s="308">
        <v>5.7302</v>
      </c>
      <c r="BB552" s="308">
        <v>0</v>
      </c>
      <c r="BC552" s="308">
        <v>6.3620000000000001</v>
      </c>
      <c r="BD552" s="308">
        <v>6.7305000000000001</v>
      </c>
      <c r="BE552" s="308">
        <v>7.97</v>
      </c>
      <c r="BF552" s="308">
        <v>6.9371</v>
      </c>
      <c r="BG552" s="308">
        <v>7.94</v>
      </c>
      <c r="BH552" s="308">
        <v>8.8739000000000008</v>
      </c>
      <c r="BI552" s="308">
        <v>8.6136999999999997</v>
      </c>
      <c r="BJ552" s="308">
        <v>7.3996000000000004</v>
      </c>
      <c r="BK552" s="308">
        <v>7.0860000000000003</v>
      </c>
    </row>
    <row r="553" spans="1:63" x14ac:dyDescent="0.25">
      <c r="A553" s="306">
        <v>326150</v>
      </c>
      <c r="B553" s="308" t="s">
        <v>128</v>
      </c>
      <c r="C553" s="308">
        <v>9.1195000000000004</v>
      </c>
      <c r="D553" s="308">
        <v>5.5513000000000003</v>
      </c>
      <c r="E553" s="308">
        <v>8.3660999999999994</v>
      </c>
      <c r="F553" s="308">
        <v>5.9640000000000004</v>
      </c>
      <c r="G553" s="308">
        <v>6.9950999999999999</v>
      </c>
      <c r="H553" s="308">
        <v>6.6424000000000003</v>
      </c>
      <c r="I553" s="308">
        <v>6.1963999999999997</v>
      </c>
      <c r="J553" s="308">
        <v>5.1959999999999997</v>
      </c>
      <c r="K553" s="308">
        <v>0</v>
      </c>
      <c r="L553" s="308">
        <v>4.3864999999999998</v>
      </c>
      <c r="M553" s="308">
        <v>6.4202000000000004</v>
      </c>
      <c r="N553" s="308">
        <v>6.9901999999999997</v>
      </c>
      <c r="O553" s="308">
        <v>0</v>
      </c>
      <c r="P553" s="308">
        <v>6.7465000000000002</v>
      </c>
      <c r="Q553" s="308">
        <v>0</v>
      </c>
      <c r="R553" s="308">
        <v>6.8646000000000003</v>
      </c>
      <c r="S553" s="308">
        <v>7.4126000000000003</v>
      </c>
      <c r="T553" s="308">
        <v>7.1894999999999998</v>
      </c>
      <c r="U553" s="308">
        <v>7.7919</v>
      </c>
      <c r="V553" s="308">
        <v>6.1596000000000002</v>
      </c>
      <c r="W553" s="308">
        <v>5.4580000000000002</v>
      </c>
      <c r="X553" s="308">
        <v>4.8522999999999996</v>
      </c>
      <c r="Y553" s="308">
        <v>6.6051000000000002</v>
      </c>
      <c r="Z553" s="308">
        <v>6.9734999999999996</v>
      </c>
      <c r="AA553" s="308">
        <v>6.8986000000000001</v>
      </c>
      <c r="AB553" s="308">
        <v>7.3213999999999997</v>
      </c>
      <c r="AC553" s="308">
        <v>7.2679</v>
      </c>
      <c r="AD553" s="308">
        <v>0</v>
      </c>
      <c r="AE553" s="308">
        <v>7.6238000000000001</v>
      </c>
      <c r="AF553" s="308">
        <v>0</v>
      </c>
      <c r="AG553" s="308">
        <v>6.9367999999999999</v>
      </c>
      <c r="AH553" s="308">
        <v>5.5926999999999998</v>
      </c>
      <c r="AI553" s="308">
        <v>5.9364999999999997</v>
      </c>
      <c r="AJ553" s="308">
        <v>6.62</v>
      </c>
      <c r="AK553" s="308">
        <v>4.7679</v>
      </c>
      <c r="AL553" s="308">
        <v>6.0003000000000002</v>
      </c>
      <c r="AM553" s="308">
        <v>7.968</v>
      </c>
      <c r="AN553" s="308">
        <v>6.8662000000000001</v>
      </c>
      <c r="AO553" s="308">
        <v>6.8886000000000003</v>
      </c>
      <c r="AP553" s="308">
        <v>7.4081000000000001</v>
      </c>
      <c r="AQ553" s="308">
        <v>6.2565999999999997</v>
      </c>
      <c r="AR553" s="308">
        <v>7.5900999999999996</v>
      </c>
      <c r="AS553" s="308">
        <v>0</v>
      </c>
      <c r="AT553" s="308">
        <v>8.1690000000000005</v>
      </c>
      <c r="AU553" s="308">
        <v>7.3994</v>
      </c>
      <c r="AV553" s="308">
        <v>7.3506999999999998</v>
      </c>
      <c r="AW553" s="308">
        <v>5.66</v>
      </c>
      <c r="AX553" s="308">
        <v>0</v>
      </c>
      <c r="AY553" s="308">
        <v>5.4001000000000001</v>
      </c>
      <c r="AZ553" s="308">
        <v>7.2930999999999999</v>
      </c>
      <c r="BA553" s="308">
        <v>5.7112999999999996</v>
      </c>
      <c r="BB553" s="308">
        <v>0</v>
      </c>
      <c r="BC553" s="308">
        <v>6.3219000000000003</v>
      </c>
      <c r="BD553" s="308">
        <v>7.1356000000000002</v>
      </c>
      <c r="BE553" s="308">
        <v>7.9973999999999998</v>
      </c>
      <c r="BF553" s="308">
        <v>7.6357999999999997</v>
      </c>
      <c r="BG553" s="308">
        <v>7.4977999999999998</v>
      </c>
      <c r="BH553" s="308">
        <v>8.9128000000000007</v>
      </c>
      <c r="BI553" s="308">
        <v>7.5841000000000003</v>
      </c>
      <c r="BJ553" s="308">
        <v>6.7080000000000002</v>
      </c>
      <c r="BK553" s="308">
        <v>6.5655999999999999</v>
      </c>
    </row>
    <row r="554" spans="1:63" x14ac:dyDescent="0.25">
      <c r="A554" s="306">
        <v>326160</v>
      </c>
      <c r="B554" s="308" t="s">
        <v>129</v>
      </c>
      <c r="C554" s="308">
        <v>8.0518000000000001</v>
      </c>
      <c r="D554" s="308">
        <v>0</v>
      </c>
      <c r="E554" s="308">
        <v>7.5007000000000001</v>
      </c>
      <c r="F554" s="308">
        <v>5.5156000000000001</v>
      </c>
      <c r="G554" s="308">
        <v>5.2957000000000001</v>
      </c>
      <c r="H554" s="308">
        <v>5.4698000000000002</v>
      </c>
      <c r="I554" s="308">
        <v>5.0750999999999999</v>
      </c>
      <c r="J554" s="308">
        <v>5.3898000000000001</v>
      </c>
      <c r="K554" s="308">
        <v>0</v>
      </c>
      <c r="L554" s="308">
        <v>4.7496999999999998</v>
      </c>
      <c r="M554" s="308">
        <v>5.2693000000000003</v>
      </c>
      <c r="N554" s="308">
        <v>6.3585000000000003</v>
      </c>
      <c r="O554" s="308">
        <v>5.4592999999999998</v>
      </c>
      <c r="P554" s="308">
        <v>5.4874000000000001</v>
      </c>
      <c r="Q554" s="308">
        <v>0</v>
      </c>
      <c r="R554" s="308">
        <v>6.4484000000000004</v>
      </c>
      <c r="S554" s="308">
        <v>7.0552999999999999</v>
      </c>
      <c r="T554" s="308">
        <v>5.0967000000000002</v>
      </c>
      <c r="U554" s="308">
        <v>6.2404999999999999</v>
      </c>
      <c r="V554" s="308">
        <v>6.6414</v>
      </c>
      <c r="W554" s="308">
        <v>5.3769</v>
      </c>
      <c r="X554" s="308">
        <v>4.4646999999999997</v>
      </c>
      <c r="Y554" s="308">
        <v>5.8341000000000003</v>
      </c>
      <c r="Z554" s="308">
        <v>5.5800999999999998</v>
      </c>
      <c r="AA554" s="308">
        <v>6.2548000000000004</v>
      </c>
      <c r="AB554" s="308">
        <v>6.2411000000000003</v>
      </c>
      <c r="AC554" s="308">
        <v>5.8734999999999999</v>
      </c>
      <c r="AD554" s="308">
        <v>5.2408999999999999</v>
      </c>
      <c r="AE554" s="308">
        <v>6.3083999999999998</v>
      </c>
      <c r="AF554" s="308">
        <v>5.0468999999999999</v>
      </c>
      <c r="AG554" s="308">
        <v>0</v>
      </c>
      <c r="AH554" s="308">
        <v>4.4371999999999998</v>
      </c>
      <c r="AI554" s="308">
        <v>5.1306000000000003</v>
      </c>
      <c r="AJ554" s="308">
        <v>0</v>
      </c>
      <c r="AK554" s="308">
        <v>4.4358000000000004</v>
      </c>
      <c r="AL554" s="308">
        <v>5.0427</v>
      </c>
      <c r="AM554" s="308">
        <v>7.1097000000000001</v>
      </c>
      <c r="AN554" s="308">
        <v>6.4275000000000002</v>
      </c>
      <c r="AO554" s="308">
        <v>4.915</v>
      </c>
      <c r="AP554" s="308">
        <v>6.2907999999999999</v>
      </c>
      <c r="AQ554" s="308">
        <v>5.5603999999999996</v>
      </c>
      <c r="AR554" s="308">
        <v>6.8872</v>
      </c>
      <c r="AS554" s="308">
        <v>5.2839</v>
      </c>
      <c r="AT554" s="308">
        <v>5.7179000000000002</v>
      </c>
      <c r="AU554" s="308">
        <v>7.0156999999999998</v>
      </c>
      <c r="AV554" s="308">
        <v>6.6280999999999999</v>
      </c>
      <c r="AW554" s="308">
        <v>5.4829999999999997</v>
      </c>
      <c r="AX554" s="308">
        <v>4.3669000000000002</v>
      </c>
      <c r="AY554" s="308">
        <v>5.5290999999999997</v>
      </c>
      <c r="AZ554" s="308">
        <v>6.0461999999999998</v>
      </c>
      <c r="BA554" s="308">
        <v>5.8935000000000004</v>
      </c>
      <c r="BB554" s="308">
        <v>4.9909999999999997</v>
      </c>
      <c r="BC554" s="308">
        <v>5.7640000000000002</v>
      </c>
      <c r="BD554" s="308">
        <v>5.7141999999999999</v>
      </c>
      <c r="BE554" s="308">
        <v>7.0609000000000002</v>
      </c>
      <c r="BF554" s="308">
        <v>6.0079000000000002</v>
      </c>
      <c r="BG554" s="308">
        <v>6.6768999999999998</v>
      </c>
      <c r="BH554" s="308">
        <v>6.8541999999999996</v>
      </c>
      <c r="BI554" s="308">
        <v>7.3036000000000003</v>
      </c>
      <c r="BJ554" s="308">
        <v>5.5762999999999998</v>
      </c>
      <c r="BK554" s="308">
        <v>5.5861000000000001</v>
      </c>
    </row>
    <row r="555" spans="1:63" x14ac:dyDescent="0.25">
      <c r="A555" s="306" t="s">
        <v>716</v>
      </c>
      <c r="B555" s="308" t="s">
        <v>130</v>
      </c>
      <c r="C555" s="308">
        <v>10.711399999999999</v>
      </c>
      <c r="D555" s="308">
        <v>7.1487999999999996</v>
      </c>
      <c r="E555" s="308">
        <v>9.8198000000000008</v>
      </c>
      <c r="F555" s="308">
        <v>9.3186999999999998</v>
      </c>
      <c r="G555" s="308">
        <v>9.3066999999999993</v>
      </c>
      <c r="H555" s="308">
        <v>8.0938999999999997</v>
      </c>
      <c r="I555" s="308">
        <v>8.5823999999999998</v>
      </c>
      <c r="J555" s="308">
        <v>7.1957000000000004</v>
      </c>
      <c r="K555" s="308">
        <v>0</v>
      </c>
      <c r="L555" s="308">
        <v>7.4192999999999998</v>
      </c>
      <c r="M555" s="308">
        <v>9.5777999999999999</v>
      </c>
      <c r="N555" s="308">
        <v>9.3572000000000006</v>
      </c>
      <c r="O555" s="308">
        <v>8.1364999999999998</v>
      </c>
      <c r="P555" s="308">
        <v>8.5172000000000008</v>
      </c>
      <c r="Q555" s="308">
        <v>9.4227000000000007</v>
      </c>
      <c r="R555" s="308">
        <v>8.1484000000000005</v>
      </c>
      <c r="S555" s="308">
        <v>8.8803000000000001</v>
      </c>
      <c r="T555" s="308">
        <v>8.3411000000000008</v>
      </c>
      <c r="U555" s="308">
        <v>9.2439</v>
      </c>
      <c r="V555" s="308">
        <v>9.5901999999999994</v>
      </c>
      <c r="W555" s="308">
        <v>7.1154999999999999</v>
      </c>
      <c r="X555" s="308">
        <v>6.1393000000000004</v>
      </c>
      <c r="Y555" s="308">
        <v>8.4182000000000006</v>
      </c>
      <c r="Z555" s="308">
        <v>8.7150999999999996</v>
      </c>
      <c r="AA555" s="308">
        <v>7.8398000000000003</v>
      </c>
      <c r="AB555" s="308">
        <v>8.7796000000000003</v>
      </c>
      <c r="AC555" s="308">
        <v>9.1050000000000004</v>
      </c>
      <c r="AD555" s="308">
        <v>9.0708000000000002</v>
      </c>
      <c r="AE555" s="308">
        <v>9.3728999999999996</v>
      </c>
      <c r="AF555" s="308">
        <v>7.7359999999999998</v>
      </c>
      <c r="AG555" s="308">
        <v>8.1</v>
      </c>
      <c r="AH555" s="308">
        <v>7.0292000000000003</v>
      </c>
      <c r="AI555" s="308">
        <v>7.0429000000000004</v>
      </c>
      <c r="AJ555" s="308">
        <v>9.0335999999999999</v>
      </c>
      <c r="AK555" s="308">
        <v>8.2032000000000007</v>
      </c>
      <c r="AL555" s="308">
        <v>7.2195999999999998</v>
      </c>
      <c r="AM555" s="308">
        <v>9.6625999999999994</v>
      </c>
      <c r="AN555" s="308">
        <v>9.2734000000000005</v>
      </c>
      <c r="AO555" s="308">
        <v>8.6610999999999994</v>
      </c>
      <c r="AP555" s="308">
        <v>9.3988999999999994</v>
      </c>
      <c r="AQ555" s="308">
        <v>7.8117000000000001</v>
      </c>
      <c r="AR555" s="308">
        <v>9.6254000000000008</v>
      </c>
      <c r="AS555" s="308">
        <v>9.0449000000000002</v>
      </c>
      <c r="AT555" s="308">
        <v>10.142200000000001</v>
      </c>
      <c r="AU555" s="308">
        <v>9.9016999999999999</v>
      </c>
      <c r="AV555" s="308">
        <v>9.9111999999999991</v>
      </c>
      <c r="AW555" s="308">
        <v>7.6390000000000002</v>
      </c>
      <c r="AX555" s="308">
        <v>6.9160000000000004</v>
      </c>
      <c r="AY555" s="308">
        <v>8.8422000000000001</v>
      </c>
      <c r="AZ555" s="308">
        <v>8.8061000000000007</v>
      </c>
      <c r="BA555" s="308">
        <v>8.7781000000000002</v>
      </c>
      <c r="BB555" s="308">
        <v>7.7009999999999996</v>
      </c>
      <c r="BC555" s="308">
        <v>8.1259999999999994</v>
      </c>
      <c r="BD555" s="308">
        <v>8.5330999999999992</v>
      </c>
      <c r="BE555" s="308">
        <v>9.4373000000000005</v>
      </c>
      <c r="BF555" s="308">
        <v>8.7454000000000001</v>
      </c>
      <c r="BG555" s="308">
        <v>9.6829999999999998</v>
      </c>
      <c r="BH555" s="308">
        <v>10.3344</v>
      </c>
      <c r="BI555" s="308">
        <v>10.3527</v>
      </c>
      <c r="BJ555" s="308">
        <v>9.2942</v>
      </c>
      <c r="BK555" s="308">
        <v>8.4527000000000001</v>
      </c>
    </row>
    <row r="556" spans="1:63" x14ac:dyDescent="0.25">
      <c r="A556" s="306">
        <v>326210</v>
      </c>
      <c r="B556" s="308" t="s">
        <v>131</v>
      </c>
      <c r="C556" s="308">
        <v>9.2758000000000003</v>
      </c>
      <c r="D556" s="308">
        <v>0</v>
      </c>
      <c r="E556" s="308">
        <v>7.7721</v>
      </c>
      <c r="F556" s="308">
        <v>6.4314999999999998</v>
      </c>
      <c r="G556" s="308">
        <v>8.2497000000000007</v>
      </c>
      <c r="H556" s="308">
        <v>8.8602000000000007</v>
      </c>
      <c r="I556" s="308">
        <v>9.6957000000000004</v>
      </c>
      <c r="J556" s="308">
        <v>7.6996000000000002</v>
      </c>
      <c r="K556" s="308">
        <v>0</v>
      </c>
      <c r="L556" s="308">
        <v>5.5004</v>
      </c>
      <c r="M556" s="308">
        <v>9.6930999999999994</v>
      </c>
      <c r="N556" s="308">
        <v>8.7607999999999997</v>
      </c>
      <c r="O556" s="308">
        <v>8.2032000000000007</v>
      </c>
      <c r="P556" s="308">
        <v>5.6787000000000001</v>
      </c>
      <c r="Q556" s="308">
        <v>8.7492999999999999</v>
      </c>
      <c r="R556" s="308">
        <v>7.3421000000000003</v>
      </c>
      <c r="S556" s="308">
        <v>7.1898999999999997</v>
      </c>
      <c r="T556" s="308">
        <v>6.2720000000000002</v>
      </c>
      <c r="U556" s="308">
        <v>9.1334999999999997</v>
      </c>
      <c r="V556" s="308">
        <v>8.5258000000000003</v>
      </c>
      <c r="W556" s="308">
        <v>7.8238000000000003</v>
      </c>
      <c r="X556" s="308">
        <v>6.4164000000000003</v>
      </c>
      <c r="Y556" s="308">
        <v>8.6648999999999994</v>
      </c>
      <c r="Z556" s="308">
        <v>8.6626999999999992</v>
      </c>
      <c r="AA556" s="308">
        <v>9.4321000000000002</v>
      </c>
      <c r="AB556" s="308">
        <v>8.5977999999999994</v>
      </c>
      <c r="AC556" s="308">
        <v>7.3804999999999996</v>
      </c>
      <c r="AD556" s="308">
        <v>9.1234999999999999</v>
      </c>
      <c r="AE556" s="308">
        <v>7.6265999999999998</v>
      </c>
      <c r="AF556" s="308">
        <v>6.7298</v>
      </c>
      <c r="AG556" s="308">
        <v>6.5397999999999996</v>
      </c>
      <c r="AH556" s="308">
        <v>5.9112</v>
      </c>
      <c r="AI556" s="308">
        <v>7.6306000000000003</v>
      </c>
      <c r="AJ556" s="308">
        <v>8.6920999999999999</v>
      </c>
      <c r="AK556" s="308">
        <v>6.3552999999999997</v>
      </c>
      <c r="AL556" s="308">
        <v>5.8311999999999999</v>
      </c>
      <c r="AM556" s="308">
        <v>7.98</v>
      </c>
      <c r="AN556" s="308">
        <v>6.8968999999999996</v>
      </c>
      <c r="AO556" s="308">
        <v>9.6954999999999991</v>
      </c>
      <c r="AP556" s="308">
        <v>9.3817000000000004</v>
      </c>
      <c r="AQ556" s="308">
        <v>0</v>
      </c>
      <c r="AR556" s="308">
        <v>7.6539000000000001</v>
      </c>
      <c r="AS556" s="308">
        <v>7.5533999999999999</v>
      </c>
      <c r="AT556" s="308">
        <v>7.2450999999999999</v>
      </c>
      <c r="AU556" s="308">
        <v>7.6745999999999999</v>
      </c>
      <c r="AV556" s="308">
        <v>9.9626999999999999</v>
      </c>
      <c r="AW556" s="308">
        <v>6.4584000000000001</v>
      </c>
      <c r="AX556" s="308">
        <v>0</v>
      </c>
      <c r="AY556" s="308">
        <v>8.2178000000000004</v>
      </c>
      <c r="AZ556" s="308">
        <v>8.9040999999999997</v>
      </c>
      <c r="BA556" s="308">
        <v>8.1578999999999997</v>
      </c>
      <c r="BB556" s="308">
        <v>0</v>
      </c>
      <c r="BC556" s="308">
        <v>8.1362000000000005</v>
      </c>
      <c r="BD556" s="308">
        <v>7.9452999999999996</v>
      </c>
      <c r="BE556" s="308">
        <v>7.8966000000000003</v>
      </c>
      <c r="BF556" s="308">
        <v>7.1516000000000002</v>
      </c>
      <c r="BG556" s="308">
        <v>8.1320999999999994</v>
      </c>
      <c r="BH556" s="308">
        <v>8.3132000000000001</v>
      </c>
      <c r="BI556" s="308">
        <v>7.9809999999999999</v>
      </c>
      <c r="BJ556" s="308">
        <v>8.7510999999999992</v>
      </c>
      <c r="BK556" s="308">
        <v>9.0655999999999999</v>
      </c>
    </row>
    <row r="557" spans="1:63" x14ac:dyDescent="0.25">
      <c r="A557" s="306">
        <v>326220</v>
      </c>
      <c r="B557" s="308" t="s">
        <v>132</v>
      </c>
      <c r="C557" s="308">
        <v>8.9931000000000001</v>
      </c>
      <c r="D557" s="308">
        <v>0</v>
      </c>
      <c r="E557" s="308">
        <v>9.4216999999999995</v>
      </c>
      <c r="F557" s="308">
        <v>6.8752000000000004</v>
      </c>
      <c r="G557" s="308">
        <v>5.4679000000000002</v>
      </c>
      <c r="H557" s="308">
        <v>6.5654000000000003</v>
      </c>
      <c r="I557" s="308">
        <v>5.2797000000000001</v>
      </c>
      <c r="J557" s="308">
        <v>5.8160999999999996</v>
      </c>
      <c r="K557" s="308">
        <v>0</v>
      </c>
      <c r="L557" s="308">
        <v>6.0448000000000004</v>
      </c>
      <c r="M557" s="308">
        <v>6.9627999999999997</v>
      </c>
      <c r="N557" s="308">
        <v>8.2562999999999995</v>
      </c>
      <c r="O557" s="308">
        <v>0</v>
      </c>
      <c r="P557" s="308">
        <v>6.3293999999999997</v>
      </c>
      <c r="Q557" s="308">
        <v>7.5746000000000002</v>
      </c>
      <c r="R557" s="308">
        <v>7.2416999999999998</v>
      </c>
      <c r="S557" s="308">
        <v>8.8248999999999995</v>
      </c>
      <c r="T557" s="308">
        <v>7.0613000000000001</v>
      </c>
      <c r="U557" s="308">
        <v>7.4989999999999997</v>
      </c>
      <c r="V557" s="308">
        <v>6.0937999999999999</v>
      </c>
      <c r="W557" s="308">
        <v>6.3981000000000003</v>
      </c>
      <c r="X557" s="308">
        <v>5.2594000000000003</v>
      </c>
      <c r="Y557" s="308">
        <v>0</v>
      </c>
      <c r="Z557" s="308">
        <v>7.681</v>
      </c>
      <c r="AA557" s="308">
        <v>5.6599000000000004</v>
      </c>
      <c r="AB557" s="308">
        <v>7.5987</v>
      </c>
      <c r="AC557" s="308">
        <v>8.3352000000000004</v>
      </c>
      <c r="AD557" s="308">
        <v>0</v>
      </c>
      <c r="AE557" s="308">
        <v>8.2857000000000003</v>
      </c>
      <c r="AF557" s="308">
        <v>6.9779999999999998</v>
      </c>
      <c r="AG557" s="308">
        <v>5.758</v>
      </c>
      <c r="AH557" s="308">
        <v>6.4988999999999999</v>
      </c>
      <c r="AI557" s="308">
        <v>5.7721</v>
      </c>
      <c r="AJ557" s="308">
        <v>0</v>
      </c>
      <c r="AK557" s="308">
        <v>6.8403</v>
      </c>
      <c r="AL557" s="308">
        <v>5.8731</v>
      </c>
      <c r="AM557" s="308">
        <v>8.0641999999999996</v>
      </c>
      <c r="AN557" s="308">
        <v>6.9603000000000002</v>
      </c>
      <c r="AO557" s="308">
        <v>7.1059999999999999</v>
      </c>
      <c r="AP557" s="308">
        <v>7.5709999999999997</v>
      </c>
      <c r="AQ557" s="308">
        <v>4.9511000000000003</v>
      </c>
      <c r="AR557" s="308">
        <v>8.2355</v>
      </c>
      <c r="AS557" s="308">
        <v>0</v>
      </c>
      <c r="AT557" s="308">
        <v>8.5838999999999999</v>
      </c>
      <c r="AU557" s="308">
        <v>7.4099000000000004</v>
      </c>
      <c r="AV557" s="308">
        <v>9.0760000000000005</v>
      </c>
      <c r="AW557" s="308">
        <v>7.6371000000000002</v>
      </c>
      <c r="AX557" s="308">
        <v>0</v>
      </c>
      <c r="AY557" s="308">
        <v>8.1120999999999999</v>
      </c>
      <c r="AZ557" s="308">
        <v>7.0167000000000002</v>
      </c>
      <c r="BA557" s="308">
        <v>7.2332999999999998</v>
      </c>
      <c r="BB557" s="308">
        <v>0</v>
      </c>
      <c r="BC557" s="308">
        <v>6.8562000000000003</v>
      </c>
      <c r="BD557" s="308">
        <v>6.8940000000000001</v>
      </c>
      <c r="BE557" s="308">
        <v>8.1738</v>
      </c>
      <c r="BF557" s="308">
        <v>7.4452999999999996</v>
      </c>
      <c r="BG557" s="308">
        <v>8.3155999999999999</v>
      </c>
      <c r="BH557" s="308">
        <v>8.8084000000000007</v>
      </c>
      <c r="BI557" s="308">
        <v>7.5655000000000001</v>
      </c>
      <c r="BJ557" s="308">
        <v>5.9691000000000001</v>
      </c>
      <c r="BK557" s="308">
        <v>6.5991</v>
      </c>
    </row>
    <row r="558" spans="1:63" x14ac:dyDescent="0.25">
      <c r="A558" s="306">
        <v>326290</v>
      </c>
      <c r="B558" s="308" t="s">
        <v>133</v>
      </c>
      <c r="C558" s="308">
        <v>10.819000000000001</v>
      </c>
      <c r="D558" s="308">
        <v>0</v>
      </c>
      <c r="E558" s="308">
        <v>10.4236</v>
      </c>
      <c r="F558" s="308">
        <v>7.9409000000000001</v>
      </c>
      <c r="G558" s="308">
        <v>7.5449000000000002</v>
      </c>
      <c r="H558" s="308">
        <v>9.0302000000000007</v>
      </c>
      <c r="I558" s="308">
        <v>7.5803000000000003</v>
      </c>
      <c r="J558" s="308">
        <v>6.9096000000000002</v>
      </c>
      <c r="K558" s="308">
        <v>0</v>
      </c>
      <c r="L558" s="308">
        <v>7.1406000000000001</v>
      </c>
      <c r="M558" s="308">
        <v>7.2079000000000004</v>
      </c>
      <c r="N558" s="308">
        <v>9.6618999999999993</v>
      </c>
      <c r="O558" s="308">
        <v>0</v>
      </c>
      <c r="P558" s="308">
        <v>9.1344999999999992</v>
      </c>
      <c r="Q558" s="308">
        <v>9.0518999999999998</v>
      </c>
      <c r="R558" s="308">
        <v>8.5954999999999995</v>
      </c>
      <c r="S558" s="308">
        <v>9.1911000000000005</v>
      </c>
      <c r="T558" s="308">
        <v>8.4810999999999996</v>
      </c>
      <c r="U558" s="308">
        <v>10.1378</v>
      </c>
      <c r="V558" s="308">
        <v>7.4370000000000003</v>
      </c>
      <c r="W558" s="308">
        <v>6.8643000000000001</v>
      </c>
      <c r="X558" s="308">
        <v>7.6883999999999997</v>
      </c>
      <c r="Y558" s="308">
        <v>8.4106000000000005</v>
      </c>
      <c r="Z558" s="308">
        <v>9.0797000000000008</v>
      </c>
      <c r="AA558" s="308">
        <v>8.0779999999999994</v>
      </c>
      <c r="AB558" s="308">
        <v>8.2324000000000002</v>
      </c>
      <c r="AC558" s="308">
        <v>8.9786999999999999</v>
      </c>
      <c r="AD558" s="308">
        <v>9.0210000000000008</v>
      </c>
      <c r="AE558" s="308">
        <v>9.2660999999999998</v>
      </c>
      <c r="AF558" s="308">
        <v>0</v>
      </c>
      <c r="AG558" s="308">
        <v>7.2565999999999997</v>
      </c>
      <c r="AH558" s="308">
        <v>7.3224999999999998</v>
      </c>
      <c r="AI558" s="308">
        <v>6.6730999999999998</v>
      </c>
      <c r="AJ558" s="308">
        <v>9.3963999999999999</v>
      </c>
      <c r="AK558" s="308">
        <v>7.3402000000000003</v>
      </c>
      <c r="AL558" s="308">
        <v>7.2725</v>
      </c>
      <c r="AM558" s="308">
        <v>9.6715</v>
      </c>
      <c r="AN558" s="308">
        <v>10.1632</v>
      </c>
      <c r="AO558" s="308">
        <v>9.1110000000000007</v>
      </c>
      <c r="AP558" s="308">
        <v>8.0917999999999992</v>
      </c>
      <c r="AQ558" s="308">
        <v>8.9428000000000001</v>
      </c>
      <c r="AR558" s="308">
        <v>10.0075</v>
      </c>
      <c r="AS558" s="308">
        <v>8.2606000000000002</v>
      </c>
      <c r="AT558" s="308">
        <v>9.7169000000000008</v>
      </c>
      <c r="AU558" s="308">
        <v>8.8056000000000001</v>
      </c>
      <c r="AV558" s="308">
        <v>8.5486000000000004</v>
      </c>
      <c r="AW558" s="308">
        <v>8.5161999999999995</v>
      </c>
      <c r="AX558" s="308">
        <v>7.4184999999999999</v>
      </c>
      <c r="AY558" s="308">
        <v>8.6132000000000009</v>
      </c>
      <c r="AZ558" s="308">
        <v>9.1227999999999998</v>
      </c>
      <c r="BA558" s="308">
        <v>7.6421999999999999</v>
      </c>
      <c r="BB558" s="308">
        <v>7.8369</v>
      </c>
      <c r="BC558" s="308">
        <v>7.8310000000000004</v>
      </c>
      <c r="BD558" s="308">
        <v>7.8848000000000003</v>
      </c>
      <c r="BE558" s="308">
        <v>9.7242999999999995</v>
      </c>
      <c r="BF558" s="308">
        <v>8.6748999999999992</v>
      </c>
      <c r="BG558" s="308">
        <v>9.5001999999999995</v>
      </c>
      <c r="BH558" s="308">
        <v>10.7112</v>
      </c>
      <c r="BI558" s="308">
        <v>9.3752999999999993</v>
      </c>
      <c r="BJ558" s="308">
        <v>8.56</v>
      </c>
      <c r="BK558" s="308">
        <v>9.0949000000000009</v>
      </c>
    </row>
    <row r="559" spans="1:63" x14ac:dyDescent="0.25">
      <c r="A559" s="306" t="s">
        <v>717</v>
      </c>
      <c r="B559" s="308" t="s">
        <v>134</v>
      </c>
      <c r="C559" s="308">
        <v>12.729200000000001</v>
      </c>
      <c r="D559" s="308">
        <v>0</v>
      </c>
      <c r="E559" s="308">
        <v>19.592500000000001</v>
      </c>
      <c r="F559" s="308">
        <v>12.180099999999999</v>
      </c>
      <c r="G559" s="308">
        <v>15.6173</v>
      </c>
      <c r="H559" s="308">
        <v>12.0595</v>
      </c>
      <c r="I559" s="308">
        <v>8.6047999999999991</v>
      </c>
      <c r="J559" s="308">
        <v>10.478</v>
      </c>
      <c r="K559" s="308">
        <v>3.2852999999999999</v>
      </c>
      <c r="L559" s="308">
        <v>7.6562999999999999</v>
      </c>
      <c r="M559" s="308">
        <v>17.8979</v>
      </c>
      <c r="N559" s="308">
        <v>10.8926</v>
      </c>
      <c r="O559" s="308">
        <v>15.593299999999999</v>
      </c>
      <c r="P559" s="308">
        <v>14.382400000000001</v>
      </c>
      <c r="Q559" s="308">
        <v>25.133700000000001</v>
      </c>
      <c r="R559" s="308">
        <v>9.2240000000000002</v>
      </c>
      <c r="S559" s="308">
        <v>9.8131000000000004</v>
      </c>
      <c r="T559" s="308">
        <v>16.462599999999998</v>
      </c>
      <c r="U559" s="308">
        <v>15.809699999999999</v>
      </c>
      <c r="V559" s="308">
        <v>10.0969</v>
      </c>
      <c r="W559" s="308">
        <v>10.3126</v>
      </c>
      <c r="X559" s="308">
        <v>9.5949000000000009</v>
      </c>
      <c r="Y559" s="308">
        <v>19.501899999999999</v>
      </c>
      <c r="Z559" s="308">
        <v>23.275099999999998</v>
      </c>
      <c r="AA559" s="308">
        <v>15.4537</v>
      </c>
      <c r="AB559" s="308">
        <v>12.5915</v>
      </c>
      <c r="AC559" s="308">
        <v>16.125800000000002</v>
      </c>
      <c r="AD559" s="308">
        <v>22.1342</v>
      </c>
      <c r="AE559" s="308">
        <v>13.299200000000001</v>
      </c>
      <c r="AF559" s="308">
        <v>8.2883999999999993</v>
      </c>
      <c r="AG559" s="308">
        <v>9.3707999999999991</v>
      </c>
      <c r="AH559" s="308">
        <v>15.045999999999999</v>
      </c>
      <c r="AI559" s="308">
        <v>7.5926</v>
      </c>
      <c r="AJ559" s="308">
        <v>22.687100000000001</v>
      </c>
      <c r="AK559" s="308">
        <v>11.703900000000001</v>
      </c>
      <c r="AL559" s="308">
        <v>7.6323999999999996</v>
      </c>
      <c r="AM559" s="308">
        <v>12.1548</v>
      </c>
      <c r="AN559" s="308">
        <v>15.597</v>
      </c>
      <c r="AO559" s="308">
        <v>10.4956</v>
      </c>
      <c r="AP559" s="308">
        <v>11.984999999999999</v>
      </c>
      <c r="AQ559" s="308">
        <v>14.857100000000001</v>
      </c>
      <c r="AR559" s="308">
        <v>10.7829</v>
      </c>
      <c r="AS559" s="308">
        <v>24.203700000000001</v>
      </c>
      <c r="AT559" s="308">
        <v>13.4091</v>
      </c>
      <c r="AU559" s="308">
        <v>11.646000000000001</v>
      </c>
      <c r="AV559" s="308">
        <v>26.569800000000001</v>
      </c>
      <c r="AW559" s="308">
        <v>19.6938</v>
      </c>
      <c r="AX559" s="308">
        <v>11.464</v>
      </c>
      <c r="AY559" s="308">
        <v>24.334299999999999</v>
      </c>
      <c r="AZ559" s="308">
        <v>19.056100000000001</v>
      </c>
      <c r="BA559" s="308">
        <v>10.985799999999999</v>
      </c>
      <c r="BB559" s="308">
        <v>8.8547999999999991</v>
      </c>
      <c r="BC559" s="308">
        <v>12.731199999999999</v>
      </c>
      <c r="BD559" s="308">
        <v>9.3081999999999994</v>
      </c>
      <c r="BE559" s="308">
        <v>12.0647</v>
      </c>
      <c r="BF559" s="308">
        <v>13.776899999999999</v>
      </c>
      <c r="BG559" s="308">
        <v>12.3308</v>
      </c>
      <c r="BH559" s="308">
        <v>14.793900000000001</v>
      </c>
      <c r="BI559" s="308">
        <v>12.323</v>
      </c>
      <c r="BJ559" s="308">
        <v>9.5272000000000006</v>
      </c>
      <c r="BK559" s="308">
        <v>12.090299999999999</v>
      </c>
    </row>
    <row r="560" spans="1:63" x14ac:dyDescent="0.25">
      <c r="A560" s="306" t="s">
        <v>718</v>
      </c>
      <c r="B560" s="308" t="s">
        <v>135</v>
      </c>
      <c r="C560" s="308">
        <v>9.9329999999999998</v>
      </c>
      <c r="D560" s="308">
        <v>0</v>
      </c>
      <c r="E560" s="308">
        <v>8.5091000000000001</v>
      </c>
      <c r="F560" s="308">
        <v>8.9047999999999998</v>
      </c>
      <c r="G560" s="308">
        <v>7.8731</v>
      </c>
      <c r="H560" s="308">
        <v>8.6771999999999991</v>
      </c>
      <c r="I560" s="308">
        <v>8.6159999999999997</v>
      </c>
      <c r="J560" s="308">
        <v>6.6418999999999997</v>
      </c>
      <c r="K560" s="308">
        <v>0</v>
      </c>
      <c r="L560" s="308">
        <v>0</v>
      </c>
      <c r="M560" s="308">
        <v>8.7550000000000008</v>
      </c>
      <c r="N560" s="308">
        <v>8.1039999999999992</v>
      </c>
      <c r="O560" s="308">
        <v>10.191800000000001</v>
      </c>
      <c r="P560" s="308">
        <v>9.0518999999999998</v>
      </c>
      <c r="Q560" s="308">
        <v>9.4178999999999995</v>
      </c>
      <c r="R560" s="308">
        <v>7.3742999999999999</v>
      </c>
      <c r="S560" s="308">
        <v>9.0731000000000002</v>
      </c>
      <c r="T560" s="308">
        <v>7.8391000000000002</v>
      </c>
      <c r="U560" s="308">
        <v>10.5639</v>
      </c>
      <c r="V560" s="308">
        <v>10.2623</v>
      </c>
      <c r="W560" s="308">
        <v>6.4962999999999997</v>
      </c>
      <c r="X560" s="308">
        <v>6.9016000000000002</v>
      </c>
      <c r="Y560" s="308">
        <v>10.016</v>
      </c>
      <c r="Z560" s="308">
        <v>9.3756000000000004</v>
      </c>
      <c r="AA560" s="308">
        <v>8.4518000000000004</v>
      </c>
      <c r="AB560" s="308">
        <v>10.023899999999999</v>
      </c>
      <c r="AC560" s="308">
        <v>8.9849999999999994</v>
      </c>
      <c r="AD560" s="308">
        <v>10.104100000000001</v>
      </c>
      <c r="AE560" s="308">
        <v>8.7422000000000004</v>
      </c>
      <c r="AF560" s="308">
        <v>7.8777999999999997</v>
      </c>
      <c r="AG560" s="308">
        <v>8.7459000000000007</v>
      </c>
      <c r="AH560" s="308">
        <v>9.5138999999999996</v>
      </c>
      <c r="AI560" s="308">
        <v>6.7483000000000004</v>
      </c>
      <c r="AJ560" s="308">
        <v>10.3573</v>
      </c>
      <c r="AK560" s="308">
        <v>0</v>
      </c>
      <c r="AL560" s="308">
        <v>8.2970000000000006</v>
      </c>
      <c r="AM560" s="308">
        <v>9.6652000000000005</v>
      </c>
      <c r="AN560" s="308">
        <v>8.9318000000000008</v>
      </c>
      <c r="AO560" s="308">
        <v>10.392300000000001</v>
      </c>
      <c r="AP560" s="308">
        <v>9.5647000000000002</v>
      </c>
      <c r="AQ560" s="308">
        <v>0</v>
      </c>
      <c r="AR560" s="308">
        <v>9.4293999999999993</v>
      </c>
      <c r="AS560" s="308">
        <v>0</v>
      </c>
      <c r="AT560" s="308">
        <v>7.9722999999999997</v>
      </c>
      <c r="AU560" s="308">
        <v>7.7298999999999998</v>
      </c>
      <c r="AV560" s="308">
        <v>9.5890000000000004</v>
      </c>
      <c r="AW560" s="308">
        <v>8.4954999999999998</v>
      </c>
      <c r="AX560" s="308">
        <v>6.9</v>
      </c>
      <c r="AY560" s="308">
        <v>9.6021000000000001</v>
      </c>
      <c r="AZ560" s="308">
        <v>11.0345</v>
      </c>
      <c r="BA560" s="308">
        <v>8.9047000000000001</v>
      </c>
      <c r="BB560" s="308">
        <v>0</v>
      </c>
      <c r="BC560" s="308">
        <v>8.2657000000000007</v>
      </c>
      <c r="BD560" s="308">
        <v>9.0336999999999996</v>
      </c>
      <c r="BE560" s="308">
        <v>9.3185000000000002</v>
      </c>
      <c r="BF560" s="308">
        <v>9.4231999999999996</v>
      </c>
      <c r="BG560" s="308">
        <v>8.9539000000000009</v>
      </c>
      <c r="BH560" s="308">
        <v>9.0745000000000005</v>
      </c>
      <c r="BI560" s="308">
        <v>8.3140000000000001</v>
      </c>
      <c r="BJ560" s="308">
        <v>8.9403000000000006</v>
      </c>
      <c r="BK560" s="308">
        <v>9.3611000000000004</v>
      </c>
    </row>
    <row r="561" spans="1:63" x14ac:dyDescent="0.25">
      <c r="A561" s="306" t="s">
        <v>719</v>
      </c>
      <c r="B561" s="308" t="s">
        <v>136</v>
      </c>
      <c r="C561" s="308">
        <v>9.8755000000000006</v>
      </c>
      <c r="D561" s="308">
        <v>0</v>
      </c>
      <c r="E561" s="308">
        <v>7.9653</v>
      </c>
      <c r="F561" s="308">
        <v>0</v>
      </c>
      <c r="G561" s="308">
        <v>9.7950999999999997</v>
      </c>
      <c r="H561" s="308">
        <v>7.8932000000000002</v>
      </c>
      <c r="I561" s="308">
        <v>9.0518000000000001</v>
      </c>
      <c r="J561" s="308">
        <v>0</v>
      </c>
      <c r="K561" s="308">
        <v>0</v>
      </c>
      <c r="L561" s="308">
        <v>4.5433000000000003</v>
      </c>
      <c r="M561" s="308">
        <v>6.4505999999999997</v>
      </c>
      <c r="N561" s="308">
        <v>8.4359999999999999</v>
      </c>
      <c r="O561" s="308">
        <v>0</v>
      </c>
      <c r="P561" s="308">
        <v>6.1349999999999998</v>
      </c>
      <c r="Q561" s="308">
        <v>5.9244000000000003</v>
      </c>
      <c r="R561" s="308">
        <v>7.1738</v>
      </c>
      <c r="S561" s="308">
        <v>8.5403000000000002</v>
      </c>
      <c r="T561" s="308">
        <v>8.5128000000000004</v>
      </c>
      <c r="U561" s="308">
        <v>8.1601999999999997</v>
      </c>
      <c r="V561" s="308">
        <v>9.5840999999999994</v>
      </c>
      <c r="W561" s="308">
        <v>6.1071</v>
      </c>
      <c r="X561" s="308">
        <v>7.7222999999999997</v>
      </c>
      <c r="Y561" s="308">
        <v>0</v>
      </c>
      <c r="Z561" s="308">
        <v>8.6273</v>
      </c>
      <c r="AA561" s="308">
        <v>9.5474999999999994</v>
      </c>
      <c r="AB561" s="308">
        <v>7.3695000000000004</v>
      </c>
      <c r="AC561" s="308">
        <v>9.2364999999999995</v>
      </c>
      <c r="AD561" s="308">
        <v>0</v>
      </c>
      <c r="AE561" s="308">
        <v>8.8031000000000006</v>
      </c>
      <c r="AF561" s="308">
        <v>0</v>
      </c>
      <c r="AG561" s="308">
        <v>0</v>
      </c>
      <c r="AH561" s="308">
        <v>0</v>
      </c>
      <c r="AI561" s="308">
        <v>8.7398000000000007</v>
      </c>
      <c r="AJ561" s="308">
        <v>8.3237000000000005</v>
      </c>
      <c r="AK561" s="308">
        <v>9.0714000000000006</v>
      </c>
      <c r="AL561" s="308">
        <v>6.1999000000000004</v>
      </c>
      <c r="AM561" s="308">
        <v>8.7830999999999992</v>
      </c>
      <c r="AN561" s="308">
        <v>9.0457999999999998</v>
      </c>
      <c r="AO561" s="308">
        <v>10.3347</v>
      </c>
      <c r="AP561" s="308">
        <v>8.1996000000000002</v>
      </c>
      <c r="AQ561" s="308">
        <v>0</v>
      </c>
      <c r="AR561" s="308">
        <v>9.9405999999999999</v>
      </c>
      <c r="AS561" s="308">
        <v>8.6599000000000004</v>
      </c>
      <c r="AT561" s="308">
        <v>8.8219999999999992</v>
      </c>
      <c r="AU561" s="308">
        <v>8.0282</v>
      </c>
      <c r="AV561" s="308">
        <v>10.2056</v>
      </c>
      <c r="AW561" s="308">
        <v>9.1132000000000009</v>
      </c>
      <c r="AX561" s="308">
        <v>9.1529000000000007</v>
      </c>
      <c r="AY561" s="308">
        <v>7.4663000000000004</v>
      </c>
      <c r="AZ561" s="308">
        <v>10.332800000000001</v>
      </c>
      <c r="BA561" s="308">
        <v>5.8526999999999996</v>
      </c>
      <c r="BB561" s="308">
        <v>0</v>
      </c>
      <c r="BC561" s="308">
        <v>6.9794</v>
      </c>
      <c r="BD561" s="308">
        <v>7.7507999999999999</v>
      </c>
      <c r="BE561" s="308">
        <v>9.0408000000000008</v>
      </c>
      <c r="BF561" s="308">
        <v>7.5532000000000004</v>
      </c>
      <c r="BG561" s="308">
        <v>8.5883000000000003</v>
      </c>
      <c r="BH561" s="308">
        <v>8.6768000000000001</v>
      </c>
      <c r="BI561" s="308">
        <v>8.4893999999999998</v>
      </c>
      <c r="BJ561" s="308">
        <v>9.6123999999999992</v>
      </c>
      <c r="BK561" s="308">
        <v>8.2477</v>
      </c>
    </row>
    <row r="562" spans="1:63" x14ac:dyDescent="0.25">
      <c r="A562" s="306">
        <v>327211</v>
      </c>
      <c r="B562" s="308" t="s">
        <v>137</v>
      </c>
      <c r="C562" s="308">
        <v>8.2108000000000008</v>
      </c>
      <c r="D562" s="308">
        <v>0</v>
      </c>
      <c r="E562" s="308">
        <v>0</v>
      </c>
      <c r="F562" s="308">
        <v>0</v>
      </c>
      <c r="G562" s="308">
        <v>9.4139999999999997</v>
      </c>
      <c r="H562" s="308">
        <v>6.5027999999999997</v>
      </c>
      <c r="I562" s="308">
        <v>6.3428000000000004</v>
      </c>
      <c r="J562" s="308">
        <v>8.5114999999999998</v>
      </c>
      <c r="K562" s="308">
        <v>0</v>
      </c>
      <c r="L562" s="308">
        <v>0</v>
      </c>
      <c r="M562" s="308">
        <v>8.6379999999999999</v>
      </c>
      <c r="N562" s="308">
        <v>8.3223000000000003</v>
      </c>
      <c r="O562" s="308">
        <v>0</v>
      </c>
      <c r="P562" s="308">
        <v>6.1174999999999997</v>
      </c>
      <c r="Q562" s="308">
        <v>0</v>
      </c>
      <c r="R562" s="308">
        <v>6.0625</v>
      </c>
      <c r="S562" s="308">
        <v>9.6328999999999994</v>
      </c>
      <c r="T562" s="308">
        <v>5.8666</v>
      </c>
      <c r="U562" s="308">
        <v>5.7373000000000003</v>
      </c>
      <c r="V562" s="308">
        <v>0</v>
      </c>
      <c r="W562" s="308">
        <v>5.3945999999999996</v>
      </c>
      <c r="X562" s="308">
        <v>6.4882</v>
      </c>
      <c r="Y562" s="308">
        <v>7.2290000000000001</v>
      </c>
      <c r="Z562" s="308">
        <v>5.8333000000000004</v>
      </c>
      <c r="AA562" s="308">
        <v>8.1850000000000005</v>
      </c>
      <c r="AB562" s="308">
        <v>0</v>
      </c>
      <c r="AC562" s="308">
        <v>0</v>
      </c>
      <c r="AD562" s="308">
        <v>0</v>
      </c>
      <c r="AE562" s="308">
        <v>7.4523000000000001</v>
      </c>
      <c r="AF562" s="308">
        <v>0</v>
      </c>
      <c r="AG562" s="308">
        <v>0</v>
      </c>
      <c r="AH562" s="308">
        <v>8.2104999999999997</v>
      </c>
      <c r="AI562" s="308">
        <v>5.5376000000000003</v>
      </c>
      <c r="AJ562" s="308">
        <v>0</v>
      </c>
      <c r="AK562" s="308">
        <v>0</v>
      </c>
      <c r="AL562" s="308">
        <v>5.8936999999999999</v>
      </c>
      <c r="AM562" s="308">
        <v>8.4463000000000008</v>
      </c>
      <c r="AN562" s="308">
        <v>6.3465999999999996</v>
      </c>
      <c r="AO562" s="308">
        <v>8.9606999999999992</v>
      </c>
      <c r="AP562" s="308">
        <v>7.0119999999999996</v>
      </c>
      <c r="AQ562" s="308">
        <v>0</v>
      </c>
      <c r="AR562" s="308">
        <v>9.6790000000000003</v>
      </c>
      <c r="AS562" s="308">
        <v>0</v>
      </c>
      <c r="AT562" s="308">
        <v>5.7918000000000003</v>
      </c>
      <c r="AU562" s="308">
        <v>7.2190000000000003</v>
      </c>
      <c r="AV562" s="308">
        <v>0</v>
      </c>
      <c r="AW562" s="308">
        <v>8.8605</v>
      </c>
      <c r="AX562" s="308">
        <v>0</v>
      </c>
      <c r="AY562" s="308">
        <v>7.7373000000000003</v>
      </c>
      <c r="AZ562" s="308">
        <v>7.4561999999999999</v>
      </c>
      <c r="BA562" s="308">
        <v>7.0042999999999997</v>
      </c>
      <c r="BB562" s="308">
        <v>0</v>
      </c>
      <c r="BC562" s="308">
        <v>6.5556999999999999</v>
      </c>
      <c r="BD562" s="308">
        <v>6.5438000000000001</v>
      </c>
      <c r="BE562" s="308">
        <v>7.4904999999999999</v>
      </c>
      <c r="BF562" s="308">
        <v>6.8769999999999998</v>
      </c>
      <c r="BG562" s="308">
        <v>8.4469999999999992</v>
      </c>
      <c r="BH562" s="308">
        <v>6.28</v>
      </c>
      <c r="BI562" s="308">
        <v>7.1025</v>
      </c>
      <c r="BJ562" s="308">
        <v>6.6867999999999999</v>
      </c>
      <c r="BK562" s="308">
        <v>7.1210000000000004</v>
      </c>
    </row>
    <row r="563" spans="1:63" x14ac:dyDescent="0.25">
      <c r="A563" s="306">
        <v>327212</v>
      </c>
      <c r="B563" s="308" t="s">
        <v>138</v>
      </c>
      <c r="C563" s="308">
        <v>9.6720000000000006</v>
      </c>
      <c r="D563" s="308">
        <v>12.0733</v>
      </c>
      <c r="E563" s="308">
        <v>13.528</v>
      </c>
      <c r="F563" s="308">
        <v>13.194000000000001</v>
      </c>
      <c r="G563" s="308">
        <v>8.3331</v>
      </c>
      <c r="H563" s="308">
        <v>8.8082999999999991</v>
      </c>
      <c r="I563" s="308">
        <v>8.0448000000000004</v>
      </c>
      <c r="J563" s="308">
        <v>8.9375</v>
      </c>
      <c r="K563" s="308">
        <v>0</v>
      </c>
      <c r="L563" s="308">
        <v>8.0570000000000004</v>
      </c>
      <c r="M563" s="308">
        <v>10.3452</v>
      </c>
      <c r="N563" s="308">
        <v>9.7499000000000002</v>
      </c>
      <c r="O563" s="308">
        <v>10.8543</v>
      </c>
      <c r="P563" s="308">
        <v>7.0278999999999998</v>
      </c>
      <c r="Q563" s="308">
        <v>13.1257</v>
      </c>
      <c r="R563" s="308">
        <v>10.121</v>
      </c>
      <c r="S563" s="308">
        <v>11.889200000000001</v>
      </c>
      <c r="T563" s="308">
        <v>11.916700000000001</v>
      </c>
      <c r="U563" s="308">
        <v>7.1166</v>
      </c>
      <c r="V563" s="308">
        <v>9.6706000000000003</v>
      </c>
      <c r="W563" s="308">
        <v>7.7362000000000002</v>
      </c>
      <c r="X563" s="308">
        <v>0</v>
      </c>
      <c r="Y563" s="308">
        <v>0</v>
      </c>
      <c r="Z563" s="308">
        <v>11.2624</v>
      </c>
      <c r="AA563" s="308">
        <v>13.041499999999999</v>
      </c>
      <c r="AB563" s="308">
        <v>7.0663999999999998</v>
      </c>
      <c r="AC563" s="308">
        <v>9.4549000000000003</v>
      </c>
      <c r="AD563" s="308">
        <v>0</v>
      </c>
      <c r="AE563" s="308">
        <v>7.2077999999999998</v>
      </c>
      <c r="AF563" s="308">
        <v>11.4049</v>
      </c>
      <c r="AG563" s="308">
        <v>12.5626</v>
      </c>
      <c r="AH563" s="308">
        <v>6.5911</v>
      </c>
      <c r="AI563" s="308">
        <v>7.5410000000000004</v>
      </c>
      <c r="AJ563" s="308">
        <v>11.1356</v>
      </c>
      <c r="AK563" s="308">
        <v>7.7084999999999999</v>
      </c>
      <c r="AL563" s="308">
        <v>6.1279000000000003</v>
      </c>
      <c r="AM563" s="308">
        <v>8.7830999999999992</v>
      </c>
      <c r="AN563" s="308">
        <v>10.347</v>
      </c>
      <c r="AO563" s="308">
        <v>9.3391000000000002</v>
      </c>
      <c r="AP563" s="308">
        <v>9.2752999999999997</v>
      </c>
      <c r="AQ563" s="308">
        <v>7.2375999999999996</v>
      </c>
      <c r="AR563" s="308">
        <v>7.9208999999999996</v>
      </c>
      <c r="AS563" s="308">
        <v>0</v>
      </c>
      <c r="AT563" s="308">
        <v>7.3879000000000001</v>
      </c>
      <c r="AU563" s="308">
        <v>7.585</v>
      </c>
      <c r="AV563" s="308">
        <v>14.641999999999999</v>
      </c>
      <c r="AW563" s="308">
        <v>6.6254</v>
      </c>
      <c r="AX563" s="308">
        <v>8.6295999999999999</v>
      </c>
      <c r="AY563" s="308">
        <v>13.2874</v>
      </c>
      <c r="AZ563" s="308">
        <v>9.5617999999999999</v>
      </c>
      <c r="BA563" s="308">
        <v>10.569000000000001</v>
      </c>
      <c r="BB563" s="308">
        <v>0</v>
      </c>
      <c r="BC563" s="308">
        <v>8.3501999999999992</v>
      </c>
      <c r="BD563" s="308">
        <v>8.2963000000000005</v>
      </c>
      <c r="BE563" s="308">
        <v>9.0234000000000005</v>
      </c>
      <c r="BF563" s="308">
        <v>7.8323</v>
      </c>
      <c r="BG563" s="308">
        <v>8.1395999999999997</v>
      </c>
      <c r="BH563" s="308">
        <v>7.718</v>
      </c>
      <c r="BI563" s="308">
        <v>8.6037999999999997</v>
      </c>
      <c r="BJ563" s="308">
        <v>9.3950999999999993</v>
      </c>
      <c r="BK563" s="308">
        <v>9.5222999999999995</v>
      </c>
    </row>
    <row r="564" spans="1:63" x14ac:dyDescent="0.25">
      <c r="A564" s="306">
        <v>327213</v>
      </c>
      <c r="B564" s="308" t="s">
        <v>139</v>
      </c>
      <c r="C564" s="308">
        <v>7.7826000000000004</v>
      </c>
      <c r="D564" s="308">
        <v>0</v>
      </c>
      <c r="E564" s="308">
        <v>0</v>
      </c>
      <c r="F564" s="308">
        <v>7.5313999999999997</v>
      </c>
      <c r="G564" s="308">
        <v>7.0884</v>
      </c>
      <c r="H564" s="308">
        <v>5.8872999999999998</v>
      </c>
      <c r="I564" s="308">
        <v>5.5632000000000001</v>
      </c>
      <c r="J564" s="308">
        <v>0</v>
      </c>
      <c r="K564" s="308">
        <v>0</v>
      </c>
      <c r="L564" s="308">
        <v>0</v>
      </c>
      <c r="M564" s="308">
        <v>5.7912999999999997</v>
      </c>
      <c r="N564" s="308">
        <v>7.0865999999999998</v>
      </c>
      <c r="O564" s="308">
        <v>0</v>
      </c>
      <c r="P564" s="308">
        <v>0</v>
      </c>
      <c r="Q564" s="308">
        <v>0</v>
      </c>
      <c r="R564" s="308">
        <v>5.9960000000000004</v>
      </c>
      <c r="S564" s="308">
        <v>6.4198000000000004</v>
      </c>
      <c r="T564" s="308">
        <v>0</v>
      </c>
      <c r="U564" s="308">
        <v>0</v>
      </c>
      <c r="V564" s="308">
        <v>6.4108999999999998</v>
      </c>
      <c r="W564" s="308">
        <v>5.0102000000000002</v>
      </c>
      <c r="X564" s="308">
        <v>0</v>
      </c>
      <c r="Y564" s="308">
        <v>0</v>
      </c>
      <c r="Z564" s="308">
        <v>6.4980000000000002</v>
      </c>
      <c r="AA564" s="308">
        <v>6.2958999999999996</v>
      </c>
      <c r="AB564" s="308">
        <v>6.9485000000000001</v>
      </c>
      <c r="AC564" s="308">
        <v>0</v>
      </c>
      <c r="AD564" s="308">
        <v>0</v>
      </c>
      <c r="AE564" s="308">
        <v>6.1677</v>
      </c>
      <c r="AF564" s="308">
        <v>0</v>
      </c>
      <c r="AG564" s="308">
        <v>6.6702000000000004</v>
      </c>
      <c r="AH564" s="308">
        <v>0</v>
      </c>
      <c r="AI564" s="308">
        <v>5.7701000000000002</v>
      </c>
      <c r="AJ564" s="308">
        <v>0</v>
      </c>
      <c r="AK564" s="308">
        <v>0</v>
      </c>
      <c r="AL564" s="308">
        <v>5.1901999999999999</v>
      </c>
      <c r="AM564" s="308">
        <v>6.0946999999999996</v>
      </c>
      <c r="AN564" s="308">
        <v>6.2638999999999996</v>
      </c>
      <c r="AO564" s="308">
        <v>6.3754</v>
      </c>
      <c r="AP564" s="308">
        <v>6.8719000000000001</v>
      </c>
      <c r="AQ564" s="308">
        <v>0</v>
      </c>
      <c r="AR564" s="308">
        <v>0</v>
      </c>
      <c r="AS564" s="308">
        <v>0</v>
      </c>
      <c r="AT564" s="308">
        <v>6.9301000000000004</v>
      </c>
      <c r="AU564" s="308">
        <v>5.9393000000000002</v>
      </c>
      <c r="AV564" s="308">
        <v>0</v>
      </c>
      <c r="AW564" s="308">
        <v>5.9527999999999999</v>
      </c>
      <c r="AX564" s="308">
        <v>0</v>
      </c>
      <c r="AY564" s="308">
        <v>6.0114000000000001</v>
      </c>
      <c r="AZ564" s="308">
        <v>6.3986000000000001</v>
      </c>
      <c r="BA564" s="308">
        <v>0</v>
      </c>
      <c r="BB564" s="308">
        <v>0</v>
      </c>
      <c r="BC564" s="308">
        <v>5.6752000000000002</v>
      </c>
      <c r="BD564" s="308">
        <v>6.3460000000000001</v>
      </c>
      <c r="BE564" s="308">
        <v>6.5481999999999996</v>
      </c>
      <c r="BF564" s="308">
        <v>7.0296000000000003</v>
      </c>
      <c r="BG564" s="308">
        <v>6.9165000000000001</v>
      </c>
      <c r="BH564" s="308">
        <v>7.3791000000000002</v>
      </c>
      <c r="BI564" s="308">
        <v>6.7643000000000004</v>
      </c>
      <c r="BJ564" s="308">
        <v>5.8525999999999998</v>
      </c>
      <c r="BK564" s="308">
        <v>6.1055999999999999</v>
      </c>
    </row>
    <row r="565" spans="1:63" x14ac:dyDescent="0.25">
      <c r="A565" s="306">
        <v>327215</v>
      </c>
      <c r="B565" s="308" t="s">
        <v>140</v>
      </c>
      <c r="C565" s="308">
        <v>10.358599999999999</v>
      </c>
      <c r="D565" s="308">
        <v>0</v>
      </c>
      <c r="E565" s="308">
        <v>7.6860999999999997</v>
      </c>
      <c r="F565" s="308">
        <v>8.0554000000000006</v>
      </c>
      <c r="G565" s="308">
        <v>8.1019000000000005</v>
      </c>
      <c r="H565" s="308">
        <v>8.4364000000000008</v>
      </c>
      <c r="I565" s="308">
        <v>9.2491000000000003</v>
      </c>
      <c r="J565" s="308">
        <v>7.0590000000000002</v>
      </c>
      <c r="K565" s="308">
        <v>0</v>
      </c>
      <c r="L565" s="308">
        <v>8.0280000000000005</v>
      </c>
      <c r="M565" s="308">
        <v>8.5639000000000003</v>
      </c>
      <c r="N565" s="308">
        <v>9.2408999999999999</v>
      </c>
      <c r="O565" s="308">
        <v>7.7747000000000002</v>
      </c>
      <c r="P565" s="308">
        <v>8.3242999999999991</v>
      </c>
      <c r="Q565" s="308">
        <v>9.8544</v>
      </c>
      <c r="R565" s="308">
        <v>7.9156000000000004</v>
      </c>
      <c r="S565" s="308">
        <v>8.6502999999999997</v>
      </c>
      <c r="T565" s="308">
        <v>8.0852000000000004</v>
      </c>
      <c r="U565" s="308">
        <v>7.9231999999999996</v>
      </c>
      <c r="V565" s="308">
        <v>9.8221000000000007</v>
      </c>
      <c r="W565" s="308">
        <v>7.2576000000000001</v>
      </c>
      <c r="X565" s="308">
        <v>6.0492999999999997</v>
      </c>
      <c r="Y565" s="308">
        <v>10.577299999999999</v>
      </c>
      <c r="Z565" s="308">
        <v>7.5982000000000003</v>
      </c>
      <c r="AA565" s="308">
        <v>7.7398999999999996</v>
      </c>
      <c r="AB565" s="308">
        <v>7.5709999999999997</v>
      </c>
      <c r="AC565" s="308">
        <v>9.4178999999999995</v>
      </c>
      <c r="AD565" s="308">
        <v>9.7006999999999994</v>
      </c>
      <c r="AE565" s="308">
        <v>10.646100000000001</v>
      </c>
      <c r="AF565" s="308">
        <v>6.9038000000000004</v>
      </c>
      <c r="AG565" s="308">
        <v>8.4643999999999995</v>
      </c>
      <c r="AH565" s="308">
        <v>6.6833999999999998</v>
      </c>
      <c r="AI565" s="308">
        <v>7.7389000000000001</v>
      </c>
      <c r="AJ565" s="308">
        <v>10.093500000000001</v>
      </c>
      <c r="AK565" s="308">
        <v>8.8634000000000004</v>
      </c>
      <c r="AL565" s="308">
        <v>6.6677</v>
      </c>
      <c r="AM565" s="308">
        <v>9.4415999999999993</v>
      </c>
      <c r="AN565" s="308">
        <v>9.5006000000000004</v>
      </c>
      <c r="AO565" s="308">
        <v>9.8652999999999995</v>
      </c>
      <c r="AP565" s="308">
        <v>8.8003999999999998</v>
      </c>
      <c r="AQ565" s="308">
        <v>6.9772999999999996</v>
      </c>
      <c r="AR565" s="308">
        <v>8.7791999999999994</v>
      </c>
      <c r="AS565" s="308">
        <v>9.0876000000000001</v>
      </c>
      <c r="AT565" s="308">
        <v>9.9532000000000007</v>
      </c>
      <c r="AU565" s="308">
        <v>8.8902000000000001</v>
      </c>
      <c r="AV565" s="308">
        <v>10.409000000000001</v>
      </c>
      <c r="AW565" s="308">
        <v>9.1637000000000004</v>
      </c>
      <c r="AX565" s="308">
        <v>9.8176000000000005</v>
      </c>
      <c r="AY565" s="308">
        <v>8.8544</v>
      </c>
      <c r="AZ565" s="308">
        <v>9.4631000000000007</v>
      </c>
      <c r="BA565" s="308">
        <v>9.2378</v>
      </c>
      <c r="BB565" s="308">
        <v>0</v>
      </c>
      <c r="BC565" s="308">
        <v>8.09</v>
      </c>
      <c r="BD565" s="308">
        <v>8.4280000000000008</v>
      </c>
      <c r="BE565" s="308">
        <v>9.3886000000000003</v>
      </c>
      <c r="BF565" s="308">
        <v>8.5656999999999996</v>
      </c>
      <c r="BG565" s="308">
        <v>9.8470999999999993</v>
      </c>
      <c r="BH565" s="308">
        <v>9.2659000000000002</v>
      </c>
      <c r="BI565" s="308">
        <v>9.3864000000000001</v>
      </c>
      <c r="BJ565" s="308">
        <v>9.3970000000000002</v>
      </c>
      <c r="BK565" s="308">
        <v>8.8856999999999999</v>
      </c>
    </row>
    <row r="566" spans="1:63" x14ac:dyDescent="0.25">
      <c r="A566" s="306">
        <v>327310</v>
      </c>
      <c r="B566" s="308" t="s">
        <v>141</v>
      </c>
      <c r="C566" s="308">
        <v>6.5250000000000004</v>
      </c>
      <c r="D566" s="308">
        <v>0</v>
      </c>
      <c r="E566" s="308">
        <v>5.3895</v>
      </c>
      <c r="F566" s="308">
        <v>5.0403000000000002</v>
      </c>
      <c r="G566" s="308">
        <v>5.2320000000000002</v>
      </c>
      <c r="H566" s="308">
        <v>4.6496000000000004</v>
      </c>
      <c r="I566" s="308">
        <v>4.9253999999999998</v>
      </c>
      <c r="J566" s="308">
        <v>0</v>
      </c>
      <c r="K566" s="308">
        <v>0</v>
      </c>
      <c r="L566" s="308">
        <v>0</v>
      </c>
      <c r="M566" s="308">
        <v>5.0349000000000004</v>
      </c>
      <c r="N566" s="308">
        <v>5.5625</v>
      </c>
      <c r="O566" s="308">
        <v>5.4744000000000002</v>
      </c>
      <c r="P566" s="308">
        <v>4.4272999999999998</v>
      </c>
      <c r="Q566" s="308">
        <v>4.766</v>
      </c>
      <c r="R566" s="308">
        <v>5.0334000000000003</v>
      </c>
      <c r="S566" s="308">
        <v>5.7881999999999998</v>
      </c>
      <c r="T566" s="308">
        <v>5.0176999999999996</v>
      </c>
      <c r="U566" s="308">
        <v>5.6460999999999997</v>
      </c>
      <c r="V566" s="308">
        <v>5.1741000000000001</v>
      </c>
      <c r="W566" s="308">
        <v>3.5661</v>
      </c>
      <c r="X566" s="308">
        <v>3.9941</v>
      </c>
      <c r="Y566" s="308">
        <v>6.0681000000000003</v>
      </c>
      <c r="Z566" s="308">
        <v>4.8834999999999997</v>
      </c>
      <c r="AA566" s="308">
        <v>0</v>
      </c>
      <c r="AB566" s="308">
        <v>4.9629000000000003</v>
      </c>
      <c r="AC566" s="308">
        <v>4.9452999999999996</v>
      </c>
      <c r="AD566" s="308">
        <v>5.0983999999999998</v>
      </c>
      <c r="AE566" s="308">
        <v>6.1898999999999997</v>
      </c>
      <c r="AF566" s="308">
        <v>4.4935999999999998</v>
      </c>
      <c r="AG566" s="308">
        <v>4.3059000000000003</v>
      </c>
      <c r="AH566" s="308">
        <v>4.7923</v>
      </c>
      <c r="AI566" s="308">
        <v>4.7290999999999999</v>
      </c>
      <c r="AJ566" s="308">
        <v>5.2195999999999998</v>
      </c>
      <c r="AK566" s="308">
        <v>4.3430999999999997</v>
      </c>
      <c r="AL566" s="308">
        <v>3.9758</v>
      </c>
      <c r="AM566" s="308">
        <v>6.0022000000000002</v>
      </c>
      <c r="AN566" s="308">
        <v>5.5731000000000002</v>
      </c>
      <c r="AO566" s="308">
        <v>5.5837000000000003</v>
      </c>
      <c r="AP566" s="308">
        <v>5.4465000000000003</v>
      </c>
      <c r="AQ566" s="308">
        <v>0</v>
      </c>
      <c r="AR566" s="308">
        <v>5.1704999999999997</v>
      </c>
      <c r="AS566" s="308">
        <v>4.2553999999999998</v>
      </c>
      <c r="AT566" s="308">
        <v>5.4326999999999996</v>
      </c>
      <c r="AU566" s="308">
        <v>5.3402000000000003</v>
      </c>
      <c r="AV566" s="308">
        <v>6.1604999999999999</v>
      </c>
      <c r="AW566" s="308">
        <v>4.5476000000000001</v>
      </c>
      <c r="AX566" s="308">
        <v>0</v>
      </c>
      <c r="AY566" s="308">
        <v>4.9762000000000004</v>
      </c>
      <c r="AZ566" s="308">
        <v>0</v>
      </c>
      <c r="BA566" s="308">
        <v>4.8102999999999998</v>
      </c>
      <c r="BB566" s="308">
        <v>4.5464000000000002</v>
      </c>
      <c r="BC566" s="308">
        <v>4.8756000000000004</v>
      </c>
      <c r="BD566" s="308">
        <v>4.9478999999999997</v>
      </c>
      <c r="BE566" s="308">
        <v>5.6840999999999999</v>
      </c>
      <c r="BF566" s="308">
        <v>5.2717000000000001</v>
      </c>
      <c r="BG566" s="308">
        <v>5.5800999999999998</v>
      </c>
      <c r="BH566" s="308">
        <v>5.6654</v>
      </c>
      <c r="BI566" s="308">
        <v>5.5856000000000003</v>
      </c>
      <c r="BJ566" s="308">
        <v>5.6662999999999997</v>
      </c>
      <c r="BK566" s="308">
        <v>4.9618000000000002</v>
      </c>
    </row>
    <row r="567" spans="1:63" x14ac:dyDescent="0.25">
      <c r="A567" s="306">
        <v>327320</v>
      </c>
      <c r="B567" s="308" t="s">
        <v>142</v>
      </c>
      <c r="C567" s="308">
        <v>10.2715</v>
      </c>
      <c r="D567" s="308">
        <v>7.5636999999999999</v>
      </c>
      <c r="E567" s="308">
        <v>9.4260999999999999</v>
      </c>
      <c r="F567" s="308">
        <v>9.6638000000000002</v>
      </c>
      <c r="G567" s="308">
        <v>8.3481000000000005</v>
      </c>
      <c r="H567" s="308">
        <v>7.2859999999999996</v>
      </c>
      <c r="I567" s="308">
        <v>8.4689999999999994</v>
      </c>
      <c r="J567" s="308">
        <v>5.7880000000000003</v>
      </c>
      <c r="K567" s="308">
        <v>2.0718000000000001</v>
      </c>
      <c r="L567" s="308">
        <v>5.6889000000000003</v>
      </c>
      <c r="M567" s="308">
        <v>7.5368000000000004</v>
      </c>
      <c r="N567" s="308">
        <v>9.2517999999999994</v>
      </c>
      <c r="O567" s="308">
        <v>6.3196000000000003</v>
      </c>
      <c r="P567" s="308">
        <v>8.7111000000000001</v>
      </c>
      <c r="Q567" s="308">
        <v>9.2408999999999999</v>
      </c>
      <c r="R567" s="308">
        <v>7.5392999999999999</v>
      </c>
      <c r="S567" s="308">
        <v>8.6588999999999992</v>
      </c>
      <c r="T567" s="308">
        <v>8.5840999999999994</v>
      </c>
      <c r="U567" s="308">
        <v>9.1036000000000001</v>
      </c>
      <c r="V567" s="308">
        <v>8.3140000000000001</v>
      </c>
      <c r="W567" s="308">
        <v>5.7839</v>
      </c>
      <c r="X567" s="308">
        <v>6.8339999999999996</v>
      </c>
      <c r="Y567" s="308">
        <v>9.2377000000000002</v>
      </c>
      <c r="Z567" s="308">
        <v>8.5023</v>
      </c>
      <c r="AA567" s="308">
        <v>7.1689999999999996</v>
      </c>
      <c r="AB567" s="308">
        <v>9.0913000000000004</v>
      </c>
      <c r="AC567" s="308">
        <v>8.7523999999999997</v>
      </c>
      <c r="AD567" s="308">
        <v>9.5890000000000004</v>
      </c>
      <c r="AE567" s="308">
        <v>8.3977000000000004</v>
      </c>
      <c r="AF567" s="308">
        <v>7.0275999999999996</v>
      </c>
      <c r="AG567" s="308">
        <v>8.3884000000000007</v>
      </c>
      <c r="AH567" s="308">
        <v>6.5202</v>
      </c>
      <c r="AI567" s="308">
        <v>6.4488000000000003</v>
      </c>
      <c r="AJ567" s="308">
        <v>9.2525999999999993</v>
      </c>
      <c r="AK567" s="308">
        <v>7.5133999999999999</v>
      </c>
      <c r="AL567" s="308">
        <v>5.9500999999999999</v>
      </c>
      <c r="AM567" s="308">
        <v>9.1349</v>
      </c>
      <c r="AN567" s="308">
        <v>10.3575</v>
      </c>
      <c r="AO567" s="308">
        <v>9.0915999999999997</v>
      </c>
      <c r="AP567" s="308">
        <v>9.1471999999999998</v>
      </c>
      <c r="AQ567" s="308">
        <v>6.1820000000000004</v>
      </c>
      <c r="AR567" s="308">
        <v>9.1714000000000002</v>
      </c>
      <c r="AS567" s="308">
        <v>8.6285000000000007</v>
      </c>
      <c r="AT567" s="308">
        <v>9.4984999999999999</v>
      </c>
      <c r="AU567" s="308">
        <v>8.83</v>
      </c>
      <c r="AV567" s="308">
        <v>9.8421000000000003</v>
      </c>
      <c r="AW567" s="308">
        <v>7.7054</v>
      </c>
      <c r="AX567" s="308">
        <v>7.5484</v>
      </c>
      <c r="AY567" s="308">
        <v>8.0054999999999996</v>
      </c>
      <c r="AZ567" s="308">
        <v>8.1700999999999997</v>
      </c>
      <c r="BA567" s="308">
        <v>8.4083000000000006</v>
      </c>
      <c r="BB567" s="308">
        <v>7.915</v>
      </c>
      <c r="BC567" s="308">
        <v>7.1136999999999997</v>
      </c>
      <c r="BD567" s="308">
        <v>7.8494000000000002</v>
      </c>
      <c r="BE567" s="308">
        <v>9.1264000000000003</v>
      </c>
      <c r="BF567" s="308">
        <v>9.3249999999999993</v>
      </c>
      <c r="BG567" s="308">
        <v>9.0166000000000004</v>
      </c>
      <c r="BH567" s="308">
        <v>9.9019999999999992</v>
      </c>
      <c r="BI567" s="308">
        <v>9.3523999999999994</v>
      </c>
      <c r="BJ567" s="308">
        <v>9.3475999999999999</v>
      </c>
      <c r="BK567" s="308">
        <v>7.8308999999999997</v>
      </c>
    </row>
    <row r="568" spans="1:63" x14ac:dyDescent="0.25">
      <c r="A568" s="306">
        <v>327330</v>
      </c>
      <c r="B568" s="308" t="s">
        <v>143</v>
      </c>
      <c r="C568" s="308">
        <v>10.1271</v>
      </c>
      <c r="D568" s="308">
        <v>7.0396000000000001</v>
      </c>
      <c r="E568" s="308">
        <v>9.3179999999999996</v>
      </c>
      <c r="F568" s="308">
        <v>9.6951999999999998</v>
      </c>
      <c r="G568" s="308">
        <v>8.4855</v>
      </c>
      <c r="H568" s="308">
        <v>7.8979999999999997</v>
      </c>
      <c r="I568" s="308">
        <v>8.3757000000000001</v>
      </c>
      <c r="J568" s="308">
        <v>7.0808</v>
      </c>
      <c r="K568" s="308">
        <v>0</v>
      </c>
      <c r="L568" s="308">
        <v>7.3075999999999999</v>
      </c>
      <c r="M568" s="308">
        <v>8.8813999999999993</v>
      </c>
      <c r="N568" s="308">
        <v>9.3361999999999998</v>
      </c>
      <c r="O568" s="308">
        <v>6.6787000000000001</v>
      </c>
      <c r="P568" s="308">
        <v>7.5496999999999996</v>
      </c>
      <c r="Q568" s="308">
        <v>9.4396000000000004</v>
      </c>
      <c r="R568" s="308">
        <v>8.1399000000000008</v>
      </c>
      <c r="S568" s="308">
        <v>8.5465999999999998</v>
      </c>
      <c r="T568" s="308">
        <v>8.6326000000000001</v>
      </c>
      <c r="U568" s="308">
        <v>9.7188999999999997</v>
      </c>
      <c r="V568" s="308">
        <v>9.6769999999999996</v>
      </c>
      <c r="W568" s="308">
        <v>7.2515999999999998</v>
      </c>
      <c r="X568" s="308">
        <v>7.5414000000000003</v>
      </c>
      <c r="Y568" s="308">
        <v>9.3698999999999995</v>
      </c>
      <c r="Z568" s="308">
        <v>8.3985000000000003</v>
      </c>
      <c r="AA568" s="308">
        <v>7.7538</v>
      </c>
      <c r="AB568" s="308">
        <v>8.6213999999999995</v>
      </c>
      <c r="AC568" s="308">
        <v>9.5535999999999994</v>
      </c>
      <c r="AD568" s="308">
        <v>8.9023000000000003</v>
      </c>
      <c r="AE568" s="308">
        <v>7.7614999999999998</v>
      </c>
      <c r="AF568" s="308">
        <v>6.6177000000000001</v>
      </c>
      <c r="AG568" s="308">
        <v>8.2753999999999994</v>
      </c>
      <c r="AH568" s="308">
        <v>7.7039</v>
      </c>
      <c r="AI568" s="308">
        <v>6.8681999999999999</v>
      </c>
      <c r="AJ568" s="308">
        <v>9.1320999999999994</v>
      </c>
      <c r="AK568" s="308">
        <v>7.8315000000000001</v>
      </c>
      <c r="AL568" s="308">
        <v>6.5419999999999998</v>
      </c>
      <c r="AM568" s="308">
        <v>9.3549000000000007</v>
      </c>
      <c r="AN568" s="308">
        <v>10.0129</v>
      </c>
      <c r="AO568" s="308">
        <v>9.5821000000000005</v>
      </c>
      <c r="AP568" s="308">
        <v>9.1416000000000004</v>
      </c>
      <c r="AQ568" s="308">
        <v>7.4988999999999999</v>
      </c>
      <c r="AR568" s="308">
        <v>9.1975999999999996</v>
      </c>
      <c r="AS568" s="308">
        <v>8.6201000000000008</v>
      </c>
      <c r="AT568" s="308">
        <v>8.9730000000000008</v>
      </c>
      <c r="AU568" s="308">
        <v>8.2675000000000001</v>
      </c>
      <c r="AV568" s="308">
        <v>9.3132999999999999</v>
      </c>
      <c r="AW568" s="308">
        <v>8.2161000000000008</v>
      </c>
      <c r="AX568" s="308">
        <v>7.1475</v>
      </c>
      <c r="AY568" s="308">
        <v>8.4349000000000007</v>
      </c>
      <c r="AZ568" s="308">
        <v>7.51</v>
      </c>
      <c r="BA568" s="308">
        <v>8.4009</v>
      </c>
      <c r="BB568" s="308">
        <v>8.8059999999999992</v>
      </c>
      <c r="BC568" s="308">
        <v>8.2678999999999991</v>
      </c>
      <c r="BD568" s="308">
        <v>8.1778999999999993</v>
      </c>
      <c r="BE568" s="308">
        <v>9.2234999999999996</v>
      </c>
      <c r="BF568" s="308">
        <v>8.9078999999999997</v>
      </c>
      <c r="BG568" s="308">
        <v>9.1722000000000001</v>
      </c>
      <c r="BH568" s="308">
        <v>9.7621000000000002</v>
      </c>
      <c r="BI568" s="308">
        <v>8.8545999999999996</v>
      </c>
      <c r="BJ568" s="308">
        <v>8.9242000000000008</v>
      </c>
      <c r="BK568" s="308">
        <v>8.2552000000000003</v>
      </c>
    </row>
    <row r="569" spans="1:63" x14ac:dyDescent="0.25">
      <c r="A569" s="306">
        <v>327390</v>
      </c>
      <c r="B569" s="308" t="s">
        <v>144</v>
      </c>
      <c r="C569" s="308">
        <v>11.6905</v>
      </c>
      <c r="D569" s="308">
        <v>9.3213000000000008</v>
      </c>
      <c r="E569" s="308">
        <v>11.3927</v>
      </c>
      <c r="F569" s="308">
        <v>11.104699999999999</v>
      </c>
      <c r="G569" s="308">
        <v>9.5238999999999994</v>
      </c>
      <c r="H569" s="308">
        <v>9.1940000000000008</v>
      </c>
      <c r="I569" s="308">
        <v>9.7407000000000004</v>
      </c>
      <c r="J569" s="308">
        <v>7.6566999999999998</v>
      </c>
      <c r="K569" s="308">
        <v>0</v>
      </c>
      <c r="L569" s="308">
        <v>8.4385999999999992</v>
      </c>
      <c r="M569" s="308">
        <v>10.358000000000001</v>
      </c>
      <c r="N569" s="308">
        <v>9.8820999999999994</v>
      </c>
      <c r="O569" s="308">
        <v>7.6765999999999996</v>
      </c>
      <c r="P569" s="308">
        <v>10.3878</v>
      </c>
      <c r="Q569" s="308">
        <v>10.8071</v>
      </c>
      <c r="R569" s="308">
        <v>9.4697999999999993</v>
      </c>
      <c r="S569" s="308">
        <v>10.563499999999999</v>
      </c>
      <c r="T569" s="308">
        <v>9.5703999999999994</v>
      </c>
      <c r="U569" s="308">
        <v>11.042899999999999</v>
      </c>
      <c r="V569" s="308">
        <v>10.0397</v>
      </c>
      <c r="W569" s="308">
        <v>7.7805999999999997</v>
      </c>
      <c r="X569" s="308">
        <v>8.2155000000000005</v>
      </c>
      <c r="Y569" s="308">
        <v>10.2249</v>
      </c>
      <c r="Z569" s="308">
        <v>9.2495999999999992</v>
      </c>
      <c r="AA569" s="308">
        <v>9.0831999999999997</v>
      </c>
      <c r="AB569" s="308">
        <v>11.1759</v>
      </c>
      <c r="AC569" s="308">
        <v>9.7952999999999992</v>
      </c>
      <c r="AD569" s="308">
        <v>10.559100000000001</v>
      </c>
      <c r="AE569" s="308">
        <v>10.8134</v>
      </c>
      <c r="AF569" s="308">
        <v>7.7346000000000004</v>
      </c>
      <c r="AG569" s="308">
        <v>10.499599999999999</v>
      </c>
      <c r="AH569" s="308">
        <v>8.1354000000000006</v>
      </c>
      <c r="AI569" s="308">
        <v>8.5860000000000003</v>
      </c>
      <c r="AJ569" s="308">
        <v>10.493</v>
      </c>
      <c r="AK569" s="308">
        <v>8.9107000000000003</v>
      </c>
      <c r="AL569" s="308">
        <v>7.7876000000000003</v>
      </c>
      <c r="AM569" s="308">
        <v>10.9544</v>
      </c>
      <c r="AN569" s="308">
        <v>11.712999999999999</v>
      </c>
      <c r="AO569" s="308">
        <v>10.999499999999999</v>
      </c>
      <c r="AP569" s="308">
        <v>10.507400000000001</v>
      </c>
      <c r="AQ569" s="308">
        <v>7.8395000000000001</v>
      </c>
      <c r="AR569" s="308">
        <v>9.3420000000000005</v>
      </c>
      <c r="AS569" s="308">
        <v>9.0105000000000004</v>
      </c>
      <c r="AT569" s="308">
        <v>9.6777999999999995</v>
      </c>
      <c r="AU569" s="308">
        <v>10.4679</v>
      </c>
      <c r="AV569" s="308">
        <v>12.108599999999999</v>
      </c>
      <c r="AW569" s="308">
        <v>8.9357000000000006</v>
      </c>
      <c r="AX569" s="308">
        <v>9.5981000000000005</v>
      </c>
      <c r="AY569" s="308">
        <v>9.6945999999999994</v>
      </c>
      <c r="AZ569" s="308">
        <v>9.7154000000000007</v>
      </c>
      <c r="BA569" s="308">
        <v>9.4795999999999996</v>
      </c>
      <c r="BB569" s="308">
        <v>8.4307999999999996</v>
      </c>
      <c r="BC569" s="308">
        <v>8.9601000000000006</v>
      </c>
      <c r="BD569" s="308">
        <v>9.7134</v>
      </c>
      <c r="BE569" s="308">
        <v>10.6349</v>
      </c>
      <c r="BF569" s="308">
        <v>10.758599999999999</v>
      </c>
      <c r="BG569" s="308">
        <v>10.486000000000001</v>
      </c>
      <c r="BH569" s="308">
        <v>10.7057</v>
      </c>
      <c r="BI569" s="308">
        <v>10.9597</v>
      </c>
      <c r="BJ569" s="308">
        <v>10.3499</v>
      </c>
      <c r="BK569" s="308">
        <v>9.5959000000000003</v>
      </c>
    </row>
    <row r="570" spans="1:63" x14ac:dyDescent="0.25">
      <c r="A570" s="306" t="s">
        <v>720</v>
      </c>
      <c r="B570" s="308" t="s">
        <v>145</v>
      </c>
      <c r="C570" s="308">
        <v>8.0297999999999998</v>
      </c>
      <c r="D570" s="308">
        <v>0</v>
      </c>
      <c r="E570" s="308">
        <v>6.5358999999999998</v>
      </c>
      <c r="F570" s="308">
        <v>6.6487999999999996</v>
      </c>
      <c r="G570" s="308">
        <v>5.8906000000000001</v>
      </c>
      <c r="H570" s="308">
        <v>5.7275999999999998</v>
      </c>
      <c r="I570" s="308">
        <v>5.7705000000000002</v>
      </c>
      <c r="J570" s="308">
        <v>4.2759</v>
      </c>
      <c r="K570" s="308">
        <v>0</v>
      </c>
      <c r="L570" s="308">
        <v>4.9141000000000004</v>
      </c>
      <c r="M570" s="308">
        <v>5.5791000000000004</v>
      </c>
      <c r="N570" s="308">
        <v>6.3042999999999996</v>
      </c>
      <c r="O570" s="308">
        <v>0</v>
      </c>
      <c r="P570" s="308">
        <v>5.0537999999999998</v>
      </c>
      <c r="Q570" s="308">
        <v>6.8244999999999996</v>
      </c>
      <c r="R570" s="308">
        <v>5.7465999999999999</v>
      </c>
      <c r="S570" s="308">
        <v>6.3933999999999997</v>
      </c>
      <c r="T570" s="308">
        <v>5.8109000000000002</v>
      </c>
      <c r="U570" s="308">
        <v>5.6927000000000003</v>
      </c>
      <c r="V570" s="308">
        <v>6.7851999999999997</v>
      </c>
      <c r="W570" s="308">
        <v>5.6407999999999996</v>
      </c>
      <c r="X570" s="308">
        <v>4.3369</v>
      </c>
      <c r="Y570" s="308">
        <v>0</v>
      </c>
      <c r="Z570" s="308">
        <v>6.5450999999999997</v>
      </c>
      <c r="AA570" s="308">
        <v>0</v>
      </c>
      <c r="AB570" s="308">
        <v>5.3120000000000003</v>
      </c>
      <c r="AC570" s="308">
        <v>6.9947999999999997</v>
      </c>
      <c r="AD570" s="308">
        <v>7.4028</v>
      </c>
      <c r="AE570" s="308">
        <v>7.2981999999999996</v>
      </c>
      <c r="AF570" s="308">
        <v>0</v>
      </c>
      <c r="AG570" s="308">
        <v>6.1012000000000004</v>
      </c>
      <c r="AH570" s="308">
        <v>4.5186000000000002</v>
      </c>
      <c r="AI570" s="308">
        <v>4.7251000000000003</v>
      </c>
      <c r="AJ570" s="308">
        <v>6.4856999999999996</v>
      </c>
      <c r="AK570" s="308">
        <v>5.3460999999999999</v>
      </c>
      <c r="AL570" s="308">
        <v>4.3404999999999996</v>
      </c>
      <c r="AM570" s="308">
        <v>7.0076999999999998</v>
      </c>
      <c r="AN570" s="308">
        <v>6.9222999999999999</v>
      </c>
      <c r="AO570" s="308">
        <v>6.7534000000000001</v>
      </c>
      <c r="AP570" s="308">
        <v>6.0788000000000002</v>
      </c>
      <c r="AQ570" s="308">
        <v>0</v>
      </c>
      <c r="AR570" s="308">
        <v>6.7194000000000003</v>
      </c>
      <c r="AS570" s="308">
        <v>4.1059000000000001</v>
      </c>
      <c r="AT570" s="308">
        <v>5.9657</v>
      </c>
      <c r="AU570" s="308">
        <v>7.0568999999999997</v>
      </c>
      <c r="AV570" s="308">
        <v>7.2668999999999997</v>
      </c>
      <c r="AW570" s="308">
        <v>5.8327999999999998</v>
      </c>
      <c r="AX570" s="308">
        <v>0</v>
      </c>
      <c r="AY570" s="308">
        <v>6.0537000000000001</v>
      </c>
      <c r="AZ570" s="308">
        <v>6.0583</v>
      </c>
      <c r="BA570" s="308">
        <v>5.6195000000000004</v>
      </c>
      <c r="BB570" s="308">
        <v>5.2596999999999996</v>
      </c>
      <c r="BC570" s="308">
        <v>5.4078999999999997</v>
      </c>
      <c r="BD570" s="308">
        <v>5.3813000000000004</v>
      </c>
      <c r="BE570" s="308">
        <v>6.7655000000000003</v>
      </c>
      <c r="BF570" s="308">
        <v>5.7232000000000003</v>
      </c>
      <c r="BG570" s="308">
        <v>6.6577000000000002</v>
      </c>
      <c r="BH570" s="308">
        <v>6.5686999999999998</v>
      </c>
      <c r="BI570" s="308">
        <v>7.4306999999999999</v>
      </c>
      <c r="BJ570" s="308">
        <v>6.8392999999999997</v>
      </c>
      <c r="BK570" s="308">
        <v>6.1811999999999996</v>
      </c>
    </row>
    <row r="571" spans="1:63" x14ac:dyDescent="0.25">
      <c r="A571" s="306">
        <v>327910</v>
      </c>
      <c r="B571" s="308" t="s">
        <v>146</v>
      </c>
      <c r="C571" s="308">
        <v>8.6036000000000001</v>
      </c>
      <c r="D571" s="308">
        <v>0</v>
      </c>
      <c r="E571" s="308">
        <v>6.3608000000000002</v>
      </c>
      <c r="F571" s="308">
        <v>6.9420000000000002</v>
      </c>
      <c r="G571" s="308">
        <v>5.9733999999999998</v>
      </c>
      <c r="H571" s="308">
        <v>7.6132999999999997</v>
      </c>
      <c r="I571" s="308">
        <v>7.8278999999999996</v>
      </c>
      <c r="J571" s="308">
        <v>5.4486999999999997</v>
      </c>
      <c r="K571" s="308">
        <v>0</v>
      </c>
      <c r="L571" s="308">
        <v>0</v>
      </c>
      <c r="M571" s="308">
        <v>8.8047000000000004</v>
      </c>
      <c r="N571" s="308">
        <v>9.2776999999999994</v>
      </c>
      <c r="O571" s="308">
        <v>0</v>
      </c>
      <c r="P571" s="308">
        <v>6.5801999999999996</v>
      </c>
      <c r="Q571" s="308">
        <v>8.4914000000000005</v>
      </c>
      <c r="R571" s="308">
        <v>7.3403</v>
      </c>
      <c r="S571" s="308">
        <v>8.9080999999999992</v>
      </c>
      <c r="T571" s="308">
        <v>7.6241000000000003</v>
      </c>
      <c r="U571" s="308">
        <v>8.9084000000000003</v>
      </c>
      <c r="V571" s="308">
        <v>7.0271999999999997</v>
      </c>
      <c r="W571" s="308">
        <v>5.4776999999999996</v>
      </c>
      <c r="X571" s="308">
        <v>5.0153999999999996</v>
      </c>
      <c r="Y571" s="308">
        <v>0</v>
      </c>
      <c r="Z571" s="308">
        <v>7.5407999999999999</v>
      </c>
      <c r="AA571" s="308">
        <v>7.0773999999999999</v>
      </c>
      <c r="AB571" s="308">
        <v>7.1700999999999997</v>
      </c>
      <c r="AC571" s="308">
        <v>6.1128</v>
      </c>
      <c r="AD571" s="308">
        <v>0</v>
      </c>
      <c r="AE571" s="308">
        <v>9.4116</v>
      </c>
      <c r="AF571" s="308">
        <v>0</v>
      </c>
      <c r="AG571" s="308">
        <v>0</v>
      </c>
      <c r="AH571" s="308">
        <v>5.3925999999999998</v>
      </c>
      <c r="AI571" s="308">
        <v>7.1463000000000001</v>
      </c>
      <c r="AJ571" s="308">
        <v>0</v>
      </c>
      <c r="AK571" s="308">
        <v>0</v>
      </c>
      <c r="AL571" s="308">
        <v>6.4757999999999996</v>
      </c>
      <c r="AM571" s="308">
        <v>8.8838000000000008</v>
      </c>
      <c r="AN571" s="308">
        <v>0</v>
      </c>
      <c r="AO571" s="308">
        <v>6.8977000000000004</v>
      </c>
      <c r="AP571" s="308">
        <v>7.4877000000000002</v>
      </c>
      <c r="AQ571" s="308">
        <v>4.9454000000000002</v>
      </c>
      <c r="AR571" s="308">
        <v>9.0509000000000004</v>
      </c>
      <c r="AS571" s="308">
        <v>0</v>
      </c>
      <c r="AT571" s="308">
        <v>8.6725999999999992</v>
      </c>
      <c r="AU571" s="308">
        <v>8.1995000000000005</v>
      </c>
      <c r="AV571" s="308">
        <v>7.3246000000000002</v>
      </c>
      <c r="AW571" s="308">
        <v>7.4905999999999997</v>
      </c>
      <c r="AX571" s="308">
        <v>6.8433999999999999</v>
      </c>
      <c r="AY571" s="308">
        <v>7.5364000000000004</v>
      </c>
      <c r="AZ571" s="308">
        <v>7.6833</v>
      </c>
      <c r="BA571" s="308">
        <v>0</v>
      </c>
      <c r="BB571" s="308">
        <v>0</v>
      </c>
      <c r="BC571" s="308">
        <v>6.1322000000000001</v>
      </c>
      <c r="BD571" s="308">
        <v>7.4461000000000004</v>
      </c>
      <c r="BE571" s="308">
        <v>8.2349999999999994</v>
      </c>
      <c r="BF571" s="308">
        <v>7.1571999999999996</v>
      </c>
      <c r="BG571" s="308">
        <v>8.7847000000000008</v>
      </c>
      <c r="BH571" s="308">
        <v>7.3132000000000001</v>
      </c>
      <c r="BI571" s="308">
        <v>8.1852</v>
      </c>
      <c r="BJ571" s="308">
        <v>6.8056999999999999</v>
      </c>
      <c r="BK571" s="308">
        <v>7.4363999999999999</v>
      </c>
    </row>
    <row r="572" spans="1:63" x14ac:dyDescent="0.25">
      <c r="A572" s="306">
        <v>327991</v>
      </c>
      <c r="B572" s="308" t="s">
        <v>147</v>
      </c>
      <c r="C572" s="308">
        <v>14.7029</v>
      </c>
      <c r="D572" s="308">
        <v>13.7164</v>
      </c>
      <c r="E572" s="308">
        <v>14.647399999999999</v>
      </c>
      <c r="F572" s="308">
        <v>15.069800000000001</v>
      </c>
      <c r="G572" s="308">
        <v>14.1591</v>
      </c>
      <c r="H572" s="308">
        <v>12.3033</v>
      </c>
      <c r="I572" s="308">
        <v>12.650600000000001</v>
      </c>
      <c r="J572" s="308">
        <v>10.0108</v>
      </c>
      <c r="K572" s="308">
        <v>0</v>
      </c>
      <c r="L572" s="308">
        <v>9.6316000000000006</v>
      </c>
      <c r="M572" s="308">
        <v>12.563800000000001</v>
      </c>
      <c r="N572" s="308">
        <v>14.2094</v>
      </c>
      <c r="O572" s="308">
        <v>11.8665</v>
      </c>
      <c r="P572" s="308">
        <v>13.0115</v>
      </c>
      <c r="Q572" s="308">
        <v>15.381399999999999</v>
      </c>
      <c r="R572" s="308">
        <v>11.6868</v>
      </c>
      <c r="S572" s="308">
        <v>11.8691</v>
      </c>
      <c r="T572" s="308">
        <v>12.2006</v>
      </c>
      <c r="U572" s="308">
        <v>13.545299999999999</v>
      </c>
      <c r="V572" s="308">
        <v>14.76</v>
      </c>
      <c r="W572" s="308">
        <v>9.8602000000000007</v>
      </c>
      <c r="X572" s="308">
        <v>10.424200000000001</v>
      </c>
      <c r="Y572" s="308">
        <v>12.6046</v>
      </c>
      <c r="Z572" s="308">
        <v>13.1586</v>
      </c>
      <c r="AA572" s="308">
        <v>12.4091</v>
      </c>
      <c r="AB572" s="308">
        <v>12.971399999999999</v>
      </c>
      <c r="AC572" s="308">
        <v>14.371700000000001</v>
      </c>
      <c r="AD572" s="308">
        <v>14.7182</v>
      </c>
      <c r="AE572" s="308">
        <v>14.4231</v>
      </c>
      <c r="AF572" s="308">
        <v>11.9194</v>
      </c>
      <c r="AG572" s="308">
        <v>14.4428</v>
      </c>
      <c r="AH572" s="308">
        <v>9.7675999999999998</v>
      </c>
      <c r="AI572" s="308">
        <v>10.3935</v>
      </c>
      <c r="AJ572" s="308">
        <v>13.5183</v>
      </c>
      <c r="AK572" s="308">
        <v>10.542400000000001</v>
      </c>
      <c r="AL572" s="308">
        <v>10.6934</v>
      </c>
      <c r="AM572" s="308">
        <v>13.6778</v>
      </c>
      <c r="AN572" s="308">
        <v>14.339499999999999</v>
      </c>
      <c r="AO572" s="308">
        <v>14.1944</v>
      </c>
      <c r="AP572" s="308">
        <v>13.530200000000001</v>
      </c>
      <c r="AQ572" s="308">
        <v>10.0144</v>
      </c>
      <c r="AR572" s="308">
        <v>14.585599999999999</v>
      </c>
      <c r="AS572" s="308">
        <v>10.832700000000001</v>
      </c>
      <c r="AT572" s="308">
        <v>14.325200000000001</v>
      </c>
      <c r="AU572" s="308">
        <v>13.1425</v>
      </c>
      <c r="AV572" s="308">
        <v>15.1007</v>
      </c>
      <c r="AW572" s="308">
        <v>11.650499999999999</v>
      </c>
      <c r="AX572" s="308">
        <v>11.2074</v>
      </c>
      <c r="AY572" s="308">
        <v>12.706099999999999</v>
      </c>
      <c r="AZ572" s="308">
        <v>13.282400000000001</v>
      </c>
      <c r="BA572" s="308">
        <v>12.7761</v>
      </c>
      <c r="BB572" s="308">
        <v>14.250999999999999</v>
      </c>
      <c r="BC572" s="308">
        <v>11.53</v>
      </c>
      <c r="BD572" s="308">
        <v>12.276999999999999</v>
      </c>
      <c r="BE572" s="308">
        <v>13.2782</v>
      </c>
      <c r="BF572" s="308">
        <v>13.2202</v>
      </c>
      <c r="BG572" s="308">
        <v>14.016400000000001</v>
      </c>
      <c r="BH572" s="308">
        <v>14.760400000000001</v>
      </c>
      <c r="BI572" s="308">
        <v>13.8934</v>
      </c>
      <c r="BJ572" s="308">
        <v>13.465999999999999</v>
      </c>
      <c r="BK572" s="308">
        <v>12.8712</v>
      </c>
    </row>
    <row r="573" spans="1:63" x14ac:dyDescent="0.25">
      <c r="A573" s="306">
        <v>327992</v>
      </c>
      <c r="B573" s="308" t="s">
        <v>148</v>
      </c>
      <c r="C573" s="308">
        <v>6.4724000000000004</v>
      </c>
      <c r="D573" s="308">
        <v>0</v>
      </c>
      <c r="E573" s="308">
        <v>6.1778000000000004</v>
      </c>
      <c r="F573" s="308">
        <v>5.2607999999999997</v>
      </c>
      <c r="G573" s="308">
        <v>7.0022000000000002</v>
      </c>
      <c r="H573" s="308">
        <v>5.4507000000000003</v>
      </c>
      <c r="I573" s="308">
        <v>7.2055999999999996</v>
      </c>
      <c r="J573" s="308">
        <v>0</v>
      </c>
      <c r="K573" s="308">
        <v>0</v>
      </c>
      <c r="L573" s="308">
        <v>0</v>
      </c>
      <c r="M573" s="308">
        <v>5.4295999999999998</v>
      </c>
      <c r="N573" s="308">
        <v>5.7815000000000003</v>
      </c>
      <c r="O573" s="308">
        <v>0</v>
      </c>
      <c r="P573" s="308">
        <v>0</v>
      </c>
      <c r="Q573" s="308">
        <v>0</v>
      </c>
      <c r="R573" s="308">
        <v>4.9523999999999999</v>
      </c>
      <c r="S573" s="308">
        <v>5.3292999999999999</v>
      </c>
      <c r="T573" s="308">
        <v>0</v>
      </c>
      <c r="U573" s="308">
        <v>6.1105</v>
      </c>
      <c r="V573" s="308">
        <v>5.2727000000000004</v>
      </c>
      <c r="W573" s="308">
        <v>4.6307</v>
      </c>
      <c r="X573" s="308">
        <v>0</v>
      </c>
      <c r="Y573" s="308">
        <v>6.7523999999999997</v>
      </c>
      <c r="Z573" s="308">
        <v>4.6605999999999996</v>
      </c>
      <c r="AA573" s="308">
        <v>4.8419999999999996</v>
      </c>
      <c r="AB573" s="308">
        <v>5.7763999999999998</v>
      </c>
      <c r="AC573" s="308">
        <v>0</v>
      </c>
      <c r="AD573" s="308">
        <v>0</v>
      </c>
      <c r="AE573" s="308">
        <v>5.9957000000000003</v>
      </c>
      <c r="AF573" s="308">
        <v>0</v>
      </c>
      <c r="AG573" s="308">
        <v>0</v>
      </c>
      <c r="AH573" s="308">
        <v>0</v>
      </c>
      <c r="AI573" s="308">
        <v>4.0991</v>
      </c>
      <c r="AJ573" s="308">
        <v>6.4351000000000003</v>
      </c>
      <c r="AK573" s="308">
        <v>6.6330999999999998</v>
      </c>
      <c r="AL573" s="308">
        <v>5.1790000000000003</v>
      </c>
      <c r="AM573" s="308">
        <v>5.7842000000000002</v>
      </c>
      <c r="AN573" s="308">
        <v>4.9874000000000001</v>
      </c>
      <c r="AO573" s="308">
        <v>7.2038000000000002</v>
      </c>
      <c r="AP573" s="308">
        <v>4.9393000000000002</v>
      </c>
      <c r="AQ573" s="308">
        <v>0</v>
      </c>
      <c r="AR573" s="308">
        <v>5.875</v>
      </c>
      <c r="AS573" s="308">
        <v>0</v>
      </c>
      <c r="AT573" s="308">
        <v>6.9367000000000001</v>
      </c>
      <c r="AU573" s="308">
        <v>5.1188000000000002</v>
      </c>
      <c r="AV573" s="308">
        <v>0</v>
      </c>
      <c r="AW573" s="308">
        <v>5.9882</v>
      </c>
      <c r="AX573" s="308">
        <v>0</v>
      </c>
      <c r="AY573" s="308">
        <v>4.6913999999999998</v>
      </c>
      <c r="AZ573" s="308">
        <v>5.3501000000000003</v>
      </c>
      <c r="BA573" s="308">
        <v>0</v>
      </c>
      <c r="BB573" s="308">
        <v>5.9504000000000001</v>
      </c>
      <c r="BC573" s="308">
        <v>5.3285999999999998</v>
      </c>
      <c r="BD573" s="308">
        <v>4.9500999999999999</v>
      </c>
      <c r="BE573" s="308">
        <v>5.3697999999999997</v>
      </c>
      <c r="BF573" s="308">
        <v>5.7100999999999997</v>
      </c>
      <c r="BG573" s="308">
        <v>5.9694000000000003</v>
      </c>
      <c r="BH573" s="308">
        <v>6.7876000000000003</v>
      </c>
      <c r="BI573" s="308">
        <v>5.5255000000000001</v>
      </c>
      <c r="BJ573" s="308">
        <v>7.2923999999999998</v>
      </c>
      <c r="BK573" s="308">
        <v>5.0965999999999996</v>
      </c>
    </row>
    <row r="574" spans="1:63" x14ac:dyDescent="0.25">
      <c r="A574" s="306">
        <v>327993</v>
      </c>
      <c r="B574" s="308" t="s">
        <v>149</v>
      </c>
      <c r="C574" s="308">
        <v>8.2600999999999996</v>
      </c>
      <c r="D574" s="308">
        <v>0</v>
      </c>
      <c r="E574" s="308">
        <v>7.9927999999999999</v>
      </c>
      <c r="F574" s="308">
        <v>8.4923999999999999</v>
      </c>
      <c r="G574" s="308">
        <v>7.2248999999999999</v>
      </c>
      <c r="H574" s="308">
        <v>6.4828000000000001</v>
      </c>
      <c r="I574" s="308">
        <v>6.7103000000000002</v>
      </c>
      <c r="J574" s="308">
        <v>7.702</v>
      </c>
      <c r="K574" s="308">
        <v>0</v>
      </c>
      <c r="L574" s="308">
        <v>0</v>
      </c>
      <c r="M574" s="308">
        <v>6.2843</v>
      </c>
      <c r="N574" s="308">
        <v>6.9417</v>
      </c>
      <c r="O574" s="308">
        <v>6.8464</v>
      </c>
      <c r="P574" s="308">
        <v>7.7702999999999998</v>
      </c>
      <c r="Q574" s="308">
        <v>8.2012</v>
      </c>
      <c r="R574" s="308">
        <v>6.8022999999999998</v>
      </c>
      <c r="S574" s="308">
        <v>6.6360999999999999</v>
      </c>
      <c r="T574" s="308">
        <v>5.3491999999999997</v>
      </c>
      <c r="U574" s="308">
        <v>8.2392000000000003</v>
      </c>
      <c r="V574" s="308">
        <v>8.0261999999999993</v>
      </c>
      <c r="W574" s="308">
        <v>5.0332999999999997</v>
      </c>
      <c r="X574" s="308">
        <v>0</v>
      </c>
      <c r="Y574" s="308">
        <v>6.3529999999999998</v>
      </c>
      <c r="Z574" s="308">
        <v>7.35</v>
      </c>
      <c r="AA574" s="308">
        <v>6.3517000000000001</v>
      </c>
      <c r="AB574" s="308">
        <v>6.4793000000000003</v>
      </c>
      <c r="AC574" s="308">
        <v>7.0288000000000004</v>
      </c>
      <c r="AD574" s="308">
        <v>0</v>
      </c>
      <c r="AE574" s="308">
        <v>8.7460000000000004</v>
      </c>
      <c r="AF574" s="308">
        <v>5.4737</v>
      </c>
      <c r="AG574" s="308">
        <v>7.8451000000000004</v>
      </c>
      <c r="AH574" s="308">
        <v>0</v>
      </c>
      <c r="AI574" s="308">
        <v>5.7333999999999996</v>
      </c>
      <c r="AJ574" s="308">
        <v>8.2856000000000005</v>
      </c>
      <c r="AK574" s="308">
        <v>6.0582000000000003</v>
      </c>
      <c r="AL574" s="308">
        <v>5.0887000000000002</v>
      </c>
      <c r="AM574" s="308">
        <v>6.7584</v>
      </c>
      <c r="AN574" s="308">
        <v>9.0145</v>
      </c>
      <c r="AO574" s="308">
        <v>6.7686000000000002</v>
      </c>
      <c r="AP574" s="308">
        <v>6.6582999999999997</v>
      </c>
      <c r="AQ574" s="308">
        <v>4.9309000000000003</v>
      </c>
      <c r="AR574" s="308">
        <v>6.8140999999999998</v>
      </c>
      <c r="AS574" s="308">
        <v>5.2138</v>
      </c>
      <c r="AT574" s="308">
        <v>8.3307000000000002</v>
      </c>
      <c r="AU574" s="308">
        <v>7.2827999999999999</v>
      </c>
      <c r="AV574" s="308">
        <v>8.5366999999999997</v>
      </c>
      <c r="AW574" s="308">
        <v>6.4844999999999997</v>
      </c>
      <c r="AX574" s="308">
        <v>0</v>
      </c>
      <c r="AY574" s="308">
        <v>8.4989000000000008</v>
      </c>
      <c r="AZ574" s="308">
        <v>7.3038999999999996</v>
      </c>
      <c r="BA574" s="308">
        <v>6.9126000000000003</v>
      </c>
      <c r="BB574" s="308">
        <v>0</v>
      </c>
      <c r="BC574" s="308">
        <v>6.2243000000000004</v>
      </c>
      <c r="BD574" s="308">
        <v>6.2126999999999999</v>
      </c>
      <c r="BE574" s="308">
        <v>7.0301</v>
      </c>
      <c r="BF574" s="308">
        <v>6.4968000000000004</v>
      </c>
      <c r="BG574" s="308">
        <v>7.3179999999999996</v>
      </c>
      <c r="BH574" s="308">
        <v>8.3042999999999996</v>
      </c>
      <c r="BI574" s="308">
        <v>7.6576000000000004</v>
      </c>
      <c r="BJ574" s="308">
        <v>7.6611000000000002</v>
      </c>
      <c r="BK574" s="308">
        <v>6.6790000000000003</v>
      </c>
    </row>
    <row r="575" spans="1:63" x14ac:dyDescent="0.25">
      <c r="A575" s="306">
        <v>327999</v>
      </c>
      <c r="B575" s="308" t="s">
        <v>721</v>
      </c>
      <c r="C575" s="308">
        <v>9.9431999999999992</v>
      </c>
      <c r="D575" s="308">
        <v>0</v>
      </c>
      <c r="E575" s="308">
        <v>9.6814999999999998</v>
      </c>
      <c r="F575" s="308">
        <v>8.27</v>
      </c>
      <c r="G575" s="308">
        <v>8.9807000000000006</v>
      </c>
      <c r="H575" s="308">
        <v>7.9488000000000003</v>
      </c>
      <c r="I575" s="308">
        <v>9.3649000000000004</v>
      </c>
      <c r="J575" s="308">
        <v>5.8010000000000002</v>
      </c>
      <c r="K575" s="308">
        <v>1.9097999999999999</v>
      </c>
      <c r="L575" s="308">
        <v>5.1227</v>
      </c>
      <c r="M575" s="308">
        <v>8.3213000000000008</v>
      </c>
      <c r="N575" s="308">
        <v>8.2552000000000003</v>
      </c>
      <c r="O575" s="308">
        <v>5.5949</v>
      </c>
      <c r="P575" s="308">
        <v>8.4369999999999994</v>
      </c>
      <c r="Q575" s="308">
        <v>8.7821999999999996</v>
      </c>
      <c r="R575" s="308">
        <v>7.6597999999999997</v>
      </c>
      <c r="S575" s="308">
        <v>8.6633999999999993</v>
      </c>
      <c r="T575" s="308">
        <v>7.9767000000000001</v>
      </c>
      <c r="U575" s="308">
        <v>9.532</v>
      </c>
      <c r="V575" s="308">
        <v>8.3778000000000006</v>
      </c>
      <c r="W575" s="308">
        <v>6.5895999999999999</v>
      </c>
      <c r="X575" s="308">
        <v>6.2930999999999999</v>
      </c>
      <c r="Y575" s="308">
        <v>9.5220000000000002</v>
      </c>
      <c r="Z575" s="308">
        <v>8.4945000000000004</v>
      </c>
      <c r="AA575" s="308">
        <v>7.4732000000000003</v>
      </c>
      <c r="AB575" s="308">
        <v>7.9302999999999999</v>
      </c>
      <c r="AC575" s="308">
        <v>0</v>
      </c>
      <c r="AD575" s="308">
        <v>7.3117999999999999</v>
      </c>
      <c r="AE575" s="308">
        <v>9.1193000000000008</v>
      </c>
      <c r="AF575" s="308">
        <v>0</v>
      </c>
      <c r="AG575" s="308">
        <v>7.8411999999999997</v>
      </c>
      <c r="AH575" s="308">
        <v>5.8182999999999998</v>
      </c>
      <c r="AI575" s="308">
        <v>6.1988000000000003</v>
      </c>
      <c r="AJ575" s="308">
        <v>8.2236999999999991</v>
      </c>
      <c r="AK575" s="308">
        <v>8.1913999999999998</v>
      </c>
      <c r="AL575" s="308">
        <v>5.9756</v>
      </c>
      <c r="AM575" s="308">
        <v>7.806</v>
      </c>
      <c r="AN575" s="308">
        <v>8.4067000000000007</v>
      </c>
      <c r="AO575" s="308">
        <v>8.3161000000000005</v>
      </c>
      <c r="AP575" s="308">
        <v>7.9496000000000002</v>
      </c>
      <c r="AQ575" s="308">
        <v>5.8836000000000004</v>
      </c>
      <c r="AR575" s="308">
        <v>8.0282</v>
      </c>
      <c r="AS575" s="308">
        <v>8.2495999999999992</v>
      </c>
      <c r="AT575" s="308">
        <v>9.5464000000000002</v>
      </c>
      <c r="AU575" s="308">
        <v>9.6492000000000004</v>
      </c>
      <c r="AV575" s="308">
        <v>8.4389000000000003</v>
      </c>
      <c r="AW575" s="308">
        <v>8.4995999999999992</v>
      </c>
      <c r="AX575" s="308">
        <v>6.6073000000000004</v>
      </c>
      <c r="AY575" s="308">
        <v>8.6387</v>
      </c>
      <c r="AZ575" s="308">
        <v>8.1316000000000006</v>
      </c>
      <c r="BA575" s="308">
        <v>6.3616000000000001</v>
      </c>
      <c r="BB575" s="308">
        <v>0</v>
      </c>
      <c r="BC575" s="308">
        <v>6.8677000000000001</v>
      </c>
      <c r="BD575" s="308">
        <v>7.3114999999999997</v>
      </c>
      <c r="BE575" s="308">
        <v>8.5027000000000008</v>
      </c>
      <c r="BF575" s="308">
        <v>8.4390000000000001</v>
      </c>
      <c r="BG575" s="308">
        <v>8.7263000000000002</v>
      </c>
      <c r="BH575" s="308">
        <v>10.0541</v>
      </c>
      <c r="BI575" s="308">
        <v>9.6700999999999997</v>
      </c>
      <c r="BJ575" s="308">
        <v>8.6061999999999994</v>
      </c>
      <c r="BK575" s="308">
        <v>8.1513000000000009</v>
      </c>
    </row>
    <row r="576" spans="1:63" x14ac:dyDescent="0.25">
      <c r="A576" s="306">
        <v>331110</v>
      </c>
      <c r="B576" s="308" t="s">
        <v>150</v>
      </c>
      <c r="C576" s="308">
        <v>7.6844999999999999</v>
      </c>
      <c r="D576" s="308">
        <v>3.1202999999999999</v>
      </c>
      <c r="E576" s="308">
        <v>6.3196000000000003</v>
      </c>
      <c r="F576" s="308">
        <v>5.3327</v>
      </c>
      <c r="G576" s="308">
        <v>6.5206</v>
      </c>
      <c r="H576" s="308">
        <v>5.4238999999999997</v>
      </c>
      <c r="I576" s="308">
        <v>5.5049999999999999</v>
      </c>
      <c r="J576" s="308">
        <v>4.6235999999999997</v>
      </c>
      <c r="K576" s="308">
        <v>1.0490999999999999</v>
      </c>
      <c r="L576" s="308">
        <v>3.4685999999999999</v>
      </c>
      <c r="M576" s="308">
        <v>5.6604999999999999</v>
      </c>
      <c r="N576" s="308">
        <v>5.5629</v>
      </c>
      <c r="O576" s="308">
        <v>2.8515000000000001</v>
      </c>
      <c r="P576" s="308">
        <v>4.827</v>
      </c>
      <c r="Q576" s="308">
        <v>6.0510999999999999</v>
      </c>
      <c r="R576" s="308">
        <v>6.0259999999999998</v>
      </c>
      <c r="S576" s="308">
        <v>5.8136999999999999</v>
      </c>
      <c r="T576" s="308">
        <v>5.4661999999999997</v>
      </c>
      <c r="U576" s="308">
        <v>6.3978000000000002</v>
      </c>
      <c r="V576" s="308">
        <v>4.6928999999999998</v>
      </c>
      <c r="W576" s="308">
        <v>5.6772</v>
      </c>
      <c r="X576" s="308">
        <v>4.6154999999999999</v>
      </c>
      <c r="Y576" s="308">
        <v>0</v>
      </c>
      <c r="Z576" s="308">
        <v>6.3131000000000004</v>
      </c>
      <c r="AA576" s="308">
        <v>5.4973999999999998</v>
      </c>
      <c r="AB576" s="308">
        <v>6.1052</v>
      </c>
      <c r="AC576" s="308">
        <v>5.2087000000000003</v>
      </c>
      <c r="AD576" s="308">
        <v>5.7808999999999999</v>
      </c>
      <c r="AE576" s="308">
        <v>5.8569000000000004</v>
      </c>
      <c r="AF576" s="308">
        <v>5.3644999999999996</v>
      </c>
      <c r="AG576" s="308">
        <v>4.2945000000000002</v>
      </c>
      <c r="AH576" s="308">
        <v>4.0808999999999997</v>
      </c>
      <c r="AI576" s="308">
        <v>4.6700999999999997</v>
      </c>
      <c r="AJ576" s="308">
        <v>5.032</v>
      </c>
      <c r="AK576" s="308">
        <v>0</v>
      </c>
      <c r="AL576" s="308">
        <v>4.5536000000000003</v>
      </c>
      <c r="AM576" s="308">
        <v>6.3869999999999996</v>
      </c>
      <c r="AN576" s="308">
        <v>6.9379</v>
      </c>
      <c r="AO576" s="308">
        <v>5.3738000000000001</v>
      </c>
      <c r="AP576" s="308">
        <v>6.3219000000000003</v>
      </c>
      <c r="AQ576" s="308">
        <v>4.2878999999999996</v>
      </c>
      <c r="AR576" s="308">
        <v>6.3658999999999999</v>
      </c>
      <c r="AS576" s="308">
        <v>0</v>
      </c>
      <c r="AT576" s="308">
        <v>6.8155999999999999</v>
      </c>
      <c r="AU576" s="308">
        <v>6.1874000000000002</v>
      </c>
      <c r="AV576" s="308">
        <v>6.0129999999999999</v>
      </c>
      <c r="AW576" s="308">
        <v>5.2666000000000004</v>
      </c>
      <c r="AX576" s="308">
        <v>5.1303000000000001</v>
      </c>
      <c r="AY576" s="308">
        <v>6.0810000000000004</v>
      </c>
      <c r="AZ576" s="308">
        <v>5.8589000000000002</v>
      </c>
      <c r="BA576" s="308">
        <v>5.1348000000000003</v>
      </c>
      <c r="BB576" s="308">
        <v>0</v>
      </c>
      <c r="BC576" s="308">
        <v>5.4535999999999998</v>
      </c>
      <c r="BD576" s="308">
        <v>5.6395999999999997</v>
      </c>
      <c r="BE576" s="308">
        <v>6.6611000000000002</v>
      </c>
      <c r="BF576" s="308">
        <v>5.8560999999999996</v>
      </c>
      <c r="BG576" s="308">
        <v>6.0964</v>
      </c>
      <c r="BH576" s="308">
        <v>6.6562000000000001</v>
      </c>
      <c r="BI576" s="308">
        <v>6.4714</v>
      </c>
      <c r="BJ576" s="308">
        <v>5.5728</v>
      </c>
      <c r="BK576" s="308">
        <v>5.4554999999999998</v>
      </c>
    </row>
    <row r="577" spans="1:63" x14ac:dyDescent="0.25">
      <c r="A577" s="306">
        <v>331200</v>
      </c>
      <c r="B577" s="308" t="s">
        <v>151</v>
      </c>
      <c r="C577" s="308">
        <v>8.9297000000000004</v>
      </c>
      <c r="D577" s="308">
        <v>3.1616</v>
      </c>
      <c r="E577" s="308">
        <v>7.6689999999999996</v>
      </c>
      <c r="F577" s="308">
        <v>7.1486000000000001</v>
      </c>
      <c r="G577" s="308">
        <v>6.0719000000000003</v>
      </c>
      <c r="H577" s="308">
        <v>5.3094000000000001</v>
      </c>
      <c r="I577" s="308">
        <v>6.3205999999999998</v>
      </c>
      <c r="J577" s="308">
        <v>5.3242000000000003</v>
      </c>
      <c r="K577" s="308">
        <v>0</v>
      </c>
      <c r="L577" s="308">
        <v>4.4683000000000002</v>
      </c>
      <c r="M577" s="308">
        <v>5.3108000000000004</v>
      </c>
      <c r="N577" s="308">
        <v>6.3524000000000003</v>
      </c>
      <c r="O577" s="308">
        <v>2.8620000000000001</v>
      </c>
      <c r="P577" s="308">
        <v>5.9337999999999997</v>
      </c>
      <c r="Q577" s="308">
        <v>6.4217000000000004</v>
      </c>
      <c r="R577" s="308">
        <v>7.3215000000000003</v>
      </c>
      <c r="S577" s="308">
        <v>7.4664999999999999</v>
      </c>
      <c r="T577" s="308">
        <v>4.9207000000000001</v>
      </c>
      <c r="U577" s="308">
        <v>7.1946000000000003</v>
      </c>
      <c r="V577" s="308">
        <v>5.98</v>
      </c>
      <c r="W577" s="308">
        <v>4.2699999999999996</v>
      </c>
      <c r="X577" s="308">
        <v>6.0186999999999999</v>
      </c>
      <c r="Y577" s="308">
        <v>5.8531000000000004</v>
      </c>
      <c r="Z577" s="308">
        <v>7.4023000000000003</v>
      </c>
      <c r="AA577" s="308">
        <v>6.2704000000000004</v>
      </c>
      <c r="AB577" s="308">
        <v>6.6120999999999999</v>
      </c>
      <c r="AC577" s="308">
        <v>7.9623999999999997</v>
      </c>
      <c r="AD577" s="308">
        <v>6.6124000000000001</v>
      </c>
      <c r="AE577" s="308">
        <v>7.6772999999999998</v>
      </c>
      <c r="AF577" s="308">
        <v>0</v>
      </c>
      <c r="AG577" s="308">
        <v>6.7523999999999997</v>
      </c>
      <c r="AH577" s="308">
        <v>6.3544</v>
      </c>
      <c r="AI577" s="308">
        <v>5.0431999999999997</v>
      </c>
      <c r="AJ577" s="308">
        <v>0</v>
      </c>
      <c r="AK577" s="308">
        <v>5.7126000000000001</v>
      </c>
      <c r="AL577" s="308">
        <v>4.5332999999999997</v>
      </c>
      <c r="AM577" s="308">
        <v>7.7885999999999997</v>
      </c>
      <c r="AN577" s="308">
        <v>8.1687999999999992</v>
      </c>
      <c r="AO577" s="308">
        <v>6.2819000000000003</v>
      </c>
      <c r="AP577" s="308">
        <v>7.9337</v>
      </c>
      <c r="AQ577" s="308">
        <v>4.8285999999999998</v>
      </c>
      <c r="AR577" s="308">
        <v>7.2516999999999996</v>
      </c>
      <c r="AS577" s="308">
        <v>6.0788000000000002</v>
      </c>
      <c r="AT577" s="308">
        <v>8.0486000000000004</v>
      </c>
      <c r="AU577" s="308">
        <v>7.2907999999999999</v>
      </c>
      <c r="AV577" s="308">
        <v>9.3063000000000002</v>
      </c>
      <c r="AW577" s="308">
        <v>6.0682</v>
      </c>
      <c r="AX577" s="308">
        <v>4.5060000000000002</v>
      </c>
      <c r="AY577" s="308">
        <v>4.6321000000000003</v>
      </c>
      <c r="AZ577" s="308">
        <v>6.3940000000000001</v>
      </c>
      <c r="BA577" s="308">
        <v>5.7747999999999999</v>
      </c>
      <c r="BB577" s="308">
        <v>0</v>
      </c>
      <c r="BC577" s="308">
        <v>5.6032000000000002</v>
      </c>
      <c r="BD577" s="308">
        <v>7.1642000000000001</v>
      </c>
      <c r="BE577" s="308">
        <v>7.9946000000000002</v>
      </c>
      <c r="BF577" s="308">
        <v>6.5696000000000003</v>
      </c>
      <c r="BG577" s="308">
        <v>6.7264999999999997</v>
      </c>
      <c r="BH577" s="308">
        <v>8.1469000000000005</v>
      </c>
      <c r="BI577" s="308">
        <v>8.0503999999999998</v>
      </c>
      <c r="BJ577" s="308">
        <v>6.7634999999999996</v>
      </c>
      <c r="BK577" s="308">
        <v>5.4180000000000001</v>
      </c>
    </row>
    <row r="578" spans="1:63" x14ac:dyDescent="0.25">
      <c r="A578" s="306">
        <v>331314</v>
      </c>
      <c r="B578" s="308" t="s">
        <v>153</v>
      </c>
      <c r="C578" s="308">
        <v>7.8125</v>
      </c>
      <c r="D578" s="308">
        <v>0</v>
      </c>
      <c r="E578" s="308">
        <v>6.8323999999999998</v>
      </c>
      <c r="F578" s="308">
        <v>6.5933000000000002</v>
      </c>
      <c r="G578" s="308">
        <v>0</v>
      </c>
      <c r="H578" s="308">
        <v>4.9074</v>
      </c>
      <c r="I578" s="308">
        <v>0</v>
      </c>
      <c r="J578" s="308">
        <v>0</v>
      </c>
      <c r="K578" s="308">
        <v>0</v>
      </c>
      <c r="L578" s="308">
        <v>0</v>
      </c>
      <c r="M578" s="308">
        <v>6.7469000000000001</v>
      </c>
      <c r="N578" s="308">
        <v>5.8026999999999997</v>
      </c>
      <c r="O578" s="308">
        <v>0</v>
      </c>
      <c r="P578" s="308">
        <v>6.1383999999999999</v>
      </c>
      <c r="Q578" s="308">
        <v>5.5147000000000004</v>
      </c>
      <c r="R578" s="308">
        <v>5.5105000000000004</v>
      </c>
      <c r="S578" s="308">
        <v>6.7237999999999998</v>
      </c>
      <c r="T578" s="308">
        <v>6.22</v>
      </c>
      <c r="U578" s="308">
        <v>6.3105000000000002</v>
      </c>
      <c r="V578" s="308">
        <v>6.1104000000000003</v>
      </c>
      <c r="W578" s="308">
        <v>4.8114999999999997</v>
      </c>
      <c r="X578" s="308">
        <v>4.6985999999999999</v>
      </c>
      <c r="Y578" s="308">
        <v>0</v>
      </c>
      <c r="Z578" s="308">
        <v>6.3125999999999998</v>
      </c>
      <c r="AA578" s="308">
        <v>5.1032000000000002</v>
      </c>
      <c r="AB578" s="308">
        <v>5.7306999999999997</v>
      </c>
      <c r="AC578" s="308">
        <v>0</v>
      </c>
      <c r="AD578" s="308">
        <v>0</v>
      </c>
      <c r="AE578" s="308">
        <v>7.0255999999999998</v>
      </c>
      <c r="AF578" s="308">
        <v>0</v>
      </c>
      <c r="AG578" s="308">
        <v>0</v>
      </c>
      <c r="AH578" s="308">
        <v>0</v>
      </c>
      <c r="AI578" s="308">
        <v>4.0083000000000002</v>
      </c>
      <c r="AJ578" s="308">
        <v>0</v>
      </c>
      <c r="AK578" s="308">
        <v>0</v>
      </c>
      <c r="AL578" s="308">
        <v>4.6356999999999999</v>
      </c>
      <c r="AM578" s="308">
        <v>7.5021000000000004</v>
      </c>
      <c r="AN578" s="308">
        <v>6.7154999999999996</v>
      </c>
      <c r="AO578" s="308">
        <v>5.4063999999999997</v>
      </c>
      <c r="AP578" s="308">
        <v>5.7111000000000001</v>
      </c>
      <c r="AQ578" s="308">
        <v>0</v>
      </c>
      <c r="AR578" s="308">
        <v>7.9329000000000001</v>
      </c>
      <c r="AS578" s="308">
        <v>0</v>
      </c>
      <c r="AT578" s="308">
        <v>6.7644000000000002</v>
      </c>
      <c r="AU578" s="308">
        <v>7.1452</v>
      </c>
      <c r="AV578" s="308">
        <v>0</v>
      </c>
      <c r="AW578" s="308">
        <v>0</v>
      </c>
      <c r="AX578" s="308">
        <v>0</v>
      </c>
      <c r="AY578" s="308">
        <v>4.5570000000000004</v>
      </c>
      <c r="AZ578" s="308">
        <v>5.9574999999999996</v>
      </c>
      <c r="BA578" s="308">
        <v>0</v>
      </c>
      <c r="BB578" s="308">
        <v>0</v>
      </c>
      <c r="BC578" s="308">
        <v>5.4950999999999999</v>
      </c>
      <c r="BD578" s="308">
        <v>5.3875000000000002</v>
      </c>
      <c r="BE578" s="308">
        <v>7.1654999999999998</v>
      </c>
      <c r="BF578" s="308">
        <v>5.8803000000000001</v>
      </c>
      <c r="BG578" s="308">
        <v>6.8226000000000004</v>
      </c>
      <c r="BH578" s="308">
        <v>7.1893000000000002</v>
      </c>
      <c r="BI578" s="308">
        <v>7.2884000000000002</v>
      </c>
      <c r="BJ578" s="308">
        <v>6.4828000000000001</v>
      </c>
      <c r="BK578" s="308">
        <v>5.2542</v>
      </c>
    </row>
    <row r="579" spans="1:63" x14ac:dyDescent="0.25">
      <c r="A579" s="306" t="s">
        <v>722</v>
      </c>
      <c r="B579" s="308" t="s">
        <v>152</v>
      </c>
      <c r="C579" s="308">
        <v>7.0880000000000001</v>
      </c>
      <c r="D579" s="308">
        <v>0</v>
      </c>
      <c r="E579" s="308">
        <v>7.7474999999999996</v>
      </c>
      <c r="F579" s="308">
        <v>5.8808999999999996</v>
      </c>
      <c r="G579" s="308">
        <v>5.4196999999999997</v>
      </c>
      <c r="H579" s="308">
        <v>5.3940999999999999</v>
      </c>
      <c r="I579" s="308">
        <v>0</v>
      </c>
      <c r="J579" s="308">
        <v>0</v>
      </c>
      <c r="K579" s="308">
        <v>0</v>
      </c>
      <c r="L579" s="308">
        <v>0</v>
      </c>
      <c r="M579" s="308">
        <v>6.3968999999999996</v>
      </c>
      <c r="N579" s="308">
        <v>5.3026</v>
      </c>
      <c r="O579" s="308">
        <v>0</v>
      </c>
      <c r="P579" s="308">
        <v>0</v>
      </c>
      <c r="Q579" s="308">
        <v>3.5642999999999998</v>
      </c>
      <c r="R579" s="308">
        <v>5.7645999999999997</v>
      </c>
      <c r="S579" s="308">
        <v>5.3613</v>
      </c>
      <c r="T579" s="308">
        <v>0</v>
      </c>
      <c r="U579" s="308">
        <v>5.8754999999999997</v>
      </c>
      <c r="V579" s="308">
        <v>5.1691000000000003</v>
      </c>
      <c r="W579" s="308">
        <v>5.6131000000000002</v>
      </c>
      <c r="X579" s="308">
        <v>3.5749</v>
      </c>
      <c r="Y579" s="308">
        <v>0</v>
      </c>
      <c r="Z579" s="308">
        <v>0</v>
      </c>
      <c r="AA579" s="308">
        <v>6.8164999999999996</v>
      </c>
      <c r="AB579" s="308">
        <v>5.3541999999999996</v>
      </c>
      <c r="AC579" s="308">
        <v>0</v>
      </c>
      <c r="AD579" s="308">
        <v>4.6454000000000004</v>
      </c>
      <c r="AE579" s="308">
        <v>5.2347999999999999</v>
      </c>
      <c r="AF579" s="308">
        <v>0</v>
      </c>
      <c r="AG579" s="308">
        <v>0</v>
      </c>
      <c r="AH579" s="308">
        <v>6.0884</v>
      </c>
      <c r="AI579" s="308">
        <v>5.8365999999999998</v>
      </c>
      <c r="AJ579" s="308">
        <v>0</v>
      </c>
      <c r="AK579" s="308">
        <v>0</v>
      </c>
      <c r="AL579" s="308">
        <v>4.2173999999999996</v>
      </c>
      <c r="AM579" s="308">
        <v>6.6920999999999999</v>
      </c>
      <c r="AN579" s="308">
        <v>7.3996000000000004</v>
      </c>
      <c r="AO579" s="308">
        <v>4.4588999999999999</v>
      </c>
      <c r="AP579" s="308">
        <v>5.8897000000000004</v>
      </c>
      <c r="AQ579" s="308">
        <v>0</v>
      </c>
      <c r="AR579" s="308">
        <v>5.7290999999999999</v>
      </c>
      <c r="AS579" s="308">
        <v>0</v>
      </c>
      <c r="AT579" s="308">
        <v>5.2991000000000001</v>
      </c>
      <c r="AU579" s="308">
        <v>5.6383999999999999</v>
      </c>
      <c r="AV579" s="308">
        <v>0</v>
      </c>
      <c r="AW579" s="308">
        <v>0</v>
      </c>
      <c r="AX579" s="308">
        <v>0</v>
      </c>
      <c r="AY579" s="308">
        <v>4.8380999999999998</v>
      </c>
      <c r="AZ579" s="308">
        <v>0</v>
      </c>
      <c r="BA579" s="308">
        <v>4.8986999999999998</v>
      </c>
      <c r="BB579" s="308">
        <v>0</v>
      </c>
      <c r="BC579" s="308">
        <v>6.3981000000000003</v>
      </c>
      <c r="BD579" s="308">
        <v>5.2256999999999998</v>
      </c>
      <c r="BE579" s="308">
        <v>6.2647000000000004</v>
      </c>
      <c r="BF579" s="308">
        <v>5.3673999999999999</v>
      </c>
      <c r="BG579" s="308">
        <v>5.7904</v>
      </c>
      <c r="BH579" s="308">
        <v>6.125</v>
      </c>
      <c r="BI579" s="308">
        <v>6.0751999999999997</v>
      </c>
      <c r="BJ579" s="308">
        <v>5.6534000000000004</v>
      </c>
      <c r="BK579" s="308">
        <v>5.2816000000000001</v>
      </c>
    </row>
    <row r="580" spans="1:63" x14ac:dyDescent="0.25">
      <c r="A580" s="306" t="s">
        <v>723</v>
      </c>
      <c r="B580" s="308" t="s">
        <v>154</v>
      </c>
      <c r="C580" s="308">
        <v>7.5437000000000003</v>
      </c>
      <c r="D580" s="308">
        <v>0</v>
      </c>
      <c r="E580" s="308">
        <v>6.0663</v>
      </c>
      <c r="F580" s="308">
        <v>6.0709999999999997</v>
      </c>
      <c r="G580" s="308">
        <v>5.3482000000000003</v>
      </c>
      <c r="H580" s="308">
        <v>4.9869000000000003</v>
      </c>
      <c r="I580" s="308">
        <v>4.2496</v>
      </c>
      <c r="J580" s="308">
        <v>4.0560999999999998</v>
      </c>
      <c r="K580" s="308">
        <v>0</v>
      </c>
      <c r="L580" s="308">
        <v>0</v>
      </c>
      <c r="M580" s="308">
        <v>5.7289000000000003</v>
      </c>
      <c r="N580" s="308">
        <v>5.4866000000000001</v>
      </c>
      <c r="O580" s="308">
        <v>0</v>
      </c>
      <c r="P580" s="308">
        <v>3.9045999999999998</v>
      </c>
      <c r="Q580" s="308">
        <v>0</v>
      </c>
      <c r="R580" s="308">
        <v>5.2210999999999999</v>
      </c>
      <c r="S580" s="308">
        <v>6.2698999999999998</v>
      </c>
      <c r="T580" s="308">
        <v>4.8792</v>
      </c>
      <c r="U580" s="308">
        <v>5.7492999999999999</v>
      </c>
      <c r="V580" s="308">
        <v>6.2328000000000001</v>
      </c>
      <c r="W580" s="308">
        <v>3.9481999999999999</v>
      </c>
      <c r="X580" s="308">
        <v>4.2380000000000004</v>
      </c>
      <c r="Y580" s="308">
        <v>0</v>
      </c>
      <c r="Z580" s="308">
        <v>5.9340999999999999</v>
      </c>
      <c r="AA580" s="308">
        <v>5.5408999999999997</v>
      </c>
      <c r="AB580" s="308">
        <v>6.0324</v>
      </c>
      <c r="AC580" s="308">
        <v>5.5861999999999998</v>
      </c>
      <c r="AD580" s="308">
        <v>0</v>
      </c>
      <c r="AE580" s="308">
        <v>5.2268999999999997</v>
      </c>
      <c r="AF580" s="308">
        <v>0</v>
      </c>
      <c r="AG580" s="308">
        <v>0</v>
      </c>
      <c r="AH580" s="308">
        <v>5.0542999999999996</v>
      </c>
      <c r="AI580" s="308">
        <v>4.6386000000000003</v>
      </c>
      <c r="AJ580" s="308">
        <v>0</v>
      </c>
      <c r="AK580" s="308">
        <v>3.2414999999999998</v>
      </c>
      <c r="AL580" s="308">
        <v>4.1252000000000004</v>
      </c>
      <c r="AM580" s="308">
        <v>7.3007</v>
      </c>
      <c r="AN580" s="308">
        <v>5.6497000000000002</v>
      </c>
      <c r="AO580" s="308">
        <v>5.6262999999999996</v>
      </c>
      <c r="AP580" s="308">
        <v>5.8712999999999997</v>
      </c>
      <c r="AQ580" s="308">
        <v>0</v>
      </c>
      <c r="AR580" s="308">
        <v>6.2942999999999998</v>
      </c>
      <c r="AS580" s="308">
        <v>5.1371000000000002</v>
      </c>
      <c r="AT580" s="308">
        <v>5.5407000000000002</v>
      </c>
      <c r="AU580" s="308">
        <v>6.5841000000000003</v>
      </c>
      <c r="AV580" s="308">
        <v>5.8711000000000002</v>
      </c>
      <c r="AW580" s="308">
        <v>4.6448999999999998</v>
      </c>
      <c r="AX580" s="308">
        <v>0</v>
      </c>
      <c r="AY580" s="308">
        <v>4.8971</v>
      </c>
      <c r="AZ580" s="308">
        <v>5.9710000000000001</v>
      </c>
      <c r="BA580" s="308">
        <v>4.2576999999999998</v>
      </c>
      <c r="BB580" s="308">
        <v>0</v>
      </c>
      <c r="BC580" s="308">
        <v>4.6177999999999999</v>
      </c>
      <c r="BD580" s="308">
        <v>5.4306000000000001</v>
      </c>
      <c r="BE580" s="308">
        <v>7.0316000000000001</v>
      </c>
      <c r="BF580" s="308">
        <v>5.7304000000000004</v>
      </c>
      <c r="BG580" s="308">
        <v>5.6643999999999997</v>
      </c>
      <c r="BH580" s="308">
        <v>6.2667000000000002</v>
      </c>
      <c r="BI580" s="308">
        <v>7.1139999999999999</v>
      </c>
      <c r="BJ580" s="308">
        <v>5.1722999999999999</v>
      </c>
      <c r="BK580" s="308">
        <v>5.3376000000000001</v>
      </c>
    </row>
    <row r="581" spans="1:63" x14ac:dyDescent="0.25">
      <c r="A581" s="306">
        <v>331411</v>
      </c>
      <c r="B581" s="308" t="s">
        <v>155</v>
      </c>
      <c r="C581" s="308">
        <v>5.5960999999999999</v>
      </c>
      <c r="D581" s="308">
        <v>0</v>
      </c>
      <c r="E581" s="308">
        <v>0</v>
      </c>
      <c r="F581" s="308">
        <v>0</v>
      </c>
      <c r="G581" s="308">
        <v>4.3559999999999999</v>
      </c>
      <c r="H581" s="308">
        <v>0</v>
      </c>
      <c r="I581" s="308">
        <v>0</v>
      </c>
      <c r="J581" s="308">
        <v>0</v>
      </c>
      <c r="K581" s="308">
        <v>0</v>
      </c>
      <c r="L581" s="308">
        <v>0</v>
      </c>
      <c r="M581" s="308">
        <v>0</v>
      </c>
      <c r="N581" s="308">
        <v>0</v>
      </c>
      <c r="O581" s="308">
        <v>0</v>
      </c>
      <c r="P581" s="308">
        <v>0</v>
      </c>
      <c r="Q581" s="308">
        <v>0</v>
      </c>
      <c r="R581" s="308">
        <v>0</v>
      </c>
      <c r="S581" s="308">
        <v>0</v>
      </c>
      <c r="T581" s="308">
        <v>0</v>
      </c>
      <c r="U581" s="308">
        <v>0</v>
      </c>
      <c r="V581" s="308">
        <v>0</v>
      </c>
      <c r="W581" s="308">
        <v>0</v>
      </c>
      <c r="X581" s="308">
        <v>0</v>
      </c>
      <c r="Y581" s="308">
        <v>0</v>
      </c>
      <c r="Z581" s="308">
        <v>4.2240000000000002</v>
      </c>
      <c r="AA581" s="308">
        <v>0</v>
      </c>
      <c r="AB581" s="308">
        <v>0</v>
      </c>
      <c r="AC581" s="308">
        <v>0</v>
      </c>
      <c r="AD581" s="308">
        <v>0</v>
      </c>
      <c r="AE581" s="308">
        <v>0</v>
      </c>
      <c r="AF581" s="308">
        <v>0</v>
      </c>
      <c r="AG581" s="308">
        <v>0</v>
      </c>
      <c r="AH581" s="308">
        <v>0</v>
      </c>
      <c r="AI581" s="308">
        <v>0</v>
      </c>
      <c r="AJ581" s="308">
        <v>0</v>
      </c>
      <c r="AK581" s="308">
        <v>0</v>
      </c>
      <c r="AL581" s="308">
        <v>0</v>
      </c>
      <c r="AM581" s="308">
        <v>0</v>
      </c>
      <c r="AN581" s="308">
        <v>0</v>
      </c>
      <c r="AO581" s="308">
        <v>0</v>
      </c>
      <c r="AP581" s="308">
        <v>0</v>
      </c>
      <c r="AQ581" s="308">
        <v>3.6816</v>
      </c>
      <c r="AR581" s="308">
        <v>0</v>
      </c>
      <c r="AS581" s="308">
        <v>0</v>
      </c>
      <c r="AT581" s="308">
        <v>0</v>
      </c>
      <c r="AU581" s="308">
        <v>4.1860999999999997</v>
      </c>
      <c r="AV581" s="308">
        <v>5.0801999999999996</v>
      </c>
      <c r="AW581" s="308">
        <v>0</v>
      </c>
      <c r="AX581" s="308">
        <v>0</v>
      </c>
      <c r="AY581" s="308">
        <v>0</v>
      </c>
      <c r="AZ581" s="308">
        <v>0</v>
      </c>
      <c r="BA581" s="308">
        <v>0</v>
      </c>
      <c r="BB581" s="308">
        <v>0</v>
      </c>
      <c r="BC581" s="308">
        <v>3.6909999999999998</v>
      </c>
      <c r="BD581" s="308">
        <v>0</v>
      </c>
      <c r="BE581" s="308">
        <v>3.9304999999999999</v>
      </c>
      <c r="BF581" s="308">
        <v>0</v>
      </c>
      <c r="BG581" s="308">
        <v>0</v>
      </c>
      <c r="BH581" s="308">
        <v>0</v>
      </c>
      <c r="BI581" s="308">
        <v>4.3601000000000001</v>
      </c>
      <c r="BJ581" s="308">
        <v>4.6311999999999998</v>
      </c>
      <c r="BK581" s="308">
        <v>0</v>
      </c>
    </row>
    <row r="582" spans="1:63" x14ac:dyDescent="0.25">
      <c r="A582" s="306">
        <v>331419</v>
      </c>
      <c r="B582" s="308" t="s">
        <v>156</v>
      </c>
      <c r="C582" s="308">
        <v>7.8746999999999998</v>
      </c>
      <c r="D582" s="308">
        <v>0</v>
      </c>
      <c r="E582" s="308">
        <v>5.9802999999999997</v>
      </c>
      <c r="F582" s="308">
        <v>6.5757000000000003</v>
      </c>
      <c r="G582" s="308">
        <v>6.1840999999999999</v>
      </c>
      <c r="H582" s="308">
        <v>5.7834000000000003</v>
      </c>
      <c r="I582" s="308">
        <v>5.359</v>
      </c>
      <c r="J582" s="308">
        <v>3.6724000000000001</v>
      </c>
      <c r="K582" s="308">
        <v>0</v>
      </c>
      <c r="L582" s="308">
        <v>0</v>
      </c>
      <c r="M582" s="308">
        <v>7.1002000000000001</v>
      </c>
      <c r="N582" s="308">
        <v>0</v>
      </c>
      <c r="O582" s="308">
        <v>0</v>
      </c>
      <c r="P582" s="308">
        <v>0</v>
      </c>
      <c r="Q582" s="308">
        <v>7.4150999999999998</v>
      </c>
      <c r="R582" s="308">
        <v>4.7763</v>
      </c>
      <c r="S582" s="308">
        <v>0</v>
      </c>
      <c r="T582" s="308">
        <v>6.0212000000000003</v>
      </c>
      <c r="U582" s="308">
        <v>0</v>
      </c>
      <c r="V582" s="308">
        <v>0</v>
      </c>
      <c r="W582" s="308">
        <v>4.6707999999999998</v>
      </c>
      <c r="X582" s="308">
        <v>0</v>
      </c>
      <c r="Y582" s="308">
        <v>0</v>
      </c>
      <c r="Z582" s="308">
        <v>7.1276000000000002</v>
      </c>
      <c r="AA582" s="308">
        <v>4.7449000000000003</v>
      </c>
      <c r="AB582" s="308">
        <v>5.6277999999999997</v>
      </c>
      <c r="AC582" s="308">
        <v>0</v>
      </c>
      <c r="AD582" s="308">
        <v>5.4842000000000004</v>
      </c>
      <c r="AE582" s="308">
        <v>5.0819999999999999</v>
      </c>
      <c r="AF582" s="308">
        <v>5.2609000000000004</v>
      </c>
      <c r="AG582" s="308">
        <v>0</v>
      </c>
      <c r="AH582" s="308">
        <v>0</v>
      </c>
      <c r="AI582" s="308">
        <v>4.2443999999999997</v>
      </c>
      <c r="AJ582" s="308">
        <v>5.6924000000000001</v>
      </c>
      <c r="AK582" s="308">
        <v>5.8798000000000004</v>
      </c>
      <c r="AL582" s="308">
        <v>3.9697</v>
      </c>
      <c r="AM582" s="308">
        <v>5.5183</v>
      </c>
      <c r="AN582" s="308">
        <v>0</v>
      </c>
      <c r="AO582" s="308">
        <v>4.8943000000000003</v>
      </c>
      <c r="AP582" s="308">
        <v>5.2485999999999997</v>
      </c>
      <c r="AQ582" s="308">
        <v>4.5911</v>
      </c>
      <c r="AR582" s="308">
        <v>7.2423999999999999</v>
      </c>
      <c r="AS582" s="308">
        <v>5.6066000000000003</v>
      </c>
      <c r="AT582" s="308">
        <v>6.5212000000000003</v>
      </c>
      <c r="AU582" s="308">
        <v>5.3103999999999996</v>
      </c>
      <c r="AV582" s="308">
        <v>8.7950999999999997</v>
      </c>
      <c r="AW582" s="308">
        <v>0</v>
      </c>
      <c r="AX582" s="308">
        <v>0</v>
      </c>
      <c r="AY582" s="308">
        <v>5.7766999999999999</v>
      </c>
      <c r="AZ582" s="308">
        <v>0</v>
      </c>
      <c r="BA582" s="308">
        <v>0</v>
      </c>
      <c r="BB582" s="308">
        <v>0</v>
      </c>
      <c r="BC582" s="308">
        <v>5.1384999999999996</v>
      </c>
      <c r="BD582" s="308">
        <v>4.9089</v>
      </c>
      <c r="BE582" s="308">
        <v>5.6272000000000002</v>
      </c>
      <c r="BF582" s="308">
        <v>5.4785000000000004</v>
      </c>
      <c r="BG582" s="308">
        <v>6.5799000000000003</v>
      </c>
      <c r="BH582" s="308">
        <v>6.2504999999999997</v>
      </c>
      <c r="BI582" s="308">
        <v>5.4081000000000001</v>
      </c>
      <c r="BJ582" s="308">
        <v>7.3893000000000004</v>
      </c>
      <c r="BK582" s="308">
        <v>6.1085000000000003</v>
      </c>
    </row>
    <row r="583" spans="1:63" x14ac:dyDescent="0.25">
      <c r="A583" s="306">
        <v>331420</v>
      </c>
      <c r="B583" s="308" t="s">
        <v>157</v>
      </c>
      <c r="C583" s="308">
        <v>7.6291000000000002</v>
      </c>
      <c r="D583" s="308">
        <v>0</v>
      </c>
      <c r="E583" s="308">
        <v>5.7317</v>
      </c>
      <c r="F583" s="308">
        <v>6.2858000000000001</v>
      </c>
      <c r="G583" s="308">
        <v>5.5378999999999996</v>
      </c>
      <c r="H583" s="308">
        <v>4.9748000000000001</v>
      </c>
      <c r="I583" s="308">
        <v>5.2050000000000001</v>
      </c>
      <c r="J583" s="308">
        <v>4.9364999999999997</v>
      </c>
      <c r="K583" s="308">
        <v>0</v>
      </c>
      <c r="L583" s="308">
        <v>2.7338</v>
      </c>
      <c r="M583" s="308">
        <v>5.5867000000000004</v>
      </c>
      <c r="N583" s="308">
        <v>6.0580999999999996</v>
      </c>
      <c r="O583" s="308">
        <v>0</v>
      </c>
      <c r="P583" s="308">
        <v>4.8140999999999998</v>
      </c>
      <c r="Q583" s="308">
        <v>0</v>
      </c>
      <c r="R583" s="308">
        <v>5.3609</v>
      </c>
      <c r="S583" s="308">
        <v>5.8526999999999996</v>
      </c>
      <c r="T583" s="308">
        <v>5.6620999999999997</v>
      </c>
      <c r="U583" s="308">
        <v>5.6993999999999998</v>
      </c>
      <c r="V583" s="308">
        <v>5.1005000000000003</v>
      </c>
      <c r="W583" s="308">
        <v>5.2305000000000001</v>
      </c>
      <c r="X583" s="308">
        <v>4.8448000000000002</v>
      </c>
      <c r="Y583" s="308">
        <v>4.9523000000000001</v>
      </c>
      <c r="Z583" s="308">
        <v>6.2043999999999997</v>
      </c>
      <c r="AA583" s="308">
        <v>4.6924999999999999</v>
      </c>
      <c r="AB583" s="308">
        <v>5.0838999999999999</v>
      </c>
      <c r="AC583" s="308">
        <v>5.7877000000000001</v>
      </c>
      <c r="AD583" s="308">
        <v>0</v>
      </c>
      <c r="AE583" s="308">
        <v>6.1855000000000002</v>
      </c>
      <c r="AF583" s="308">
        <v>0</v>
      </c>
      <c r="AG583" s="308">
        <v>5.4795999999999996</v>
      </c>
      <c r="AH583" s="308">
        <v>5.9356</v>
      </c>
      <c r="AI583" s="308">
        <v>4.8135000000000003</v>
      </c>
      <c r="AJ583" s="308">
        <v>4.1237000000000004</v>
      </c>
      <c r="AK583" s="308">
        <v>0</v>
      </c>
      <c r="AL583" s="308">
        <v>4.7169999999999996</v>
      </c>
      <c r="AM583" s="308">
        <v>5.665</v>
      </c>
      <c r="AN583" s="308">
        <v>6.1379000000000001</v>
      </c>
      <c r="AO583" s="308">
        <v>4.4732000000000003</v>
      </c>
      <c r="AP583" s="308">
        <v>5.9866000000000001</v>
      </c>
      <c r="AQ583" s="308">
        <v>4.9150999999999998</v>
      </c>
      <c r="AR583" s="308">
        <v>6.69</v>
      </c>
      <c r="AS583" s="308">
        <v>0</v>
      </c>
      <c r="AT583" s="308">
        <v>5.6288999999999998</v>
      </c>
      <c r="AU583" s="308">
        <v>6.3842999999999996</v>
      </c>
      <c r="AV583" s="308">
        <v>7.3513999999999999</v>
      </c>
      <c r="AW583" s="308">
        <v>5.3735999999999997</v>
      </c>
      <c r="AX583" s="308">
        <v>4.5568999999999997</v>
      </c>
      <c r="AY583" s="308">
        <v>0</v>
      </c>
      <c r="AZ583" s="308">
        <v>5.6486999999999998</v>
      </c>
      <c r="BA583" s="308">
        <v>4.4740000000000002</v>
      </c>
      <c r="BB583" s="308">
        <v>0</v>
      </c>
      <c r="BC583" s="308">
        <v>5.7775999999999996</v>
      </c>
      <c r="BD583" s="308">
        <v>5.6292999999999997</v>
      </c>
      <c r="BE583" s="308">
        <v>6.0789</v>
      </c>
      <c r="BF583" s="308">
        <v>5.5382999999999996</v>
      </c>
      <c r="BG583" s="308">
        <v>5.9024999999999999</v>
      </c>
      <c r="BH583" s="308">
        <v>6.1577999999999999</v>
      </c>
      <c r="BI583" s="308">
        <v>6.6641000000000004</v>
      </c>
      <c r="BJ583" s="308">
        <v>5.8596000000000004</v>
      </c>
      <c r="BK583" s="308">
        <v>4.9809999999999999</v>
      </c>
    </row>
    <row r="584" spans="1:63" x14ac:dyDescent="0.25">
      <c r="A584" s="306">
        <v>331490</v>
      </c>
      <c r="B584" s="308" t="s">
        <v>158</v>
      </c>
      <c r="C584" s="308">
        <v>7.8959000000000001</v>
      </c>
      <c r="D584" s="308">
        <v>0</v>
      </c>
      <c r="E584" s="308">
        <v>6.7081999999999997</v>
      </c>
      <c r="F584" s="308">
        <v>6.9257999999999997</v>
      </c>
      <c r="G584" s="308">
        <v>6.4127999999999998</v>
      </c>
      <c r="H584" s="308">
        <v>6.1932999999999998</v>
      </c>
      <c r="I584" s="308">
        <v>5.1669</v>
      </c>
      <c r="J584" s="308">
        <v>5.4558</v>
      </c>
      <c r="K584" s="308">
        <v>0</v>
      </c>
      <c r="L584" s="308">
        <v>0</v>
      </c>
      <c r="M584" s="308">
        <v>5.548</v>
      </c>
      <c r="N584" s="308">
        <v>6.0065999999999997</v>
      </c>
      <c r="O584" s="308">
        <v>0</v>
      </c>
      <c r="P584" s="308">
        <v>0</v>
      </c>
      <c r="Q584" s="308">
        <v>6.3611000000000004</v>
      </c>
      <c r="R584" s="308">
        <v>5.8360000000000003</v>
      </c>
      <c r="S584" s="308">
        <v>5.9756</v>
      </c>
      <c r="T584" s="308">
        <v>0</v>
      </c>
      <c r="U584" s="308">
        <v>6.5465999999999998</v>
      </c>
      <c r="V584" s="308">
        <v>5.9476000000000004</v>
      </c>
      <c r="W584" s="308">
        <v>4.8775000000000004</v>
      </c>
      <c r="X584" s="308">
        <v>5.8564999999999996</v>
      </c>
      <c r="Y584" s="308">
        <v>5.0286999999999997</v>
      </c>
      <c r="Z584" s="308">
        <v>6.4447000000000001</v>
      </c>
      <c r="AA584" s="308">
        <v>6.7053000000000003</v>
      </c>
      <c r="AB584" s="308">
        <v>6.8446999999999996</v>
      </c>
      <c r="AC584" s="308">
        <v>0</v>
      </c>
      <c r="AD584" s="308">
        <v>6.6024000000000003</v>
      </c>
      <c r="AE584" s="308">
        <v>5.8212000000000002</v>
      </c>
      <c r="AF584" s="308">
        <v>0</v>
      </c>
      <c r="AG584" s="308">
        <v>0</v>
      </c>
      <c r="AH584" s="308">
        <v>4.7367999999999997</v>
      </c>
      <c r="AI584" s="308">
        <v>4.7511000000000001</v>
      </c>
      <c r="AJ584" s="308">
        <v>4.5572999999999997</v>
      </c>
      <c r="AK584" s="308">
        <v>5.6207000000000003</v>
      </c>
      <c r="AL584" s="308">
        <v>5.0072999999999999</v>
      </c>
      <c r="AM584" s="308">
        <v>6.4953000000000003</v>
      </c>
      <c r="AN584" s="308">
        <v>7.0568999999999997</v>
      </c>
      <c r="AO584" s="308">
        <v>6.1242999999999999</v>
      </c>
      <c r="AP584" s="308">
        <v>6.5652999999999997</v>
      </c>
      <c r="AQ584" s="308">
        <v>5.2419000000000002</v>
      </c>
      <c r="AR584" s="308">
        <v>6.4382999999999999</v>
      </c>
      <c r="AS584" s="308">
        <v>0</v>
      </c>
      <c r="AT584" s="308">
        <v>6.8620000000000001</v>
      </c>
      <c r="AU584" s="308">
        <v>7.1772</v>
      </c>
      <c r="AV584" s="308">
        <v>7.2652000000000001</v>
      </c>
      <c r="AW584" s="308">
        <v>6.7248000000000001</v>
      </c>
      <c r="AX584" s="308">
        <v>0</v>
      </c>
      <c r="AY584" s="308">
        <v>5.7229000000000001</v>
      </c>
      <c r="AZ584" s="308">
        <v>6.1163999999999996</v>
      </c>
      <c r="BA584" s="308">
        <v>4.6210000000000004</v>
      </c>
      <c r="BB584" s="308">
        <v>0</v>
      </c>
      <c r="BC584" s="308">
        <v>5.8440000000000003</v>
      </c>
      <c r="BD584" s="308">
        <v>6.1292999999999997</v>
      </c>
      <c r="BE584" s="308">
        <v>6.6536</v>
      </c>
      <c r="BF584" s="308">
        <v>6.6829999999999998</v>
      </c>
      <c r="BG584" s="308">
        <v>6.0986000000000002</v>
      </c>
      <c r="BH584" s="308">
        <v>7.1275000000000004</v>
      </c>
      <c r="BI584" s="308">
        <v>7.2359999999999998</v>
      </c>
      <c r="BJ584" s="308">
        <v>6.444</v>
      </c>
      <c r="BK584" s="308">
        <v>6.4793000000000003</v>
      </c>
    </row>
    <row r="585" spans="1:63" x14ac:dyDescent="0.25">
      <c r="A585" s="306">
        <v>331510</v>
      </c>
      <c r="B585" s="308" t="s">
        <v>159</v>
      </c>
      <c r="C585" s="308">
        <v>10.8874</v>
      </c>
      <c r="D585" s="308">
        <v>0</v>
      </c>
      <c r="E585" s="308">
        <v>9.0233000000000008</v>
      </c>
      <c r="F585" s="308">
        <v>9.8221000000000007</v>
      </c>
      <c r="G585" s="308">
        <v>9.1636000000000006</v>
      </c>
      <c r="H585" s="308">
        <v>9.8553999999999995</v>
      </c>
      <c r="I585" s="308">
        <v>9.7744</v>
      </c>
      <c r="J585" s="308">
        <v>7.8342999999999998</v>
      </c>
      <c r="K585" s="308">
        <v>0</v>
      </c>
      <c r="L585" s="308">
        <v>0</v>
      </c>
      <c r="M585" s="308">
        <v>10.6568</v>
      </c>
      <c r="N585" s="308">
        <v>10.1706</v>
      </c>
      <c r="O585" s="308">
        <v>0</v>
      </c>
      <c r="P585" s="308">
        <v>8.6966000000000001</v>
      </c>
      <c r="Q585" s="308">
        <v>9.2765000000000004</v>
      </c>
      <c r="R585" s="308">
        <v>8.5286000000000008</v>
      </c>
      <c r="S585" s="308">
        <v>9.8857999999999997</v>
      </c>
      <c r="T585" s="308">
        <v>9.3673999999999999</v>
      </c>
      <c r="U585" s="308">
        <v>10.3401</v>
      </c>
      <c r="V585" s="308">
        <v>10.8925</v>
      </c>
      <c r="W585" s="308">
        <v>7.9028999999999998</v>
      </c>
      <c r="X585" s="308">
        <v>7.6303000000000001</v>
      </c>
      <c r="Y585" s="308">
        <v>10.530900000000001</v>
      </c>
      <c r="Z585" s="308">
        <v>8.8896999999999995</v>
      </c>
      <c r="AA585" s="308">
        <v>10.0258</v>
      </c>
      <c r="AB585" s="308">
        <v>9.8267000000000007</v>
      </c>
      <c r="AC585" s="308">
        <v>10.455500000000001</v>
      </c>
      <c r="AD585" s="308">
        <v>9.1593999999999998</v>
      </c>
      <c r="AE585" s="308">
        <v>9.9315999999999995</v>
      </c>
      <c r="AF585" s="308">
        <v>0</v>
      </c>
      <c r="AG585" s="308">
        <v>10.341699999999999</v>
      </c>
      <c r="AH585" s="308">
        <v>9.0603999999999996</v>
      </c>
      <c r="AI585" s="308">
        <v>7.8548999999999998</v>
      </c>
      <c r="AJ585" s="308">
        <v>8.1669999999999998</v>
      </c>
      <c r="AK585" s="308">
        <v>8.6278000000000006</v>
      </c>
      <c r="AL585" s="308">
        <v>8.9795999999999996</v>
      </c>
      <c r="AM585" s="308">
        <v>9.1432000000000002</v>
      </c>
      <c r="AN585" s="308">
        <v>11.410500000000001</v>
      </c>
      <c r="AO585" s="308">
        <v>8.2589000000000006</v>
      </c>
      <c r="AP585" s="308">
        <v>9.8697999999999997</v>
      </c>
      <c r="AQ585" s="308">
        <v>9.1953999999999994</v>
      </c>
      <c r="AR585" s="308">
        <v>11.549799999999999</v>
      </c>
      <c r="AS585" s="308">
        <v>9.8643000000000001</v>
      </c>
      <c r="AT585" s="308">
        <v>9.8231000000000002</v>
      </c>
      <c r="AU585" s="308">
        <v>10.257</v>
      </c>
      <c r="AV585" s="308">
        <v>11.6999</v>
      </c>
      <c r="AW585" s="308">
        <v>10.3437</v>
      </c>
      <c r="AX585" s="308">
        <v>7.9532999999999996</v>
      </c>
      <c r="AY585" s="308">
        <v>9.7066999999999997</v>
      </c>
      <c r="AZ585" s="308">
        <v>9.5043000000000006</v>
      </c>
      <c r="BA585" s="308">
        <v>8.4284999999999997</v>
      </c>
      <c r="BB585" s="308">
        <v>0</v>
      </c>
      <c r="BC585" s="308">
        <v>9.3978000000000002</v>
      </c>
      <c r="BD585" s="308">
        <v>9.5160999999999998</v>
      </c>
      <c r="BE585" s="308">
        <v>9.7803000000000004</v>
      </c>
      <c r="BF585" s="308">
        <v>10.2189</v>
      </c>
      <c r="BG585" s="308">
        <v>10.5435</v>
      </c>
      <c r="BH585" s="308">
        <v>9.3826999999999998</v>
      </c>
      <c r="BI585" s="308">
        <v>10.6471</v>
      </c>
      <c r="BJ585" s="308">
        <v>10.210900000000001</v>
      </c>
      <c r="BK585" s="308">
        <v>9.4686000000000003</v>
      </c>
    </row>
    <row r="586" spans="1:63" x14ac:dyDescent="0.25">
      <c r="A586" s="306">
        <v>331520</v>
      </c>
      <c r="B586" s="308" t="s">
        <v>160</v>
      </c>
      <c r="C586" s="308">
        <v>11.6729</v>
      </c>
      <c r="D586" s="308">
        <v>0</v>
      </c>
      <c r="E586" s="308">
        <v>10.922800000000001</v>
      </c>
      <c r="F586" s="308">
        <v>9.6861999999999995</v>
      </c>
      <c r="G586" s="308">
        <v>10.644600000000001</v>
      </c>
      <c r="H586" s="308">
        <v>9.1599000000000004</v>
      </c>
      <c r="I586" s="308">
        <v>9.3927999999999994</v>
      </c>
      <c r="J586" s="308">
        <v>8.7942</v>
      </c>
      <c r="K586" s="308">
        <v>0</v>
      </c>
      <c r="L586" s="308">
        <v>0</v>
      </c>
      <c r="M586" s="308">
        <v>12.038500000000001</v>
      </c>
      <c r="N586" s="308">
        <v>9.8640000000000008</v>
      </c>
      <c r="O586" s="308">
        <v>0</v>
      </c>
      <c r="P586" s="308">
        <v>9.5440000000000005</v>
      </c>
      <c r="Q586" s="308">
        <v>7.5220000000000002</v>
      </c>
      <c r="R586" s="308">
        <v>9.7421000000000006</v>
      </c>
      <c r="S586" s="308">
        <v>9.7454999999999998</v>
      </c>
      <c r="T586" s="308">
        <v>10.601000000000001</v>
      </c>
      <c r="U586" s="308">
        <v>10.427099999999999</v>
      </c>
      <c r="V586" s="308">
        <v>12.011699999999999</v>
      </c>
      <c r="W586" s="308">
        <v>8.5304000000000002</v>
      </c>
      <c r="X586" s="308">
        <v>10.333399999999999</v>
      </c>
      <c r="Y586" s="308">
        <v>11.636900000000001</v>
      </c>
      <c r="Z586" s="308">
        <v>9.0790000000000006</v>
      </c>
      <c r="AA586" s="308">
        <v>9.4032999999999998</v>
      </c>
      <c r="AB586" s="308">
        <v>10.146699999999999</v>
      </c>
      <c r="AC586" s="308">
        <v>7.8265000000000002</v>
      </c>
      <c r="AD586" s="308">
        <v>9.4533000000000005</v>
      </c>
      <c r="AE586" s="308">
        <v>10.7233</v>
      </c>
      <c r="AF586" s="308">
        <v>0</v>
      </c>
      <c r="AG586" s="308">
        <v>10.170999999999999</v>
      </c>
      <c r="AH586" s="308">
        <v>8.5582999999999991</v>
      </c>
      <c r="AI586" s="308">
        <v>9.3224</v>
      </c>
      <c r="AJ586" s="308">
        <v>7.7508999999999997</v>
      </c>
      <c r="AK586" s="308">
        <v>9.6757000000000009</v>
      </c>
      <c r="AL586" s="308">
        <v>7.7777000000000003</v>
      </c>
      <c r="AM586" s="308">
        <v>10.132300000000001</v>
      </c>
      <c r="AN586" s="308">
        <v>11.1661</v>
      </c>
      <c r="AO586" s="308">
        <v>8.2089999999999996</v>
      </c>
      <c r="AP586" s="308">
        <v>10.1854</v>
      </c>
      <c r="AQ586" s="308">
        <v>10.398400000000001</v>
      </c>
      <c r="AR586" s="308">
        <v>11.103199999999999</v>
      </c>
      <c r="AS586" s="308">
        <v>10.228199999999999</v>
      </c>
      <c r="AT586" s="308">
        <v>10.232699999999999</v>
      </c>
      <c r="AU586" s="308">
        <v>12.0067</v>
      </c>
      <c r="AV586" s="308">
        <v>13.0543</v>
      </c>
      <c r="AW586" s="308">
        <v>8.0850000000000009</v>
      </c>
      <c r="AX586" s="308">
        <v>0</v>
      </c>
      <c r="AY586" s="308">
        <v>9.6130999999999993</v>
      </c>
      <c r="AZ586" s="308">
        <v>9.8361999999999998</v>
      </c>
      <c r="BA586" s="308">
        <v>8.6788000000000007</v>
      </c>
      <c r="BB586" s="308">
        <v>9.4948999999999995</v>
      </c>
      <c r="BC586" s="308">
        <v>9.7774000000000001</v>
      </c>
      <c r="BD586" s="308">
        <v>9.7033000000000005</v>
      </c>
      <c r="BE586" s="308">
        <v>10.4276</v>
      </c>
      <c r="BF586" s="308">
        <v>10.217499999999999</v>
      </c>
      <c r="BG586" s="308">
        <v>10.0502</v>
      </c>
      <c r="BH586" s="308">
        <v>11.072100000000001</v>
      </c>
      <c r="BI586" s="308">
        <v>11.7157</v>
      </c>
      <c r="BJ586" s="308">
        <v>10.5479</v>
      </c>
      <c r="BK586" s="308">
        <v>9.2662999999999993</v>
      </c>
    </row>
    <row r="587" spans="1:63" x14ac:dyDescent="0.25">
      <c r="A587" s="306">
        <v>332114</v>
      </c>
      <c r="B587" s="308" t="s">
        <v>162</v>
      </c>
      <c r="C587" s="308">
        <v>9.6178000000000008</v>
      </c>
      <c r="D587" s="308">
        <v>7.5982000000000003</v>
      </c>
      <c r="E587" s="308">
        <v>9.3275000000000006</v>
      </c>
      <c r="F587" s="308">
        <v>10.475099999999999</v>
      </c>
      <c r="G587" s="308">
        <v>0</v>
      </c>
      <c r="H587" s="308">
        <v>6.3503999999999996</v>
      </c>
      <c r="I587" s="308">
        <v>8.5254999999999992</v>
      </c>
      <c r="J587" s="308">
        <v>6.8818999999999999</v>
      </c>
      <c r="K587" s="308">
        <v>0</v>
      </c>
      <c r="L587" s="308">
        <v>0</v>
      </c>
      <c r="M587" s="308">
        <v>6.7962999999999996</v>
      </c>
      <c r="N587" s="308">
        <v>9.0701000000000001</v>
      </c>
      <c r="O587" s="308">
        <v>0</v>
      </c>
      <c r="P587" s="308">
        <v>0</v>
      </c>
      <c r="Q587" s="308">
        <v>8.7919</v>
      </c>
      <c r="R587" s="308">
        <v>8.5382999999999996</v>
      </c>
      <c r="S587" s="308">
        <v>8.8544</v>
      </c>
      <c r="T587" s="308">
        <v>5.8186</v>
      </c>
      <c r="U587" s="308">
        <v>7.7407000000000004</v>
      </c>
      <c r="V587" s="308">
        <v>7.5156000000000001</v>
      </c>
      <c r="W587" s="308">
        <v>8.6531000000000002</v>
      </c>
      <c r="X587" s="308">
        <v>6.8121999999999998</v>
      </c>
      <c r="Y587" s="308">
        <v>0</v>
      </c>
      <c r="Z587" s="308">
        <v>8.0261999999999993</v>
      </c>
      <c r="AA587" s="308">
        <v>5.8131000000000004</v>
      </c>
      <c r="AB587" s="308">
        <v>8.1661999999999999</v>
      </c>
      <c r="AC587" s="308">
        <v>9.9939999999999998</v>
      </c>
      <c r="AD587" s="308">
        <v>0</v>
      </c>
      <c r="AE587" s="308">
        <v>8.0190999999999999</v>
      </c>
      <c r="AF587" s="308">
        <v>0</v>
      </c>
      <c r="AG587" s="308">
        <v>6.9687999999999999</v>
      </c>
      <c r="AH587" s="308">
        <v>5.4710999999999999</v>
      </c>
      <c r="AI587" s="308">
        <v>7.4927999999999999</v>
      </c>
      <c r="AJ587" s="308">
        <v>7.4766000000000004</v>
      </c>
      <c r="AK587" s="308">
        <v>9.0419</v>
      </c>
      <c r="AL587" s="308">
        <v>6.8297999999999996</v>
      </c>
      <c r="AM587" s="308">
        <v>8.9867000000000008</v>
      </c>
      <c r="AN587" s="308">
        <v>10.178699999999999</v>
      </c>
      <c r="AO587" s="308">
        <v>8.1982999999999997</v>
      </c>
      <c r="AP587" s="308">
        <v>7.9676999999999998</v>
      </c>
      <c r="AQ587" s="308">
        <v>0</v>
      </c>
      <c r="AR587" s="308">
        <v>7.6165000000000003</v>
      </c>
      <c r="AS587" s="308">
        <v>0</v>
      </c>
      <c r="AT587" s="308">
        <v>8.4693000000000005</v>
      </c>
      <c r="AU587" s="308">
        <v>8.1563999999999997</v>
      </c>
      <c r="AV587" s="308">
        <v>0</v>
      </c>
      <c r="AW587" s="308">
        <v>0</v>
      </c>
      <c r="AX587" s="308">
        <v>0</v>
      </c>
      <c r="AY587" s="308">
        <v>7.1482999999999999</v>
      </c>
      <c r="AZ587" s="308">
        <v>6.6505000000000001</v>
      </c>
      <c r="BA587" s="308">
        <v>9.3745999999999992</v>
      </c>
      <c r="BB587" s="308">
        <v>0</v>
      </c>
      <c r="BC587" s="308">
        <v>6.5439999999999996</v>
      </c>
      <c r="BD587" s="308">
        <v>8.1120000000000001</v>
      </c>
      <c r="BE587" s="308">
        <v>8.6975999999999996</v>
      </c>
      <c r="BF587" s="308">
        <v>7.1783000000000001</v>
      </c>
      <c r="BG587" s="308">
        <v>8.3233999999999995</v>
      </c>
      <c r="BH587" s="308">
        <v>8.4360999999999997</v>
      </c>
      <c r="BI587" s="308">
        <v>8.8909000000000002</v>
      </c>
      <c r="BJ587" s="308">
        <v>9.1731999999999996</v>
      </c>
      <c r="BK587" s="308">
        <v>6.5895000000000001</v>
      </c>
    </row>
    <row r="588" spans="1:63" x14ac:dyDescent="0.25">
      <c r="A588" s="306" t="s">
        <v>724</v>
      </c>
      <c r="B588" s="308" t="s">
        <v>161</v>
      </c>
      <c r="C588" s="308">
        <v>10.46</v>
      </c>
      <c r="D588" s="308">
        <v>11.602399999999999</v>
      </c>
      <c r="E588" s="308">
        <v>10.1004</v>
      </c>
      <c r="F588" s="308">
        <v>9.8589000000000002</v>
      </c>
      <c r="G588" s="308">
        <v>9.4307999999999996</v>
      </c>
      <c r="H588" s="308">
        <v>7.5015999999999998</v>
      </c>
      <c r="I588" s="308">
        <v>8.5974000000000004</v>
      </c>
      <c r="J588" s="308">
        <v>7.3689</v>
      </c>
      <c r="K588" s="308">
        <v>0</v>
      </c>
      <c r="L588" s="308">
        <v>0</v>
      </c>
      <c r="M588" s="308">
        <v>10.1831</v>
      </c>
      <c r="N588" s="308">
        <v>8.7309999999999999</v>
      </c>
      <c r="O588" s="308">
        <v>0</v>
      </c>
      <c r="P588" s="308">
        <v>7.6155999999999997</v>
      </c>
      <c r="Q588" s="308">
        <v>11.0114</v>
      </c>
      <c r="R588" s="308">
        <v>8.4655000000000005</v>
      </c>
      <c r="S588" s="308">
        <v>9.3155000000000001</v>
      </c>
      <c r="T588" s="308">
        <v>7.0242000000000004</v>
      </c>
      <c r="U588" s="308">
        <v>9.3003999999999998</v>
      </c>
      <c r="V588" s="308">
        <v>6.3571</v>
      </c>
      <c r="W588" s="308">
        <v>5.8662999999999998</v>
      </c>
      <c r="X588" s="308">
        <v>9.1498000000000008</v>
      </c>
      <c r="Y588" s="308">
        <v>0</v>
      </c>
      <c r="Z588" s="308">
        <v>8.8618000000000006</v>
      </c>
      <c r="AA588" s="308">
        <v>7.8121999999999998</v>
      </c>
      <c r="AB588" s="308">
        <v>9.7019000000000002</v>
      </c>
      <c r="AC588" s="308">
        <v>9.8436000000000003</v>
      </c>
      <c r="AD588" s="308">
        <v>11.516299999999999</v>
      </c>
      <c r="AE588" s="308">
        <v>9.3143999999999991</v>
      </c>
      <c r="AF588" s="308">
        <v>0</v>
      </c>
      <c r="AG588" s="308">
        <v>9.4366000000000003</v>
      </c>
      <c r="AH588" s="308">
        <v>0</v>
      </c>
      <c r="AI588" s="308">
        <v>6.5590000000000002</v>
      </c>
      <c r="AJ588" s="308">
        <v>11.659800000000001</v>
      </c>
      <c r="AK588" s="308">
        <v>6.1662999999999997</v>
      </c>
      <c r="AL588" s="308">
        <v>5.2394999999999996</v>
      </c>
      <c r="AM588" s="308">
        <v>9.0145</v>
      </c>
      <c r="AN588" s="308">
        <v>9.9263999999999992</v>
      </c>
      <c r="AO588" s="308">
        <v>8.7407000000000004</v>
      </c>
      <c r="AP588" s="308">
        <v>10.2272</v>
      </c>
      <c r="AQ588" s="308">
        <v>12.872999999999999</v>
      </c>
      <c r="AR588" s="308">
        <v>9.3663000000000007</v>
      </c>
      <c r="AS588" s="308">
        <v>10.506399999999999</v>
      </c>
      <c r="AT588" s="308">
        <v>9.6427999999999994</v>
      </c>
      <c r="AU588" s="308">
        <v>7.8162000000000003</v>
      </c>
      <c r="AV588" s="308">
        <v>11.4147</v>
      </c>
      <c r="AW588" s="308">
        <v>8.6220999999999997</v>
      </c>
      <c r="AX588" s="308">
        <v>12.7182</v>
      </c>
      <c r="AY588" s="308">
        <v>6.5823</v>
      </c>
      <c r="AZ588" s="308">
        <v>8.2194000000000003</v>
      </c>
      <c r="BA588" s="308">
        <v>9.6440000000000001</v>
      </c>
      <c r="BB588" s="308">
        <v>8.4011999999999993</v>
      </c>
      <c r="BC588" s="308">
        <v>7.1029</v>
      </c>
      <c r="BD588" s="308">
        <v>9.4143000000000008</v>
      </c>
      <c r="BE588" s="308">
        <v>9.3841000000000001</v>
      </c>
      <c r="BF588" s="308">
        <v>8.5936000000000003</v>
      </c>
      <c r="BG588" s="308">
        <v>9.6031999999999993</v>
      </c>
      <c r="BH588" s="308">
        <v>10.3058</v>
      </c>
      <c r="BI588" s="308">
        <v>8.2659000000000002</v>
      </c>
      <c r="BJ588" s="308">
        <v>8.8009000000000004</v>
      </c>
      <c r="BK588" s="308">
        <v>7.6304999999999996</v>
      </c>
    </row>
    <row r="589" spans="1:63" x14ac:dyDescent="0.25">
      <c r="A589" s="306" t="s">
        <v>725</v>
      </c>
      <c r="B589" s="308" t="s">
        <v>163</v>
      </c>
      <c r="C589" s="308">
        <v>11.9008</v>
      </c>
      <c r="D589" s="308">
        <v>0</v>
      </c>
      <c r="E589" s="308">
        <v>13.1107</v>
      </c>
      <c r="F589" s="308">
        <v>10.340299999999999</v>
      </c>
      <c r="G589" s="308">
        <v>9.3896999999999995</v>
      </c>
      <c r="H589" s="308">
        <v>9.3634000000000004</v>
      </c>
      <c r="I589" s="308">
        <v>9.9212000000000007</v>
      </c>
      <c r="J589" s="308">
        <v>7.8849999999999998</v>
      </c>
      <c r="K589" s="308">
        <v>1.1671</v>
      </c>
      <c r="L589" s="308">
        <v>8.2550000000000008</v>
      </c>
      <c r="M589" s="308">
        <v>9.5891000000000002</v>
      </c>
      <c r="N589" s="308">
        <v>10.5036</v>
      </c>
      <c r="O589" s="308">
        <v>0</v>
      </c>
      <c r="P589" s="308">
        <v>9.7263000000000002</v>
      </c>
      <c r="Q589" s="308">
        <v>0</v>
      </c>
      <c r="R589" s="308">
        <v>9.7852999999999994</v>
      </c>
      <c r="S589" s="308">
        <v>10.415699999999999</v>
      </c>
      <c r="T589" s="308">
        <v>10.6873</v>
      </c>
      <c r="U589" s="308">
        <v>11.210599999999999</v>
      </c>
      <c r="V589" s="308">
        <v>0</v>
      </c>
      <c r="W589" s="308">
        <v>7.5933999999999999</v>
      </c>
      <c r="X589" s="308">
        <v>9.2134</v>
      </c>
      <c r="Y589" s="308">
        <v>10.8992</v>
      </c>
      <c r="Z589" s="308">
        <v>10.223000000000001</v>
      </c>
      <c r="AA589" s="308">
        <v>9.0939999999999994</v>
      </c>
      <c r="AB589" s="308">
        <v>9.84</v>
      </c>
      <c r="AC589" s="308">
        <v>11.690799999999999</v>
      </c>
      <c r="AD589" s="308">
        <v>11.220599999999999</v>
      </c>
      <c r="AE589" s="308">
        <v>10.208299999999999</v>
      </c>
      <c r="AF589" s="308">
        <v>8.4806000000000008</v>
      </c>
      <c r="AG589" s="308">
        <v>8.8272999999999993</v>
      </c>
      <c r="AH589" s="308">
        <v>7.4958</v>
      </c>
      <c r="AI589" s="308">
        <v>7.5937999999999999</v>
      </c>
      <c r="AJ589" s="308">
        <v>9.7182999999999993</v>
      </c>
      <c r="AK589" s="308">
        <v>6.9337</v>
      </c>
      <c r="AL589" s="308">
        <v>7.7320000000000002</v>
      </c>
      <c r="AM589" s="308">
        <v>10.8505</v>
      </c>
      <c r="AN589" s="308">
        <v>10.6884</v>
      </c>
      <c r="AO589" s="308">
        <v>10.2818</v>
      </c>
      <c r="AP589" s="308">
        <v>10.585000000000001</v>
      </c>
      <c r="AQ589" s="308">
        <v>8.0152999999999999</v>
      </c>
      <c r="AR589" s="308">
        <v>11.648400000000001</v>
      </c>
      <c r="AS589" s="308">
        <v>10.6373</v>
      </c>
      <c r="AT589" s="308">
        <v>11.398199999999999</v>
      </c>
      <c r="AU589" s="308">
        <v>9.7948000000000004</v>
      </c>
      <c r="AV589" s="308">
        <v>13.652900000000001</v>
      </c>
      <c r="AW589" s="308">
        <v>9.3373000000000008</v>
      </c>
      <c r="AX589" s="308">
        <v>8.2156000000000002</v>
      </c>
      <c r="AY589" s="308">
        <v>8.9641999999999999</v>
      </c>
      <c r="AZ589" s="308">
        <v>10.145799999999999</v>
      </c>
      <c r="BA589" s="308">
        <v>9.4909999999999997</v>
      </c>
      <c r="BB589" s="308">
        <v>0</v>
      </c>
      <c r="BC589" s="308">
        <v>8.4403000000000006</v>
      </c>
      <c r="BD589" s="308">
        <v>9.6440000000000001</v>
      </c>
      <c r="BE589" s="308">
        <v>10.8489</v>
      </c>
      <c r="BF589" s="308">
        <v>9.9048999999999996</v>
      </c>
      <c r="BG589" s="308">
        <v>10.7675</v>
      </c>
      <c r="BH589" s="308">
        <v>12.426600000000001</v>
      </c>
      <c r="BI589" s="308">
        <v>10.483000000000001</v>
      </c>
      <c r="BJ589" s="308">
        <v>9.9449000000000005</v>
      </c>
      <c r="BK589" s="308">
        <v>9.5276999999999994</v>
      </c>
    </row>
    <row r="590" spans="1:63" x14ac:dyDescent="0.25">
      <c r="A590" s="306" t="s">
        <v>726</v>
      </c>
      <c r="B590" s="308" t="s">
        <v>164</v>
      </c>
      <c r="C590" s="308">
        <v>7.2411000000000003</v>
      </c>
      <c r="D590" s="308">
        <v>8.9623000000000008</v>
      </c>
      <c r="E590" s="308">
        <v>10.5076</v>
      </c>
      <c r="F590" s="308">
        <v>9.2264999999999997</v>
      </c>
      <c r="G590" s="308">
        <v>6.1047000000000002</v>
      </c>
      <c r="H590" s="308">
        <v>6.2201000000000004</v>
      </c>
      <c r="I590" s="308">
        <v>5.3201000000000001</v>
      </c>
      <c r="J590" s="308">
        <v>4.0640999999999998</v>
      </c>
      <c r="K590" s="308">
        <v>0</v>
      </c>
      <c r="L590" s="308">
        <v>0</v>
      </c>
      <c r="M590" s="308">
        <v>5.8231000000000002</v>
      </c>
      <c r="N590" s="308">
        <v>4.5869</v>
      </c>
      <c r="O590" s="308">
        <v>0</v>
      </c>
      <c r="P590" s="308">
        <v>6.4097</v>
      </c>
      <c r="Q590" s="308">
        <v>6.7239000000000004</v>
      </c>
      <c r="R590" s="308">
        <v>5.0109000000000004</v>
      </c>
      <c r="S590" s="308">
        <v>8.1920999999999999</v>
      </c>
      <c r="T590" s="308">
        <v>6.4991000000000003</v>
      </c>
      <c r="U590" s="308">
        <v>6.8956999999999997</v>
      </c>
      <c r="V590" s="308">
        <v>0</v>
      </c>
      <c r="W590" s="308">
        <v>3.9512</v>
      </c>
      <c r="X590" s="308">
        <v>6.1936999999999998</v>
      </c>
      <c r="Y590" s="308">
        <v>0</v>
      </c>
      <c r="Z590" s="308">
        <v>7.8273999999999999</v>
      </c>
      <c r="AA590" s="308">
        <v>5.6081000000000003</v>
      </c>
      <c r="AB590" s="308">
        <v>9.3673000000000002</v>
      </c>
      <c r="AC590" s="308">
        <v>0</v>
      </c>
      <c r="AD590" s="308">
        <v>10.1006</v>
      </c>
      <c r="AE590" s="308">
        <v>6.9714999999999998</v>
      </c>
      <c r="AF590" s="308">
        <v>7.6040000000000001</v>
      </c>
      <c r="AG590" s="308">
        <v>10.088900000000001</v>
      </c>
      <c r="AH590" s="308">
        <v>6.5603999999999996</v>
      </c>
      <c r="AI590" s="308">
        <v>5.7176999999999998</v>
      </c>
      <c r="AJ590" s="308">
        <v>6.6219000000000001</v>
      </c>
      <c r="AK590" s="308">
        <v>0</v>
      </c>
      <c r="AL590" s="308">
        <v>5.3615000000000004</v>
      </c>
      <c r="AM590" s="308">
        <v>7.2438000000000002</v>
      </c>
      <c r="AN590" s="308">
        <v>8.1691000000000003</v>
      </c>
      <c r="AO590" s="308">
        <v>6.4264000000000001</v>
      </c>
      <c r="AP590" s="308">
        <v>8.3759999999999994</v>
      </c>
      <c r="AQ590" s="308">
        <v>0</v>
      </c>
      <c r="AR590" s="308">
        <v>8.6708999999999996</v>
      </c>
      <c r="AS590" s="308">
        <v>0</v>
      </c>
      <c r="AT590" s="308">
        <v>6.6588000000000003</v>
      </c>
      <c r="AU590" s="308">
        <v>8.4032999999999998</v>
      </c>
      <c r="AV590" s="308">
        <v>0</v>
      </c>
      <c r="AW590" s="308">
        <v>4.7702999999999998</v>
      </c>
      <c r="AX590" s="308">
        <v>4.5643000000000002</v>
      </c>
      <c r="AY590" s="308">
        <v>7.4873000000000003</v>
      </c>
      <c r="AZ590" s="308">
        <v>5.5956000000000001</v>
      </c>
      <c r="BA590" s="308">
        <v>7.008</v>
      </c>
      <c r="BB590" s="308">
        <v>0</v>
      </c>
      <c r="BC590" s="308">
        <v>4.4397000000000002</v>
      </c>
      <c r="BD590" s="308">
        <v>6.9573999999999998</v>
      </c>
      <c r="BE590" s="308">
        <v>6.6940999999999997</v>
      </c>
      <c r="BF590" s="308">
        <v>6.7172999999999998</v>
      </c>
      <c r="BG590" s="308">
        <v>5.9001999999999999</v>
      </c>
      <c r="BH590" s="308">
        <v>7.4753999999999996</v>
      </c>
      <c r="BI590" s="308">
        <v>8.9993999999999996</v>
      </c>
      <c r="BJ590" s="308">
        <v>7.0522999999999998</v>
      </c>
      <c r="BK590" s="308">
        <v>6.4722999999999997</v>
      </c>
    </row>
    <row r="591" spans="1:63" x14ac:dyDescent="0.25">
      <c r="A591" s="306" t="s">
        <v>727</v>
      </c>
      <c r="B591" s="308" t="s">
        <v>165</v>
      </c>
      <c r="C591" s="308">
        <v>10.465299999999999</v>
      </c>
      <c r="D591" s="308">
        <v>9.6944999999999997</v>
      </c>
      <c r="E591" s="308">
        <v>10.281000000000001</v>
      </c>
      <c r="F591" s="308">
        <v>9.9860000000000007</v>
      </c>
      <c r="G591" s="308">
        <v>8.4804999999999993</v>
      </c>
      <c r="H591" s="308">
        <v>8.9130000000000003</v>
      </c>
      <c r="I591" s="308">
        <v>10.340999999999999</v>
      </c>
      <c r="J591" s="308">
        <v>7.5406000000000004</v>
      </c>
      <c r="K591" s="308">
        <v>0</v>
      </c>
      <c r="L591" s="308">
        <v>6.7008999999999999</v>
      </c>
      <c r="M591" s="308">
        <v>8.3542000000000005</v>
      </c>
      <c r="N591" s="308">
        <v>9.0185999999999993</v>
      </c>
      <c r="O591" s="308">
        <v>0</v>
      </c>
      <c r="P591" s="308">
        <v>8.8223000000000003</v>
      </c>
      <c r="Q591" s="308">
        <v>9.2651000000000003</v>
      </c>
      <c r="R591" s="308">
        <v>8.4160000000000004</v>
      </c>
      <c r="S591" s="308">
        <v>8.3872</v>
      </c>
      <c r="T591" s="308">
        <v>8.3895</v>
      </c>
      <c r="U591" s="308">
        <v>9.5787999999999993</v>
      </c>
      <c r="V591" s="308">
        <v>10.186</v>
      </c>
      <c r="W591" s="308">
        <v>6.9763000000000002</v>
      </c>
      <c r="X591" s="308">
        <v>8.6586999999999996</v>
      </c>
      <c r="Y591" s="308">
        <v>10.1119</v>
      </c>
      <c r="Z591" s="308">
        <v>8.4487000000000005</v>
      </c>
      <c r="AA591" s="308">
        <v>8.1524000000000001</v>
      </c>
      <c r="AB591" s="308">
        <v>9.9417000000000009</v>
      </c>
      <c r="AC591" s="308">
        <v>10.508699999999999</v>
      </c>
      <c r="AD591" s="308">
        <v>9.4224999999999994</v>
      </c>
      <c r="AE591" s="308">
        <v>8.4907000000000004</v>
      </c>
      <c r="AF591" s="308">
        <v>8.8917000000000002</v>
      </c>
      <c r="AG591" s="308">
        <v>8.2646999999999995</v>
      </c>
      <c r="AH591" s="308">
        <v>8.5261999999999993</v>
      </c>
      <c r="AI591" s="308">
        <v>7.7633999999999999</v>
      </c>
      <c r="AJ591" s="308">
        <v>10.395</v>
      </c>
      <c r="AK591" s="308">
        <v>7.4756</v>
      </c>
      <c r="AL591" s="308">
        <v>8.4091000000000005</v>
      </c>
      <c r="AM591" s="308">
        <v>9.4661000000000008</v>
      </c>
      <c r="AN591" s="308">
        <v>11.691800000000001</v>
      </c>
      <c r="AO591" s="308">
        <v>8.4933999999999994</v>
      </c>
      <c r="AP591" s="308">
        <v>9.3557000000000006</v>
      </c>
      <c r="AQ591" s="308">
        <v>6.8789999999999996</v>
      </c>
      <c r="AR591" s="308">
        <v>9.4726999999999997</v>
      </c>
      <c r="AS591" s="308">
        <v>7.2369000000000003</v>
      </c>
      <c r="AT591" s="308">
        <v>9.8389000000000006</v>
      </c>
      <c r="AU591" s="308">
        <v>9.6021999999999998</v>
      </c>
      <c r="AV591" s="308">
        <v>11.331200000000001</v>
      </c>
      <c r="AW591" s="308">
        <v>9.2149999999999999</v>
      </c>
      <c r="AX591" s="308">
        <v>7.8826999999999998</v>
      </c>
      <c r="AY591" s="308">
        <v>8.9512</v>
      </c>
      <c r="AZ591" s="308">
        <v>8.0318000000000005</v>
      </c>
      <c r="BA591" s="308">
        <v>9.8958999999999993</v>
      </c>
      <c r="BB591" s="308">
        <v>10.026899999999999</v>
      </c>
      <c r="BC591" s="308">
        <v>8.0280000000000005</v>
      </c>
      <c r="BD591" s="308">
        <v>9.3183000000000007</v>
      </c>
      <c r="BE591" s="308">
        <v>9.1933000000000007</v>
      </c>
      <c r="BF591" s="308">
        <v>8.9986999999999995</v>
      </c>
      <c r="BG591" s="308">
        <v>9.2029999999999994</v>
      </c>
      <c r="BH591" s="308">
        <v>10.381</v>
      </c>
      <c r="BI591" s="308">
        <v>10.3546</v>
      </c>
      <c r="BJ591" s="308">
        <v>10.0107</v>
      </c>
      <c r="BK591" s="308">
        <v>8.8230000000000004</v>
      </c>
    </row>
    <row r="592" spans="1:63" x14ac:dyDescent="0.25">
      <c r="A592" s="306">
        <v>332310</v>
      </c>
      <c r="B592" s="308" t="s">
        <v>166</v>
      </c>
      <c r="C592" s="308">
        <v>10.8086</v>
      </c>
      <c r="D592" s="308">
        <v>7.1988000000000003</v>
      </c>
      <c r="E592" s="308">
        <v>9.9420000000000002</v>
      </c>
      <c r="F592" s="308">
        <v>8.6401000000000003</v>
      </c>
      <c r="G592" s="308">
        <v>8.6250999999999998</v>
      </c>
      <c r="H592" s="308">
        <v>8.1868999999999996</v>
      </c>
      <c r="I592" s="308">
        <v>8.5990000000000002</v>
      </c>
      <c r="J592" s="308">
        <v>7.3871000000000002</v>
      </c>
      <c r="K592" s="308">
        <v>1.2342</v>
      </c>
      <c r="L592" s="308">
        <v>6.3505000000000003</v>
      </c>
      <c r="M592" s="308">
        <v>9.0101999999999993</v>
      </c>
      <c r="N592" s="308">
        <v>9.3775999999999993</v>
      </c>
      <c r="O592" s="308">
        <v>8.0276999999999994</v>
      </c>
      <c r="P592" s="308">
        <v>8.0753000000000004</v>
      </c>
      <c r="Q592" s="308">
        <v>8.0653000000000006</v>
      </c>
      <c r="R592" s="308">
        <v>9.5548000000000002</v>
      </c>
      <c r="S592" s="308">
        <v>9.0055999999999994</v>
      </c>
      <c r="T592" s="308">
        <v>7.9869000000000003</v>
      </c>
      <c r="U592" s="308">
        <v>9.6026000000000007</v>
      </c>
      <c r="V592" s="308">
        <v>8.1161999999999992</v>
      </c>
      <c r="W592" s="308">
        <v>6.9904000000000002</v>
      </c>
      <c r="X592" s="308">
        <v>7.8070000000000004</v>
      </c>
      <c r="Y592" s="308">
        <v>8.0830000000000002</v>
      </c>
      <c r="Z592" s="308">
        <v>9.6137999999999995</v>
      </c>
      <c r="AA592" s="308">
        <v>8.0510000000000002</v>
      </c>
      <c r="AB592" s="308">
        <v>8.4817</v>
      </c>
      <c r="AC592" s="308">
        <v>8.8186</v>
      </c>
      <c r="AD592" s="308">
        <v>8.1738</v>
      </c>
      <c r="AE592" s="308">
        <v>9.0456000000000003</v>
      </c>
      <c r="AF592" s="308">
        <v>6.1738999999999997</v>
      </c>
      <c r="AG592" s="308">
        <v>7.3346999999999998</v>
      </c>
      <c r="AH592" s="308">
        <v>7.5829000000000004</v>
      </c>
      <c r="AI592" s="308">
        <v>7.1139000000000001</v>
      </c>
      <c r="AJ592" s="308">
        <v>8.1884999999999994</v>
      </c>
      <c r="AK592" s="308">
        <v>7.5609000000000002</v>
      </c>
      <c r="AL592" s="308">
        <v>6.7388000000000003</v>
      </c>
      <c r="AM592" s="308">
        <v>9.7440999999999995</v>
      </c>
      <c r="AN592" s="308">
        <v>9.2302999999999997</v>
      </c>
      <c r="AO592" s="308">
        <v>9.3194999999999997</v>
      </c>
      <c r="AP592" s="308">
        <v>9.4769000000000005</v>
      </c>
      <c r="AQ592" s="308">
        <v>7.4196</v>
      </c>
      <c r="AR592" s="308">
        <v>9.4751999999999992</v>
      </c>
      <c r="AS592" s="308">
        <v>6.9413999999999998</v>
      </c>
      <c r="AT592" s="308">
        <v>8.6082000000000001</v>
      </c>
      <c r="AU592" s="308">
        <v>8.8574000000000002</v>
      </c>
      <c r="AV592" s="308">
        <v>10.198499999999999</v>
      </c>
      <c r="AW592" s="308">
        <v>7.5178000000000003</v>
      </c>
      <c r="AX592" s="308">
        <v>7.6818</v>
      </c>
      <c r="AY592" s="308">
        <v>7.9162999999999997</v>
      </c>
      <c r="AZ592" s="308">
        <v>8.8643000000000001</v>
      </c>
      <c r="BA592" s="308">
        <v>8.2155000000000005</v>
      </c>
      <c r="BB592" s="308">
        <v>7.5235000000000003</v>
      </c>
      <c r="BC592" s="308">
        <v>8.1212</v>
      </c>
      <c r="BD592" s="308">
        <v>8.8462999999999994</v>
      </c>
      <c r="BE592" s="308">
        <v>10.030099999999999</v>
      </c>
      <c r="BF592" s="308">
        <v>8.6577999999999999</v>
      </c>
      <c r="BG592" s="308">
        <v>9.3120999999999992</v>
      </c>
      <c r="BH592" s="308">
        <v>9.8568999999999996</v>
      </c>
      <c r="BI592" s="308">
        <v>9.3666999999999998</v>
      </c>
      <c r="BJ592" s="308">
        <v>8.9849999999999994</v>
      </c>
      <c r="BK592" s="308">
        <v>8.4644999999999992</v>
      </c>
    </row>
    <row r="593" spans="1:63" x14ac:dyDescent="0.25">
      <c r="A593" s="306">
        <v>332320</v>
      </c>
      <c r="B593" s="308" t="s">
        <v>167</v>
      </c>
      <c r="C593" s="308">
        <v>11.7814</v>
      </c>
      <c r="D593" s="308">
        <v>7.8216999999999999</v>
      </c>
      <c r="E593" s="308">
        <v>11.196300000000001</v>
      </c>
      <c r="F593" s="308">
        <v>9.8033999999999999</v>
      </c>
      <c r="G593" s="308">
        <v>9.4454999999999991</v>
      </c>
      <c r="H593" s="308">
        <v>9.1508000000000003</v>
      </c>
      <c r="I593" s="308">
        <v>10.0359</v>
      </c>
      <c r="J593" s="308">
        <v>8.0259</v>
      </c>
      <c r="K593" s="308">
        <v>1.6714</v>
      </c>
      <c r="L593" s="308">
        <v>7.0895000000000001</v>
      </c>
      <c r="M593" s="308">
        <v>10.0336</v>
      </c>
      <c r="N593" s="308">
        <v>10.1417</v>
      </c>
      <c r="O593" s="308">
        <v>9.7368000000000006</v>
      </c>
      <c r="P593" s="308">
        <v>9.4611000000000001</v>
      </c>
      <c r="Q593" s="308">
        <v>9.673</v>
      </c>
      <c r="R593" s="308">
        <v>9.4906000000000006</v>
      </c>
      <c r="S593" s="308">
        <v>10.7225</v>
      </c>
      <c r="T593" s="308">
        <v>9.2880000000000003</v>
      </c>
      <c r="U593" s="308">
        <v>9.9244000000000003</v>
      </c>
      <c r="V593" s="308">
        <v>9.7865000000000002</v>
      </c>
      <c r="W593" s="308">
        <v>7.6494999999999997</v>
      </c>
      <c r="X593" s="308">
        <v>8.0573999999999995</v>
      </c>
      <c r="Y593" s="308">
        <v>8.5425000000000004</v>
      </c>
      <c r="Z593" s="308">
        <v>10.092000000000001</v>
      </c>
      <c r="AA593" s="308">
        <v>8.3803000000000001</v>
      </c>
      <c r="AB593" s="308">
        <v>9.1437000000000008</v>
      </c>
      <c r="AC593" s="308">
        <v>10.345000000000001</v>
      </c>
      <c r="AD593" s="308">
        <v>9.7568999999999999</v>
      </c>
      <c r="AE593" s="308">
        <v>10.410299999999999</v>
      </c>
      <c r="AF593" s="308">
        <v>7.6974</v>
      </c>
      <c r="AG593" s="308">
        <v>8.7393999999999998</v>
      </c>
      <c r="AH593" s="308">
        <v>8.0921000000000003</v>
      </c>
      <c r="AI593" s="308">
        <v>8.1332000000000004</v>
      </c>
      <c r="AJ593" s="308">
        <v>9.7761999999999993</v>
      </c>
      <c r="AK593" s="308">
        <v>8.6094000000000008</v>
      </c>
      <c r="AL593" s="308">
        <v>7.5137999999999998</v>
      </c>
      <c r="AM593" s="308">
        <v>10.430199999999999</v>
      </c>
      <c r="AN593" s="308">
        <v>10.715999999999999</v>
      </c>
      <c r="AO593" s="308">
        <v>9.9191000000000003</v>
      </c>
      <c r="AP593" s="308">
        <v>10.432700000000001</v>
      </c>
      <c r="AQ593" s="308">
        <v>8.0361999999999991</v>
      </c>
      <c r="AR593" s="308">
        <v>11.094900000000001</v>
      </c>
      <c r="AS593" s="308">
        <v>9.4476999999999993</v>
      </c>
      <c r="AT593" s="308">
        <v>10.037599999999999</v>
      </c>
      <c r="AU593" s="308">
        <v>10.5214</v>
      </c>
      <c r="AV593" s="308">
        <v>11.0091</v>
      </c>
      <c r="AW593" s="308">
        <v>8.6907999999999994</v>
      </c>
      <c r="AX593" s="308">
        <v>9.0616000000000003</v>
      </c>
      <c r="AY593" s="308">
        <v>9.0723000000000003</v>
      </c>
      <c r="AZ593" s="308">
        <v>9.3452999999999999</v>
      </c>
      <c r="BA593" s="308">
        <v>9.7066999999999997</v>
      </c>
      <c r="BB593" s="308">
        <v>9.2838999999999992</v>
      </c>
      <c r="BC593" s="308">
        <v>8.6946999999999992</v>
      </c>
      <c r="BD593" s="308">
        <v>9.6367999999999991</v>
      </c>
      <c r="BE593" s="308">
        <v>10.6838</v>
      </c>
      <c r="BF593" s="308">
        <v>9.5372000000000003</v>
      </c>
      <c r="BG593" s="308">
        <v>10.5831</v>
      </c>
      <c r="BH593" s="308">
        <v>11.074</v>
      </c>
      <c r="BI593" s="308">
        <v>10.9551</v>
      </c>
      <c r="BJ593" s="308">
        <v>9.9542999999999999</v>
      </c>
      <c r="BK593" s="308">
        <v>9.4352</v>
      </c>
    </row>
    <row r="594" spans="1:63" x14ac:dyDescent="0.25">
      <c r="A594" s="306">
        <v>332410</v>
      </c>
      <c r="B594" s="308" t="s">
        <v>168</v>
      </c>
      <c r="C594" s="308">
        <v>9.9072999999999993</v>
      </c>
      <c r="D594" s="308">
        <v>0</v>
      </c>
      <c r="E594" s="308">
        <v>8.9205000000000005</v>
      </c>
      <c r="F594" s="308">
        <v>0</v>
      </c>
      <c r="G594" s="308">
        <v>0</v>
      </c>
      <c r="H594" s="308">
        <v>8.0767000000000007</v>
      </c>
      <c r="I594" s="308">
        <v>8.9065999999999992</v>
      </c>
      <c r="J594" s="308">
        <v>6.4256000000000002</v>
      </c>
      <c r="K594" s="308">
        <v>0</v>
      </c>
      <c r="L594" s="308">
        <v>5.2789000000000001</v>
      </c>
      <c r="M594" s="308">
        <v>7.8728999999999996</v>
      </c>
      <c r="N594" s="308">
        <v>8.3498999999999999</v>
      </c>
      <c r="O594" s="308">
        <v>0</v>
      </c>
      <c r="P594" s="308">
        <v>8.7992000000000008</v>
      </c>
      <c r="Q594" s="308">
        <v>0</v>
      </c>
      <c r="R594" s="308">
        <v>9.1920000000000002</v>
      </c>
      <c r="S594" s="308">
        <v>9.6595999999999993</v>
      </c>
      <c r="T594" s="308">
        <v>8.5132999999999992</v>
      </c>
      <c r="U594" s="308">
        <v>7.1553000000000004</v>
      </c>
      <c r="V594" s="308">
        <v>8.0256000000000007</v>
      </c>
      <c r="W594" s="308">
        <v>6.2495000000000003</v>
      </c>
      <c r="X594" s="308">
        <v>0</v>
      </c>
      <c r="Y594" s="308">
        <v>0</v>
      </c>
      <c r="Z594" s="308">
        <v>9.2676999999999996</v>
      </c>
      <c r="AA594" s="308">
        <v>7.0883000000000003</v>
      </c>
      <c r="AB594" s="308">
        <v>7.8963999999999999</v>
      </c>
      <c r="AC594" s="308">
        <v>8.0533999999999999</v>
      </c>
      <c r="AD594" s="308">
        <v>0</v>
      </c>
      <c r="AE594" s="308">
        <v>9.4087999999999994</v>
      </c>
      <c r="AF594" s="308">
        <v>0</v>
      </c>
      <c r="AG594" s="308">
        <v>0</v>
      </c>
      <c r="AH594" s="308">
        <v>6.6181000000000001</v>
      </c>
      <c r="AI594" s="308">
        <v>6.0681000000000003</v>
      </c>
      <c r="AJ594" s="308">
        <v>8.5657999999999994</v>
      </c>
      <c r="AK594" s="308">
        <v>7.0387000000000004</v>
      </c>
      <c r="AL594" s="308">
        <v>6.4595000000000002</v>
      </c>
      <c r="AM594" s="308">
        <v>8.0922000000000001</v>
      </c>
      <c r="AN594" s="308">
        <v>8.0805000000000007</v>
      </c>
      <c r="AO594" s="308">
        <v>8.5268999999999995</v>
      </c>
      <c r="AP594" s="308">
        <v>9.2143999999999995</v>
      </c>
      <c r="AQ594" s="308">
        <v>8.5709</v>
      </c>
      <c r="AR594" s="308">
        <v>9.2017000000000007</v>
      </c>
      <c r="AS594" s="308">
        <v>8.2233999999999998</v>
      </c>
      <c r="AT594" s="308">
        <v>10.153600000000001</v>
      </c>
      <c r="AU594" s="308">
        <v>8.0382999999999996</v>
      </c>
      <c r="AV594" s="308">
        <v>0</v>
      </c>
      <c r="AW594" s="308">
        <v>7.4280999999999997</v>
      </c>
      <c r="AX594" s="308">
        <v>0</v>
      </c>
      <c r="AY594" s="308">
        <v>9.1082999999999998</v>
      </c>
      <c r="AZ594" s="308">
        <v>8.3972999999999995</v>
      </c>
      <c r="BA594" s="308">
        <v>8.3199000000000005</v>
      </c>
      <c r="BB594" s="308">
        <v>0</v>
      </c>
      <c r="BC594" s="308">
        <v>7.04</v>
      </c>
      <c r="BD594" s="308">
        <v>8.2517999999999994</v>
      </c>
      <c r="BE594" s="308">
        <v>8.8190000000000008</v>
      </c>
      <c r="BF594" s="308">
        <v>8.4323999999999995</v>
      </c>
      <c r="BG594" s="308">
        <v>8.7353000000000005</v>
      </c>
      <c r="BH594" s="308">
        <v>9.6424000000000003</v>
      </c>
      <c r="BI594" s="308">
        <v>8.5029000000000003</v>
      </c>
      <c r="BJ594" s="308">
        <v>9.0198999999999998</v>
      </c>
      <c r="BK594" s="308">
        <v>8.5755999999999997</v>
      </c>
    </row>
    <row r="595" spans="1:63" x14ac:dyDescent="0.25">
      <c r="A595" s="306">
        <v>332420</v>
      </c>
      <c r="B595" s="308" t="s">
        <v>169</v>
      </c>
      <c r="C595" s="308">
        <v>10.903</v>
      </c>
      <c r="D595" s="308">
        <v>0</v>
      </c>
      <c r="E595" s="308">
        <v>9.9135000000000009</v>
      </c>
      <c r="F595" s="308">
        <v>9.8583999999999996</v>
      </c>
      <c r="G595" s="308">
        <v>8.0882000000000005</v>
      </c>
      <c r="H595" s="308">
        <v>7.9390000000000001</v>
      </c>
      <c r="I595" s="308">
        <v>8.5754000000000001</v>
      </c>
      <c r="J595" s="308">
        <v>5.9539999999999997</v>
      </c>
      <c r="K595" s="308">
        <v>0</v>
      </c>
      <c r="L595" s="308">
        <v>8.7578999999999994</v>
      </c>
      <c r="M595" s="308">
        <v>8.9420999999999999</v>
      </c>
      <c r="N595" s="308">
        <v>8.9831000000000003</v>
      </c>
      <c r="O595" s="308">
        <v>0</v>
      </c>
      <c r="P595" s="308">
        <v>8.2066999999999997</v>
      </c>
      <c r="Q595" s="308">
        <v>9.5449000000000002</v>
      </c>
      <c r="R595" s="308">
        <v>9.7467000000000006</v>
      </c>
      <c r="S595" s="308">
        <v>8.9749999999999996</v>
      </c>
      <c r="T595" s="308">
        <v>8.0096000000000007</v>
      </c>
      <c r="U595" s="308">
        <v>9.0305999999999997</v>
      </c>
      <c r="V595" s="308">
        <v>7.8353999999999999</v>
      </c>
      <c r="W595" s="308">
        <v>7.5727000000000002</v>
      </c>
      <c r="X595" s="308">
        <v>8.1015999999999995</v>
      </c>
      <c r="Y595" s="308">
        <v>5.7107000000000001</v>
      </c>
      <c r="Z595" s="308">
        <v>9.6274999999999995</v>
      </c>
      <c r="AA595" s="308">
        <v>7.7290000000000001</v>
      </c>
      <c r="AB595" s="308">
        <v>7.9042000000000003</v>
      </c>
      <c r="AC595" s="308">
        <v>8.7469999999999999</v>
      </c>
      <c r="AD595" s="308">
        <v>0</v>
      </c>
      <c r="AE595" s="308">
        <v>9.0831</v>
      </c>
      <c r="AF595" s="308">
        <v>6.8746</v>
      </c>
      <c r="AG595" s="308">
        <v>8.6491000000000007</v>
      </c>
      <c r="AH595" s="308">
        <v>0</v>
      </c>
      <c r="AI595" s="308">
        <v>5.8859000000000004</v>
      </c>
      <c r="AJ595" s="308">
        <v>9.42</v>
      </c>
      <c r="AK595" s="308">
        <v>8.0772999999999993</v>
      </c>
      <c r="AL595" s="308">
        <v>5.4063999999999997</v>
      </c>
      <c r="AM595" s="308">
        <v>9.1321999999999992</v>
      </c>
      <c r="AN595" s="308">
        <v>10.0604</v>
      </c>
      <c r="AO595" s="308">
        <v>8.9443000000000001</v>
      </c>
      <c r="AP595" s="308">
        <v>9.8861000000000008</v>
      </c>
      <c r="AQ595" s="308">
        <v>8.3183000000000007</v>
      </c>
      <c r="AR595" s="308">
        <v>9.1700999999999997</v>
      </c>
      <c r="AS595" s="308">
        <v>6.6985999999999999</v>
      </c>
      <c r="AT595" s="308">
        <v>10.3863</v>
      </c>
      <c r="AU595" s="308">
        <v>9.7081999999999997</v>
      </c>
      <c r="AV595" s="308">
        <v>10.8155</v>
      </c>
      <c r="AW595" s="308">
        <v>10.814299999999999</v>
      </c>
      <c r="AX595" s="308">
        <v>0</v>
      </c>
      <c r="AY595" s="308">
        <v>8.1716999999999995</v>
      </c>
      <c r="AZ595" s="308">
        <v>9.9369999999999994</v>
      </c>
      <c r="BA595" s="308">
        <v>9.7310999999999996</v>
      </c>
      <c r="BB595" s="308">
        <v>6.9855999999999998</v>
      </c>
      <c r="BC595" s="308">
        <v>8.2215000000000007</v>
      </c>
      <c r="BD595" s="308">
        <v>8.5246999999999993</v>
      </c>
      <c r="BE595" s="308">
        <v>9.8771000000000004</v>
      </c>
      <c r="BF595" s="308">
        <v>8.4527000000000001</v>
      </c>
      <c r="BG595" s="308">
        <v>9.4809000000000001</v>
      </c>
      <c r="BH595" s="308">
        <v>10.370799999999999</v>
      </c>
      <c r="BI595" s="308">
        <v>9.9749999999999996</v>
      </c>
      <c r="BJ595" s="308">
        <v>9.4648000000000003</v>
      </c>
      <c r="BK595" s="308">
        <v>8.2538</v>
      </c>
    </row>
    <row r="596" spans="1:63" x14ac:dyDescent="0.25">
      <c r="A596" s="306">
        <v>332430</v>
      </c>
      <c r="B596" s="308" t="s">
        <v>170</v>
      </c>
      <c r="C596" s="308">
        <v>8.0290999999999997</v>
      </c>
      <c r="D596" s="308">
        <v>0</v>
      </c>
      <c r="E596" s="308">
        <v>7.4420000000000002</v>
      </c>
      <c r="F596" s="308">
        <v>6.5900999999999996</v>
      </c>
      <c r="G596" s="308">
        <v>5.5298999999999996</v>
      </c>
      <c r="H596" s="308">
        <v>5.1474000000000002</v>
      </c>
      <c r="I596" s="308">
        <v>4.7919</v>
      </c>
      <c r="J596" s="308">
        <v>4.9017999999999997</v>
      </c>
      <c r="K596" s="308">
        <v>0</v>
      </c>
      <c r="L596" s="308">
        <v>4.1921999999999997</v>
      </c>
      <c r="M596" s="308">
        <v>5.2831000000000001</v>
      </c>
      <c r="N596" s="308">
        <v>6.1516999999999999</v>
      </c>
      <c r="O596" s="308">
        <v>3.8769999999999998</v>
      </c>
      <c r="P596" s="308">
        <v>5.5114999999999998</v>
      </c>
      <c r="Q596" s="308">
        <v>4.7906000000000004</v>
      </c>
      <c r="R596" s="308">
        <v>6.1138000000000003</v>
      </c>
      <c r="S596" s="308">
        <v>6.5862999999999996</v>
      </c>
      <c r="T596" s="308">
        <v>5.5096999999999996</v>
      </c>
      <c r="U596" s="308">
        <v>6.88</v>
      </c>
      <c r="V596" s="308">
        <v>5.2476000000000003</v>
      </c>
      <c r="W596" s="308">
        <v>4.3513000000000002</v>
      </c>
      <c r="X596" s="308">
        <v>4.4794999999999998</v>
      </c>
      <c r="Y596" s="308">
        <v>4.9618000000000002</v>
      </c>
      <c r="Z596" s="308">
        <v>6.3696000000000002</v>
      </c>
      <c r="AA596" s="308">
        <v>5.4661</v>
      </c>
      <c r="AB596" s="308">
        <v>5.5495000000000001</v>
      </c>
      <c r="AC596" s="308">
        <v>5.9526000000000003</v>
      </c>
      <c r="AD596" s="308">
        <v>0</v>
      </c>
      <c r="AE596" s="308">
        <v>5.2144000000000004</v>
      </c>
      <c r="AF596" s="308">
        <v>4.1150000000000002</v>
      </c>
      <c r="AG596" s="308">
        <v>3.7461000000000002</v>
      </c>
      <c r="AH596" s="308">
        <v>5.5547000000000004</v>
      </c>
      <c r="AI596" s="308">
        <v>4.6308999999999996</v>
      </c>
      <c r="AJ596" s="308">
        <v>4.8643999999999998</v>
      </c>
      <c r="AK596" s="308">
        <v>5.1193</v>
      </c>
      <c r="AL596" s="308">
        <v>3.8652000000000002</v>
      </c>
      <c r="AM596" s="308">
        <v>7.0636999999999999</v>
      </c>
      <c r="AN596" s="308">
        <v>5.6227999999999998</v>
      </c>
      <c r="AO596" s="308">
        <v>6.6210000000000004</v>
      </c>
      <c r="AP596" s="308">
        <v>6.8982999999999999</v>
      </c>
      <c r="AQ596" s="308">
        <v>5.3117000000000001</v>
      </c>
      <c r="AR596" s="308">
        <v>6.8132999999999999</v>
      </c>
      <c r="AS596" s="308">
        <v>5.3598999999999997</v>
      </c>
      <c r="AT596" s="308">
        <v>6.7066999999999997</v>
      </c>
      <c r="AU596" s="308">
        <v>6.3299000000000003</v>
      </c>
      <c r="AV596" s="308">
        <v>6.8945999999999996</v>
      </c>
      <c r="AW596" s="308">
        <v>4.9779</v>
      </c>
      <c r="AX596" s="308">
        <v>5.0426000000000002</v>
      </c>
      <c r="AY596" s="308">
        <v>5.15</v>
      </c>
      <c r="AZ596" s="308">
        <v>5.8788999999999998</v>
      </c>
      <c r="BA596" s="308">
        <v>5.4599000000000002</v>
      </c>
      <c r="BB596" s="308">
        <v>4.1340000000000003</v>
      </c>
      <c r="BC596" s="308">
        <v>5.3186999999999998</v>
      </c>
      <c r="BD596" s="308">
        <v>5.8704999999999998</v>
      </c>
      <c r="BE596" s="308">
        <v>7.2484000000000002</v>
      </c>
      <c r="BF596" s="308">
        <v>6.0522</v>
      </c>
      <c r="BG596" s="308">
        <v>6.1479999999999997</v>
      </c>
      <c r="BH596" s="308">
        <v>7.468</v>
      </c>
      <c r="BI596" s="308">
        <v>6.8596000000000004</v>
      </c>
      <c r="BJ596" s="308">
        <v>5.3771000000000004</v>
      </c>
      <c r="BK596" s="308">
        <v>5.3856000000000002</v>
      </c>
    </row>
    <row r="597" spans="1:63" x14ac:dyDescent="0.25">
      <c r="A597" s="306">
        <v>332500</v>
      </c>
      <c r="B597" s="308" t="s">
        <v>173</v>
      </c>
      <c r="C597" s="308">
        <v>9.7530999999999999</v>
      </c>
      <c r="D597" s="308">
        <v>0</v>
      </c>
      <c r="E597" s="308">
        <v>10.412100000000001</v>
      </c>
      <c r="F597" s="308">
        <v>10.0328</v>
      </c>
      <c r="G597" s="308">
        <v>6.3731999999999998</v>
      </c>
      <c r="H597" s="308">
        <v>7.2373000000000003</v>
      </c>
      <c r="I597" s="308">
        <v>7.6325000000000003</v>
      </c>
      <c r="J597" s="308">
        <v>6.0465</v>
      </c>
      <c r="K597" s="308">
        <v>0</v>
      </c>
      <c r="L597" s="308">
        <v>6.4189999999999996</v>
      </c>
      <c r="M597" s="308">
        <v>7.7150999999999996</v>
      </c>
      <c r="N597" s="308">
        <v>8.1453000000000007</v>
      </c>
      <c r="O597" s="308">
        <v>5.7657999999999996</v>
      </c>
      <c r="P597" s="308">
        <v>7.6627999999999998</v>
      </c>
      <c r="Q597" s="308">
        <v>8.2464999999999993</v>
      </c>
      <c r="R597" s="308">
        <v>8.5928000000000004</v>
      </c>
      <c r="S597" s="308">
        <v>7.5910000000000002</v>
      </c>
      <c r="T597" s="308">
        <v>9.1746999999999996</v>
      </c>
      <c r="U597" s="308">
        <v>8.3291000000000004</v>
      </c>
      <c r="V597" s="308">
        <v>5.6955</v>
      </c>
      <c r="W597" s="308">
        <v>7.3025000000000002</v>
      </c>
      <c r="X597" s="308">
        <v>7.1191000000000004</v>
      </c>
      <c r="Y597" s="308">
        <v>8.6120000000000001</v>
      </c>
      <c r="Z597" s="308">
        <v>8.0876999999999999</v>
      </c>
      <c r="AA597" s="308">
        <v>7.8765999999999998</v>
      </c>
      <c r="AB597" s="308">
        <v>7.6544999999999996</v>
      </c>
      <c r="AC597" s="308">
        <v>9.5236999999999998</v>
      </c>
      <c r="AD597" s="308">
        <v>9.5345999999999993</v>
      </c>
      <c r="AE597" s="308">
        <v>9.1590000000000007</v>
      </c>
      <c r="AF597" s="308">
        <v>0</v>
      </c>
      <c r="AG597" s="308">
        <v>9.3834</v>
      </c>
      <c r="AH597" s="308">
        <v>7.2971000000000004</v>
      </c>
      <c r="AI597" s="308">
        <v>7.4501999999999997</v>
      </c>
      <c r="AJ597" s="308">
        <v>0</v>
      </c>
      <c r="AK597" s="308">
        <v>7.5311000000000003</v>
      </c>
      <c r="AL597" s="308">
        <v>6.2164999999999999</v>
      </c>
      <c r="AM597" s="308">
        <v>9.5149000000000008</v>
      </c>
      <c r="AN597" s="308">
        <v>9.2566000000000006</v>
      </c>
      <c r="AO597" s="308">
        <v>8.8660999999999994</v>
      </c>
      <c r="AP597" s="308">
        <v>8.7509999999999994</v>
      </c>
      <c r="AQ597" s="308">
        <v>8.6334999999999997</v>
      </c>
      <c r="AR597" s="308">
        <v>8.9846000000000004</v>
      </c>
      <c r="AS597" s="308">
        <v>7.9005999999999998</v>
      </c>
      <c r="AT597" s="308">
        <v>9.2899999999999991</v>
      </c>
      <c r="AU597" s="308">
        <v>8.4290000000000003</v>
      </c>
      <c r="AV597" s="308">
        <v>10.9482</v>
      </c>
      <c r="AW597" s="308">
        <v>7.2529000000000003</v>
      </c>
      <c r="AX597" s="308">
        <v>0</v>
      </c>
      <c r="AY597" s="308">
        <v>6.7301000000000002</v>
      </c>
      <c r="AZ597" s="308">
        <v>7.8453999999999997</v>
      </c>
      <c r="BA597" s="308">
        <v>9.2012999999999998</v>
      </c>
      <c r="BB597" s="308">
        <v>0</v>
      </c>
      <c r="BC597" s="308">
        <v>6.8657000000000004</v>
      </c>
      <c r="BD597" s="308">
        <v>7.9981999999999998</v>
      </c>
      <c r="BE597" s="308">
        <v>8.6753</v>
      </c>
      <c r="BF597" s="308">
        <v>8.4364000000000008</v>
      </c>
      <c r="BG597" s="308">
        <v>8.9483999999999995</v>
      </c>
      <c r="BH597" s="308">
        <v>9.8353999999999999</v>
      </c>
      <c r="BI597" s="308">
        <v>9.0228000000000002</v>
      </c>
      <c r="BJ597" s="308">
        <v>8.0210000000000008</v>
      </c>
      <c r="BK597" s="308">
        <v>7.3293999999999997</v>
      </c>
    </row>
    <row r="598" spans="1:63" x14ac:dyDescent="0.25">
      <c r="A598" s="306">
        <v>332600</v>
      </c>
      <c r="B598" s="308" t="s">
        <v>174</v>
      </c>
      <c r="C598" s="308">
        <v>10.8371</v>
      </c>
      <c r="D598" s="308">
        <v>0</v>
      </c>
      <c r="E598" s="308">
        <v>9.7942</v>
      </c>
      <c r="F598" s="308">
        <v>10.8194</v>
      </c>
      <c r="G598" s="308">
        <v>8.4549000000000003</v>
      </c>
      <c r="H598" s="308">
        <v>8.0662000000000003</v>
      </c>
      <c r="I598" s="308">
        <v>9.2103000000000002</v>
      </c>
      <c r="J598" s="308">
        <v>7.3502999999999998</v>
      </c>
      <c r="K598" s="308">
        <v>0</v>
      </c>
      <c r="L598" s="308">
        <v>8.0066000000000006</v>
      </c>
      <c r="M598" s="308">
        <v>8.4421999999999997</v>
      </c>
      <c r="N598" s="308">
        <v>8.6623000000000001</v>
      </c>
      <c r="O598" s="308">
        <v>0</v>
      </c>
      <c r="P598" s="308">
        <v>9.9604999999999997</v>
      </c>
      <c r="Q598" s="308">
        <v>9.2964000000000002</v>
      </c>
      <c r="R598" s="308">
        <v>9.3909000000000002</v>
      </c>
      <c r="S598" s="308">
        <v>8.8940999999999999</v>
      </c>
      <c r="T598" s="308">
        <v>8.3803000000000001</v>
      </c>
      <c r="U598" s="308">
        <v>9.4835999999999991</v>
      </c>
      <c r="V598" s="308">
        <v>9.0243000000000002</v>
      </c>
      <c r="W598" s="308">
        <v>7.3433000000000002</v>
      </c>
      <c r="X598" s="308">
        <v>8.0223999999999993</v>
      </c>
      <c r="Y598" s="308">
        <v>9.7271999999999998</v>
      </c>
      <c r="Z598" s="308">
        <v>9.7731999999999992</v>
      </c>
      <c r="AA598" s="308">
        <v>8.5219000000000005</v>
      </c>
      <c r="AB598" s="308">
        <v>9.2507000000000001</v>
      </c>
      <c r="AC598" s="308">
        <v>9.3506</v>
      </c>
      <c r="AD598" s="308">
        <v>0</v>
      </c>
      <c r="AE598" s="308">
        <v>9.4391999999999996</v>
      </c>
      <c r="AF598" s="308">
        <v>8.1247000000000007</v>
      </c>
      <c r="AG598" s="308">
        <v>8.7200000000000006</v>
      </c>
      <c r="AH598" s="308">
        <v>8.3521999999999998</v>
      </c>
      <c r="AI598" s="308">
        <v>7.2927</v>
      </c>
      <c r="AJ598" s="308">
        <v>9.5341000000000005</v>
      </c>
      <c r="AK598" s="308">
        <v>6.7770000000000001</v>
      </c>
      <c r="AL598" s="308">
        <v>7.7275999999999998</v>
      </c>
      <c r="AM598" s="308">
        <v>9.6060999999999996</v>
      </c>
      <c r="AN598" s="308">
        <v>10.960699999999999</v>
      </c>
      <c r="AO598" s="308">
        <v>9.0022000000000002</v>
      </c>
      <c r="AP598" s="308">
        <v>9.7225999999999999</v>
      </c>
      <c r="AQ598" s="308">
        <v>7.9309000000000003</v>
      </c>
      <c r="AR598" s="308">
        <v>9.4154</v>
      </c>
      <c r="AS598" s="308">
        <v>9.0716999999999999</v>
      </c>
      <c r="AT598" s="308">
        <v>10.067500000000001</v>
      </c>
      <c r="AU598" s="308">
        <v>9.4789999999999992</v>
      </c>
      <c r="AV598" s="308">
        <v>10.0579</v>
      </c>
      <c r="AW598" s="308">
        <v>8.6339000000000006</v>
      </c>
      <c r="AX598" s="308">
        <v>7.1052999999999997</v>
      </c>
      <c r="AY598" s="308">
        <v>7.9291</v>
      </c>
      <c r="AZ598" s="308">
        <v>9.0724</v>
      </c>
      <c r="BA598" s="308">
        <v>9.1341999999999999</v>
      </c>
      <c r="BB598" s="308">
        <v>0</v>
      </c>
      <c r="BC598" s="308">
        <v>8.2819000000000003</v>
      </c>
      <c r="BD598" s="308">
        <v>9.1103000000000005</v>
      </c>
      <c r="BE598" s="308">
        <v>9.8735999999999997</v>
      </c>
      <c r="BF598" s="308">
        <v>9.3757999999999999</v>
      </c>
      <c r="BG598" s="308">
        <v>9.2271000000000001</v>
      </c>
      <c r="BH598" s="308">
        <v>10.2918</v>
      </c>
      <c r="BI598" s="308">
        <v>10.1965</v>
      </c>
      <c r="BJ598" s="308">
        <v>8.8969000000000005</v>
      </c>
      <c r="BK598" s="308">
        <v>8.2617999999999991</v>
      </c>
    </row>
    <row r="599" spans="1:63" x14ac:dyDescent="0.25">
      <c r="A599" s="306">
        <v>332710</v>
      </c>
      <c r="B599" s="308" t="s">
        <v>175</v>
      </c>
      <c r="C599" s="308">
        <v>13.226900000000001</v>
      </c>
      <c r="D599" s="308">
        <v>8.7303999999999995</v>
      </c>
      <c r="E599" s="308">
        <v>12.9026</v>
      </c>
      <c r="F599" s="308">
        <v>12.762600000000001</v>
      </c>
      <c r="G599" s="308">
        <v>10.793799999999999</v>
      </c>
      <c r="H599" s="308">
        <v>10.693099999999999</v>
      </c>
      <c r="I599" s="308">
        <v>11.701499999999999</v>
      </c>
      <c r="J599" s="308">
        <v>9.6574000000000009</v>
      </c>
      <c r="K599" s="308">
        <v>0</v>
      </c>
      <c r="L599" s="308">
        <v>8.7741000000000007</v>
      </c>
      <c r="M599" s="308">
        <v>11.958500000000001</v>
      </c>
      <c r="N599" s="308">
        <v>12.0025</v>
      </c>
      <c r="O599" s="308">
        <v>12.229699999999999</v>
      </c>
      <c r="P599" s="308">
        <v>11.515700000000001</v>
      </c>
      <c r="Q599" s="308">
        <v>12.007</v>
      </c>
      <c r="R599" s="308">
        <v>11.614100000000001</v>
      </c>
      <c r="S599" s="308">
        <v>11.771000000000001</v>
      </c>
      <c r="T599" s="308">
        <v>11.3977</v>
      </c>
      <c r="U599" s="308">
        <v>11.8012</v>
      </c>
      <c r="V599" s="308">
        <v>9.9268000000000001</v>
      </c>
      <c r="W599" s="308">
        <v>9.298</v>
      </c>
      <c r="X599" s="308">
        <v>9.5038</v>
      </c>
      <c r="Y599" s="308">
        <v>10.3058</v>
      </c>
      <c r="Z599" s="308">
        <v>11.898300000000001</v>
      </c>
      <c r="AA599" s="308">
        <v>10.7624</v>
      </c>
      <c r="AB599" s="308">
        <v>12.0626</v>
      </c>
      <c r="AC599" s="308">
        <v>11.2576</v>
      </c>
      <c r="AD599" s="308">
        <v>12.438499999999999</v>
      </c>
      <c r="AE599" s="308">
        <v>12.5854</v>
      </c>
      <c r="AF599" s="308">
        <v>10.323700000000001</v>
      </c>
      <c r="AG599" s="308">
        <v>12.0129</v>
      </c>
      <c r="AH599" s="308">
        <v>9.7250999999999994</v>
      </c>
      <c r="AI599" s="308">
        <v>9.3605999999999998</v>
      </c>
      <c r="AJ599" s="308">
        <v>12.2888</v>
      </c>
      <c r="AK599" s="308">
        <v>11.799799999999999</v>
      </c>
      <c r="AL599" s="308">
        <v>9.9191000000000003</v>
      </c>
      <c r="AM599" s="308">
        <v>12.0101</v>
      </c>
      <c r="AN599" s="308">
        <v>12.692600000000001</v>
      </c>
      <c r="AO599" s="308">
        <v>12.3698</v>
      </c>
      <c r="AP599" s="308">
        <v>12.360799999999999</v>
      </c>
      <c r="AQ599" s="308">
        <v>10.5297</v>
      </c>
      <c r="AR599" s="308">
        <v>13.2193</v>
      </c>
      <c r="AS599" s="308">
        <v>11.788</v>
      </c>
      <c r="AT599" s="308">
        <v>11.9642</v>
      </c>
      <c r="AU599" s="308">
        <v>10.8599</v>
      </c>
      <c r="AV599" s="308">
        <v>13.7561</v>
      </c>
      <c r="AW599" s="308">
        <v>11.404500000000001</v>
      </c>
      <c r="AX599" s="308">
        <v>12.0107</v>
      </c>
      <c r="AY599" s="308">
        <v>11.5098</v>
      </c>
      <c r="AZ599" s="308">
        <v>12.253399999999999</v>
      </c>
      <c r="BA599" s="308">
        <v>10.653600000000001</v>
      </c>
      <c r="BB599" s="308">
        <v>8.9972999999999992</v>
      </c>
      <c r="BC599" s="308">
        <v>10.5402</v>
      </c>
      <c r="BD599" s="308">
        <v>11.566000000000001</v>
      </c>
      <c r="BE599" s="308">
        <v>12.4168</v>
      </c>
      <c r="BF599" s="308">
        <v>11.858000000000001</v>
      </c>
      <c r="BG599" s="308">
        <v>12.5459</v>
      </c>
      <c r="BH599" s="308">
        <v>12.8078</v>
      </c>
      <c r="BI599" s="308">
        <v>11.4277</v>
      </c>
      <c r="BJ599" s="308">
        <v>11.988799999999999</v>
      </c>
      <c r="BK599" s="308">
        <v>11.107200000000001</v>
      </c>
    </row>
    <row r="600" spans="1:63" x14ac:dyDescent="0.25">
      <c r="A600" s="306">
        <v>332720</v>
      </c>
      <c r="B600" s="308" t="s">
        <v>176</v>
      </c>
      <c r="C600" s="308">
        <v>11.1578</v>
      </c>
      <c r="D600" s="308">
        <v>0</v>
      </c>
      <c r="E600" s="308">
        <v>10.2822</v>
      </c>
      <c r="F600" s="308">
        <v>11.113899999999999</v>
      </c>
      <c r="G600" s="308">
        <v>9.1685999999999996</v>
      </c>
      <c r="H600" s="308">
        <v>8.5073000000000008</v>
      </c>
      <c r="I600" s="308">
        <v>10.527100000000001</v>
      </c>
      <c r="J600" s="308">
        <v>8.4042999999999992</v>
      </c>
      <c r="K600" s="308">
        <v>0</v>
      </c>
      <c r="L600" s="308">
        <v>8.2423999999999999</v>
      </c>
      <c r="M600" s="308">
        <v>9.4390000000000001</v>
      </c>
      <c r="N600" s="308">
        <v>9.4961000000000002</v>
      </c>
      <c r="O600" s="308">
        <v>0</v>
      </c>
      <c r="P600" s="308">
        <v>9.9842999999999993</v>
      </c>
      <c r="Q600" s="308">
        <v>10.003</v>
      </c>
      <c r="R600" s="308">
        <v>9.6649999999999991</v>
      </c>
      <c r="S600" s="308">
        <v>10.006399999999999</v>
      </c>
      <c r="T600" s="308">
        <v>8.6892999999999994</v>
      </c>
      <c r="U600" s="308">
        <v>10.590999999999999</v>
      </c>
      <c r="V600" s="308">
        <v>10.6997</v>
      </c>
      <c r="W600" s="308">
        <v>7.6955999999999998</v>
      </c>
      <c r="X600" s="308">
        <v>8.7096999999999998</v>
      </c>
      <c r="Y600" s="308">
        <v>10.054</v>
      </c>
      <c r="Z600" s="308">
        <v>9.9448000000000008</v>
      </c>
      <c r="AA600" s="308">
        <v>9.5645000000000007</v>
      </c>
      <c r="AB600" s="308">
        <v>10.4526</v>
      </c>
      <c r="AC600" s="308">
        <v>10.455399999999999</v>
      </c>
      <c r="AD600" s="308">
        <v>9.1766000000000005</v>
      </c>
      <c r="AE600" s="308">
        <v>9.6193000000000008</v>
      </c>
      <c r="AF600" s="308">
        <v>0</v>
      </c>
      <c r="AG600" s="308">
        <v>10.1259</v>
      </c>
      <c r="AH600" s="308">
        <v>8.5551999999999992</v>
      </c>
      <c r="AI600" s="308">
        <v>8.0963999999999992</v>
      </c>
      <c r="AJ600" s="308">
        <v>8.6469000000000005</v>
      </c>
      <c r="AK600" s="308">
        <v>9.7185000000000006</v>
      </c>
      <c r="AL600" s="308">
        <v>8.7986000000000004</v>
      </c>
      <c r="AM600" s="308">
        <v>10.306699999999999</v>
      </c>
      <c r="AN600" s="308">
        <v>11.476599999999999</v>
      </c>
      <c r="AO600" s="308">
        <v>9.6297999999999995</v>
      </c>
      <c r="AP600" s="308">
        <v>9.6705000000000005</v>
      </c>
      <c r="AQ600" s="308">
        <v>9.2106999999999992</v>
      </c>
      <c r="AR600" s="308">
        <v>10.2974</v>
      </c>
      <c r="AS600" s="308">
        <v>9.8361000000000001</v>
      </c>
      <c r="AT600" s="308">
        <v>9.8318999999999992</v>
      </c>
      <c r="AU600" s="308">
        <v>9.2810000000000006</v>
      </c>
      <c r="AV600" s="308">
        <v>12.0105</v>
      </c>
      <c r="AW600" s="308">
        <v>9.9780999999999995</v>
      </c>
      <c r="AX600" s="308">
        <v>7.3864000000000001</v>
      </c>
      <c r="AY600" s="308">
        <v>8.3678000000000008</v>
      </c>
      <c r="AZ600" s="308">
        <v>10.4354</v>
      </c>
      <c r="BA600" s="308">
        <v>8.4327000000000005</v>
      </c>
      <c r="BB600" s="308">
        <v>0</v>
      </c>
      <c r="BC600" s="308">
        <v>9.0399999999999991</v>
      </c>
      <c r="BD600" s="308">
        <v>9.6196000000000002</v>
      </c>
      <c r="BE600" s="308">
        <v>10.4262</v>
      </c>
      <c r="BF600" s="308">
        <v>10.228199999999999</v>
      </c>
      <c r="BG600" s="308">
        <v>10.0655</v>
      </c>
      <c r="BH600" s="308">
        <v>10.7394</v>
      </c>
      <c r="BI600" s="308">
        <v>9.9564000000000004</v>
      </c>
      <c r="BJ600" s="308">
        <v>10.3987</v>
      </c>
      <c r="BK600" s="308">
        <v>8.6488999999999994</v>
      </c>
    </row>
    <row r="601" spans="1:63" x14ac:dyDescent="0.25">
      <c r="A601" s="306">
        <v>332800</v>
      </c>
      <c r="B601" s="308" t="s">
        <v>177</v>
      </c>
      <c r="C601" s="308">
        <v>11.3438</v>
      </c>
      <c r="D601" s="308">
        <v>9.7888000000000002</v>
      </c>
      <c r="E601" s="308">
        <v>10.331099999999999</v>
      </c>
      <c r="F601" s="308">
        <v>11.1036</v>
      </c>
      <c r="G601" s="308">
        <v>8.9141999999999992</v>
      </c>
      <c r="H601" s="308">
        <v>9.5805000000000007</v>
      </c>
      <c r="I601" s="308">
        <v>10.8651</v>
      </c>
      <c r="J601" s="308">
        <v>8.1309000000000005</v>
      </c>
      <c r="K601" s="308">
        <v>0</v>
      </c>
      <c r="L601" s="308">
        <v>7.4722</v>
      </c>
      <c r="M601" s="308">
        <v>9.2874999999999996</v>
      </c>
      <c r="N601" s="308">
        <v>9.5912000000000006</v>
      </c>
      <c r="O601" s="308">
        <v>9.1530000000000005</v>
      </c>
      <c r="P601" s="308">
        <v>9.6846999999999994</v>
      </c>
      <c r="Q601" s="308">
        <v>10.087199999999999</v>
      </c>
      <c r="R601" s="308">
        <v>10.045400000000001</v>
      </c>
      <c r="S601" s="308">
        <v>9.4055999999999997</v>
      </c>
      <c r="T601" s="308">
        <v>8.8013999999999992</v>
      </c>
      <c r="U601" s="308">
        <v>8.9083000000000006</v>
      </c>
      <c r="V601" s="308">
        <v>8.4657999999999998</v>
      </c>
      <c r="W601" s="308">
        <v>7.9150999999999998</v>
      </c>
      <c r="X601" s="308">
        <v>8.1024999999999991</v>
      </c>
      <c r="Y601" s="308">
        <v>8.7868999999999993</v>
      </c>
      <c r="Z601" s="308">
        <v>10.0822</v>
      </c>
      <c r="AA601" s="308">
        <v>9.7082999999999995</v>
      </c>
      <c r="AB601" s="308">
        <v>9.3155999999999999</v>
      </c>
      <c r="AC601" s="308">
        <v>8.4267000000000003</v>
      </c>
      <c r="AD601" s="308">
        <v>10.478899999999999</v>
      </c>
      <c r="AE601" s="308">
        <v>9.7453000000000003</v>
      </c>
      <c r="AF601" s="308">
        <v>7.8384</v>
      </c>
      <c r="AG601" s="308">
        <v>7.9196</v>
      </c>
      <c r="AH601" s="308">
        <v>9.2475000000000005</v>
      </c>
      <c r="AI601" s="308">
        <v>7.8438999999999997</v>
      </c>
      <c r="AJ601" s="308">
        <v>10.516500000000001</v>
      </c>
      <c r="AK601" s="308">
        <v>10.2035</v>
      </c>
      <c r="AL601" s="308">
        <v>7.8547000000000002</v>
      </c>
      <c r="AM601" s="308">
        <v>10.0402</v>
      </c>
      <c r="AN601" s="308">
        <v>10.6096</v>
      </c>
      <c r="AO601" s="308">
        <v>10.3224</v>
      </c>
      <c r="AP601" s="308">
        <v>9.6487999999999996</v>
      </c>
      <c r="AQ601" s="308">
        <v>9.3619000000000003</v>
      </c>
      <c r="AR601" s="308">
        <v>9.8125</v>
      </c>
      <c r="AS601" s="308">
        <v>9.8752999999999993</v>
      </c>
      <c r="AT601" s="308">
        <v>10.5158</v>
      </c>
      <c r="AU601" s="308">
        <v>9.1448</v>
      </c>
      <c r="AV601" s="308">
        <v>11.8963</v>
      </c>
      <c r="AW601" s="308">
        <v>8.9375999999999998</v>
      </c>
      <c r="AX601" s="308">
        <v>10.1021</v>
      </c>
      <c r="AY601" s="308">
        <v>9.8446999999999996</v>
      </c>
      <c r="AZ601" s="308">
        <v>10.154400000000001</v>
      </c>
      <c r="BA601" s="308">
        <v>8.0823999999999998</v>
      </c>
      <c r="BB601" s="308">
        <v>8.0936000000000003</v>
      </c>
      <c r="BC601" s="308">
        <v>9.0100999999999996</v>
      </c>
      <c r="BD601" s="308">
        <v>9.2815999999999992</v>
      </c>
      <c r="BE601" s="308">
        <v>10.464399999999999</v>
      </c>
      <c r="BF601" s="308">
        <v>9.7538</v>
      </c>
      <c r="BG601" s="308">
        <v>9.8878000000000004</v>
      </c>
      <c r="BH601" s="308">
        <v>10.2209</v>
      </c>
      <c r="BI601" s="308">
        <v>9.7036999999999995</v>
      </c>
      <c r="BJ601" s="308">
        <v>10.23</v>
      </c>
      <c r="BK601" s="308">
        <v>9.7982999999999993</v>
      </c>
    </row>
    <row r="602" spans="1:63" x14ac:dyDescent="0.25">
      <c r="A602" s="306">
        <v>332913</v>
      </c>
      <c r="B602" s="308" t="s">
        <v>8</v>
      </c>
      <c r="C602" s="308">
        <v>8.6844999999999999</v>
      </c>
      <c r="D602" s="308">
        <v>0</v>
      </c>
      <c r="E602" s="308">
        <v>0</v>
      </c>
      <c r="F602" s="308">
        <v>8.1798999999999999</v>
      </c>
      <c r="G602" s="308">
        <v>7.7599</v>
      </c>
      <c r="H602" s="308">
        <v>6.2942</v>
      </c>
      <c r="I602" s="308">
        <v>5.8513999999999999</v>
      </c>
      <c r="J602" s="308">
        <v>5.766</v>
      </c>
      <c r="K602" s="308">
        <v>0</v>
      </c>
      <c r="L602" s="308">
        <v>4.3456999999999999</v>
      </c>
      <c r="M602" s="308">
        <v>5.6584000000000003</v>
      </c>
      <c r="N602" s="308">
        <v>8.0458999999999996</v>
      </c>
      <c r="O602" s="308">
        <v>0</v>
      </c>
      <c r="P602" s="308">
        <v>0</v>
      </c>
      <c r="Q602" s="308">
        <v>5.5621999999999998</v>
      </c>
      <c r="R602" s="308">
        <v>6.5080999999999998</v>
      </c>
      <c r="S602" s="308">
        <v>6.8179999999999996</v>
      </c>
      <c r="T602" s="308">
        <v>6.3632</v>
      </c>
      <c r="U602" s="308">
        <v>6.9044999999999996</v>
      </c>
      <c r="V602" s="308">
        <v>0</v>
      </c>
      <c r="W602" s="308">
        <v>5.3952</v>
      </c>
      <c r="X602" s="308">
        <v>0</v>
      </c>
      <c r="Y602" s="308">
        <v>0</v>
      </c>
      <c r="Z602" s="308">
        <v>7.1959</v>
      </c>
      <c r="AA602" s="308">
        <v>7.2157</v>
      </c>
      <c r="AB602" s="308">
        <v>7.1307</v>
      </c>
      <c r="AC602" s="308">
        <v>0</v>
      </c>
      <c r="AD602" s="308">
        <v>0</v>
      </c>
      <c r="AE602" s="308">
        <v>7.3992000000000004</v>
      </c>
      <c r="AF602" s="308">
        <v>0</v>
      </c>
      <c r="AG602" s="308">
        <v>0</v>
      </c>
      <c r="AH602" s="308">
        <v>7.8894000000000002</v>
      </c>
      <c r="AI602" s="308">
        <v>5.3891</v>
      </c>
      <c r="AJ602" s="308">
        <v>0</v>
      </c>
      <c r="AK602" s="308">
        <v>4.6433999999999997</v>
      </c>
      <c r="AL602" s="308">
        <v>6.4962999999999997</v>
      </c>
      <c r="AM602" s="308">
        <v>6.8209</v>
      </c>
      <c r="AN602" s="308">
        <v>6.2176</v>
      </c>
      <c r="AO602" s="308">
        <v>7.1318000000000001</v>
      </c>
      <c r="AP602" s="308">
        <v>6.7613000000000003</v>
      </c>
      <c r="AQ602" s="308">
        <v>6.5452000000000004</v>
      </c>
      <c r="AR602" s="308">
        <v>7.2748999999999997</v>
      </c>
      <c r="AS602" s="308">
        <v>0</v>
      </c>
      <c r="AT602" s="308">
        <v>8.2703000000000007</v>
      </c>
      <c r="AU602" s="308">
        <v>7.4470999999999998</v>
      </c>
      <c r="AV602" s="308">
        <v>0</v>
      </c>
      <c r="AW602" s="308">
        <v>6.7241999999999997</v>
      </c>
      <c r="AX602" s="308">
        <v>0</v>
      </c>
      <c r="AY602" s="308">
        <v>7.2987000000000002</v>
      </c>
      <c r="AZ602" s="308">
        <v>7.0853999999999999</v>
      </c>
      <c r="BA602" s="308">
        <v>0</v>
      </c>
      <c r="BB602" s="308">
        <v>0</v>
      </c>
      <c r="BC602" s="308">
        <v>6.7587000000000002</v>
      </c>
      <c r="BD602" s="308">
        <v>6.4473000000000003</v>
      </c>
      <c r="BE602" s="308">
        <v>7.1494</v>
      </c>
      <c r="BF602" s="308">
        <v>7.3235000000000001</v>
      </c>
      <c r="BG602" s="308">
        <v>7.3817000000000004</v>
      </c>
      <c r="BH602" s="308">
        <v>8.6777999999999995</v>
      </c>
      <c r="BI602" s="308">
        <v>8.0470000000000006</v>
      </c>
      <c r="BJ602" s="308">
        <v>6.0667</v>
      </c>
      <c r="BK602" s="308">
        <v>6.4219999999999997</v>
      </c>
    </row>
    <row r="603" spans="1:63" x14ac:dyDescent="0.25">
      <c r="A603" s="306" t="s">
        <v>601</v>
      </c>
      <c r="B603" s="308" t="s">
        <v>612</v>
      </c>
      <c r="C603" s="308">
        <v>9.2013999999999996</v>
      </c>
      <c r="D603" s="308">
        <v>0</v>
      </c>
      <c r="E603" s="308">
        <v>8.2733000000000008</v>
      </c>
      <c r="F603" s="308">
        <v>7.9335000000000004</v>
      </c>
      <c r="G603" s="308">
        <v>6.0385999999999997</v>
      </c>
      <c r="H603" s="308">
        <v>6.5240999999999998</v>
      </c>
      <c r="I603" s="308">
        <v>5.8388999999999998</v>
      </c>
      <c r="J603" s="308">
        <v>6.5768000000000004</v>
      </c>
      <c r="K603" s="308">
        <v>0.82199999999999995</v>
      </c>
      <c r="L603" s="308">
        <v>0</v>
      </c>
      <c r="M603" s="308">
        <v>6.9227999999999996</v>
      </c>
      <c r="N603" s="308">
        <v>7.5388000000000002</v>
      </c>
      <c r="O603" s="308">
        <v>0</v>
      </c>
      <c r="P603" s="308">
        <v>7.1883999999999997</v>
      </c>
      <c r="Q603" s="308">
        <v>5.1643999999999997</v>
      </c>
      <c r="R603" s="308">
        <v>8.2551000000000005</v>
      </c>
      <c r="S603" s="308">
        <v>9.0213999999999999</v>
      </c>
      <c r="T603" s="308">
        <v>7.6611000000000002</v>
      </c>
      <c r="U603" s="308">
        <v>8.2624999999999993</v>
      </c>
      <c r="V603" s="308">
        <v>6.9554</v>
      </c>
      <c r="W603" s="308">
        <v>5.5143000000000004</v>
      </c>
      <c r="X603" s="308">
        <v>5.4920999999999998</v>
      </c>
      <c r="Y603" s="308">
        <v>7.2</v>
      </c>
      <c r="Z603" s="308">
        <v>8.0404</v>
      </c>
      <c r="AA603" s="308">
        <v>6.8540999999999999</v>
      </c>
      <c r="AB603" s="308">
        <v>7.7706999999999997</v>
      </c>
      <c r="AC603" s="308">
        <v>6.9791999999999996</v>
      </c>
      <c r="AD603" s="308">
        <v>6.6344000000000003</v>
      </c>
      <c r="AE603" s="308">
        <v>8.0175999999999998</v>
      </c>
      <c r="AF603" s="308">
        <v>6.6349</v>
      </c>
      <c r="AG603" s="308">
        <v>7.2473999999999998</v>
      </c>
      <c r="AH603" s="308">
        <v>7.7944000000000004</v>
      </c>
      <c r="AI603" s="308">
        <v>6.2308000000000003</v>
      </c>
      <c r="AJ603" s="308">
        <v>7.726</v>
      </c>
      <c r="AK603" s="308">
        <v>7.1422999999999996</v>
      </c>
      <c r="AL603" s="308">
        <v>5.5673000000000004</v>
      </c>
      <c r="AM603" s="308">
        <v>8.1906999999999996</v>
      </c>
      <c r="AN603" s="308">
        <v>8.7937999999999992</v>
      </c>
      <c r="AO603" s="308">
        <v>8.8483999999999998</v>
      </c>
      <c r="AP603" s="308">
        <v>8.7909000000000006</v>
      </c>
      <c r="AQ603" s="308">
        <v>6.4439000000000002</v>
      </c>
      <c r="AR603" s="308">
        <v>9.5701000000000001</v>
      </c>
      <c r="AS603" s="308">
        <v>7.5921000000000003</v>
      </c>
      <c r="AT603" s="308">
        <v>7.9025999999999996</v>
      </c>
      <c r="AU603" s="308">
        <v>7.0011999999999999</v>
      </c>
      <c r="AV603" s="308">
        <v>8.1631999999999998</v>
      </c>
      <c r="AW603" s="308">
        <v>7.6451000000000002</v>
      </c>
      <c r="AX603" s="308">
        <v>7.0296000000000003</v>
      </c>
      <c r="AY603" s="308">
        <v>6.9748000000000001</v>
      </c>
      <c r="AZ603" s="308">
        <v>8.6795000000000009</v>
      </c>
      <c r="BA603" s="308">
        <v>7.6292999999999997</v>
      </c>
      <c r="BB603" s="308">
        <v>5.1653000000000002</v>
      </c>
      <c r="BC603" s="308">
        <v>7.0861999999999998</v>
      </c>
      <c r="BD603" s="308">
        <v>7.6125999999999996</v>
      </c>
      <c r="BE603" s="308">
        <v>8.6630000000000003</v>
      </c>
      <c r="BF603" s="308">
        <v>7.8962000000000003</v>
      </c>
      <c r="BG603" s="308">
        <v>7.9725999999999999</v>
      </c>
      <c r="BH603" s="308">
        <v>8.4450000000000003</v>
      </c>
      <c r="BI603" s="308">
        <v>7.5843999999999996</v>
      </c>
      <c r="BJ603" s="308">
        <v>6.4686000000000003</v>
      </c>
      <c r="BK603" s="308">
        <v>6.8442999999999996</v>
      </c>
    </row>
    <row r="604" spans="1:63" x14ac:dyDescent="0.25">
      <c r="A604" s="306">
        <v>332991</v>
      </c>
      <c r="B604" s="308" t="s">
        <v>178</v>
      </c>
      <c r="C604" s="308">
        <v>8.7406000000000006</v>
      </c>
      <c r="D604" s="308">
        <v>0</v>
      </c>
      <c r="E604" s="308">
        <v>8.3398000000000003</v>
      </c>
      <c r="F604" s="308">
        <v>0</v>
      </c>
      <c r="G604" s="308">
        <v>0</v>
      </c>
      <c r="H604" s="308">
        <v>6.8971999999999998</v>
      </c>
      <c r="I604" s="308">
        <v>0</v>
      </c>
      <c r="J604" s="308">
        <v>6.2544000000000004</v>
      </c>
      <c r="K604" s="308">
        <v>0</v>
      </c>
      <c r="L604" s="308">
        <v>6.3879000000000001</v>
      </c>
      <c r="M604" s="308">
        <v>6.8483000000000001</v>
      </c>
      <c r="N604" s="308">
        <v>8.7393000000000001</v>
      </c>
      <c r="O604" s="308">
        <v>0</v>
      </c>
      <c r="P604" s="308">
        <v>6.984</v>
      </c>
      <c r="Q604" s="308">
        <v>0</v>
      </c>
      <c r="R604" s="308">
        <v>8.0467999999999993</v>
      </c>
      <c r="S604" s="308">
        <v>7.8691000000000004</v>
      </c>
      <c r="T604" s="308">
        <v>7.2958999999999996</v>
      </c>
      <c r="U604" s="308">
        <v>8.9501000000000008</v>
      </c>
      <c r="V604" s="308">
        <v>0</v>
      </c>
      <c r="W604" s="308">
        <v>6.0526999999999997</v>
      </c>
      <c r="X604" s="308">
        <v>4.7282999999999999</v>
      </c>
      <c r="Y604" s="308">
        <v>0</v>
      </c>
      <c r="Z604" s="308">
        <v>6.5940000000000003</v>
      </c>
      <c r="AA604" s="308">
        <v>0</v>
      </c>
      <c r="AB604" s="308">
        <v>7.1623000000000001</v>
      </c>
      <c r="AC604" s="308">
        <v>7.8956</v>
      </c>
      <c r="AD604" s="308">
        <v>0</v>
      </c>
      <c r="AE604" s="308">
        <v>7.7333999999999996</v>
      </c>
      <c r="AF604" s="308">
        <v>0</v>
      </c>
      <c r="AG604" s="308">
        <v>0</v>
      </c>
      <c r="AH604" s="308">
        <v>6.7990000000000004</v>
      </c>
      <c r="AI604" s="308">
        <v>5.5732999999999997</v>
      </c>
      <c r="AJ604" s="308">
        <v>0</v>
      </c>
      <c r="AK604" s="308">
        <v>6.8244999999999996</v>
      </c>
      <c r="AL604" s="308">
        <v>5.5669000000000004</v>
      </c>
      <c r="AM604" s="308">
        <v>6.8342999999999998</v>
      </c>
      <c r="AN604" s="308">
        <v>8.0877999999999997</v>
      </c>
      <c r="AO604" s="308">
        <v>0</v>
      </c>
      <c r="AP604" s="308">
        <v>7.0331999999999999</v>
      </c>
      <c r="AQ604" s="308">
        <v>6.0693000000000001</v>
      </c>
      <c r="AR604" s="308">
        <v>8.8263999999999996</v>
      </c>
      <c r="AS604" s="308">
        <v>0</v>
      </c>
      <c r="AT604" s="308">
        <v>8.9421999999999997</v>
      </c>
      <c r="AU604" s="308">
        <v>5.968</v>
      </c>
      <c r="AV604" s="308">
        <v>0</v>
      </c>
      <c r="AW604" s="308">
        <v>6.8667999999999996</v>
      </c>
      <c r="AX604" s="308">
        <v>0</v>
      </c>
      <c r="AY604" s="308">
        <v>0</v>
      </c>
      <c r="AZ604" s="308">
        <v>7.0937999999999999</v>
      </c>
      <c r="BA604" s="308">
        <v>0</v>
      </c>
      <c r="BB604" s="308">
        <v>7.2404999999999999</v>
      </c>
      <c r="BC604" s="308">
        <v>7.2152000000000003</v>
      </c>
      <c r="BD604" s="308">
        <v>6.7980999999999998</v>
      </c>
      <c r="BE604" s="308">
        <v>7.3692000000000002</v>
      </c>
      <c r="BF604" s="308">
        <v>7.1600999999999999</v>
      </c>
      <c r="BG604" s="308">
        <v>8.4213000000000005</v>
      </c>
      <c r="BH604" s="308">
        <v>9.3393999999999995</v>
      </c>
      <c r="BI604" s="308">
        <v>6.4444999999999997</v>
      </c>
      <c r="BJ604" s="308">
        <v>7.6543000000000001</v>
      </c>
      <c r="BK604" s="308">
        <v>6.9557000000000002</v>
      </c>
    </row>
    <row r="605" spans="1:63" x14ac:dyDescent="0.25">
      <c r="A605" s="306">
        <v>332996</v>
      </c>
      <c r="B605" s="308" t="s">
        <v>179</v>
      </c>
      <c r="C605" s="308">
        <v>10.440799999999999</v>
      </c>
      <c r="D605" s="308">
        <v>5.9006999999999996</v>
      </c>
      <c r="E605" s="308">
        <v>9.2372999999999994</v>
      </c>
      <c r="F605" s="308">
        <v>9.5088000000000008</v>
      </c>
      <c r="G605" s="308">
        <v>6.3150000000000004</v>
      </c>
      <c r="H605" s="308">
        <v>8.2576999999999998</v>
      </c>
      <c r="I605" s="308">
        <v>7.0289000000000001</v>
      </c>
      <c r="J605" s="308">
        <v>6.5731999999999999</v>
      </c>
      <c r="K605" s="308">
        <v>0</v>
      </c>
      <c r="L605" s="308">
        <v>5.1779000000000002</v>
      </c>
      <c r="M605" s="308">
        <v>8.2514000000000003</v>
      </c>
      <c r="N605" s="308">
        <v>7.0301</v>
      </c>
      <c r="O605" s="308">
        <v>0</v>
      </c>
      <c r="P605" s="308">
        <v>9.3696000000000002</v>
      </c>
      <c r="Q605" s="308">
        <v>8.7639999999999993</v>
      </c>
      <c r="R605" s="308">
        <v>8.7451000000000008</v>
      </c>
      <c r="S605" s="308">
        <v>9.4626999999999999</v>
      </c>
      <c r="T605" s="308">
        <v>8.3751999999999995</v>
      </c>
      <c r="U605" s="308">
        <v>10.123900000000001</v>
      </c>
      <c r="V605" s="308">
        <v>8.5799000000000003</v>
      </c>
      <c r="W605" s="308">
        <v>5.7210000000000001</v>
      </c>
      <c r="X605" s="308">
        <v>6.1538000000000004</v>
      </c>
      <c r="Y605" s="308">
        <v>6.3011999999999997</v>
      </c>
      <c r="Z605" s="308">
        <v>9.5399999999999991</v>
      </c>
      <c r="AA605" s="308">
        <v>7.6413000000000002</v>
      </c>
      <c r="AB605" s="308">
        <v>8.2529000000000003</v>
      </c>
      <c r="AC605" s="308">
        <v>9.6427999999999994</v>
      </c>
      <c r="AD605" s="308">
        <v>8.1212999999999997</v>
      </c>
      <c r="AE605" s="308">
        <v>8.6539000000000001</v>
      </c>
      <c r="AF605" s="308">
        <v>0</v>
      </c>
      <c r="AG605" s="308">
        <v>9.1672999999999991</v>
      </c>
      <c r="AH605" s="308">
        <v>6.1097000000000001</v>
      </c>
      <c r="AI605" s="308">
        <v>7.2404999999999999</v>
      </c>
      <c r="AJ605" s="308">
        <v>8.9918999999999993</v>
      </c>
      <c r="AK605" s="308">
        <v>8.3116000000000003</v>
      </c>
      <c r="AL605" s="308">
        <v>6.3939000000000004</v>
      </c>
      <c r="AM605" s="308">
        <v>9.5067000000000004</v>
      </c>
      <c r="AN605" s="308">
        <v>8.9263999999999992</v>
      </c>
      <c r="AO605" s="308">
        <v>9.0609999999999999</v>
      </c>
      <c r="AP605" s="308">
        <v>9.5661000000000005</v>
      </c>
      <c r="AQ605" s="308">
        <v>5.6022999999999996</v>
      </c>
      <c r="AR605" s="308">
        <v>9.8491999999999997</v>
      </c>
      <c r="AS605" s="308">
        <v>8.4542000000000002</v>
      </c>
      <c r="AT605" s="308">
        <v>10.2195</v>
      </c>
      <c r="AU605" s="308">
        <v>8.4428999999999998</v>
      </c>
      <c r="AV605" s="308">
        <v>10.882300000000001</v>
      </c>
      <c r="AW605" s="308">
        <v>7.6913999999999998</v>
      </c>
      <c r="AX605" s="308">
        <v>0</v>
      </c>
      <c r="AY605" s="308">
        <v>6.0187999999999997</v>
      </c>
      <c r="AZ605" s="308">
        <v>8.4712999999999994</v>
      </c>
      <c r="BA605" s="308">
        <v>8.7515000000000001</v>
      </c>
      <c r="BB605" s="308">
        <v>8.0845000000000002</v>
      </c>
      <c r="BC605" s="308">
        <v>6.7172000000000001</v>
      </c>
      <c r="BD605" s="308">
        <v>8.8308999999999997</v>
      </c>
      <c r="BE605" s="308">
        <v>9.8282000000000007</v>
      </c>
      <c r="BF605" s="308">
        <v>8.3884000000000007</v>
      </c>
      <c r="BG605" s="308">
        <v>8.6159999999999997</v>
      </c>
      <c r="BH605" s="308">
        <v>10.2781</v>
      </c>
      <c r="BI605" s="308">
        <v>9.1547999999999998</v>
      </c>
      <c r="BJ605" s="308">
        <v>7.9608999999999996</v>
      </c>
      <c r="BK605" s="308">
        <v>8.3765999999999998</v>
      </c>
    </row>
    <row r="606" spans="1:63" x14ac:dyDescent="0.25">
      <c r="A606" s="306" t="s">
        <v>728</v>
      </c>
      <c r="B606" s="308" t="s">
        <v>171</v>
      </c>
      <c r="C606" s="308">
        <v>8.1195000000000004</v>
      </c>
      <c r="D606" s="308">
        <v>0</v>
      </c>
      <c r="E606" s="308">
        <v>12.5398</v>
      </c>
      <c r="F606" s="308">
        <v>7.7831000000000001</v>
      </c>
      <c r="G606" s="308">
        <v>0</v>
      </c>
      <c r="H606" s="308">
        <v>7.0198999999999998</v>
      </c>
      <c r="I606" s="308">
        <v>0</v>
      </c>
      <c r="J606" s="308">
        <v>8.5397999999999996</v>
      </c>
      <c r="K606" s="308">
        <v>0</v>
      </c>
      <c r="L606" s="308">
        <v>0</v>
      </c>
      <c r="M606" s="308">
        <v>6.6456</v>
      </c>
      <c r="N606" s="308">
        <v>11.8528</v>
      </c>
      <c r="O606" s="308">
        <v>0</v>
      </c>
      <c r="P606" s="308">
        <v>7.6656000000000004</v>
      </c>
      <c r="Q606" s="308">
        <v>8.5037000000000003</v>
      </c>
      <c r="R606" s="308">
        <v>7.8112000000000004</v>
      </c>
      <c r="S606" s="308">
        <v>7.3811</v>
      </c>
      <c r="T606" s="308">
        <v>7.1757999999999997</v>
      </c>
      <c r="U606" s="308">
        <v>12.9809</v>
      </c>
      <c r="V606" s="308">
        <v>0</v>
      </c>
      <c r="W606" s="308">
        <v>5.0914000000000001</v>
      </c>
      <c r="X606" s="308">
        <v>6.5441000000000003</v>
      </c>
      <c r="Y606" s="308">
        <v>0</v>
      </c>
      <c r="Z606" s="308">
        <v>13.9808</v>
      </c>
      <c r="AA606" s="308">
        <v>6.9802</v>
      </c>
      <c r="AB606" s="308">
        <v>6.2163000000000004</v>
      </c>
      <c r="AC606" s="308">
        <v>8.0159000000000002</v>
      </c>
      <c r="AD606" s="308">
        <v>12.6288</v>
      </c>
      <c r="AE606" s="308">
        <v>6.3926999999999996</v>
      </c>
      <c r="AF606" s="308">
        <v>0</v>
      </c>
      <c r="AG606" s="308">
        <v>6.9482999999999997</v>
      </c>
      <c r="AH606" s="308">
        <v>0</v>
      </c>
      <c r="AI606" s="308">
        <v>0</v>
      </c>
      <c r="AJ606" s="308">
        <v>5.1372999999999998</v>
      </c>
      <c r="AK606" s="308">
        <v>9.7337000000000007</v>
      </c>
      <c r="AL606" s="308">
        <v>0</v>
      </c>
      <c r="AM606" s="308">
        <v>9.0348000000000006</v>
      </c>
      <c r="AN606" s="308">
        <v>0</v>
      </c>
      <c r="AO606" s="308">
        <v>8.0729000000000006</v>
      </c>
      <c r="AP606" s="308">
        <v>8.0022000000000002</v>
      </c>
      <c r="AQ606" s="308">
        <v>0</v>
      </c>
      <c r="AR606" s="308">
        <v>10.1755</v>
      </c>
      <c r="AS606" s="308">
        <v>9.4588999999999999</v>
      </c>
      <c r="AT606" s="308">
        <v>6.2971000000000004</v>
      </c>
      <c r="AU606" s="308">
        <v>6.0254000000000003</v>
      </c>
      <c r="AV606" s="308">
        <v>10.2934</v>
      </c>
      <c r="AW606" s="308">
        <v>12.7536</v>
      </c>
      <c r="AX606" s="308">
        <v>0</v>
      </c>
      <c r="AY606" s="308">
        <v>10.6836</v>
      </c>
      <c r="AZ606" s="308">
        <v>6.8777999999999997</v>
      </c>
      <c r="BA606" s="308">
        <v>8.2738999999999994</v>
      </c>
      <c r="BB606" s="308">
        <v>0</v>
      </c>
      <c r="BC606" s="308">
        <v>6.4343000000000004</v>
      </c>
      <c r="BD606" s="308">
        <v>7.6186999999999996</v>
      </c>
      <c r="BE606" s="308">
        <v>8.1734000000000009</v>
      </c>
      <c r="BF606" s="308">
        <v>6.7708000000000004</v>
      </c>
      <c r="BG606" s="308">
        <v>7.6262999999999996</v>
      </c>
      <c r="BH606" s="308">
        <v>6.6864999999999997</v>
      </c>
      <c r="BI606" s="308">
        <v>6.7633000000000001</v>
      </c>
      <c r="BJ606" s="308">
        <v>9.4920000000000009</v>
      </c>
      <c r="BK606" s="308">
        <v>7.4092000000000002</v>
      </c>
    </row>
    <row r="607" spans="1:63" x14ac:dyDescent="0.25">
      <c r="A607" s="306" t="s">
        <v>729</v>
      </c>
      <c r="B607" s="308" t="s">
        <v>172</v>
      </c>
      <c r="C607" s="308">
        <v>8.5368999999999993</v>
      </c>
      <c r="D607" s="308">
        <v>0</v>
      </c>
      <c r="E607" s="308">
        <v>9.6233000000000004</v>
      </c>
      <c r="F607" s="308">
        <v>8.1715</v>
      </c>
      <c r="G607" s="308">
        <v>6.0975999999999999</v>
      </c>
      <c r="H607" s="308">
        <v>6.7008000000000001</v>
      </c>
      <c r="I607" s="308">
        <v>7.6814999999999998</v>
      </c>
      <c r="J607" s="308">
        <v>6.0692000000000004</v>
      </c>
      <c r="K607" s="308">
        <v>0</v>
      </c>
      <c r="L607" s="308">
        <v>0</v>
      </c>
      <c r="M607" s="308">
        <v>8.6990999999999996</v>
      </c>
      <c r="N607" s="308">
        <v>8.7827000000000002</v>
      </c>
      <c r="O607" s="308">
        <v>0</v>
      </c>
      <c r="P607" s="308">
        <v>6.2831999999999999</v>
      </c>
      <c r="Q607" s="308">
        <v>10.8645</v>
      </c>
      <c r="R607" s="308">
        <v>6.5058999999999996</v>
      </c>
      <c r="S607" s="308">
        <v>12.014900000000001</v>
      </c>
      <c r="T607" s="308">
        <v>10.635</v>
      </c>
      <c r="U607" s="308">
        <v>6.7868000000000004</v>
      </c>
      <c r="V607" s="308">
        <v>0</v>
      </c>
      <c r="W607" s="308">
        <v>6.9977999999999998</v>
      </c>
      <c r="X607" s="308">
        <v>6.6905999999999999</v>
      </c>
      <c r="Y607" s="308">
        <v>6.5900999999999996</v>
      </c>
      <c r="Z607" s="308">
        <v>8.3367000000000004</v>
      </c>
      <c r="AA607" s="308">
        <v>5.8475000000000001</v>
      </c>
      <c r="AB607" s="308">
        <v>8.2192000000000007</v>
      </c>
      <c r="AC607" s="308">
        <v>6.9114000000000004</v>
      </c>
      <c r="AD607" s="308">
        <v>11.242599999999999</v>
      </c>
      <c r="AE607" s="308">
        <v>6.0833000000000004</v>
      </c>
      <c r="AF607" s="308">
        <v>0</v>
      </c>
      <c r="AG607" s="308">
        <v>10.838800000000001</v>
      </c>
      <c r="AH607" s="308">
        <v>7.7968999999999999</v>
      </c>
      <c r="AI607" s="308">
        <v>6.5972999999999997</v>
      </c>
      <c r="AJ607" s="308">
        <v>0</v>
      </c>
      <c r="AK607" s="308">
        <v>8.6921999999999997</v>
      </c>
      <c r="AL607" s="308">
        <v>7.1643999999999997</v>
      </c>
      <c r="AM607" s="308">
        <v>9.0945</v>
      </c>
      <c r="AN607" s="308">
        <v>9.3077000000000005</v>
      </c>
      <c r="AO607" s="308">
        <v>11.758900000000001</v>
      </c>
      <c r="AP607" s="308">
        <v>8.9321999999999999</v>
      </c>
      <c r="AQ607" s="308">
        <v>0</v>
      </c>
      <c r="AR607" s="308">
        <v>8.4501000000000008</v>
      </c>
      <c r="AS607" s="308">
        <v>9.1379999999999999</v>
      </c>
      <c r="AT607" s="308">
        <v>7.1710000000000003</v>
      </c>
      <c r="AU607" s="308">
        <v>10.340299999999999</v>
      </c>
      <c r="AV607" s="308">
        <v>11.7281</v>
      </c>
      <c r="AW607" s="308">
        <v>7.3814000000000002</v>
      </c>
      <c r="AX607" s="308">
        <v>5.2443999999999997</v>
      </c>
      <c r="AY607" s="308">
        <v>11.5</v>
      </c>
      <c r="AZ607" s="308">
        <v>9.3010999999999999</v>
      </c>
      <c r="BA607" s="308">
        <v>10.279400000000001</v>
      </c>
      <c r="BB607" s="308">
        <v>9.2921999999999993</v>
      </c>
      <c r="BC607" s="308">
        <v>7.3189000000000002</v>
      </c>
      <c r="BD607" s="308">
        <v>8.4207999999999998</v>
      </c>
      <c r="BE607" s="308">
        <v>7.0361000000000002</v>
      </c>
      <c r="BF607" s="308">
        <v>6.2092000000000001</v>
      </c>
      <c r="BG607" s="308">
        <v>8.3353000000000002</v>
      </c>
      <c r="BH607" s="308">
        <v>7.4908999999999999</v>
      </c>
      <c r="BI607" s="308">
        <v>10.1569</v>
      </c>
      <c r="BJ607" s="308">
        <v>7.7546999999999997</v>
      </c>
      <c r="BK607" s="308">
        <v>7.1269999999999998</v>
      </c>
    </row>
    <row r="608" spans="1:63" x14ac:dyDescent="0.25">
      <c r="A608" s="306" t="s">
        <v>600</v>
      </c>
      <c r="B608" s="308" t="s">
        <v>7</v>
      </c>
      <c r="C608" s="308">
        <v>10.3759</v>
      </c>
      <c r="D608" s="308">
        <v>8.6286000000000005</v>
      </c>
      <c r="E608" s="308">
        <v>9.6768999999999998</v>
      </c>
      <c r="F608" s="308">
        <v>9.0968</v>
      </c>
      <c r="G608" s="308">
        <v>8.4562000000000008</v>
      </c>
      <c r="H608" s="308">
        <v>8.1006999999999998</v>
      </c>
      <c r="I608" s="308">
        <v>8.4391999999999996</v>
      </c>
      <c r="J608" s="308">
        <v>7.0843999999999996</v>
      </c>
      <c r="K608" s="308">
        <v>0</v>
      </c>
      <c r="L608" s="308">
        <v>0</v>
      </c>
      <c r="M608" s="308">
        <v>9.0025999999999993</v>
      </c>
      <c r="N608" s="308">
        <v>10.415900000000001</v>
      </c>
      <c r="O608" s="308">
        <v>0</v>
      </c>
      <c r="P608" s="308">
        <v>8.7817000000000007</v>
      </c>
      <c r="Q608" s="308">
        <v>9.1717999999999993</v>
      </c>
      <c r="R608" s="308">
        <v>8.5729000000000006</v>
      </c>
      <c r="S608" s="308">
        <v>9.8472000000000008</v>
      </c>
      <c r="T608" s="308">
        <v>8.0685000000000002</v>
      </c>
      <c r="U608" s="308">
        <v>9.3462999999999994</v>
      </c>
      <c r="V608" s="308">
        <v>7.6455000000000002</v>
      </c>
      <c r="W608" s="308">
        <v>6.6741999999999999</v>
      </c>
      <c r="X608" s="308">
        <v>6.5277000000000003</v>
      </c>
      <c r="Y608" s="308">
        <v>8.14</v>
      </c>
      <c r="Z608" s="308">
        <v>9.0371000000000006</v>
      </c>
      <c r="AA608" s="308">
        <v>7.7287999999999997</v>
      </c>
      <c r="AB608" s="308">
        <v>8.7356999999999996</v>
      </c>
      <c r="AC608" s="308">
        <v>9.8606999999999996</v>
      </c>
      <c r="AD608" s="308">
        <v>8.8486999999999991</v>
      </c>
      <c r="AE608" s="308">
        <v>8.9469999999999992</v>
      </c>
      <c r="AF608" s="308">
        <v>8.0754999999999999</v>
      </c>
      <c r="AG608" s="308">
        <v>8.6844999999999999</v>
      </c>
      <c r="AH608" s="308">
        <v>8.8792000000000009</v>
      </c>
      <c r="AI608" s="308">
        <v>6.8288000000000002</v>
      </c>
      <c r="AJ608" s="308">
        <v>8.9598999999999993</v>
      </c>
      <c r="AK608" s="308">
        <v>8.3604000000000003</v>
      </c>
      <c r="AL608" s="308">
        <v>7.1031000000000004</v>
      </c>
      <c r="AM608" s="308">
        <v>9.0825999999999993</v>
      </c>
      <c r="AN608" s="308">
        <v>10.213200000000001</v>
      </c>
      <c r="AO608" s="308">
        <v>9.6029999999999998</v>
      </c>
      <c r="AP608" s="308">
        <v>8.8739000000000008</v>
      </c>
      <c r="AQ608" s="308">
        <v>8.3859999999999992</v>
      </c>
      <c r="AR608" s="308">
        <v>9.8127999999999993</v>
      </c>
      <c r="AS608" s="308">
        <v>9.2326999999999995</v>
      </c>
      <c r="AT608" s="308">
        <v>9.8422999999999998</v>
      </c>
      <c r="AU608" s="308">
        <v>8.6684000000000001</v>
      </c>
      <c r="AV608" s="308">
        <v>10.5047</v>
      </c>
      <c r="AW608" s="308">
        <v>7.5807000000000002</v>
      </c>
      <c r="AX608" s="308">
        <v>9.1885999999999992</v>
      </c>
      <c r="AY608" s="308">
        <v>8.6257999999999999</v>
      </c>
      <c r="AZ608" s="308">
        <v>8.3789999999999996</v>
      </c>
      <c r="BA608" s="308">
        <v>9.1272000000000002</v>
      </c>
      <c r="BB608" s="308">
        <v>9.0696999999999992</v>
      </c>
      <c r="BC608" s="308">
        <v>8.0709999999999997</v>
      </c>
      <c r="BD608" s="308">
        <v>8.3473000000000006</v>
      </c>
      <c r="BE608" s="308">
        <v>9.3226999999999993</v>
      </c>
      <c r="BF608" s="308">
        <v>8.9198000000000004</v>
      </c>
      <c r="BG608" s="308">
        <v>9.2423000000000002</v>
      </c>
      <c r="BH608" s="308">
        <v>10.1214</v>
      </c>
      <c r="BI608" s="308">
        <v>9.3005999999999993</v>
      </c>
      <c r="BJ608" s="308">
        <v>9.2384000000000004</v>
      </c>
      <c r="BK608" s="308">
        <v>8.6639999999999997</v>
      </c>
    </row>
    <row r="609" spans="1:63" x14ac:dyDescent="0.25">
      <c r="A609" s="306">
        <v>333111</v>
      </c>
      <c r="B609" s="308" t="s">
        <v>180</v>
      </c>
      <c r="C609" s="308">
        <v>8.6849000000000007</v>
      </c>
      <c r="D609" s="308">
        <v>0</v>
      </c>
      <c r="E609" s="308">
        <v>8.0751000000000008</v>
      </c>
      <c r="F609" s="308">
        <v>9.0137999999999998</v>
      </c>
      <c r="G609" s="308">
        <v>5.1128999999999998</v>
      </c>
      <c r="H609" s="308">
        <v>6.0781000000000001</v>
      </c>
      <c r="I609" s="308">
        <v>6.6162000000000001</v>
      </c>
      <c r="J609" s="308">
        <v>0</v>
      </c>
      <c r="K609" s="308">
        <v>0</v>
      </c>
      <c r="L609" s="308">
        <v>0</v>
      </c>
      <c r="M609" s="308">
        <v>6.9348999999999998</v>
      </c>
      <c r="N609" s="308">
        <v>5.8487</v>
      </c>
      <c r="O609" s="308">
        <v>6.4351000000000003</v>
      </c>
      <c r="P609" s="308">
        <v>5.9546000000000001</v>
      </c>
      <c r="Q609" s="308">
        <v>6.6326999999999998</v>
      </c>
      <c r="R609" s="308">
        <v>6.7076000000000002</v>
      </c>
      <c r="S609" s="308">
        <v>6.8085000000000004</v>
      </c>
      <c r="T609" s="308">
        <v>6.0579999999999998</v>
      </c>
      <c r="U609" s="308">
        <v>9.0396000000000001</v>
      </c>
      <c r="V609" s="308">
        <v>5.6093000000000002</v>
      </c>
      <c r="W609" s="308">
        <v>7.3170999999999999</v>
      </c>
      <c r="X609" s="308">
        <v>7.2202000000000002</v>
      </c>
      <c r="Y609" s="308">
        <v>8.0761000000000003</v>
      </c>
      <c r="Z609" s="308">
        <v>7.9473000000000003</v>
      </c>
      <c r="AA609" s="308">
        <v>7.1275000000000004</v>
      </c>
      <c r="AB609" s="308">
        <v>8.3343000000000007</v>
      </c>
      <c r="AC609" s="308">
        <v>8.2632999999999992</v>
      </c>
      <c r="AD609" s="308">
        <v>5.2553999999999998</v>
      </c>
      <c r="AE609" s="308">
        <v>7.0774999999999997</v>
      </c>
      <c r="AF609" s="308">
        <v>5.1580000000000004</v>
      </c>
      <c r="AG609" s="308">
        <v>5.7727000000000004</v>
      </c>
      <c r="AH609" s="308">
        <v>5.8541999999999996</v>
      </c>
      <c r="AI609" s="308">
        <v>6.7275999999999998</v>
      </c>
      <c r="AJ609" s="308">
        <v>7.2868000000000004</v>
      </c>
      <c r="AK609" s="308">
        <v>5.6227</v>
      </c>
      <c r="AL609" s="308">
        <v>6.1029</v>
      </c>
      <c r="AM609" s="308">
        <v>7.7465999999999999</v>
      </c>
      <c r="AN609" s="308">
        <v>9.4591999999999992</v>
      </c>
      <c r="AO609" s="308">
        <v>7.0618999999999996</v>
      </c>
      <c r="AP609" s="308">
        <v>6.9908000000000001</v>
      </c>
      <c r="AQ609" s="308">
        <v>0</v>
      </c>
      <c r="AR609" s="308">
        <v>7.9622999999999999</v>
      </c>
      <c r="AS609" s="308">
        <v>6.5621999999999998</v>
      </c>
      <c r="AT609" s="308">
        <v>8.7606999999999999</v>
      </c>
      <c r="AU609" s="308">
        <v>7.6226000000000003</v>
      </c>
      <c r="AV609" s="308">
        <v>9.9398999999999997</v>
      </c>
      <c r="AW609" s="308">
        <v>5.6940999999999997</v>
      </c>
      <c r="AX609" s="308">
        <v>0</v>
      </c>
      <c r="AY609" s="308">
        <v>5.4297000000000004</v>
      </c>
      <c r="AZ609" s="308">
        <v>6.8807</v>
      </c>
      <c r="BA609" s="308">
        <v>0</v>
      </c>
      <c r="BB609" s="308">
        <v>6.8151000000000002</v>
      </c>
      <c r="BC609" s="308">
        <v>7.2843999999999998</v>
      </c>
      <c r="BD609" s="308">
        <v>6.5229999999999997</v>
      </c>
      <c r="BE609" s="308">
        <v>7.4622999999999999</v>
      </c>
      <c r="BF609" s="308">
        <v>7.0343</v>
      </c>
      <c r="BG609" s="308">
        <v>6.4625000000000004</v>
      </c>
      <c r="BH609" s="308">
        <v>9.1204999999999998</v>
      </c>
      <c r="BI609" s="308">
        <v>7.9203999999999999</v>
      </c>
      <c r="BJ609" s="308">
        <v>6.5888</v>
      </c>
      <c r="BK609" s="308">
        <v>6.2864000000000004</v>
      </c>
    </row>
    <row r="610" spans="1:63" x14ac:dyDescent="0.25">
      <c r="A610" s="306">
        <v>333112</v>
      </c>
      <c r="B610" s="308" t="s">
        <v>181</v>
      </c>
      <c r="C610" s="308">
        <v>9.2440999999999995</v>
      </c>
      <c r="D610" s="308">
        <v>0</v>
      </c>
      <c r="E610" s="308">
        <v>7.3898999999999999</v>
      </c>
      <c r="F610" s="308">
        <v>7.8837999999999999</v>
      </c>
      <c r="G610" s="308">
        <v>4.9028999999999998</v>
      </c>
      <c r="H610" s="308">
        <v>6.4103000000000003</v>
      </c>
      <c r="I610" s="308">
        <v>5.3779000000000003</v>
      </c>
      <c r="J610" s="308">
        <v>5.4150999999999998</v>
      </c>
      <c r="K610" s="308">
        <v>0</v>
      </c>
      <c r="L610" s="308">
        <v>0</v>
      </c>
      <c r="M610" s="308">
        <v>6.7371999999999996</v>
      </c>
      <c r="N610" s="308">
        <v>7.4949000000000003</v>
      </c>
      <c r="O610" s="308">
        <v>0</v>
      </c>
      <c r="P610" s="308">
        <v>5.9855</v>
      </c>
      <c r="Q610" s="308">
        <v>6.2134</v>
      </c>
      <c r="R610" s="308">
        <v>7.8053999999999997</v>
      </c>
      <c r="S610" s="308">
        <v>8.0220000000000002</v>
      </c>
      <c r="T610" s="308">
        <v>6.1192000000000002</v>
      </c>
      <c r="U610" s="308">
        <v>8.1895000000000007</v>
      </c>
      <c r="V610" s="308">
        <v>6.3853</v>
      </c>
      <c r="W610" s="308">
        <v>5.4705000000000004</v>
      </c>
      <c r="X610" s="308">
        <v>4.5743999999999998</v>
      </c>
      <c r="Y610" s="308">
        <v>5.3937999999999997</v>
      </c>
      <c r="Z610" s="308">
        <v>8.9451000000000001</v>
      </c>
      <c r="AA610" s="308">
        <v>5.5217999999999998</v>
      </c>
      <c r="AB610" s="308">
        <v>7.1933999999999996</v>
      </c>
      <c r="AC610" s="308">
        <v>6.4606000000000003</v>
      </c>
      <c r="AD610" s="308">
        <v>0</v>
      </c>
      <c r="AE610" s="308">
        <v>6.5713999999999997</v>
      </c>
      <c r="AF610" s="308">
        <v>0</v>
      </c>
      <c r="AG610" s="308">
        <v>5.6809000000000003</v>
      </c>
      <c r="AH610" s="308">
        <v>0</v>
      </c>
      <c r="AI610" s="308">
        <v>4.3817000000000004</v>
      </c>
      <c r="AJ610" s="308">
        <v>0</v>
      </c>
      <c r="AK610" s="308">
        <v>0</v>
      </c>
      <c r="AL610" s="308">
        <v>5.3463000000000003</v>
      </c>
      <c r="AM610" s="308">
        <v>8.0527999999999995</v>
      </c>
      <c r="AN610" s="308">
        <v>6.5983999999999998</v>
      </c>
      <c r="AO610" s="308">
        <v>6.9714999999999998</v>
      </c>
      <c r="AP610" s="308">
        <v>6.7689000000000004</v>
      </c>
      <c r="AQ610" s="308">
        <v>0</v>
      </c>
      <c r="AR610" s="308">
        <v>8.9582999999999995</v>
      </c>
      <c r="AS610" s="308">
        <v>5.0552999999999999</v>
      </c>
      <c r="AT610" s="308">
        <v>8.1658000000000008</v>
      </c>
      <c r="AU610" s="308">
        <v>6.2675000000000001</v>
      </c>
      <c r="AV610" s="308">
        <v>8.1869999999999994</v>
      </c>
      <c r="AW610" s="308">
        <v>6.5430000000000001</v>
      </c>
      <c r="AX610" s="308">
        <v>0</v>
      </c>
      <c r="AY610" s="308">
        <v>5.2515999999999998</v>
      </c>
      <c r="AZ610" s="308">
        <v>6.9760999999999997</v>
      </c>
      <c r="BA610" s="308">
        <v>6.4455</v>
      </c>
      <c r="BB610" s="308">
        <v>0</v>
      </c>
      <c r="BC610" s="308">
        <v>6.1425000000000001</v>
      </c>
      <c r="BD610" s="308">
        <v>5.9793000000000003</v>
      </c>
      <c r="BE610" s="308">
        <v>7.9657999999999998</v>
      </c>
      <c r="BF610" s="308">
        <v>6.7778</v>
      </c>
      <c r="BG610" s="308">
        <v>7.4044999999999996</v>
      </c>
      <c r="BH610" s="308">
        <v>8.4923999999999999</v>
      </c>
      <c r="BI610" s="308">
        <v>7.6696999999999997</v>
      </c>
      <c r="BJ610" s="308">
        <v>5.5548999999999999</v>
      </c>
      <c r="BK610" s="308">
        <v>6.4916999999999998</v>
      </c>
    </row>
    <row r="611" spans="1:63" x14ac:dyDescent="0.25">
      <c r="A611" s="306">
        <v>333120</v>
      </c>
      <c r="B611" s="308" t="s">
        <v>182</v>
      </c>
      <c r="C611" s="308">
        <v>8.5366999999999997</v>
      </c>
      <c r="D611" s="308">
        <v>0</v>
      </c>
      <c r="E611" s="308">
        <v>7.6087999999999996</v>
      </c>
      <c r="F611" s="308">
        <v>7.8022</v>
      </c>
      <c r="G611" s="308">
        <v>5.1112000000000002</v>
      </c>
      <c r="H611" s="308">
        <v>6.7259000000000002</v>
      </c>
      <c r="I611" s="308">
        <v>6.7558999999999996</v>
      </c>
      <c r="J611" s="308">
        <v>5.6292</v>
      </c>
      <c r="K611" s="308">
        <v>0</v>
      </c>
      <c r="L611" s="308">
        <v>0</v>
      </c>
      <c r="M611" s="308">
        <v>6.1810999999999998</v>
      </c>
      <c r="N611" s="308">
        <v>6.6557000000000004</v>
      </c>
      <c r="O611" s="308">
        <v>0</v>
      </c>
      <c r="P611" s="308">
        <v>6.0381</v>
      </c>
      <c r="Q611" s="308">
        <v>6.4093999999999998</v>
      </c>
      <c r="R611" s="308">
        <v>6.7492000000000001</v>
      </c>
      <c r="S611" s="308">
        <v>7.3407999999999998</v>
      </c>
      <c r="T611" s="308">
        <v>5.4824000000000002</v>
      </c>
      <c r="U611" s="308">
        <v>6.8293999999999997</v>
      </c>
      <c r="V611" s="308">
        <v>6.2218</v>
      </c>
      <c r="W611" s="308">
        <v>4.9363999999999999</v>
      </c>
      <c r="X611" s="308">
        <v>5.0453000000000001</v>
      </c>
      <c r="Y611" s="308">
        <v>6.282</v>
      </c>
      <c r="Z611" s="308">
        <v>7.8512000000000004</v>
      </c>
      <c r="AA611" s="308">
        <v>6.0891000000000002</v>
      </c>
      <c r="AB611" s="308">
        <v>7.0437000000000003</v>
      </c>
      <c r="AC611" s="308">
        <v>6.8109000000000002</v>
      </c>
      <c r="AD611" s="308">
        <v>5.9789000000000003</v>
      </c>
      <c r="AE611" s="308">
        <v>6.7164000000000001</v>
      </c>
      <c r="AF611" s="308">
        <v>4.5281000000000002</v>
      </c>
      <c r="AG611" s="308">
        <v>6.6321000000000003</v>
      </c>
      <c r="AH611" s="308">
        <v>6.8273000000000001</v>
      </c>
      <c r="AI611" s="308">
        <v>5.1349999999999998</v>
      </c>
      <c r="AJ611" s="308">
        <v>5.9109999999999996</v>
      </c>
      <c r="AK611" s="308">
        <v>0</v>
      </c>
      <c r="AL611" s="308">
        <v>5.3089000000000004</v>
      </c>
      <c r="AM611" s="308">
        <v>8.3994</v>
      </c>
      <c r="AN611" s="308">
        <v>7.4890999999999996</v>
      </c>
      <c r="AO611" s="308">
        <v>6.7911999999999999</v>
      </c>
      <c r="AP611" s="308">
        <v>7.5800999999999998</v>
      </c>
      <c r="AQ611" s="308">
        <v>5.3762999999999996</v>
      </c>
      <c r="AR611" s="308">
        <v>7.6872999999999996</v>
      </c>
      <c r="AS611" s="308">
        <v>5.9619999999999997</v>
      </c>
      <c r="AT611" s="308">
        <v>7.3971999999999998</v>
      </c>
      <c r="AU611" s="308">
        <v>6.6547999999999998</v>
      </c>
      <c r="AV611" s="308">
        <v>7.9893000000000001</v>
      </c>
      <c r="AW611" s="308">
        <v>5.5846</v>
      </c>
      <c r="AX611" s="308">
        <v>6.1215000000000002</v>
      </c>
      <c r="AY611" s="308">
        <v>5.9705000000000004</v>
      </c>
      <c r="AZ611" s="308">
        <v>6.8597000000000001</v>
      </c>
      <c r="BA611" s="308">
        <v>6.5536000000000003</v>
      </c>
      <c r="BB611" s="308">
        <v>5.0213000000000001</v>
      </c>
      <c r="BC611" s="308">
        <v>6.5717999999999996</v>
      </c>
      <c r="BD611" s="308">
        <v>6.6860999999999997</v>
      </c>
      <c r="BE611" s="308">
        <v>7.5286</v>
      </c>
      <c r="BF611" s="308">
        <v>6.8939000000000004</v>
      </c>
      <c r="BG611" s="308">
        <v>6.7340999999999998</v>
      </c>
      <c r="BH611" s="308">
        <v>7.8533999999999997</v>
      </c>
      <c r="BI611" s="308">
        <v>7.2184999999999997</v>
      </c>
      <c r="BJ611" s="308">
        <v>6.6889000000000003</v>
      </c>
      <c r="BK611" s="308">
        <v>6.7229999999999999</v>
      </c>
    </row>
    <row r="612" spans="1:63" x14ac:dyDescent="0.25">
      <c r="A612" s="306">
        <v>333130</v>
      </c>
      <c r="B612" s="308" t="s">
        <v>183</v>
      </c>
      <c r="C612" s="308">
        <v>10.175599999999999</v>
      </c>
      <c r="D612" s="308">
        <v>6.5011000000000001</v>
      </c>
      <c r="E612" s="308">
        <v>8.4928000000000008</v>
      </c>
      <c r="F612" s="308">
        <v>9.3058999999999994</v>
      </c>
      <c r="G612" s="308">
        <v>8.0251000000000001</v>
      </c>
      <c r="H612" s="308">
        <v>7.5453999999999999</v>
      </c>
      <c r="I612" s="308">
        <v>7.8087</v>
      </c>
      <c r="J612" s="308">
        <v>6.5796000000000001</v>
      </c>
      <c r="K612" s="308">
        <v>0</v>
      </c>
      <c r="L612" s="308">
        <v>0</v>
      </c>
      <c r="M612" s="308">
        <v>8.1385000000000005</v>
      </c>
      <c r="N612" s="308">
        <v>8.1332000000000004</v>
      </c>
      <c r="O612" s="308">
        <v>0</v>
      </c>
      <c r="P612" s="308">
        <v>9.6570999999999998</v>
      </c>
      <c r="Q612" s="308">
        <v>8.8460000000000001</v>
      </c>
      <c r="R612" s="308">
        <v>9.4614999999999991</v>
      </c>
      <c r="S612" s="308">
        <v>9.8010999999999999</v>
      </c>
      <c r="T612" s="308">
        <v>8.6080000000000005</v>
      </c>
      <c r="U612" s="308">
        <v>9.0822000000000003</v>
      </c>
      <c r="V612" s="308">
        <v>7.5928000000000004</v>
      </c>
      <c r="W612" s="308">
        <v>9.2345000000000006</v>
      </c>
      <c r="X612" s="308">
        <v>8.1648999999999994</v>
      </c>
      <c r="Y612" s="308">
        <v>0</v>
      </c>
      <c r="Z612" s="308">
        <v>9.3264999999999993</v>
      </c>
      <c r="AA612" s="308">
        <v>9.5082000000000004</v>
      </c>
      <c r="AB612" s="308">
        <v>7.1970999999999998</v>
      </c>
      <c r="AC612" s="308">
        <v>8.3933999999999997</v>
      </c>
      <c r="AD612" s="308">
        <v>0</v>
      </c>
      <c r="AE612" s="308">
        <v>10.506500000000001</v>
      </c>
      <c r="AF612" s="308">
        <v>7.0868000000000002</v>
      </c>
      <c r="AG612" s="308">
        <v>9.1648999999999994</v>
      </c>
      <c r="AH612" s="308">
        <v>8.8340999999999994</v>
      </c>
      <c r="AI612" s="308">
        <v>8.5425000000000004</v>
      </c>
      <c r="AJ612" s="308">
        <v>8.4631000000000007</v>
      </c>
      <c r="AK612" s="308">
        <v>7.9852999999999996</v>
      </c>
      <c r="AL612" s="308">
        <v>6.9550000000000001</v>
      </c>
      <c r="AM612" s="308">
        <v>10.1473</v>
      </c>
      <c r="AN612" s="308">
        <v>9.5516000000000005</v>
      </c>
      <c r="AO612" s="308">
        <v>9.7355999999999998</v>
      </c>
      <c r="AP612" s="308">
        <v>9.0456000000000003</v>
      </c>
      <c r="AQ612" s="308">
        <v>0</v>
      </c>
      <c r="AR612" s="308">
        <v>11.317500000000001</v>
      </c>
      <c r="AS612" s="308">
        <v>0</v>
      </c>
      <c r="AT612" s="308">
        <v>9.9440000000000008</v>
      </c>
      <c r="AU612" s="308">
        <v>8.0106000000000002</v>
      </c>
      <c r="AV612" s="308">
        <v>9.8399000000000001</v>
      </c>
      <c r="AW612" s="308">
        <v>7.7870999999999997</v>
      </c>
      <c r="AX612" s="308">
        <v>8.7409999999999997</v>
      </c>
      <c r="AY612" s="308">
        <v>6.9542000000000002</v>
      </c>
      <c r="AZ612" s="308">
        <v>9.1613000000000007</v>
      </c>
      <c r="BA612" s="308">
        <v>7.1527000000000003</v>
      </c>
      <c r="BB612" s="308">
        <v>6.6261000000000001</v>
      </c>
      <c r="BC612" s="308">
        <v>7.8864000000000001</v>
      </c>
      <c r="BD612" s="308">
        <v>8.3134999999999994</v>
      </c>
      <c r="BE612" s="308">
        <v>10.2675</v>
      </c>
      <c r="BF612" s="308">
        <v>9.5238999999999994</v>
      </c>
      <c r="BG612" s="308">
        <v>8.8743999999999996</v>
      </c>
      <c r="BH612" s="308">
        <v>9.7742000000000004</v>
      </c>
      <c r="BI612" s="308">
        <v>8.5427999999999997</v>
      </c>
      <c r="BJ612" s="308">
        <v>8.6067999999999998</v>
      </c>
      <c r="BK612" s="308">
        <v>7.7766999999999999</v>
      </c>
    </row>
    <row r="613" spans="1:63" x14ac:dyDescent="0.25">
      <c r="A613" s="306">
        <v>333220</v>
      </c>
      <c r="B613" s="308" t="s">
        <v>185</v>
      </c>
      <c r="C613" s="308">
        <v>11.0243</v>
      </c>
      <c r="D613" s="308">
        <v>0</v>
      </c>
      <c r="E613" s="308">
        <v>11.947900000000001</v>
      </c>
      <c r="F613" s="308">
        <v>12.527699999999999</v>
      </c>
      <c r="G613" s="308">
        <v>9.7539999999999996</v>
      </c>
      <c r="H613" s="308">
        <v>9.3055000000000003</v>
      </c>
      <c r="I613" s="308">
        <v>9.7339000000000002</v>
      </c>
      <c r="J613" s="308">
        <v>7.5894000000000004</v>
      </c>
      <c r="K613" s="308">
        <v>0</v>
      </c>
      <c r="L613" s="308">
        <v>0</v>
      </c>
      <c r="M613" s="308">
        <v>10.113099999999999</v>
      </c>
      <c r="N613" s="308">
        <v>10.554399999999999</v>
      </c>
      <c r="O613" s="308">
        <v>0</v>
      </c>
      <c r="P613" s="308">
        <v>9.8866999999999994</v>
      </c>
      <c r="Q613" s="308">
        <v>0</v>
      </c>
      <c r="R613" s="308">
        <v>9.7942999999999998</v>
      </c>
      <c r="S613" s="308">
        <v>11.0809</v>
      </c>
      <c r="T613" s="308">
        <v>7.2403000000000004</v>
      </c>
      <c r="U613" s="308">
        <v>8.4365000000000006</v>
      </c>
      <c r="V613" s="308">
        <v>12.172800000000001</v>
      </c>
      <c r="W613" s="308">
        <v>7.5423999999999998</v>
      </c>
      <c r="X613" s="308">
        <v>7.2968999999999999</v>
      </c>
      <c r="Y613" s="308">
        <v>0</v>
      </c>
      <c r="Z613" s="308">
        <v>10.4155</v>
      </c>
      <c r="AA613" s="308">
        <v>9.3552999999999997</v>
      </c>
      <c r="AB613" s="308">
        <v>9.2414000000000005</v>
      </c>
      <c r="AC613" s="308">
        <v>11.8756</v>
      </c>
      <c r="AD613" s="308">
        <v>0</v>
      </c>
      <c r="AE613" s="308">
        <v>9.6461000000000006</v>
      </c>
      <c r="AF613" s="308">
        <v>9.6653000000000002</v>
      </c>
      <c r="AG613" s="308">
        <v>11.008800000000001</v>
      </c>
      <c r="AH613" s="308">
        <v>12.085699999999999</v>
      </c>
      <c r="AI613" s="308">
        <v>6.4534000000000002</v>
      </c>
      <c r="AJ613" s="308">
        <v>11.0336</v>
      </c>
      <c r="AK613" s="308">
        <v>0</v>
      </c>
      <c r="AL613" s="308">
        <v>7.0669000000000004</v>
      </c>
      <c r="AM613" s="308">
        <v>10.378299999999999</v>
      </c>
      <c r="AN613" s="308">
        <v>7.9217000000000004</v>
      </c>
      <c r="AO613" s="308">
        <v>8.0297000000000001</v>
      </c>
      <c r="AP613" s="308">
        <v>9.9699000000000009</v>
      </c>
      <c r="AQ613" s="308">
        <v>6.0731000000000002</v>
      </c>
      <c r="AR613" s="308">
        <v>11.086399999999999</v>
      </c>
      <c r="AS613" s="308">
        <v>0</v>
      </c>
      <c r="AT613" s="308">
        <v>9.0100999999999996</v>
      </c>
      <c r="AU613" s="308">
        <v>7.9055</v>
      </c>
      <c r="AV613" s="308">
        <v>14.3147</v>
      </c>
      <c r="AW613" s="308">
        <v>9.7951999999999995</v>
      </c>
      <c r="AX613" s="308">
        <v>7.2169999999999996</v>
      </c>
      <c r="AY613" s="308">
        <v>10.3498</v>
      </c>
      <c r="AZ613" s="308">
        <v>9.5884999999999998</v>
      </c>
      <c r="BA613" s="308">
        <v>10.935</v>
      </c>
      <c r="BB613" s="308">
        <v>0</v>
      </c>
      <c r="BC613" s="308">
        <v>8.6176999999999992</v>
      </c>
      <c r="BD613" s="308">
        <v>8.7613000000000003</v>
      </c>
      <c r="BE613" s="308">
        <v>10.718500000000001</v>
      </c>
      <c r="BF613" s="308">
        <v>9.6119000000000003</v>
      </c>
      <c r="BG613" s="308">
        <v>10.537699999999999</v>
      </c>
      <c r="BH613" s="308">
        <v>9.8402999999999992</v>
      </c>
      <c r="BI613" s="308">
        <v>8.3074999999999992</v>
      </c>
      <c r="BJ613" s="308">
        <v>10.4116</v>
      </c>
      <c r="BK613" s="308">
        <v>9.7345000000000006</v>
      </c>
    </row>
    <row r="614" spans="1:63" x14ac:dyDescent="0.25">
      <c r="A614" s="306">
        <v>333295</v>
      </c>
      <c r="B614" s="308" t="s">
        <v>186</v>
      </c>
      <c r="C614" s="308">
        <v>8.0495999999999999</v>
      </c>
      <c r="D614" s="308">
        <v>0</v>
      </c>
      <c r="E614" s="308">
        <v>8.7518999999999991</v>
      </c>
      <c r="F614" s="308">
        <v>8.8712999999999997</v>
      </c>
      <c r="G614" s="308">
        <v>6.4330999999999996</v>
      </c>
      <c r="H614" s="308">
        <v>5.9363999999999999</v>
      </c>
      <c r="I614" s="308">
        <v>8.8996999999999993</v>
      </c>
      <c r="J614" s="308">
        <v>5.7832999999999997</v>
      </c>
      <c r="K614" s="308">
        <v>0</v>
      </c>
      <c r="L614" s="308">
        <v>0</v>
      </c>
      <c r="M614" s="308">
        <v>7.1813000000000002</v>
      </c>
      <c r="N614" s="308">
        <v>5.6612999999999998</v>
      </c>
      <c r="O614" s="308">
        <v>0</v>
      </c>
      <c r="P614" s="308">
        <v>8.4969000000000001</v>
      </c>
      <c r="Q614" s="308">
        <v>5.0359999999999996</v>
      </c>
      <c r="R614" s="308">
        <v>6.2291999999999996</v>
      </c>
      <c r="S614" s="308">
        <v>0</v>
      </c>
      <c r="T614" s="308">
        <v>0</v>
      </c>
      <c r="U614" s="308">
        <v>9.0363000000000007</v>
      </c>
      <c r="V614" s="308">
        <v>0</v>
      </c>
      <c r="W614" s="308">
        <v>5.8051000000000004</v>
      </c>
      <c r="X614" s="308">
        <v>6.2769000000000004</v>
      </c>
      <c r="Y614" s="308">
        <v>0</v>
      </c>
      <c r="Z614" s="308">
        <v>8.0465</v>
      </c>
      <c r="AA614" s="308">
        <v>7.2942999999999998</v>
      </c>
      <c r="AB614" s="308">
        <v>0</v>
      </c>
      <c r="AC614" s="308">
        <v>0</v>
      </c>
      <c r="AD614" s="308">
        <v>8.4547000000000008</v>
      </c>
      <c r="AE614" s="308">
        <v>7.4977</v>
      </c>
      <c r="AF614" s="308">
        <v>0</v>
      </c>
      <c r="AG614" s="308">
        <v>0</v>
      </c>
      <c r="AH614" s="308">
        <v>6.9603999999999999</v>
      </c>
      <c r="AI614" s="308">
        <v>6.3418999999999999</v>
      </c>
      <c r="AJ614" s="308">
        <v>0</v>
      </c>
      <c r="AK614" s="308">
        <v>0</v>
      </c>
      <c r="AL614" s="308">
        <v>5.0087999999999999</v>
      </c>
      <c r="AM614" s="308">
        <v>9.1963000000000008</v>
      </c>
      <c r="AN614" s="308">
        <v>0</v>
      </c>
      <c r="AO614" s="308">
        <v>7.2629999999999999</v>
      </c>
      <c r="AP614" s="308">
        <v>7.1750999999999996</v>
      </c>
      <c r="AQ614" s="308">
        <v>0</v>
      </c>
      <c r="AR614" s="308">
        <v>0</v>
      </c>
      <c r="AS614" s="308">
        <v>0</v>
      </c>
      <c r="AT614" s="308">
        <v>9.2797999999999998</v>
      </c>
      <c r="AU614" s="308">
        <v>7.0225</v>
      </c>
      <c r="AV614" s="308">
        <v>10.4642</v>
      </c>
      <c r="AW614" s="308">
        <v>5.6493000000000002</v>
      </c>
      <c r="AX614" s="308">
        <v>5.9847999999999999</v>
      </c>
      <c r="AY614" s="308">
        <v>0</v>
      </c>
      <c r="AZ614" s="308">
        <v>7.9111000000000002</v>
      </c>
      <c r="BA614" s="308">
        <v>0</v>
      </c>
      <c r="BB614" s="308">
        <v>0</v>
      </c>
      <c r="BC614" s="308">
        <v>6.6203000000000003</v>
      </c>
      <c r="BD614" s="308">
        <v>6.4904999999999999</v>
      </c>
      <c r="BE614" s="308">
        <v>8.8930000000000007</v>
      </c>
      <c r="BF614" s="308">
        <v>7.2582000000000004</v>
      </c>
      <c r="BG614" s="308">
        <v>7.1379999999999999</v>
      </c>
      <c r="BH614" s="308">
        <v>9.5189000000000004</v>
      </c>
      <c r="BI614" s="308">
        <v>7.1821000000000002</v>
      </c>
      <c r="BJ614" s="308">
        <v>7.9786999999999999</v>
      </c>
      <c r="BK614" s="308">
        <v>6.2046999999999999</v>
      </c>
    </row>
    <row r="615" spans="1:63" x14ac:dyDescent="0.25">
      <c r="A615" s="306" t="s">
        <v>730</v>
      </c>
      <c r="B615" s="308" t="s">
        <v>184</v>
      </c>
      <c r="C615" s="308">
        <v>11.075200000000001</v>
      </c>
      <c r="D615" s="308">
        <v>0</v>
      </c>
      <c r="E615" s="308">
        <v>10.8124</v>
      </c>
      <c r="F615" s="308">
        <v>9.5387000000000004</v>
      </c>
      <c r="G615" s="308">
        <v>9.9179999999999993</v>
      </c>
      <c r="H615" s="308">
        <v>8.8214000000000006</v>
      </c>
      <c r="I615" s="308">
        <v>9.3564000000000007</v>
      </c>
      <c r="J615" s="308">
        <v>7.8547000000000002</v>
      </c>
      <c r="K615" s="308">
        <v>0</v>
      </c>
      <c r="L615" s="308">
        <v>5.7657999999999996</v>
      </c>
      <c r="M615" s="308">
        <v>8.7783999999999995</v>
      </c>
      <c r="N615" s="308">
        <v>9.2041000000000004</v>
      </c>
      <c r="O615" s="308">
        <v>0</v>
      </c>
      <c r="P615" s="308">
        <v>8.9298000000000002</v>
      </c>
      <c r="Q615" s="308">
        <v>9.0364000000000004</v>
      </c>
      <c r="R615" s="308">
        <v>9.3728999999999996</v>
      </c>
      <c r="S615" s="308">
        <v>9.7766000000000002</v>
      </c>
      <c r="T615" s="308">
        <v>8.3260000000000005</v>
      </c>
      <c r="U615" s="308">
        <v>8.7657000000000007</v>
      </c>
      <c r="V615" s="308">
        <v>9.0373000000000001</v>
      </c>
      <c r="W615" s="308">
        <v>7.1479999999999997</v>
      </c>
      <c r="X615" s="308">
        <v>7.3716999999999997</v>
      </c>
      <c r="Y615" s="308">
        <v>8.8589000000000002</v>
      </c>
      <c r="Z615" s="308">
        <v>9.4739000000000004</v>
      </c>
      <c r="AA615" s="308">
        <v>8.9024000000000001</v>
      </c>
      <c r="AB615" s="308">
        <v>9.0227000000000004</v>
      </c>
      <c r="AC615" s="308">
        <v>9.3648000000000007</v>
      </c>
      <c r="AD615" s="308">
        <v>8.9088999999999992</v>
      </c>
      <c r="AE615" s="308">
        <v>9.3363999999999994</v>
      </c>
      <c r="AF615" s="308">
        <v>5.7519</v>
      </c>
      <c r="AG615" s="308">
        <v>8.6296999999999997</v>
      </c>
      <c r="AH615" s="308">
        <v>7.4725000000000001</v>
      </c>
      <c r="AI615" s="308">
        <v>7.2648999999999999</v>
      </c>
      <c r="AJ615" s="308">
        <v>6.2516999999999996</v>
      </c>
      <c r="AK615" s="308">
        <v>9.2963000000000005</v>
      </c>
      <c r="AL615" s="308">
        <v>6.8882000000000003</v>
      </c>
      <c r="AM615" s="308">
        <v>10.1737</v>
      </c>
      <c r="AN615" s="308">
        <v>11.008100000000001</v>
      </c>
      <c r="AO615" s="308">
        <v>10.1294</v>
      </c>
      <c r="AP615" s="308">
        <v>10.6006</v>
      </c>
      <c r="AQ615" s="308">
        <v>7.7083000000000004</v>
      </c>
      <c r="AR615" s="308">
        <v>9.9079999999999995</v>
      </c>
      <c r="AS615" s="308">
        <v>8.782</v>
      </c>
      <c r="AT615" s="308">
        <v>9.8158999999999992</v>
      </c>
      <c r="AU615" s="308">
        <v>9.2347999999999999</v>
      </c>
      <c r="AV615" s="308">
        <v>11.7128</v>
      </c>
      <c r="AW615" s="308">
        <v>8.5250000000000004</v>
      </c>
      <c r="AX615" s="308">
        <v>7.8166000000000002</v>
      </c>
      <c r="AY615" s="308">
        <v>8.6248000000000005</v>
      </c>
      <c r="AZ615" s="308">
        <v>9.3626000000000005</v>
      </c>
      <c r="BA615" s="308">
        <v>8.8486999999999991</v>
      </c>
      <c r="BB615" s="308">
        <v>6.2580999999999998</v>
      </c>
      <c r="BC615" s="308">
        <v>8.3460999999999999</v>
      </c>
      <c r="BD615" s="308">
        <v>8.9564000000000004</v>
      </c>
      <c r="BE615" s="308">
        <v>10.1302</v>
      </c>
      <c r="BF615" s="308">
        <v>9.5023999999999997</v>
      </c>
      <c r="BG615" s="308">
        <v>9.5629000000000008</v>
      </c>
      <c r="BH615" s="308">
        <v>10.210599999999999</v>
      </c>
      <c r="BI615" s="308">
        <v>9.8335000000000008</v>
      </c>
      <c r="BJ615" s="308">
        <v>9.7931000000000008</v>
      </c>
      <c r="BK615" s="308">
        <v>9.27</v>
      </c>
    </row>
    <row r="616" spans="1:63" x14ac:dyDescent="0.25">
      <c r="A616" s="306">
        <v>333314</v>
      </c>
      <c r="B616" s="308" t="s">
        <v>188</v>
      </c>
      <c r="C616" s="308">
        <v>10.4824</v>
      </c>
      <c r="D616" s="308">
        <v>0</v>
      </c>
      <c r="E616" s="308">
        <v>10.872999999999999</v>
      </c>
      <c r="F616" s="308">
        <v>11.927199999999999</v>
      </c>
      <c r="G616" s="308">
        <v>8.9920000000000009</v>
      </c>
      <c r="H616" s="308">
        <v>7.7889999999999997</v>
      </c>
      <c r="I616" s="308">
        <v>10.110799999999999</v>
      </c>
      <c r="J616" s="308">
        <v>6.9474</v>
      </c>
      <c r="K616" s="308">
        <v>0</v>
      </c>
      <c r="L616" s="308">
        <v>7.4767999999999999</v>
      </c>
      <c r="M616" s="308">
        <v>9.1516000000000002</v>
      </c>
      <c r="N616" s="308">
        <v>13.6815</v>
      </c>
      <c r="O616" s="308">
        <v>10.909700000000001</v>
      </c>
      <c r="P616" s="308">
        <v>12.2201</v>
      </c>
      <c r="Q616" s="308">
        <v>12.500500000000001</v>
      </c>
      <c r="R616" s="308">
        <v>10.2706</v>
      </c>
      <c r="S616" s="308">
        <v>11.587300000000001</v>
      </c>
      <c r="T616" s="308">
        <v>11.7079</v>
      </c>
      <c r="U616" s="308">
        <v>12.922599999999999</v>
      </c>
      <c r="V616" s="308">
        <v>8.2942999999999998</v>
      </c>
      <c r="W616" s="308">
        <v>8.2210000000000001</v>
      </c>
      <c r="X616" s="308">
        <v>7.4099000000000004</v>
      </c>
      <c r="Y616" s="308">
        <v>9.0288000000000004</v>
      </c>
      <c r="Z616" s="308">
        <v>8.7288999999999994</v>
      </c>
      <c r="AA616" s="308">
        <v>10.156700000000001</v>
      </c>
      <c r="AB616" s="308">
        <v>8.3132000000000001</v>
      </c>
      <c r="AC616" s="308">
        <v>10.906700000000001</v>
      </c>
      <c r="AD616" s="308">
        <v>8.7373999999999992</v>
      </c>
      <c r="AE616" s="308">
        <v>9.3695000000000004</v>
      </c>
      <c r="AF616" s="308">
        <v>9.2039000000000009</v>
      </c>
      <c r="AG616" s="308">
        <v>6.4669999999999996</v>
      </c>
      <c r="AH616" s="308">
        <v>8.3118999999999996</v>
      </c>
      <c r="AI616" s="308">
        <v>8.1013999999999999</v>
      </c>
      <c r="AJ616" s="308">
        <v>6.9759000000000002</v>
      </c>
      <c r="AK616" s="308">
        <v>10.0885</v>
      </c>
      <c r="AL616" s="308">
        <v>7.9846000000000004</v>
      </c>
      <c r="AM616" s="308">
        <v>11.0832</v>
      </c>
      <c r="AN616" s="308">
        <v>13.566599999999999</v>
      </c>
      <c r="AO616" s="308">
        <v>9.7273999999999994</v>
      </c>
      <c r="AP616" s="308">
        <v>10.459</v>
      </c>
      <c r="AQ616" s="308">
        <v>7.9360999999999997</v>
      </c>
      <c r="AR616" s="308">
        <v>0</v>
      </c>
      <c r="AS616" s="308">
        <v>0</v>
      </c>
      <c r="AT616" s="308">
        <v>12.3833</v>
      </c>
      <c r="AU616" s="308">
        <v>10.2782</v>
      </c>
      <c r="AV616" s="308">
        <v>14.7189</v>
      </c>
      <c r="AW616" s="308">
        <v>7.1584000000000003</v>
      </c>
      <c r="AX616" s="308">
        <v>7.7766999999999999</v>
      </c>
      <c r="AY616" s="308">
        <v>7.7275999999999998</v>
      </c>
      <c r="AZ616" s="308">
        <v>9.2955000000000005</v>
      </c>
      <c r="BA616" s="308">
        <v>11.505699999999999</v>
      </c>
      <c r="BB616" s="308">
        <v>0</v>
      </c>
      <c r="BC616" s="308">
        <v>8.8985000000000003</v>
      </c>
      <c r="BD616" s="308">
        <v>9.5671999999999997</v>
      </c>
      <c r="BE616" s="308">
        <v>10.324299999999999</v>
      </c>
      <c r="BF616" s="308">
        <v>9.5498999999999992</v>
      </c>
      <c r="BG616" s="308">
        <v>8.9296000000000006</v>
      </c>
      <c r="BH616" s="308">
        <v>12.288500000000001</v>
      </c>
      <c r="BI616" s="308">
        <v>10.6861</v>
      </c>
      <c r="BJ616" s="308">
        <v>9.6339000000000006</v>
      </c>
      <c r="BK616" s="308">
        <v>8.1989999999999998</v>
      </c>
    </row>
    <row r="617" spans="1:63" x14ac:dyDescent="0.25">
      <c r="A617" s="306">
        <v>333315</v>
      </c>
      <c r="B617" s="308" t="s">
        <v>189</v>
      </c>
      <c r="C617" s="308">
        <v>6.9657999999999998</v>
      </c>
      <c r="D617" s="308">
        <v>0</v>
      </c>
      <c r="E617" s="308">
        <v>6.7865000000000002</v>
      </c>
      <c r="F617" s="308">
        <v>0</v>
      </c>
      <c r="G617" s="308">
        <v>4.4352999999999998</v>
      </c>
      <c r="H617" s="308">
        <v>6.4257</v>
      </c>
      <c r="I617" s="308">
        <v>5.5689000000000002</v>
      </c>
      <c r="J617" s="308">
        <v>8.3297000000000008</v>
      </c>
      <c r="K617" s="308">
        <v>0</v>
      </c>
      <c r="L617" s="308">
        <v>0</v>
      </c>
      <c r="M617" s="308">
        <v>4.9801000000000002</v>
      </c>
      <c r="N617" s="308">
        <v>6.2976999999999999</v>
      </c>
      <c r="O617" s="308">
        <v>0</v>
      </c>
      <c r="P617" s="308">
        <v>0</v>
      </c>
      <c r="Q617" s="308">
        <v>3.9868000000000001</v>
      </c>
      <c r="R617" s="308">
        <v>6.8234000000000004</v>
      </c>
      <c r="S617" s="308">
        <v>7.4810999999999996</v>
      </c>
      <c r="T617" s="308">
        <v>5.5406000000000004</v>
      </c>
      <c r="U617" s="308">
        <v>8.7385000000000002</v>
      </c>
      <c r="V617" s="308">
        <v>0</v>
      </c>
      <c r="W617" s="308">
        <v>4.3761999999999999</v>
      </c>
      <c r="X617" s="308">
        <v>6.6147999999999998</v>
      </c>
      <c r="Y617" s="308">
        <v>5.3978000000000002</v>
      </c>
      <c r="Z617" s="308">
        <v>9.3074999999999992</v>
      </c>
      <c r="AA617" s="308">
        <v>5.4333999999999998</v>
      </c>
      <c r="AB617" s="308">
        <v>6.8057999999999996</v>
      </c>
      <c r="AC617" s="308">
        <v>0</v>
      </c>
      <c r="AD617" s="308">
        <v>4.2278000000000002</v>
      </c>
      <c r="AE617" s="308">
        <v>9.0503999999999998</v>
      </c>
      <c r="AF617" s="308">
        <v>6.3878000000000004</v>
      </c>
      <c r="AG617" s="308">
        <v>6.2500999999999998</v>
      </c>
      <c r="AH617" s="308">
        <v>6.5312000000000001</v>
      </c>
      <c r="AI617" s="308">
        <v>4.1632999999999996</v>
      </c>
      <c r="AJ617" s="308">
        <v>5.6256000000000004</v>
      </c>
      <c r="AK617" s="308">
        <v>0</v>
      </c>
      <c r="AL617" s="308">
        <v>4.1759000000000004</v>
      </c>
      <c r="AM617" s="308">
        <v>5.4431000000000003</v>
      </c>
      <c r="AN617" s="308">
        <v>7.7832999999999997</v>
      </c>
      <c r="AO617" s="308">
        <v>8.0500000000000007</v>
      </c>
      <c r="AP617" s="308">
        <v>6.8875000000000002</v>
      </c>
      <c r="AQ617" s="308">
        <v>0</v>
      </c>
      <c r="AR617" s="308">
        <v>6.1844000000000001</v>
      </c>
      <c r="AS617" s="308">
        <v>0</v>
      </c>
      <c r="AT617" s="308">
        <v>4.8917000000000002</v>
      </c>
      <c r="AU617" s="308">
        <v>8.6064000000000007</v>
      </c>
      <c r="AV617" s="308">
        <v>7.7220000000000004</v>
      </c>
      <c r="AW617" s="308">
        <v>5.5568999999999997</v>
      </c>
      <c r="AX617" s="308">
        <v>0</v>
      </c>
      <c r="AY617" s="308">
        <v>7.2449000000000003</v>
      </c>
      <c r="AZ617" s="308">
        <v>7.8005000000000004</v>
      </c>
      <c r="BA617" s="308">
        <v>0</v>
      </c>
      <c r="BB617" s="308">
        <v>0</v>
      </c>
      <c r="BC617" s="308">
        <v>5.3254999999999999</v>
      </c>
      <c r="BD617" s="308">
        <v>5.2191999999999998</v>
      </c>
      <c r="BE617" s="308">
        <v>7.7884000000000002</v>
      </c>
      <c r="BF617" s="308">
        <v>6.0974000000000004</v>
      </c>
      <c r="BG617" s="308">
        <v>6.2869999999999999</v>
      </c>
      <c r="BH617" s="308">
        <v>5.5567000000000002</v>
      </c>
      <c r="BI617" s="308">
        <v>8.6731999999999996</v>
      </c>
      <c r="BJ617" s="308">
        <v>5.3982999999999999</v>
      </c>
      <c r="BK617" s="308">
        <v>6.5282</v>
      </c>
    </row>
    <row r="618" spans="1:63" x14ac:dyDescent="0.25">
      <c r="A618" s="306">
        <v>333319</v>
      </c>
      <c r="B618" s="308" t="s">
        <v>190</v>
      </c>
      <c r="C618" s="308">
        <v>9.2474000000000007</v>
      </c>
      <c r="D618" s="308">
        <v>0</v>
      </c>
      <c r="E618" s="308">
        <v>8.4341000000000008</v>
      </c>
      <c r="F618" s="308">
        <v>7.8490000000000002</v>
      </c>
      <c r="G618" s="308">
        <v>7.9855999999999998</v>
      </c>
      <c r="H618" s="308">
        <v>6.8981000000000003</v>
      </c>
      <c r="I618" s="308">
        <v>7.2091000000000003</v>
      </c>
      <c r="J618" s="308">
        <v>6.7789999999999999</v>
      </c>
      <c r="K618" s="308">
        <v>0</v>
      </c>
      <c r="L618" s="308">
        <v>0</v>
      </c>
      <c r="M618" s="308">
        <v>6.2908999999999997</v>
      </c>
      <c r="N618" s="308">
        <v>7.1020000000000003</v>
      </c>
      <c r="O618" s="308">
        <v>6.5187999999999997</v>
      </c>
      <c r="P618" s="308">
        <v>7.9892000000000003</v>
      </c>
      <c r="Q618" s="308">
        <v>7.1673</v>
      </c>
      <c r="R618" s="308">
        <v>7.2952000000000004</v>
      </c>
      <c r="S618" s="308">
        <v>8.1097000000000001</v>
      </c>
      <c r="T618" s="308">
        <v>6.0612000000000004</v>
      </c>
      <c r="U618" s="308">
        <v>8.7736000000000001</v>
      </c>
      <c r="V618" s="308">
        <v>6.6973000000000003</v>
      </c>
      <c r="W618" s="308">
        <v>6.6409000000000002</v>
      </c>
      <c r="X618" s="308">
        <v>5.9786999999999999</v>
      </c>
      <c r="Y618" s="308">
        <v>7.2996999999999996</v>
      </c>
      <c r="Z618" s="308">
        <v>7.7073</v>
      </c>
      <c r="AA618" s="308">
        <v>6.7949000000000002</v>
      </c>
      <c r="AB618" s="308">
        <v>7.1741999999999999</v>
      </c>
      <c r="AC618" s="308">
        <v>7.9499000000000004</v>
      </c>
      <c r="AD618" s="308">
        <v>7.3392999999999997</v>
      </c>
      <c r="AE618" s="308">
        <v>7.7962999999999996</v>
      </c>
      <c r="AF618" s="308">
        <v>5.7995000000000001</v>
      </c>
      <c r="AG618" s="308">
        <v>6.6227999999999998</v>
      </c>
      <c r="AH618" s="308">
        <v>6.1555</v>
      </c>
      <c r="AI618" s="308">
        <v>5.9863</v>
      </c>
      <c r="AJ618" s="308">
        <v>6.2146999999999997</v>
      </c>
      <c r="AK618" s="308">
        <v>7.8517000000000001</v>
      </c>
      <c r="AL618" s="308">
        <v>7.2095000000000002</v>
      </c>
      <c r="AM618" s="308">
        <v>8.6747999999999994</v>
      </c>
      <c r="AN618" s="308">
        <v>7.5823999999999998</v>
      </c>
      <c r="AO618" s="308">
        <v>7.7487000000000004</v>
      </c>
      <c r="AP618" s="308">
        <v>7.6586999999999996</v>
      </c>
      <c r="AQ618" s="308">
        <v>6.3148999999999997</v>
      </c>
      <c r="AR618" s="308">
        <v>9.1953999999999994</v>
      </c>
      <c r="AS618" s="308">
        <v>7.2911999999999999</v>
      </c>
      <c r="AT618" s="308">
        <v>8.3552</v>
      </c>
      <c r="AU618" s="308">
        <v>8.1038999999999994</v>
      </c>
      <c r="AV618" s="308">
        <v>8.6107999999999993</v>
      </c>
      <c r="AW618" s="308">
        <v>6.0812999999999997</v>
      </c>
      <c r="AX618" s="308">
        <v>5.91</v>
      </c>
      <c r="AY618" s="308">
        <v>7.4455</v>
      </c>
      <c r="AZ618" s="308">
        <v>8.1902000000000008</v>
      </c>
      <c r="BA618" s="308">
        <v>0</v>
      </c>
      <c r="BB618" s="308">
        <v>6.8571</v>
      </c>
      <c r="BC618" s="308">
        <v>7.3049999999999997</v>
      </c>
      <c r="BD618" s="308">
        <v>7.3052999999999999</v>
      </c>
      <c r="BE618" s="308">
        <v>8.3620000000000001</v>
      </c>
      <c r="BF618" s="308">
        <v>7.5011000000000001</v>
      </c>
      <c r="BG618" s="308">
        <v>7.3330000000000002</v>
      </c>
      <c r="BH618" s="308">
        <v>9.0385000000000009</v>
      </c>
      <c r="BI618" s="308">
        <v>8.1960999999999995</v>
      </c>
      <c r="BJ618" s="308">
        <v>7.8856000000000002</v>
      </c>
      <c r="BK618" s="308">
        <v>7.1909999999999998</v>
      </c>
    </row>
    <row r="619" spans="1:63" x14ac:dyDescent="0.25">
      <c r="A619" s="306" t="s">
        <v>731</v>
      </c>
      <c r="B619" s="308" t="s">
        <v>187</v>
      </c>
      <c r="C619" s="308">
        <v>10.4079</v>
      </c>
      <c r="D619" s="308">
        <v>0</v>
      </c>
      <c r="E619" s="308">
        <v>7.5533000000000001</v>
      </c>
      <c r="F619" s="308">
        <v>10.5006</v>
      </c>
      <c r="G619" s="308">
        <v>10.7973</v>
      </c>
      <c r="H619" s="308">
        <v>7.3814000000000002</v>
      </c>
      <c r="I619" s="308">
        <v>9.0358000000000001</v>
      </c>
      <c r="J619" s="308">
        <v>6.4797000000000002</v>
      </c>
      <c r="K619" s="308">
        <v>0</v>
      </c>
      <c r="L619" s="308">
        <v>0</v>
      </c>
      <c r="M619" s="308">
        <v>8.2187000000000001</v>
      </c>
      <c r="N619" s="308">
        <v>8.593</v>
      </c>
      <c r="O619" s="308">
        <v>0</v>
      </c>
      <c r="P619" s="308">
        <v>8.4902999999999995</v>
      </c>
      <c r="Q619" s="308">
        <v>8.6127000000000002</v>
      </c>
      <c r="R619" s="308">
        <v>8.4991000000000003</v>
      </c>
      <c r="S619" s="308">
        <v>9.4856999999999996</v>
      </c>
      <c r="T619" s="308">
        <v>9.3073999999999995</v>
      </c>
      <c r="U619" s="308">
        <v>10.514099999999999</v>
      </c>
      <c r="V619" s="308">
        <v>8.3829999999999991</v>
      </c>
      <c r="W619" s="308">
        <v>7.8175999999999997</v>
      </c>
      <c r="X619" s="308">
        <v>7.3227000000000002</v>
      </c>
      <c r="Y619" s="308">
        <v>0</v>
      </c>
      <c r="Z619" s="308">
        <v>10.3253</v>
      </c>
      <c r="AA619" s="308">
        <v>8.4899000000000004</v>
      </c>
      <c r="AB619" s="308">
        <v>8.9474</v>
      </c>
      <c r="AC619" s="308">
        <v>0</v>
      </c>
      <c r="AD619" s="308">
        <v>9.3544</v>
      </c>
      <c r="AE619" s="308">
        <v>7.5968</v>
      </c>
      <c r="AF619" s="308">
        <v>0</v>
      </c>
      <c r="AG619" s="308">
        <v>8.6148000000000007</v>
      </c>
      <c r="AH619" s="308">
        <v>6.8333000000000004</v>
      </c>
      <c r="AI619" s="308">
        <v>6.8118999999999996</v>
      </c>
      <c r="AJ619" s="308">
        <v>0</v>
      </c>
      <c r="AK619" s="308">
        <v>0</v>
      </c>
      <c r="AL619" s="308">
        <v>7.1235999999999997</v>
      </c>
      <c r="AM619" s="308">
        <v>10.5725</v>
      </c>
      <c r="AN619" s="308">
        <v>8.7585999999999995</v>
      </c>
      <c r="AO619" s="308">
        <v>9.3818999999999999</v>
      </c>
      <c r="AP619" s="308">
        <v>8.0854999999999997</v>
      </c>
      <c r="AQ619" s="308">
        <v>0</v>
      </c>
      <c r="AR619" s="308">
        <v>11.621600000000001</v>
      </c>
      <c r="AS619" s="308">
        <v>0</v>
      </c>
      <c r="AT619" s="308">
        <v>10.2789</v>
      </c>
      <c r="AU619" s="308">
        <v>7.7103999999999999</v>
      </c>
      <c r="AV619" s="308">
        <v>12.3741</v>
      </c>
      <c r="AW619" s="308">
        <v>8.577</v>
      </c>
      <c r="AX619" s="308">
        <v>0</v>
      </c>
      <c r="AY619" s="308">
        <v>8.9932999999999996</v>
      </c>
      <c r="AZ619" s="308">
        <v>9.7622999999999998</v>
      </c>
      <c r="BA619" s="308">
        <v>9.2240000000000002</v>
      </c>
      <c r="BB619" s="308">
        <v>5.3975</v>
      </c>
      <c r="BC619" s="308">
        <v>7.4279999999999999</v>
      </c>
      <c r="BD619" s="308">
        <v>7.94</v>
      </c>
      <c r="BE619" s="308">
        <v>9.9345999999999997</v>
      </c>
      <c r="BF619" s="308">
        <v>9.2228999999999992</v>
      </c>
      <c r="BG619" s="308">
        <v>9.4298000000000002</v>
      </c>
      <c r="BH619" s="308">
        <v>9.4710999999999999</v>
      </c>
      <c r="BI619" s="308">
        <v>8.5977999999999994</v>
      </c>
      <c r="BJ619" s="308">
        <v>10.0738</v>
      </c>
      <c r="BK619" s="308">
        <v>7.4858000000000002</v>
      </c>
    </row>
    <row r="620" spans="1:63" x14ac:dyDescent="0.25">
      <c r="A620" s="306">
        <v>333414</v>
      </c>
      <c r="B620" s="308" t="s">
        <v>5</v>
      </c>
      <c r="C620" s="308">
        <v>10.720599999999999</v>
      </c>
      <c r="D620" s="308">
        <v>8.8229000000000006</v>
      </c>
      <c r="E620" s="308">
        <v>10.9567</v>
      </c>
      <c r="F620" s="308">
        <v>0</v>
      </c>
      <c r="G620" s="308">
        <v>7.4741</v>
      </c>
      <c r="H620" s="308">
        <v>7.2804000000000002</v>
      </c>
      <c r="I620" s="308">
        <v>7.7849000000000004</v>
      </c>
      <c r="J620" s="308">
        <v>7.0488</v>
      </c>
      <c r="K620" s="308">
        <v>0</v>
      </c>
      <c r="L620" s="308">
        <v>6.9682000000000004</v>
      </c>
      <c r="M620" s="308">
        <v>9.0687999999999995</v>
      </c>
      <c r="N620" s="308">
        <v>8.1508000000000003</v>
      </c>
      <c r="O620" s="308">
        <v>8.3507999999999996</v>
      </c>
      <c r="P620" s="308">
        <v>7.9553000000000003</v>
      </c>
      <c r="Q620" s="308">
        <v>8.4422999999999995</v>
      </c>
      <c r="R620" s="308">
        <v>8.4405999999999999</v>
      </c>
      <c r="S620" s="308">
        <v>8.3894000000000002</v>
      </c>
      <c r="T620" s="308">
        <v>8.0328999999999997</v>
      </c>
      <c r="U620" s="308">
        <v>9.3881999999999994</v>
      </c>
      <c r="V620" s="308">
        <v>6.4943</v>
      </c>
      <c r="W620" s="308">
        <v>7.2869000000000002</v>
      </c>
      <c r="X620" s="308">
        <v>5.9577999999999998</v>
      </c>
      <c r="Y620" s="308">
        <v>8.2210000000000001</v>
      </c>
      <c r="Z620" s="308">
        <v>9.4563000000000006</v>
      </c>
      <c r="AA620" s="308">
        <v>8.6613000000000007</v>
      </c>
      <c r="AB620" s="308">
        <v>7.5548000000000002</v>
      </c>
      <c r="AC620" s="308">
        <v>8.016</v>
      </c>
      <c r="AD620" s="308">
        <v>0</v>
      </c>
      <c r="AE620" s="308">
        <v>9.6265000000000001</v>
      </c>
      <c r="AF620" s="308">
        <v>5.5079000000000002</v>
      </c>
      <c r="AG620" s="308">
        <v>8.782</v>
      </c>
      <c r="AH620" s="308">
        <v>7.923</v>
      </c>
      <c r="AI620" s="308">
        <v>7.3110999999999997</v>
      </c>
      <c r="AJ620" s="308">
        <v>9.1648999999999994</v>
      </c>
      <c r="AK620" s="308">
        <v>6.8109999999999999</v>
      </c>
      <c r="AL620" s="308">
        <v>6.4888000000000003</v>
      </c>
      <c r="AM620" s="308">
        <v>9.4756</v>
      </c>
      <c r="AN620" s="308">
        <v>9.0411000000000001</v>
      </c>
      <c r="AO620" s="308">
        <v>10.9254</v>
      </c>
      <c r="AP620" s="308">
        <v>9.3420000000000005</v>
      </c>
      <c r="AQ620" s="308">
        <v>6.5629</v>
      </c>
      <c r="AR620" s="308">
        <v>9.1080000000000005</v>
      </c>
      <c r="AS620" s="308">
        <v>8.9609000000000005</v>
      </c>
      <c r="AT620" s="308">
        <v>10.2454</v>
      </c>
      <c r="AU620" s="308">
        <v>7.7408999999999999</v>
      </c>
      <c r="AV620" s="308">
        <v>10.9842</v>
      </c>
      <c r="AW620" s="308">
        <v>7.2405999999999997</v>
      </c>
      <c r="AX620" s="308">
        <v>7.4568000000000003</v>
      </c>
      <c r="AY620" s="308">
        <v>8.3224</v>
      </c>
      <c r="AZ620" s="308">
        <v>9.1790000000000003</v>
      </c>
      <c r="BA620" s="308">
        <v>0</v>
      </c>
      <c r="BB620" s="308">
        <v>0</v>
      </c>
      <c r="BC620" s="308">
        <v>8.2431999999999999</v>
      </c>
      <c r="BD620" s="308">
        <v>8.5107999999999997</v>
      </c>
      <c r="BE620" s="308">
        <v>9.4097000000000008</v>
      </c>
      <c r="BF620" s="308">
        <v>8.8594000000000008</v>
      </c>
      <c r="BG620" s="308">
        <v>9.1151</v>
      </c>
      <c r="BH620" s="308">
        <v>10.5214</v>
      </c>
      <c r="BI620" s="308">
        <v>8.5777999999999999</v>
      </c>
      <c r="BJ620" s="308">
        <v>9.3320000000000007</v>
      </c>
      <c r="BK620" s="308">
        <v>8.2347999999999999</v>
      </c>
    </row>
    <row r="621" spans="1:63" x14ac:dyDescent="0.25">
      <c r="A621" s="306">
        <v>333415</v>
      </c>
      <c r="B621" s="308" t="s">
        <v>192</v>
      </c>
      <c r="C621" s="308">
        <v>9.1461000000000006</v>
      </c>
      <c r="D621" s="308">
        <v>0</v>
      </c>
      <c r="E621" s="308">
        <v>8.9042999999999992</v>
      </c>
      <c r="F621" s="308">
        <v>8.5253999999999994</v>
      </c>
      <c r="G621" s="308">
        <v>7.4355000000000002</v>
      </c>
      <c r="H621" s="308">
        <v>6.4409000000000001</v>
      </c>
      <c r="I621" s="308">
        <v>6.1273999999999997</v>
      </c>
      <c r="J621" s="308">
        <v>6.335</v>
      </c>
      <c r="K621" s="308">
        <v>0</v>
      </c>
      <c r="L621" s="308">
        <v>4.0461</v>
      </c>
      <c r="M621" s="308">
        <v>7.306</v>
      </c>
      <c r="N621" s="308">
        <v>7.2919</v>
      </c>
      <c r="O621" s="308">
        <v>0</v>
      </c>
      <c r="P621" s="308">
        <v>7.3536999999999999</v>
      </c>
      <c r="Q621" s="308">
        <v>6.9802</v>
      </c>
      <c r="R621" s="308">
        <v>7.5198999999999998</v>
      </c>
      <c r="S621" s="308">
        <v>7.6510999999999996</v>
      </c>
      <c r="T621" s="308">
        <v>6.8623000000000003</v>
      </c>
      <c r="U621" s="308">
        <v>7.3749000000000002</v>
      </c>
      <c r="V621" s="308">
        <v>7.6471999999999998</v>
      </c>
      <c r="W621" s="308">
        <v>5.1867000000000001</v>
      </c>
      <c r="X621" s="308">
        <v>5.1504000000000003</v>
      </c>
      <c r="Y621" s="308">
        <v>6.9291</v>
      </c>
      <c r="Z621" s="308">
        <v>7.6218000000000004</v>
      </c>
      <c r="AA621" s="308">
        <v>6.5105000000000004</v>
      </c>
      <c r="AB621" s="308">
        <v>7.9229000000000003</v>
      </c>
      <c r="AC621" s="308">
        <v>7.8933</v>
      </c>
      <c r="AD621" s="308">
        <v>0</v>
      </c>
      <c r="AE621" s="308">
        <v>6.9452999999999996</v>
      </c>
      <c r="AF621" s="308">
        <v>5.5823</v>
      </c>
      <c r="AG621" s="308">
        <v>7.0755999999999997</v>
      </c>
      <c r="AH621" s="308">
        <v>6.7885</v>
      </c>
      <c r="AI621" s="308">
        <v>5.7641</v>
      </c>
      <c r="AJ621" s="308">
        <v>6.3955000000000002</v>
      </c>
      <c r="AK621" s="308">
        <v>4.923</v>
      </c>
      <c r="AL621" s="308">
        <v>5.0960999999999999</v>
      </c>
      <c r="AM621" s="308">
        <v>7.7192999999999996</v>
      </c>
      <c r="AN621" s="308">
        <v>7.9222000000000001</v>
      </c>
      <c r="AO621" s="308">
        <v>6.7606999999999999</v>
      </c>
      <c r="AP621" s="308">
        <v>7.4984000000000002</v>
      </c>
      <c r="AQ621" s="308">
        <v>5.4012000000000002</v>
      </c>
      <c r="AR621" s="308">
        <v>8.8572000000000006</v>
      </c>
      <c r="AS621" s="308">
        <v>6.5637999999999996</v>
      </c>
      <c r="AT621" s="308">
        <v>7.8489000000000004</v>
      </c>
      <c r="AU621" s="308">
        <v>7.0335000000000001</v>
      </c>
      <c r="AV621" s="308">
        <v>6.7088999999999999</v>
      </c>
      <c r="AW621" s="308">
        <v>6.6958000000000002</v>
      </c>
      <c r="AX621" s="308">
        <v>6.5757000000000003</v>
      </c>
      <c r="AY621" s="308">
        <v>6.7527999999999997</v>
      </c>
      <c r="AZ621" s="308">
        <v>7.1985000000000001</v>
      </c>
      <c r="BA621" s="308">
        <v>0</v>
      </c>
      <c r="BB621" s="308">
        <v>0</v>
      </c>
      <c r="BC621" s="308">
        <v>6.4603000000000002</v>
      </c>
      <c r="BD621" s="308">
        <v>6.6631999999999998</v>
      </c>
      <c r="BE621" s="308">
        <v>8.0484000000000009</v>
      </c>
      <c r="BF621" s="308">
        <v>8.0104000000000006</v>
      </c>
      <c r="BG621" s="308">
        <v>7.6487999999999996</v>
      </c>
      <c r="BH621" s="308">
        <v>8.5027000000000008</v>
      </c>
      <c r="BI621" s="308">
        <v>7.8978999999999999</v>
      </c>
      <c r="BJ621" s="308">
        <v>6.6906999999999996</v>
      </c>
      <c r="BK621" s="308">
        <v>6.6426999999999996</v>
      </c>
    </row>
    <row r="622" spans="1:63" x14ac:dyDescent="0.25">
      <c r="A622" s="306" t="s">
        <v>599</v>
      </c>
      <c r="B622" s="308" t="s">
        <v>191</v>
      </c>
      <c r="C622" s="308">
        <v>11.271100000000001</v>
      </c>
      <c r="D622" s="308">
        <v>0</v>
      </c>
      <c r="E622" s="308">
        <v>9.8490000000000002</v>
      </c>
      <c r="F622" s="308">
        <v>10.1919</v>
      </c>
      <c r="G622" s="308">
        <v>7.6740000000000004</v>
      </c>
      <c r="H622" s="308">
        <v>9.0310000000000006</v>
      </c>
      <c r="I622" s="308">
        <v>9.1884999999999994</v>
      </c>
      <c r="J622" s="308">
        <v>6.9485000000000001</v>
      </c>
      <c r="K622" s="308">
        <v>0</v>
      </c>
      <c r="L622" s="308">
        <v>0</v>
      </c>
      <c r="M622" s="308">
        <v>9.5489999999999995</v>
      </c>
      <c r="N622" s="308">
        <v>8.0175000000000001</v>
      </c>
      <c r="O622" s="308">
        <v>8.2393999999999998</v>
      </c>
      <c r="P622" s="308">
        <v>10.132999999999999</v>
      </c>
      <c r="Q622" s="308">
        <v>8.0524000000000004</v>
      </c>
      <c r="R622" s="308">
        <v>9.4164999999999992</v>
      </c>
      <c r="S622" s="308">
        <v>9.8628</v>
      </c>
      <c r="T622" s="308">
        <v>9.1263000000000005</v>
      </c>
      <c r="U622" s="308">
        <v>9.7127999999999997</v>
      </c>
      <c r="V622" s="308">
        <v>6.9588000000000001</v>
      </c>
      <c r="W622" s="308">
        <v>7.4912999999999998</v>
      </c>
      <c r="X622" s="308">
        <v>7.5225</v>
      </c>
      <c r="Y622" s="308">
        <v>0</v>
      </c>
      <c r="Z622" s="308">
        <v>8.7828999999999997</v>
      </c>
      <c r="AA622" s="308">
        <v>8.3564000000000007</v>
      </c>
      <c r="AB622" s="308">
        <v>9.2248000000000001</v>
      </c>
      <c r="AC622" s="308">
        <v>10.166600000000001</v>
      </c>
      <c r="AD622" s="308">
        <v>0</v>
      </c>
      <c r="AE622" s="308">
        <v>10.431699999999999</v>
      </c>
      <c r="AF622" s="308">
        <v>0</v>
      </c>
      <c r="AG622" s="308">
        <v>9.4108999999999998</v>
      </c>
      <c r="AH622" s="308">
        <v>9.6059000000000001</v>
      </c>
      <c r="AI622" s="308">
        <v>6.7870999999999997</v>
      </c>
      <c r="AJ622" s="308">
        <v>5.8052000000000001</v>
      </c>
      <c r="AK622" s="308">
        <v>8.0683000000000007</v>
      </c>
      <c r="AL622" s="308">
        <v>7.4748000000000001</v>
      </c>
      <c r="AM622" s="308">
        <v>10.045</v>
      </c>
      <c r="AN622" s="308">
        <v>9.2401999999999997</v>
      </c>
      <c r="AO622" s="308">
        <v>7.8040000000000003</v>
      </c>
      <c r="AP622" s="308">
        <v>8.6715999999999998</v>
      </c>
      <c r="AQ622" s="308">
        <v>0</v>
      </c>
      <c r="AR622" s="308">
        <v>11.7623</v>
      </c>
      <c r="AS622" s="308">
        <v>8.7347999999999999</v>
      </c>
      <c r="AT622" s="308">
        <v>10.544600000000001</v>
      </c>
      <c r="AU622" s="308">
        <v>10.121700000000001</v>
      </c>
      <c r="AV622" s="308">
        <v>11.206</v>
      </c>
      <c r="AW622" s="308">
        <v>8.7726000000000006</v>
      </c>
      <c r="AX622" s="308">
        <v>9.0961999999999996</v>
      </c>
      <c r="AY622" s="308">
        <v>7.4714999999999998</v>
      </c>
      <c r="AZ622" s="308">
        <v>9.0405999999999995</v>
      </c>
      <c r="BA622" s="308">
        <v>0</v>
      </c>
      <c r="BB622" s="308">
        <v>7.2896999999999998</v>
      </c>
      <c r="BC622" s="308">
        <v>8.0645000000000007</v>
      </c>
      <c r="BD622" s="308">
        <v>8.2539999999999996</v>
      </c>
      <c r="BE622" s="308">
        <v>10.002800000000001</v>
      </c>
      <c r="BF622" s="308">
        <v>9.9237000000000002</v>
      </c>
      <c r="BG622" s="308">
        <v>10.341699999999999</v>
      </c>
      <c r="BH622" s="308">
        <v>10.549200000000001</v>
      </c>
      <c r="BI622" s="308">
        <v>10.355600000000001</v>
      </c>
      <c r="BJ622" s="308">
        <v>8.9945000000000004</v>
      </c>
      <c r="BK622" s="308">
        <v>8.6494</v>
      </c>
    </row>
    <row r="623" spans="1:63" x14ac:dyDescent="0.25">
      <c r="A623" s="306">
        <v>333511</v>
      </c>
      <c r="B623" s="308" t="s">
        <v>193</v>
      </c>
      <c r="C623" s="308">
        <v>13.3485</v>
      </c>
      <c r="D623" s="308">
        <v>0</v>
      </c>
      <c r="E623" s="308">
        <v>14.7004</v>
      </c>
      <c r="F623" s="308">
        <v>14.016500000000001</v>
      </c>
      <c r="G623" s="308">
        <v>10.965</v>
      </c>
      <c r="H623" s="308">
        <v>12.728999999999999</v>
      </c>
      <c r="I623" s="308">
        <v>13.3134</v>
      </c>
      <c r="J623" s="308">
        <v>9.4655000000000005</v>
      </c>
      <c r="K623" s="308">
        <v>0</v>
      </c>
      <c r="L623" s="308">
        <v>0</v>
      </c>
      <c r="M623" s="308">
        <v>13.042</v>
      </c>
      <c r="N623" s="308">
        <v>10.8996</v>
      </c>
      <c r="O623" s="308">
        <v>0</v>
      </c>
      <c r="P623" s="308">
        <v>11.032</v>
      </c>
      <c r="Q623" s="308">
        <v>13.554600000000001</v>
      </c>
      <c r="R623" s="308">
        <v>11.11</v>
      </c>
      <c r="S623" s="308">
        <v>12.0974</v>
      </c>
      <c r="T623" s="308">
        <v>10.366099999999999</v>
      </c>
      <c r="U623" s="308">
        <v>14.0047</v>
      </c>
      <c r="V623" s="308">
        <v>9.2978000000000005</v>
      </c>
      <c r="W623" s="308">
        <v>10.4114</v>
      </c>
      <c r="X623" s="308">
        <v>10.6799</v>
      </c>
      <c r="Y623" s="308">
        <v>11.3721</v>
      </c>
      <c r="Z623" s="308">
        <v>11.074400000000001</v>
      </c>
      <c r="AA623" s="308">
        <v>10.965199999999999</v>
      </c>
      <c r="AB623" s="308">
        <v>10.2225</v>
      </c>
      <c r="AC623" s="308">
        <v>13.162699999999999</v>
      </c>
      <c r="AD623" s="308">
        <v>0</v>
      </c>
      <c r="AE623" s="308">
        <v>10.517899999999999</v>
      </c>
      <c r="AF623" s="308">
        <v>0</v>
      </c>
      <c r="AG623" s="308">
        <v>11.7773</v>
      </c>
      <c r="AH623" s="308">
        <v>9.6199999999999992</v>
      </c>
      <c r="AI623" s="308">
        <v>9.2957999999999998</v>
      </c>
      <c r="AJ623" s="308">
        <v>12.6027</v>
      </c>
      <c r="AK623" s="308">
        <v>9.1931999999999992</v>
      </c>
      <c r="AL623" s="308">
        <v>10.4061</v>
      </c>
      <c r="AM623" s="308">
        <v>12.868399999999999</v>
      </c>
      <c r="AN623" s="308">
        <v>14.701000000000001</v>
      </c>
      <c r="AO623" s="308">
        <v>11.678000000000001</v>
      </c>
      <c r="AP623" s="308">
        <v>12.6271</v>
      </c>
      <c r="AQ623" s="308">
        <v>11.3104</v>
      </c>
      <c r="AR623" s="308">
        <v>12.8757</v>
      </c>
      <c r="AS623" s="308">
        <v>11.5945</v>
      </c>
      <c r="AT623" s="308">
        <v>12.2477</v>
      </c>
      <c r="AU623" s="308">
        <v>13.216200000000001</v>
      </c>
      <c r="AV623" s="308">
        <v>15.623799999999999</v>
      </c>
      <c r="AW623" s="308">
        <v>11.409700000000001</v>
      </c>
      <c r="AX623" s="308">
        <v>8.9164999999999992</v>
      </c>
      <c r="AY623" s="308">
        <v>10.126300000000001</v>
      </c>
      <c r="AZ623" s="308">
        <v>10.571300000000001</v>
      </c>
      <c r="BA623" s="308">
        <v>12.3582</v>
      </c>
      <c r="BB623" s="308">
        <v>0</v>
      </c>
      <c r="BC623" s="308">
        <v>11.1007</v>
      </c>
      <c r="BD623" s="308">
        <v>11.907400000000001</v>
      </c>
      <c r="BE623" s="308">
        <v>12.0128</v>
      </c>
      <c r="BF623" s="308">
        <v>11.178000000000001</v>
      </c>
      <c r="BG623" s="308">
        <v>12.267200000000001</v>
      </c>
      <c r="BH623" s="308">
        <v>14.290100000000001</v>
      </c>
      <c r="BI623" s="308">
        <v>14.1213</v>
      </c>
      <c r="BJ623" s="308">
        <v>12.9429</v>
      </c>
      <c r="BK623" s="308">
        <v>12.499700000000001</v>
      </c>
    </row>
    <row r="624" spans="1:63" x14ac:dyDescent="0.25">
      <c r="A624" s="306">
        <v>333514</v>
      </c>
      <c r="B624" s="308" t="s">
        <v>195</v>
      </c>
      <c r="C624" s="308">
        <v>13.340400000000001</v>
      </c>
      <c r="D624" s="308">
        <v>0</v>
      </c>
      <c r="E624" s="308">
        <v>14.3347</v>
      </c>
      <c r="F624" s="308">
        <v>13.6465</v>
      </c>
      <c r="G624" s="308">
        <v>11.715299999999999</v>
      </c>
      <c r="H624" s="308">
        <v>11.3094</v>
      </c>
      <c r="I624" s="308">
        <v>10.5115</v>
      </c>
      <c r="J624" s="308">
        <v>9.85</v>
      </c>
      <c r="K624" s="308">
        <v>0</v>
      </c>
      <c r="L624" s="308">
        <v>0</v>
      </c>
      <c r="M624" s="308">
        <v>12.8744</v>
      </c>
      <c r="N624" s="308">
        <v>11.9533</v>
      </c>
      <c r="O624" s="308">
        <v>0</v>
      </c>
      <c r="P624" s="308">
        <v>11.2639</v>
      </c>
      <c r="Q624" s="308">
        <v>13.133100000000001</v>
      </c>
      <c r="R624" s="308">
        <v>11.5899</v>
      </c>
      <c r="S624" s="308">
        <v>12.7462</v>
      </c>
      <c r="T624" s="308">
        <v>10.9057</v>
      </c>
      <c r="U624" s="308">
        <v>12.5763</v>
      </c>
      <c r="V624" s="308">
        <v>12.541499999999999</v>
      </c>
      <c r="W624" s="308">
        <v>9.5155999999999992</v>
      </c>
      <c r="X624" s="308">
        <v>10.3957</v>
      </c>
      <c r="Y624" s="308">
        <v>10.1524</v>
      </c>
      <c r="Z624" s="308">
        <v>11.3057</v>
      </c>
      <c r="AA624" s="308">
        <v>11.0055</v>
      </c>
      <c r="AB624" s="308">
        <v>10.654</v>
      </c>
      <c r="AC624" s="308">
        <v>12.8269</v>
      </c>
      <c r="AD624" s="308">
        <v>0</v>
      </c>
      <c r="AE624" s="308">
        <v>12.548299999999999</v>
      </c>
      <c r="AF624" s="308">
        <v>11.7182</v>
      </c>
      <c r="AG624" s="308">
        <v>11.6972</v>
      </c>
      <c r="AH624" s="308">
        <v>9.5981000000000005</v>
      </c>
      <c r="AI624" s="308">
        <v>9.9433000000000007</v>
      </c>
      <c r="AJ624" s="308">
        <v>12.3277</v>
      </c>
      <c r="AK624" s="308">
        <v>13.084199999999999</v>
      </c>
      <c r="AL624" s="308">
        <v>11.1973</v>
      </c>
      <c r="AM624" s="308">
        <v>12.085900000000001</v>
      </c>
      <c r="AN624" s="308">
        <v>14.207000000000001</v>
      </c>
      <c r="AO624" s="308">
        <v>13.271100000000001</v>
      </c>
      <c r="AP624" s="308">
        <v>12.5848</v>
      </c>
      <c r="AQ624" s="308">
        <v>11.2834</v>
      </c>
      <c r="AR624" s="308">
        <v>12.0456</v>
      </c>
      <c r="AS624" s="308">
        <v>10.6972</v>
      </c>
      <c r="AT624" s="308">
        <v>12.534599999999999</v>
      </c>
      <c r="AU624" s="308">
        <v>11.893000000000001</v>
      </c>
      <c r="AV624" s="308">
        <v>15.207000000000001</v>
      </c>
      <c r="AW624" s="308">
        <v>12.617900000000001</v>
      </c>
      <c r="AX624" s="308">
        <v>11.8108</v>
      </c>
      <c r="AY624" s="308">
        <v>11.507400000000001</v>
      </c>
      <c r="AZ624" s="308">
        <v>11.717000000000001</v>
      </c>
      <c r="BA624" s="308">
        <v>11.73</v>
      </c>
      <c r="BB624" s="308">
        <v>0</v>
      </c>
      <c r="BC624" s="308">
        <v>10.9076</v>
      </c>
      <c r="BD624" s="308">
        <v>12.3644</v>
      </c>
      <c r="BE624" s="308">
        <v>12.1663</v>
      </c>
      <c r="BF624" s="308">
        <v>11.4559</v>
      </c>
      <c r="BG624" s="308">
        <v>12.9115</v>
      </c>
      <c r="BH624" s="308">
        <v>13.513299999999999</v>
      </c>
      <c r="BI624" s="308">
        <v>12.866199999999999</v>
      </c>
      <c r="BJ624" s="308">
        <v>12.2469</v>
      </c>
      <c r="BK624" s="308">
        <v>11.636699999999999</v>
      </c>
    </row>
    <row r="625" spans="1:63" x14ac:dyDescent="0.25">
      <c r="A625" s="306">
        <v>333515</v>
      </c>
      <c r="B625" s="308" t="s">
        <v>196</v>
      </c>
      <c r="C625" s="308">
        <v>12.086499999999999</v>
      </c>
      <c r="D625" s="308">
        <v>0</v>
      </c>
      <c r="E625" s="308">
        <v>12.885</v>
      </c>
      <c r="F625" s="308">
        <v>10.3584</v>
      </c>
      <c r="G625" s="308">
        <v>10.456799999999999</v>
      </c>
      <c r="H625" s="308">
        <v>11.395300000000001</v>
      </c>
      <c r="I625" s="308">
        <v>9.6495999999999995</v>
      </c>
      <c r="J625" s="308">
        <v>9.7748000000000008</v>
      </c>
      <c r="K625" s="308">
        <v>0</v>
      </c>
      <c r="L625" s="308">
        <v>0</v>
      </c>
      <c r="M625" s="308">
        <v>12.465299999999999</v>
      </c>
      <c r="N625" s="308">
        <v>10.856199999999999</v>
      </c>
      <c r="O625" s="308">
        <v>0</v>
      </c>
      <c r="P625" s="308">
        <v>10.332000000000001</v>
      </c>
      <c r="Q625" s="308">
        <v>10.327400000000001</v>
      </c>
      <c r="R625" s="308">
        <v>10.3888</v>
      </c>
      <c r="S625" s="308">
        <v>10.881600000000001</v>
      </c>
      <c r="T625" s="308">
        <v>9.3527000000000005</v>
      </c>
      <c r="U625" s="308">
        <v>10.8179</v>
      </c>
      <c r="V625" s="308">
        <v>12.560499999999999</v>
      </c>
      <c r="W625" s="308">
        <v>9.1236999999999995</v>
      </c>
      <c r="X625" s="308">
        <v>7.3562000000000003</v>
      </c>
      <c r="Y625" s="308">
        <v>11.6327</v>
      </c>
      <c r="Z625" s="308">
        <v>10.2653</v>
      </c>
      <c r="AA625" s="308">
        <v>10.2264</v>
      </c>
      <c r="AB625" s="308">
        <v>10.249000000000001</v>
      </c>
      <c r="AC625" s="308">
        <v>11.573600000000001</v>
      </c>
      <c r="AD625" s="308">
        <v>11.8565</v>
      </c>
      <c r="AE625" s="308">
        <v>10.857699999999999</v>
      </c>
      <c r="AF625" s="308">
        <v>0</v>
      </c>
      <c r="AG625" s="308">
        <v>9.5837000000000003</v>
      </c>
      <c r="AH625" s="308">
        <v>8.8712</v>
      </c>
      <c r="AI625" s="308">
        <v>7.9046000000000003</v>
      </c>
      <c r="AJ625" s="308">
        <v>11.5145</v>
      </c>
      <c r="AK625" s="308">
        <v>8.3462999999999994</v>
      </c>
      <c r="AL625" s="308">
        <v>8.6685999999999996</v>
      </c>
      <c r="AM625" s="308">
        <v>11.047800000000001</v>
      </c>
      <c r="AN625" s="308">
        <v>11.5335</v>
      </c>
      <c r="AO625" s="308">
        <v>11.321899999999999</v>
      </c>
      <c r="AP625" s="308">
        <v>10.664400000000001</v>
      </c>
      <c r="AQ625" s="308">
        <v>10.472899999999999</v>
      </c>
      <c r="AR625" s="308">
        <v>11.366</v>
      </c>
      <c r="AS625" s="308">
        <v>11.145899999999999</v>
      </c>
      <c r="AT625" s="308">
        <v>10.0093</v>
      </c>
      <c r="AU625" s="308">
        <v>10.0329</v>
      </c>
      <c r="AV625" s="308">
        <v>11.0646</v>
      </c>
      <c r="AW625" s="308">
        <v>10.5913</v>
      </c>
      <c r="AX625" s="308">
        <v>10.7544</v>
      </c>
      <c r="AY625" s="308">
        <v>12.192500000000001</v>
      </c>
      <c r="AZ625" s="308">
        <v>10.7059</v>
      </c>
      <c r="BA625" s="308">
        <v>0</v>
      </c>
      <c r="BB625" s="308">
        <v>0</v>
      </c>
      <c r="BC625" s="308">
        <v>11.051299999999999</v>
      </c>
      <c r="BD625" s="308">
        <v>10.0044</v>
      </c>
      <c r="BE625" s="308">
        <v>10.9819</v>
      </c>
      <c r="BF625" s="308">
        <v>10.6898</v>
      </c>
      <c r="BG625" s="308">
        <v>11.6356</v>
      </c>
      <c r="BH625" s="308">
        <v>10.833</v>
      </c>
      <c r="BI625" s="308">
        <v>10.752800000000001</v>
      </c>
      <c r="BJ625" s="308">
        <v>10.819800000000001</v>
      </c>
      <c r="BK625" s="308">
        <v>11.537800000000001</v>
      </c>
    </row>
    <row r="626" spans="1:63" x14ac:dyDescent="0.25">
      <c r="A626" s="306" t="s">
        <v>732</v>
      </c>
      <c r="B626" s="308" t="s">
        <v>194</v>
      </c>
      <c r="C626" s="308">
        <v>11.919700000000001</v>
      </c>
      <c r="D626" s="308">
        <v>0</v>
      </c>
      <c r="E626" s="308">
        <v>11.6837</v>
      </c>
      <c r="F626" s="308">
        <v>10.151300000000001</v>
      </c>
      <c r="G626" s="308">
        <v>11.241400000000001</v>
      </c>
      <c r="H626" s="308">
        <v>9.8363999999999994</v>
      </c>
      <c r="I626" s="308">
        <v>8.9527999999999999</v>
      </c>
      <c r="J626" s="308">
        <v>8.5652000000000008</v>
      </c>
      <c r="K626" s="308">
        <v>0</v>
      </c>
      <c r="L626" s="308">
        <v>6.8705999999999996</v>
      </c>
      <c r="M626" s="308">
        <v>11.6813</v>
      </c>
      <c r="N626" s="308">
        <v>10.862299999999999</v>
      </c>
      <c r="O626" s="308">
        <v>0</v>
      </c>
      <c r="P626" s="308">
        <v>9.3369999999999997</v>
      </c>
      <c r="Q626" s="308">
        <v>10.991400000000001</v>
      </c>
      <c r="R626" s="308">
        <v>10.450799999999999</v>
      </c>
      <c r="S626" s="308">
        <v>10.325900000000001</v>
      </c>
      <c r="T626" s="308">
        <v>8.7674000000000003</v>
      </c>
      <c r="U626" s="308">
        <v>8.8643000000000001</v>
      </c>
      <c r="V626" s="308">
        <v>9.1221999999999994</v>
      </c>
      <c r="W626" s="308">
        <v>9.1615000000000002</v>
      </c>
      <c r="X626" s="308">
        <v>7.1051000000000002</v>
      </c>
      <c r="Y626" s="308">
        <v>0</v>
      </c>
      <c r="Z626" s="308">
        <v>10.1264</v>
      </c>
      <c r="AA626" s="308">
        <v>10.0884</v>
      </c>
      <c r="AB626" s="308">
        <v>9.9242000000000008</v>
      </c>
      <c r="AC626" s="308">
        <v>10.9305</v>
      </c>
      <c r="AD626" s="308">
        <v>10.4757</v>
      </c>
      <c r="AE626" s="308">
        <v>9.4349000000000007</v>
      </c>
      <c r="AF626" s="308">
        <v>0</v>
      </c>
      <c r="AG626" s="308">
        <v>10.688800000000001</v>
      </c>
      <c r="AH626" s="308">
        <v>9.1313999999999993</v>
      </c>
      <c r="AI626" s="308">
        <v>7.9763000000000002</v>
      </c>
      <c r="AJ626" s="308">
        <v>10.190799999999999</v>
      </c>
      <c r="AK626" s="308">
        <v>8.5219000000000005</v>
      </c>
      <c r="AL626" s="308">
        <v>8.02</v>
      </c>
      <c r="AM626" s="308">
        <v>10.953799999999999</v>
      </c>
      <c r="AN626" s="308">
        <v>12.458399999999999</v>
      </c>
      <c r="AO626" s="308">
        <v>10.343400000000001</v>
      </c>
      <c r="AP626" s="308">
        <v>11.6661</v>
      </c>
      <c r="AQ626" s="308">
        <v>8.4087999999999994</v>
      </c>
      <c r="AR626" s="308">
        <v>9.9451000000000001</v>
      </c>
      <c r="AS626" s="308">
        <v>10.3756</v>
      </c>
      <c r="AT626" s="308">
        <v>10.077500000000001</v>
      </c>
      <c r="AU626" s="308">
        <v>11.305999999999999</v>
      </c>
      <c r="AV626" s="308">
        <v>12.958</v>
      </c>
      <c r="AW626" s="308">
        <v>8.0365000000000002</v>
      </c>
      <c r="AX626" s="308">
        <v>9.4941999999999993</v>
      </c>
      <c r="AY626" s="308">
        <v>8.1760000000000002</v>
      </c>
      <c r="AZ626" s="308">
        <v>10.1295</v>
      </c>
      <c r="BA626" s="308">
        <v>0</v>
      </c>
      <c r="BB626" s="308">
        <v>9.8078000000000003</v>
      </c>
      <c r="BC626" s="308">
        <v>9.8789999999999996</v>
      </c>
      <c r="BD626" s="308">
        <v>10.164</v>
      </c>
      <c r="BE626" s="308">
        <v>10.906000000000001</v>
      </c>
      <c r="BF626" s="308">
        <v>10.472300000000001</v>
      </c>
      <c r="BG626" s="308">
        <v>10.230399999999999</v>
      </c>
      <c r="BH626" s="308">
        <v>9.9970999999999997</v>
      </c>
      <c r="BI626" s="308">
        <v>11.697699999999999</v>
      </c>
      <c r="BJ626" s="308">
        <v>10.6396</v>
      </c>
      <c r="BK626" s="308">
        <v>9.8803000000000001</v>
      </c>
    </row>
    <row r="627" spans="1:63" x14ac:dyDescent="0.25">
      <c r="A627" s="306" t="s">
        <v>733</v>
      </c>
      <c r="B627" s="308" t="s">
        <v>197</v>
      </c>
      <c r="C627" s="308">
        <v>10.861599999999999</v>
      </c>
      <c r="D627" s="308">
        <v>0</v>
      </c>
      <c r="E627" s="308">
        <v>8.4893000000000001</v>
      </c>
      <c r="F627" s="308">
        <v>11.272</v>
      </c>
      <c r="G627" s="308">
        <v>10.1883</v>
      </c>
      <c r="H627" s="308">
        <v>9.9626999999999999</v>
      </c>
      <c r="I627" s="308">
        <v>10.587400000000001</v>
      </c>
      <c r="J627" s="308">
        <v>7.3040000000000003</v>
      </c>
      <c r="K627" s="308">
        <v>0</v>
      </c>
      <c r="L627" s="308">
        <v>0</v>
      </c>
      <c r="M627" s="308">
        <v>11.552899999999999</v>
      </c>
      <c r="N627" s="308">
        <v>9.7563999999999993</v>
      </c>
      <c r="O627" s="308">
        <v>0</v>
      </c>
      <c r="P627" s="308">
        <v>10.3611</v>
      </c>
      <c r="Q627" s="308">
        <v>9.7034000000000002</v>
      </c>
      <c r="R627" s="308">
        <v>9.0252999999999997</v>
      </c>
      <c r="S627" s="308">
        <v>9.2051999999999996</v>
      </c>
      <c r="T627" s="308">
        <v>8.6082000000000001</v>
      </c>
      <c r="U627" s="308">
        <v>11.3584</v>
      </c>
      <c r="V627" s="308">
        <v>0</v>
      </c>
      <c r="W627" s="308">
        <v>7.0907</v>
      </c>
      <c r="X627" s="308">
        <v>7.8558000000000003</v>
      </c>
      <c r="Y627" s="308">
        <v>9.4300999999999995</v>
      </c>
      <c r="Z627" s="308">
        <v>9.1652000000000005</v>
      </c>
      <c r="AA627" s="308">
        <v>8.2563999999999993</v>
      </c>
      <c r="AB627" s="308">
        <v>8.3955000000000002</v>
      </c>
      <c r="AC627" s="308">
        <v>10.677099999999999</v>
      </c>
      <c r="AD627" s="308">
        <v>0</v>
      </c>
      <c r="AE627" s="308">
        <v>11.679600000000001</v>
      </c>
      <c r="AF627" s="308">
        <v>0</v>
      </c>
      <c r="AG627" s="308">
        <v>9.2360000000000007</v>
      </c>
      <c r="AH627" s="308">
        <v>8.4699000000000009</v>
      </c>
      <c r="AI627" s="308">
        <v>6.6908000000000003</v>
      </c>
      <c r="AJ627" s="308">
        <v>0</v>
      </c>
      <c r="AK627" s="308">
        <v>0</v>
      </c>
      <c r="AL627" s="308">
        <v>8.3248999999999995</v>
      </c>
      <c r="AM627" s="308">
        <v>10.1206</v>
      </c>
      <c r="AN627" s="308">
        <v>10.6972</v>
      </c>
      <c r="AO627" s="308">
        <v>0</v>
      </c>
      <c r="AP627" s="308">
        <v>9.6336999999999993</v>
      </c>
      <c r="AQ627" s="308">
        <v>8.8364999999999991</v>
      </c>
      <c r="AR627" s="308">
        <v>9.5434999999999999</v>
      </c>
      <c r="AS627" s="308">
        <v>10.1106</v>
      </c>
      <c r="AT627" s="308">
        <v>8.9428000000000001</v>
      </c>
      <c r="AU627" s="308">
        <v>8.8587000000000007</v>
      </c>
      <c r="AV627" s="308">
        <v>12.907</v>
      </c>
      <c r="AW627" s="308">
        <v>10.353</v>
      </c>
      <c r="AX627" s="308">
        <v>0</v>
      </c>
      <c r="AY627" s="308">
        <v>9.1227</v>
      </c>
      <c r="AZ627" s="308">
        <v>9.7074999999999996</v>
      </c>
      <c r="BA627" s="308">
        <v>7.3822000000000001</v>
      </c>
      <c r="BB627" s="308">
        <v>0</v>
      </c>
      <c r="BC627" s="308">
        <v>8.3813999999999993</v>
      </c>
      <c r="BD627" s="308">
        <v>9.3154000000000003</v>
      </c>
      <c r="BE627" s="308">
        <v>9.8618000000000006</v>
      </c>
      <c r="BF627" s="308">
        <v>9.6327999999999996</v>
      </c>
      <c r="BG627" s="308">
        <v>11.475</v>
      </c>
      <c r="BH627" s="308">
        <v>9.3111999999999995</v>
      </c>
      <c r="BI627" s="308">
        <v>9.4786999999999999</v>
      </c>
      <c r="BJ627" s="308">
        <v>10.5397</v>
      </c>
      <c r="BK627" s="308">
        <v>9.8947000000000003</v>
      </c>
    </row>
    <row r="628" spans="1:63" x14ac:dyDescent="0.25">
      <c r="A628" s="306">
        <v>333611</v>
      </c>
      <c r="B628" s="308" t="s">
        <v>198</v>
      </c>
      <c r="C628" s="308">
        <v>5.8506999999999998</v>
      </c>
      <c r="D628" s="308">
        <v>0</v>
      </c>
      <c r="E628" s="308">
        <v>5.0004</v>
      </c>
      <c r="F628" s="308">
        <v>4.6952999999999996</v>
      </c>
      <c r="G628" s="308">
        <v>4.6417999999999999</v>
      </c>
      <c r="H628" s="308">
        <v>3.9310999999999998</v>
      </c>
      <c r="I628" s="308">
        <v>4.6239999999999997</v>
      </c>
      <c r="J628" s="308">
        <v>3.4312</v>
      </c>
      <c r="K628" s="308">
        <v>0.62039999999999995</v>
      </c>
      <c r="L628" s="308">
        <v>0</v>
      </c>
      <c r="M628" s="308">
        <v>4.1961000000000004</v>
      </c>
      <c r="N628" s="308">
        <v>4.9583000000000004</v>
      </c>
      <c r="O628" s="308">
        <v>0</v>
      </c>
      <c r="P628" s="308">
        <v>4.4763999999999999</v>
      </c>
      <c r="Q628" s="308">
        <v>4.3742999999999999</v>
      </c>
      <c r="R628" s="308">
        <v>5.125</v>
      </c>
      <c r="S628" s="308">
        <v>4.7000999999999999</v>
      </c>
      <c r="T628" s="308">
        <v>4.2499000000000002</v>
      </c>
      <c r="U628" s="308">
        <v>4.9219999999999997</v>
      </c>
      <c r="V628" s="308">
        <v>4.5134999999999996</v>
      </c>
      <c r="W628" s="308">
        <v>3.3753000000000002</v>
      </c>
      <c r="X628" s="308">
        <v>0</v>
      </c>
      <c r="Y628" s="308">
        <v>3.9234</v>
      </c>
      <c r="Z628" s="308">
        <v>5.4061000000000003</v>
      </c>
      <c r="AA628" s="308">
        <v>4.0831</v>
      </c>
      <c r="AB628" s="308">
        <v>3.8088000000000002</v>
      </c>
      <c r="AC628" s="308">
        <v>4.9067999999999996</v>
      </c>
      <c r="AD628" s="308">
        <v>0</v>
      </c>
      <c r="AE628" s="308">
        <v>4.3518999999999997</v>
      </c>
      <c r="AF628" s="308">
        <v>3.2879</v>
      </c>
      <c r="AG628" s="308">
        <v>0</v>
      </c>
      <c r="AH628" s="308">
        <v>3.6269</v>
      </c>
      <c r="AI628" s="308">
        <v>3.3864000000000001</v>
      </c>
      <c r="AJ628" s="308">
        <v>0</v>
      </c>
      <c r="AK628" s="308">
        <v>4.3244999999999996</v>
      </c>
      <c r="AL628" s="308">
        <v>3.0602999999999998</v>
      </c>
      <c r="AM628" s="308">
        <v>5.2527999999999997</v>
      </c>
      <c r="AN628" s="308">
        <v>4.7633000000000001</v>
      </c>
      <c r="AO628" s="308">
        <v>0</v>
      </c>
      <c r="AP628" s="308">
        <v>5.1795999999999998</v>
      </c>
      <c r="AQ628" s="308">
        <v>0</v>
      </c>
      <c r="AR628" s="308">
        <v>4.8601000000000001</v>
      </c>
      <c r="AS628" s="308">
        <v>3.5981000000000001</v>
      </c>
      <c r="AT628" s="308">
        <v>5.1707999999999998</v>
      </c>
      <c r="AU628" s="308">
        <v>4.7347000000000001</v>
      </c>
      <c r="AV628" s="308">
        <v>5.7622</v>
      </c>
      <c r="AW628" s="308">
        <v>4.8071000000000002</v>
      </c>
      <c r="AX628" s="308">
        <v>3.3157000000000001</v>
      </c>
      <c r="AY628" s="308">
        <v>4.4047999999999998</v>
      </c>
      <c r="AZ628" s="308">
        <v>4.8365999999999998</v>
      </c>
      <c r="BA628" s="308">
        <v>0</v>
      </c>
      <c r="BB628" s="308">
        <v>3.5240999999999998</v>
      </c>
      <c r="BC628" s="308">
        <v>3.9598</v>
      </c>
      <c r="BD628" s="308">
        <v>4.4486999999999997</v>
      </c>
      <c r="BE628" s="308">
        <v>5.41</v>
      </c>
      <c r="BF628" s="308">
        <v>4.9821999999999997</v>
      </c>
      <c r="BG628" s="308">
        <v>4.4206000000000003</v>
      </c>
      <c r="BH628" s="308">
        <v>5.5103999999999997</v>
      </c>
      <c r="BI628" s="308">
        <v>5.0578000000000003</v>
      </c>
      <c r="BJ628" s="308">
        <v>4.9324000000000003</v>
      </c>
      <c r="BK628" s="308">
        <v>4.1111000000000004</v>
      </c>
    </row>
    <row r="629" spans="1:63" x14ac:dyDescent="0.25">
      <c r="A629" s="306">
        <v>333612</v>
      </c>
      <c r="B629" s="308" t="s">
        <v>199</v>
      </c>
      <c r="C629" s="308">
        <v>10.663399999999999</v>
      </c>
      <c r="D629" s="308">
        <v>0</v>
      </c>
      <c r="E629" s="308">
        <v>12.017799999999999</v>
      </c>
      <c r="F629" s="308">
        <v>0</v>
      </c>
      <c r="G629" s="308">
        <v>9.2452000000000005</v>
      </c>
      <c r="H629" s="308">
        <v>6.8201000000000001</v>
      </c>
      <c r="I629" s="308">
        <v>0</v>
      </c>
      <c r="J629" s="308">
        <v>6.9568000000000003</v>
      </c>
      <c r="K629" s="308">
        <v>0</v>
      </c>
      <c r="L629" s="308">
        <v>0</v>
      </c>
      <c r="M629" s="308">
        <v>10.1126</v>
      </c>
      <c r="N629" s="308">
        <v>10.007</v>
      </c>
      <c r="O629" s="308">
        <v>0</v>
      </c>
      <c r="P629" s="308">
        <v>8.2091999999999992</v>
      </c>
      <c r="Q629" s="308">
        <v>6.3642000000000003</v>
      </c>
      <c r="R629" s="308">
        <v>9.1829000000000001</v>
      </c>
      <c r="S629" s="308">
        <v>10.213699999999999</v>
      </c>
      <c r="T629" s="308">
        <v>10.1698</v>
      </c>
      <c r="U629" s="308">
        <v>10.542199999999999</v>
      </c>
      <c r="V629" s="308">
        <v>11.155900000000001</v>
      </c>
      <c r="W629" s="308">
        <v>7.5411999999999999</v>
      </c>
      <c r="X629" s="308">
        <v>5.7084000000000001</v>
      </c>
      <c r="Y629" s="308">
        <v>7.5388999999999999</v>
      </c>
      <c r="Z629" s="308">
        <v>10.2072</v>
      </c>
      <c r="AA629" s="308">
        <v>9.3522999999999996</v>
      </c>
      <c r="AB629" s="308">
        <v>9.6576000000000004</v>
      </c>
      <c r="AC629" s="308">
        <v>10.327299999999999</v>
      </c>
      <c r="AD629" s="308">
        <v>0</v>
      </c>
      <c r="AE629" s="308">
        <v>8.5092999999999996</v>
      </c>
      <c r="AF629" s="308">
        <v>0</v>
      </c>
      <c r="AG629" s="308">
        <v>7.6912000000000003</v>
      </c>
      <c r="AH629" s="308">
        <v>7.9829999999999997</v>
      </c>
      <c r="AI629" s="308">
        <v>8.0389999999999997</v>
      </c>
      <c r="AJ629" s="308">
        <v>8.6138999999999992</v>
      </c>
      <c r="AK629" s="308">
        <v>0</v>
      </c>
      <c r="AL629" s="308">
        <v>7.9585999999999997</v>
      </c>
      <c r="AM629" s="308">
        <v>9.5399999999999991</v>
      </c>
      <c r="AN629" s="308">
        <v>9.3544</v>
      </c>
      <c r="AO629" s="308">
        <v>7.0335999999999999</v>
      </c>
      <c r="AP629" s="308">
        <v>10.023199999999999</v>
      </c>
      <c r="AQ629" s="308">
        <v>0</v>
      </c>
      <c r="AR629" s="308">
        <v>9.15</v>
      </c>
      <c r="AS629" s="308">
        <v>9.5693999999999999</v>
      </c>
      <c r="AT629" s="308">
        <v>11.0387</v>
      </c>
      <c r="AU629" s="308">
        <v>8.6606000000000005</v>
      </c>
      <c r="AV629" s="308">
        <v>12.507300000000001</v>
      </c>
      <c r="AW629" s="308">
        <v>8.2963000000000005</v>
      </c>
      <c r="AX629" s="308">
        <v>0</v>
      </c>
      <c r="AY629" s="308">
        <v>7.8094000000000001</v>
      </c>
      <c r="AZ629" s="308">
        <v>8.5580999999999996</v>
      </c>
      <c r="BA629" s="308">
        <v>0</v>
      </c>
      <c r="BB629" s="308">
        <v>0</v>
      </c>
      <c r="BC629" s="308">
        <v>8.3005999999999993</v>
      </c>
      <c r="BD629" s="308">
        <v>9.4361999999999995</v>
      </c>
      <c r="BE629" s="308">
        <v>9.8181999999999992</v>
      </c>
      <c r="BF629" s="308">
        <v>10.1656</v>
      </c>
      <c r="BG629" s="308">
        <v>9.2645999999999997</v>
      </c>
      <c r="BH629" s="308">
        <v>11.6662</v>
      </c>
      <c r="BI629" s="308">
        <v>9.0934000000000008</v>
      </c>
      <c r="BJ629" s="308">
        <v>9.8849999999999998</v>
      </c>
      <c r="BK629" s="308">
        <v>7.3133999999999997</v>
      </c>
    </row>
    <row r="630" spans="1:63" x14ac:dyDescent="0.25">
      <c r="A630" s="306">
        <v>333613</v>
      </c>
      <c r="B630" s="308" t="s">
        <v>200</v>
      </c>
      <c r="C630" s="308">
        <v>11.2446</v>
      </c>
      <c r="D630" s="308">
        <v>0</v>
      </c>
      <c r="E630" s="308">
        <v>9.3079000000000001</v>
      </c>
      <c r="F630" s="308">
        <v>10.6325</v>
      </c>
      <c r="G630" s="308">
        <v>0</v>
      </c>
      <c r="H630" s="308">
        <v>10.310499999999999</v>
      </c>
      <c r="I630" s="308">
        <v>0</v>
      </c>
      <c r="J630" s="308">
        <v>7.8708</v>
      </c>
      <c r="K630" s="308">
        <v>0</v>
      </c>
      <c r="L630" s="308">
        <v>0</v>
      </c>
      <c r="M630" s="308">
        <v>7.6538000000000004</v>
      </c>
      <c r="N630" s="308">
        <v>9.2035</v>
      </c>
      <c r="O630" s="308">
        <v>0</v>
      </c>
      <c r="P630" s="308">
        <v>0</v>
      </c>
      <c r="Q630" s="308">
        <v>0</v>
      </c>
      <c r="R630" s="308">
        <v>9.7095000000000002</v>
      </c>
      <c r="S630" s="308">
        <v>9.9565999999999999</v>
      </c>
      <c r="T630" s="308">
        <v>7.6773999999999996</v>
      </c>
      <c r="U630" s="308">
        <v>10.100099999999999</v>
      </c>
      <c r="V630" s="308">
        <v>10.2216</v>
      </c>
      <c r="W630" s="308">
        <v>7.4695999999999998</v>
      </c>
      <c r="X630" s="308">
        <v>7.0342000000000002</v>
      </c>
      <c r="Y630" s="308">
        <v>0</v>
      </c>
      <c r="Z630" s="308">
        <v>10.520899999999999</v>
      </c>
      <c r="AA630" s="308">
        <v>9.2662999999999993</v>
      </c>
      <c r="AB630" s="308">
        <v>10.429</v>
      </c>
      <c r="AC630" s="308">
        <v>10.2127</v>
      </c>
      <c r="AD630" s="308">
        <v>0</v>
      </c>
      <c r="AE630" s="308">
        <v>8.9780999999999995</v>
      </c>
      <c r="AF630" s="308">
        <v>0</v>
      </c>
      <c r="AG630" s="308">
        <v>8.3788999999999998</v>
      </c>
      <c r="AH630" s="308">
        <v>10.218</v>
      </c>
      <c r="AI630" s="308">
        <v>7.5805999999999996</v>
      </c>
      <c r="AJ630" s="308">
        <v>0</v>
      </c>
      <c r="AK630" s="308">
        <v>0</v>
      </c>
      <c r="AL630" s="308">
        <v>8.2964000000000002</v>
      </c>
      <c r="AM630" s="308">
        <v>9.4289000000000005</v>
      </c>
      <c r="AN630" s="308">
        <v>11.5246</v>
      </c>
      <c r="AO630" s="308">
        <v>9.3940999999999999</v>
      </c>
      <c r="AP630" s="308">
        <v>9.9320000000000004</v>
      </c>
      <c r="AQ630" s="308">
        <v>9.2257999999999996</v>
      </c>
      <c r="AR630" s="308">
        <v>9.9086999999999996</v>
      </c>
      <c r="AS630" s="308">
        <v>0</v>
      </c>
      <c r="AT630" s="308">
        <v>11.413500000000001</v>
      </c>
      <c r="AU630" s="308">
        <v>9.5642999999999994</v>
      </c>
      <c r="AV630" s="308">
        <v>0</v>
      </c>
      <c r="AW630" s="308">
        <v>0</v>
      </c>
      <c r="AX630" s="308">
        <v>0</v>
      </c>
      <c r="AY630" s="308">
        <v>10.0594</v>
      </c>
      <c r="AZ630" s="308">
        <v>9.1126000000000005</v>
      </c>
      <c r="BA630" s="308">
        <v>7.7545000000000002</v>
      </c>
      <c r="BB630" s="308">
        <v>0</v>
      </c>
      <c r="BC630" s="308">
        <v>8.7213999999999992</v>
      </c>
      <c r="BD630" s="308">
        <v>9.5642999999999994</v>
      </c>
      <c r="BE630" s="308">
        <v>10.1806</v>
      </c>
      <c r="BF630" s="308">
        <v>9.2321000000000009</v>
      </c>
      <c r="BG630" s="308">
        <v>9.2265999999999995</v>
      </c>
      <c r="BH630" s="308">
        <v>10.819900000000001</v>
      </c>
      <c r="BI630" s="308">
        <v>10.000999999999999</v>
      </c>
      <c r="BJ630" s="308">
        <v>0</v>
      </c>
      <c r="BK630" s="308">
        <v>10.301500000000001</v>
      </c>
    </row>
    <row r="631" spans="1:63" x14ac:dyDescent="0.25">
      <c r="A631" s="306">
        <v>333618</v>
      </c>
      <c r="B631" s="308" t="s">
        <v>201</v>
      </c>
      <c r="C631" s="308">
        <v>8.3536000000000001</v>
      </c>
      <c r="D631" s="308">
        <v>0</v>
      </c>
      <c r="E631" s="308">
        <v>7.8925000000000001</v>
      </c>
      <c r="F631" s="308">
        <v>7.1186999999999996</v>
      </c>
      <c r="G631" s="308">
        <v>5.6904000000000003</v>
      </c>
      <c r="H631" s="308">
        <v>5.3560999999999996</v>
      </c>
      <c r="I631" s="308">
        <v>4.9278000000000004</v>
      </c>
      <c r="J631" s="308">
        <v>5.8756000000000004</v>
      </c>
      <c r="K631" s="308">
        <v>0</v>
      </c>
      <c r="L631" s="308">
        <v>0</v>
      </c>
      <c r="M631" s="308">
        <v>5.4206000000000003</v>
      </c>
      <c r="N631" s="308">
        <v>6.4901</v>
      </c>
      <c r="O631" s="308">
        <v>4.6677</v>
      </c>
      <c r="P631" s="308">
        <v>5.2747999999999999</v>
      </c>
      <c r="Q631" s="308">
        <v>0</v>
      </c>
      <c r="R631" s="308">
        <v>6.3616000000000001</v>
      </c>
      <c r="S631" s="308">
        <v>6.7020999999999997</v>
      </c>
      <c r="T631" s="308">
        <v>6.1862000000000004</v>
      </c>
      <c r="U631" s="308">
        <v>8.1294000000000004</v>
      </c>
      <c r="V631" s="308">
        <v>5.4320000000000004</v>
      </c>
      <c r="W631" s="308">
        <v>5.3665000000000003</v>
      </c>
      <c r="X631" s="308">
        <v>3.847</v>
      </c>
      <c r="Y631" s="308">
        <v>0</v>
      </c>
      <c r="Z631" s="308">
        <v>6.4109999999999996</v>
      </c>
      <c r="AA631" s="308">
        <v>6.3461999999999996</v>
      </c>
      <c r="AB631" s="308">
        <v>7.5130999999999997</v>
      </c>
      <c r="AC631" s="308">
        <v>6.32</v>
      </c>
      <c r="AD631" s="308">
        <v>0</v>
      </c>
      <c r="AE631" s="308">
        <v>6.8532999999999999</v>
      </c>
      <c r="AF631" s="308">
        <v>4.2058</v>
      </c>
      <c r="AG631" s="308">
        <v>0</v>
      </c>
      <c r="AH631" s="308">
        <v>0</v>
      </c>
      <c r="AI631" s="308">
        <v>5.1177000000000001</v>
      </c>
      <c r="AJ631" s="308">
        <v>4.7603</v>
      </c>
      <c r="AK631" s="308">
        <v>5.3505000000000003</v>
      </c>
      <c r="AL631" s="308">
        <v>4.4935999999999998</v>
      </c>
      <c r="AM631" s="308">
        <v>8.1081000000000003</v>
      </c>
      <c r="AN631" s="308">
        <v>7.0526999999999997</v>
      </c>
      <c r="AO631" s="308">
        <v>6.9659000000000004</v>
      </c>
      <c r="AP631" s="308">
        <v>6.8437999999999999</v>
      </c>
      <c r="AQ631" s="308">
        <v>0</v>
      </c>
      <c r="AR631" s="308">
        <v>7.2777000000000003</v>
      </c>
      <c r="AS631" s="308">
        <v>4.9679000000000002</v>
      </c>
      <c r="AT631" s="308">
        <v>6.9340000000000002</v>
      </c>
      <c r="AU631" s="308">
        <v>6.1214000000000004</v>
      </c>
      <c r="AV631" s="308">
        <v>8.0568000000000008</v>
      </c>
      <c r="AW631" s="308">
        <v>6.4436999999999998</v>
      </c>
      <c r="AX631" s="308">
        <v>0</v>
      </c>
      <c r="AY631" s="308">
        <v>5.4656000000000002</v>
      </c>
      <c r="AZ631" s="308">
        <v>6.9272999999999998</v>
      </c>
      <c r="BA631" s="308">
        <v>0</v>
      </c>
      <c r="BB631" s="308">
        <v>0</v>
      </c>
      <c r="BC631" s="308">
        <v>6.4394</v>
      </c>
      <c r="BD631" s="308">
        <v>5.9448999999999996</v>
      </c>
      <c r="BE631" s="308">
        <v>7.2369000000000003</v>
      </c>
      <c r="BF631" s="308">
        <v>6.8788</v>
      </c>
      <c r="BG631" s="308">
        <v>6.2563000000000004</v>
      </c>
      <c r="BH631" s="308">
        <v>8.1304999999999996</v>
      </c>
      <c r="BI631" s="308">
        <v>6.8994999999999997</v>
      </c>
      <c r="BJ631" s="308">
        <v>5.5601000000000003</v>
      </c>
      <c r="BK631" s="308">
        <v>5.7812999999999999</v>
      </c>
    </row>
    <row r="632" spans="1:63" x14ac:dyDescent="0.25">
      <c r="A632" s="306">
        <v>333911</v>
      </c>
      <c r="B632" s="308" t="s">
        <v>202</v>
      </c>
      <c r="C632" s="308">
        <v>9.3597000000000001</v>
      </c>
      <c r="D632" s="308">
        <v>0</v>
      </c>
      <c r="E632" s="308">
        <v>10.189399999999999</v>
      </c>
      <c r="F632" s="308">
        <v>7.6571999999999996</v>
      </c>
      <c r="G632" s="308">
        <v>8.3110999999999997</v>
      </c>
      <c r="H632" s="308">
        <v>6.9309000000000003</v>
      </c>
      <c r="I632" s="308">
        <v>9.0429999999999993</v>
      </c>
      <c r="J632" s="308">
        <v>5.4810999999999996</v>
      </c>
      <c r="K632" s="308">
        <v>0</v>
      </c>
      <c r="L632" s="308">
        <v>5.7319000000000004</v>
      </c>
      <c r="M632" s="308">
        <v>7.3464999999999998</v>
      </c>
      <c r="N632" s="308">
        <v>7.2991999999999999</v>
      </c>
      <c r="O632" s="308">
        <v>0</v>
      </c>
      <c r="P632" s="308">
        <v>7.0288000000000004</v>
      </c>
      <c r="Q632" s="308">
        <v>0</v>
      </c>
      <c r="R632" s="308">
        <v>7.5091999999999999</v>
      </c>
      <c r="S632" s="308">
        <v>8.8293999999999997</v>
      </c>
      <c r="T632" s="308">
        <v>7.4752000000000001</v>
      </c>
      <c r="U632" s="308">
        <v>8.4002999999999997</v>
      </c>
      <c r="V632" s="308">
        <v>6.9409999999999998</v>
      </c>
      <c r="W632" s="308">
        <v>5.8765000000000001</v>
      </c>
      <c r="X632" s="308">
        <v>5.0278999999999998</v>
      </c>
      <c r="Y632" s="308">
        <v>5.3951000000000002</v>
      </c>
      <c r="Z632" s="308">
        <v>8.2448999999999995</v>
      </c>
      <c r="AA632" s="308">
        <v>7.2735000000000003</v>
      </c>
      <c r="AB632" s="308">
        <v>7.2163000000000004</v>
      </c>
      <c r="AC632" s="308">
        <v>8.1286000000000005</v>
      </c>
      <c r="AD632" s="308">
        <v>7.8841000000000001</v>
      </c>
      <c r="AE632" s="308">
        <v>6.8818999999999999</v>
      </c>
      <c r="AF632" s="308">
        <v>0</v>
      </c>
      <c r="AG632" s="308">
        <v>7.2645</v>
      </c>
      <c r="AH632" s="308">
        <v>9.0058000000000007</v>
      </c>
      <c r="AI632" s="308">
        <v>5.0395000000000003</v>
      </c>
      <c r="AJ632" s="308">
        <v>7.6585000000000001</v>
      </c>
      <c r="AK632" s="308">
        <v>5.8594999999999997</v>
      </c>
      <c r="AL632" s="308">
        <v>5.6738</v>
      </c>
      <c r="AM632" s="308">
        <v>8.6519999999999992</v>
      </c>
      <c r="AN632" s="308">
        <v>7.7337999999999996</v>
      </c>
      <c r="AO632" s="308">
        <v>7.6696</v>
      </c>
      <c r="AP632" s="308">
        <v>8.4253999999999998</v>
      </c>
      <c r="AQ632" s="308">
        <v>7.9659000000000004</v>
      </c>
      <c r="AR632" s="308">
        <v>8.3955000000000002</v>
      </c>
      <c r="AS632" s="308">
        <v>7.8045999999999998</v>
      </c>
      <c r="AT632" s="308">
        <v>9.1847999999999992</v>
      </c>
      <c r="AU632" s="308">
        <v>7.9648000000000003</v>
      </c>
      <c r="AV632" s="308">
        <v>8.0870999999999995</v>
      </c>
      <c r="AW632" s="308">
        <v>5.7291999999999996</v>
      </c>
      <c r="AX632" s="308">
        <v>6.2896999999999998</v>
      </c>
      <c r="AY632" s="308">
        <v>6.5856000000000003</v>
      </c>
      <c r="AZ632" s="308">
        <v>8.1138999999999992</v>
      </c>
      <c r="BA632" s="308">
        <v>7.4908000000000001</v>
      </c>
      <c r="BB632" s="308">
        <v>7.5319000000000003</v>
      </c>
      <c r="BC632" s="308">
        <v>6.8127000000000004</v>
      </c>
      <c r="BD632" s="308">
        <v>7.0907999999999998</v>
      </c>
      <c r="BE632" s="308">
        <v>8.5196000000000005</v>
      </c>
      <c r="BF632" s="308">
        <v>7.8948</v>
      </c>
      <c r="BG632" s="308">
        <v>7.2176999999999998</v>
      </c>
      <c r="BH632" s="308">
        <v>9.5448000000000004</v>
      </c>
      <c r="BI632" s="308">
        <v>8.0157000000000007</v>
      </c>
      <c r="BJ632" s="308">
        <v>7.2746000000000004</v>
      </c>
      <c r="BK632" s="308">
        <v>7.2266000000000004</v>
      </c>
    </row>
    <row r="633" spans="1:63" x14ac:dyDescent="0.25">
      <c r="A633" s="306">
        <v>333912</v>
      </c>
      <c r="B633" s="308" t="s">
        <v>203</v>
      </c>
      <c r="C633" s="308">
        <v>9.9938000000000002</v>
      </c>
      <c r="D633" s="308">
        <v>0</v>
      </c>
      <c r="E633" s="308">
        <v>9.3156999999999996</v>
      </c>
      <c r="F633" s="308">
        <v>7.984</v>
      </c>
      <c r="G633" s="308">
        <v>0</v>
      </c>
      <c r="H633" s="308">
        <v>8.0752000000000006</v>
      </c>
      <c r="I633" s="308">
        <v>7.2603</v>
      </c>
      <c r="J633" s="308">
        <v>6.3320999999999996</v>
      </c>
      <c r="K633" s="308">
        <v>0</v>
      </c>
      <c r="L633" s="308">
        <v>0</v>
      </c>
      <c r="M633" s="308">
        <v>7.7016999999999998</v>
      </c>
      <c r="N633" s="308">
        <v>8.1097999999999999</v>
      </c>
      <c r="O633" s="308">
        <v>0</v>
      </c>
      <c r="P633" s="308">
        <v>8.9024999999999999</v>
      </c>
      <c r="Q633" s="308">
        <v>0</v>
      </c>
      <c r="R633" s="308">
        <v>7.8116000000000003</v>
      </c>
      <c r="S633" s="308">
        <v>8.7026000000000003</v>
      </c>
      <c r="T633" s="308">
        <v>7.3190999999999997</v>
      </c>
      <c r="U633" s="308">
        <v>9.0379000000000005</v>
      </c>
      <c r="V633" s="308">
        <v>7.9736000000000002</v>
      </c>
      <c r="W633" s="308">
        <v>6.5147000000000004</v>
      </c>
      <c r="X633" s="308">
        <v>6.0877999999999997</v>
      </c>
      <c r="Y633" s="308">
        <v>0</v>
      </c>
      <c r="Z633" s="308">
        <v>8.5505999999999993</v>
      </c>
      <c r="AA633" s="308">
        <v>8.4283999999999999</v>
      </c>
      <c r="AB633" s="308">
        <v>7.9179000000000004</v>
      </c>
      <c r="AC633" s="308">
        <v>7.3973000000000004</v>
      </c>
      <c r="AD633" s="308">
        <v>0</v>
      </c>
      <c r="AE633" s="308">
        <v>7.3380999999999998</v>
      </c>
      <c r="AF633" s="308">
        <v>0</v>
      </c>
      <c r="AG633" s="308">
        <v>6.1889000000000003</v>
      </c>
      <c r="AH633" s="308">
        <v>8.1423000000000005</v>
      </c>
      <c r="AI633" s="308">
        <v>5.7054</v>
      </c>
      <c r="AJ633" s="308">
        <v>6.9385000000000003</v>
      </c>
      <c r="AK633" s="308">
        <v>8.2912999999999997</v>
      </c>
      <c r="AL633" s="308">
        <v>6.0724999999999998</v>
      </c>
      <c r="AM633" s="308">
        <v>8.4998000000000005</v>
      </c>
      <c r="AN633" s="308">
        <v>8.3633000000000006</v>
      </c>
      <c r="AO633" s="308">
        <v>8.3373000000000008</v>
      </c>
      <c r="AP633" s="308">
        <v>8.4992000000000001</v>
      </c>
      <c r="AQ633" s="308">
        <v>5.5820999999999996</v>
      </c>
      <c r="AR633" s="308">
        <v>9.5595999999999997</v>
      </c>
      <c r="AS633" s="308">
        <v>7.7846000000000002</v>
      </c>
      <c r="AT633" s="308">
        <v>10.1418</v>
      </c>
      <c r="AU633" s="308">
        <v>7.4806999999999997</v>
      </c>
      <c r="AV633" s="308">
        <v>10.866099999999999</v>
      </c>
      <c r="AW633" s="308">
        <v>8.6580999999999992</v>
      </c>
      <c r="AX633" s="308">
        <v>0</v>
      </c>
      <c r="AY633" s="308">
        <v>7.9066999999999998</v>
      </c>
      <c r="AZ633" s="308">
        <v>8.9529999999999994</v>
      </c>
      <c r="BA633" s="308">
        <v>8.0032999999999994</v>
      </c>
      <c r="BB633" s="308">
        <v>0</v>
      </c>
      <c r="BC633" s="308">
        <v>7.5640000000000001</v>
      </c>
      <c r="BD633" s="308">
        <v>7.6039000000000003</v>
      </c>
      <c r="BE633" s="308">
        <v>8.9214000000000002</v>
      </c>
      <c r="BF633" s="308">
        <v>8.7471999999999994</v>
      </c>
      <c r="BG633" s="308">
        <v>7.8475000000000001</v>
      </c>
      <c r="BH633" s="308">
        <v>10.1952</v>
      </c>
      <c r="BI633" s="308">
        <v>8.0127000000000006</v>
      </c>
      <c r="BJ633" s="308">
        <v>8.4205000000000005</v>
      </c>
      <c r="BK633" s="308">
        <v>8.298</v>
      </c>
    </row>
    <row r="634" spans="1:63" x14ac:dyDescent="0.25">
      <c r="A634" s="306">
        <v>333920</v>
      </c>
      <c r="B634" s="308" t="s">
        <v>204</v>
      </c>
      <c r="C634" s="308">
        <v>10.803900000000001</v>
      </c>
      <c r="D634" s="308">
        <v>7.4078999999999997</v>
      </c>
      <c r="E634" s="308">
        <v>9.8445999999999998</v>
      </c>
      <c r="F634" s="308">
        <v>9.9283999999999999</v>
      </c>
      <c r="G634" s="308">
        <v>9.1974</v>
      </c>
      <c r="H634" s="308">
        <v>8.7386999999999997</v>
      </c>
      <c r="I634" s="308">
        <v>7.4419000000000004</v>
      </c>
      <c r="J634" s="308">
        <v>6.5126999999999997</v>
      </c>
      <c r="K634" s="308">
        <v>0.88360000000000005</v>
      </c>
      <c r="L634" s="308">
        <v>5.2275</v>
      </c>
      <c r="M634" s="308">
        <v>8.2055000000000007</v>
      </c>
      <c r="N634" s="308">
        <v>8.7956000000000003</v>
      </c>
      <c r="O634" s="308">
        <v>0</v>
      </c>
      <c r="P634" s="308">
        <v>8.6553000000000004</v>
      </c>
      <c r="Q634" s="308">
        <v>8.5861000000000001</v>
      </c>
      <c r="R634" s="308">
        <v>9.0111000000000008</v>
      </c>
      <c r="S634" s="308">
        <v>9.7964000000000002</v>
      </c>
      <c r="T634" s="308">
        <v>8.2448999999999995</v>
      </c>
      <c r="U634" s="308">
        <v>8.9824000000000002</v>
      </c>
      <c r="V634" s="308">
        <v>7.5388999999999999</v>
      </c>
      <c r="W634" s="308">
        <v>6.4062000000000001</v>
      </c>
      <c r="X634" s="308">
        <v>5.5408999999999997</v>
      </c>
      <c r="Y634" s="308">
        <v>7.9965999999999999</v>
      </c>
      <c r="Z634" s="308">
        <v>8.4521999999999995</v>
      </c>
      <c r="AA634" s="308">
        <v>9.048</v>
      </c>
      <c r="AB634" s="308">
        <v>7.8417000000000003</v>
      </c>
      <c r="AC634" s="308">
        <v>8.6234000000000002</v>
      </c>
      <c r="AD634" s="308">
        <v>0</v>
      </c>
      <c r="AE634" s="308">
        <v>8.5009999999999994</v>
      </c>
      <c r="AF634" s="308">
        <v>7.7091000000000003</v>
      </c>
      <c r="AG634" s="308">
        <v>8.4856999999999996</v>
      </c>
      <c r="AH634" s="308">
        <v>6.7846000000000002</v>
      </c>
      <c r="AI634" s="308">
        <v>6.0681000000000003</v>
      </c>
      <c r="AJ634" s="308">
        <v>7.8624000000000001</v>
      </c>
      <c r="AK634" s="308">
        <v>8.2142999999999997</v>
      </c>
      <c r="AL634" s="308">
        <v>6.8231999999999999</v>
      </c>
      <c r="AM634" s="308">
        <v>9.7072000000000003</v>
      </c>
      <c r="AN634" s="308">
        <v>9.1197999999999997</v>
      </c>
      <c r="AO634" s="308">
        <v>8.3124000000000002</v>
      </c>
      <c r="AP634" s="308">
        <v>9.0954999999999995</v>
      </c>
      <c r="AQ634" s="308">
        <v>8.0405999999999995</v>
      </c>
      <c r="AR634" s="308">
        <v>9.4700000000000006</v>
      </c>
      <c r="AS634" s="308">
        <v>7.0648999999999997</v>
      </c>
      <c r="AT634" s="308">
        <v>9.3210999999999995</v>
      </c>
      <c r="AU634" s="308">
        <v>8.4520999999999997</v>
      </c>
      <c r="AV634" s="308">
        <v>9.4824999999999999</v>
      </c>
      <c r="AW634" s="308">
        <v>7.6544999999999996</v>
      </c>
      <c r="AX634" s="308">
        <v>0</v>
      </c>
      <c r="AY634" s="308">
        <v>7.4358000000000004</v>
      </c>
      <c r="AZ634" s="308">
        <v>8.7972999999999999</v>
      </c>
      <c r="BA634" s="308">
        <v>8.3803999999999998</v>
      </c>
      <c r="BB634" s="308">
        <v>0</v>
      </c>
      <c r="BC634" s="308">
        <v>7.3951000000000002</v>
      </c>
      <c r="BD634" s="308">
        <v>8.2117000000000004</v>
      </c>
      <c r="BE634" s="308">
        <v>9.7297999999999991</v>
      </c>
      <c r="BF634" s="308">
        <v>9.3964999999999996</v>
      </c>
      <c r="BG634" s="308">
        <v>8.9001999999999999</v>
      </c>
      <c r="BH634" s="308">
        <v>10.0336</v>
      </c>
      <c r="BI634" s="308">
        <v>9.3017000000000003</v>
      </c>
      <c r="BJ634" s="308">
        <v>8.0277999999999992</v>
      </c>
      <c r="BK634" s="308">
        <v>8.3737999999999992</v>
      </c>
    </row>
    <row r="635" spans="1:63" x14ac:dyDescent="0.25">
      <c r="A635" s="306">
        <v>333991</v>
      </c>
      <c r="B635" s="308" t="s">
        <v>205</v>
      </c>
      <c r="C635" s="308">
        <v>7.7159000000000004</v>
      </c>
      <c r="D635" s="308">
        <v>0</v>
      </c>
      <c r="E635" s="308">
        <v>7.9340999999999999</v>
      </c>
      <c r="F635" s="308">
        <v>7.2662000000000004</v>
      </c>
      <c r="G635" s="308">
        <v>3.9891000000000001</v>
      </c>
      <c r="H635" s="308">
        <v>5.8834</v>
      </c>
      <c r="I635" s="308">
        <v>5.0483000000000002</v>
      </c>
      <c r="J635" s="308">
        <v>5.8314000000000004</v>
      </c>
      <c r="K635" s="308">
        <v>0</v>
      </c>
      <c r="L635" s="308">
        <v>0</v>
      </c>
      <c r="M635" s="308">
        <v>5.4805000000000001</v>
      </c>
      <c r="N635" s="308">
        <v>6.1222000000000003</v>
      </c>
      <c r="O635" s="308">
        <v>0</v>
      </c>
      <c r="P635" s="308">
        <v>6.8409000000000004</v>
      </c>
      <c r="Q635" s="308">
        <v>4.2923999999999998</v>
      </c>
      <c r="R635" s="308">
        <v>7.0270999999999999</v>
      </c>
      <c r="S635" s="308">
        <v>6.0663</v>
      </c>
      <c r="T635" s="308">
        <v>3.9767000000000001</v>
      </c>
      <c r="U635" s="308">
        <v>0</v>
      </c>
      <c r="V635" s="308">
        <v>4.8587999999999996</v>
      </c>
      <c r="W635" s="308">
        <v>4.1844000000000001</v>
      </c>
      <c r="X635" s="308">
        <v>3.3256999999999999</v>
      </c>
      <c r="Y635" s="308">
        <v>0</v>
      </c>
      <c r="Z635" s="308">
        <v>6.2934000000000001</v>
      </c>
      <c r="AA635" s="308">
        <v>6.3310000000000004</v>
      </c>
      <c r="AB635" s="308">
        <v>5.5872000000000002</v>
      </c>
      <c r="AC635" s="308">
        <v>6.2736999999999998</v>
      </c>
      <c r="AD635" s="308">
        <v>0</v>
      </c>
      <c r="AE635" s="308">
        <v>6.2736000000000001</v>
      </c>
      <c r="AF635" s="308">
        <v>0</v>
      </c>
      <c r="AG635" s="308">
        <v>5.8997000000000002</v>
      </c>
      <c r="AH635" s="308">
        <v>0</v>
      </c>
      <c r="AI635" s="308">
        <v>5.1092000000000004</v>
      </c>
      <c r="AJ635" s="308">
        <v>0</v>
      </c>
      <c r="AK635" s="308">
        <v>4.516</v>
      </c>
      <c r="AL635" s="308">
        <v>4.3570000000000002</v>
      </c>
      <c r="AM635" s="308">
        <v>6.2515999999999998</v>
      </c>
      <c r="AN635" s="308">
        <v>7.1551999999999998</v>
      </c>
      <c r="AO635" s="308">
        <v>5.7682000000000002</v>
      </c>
      <c r="AP635" s="308">
        <v>6.6433</v>
      </c>
      <c r="AQ635" s="308">
        <v>5.8475000000000001</v>
      </c>
      <c r="AR635" s="308">
        <v>6.3287000000000004</v>
      </c>
      <c r="AS635" s="308">
        <v>0</v>
      </c>
      <c r="AT635" s="308">
        <v>7.1984000000000004</v>
      </c>
      <c r="AU635" s="308">
        <v>5.8894000000000002</v>
      </c>
      <c r="AV635" s="308">
        <v>0</v>
      </c>
      <c r="AW635" s="308">
        <v>5.3018000000000001</v>
      </c>
      <c r="AX635" s="308">
        <v>5.9089999999999998</v>
      </c>
      <c r="AY635" s="308">
        <v>3.9729999999999999</v>
      </c>
      <c r="AZ635" s="308">
        <v>5.7428999999999997</v>
      </c>
      <c r="BA635" s="308">
        <v>0</v>
      </c>
      <c r="BB635" s="308">
        <v>0</v>
      </c>
      <c r="BC635" s="308">
        <v>5.4904999999999999</v>
      </c>
      <c r="BD635" s="308">
        <v>5.8642000000000003</v>
      </c>
      <c r="BE635" s="308">
        <v>6.5174000000000003</v>
      </c>
      <c r="BF635" s="308">
        <v>6.4875999999999996</v>
      </c>
      <c r="BG635" s="308">
        <v>5.8292000000000002</v>
      </c>
      <c r="BH635" s="308">
        <v>7.7874999999999996</v>
      </c>
      <c r="BI635" s="308">
        <v>7.2454999999999998</v>
      </c>
      <c r="BJ635" s="308">
        <v>5.0690999999999997</v>
      </c>
      <c r="BK635" s="308">
        <v>5.1989999999999998</v>
      </c>
    </row>
    <row r="636" spans="1:63" x14ac:dyDescent="0.25">
      <c r="A636" s="306">
        <v>333993</v>
      </c>
      <c r="B636" s="308" t="s">
        <v>207</v>
      </c>
      <c r="C636" s="308">
        <v>11.2143</v>
      </c>
      <c r="D636" s="308">
        <v>0</v>
      </c>
      <c r="E636" s="308">
        <v>9.4969000000000001</v>
      </c>
      <c r="F636" s="308">
        <v>9.2089999999999996</v>
      </c>
      <c r="G636" s="308">
        <v>10.5769</v>
      </c>
      <c r="H636" s="308">
        <v>9.6105999999999998</v>
      </c>
      <c r="I636" s="308">
        <v>9.9171999999999993</v>
      </c>
      <c r="J636" s="308">
        <v>8.0736000000000008</v>
      </c>
      <c r="K636" s="308">
        <v>0</v>
      </c>
      <c r="L636" s="308">
        <v>0</v>
      </c>
      <c r="M636" s="308">
        <v>9.2172999999999998</v>
      </c>
      <c r="N636" s="308">
        <v>8.9114000000000004</v>
      </c>
      <c r="O636" s="308">
        <v>0</v>
      </c>
      <c r="P636" s="308">
        <v>7.5777000000000001</v>
      </c>
      <c r="Q636" s="308">
        <v>0</v>
      </c>
      <c r="R636" s="308">
        <v>8.6524999999999999</v>
      </c>
      <c r="S636" s="308">
        <v>11.8126</v>
      </c>
      <c r="T636" s="308">
        <v>9.0523000000000007</v>
      </c>
      <c r="U636" s="308">
        <v>8.8931000000000004</v>
      </c>
      <c r="V636" s="308">
        <v>9.4664000000000001</v>
      </c>
      <c r="W636" s="308">
        <v>8.4024999999999999</v>
      </c>
      <c r="X636" s="308">
        <v>6.2313999999999998</v>
      </c>
      <c r="Y636" s="308">
        <v>8.9056999999999995</v>
      </c>
      <c r="Z636" s="308">
        <v>9.6793999999999993</v>
      </c>
      <c r="AA636" s="308">
        <v>9.5432000000000006</v>
      </c>
      <c r="AB636" s="308">
        <v>9.0915999999999997</v>
      </c>
      <c r="AC636" s="308">
        <v>7.1814999999999998</v>
      </c>
      <c r="AD636" s="308">
        <v>10.0403</v>
      </c>
      <c r="AE636" s="308">
        <v>8.9971999999999994</v>
      </c>
      <c r="AF636" s="308">
        <v>8.3535000000000004</v>
      </c>
      <c r="AG636" s="308">
        <v>8.0914999999999999</v>
      </c>
      <c r="AH636" s="308">
        <v>9.3132999999999999</v>
      </c>
      <c r="AI636" s="308">
        <v>7.5796999999999999</v>
      </c>
      <c r="AJ636" s="308">
        <v>9.5944000000000003</v>
      </c>
      <c r="AK636" s="308">
        <v>9.7886000000000006</v>
      </c>
      <c r="AL636" s="308">
        <v>8.3710000000000004</v>
      </c>
      <c r="AM636" s="308">
        <v>10.223599999999999</v>
      </c>
      <c r="AN636" s="308">
        <v>11.6104</v>
      </c>
      <c r="AO636" s="308">
        <v>11.3201</v>
      </c>
      <c r="AP636" s="308">
        <v>9.9330999999999996</v>
      </c>
      <c r="AQ636" s="308">
        <v>0</v>
      </c>
      <c r="AR636" s="308">
        <v>10.0649</v>
      </c>
      <c r="AS636" s="308">
        <v>0</v>
      </c>
      <c r="AT636" s="308">
        <v>11.6136</v>
      </c>
      <c r="AU636" s="308">
        <v>10.354100000000001</v>
      </c>
      <c r="AV636" s="308">
        <v>11.0907</v>
      </c>
      <c r="AW636" s="308">
        <v>7.7107000000000001</v>
      </c>
      <c r="AX636" s="308">
        <v>0</v>
      </c>
      <c r="AY636" s="308">
        <v>8.7853999999999992</v>
      </c>
      <c r="AZ636" s="308">
        <v>9.6201000000000008</v>
      </c>
      <c r="BA636" s="308">
        <v>0</v>
      </c>
      <c r="BB636" s="308">
        <v>0</v>
      </c>
      <c r="BC636" s="308">
        <v>9.3854000000000006</v>
      </c>
      <c r="BD636" s="308">
        <v>9.2516999999999996</v>
      </c>
      <c r="BE636" s="308">
        <v>9.8301999999999996</v>
      </c>
      <c r="BF636" s="308">
        <v>9.5845000000000002</v>
      </c>
      <c r="BG636" s="308">
        <v>9.5263000000000009</v>
      </c>
      <c r="BH636" s="308">
        <v>9.7513000000000005</v>
      </c>
      <c r="BI636" s="308">
        <v>10.544499999999999</v>
      </c>
      <c r="BJ636" s="308">
        <v>10.0661</v>
      </c>
      <c r="BK636" s="308">
        <v>9.7216000000000005</v>
      </c>
    </row>
    <row r="637" spans="1:63" x14ac:dyDescent="0.25">
      <c r="A637" s="306">
        <v>333994</v>
      </c>
      <c r="B637" s="308" t="s">
        <v>208</v>
      </c>
      <c r="C637" s="308">
        <v>10.9099</v>
      </c>
      <c r="D637" s="308">
        <v>0</v>
      </c>
      <c r="E637" s="308">
        <v>10.2918</v>
      </c>
      <c r="F637" s="308">
        <v>0</v>
      </c>
      <c r="G637" s="308">
        <v>11.145799999999999</v>
      </c>
      <c r="H637" s="308">
        <v>8.8168000000000006</v>
      </c>
      <c r="I637" s="308">
        <v>8.3058999999999994</v>
      </c>
      <c r="J637" s="308">
        <v>9.4579000000000004</v>
      </c>
      <c r="K637" s="308">
        <v>0</v>
      </c>
      <c r="L637" s="308">
        <v>0</v>
      </c>
      <c r="M637" s="308">
        <v>11.9947</v>
      </c>
      <c r="N637" s="308">
        <v>8.8477999999999994</v>
      </c>
      <c r="O637" s="308">
        <v>0</v>
      </c>
      <c r="P637" s="308">
        <v>9.5404999999999998</v>
      </c>
      <c r="Q637" s="308">
        <v>8.3495000000000008</v>
      </c>
      <c r="R637" s="308">
        <v>9.8735999999999997</v>
      </c>
      <c r="S637" s="308">
        <v>10.2235</v>
      </c>
      <c r="T637" s="308">
        <v>9.2234999999999996</v>
      </c>
      <c r="U637" s="308">
        <v>9.6473999999999993</v>
      </c>
      <c r="V637" s="308">
        <v>11.7615</v>
      </c>
      <c r="W637" s="308">
        <v>8.9352</v>
      </c>
      <c r="X637" s="308">
        <v>8.0876999999999999</v>
      </c>
      <c r="Y637" s="308">
        <v>0</v>
      </c>
      <c r="Z637" s="308">
        <v>8.9494000000000007</v>
      </c>
      <c r="AA637" s="308">
        <v>8.0980000000000008</v>
      </c>
      <c r="AB637" s="308">
        <v>10.914300000000001</v>
      </c>
      <c r="AC637" s="308">
        <v>0</v>
      </c>
      <c r="AD637" s="308">
        <v>0</v>
      </c>
      <c r="AE637" s="308">
        <v>8.2464999999999993</v>
      </c>
      <c r="AF637" s="308">
        <v>0</v>
      </c>
      <c r="AG637" s="308">
        <v>0</v>
      </c>
      <c r="AH637" s="308">
        <v>6.7404999999999999</v>
      </c>
      <c r="AI637" s="308">
        <v>6.6711999999999998</v>
      </c>
      <c r="AJ637" s="308">
        <v>0</v>
      </c>
      <c r="AK637" s="308">
        <v>10.8017</v>
      </c>
      <c r="AL637" s="308">
        <v>8.0455000000000005</v>
      </c>
      <c r="AM637" s="308">
        <v>9.6332000000000004</v>
      </c>
      <c r="AN637" s="308">
        <v>8.4674999999999994</v>
      </c>
      <c r="AO637" s="308">
        <v>7.3853</v>
      </c>
      <c r="AP637" s="308">
        <v>10.4458</v>
      </c>
      <c r="AQ637" s="308">
        <v>9.6892999999999994</v>
      </c>
      <c r="AR637" s="308">
        <v>12.464700000000001</v>
      </c>
      <c r="AS637" s="308">
        <v>0</v>
      </c>
      <c r="AT637" s="308">
        <v>11.8879</v>
      </c>
      <c r="AU637" s="308">
        <v>11.2753</v>
      </c>
      <c r="AV637" s="308">
        <v>0</v>
      </c>
      <c r="AW637" s="308">
        <v>0</v>
      </c>
      <c r="AX637" s="308">
        <v>0</v>
      </c>
      <c r="AY637" s="308">
        <v>6.6623999999999999</v>
      </c>
      <c r="AZ637" s="308">
        <v>9.3855000000000004</v>
      </c>
      <c r="BA637" s="308">
        <v>10.6751</v>
      </c>
      <c r="BB637" s="308">
        <v>0</v>
      </c>
      <c r="BC637" s="308">
        <v>9.6653000000000002</v>
      </c>
      <c r="BD637" s="308">
        <v>9.1905999999999999</v>
      </c>
      <c r="BE637" s="308">
        <v>9.8460000000000001</v>
      </c>
      <c r="BF637" s="308">
        <v>10.6189</v>
      </c>
      <c r="BG637" s="308">
        <v>10.186400000000001</v>
      </c>
      <c r="BH637" s="308">
        <v>10.6759</v>
      </c>
      <c r="BI637" s="308">
        <v>9.5654000000000003</v>
      </c>
      <c r="BJ637" s="308">
        <v>10.299200000000001</v>
      </c>
      <c r="BK637" s="308">
        <v>8.7245000000000008</v>
      </c>
    </row>
    <row r="638" spans="1:63" x14ac:dyDescent="0.25">
      <c r="A638" s="306" t="s">
        <v>734</v>
      </c>
      <c r="B638" s="308" t="s">
        <v>206</v>
      </c>
      <c r="C638" s="308">
        <v>10.4581</v>
      </c>
      <c r="D638" s="308">
        <v>8.02</v>
      </c>
      <c r="E638" s="308">
        <v>10.0579</v>
      </c>
      <c r="F638" s="308">
        <v>10.039099999999999</v>
      </c>
      <c r="G638" s="308">
        <v>9.5137999999999998</v>
      </c>
      <c r="H638" s="308">
        <v>8.2292000000000005</v>
      </c>
      <c r="I638" s="308">
        <v>7.9790000000000001</v>
      </c>
      <c r="J638" s="308">
        <v>7.2301000000000002</v>
      </c>
      <c r="K638" s="308">
        <v>0</v>
      </c>
      <c r="L638" s="308">
        <v>5.3712999999999997</v>
      </c>
      <c r="M638" s="308">
        <v>8.0225000000000009</v>
      </c>
      <c r="N638" s="308">
        <v>9.3858999999999995</v>
      </c>
      <c r="O638" s="308">
        <v>0</v>
      </c>
      <c r="P638" s="308">
        <v>9.5564999999999998</v>
      </c>
      <c r="Q638" s="308">
        <v>8.9801000000000002</v>
      </c>
      <c r="R638" s="308">
        <v>9.2772000000000006</v>
      </c>
      <c r="S638" s="308">
        <v>9.8886000000000003</v>
      </c>
      <c r="T638" s="308">
        <v>8.9532000000000007</v>
      </c>
      <c r="U638" s="308">
        <v>8.3853000000000009</v>
      </c>
      <c r="V638" s="308">
        <v>7.6142000000000003</v>
      </c>
      <c r="W638" s="308">
        <v>6.9165000000000001</v>
      </c>
      <c r="X638" s="308">
        <v>7.4516</v>
      </c>
      <c r="Y638" s="308">
        <v>9.8053000000000008</v>
      </c>
      <c r="Z638" s="308">
        <v>8.3257999999999992</v>
      </c>
      <c r="AA638" s="308">
        <v>8.9573</v>
      </c>
      <c r="AB638" s="308">
        <v>7.8037999999999998</v>
      </c>
      <c r="AC638" s="308">
        <v>9.1934000000000005</v>
      </c>
      <c r="AD638" s="308">
        <v>8.6867000000000001</v>
      </c>
      <c r="AE638" s="308">
        <v>8.5248000000000008</v>
      </c>
      <c r="AF638" s="308">
        <v>0</v>
      </c>
      <c r="AG638" s="308">
        <v>9.3012999999999995</v>
      </c>
      <c r="AH638" s="308">
        <v>8.3080999999999996</v>
      </c>
      <c r="AI638" s="308">
        <v>7.1558000000000002</v>
      </c>
      <c r="AJ638" s="308">
        <v>8.4303000000000008</v>
      </c>
      <c r="AK638" s="308">
        <v>7.9955999999999996</v>
      </c>
      <c r="AL638" s="308">
        <v>6.4981999999999998</v>
      </c>
      <c r="AM638" s="308">
        <v>8.7208000000000006</v>
      </c>
      <c r="AN638" s="308">
        <v>10.587199999999999</v>
      </c>
      <c r="AO638" s="308">
        <v>8.8447999999999993</v>
      </c>
      <c r="AP638" s="308">
        <v>9.0776000000000003</v>
      </c>
      <c r="AQ638" s="308">
        <v>7.6479999999999997</v>
      </c>
      <c r="AR638" s="308">
        <v>10.2536</v>
      </c>
      <c r="AS638" s="308">
        <v>8.6272000000000002</v>
      </c>
      <c r="AT638" s="308">
        <v>8.7141000000000002</v>
      </c>
      <c r="AU638" s="308">
        <v>8.9527999999999999</v>
      </c>
      <c r="AV638" s="308">
        <v>10.6868</v>
      </c>
      <c r="AW638" s="308">
        <v>8.5533000000000001</v>
      </c>
      <c r="AX638" s="308">
        <v>7.7614000000000001</v>
      </c>
      <c r="AY638" s="308">
        <v>8.0703999999999994</v>
      </c>
      <c r="AZ638" s="308">
        <v>9.8542000000000005</v>
      </c>
      <c r="BA638" s="308">
        <v>8.6555999999999997</v>
      </c>
      <c r="BB638" s="308">
        <v>6.0708000000000002</v>
      </c>
      <c r="BC638" s="308">
        <v>8.2677999999999994</v>
      </c>
      <c r="BD638" s="308">
        <v>8.1930999999999994</v>
      </c>
      <c r="BE638" s="308">
        <v>9.4869000000000003</v>
      </c>
      <c r="BF638" s="308">
        <v>9.0935000000000006</v>
      </c>
      <c r="BG638" s="308">
        <v>9.2364999999999995</v>
      </c>
      <c r="BH638" s="308">
        <v>9.4231999999999996</v>
      </c>
      <c r="BI638" s="308">
        <v>9.3486999999999991</v>
      </c>
      <c r="BJ638" s="308">
        <v>8.9603999999999999</v>
      </c>
      <c r="BK638" s="308">
        <v>8.4740000000000002</v>
      </c>
    </row>
    <row r="639" spans="1:63" x14ac:dyDescent="0.25">
      <c r="A639" s="306" t="s">
        <v>735</v>
      </c>
      <c r="B639" s="308" t="s">
        <v>736</v>
      </c>
      <c r="C639" s="308">
        <v>10.2828</v>
      </c>
      <c r="D639" s="308">
        <v>0</v>
      </c>
      <c r="E639" s="308">
        <v>9.9003999999999994</v>
      </c>
      <c r="F639" s="308">
        <v>8.9077000000000002</v>
      </c>
      <c r="G639" s="308">
        <v>10.4107</v>
      </c>
      <c r="H639" s="308">
        <v>6.8906000000000001</v>
      </c>
      <c r="I639" s="308">
        <v>7.1125999999999996</v>
      </c>
      <c r="J639" s="308">
        <v>7.9930000000000003</v>
      </c>
      <c r="K639" s="308">
        <v>0</v>
      </c>
      <c r="L639" s="308">
        <v>9.3727999999999998</v>
      </c>
      <c r="M639" s="308">
        <v>8.7721999999999998</v>
      </c>
      <c r="N639" s="308">
        <v>8.2159999999999993</v>
      </c>
      <c r="O639" s="308">
        <v>0</v>
      </c>
      <c r="P639" s="308">
        <v>9.8053000000000008</v>
      </c>
      <c r="Q639" s="308">
        <v>11.735300000000001</v>
      </c>
      <c r="R639" s="308">
        <v>8.0725999999999996</v>
      </c>
      <c r="S639" s="308">
        <v>9.6516000000000002</v>
      </c>
      <c r="T639" s="308">
        <v>9.0115999999999996</v>
      </c>
      <c r="U639" s="308">
        <v>10.145300000000001</v>
      </c>
      <c r="V639" s="308">
        <v>7.3846999999999996</v>
      </c>
      <c r="W639" s="308">
        <v>6.8605</v>
      </c>
      <c r="X639" s="308">
        <v>0</v>
      </c>
      <c r="Y639" s="308">
        <v>8.7582000000000004</v>
      </c>
      <c r="Z639" s="308">
        <v>9.1681000000000008</v>
      </c>
      <c r="AA639" s="308">
        <v>8.1552000000000007</v>
      </c>
      <c r="AB639" s="308">
        <v>10.741899999999999</v>
      </c>
      <c r="AC639" s="308">
        <v>7.1806000000000001</v>
      </c>
      <c r="AD639" s="308">
        <v>10.995200000000001</v>
      </c>
      <c r="AE639" s="308">
        <v>8.7129999999999992</v>
      </c>
      <c r="AF639" s="308">
        <v>0</v>
      </c>
      <c r="AG639" s="308">
        <v>9.2177000000000007</v>
      </c>
      <c r="AH639" s="308">
        <v>5.7584</v>
      </c>
      <c r="AI639" s="308">
        <v>4.9463999999999997</v>
      </c>
      <c r="AJ639" s="308">
        <v>13.230399999999999</v>
      </c>
      <c r="AK639" s="308">
        <v>10.362399999999999</v>
      </c>
      <c r="AL639" s="308">
        <v>7.1679000000000004</v>
      </c>
      <c r="AM639" s="308">
        <v>9.8413000000000004</v>
      </c>
      <c r="AN639" s="308">
        <v>8.2051999999999996</v>
      </c>
      <c r="AO639" s="308">
        <v>8.7824000000000009</v>
      </c>
      <c r="AP639" s="308">
        <v>9.6664999999999992</v>
      </c>
      <c r="AQ639" s="308">
        <v>0</v>
      </c>
      <c r="AR639" s="308">
        <v>9.7257999999999996</v>
      </c>
      <c r="AS639" s="308">
        <v>8.8482000000000003</v>
      </c>
      <c r="AT639" s="308">
        <v>9.2055000000000007</v>
      </c>
      <c r="AU639" s="308">
        <v>8.9577000000000009</v>
      </c>
      <c r="AV639" s="308">
        <v>9.1035000000000004</v>
      </c>
      <c r="AW639" s="308">
        <v>7.9093999999999998</v>
      </c>
      <c r="AX639" s="308">
        <v>6.6886999999999999</v>
      </c>
      <c r="AY639" s="308">
        <v>7.6022999999999996</v>
      </c>
      <c r="AZ639" s="308">
        <v>9.5444999999999993</v>
      </c>
      <c r="BA639" s="308">
        <v>9.4346999999999994</v>
      </c>
      <c r="BB639" s="308">
        <v>8.6304999999999996</v>
      </c>
      <c r="BC639" s="308">
        <v>8.5728000000000009</v>
      </c>
      <c r="BD639" s="308">
        <v>8.6631999999999998</v>
      </c>
      <c r="BE639" s="308">
        <v>9.3073999999999995</v>
      </c>
      <c r="BF639" s="308">
        <v>9.8225999999999996</v>
      </c>
      <c r="BG639" s="308">
        <v>9.1327999999999996</v>
      </c>
      <c r="BH639" s="308">
        <v>9.7784999999999993</v>
      </c>
      <c r="BI639" s="308">
        <v>9.0269999999999992</v>
      </c>
      <c r="BJ639" s="308">
        <v>7.8326000000000002</v>
      </c>
      <c r="BK639" s="308">
        <v>7.1989000000000001</v>
      </c>
    </row>
    <row r="640" spans="1:63" x14ac:dyDescent="0.25">
      <c r="A640" s="306">
        <v>334111</v>
      </c>
      <c r="B640" s="308" t="s">
        <v>209</v>
      </c>
      <c r="C640" s="308">
        <v>5.0422000000000002</v>
      </c>
      <c r="D640" s="308">
        <v>0</v>
      </c>
      <c r="E640" s="308">
        <v>4.0391000000000004</v>
      </c>
      <c r="F640" s="308">
        <v>0</v>
      </c>
      <c r="G640" s="308">
        <v>3.8428</v>
      </c>
      <c r="H640" s="308">
        <v>3.9798</v>
      </c>
      <c r="I640" s="308">
        <v>4.1599000000000004</v>
      </c>
      <c r="J640" s="308">
        <v>3.5587</v>
      </c>
      <c r="K640" s="308">
        <v>0.34610000000000002</v>
      </c>
      <c r="L640" s="308">
        <v>0</v>
      </c>
      <c r="M640" s="308">
        <v>4.3674999999999997</v>
      </c>
      <c r="N640" s="308">
        <v>4.101</v>
      </c>
      <c r="O640" s="308">
        <v>3.6212</v>
      </c>
      <c r="P640" s="308">
        <v>2.8028</v>
      </c>
      <c r="Q640" s="308">
        <v>4.5750999999999999</v>
      </c>
      <c r="R640" s="308">
        <v>3.7871000000000001</v>
      </c>
      <c r="S640" s="308">
        <v>4.5365000000000002</v>
      </c>
      <c r="T640" s="308">
        <v>2.4786999999999999</v>
      </c>
      <c r="U640" s="308">
        <v>4.1760000000000002</v>
      </c>
      <c r="V640" s="308">
        <v>3.9287000000000001</v>
      </c>
      <c r="W640" s="308">
        <v>3.5773000000000001</v>
      </c>
      <c r="X640" s="308">
        <v>2.4796</v>
      </c>
      <c r="Y640" s="308">
        <v>0</v>
      </c>
      <c r="Z640" s="308">
        <v>4.1368999999999998</v>
      </c>
      <c r="AA640" s="308">
        <v>4.1010999999999997</v>
      </c>
      <c r="AB640" s="308">
        <v>3.7492999999999999</v>
      </c>
      <c r="AC640" s="308">
        <v>3.3894000000000002</v>
      </c>
      <c r="AD640" s="308">
        <v>3.4458000000000002</v>
      </c>
      <c r="AE640" s="308">
        <v>4.4805000000000001</v>
      </c>
      <c r="AF640" s="308">
        <v>3.0674000000000001</v>
      </c>
      <c r="AG640" s="308">
        <v>0</v>
      </c>
      <c r="AH640" s="308">
        <v>3.4350999999999998</v>
      </c>
      <c r="AI640" s="308">
        <v>3.3372000000000002</v>
      </c>
      <c r="AJ640" s="308">
        <v>2.8887</v>
      </c>
      <c r="AK640" s="308">
        <v>4.0191999999999997</v>
      </c>
      <c r="AL640" s="308">
        <v>2.4032</v>
      </c>
      <c r="AM640" s="308">
        <v>5.0632999999999999</v>
      </c>
      <c r="AN640" s="308">
        <v>2.7694999999999999</v>
      </c>
      <c r="AO640" s="308">
        <v>4.3094999999999999</v>
      </c>
      <c r="AP640" s="308">
        <v>3.6634000000000002</v>
      </c>
      <c r="AQ640" s="308">
        <v>0</v>
      </c>
      <c r="AR640" s="308">
        <v>3.7864</v>
      </c>
      <c r="AS640" s="308">
        <v>0</v>
      </c>
      <c r="AT640" s="308">
        <v>4.1970000000000001</v>
      </c>
      <c r="AU640" s="308">
        <v>3.6297999999999999</v>
      </c>
      <c r="AV640" s="308">
        <v>5.0206999999999997</v>
      </c>
      <c r="AW640" s="308">
        <v>3.5949</v>
      </c>
      <c r="AX640" s="308">
        <v>0</v>
      </c>
      <c r="AY640" s="308">
        <v>3.5684999999999998</v>
      </c>
      <c r="AZ640" s="308">
        <v>4.5254000000000003</v>
      </c>
      <c r="BA640" s="308">
        <v>0</v>
      </c>
      <c r="BB640" s="308">
        <v>0</v>
      </c>
      <c r="BC640" s="308">
        <v>4.0347</v>
      </c>
      <c r="BD640" s="308">
        <v>3.2322000000000002</v>
      </c>
      <c r="BE640" s="308">
        <v>4.5053999999999998</v>
      </c>
      <c r="BF640" s="308">
        <v>3.7936999999999999</v>
      </c>
      <c r="BG640" s="308">
        <v>4.5373999999999999</v>
      </c>
      <c r="BH640" s="308">
        <v>4.2304000000000004</v>
      </c>
      <c r="BI640" s="308">
        <v>3.6181999999999999</v>
      </c>
      <c r="BJ640" s="308">
        <v>4.5967000000000002</v>
      </c>
      <c r="BK640" s="308">
        <v>4.1007999999999996</v>
      </c>
    </row>
    <row r="641" spans="1:63" x14ac:dyDescent="0.25">
      <c r="A641" s="306">
        <v>334112</v>
      </c>
      <c r="B641" s="308" t="s">
        <v>210</v>
      </c>
      <c r="C641" s="308">
        <v>7.3102999999999998</v>
      </c>
      <c r="D641" s="308">
        <v>0</v>
      </c>
      <c r="E641" s="308">
        <v>6.6588000000000003</v>
      </c>
      <c r="F641" s="308">
        <v>0</v>
      </c>
      <c r="G641" s="308">
        <v>5.2647000000000004</v>
      </c>
      <c r="H641" s="308">
        <v>5.8681000000000001</v>
      </c>
      <c r="I641" s="308">
        <v>6.0250000000000004</v>
      </c>
      <c r="J641" s="308">
        <v>5.6039000000000003</v>
      </c>
      <c r="K641" s="308">
        <v>0</v>
      </c>
      <c r="L641" s="308">
        <v>0</v>
      </c>
      <c r="M641" s="308">
        <v>7.1226000000000003</v>
      </c>
      <c r="N641" s="308">
        <v>6.1616</v>
      </c>
      <c r="O641" s="308">
        <v>0</v>
      </c>
      <c r="P641" s="308">
        <v>8.8051999999999992</v>
      </c>
      <c r="Q641" s="308">
        <v>4.3388</v>
      </c>
      <c r="R641" s="308">
        <v>5.3826000000000001</v>
      </c>
      <c r="S641" s="308">
        <v>0</v>
      </c>
      <c r="T641" s="308">
        <v>7.7005999999999997</v>
      </c>
      <c r="U641" s="308">
        <v>0</v>
      </c>
      <c r="V641" s="308">
        <v>0</v>
      </c>
      <c r="W641" s="308">
        <v>5.0964</v>
      </c>
      <c r="X641" s="308">
        <v>5.1638000000000002</v>
      </c>
      <c r="Y641" s="308">
        <v>0</v>
      </c>
      <c r="Z641" s="308">
        <v>5.1318000000000001</v>
      </c>
      <c r="AA641" s="308">
        <v>6.2759</v>
      </c>
      <c r="AB641" s="308">
        <v>0</v>
      </c>
      <c r="AC641" s="308">
        <v>0</v>
      </c>
      <c r="AD641" s="308">
        <v>0</v>
      </c>
      <c r="AE641" s="308">
        <v>0</v>
      </c>
      <c r="AF641" s="308">
        <v>0</v>
      </c>
      <c r="AG641" s="308">
        <v>0</v>
      </c>
      <c r="AH641" s="308">
        <v>4.4459999999999997</v>
      </c>
      <c r="AI641" s="308">
        <v>5.7775999999999996</v>
      </c>
      <c r="AJ641" s="308">
        <v>0</v>
      </c>
      <c r="AK641" s="308">
        <v>0</v>
      </c>
      <c r="AL641" s="308">
        <v>5.9077000000000002</v>
      </c>
      <c r="AM641" s="308">
        <v>0</v>
      </c>
      <c r="AN641" s="308">
        <v>6.3007</v>
      </c>
      <c r="AO641" s="308">
        <v>0</v>
      </c>
      <c r="AP641" s="308">
        <v>6.2618</v>
      </c>
      <c r="AQ641" s="308">
        <v>0</v>
      </c>
      <c r="AR641" s="308">
        <v>0</v>
      </c>
      <c r="AS641" s="308">
        <v>5.0404999999999998</v>
      </c>
      <c r="AT641" s="308">
        <v>8.2339000000000002</v>
      </c>
      <c r="AU641" s="308">
        <v>4.9226000000000001</v>
      </c>
      <c r="AV641" s="308">
        <v>6.6760999999999999</v>
      </c>
      <c r="AW641" s="308">
        <v>7.1318000000000001</v>
      </c>
      <c r="AX641" s="308">
        <v>0</v>
      </c>
      <c r="AY641" s="308">
        <v>5.4131999999999998</v>
      </c>
      <c r="AZ641" s="308">
        <v>8.7157999999999998</v>
      </c>
      <c r="BA641" s="308">
        <v>0</v>
      </c>
      <c r="BB641" s="308">
        <v>0</v>
      </c>
      <c r="BC641" s="308">
        <v>5.7392000000000003</v>
      </c>
      <c r="BD641" s="308">
        <v>6.8517999999999999</v>
      </c>
      <c r="BE641" s="308">
        <v>7.9349999999999996</v>
      </c>
      <c r="BF641" s="308">
        <v>6.1302000000000003</v>
      </c>
      <c r="BG641" s="308">
        <v>6.5279999999999996</v>
      </c>
      <c r="BH641" s="308">
        <v>6.9627999999999997</v>
      </c>
      <c r="BI641" s="308">
        <v>6.3169000000000004</v>
      </c>
      <c r="BJ641" s="308">
        <v>5.9717000000000002</v>
      </c>
      <c r="BK641" s="308">
        <v>6.0159000000000002</v>
      </c>
    </row>
    <row r="642" spans="1:63" x14ac:dyDescent="0.25">
      <c r="A642" s="306" t="s">
        <v>737</v>
      </c>
      <c r="B642" s="308" t="s">
        <v>211</v>
      </c>
      <c r="C642" s="308">
        <v>8.3139000000000003</v>
      </c>
      <c r="D642" s="308">
        <v>0</v>
      </c>
      <c r="E642" s="308">
        <v>6.2317999999999998</v>
      </c>
      <c r="F642" s="308">
        <v>8.5099</v>
      </c>
      <c r="G642" s="308">
        <v>5.9724000000000004</v>
      </c>
      <c r="H642" s="308">
        <v>6.1929999999999996</v>
      </c>
      <c r="I642" s="308">
        <v>6.7568999999999999</v>
      </c>
      <c r="J642" s="308">
        <v>6.2742000000000004</v>
      </c>
      <c r="K642" s="308">
        <v>1.0824</v>
      </c>
      <c r="L642" s="308">
        <v>5.4177999999999997</v>
      </c>
      <c r="M642" s="308">
        <v>6.6</v>
      </c>
      <c r="N642" s="308">
        <v>6.9885000000000002</v>
      </c>
      <c r="O642" s="308">
        <v>0</v>
      </c>
      <c r="P642" s="308">
        <v>7.7801999999999998</v>
      </c>
      <c r="Q642" s="308">
        <v>7.2469999999999999</v>
      </c>
      <c r="R642" s="308">
        <v>6.7045000000000003</v>
      </c>
      <c r="S642" s="308">
        <v>8.9895999999999994</v>
      </c>
      <c r="T642" s="308">
        <v>6.2789999999999999</v>
      </c>
      <c r="U642" s="308">
        <v>5.9326999999999996</v>
      </c>
      <c r="V642" s="308">
        <v>6.5967000000000002</v>
      </c>
      <c r="W642" s="308">
        <v>5.7013999999999996</v>
      </c>
      <c r="X642" s="308">
        <v>5.2115</v>
      </c>
      <c r="Y642" s="308">
        <v>0</v>
      </c>
      <c r="Z642" s="308">
        <v>7.2217000000000002</v>
      </c>
      <c r="AA642" s="308">
        <v>6.8978000000000002</v>
      </c>
      <c r="AB642" s="308">
        <v>8.2996999999999996</v>
      </c>
      <c r="AC642" s="308">
        <v>7.8483999999999998</v>
      </c>
      <c r="AD642" s="308">
        <v>6.9756999999999998</v>
      </c>
      <c r="AE642" s="308">
        <v>6.4092000000000002</v>
      </c>
      <c r="AF642" s="308">
        <v>5.3284000000000002</v>
      </c>
      <c r="AG642" s="308">
        <v>5.5026000000000002</v>
      </c>
      <c r="AH642" s="308">
        <v>5.9143999999999997</v>
      </c>
      <c r="AI642" s="308">
        <v>5.1684000000000001</v>
      </c>
      <c r="AJ642" s="308">
        <v>4.6679000000000004</v>
      </c>
      <c r="AK642" s="308">
        <v>7.2115999999999998</v>
      </c>
      <c r="AL642" s="308">
        <v>4.6482999999999999</v>
      </c>
      <c r="AM642" s="308">
        <v>8.0950000000000006</v>
      </c>
      <c r="AN642" s="308">
        <v>6.5122999999999998</v>
      </c>
      <c r="AO642" s="308">
        <v>7.3731999999999998</v>
      </c>
      <c r="AP642" s="308">
        <v>7.5834999999999999</v>
      </c>
      <c r="AQ642" s="308">
        <v>5.8978000000000002</v>
      </c>
      <c r="AR642" s="308">
        <v>7.9531000000000001</v>
      </c>
      <c r="AS642" s="308">
        <v>5.4409999999999998</v>
      </c>
      <c r="AT642" s="308">
        <v>6.9309000000000003</v>
      </c>
      <c r="AU642" s="308">
        <v>7.0243000000000002</v>
      </c>
      <c r="AV642" s="308">
        <v>8.3109000000000002</v>
      </c>
      <c r="AW642" s="308">
        <v>6.8681999999999999</v>
      </c>
      <c r="AX642" s="308">
        <v>5.7880000000000003</v>
      </c>
      <c r="AY642" s="308">
        <v>6.2343999999999999</v>
      </c>
      <c r="AZ642" s="308">
        <v>7.6896000000000004</v>
      </c>
      <c r="BA642" s="308">
        <v>0</v>
      </c>
      <c r="BB642" s="308">
        <v>7.1651999999999996</v>
      </c>
      <c r="BC642" s="308">
        <v>6.8007999999999997</v>
      </c>
      <c r="BD642" s="308">
        <v>6.4326999999999996</v>
      </c>
      <c r="BE642" s="308">
        <v>7.6407999999999996</v>
      </c>
      <c r="BF642" s="308">
        <v>6.7625000000000002</v>
      </c>
      <c r="BG642" s="308">
        <v>6.7206000000000001</v>
      </c>
      <c r="BH642" s="308">
        <v>6.5281000000000002</v>
      </c>
      <c r="BI642" s="308">
        <v>7.2196999999999996</v>
      </c>
      <c r="BJ642" s="308">
        <v>7.1185</v>
      </c>
      <c r="BK642" s="308">
        <v>6.5362</v>
      </c>
    </row>
    <row r="643" spans="1:63" x14ac:dyDescent="0.25">
      <c r="A643" s="306">
        <v>334210</v>
      </c>
      <c r="B643" s="308" t="s">
        <v>212</v>
      </c>
      <c r="C643" s="308">
        <v>6.181</v>
      </c>
      <c r="D643" s="308">
        <v>0</v>
      </c>
      <c r="E643" s="308">
        <v>4.9904999999999999</v>
      </c>
      <c r="F643" s="308">
        <v>4.6448999999999998</v>
      </c>
      <c r="G643" s="308">
        <v>5.6794000000000002</v>
      </c>
      <c r="H643" s="308">
        <v>4.6143000000000001</v>
      </c>
      <c r="I643" s="308">
        <v>4.3129</v>
      </c>
      <c r="J643" s="308">
        <v>4.2191000000000001</v>
      </c>
      <c r="K643" s="308">
        <v>0.42880000000000001</v>
      </c>
      <c r="L643" s="308">
        <v>2.4323000000000001</v>
      </c>
      <c r="M643" s="308">
        <v>5.29</v>
      </c>
      <c r="N643" s="308">
        <v>5.4420999999999999</v>
      </c>
      <c r="O643" s="308">
        <v>0</v>
      </c>
      <c r="P643" s="308">
        <v>0</v>
      </c>
      <c r="Q643" s="308">
        <v>3.9832999999999998</v>
      </c>
      <c r="R643" s="308">
        <v>4.8856999999999999</v>
      </c>
      <c r="S643" s="308">
        <v>0</v>
      </c>
      <c r="T643" s="308">
        <v>4.2172000000000001</v>
      </c>
      <c r="U643" s="308">
        <v>5.5651999999999999</v>
      </c>
      <c r="V643" s="308">
        <v>5.2134999999999998</v>
      </c>
      <c r="W643" s="308">
        <v>4.0510000000000002</v>
      </c>
      <c r="X643" s="308">
        <v>3.7561</v>
      </c>
      <c r="Y643" s="308">
        <v>0</v>
      </c>
      <c r="Z643" s="308">
        <v>4.8613999999999997</v>
      </c>
      <c r="AA643" s="308">
        <v>5.1238999999999999</v>
      </c>
      <c r="AB643" s="308">
        <v>5.6106999999999996</v>
      </c>
      <c r="AC643" s="308">
        <v>4.9950000000000001</v>
      </c>
      <c r="AD643" s="308">
        <v>0</v>
      </c>
      <c r="AE643" s="308">
        <v>4.7332999999999998</v>
      </c>
      <c r="AF643" s="308">
        <v>0</v>
      </c>
      <c r="AG643" s="308">
        <v>4.3982999999999999</v>
      </c>
      <c r="AH643" s="308">
        <v>4.0914000000000001</v>
      </c>
      <c r="AI643" s="308">
        <v>4.3661000000000003</v>
      </c>
      <c r="AJ643" s="308">
        <v>5.4539999999999997</v>
      </c>
      <c r="AK643" s="308">
        <v>5.1856999999999998</v>
      </c>
      <c r="AL643" s="308">
        <v>4.6159999999999997</v>
      </c>
      <c r="AM643" s="308">
        <v>4.8250000000000002</v>
      </c>
      <c r="AN643" s="308">
        <v>5.0296000000000003</v>
      </c>
      <c r="AO643" s="308">
        <v>5.1672000000000002</v>
      </c>
      <c r="AP643" s="308">
        <v>5.4367999999999999</v>
      </c>
      <c r="AQ643" s="308">
        <v>5.2853000000000003</v>
      </c>
      <c r="AR643" s="308">
        <v>5.0366999999999997</v>
      </c>
      <c r="AS643" s="308">
        <v>0</v>
      </c>
      <c r="AT643" s="308">
        <v>4.3318000000000003</v>
      </c>
      <c r="AU643" s="308">
        <v>4.7312000000000003</v>
      </c>
      <c r="AV643" s="308">
        <v>7.0551000000000004</v>
      </c>
      <c r="AW643" s="308">
        <v>4.3604000000000003</v>
      </c>
      <c r="AX643" s="308">
        <v>0</v>
      </c>
      <c r="AY643" s="308">
        <v>4.0172999999999996</v>
      </c>
      <c r="AZ643" s="308">
        <v>5.0441000000000003</v>
      </c>
      <c r="BA643" s="308">
        <v>0</v>
      </c>
      <c r="BB643" s="308">
        <v>0</v>
      </c>
      <c r="BC643" s="308">
        <v>4.7812000000000001</v>
      </c>
      <c r="BD643" s="308">
        <v>5.3269000000000002</v>
      </c>
      <c r="BE643" s="308">
        <v>5.1280000000000001</v>
      </c>
      <c r="BF643" s="308">
        <v>5.3009000000000004</v>
      </c>
      <c r="BG643" s="308">
        <v>5.1509999999999998</v>
      </c>
      <c r="BH643" s="308">
        <v>4.9737999999999998</v>
      </c>
      <c r="BI643" s="308">
        <v>4.8567</v>
      </c>
      <c r="BJ643" s="308">
        <v>4.6538000000000004</v>
      </c>
      <c r="BK643" s="308">
        <v>4.7435999999999998</v>
      </c>
    </row>
    <row r="644" spans="1:63" x14ac:dyDescent="0.25">
      <c r="A644" s="306">
        <v>334220</v>
      </c>
      <c r="B644" s="308" t="s">
        <v>738</v>
      </c>
      <c r="C644" s="308">
        <v>8.2463999999999995</v>
      </c>
      <c r="D644" s="308">
        <v>0</v>
      </c>
      <c r="E644" s="308">
        <v>7.5548000000000002</v>
      </c>
      <c r="F644" s="308">
        <v>7.1989999999999998</v>
      </c>
      <c r="G644" s="308">
        <v>6.5690999999999997</v>
      </c>
      <c r="H644" s="308">
        <v>6.6186999999999996</v>
      </c>
      <c r="I644" s="308">
        <v>6.4958999999999998</v>
      </c>
      <c r="J644" s="308">
        <v>5.6234000000000002</v>
      </c>
      <c r="K644" s="308">
        <v>0.80620000000000003</v>
      </c>
      <c r="L644" s="308">
        <v>0</v>
      </c>
      <c r="M644" s="308">
        <v>6.2511999999999999</v>
      </c>
      <c r="N644" s="308">
        <v>6.1681999999999997</v>
      </c>
      <c r="O644" s="308">
        <v>0</v>
      </c>
      <c r="P644" s="308">
        <v>6.6631</v>
      </c>
      <c r="Q644" s="308">
        <v>7.4897999999999998</v>
      </c>
      <c r="R644" s="308">
        <v>6.2991000000000001</v>
      </c>
      <c r="S644" s="308">
        <v>6.3316999999999997</v>
      </c>
      <c r="T644" s="308">
        <v>5.7397</v>
      </c>
      <c r="U644" s="308">
        <v>0</v>
      </c>
      <c r="V644" s="308">
        <v>4.7784000000000004</v>
      </c>
      <c r="W644" s="308">
        <v>5.7721</v>
      </c>
      <c r="X644" s="308">
        <v>5.1153000000000004</v>
      </c>
      <c r="Y644" s="308">
        <v>7.0301999999999998</v>
      </c>
      <c r="Z644" s="308">
        <v>8.0074000000000005</v>
      </c>
      <c r="AA644" s="308">
        <v>7.8010000000000002</v>
      </c>
      <c r="AB644" s="308">
        <v>7.3524000000000003</v>
      </c>
      <c r="AC644" s="308">
        <v>6.5427999999999997</v>
      </c>
      <c r="AD644" s="308">
        <v>5.5250000000000004</v>
      </c>
      <c r="AE644" s="308">
        <v>6.2470999999999997</v>
      </c>
      <c r="AF644" s="308">
        <v>5.9917999999999996</v>
      </c>
      <c r="AG644" s="308">
        <v>4.6833999999999998</v>
      </c>
      <c r="AH644" s="308">
        <v>5.7549999999999999</v>
      </c>
      <c r="AI644" s="308">
        <v>5.5137</v>
      </c>
      <c r="AJ644" s="308">
        <v>5.9762000000000004</v>
      </c>
      <c r="AK644" s="308">
        <v>6.3108000000000004</v>
      </c>
      <c r="AL644" s="308">
        <v>5.3837000000000002</v>
      </c>
      <c r="AM644" s="308">
        <v>7.0808</v>
      </c>
      <c r="AN644" s="308">
        <v>6.9103000000000003</v>
      </c>
      <c r="AO644" s="308">
        <v>8.3597000000000001</v>
      </c>
      <c r="AP644" s="308">
        <v>6.7709999999999999</v>
      </c>
      <c r="AQ644" s="308">
        <v>5.8555000000000001</v>
      </c>
      <c r="AR644" s="308">
        <v>6.9526000000000003</v>
      </c>
      <c r="AS644" s="308">
        <v>4.8103999999999996</v>
      </c>
      <c r="AT644" s="308">
        <v>6.5396000000000001</v>
      </c>
      <c r="AU644" s="308">
        <v>6.5887000000000002</v>
      </c>
      <c r="AV644" s="308">
        <v>9.6089000000000002</v>
      </c>
      <c r="AW644" s="308">
        <v>5.5923999999999996</v>
      </c>
      <c r="AX644" s="308">
        <v>5.5776000000000003</v>
      </c>
      <c r="AY644" s="308">
        <v>6.2930000000000001</v>
      </c>
      <c r="AZ644" s="308">
        <v>8.1201000000000008</v>
      </c>
      <c r="BA644" s="308">
        <v>0</v>
      </c>
      <c r="BB644" s="308">
        <v>0</v>
      </c>
      <c r="BC644" s="308">
        <v>6.8559999999999999</v>
      </c>
      <c r="BD644" s="308">
        <v>6.4504000000000001</v>
      </c>
      <c r="BE644" s="308">
        <v>6.9581999999999997</v>
      </c>
      <c r="BF644" s="308">
        <v>7.1238000000000001</v>
      </c>
      <c r="BG644" s="308">
        <v>6.6471999999999998</v>
      </c>
      <c r="BH644" s="308">
        <v>7.4189999999999996</v>
      </c>
      <c r="BI644" s="308">
        <v>6.6482000000000001</v>
      </c>
      <c r="BJ644" s="308">
        <v>7.4892000000000003</v>
      </c>
      <c r="BK644" s="308">
        <v>6.8033000000000001</v>
      </c>
    </row>
    <row r="645" spans="1:63" x14ac:dyDescent="0.25">
      <c r="A645" s="306">
        <v>334290</v>
      </c>
      <c r="B645" s="308" t="s">
        <v>213</v>
      </c>
      <c r="C645" s="308">
        <v>8.8767999999999994</v>
      </c>
      <c r="D645" s="308">
        <v>4.1749000000000001</v>
      </c>
      <c r="E645" s="308">
        <v>8.5924999999999994</v>
      </c>
      <c r="F645" s="308">
        <v>0</v>
      </c>
      <c r="G645" s="308">
        <v>6.9065000000000003</v>
      </c>
      <c r="H645" s="308">
        <v>6.5521000000000003</v>
      </c>
      <c r="I645" s="308">
        <v>7.6879</v>
      </c>
      <c r="J645" s="308">
        <v>6.0959000000000003</v>
      </c>
      <c r="K645" s="308">
        <v>0</v>
      </c>
      <c r="L645" s="308">
        <v>0</v>
      </c>
      <c r="M645" s="308">
        <v>6.0319000000000003</v>
      </c>
      <c r="N645" s="308">
        <v>8.3040000000000003</v>
      </c>
      <c r="O645" s="308">
        <v>0</v>
      </c>
      <c r="P645" s="308">
        <v>7.7983000000000002</v>
      </c>
      <c r="Q645" s="308">
        <v>8.8012999999999995</v>
      </c>
      <c r="R645" s="308">
        <v>7.81</v>
      </c>
      <c r="S645" s="308">
        <v>8.1122999999999994</v>
      </c>
      <c r="T645" s="308">
        <v>5.0861000000000001</v>
      </c>
      <c r="U645" s="308">
        <v>6.7706</v>
      </c>
      <c r="V645" s="308">
        <v>7.9612999999999996</v>
      </c>
      <c r="W645" s="308">
        <v>6.6628999999999996</v>
      </c>
      <c r="X645" s="308">
        <v>4.9840999999999998</v>
      </c>
      <c r="Y645" s="308">
        <v>9.0609000000000002</v>
      </c>
      <c r="Z645" s="308">
        <v>8.4377999999999993</v>
      </c>
      <c r="AA645" s="308">
        <v>7.5382999999999996</v>
      </c>
      <c r="AB645" s="308">
        <v>7.2133000000000003</v>
      </c>
      <c r="AC645" s="308">
        <v>8.0226000000000006</v>
      </c>
      <c r="AD645" s="308">
        <v>7.4508999999999999</v>
      </c>
      <c r="AE645" s="308">
        <v>9.1577000000000002</v>
      </c>
      <c r="AF645" s="308">
        <v>0</v>
      </c>
      <c r="AG645" s="308">
        <v>7.6618000000000004</v>
      </c>
      <c r="AH645" s="308">
        <v>6.3285</v>
      </c>
      <c r="AI645" s="308">
        <v>5.8719999999999999</v>
      </c>
      <c r="AJ645" s="308">
        <v>7.3634000000000004</v>
      </c>
      <c r="AK645" s="308">
        <v>7.7206999999999999</v>
      </c>
      <c r="AL645" s="308">
        <v>5.2012</v>
      </c>
      <c r="AM645" s="308">
        <v>7.9516</v>
      </c>
      <c r="AN645" s="308">
        <v>8.6038999999999994</v>
      </c>
      <c r="AO645" s="308">
        <v>8.6113999999999997</v>
      </c>
      <c r="AP645" s="308">
        <v>6.8419999999999996</v>
      </c>
      <c r="AQ645" s="308">
        <v>5.5083000000000002</v>
      </c>
      <c r="AR645" s="308">
        <v>7.8902000000000001</v>
      </c>
      <c r="AS645" s="308">
        <v>5.9641999999999999</v>
      </c>
      <c r="AT645" s="308">
        <v>5.7568999999999999</v>
      </c>
      <c r="AU645" s="308">
        <v>6.9465000000000003</v>
      </c>
      <c r="AV645" s="308">
        <v>9.9283999999999999</v>
      </c>
      <c r="AW645" s="308">
        <v>7.9593999999999996</v>
      </c>
      <c r="AX645" s="308">
        <v>0</v>
      </c>
      <c r="AY645" s="308">
        <v>7.3617999999999997</v>
      </c>
      <c r="AZ645" s="308">
        <v>7.9039000000000001</v>
      </c>
      <c r="BA645" s="308">
        <v>0</v>
      </c>
      <c r="BB645" s="308">
        <v>0</v>
      </c>
      <c r="BC645" s="308">
        <v>7.8120000000000003</v>
      </c>
      <c r="BD645" s="308">
        <v>6.5384000000000002</v>
      </c>
      <c r="BE645" s="308">
        <v>8.3335000000000008</v>
      </c>
      <c r="BF645" s="308">
        <v>7.9221000000000004</v>
      </c>
      <c r="BG645" s="308">
        <v>7.5805999999999996</v>
      </c>
      <c r="BH645" s="308">
        <v>7.3262</v>
      </c>
      <c r="BI645" s="308">
        <v>7.0208000000000004</v>
      </c>
      <c r="BJ645" s="308">
        <v>8.1671999999999993</v>
      </c>
      <c r="BK645" s="308">
        <v>6.9733999999999998</v>
      </c>
    </row>
    <row r="646" spans="1:63" x14ac:dyDescent="0.25">
      <c r="A646" s="306">
        <v>334300</v>
      </c>
      <c r="B646" s="308" t="s">
        <v>214</v>
      </c>
      <c r="C646" s="308">
        <v>7.6513999999999998</v>
      </c>
      <c r="D646" s="308">
        <v>0</v>
      </c>
      <c r="E646" s="308">
        <v>5.2686999999999999</v>
      </c>
      <c r="F646" s="308">
        <v>6.6691000000000003</v>
      </c>
      <c r="G646" s="308">
        <v>5.6707000000000001</v>
      </c>
      <c r="H646" s="308">
        <v>5.5019999999999998</v>
      </c>
      <c r="I646" s="308">
        <v>5.2461000000000002</v>
      </c>
      <c r="J646" s="308">
        <v>4.7069000000000001</v>
      </c>
      <c r="K646" s="308">
        <v>0.48270000000000002</v>
      </c>
      <c r="L646" s="308">
        <v>3.4043999999999999</v>
      </c>
      <c r="M646" s="308">
        <v>5.8981000000000003</v>
      </c>
      <c r="N646" s="308">
        <v>5.9359999999999999</v>
      </c>
      <c r="O646" s="308">
        <v>0</v>
      </c>
      <c r="P646" s="308">
        <v>4.9219999999999997</v>
      </c>
      <c r="Q646" s="308">
        <v>6.4244000000000003</v>
      </c>
      <c r="R646" s="308">
        <v>5.4790000000000001</v>
      </c>
      <c r="S646" s="308">
        <v>6.2229000000000001</v>
      </c>
      <c r="T646" s="308">
        <v>4.4031000000000002</v>
      </c>
      <c r="U646" s="308">
        <v>6.6867999999999999</v>
      </c>
      <c r="V646" s="308">
        <v>4.8773999999999997</v>
      </c>
      <c r="W646" s="308">
        <v>4.9500999999999999</v>
      </c>
      <c r="X646" s="308">
        <v>4.0723000000000003</v>
      </c>
      <c r="Y646" s="308">
        <v>5.8044000000000002</v>
      </c>
      <c r="Z646" s="308">
        <v>6.7388000000000003</v>
      </c>
      <c r="AA646" s="308">
        <v>7.0404999999999998</v>
      </c>
      <c r="AB646" s="308">
        <v>6.2037000000000004</v>
      </c>
      <c r="AC646" s="308">
        <v>6.1429</v>
      </c>
      <c r="AD646" s="308">
        <v>0</v>
      </c>
      <c r="AE646" s="308">
        <v>6.3133999999999997</v>
      </c>
      <c r="AF646" s="308">
        <v>5.3087</v>
      </c>
      <c r="AG646" s="308">
        <v>5.0003000000000002</v>
      </c>
      <c r="AH646" s="308">
        <v>5.0791000000000004</v>
      </c>
      <c r="AI646" s="308">
        <v>4.7131999999999996</v>
      </c>
      <c r="AJ646" s="308">
        <v>5.0837000000000003</v>
      </c>
      <c r="AK646" s="308">
        <v>4.4127000000000001</v>
      </c>
      <c r="AL646" s="308">
        <v>3.9540999999999999</v>
      </c>
      <c r="AM646" s="308">
        <v>6.7125000000000004</v>
      </c>
      <c r="AN646" s="308">
        <v>5.5290999999999997</v>
      </c>
      <c r="AO646" s="308">
        <v>5.5594000000000001</v>
      </c>
      <c r="AP646" s="308">
        <v>6.2541000000000002</v>
      </c>
      <c r="AQ646" s="308">
        <v>4.4123999999999999</v>
      </c>
      <c r="AR646" s="308">
        <v>6.2446000000000002</v>
      </c>
      <c r="AS646" s="308">
        <v>0</v>
      </c>
      <c r="AT646" s="308">
        <v>5.4401999999999999</v>
      </c>
      <c r="AU646" s="308">
        <v>5.5384000000000002</v>
      </c>
      <c r="AV646" s="308">
        <v>6.9362000000000004</v>
      </c>
      <c r="AW646" s="308">
        <v>4.6891999999999996</v>
      </c>
      <c r="AX646" s="308">
        <v>6.2022000000000004</v>
      </c>
      <c r="AY646" s="308">
        <v>4.9385000000000003</v>
      </c>
      <c r="AZ646" s="308">
        <v>7.4215</v>
      </c>
      <c r="BA646" s="308">
        <v>3.3048999999999999</v>
      </c>
      <c r="BB646" s="308">
        <v>5.0734000000000004</v>
      </c>
      <c r="BC646" s="308">
        <v>5.6574999999999998</v>
      </c>
      <c r="BD646" s="308">
        <v>5.4749999999999996</v>
      </c>
      <c r="BE646" s="308">
        <v>6.5217999999999998</v>
      </c>
      <c r="BF646" s="308">
        <v>6.5467000000000004</v>
      </c>
      <c r="BG646" s="308">
        <v>6.3804999999999996</v>
      </c>
      <c r="BH646" s="308">
        <v>6.7378999999999998</v>
      </c>
      <c r="BI646" s="308">
        <v>6.3872</v>
      </c>
      <c r="BJ646" s="308">
        <v>6.0984999999999996</v>
      </c>
      <c r="BK646" s="308">
        <v>5.7141999999999999</v>
      </c>
    </row>
    <row r="647" spans="1:63" x14ac:dyDescent="0.25">
      <c r="A647" s="306">
        <v>334411</v>
      </c>
      <c r="B647" s="308" t="s">
        <v>215</v>
      </c>
      <c r="C647" s="308">
        <v>7.9462000000000002</v>
      </c>
      <c r="D647" s="308">
        <v>0</v>
      </c>
      <c r="E647" s="308">
        <v>0</v>
      </c>
      <c r="F647" s="308">
        <v>0</v>
      </c>
      <c r="G647" s="308">
        <v>0</v>
      </c>
      <c r="H647" s="308">
        <v>5.3075000000000001</v>
      </c>
      <c r="I647" s="308">
        <v>5.2257999999999996</v>
      </c>
      <c r="J647" s="308">
        <v>0</v>
      </c>
      <c r="K647" s="308">
        <v>0</v>
      </c>
      <c r="L647" s="308">
        <v>0</v>
      </c>
      <c r="M647" s="308">
        <v>6.8358999999999996</v>
      </c>
      <c r="N647" s="308">
        <v>0</v>
      </c>
      <c r="O647" s="308">
        <v>0</v>
      </c>
      <c r="P647" s="308">
        <v>0</v>
      </c>
      <c r="Q647" s="308">
        <v>0</v>
      </c>
      <c r="R647" s="308">
        <v>9.1203000000000003</v>
      </c>
      <c r="S647" s="308">
        <v>0</v>
      </c>
      <c r="T647" s="308">
        <v>0</v>
      </c>
      <c r="U647" s="308">
        <v>8.1437000000000008</v>
      </c>
      <c r="V647" s="308">
        <v>7.9078999999999997</v>
      </c>
      <c r="W647" s="308">
        <v>5.7084999999999999</v>
      </c>
      <c r="X647" s="308">
        <v>5.7744999999999997</v>
      </c>
      <c r="Y647" s="308">
        <v>0</v>
      </c>
      <c r="Z647" s="308">
        <v>5.6413000000000002</v>
      </c>
      <c r="AA647" s="308">
        <v>0</v>
      </c>
      <c r="AB647" s="308">
        <v>5.4238</v>
      </c>
      <c r="AC647" s="308">
        <v>8.0702999999999996</v>
      </c>
      <c r="AD647" s="308">
        <v>0</v>
      </c>
      <c r="AE647" s="308">
        <v>0</v>
      </c>
      <c r="AF647" s="308">
        <v>0</v>
      </c>
      <c r="AG647" s="308">
        <v>0</v>
      </c>
      <c r="AH647" s="308">
        <v>0</v>
      </c>
      <c r="AI647" s="308">
        <v>6.2827999999999999</v>
      </c>
      <c r="AJ647" s="308">
        <v>0</v>
      </c>
      <c r="AK647" s="308">
        <v>0</v>
      </c>
      <c r="AL647" s="308">
        <v>5.9002999999999997</v>
      </c>
      <c r="AM647" s="308">
        <v>7.2638999999999996</v>
      </c>
      <c r="AN647" s="308">
        <v>0</v>
      </c>
      <c r="AO647" s="308">
        <v>0</v>
      </c>
      <c r="AP647" s="308">
        <v>8.2108000000000008</v>
      </c>
      <c r="AQ647" s="308">
        <v>0</v>
      </c>
      <c r="AR647" s="308">
        <v>5.8883000000000001</v>
      </c>
      <c r="AS647" s="308">
        <v>0</v>
      </c>
      <c r="AT647" s="308">
        <v>0</v>
      </c>
      <c r="AU647" s="308">
        <v>9.0921000000000003</v>
      </c>
      <c r="AV647" s="308">
        <v>0</v>
      </c>
      <c r="AW647" s="308">
        <v>0</v>
      </c>
      <c r="AX647" s="308">
        <v>0</v>
      </c>
      <c r="AY647" s="308">
        <v>0</v>
      </c>
      <c r="AZ647" s="308">
        <v>5.9560000000000004</v>
      </c>
      <c r="BA647" s="308">
        <v>0</v>
      </c>
      <c r="BB647" s="308">
        <v>0</v>
      </c>
      <c r="BC647" s="308">
        <v>6.7721999999999998</v>
      </c>
      <c r="BD647" s="308">
        <v>7.6443000000000003</v>
      </c>
      <c r="BE647" s="308">
        <v>7.0707000000000004</v>
      </c>
      <c r="BF647" s="308">
        <v>6.5231000000000003</v>
      </c>
      <c r="BG647" s="308">
        <v>6.9943999999999997</v>
      </c>
      <c r="BH647" s="308">
        <v>8.8778000000000006</v>
      </c>
      <c r="BI647" s="308">
        <v>9.2596000000000007</v>
      </c>
      <c r="BJ647" s="308">
        <v>5.5307000000000004</v>
      </c>
      <c r="BK647" s="308">
        <v>5.6277999999999997</v>
      </c>
    </row>
    <row r="648" spans="1:63" x14ac:dyDescent="0.25">
      <c r="A648" s="306">
        <v>334412</v>
      </c>
      <c r="B648" s="308" t="s">
        <v>216</v>
      </c>
      <c r="C648" s="308">
        <v>10.7203</v>
      </c>
      <c r="D648" s="308">
        <v>0</v>
      </c>
      <c r="E648" s="308">
        <v>10.815099999999999</v>
      </c>
      <c r="F648" s="308">
        <v>12.7285</v>
      </c>
      <c r="G648" s="308">
        <v>9.1385000000000005</v>
      </c>
      <c r="H648" s="308">
        <v>8.6706000000000003</v>
      </c>
      <c r="I648" s="308">
        <v>9.5211000000000006</v>
      </c>
      <c r="J648" s="308">
        <v>8.5027000000000008</v>
      </c>
      <c r="K648" s="308">
        <v>0</v>
      </c>
      <c r="L648" s="308">
        <v>0</v>
      </c>
      <c r="M648" s="308">
        <v>7.9036</v>
      </c>
      <c r="N648" s="308">
        <v>7.8045999999999998</v>
      </c>
      <c r="O648" s="308">
        <v>0</v>
      </c>
      <c r="P648" s="308">
        <v>11.151300000000001</v>
      </c>
      <c r="Q648" s="308">
        <v>13.591900000000001</v>
      </c>
      <c r="R648" s="308">
        <v>11.264799999999999</v>
      </c>
      <c r="S648" s="308">
        <v>10.0778</v>
      </c>
      <c r="T648" s="308">
        <v>10.966799999999999</v>
      </c>
      <c r="U648" s="308">
        <v>13.8795</v>
      </c>
      <c r="V648" s="308">
        <v>6.3666</v>
      </c>
      <c r="W648" s="308">
        <v>7.5323000000000002</v>
      </c>
      <c r="X648" s="308">
        <v>7.9528999999999996</v>
      </c>
      <c r="Y648" s="308">
        <v>12.575200000000001</v>
      </c>
      <c r="Z648" s="308">
        <v>9.5660000000000007</v>
      </c>
      <c r="AA648" s="308">
        <v>9.3916000000000004</v>
      </c>
      <c r="AB648" s="308">
        <v>12.183299999999999</v>
      </c>
      <c r="AC648" s="308">
        <v>10.639099999999999</v>
      </c>
      <c r="AD648" s="308">
        <v>0</v>
      </c>
      <c r="AE648" s="308">
        <v>8.0571999999999999</v>
      </c>
      <c r="AF648" s="308">
        <v>8.5764999999999993</v>
      </c>
      <c r="AG648" s="308">
        <v>13.6341</v>
      </c>
      <c r="AH648" s="308">
        <v>8.2492999999999999</v>
      </c>
      <c r="AI648" s="308">
        <v>8.18</v>
      </c>
      <c r="AJ648" s="308">
        <v>8.5972000000000008</v>
      </c>
      <c r="AK648" s="308">
        <v>7.7667000000000002</v>
      </c>
      <c r="AL648" s="308">
        <v>6.9858000000000002</v>
      </c>
      <c r="AM648" s="308">
        <v>12.3711</v>
      </c>
      <c r="AN648" s="308">
        <v>14.5944</v>
      </c>
      <c r="AO648" s="308">
        <v>10.582599999999999</v>
      </c>
      <c r="AP648" s="308">
        <v>10.500500000000001</v>
      </c>
      <c r="AQ648" s="308">
        <v>12.658200000000001</v>
      </c>
      <c r="AR648" s="308">
        <v>9.8813999999999993</v>
      </c>
      <c r="AS648" s="308">
        <v>7.1054000000000004</v>
      </c>
      <c r="AT648" s="308">
        <v>9.2715999999999994</v>
      </c>
      <c r="AU648" s="308">
        <v>8.6690000000000005</v>
      </c>
      <c r="AV648" s="308">
        <v>12.403600000000001</v>
      </c>
      <c r="AW648" s="308">
        <v>7.3655999999999997</v>
      </c>
      <c r="AX648" s="308">
        <v>10.745699999999999</v>
      </c>
      <c r="AY648" s="308">
        <v>9.3876000000000008</v>
      </c>
      <c r="AZ648" s="308">
        <v>11.4701</v>
      </c>
      <c r="BA648" s="308">
        <v>0</v>
      </c>
      <c r="BB648" s="308">
        <v>0</v>
      </c>
      <c r="BC648" s="308">
        <v>9.2411999999999992</v>
      </c>
      <c r="BD648" s="308">
        <v>9.1106999999999996</v>
      </c>
      <c r="BE648" s="308">
        <v>11.411</v>
      </c>
      <c r="BF648" s="308">
        <v>9.7268000000000008</v>
      </c>
      <c r="BG648" s="308">
        <v>8.5465</v>
      </c>
      <c r="BH648" s="308">
        <v>10.5541</v>
      </c>
      <c r="BI648" s="308">
        <v>8.8424999999999994</v>
      </c>
      <c r="BJ648" s="308">
        <v>10.055899999999999</v>
      </c>
      <c r="BK648" s="308">
        <v>8.9227000000000007</v>
      </c>
    </row>
    <row r="649" spans="1:63" x14ac:dyDescent="0.25">
      <c r="A649" s="306">
        <v>334413</v>
      </c>
      <c r="B649" s="308" t="s">
        <v>217</v>
      </c>
      <c r="C649" s="308">
        <v>6.0655000000000001</v>
      </c>
      <c r="D649" s="308">
        <v>0</v>
      </c>
      <c r="E649" s="308">
        <v>4.8433999999999999</v>
      </c>
      <c r="F649" s="308">
        <v>6.4842000000000004</v>
      </c>
      <c r="G649" s="308">
        <v>4.5115999999999996</v>
      </c>
      <c r="H649" s="308">
        <v>4.367</v>
      </c>
      <c r="I649" s="308">
        <v>5.4322999999999997</v>
      </c>
      <c r="J649" s="308">
        <v>4.4151999999999996</v>
      </c>
      <c r="K649" s="308">
        <v>0.52210000000000001</v>
      </c>
      <c r="L649" s="308">
        <v>3.5175999999999998</v>
      </c>
      <c r="M649" s="308">
        <v>4.8681000000000001</v>
      </c>
      <c r="N649" s="308">
        <v>4.8339999999999996</v>
      </c>
      <c r="O649" s="308">
        <v>5.2596999999999996</v>
      </c>
      <c r="P649" s="308">
        <v>4.3410000000000002</v>
      </c>
      <c r="Q649" s="308">
        <v>4.8677999999999999</v>
      </c>
      <c r="R649" s="308">
        <v>5.3802000000000003</v>
      </c>
      <c r="S649" s="308">
        <v>5.0206</v>
      </c>
      <c r="T649" s="308">
        <v>4.1051000000000002</v>
      </c>
      <c r="U649" s="308">
        <v>4.5194000000000001</v>
      </c>
      <c r="V649" s="308">
        <v>0</v>
      </c>
      <c r="W649" s="308">
        <v>4.2519999999999998</v>
      </c>
      <c r="X649" s="308">
        <v>4.8426999999999998</v>
      </c>
      <c r="Y649" s="308">
        <v>4.9653999999999998</v>
      </c>
      <c r="Z649" s="308">
        <v>6.4922000000000004</v>
      </c>
      <c r="AA649" s="308">
        <v>5.0138999999999996</v>
      </c>
      <c r="AB649" s="308">
        <v>4.6272000000000002</v>
      </c>
      <c r="AC649" s="308">
        <v>4.2445000000000004</v>
      </c>
      <c r="AD649" s="308">
        <v>5.5643000000000002</v>
      </c>
      <c r="AE649" s="308">
        <v>5.3406000000000002</v>
      </c>
      <c r="AF649" s="308">
        <v>0</v>
      </c>
      <c r="AG649" s="308">
        <v>5.6908000000000003</v>
      </c>
      <c r="AH649" s="308">
        <v>4.7504999999999997</v>
      </c>
      <c r="AI649" s="308">
        <v>4.6910999999999996</v>
      </c>
      <c r="AJ649" s="308">
        <v>4.2830000000000004</v>
      </c>
      <c r="AK649" s="308">
        <v>4.8834</v>
      </c>
      <c r="AL649" s="308">
        <v>3.8195999999999999</v>
      </c>
      <c r="AM649" s="308">
        <v>4.7282999999999999</v>
      </c>
      <c r="AN649" s="308">
        <v>3.8649</v>
      </c>
      <c r="AO649" s="308">
        <v>4.6734999999999998</v>
      </c>
      <c r="AP649" s="308">
        <v>5.5955000000000004</v>
      </c>
      <c r="AQ649" s="308">
        <v>3.5777000000000001</v>
      </c>
      <c r="AR649" s="308">
        <v>5.6170999999999998</v>
      </c>
      <c r="AS649" s="308">
        <v>4.0328999999999997</v>
      </c>
      <c r="AT649" s="308">
        <v>6.6745999999999999</v>
      </c>
      <c r="AU649" s="308">
        <v>4.9146999999999998</v>
      </c>
      <c r="AV649" s="308">
        <v>6.3193999999999999</v>
      </c>
      <c r="AW649" s="308">
        <v>4.8337000000000003</v>
      </c>
      <c r="AX649" s="308">
        <v>4.0031999999999996</v>
      </c>
      <c r="AY649" s="308">
        <v>5.5109000000000004</v>
      </c>
      <c r="AZ649" s="308">
        <v>5.0650000000000004</v>
      </c>
      <c r="BA649" s="308">
        <v>5.2667999999999999</v>
      </c>
      <c r="BB649" s="308">
        <v>0</v>
      </c>
      <c r="BC649" s="308">
        <v>4.9856999999999996</v>
      </c>
      <c r="BD649" s="308">
        <v>5.0872000000000002</v>
      </c>
      <c r="BE649" s="308">
        <v>5.2323000000000004</v>
      </c>
      <c r="BF649" s="308">
        <v>5.0056000000000003</v>
      </c>
      <c r="BG649" s="308">
        <v>5.6646000000000001</v>
      </c>
      <c r="BH649" s="308">
        <v>5.1490999999999998</v>
      </c>
      <c r="BI649" s="308">
        <v>5.0480999999999998</v>
      </c>
      <c r="BJ649" s="308">
        <v>5.3693</v>
      </c>
      <c r="BK649" s="308">
        <v>4.6097000000000001</v>
      </c>
    </row>
    <row r="650" spans="1:63" x14ac:dyDescent="0.25">
      <c r="A650" s="306">
        <v>334417</v>
      </c>
      <c r="B650" s="308" t="s">
        <v>219</v>
      </c>
      <c r="C650" s="308">
        <v>11.0068</v>
      </c>
      <c r="D650" s="308">
        <v>0</v>
      </c>
      <c r="E650" s="308">
        <v>9.2321000000000009</v>
      </c>
      <c r="F650" s="308">
        <v>10.089499999999999</v>
      </c>
      <c r="G650" s="308">
        <v>8.8764000000000003</v>
      </c>
      <c r="H650" s="308">
        <v>8.9143000000000008</v>
      </c>
      <c r="I650" s="308">
        <v>11.6159</v>
      </c>
      <c r="J650" s="308">
        <v>8.1452000000000009</v>
      </c>
      <c r="K650" s="308">
        <v>0</v>
      </c>
      <c r="L650" s="308">
        <v>7.6985999999999999</v>
      </c>
      <c r="M650" s="308">
        <v>8.0139999999999993</v>
      </c>
      <c r="N650" s="308">
        <v>8.3452000000000002</v>
      </c>
      <c r="O650" s="308">
        <v>0</v>
      </c>
      <c r="P650" s="308">
        <v>10.8569</v>
      </c>
      <c r="Q650" s="308">
        <v>0</v>
      </c>
      <c r="R650" s="308">
        <v>9.3234999999999992</v>
      </c>
      <c r="S650" s="308">
        <v>8.3172999999999995</v>
      </c>
      <c r="T650" s="308">
        <v>6.8516000000000004</v>
      </c>
      <c r="U650" s="308">
        <v>0</v>
      </c>
      <c r="V650" s="308">
        <v>0</v>
      </c>
      <c r="W650" s="308">
        <v>7.9554999999999998</v>
      </c>
      <c r="X650" s="308">
        <v>8.2897999999999996</v>
      </c>
      <c r="Y650" s="308">
        <v>9.8816000000000006</v>
      </c>
      <c r="Z650" s="308">
        <v>8.6242000000000001</v>
      </c>
      <c r="AA650" s="308">
        <v>9.5321999999999996</v>
      </c>
      <c r="AB650" s="308">
        <v>9.9375999999999998</v>
      </c>
      <c r="AC650" s="308">
        <v>9.4632000000000005</v>
      </c>
      <c r="AD650" s="308">
        <v>0</v>
      </c>
      <c r="AE650" s="308">
        <v>8.1263000000000005</v>
      </c>
      <c r="AF650" s="308">
        <v>0</v>
      </c>
      <c r="AG650" s="308">
        <v>9.3439999999999994</v>
      </c>
      <c r="AH650" s="308">
        <v>7.1558000000000002</v>
      </c>
      <c r="AI650" s="308">
        <v>7.6943999999999999</v>
      </c>
      <c r="AJ650" s="308">
        <v>0</v>
      </c>
      <c r="AK650" s="308">
        <v>10.682</v>
      </c>
      <c r="AL650" s="308">
        <v>7.4074</v>
      </c>
      <c r="AM650" s="308">
        <v>12.755100000000001</v>
      </c>
      <c r="AN650" s="308">
        <v>11.6273</v>
      </c>
      <c r="AO650" s="308">
        <v>8.1585999999999999</v>
      </c>
      <c r="AP650" s="308">
        <v>8.9710000000000001</v>
      </c>
      <c r="AQ650" s="308">
        <v>10.0075</v>
      </c>
      <c r="AR650" s="308">
        <v>11.7835</v>
      </c>
      <c r="AS650" s="308">
        <v>0</v>
      </c>
      <c r="AT650" s="308">
        <v>11.3247</v>
      </c>
      <c r="AU650" s="308">
        <v>10.3088</v>
      </c>
      <c r="AV650" s="308">
        <v>13.106</v>
      </c>
      <c r="AW650" s="308">
        <v>9.1132000000000009</v>
      </c>
      <c r="AX650" s="308">
        <v>0</v>
      </c>
      <c r="AY650" s="308">
        <v>9.8259000000000007</v>
      </c>
      <c r="AZ650" s="308">
        <v>0</v>
      </c>
      <c r="BA650" s="308">
        <v>0</v>
      </c>
      <c r="BB650" s="308">
        <v>0</v>
      </c>
      <c r="BC650" s="308">
        <v>9.1829999999999998</v>
      </c>
      <c r="BD650" s="308">
        <v>8.9108000000000001</v>
      </c>
      <c r="BE650" s="308">
        <v>9.6603999999999992</v>
      </c>
      <c r="BF650" s="308">
        <v>10.4565</v>
      </c>
      <c r="BG650" s="308">
        <v>9.4213000000000005</v>
      </c>
      <c r="BH650" s="308">
        <v>10.903499999999999</v>
      </c>
      <c r="BI650" s="308">
        <v>10.814500000000001</v>
      </c>
      <c r="BJ650" s="308">
        <v>9.9367000000000001</v>
      </c>
      <c r="BK650" s="308">
        <v>9.1066000000000003</v>
      </c>
    </row>
    <row r="651" spans="1:63" x14ac:dyDescent="0.25">
      <c r="A651" s="306">
        <v>334418</v>
      </c>
      <c r="B651" s="308" t="s">
        <v>220</v>
      </c>
      <c r="C651" s="308">
        <v>8.1753</v>
      </c>
      <c r="D651" s="308">
        <v>0</v>
      </c>
      <c r="E651" s="308">
        <v>6.2358000000000002</v>
      </c>
      <c r="F651" s="308">
        <v>7.9405000000000001</v>
      </c>
      <c r="G651" s="308">
        <v>5.6547000000000001</v>
      </c>
      <c r="H651" s="308">
        <v>6.8834999999999997</v>
      </c>
      <c r="I651" s="308">
        <v>5.8262</v>
      </c>
      <c r="J651" s="308">
        <v>5.6239999999999997</v>
      </c>
      <c r="K651" s="308">
        <v>0</v>
      </c>
      <c r="L651" s="308">
        <v>0</v>
      </c>
      <c r="M651" s="308">
        <v>5.5232000000000001</v>
      </c>
      <c r="N651" s="308">
        <v>6.2858000000000001</v>
      </c>
      <c r="O651" s="308">
        <v>0</v>
      </c>
      <c r="P651" s="308">
        <v>7.1616999999999997</v>
      </c>
      <c r="Q651" s="308">
        <v>6.4752000000000001</v>
      </c>
      <c r="R651" s="308">
        <v>6.6467999999999998</v>
      </c>
      <c r="S651" s="308">
        <v>7.1767000000000003</v>
      </c>
      <c r="T651" s="308">
        <v>5.2072000000000003</v>
      </c>
      <c r="U651" s="308">
        <v>7.6669</v>
      </c>
      <c r="V651" s="308">
        <v>4.7611999999999997</v>
      </c>
      <c r="W651" s="308">
        <v>6.0110000000000001</v>
      </c>
      <c r="X651" s="308">
        <v>5.3907999999999996</v>
      </c>
      <c r="Y651" s="308">
        <v>8.3474000000000004</v>
      </c>
      <c r="Z651" s="308">
        <v>6.8231000000000002</v>
      </c>
      <c r="AA651" s="308">
        <v>7.1494999999999997</v>
      </c>
      <c r="AB651" s="308">
        <v>6.9671000000000003</v>
      </c>
      <c r="AC651" s="308">
        <v>6.7196999999999996</v>
      </c>
      <c r="AD651" s="308">
        <v>6.5434999999999999</v>
      </c>
      <c r="AE651" s="308">
        <v>6.2347000000000001</v>
      </c>
      <c r="AF651" s="308">
        <v>6.5918999999999999</v>
      </c>
      <c r="AG651" s="308">
        <v>5.5164999999999997</v>
      </c>
      <c r="AH651" s="308">
        <v>5.6524999999999999</v>
      </c>
      <c r="AI651" s="308">
        <v>5.4272</v>
      </c>
      <c r="AJ651" s="308">
        <v>6.3952999999999998</v>
      </c>
      <c r="AK651" s="308">
        <v>5.9707999999999997</v>
      </c>
      <c r="AL651" s="308">
        <v>5.6233000000000004</v>
      </c>
      <c r="AM651" s="308">
        <v>8.1196999999999999</v>
      </c>
      <c r="AN651" s="308">
        <v>5.0138999999999996</v>
      </c>
      <c r="AO651" s="308">
        <v>7.4268000000000001</v>
      </c>
      <c r="AP651" s="308">
        <v>6.8795999999999999</v>
      </c>
      <c r="AQ651" s="308">
        <v>6.5088999999999997</v>
      </c>
      <c r="AR651" s="308">
        <v>6.0704000000000002</v>
      </c>
      <c r="AS651" s="308">
        <v>4.7744</v>
      </c>
      <c r="AT651" s="308">
        <v>4.9797000000000002</v>
      </c>
      <c r="AU651" s="308">
        <v>5.9763999999999999</v>
      </c>
      <c r="AV651" s="308">
        <v>8.4185999999999996</v>
      </c>
      <c r="AW651" s="308">
        <v>5.6332000000000004</v>
      </c>
      <c r="AX651" s="308">
        <v>7.3342000000000001</v>
      </c>
      <c r="AY651" s="308">
        <v>6.7965999999999998</v>
      </c>
      <c r="AZ651" s="308">
        <v>7.0346000000000002</v>
      </c>
      <c r="BA651" s="308">
        <v>6.1597999999999997</v>
      </c>
      <c r="BB651" s="308">
        <v>0</v>
      </c>
      <c r="BC651" s="308">
        <v>7.0121000000000002</v>
      </c>
      <c r="BD651" s="308">
        <v>6.6574</v>
      </c>
      <c r="BE651" s="308">
        <v>7.4433999999999996</v>
      </c>
      <c r="BF651" s="308">
        <v>7.2854999999999999</v>
      </c>
      <c r="BG651" s="308">
        <v>6.0757000000000003</v>
      </c>
      <c r="BH651" s="308">
        <v>6.3507999999999996</v>
      </c>
      <c r="BI651" s="308">
        <v>6.4191000000000003</v>
      </c>
      <c r="BJ651" s="308">
        <v>6.5172999999999996</v>
      </c>
      <c r="BK651" s="308">
        <v>7.1407999999999996</v>
      </c>
    </row>
    <row r="652" spans="1:63" x14ac:dyDescent="0.25">
      <c r="A652" s="306">
        <v>334419</v>
      </c>
      <c r="B652" s="308" t="s">
        <v>221</v>
      </c>
      <c r="C652" s="308">
        <v>11.0038</v>
      </c>
      <c r="D652" s="308">
        <v>0</v>
      </c>
      <c r="E652" s="308">
        <v>9.3072999999999997</v>
      </c>
      <c r="F652" s="308">
        <v>12.736499999999999</v>
      </c>
      <c r="G652" s="308">
        <v>9.9131</v>
      </c>
      <c r="H652" s="308">
        <v>8.3973999999999993</v>
      </c>
      <c r="I652" s="308">
        <v>9.8396000000000008</v>
      </c>
      <c r="J652" s="308">
        <v>8.5321999999999996</v>
      </c>
      <c r="K652" s="308">
        <v>0</v>
      </c>
      <c r="L652" s="308">
        <v>5.8791000000000002</v>
      </c>
      <c r="M652" s="308">
        <v>9.7453000000000003</v>
      </c>
      <c r="N652" s="308">
        <v>12.840999999999999</v>
      </c>
      <c r="O652" s="308">
        <v>0</v>
      </c>
      <c r="P652" s="308">
        <v>11.0654</v>
      </c>
      <c r="Q652" s="308">
        <v>10.4062</v>
      </c>
      <c r="R652" s="308">
        <v>10.7348</v>
      </c>
      <c r="S652" s="308">
        <v>10.7845</v>
      </c>
      <c r="T652" s="308">
        <v>9.9192</v>
      </c>
      <c r="U652" s="308">
        <v>11.565</v>
      </c>
      <c r="V652" s="308">
        <v>7.3468</v>
      </c>
      <c r="W652" s="308">
        <v>7.7460000000000004</v>
      </c>
      <c r="X652" s="308">
        <v>7.7996999999999996</v>
      </c>
      <c r="Y652" s="308">
        <v>10.571400000000001</v>
      </c>
      <c r="Z652" s="308">
        <v>11.3696</v>
      </c>
      <c r="AA652" s="308">
        <v>11.245100000000001</v>
      </c>
      <c r="AB652" s="308">
        <v>11.271699999999999</v>
      </c>
      <c r="AC652" s="308">
        <v>11.5678</v>
      </c>
      <c r="AD652" s="308">
        <v>8.3521999999999998</v>
      </c>
      <c r="AE652" s="308">
        <v>11.9117</v>
      </c>
      <c r="AF652" s="308">
        <v>9.4128000000000007</v>
      </c>
      <c r="AG652" s="308">
        <v>11.0059</v>
      </c>
      <c r="AH652" s="308">
        <v>7.7680999999999996</v>
      </c>
      <c r="AI652" s="308">
        <v>7.9284999999999997</v>
      </c>
      <c r="AJ652" s="308">
        <v>8.9146000000000001</v>
      </c>
      <c r="AK652" s="308">
        <v>8.0733999999999995</v>
      </c>
      <c r="AL652" s="308">
        <v>7.8373999999999997</v>
      </c>
      <c r="AM652" s="308">
        <v>10.4536</v>
      </c>
      <c r="AN652" s="308">
        <v>12.7234</v>
      </c>
      <c r="AO652" s="308">
        <v>9.6712000000000007</v>
      </c>
      <c r="AP652" s="308">
        <v>10.517799999999999</v>
      </c>
      <c r="AQ652" s="308">
        <v>9.7523</v>
      </c>
      <c r="AR652" s="308">
        <v>10.864100000000001</v>
      </c>
      <c r="AS652" s="308">
        <v>8.3201999999999998</v>
      </c>
      <c r="AT652" s="308">
        <v>12.773</v>
      </c>
      <c r="AU652" s="308">
        <v>8.4003999999999994</v>
      </c>
      <c r="AV652" s="308">
        <v>10.144399999999999</v>
      </c>
      <c r="AW652" s="308">
        <v>8.1387</v>
      </c>
      <c r="AX652" s="308">
        <v>8.6270000000000007</v>
      </c>
      <c r="AY652" s="308">
        <v>9.4056999999999995</v>
      </c>
      <c r="AZ652" s="308">
        <v>10.1393</v>
      </c>
      <c r="BA652" s="308">
        <v>10.209199999999999</v>
      </c>
      <c r="BB652" s="308">
        <v>0</v>
      </c>
      <c r="BC652" s="308">
        <v>9.1210000000000004</v>
      </c>
      <c r="BD652" s="308">
        <v>9.4969000000000001</v>
      </c>
      <c r="BE652" s="308">
        <v>11.166600000000001</v>
      </c>
      <c r="BF652" s="308">
        <v>11.7011</v>
      </c>
      <c r="BG652" s="308">
        <v>10.642899999999999</v>
      </c>
      <c r="BH652" s="308">
        <v>10.892899999999999</v>
      </c>
      <c r="BI652" s="308">
        <v>8.9377999999999993</v>
      </c>
      <c r="BJ652" s="308">
        <v>10.0923</v>
      </c>
      <c r="BK652" s="308">
        <v>8.8210999999999995</v>
      </c>
    </row>
    <row r="653" spans="1:63" x14ac:dyDescent="0.25">
      <c r="A653" s="306" t="s">
        <v>739</v>
      </c>
      <c r="B653" s="308" t="s">
        <v>218</v>
      </c>
      <c r="C653" s="308">
        <v>12.318</v>
      </c>
      <c r="D653" s="308">
        <v>0</v>
      </c>
      <c r="E653" s="308">
        <v>11.7742</v>
      </c>
      <c r="F653" s="308">
        <v>13.5623</v>
      </c>
      <c r="G653" s="308">
        <v>9.5784000000000002</v>
      </c>
      <c r="H653" s="308">
        <v>10.0357</v>
      </c>
      <c r="I653" s="308">
        <v>12.4689</v>
      </c>
      <c r="J653" s="308">
        <v>10.986499999999999</v>
      </c>
      <c r="K653" s="308">
        <v>0</v>
      </c>
      <c r="L653" s="308">
        <v>0</v>
      </c>
      <c r="M653" s="308">
        <v>12.323700000000001</v>
      </c>
      <c r="N653" s="308">
        <v>11.303800000000001</v>
      </c>
      <c r="O653" s="308">
        <v>0</v>
      </c>
      <c r="P653" s="308">
        <v>12.810600000000001</v>
      </c>
      <c r="Q653" s="308">
        <v>0</v>
      </c>
      <c r="R653" s="308">
        <v>12.2262</v>
      </c>
      <c r="S653" s="308">
        <v>12.528600000000001</v>
      </c>
      <c r="T653" s="308">
        <v>11.378299999999999</v>
      </c>
      <c r="U653" s="308">
        <v>9.1499000000000006</v>
      </c>
      <c r="V653" s="308">
        <v>8.4860000000000007</v>
      </c>
      <c r="W653" s="308">
        <v>8.0603999999999996</v>
      </c>
      <c r="X653" s="308">
        <v>12.198700000000001</v>
      </c>
      <c r="Y653" s="308">
        <v>10.1447</v>
      </c>
      <c r="Z653" s="308">
        <v>11.2456</v>
      </c>
      <c r="AA653" s="308">
        <v>11.196099999999999</v>
      </c>
      <c r="AB653" s="308">
        <v>11.8973</v>
      </c>
      <c r="AC653" s="308">
        <v>12.487500000000001</v>
      </c>
      <c r="AD653" s="308">
        <v>0</v>
      </c>
      <c r="AE653" s="308">
        <v>11.9154</v>
      </c>
      <c r="AF653" s="308">
        <v>0</v>
      </c>
      <c r="AG653" s="308">
        <v>11.3</v>
      </c>
      <c r="AH653" s="308">
        <v>8.9298000000000002</v>
      </c>
      <c r="AI653" s="308">
        <v>9.3254000000000001</v>
      </c>
      <c r="AJ653" s="308">
        <v>11.370799999999999</v>
      </c>
      <c r="AK653" s="308">
        <v>10.7401</v>
      </c>
      <c r="AL653" s="308">
        <v>9.1074999999999999</v>
      </c>
      <c r="AM653" s="308">
        <v>11.6785</v>
      </c>
      <c r="AN653" s="308">
        <v>0</v>
      </c>
      <c r="AO653" s="308">
        <v>10.9809</v>
      </c>
      <c r="AP653" s="308">
        <v>9.4959000000000007</v>
      </c>
      <c r="AQ653" s="308">
        <v>9.0664999999999996</v>
      </c>
      <c r="AR653" s="308">
        <v>9.0917999999999992</v>
      </c>
      <c r="AS653" s="308">
        <v>7.8844000000000003</v>
      </c>
      <c r="AT653" s="308">
        <v>10.6609</v>
      </c>
      <c r="AU653" s="308">
        <v>12.08</v>
      </c>
      <c r="AV653" s="308">
        <v>11.5212</v>
      </c>
      <c r="AW653" s="308">
        <v>11.398099999999999</v>
      </c>
      <c r="AX653" s="308">
        <v>11.9377</v>
      </c>
      <c r="AY653" s="308">
        <v>11.525399999999999</v>
      </c>
      <c r="AZ653" s="308">
        <v>11.930400000000001</v>
      </c>
      <c r="BA653" s="308">
        <v>10.9566</v>
      </c>
      <c r="BB653" s="308">
        <v>0</v>
      </c>
      <c r="BC653" s="308">
        <v>10.404199999999999</v>
      </c>
      <c r="BD653" s="308">
        <v>10.2912</v>
      </c>
      <c r="BE653" s="308">
        <v>12.6874</v>
      </c>
      <c r="BF653" s="308">
        <v>12.2111</v>
      </c>
      <c r="BG653" s="308">
        <v>11.0032</v>
      </c>
      <c r="BH653" s="308">
        <v>10.7127</v>
      </c>
      <c r="BI653" s="308">
        <v>11.956799999999999</v>
      </c>
      <c r="BJ653" s="308">
        <v>10.6723</v>
      </c>
      <c r="BK653" s="308">
        <v>10.3309</v>
      </c>
    </row>
    <row r="654" spans="1:63" x14ac:dyDescent="0.25">
      <c r="A654" s="306">
        <v>334510</v>
      </c>
      <c r="B654" s="308" t="s">
        <v>222</v>
      </c>
      <c r="C654" s="308">
        <v>7.7150999999999996</v>
      </c>
      <c r="D654" s="308">
        <v>0</v>
      </c>
      <c r="E654" s="308">
        <v>0</v>
      </c>
      <c r="F654" s="308">
        <v>0</v>
      </c>
      <c r="G654" s="308">
        <v>6.7310999999999996</v>
      </c>
      <c r="H654" s="308">
        <v>5.6631999999999998</v>
      </c>
      <c r="I654" s="308">
        <v>6.1368999999999998</v>
      </c>
      <c r="J654" s="308">
        <v>5.7671000000000001</v>
      </c>
      <c r="K654" s="308">
        <v>0</v>
      </c>
      <c r="L654" s="308">
        <v>3.5579000000000001</v>
      </c>
      <c r="M654" s="308">
        <v>6.5282</v>
      </c>
      <c r="N654" s="308">
        <v>7.6970000000000001</v>
      </c>
      <c r="O654" s="308">
        <v>7.1010999999999997</v>
      </c>
      <c r="P654" s="308">
        <v>7.6723999999999997</v>
      </c>
      <c r="Q654" s="308">
        <v>6.8063000000000002</v>
      </c>
      <c r="R654" s="308">
        <v>6.2084999999999999</v>
      </c>
      <c r="S654" s="308">
        <v>5.1521999999999997</v>
      </c>
      <c r="T654" s="308">
        <v>4.4279999999999999</v>
      </c>
      <c r="U654" s="308">
        <v>6.9893999999999998</v>
      </c>
      <c r="V654" s="308">
        <v>6.5065999999999997</v>
      </c>
      <c r="W654" s="308">
        <v>5.1672000000000002</v>
      </c>
      <c r="X654" s="308">
        <v>5.1805000000000003</v>
      </c>
      <c r="Y654" s="308">
        <v>7.7735000000000003</v>
      </c>
      <c r="Z654" s="308">
        <v>5.7709000000000001</v>
      </c>
      <c r="AA654" s="308">
        <v>5.9093</v>
      </c>
      <c r="AB654" s="308">
        <v>6.5065999999999997</v>
      </c>
      <c r="AC654" s="308">
        <v>0</v>
      </c>
      <c r="AD654" s="308">
        <v>4.5251999999999999</v>
      </c>
      <c r="AE654" s="308">
        <v>8.2698</v>
      </c>
      <c r="AF654" s="308">
        <v>0</v>
      </c>
      <c r="AG654" s="308">
        <v>0</v>
      </c>
      <c r="AH654" s="308">
        <v>5.5918999999999999</v>
      </c>
      <c r="AI654" s="308">
        <v>5.4066999999999998</v>
      </c>
      <c r="AJ654" s="308">
        <v>6.5197000000000003</v>
      </c>
      <c r="AK654" s="308">
        <v>0</v>
      </c>
      <c r="AL654" s="308">
        <v>5.2032999999999996</v>
      </c>
      <c r="AM654" s="308">
        <v>7.6943000000000001</v>
      </c>
      <c r="AN654" s="308">
        <v>6.3982999999999999</v>
      </c>
      <c r="AO654" s="308">
        <v>7.3872999999999998</v>
      </c>
      <c r="AP654" s="308">
        <v>6.8785999999999996</v>
      </c>
      <c r="AQ654" s="308">
        <v>7.4748999999999999</v>
      </c>
      <c r="AR654" s="308">
        <v>6.4836999999999998</v>
      </c>
      <c r="AS654" s="308">
        <v>5.3861999999999997</v>
      </c>
      <c r="AT654" s="308">
        <v>5.7779999999999996</v>
      </c>
      <c r="AU654" s="308">
        <v>6.7081999999999997</v>
      </c>
      <c r="AV654" s="308">
        <v>8.0160999999999998</v>
      </c>
      <c r="AW654" s="308">
        <v>6.3944999999999999</v>
      </c>
      <c r="AX654" s="308">
        <v>7.0975000000000001</v>
      </c>
      <c r="AY654" s="308">
        <v>5.2979000000000003</v>
      </c>
      <c r="AZ654" s="308">
        <v>6.4234</v>
      </c>
      <c r="BA654" s="308">
        <v>0</v>
      </c>
      <c r="BB654" s="308">
        <v>0</v>
      </c>
      <c r="BC654" s="308">
        <v>6.1102999999999996</v>
      </c>
      <c r="BD654" s="308">
        <v>6.3758999999999997</v>
      </c>
      <c r="BE654" s="308">
        <v>6.7663000000000002</v>
      </c>
      <c r="BF654" s="308">
        <v>5.9051</v>
      </c>
      <c r="BG654" s="308">
        <v>7.1485000000000003</v>
      </c>
      <c r="BH654" s="308">
        <v>5.9161999999999999</v>
      </c>
      <c r="BI654" s="308">
        <v>6.8249000000000004</v>
      </c>
      <c r="BJ654" s="308">
        <v>6.7237</v>
      </c>
      <c r="BK654" s="308">
        <v>5.8654999999999999</v>
      </c>
    </row>
    <row r="655" spans="1:63" x14ac:dyDescent="0.25">
      <c r="A655" s="306">
        <v>334511</v>
      </c>
      <c r="B655" s="308" t="s">
        <v>223</v>
      </c>
      <c r="C655" s="308">
        <v>8.6414000000000009</v>
      </c>
      <c r="D655" s="308">
        <v>0</v>
      </c>
      <c r="E655" s="308">
        <v>9.3496000000000006</v>
      </c>
      <c r="F655" s="308">
        <v>9.2138000000000009</v>
      </c>
      <c r="G655" s="308">
        <v>6.7527999999999997</v>
      </c>
      <c r="H655" s="308">
        <v>6.8620999999999999</v>
      </c>
      <c r="I655" s="308">
        <v>6.8445</v>
      </c>
      <c r="J655" s="308">
        <v>6.7286999999999999</v>
      </c>
      <c r="K655" s="308">
        <v>1.1325000000000001</v>
      </c>
      <c r="L655" s="308">
        <v>0</v>
      </c>
      <c r="M655" s="308">
        <v>8.0175999999999998</v>
      </c>
      <c r="N655" s="308">
        <v>7.4946999999999999</v>
      </c>
      <c r="O655" s="308">
        <v>8.4352999999999998</v>
      </c>
      <c r="P655" s="308">
        <v>6.3757999999999999</v>
      </c>
      <c r="Q655" s="308">
        <v>9.1997999999999998</v>
      </c>
      <c r="R655" s="308">
        <v>7.2489999999999997</v>
      </c>
      <c r="S655" s="308">
        <v>7.6996000000000002</v>
      </c>
      <c r="T655" s="308">
        <v>7.9505999999999997</v>
      </c>
      <c r="U655" s="308">
        <v>7.3559999999999999</v>
      </c>
      <c r="V655" s="308">
        <v>7.3144999999999998</v>
      </c>
      <c r="W655" s="308">
        <v>6.0540000000000003</v>
      </c>
      <c r="X655" s="308">
        <v>5.5468000000000002</v>
      </c>
      <c r="Y655" s="308">
        <v>9.4497</v>
      </c>
      <c r="Z655" s="308">
        <v>7.5957999999999997</v>
      </c>
      <c r="AA655" s="308">
        <v>7.9676</v>
      </c>
      <c r="AB655" s="308">
        <v>9.141</v>
      </c>
      <c r="AC655" s="308">
        <v>8.0385000000000009</v>
      </c>
      <c r="AD655" s="308">
        <v>7.9374000000000002</v>
      </c>
      <c r="AE655" s="308">
        <v>10.204000000000001</v>
      </c>
      <c r="AF655" s="308">
        <v>0</v>
      </c>
      <c r="AG655" s="308">
        <v>6.3155000000000001</v>
      </c>
      <c r="AH655" s="308">
        <v>5.9667000000000003</v>
      </c>
      <c r="AI655" s="308">
        <v>6.3350999999999997</v>
      </c>
      <c r="AJ655" s="308">
        <v>6.4863</v>
      </c>
      <c r="AK655" s="308">
        <v>7.9139999999999997</v>
      </c>
      <c r="AL655" s="308">
        <v>5.8250000000000002</v>
      </c>
      <c r="AM655" s="308">
        <v>8.7006999999999994</v>
      </c>
      <c r="AN655" s="308">
        <v>8.5092999999999996</v>
      </c>
      <c r="AO655" s="308">
        <v>6.8036000000000003</v>
      </c>
      <c r="AP655" s="308">
        <v>7.7144000000000004</v>
      </c>
      <c r="AQ655" s="308">
        <v>5.7805</v>
      </c>
      <c r="AR655" s="308">
        <v>6.5227000000000004</v>
      </c>
      <c r="AS655" s="308">
        <v>5.9335000000000004</v>
      </c>
      <c r="AT655" s="308">
        <v>9.3687000000000005</v>
      </c>
      <c r="AU655" s="308">
        <v>7.1291000000000002</v>
      </c>
      <c r="AV655" s="308">
        <v>10.0677</v>
      </c>
      <c r="AW655" s="308">
        <v>6.1154999999999999</v>
      </c>
      <c r="AX655" s="308">
        <v>7.9499000000000004</v>
      </c>
      <c r="AY655" s="308">
        <v>6.9584999999999999</v>
      </c>
      <c r="AZ655" s="308">
        <v>8.6762999999999995</v>
      </c>
      <c r="BA655" s="308">
        <v>0</v>
      </c>
      <c r="BB655" s="308">
        <v>7.8470000000000004</v>
      </c>
      <c r="BC655" s="308">
        <v>7.0218999999999996</v>
      </c>
      <c r="BD655" s="308">
        <v>7.1391</v>
      </c>
      <c r="BE655" s="308">
        <v>8.2234999999999996</v>
      </c>
      <c r="BF655" s="308">
        <v>7.9115000000000002</v>
      </c>
      <c r="BG655" s="308">
        <v>7.6792999999999996</v>
      </c>
      <c r="BH655" s="308">
        <v>9.3782999999999994</v>
      </c>
      <c r="BI655" s="308">
        <v>7.3888999999999996</v>
      </c>
      <c r="BJ655" s="308">
        <v>7.4908999999999999</v>
      </c>
      <c r="BK655" s="308">
        <v>7.0281000000000002</v>
      </c>
    </row>
    <row r="656" spans="1:63" x14ac:dyDescent="0.25">
      <c r="A656" s="306">
        <v>334512</v>
      </c>
      <c r="B656" s="308" t="s">
        <v>224</v>
      </c>
      <c r="C656" s="308">
        <v>9.2548999999999992</v>
      </c>
      <c r="D656" s="308">
        <v>4.4943</v>
      </c>
      <c r="E656" s="308">
        <v>8.9601000000000006</v>
      </c>
      <c r="F656" s="308">
        <v>8.8082999999999991</v>
      </c>
      <c r="G656" s="308">
        <v>6.194</v>
      </c>
      <c r="H656" s="308">
        <v>7.3685999999999998</v>
      </c>
      <c r="I656" s="308">
        <v>9.1219000000000001</v>
      </c>
      <c r="J656" s="308">
        <v>7.6440999999999999</v>
      </c>
      <c r="K656" s="308">
        <v>0</v>
      </c>
      <c r="L656" s="308">
        <v>0</v>
      </c>
      <c r="M656" s="308">
        <v>8.0455000000000005</v>
      </c>
      <c r="N656" s="308">
        <v>7.2389999999999999</v>
      </c>
      <c r="O656" s="308">
        <v>0</v>
      </c>
      <c r="P656" s="308">
        <v>8.9565000000000001</v>
      </c>
      <c r="Q656" s="308">
        <v>0</v>
      </c>
      <c r="R656" s="308">
        <v>7.2983000000000002</v>
      </c>
      <c r="S656" s="308">
        <v>9.0714000000000006</v>
      </c>
      <c r="T656" s="308">
        <v>6.1673999999999998</v>
      </c>
      <c r="U656" s="308">
        <v>9.0802999999999994</v>
      </c>
      <c r="V656" s="308">
        <v>8.9545999999999992</v>
      </c>
      <c r="W656" s="308">
        <v>6.8029000000000002</v>
      </c>
      <c r="X656" s="308">
        <v>5.4391999999999996</v>
      </c>
      <c r="Y656" s="308">
        <v>9.0679999999999996</v>
      </c>
      <c r="Z656" s="308">
        <v>9.8125999999999998</v>
      </c>
      <c r="AA656" s="308">
        <v>6.6135000000000002</v>
      </c>
      <c r="AB656" s="308">
        <v>6.8567999999999998</v>
      </c>
      <c r="AC656" s="308">
        <v>0</v>
      </c>
      <c r="AD656" s="308">
        <v>0</v>
      </c>
      <c r="AE656" s="308">
        <v>10.4231</v>
      </c>
      <c r="AF656" s="308">
        <v>0</v>
      </c>
      <c r="AG656" s="308">
        <v>8.7309000000000001</v>
      </c>
      <c r="AH656" s="308">
        <v>7.0544000000000002</v>
      </c>
      <c r="AI656" s="308">
        <v>6.5293000000000001</v>
      </c>
      <c r="AJ656" s="308">
        <v>5.2346000000000004</v>
      </c>
      <c r="AK656" s="308">
        <v>8.6861999999999995</v>
      </c>
      <c r="AL656" s="308">
        <v>6.8700999999999999</v>
      </c>
      <c r="AM656" s="308">
        <v>9.4547000000000008</v>
      </c>
      <c r="AN656" s="308">
        <v>8.0122</v>
      </c>
      <c r="AO656" s="308">
        <v>8.0642999999999994</v>
      </c>
      <c r="AP656" s="308">
        <v>9.7852999999999994</v>
      </c>
      <c r="AQ656" s="308">
        <v>7.4882999999999997</v>
      </c>
      <c r="AR656" s="308">
        <v>7.4527000000000001</v>
      </c>
      <c r="AS656" s="308">
        <v>6.1365999999999996</v>
      </c>
      <c r="AT656" s="308">
        <v>8.6767000000000003</v>
      </c>
      <c r="AU656" s="308">
        <v>7.6466000000000003</v>
      </c>
      <c r="AV656" s="308">
        <v>8.4184000000000001</v>
      </c>
      <c r="AW656" s="308">
        <v>6.3510999999999997</v>
      </c>
      <c r="AX656" s="308">
        <v>0</v>
      </c>
      <c r="AY656" s="308">
        <v>6.1581000000000001</v>
      </c>
      <c r="AZ656" s="308">
        <v>9.9963999999999995</v>
      </c>
      <c r="BA656" s="308">
        <v>5.6028000000000002</v>
      </c>
      <c r="BB656" s="308">
        <v>6.399</v>
      </c>
      <c r="BC656" s="308">
        <v>8.4184000000000001</v>
      </c>
      <c r="BD656" s="308">
        <v>8.2954000000000008</v>
      </c>
      <c r="BE656" s="308">
        <v>8.4110999999999994</v>
      </c>
      <c r="BF656" s="308">
        <v>6.8182</v>
      </c>
      <c r="BG656" s="308">
        <v>8.4217999999999993</v>
      </c>
      <c r="BH656" s="308">
        <v>8.9553999999999991</v>
      </c>
      <c r="BI656" s="308">
        <v>8.8914000000000009</v>
      </c>
      <c r="BJ656" s="308">
        <v>6.9431000000000003</v>
      </c>
      <c r="BK656" s="308">
        <v>7.4318</v>
      </c>
    </row>
    <row r="657" spans="1:63" x14ac:dyDescent="0.25">
      <c r="A657" s="306">
        <v>334513</v>
      </c>
      <c r="B657" s="308" t="s">
        <v>6</v>
      </c>
      <c r="C657" s="308">
        <v>10.0624</v>
      </c>
      <c r="D657" s="308">
        <v>5.7508999999999997</v>
      </c>
      <c r="E657" s="308">
        <v>8.9854000000000003</v>
      </c>
      <c r="F657" s="308">
        <v>9.4903999999999993</v>
      </c>
      <c r="G657" s="308">
        <v>8.8820999999999994</v>
      </c>
      <c r="H657" s="308">
        <v>8.1298999999999992</v>
      </c>
      <c r="I657" s="308">
        <v>8.2744</v>
      </c>
      <c r="J657" s="308">
        <v>7.4612999999999996</v>
      </c>
      <c r="K657" s="308">
        <v>0</v>
      </c>
      <c r="L657" s="308">
        <v>6.0804</v>
      </c>
      <c r="M657" s="308">
        <v>8.9062000000000001</v>
      </c>
      <c r="N657" s="308">
        <v>9.8246000000000002</v>
      </c>
      <c r="O657" s="308">
        <v>5.6914999999999996</v>
      </c>
      <c r="P657" s="308">
        <v>6.8719000000000001</v>
      </c>
      <c r="Q657" s="308">
        <v>7.1417999999999999</v>
      </c>
      <c r="R657" s="308">
        <v>8.3550000000000004</v>
      </c>
      <c r="S657" s="308">
        <v>9.9687000000000001</v>
      </c>
      <c r="T657" s="308">
        <v>7.8753000000000002</v>
      </c>
      <c r="U657" s="308">
        <v>9.657</v>
      </c>
      <c r="V657" s="308">
        <v>8.1075999999999997</v>
      </c>
      <c r="W657" s="308">
        <v>6.6696999999999997</v>
      </c>
      <c r="X657" s="308">
        <v>7.0296000000000003</v>
      </c>
      <c r="Y657" s="308">
        <v>8.6135999999999999</v>
      </c>
      <c r="Z657" s="308">
        <v>8.2327999999999992</v>
      </c>
      <c r="AA657" s="308">
        <v>9.0647000000000002</v>
      </c>
      <c r="AB657" s="308">
        <v>8.3452000000000002</v>
      </c>
      <c r="AC657" s="308">
        <v>6.7222999999999997</v>
      </c>
      <c r="AD657" s="308">
        <v>8.3409999999999993</v>
      </c>
      <c r="AE657" s="308">
        <v>7.4744999999999999</v>
      </c>
      <c r="AF657" s="308">
        <v>0</v>
      </c>
      <c r="AG657" s="308">
        <v>8.6724999999999994</v>
      </c>
      <c r="AH657" s="308">
        <v>7.7089999999999996</v>
      </c>
      <c r="AI657" s="308">
        <v>6.9371999999999998</v>
      </c>
      <c r="AJ657" s="308">
        <v>7.0557999999999996</v>
      </c>
      <c r="AK657" s="308">
        <v>7.2381000000000002</v>
      </c>
      <c r="AL657" s="308">
        <v>7.1375000000000002</v>
      </c>
      <c r="AM657" s="308">
        <v>8.74</v>
      </c>
      <c r="AN657" s="308">
        <v>9.4594000000000005</v>
      </c>
      <c r="AO657" s="308">
        <v>9.3507999999999996</v>
      </c>
      <c r="AP657" s="308">
        <v>8.2369000000000003</v>
      </c>
      <c r="AQ657" s="308">
        <v>8.16</v>
      </c>
      <c r="AR657" s="308">
        <v>8.8118999999999996</v>
      </c>
      <c r="AS657" s="308">
        <v>6.4025999999999996</v>
      </c>
      <c r="AT657" s="308">
        <v>9.6356000000000002</v>
      </c>
      <c r="AU657" s="308">
        <v>7.9330999999999996</v>
      </c>
      <c r="AV657" s="308">
        <v>10.8346</v>
      </c>
      <c r="AW657" s="308">
        <v>7.9462999999999999</v>
      </c>
      <c r="AX657" s="308">
        <v>7.8808999999999996</v>
      </c>
      <c r="AY657" s="308">
        <v>8.1110000000000007</v>
      </c>
      <c r="AZ657" s="308">
        <v>9.2758000000000003</v>
      </c>
      <c r="BA657" s="308">
        <v>7.8742000000000001</v>
      </c>
      <c r="BB657" s="308">
        <v>0</v>
      </c>
      <c r="BC657" s="308">
        <v>8.1167999999999996</v>
      </c>
      <c r="BD657" s="308">
        <v>8.0495999999999999</v>
      </c>
      <c r="BE657" s="308">
        <v>9.2254000000000005</v>
      </c>
      <c r="BF657" s="308">
        <v>8.9845000000000006</v>
      </c>
      <c r="BG657" s="308">
        <v>8.6605000000000008</v>
      </c>
      <c r="BH657" s="308">
        <v>9.6145999999999994</v>
      </c>
      <c r="BI657" s="308">
        <v>8.4303000000000008</v>
      </c>
      <c r="BJ657" s="308">
        <v>8.8912999999999993</v>
      </c>
      <c r="BK657" s="308">
        <v>8.3710000000000004</v>
      </c>
    </row>
    <row r="658" spans="1:63" x14ac:dyDescent="0.25">
      <c r="A658" s="306">
        <v>334514</v>
      </c>
      <c r="B658" s="308" t="s">
        <v>225</v>
      </c>
      <c r="C658" s="308">
        <v>9.2025000000000006</v>
      </c>
      <c r="D658" s="308">
        <v>0</v>
      </c>
      <c r="E658" s="308">
        <v>6.6060999999999996</v>
      </c>
      <c r="F658" s="308">
        <v>6.9435000000000002</v>
      </c>
      <c r="G658" s="308">
        <v>5.9606000000000003</v>
      </c>
      <c r="H658" s="308">
        <v>6.8402000000000003</v>
      </c>
      <c r="I658" s="308">
        <v>7.4828999999999999</v>
      </c>
      <c r="J658" s="308">
        <v>7.4488000000000003</v>
      </c>
      <c r="K658" s="308">
        <v>0</v>
      </c>
      <c r="L658" s="308">
        <v>0</v>
      </c>
      <c r="M658" s="308">
        <v>7.0000999999999998</v>
      </c>
      <c r="N658" s="308">
        <v>8.8285</v>
      </c>
      <c r="O658" s="308">
        <v>0</v>
      </c>
      <c r="P658" s="308">
        <v>6.2526000000000002</v>
      </c>
      <c r="Q658" s="308">
        <v>7.4173999999999998</v>
      </c>
      <c r="R658" s="308">
        <v>7.2786999999999997</v>
      </c>
      <c r="S658" s="308">
        <v>6.9734999999999996</v>
      </c>
      <c r="T658" s="308">
        <v>0</v>
      </c>
      <c r="U658" s="308">
        <v>7.2369000000000003</v>
      </c>
      <c r="V658" s="308">
        <v>5.2896000000000001</v>
      </c>
      <c r="W658" s="308">
        <v>6.9904000000000002</v>
      </c>
      <c r="X658" s="308">
        <v>6.0187999999999997</v>
      </c>
      <c r="Y658" s="308">
        <v>0</v>
      </c>
      <c r="Z658" s="308">
        <v>7.7306999999999997</v>
      </c>
      <c r="AA658" s="308">
        <v>9.2077000000000009</v>
      </c>
      <c r="AB658" s="308">
        <v>7.7556000000000003</v>
      </c>
      <c r="AC658" s="308">
        <v>0</v>
      </c>
      <c r="AD658" s="308">
        <v>0</v>
      </c>
      <c r="AE658" s="308">
        <v>7.6814999999999998</v>
      </c>
      <c r="AF658" s="308">
        <v>0</v>
      </c>
      <c r="AG658" s="308">
        <v>6.4179000000000004</v>
      </c>
      <c r="AH658" s="308">
        <v>0</v>
      </c>
      <c r="AI658" s="308">
        <v>6.2375999999999996</v>
      </c>
      <c r="AJ658" s="308">
        <v>5.4217000000000004</v>
      </c>
      <c r="AK658" s="308">
        <v>6.3917999999999999</v>
      </c>
      <c r="AL658" s="308">
        <v>4.7085999999999997</v>
      </c>
      <c r="AM658" s="308">
        <v>7.4493999999999998</v>
      </c>
      <c r="AN658" s="308">
        <v>5.2899000000000003</v>
      </c>
      <c r="AO658" s="308">
        <v>9.4087999999999994</v>
      </c>
      <c r="AP658" s="308">
        <v>6.9885000000000002</v>
      </c>
      <c r="AQ658" s="308">
        <v>0</v>
      </c>
      <c r="AR658" s="308">
        <v>7.0061</v>
      </c>
      <c r="AS658" s="308">
        <v>0</v>
      </c>
      <c r="AT658" s="308">
        <v>0</v>
      </c>
      <c r="AU658" s="308">
        <v>6.8437000000000001</v>
      </c>
      <c r="AV658" s="308">
        <v>0</v>
      </c>
      <c r="AW658" s="308">
        <v>6.2131999999999996</v>
      </c>
      <c r="AX658" s="308">
        <v>5.0999999999999996</v>
      </c>
      <c r="AY658" s="308">
        <v>7.3135000000000003</v>
      </c>
      <c r="AZ658" s="308">
        <v>7.1470000000000002</v>
      </c>
      <c r="BA658" s="308">
        <v>6.1612</v>
      </c>
      <c r="BB658" s="308">
        <v>0</v>
      </c>
      <c r="BC658" s="308">
        <v>8.8396000000000008</v>
      </c>
      <c r="BD658" s="308">
        <v>6.3634000000000004</v>
      </c>
      <c r="BE658" s="308">
        <v>7.6673999999999998</v>
      </c>
      <c r="BF658" s="308">
        <v>8.3055000000000003</v>
      </c>
      <c r="BG658" s="308">
        <v>7.8053999999999997</v>
      </c>
      <c r="BH658" s="308">
        <v>7.0031999999999996</v>
      </c>
      <c r="BI658" s="308">
        <v>6.8362999999999996</v>
      </c>
      <c r="BJ658" s="308">
        <v>7.2389000000000001</v>
      </c>
      <c r="BK658" s="308">
        <v>7.2321999999999997</v>
      </c>
    </row>
    <row r="659" spans="1:63" x14ac:dyDescent="0.25">
      <c r="A659" s="306">
        <v>334515</v>
      </c>
      <c r="B659" s="308" t="s">
        <v>4</v>
      </c>
      <c r="C659" s="308">
        <v>8.6545000000000005</v>
      </c>
      <c r="D659" s="308">
        <v>0</v>
      </c>
      <c r="E659" s="308">
        <v>7.6816000000000004</v>
      </c>
      <c r="F659" s="308">
        <v>11.6313</v>
      </c>
      <c r="G659" s="308">
        <v>8.3209</v>
      </c>
      <c r="H659" s="308">
        <v>6.7030000000000003</v>
      </c>
      <c r="I659" s="308">
        <v>6.6997999999999998</v>
      </c>
      <c r="J659" s="308">
        <v>6.8360000000000003</v>
      </c>
      <c r="K659" s="308">
        <v>0.86129999999999995</v>
      </c>
      <c r="L659" s="308">
        <v>6.8136000000000001</v>
      </c>
      <c r="M659" s="308">
        <v>9.2497000000000007</v>
      </c>
      <c r="N659" s="308">
        <v>8.6502999999999997</v>
      </c>
      <c r="O659" s="308">
        <v>0</v>
      </c>
      <c r="P659" s="308">
        <v>10.8421</v>
      </c>
      <c r="Q659" s="308">
        <v>8.5599000000000007</v>
      </c>
      <c r="R659" s="308">
        <v>8.3808000000000007</v>
      </c>
      <c r="S659" s="308">
        <v>7.9504000000000001</v>
      </c>
      <c r="T659" s="308">
        <v>8.4664999999999999</v>
      </c>
      <c r="U659" s="308">
        <v>11.683199999999999</v>
      </c>
      <c r="V659" s="308">
        <v>11.5228</v>
      </c>
      <c r="W659" s="308">
        <v>6.1222000000000003</v>
      </c>
      <c r="X659" s="308">
        <v>5.4394999999999998</v>
      </c>
      <c r="Y659" s="308">
        <v>0</v>
      </c>
      <c r="Z659" s="308">
        <v>9.0324000000000009</v>
      </c>
      <c r="AA659" s="308">
        <v>8.9987999999999992</v>
      </c>
      <c r="AB659" s="308">
        <v>9.0276999999999994</v>
      </c>
      <c r="AC659" s="308">
        <v>11.025</v>
      </c>
      <c r="AD659" s="308">
        <v>9.4176000000000002</v>
      </c>
      <c r="AE659" s="308">
        <v>7.9603000000000002</v>
      </c>
      <c r="AF659" s="308">
        <v>0</v>
      </c>
      <c r="AG659" s="308">
        <v>10.244300000000001</v>
      </c>
      <c r="AH659" s="308">
        <v>7.75</v>
      </c>
      <c r="AI659" s="308">
        <v>6.9244000000000003</v>
      </c>
      <c r="AJ659" s="308">
        <v>9.9070999999999998</v>
      </c>
      <c r="AK659" s="308">
        <v>8.3323</v>
      </c>
      <c r="AL659" s="308">
        <v>7.0236999999999998</v>
      </c>
      <c r="AM659" s="308">
        <v>10.3507</v>
      </c>
      <c r="AN659" s="308">
        <v>8.0663</v>
      </c>
      <c r="AO659" s="308">
        <v>6.8616999999999999</v>
      </c>
      <c r="AP659" s="308">
        <v>8.0104000000000006</v>
      </c>
      <c r="AQ659" s="308">
        <v>8.6723999999999997</v>
      </c>
      <c r="AR659" s="308">
        <v>12.047599999999999</v>
      </c>
      <c r="AS659" s="308">
        <v>5.6173999999999999</v>
      </c>
      <c r="AT659" s="308">
        <v>5.8037000000000001</v>
      </c>
      <c r="AU659" s="308">
        <v>8.8810000000000002</v>
      </c>
      <c r="AV659" s="308">
        <v>8.7561999999999998</v>
      </c>
      <c r="AW659" s="308">
        <v>7.8638000000000003</v>
      </c>
      <c r="AX659" s="308">
        <v>10.455299999999999</v>
      </c>
      <c r="AY659" s="308">
        <v>6.8902999999999999</v>
      </c>
      <c r="AZ659" s="308">
        <v>12.745799999999999</v>
      </c>
      <c r="BA659" s="308">
        <v>9.6469000000000005</v>
      </c>
      <c r="BB659" s="308">
        <v>0</v>
      </c>
      <c r="BC659" s="308">
        <v>7.4656000000000002</v>
      </c>
      <c r="BD659" s="308">
        <v>7.8669000000000002</v>
      </c>
      <c r="BE659" s="308">
        <v>9.5894999999999992</v>
      </c>
      <c r="BF659" s="308">
        <v>9.5126000000000008</v>
      </c>
      <c r="BG659" s="308">
        <v>7.8330000000000002</v>
      </c>
      <c r="BH659" s="308">
        <v>8.6278000000000006</v>
      </c>
      <c r="BI659" s="308">
        <v>8.8445</v>
      </c>
      <c r="BJ659" s="308">
        <v>7.9309000000000003</v>
      </c>
      <c r="BK659" s="308">
        <v>6.9066999999999998</v>
      </c>
    </row>
    <row r="660" spans="1:63" x14ac:dyDescent="0.25">
      <c r="A660" s="306">
        <v>334516</v>
      </c>
      <c r="B660" s="308" t="s">
        <v>226</v>
      </c>
      <c r="C660" s="308">
        <v>9.1453000000000007</v>
      </c>
      <c r="D660" s="308">
        <v>0</v>
      </c>
      <c r="E660" s="308">
        <v>8.3793000000000006</v>
      </c>
      <c r="F660" s="308">
        <v>0</v>
      </c>
      <c r="G660" s="308">
        <v>6.8422000000000001</v>
      </c>
      <c r="H660" s="308">
        <v>7.1105</v>
      </c>
      <c r="I660" s="308">
        <v>8.2217000000000002</v>
      </c>
      <c r="J660" s="308">
        <v>6.1725000000000003</v>
      </c>
      <c r="K660" s="308">
        <v>1.0003</v>
      </c>
      <c r="L660" s="308">
        <v>4.1939000000000002</v>
      </c>
      <c r="M660" s="308">
        <v>8.3064</v>
      </c>
      <c r="N660" s="308">
        <v>9.8047000000000004</v>
      </c>
      <c r="O660" s="308">
        <v>0</v>
      </c>
      <c r="P660" s="308">
        <v>0</v>
      </c>
      <c r="Q660" s="308">
        <v>8.6819000000000006</v>
      </c>
      <c r="R660" s="308">
        <v>8.2477</v>
      </c>
      <c r="S660" s="308">
        <v>7.6867999999999999</v>
      </c>
      <c r="T660" s="308">
        <v>0</v>
      </c>
      <c r="U660" s="308">
        <v>8.6795000000000009</v>
      </c>
      <c r="V660" s="308">
        <v>8.5025999999999993</v>
      </c>
      <c r="W660" s="308">
        <v>6.4595000000000002</v>
      </c>
      <c r="X660" s="308">
        <v>6.0514000000000001</v>
      </c>
      <c r="Y660" s="308">
        <v>8.0733999999999995</v>
      </c>
      <c r="Z660" s="308">
        <v>8.7546999999999997</v>
      </c>
      <c r="AA660" s="308">
        <v>7.9898999999999996</v>
      </c>
      <c r="AB660" s="308">
        <v>9.0219000000000005</v>
      </c>
      <c r="AC660" s="308">
        <v>8.0546000000000006</v>
      </c>
      <c r="AD660" s="308">
        <v>7.4413999999999998</v>
      </c>
      <c r="AE660" s="308">
        <v>9.0253999999999994</v>
      </c>
      <c r="AF660" s="308">
        <v>0</v>
      </c>
      <c r="AG660" s="308">
        <v>6.9691000000000001</v>
      </c>
      <c r="AH660" s="308">
        <v>8.7020999999999997</v>
      </c>
      <c r="AI660" s="308">
        <v>6.9828000000000001</v>
      </c>
      <c r="AJ660" s="308">
        <v>6.3425000000000002</v>
      </c>
      <c r="AK660" s="308">
        <v>7.2645</v>
      </c>
      <c r="AL660" s="308">
        <v>6.0095999999999998</v>
      </c>
      <c r="AM660" s="308">
        <v>8.9946999999999999</v>
      </c>
      <c r="AN660" s="308">
        <v>6.9185999999999996</v>
      </c>
      <c r="AO660" s="308">
        <v>7.4804000000000004</v>
      </c>
      <c r="AP660" s="308">
        <v>8.4818999999999996</v>
      </c>
      <c r="AQ660" s="308">
        <v>7.6516999999999999</v>
      </c>
      <c r="AR660" s="308">
        <v>8.7532999999999994</v>
      </c>
      <c r="AS660" s="308">
        <v>0</v>
      </c>
      <c r="AT660" s="308">
        <v>7.3761999999999999</v>
      </c>
      <c r="AU660" s="308">
        <v>7.5952999999999999</v>
      </c>
      <c r="AV660" s="308">
        <v>10.6403</v>
      </c>
      <c r="AW660" s="308">
        <v>7.45</v>
      </c>
      <c r="AX660" s="308">
        <v>6.8930999999999996</v>
      </c>
      <c r="AY660" s="308">
        <v>6.6406999999999998</v>
      </c>
      <c r="AZ660" s="308">
        <v>8.1274999999999995</v>
      </c>
      <c r="BA660" s="308">
        <v>0</v>
      </c>
      <c r="BB660" s="308">
        <v>5.7754000000000003</v>
      </c>
      <c r="BC660" s="308">
        <v>7.4970999999999997</v>
      </c>
      <c r="BD660" s="308">
        <v>7.7670000000000003</v>
      </c>
      <c r="BE660" s="308">
        <v>8.8057999999999996</v>
      </c>
      <c r="BF660" s="308">
        <v>8.3600999999999992</v>
      </c>
      <c r="BG660" s="308">
        <v>8.1936999999999998</v>
      </c>
      <c r="BH660" s="308">
        <v>8.2453000000000003</v>
      </c>
      <c r="BI660" s="308">
        <v>7.6165000000000003</v>
      </c>
      <c r="BJ660" s="308">
        <v>8.5893999999999995</v>
      </c>
      <c r="BK660" s="308">
        <v>7.2656999999999998</v>
      </c>
    </row>
    <row r="661" spans="1:63" x14ac:dyDescent="0.25">
      <c r="A661" s="306">
        <v>334517</v>
      </c>
      <c r="B661" s="308" t="s">
        <v>227</v>
      </c>
      <c r="C661" s="308">
        <v>6.7530000000000001</v>
      </c>
      <c r="D661" s="308">
        <v>3.0623</v>
      </c>
      <c r="E661" s="308">
        <v>7.0224000000000002</v>
      </c>
      <c r="F661" s="308">
        <v>0</v>
      </c>
      <c r="G661" s="308">
        <v>4.4470999999999998</v>
      </c>
      <c r="H661" s="308">
        <v>5.4420999999999999</v>
      </c>
      <c r="I661" s="308">
        <v>4.9939999999999998</v>
      </c>
      <c r="J661" s="308">
        <v>4.4893000000000001</v>
      </c>
      <c r="K661" s="308">
        <v>0</v>
      </c>
      <c r="L661" s="308">
        <v>0</v>
      </c>
      <c r="M661" s="308">
        <v>5.0439999999999996</v>
      </c>
      <c r="N661" s="308">
        <v>6.4396000000000004</v>
      </c>
      <c r="O661" s="308">
        <v>0</v>
      </c>
      <c r="P661" s="308">
        <v>6.4260999999999999</v>
      </c>
      <c r="Q661" s="308">
        <v>0</v>
      </c>
      <c r="R661" s="308">
        <v>5.7112999999999996</v>
      </c>
      <c r="S661" s="308">
        <v>5.6844999999999999</v>
      </c>
      <c r="T661" s="308">
        <v>5.9992000000000001</v>
      </c>
      <c r="U661" s="308">
        <v>7.2297000000000002</v>
      </c>
      <c r="V661" s="308">
        <v>3.7847</v>
      </c>
      <c r="W661" s="308">
        <v>4.5033000000000003</v>
      </c>
      <c r="X661" s="308">
        <v>3.7385999999999999</v>
      </c>
      <c r="Y661" s="308">
        <v>0</v>
      </c>
      <c r="Z661" s="308">
        <v>5.1280999999999999</v>
      </c>
      <c r="AA661" s="308">
        <v>6.3917999999999999</v>
      </c>
      <c r="AB661" s="308">
        <v>6.7990000000000004</v>
      </c>
      <c r="AC661" s="308">
        <v>0</v>
      </c>
      <c r="AD661" s="308">
        <v>0</v>
      </c>
      <c r="AE661" s="308">
        <v>7.5852000000000004</v>
      </c>
      <c r="AF661" s="308">
        <v>0</v>
      </c>
      <c r="AG661" s="308">
        <v>0</v>
      </c>
      <c r="AH661" s="308">
        <v>0</v>
      </c>
      <c r="AI661" s="308">
        <v>5.7126000000000001</v>
      </c>
      <c r="AJ661" s="308">
        <v>4.5381</v>
      </c>
      <c r="AK661" s="308">
        <v>0</v>
      </c>
      <c r="AL661" s="308">
        <v>3.8313000000000001</v>
      </c>
      <c r="AM661" s="308">
        <v>6.4542000000000002</v>
      </c>
      <c r="AN661" s="308">
        <v>5.5540000000000003</v>
      </c>
      <c r="AO661" s="308">
        <v>7.5690999999999997</v>
      </c>
      <c r="AP661" s="308">
        <v>5.3512000000000004</v>
      </c>
      <c r="AQ661" s="308">
        <v>5.8601000000000001</v>
      </c>
      <c r="AR661" s="308">
        <v>0</v>
      </c>
      <c r="AS661" s="308">
        <v>0</v>
      </c>
      <c r="AT661" s="308">
        <v>5.8590999999999998</v>
      </c>
      <c r="AU661" s="308">
        <v>5.2263999999999999</v>
      </c>
      <c r="AV661" s="308">
        <v>6.1994999999999996</v>
      </c>
      <c r="AW661" s="308">
        <v>0</v>
      </c>
      <c r="AX661" s="308">
        <v>5.1174999999999997</v>
      </c>
      <c r="AY661" s="308">
        <v>5.2095000000000002</v>
      </c>
      <c r="AZ661" s="308">
        <v>5.3057999999999996</v>
      </c>
      <c r="BA661" s="308">
        <v>5.4012000000000002</v>
      </c>
      <c r="BB661" s="308">
        <v>0</v>
      </c>
      <c r="BC661" s="308">
        <v>5.5157999999999996</v>
      </c>
      <c r="BD661" s="308">
        <v>5.2350000000000003</v>
      </c>
      <c r="BE661" s="308">
        <v>5.6515000000000004</v>
      </c>
      <c r="BF661" s="308">
        <v>7.0651999999999999</v>
      </c>
      <c r="BG661" s="308">
        <v>6.5843999999999996</v>
      </c>
      <c r="BH661" s="308">
        <v>7.0350999999999999</v>
      </c>
      <c r="BI661" s="308">
        <v>5.4584999999999999</v>
      </c>
      <c r="BJ661" s="308">
        <v>5.4813000000000001</v>
      </c>
      <c r="BK661" s="308">
        <v>5.5201000000000002</v>
      </c>
    </row>
    <row r="662" spans="1:63" x14ac:dyDescent="0.25">
      <c r="A662" s="306" t="s">
        <v>740</v>
      </c>
      <c r="B662" s="308" t="s">
        <v>228</v>
      </c>
      <c r="C662" s="308">
        <v>10.113200000000001</v>
      </c>
      <c r="D662" s="308">
        <v>0</v>
      </c>
      <c r="E662" s="308">
        <v>10.656499999999999</v>
      </c>
      <c r="F662" s="308">
        <v>10.4025</v>
      </c>
      <c r="G662" s="308">
        <v>9.4716000000000005</v>
      </c>
      <c r="H662" s="308">
        <v>8.0306999999999995</v>
      </c>
      <c r="I662" s="308">
        <v>9.0566999999999993</v>
      </c>
      <c r="J662" s="308">
        <v>6.81</v>
      </c>
      <c r="K662" s="308">
        <v>0</v>
      </c>
      <c r="L662" s="308">
        <v>0</v>
      </c>
      <c r="M662" s="308">
        <v>8.5444999999999993</v>
      </c>
      <c r="N662" s="308">
        <v>9.4862000000000002</v>
      </c>
      <c r="O662" s="308">
        <v>0</v>
      </c>
      <c r="P662" s="308">
        <v>8.1870999999999992</v>
      </c>
      <c r="Q662" s="308">
        <v>8.9949999999999992</v>
      </c>
      <c r="R662" s="308">
        <v>8.5103000000000009</v>
      </c>
      <c r="S662" s="308">
        <v>8.391</v>
      </c>
      <c r="T662" s="308">
        <v>8.5780999999999992</v>
      </c>
      <c r="U662" s="308">
        <v>9.1587999999999994</v>
      </c>
      <c r="V662" s="308">
        <v>8.5728000000000009</v>
      </c>
      <c r="W662" s="308">
        <v>6.9955999999999996</v>
      </c>
      <c r="X662" s="308">
        <v>7.6215000000000002</v>
      </c>
      <c r="Y662" s="308">
        <v>10.5055</v>
      </c>
      <c r="Z662" s="308">
        <v>8.9359000000000002</v>
      </c>
      <c r="AA662" s="308">
        <v>7.7460000000000004</v>
      </c>
      <c r="AB662" s="308">
        <v>6.9904999999999999</v>
      </c>
      <c r="AC662" s="308">
        <v>9.5314999999999994</v>
      </c>
      <c r="AD662" s="308">
        <v>9.0535999999999994</v>
      </c>
      <c r="AE662" s="308">
        <v>9.93</v>
      </c>
      <c r="AF662" s="308">
        <v>8.8285</v>
      </c>
      <c r="AG662" s="308">
        <v>9.7662999999999993</v>
      </c>
      <c r="AH662" s="308">
        <v>7.1364000000000001</v>
      </c>
      <c r="AI662" s="308">
        <v>7.2103999999999999</v>
      </c>
      <c r="AJ662" s="308">
        <v>7.1879999999999997</v>
      </c>
      <c r="AK662" s="308">
        <v>7.7533000000000003</v>
      </c>
      <c r="AL662" s="308">
        <v>6.7552000000000003</v>
      </c>
      <c r="AM662" s="308">
        <v>9.2104999999999997</v>
      </c>
      <c r="AN662" s="308">
        <v>10.1412</v>
      </c>
      <c r="AO662" s="308">
        <v>9.1326999999999998</v>
      </c>
      <c r="AP662" s="308">
        <v>9.01</v>
      </c>
      <c r="AQ662" s="308">
        <v>9.6891999999999996</v>
      </c>
      <c r="AR662" s="308">
        <v>8.4558</v>
      </c>
      <c r="AS662" s="308">
        <v>0</v>
      </c>
      <c r="AT662" s="308">
        <v>7.9024000000000001</v>
      </c>
      <c r="AU662" s="308">
        <v>8.5942000000000007</v>
      </c>
      <c r="AV662" s="308">
        <v>10.4499</v>
      </c>
      <c r="AW662" s="308">
        <v>6.9142999999999999</v>
      </c>
      <c r="AX662" s="308">
        <v>6.7853000000000003</v>
      </c>
      <c r="AY662" s="308">
        <v>7.8578999999999999</v>
      </c>
      <c r="AZ662" s="308">
        <v>9.1808999999999994</v>
      </c>
      <c r="BA662" s="308">
        <v>8.3905999999999992</v>
      </c>
      <c r="BB662" s="308">
        <v>6.8154000000000003</v>
      </c>
      <c r="BC662" s="308">
        <v>8.0856999999999992</v>
      </c>
      <c r="BD662" s="308">
        <v>8.3218999999999994</v>
      </c>
      <c r="BE662" s="308">
        <v>9.2599</v>
      </c>
      <c r="BF662" s="308">
        <v>8.0090000000000003</v>
      </c>
      <c r="BG662" s="308">
        <v>9.6555</v>
      </c>
      <c r="BH662" s="308">
        <v>8.3460999999999999</v>
      </c>
      <c r="BI662" s="308">
        <v>8.7721</v>
      </c>
      <c r="BJ662" s="308">
        <v>9.5846999999999998</v>
      </c>
      <c r="BK662" s="308">
        <v>8.298</v>
      </c>
    </row>
    <row r="663" spans="1:63" x14ac:dyDescent="0.25">
      <c r="A663" s="306">
        <v>334613</v>
      </c>
      <c r="B663" s="308" t="s">
        <v>229</v>
      </c>
      <c r="C663" s="308">
        <v>6.8212999999999999</v>
      </c>
      <c r="D663" s="308">
        <v>0</v>
      </c>
      <c r="E663" s="308">
        <v>5.4362000000000004</v>
      </c>
      <c r="F663" s="308">
        <v>0</v>
      </c>
      <c r="G663" s="308">
        <v>3.8652000000000002</v>
      </c>
      <c r="H663" s="308">
        <v>4.6513</v>
      </c>
      <c r="I663" s="308">
        <v>4.9452999999999996</v>
      </c>
      <c r="J663" s="308">
        <v>4.9444999999999997</v>
      </c>
      <c r="K663" s="308">
        <v>0.65210000000000001</v>
      </c>
      <c r="L663" s="308">
        <v>0</v>
      </c>
      <c r="M663" s="308">
        <v>4.1957000000000004</v>
      </c>
      <c r="N663" s="308">
        <v>5.8220999999999998</v>
      </c>
      <c r="O663" s="308">
        <v>0</v>
      </c>
      <c r="P663" s="308">
        <v>0</v>
      </c>
      <c r="Q663" s="308">
        <v>0</v>
      </c>
      <c r="R663" s="308">
        <v>5.5563000000000002</v>
      </c>
      <c r="S663" s="308">
        <v>0</v>
      </c>
      <c r="T663" s="308">
        <v>4.7165999999999997</v>
      </c>
      <c r="U663" s="308">
        <v>0</v>
      </c>
      <c r="V663" s="308">
        <v>0</v>
      </c>
      <c r="W663" s="308">
        <v>5.2461000000000002</v>
      </c>
      <c r="X663" s="308">
        <v>5.3940999999999999</v>
      </c>
      <c r="Y663" s="308">
        <v>6.0406000000000004</v>
      </c>
      <c r="Z663" s="308">
        <v>0</v>
      </c>
      <c r="AA663" s="308">
        <v>6.0114999999999998</v>
      </c>
      <c r="AB663" s="308">
        <v>0</v>
      </c>
      <c r="AC663" s="308">
        <v>0</v>
      </c>
      <c r="AD663" s="308">
        <v>0</v>
      </c>
      <c r="AE663" s="308">
        <v>6.2058</v>
      </c>
      <c r="AF663" s="308">
        <v>3.1957</v>
      </c>
      <c r="AG663" s="308">
        <v>0</v>
      </c>
      <c r="AH663" s="308">
        <v>0</v>
      </c>
      <c r="AI663" s="308">
        <v>4.149</v>
      </c>
      <c r="AJ663" s="308">
        <v>0</v>
      </c>
      <c r="AK663" s="308">
        <v>5.0255999999999998</v>
      </c>
      <c r="AL663" s="308">
        <v>3.3378999999999999</v>
      </c>
      <c r="AM663" s="308">
        <v>0</v>
      </c>
      <c r="AN663" s="308">
        <v>4.5675999999999997</v>
      </c>
      <c r="AO663" s="308">
        <v>0</v>
      </c>
      <c r="AP663" s="308">
        <v>0</v>
      </c>
      <c r="AQ663" s="308">
        <v>0</v>
      </c>
      <c r="AR663" s="308">
        <v>0</v>
      </c>
      <c r="AS663" s="308">
        <v>0</v>
      </c>
      <c r="AT663" s="308">
        <v>0</v>
      </c>
      <c r="AU663" s="308">
        <v>6.5282</v>
      </c>
      <c r="AV663" s="308">
        <v>7.0576999999999996</v>
      </c>
      <c r="AW663" s="308">
        <v>0</v>
      </c>
      <c r="AX663" s="308">
        <v>0</v>
      </c>
      <c r="AY663" s="308">
        <v>6.3634000000000004</v>
      </c>
      <c r="AZ663" s="308">
        <v>0</v>
      </c>
      <c r="BA663" s="308">
        <v>0</v>
      </c>
      <c r="BB663" s="308">
        <v>0</v>
      </c>
      <c r="BC663" s="308">
        <v>6.0610999999999997</v>
      </c>
      <c r="BD663" s="308">
        <v>4.6891999999999996</v>
      </c>
      <c r="BE663" s="308">
        <v>6.1862000000000004</v>
      </c>
      <c r="BF663" s="308">
        <v>5.3327</v>
      </c>
      <c r="BG663" s="308">
        <v>6.0559000000000003</v>
      </c>
      <c r="BH663" s="308">
        <v>5.9143999999999997</v>
      </c>
      <c r="BI663" s="308">
        <v>6.0831999999999997</v>
      </c>
      <c r="BJ663" s="308">
        <v>5.5739000000000001</v>
      </c>
      <c r="BK663" s="308">
        <v>4.7790999999999997</v>
      </c>
    </row>
    <row r="664" spans="1:63" x14ac:dyDescent="0.25">
      <c r="A664" s="306" t="s">
        <v>741</v>
      </c>
      <c r="B664" s="308" t="s">
        <v>742</v>
      </c>
      <c r="C664" s="308">
        <v>9.2617999999999991</v>
      </c>
      <c r="D664" s="308">
        <v>0</v>
      </c>
      <c r="E664" s="308">
        <v>10.410500000000001</v>
      </c>
      <c r="F664" s="308">
        <v>6.6169000000000002</v>
      </c>
      <c r="G664" s="308">
        <v>7.7648999999999999</v>
      </c>
      <c r="H664" s="308">
        <v>6.7084999999999999</v>
      </c>
      <c r="I664" s="308">
        <v>6.0819999999999999</v>
      </c>
      <c r="J664" s="308">
        <v>8.327</v>
      </c>
      <c r="K664" s="308">
        <v>0.8488</v>
      </c>
      <c r="L664" s="308">
        <v>5.9461000000000004</v>
      </c>
      <c r="M664" s="308">
        <v>7.7892999999999999</v>
      </c>
      <c r="N664" s="308">
        <v>7.8940999999999999</v>
      </c>
      <c r="O664" s="308">
        <v>0</v>
      </c>
      <c r="P664" s="308">
        <v>5.7248999999999999</v>
      </c>
      <c r="Q664" s="308">
        <v>8.0167999999999999</v>
      </c>
      <c r="R664" s="308">
        <v>6.9180000000000001</v>
      </c>
      <c r="S664" s="308">
        <v>8.6561000000000003</v>
      </c>
      <c r="T664" s="308">
        <v>4.7445000000000004</v>
      </c>
      <c r="U664" s="308">
        <v>9.4189000000000007</v>
      </c>
      <c r="V664" s="308">
        <v>7.4996999999999998</v>
      </c>
      <c r="W664" s="308">
        <v>6.6463999999999999</v>
      </c>
      <c r="X664" s="308">
        <v>4.9751000000000003</v>
      </c>
      <c r="Y664" s="308">
        <v>7.7108999999999996</v>
      </c>
      <c r="Z664" s="308">
        <v>9.5792999999999999</v>
      </c>
      <c r="AA664" s="308">
        <v>8.3681000000000001</v>
      </c>
      <c r="AB664" s="308">
        <v>6.2305000000000001</v>
      </c>
      <c r="AC664" s="308">
        <v>0</v>
      </c>
      <c r="AD664" s="308">
        <v>7.9165000000000001</v>
      </c>
      <c r="AE664" s="308">
        <v>6.6226000000000003</v>
      </c>
      <c r="AF664" s="308">
        <v>0</v>
      </c>
      <c r="AG664" s="308">
        <v>8.9655000000000005</v>
      </c>
      <c r="AH664" s="308">
        <v>8.3619000000000003</v>
      </c>
      <c r="AI664" s="308">
        <v>7.2747000000000002</v>
      </c>
      <c r="AJ664" s="308">
        <v>8.9183000000000003</v>
      </c>
      <c r="AK664" s="308">
        <v>8.9955999999999996</v>
      </c>
      <c r="AL664" s="308">
        <v>5.1726999999999999</v>
      </c>
      <c r="AM664" s="308">
        <v>6.5030000000000001</v>
      </c>
      <c r="AN664" s="308">
        <v>8.1835000000000004</v>
      </c>
      <c r="AO664" s="308">
        <v>10.0778</v>
      </c>
      <c r="AP664" s="308">
        <v>7.4210000000000003</v>
      </c>
      <c r="AQ664" s="308">
        <v>6.4006999999999996</v>
      </c>
      <c r="AR664" s="308">
        <v>7.3941999999999997</v>
      </c>
      <c r="AS664" s="308">
        <v>0</v>
      </c>
      <c r="AT664" s="308">
        <v>8.1809999999999992</v>
      </c>
      <c r="AU664" s="308">
        <v>6.9054000000000002</v>
      </c>
      <c r="AV664" s="308">
        <v>10.312900000000001</v>
      </c>
      <c r="AW664" s="308">
        <v>5.9432999999999998</v>
      </c>
      <c r="AX664" s="308">
        <v>9.1462000000000003</v>
      </c>
      <c r="AY664" s="308">
        <v>9.2766000000000002</v>
      </c>
      <c r="AZ664" s="308">
        <v>8.5655000000000001</v>
      </c>
      <c r="BA664" s="308">
        <v>5.2022000000000004</v>
      </c>
      <c r="BB664" s="308">
        <v>0</v>
      </c>
      <c r="BC664" s="308">
        <v>9.2795000000000005</v>
      </c>
      <c r="BD664" s="308">
        <v>7.1230000000000002</v>
      </c>
      <c r="BE664" s="308">
        <v>8.8661999999999992</v>
      </c>
      <c r="BF664" s="308">
        <v>7.5864000000000003</v>
      </c>
      <c r="BG664" s="308">
        <v>7.1340000000000003</v>
      </c>
      <c r="BH664" s="308">
        <v>10.400499999999999</v>
      </c>
      <c r="BI664" s="308">
        <v>7.0928000000000004</v>
      </c>
      <c r="BJ664" s="308">
        <v>7.6319999999999997</v>
      </c>
      <c r="BK664" s="308">
        <v>7.0427999999999997</v>
      </c>
    </row>
    <row r="665" spans="1:63" x14ac:dyDescent="0.25">
      <c r="A665" s="306">
        <v>335110</v>
      </c>
      <c r="B665" s="308" t="s">
        <v>230</v>
      </c>
      <c r="C665" s="308">
        <v>7.5552000000000001</v>
      </c>
      <c r="D665" s="308">
        <v>0</v>
      </c>
      <c r="E665" s="308">
        <v>10.0242</v>
      </c>
      <c r="F665" s="308">
        <v>6.7027000000000001</v>
      </c>
      <c r="G665" s="308">
        <v>9.0814000000000004</v>
      </c>
      <c r="H665" s="308">
        <v>7.2866999999999997</v>
      </c>
      <c r="I665" s="308">
        <v>6.2079000000000004</v>
      </c>
      <c r="J665" s="308">
        <v>6.6901999999999999</v>
      </c>
      <c r="K665" s="308">
        <v>0</v>
      </c>
      <c r="L665" s="308">
        <v>0</v>
      </c>
      <c r="M665" s="308">
        <v>8.5882000000000005</v>
      </c>
      <c r="N665" s="308">
        <v>0</v>
      </c>
      <c r="O665" s="308">
        <v>0</v>
      </c>
      <c r="P665" s="308">
        <v>8.2085000000000008</v>
      </c>
      <c r="Q665" s="308">
        <v>0</v>
      </c>
      <c r="R665" s="308">
        <v>7.3361000000000001</v>
      </c>
      <c r="S665" s="308">
        <v>7.5096999999999996</v>
      </c>
      <c r="T665" s="308">
        <v>0</v>
      </c>
      <c r="U665" s="308">
        <v>6.4410999999999996</v>
      </c>
      <c r="V665" s="308">
        <v>8.3155000000000001</v>
      </c>
      <c r="W665" s="308">
        <v>4.4936999999999996</v>
      </c>
      <c r="X665" s="308">
        <v>4.8506</v>
      </c>
      <c r="Y665" s="308">
        <v>9.8270999999999997</v>
      </c>
      <c r="Z665" s="308">
        <v>0</v>
      </c>
      <c r="AA665" s="308">
        <v>0</v>
      </c>
      <c r="AB665" s="308">
        <v>8.0652000000000008</v>
      </c>
      <c r="AC665" s="308">
        <v>0</v>
      </c>
      <c r="AD665" s="308">
        <v>0</v>
      </c>
      <c r="AE665" s="308">
        <v>6.5164999999999997</v>
      </c>
      <c r="AF665" s="308">
        <v>0</v>
      </c>
      <c r="AG665" s="308">
        <v>0</v>
      </c>
      <c r="AH665" s="308">
        <v>5.5094000000000003</v>
      </c>
      <c r="AI665" s="308">
        <v>4.9303999999999997</v>
      </c>
      <c r="AJ665" s="308">
        <v>0</v>
      </c>
      <c r="AK665" s="308">
        <v>0</v>
      </c>
      <c r="AL665" s="308">
        <v>5.4097999999999997</v>
      </c>
      <c r="AM665" s="308">
        <v>6.3292999999999999</v>
      </c>
      <c r="AN665" s="308">
        <v>0</v>
      </c>
      <c r="AO665" s="308">
        <v>7.2782</v>
      </c>
      <c r="AP665" s="308">
        <v>8.1113999999999997</v>
      </c>
      <c r="AQ665" s="308">
        <v>0</v>
      </c>
      <c r="AR665" s="308">
        <v>10.0786</v>
      </c>
      <c r="AS665" s="308">
        <v>0</v>
      </c>
      <c r="AT665" s="308">
        <v>10.228899999999999</v>
      </c>
      <c r="AU665" s="308">
        <v>5.9287999999999998</v>
      </c>
      <c r="AV665" s="308">
        <v>0</v>
      </c>
      <c r="AW665" s="308">
        <v>5.4882</v>
      </c>
      <c r="AX665" s="308">
        <v>6.1623999999999999</v>
      </c>
      <c r="AY665" s="308">
        <v>0</v>
      </c>
      <c r="AZ665" s="308">
        <v>0</v>
      </c>
      <c r="BA665" s="308">
        <v>5.7003000000000004</v>
      </c>
      <c r="BB665" s="308">
        <v>0</v>
      </c>
      <c r="BC665" s="308">
        <v>6.0240999999999998</v>
      </c>
      <c r="BD665" s="308">
        <v>6.6210000000000004</v>
      </c>
      <c r="BE665" s="308">
        <v>6.9166999999999996</v>
      </c>
      <c r="BF665" s="308">
        <v>8.5538000000000007</v>
      </c>
      <c r="BG665" s="308">
        <v>6.8860000000000001</v>
      </c>
      <c r="BH665" s="308">
        <v>6.8983999999999996</v>
      </c>
      <c r="BI665" s="308">
        <v>6.3966000000000003</v>
      </c>
      <c r="BJ665" s="308">
        <v>8.6289999999999996</v>
      </c>
      <c r="BK665" s="308">
        <v>7.4577</v>
      </c>
    </row>
    <row r="666" spans="1:63" x14ac:dyDescent="0.25">
      <c r="A666" s="306">
        <v>335120</v>
      </c>
      <c r="B666" s="308" t="s">
        <v>231</v>
      </c>
      <c r="C666" s="308">
        <v>9.4382000000000001</v>
      </c>
      <c r="D666" s="308">
        <v>0</v>
      </c>
      <c r="E666" s="308">
        <v>9.9840999999999998</v>
      </c>
      <c r="F666" s="308">
        <v>8.1798999999999999</v>
      </c>
      <c r="G666" s="308">
        <v>8.4482999999999997</v>
      </c>
      <c r="H666" s="308">
        <v>7.7051999999999996</v>
      </c>
      <c r="I666" s="308">
        <v>8.0914999999999999</v>
      </c>
      <c r="J666" s="308">
        <v>6.2419000000000002</v>
      </c>
      <c r="K666" s="308">
        <v>0</v>
      </c>
      <c r="L666" s="308">
        <v>7.1607000000000003</v>
      </c>
      <c r="M666" s="308">
        <v>8.5290999999999997</v>
      </c>
      <c r="N666" s="308">
        <v>7.4912000000000001</v>
      </c>
      <c r="O666" s="308">
        <v>8.8780999999999999</v>
      </c>
      <c r="P666" s="308">
        <v>6.1508000000000003</v>
      </c>
      <c r="Q666" s="308">
        <v>8.5469000000000008</v>
      </c>
      <c r="R666" s="308">
        <v>8.4054000000000002</v>
      </c>
      <c r="S666" s="308">
        <v>8.6881000000000004</v>
      </c>
      <c r="T666" s="308">
        <v>5.9203999999999999</v>
      </c>
      <c r="U666" s="308">
        <v>8.7087000000000003</v>
      </c>
      <c r="V666" s="308">
        <v>9.3634000000000004</v>
      </c>
      <c r="W666" s="308">
        <v>5.8773999999999997</v>
      </c>
      <c r="X666" s="308">
        <v>7.6086999999999998</v>
      </c>
      <c r="Y666" s="308">
        <v>9.6294000000000004</v>
      </c>
      <c r="Z666" s="308">
        <v>8.8596000000000004</v>
      </c>
      <c r="AA666" s="308">
        <v>7.9396000000000004</v>
      </c>
      <c r="AB666" s="308">
        <v>7.3559999999999999</v>
      </c>
      <c r="AC666" s="308">
        <v>7.8432000000000004</v>
      </c>
      <c r="AD666" s="308">
        <v>8.3443000000000005</v>
      </c>
      <c r="AE666" s="308">
        <v>7.7213000000000003</v>
      </c>
      <c r="AF666" s="308">
        <v>0</v>
      </c>
      <c r="AG666" s="308">
        <v>5.8338000000000001</v>
      </c>
      <c r="AH666" s="308">
        <v>6.5997000000000003</v>
      </c>
      <c r="AI666" s="308">
        <v>6.2603</v>
      </c>
      <c r="AJ666" s="308">
        <v>8.2507000000000001</v>
      </c>
      <c r="AK666" s="308">
        <v>8.4405000000000001</v>
      </c>
      <c r="AL666" s="308">
        <v>6.4756999999999998</v>
      </c>
      <c r="AM666" s="308">
        <v>8.1624999999999996</v>
      </c>
      <c r="AN666" s="308">
        <v>9.2799999999999994</v>
      </c>
      <c r="AO666" s="308">
        <v>7.6433999999999997</v>
      </c>
      <c r="AP666" s="308">
        <v>8.4215999999999998</v>
      </c>
      <c r="AQ666" s="308">
        <v>7.2008000000000001</v>
      </c>
      <c r="AR666" s="308">
        <v>7.2217000000000002</v>
      </c>
      <c r="AS666" s="308">
        <v>7.9146999999999998</v>
      </c>
      <c r="AT666" s="308">
        <v>7.2423000000000002</v>
      </c>
      <c r="AU666" s="308">
        <v>7.8689</v>
      </c>
      <c r="AV666" s="308">
        <v>9.0371000000000006</v>
      </c>
      <c r="AW666" s="308">
        <v>7.3860999999999999</v>
      </c>
      <c r="AX666" s="308">
        <v>6.9919000000000002</v>
      </c>
      <c r="AY666" s="308">
        <v>8.1919000000000004</v>
      </c>
      <c r="AZ666" s="308">
        <v>8.1146999999999991</v>
      </c>
      <c r="BA666" s="308">
        <v>8.5947999999999993</v>
      </c>
      <c r="BB666" s="308">
        <v>6.4055999999999997</v>
      </c>
      <c r="BC666" s="308">
        <v>7.2979000000000003</v>
      </c>
      <c r="BD666" s="308">
        <v>7.6704999999999997</v>
      </c>
      <c r="BE666" s="308">
        <v>8.8879999999999999</v>
      </c>
      <c r="BF666" s="308">
        <v>7.3457999999999997</v>
      </c>
      <c r="BG666" s="308">
        <v>8.1327999999999996</v>
      </c>
      <c r="BH666" s="308">
        <v>8.3667999999999996</v>
      </c>
      <c r="BI666" s="308">
        <v>8.4495000000000005</v>
      </c>
      <c r="BJ666" s="308">
        <v>8.5772999999999993</v>
      </c>
      <c r="BK666" s="308">
        <v>7.8874000000000004</v>
      </c>
    </row>
    <row r="667" spans="1:63" x14ac:dyDescent="0.25">
      <c r="A667" s="306">
        <v>335210</v>
      </c>
      <c r="B667" s="308" t="s">
        <v>232</v>
      </c>
      <c r="C667" s="308">
        <v>8.4393999999999991</v>
      </c>
      <c r="D667" s="308">
        <v>0</v>
      </c>
      <c r="E667" s="308">
        <v>9.4305000000000003</v>
      </c>
      <c r="F667" s="308">
        <v>8.5841999999999992</v>
      </c>
      <c r="G667" s="308">
        <v>6.1153000000000004</v>
      </c>
      <c r="H667" s="308">
        <v>7.899</v>
      </c>
      <c r="I667" s="308">
        <v>5.4114000000000004</v>
      </c>
      <c r="J667" s="308">
        <v>4.6550000000000002</v>
      </c>
      <c r="K667" s="308">
        <v>0</v>
      </c>
      <c r="L667" s="308">
        <v>0</v>
      </c>
      <c r="M667" s="308">
        <v>4.9684999999999997</v>
      </c>
      <c r="N667" s="308">
        <v>0</v>
      </c>
      <c r="O667" s="308">
        <v>0</v>
      </c>
      <c r="P667" s="308">
        <v>6.7005999999999997</v>
      </c>
      <c r="Q667" s="308">
        <v>7.2366999999999999</v>
      </c>
      <c r="R667" s="308">
        <v>6.4905999999999997</v>
      </c>
      <c r="S667" s="308">
        <v>7.4363999999999999</v>
      </c>
      <c r="T667" s="308">
        <v>5.3986000000000001</v>
      </c>
      <c r="U667" s="308">
        <v>6.1647999999999996</v>
      </c>
      <c r="V667" s="308">
        <v>0</v>
      </c>
      <c r="W667" s="308">
        <v>5.5523999999999996</v>
      </c>
      <c r="X667" s="308">
        <v>4.6942000000000004</v>
      </c>
      <c r="Y667" s="308">
        <v>0</v>
      </c>
      <c r="Z667" s="308">
        <v>6.1802999999999999</v>
      </c>
      <c r="AA667" s="308">
        <v>7.9631999999999996</v>
      </c>
      <c r="AB667" s="308">
        <v>9.0263000000000009</v>
      </c>
      <c r="AC667" s="308">
        <v>8.4878</v>
      </c>
      <c r="AD667" s="308">
        <v>0</v>
      </c>
      <c r="AE667" s="308">
        <v>8.4631000000000007</v>
      </c>
      <c r="AF667" s="308">
        <v>0</v>
      </c>
      <c r="AG667" s="308">
        <v>0</v>
      </c>
      <c r="AH667" s="308">
        <v>0</v>
      </c>
      <c r="AI667" s="308">
        <v>6.6387999999999998</v>
      </c>
      <c r="AJ667" s="308">
        <v>0</v>
      </c>
      <c r="AK667" s="308">
        <v>0</v>
      </c>
      <c r="AL667" s="308">
        <v>7.1451000000000002</v>
      </c>
      <c r="AM667" s="308">
        <v>7.4378000000000002</v>
      </c>
      <c r="AN667" s="308">
        <v>0</v>
      </c>
      <c r="AO667" s="308">
        <v>0</v>
      </c>
      <c r="AP667" s="308">
        <v>6.9560000000000004</v>
      </c>
      <c r="AQ667" s="308">
        <v>0</v>
      </c>
      <c r="AR667" s="308">
        <v>5.9352999999999998</v>
      </c>
      <c r="AS667" s="308">
        <v>4.9387999999999996</v>
      </c>
      <c r="AT667" s="308">
        <v>8.1183999999999994</v>
      </c>
      <c r="AU667" s="308">
        <v>7.4755000000000003</v>
      </c>
      <c r="AV667" s="308">
        <v>7.0275999999999996</v>
      </c>
      <c r="AW667" s="308">
        <v>6.7435</v>
      </c>
      <c r="AX667" s="308">
        <v>0</v>
      </c>
      <c r="AY667" s="308">
        <v>4.7953999999999999</v>
      </c>
      <c r="AZ667" s="308">
        <v>7.0849000000000002</v>
      </c>
      <c r="BA667" s="308">
        <v>0</v>
      </c>
      <c r="BB667" s="308">
        <v>0</v>
      </c>
      <c r="BC667" s="308">
        <v>5.5194000000000001</v>
      </c>
      <c r="BD667" s="308">
        <v>7.5096999999999996</v>
      </c>
      <c r="BE667" s="308">
        <v>7.3263999999999996</v>
      </c>
      <c r="BF667" s="308">
        <v>7.8102999999999998</v>
      </c>
      <c r="BG667" s="308">
        <v>7.4581</v>
      </c>
      <c r="BH667" s="308">
        <v>8.4466000000000001</v>
      </c>
      <c r="BI667" s="308">
        <v>7.8681000000000001</v>
      </c>
      <c r="BJ667" s="308">
        <v>5.9051999999999998</v>
      </c>
      <c r="BK667" s="308">
        <v>5.9359000000000002</v>
      </c>
    </row>
    <row r="668" spans="1:63" x14ac:dyDescent="0.25">
      <c r="A668" s="306">
        <v>335221</v>
      </c>
      <c r="B668" s="308" t="s">
        <v>233</v>
      </c>
      <c r="C668" s="308">
        <v>9.6847999999999992</v>
      </c>
      <c r="D668" s="308">
        <v>0</v>
      </c>
      <c r="E668" s="308">
        <v>0</v>
      </c>
      <c r="F668" s="308">
        <v>0</v>
      </c>
      <c r="G668" s="308">
        <v>7.0568999999999997</v>
      </c>
      <c r="H668" s="308">
        <v>6.4329999999999998</v>
      </c>
      <c r="I668" s="308">
        <v>0</v>
      </c>
      <c r="J668" s="308">
        <v>6.6314000000000002</v>
      </c>
      <c r="K668" s="308">
        <v>0</v>
      </c>
      <c r="L668" s="308">
        <v>0</v>
      </c>
      <c r="M668" s="308">
        <v>6.9859999999999998</v>
      </c>
      <c r="N668" s="308">
        <v>7.0804999999999998</v>
      </c>
      <c r="O668" s="308">
        <v>0</v>
      </c>
      <c r="P668" s="308">
        <v>6.5098000000000003</v>
      </c>
      <c r="Q668" s="308">
        <v>6.3010999999999999</v>
      </c>
      <c r="R668" s="308">
        <v>7.6024000000000003</v>
      </c>
      <c r="S668" s="308">
        <v>8.8520000000000003</v>
      </c>
      <c r="T668" s="308">
        <v>7.5266999999999999</v>
      </c>
      <c r="U668" s="308">
        <v>9.3500999999999994</v>
      </c>
      <c r="V668" s="308">
        <v>7.3223000000000003</v>
      </c>
      <c r="W668" s="308">
        <v>0</v>
      </c>
      <c r="X668" s="308">
        <v>5.2051999999999996</v>
      </c>
      <c r="Y668" s="308">
        <v>0</v>
      </c>
      <c r="Z668" s="308">
        <v>0</v>
      </c>
      <c r="AA668" s="308">
        <v>0</v>
      </c>
      <c r="AB668" s="308">
        <v>7.1973000000000003</v>
      </c>
      <c r="AC668" s="308">
        <v>7.4985999999999997</v>
      </c>
      <c r="AD668" s="308">
        <v>4.8117000000000001</v>
      </c>
      <c r="AE668" s="308">
        <v>8.0123999999999995</v>
      </c>
      <c r="AF668" s="308">
        <v>0</v>
      </c>
      <c r="AG668" s="308">
        <v>0</v>
      </c>
      <c r="AH668" s="308">
        <v>0</v>
      </c>
      <c r="AI668" s="308">
        <v>5.7374999999999998</v>
      </c>
      <c r="AJ668" s="308">
        <v>0</v>
      </c>
      <c r="AK668" s="308">
        <v>6.0861999999999998</v>
      </c>
      <c r="AL668" s="308">
        <v>7.0523999999999996</v>
      </c>
      <c r="AM668" s="308">
        <v>8.7830999999999992</v>
      </c>
      <c r="AN668" s="308">
        <v>7.0472999999999999</v>
      </c>
      <c r="AO668" s="308">
        <v>6.3922999999999996</v>
      </c>
      <c r="AP668" s="308">
        <v>8.6053999999999995</v>
      </c>
      <c r="AQ668" s="308">
        <v>0</v>
      </c>
      <c r="AR668" s="308">
        <v>9.2426999999999992</v>
      </c>
      <c r="AS668" s="308">
        <v>0</v>
      </c>
      <c r="AT668" s="308">
        <v>8.1865000000000006</v>
      </c>
      <c r="AU668" s="308">
        <v>8.0829000000000004</v>
      </c>
      <c r="AV668" s="308">
        <v>8.7073999999999998</v>
      </c>
      <c r="AW668" s="308">
        <v>0</v>
      </c>
      <c r="AX668" s="308">
        <v>0</v>
      </c>
      <c r="AY668" s="308">
        <v>0</v>
      </c>
      <c r="AZ668" s="308">
        <v>7.3554000000000004</v>
      </c>
      <c r="BA668" s="308">
        <v>0</v>
      </c>
      <c r="BB668" s="308">
        <v>0</v>
      </c>
      <c r="BC668" s="308">
        <v>7.6662999999999997</v>
      </c>
      <c r="BD668" s="308">
        <v>7.6501999999999999</v>
      </c>
      <c r="BE668" s="308">
        <v>8.3300999999999998</v>
      </c>
      <c r="BF668" s="308">
        <v>7.8071000000000002</v>
      </c>
      <c r="BG668" s="308">
        <v>7.2728999999999999</v>
      </c>
      <c r="BH668" s="308">
        <v>8.6820000000000004</v>
      </c>
      <c r="BI668" s="308">
        <v>8.0465</v>
      </c>
      <c r="BJ668" s="308">
        <v>7.1341999999999999</v>
      </c>
      <c r="BK668" s="308">
        <v>6.5345000000000004</v>
      </c>
    </row>
    <row r="669" spans="1:63" x14ac:dyDescent="0.25">
      <c r="A669" s="306">
        <v>335222</v>
      </c>
      <c r="B669" s="308" t="s">
        <v>234</v>
      </c>
      <c r="C669" s="308">
        <v>9.1148000000000007</v>
      </c>
      <c r="D669" s="308">
        <v>0</v>
      </c>
      <c r="E669" s="308">
        <v>7.7286000000000001</v>
      </c>
      <c r="F669" s="308">
        <v>8.1606000000000005</v>
      </c>
      <c r="G669" s="308">
        <v>6.5266000000000002</v>
      </c>
      <c r="H669" s="308">
        <v>6.3090000000000002</v>
      </c>
      <c r="I669" s="308">
        <v>0</v>
      </c>
      <c r="J669" s="308">
        <v>0</v>
      </c>
      <c r="K669" s="308">
        <v>0</v>
      </c>
      <c r="L669" s="308">
        <v>0</v>
      </c>
      <c r="M669" s="308">
        <v>8.7941000000000003</v>
      </c>
      <c r="N669" s="308">
        <v>0</v>
      </c>
      <c r="O669" s="308">
        <v>0</v>
      </c>
      <c r="P669" s="308">
        <v>6.3948</v>
      </c>
      <c r="Q669" s="308">
        <v>0</v>
      </c>
      <c r="R669" s="308">
        <v>10.2859</v>
      </c>
      <c r="S669" s="308">
        <v>7.1851000000000003</v>
      </c>
      <c r="T669" s="308">
        <v>0</v>
      </c>
      <c r="U669" s="308">
        <v>6.8495999999999997</v>
      </c>
      <c r="V669" s="308">
        <v>0</v>
      </c>
      <c r="W669" s="308">
        <v>0</v>
      </c>
      <c r="X669" s="308">
        <v>0</v>
      </c>
      <c r="Y669" s="308">
        <v>0</v>
      </c>
      <c r="Z669" s="308">
        <v>7.9917999999999996</v>
      </c>
      <c r="AA669" s="308">
        <v>8.3550000000000004</v>
      </c>
      <c r="AB669" s="308">
        <v>0</v>
      </c>
      <c r="AC669" s="308">
        <v>9.5741999999999994</v>
      </c>
      <c r="AD669" s="308">
        <v>0</v>
      </c>
      <c r="AE669" s="308">
        <v>0</v>
      </c>
      <c r="AF669" s="308">
        <v>0</v>
      </c>
      <c r="AG669" s="308">
        <v>0</v>
      </c>
      <c r="AH669" s="308">
        <v>0</v>
      </c>
      <c r="AI669" s="308">
        <v>0</v>
      </c>
      <c r="AJ669" s="308">
        <v>0</v>
      </c>
      <c r="AK669" s="308">
        <v>0</v>
      </c>
      <c r="AL669" s="308">
        <v>0</v>
      </c>
      <c r="AM669" s="308">
        <v>9.1471</v>
      </c>
      <c r="AN669" s="308">
        <v>0</v>
      </c>
      <c r="AO669" s="308">
        <v>0</v>
      </c>
      <c r="AP669" s="308">
        <v>0</v>
      </c>
      <c r="AQ669" s="308">
        <v>0</v>
      </c>
      <c r="AR669" s="308">
        <v>8.6365999999999996</v>
      </c>
      <c r="AS669" s="308">
        <v>0</v>
      </c>
      <c r="AT669" s="308">
        <v>0</v>
      </c>
      <c r="AU669" s="308">
        <v>9.5632999999999999</v>
      </c>
      <c r="AV669" s="308">
        <v>0</v>
      </c>
      <c r="AW669" s="308">
        <v>0</v>
      </c>
      <c r="AX669" s="308">
        <v>0</v>
      </c>
      <c r="AY669" s="308">
        <v>8.7361000000000004</v>
      </c>
      <c r="AZ669" s="308">
        <v>6.8501000000000003</v>
      </c>
      <c r="BA669" s="308">
        <v>0</v>
      </c>
      <c r="BB669" s="308">
        <v>0</v>
      </c>
      <c r="BC669" s="308">
        <v>0</v>
      </c>
      <c r="BD669" s="308">
        <v>0</v>
      </c>
      <c r="BE669" s="308">
        <v>8.0093999999999994</v>
      </c>
      <c r="BF669" s="308">
        <v>7.6601999999999997</v>
      </c>
      <c r="BG669" s="308">
        <v>8.4705999999999992</v>
      </c>
      <c r="BH669" s="308">
        <v>7.6132999999999997</v>
      </c>
      <c r="BI669" s="308">
        <v>9.0168999999999997</v>
      </c>
      <c r="BJ669" s="308">
        <v>6.8262</v>
      </c>
      <c r="BK669" s="308">
        <v>6.4231999999999996</v>
      </c>
    </row>
    <row r="670" spans="1:63" x14ac:dyDescent="0.25">
      <c r="A670" s="306">
        <v>335224</v>
      </c>
      <c r="B670" s="308" t="s">
        <v>235</v>
      </c>
      <c r="C670" s="308">
        <v>8.3225999999999996</v>
      </c>
      <c r="D670" s="308">
        <v>0</v>
      </c>
      <c r="E670" s="308">
        <v>0</v>
      </c>
      <c r="F670" s="308">
        <v>0</v>
      </c>
      <c r="G670" s="308">
        <v>0</v>
      </c>
      <c r="H670" s="308">
        <v>17.126300000000001</v>
      </c>
      <c r="I670" s="308">
        <v>0</v>
      </c>
      <c r="J670" s="308">
        <v>0</v>
      </c>
      <c r="K670" s="308">
        <v>0</v>
      </c>
      <c r="L670" s="308">
        <v>0</v>
      </c>
      <c r="M670" s="308">
        <v>12.9793</v>
      </c>
      <c r="N670" s="308">
        <v>0</v>
      </c>
      <c r="O670" s="308">
        <v>0</v>
      </c>
      <c r="P670" s="308">
        <v>6.8775000000000004</v>
      </c>
      <c r="Q670" s="308">
        <v>0</v>
      </c>
      <c r="R670" s="308">
        <v>15.876799999999999</v>
      </c>
      <c r="S670" s="308">
        <v>0</v>
      </c>
      <c r="T670" s="308">
        <v>0</v>
      </c>
      <c r="U670" s="308">
        <v>0</v>
      </c>
      <c r="V670" s="308">
        <v>0</v>
      </c>
      <c r="W670" s="308">
        <v>0</v>
      </c>
      <c r="X670" s="308">
        <v>0</v>
      </c>
      <c r="Y670" s="308">
        <v>0</v>
      </c>
      <c r="Z670" s="308">
        <v>5.7549999999999999</v>
      </c>
      <c r="AA670" s="308">
        <v>0</v>
      </c>
      <c r="AB670" s="308">
        <v>0</v>
      </c>
      <c r="AC670" s="308">
        <v>0</v>
      </c>
      <c r="AD670" s="308">
        <v>0</v>
      </c>
      <c r="AE670" s="308">
        <v>0</v>
      </c>
      <c r="AF670" s="308">
        <v>0</v>
      </c>
      <c r="AG670" s="308">
        <v>0</v>
      </c>
      <c r="AH670" s="308">
        <v>0</v>
      </c>
      <c r="AI670" s="308">
        <v>5.1384999999999996</v>
      </c>
      <c r="AJ670" s="308">
        <v>0</v>
      </c>
      <c r="AK670" s="308">
        <v>0</v>
      </c>
      <c r="AL670" s="308">
        <v>9.5932999999999993</v>
      </c>
      <c r="AM670" s="308">
        <v>8.6783999999999999</v>
      </c>
      <c r="AN670" s="308">
        <v>0</v>
      </c>
      <c r="AO670" s="308">
        <v>0</v>
      </c>
      <c r="AP670" s="308">
        <v>0</v>
      </c>
      <c r="AQ670" s="308">
        <v>0</v>
      </c>
      <c r="AR670" s="308">
        <v>0</v>
      </c>
      <c r="AS670" s="308">
        <v>0</v>
      </c>
      <c r="AT670" s="308">
        <v>0</v>
      </c>
      <c r="AU670" s="308">
        <v>0</v>
      </c>
      <c r="AV670" s="308">
        <v>0</v>
      </c>
      <c r="AW670" s="308">
        <v>13.1744</v>
      </c>
      <c r="AX670" s="308">
        <v>0</v>
      </c>
      <c r="AY670" s="308">
        <v>0</v>
      </c>
      <c r="AZ670" s="308">
        <v>0</v>
      </c>
      <c r="BA670" s="308">
        <v>0</v>
      </c>
      <c r="BB670" s="308">
        <v>0</v>
      </c>
      <c r="BC670" s="308">
        <v>0</v>
      </c>
      <c r="BD670" s="308">
        <v>11.082100000000001</v>
      </c>
      <c r="BE670" s="308">
        <v>7.4950999999999999</v>
      </c>
      <c r="BF670" s="308">
        <v>7.6894999999999998</v>
      </c>
      <c r="BG670" s="308">
        <v>14.2666</v>
      </c>
      <c r="BH670" s="308">
        <v>0</v>
      </c>
      <c r="BI670" s="308">
        <v>0</v>
      </c>
      <c r="BJ670" s="308">
        <v>0</v>
      </c>
      <c r="BK670" s="308">
        <v>17.240400000000001</v>
      </c>
    </row>
    <row r="671" spans="1:63" x14ac:dyDescent="0.25">
      <c r="A671" s="306">
        <v>335228</v>
      </c>
      <c r="B671" s="308" t="s">
        <v>236</v>
      </c>
      <c r="C671" s="308">
        <v>8.6107999999999993</v>
      </c>
      <c r="D671" s="308">
        <v>0</v>
      </c>
      <c r="E671" s="308">
        <v>6.9352999999999998</v>
      </c>
      <c r="F671" s="308">
        <v>0</v>
      </c>
      <c r="G671" s="308">
        <v>0</v>
      </c>
      <c r="H671" s="308">
        <v>5.9126000000000003</v>
      </c>
      <c r="I671" s="308">
        <v>0</v>
      </c>
      <c r="J671" s="308">
        <v>4.6811999999999996</v>
      </c>
      <c r="K671" s="308">
        <v>0</v>
      </c>
      <c r="L671" s="308">
        <v>0</v>
      </c>
      <c r="M671" s="308">
        <v>6.0284000000000004</v>
      </c>
      <c r="N671" s="308">
        <v>0</v>
      </c>
      <c r="O671" s="308">
        <v>0</v>
      </c>
      <c r="P671" s="308">
        <v>0</v>
      </c>
      <c r="Q671" s="308">
        <v>0</v>
      </c>
      <c r="R671" s="308">
        <v>0</v>
      </c>
      <c r="S671" s="308">
        <v>0</v>
      </c>
      <c r="T671" s="308">
        <v>0</v>
      </c>
      <c r="U671" s="308">
        <v>5.8091999999999997</v>
      </c>
      <c r="V671" s="308">
        <v>7.1013000000000002</v>
      </c>
      <c r="W671" s="308">
        <v>5.5605000000000002</v>
      </c>
      <c r="X671" s="308">
        <v>5.9785000000000004</v>
      </c>
      <c r="Y671" s="308">
        <v>0</v>
      </c>
      <c r="Z671" s="308">
        <v>7.1695000000000002</v>
      </c>
      <c r="AA671" s="308">
        <v>6.4142000000000001</v>
      </c>
      <c r="AB671" s="308">
        <v>0</v>
      </c>
      <c r="AC671" s="308">
        <v>6.9192999999999998</v>
      </c>
      <c r="AD671" s="308">
        <v>0</v>
      </c>
      <c r="AE671" s="308">
        <v>7.1970999999999998</v>
      </c>
      <c r="AF671" s="308">
        <v>0</v>
      </c>
      <c r="AG671" s="308">
        <v>0</v>
      </c>
      <c r="AH671" s="308">
        <v>7.3356000000000003</v>
      </c>
      <c r="AI671" s="308">
        <v>4.8518999999999997</v>
      </c>
      <c r="AJ671" s="308">
        <v>0</v>
      </c>
      <c r="AK671" s="308">
        <v>0</v>
      </c>
      <c r="AL671" s="308">
        <v>4.7813999999999997</v>
      </c>
      <c r="AM671" s="308">
        <v>8.1905999999999999</v>
      </c>
      <c r="AN671" s="308">
        <v>0</v>
      </c>
      <c r="AO671" s="308">
        <v>0</v>
      </c>
      <c r="AP671" s="308">
        <v>8.6584000000000003</v>
      </c>
      <c r="AQ671" s="308">
        <v>0</v>
      </c>
      <c r="AR671" s="308">
        <v>6.7435</v>
      </c>
      <c r="AS671" s="308">
        <v>0</v>
      </c>
      <c r="AT671" s="308">
        <v>7.0648999999999997</v>
      </c>
      <c r="AU671" s="308">
        <v>7.4764999999999997</v>
      </c>
      <c r="AV671" s="308">
        <v>0</v>
      </c>
      <c r="AW671" s="308">
        <v>0</v>
      </c>
      <c r="AX671" s="308">
        <v>0</v>
      </c>
      <c r="AY671" s="308">
        <v>5.4751000000000003</v>
      </c>
      <c r="AZ671" s="308">
        <v>6.8844000000000003</v>
      </c>
      <c r="BA671" s="308">
        <v>0</v>
      </c>
      <c r="BB671" s="308">
        <v>0</v>
      </c>
      <c r="BC671" s="308">
        <v>6.5776000000000003</v>
      </c>
      <c r="BD671" s="308">
        <v>5.7241999999999997</v>
      </c>
      <c r="BE671" s="308">
        <v>7.9574999999999996</v>
      </c>
      <c r="BF671" s="308">
        <v>6.5490000000000004</v>
      </c>
      <c r="BG671" s="308">
        <v>7.0772000000000004</v>
      </c>
      <c r="BH671" s="308">
        <v>7.2721999999999998</v>
      </c>
      <c r="BI671" s="308">
        <v>7.8101000000000003</v>
      </c>
      <c r="BJ671" s="308">
        <v>0</v>
      </c>
      <c r="BK671" s="308">
        <v>5.9848999999999997</v>
      </c>
    </row>
    <row r="672" spans="1:63" x14ac:dyDescent="0.25">
      <c r="A672" s="306">
        <v>335311</v>
      </c>
      <c r="B672" s="308" t="s">
        <v>237</v>
      </c>
      <c r="C672" s="308">
        <v>9.1118000000000006</v>
      </c>
      <c r="D672" s="308">
        <v>6.4427000000000003</v>
      </c>
      <c r="E672" s="308">
        <v>9.0050000000000008</v>
      </c>
      <c r="F672" s="308">
        <v>8.3184000000000005</v>
      </c>
      <c r="G672" s="308">
        <v>8.8966999999999992</v>
      </c>
      <c r="H672" s="308">
        <v>6.6623000000000001</v>
      </c>
      <c r="I672" s="308">
        <v>8.6692</v>
      </c>
      <c r="J672" s="308">
        <v>8.4289000000000005</v>
      </c>
      <c r="K672" s="308">
        <v>0</v>
      </c>
      <c r="L672" s="308">
        <v>0</v>
      </c>
      <c r="M672" s="308">
        <v>6.3300999999999998</v>
      </c>
      <c r="N672" s="308">
        <v>6.3997999999999999</v>
      </c>
      <c r="O672" s="308">
        <v>0</v>
      </c>
      <c r="P672" s="308">
        <v>8.7933000000000003</v>
      </c>
      <c r="Q672" s="308">
        <v>6.5831999999999997</v>
      </c>
      <c r="R672" s="308">
        <v>7.6786000000000003</v>
      </c>
      <c r="S672" s="308">
        <v>8.0640000000000001</v>
      </c>
      <c r="T672" s="308">
        <v>7.3544</v>
      </c>
      <c r="U672" s="308">
        <v>8.4585000000000008</v>
      </c>
      <c r="V672" s="308">
        <v>6.0468999999999999</v>
      </c>
      <c r="W672" s="308">
        <v>5.5603999999999996</v>
      </c>
      <c r="X672" s="308">
        <v>6.4668999999999999</v>
      </c>
      <c r="Y672" s="308">
        <v>0</v>
      </c>
      <c r="Z672" s="308">
        <v>7.9112</v>
      </c>
      <c r="AA672" s="308">
        <v>8.7363</v>
      </c>
      <c r="AB672" s="308">
        <v>6.9824000000000002</v>
      </c>
      <c r="AC672" s="308">
        <v>8.3016000000000005</v>
      </c>
      <c r="AD672" s="308">
        <v>0</v>
      </c>
      <c r="AE672" s="308">
        <v>6.8476999999999997</v>
      </c>
      <c r="AF672" s="308">
        <v>0</v>
      </c>
      <c r="AG672" s="308">
        <v>0</v>
      </c>
      <c r="AH672" s="308">
        <v>7.7747000000000002</v>
      </c>
      <c r="AI672" s="308">
        <v>6.5156000000000001</v>
      </c>
      <c r="AJ672" s="308">
        <v>6.0217999999999998</v>
      </c>
      <c r="AK672" s="308">
        <v>0</v>
      </c>
      <c r="AL672" s="308">
        <v>7.4035000000000002</v>
      </c>
      <c r="AM672" s="308">
        <v>7.2375999999999996</v>
      </c>
      <c r="AN672" s="308">
        <v>9.9237000000000002</v>
      </c>
      <c r="AO672" s="308">
        <v>8.7815999999999992</v>
      </c>
      <c r="AP672" s="308">
        <v>8.8155999999999999</v>
      </c>
      <c r="AQ672" s="308">
        <v>0</v>
      </c>
      <c r="AR672" s="308">
        <v>8.3797999999999995</v>
      </c>
      <c r="AS672" s="308">
        <v>6.1181000000000001</v>
      </c>
      <c r="AT672" s="308">
        <v>7.9363999999999999</v>
      </c>
      <c r="AU672" s="308">
        <v>8.1111000000000004</v>
      </c>
      <c r="AV672" s="308">
        <v>8.2880000000000003</v>
      </c>
      <c r="AW672" s="308">
        <v>6.5214999999999996</v>
      </c>
      <c r="AX672" s="308">
        <v>6.1256000000000004</v>
      </c>
      <c r="AY672" s="308">
        <v>5.8349000000000002</v>
      </c>
      <c r="AZ672" s="308">
        <v>6.6289999999999996</v>
      </c>
      <c r="BA672" s="308">
        <v>8.3735999999999997</v>
      </c>
      <c r="BB672" s="308">
        <v>0</v>
      </c>
      <c r="BC672" s="308">
        <v>6.7901999999999996</v>
      </c>
      <c r="BD672" s="308">
        <v>8.2776999999999994</v>
      </c>
      <c r="BE672" s="308">
        <v>7.8479999999999999</v>
      </c>
      <c r="BF672" s="308">
        <v>7.5860000000000003</v>
      </c>
      <c r="BG672" s="308">
        <v>7.1017999999999999</v>
      </c>
      <c r="BH672" s="308">
        <v>8.9451000000000001</v>
      </c>
      <c r="BI672" s="308">
        <v>8.5207999999999995</v>
      </c>
      <c r="BJ672" s="308">
        <v>8.4779</v>
      </c>
      <c r="BK672" s="308">
        <v>6.8400999999999996</v>
      </c>
    </row>
    <row r="673" spans="1:63" x14ac:dyDescent="0.25">
      <c r="A673" s="306">
        <v>335312</v>
      </c>
      <c r="B673" s="308" t="s">
        <v>238</v>
      </c>
      <c r="C673" s="308">
        <v>9.2194000000000003</v>
      </c>
      <c r="D673" s="308">
        <v>0</v>
      </c>
      <c r="E673" s="308">
        <v>8.2768999999999995</v>
      </c>
      <c r="F673" s="308">
        <v>7.9588000000000001</v>
      </c>
      <c r="G673" s="308">
        <v>5.5296000000000003</v>
      </c>
      <c r="H673" s="308">
        <v>7.0533000000000001</v>
      </c>
      <c r="I673" s="308">
        <v>5.5805999999999996</v>
      </c>
      <c r="J673" s="308">
        <v>5.9962</v>
      </c>
      <c r="K673" s="308">
        <v>0</v>
      </c>
      <c r="L673" s="308">
        <v>4.1771000000000003</v>
      </c>
      <c r="M673" s="308">
        <v>8.0310000000000006</v>
      </c>
      <c r="N673" s="308">
        <v>6.8686999999999996</v>
      </c>
      <c r="O673" s="308">
        <v>0</v>
      </c>
      <c r="P673" s="308">
        <v>8.4613999999999994</v>
      </c>
      <c r="Q673" s="308">
        <v>6.5853000000000002</v>
      </c>
      <c r="R673" s="308">
        <v>6.9023000000000003</v>
      </c>
      <c r="S673" s="308">
        <v>7.7903000000000002</v>
      </c>
      <c r="T673" s="308">
        <v>6.7397999999999998</v>
      </c>
      <c r="U673" s="308">
        <v>9.3703000000000003</v>
      </c>
      <c r="V673" s="308">
        <v>6.5469999999999997</v>
      </c>
      <c r="W673" s="308">
        <v>6.1374000000000004</v>
      </c>
      <c r="X673" s="308">
        <v>7.4352</v>
      </c>
      <c r="Y673" s="308">
        <v>8.2516999999999996</v>
      </c>
      <c r="Z673" s="308">
        <v>8.5467999999999993</v>
      </c>
      <c r="AA673" s="308">
        <v>6.0095999999999998</v>
      </c>
      <c r="AB673" s="308">
        <v>7.3147000000000002</v>
      </c>
      <c r="AC673" s="308">
        <v>7.9610000000000003</v>
      </c>
      <c r="AD673" s="308">
        <v>4.5141999999999998</v>
      </c>
      <c r="AE673" s="308">
        <v>8.4177999999999997</v>
      </c>
      <c r="AF673" s="308">
        <v>0</v>
      </c>
      <c r="AG673" s="308">
        <v>7.8726000000000003</v>
      </c>
      <c r="AH673" s="308">
        <v>5.6933999999999996</v>
      </c>
      <c r="AI673" s="308">
        <v>5.6848999999999998</v>
      </c>
      <c r="AJ673" s="308">
        <v>7.5552999999999999</v>
      </c>
      <c r="AK673" s="308">
        <v>7.6725000000000003</v>
      </c>
      <c r="AL673" s="308">
        <v>7.7169999999999996</v>
      </c>
      <c r="AM673" s="308">
        <v>7.7740999999999998</v>
      </c>
      <c r="AN673" s="308">
        <v>8.2425999999999995</v>
      </c>
      <c r="AO673" s="308">
        <v>6.3697999999999997</v>
      </c>
      <c r="AP673" s="308">
        <v>7.8483999999999998</v>
      </c>
      <c r="AQ673" s="308">
        <v>0</v>
      </c>
      <c r="AR673" s="308">
        <v>7.8688000000000002</v>
      </c>
      <c r="AS673" s="308">
        <v>0</v>
      </c>
      <c r="AT673" s="308">
        <v>8.9794999999999998</v>
      </c>
      <c r="AU673" s="308">
        <v>7.2516999999999996</v>
      </c>
      <c r="AV673" s="308">
        <v>6.6208999999999998</v>
      </c>
      <c r="AW673" s="308">
        <v>6.9530000000000003</v>
      </c>
      <c r="AX673" s="308">
        <v>0</v>
      </c>
      <c r="AY673" s="308">
        <v>5.4729999999999999</v>
      </c>
      <c r="AZ673" s="308">
        <v>8.3473000000000006</v>
      </c>
      <c r="BA673" s="308">
        <v>7.3288000000000002</v>
      </c>
      <c r="BB673" s="308">
        <v>4.0993000000000004</v>
      </c>
      <c r="BC673" s="308">
        <v>6.7881999999999998</v>
      </c>
      <c r="BD673" s="308">
        <v>7.9775</v>
      </c>
      <c r="BE673" s="308">
        <v>8.2791999999999994</v>
      </c>
      <c r="BF673" s="308">
        <v>7.0487000000000002</v>
      </c>
      <c r="BG673" s="308">
        <v>7.8216000000000001</v>
      </c>
      <c r="BH673" s="308">
        <v>9.3537999999999997</v>
      </c>
      <c r="BI673" s="308">
        <v>8.2309000000000001</v>
      </c>
      <c r="BJ673" s="308">
        <v>6.2507999999999999</v>
      </c>
      <c r="BK673" s="308">
        <v>7.0342000000000002</v>
      </c>
    </row>
    <row r="674" spans="1:63" x14ac:dyDescent="0.25">
      <c r="A674" s="306">
        <v>335313</v>
      </c>
      <c r="B674" s="308" t="s">
        <v>239</v>
      </c>
      <c r="C674" s="308">
        <v>7.8003</v>
      </c>
      <c r="D674" s="308">
        <v>6.1723999999999997</v>
      </c>
      <c r="E674" s="308">
        <v>7.7644000000000002</v>
      </c>
      <c r="F674" s="308">
        <v>6.1131000000000002</v>
      </c>
      <c r="G674" s="308">
        <v>6.7138999999999998</v>
      </c>
      <c r="H674" s="308">
        <v>6.7256</v>
      </c>
      <c r="I674" s="308">
        <v>7.0481999999999996</v>
      </c>
      <c r="J674" s="308">
        <v>4.8259999999999996</v>
      </c>
      <c r="K674" s="308">
        <v>0</v>
      </c>
      <c r="L674" s="308">
        <v>4.6352000000000002</v>
      </c>
      <c r="M674" s="308">
        <v>6.1660000000000004</v>
      </c>
      <c r="N674" s="308">
        <v>5.15</v>
      </c>
      <c r="O674" s="308">
        <v>0</v>
      </c>
      <c r="P674" s="308">
        <v>5.0739000000000001</v>
      </c>
      <c r="Q674" s="308">
        <v>0</v>
      </c>
      <c r="R674" s="308">
        <v>6.6707999999999998</v>
      </c>
      <c r="S674" s="308">
        <v>6.8936999999999999</v>
      </c>
      <c r="T674" s="308">
        <v>6.7152000000000003</v>
      </c>
      <c r="U674" s="308">
        <v>6.3113000000000001</v>
      </c>
      <c r="V674" s="308">
        <v>6.0990000000000002</v>
      </c>
      <c r="W674" s="308">
        <v>5.4089</v>
      </c>
      <c r="X674" s="308">
        <v>5.7473999999999998</v>
      </c>
      <c r="Y674" s="308">
        <v>5.3788</v>
      </c>
      <c r="Z674" s="308">
        <v>7.4673999999999996</v>
      </c>
      <c r="AA674" s="308">
        <v>6.4625000000000004</v>
      </c>
      <c r="AB674" s="308">
        <v>6.2893999999999997</v>
      </c>
      <c r="AC674" s="308">
        <v>6.1566999999999998</v>
      </c>
      <c r="AD674" s="308">
        <v>0</v>
      </c>
      <c r="AE674" s="308">
        <v>6.1281999999999996</v>
      </c>
      <c r="AF674" s="308">
        <v>0</v>
      </c>
      <c r="AG674" s="308">
        <v>6.0777000000000001</v>
      </c>
      <c r="AH674" s="308">
        <v>6.9387999999999996</v>
      </c>
      <c r="AI674" s="308">
        <v>5.0343</v>
      </c>
      <c r="AJ674" s="308">
        <v>4.1631</v>
      </c>
      <c r="AK674" s="308">
        <v>7.1603000000000003</v>
      </c>
      <c r="AL674" s="308">
        <v>4.6055999999999999</v>
      </c>
      <c r="AM674" s="308">
        <v>7.9132999999999996</v>
      </c>
      <c r="AN674" s="308">
        <v>7.702</v>
      </c>
      <c r="AO674" s="308">
        <v>6.3902000000000001</v>
      </c>
      <c r="AP674" s="308">
        <v>6.8617999999999997</v>
      </c>
      <c r="AQ674" s="308">
        <v>0</v>
      </c>
      <c r="AR674" s="308">
        <v>7.0180999999999996</v>
      </c>
      <c r="AS674" s="308">
        <v>6.4489999999999998</v>
      </c>
      <c r="AT674" s="308">
        <v>5.6974999999999998</v>
      </c>
      <c r="AU674" s="308">
        <v>7.0833000000000004</v>
      </c>
      <c r="AV674" s="308">
        <v>8.2690000000000001</v>
      </c>
      <c r="AW674" s="308">
        <v>6.0625</v>
      </c>
      <c r="AX674" s="308">
        <v>0</v>
      </c>
      <c r="AY674" s="308">
        <v>6.2263999999999999</v>
      </c>
      <c r="AZ674" s="308">
        <v>6.7786999999999997</v>
      </c>
      <c r="BA674" s="308">
        <v>5.8555999999999999</v>
      </c>
      <c r="BB674" s="308">
        <v>4.5030000000000001</v>
      </c>
      <c r="BC674" s="308">
        <v>5.8844000000000003</v>
      </c>
      <c r="BD674" s="308">
        <v>6.2763</v>
      </c>
      <c r="BE674" s="308">
        <v>7.3952999999999998</v>
      </c>
      <c r="BF674" s="308">
        <v>6.5903999999999998</v>
      </c>
      <c r="BG674" s="308">
        <v>6.4349999999999996</v>
      </c>
      <c r="BH674" s="308">
        <v>6.3170000000000002</v>
      </c>
      <c r="BI674" s="308">
        <v>7.3002000000000002</v>
      </c>
      <c r="BJ674" s="308">
        <v>7.0475000000000003</v>
      </c>
      <c r="BK674" s="308">
        <v>6.8220000000000001</v>
      </c>
    </row>
    <row r="675" spans="1:63" x14ac:dyDescent="0.25">
      <c r="A675" s="306">
        <v>335314</v>
      </c>
      <c r="B675" s="308" t="s">
        <v>9</v>
      </c>
      <c r="C675" s="308">
        <v>8.1565999999999992</v>
      </c>
      <c r="D675" s="308">
        <v>9.4205000000000005</v>
      </c>
      <c r="E675" s="308">
        <v>7.1273</v>
      </c>
      <c r="F675" s="308">
        <v>7.8578000000000001</v>
      </c>
      <c r="G675" s="308">
        <v>8.8181999999999992</v>
      </c>
      <c r="H675" s="308">
        <v>7.1407999999999996</v>
      </c>
      <c r="I675" s="308">
        <v>7.1391</v>
      </c>
      <c r="J675" s="308">
        <v>5.1132</v>
      </c>
      <c r="K675" s="308">
        <v>0</v>
      </c>
      <c r="L675" s="308">
        <v>3.5413999999999999</v>
      </c>
      <c r="M675" s="308">
        <v>7.6859999999999999</v>
      </c>
      <c r="N675" s="308">
        <v>6.5045999999999999</v>
      </c>
      <c r="O675" s="308">
        <v>0</v>
      </c>
      <c r="P675" s="308">
        <v>8.3261000000000003</v>
      </c>
      <c r="Q675" s="308">
        <v>9.1745999999999999</v>
      </c>
      <c r="R675" s="308">
        <v>7.6433999999999997</v>
      </c>
      <c r="S675" s="308">
        <v>9.1480999999999995</v>
      </c>
      <c r="T675" s="308">
        <v>7.1109</v>
      </c>
      <c r="U675" s="308">
        <v>7.4547999999999996</v>
      </c>
      <c r="V675" s="308">
        <v>6.0694999999999997</v>
      </c>
      <c r="W675" s="308">
        <v>5.3841999999999999</v>
      </c>
      <c r="X675" s="308">
        <v>7.1581000000000001</v>
      </c>
      <c r="Y675" s="308">
        <v>8.6310000000000002</v>
      </c>
      <c r="Z675" s="308">
        <v>6.8026</v>
      </c>
      <c r="AA675" s="308">
        <v>7.7641999999999998</v>
      </c>
      <c r="AB675" s="308">
        <v>7.3109999999999999</v>
      </c>
      <c r="AC675" s="308">
        <v>7.6783999999999999</v>
      </c>
      <c r="AD675" s="308">
        <v>0</v>
      </c>
      <c r="AE675" s="308">
        <v>6.9953000000000003</v>
      </c>
      <c r="AF675" s="308">
        <v>4.8822999999999999</v>
      </c>
      <c r="AG675" s="308">
        <v>7.5077999999999996</v>
      </c>
      <c r="AH675" s="308">
        <v>7.2923</v>
      </c>
      <c r="AI675" s="308">
        <v>5.7725</v>
      </c>
      <c r="AJ675" s="308">
        <v>5.0517000000000003</v>
      </c>
      <c r="AK675" s="308">
        <v>9.7308000000000003</v>
      </c>
      <c r="AL675" s="308">
        <v>5.7544000000000004</v>
      </c>
      <c r="AM675" s="308">
        <v>7.0480999999999998</v>
      </c>
      <c r="AN675" s="308">
        <v>9.1304999999999996</v>
      </c>
      <c r="AO675" s="308">
        <v>7.2168000000000001</v>
      </c>
      <c r="AP675" s="308">
        <v>7.2317</v>
      </c>
      <c r="AQ675" s="308">
        <v>4.8535000000000004</v>
      </c>
      <c r="AR675" s="308">
        <v>7.8932000000000002</v>
      </c>
      <c r="AS675" s="308">
        <v>9.0782000000000007</v>
      </c>
      <c r="AT675" s="308">
        <v>9.9779</v>
      </c>
      <c r="AU675" s="308">
        <v>7.9001000000000001</v>
      </c>
      <c r="AV675" s="308">
        <v>8.4654000000000007</v>
      </c>
      <c r="AW675" s="308">
        <v>5.8098000000000001</v>
      </c>
      <c r="AX675" s="308">
        <v>7.7891000000000004</v>
      </c>
      <c r="AY675" s="308">
        <v>7.4806999999999997</v>
      </c>
      <c r="AZ675" s="308">
        <v>6.609</v>
      </c>
      <c r="BA675" s="308">
        <v>7.0133000000000001</v>
      </c>
      <c r="BB675" s="308">
        <v>8.0793999999999997</v>
      </c>
      <c r="BC675" s="308">
        <v>6.2278000000000002</v>
      </c>
      <c r="BD675" s="308">
        <v>6.8864999999999998</v>
      </c>
      <c r="BE675" s="308">
        <v>7.2892999999999999</v>
      </c>
      <c r="BF675" s="308">
        <v>7.8762999999999996</v>
      </c>
      <c r="BG675" s="308">
        <v>7.4537000000000004</v>
      </c>
      <c r="BH675" s="308">
        <v>8.7314000000000007</v>
      </c>
      <c r="BI675" s="308">
        <v>8.0459999999999994</v>
      </c>
      <c r="BJ675" s="308">
        <v>7.8715999999999999</v>
      </c>
      <c r="BK675" s="308">
        <v>7.4458000000000002</v>
      </c>
    </row>
    <row r="676" spans="1:63" x14ac:dyDescent="0.25">
      <c r="A676" s="306">
        <v>335911</v>
      </c>
      <c r="B676" s="308" t="s">
        <v>240</v>
      </c>
      <c r="C676" s="308">
        <v>9.3523999999999994</v>
      </c>
      <c r="D676" s="308">
        <v>0</v>
      </c>
      <c r="E676" s="308">
        <v>0</v>
      </c>
      <c r="F676" s="308">
        <v>6.7949999999999999</v>
      </c>
      <c r="G676" s="308">
        <v>8.7413000000000007</v>
      </c>
      <c r="H676" s="308">
        <v>7.4370000000000003</v>
      </c>
      <c r="I676" s="308">
        <v>8.2924000000000007</v>
      </c>
      <c r="J676" s="308">
        <v>6.5373999999999999</v>
      </c>
      <c r="K676" s="308">
        <v>0</v>
      </c>
      <c r="L676" s="308">
        <v>4.9889999999999999</v>
      </c>
      <c r="M676" s="308">
        <v>6.4527000000000001</v>
      </c>
      <c r="N676" s="308">
        <v>6.6588000000000003</v>
      </c>
      <c r="O676" s="308">
        <v>0</v>
      </c>
      <c r="P676" s="308">
        <v>7.2892999999999999</v>
      </c>
      <c r="Q676" s="308">
        <v>0</v>
      </c>
      <c r="R676" s="308">
        <v>6.9309000000000003</v>
      </c>
      <c r="S676" s="308">
        <v>8.3035999999999994</v>
      </c>
      <c r="T676" s="308">
        <v>7.0107999999999997</v>
      </c>
      <c r="U676" s="308">
        <v>8.7680000000000007</v>
      </c>
      <c r="V676" s="308">
        <v>0</v>
      </c>
      <c r="W676" s="308">
        <v>0</v>
      </c>
      <c r="X676" s="308">
        <v>0</v>
      </c>
      <c r="Y676" s="308">
        <v>0</v>
      </c>
      <c r="Z676" s="308">
        <v>6.6116999999999999</v>
      </c>
      <c r="AA676" s="308">
        <v>6.3532999999999999</v>
      </c>
      <c r="AB676" s="308">
        <v>8.6942000000000004</v>
      </c>
      <c r="AC676" s="308">
        <v>7.9006999999999996</v>
      </c>
      <c r="AD676" s="308">
        <v>0</v>
      </c>
      <c r="AE676" s="308">
        <v>7.9710000000000001</v>
      </c>
      <c r="AF676" s="308">
        <v>0</v>
      </c>
      <c r="AG676" s="308">
        <v>0</v>
      </c>
      <c r="AH676" s="308">
        <v>0</v>
      </c>
      <c r="AI676" s="308">
        <v>7.7115999999999998</v>
      </c>
      <c r="AJ676" s="308">
        <v>0</v>
      </c>
      <c r="AK676" s="308">
        <v>0</v>
      </c>
      <c r="AL676" s="308">
        <v>0</v>
      </c>
      <c r="AM676" s="308">
        <v>8.4595000000000002</v>
      </c>
      <c r="AN676" s="308">
        <v>8.9413</v>
      </c>
      <c r="AO676" s="308">
        <v>6.8522999999999996</v>
      </c>
      <c r="AP676" s="308">
        <v>8.5216999999999992</v>
      </c>
      <c r="AQ676" s="308">
        <v>8.1501999999999999</v>
      </c>
      <c r="AR676" s="308">
        <v>9.0184999999999995</v>
      </c>
      <c r="AS676" s="308">
        <v>0</v>
      </c>
      <c r="AT676" s="308">
        <v>8.9192999999999998</v>
      </c>
      <c r="AU676" s="308">
        <v>7.7542</v>
      </c>
      <c r="AV676" s="308">
        <v>8.4833999999999996</v>
      </c>
      <c r="AW676" s="308">
        <v>0</v>
      </c>
      <c r="AX676" s="308">
        <v>0</v>
      </c>
      <c r="AY676" s="308">
        <v>8.5069999999999997</v>
      </c>
      <c r="AZ676" s="308">
        <v>7.3396999999999997</v>
      </c>
      <c r="BA676" s="308">
        <v>8.1784999999999997</v>
      </c>
      <c r="BB676" s="308">
        <v>0</v>
      </c>
      <c r="BC676" s="308">
        <v>7.6161000000000003</v>
      </c>
      <c r="BD676" s="308">
        <v>8.1189</v>
      </c>
      <c r="BE676" s="308">
        <v>8.2759</v>
      </c>
      <c r="BF676" s="308">
        <v>8.4321000000000002</v>
      </c>
      <c r="BG676" s="308">
        <v>7.3244999999999996</v>
      </c>
      <c r="BH676" s="308">
        <v>9.3377999999999997</v>
      </c>
      <c r="BI676" s="308">
        <v>7.9086999999999996</v>
      </c>
      <c r="BJ676" s="308">
        <v>9.0916999999999994</v>
      </c>
      <c r="BK676" s="308">
        <v>7.7233999999999998</v>
      </c>
    </row>
    <row r="677" spans="1:63" x14ac:dyDescent="0.25">
      <c r="A677" s="306">
        <v>335912</v>
      </c>
      <c r="B677" s="308" t="s">
        <v>241</v>
      </c>
      <c r="C677" s="308">
        <v>6.3289</v>
      </c>
      <c r="D677" s="308">
        <v>0</v>
      </c>
      <c r="E677" s="308">
        <v>7.0096999999999996</v>
      </c>
      <c r="F677" s="308">
        <v>0</v>
      </c>
      <c r="G677" s="308">
        <v>3.7722000000000002</v>
      </c>
      <c r="H677" s="308">
        <v>3.8757000000000001</v>
      </c>
      <c r="I677" s="308">
        <v>5.9218000000000002</v>
      </c>
      <c r="J677" s="308">
        <v>4.3334000000000001</v>
      </c>
      <c r="K677" s="308">
        <v>0</v>
      </c>
      <c r="L677" s="308">
        <v>0</v>
      </c>
      <c r="M677" s="308">
        <v>3.7017000000000002</v>
      </c>
      <c r="N677" s="308">
        <v>4.6877000000000004</v>
      </c>
      <c r="O677" s="308">
        <v>0</v>
      </c>
      <c r="P677" s="308">
        <v>4.1449999999999996</v>
      </c>
      <c r="Q677" s="308">
        <v>0</v>
      </c>
      <c r="R677" s="308">
        <v>6.7919999999999998</v>
      </c>
      <c r="S677" s="308">
        <v>4.4710000000000001</v>
      </c>
      <c r="T677" s="308">
        <v>0</v>
      </c>
      <c r="U677" s="308">
        <v>6.8663999999999996</v>
      </c>
      <c r="V677" s="308">
        <v>0</v>
      </c>
      <c r="W677" s="308">
        <v>4.0574000000000003</v>
      </c>
      <c r="X677" s="308">
        <v>0</v>
      </c>
      <c r="Y677" s="308">
        <v>0</v>
      </c>
      <c r="Z677" s="308">
        <v>0</v>
      </c>
      <c r="AA677" s="308">
        <v>6.5000999999999998</v>
      </c>
      <c r="AB677" s="308">
        <v>4.9444999999999997</v>
      </c>
      <c r="AC677" s="308">
        <v>0</v>
      </c>
      <c r="AD677" s="308">
        <v>0</v>
      </c>
      <c r="AE677" s="308">
        <v>5.2313999999999998</v>
      </c>
      <c r="AF677" s="308">
        <v>0</v>
      </c>
      <c r="AG677" s="308">
        <v>0</v>
      </c>
      <c r="AH677" s="308">
        <v>0</v>
      </c>
      <c r="AI677" s="308">
        <v>3.524</v>
      </c>
      <c r="AJ677" s="308">
        <v>0</v>
      </c>
      <c r="AK677" s="308">
        <v>4.6111000000000004</v>
      </c>
      <c r="AL677" s="308">
        <v>4.351</v>
      </c>
      <c r="AM677" s="308">
        <v>0</v>
      </c>
      <c r="AN677" s="308">
        <v>0</v>
      </c>
      <c r="AO677" s="308">
        <v>0</v>
      </c>
      <c r="AP677" s="308">
        <v>5.6726000000000001</v>
      </c>
      <c r="AQ677" s="308">
        <v>0</v>
      </c>
      <c r="AR677" s="308">
        <v>4.6352000000000002</v>
      </c>
      <c r="AS677" s="308">
        <v>0</v>
      </c>
      <c r="AT677" s="308">
        <v>5.5564999999999998</v>
      </c>
      <c r="AU677" s="308">
        <v>6.1989000000000001</v>
      </c>
      <c r="AV677" s="308">
        <v>0</v>
      </c>
      <c r="AW677" s="308">
        <v>0</v>
      </c>
      <c r="AX677" s="308">
        <v>4.3746999999999998</v>
      </c>
      <c r="AY677" s="308">
        <v>0</v>
      </c>
      <c r="AZ677" s="308">
        <v>4.5431999999999997</v>
      </c>
      <c r="BA677" s="308">
        <v>0</v>
      </c>
      <c r="BB677" s="308">
        <v>0</v>
      </c>
      <c r="BC677" s="308">
        <v>4.9725999999999999</v>
      </c>
      <c r="BD677" s="308">
        <v>5.2512999999999996</v>
      </c>
      <c r="BE677" s="308">
        <v>5.1456999999999997</v>
      </c>
      <c r="BF677" s="308">
        <v>5.2064000000000004</v>
      </c>
      <c r="BG677" s="308">
        <v>4.9260000000000002</v>
      </c>
      <c r="BH677" s="308">
        <v>6.0034999999999998</v>
      </c>
      <c r="BI677" s="308">
        <v>6.4160000000000004</v>
      </c>
      <c r="BJ677" s="308">
        <v>4.5930999999999997</v>
      </c>
      <c r="BK677" s="308">
        <v>3.8919000000000001</v>
      </c>
    </row>
    <row r="678" spans="1:63" x14ac:dyDescent="0.25">
      <c r="A678" s="306">
        <v>335920</v>
      </c>
      <c r="B678" s="308" t="s">
        <v>242</v>
      </c>
      <c r="C678" s="308">
        <v>8.4763000000000002</v>
      </c>
      <c r="D678" s="308">
        <v>0</v>
      </c>
      <c r="E678" s="308">
        <v>8.0358000000000001</v>
      </c>
      <c r="F678" s="308">
        <v>5.9432</v>
      </c>
      <c r="G678" s="308">
        <v>5.4024999999999999</v>
      </c>
      <c r="H678" s="308">
        <v>5.2346000000000004</v>
      </c>
      <c r="I678" s="308">
        <v>6.7302999999999997</v>
      </c>
      <c r="J678" s="308">
        <v>5.7045000000000003</v>
      </c>
      <c r="K678" s="308">
        <v>0</v>
      </c>
      <c r="L678" s="308">
        <v>3.2555999999999998</v>
      </c>
      <c r="M678" s="308">
        <v>6.6668000000000003</v>
      </c>
      <c r="N678" s="308">
        <v>6.9551999999999996</v>
      </c>
      <c r="O678" s="308">
        <v>0</v>
      </c>
      <c r="P678" s="308">
        <v>8.1874000000000002</v>
      </c>
      <c r="Q678" s="308">
        <v>5.891</v>
      </c>
      <c r="R678" s="308">
        <v>6.3159999999999998</v>
      </c>
      <c r="S678" s="308">
        <v>6.8137999999999996</v>
      </c>
      <c r="T678" s="308">
        <v>0</v>
      </c>
      <c r="U678" s="308">
        <v>8.4065999999999992</v>
      </c>
      <c r="V678" s="308">
        <v>0</v>
      </c>
      <c r="W678" s="308">
        <v>5.6083999999999996</v>
      </c>
      <c r="X678" s="308">
        <v>3.8936999999999999</v>
      </c>
      <c r="Y678" s="308">
        <v>5.0266999999999999</v>
      </c>
      <c r="Z678" s="308">
        <v>6.2834000000000003</v>
      </c>
      <c r="AA678" s="308">
        <v>6.0720000000000001</v>
      </c>
      <c r="AB678" s="308">
        <v>8.2497000000000007</v>
      </c>
      <c r="AC678" s="308">
        <v>6.3048000000000002</v>
      </c>
      <c r="AD678" s="308">
        <v>6.5957999999999997</v>
      </c>
      <c r="AE678" s="308">
        <v>7.0171000000000001</v>
      </c>
      <c r="AF678" s="308">
        <v>4.3784000000000001</v>
      </c>
      <c r="AG678" s="308">
        <v>4.1352000000000002</v>
      </c>
      <c r="AH678" s="308">
        <v>6.3236999999999997</v>
      </c>
      <c r="AI678" s="308">
        <v>5.1787999999999998</v>
      </c>
      <c r="AJ678" s="308">
        <v>6.6271000000000004</v>
      </c>
      <c r="AK678" s="308">
        <v>5.1740000000000004</v>
      </c>
      <c r="AL678" s="308">
        <v>5.8346999999999998</v>
      </c>
      <c r="AM678" s="308">
        <v>8.1567000000000007</v>
      </c>
      <c r="AN678" s="308">
        <v>0</v>
      </c>
      <c r="AO678" s="308">
        <v>6.8635000000000002</v>
      </c>
      <c r="AP678" s="308">
        <v>7.5942999999999996</v>
      </c>
      <c r="AQ678" s="308">
        <v>5.8471000000000002</v>
      </c>
      <c r="AR678" s="308">
        <v>6.7305000000000001</v>
      </c>
      <c r="AS678" s="308">
        <v>0</v>
      </c>
      <c r="AT678" s="308">
        <v>8.1465999999999994</v>
      </c>
      <c r="AU678" s="308">
        <v>5.9718999999999998</v>
      </c>
      <c r="AV678" s="308">
        <v>9.58</v>
      </c>
      <c r="AW678" s="308">
        <v>6.0334000000000003</v>
      </c>
      <c r="AX678" s="308">
        <v>6.0183</v>
      </c>
      <c r="AY678" s="308">
        <v>6.8564999999999996</v>
      </c>
      <c r="AZ678" s="308">
        <v>6.1119000000000003</v>
      </c>
      <c r="BA678" s="308">
        <v>0</v>
      </c>
      <c r="BB678" s="308">
        <v>6.2321999999999997</v>
      </c>
      <c r="BC678" s="308">
        <v>6.6867999999999999</v>
      </c>
      <c r="BD678" s="308">
        <v>6.9541000000000004</v>
      </c>
      <c r="BE678" s="308">
        <v>7.2706999999999997</v>
      </c>
      <c r="BF678" s="308">
        <v>7.2073999999999998</v>
      </c>
      <c r="BG678" s="308">
        <v>6.8196000000000003</v>
      </c>
      <c r="BH678" s="308">
        <v>8.5117999999999991</v>
      </c>
      <c r="BI678" s="308">
        <v>6.2732999999999999</v>
      </c>
      <c r="BJ678" s="308">
        <v>6.6615000000000002</v>
      </c>
      <c r="BK678" s="308">
        <v>5.3601000000000001</v>
      </c>
    </row>
    <row r="679" spans="1:63" x14ac:dyDescent="0.25">
      <c r="A679" s="306">
        <v>335930</v>
      </c>
      <c r="B679" s="308" t="s">
        <v>243</v>
      </c>
      <c r="C679" s="308">
        <v>8.5878999999999994</v>
      </c>
      <c r="D679" s="308">
        <v>8.3425999999999991</v>
      </c>
      <c r="E679" s="308">
        <v>9.0606000000000009</v>
      </c>
      <c r="F679" s="308">
        <v>8.0358000000000001</v>
      </c>
      <c r="G679" s="308">
        <v>7.5727000000000002</v>
      </c>
      <c r="H679" s="308">
        <v>6.2314999999999996</v>
      </c>
      <c r="I679" s="308">
        <v>8.0968999999999998</v>
      </c>
      <c r="J679" s="308">
        <v>5.8384999999999998</v>
      </c>
      <c r="K679" s="308">
        <v>0</v>
      </c>
      <c r="L679" s="308">
        <v>6.0308999999999999</v>
      </c>
      <c r="M679" s="308">
        <v>7.7952000000000004</v>
      </c>
      <c r="N679" s="308">
        <v>7.6299000000000001</v>
      </c>
      <c r="O679" s="308">
        <v>0</v>
      </c>
      <c r="P679" s="308">
        <v>7.3289999999999997</v>
      </c>
      <c r="Q679" s="308">
        <v>8.2889999999999997</v>
      </c>
      <c r="R679" s="308">
        <v>7.0084</v>
      </c>
      <c r="S679" s="308">
        <v>7.5629999999999997</v>
      </c>
      <c r="T679" s="308">
        <v>8.7021999999999995</v>
      </c>
      <c r="U679" s="308">
        <v>7.7564000000000002</v>
      </c>
      <c r="V679" s="308">
        <v>0</v>
      </c>
      <c r="W679" s="308">
        <v>5.6082000000000001</v>
      </c>
      <c r="X679" s="308">
        <v>7.4321000000000002</v>
      </c>
      <c r="Y679" s="308">
        <v>8.4878999999999998</v>
      </c>
      <c r="Z679" s="308">
        <v>6.952</v>
      </c>
      <c r="AA679" s="308">
        <v>6.9890999999999996</v>
      </c>
      <c r="AB679" s="308">
        <v>7.9166999999999996</v>
      </c>
      <c r="AC679" s="308">
        <v>8.3713999999999995</v>
      </c>
      <c r="AD679" s="308">
        <v>6.7098000000000004</v>
      </c>
      <c r="AE679" s="308">
        <v>7.4340999999999999</v>
      </c>
      <c r="AF679" s="308">
        <v>4.8</v>
      </c>
      <c r="AG679" s="308">
        <v>8.7949999999999999</v>
      </c>
      <c r="AH679" s="308">
        <v>6.7163000000000004</v>
      </c>
      <c r="AI679" s="308">
        <v>5.7122999999999999</v>
      </c>
      <c r="AJ679" s="308">
        <v>8.7448999999999995</v>
      </c>
      <c r="AK679" s="308">
        <v>5.9542000000000002</v>
      </c>
      <c r="AL679" s="308">
        <v>5.2824999999999998</v>
      </c>
      <c r="AM679" s="308">
        <v>8.5219000000000005</v>
      </c>
      <c r="AN679" s="308">
        <v>7.2407000000000004</v>
      </c>
      <c r="AO679" s="308">
        <v>6.6797000000000004</v>
      </c>
      <c r="AP679" s="308">
        <v>6.9516</v>
      </c>
      <c r="AQ679" s="308">
        <v>6.0911</v>
      </c>
      <c r="AR679" s="308">
        <v>7.5246000000000004</v>
      </c>
      <c r="AS679" s="308">
        <v>0</v>
      </c>
      <c r="AT679" s="308">
        <v>9.9392999999999994</v>
      </c>
      <c r="AU679" s="308">
        <v>7.4288999999999996</v>
      </c>
      <c r="AV679" s="308">
        <v>8.6335999999999995</v>
      </c>
      <c r="AW679" s="308">
        <v>7.6096000000000004</v>
      </c>
      <c r="AX679" s="308">
        <v>0</v>
      </c>
      <c r="AY679" s="308">
        <v>9.0653000000000006</v>
      </c>
      <c r="AZ679" s="308">
        <v>10.1106</v>
      </c>
      <c r="BA679" s="308">
        <v>0</v>
      </c>
      <c r="BB679" s="308">
        <v>0</v>
      </c>
      <c r="BC679" s="308">
        <v>6.7962999999999996</v>
      </c>
      <c r="BD679" s="308">
        <v>6.5655999999999999</v>
      </c>
      <c r="BE679" s="308">
        <v>7.9286000000000003</v>
      </c>
      <c r="BF679" s="308">
        <v>7.8312999999999997</v>
      </c>
      <c r="BG679" s="308">
        <v>7.7256999999999998</v>
      </c>
      <c r="BH679" s="308">
        <v>9.2215000000000007</v>
      </c>
      <c r="BI679" s="308">
        <v>7.9564000000000004</v>
      </c>
      <c r="BJ679" s="308">
        <v>7.7759</v>
      </c>
      <c r="BK679" s="308">
        <v>6.4574999999999996</v>
      </c>
    </row>
    <row r="680" spans="1:63" x14ac:dyDescent="0.25">
      <c r="A680" s="306">
        <v>335991</v>
      </c>
      <c r="B680" s="308" t="s">
        <v>0</v>
      </c>
      <c r="C680" s="308">
        <v>9.0098000000000003</v>
      </c>
      <c r="D680" s="308">
        <v>0</v>
      </c>
      <c r="E680" s="308">
        <v>7.4993999999999996</v>
      </c>
      <c r="F680" s="308">
        <v>6.9427000000000003</v>
      </c>
      <c r="G680" s="308">
        <v>8.6450999999999993</v>
      </c>
      <c r="H680" s="308">
        <v>7.0670000000000002</v>
      </c>
      <c r="I680" s="308">
        <v>8.7346000000000004</v>
      </c>
      <c r="J680" s="308">
        <v>5.7977999999999996</v>
      </c>
      <c r="K680" s="308">
        <v>0</v>
      </c>
      <c r="L680" s="308">
        <v>0</v>
      </c>
      <c r="M680" s="308">
        <v>7.5984999999999996</v>
      </c>
      <c r="N680" s="308">
        <v>0</v>
      </c>
      <c r="O680" s="308">
        <v>0</v>
      </c>
      <c r="P680" s="308">
        <v>7.6750999999999996</v>
      </c>
      <c r="Q680" s="308">
        <v>0</v>
      </c>
      <c r="R680" s="308">
        <v>6.5792999999999999</v>
      </c>
      <c r="S680" s="308">
        <v>0</v>
      </c>
      <c r="T680" s="308">
        <v>0</v>
      </c>
      <c r="U680" s="308">
        <v>7.6923000000000004</v>
      </c>
      <c r="V680" s="308">
        <v>0</v>
      </c>
      <c r="W680" s="308">
        <v>5.2148000000000003</v>
      </c>
      <c r="X680" s="308">
        <v>0</v>
      </c>
      <c r="Y680" s="308">
        <v>8.9372000000000007</v>
      </c>
      <c r="Z680" s="308">
        <v>8.0867000000000004</v>
      </c>
      <c r="AA680" s="308">
        <v>7.13</v>
      </c>
      <c r="AB680" s="308">
        <v>9.0045999999999999</v>
      </c>
      <c r="AC680" s="308">
        <v>0</v>
      </c>
      <c r="AD680" s="308">
        <v>0</v>
      </c>
      <c r="AE680" s="308">
        <v>8.4252000000000002</v>
      </c>
      <c r="AF680" s="308">
        <v>0</v>
      </c>
      <c r="AG680" s="308">
        <v>0</v>
      </c>
      <c r="AH680" s="308">
        <v>5.2904</v>
      </c>
      <c r="AI680" s="308">
        <v>8.1000999999999994</v>
      </c>
      <c r="AJ680" s="308">
        <v>0</v>
      </c>
      <c r="AK680" s="308">
        <v>0</v>
      </c>
      <c r="AL680" s="308">
        <v>5.4676</v>
      </c>
      <c r="AM680" s="308">
        <v>6.5758999999999999</v>
      </c>
      <c r="AN680" s="308">
        <v>0</v>
      </c>
      <c r="AO680" s="308">
        <v>6.6982999999999997</v>
      </c>
      <c r="AP680" s="308">
        <v>8.1348000000000003</v>
      </c>
      <c r="AQ680" s="308">
        <v>0</v>
      </c>
      <c r="AR680" s="308">
        <v>6.8589000000000002</v>
      </c>
      <c r="AS680" s="308">
        <v>0</v>
      </c>
      <c r="AT680" s="308">
        <v>6.3368000000000002</v>
      </c>
      <c r="AU680" s="308">
        <v>8.2700999999999993</v>
      </c>
      <c r="AV680" s="308">
        <v>7.4349999999999996</v>
      </c>
      <c r="AW680" s="308">
        <v>6.2935999999999996</v>
      </c>
      <c r="AX680" s="308">
        <v>5.2461000000000002</v>
      </c>
      <c r="AY680" s="308">
        <v>0</v>
      </c>
      <c r="AZ680" s="308">
        <v>8.5616000000000003</v>
      </c>
      <c r="BA680" s="308">
        <v>6.0810000000000004</v>
      </c>
      <c r="BB680" s="308">
        <v>6.4759000000000002</v>
      </c>
      <c r="BC680" s="308">
        <v>6.3640999999999996</v>
      </c>
      <c r="BD680" s="308">
        <v>7.7279999999999998</v>
      </c>
      <c r="BE680" s="308">
        <v>7.5964999999999998</v>
      </c>
      <c r="BF680" s="308">
        <v>8.7128999999999994</v>
      </c>
      <c r="BG680" s="308">
        <v>7.6265000000000001</v>
      </c>
      <c r="BH680" s="308">
        <v>7.4444999999999997</v>
      </c>
      <c r="BI680" s="308">
        <v>8.5996000000000006</v>
      </c>
      <c r="BJ680" s="308">
        <v>7.2150999999999996</v>
      </c>
      <c r="BK680" s="308">
        <v>7.2477999999999998</v>
      </c>
    </row>
    <row r="681" spans="1:63" x14ac:dyDescent="0.25">
      <c r="A681" s="306">
        <v>335999</v>
      </c>
      <c r="B681" s="308" t="s">
        <v>3</v>
      </c>
      <c r="C681" s="308">
        <v>9.8917999999999999</v>
      </c>
      <c r="D681" s="308">
        <v>0</v>
      </c>
      <c r="E681" s="308">
        <v>7.0559000000000003</v>
      </c>
      <c r="F681" s="308">
        <v>9.1110000000000007</v>
      </c>
      <c r="G681" s="308">
        <v>7.9321000000000002</v>
      </c>
      <c r="H681" s="308">
        <v>8.2597000000000005</v>
      </c>
      <c r="I681" s="308">
        <v>9.1204000000000001</v>
      </c>
      <c r="J681" s="308">
        <v>6.5265000000000004</v>
      </c>
      <c r="K681" s="308">
        <v>0</v>
      </c>
      <c r="L681" s="308">
        <v>0</v>
      </c>
      <c r="M681" s="308">
        <v>10.025499999999999</v>
      </c>
      <c r="N681" s="308">
        <v>9.2181999999999995</v>
      </c>
      <c r="O681" s="308">
        <v>0</v>
      </c>
      <c r="P681" s="308">
        <v>9.0211000000000006</v>
      </c>
      <c r="Q681" s="308">
        <v>7.3303000000000003</v>
      </c>
      <c r="R681" s="308">
        <v>8.1798000000000002</v>
      </c>
      <c r="S681" s="308">
        <v>10.0229</v>
      </c>
      <c r="T681" s="308">
        <v>7.7327000000000004</v>
      </c>
      <c r="U681" s="308">
        <v>9.3952000000000009</v>
      </c>
      <c r="V681" s="308">
        <v>7.4478999999999997</v>
      </c>
      <c r="W681" s="308">
        <v>6.4446000000000003</v>
      </c>
      <c r="X681" s="308">
        <v>6.1117999999999997</v>
      </c>
      <c r="Y681" s="308">
        <v>10.077</v>
      </c>
      <c r="Z681" s="308">
        <v>8.8201999999999998</v>
      </c>
      <c r="AA681" s="308">
        <v>8.4238999999999997</v>
      </c>
      <c r="AB681" s="308">
        <v>9.8435000000000006</v>
      </c>
      <c r="AC681" s="308">
        <v>9.2169000000000008</v>
      </c>
      <c r="AD681" s="308">
        <v>8.4580000000000002</v>
      </c>
      <c r="AE681" s="308">
        <v>9.9414999999999996</v>
      </c>
      <c r="AF681" s="308">
        <v>0</v>
      </c>
      <c r="AG681" s="308">
        <v>8.8973999999999993</v>
      </c>
      <c r="AH681" s="308">
        <v>6.8691000000000004</v>
      </c>
      <c r="AI681" s="308">
        <v>8.2395999999999994</v>
      </c>
      <c r="AJ681" s="308">
        <v>8.6594999999999995</v>
      </c>
      <c r="AK681" s="308">
        <v>6.5438999999999998</v>
      </c>
      <c r="AL681" s="308">
        <v>6.6860999999999997</v>
      </c>
      <c r="AM681" s="308">
        <v>9.7297999999999991</v>
      </c>
      <c r="AN681" s="308">
        <v>8.8916000000000004</v>
      </c>
      <c r="AO681" s="308">
        <v>7.5191999999999997</v>
      </c>
      <c r="AP681" s="308">
        <v>9.0189000000000004</v>
      </c>
      <c r="AQ681" s="308">
        <v>6.2930000000000001</v>
      </c>
      <c r="AR681" s="308">
        <v>8.782</v>
      </c>
      <c r="AS681" s="308">
        <v>0</v>
      </c>
      <c r="AT681" s="308">
        <v>7.7374999999999998</v>
      </c>
      <c r="AU681" s="308">
        <v>8.5131999999999994</v>
      </c>
      <c r="AV681" s="308">
        <v>10.6442</v>
      </c>
      <c r="AW681" s="308">
        <v>8.7265999999999995</v>
      </c>
      <c r="AX681" s="308">
        <v>7.7995999999999999</v>
      </c>
      <c r="AY681" s="308">
        <v>7.3322000000000003</v>
      </c>
      <c r="AZ681" s="308">
        <v>8.5134000000000007</v>
      </c>
      <c r="BA681" s="308">
        <v>7.8193000000000001</v>
      </c>
      <c r="BB681" s="308">
        <v>0</v>
      </c>
      <c r="BC681" s="308">
        <v>7.5189000000000004</v>
      </c>
      <c r="BD681" s="308">
        <v>8.4076000000000004</v>
      </c>
      <c r="BE681" s="308">
        <v>9.3064999999999998</v>
      </c>
      <c r="BF681" s="308">
        <v>9.4623000000000008</v>
      </c>
      <c r="BG681" s="308">
        <v>9.8649000000000004</v>
      </c>
      <c r="BH681" s="308">
        <v>7.8528000000000002</v>
      </c>
      <c r="BI681" s="308">
        <v>8.9216999999999995</v>
      </c>
      <c r="BJ681" s="308">
        <v>8.4832000000000001</v>
      </c>
      <c r="BK681" s="308">
        <v>8.2851999999999997</v>
      </c>
    </row>
    <row r="682" spans="1:63" x14ac:dyDescent="0.25">
      <c r="A682" s="306">
        <v>336111</v>
      </c>
      <c r="B682" s="308" t="s">
        <v>244</v>
      </c>
      <c r="C682" s="308">
        <v>7.1413000000000002</v>
      </c>
      <c r="D682" s="308">
        <v>0</v>
      </c>
      <c r="E682" s="308">
        <v>6.4347000000000003</v>
      </c>
      <c r="F682" s="308">
        <v>0</v>
      </c>
      <c r="G682" s="308">
        <v>4.2986000000000004</v>
      </c>
      <c r="H682" s="308">
        <v>3.2887</v>
      </c>
      <c r="I682" s="308">
        <v>4.9603999999999999</v>
      </c>
      <c r="J682" s="308">
        <v>0</v>
      </c>
      <c r="K682" s="308">
        <v>0</v>
      </c>
      <c r="L682" s="308">
        <v>1.819</v>
      </c>
      <c r="M682" s="308">
        <v>4.6224999999999996</v>
      </c>
      <c r="N682" s="308">
        <v>4.3960999999999997</v>
      </c>
      <c r="O682" s="308">
        <v>0</v>
      </c>
      <c r="P682" s="308">
        <v>7.1258999999999997</v>
      </c>
      <c r="Q682" s="308">
        <v>0</v>
      </c>
      <c r="R682" s="308">
        <v>5.4977</v>
      </c>
      <c r="S682" s="308">
        <v>6.2553000000000001</v>
      </c>
      <c r="T682" s="308">
        <v>3.2256999999999998</v>
      </c>
      <c r="U682" s="308">
        <v>6.1127000000000002</v>
      </c>
      <c r="V682" s="308">
        <v>4.1840999999999999</v>
      </c>
      <c r="W682" s="308">
        <v>3.6930999999999998</v>
      </c>
      <c r="X682" s="308">
        <v>2.3151999999999999</v>
      </c>
      <c r="Y682" s="308">
        <v>0</v>
      </c>
      <c r="Z682" s="308">
        <v>5.6071</v>
      </c>
      <c r="AA682" s="308">
        <v>5.1515000000000004</v>
      </c>
      <c r="AB682" s="308">
        <v>6.6115000000000004</v>
      </c>
      <c r="AC682" s="308">
        <v>0</v>
      </c>
      <c r="AD682" s="308">
        <v>0</v>
      </c>
      <c r="AE682" s="308">
        <v>6.9843999999999999</v>
      </c>
      <c r="AF682" s="308">
        <v>3.8079999999999998</v>
      </c>
      <c r="AG682" s="308">
        <v>0</v>
      </c>
      <c r="AH682" s="308">
        <v>0</v>
      </c>
      <c r="AI682" s="308">
        <v>2.4782000000000002</v>
      </c>
      <c r="AJ682" s="308">
        <v>0</v>
      </c>
      <c r="AK682" s="308">
        <v>4.0576999999999996</v>
      </c>
      <c r="AL682" s="308">
        <v>2.9777</v>
      </c>
      <c r="AM682" s="308">
        <v>6.2038000000000002</v>
      </c>
      <c r="AN682" s="308">
        <v>5.5818000000000003</v>
      </c>
      <c r="AO682" s="308">
        <v>4.8287000000000004</v>
      </c>
      <c r="AP682" s="308">
        <v>5.8833000000000002</v>
      </c>
      <c r="AQ682" s="308">
        <v>0</v>
      </c>
      <c r="AR682" s="308">
        <v>6.1566999999999998</v>
      </c>
      <c r="AS682" s="308">
        <v>4.5486000000000004</v>
      </c>
      <c r="AT682" s="308">
        <v>6.1012000000000004</v>
      </c>
      <c r="AU682" s="308">
        <v>3.9883000000000002</v>
      </c>
      <c r="AV682" s="308">
        <v>0</v>
      </c>
      <c r="AW682" s="308">
        <v>5.1433</v>
      </c>
      <c r="AX682" s="308">
        <v>0</v>
      </c>
      <c r="AY682" s="308">
        <v>4.2068000000000003</v>
      </c>
      <c r="AZ682" s="308">
        <v>7.8826999999999998</v>
      </c>
      <c r="BA682" s="308">
        <v>0</v>
      </c>
      <c r="BB682" s="308">
        <v>0</v>
      </c>
      <c r="BC682" s="308">
        <v>4.5681000000000003</v>
      </c>
      <c r="BD682" s="308">
        <v>3.6332</v>
      </c>
      <c r="BE682" s="308">
        <v>6.2491000000000003</v>
      </c>
      <c r="BF682" s="308">
        <v>4.6722000000000001</v>
      </c>
      <c r="BG682" s="308">
        <v>4.5807000000000002</v>
      </c>
      <c r="BH682" s="308">
        <v>6.593</v>
      </c>
      <c r="BI682" s="308">
        <v>4.4085000000000001</v>
      </c>
      <c r="BJ682" s="308">
        <v>4.8118999999999996</v>
      </c>
      <c r="BK682" s="308">
        <v>3.3388</v>
      </c>
    </row>
    <row r="683" spans="1:63" x14ac:dyDescent="0.25">
      <c r="A683" s="306">
        <v>336112</v>
      </c>
      <c r="B683" s="308" t="s">
        <v>245</v>
      </c>
      <c r="C683" s="308">
        <v>7.4725000000000001</v>
      </c>
      <c r="D683" s="308">
        <v>0</v>
      </c>
      <c r="E683" s="308">
        <v>6.3476999999999997</v>
      </c>
      <c r="F683" s="308">
        <v>0</v>
      </c>
      <c r="G683" s="308">
        <v>5.7938999999999998</v>
      </c>
      <c r="H683" s="308">
        <v>3.2946</v>
      </c>
      <c r="I683" s="308">
        <v>0</v>
      </c>
      <c r="J683" s="308">
        <v>0</v>
      </c>
      <c r="K683" s="308">
        <v>0</v>
      </c>
      <c r="L683" s="308">
        <v>0</v>
      </c>
      <c r="M683" s="308">
        <v>0</v>
      </c>
      <c r="N683" s="308">
        <v>4.9245000000000001</v>
      </c>
      <c r="O683" s="308">
        <v>0</v>
      </c>
      <c r="P683" s="308">
        <v>0</v>
      </c>
      <c r="Q683" s="308">
        <v>5.3754</v>
      </c>
      <c r="R683" s="308">
        <v>5.6176000000000004</v>
      </c>
      <c r="S683" s="308">
        <v>5.9936999999999996</v>
      </c>
      <c r="T683" s="308">
        <v>5.2329999999999997</v>
      </c>
      <c r="U683" s="308">
        <v>6.1025</v>
      </c>
      <c r="V683" s="308">
        <v>5.8853999999999997</v>
      </c>
      <c r="W683" s="308">
        <v>3.0434999999999999</v>
      </c>
      <c r="X683" s="308">
        <v>2.1181999999999999</v>
      </c>
      <c r="Y683" s="308">
        <v>0</v>
      </c>
      <c r="Z683" s="308">
        <v>6.0632999999999999</v>
      </c>
      <c r="AA683" s="308">
        <v>3.4148000000000001</v>
      </c>
      <c r="AB683" s="308">
        <v>5.3324999999999996</v>
      </c>
      <c r="AC683" s="308">
        <v>5.9569999999999999</v>
      </c>
      <c r="AD683" s="308">
        <v>0</v>
      </c>
      <c r="AE683" s="308">
        <v>8.3922000000000008</v>
      </c>
      <c r="AF683" s="308">
        <v>0</v>
      </c>
      <c r="AG683" s="308">
        <v>0</v>
      </c>
      <c r="AH683" s="308">
        <v>0</v>
      </c>
      <c r="AI683" s="308">
        <v>4.0518000000000001</v>
      </c>
      <c r="AJ683" s="308">
        <v>0</v>
      </c>
      <c r="AK683" s="308">
        <v>0</v>
      </c>
      <c r="AL683" s="308">
        <v>8.7159999999999993</v>
      </c>
      <c r="AM683" s="308">
        <v>6.4819000000000004</v>
      </c>
      <c r="AN683" s="308">
        <v>5.7960000000000003</v>
      </c>
      <c r="AO683" s="308">
        <v>5.5572999999999997</v>
      </c>
      <c r="AP683" s="308">
        <v>4.4241000000000001</v>
      </c>
      <c r="AQ683" s="308">
        <v>0</v>
      </c>
      <c r="AR683" s="308">
        <v>6.1340000000000003</v>
      </c>
      <c r="AS683" s="308">
        <v>0</v>
      </c>
      <c r="AT683" s="308">
        <v>0</v>
      </c>
      <c r="AU683" s="308">
        <v>4.6196000000000002</v>
      </c>
      <c r="AV683" s="308">
        <v>8.8533000000000008</v>
      </c>
      <c r="AW683" s="308">
        <v>2.9180000000000001</v>
      </c>
      <c r="AX683" s="308">
        <v>0</v>
      </c>
      <c r="AY683" s="308">
        <v>4.4836</v>
      </c>
      <c r="AZ683" s="308">
        <v>6.2474999999999996</v>
      </c>
      <c r="BA683" s="308">
        <v>0</v>
      </c>
      <c r="BB683" s="308">
        <v>0</v>
      </c>
      <c r="BC683" s="308">
        <v>3.8891</v>
      </c>
      <c r="BD683" s="308">
        <v>4.3175999999999997</v>
      </c>
      <c r="BE683" s="308">
        <v>6.6243999999999996</v>
      </c>
      <c r="BF683" s="308">
        <v>4.758</v>
      </c>
      <c r="BG683" s="308">
        <v>4.2083000000000004</v>
      </c>
      <c r="BH683" s="308">
        <v>6.9104999999999999</v>
      </c>
      <c r="BI683" s="308">
        <v>5.0077999999999996</v>
      </c>
      <c r="BJ683" s="308">
        <v>6.2154999999999996</v>
      </c>
      <c r="BK683" s="308">
        <v>3.4672000000000001</v>
      </c>
    </row>
    <row r="684" spans="1:63" x14ac:dyDescent="0.25">
      <c r="A684" s="306">
        <v>336120</v>
      </c>
      <c r="B684" s="308" t="s">
        <v>246</v>
      </c>
      <c r="C684" s="308">
        <v>8.6515000000000004</v>
      </c>
      <c r="D684" s="308">
        <v>0</v>
      </c>
      <c r="E684" s="308">
        <v>7.6284000000000001</v>
      </c>
      <c r="F684" s="308">
        <v>6.5110000000000001</v>
      </c>
      <c r="G684" s="308">
        <v>3.4842</v>
      </c>
      <c r="H684" s="308">
        <v>4.1791</v>
      </c>
      <c r="I684" s="308">
        <v>5.7088999999999999</v>
      </c>
      <c r="J684" s="308">
        <v>3.8898999999999999</v>
      </c>
      <c r="K684" s="308">
        <v>0</v>
      </c>
      <c r="L684" s="308">
        <v>0</v>
      </c>
      <c r="M684" s="308">
        <v>4.2239000000000004</v>
      </c>
      <c r="N684" s="308">
        <v>6.2805</v>
      </c>
      <c r="O684" s="308">
        <v>0</v>
      </c>
      <c r="P684" s="308">
        <v>7.3613999999999997</v>
      </c>
      <c r="Q684" s="308">
        <v>3.9457</v>
      </c>
      <c r="R684" s="308">
        <v>6.5594999999999999</v>
      </c>
      <c r="S684" s="308">
        <v>7.5328999999999997</v>
      </c>
      <c r="T684" s="308">
        <v>5.1641000000000004</v>
      </c>
      <c r="U684" s="308">
        <v>7.4542999999999999</v>
      </c>
      <c r="V684" s="308">
        <v>3.1341000000000001</v>
      </c>
      <c r="W684" s="308">
        <v>0</v>
      </c>
      <c r="X684" s="308">
        <v>3.8599000000000001</v>
      </c>
      <c r="Y684" s="308">
        <v>0</v>
      </c>
      <c r="Z684" s="308">
        <v>7.8886000000000003</v>
      </c>
      <c r="AA684" s="308">
        <v>5.3761999999999999</v>
      </c>
      <c r="AB684" s="308">
        <v>7.6616</v>
      </c>
      <c r="AC684" s="308">
        <v>7.3914999999999997</v>
      </c>
      <c r="AD684" s="308">
        <v>4.4398</v>
      </c>
      <c r="AE684" s="308">
        <v>6.7285000000000004</v>
      </c>
      <c r="AF684" s="308">
        <v>4.1631999999999998</v>
      </c>
      <c r="AG684" s="308">
        <v>6.0620000000000003</v>
      </c>
      <c r="AH684" s="308">
        <v>0</v>
      </c>
      <c r="AI684" s="308">
        <v>4.2168000000000001</v>
      </c>
      <c r="AJ684" s="308">
        <v>3.6267</v>
      </c>
      <c r="AK684" s="308">
        <v>0</v>
      </c>
      <c r="AL684" s="308">
        <v>4.7896999999999998</v>
      </c>
      <c r="AM684" s="308">
        <v>7.2571000000000003</v>
      </c>
      <c r="AN684" s="308">
        <v>6.4797000000000002</v>
      </c>
      <c r="AO684" s="308">
        <v>5.2944000000000004</v>
      </c>
      <c r="AP684" s="308">
        <v>5.3869999999999996</v>
      </c>
      <c r="AQ684" s="308">
        <v>0</v>
      </c>
      <c r="AR684" s="308">
        <v>8.0366</v>
      </c>
      <c r="AS684" s="308">
        <v>4.6641000000000004</v>
      </c>
      <c r="AT684" s="308">
        <v>6.9812000000000003</v>
      </c>
      <c r="AU684" s="308">
        <v>5.3030999999999997</v>
      </c>
      <c r="AV684" s="308">
        <v>0</v>
      </c>
      <c r="AW684" s="308">
        <v>4.1176000000000004</v>
      </c>
      <c r="AX684" s="308">
        <v>0</v>
      </c>
      <c r="AY684" s="308">
        <v>3.2431999999999999</v>
      </c>
      <c r="AZ684" s="308">
        <v>7.0631000000000004</v>
      </c>
      <c r="BA684" s="308">
        <v>5.3072999999999997</v>
      </c>
      <c r="BB684" s="308">
        <v>0</v>
      </c>
      <c r="BC684" s="308">
        <v>3.9777</v>
      </c>
      <c r="BD684" s="308">
        <v>4.8757999999999999</v>
      </c>
      <c r="BE684" s="308">
        <v>7.5972</v>
      </c>
      <c r="BF684" s="308">
        <v>7.1725000000000003</v>
      </c>
      <c r="BG684" s="308">
        <v>5.5625</v>
      </c>
      <c r="BH684" s="308">
        <v>7.8944999999999999</v>
      </c>
      <c r="BI684" s="308">
        <v>5.2515000000000001</v>
      </c>
      <c r="BJ684" s="308">
        <v>4.4763000000000002</v>
      </c>
      <c r="BK684" s="308">
        <v>4.6380999999999997</v>
      </c>
    </row>
    <row r="685" spans="1:63" x14ac:dyDescent="0.25">
      <c r="A685" s="306">
        <v>336211</v>
      </c>
      <c r="B685" s="308" t="s">
        <v>247</v>
      </c>
      <c r="C685" s="308">
        <v>9.1023999999999994</v>
      </c>
      <c r="D685" s="308">
        <v>5.6127000000000002</v>
      </c>
      <c r="E685" s="308">
        <v>8.2375000000000007</v>
      </c>
      <c r="F685" s="308">
        <v>7.9070999999999998</v>
      </c>
      <c r="G685" s="308">
        <v>7.1623000000000001</v>
      </c>
      <c r="H685" s="308">
        <v>5.9507000000000003</v>
      </c>
      <c r="I685" s="308">
        <v>6.2918000000000003</v>
      </c>
      <c r="J685" s="308">
        <v>7.1893000000000002</v>
      </c>
      <c r="K685" s="308">
        <v>0</v>
      </c>
      <c r="L685" s="308">
        <v>3.9129999999999998</v>
      </c>
      <c r="M685" s="308">
        <v>6.5107999999999997</v>
      </c>
      <c r="N685" s="308">
        <v>6.4036999999999997</v>
      </c>
      <c r="O685" s="308">
        <v>4.4865000000000004</v>
      </c>
      <c r="P685" s="308">
        <v>7.6752000000000002</v>
      </c>
      <c r="Q685" s="308">
        <v>6.7663000000000002</v>
      </c>
      <c r="R685" s="308">
        <v>6.7045000000000003</v>
      </c>
      <c r="S685" s="308">
        <v>7.3147000000000002</v>
      </c>
      <c r="T685" s="308">
        <v>6.5787000000000004</v>
      </c>
      <c r="U685" s="308">
        <v>8.2059999999999995</v>
      </c>
      <c r="V685" s="308">
        <v>6.7051999999999996</v>
      </c>
      <c r="W685" s="308">
        <v>5.6508000000000003</v>
      </c>
      <c r="X685" s="308">
        <v>5.1102999999999996</v>
      </c>
      <c r="Y685" s="308">
        <v>0</v>
      </c>
      <c r="Z685" s="308">
        <v>6.9436</v>
      </c>
      <c r="AA685" s="308">
        <v>6.8837000000000002</v>
      </c>
      <c r="AB685" s="308">
        <v>8.3384999999999998</v>
      </c>
      <c r="AC685" s="308">
        <v>7.2610999999999999</v>
      </c>
      <c r="AD685" s="308">
        <v>6.8971</v>
      </c>
      <c r="AE685" s="308">
        <v>7.7386999999999997</v>
      </c>
      <c r="AF685" s="308">
        <v>6.3144999999999998</v>
      </c>
      <c r="AG685" s="308">
        <v>7.5434999999999999</v>
      </c>
      <c r="AH685" s="308">
        <v>6.8181000000000003</v>
      </c>
      <c r="AI685" s="308">
        <v>5.3376999999999999</v>
      </c>
      <c r="AJ685" s="308">
        <v>6.0967000000000002</v>
      </c>
      <c r="AK685" s="308">
        <v>7.4132999999999996</v>
      </c>
      <c r="AL685" s="308">
        <v>6.6391</v>
      </c>
      <c r="AM685" s="308">
        <v>8.7062000000000008</v>
      </c>
      <c r="AN685" s="308">
        <v>7.5735000000000001</v>
      </c>
      <c r="AO685" s="308">
        <v>7.8841000000000001</v>
      </c>
      <c r="AP685" s="308">
        <v>8.4605999999999995</v>
      </c>
      <c r="AQ685" s="308">
        <v>5.7495000000000003</v>
      </c>
      <c r="AR685" s="308">
        <v>6.7767999999999997</v>
      </c>
      <c r="AS685" s="308">
        <v>6.0974000000000004</v>
      </c>
      <c r="AT685" s="308">
        <v>8.0543999999999993</v>
      </c>
      <c r="AU685" s="308">
        <v>6.9645000000000001</v>
      </c>
      <c r="AV685" s="308">
        <v>7.9211</v>
      </c>
      <c r="AW685" s="308">
        <v>7.1532</v>
      </c>
      <c r="AX685" s="308">
        <v>5.6510999999999996</v>
      </c>
      <c r="AY685" s="308">
        <v>6.8121999999999998</v>
      </c>
      <c r="AZ685" s="308">
        <v>7.6776999999999997</v>
      </c>
      <c r="BA685" s="308">
        <v>6.9766000000000004</v>
      </c>
      <c r="BB685" s="308">
        <v>4.4960000000000004</v>
      </c>
      <c r="BC685" s="308">
        <v>6.7544000000000004</v>
      </c>
      <c r="BD685" s="308">
        <v>7.8650000000000002</v>
      </c>
      <c r="BE685" s="308">
        <v>8.0195000000000007</v>
      </c>
      <c r="BF685" s="308">
        <v>8.3063000000000002</v>
      </c>
      <c r="BG685" s="308">
        <v>7.1325000000000003</v>
      </c>
      <c r="BH685" s="308">
        <v>8.6563999999999997</v>
      </c>
      <c r="BI685" s="308">
        <v>7.7632000000000003</v>
      </c>
      <c r="BJ685" s="308">
        <v>7.0305</v>
      </c>
      <c r="BK685" s="308">
        <v>6.2561</v>
      </c>
    </row>
    <row r="686" spans="1:63" x14ac:dyDescent="0.25">
      <c r="A686" s="306">
        <v>336212</v>
      </c>
      <c r="B686" s="308" t="s">
        <v>248</v>
      </c>
      <c r="C686" s="308">
        <v>11.4529</v>
      </c>
      <c r="D686" s="308">
        <v>7.0244</v>
      </c>
      <c r="E686" s="308">
        <v>9.8785000000000007</v>
      </c>
      <c r="F686" s="308">
        <v>10.6493</v>
      </c>
      <c r="G686" s="308">
        <v>9.1483000000000008</v>
      </c>
      <c r="H686" s="308">
        <v>7.3813000000000004</v>
      </c>
      <c r="I686" s="308">
        <v>8.5130999999999997</v>
      </c>
      <c r="J686" s="308">
        <v>0</v>
      </c>
      <c r="K686" s="308">
        <v>0</v>
      </c>
      <c r="L686" s="308">
        <v>4.8297999999999996</v>
      </c>
      <c r="M686" s="308">
        <v>7.4095000000000004</v>
      </c>
      <c r="N686" s="308">
        <v>9.3009000000000004</v>
      </c>
      <c r="O686" s="308">
        <v>0</v>
      </c>
      <c r="P686" s="308">
        <v>8.4115000000000002</v>
      </c>
      <c r="Q686" s="308">
        <v>7.3480999999999996</v>
      </c>
      <c r="R686" s="308">
        <v>8.4022000000000006</v>
      </c>
      <c r="S686" s="308">
        <v>10.0014</v>
      </c>
      <c r="T686" s="308">
        <v>7.9135999999999997</v>
      </c>
      <c r="U686" s="308">
        <v>9.032</v>
      </c>
      <c r="V686" s="308">
        <v>7.4870000000000001</v>
      </c>
      <c r="W686" s="308">
        <v>5.9702999999999999</v>
      </c>
      <c r="X686" s="308">
        <v>0</v>
      </c>
      <c r="Y686" s="308">
        <v>8.6466999999999992</v>
      </c>
      <c r="Z686" s="308">
        <v>9.2702000000000009</v>
      </c>
      <c r="AA686" s="308">
        <v>7.8449</v>
      </c>
      <c r="AB686" s="308">
        <v>7.9954000000000001</v>
      </c>
      <c r="AC686" s="308">
        <v>9.0810999999999993</v>
      </c>
      <c r="AD686" s="308">
        <v>6.3756000000000004</v>
      </c>
      <c r="AE686" s="308">
        <v>9.7399000000000004</v>
      </c>
      <c r="AF686" s="308">
        <v>6.9630000000000001</v>
      </c>
      <c r="AG686" s="308">
        <v>8.0124999999999993</v>
      </c>
      <c r="AH686" s="308">
        <v>0</v>
      </c>
      <c r="AI686" s="308">
        <v>5.9847999999999999</v>
      </c>
      <c r="AJ686" s="308">
        <v>6.6505000000000001</v>
      </c>
      <c r="AK686" s="308">
        <v>0</v>
      </c>
      <c r="AL686" s="308">
        <v>6.0396000000000001</v>
      </c>
      <c r="AM686" s="308">
        <v>10.2309</v>
      </c>
      <c r="AN686" s="308">
        <v>10.0054</v>
      </c>
      <c r="AO686" s="308">
        <v>8.4159000000000006</v>
      </c>
      <c r="AP686" s="308">
        <v>9.375</v>
      </c>
      <c r="AQ686" s="308">
        <v>6.5766</v>
      </c>
      <c r="AR686" s="308">
        <v>10.933400000000001</v>
      </c>
      <c r="AS686" s="308">
        <v>7.19</v>
      </c>
      <c r="AT686" s="308">
        <v>10.886699999999999</v>
      </c>
      <c r="AU686" s="308">
        <v>8.6986000000000008</v>
      </c>
      <c r="AV686" s="308">
        <v>10.234500000000001</v>
      </c>
      <c r="AW686" s="308">
        <v>8.8805999999999994</v>
      </c>
      <c r="AX686" s="308">
        <v>0</v>
      </c>
      <c r="AY686" s="308">
        <v>7.0006000000000004</v>
      </c>
      <c r="AZ686" s="308">
        <v>10.120799999999999</v>
      </c>
      <c r="BA686" s="308">
        <v>8.2764000000000006</v>
      </c>
      <c r="BB686" s="308">
        <v>0</v>
      </c>
      <c r="BC686" s="308">
        <v>7.5270000000000001</v>
      </c>
      <c r="BD686" s="308">
        <v>8.5577000000000005</v>
      </c>
      <c r="BE686" s="308">
        <v>10.691000000000001</v>
      </c>
      <c r="BF686" s="308">
        <v>9.0778999999999996</v>
      </c>
      <c r="BG686" s="308">
        <v>9.5196000000000005</v>
      </c>
      <c r="BH686" s="308">
        <v>10.363200000000001</v>
      </c>
      <c r="BI686" s="308">
        <v>9.8506999999999998</v>
      </c>
      <c r="BJ686" s="308">
        <v>8.6693999999999996</v>
      </c>
      <c r="BK686" s="308">
        <v>7.9581</v>
      </c>
    </row>
    <row r="687" spans="1:63" x14ac:dyDescent="0.25">
      <c r="A687" s="306">
        <v>336213</v>
      </c>
      <c r="B687" s="308" t="s">
        <v>249</v>
      </c>
      <c r="C687" s="308">
        <v>9.5784000000000002</v>
      </c>
      <c r="D687" s="308">
        <v>0</v>
      </c>
      <c r="E687" s="308">
        <v>9.0794999999999995</v>
      </c>
      <c r="F687" s="308">
        <v>0</v>
      </c>
      <c r="G687" s="308">
        <v>9.8872999999999998</v>
      </c>
      <c r="H687" s="308">
        <v>6.6207000000000003</v>
      </c>
      <c r="I687" s="308">
        <v>0</v>
      </c>
      <c r="J687" s="308">
        <v>0</v>
      </c>
      <c r="K687" s="308">
        <v>0</v>
      </c>
      <c r="L687" s="308">
        <v>0</v>
      </c>
      <c r="M687" s="308">
        <v>5.7659000000000002</v>
      </c>
      <c r="N687" s="308">
        <v>0</v>
      </c>
      <c r="O687" s="308">
        <v>0</v>
      </c>
      <c r="P687" s="308">
        <v>6.6763000000000003</v>
      </c>
      <c r="Q687" s="308">
        <v>0</v>
      </c>
      <c r="R687" s="308">
        <v>0</v>
      </c>
      <c r="S687" s="308">
        <v>7.5462999999999996</v>
      </c>
      <c r="T687" s="308">
        <v>0</v>
      </c>
      <c r="U687" s="308">
        <v>0</v>
      </c>
      <c r="V687" s="308">
        <v>0</v>
      </c>
      <c r="W687" s="308">
        <v>0</v>
      </c>
      <c r="X687" s="308">
        <v>0</v>
      </c>
      <c r="Y687" s="308">
        <v>0</v>
      </c>
      <c r="Z687" s="308">
        <v>8.9222999999999999</v>
      </c>
      <c r="AA687" s="308">
        <v>8.2576000000000001</v>
      </c>
      <c r="AB687" s="308">
        <v>9.1170000000000009</v>
      </c>
      <c r="AC687" s="308">
        <v>7.8357999999999999</v>
      </c>
      <c r="AD687" s="308">
        <v>0</v>
      </c>
      <c r="AE687" s="308">
        <v>0</v>
      </c>
      <c r="AF687" s="308">
        <v>0</v>
      </c>
      <c r="AG687" s="308">
        <v>0</v>
      </c>
      <c r="AH687" s="308">
        <v>0</v>
      </c>
      <c r="AI687" s="308">
        <v>0</v>
      </c>
      <c r="AJ687" s="308">
        <v>0</v>
      </c>
      <c r="AK687" s="308">
        <v>0</v>
      </c>
      <c r="AL687" s="308">
        <v>4.4596999999999998</v>
      </c>
      <c r="AM687" s="308">
        <v>9.1141000000000005</v>
      </c>
      <c r="AN687" s="308">
        <v>6.0994999999999999</v>
      </c>
      <c r="AO687" s="308">
        <v>6.7793999999999999</v>
      </c>
      <c r="AP687" s="308">
        <v>7.8164999999999996</v>
      </c>
      <c r="AQ687" s="308">
        <v>0</v>
      </c>
      <c r="AR687" s="308">
        <v>9.2055000000000007</v>
      </c>
      <c r="AS687" s="308">
        <v>0</v>
      </c>
      <c r="AT687" s="308">
        <v>0</v>
      </c>
      <c r="AU687" s="308">
        <v>6.6755000000000004</v>
      </c>
      <c r="AV687" s="308">
        <v>5.6779999999999999</v>
      </c>
      <c r="AW687" s="308">
        <v>7.0079000000000002</v>
      </c>
      <c r="AX687" s="308">
        <v>0</v>
      </c>
      <c r="AY687" s="308">
        <v>0</v>
      </c>
      <c r="AZ687" s="308">
        <v>9.5257000000000005</v>
      </c>
      <c r="BA687" s="308">
        <v>0</v>
      </c>
      <c r="BB687" s="308">
        <v>0</v>
      </c>
      <c r="BC687" s="308">
        <v>0</v>
      </c>
      <c r="BD687" s="308">
        <v>6.7397999999999998</v>
      </c>
      <c r="BE687" s="308">
        <v>8.3318999999999992</v>
      </c>
      <c r="BF687" s="308">
        <v>7.8312999999999997</v>
      </c>
      <c r="BG687" s="308">
        <v>7.55</v>
      </c>
      <c r="BH687" s="308">
        <v>9.6678999999999995</v>
      </c>
      <c r="BI687" s="308">
        <v>6.9821999999999997</v>
      </c>
      <c r="BJ687" s="308">
        <v>6.8085000000000004</v>
      </c>
      <c r="BK687" s="308">
        <v>7.1970000000000001</v>
      </c>
    </row>
    <row r="688" spans="1:63" x14ac:dyDescent="0.25">
      <c r="A688" s="306">
        <v>336214</v>
      </c>
      <c r="B688" s="308" t="s">
        <v>250</v>
      </c>
      <c r="C688" s="308">
        <v>12.312099999999999</v>
      </c>
      <c r="D688" s="308">
        <v>7.6313000000000004</v>
      </c>
      <c r="E688" s="308">
        <v>12.6305</v>
      </c>
      <c r="F688" s="308">
        <v>12.3886</v>
      </c>
      <c r="G688" s="308">
        <v>9.6011000000000006</v>
      </c>
      <c r="H688" s="308">
        <v>9.5815000000000001</v>
      </c>
      <c r="I688" s="308">
        <v>7.7328000000000001</v>
      </c>
      <c r="J688" s="308">
        <v>8.3516999999999992</v>
      </c>
      <c r="K688" s="308">
        <v>0</v>
      </c>
      <c r="L688" s="308">
        <v>0</v>
      </c>
      <c r="M688" s="308">
        <v>8.5027000000000008</v>
      </c>
      <c r="N688" s="308">
        <v>10.963900000000001</v>
      </c>
      <c r="O688" s="308">
        <v>0</v>
      </c>
      <c r="P688" s="308">
        <v>9.5350000000000001</v>
      </c>
      <c r="Q688" s="308">
        <v>9.3315999999999999</v>
      </c>
      <c r="R688" s="308">
        <v>9.2124000000000006</v>
      </c>
      <c r="S688" s="308">
        <v>9.5048999999999992</v>
      </c>
      <c r="T688" s="308">
        <v>9.8925999999999998</v>
      </c>
      <c r="U688" s="308">
        <v>11.826599999999999</v>
      </c>
      <c r="V688" s="308">
        <v>10.264699999999999</v>
      </c>
      <c r="W688" s="308">
        <v>6.7962999999999996</v>
      </c>
      <c r="X688" s="308">
        <v>6.1963999999999997</v>
      </c>
      <c r="Y688" s="308">
        <v>8.6669</v>
      </c>
      <c r="Z688" s="308">
        <v>10.460800000000001</v>
      </c>
      <c r="AA688" s="308">
        <v>9.4741</v>
      </c>
      <c r="AB688" s="308">
        <v>11.845599999999999</v>
      </c>
      <c r="AC688" s="308">
        <v>11.3207</v>
      </c>
      <c r="AD688" s="308">
        <v>9.7111000000000001</v>
      </c>
      <c r="AE688" s="308">
        <v>10.053000000000001</v>
      </c>
      <c r="AF688" s="308">
        <v>8.4596</v>
      </c>
      <c r="AG688" s="308">
        <v>6.9372999999999996</v>
      </c>
      <c r="AH688" s="308">
        <v>10.559200000000001</v>
      </c>
      <c r="AI688" s="308">
        <v>7.1779000000000002</v>
      </c>
      <c r="AJ688" s="308">
        <v>10.2889</v>
      </c>
      <c r="AK688" s="308">
        <v>9.8104999999999993</v>
      </c>
      <c r="AL688" s="308">
        <v>8.4989000000000008</v>
      </c>
      <c r="AM688" s="308">
        <v>10.4474</v>
      </c>
      <c r="AN688" s="308">
        <v>10.9063</v>
      </c>
      <c r="AO688" s="308">
        <v>9.9061000000000003</v>
      </c>
      <c r="AP688" s="308">
        <v>10.3932</v>
      </c>
      <c r="AQ688" s="308">
        <v>0</v>
      </c>
      <c r="AR688" s="308">
        <v>9.6133000000000006</v>
      </c>
      <c r="AS688" s="308">
        <v>9.4827999999999992</v>
      </c>
      <c r="AT688" s="308">
        <v>11.7545</v>
      </c>
      <c r="AU688" s="308">
        <v>10.734400000000001</v>
      </c>
      <c r="AV688" s="308">
        <v>11.639799999999999</v>
      </c>
      <c r="AW688" s="308">
        <v>9.5813000000000006</v>
      </c>
      <c r="AX688" s="308">
        <v>10.623900000000001</v>
      </c>
      <c r="AY688" s="308">
        <v>9.3199000000000005</v>
      </c>
      <c r="AZ688" s="308">
        <v>11.1411</v>
      </c>
      <c r="BA688" s="308">
        <v>0</v>
      </c>
      <c r="BB688" s="308">
        <v>7.4737999999999998</v>
      </c>
      <c r="BC688" s="308">
        <v>8.8506</v>
      </c>
      <c r="BD688" s="308">
        <v>9.8485999999999994</v>
      </c>
      <c r="BE688" s="308">
        <v>10.4566</v>
      </c>
      <c r="BF688" s="308">
        <v>10.9863</v>
      </c>
      <c r="BG688" s="308">
        <v>10.004200000000001</v>
      </c>
      <c r="BH688" s="308">
        <v>12.6777</v>
      </c>
      <c r="BI688" s="308">
        <v>11.482100000000001</v>
      </c>
      <c r="BJ688" s="308">
        <v>9.9825999999999997</v>
      </c>
      <c r="BK688" s="308">
        <v>10.198700000000001</v>
      </c>
    </row>
    <row r="689" spans="1:63" x14ac:dyDescent="0.25">
      <c r="A689" s="306">
        <v>336300</v>
      </c>
      <c r="B689" s="308" t="s">
        <v>251</v>
      </c>
      <c r="C689" s="308">
        <v>9.9566999999999997</v>
      </c>
      <c r="D689" s="308">
        <v>6.2053000000000003</v>
      </c>
      <c r="E689" s="308">
        <v>8.6949000000000005</v>
      </c>
      <c r="F689" s="308">
        <v>9.2739999999999991</v>
      </c>
      <c r="G689" s="308">
        <v>6.8841000000000001</v>
      </c>
      <c r="H689" s="308">
        <v>7.6208999999999998</v>
      </c>
      <c r="I689" s="308">
        <v>6.9271000000000003</v>
      </c>
      <c r="J689" s="308">
        <v>6.0860000000000003</v>
      </c>
      <c r="K689" s="308">
        <v>0</v>
      </c>
      <c r="L689" s="308">
        <v>5.3318000000000003</v>
      </c>
      <c r="M689" s="308">
        <v>6.6816000000000004</v>
      </c>
      <c r="N689" s="308">
        <v>7.8647999999999998</v>
      </c>
      <c r="O689" s="308">
        <v>6.8941999999999997</v>
      </c>
      <c r="P689" s="308">
        <v>7.7370000000000001</v>
      </c>
      <c r="Q689" s="308">
        <v>6.0297000000000001</v>
      </c>
      <c r="R689" s="308">
        <v>8.2552000000000003</v>
      </c>
      <c r="S689" s="308">
        <v>7.9992999999999999</v>
      </c>
      <c r="T689" s="308">
        <v>7.7938000000000001</v>
      </c>
      <c r="U689" s="308">
        <v>8.8299000000000003</v>
      </c>
      <c r="V689" s="308">
        <v>7.4417</v>
      </c>
      <c r="W689" s="308">
        <v>5.9084000000000003</v>
      </c>
      <c r="X689" s="308">
        <v>5.0105000000000004</v>
      </c>
      <c r="Y689" s="308">
        <v>7.1018999999999997</v>
      </c>
      <c r="Z689" s="308">
        <v>7.9974999999999996</v>
      </c>
      <c r="AA689" s="308">
        <v>7.9801000000000002</v>
      </c>
      <c r="AB689" s="308">
        <v>8.4841999999999995</v>
      </c>
      <c r="AC689" s="308">
        <v>7.8665000000000003</v>
      </c>
      <c r="AD689" s="308">
        <v>7.0246000000000004</v>
      </c>
      <c r="AE689" s="308">
        <v>8.1118000000000006</v>
      </c>
      <c r="AF689" s="308">
        <v>6.3484999999999996</v>
      </c>
      <c r="AG689" s="308">
        <v>7.2477</v>
      </c>
      <c r="AH689" s="308">
        <v>7.9147999999999996</v>
      </c>
      <c r="AI689" s="308">
        <v>6.1101999999999999</v>
      </c>
      <c r="AJ689" s="308">
        <v>6.2278000000000002</v>
      </c>
      <c r="AK689" s="308">
        <v>6.6166</v>
      </c>
      <c r="AL689" s="308">
        <v>5.3525999999999998</v>
      </c>
      <c r="AM689" s="308">
        <v>8.4474</v>
      </c>
      <c r="AN689" s="308">
        <v>8.4638000000000009</v>
      </c>
      <c r="AO689" s="308">
        <v>7.7237</v>
      </c>
      <c r="AP689" s="308">
        <v>8.3792000000000009</v>
      </c>
      <c r="AQ689" s="308">
        <v>5.7407000000000004</v>
      </c>
      <c r="AR689" s="308">
        <v>8.4713999999999992</v>
      </c>
      <c r="AS689" s="308">
        <v>7.0906000000000002</v>
      </c>
      <c r="AT689" s="308">
        <v>9.093</v>
      </c>
      <c r="AU689" s="308">
        <v>8.1443999999999992</v>
      </c>
      <c r="AV689" s="308">
        <v>8.8798999999999992</v>
      </c>
      <c r="AW689" s="308">
        <v>7.1227999999999998</v>
      </c>
      <c r="AX689" s="308">
        <v>6.4874000000000001</v>
      </c>
      <c r="AY689" s="308">
        <v>7.0095000000000001</v>
      </c>
      <c r="AZ689" s="308">
        <v>8.2813999999999997</v>
      </c>
      <c r="BA689" s="308">
        <v>5.9619</v>
      </c>
      <c r="BB689" s="308">
        <v>6.7088999999999999</v>
      </c>
      <c r="BC689" s="308">
        <v>7.0689000000000002</v>
      </c>
      <c r="BD689" s="308">
        <v>7.1510999999999996</v>
      </c>
      <c r="BE689" s="308">
        <v>8.7128999999999994</v>
      </c>
      <c r="BF689" s="308">
        <v>8.6900999999999993</v>
      </c>
      <c r="BG689" s="308">
        <v>7.8628</v>
      </c>
      <c r="BH689" s="308">
        <v>9.4926999999999992</v>
      </c>
      <c r="BI689" s="308">
        <v>8.6861999999999995</v>
      </c>
      <c r="BJ689" s="308">
        <v>7.2835000000000001</v>
      </c>
      <c r="BK689" s="308">
        <v>7.8413000000000004</v>
      </c>
    </row>
    <row r="690" spans="1:63" x14ac:dyDescent="0.25">
      <c r="A690" s="306">
        <v>336411</v>
      </c>
      <c r="B690" s="308" t="s">
        <v>252</v>
      </c>
      <c r="C690" s="308">
        <v>6.8677000000000001</v>
      </c>
      <c r="D690" s="308">
        <v>5.4989999999999997</v>
      </c>
      <c r="E690" s="308">
        <v>5.8868</v>
      </c>
      <c r="F690" s="308">
        <v>5.6318000000000001</v>
      </c>
      <c r="G690" s="308">
        <v>5.3140000000000001</v>
      </c>
      <c r="H690" s="308">
        <v>4.8959000000000001</v>
      </c>
      <c r="I690" s="308">
        <v>5.1726999999999999</v>
      </c>
      <c r="J690" s="308">
        <v>4.4786999999999999</v>
      </c>
      <c r="K690" s="308">
        <v>0</v>
      </c>
      <c r="L690" s="308">
        <v>2.6997</v>
      </c>
      <c r="M690" s="308">
        <v>5.9158999999999997</v>
      </c>
      <c r="N690" s="308">
        <v>4.8455000000000004</v>
      </c>
      <c r="O690" s="308">
        <v>0</v>
      </c>
      <c r="P690" s="308">
        <v>6.8448000000000002</v>
      </c>
      <c r="Q690" s="308">
        <v>5.8281000000000001</v>
      </c>
      <c r="R690" s="308">
        <v>5.4413999999999998</v>
      </c>
      <c r="S690" s="308">
        <v>6.9394</v>
      </c>
      <c r="T690" s="308">
        <v>5.2317999999999998</v>
      </c>
      <c r="U690" s="308">
        <v>5.6138000000000003</v>
      </c>
      <c r="V690" s="308">
        <v>5.5506000000000002</v>
      </c>
      <c r="W690" s="308">
        <v>4.4760999999999997</v>
      </c>
      <c r="X690" s="308">
        <v>4.6397000000000004</v>
      </c>
      <c r="Y690" s="308">
        <v>6.7287999999999997</v>
      </c>
      <c r="Z690" s="308">
        <v>6.1558000000000002</v>
      </c>
      <c r="AA690" s="308">
        <v>5.7789000000000001</v>
      </c>
      <c r="AB690" s="308">
        <v>4.2011000000000003</v>
      </c>
      <c r="AC690" s="308">
        <v>4.7013999999999996</v>
      </c>
      <c r="AD690" s="308">
        <v>6.1692</v>
      </c>
      <c r="AE690" s="308">
        <v>5.4298000000000002</v>
      </c>
      <c r="AF690" s="308">
        <v>0</v>
      </c>
      <c r="AG690" s="308">
        <v>0</v>
      </c>
      <c r="AH690" s="308">
        <v>4.0423999999999998</v>
      </c>
      <c r="AI690" s="308">
        <v>4.3452999999999999</v>
      </c>
      <c r="AJ690" s="308">
        <v>5.0366</v>
      </c>
      <c r="AK690" s="308">
        <v>6.6257999999999999</v>
      </c>
      <c r="AL690" s="308">
        <v>3.8222999999999998</v>
      </c>
      <c r="AM690" s="308">
        <v>5.9490999999999996</v>
      </c>
      <c r="AN690" s="308">
        <v>5.7557</v>
      </c>
      <c r="AO690" s="308">
        <v>6.3156999999999996</v>
      </c>
      <c r="AP690" s="308">
        <v>4.5007999999999999</v>
      </c>
      <c r="AQ690" s="308">
        <v>0</v>
      </c>
      <c r="AR690" s="308">
        <v>4.1048</v>
      </c>
      <c r="AS690" s="308">
        <v>4.4132999999999996</v>
      </c>
      <c r="AT690" s="308">
        <v>5.7622999999999998</v>
      </c>
      <c r="AU690" s="308">
        <v>5.3056000000000001</v>
      </c>
      <c r="AV690" s="308">
        <v>7.7582000000000004</v>
      </c>
      <c r="AW690" s="308">
        <v>4.4588000000000001</v>
      </c>
      <c r="AX690" s="308">
        <v>0</v>
      </c>
      <c r="AY690" s="308">
        <v>4.4740000000000002</v>
      </c>
      <c r="AZ690" s="308">
        <v>4.9718999999999998</v>
      </c>
      <c r="BA690" s="308">
        <v>5.4611000000000001</v>
      </c>
      <c r="BB690" s="308">
        <v>5.6841999999999997</v>
      </c>
      <c r="BC690" s="308">
        <v>5.3514999999999997</v>
      </c>
      <c r="BD690" s="308">
        <v>4.6043000000000003</v>
      </c>
      <c r="BE690" s="308">
        <v>6.2263999999999999</v>
      </c>
      <c r="BF690" s="308">
        <v>5.6363000000000003</v>
      </c>
      <c r="BG690" s="308">
        <v>5.5381999999999998</v>
      </c>
      <c r="BH690" s="308">
        <v>5.9374000000000002</v>
      </c>
      <c r="BI690" s="308">
        <v>5.4606000000000003</v>
      </c>
      <c r="BJ690" s="308">
        <v>5.9973000000000001</v>
      </c>
      <c r="BK690" s="308">
        <v>5.0808</v>
      </c>
    </row>
    <row r="691" spans="1:63" x14ac:dyDescent="0.25">
      <c r="A691" s="306">
        <v>336412</v>
      </c>
      <c r="B691" s="308" t="s">
        <v>253</v>
      </c>
      <c r="C691" s="308">
        <v>7.8975</v>
      </c>
      <c r="D691" s="308">
        <v>5.6054000000000004</v>
      </c>
      <c r="E691" s="308">
        <v>5.9611000000000001</v>
      </c>
      <c r="F691" s="308">
        <v>6.6505000000000001</v>
      </c>
      <c r="G691" s="308">
        <v>5.9736000000000002</v>
      </c>
      <c r="H691" s="308">
        <v>5.7709999999999999</v>
      </c>
      <c r="I691" s="308">
        <v>7.3970000000000002</v>
      </c>
      <c r="J691" s="308">
        <v>5.3878000000000004</v>
      </c>
      <c r="K691" s="308">
        <v>0</v>
      </c>
      <c r="L691" s="308">
        <v>0</v>
      </c>
      <c r="M691" s="308">
        <v>6.6077000000000004</v>
      </c>
      <c r="N691" s="308">
        <v>7.5103999999999997</v>
      </c>
      <c r="O691" s="308">
        <v>0</v>
      </c>
      <c r="P691" s="308">
        <v>6.1157000000000004</v>
      </c>
      <c r="Q691" s="308">
        <v>6.4821</v>
      </c>
      <c r="R691" s="308">
        <v>5.9939999999999998</v>
      </c>
      <c r="S691" s="308">
        <v>5.8987999999999996</v>
      </c>
      <c r="T691" s="308">
        <v>6.2481</v>
      </c>
      <c r="U691" s="308">
        <v>6.5881999999999996</v>
      </c>
      <c r="V691" s="308">
        <v>5.1292999999999997</v>
      </c>
      <c r="W691" s="308">
        <v>5.2960000000000003</v>
      </c>
      <c r="X691" s="308">
        <v>4.4073000000000002</v>
      </c>
      <c r="Y691" s="308">
        <v>6.8978000000000002</v>
      </c>
      <c r="Z691" s="308">
        <v>6.6862000000000004</v>
      </c>
      <c r="AA691" s="308">
        <v>6.1300999999999997</v>
      </c>
      <c r="AB691" s="308">
        <v>6.6275000000000004</v>
      </c>
      <c r="AC691" s="308">
        <v>6.2954999999999997</v>
      </c>
      <c r="AD691" s="308">
        <v>0</v>
      </c>
      <c r="AE691" s="308">
        <v>6.149</v>
      </c>
      <c r="AF691" s="308">
        <v>0</v>
      </c>
      <c r="AG691" s="308">
        <v>4.8558000000000003</v>
      </c>
      <c r="AH691" s="308">
        <v>6.2206000000000001</v>
      </c>
      <c r="AI691" s="308">
        <v>5.4443999999999999</v>
      </c>
      <c r="AJ691" s="308">
        <v>5.6311</v>
      </c>
      <c r="AK691" s="308">
        <v>5.9694000000000003</v>
      </c>
      <c r="AL691" s="308">
        <v>5.8635999999999999</v>
      </c>
      <c r="AM691" s="308">
        <v>6.5487000000000002</v>
      </c>
      <c r="AN691" s="308">
        <v>7.8224</v>
      </c>
      <c r="AO691" s="308">
        <v>6.5404</v>
      </c>
      <c r="AP691" s="308">
        <v>6.6680000000000001</v>
      </c>
      <c r="AQ691" s="308">
        <v>0</v>
      </c>
      <c r="AR691" s="308">
        <v>6.1035000000000004</v>
      </c>
      <c r="AS691" s="308">
        <v>5.8132999999999999</v>
      </c>
      <c r="AT691" s="308">
        <v>7.5457999999999998</v>
      </c>
      <c r="AU691" s="308">
        <v>7.3705999999999996</v>
      </c>
      <c r="AV691" s="308">
        <v>8.2187000000000001</v>
      </c>
      <c r="AW691" s="308">
        <v>5.5</v>
      </c>
      <c r="AX691" s="308">
        <v>5.4917999999999996</v>
      </c>
      <c r="AY691" s="308">
        <v>5.9253999999999998</v>
      </c>
      <c r="AZ691" s="308">
        <v>6.2828999999999997</v>
      </c>
      <c r="BA691" s="308">
        <v>5.4417999999999997</v>
      </c>
      <c r="BB691" s="308">
        <v>5.7450999999999999</v>
      </c>
      <c r="BC691" s="308">
        <v>6.2828999999999997</v>
      </c>
      <c r="BD691" s="308">
        <v>6.5625</v>
      </c>
      <c r="BE691" s="308">
        <v>6.8371000000000004</v>
      </c>
      <c r="BF691" s="308">
        <v>6.4851999999999999</v>
      </c>
      <c r="BG691" s="308">
        <v>6.6337000000000002</v>
      </c>
      <c r="BH691" s="308">
        <v>6.8684000000000003</v>
      </c>
      <c r="BI691" s="308">
        <v>7.3833000000000002</v>
      </c>
      <c r="BJ691" s="308">
        <v>6.6135999999999999</v>
      </c>
      <c r="BK691" s="308">
        <v>5.8262</v>
      </c>
    </row>
    <row r="692" spans="1:63" x14ac:dyDescent="0.25">
      <c r="A692" s="306">
        <v>336413</v>
      </c>
      <c r="B692" s="308" t="s">
        <v>254</v>
      </c>
      <c r="C692" s="308">
        <v>10.575100000000001</v>
      </c>
      <c r="D692" s="308">
        <v>8.8352000000000004</v>
      </c>
      <c r="E692" s="308">
        <v>9.6012000000000004</v>
      </c>
      <c r="F692" s="308">
        <v>11.076599999999999</v>
      </c>
      <c r="G692" s="308">
        <v>8.4405000000000001</v>
      </c>
      <c r="H692" s="308">
        <v>8.5094999999999992</v>
      </c>
      <c r="I692" s="308">
        <v>8.9040999999999997</v>
      </c>
      <c r="J692" s="308">
        <v>6.7655000000000003</v>
      </c>
      <c r="K692" s="308">
        <v>0</v>
      </c>
      <c r="L692" s="308">
        <v>5.9177</v>
      </c>
      <c r="M692" s="308">
        <v>9.3030000000000008</v>
      </c>
      <c r="N692" s="308">
        <v>10.429</v>
      </c>
      <c r="O692" s="308">
        <v>9.7148000000000003</v>
      </c>
      <c r="P692" s="308">
        <v>7.5617999999999999</v>
      </c>
      <c r="Q692" s="308">
        <v>10.048</v>
      </c>
      <c r="R692" s="308">
        <v>7.7347999999999999</v>
      </c>
      <c r="S692" s="308">
        <v>8.2278000000000002</v>
      </c>
      <c r="T692" s="308">
        <v>9.2401999999999997</v>
      </c>
      <c r="U692" s="308">
        <v>9.1056000000000008</v>
      </c>
      <c r="V692" s="308">
        <v>10.139200000000001</v>
      </c>
      <c r="W692" s="308">
        <v>7.1151</v>
      </c>
      <c r="X692" s="308">
        <v>6.8395000000000001</v>
      </c>
      <c r="Y692" s="308">
        <v>0</v>
      </c>
      <c r="Z692" s="308">
        <v>8.9314999999999998</v>
      </c>
      <c r="AA692" s="308">
        <v>9.5386000000000006</v>
      </c>
      <c r="AB692" s="308">
        <v>8.1670999999999996</v>
      </c>
      <c r="AC692" s="308">
        <v>7.4499000000000004</v>
      </c>
      <c r="AD692" s="308">
        <v>9.8463999999999992</v>
      </c>
      <c r="AE692" s="308">
        <v>7.9908000000000001</v>
      </c>
      <c r="AF692" s="308">
        <v>7.4132999999999996</v>
      </c>
      <c r="AG692" s="308">
        <v>9.1007999999999996</v>
      </c>
      <c r="AH692" s="308">
        <v>8.8173999999999992</v>
      </c>
      <c r="AI692" s="308">
        <v>6.7804000000000002</v>
      </c>
      <c r="AJ692" s="308">
        <v>9.7993000000000006</v>
      </c>
      <c r="AK692" s="308">
        <v>9.8063000000000002</v>
      </c>
      <c r="AL692" s="308">
        <v>7.4207000000000001</v>
      </c>
      <c r="AM692" s="308">
        <v>8.9111999999999991</v>
      </c>
      <c r="AN692" s="308">
        <v>10.4421</v>
      </c>
      <c r="AO692" s="308">
        <v>7.9215</v>
      </c>
      <c r="AP692" s="308">
        <v>9.2087000000000003</v>
      </c>
      <c r="AQ692" s="308">
        <v>0</v>
      </c>
      <c r="AR692" s="308">
        <v>9.5297000000000001</v>
      </c>
      <c r="AS692" s="308">
        <v>8.7719000000000005</v>
      </c>
      <c r="AT692" s="308">
        <v>8.4565000000000001</v>
      </c>
      <c r="AU692" s="308">
        <v>8.1918000000000006</v>
      </c>
      <c r="AV692" s="308">
        <v>10.1911</v>
      </c>
      <c r="AW692" s="308">
        <v>8.8861000000000008</v>
      </c>
      <c r="AX692" s="308">
        <v>8.5992999999999995</v>
      </c>
      <c r="AY692" s="308">
        <v>8.8821999999999992</v>
      </c>
      <c r="AZ692" s="308">
        <v>10.5373</v>
      </c>
      <c r="BA692" s="308">
        <v>8.2222000000000008</v>
      </c>
      <c r="BB692" s="308">
        <v>9.2337000000000007</v>
      </c>
      <c r="BC692" s="308">
        <v>7.7804000000000002</v>
      </c>
      <c r="BD692" s="308">
        <v>8.7026000000000003</v>
      </c>
      <c r="BE692" s="308">
        <v>9.1283999999999992</v>
      </c>
      <c r="BF692" s="308">
        <v>9.7798999999999996</v>
      </c>
      <c r="BG692" s="308">
        <v>9.7132000000000005</v>
      </c>
      <c r="BH692" s="308">
        <v>9.2992000000000008</v>
      </c>
      <c r="BI692" s="308">
        <v>8.8071000000000002</v>
      </c>
      <c r="BJ692" s="308">
        <v>9.2655999999999992</v>
      </c>
      <c r="BK692" s="308">
        <v>8.8072999999999997</v>
      </c>
    </row>
    <row r="693" spans="1:63" x14ac:dyDescent="0.25">
      <c r="A693" s="306">
        <v>336414</v>
      </c>
      <c r="B693" s="308" t="s">
        <v>255</v>
      </c>
      <c r="C693" s="308">
        <v>9.8811</v>
      </c>
      <c r="D693" s="308">
        <v>0</v>
      </c>
      <c r="E693" s="308">
        <v>7.9621000000000004</v>
      </c>
      <c r="F693" s="308">
        <v>7.5298999999999996</v>
      </c>
      <c r="G693" s="308">
        <v>8.2048000000000005</v>
      </c>
      <c r="H693" s="308">
        <v>7.7527999999999997</v>
      </c>
      <c r="I693" s="308">
        <v>8.0081000000000007</v>
      </c>
      <c r="J693" s="308">
        <v>0</v>
      </c>
      <c r="K693" s="308">
        <v>0</v>
      </c>
      <c r="L693" s="308">
        <v>0</v>
      </c>
      <c r="M693" s="308">
        <v>8.8867999999999991</v>
      </c>
      <c r="N693" s="308">
        <v>8.8169000000000004</v>
      </c>
      <c r="O693" s="308">
        <v>0</v>
      </c>
      <c r="P693" s="308">
        <v>0</v>
      </c>
      <c r="Q693" s="308">
        <v>0</v>
      </c>
      <c r="R693" s="308">
        <v>0</v>
      </c>
      <c r="S693" s="308">
        <v>6.9676999999999998</v>
      </c>
      <c r="T693" s="308">
        <v>0</v>
      </c>
      <c r="U693" s="308">
        <v>0</v>
      </c>
      <c r="V693" s="308">
        <v>0</v>
      </c>
      <c r="W693" s="308">
        <v>6.8437999999999999</v>
      </c>
      <c r="X693" s="308">
        <v>0</v>
      </c>
      <c r="Y693" s="308">
        <v>0</v>
      </c>
      <c r="Z693" s="308">
        <v>0</v>
      </c>
      <c r="AA693" s="308">
        <v>0</v>
      </c>
      <c r="AB693" s="308">
        <v>0</v>
      </c>
      <c r="AC693" s="308">
        <v>0</v>
      </c>
      <c r="AD693" s="308">
        <v>0</v>
      </c>
      <c r="AE693" s="308">
        <v>0</v>
      </c>
      <c r="AF693" s="308">
        <v>0</v>
      </c>
      <c r="AG693" s="308">
        <v>0</v>
      </c>
      <c r="AH693" s="308">
        <v>0</v>
      </c>
      <c r="AI693" s="308">
        <v>0</v>
      </c>
      <c r="AJ693" s="308">
        <v>7.8365999999999998</v>
      </c>
      <c r="AK693" s="308">
        <v>7.3453999999999997</v>
      </c>
      <c r="AL693" s="308">
        <v>0</v>
      </c>
      <c r="AM693" s="308">
        <v>0</v>
      </c>
      <c r="AN693" s="308">
        <v>8.3407999999999998</v>
      </c>
      <c r="AO693" s="308">
        <v>0</v>
      </c>
      <c r="AP693" s="308">
        <v>0</v>
      </c>
      <c r="AQ693" s="308">
        <v>0</v>
      </c>
      <c r="AR693" s="308">
        <v>0</v>
      </c>
      <c r="AS693" s="308">
        <v>0</v>
      </c>
      <c r="AT693" s="308">
        <v>0</v>
      </c>
      <c r="AU693" s="308">
        <v>7.8506</v>
      </c>
      <c r="AV693" s="308">
        <v>9.2904</v>
      </c>
      <c r="AW693" s="308">
        <v>6.5719000000000003</v>
      </c>
      <c r="AX693" s="308">
        <v>0</v>
      </c>
      <c r="AY693" s="308">
        <v>0</v>
      </c>
      <c r="AZ693" s="308">
        <v>0</v>
      </c>
      <c r="BA693" s="308">
        <v>0</v>
      </c>
      <c r="BB693" s="308">
        <v>0</v>
      </c>
      <c r="BC693" s="308">
        <v>7.5254000000000003</v>
      </c>
      <c r="BD693" s="308">
        <v>0</v>
      </c>
      <c r="BE693" s="308">
        <v>8.0457000000000001</v>
      </c>
      <c r="BF693" s="308">
        <v>0</v>
      </c>
      <c r="BG693" s="308">
        <v>8.9385999999999992</v>
      </c>
      <c r="BH693" s="308">
        <v>8.2573000000000008</v>
      </c>
      <c r="BI693" s="308">
        <v>8.3333999999999993</v>
      </c>
      <c r="BJ693" s="308">
        <v>8.923</v>
      </c>
      <c r="BK693" s="308">
        <v>7.9143999999999997</v>
      </c>
    </row>
    <row r="694" spans="1:63" x14ac:dyDescent="0.25">
      <c r="A694" s="306" t="s">
        <v>743</v>
      </c>
      <c r="B694" s="308" t="s">
        <v>744</v>
      </c>
      <c r="C694" s="308">
        <v>10.1233</v>
      </c>
      <c r="D694" s="308">
        <v>0</v>
      </c>
      <c r="E694" s="308">
        <v>9.4086999999999996</v>
      </c>
      <c r="F694" s="308">
        <v>0</v>
      </c>
      <c r="G694" s="308">
        <v>10.7011</v>
      </c>
      <c r="H694" s="308">
        <v>8.5745000000000005</v>
      </c>
      <c r="I694" s="308">
        <v>7.8162000000000003</v>
      </c>
      <c r="J694" s="308">
        <v>0</v>
      </c>
      <c r="K694" s="308">
        <v>0</v>
      </c>
      <c r="L694" s="308">
        <v>0</v>
      </c>
      <c r="M694" s="308">
        <v>9.6678999999999995</v>
      </c>
      <c r="N694" s="308">
        <v>8.8590999999999998</v>
      </c>
      <c r="O694" s="308">
        <v>0</v>
      </c>
      <c r="P694" s="308">
        <v>0</v>
      </c>
      <c r="Q694" s="308">
        <v>0</v>
      </c>
      <c r="R694" s="308">
        <v>0</v>
      </c>
      <c r="S694" s="308">
        <v>0</v>
      </c>
      <c r="T694" s="308">
        <v>0</v>
      </c>
      <c r="U694" s="308">
        <v>0</v>
      </c>
      <c r="V694" s="308">
        <v>7.5114999999999998</v>
      </c>
      <c r="W694" s="308">
        <v>7.1069000000000004</v>
      </c>
      <c r="X694" s="308">
        <v>6.2685000000000004</v>
      </c>
      <c r="Y694" s="308">
        <v>11.145300000000001</v>
      </c>
      <c r="Z694" s="308">
        <v>7.1859999999999999</v>
      </c>
      <c r="AA694" s="308">
        <v>0</v>
      </c>
      <c r="AB694" s="308">
        <v>0</v>
      </c>
      <c r="AC694" s="308">
        <v>7.5232000000000001</v>
      </c>
      <c r="AD694" s="308">
        <v>0</v>
      </c>
      <c r="AE694" s="308">
        <v>0</v>
      </c>
      <c r="AF694" s="308">
        <v>0</v>
      </c>
      <c r="AG694" s="308">
        <v>0</v>
      </c>
      <c r="AH694" s="308">
        <v>0</v>
      </c>
      <c r="AI694" s="308">
        <v>0</v>
      </c>
      <c r="AJ694" s="308">
        <v>0</v>
      </c>
      <c r="AK694" s="308">
        <v>0</v>
      </c>
      <c r="AL694" s="308">
        <v>8.2690000000000001</v>
      </c>
      <c r="AM694" s="308">
        <v>11.732699999999999</v>
      </c>
      <c r="AN694" s="308">
        <v>11.5283</v>
      </c>
      <c r="AO694" s="308">
        <v>0</v>
      </c>
      <c r="AP694" s="308">
        <v>6.8216999999999999</v>
      </c>
      <c r="AQ694" s="308">
        <v>0</v>
      </c>
      <c r="AR694" s="308">
        <v>0</v>
      </c>
      <c r="AS694" s="308">
        <v>10.048500000000001</v>
      </c>
      <c r="AT694" s="308">
        <v>0</v>
      </c>
      <c r="AU694" s="308">
        <v>10.630100000000001</v>
      </c>
      <c r="AV694" s="308">
        <v>9.4760000000000009</v>
      </c>
      <c r="AW694" s="308">
        <v>7.5281000000000002</v>
      </c>
      <c r="AX694" s="308">
        <v>0</v>
      </c>
      <c r="AY694" s="308">
        <v>7.9772999999999996</v>
      </c>
      <c r="AZ694" s="308">
        <v>11.686400000000001</v>
      </c>
      <c r="BA694" s="308">
        <v>7.7582000000000004</v>
      </c>
      <c r="BB694" s="308">
        <v>0</v>
      </c>
      <c r="BC694" s="308">
        <v>8.1722999999999999</v>
      </c>
      <c r="BD694" s="308">
        <v>6.9739000000000004</v>
      </c>
      <c r="BE694" s="308">
        <v>7.2224000000000004</v>
      </c>
      <c r="BF694" s="308">
        <v>11.4138</v>
      </c>
      <c r="BG694" s="308">
        <v>9.1661000000000001</v>
      </c>
      <c r="BH694" s="308">
        <v>9.5930999999999997</v>
      </c>
      <c r="BI694" s="308">
        <v>8.8158999999999992</v>
      </c>
      <c r="BJ694" s="308">
        <v>9.4588999999999999</v>
      </c>
      <c r="BK694" s="308">
        <v>8.7203999999999997</v>
      </c>
    </row>
    <row r="695" spans="1:63" x14ac:dyDescent="0.25">
      <c r="A695" s="306">
        <v>336500</v>
      </c>
      <c r="B695" s="308" t="s">
        <v>256</v>
      </c>
      <c r="C695" s="308">
        <v>8.0092999999999996</v>
      </c>
      <c r="D695" s="308">
        <v>0</v>
      </c>
      <c r="E695" s="308">
        <v>7.2042000000000002</v>
      </c>
      <c r="F695" s="308">
        <v>7.5315000000000003</v>
      </c>
      <c r="G695" s="308">
        <v>4.4038000000000004</v>
      </c>
      <c r="H695" s="308">
        <v>5.6905000000000001</v>
      </c>
      <c r="I695" s="308">
        <v>5.6304999999999996</v>
      </c>
      <c r="J695" s="308">
        <v>7.6002999999999998</v>
      </c>
      <c r="K695" s="308">
        <v>0</v>
      </c>
      <c r="L695" s="308">
        <v>5.5561999999999996</v>
      </c>
      <c r="M695" s="308">
        <v>6.1894</v>
      </c>
      <c r="N695" s="308">
        <v>7.0698999999999996</v>
      </c>
      <c r="O695" s="308">
        <v>0</v>
      </c>
      <c r="P695" s="308">
        <v>5.7054999999999998</v>
      </c>
      <c r="Q695" s="308">
        <v>6.6045999999999996</v>
      </c>
      <c r="R695" s="308">
        <v>6.5353000000000003</v>
      </c>
      <c r="S695" s="308">
        <v>6.1837</v>
      </c>
      <c r="T695" s="308">
        <v>6.4444999999999997</v>
      </c>
      <c r="U695" s="308">
        <v>6.8555000000000001</v>
      </c>
      <c r="V695" s="308">
        <v>7.1039000000000003</v>
      </c>
      <c r="W695" s="308">
        <v>0</v>
      </c>
      <c r="X695" s="308">
        <v>4.2607999999999997</v>
      </c>
      <c r="Y695" s="308">
        <v>6.9269999999999996</v>
      </c>
      <c r="Z695" s="308">
        <v>7.7374000000000001</v>
      </c>
      <c r="AA695" s="308">
        <v>5.8959999999999999</v>
      </c>
      <c r="AB695" s="308">
        <v>7.0887000000000002</v>
      </c>
      <c r="AC695" s="308">
        <v>0</v>
      </c>
      <c r="AD695" s="308">
        <v>0</v>
      </c>
      <c r="AE695" s="308">
        <v>6.4116999999999997</v>
      </c>
      <c r="AF695" s="308">
        <v>0</v>
      </c>
      <c r="AG695" s="308">
        <v>6.6407999999999996</v>
      </c>
      <c r="AH695" s="308">
        <v>0</v>
      </c>
      <c r="AI695" s="308">
        <v>4.6977000000000002</v>
      </c>
      <c r="AJ695" s="308">
        <v>0</v>
      </c>
      <c r="AK695" s="308">
        <v>6.7342000000000004</v>
      </c>
      <c r="AL695" s="308">
        <v>5.5850999999999997</v>
      </c>
      <c r="AM695" s="308">
        <v>8.0219000000000005</v>
      </c>
      <c r="AN695" s="308">
        <v>7.4744000000000002</v>
      </c>
      <c r="AO695" s="308">
        <v>6.4885000000000002</v>
      </c>
      <c r="AP695" s="308">
        <v>5.9008000000000003</v>
      </c>
      <c r="AQ695" s="308">
        <v>0</v>
      </c>
      <c r="AR695" s="308">
        <v>7.1942000000000004</v>
      </c>
      <c r="AS695" s="308">
        <v>0</v>
      </c>
      <c r="AT695" s="308">
        <v>7.7098000000000004</v>
      </c>
      <c r="AU695" s="308">
        <v>7.3666</v>
      </c>
      <c r="AV695" s="308">
        <v>9.2850999999999999</v>
      </c>
      <c r="AW695" s="308">
        <v>6.9781000000000004</v>
      </c>
      <c r="AX695" s="308">
        <v>3.7010999999999998</v>
      </c>
      <c r="AY695" s="308">
        <v>7.0204000000000004</v>
      </c>
      <c r="AZ695" s="308">
        <v>6.0491000000000001</v>
      </c>
      <c r="BA695" s="308">
        <v>6.0989000000000004</v>
      </c>
      <c r="BB695" s="308">
        <v>0</v>
      </c>
      <c r="BC695" s="308">
        <v>7.4081999999999999</v>
      </c>
      <c r="BD695" s="308">
        <v>5.7103999999999999</v>
      </c>
      <c r="BE695" s="308">
        <v>7.0303000000000004</v>
      </c>
      <c r="BF695" s="308">
        <v>6.9382999999999999</v>
      </c>
      <c r="BG695" s="308">
        <v>7.1055999999999999</v>
      </c>
      <c r="BH695" s="308">
        <v>7.3188000000000004</v>
      </c>
      <c r="BI695" s="308">
        <v>7.7777000000000003</v>
      </c>
      <c r="BJ695" s="308">
        <v>7.0388000000000002</v>
      </c>
      <c r="BK695" s="308">
        <v>6.3085000000000004</v>
      </c>
    </row>
    <row r="696" spans="1:63" x14ac:dyDescent="0.25">
      <c r="A696" s="306">
        <v>336611</v>
      </c>
      <c r="B696" s="308" t="s">
        <v>257</v>
      </c>
      <c r="C696" s="308">
        <v>11.099</v>
      </c>
      <c r="D696" s="308">
        <v>9.3689</v>
      </c>
      <c r="E696" s="308">
        <v>10.8705</v>
      </c>
      <c r="F696" s="308">
        <v>12.629899999999999</v>
      </c>
      <c r="G696" s="308">
        <v>0</v>
      </c>
      <c r="H696" s="308">
        <v>9.4786000000000001</v>
      </c>
      <c r="I696" s="308">
        <v>0</v>
      </c>
      <c r="J696" s="308">
        <v>6.7830000000000004</v>
      </c>
      <c r="K696" s="308">
        <v>1.1774</v>
      </c>
      <c r="L696" s="308">
        <v>9.0044000000000004</v>
      </c>
      <c r="M696" s="308">
        <v>10.206200000000001</v>
      </c>
      <c r="N696" s="308">
        <v>12.3987</v>
      </c>
      <c r="O696" s="308">
        <v>7.8127000000000004</v>
      </c>
      <c r="P696" s="308">
        <v>0</v>
      </c>
      <c r="Q696" s="308">
        <v>0</v>
      </c>
      <c r="R696" s="308">
        <v>11.451700000000001</v>
      </c>
      <c r="S696" s="308">
        <v>10.0014</v>
      </c>
      <c r="T696" s="308">
        <v>0</v>
      </c>
      <c r="U696" s="308">
        <v>12.432399999999999</v>
      </c>
      <c r="V696" s="308">
        <v>8.9459999999999997</v>
      </c>
      <c r="W696" s="308">
        <v>8.4307999999999996</v>
      </c>
      <c r="X696" s="308">
        <v>8.2333999999999996</v>
      </c>
      <c r="Y696" s="308">
        <v>8.1516000000000002</v>
      </c>
      <c r="Z696" s="308">
        <v>11.0685</v>
      </c>
      <c r="AA696" s="308">
        <v>0</v>
      </c>
      <c r="AB696" s="308">
        <v>10.288600000000001</v>
      </c>
      <c r="AC696" s="308">
        <v>8.11</v>
      </c>
      <c r="AD696" s="308">
        <v>0</v>
      </c>
      <c r="AE696" s="308">
        <v>13.754099999999999</v>
      </c>
      <c r="AF696" s="308">
        <v>0</v>
      </c>
      <c r="AG696" s="308">
        <v>0</v>
      </c>
      <c r="AH696" s="308">
        <v>11.6113</v>
      </c>
      <c r="AI696" s="308">
        <v>7.9858000000000002</v>
      </c>
      <c r="AJ696" s="308">
        <v>0</v>
      </c>
      <c r="AK696" s="308">
        <v>0</v>
      </c>
      <c r="AL696" s="308">
        <v>7.5427</v>
      </c>
      <c r="AM696" s="308">
        <v>11.731299999999999</v>
      </c>
      <c r="AN696" s="308">
        <v>0</v>
      </c>
      <c r="AO696" s="308">
        <v>8.2713000000000001</v>
      </c>
      <c r="AP696" s="308">
        <v>9.6468000000000007</v>
      </c>
      <c r="AQ696" s="308">
        <v>7.6069000000000004</v>
      </c>
      <c r="AR696" s="308">
        <v>10.286300000000001</v>
      </c>
      <c r="AS696" s="308">
        <v>0</v>
      </c>
      <c r="AT696" s="308">
        <v>10.974600000000001</v>
      </c>
      <c r="AU696" s="308">
        <v>10.1142</v>
      </c>
      <c r="AV696" s="308">
        <v>13.4526</v>
      </c>
      <c r="AW696" s="308">
        <v>8.1062999999999992</v>
      </c>
      <c r="AX696" s="308">
        <v>0</v>
      </c>
      <c r="AY696" s="308">
        <v>7.7389000000000001</v>
      </c>
      <c r="AZ696" s="308">
        <v>10.6432</v>
      </c>
      <c r="BA696" s="308">
        <v>0</v>
      </c>
      <c r="BB696" s="308">
        <v>0</v>
      </c>
      <c r="BC696" s="308">
        <v>8.5070999999999994</v>
      </c>
      <c r="BD696" s="308">
        <v>9.3005999999999993</v>
      </c>
      <c r="BE696" s="308">
        <v>11.383599999999999</v>
      </c>
      <c r="BF696" s="308">
        <v>10.850099999999999</v>
      </c>
      <c r="BG696" s="308">
        <v>9.6427999999999994</v>
      </c>
      <c r="BH696" s="308">
        <v>10.18</v>
      </c>
      <c r="BI696" s="308">
        <v>10.376200000000001</v>
      </c>
      <c r="BJ696" s="308">
        <v>12.6447</v>
      </c>
      <c r="BK696" s="308">
        <v>8.7782999999999998</v>
      </c>
    </row>
    <row r="697" spans="1:63" x14ac:dyDescent="0.25">
      <c r="A697" s="306">
        <v>336612</v>
      </c>
      <c r="B697" s="308" t="s">
        <v>258</v>
      </c>
      <c r="C697" s="308">
        <v>11.8447</v>
      </c>
      <c r="D697" s="308">
        <v>8.3079000000000001</v>
      </c>
      <c r="E697" s="308">
        <v>10.966200000000001</v>
      </c>
      <c r="F697" s="308">
        <v>11.0534</v>
      </c>
      <c r="G697" s="308">
        <v>9.4</v>
      </c>
      <c r="H697" s="308">
        <v>8.8315000000000001</v>
      </c>
      <c r="I697" s="308">
        <v>11.506500000000001</v>
      </c>
      <c r="J697" s="308">
        <v>7.2664999999999997</v>
      </c>
      <c r="K697" s="308">
        <v>0</v>
      </c>
      <c r="L697" s="308">
        <v>5.5101000000000004</v>
      </c>
      <c r="M697" s="308">
        <v>9.0632000000000001</v>
      </c>
      <c r="N697" s="308">
        <v>10.839499999999999</v>
      </c>
      <c r="O697" s="308">
        <v>10.2006</v>
      </c>
      <c r="P697" s="308">
        <v>10.9556</v>
      </c>
      <c r="Q697" s="308">
        <v>8.7150999999999996</v>
      </c>
      <c r="R697" s="308">
        <v>8.3781999999999996</v>
      </c>
      <c r="S697" s="308">
        <v>9.5902999999999992</v>
      </c>
      <c r="T697" s="308">
        <v>9.2475000000000005</v>
      </c>
      <c r="U697" s="308">
        <v>11.8932</v>
      </c>
      <c r="V697" s="308">
        <v>7.8487999999999998</v>
      </c>
      <c r="W697" s="308">
        <v>7.657</v>
      </c>
      <c r="X697" s="308">
        <v>7.4485999999999999</v>
      </c>
      <c r="Y697" s="308">
        <v>8.8177000000000003</v>
      </c>
      <c r="Z697" s="308">
        <v>9.4763000000000002</v>
      </c>
      <c r="AA697" s="308">
        <v>9.6618999999999993</v>
      </c>
      <c r="AB697" s="308">
        <v>11.3445</v>
      </c>
      <c r="AC697" s="308">
        <v>10.5114</v>
      </c>
      <c r="AD697" s="308">
        <v>10.3828</v>
      </c>
      <c r="AE697" s="308">
        <v>10.541600000000001</v>
      </c>
      <c r="AF697" s="308">
        <v>9.0443999999999996</v>
      </c>
      <c r="AG697" s="308">
        <v>7.7125000000000004</v>
      </c>
      <c r="AH697" s="308">
        <v>7.7202000000000002</v>
      </c>
      <c r="AI697" s="308">
        <v>7.4694000000000003</v>
      </c>
      <c r="AJ697" s="308">
        <v>0</v>
      </c>
      <c r="AK697" s="308">
        <v>8.1555</v>
      </c>
      <c r="AL697" s="308">
        <v>8.7414000000000005</v>
      </c>
      <c r="AM697" s="308">
        <v>10.579800000000001</v>
      </c>
      <c r="AN697" s="308">
        <v>11.520899999999999</v>
      </c>
      <c r="AO697" s="308">
        <v>9.4148999999999994</v>
      </c>
      <c r="AP697" s="308">
        <v>11.4763</v>
      </c>
      <c r="AQ697" s="308">
        <v>6.6955999999999998</v>
      </c>
      <c r="AR697" s="308">
        <v>10.9895</v>
      </c>
      <c r="AS697" s="308">
        <v>0</v>
      </c>
      <c r="AT697" s="308">
        <v>9.5144000000000002</v>
      </c>
      <c r="AU697" s="308">
        <v>9.7292000000000005</v>
      </c>
      <c r="AV697" s="308">
        <v>12.999700000000001</v>
      </c>
      <c r="AW697" s="308">
        <v>9.2754999999999992</v>
      </c>
      <c r="AX697" s="308">
        <v>8.4719999999999995</v>
      </c>
      <c r="AY697" s="308">
        <v>8.2262000000000004</v>
      </c>
      <c r="AZ697" s="308">
        <v>10.2597</v>
      </c>
      <c r="BA697" s="308">
        <v>8.0541</v>
      </c>
      <c r="BB697" s="308">
        <v>0</v>
      </c>
      <c r="BC697" s="308">
        <v>8.8573000000000004</v>
      </c>
      <c r="BD697" s="308">
        <v>8.7673000000000005</v>
      </c>
      <c r="BE697" s="308">
        <v>10.297599999999999</v>
      </c>
      <c r="BF697" s="308">
        <v>10.8744</v>
      </c>
      <c r="BG697" s="308">
        <v>10.4495</v>
      </c>
      <c r="BH697" s="308">
        <v>10.2776</v>
      </c>
      <c r="BI697" s="308">
        <v>10.4215</v>
      </c>
      <c r="BJ697" s="308">
        <v>10.1296</v>
      </c>
      <c r="BK697" s="308">
        <v>8.8628999999999998</v>
      </c>
    </row>
    <row r="698" spans="1:63" x14ac:dyDescent="0.25">
      <c r="A698" s="306">
        <v>336991</v>
      </c>
      <c r="B698" s="308" t="s">
        <v>259</v>
      </c>
      <c r="C698" s="308">
        <v>8.1254000000000008</v>
      </c>
      <c r="D698" s="308">
        <v>0</v>
      </c>
      <c r="E698" s="308">
        <v>7.1041999999999996</v>
      </c>
      <c r="F698" s="308">
        <v>9.6738999999999997</v>
      </c>
      <c r="G698" s="308">
        <v>7.2846000000000002</v>
      </c>
      <c r="H698" s="308">
        <v>7.1874000000000002</v>
      </c>
      <c r="I698" s="308">
        <v>7.5548999999999999</v>
      </c>
      <c r="J698" s="308">
        <v>4.7434000000000003</v>
      </c>
      <c r="K698" s="308">
        <v>0</v>
      </c>
      <c r="L698" s="308">
        <v>0</v>
      </c>
      <c r="M698" s="308">
        <v>7.1010999999999997</v>
      </c>
      <c r="N698" s="308">
        <v>7.9455999999999998</v>
      </c>
      <c r="O698" s="308">
        <v>0</v>
      </c>
      <c r="P698" s="308">
        <v>9.0967000000000002</v>
      </c>
      <c r="Q698" s="308">
        <v>6.7005999999999997</v>
      </c>
      <c r="R698" s="308">
        <v>5.6391</v>
      </c>
      <c r="S698" s="308">
        <v>7.6651999999999996</v>
      </c>
      <c r="T698" s="308">
        <v>6.1767000000000003</v>
      </c>
      <c r="U698" s="308">
        <v>7.9694000000000003</v>
      </c>
      <c r="V698" s="308">
        <v>7.9271000000000003</v>
      </c>
      <c r="W698" s="308">
        <v>6.3958000000000004</v>
      </c>
      <c r="X698" s="308">
        <v>8.7942999999999998</v>
      </c>
      <c r="Y698" s="308">
        <v>7.7233000000000001</v>
      </c>
      <c r="Z698" s="308">
        <v>7.2058999999999997</v>
      </c>
      <c r="AA698" s="308">
        <v>7.3097000000000003</v>
      </c>
      <c r="AB698" s="308">
        <v>6.0266999999999999</v>
      </c>
      <c r="AC698" s="308">
        <v>0</v>
      </c>
      <c r="AD698" s="308">
        <v>9.5437999999999992</v>
      </c>
      <c r="AE698" s="308">
        <v>7.0974000000000004</v>
      </c>
      <c r="AF698" s="308">
        <v>0</v>
      </c>
      <c r="AG698" s="308">
        <v>7.3212000000000002</v>
      </c>
      <c r="AH698" s="308">
        <v>5.7308000000000003</v>
      </c>
      <c r="AI698" s="308">
        <v>6.5305</v>
      </c>
      <c r="AJ698" s="308">
        <v>6.8746999999999998</v>
      </c>
      <c r="AK698" s="308">
        <v>6.6032999999999999</v>
      </c>
      <c r="AL698" s="308">
        <v>5.1013000000000002</v>
      </c>
      <c r="AM698" s="308">
        <v>6.6848000000000001</v>
      </c>
      <c r="AN698" s="308">
        <v>7.2378999999999998</v>
      </c>
      <c r="AO698" s="308">
        <v>8.1995000000000005</v>
      </c>
      <c r="AP698" s="308">
        <v>6.6489000000000003</v>
      </c>
      <c r="AQ698" s="308">
        <v>7.1336000000000004</v>
      </c>
      <c r="AR698" s="308">
        <v>6.6180000000000003</v>
      </c>
      <c r="AS698" s="308">
        <v>6.3783000000000003</v>
      </c>
      <c r="AT698" s="308">
        <v>7.6425999999999998</v>
      </c>
      <c r="AU698" s="308">
        <v>8.5434999999999999</v>
      </c>
      <c r="AV698" s="308">
        <v>10.215400000000001</v>
      </c>
      <c r="AW698" s="308">
        <v>6.7736000000000001</v>
      </c>
      <c r="AX698" s="308">
        <v>0</v>
      </c>
      <c r="AY698" s="308">
        <v>7.6451000000000002</v>
      </c>
      <c r="AZ698" s="308">
        <v>5.8194999999999997</v>
      </c>
      <c r="BA698" s="308">
        <v>0</v>
      </c>
      <c r="BB698" s="308">
        <v>0</v>
      </c>
      <c r="BC698" s="308">
        <v>5.9286000000000003</v>
      </c>
      <c r="BD698" s="308">
        <v>6.194</v>
      </c>
      <c r="BE698" s="308">
        <v>6.6809000000000003</v>
      </c>
      <c r="BF698" s="308">
        <v>6.9234999999999998</v>
      </c>
      <c r="BG698" s="308">
        <v>7.8830999999999998</v>
      </c>
      <c r="BH698" s="308">
        <v>8.1471</v>
      </c>
      <c r="BI698" s="308">
        <v>8.7319999999999993</v>
      </c>
      <c r="BJ698" s="308">
        <v>7.8166000000000002</v>
      </c>
      <c r="BK698" s="308">
        <v>7.4859</v>
      </c>
    </row>
    <row r="699" spans="1:63" x14ac:dyDescent="0.25">
      <c r="A699" s="306">
        <v>336992</v>
      </c>
      <c r="B699" s="308" t="s">
        <v>260</v>
      </c>
      <c r="C699" s="308">
        <v>8.9838000000000005</v>
      </c>
      <c r="D699" s="308">
        <v>0</v>
      </c>
      <c r="E699" s="308">
        <v>8.7250999999999994</v>
      </c>
      <c r="F699" s="308">
        <v>0</v>
      </c>
      <c r="G699" s="308">
        <v>8.7965999999999998</v>
      </c>
      <c r="H699" s="308">
        <v>6.03</v>
      </c>
      <c r="I699" s="308">
        <v>0</v>
      </c>
      <c r="J699" s="308">
        <v>0</v>
      </c>
      <c r="K699" s="308">
        <v>0</v>
      </c>
      <c r="L699" s="308">
        <v>0</v>
      </c>
      <c r="M699" s="308">
        <v>12.7003</v>
      </c>
      <c r="N699" s="308">
        <v>6.1323999999999996</v>
      </c>
      <c r="O699" s="308">
        <v>0</v>
      </c>
      <c r="P699" s="308">
        <v>0</v>
      </c>
      <c r="Q699" s="308">
        <v>0</v>
      </c>
      <c r="R699" s="308">
        <v>7.7234999999999996</v>
      </c>
      <c r="S699" s="308">
        <v>0</v>
      </c>
      <c r="T699" s="308">
        <v>0</v>
      </c>
      <c r="U699" s="308">
        <v>0</v>
      </c>
      <c r="V699" s="308">
        <v>6.8118999999999996</v>
      </c>
      <c r="W699" s="308">
        <v>0</v>
      </c>
      <c r="X699" s="308">
        <v>3.8841000000000001</v>
      </c>
      <c r="Y699" s="308">
        <v>0</v>
      </c>
      <c r="Z699" s="308">
        <v>7.3228</v>
      </c>
      <c r="AA699" s="308">
        <v>8.9657999999999998</v>
      </c>
      <c r="AB699" s="308">
        <v>0</v>
      </c>
      <c r="AC699" s="308">
        <v>0</v>
      </c>
      <c r="AD699" s="308">
        <v>0</v>
      </c>
      <c r="AE699" s="308">
        <v>8.9276</v>
      </c>
      <c r="AF699" s="308">
        <v>0</v>
      </c>
      <c r="AG699" s="308">
        <v>0</v>
      </c>
      <c r="AH699" s="308">
        <v>0</v>
      </c>
      <c r="AI699" s="308">
        <v>9.4601000000000006</v>
      </c>
      <c r="AJ699" s="308">
        <v>0</v>
      </c>
      <c r="AK699" s="308">
        <v>0</v>
      </c>
      <c r="AL699" s="308">
        <v>6.2283999999999997</v>
      </c>
      <c r="AM699" s="308">
        <v>8.1978000000000009</v>
      </c>
      <c r="AN699" s="308">
        <v>7.3057999999999996</v>
      </c>
      <c r="AO699" s="308">
        <v>0</v>
      </c>
      <c r="AP699" s="308">
        <v>7.7534000000000001</v>
      </c>
      <c r="AQ699" s="308">
        <v>0</v>
      </c>
      <c r="AR699" s="308">
        <v>8.2372999999999994</v>
      </c>
      <c r="AS699" s="308">
        <v>0</v>
      </c>
      <c r="AT699" s="308">
        <v>10.176600000000001</v>
      </c>
      <c r="AU699" s="308">
        <v>11.1617</v>
      </c>
      <c r="AV699" s="308">
        <v>0</v>
      </c>
      <c r="AW699" s="308">
        <v>4.4490999999999996</v>
      </c>
      <c r="AX699" s="308">
        <v>0</v>
      </c>
      <c r="AY699" s="308">
        <v>0</v>
      </c>
      <c r="AZ699" s="308">
        <v>8.8756000000000004</v>
      </c>
      <c r="BA699" s="308">
        <v>0</v>
      </c>
      <c r="BB699" s="308">
        <v>0</v>
      </c>
      <c r="BC699" s="308">
        <v>0</v>
      </c>
      <c r="BD699" s="308">
        <v>7.4107000000000003</v>
      </c>
      <c r="BE699" s="308">
        <v>8.3523999999999994</v>
      </c>
      <c r="BF699" s="308">
        <v>9.2805</v>
      </c>
      <c r="BG699" s="308">
        <v>6.6353999999999997</v>
      </c>
      <c r="BH699" s="308">
        <v>9.0111000000000008</v>
      </c>
      <c r="BI699" s="308">
        <v>8.6231000000000009</v>
      </c>
      <c r="BJ699" s="308">
        <v>8.9313000000000002</v>
      </c>
      <c r="BK699" s="308">
        <v>6.2165999999999997</v>
      </c>
    </row>
    <row r="700" spans="1:63" x14ac:dyDescent="0.25">
      <c r="A700" s="306">
        <v>336999</v>
      </c>
      <c r="B700" s="308" t="s">
        <v>261</v>
      </c>
      <c r="C700" s="308">
        <v>8.9617000000000004</v>
      </c>
      <c r="D700" s="308">
        <v>0</v>
      </c>
      <c r="E700" s="308">
        <v>6.8634000000000004</v>
      </c>
      <c r="F700" s="308">
        <v>6.7855999999999996</v>
      </c>
      <c r="G700" s="308">
        <v>6.2030000000000003</v>
      </c>
      <c r="H700" s="308">
        <v>5.8392999999999997</v>
      </c>
      <c r="I700" s="308">
        <v>6.7084000000000001</v>
      </c>
      <c r="J700" s="308">
        <v>7.1181999999999999</v>
      </c>
      <c r="K700" s="308">
        <v>0</v>
      </c>
      <c r="L700" s="308">
        <v>4.9790999999999999</v>
      </c>
      <c r="M700" s="308">
        <v>6.1064999999999996</v>
      </c>
      <c r="N700" s="308">
        <v>6.2610000000000001</v>
      </c>
      <c r="O700" s="308">
        <v>0</v>
      </c>
      <c r="P700" s="308">
        <v>6.9222999999999999</v>
      </c>
      <c r="Q700" s="308">
        <v>6.4126000000000003</v>
      </c>
      <c r="R700" s="308">
        <v>7.4920999999999998</v>
      </c>
      <c r="S700" s="308">
        <v>7.96</v>
      </c>
      <c r="T700" s="308">
        <v>5.1593999999999998</v>
      </c>
      <c r="U700" s="308">
        <v>7.6529999999999996</v>
      </c>
      <c r="V700" s="308">
        <v>6.6059000000000001</v>
      </c>
      <c r="W700" s="308">
        <v>0</v>
      </c>
      <c r="X700" s="308">
        <v>6.0804</v>
      </c>
      <c r="Y700" s="308">
        <v>0</v>
      </c>
      <c r="Z700" s="308">
        <v>6.9073000000000002</v>
      </c>
      <c r="AA700" s="308">
        <v>6.4631999999999996</v>
      </c>
      <c r="AB700" s="308">
        <v>7.4726999999999997</v>
      </c>
      <c r="AC700" s="308">
        <v>7.665</v>
      </c>
      <c r="AD700" s="308">
        <v>0</v>
      </c>
      <c r="AE700" s="308">
        <v>6.6098999999999997</v>
      </c>
      <c r="AF700" s="308">
        <v>0</v>
      </c>
      <c r="AG700" s="308">
        <v>5.9607999999999999</v>
      </c>
      <c r="AH700" s="308">
        <v>4.9200999999999997</v>
      </c>
      <c r="AI700" s="308">
        <v>5.5396999999999998</v>
      </c>
      <c r="AJ700" s="308">
        <v>0</v>
      </c>
      <c r="AK700" s="308">
        <v>5.0110999999999999</v>
      </c>
      <c r="AL700" s="308">
        <v>6.2122000000000002</v>
      </c>
      <c r="AM700" s="308">
        <v>7.2720000000000002</v>
      </c>
      <c r="AN700" s="308">
        <v>8.6204000000000001</v>
      </c>
      <c r="AO700" s="308">
        <v>5.7827000000000002</v>
      </c>
      <c r="AP700" s="308">
        <v>7.5159000000000002</v>
      </c>
      <c r="AQ700" s="308">
        <v>0</v>
      </c>
      <c r="AR700" s="308">
        <v>7.6912000000000003</v>
      </c>
      <c r="AS700" s="308">
        <v>6.4747000000000003</v>
      </c>
      <c r="AT700" s="308">
        <v>7.9386999999999999</v>
      </c>
      <c r="AU700" s="308">
        <v>7.9619</v>
      </c>
      <c r="AV700" s="308">
        <v>9.0039999999999996</v>
      </c>
      <c r="AW700" s="308">
        <v>5.7727000000000004</v>
      </c>
      <c r="AX700" s="308">
        <v>5.9353999999999996</v>
      </c>
      <c r="AY700" s="308">
        <v>5.9043999999999999</v>
      </c>
      <c r="AZ700" s="308">
        <v>7.5800999999999998</v>
      </c>
      <c r="BA700" s="308">
        <v>0</v>
      </c>
      <c r="BB700" s="308">
        <v>5.9725999999999999</v>
      </c>
      <c r="BC700" s="308">
        <v>5.5347</v>
      </c>
      <c r="BD700" s="308">
        <v>6.8169000000000004</v>
      </c>
      <c r="BE700" s="308">
        <v>8.0917999999999992</v>
      </c>
      <c r="BF700" s="308">
        <v>7.1802000000000001</v>
      </c>
      <c r="BG700" s="308">
        <v>6.6626000000000003</v>
      </c>
      <c r="BH700" s="308">
        <v>7.9185999999999996</v>
      </c>
      <c r="BI700" s="308">
        <v>7.4082999999999997</v>
      </c>
      <c r="BJ700" s="308">
        <v>6.8353999999999999</v>
      </c>
      <c r="BK700" s="308">
        <v>5.9607999999999999</v>
      </c>
    </row>
    <row r="701" spans="1:63" x14ac:dyDescent="0.25">
      <c r="A701" s="306">
        <v>337110</v>
      </c>
      <c r="B701" s="308" t="s">
        <v>262</v>
      </c>
      <c r="C701" s="308">
        <v>14.3841</v>
      </c>
      <c r="D701" s="308">
        <v>12.174200000000001</v>
      </c>
      <c r="E701" s="308">
        <v>13.927300000000001</v>
      </c>
      <c r="F701" s="308">
        <v>13.001799999999999</v>
      </c>
      <c r="G701" s="308">
        <v>11.6021</v>
      </c>
      <c r="H701" s="308">
        <v>10.4841</v>
      </c>
      <c r="I701" s="308">
        <v>11.475099999999999</v>
      </c>
      <c r="J701" s="308">
        <v>8.8671000000000006</v>
      </c>
      <c r="K701" s="308">
        <v>2.1543999999999999</v>
      </c>
      <c r="L701" s="308">
        <v>8.3216000000000001</v>
      </c>
      <c r="M701" s="308">
        <v>12.226000000000001</v>
      </c>
      <c r="N701" s="308">
        <v>13.9697</v>
      </c>
      <c r="O701" s="308">
        <v>10.2536</v>
      </c>
      <c r="P701" s="308">
        <v>10.6843</v>
      </c>
      <c r="Q701" s="308">
        <v>13.2164</v>
      </c>
      <c r="R701" s="308">
        <v>10.823600000000001</v>
      </c>
      <c r="S701" s="308">
        <v>11.464499999999999</v>
      </c>
      <c r="T701" s="308">
        <v>10.743</v>
      </c>
      <c r="U701" s="308">
        <v>12.872400000000001</v>
      </c>
      <c r="V701" s="308">
        <v>13.542199999999999</v>
      </c>
      <c r="W701" s="308">
        <v>9.0140999999999991</v>
      </c>
      <c r="X701" s="308">
        <v>10.050700000000001</v>
      </c>
      <c r="Y701" s="308">
        <v>14.091900000000001</v>
      </c>
      <c r="Z701" s="308">
        <v>11.137700000000001</v>
      </c>
      <c r="AA701" s="308">
        <v>12.093400000000001</v>
      </c>
      <c r="AB701" s="308">
        <v>10.384</v>
      </c>
      <c r="AC701" s="308">
        <v>13.8614</v>
      </c>
      <c r="AD701" s="308">
        <v>13.870100000000001</v>
      </c>
      <c r="AE701" s="308">
        <v>13.128299999999999</v>
      </c>
      <c r="AF701" s="308">
        <v>10.357900000000001</v>
      </c>
      <c r="AG701" s="308">
        <v>9.9337</v>
      </c>
      <c r="AH701" s="308">
        <v>10.0886</v>
      </c>
      <c r="AI701" s="308">
        <v>9.6621000000000006</v>
      </c>
      <c r="AJ701" s="308">
        <v>12.3325</v>
      </c>
      <c r="AK701" s="308">
        <v>10.2332</v>
      </c>
      <c r="AL701" s="308">
        <v>9.4547000000000008</v>
      </c>
      <c r="AM701" s="308">
        <v>11.568</v>
      </c>
      <c r="AN701" s="308">
        <v>13.2765</v>
      </c>
      <c r="AO701" s="308">
        <v>13.180099999999999</v>
      </c>
      <c r="AP701" s="308">
        <v>12.205500000000001</v>
      </c>
      <c r="AQ701" s="308">
        <v>9.6433</v>
      </c>
      <c r="AR701" s="308">
        <v>14.4434</v>
      </c>
      <c r="AS701" s="308">
        <v>12.138400000000001</v>
      </c>
      <c r="AT701" s="308">
        <v>13.314299999999999</v>
      </c>
      <c r="AU701" s="308">
        <v>13.327999999999999</v>
      </c>
      <c r="AV701" s="308">
        <v>13.6502</v>
      </c>
      <c r="AW701" s="308">
        <v>12.2773</v>
      </c>
      <c r="AX701" s="308">
        <v>10.965</v>
      </c>
      <c r="AY701" s="308">
        <v>11.9842</v>
      </c>
      <c r="AZ701" s="308">
        <v>12.562799999999999</v>
      </c>
      <c r="BA701" s="308">
        <v>12.7438</v>
      </c>
      <c r="BB701" s="308">
        <v>12.4124</v>
      </c>
      <c r="BC701" s="308">
        <v>10.857100000000001</v>
      </c>
      <c r="BD701" s="308">
        <v>11.265499999999999</v>
      </c>
      <c r="BE701" s="308">
        <v>12.1896</v>
      </c>
      <c r="BF701" s="308">
        <v>11.925000000000001</v>
      </c>
      <c r="BG701" s="308">
        <v>14.0009</v>
      </c>
      <c r="BH701" s="308">
        <v>14.2902</v>
      </c>
      <c r="BI701" s="308">
        <v>14.095000000000001</v>
      </c>
      <c r="BJ701" s="308">
        <v>12.997</v>
      </c>
      <c r="BK701" s="308">
        <v>11.921900000000001</v>
      </c>
    </row>
    <row r="702" spans="1:63" x14ac:dyDescent="0.25">
      <c r="A702" s="306">
        <v>337121</v>
      </c>
      <c r="B702" s="308" t="s">
        <v>263</v>
      </c>
      <c r="C702" s="308">
        <v>12.9963</v>
      </c>
      <c r="D702" s="308">
        <v>0</v>
      </c>
      <c r="E702" s="308">
        <v>12.3489</v>
      </c>
      <c r="F702" s="308">
        <v>10.8538</v>
      </c>
      <c r="G702" s="308">
        <v>11.534700000000001</v>
      </c>
      <c r="H702" s="308">
        <v>9.9224999999999994</v>
      </c>
      <c r="I702" s="308">
        <v>12.829499999999999</v>
      </c>
      <c r="J702" s="308">
        <v>8.5013000000000005</v>
      </c>
      <c r="K702" s="308">
        <v>2.5838000000000001</v>
      </c>
      <c r="L702" s="308">
        <v>0</v>
      </c>
      <c r="M702" s="308">
        <v>10.9209</v>
      </c>
      <c r="N702" s="308">
        <v>12.2605</v>
      </c>
      <c r="O702" s="308">
        <v>0</v>
      </c>
      <c r="P702" s="308">
        <v>8.2372999999999994</v>
      </c>
      <c r="Q702" s="308">
        <v>11.807600000000001</v>
      </c>
      <c r="R702" s="308">
        <v>8.8542000000000005</v>
      </c>
      <c r="S702" s="308">
        <v>10.448399999999999</v>
      </c>
      <c r="T702" s="308">
        <v>11.343</v>
      </c>
      <c r="U702" s="308">
        <v>12.6754</v>
      </c>
      <c r="V702" s="308">
        <v>0</v>
      </c>
      <c r="W702" s="308">
        <v>9.9261999999999997</v>
      </c>
      <c r="X702" s="308">
        <v>9.2848000000000006</v>
      </c>
      <c r="Y702" s="308">
        <v>0</v>
      </c>
      <c r="Z702" s="308">
        <v>10.7012</v>
      </c>
      <c r="AA702" s="308">
        <v>8.6630000000000003</v>
      </c>
      <c r="AB702" s="308">
        <v>8.7014999999999993</v>
      </c>
      <c r="AC702" s="308">
        <v>11.8156</v>
      </c>
      <c r="AD702" s="308">
        <v>12.269</v>
      </c>
      <c r="AE702" s="308">
        <v>11.9534</v>
      </c>
      <c r="AF702" s="308">
        <v>0</v>
      </c>
      <c r="AG702" s="308">
        <v>0</v>
      </c>
      <c r="AH702" s="308">
        <v>0</v>
      </c>
      <c r="AI702" s="308">
        <v>8.7294</v>
      </c>
      <c r="AJ702" s="308">
        <v>11.7773</v>
      </c>
      <c r="AK702" s="308">
        <v>10.6431</v>
      </c>
      <c r="AL702" s="308">
        <v>7.3838999999999997</v>
      </c>
      <c r="AM702" s="308">
        <v>10.5891</v>
      </c>
      <c r="AN702" s="308">
        <v>11.085699999999999</v>
      </c>
      <c r="AO702" s="308">
        <v>12.210699999999999</v>
      </c>
      <c r="AP702" s="308">
        <v>11.476699999999999</v>
      </c>
      <c r="AQ702" s="308">
        <v>12.1708</v>
      </c>
      <c r="AR702" s="308">
        <v>14.4053</v>
      </c>
      <c r="AS702" s="308">
        <v>11.540699999999999</v>
      </c>
      <c r="AT702" s="308">
        <v>11.456300000000001</v>
      </c>
      <c r="AU702" s="308">
        <v>9.8185000000000002</v>
      </c>
      <c r="AV702" s="308">
        <v>11.340999999999999</v>
      </c>
      <c r="AW702" s="308">
        <v>11.6144</v>
      </c>
      <c r="AX702" s="308">
        <v>0</v>
      </c>
      <c r="AY702" s="308">
        <v>10.7281</v>
      </c>
      <c r="AZ702" s="308">
        <v>11.6502</v>
      </c>
      <c r="BA702" s="308">
        <v>0</v>
      </c>
      <c r="BB702" s="308">
        <v>8.6349999999999998</v>
      </c>
      <c r="BC702" s="308">
        <v>11.135199999999999</v>
      </c>
      <c r="BD702" s="308">
        <v>9.9329000000000001</v>
      </c>
      <c r="BE702" s="308">
        <v>10.8011</v>
      </c>
      <c r="BF702" s="308">
        <v>9.0078999999999994</v>
      </c>
      <c r="BG702" s="308">
        <v>12.1447</v>
      </c>
      <c r="BH702" s="308">
        <v>12.7997</v>
      </c>
      <c r="BI702" s="308">
        <v>10.7738</v>
      </c>
      <c r="BJ702" s="308">
        <v>11.5802</v>
      </c>
      <c r="BK702" s="308">
        <v>10.3689</v>
      </c>
    </row>
    <row r="703" spans="1:63" x14ac:dyDescent="0.25">
      <c r="A703" s="306">
        <v>337122</v>
      </c>
      <c r="B703" s="308" t="s">
        <v>264</v>
      </c>
      <c r="C703" s="308">
        <v>12.9069</v>
      </c>
      <c r="D703" s="308">
        <v>11.860099999999999</v>
      </c>
      <c r="E703" s="308">
        <v>13.908200000000001</v>
      </c>
      <c r="F703" s="308">
        <v>12.497400000000001</v>
      </c>
      <c r="G703" s="308">
        <v>10.6288</v>
      </c>
      <c r="H703" s="308">
        <v>10.3683</v>
      </c>
      <c r="I703" s="308">
        <v>10.65</v>
      </c>
      <c r="J703" s="308">
        <v>8.0523000000000007</v>
      </c>
      <c r="K703" s="308">
        <v>0</v>
      </c>
      <c r="L703" s="308">
        <v>6.7325999999999997</v>
      </c>
      <c r="M703" s="308">
        <v>10.5563</v>
      </c>
      <c r="N703" s="308">
        <v>11.991300000000001</v>
      </c>
      <c r="O703" s="308">
        <v>8.9831000000000003</v>
      </c>
      <c r="P703" s="308">
        <v>10.545400000000001</v>
      </c>
      <c r="Q703" s="308">
        <v>11.8826</v>
      </c>
      <c r="R703" s="308">
        <v>9.8664000000000005</v>
      </c>
      <c r="S703" s="308">
        <v>10.5528</v>
      </c>
      <c r="T703" s="308">
        <v>9.4444999999999997</v>
      </c>
      <c r="U703" s="308">
        <v>12.251300000000001</v>
      </c>
      <c r="V703" s="308">
        <v>11.5219</v>
      </c>
      <c r="W703" s="308">
        <v>8.1417999999999999</v>
      </c>
      <c r="X703" s="308">
        <v>8.9163999999999994</v>
      </c>
      <c r="Y703" s="308">
        <v>11.5372</v>
      </c>
      <c r="Z703" s="308">
        <v>11.2331</v>
      </c>
      <c r="AA703" s="308">
        <v>12.419499999999999</v>
      </c>
      <c r="AB703" s="308">
        <v>9.1403999999999996</v>
      </c>
      <c r="AC703" s="308">
        <v>12.9526</v>
      </c>
      <c r="AD703" s="308">
        <v>13.344099999999999</v>
      </c>
      <c r="AE703" s="308">
        <v>12.119199999999999</v>
      </c>
      <c r="AF703" s="308">
        <v>9.5501000000000005</v>
      </c>
      <c r="AG703" s="308">
        <v>10.778700000000001</v>
      </c>
      <c r="AH703" s="308">
        <v>11.163</v>
      </c>
      <c r="AI703" s="308">
        <v>9.0928000000000004</v>
      </c>
      <c r="AJ703" s="308">
        <v>11.577299999999999</v>
      </c>
      <c r="AK703" s="308">
        <v>8.8940000000000001</v>
      </c>
      <c r="AL703" s="308">
        <v>8.9016999999999999</v>
      </c>
      <c r="AM703" s="308">
        <v>10.195600000000001</v>
      </c>
      <c r="AN703" s="308">
        <v>12.7775</v>
      </c>
      <c r="AO703" s="308">
        <v>12.060700000000001</v>
      </c>
      <c r="AP703" s="308">
        <v>11.776999999999999</v>
      </c>
      <c r="AQ703" s="308">
        <v>9.9072999999999993</v>
      </c>
      <c r="AR703" s="308">
        <v>14.0002</v>
      </c>
      <c r="AS703" s="308">
        <v>11.0083</v>
      </c>
      <c r="AT703" s="308">
        <v>11.4152</v>
      </c>
      <c r="AU703" s="308">
        <v>12.033300000000001</v>
      </c>
      <c r="AV703" s="308">
        <v>12.854100000000001</v>
      </c>
      <c r="AW703" s="308">
        <v>11.261100000000001</v>
      </c>
      <c r="AX703" s="308">
        <v>10.2737</v>
      </c>
      <c r="AY703" s="308">
        <v>11.0029</v>
      </c>
      <c r="AZ703" s="308">
        <v>11.1104</v>
      </c>
      <c r="BA703" s="308">
        <v>12.4428</v>
      </c>
      <c r="BB703" s="308">
        <v>12.138</v>
      </c>
      <c r="BC703" s="308">
        <v>10.7212</v>
      </c>
      <c r="BD703" s="308">
        <v>10.4953</v>
      </c>
      <c r="BE703" s="308">
        <v>10.983000000000001</v>
      </c>
      <c r="BF703" s="308">
        <v>11.1662</v>
      </c>
      <c r="BG703" s="308">
        <v>12.383800000000001</v>
      </c>
      <c r="BH703" s="308">
        <v>13.671099999999999</v>
      </c>
      <c r="BI703" s="308">
        <v>12.9353</v>
      </c>
      <c r="BJ703" s="308">
        <v>11.952199999999999</v>
      </c>
      <c r="BK703" s="308">
        <v>11.277799999999999</v>
      </c>
    </row>
    <row r="704" spans="1:63" x14ac:dyDescent="0.25">
      <c r="A704" s="306">
        <v>337127</v>
      </c>
      <c r="B704" s="308" t="s">
        <v>266</v>
      </c>
      <c r="C704" s="308">
        <v>11.4748</v>
      </c>
      <c r="D704" s="308">
        <v>0</v>
      </c>
      <c r="E704" s="308">
        <v>11.9564</v>
      </c>
      <c r="F704" s="308">
        <v>9.8343000000000007</v>
      </c>
      <c r="G704" s="308">
        <v>7.9678000000000004</v>
      </c>
      <c r="H704" s="308">
        <v>8.7545000000000002</v>
      </c>
      <c r="I704" s="308">
        <v>10.033300000000001</v>
      </c>
      <c r="J704" s="308">
        <v>8.3922000000000008</v>
      </c>
      <c r="K704" s="308">
        <v>0</v>
      </c>
      <c r="L704" s="308">
        <v>7.9973000000000001</v>
      </c>
      <c r="M704" s="308">
        <v>10.339399999999999</v>
      </c>
      <c r="N704" s="308">
        <v>11.379300000000001</v>
      </c>
      <c r="O704" s="308">
        <v>0</v>
      </c>
      <c r="P704" s="308">
        <v>10.3088</v>
      </c>
      <c r="Q704" s="308">
        <v>10.732200000000001</v>
      </c>
      <c r="R704" s="308">
        <v>9.3066999999999993</v>
      </c>
      <c r="S704" s="308">
        <v>9.9994999999999994</v>
      </c>
      <c r="T704" s="308">
        <v>8.3935999999999993</v>
      </c>
      <c r="U704" s="308">
        <v>8.6679999999999993</v>
      </c>
      <c r="V704" s="308">
        <v>10.970499999999999</v>
      </c>
      <c r="W704" s="308">
        <v>7.3575999999999997</v>
      </c>
      <c r="X704" s="308">
        <v>8.4111999999999991</v>
      </c>
      <c r="Y704" s="308">
        <v>8.6033000000000008</v>
      </c>
      <c r="Z704" s="308">
        <v>9.1748999999999992</v>
      </c>
      <c r="AA704" s="308">
        <v>8.6495999999999995</v>
      </c>
      <c r="AB704" s="308">
        <v>8.0353999999999992</v>
      </c>
      <c r="AC704" s="308">
        <v>11.5678</v>
      </c>
      <c r="AD704" s="308">
        <v>10.9939</v>
      </c>
      <c r="AE704" s="308">
        <v>12.319900000000001</v>
      </c>
      <c r="AF704" s="308">
        <v>8.4686000000000003</v>
      </c>
      <c r="AG704" s="308">
        <v>9.2293000000000003</v>
      </c>
      <c r="AH704" s="308">
        <v>7.2336999999999998</v>
      </c>
      <c r="AI704" s="308">
        <v>7.7895000000000003</v>
      </c>
      <c r="AJ704" s="308">
        <v>6.8068</v>
      </c>
      <c r="AK704" s="308">
        <v>7.8472</v>
      </c>
      <c r="AL704" s="308">
        <v>8.0001999999999995</v>
      </c>
      <c r="AM704" s="308">
        <v>8.8749000000000002</v>
      </c>
      <c r="AN704" s="308">
        <v>9.2597000000000005</v>
      </c>
      <c r="AO704" s="308">
        <v>10.515499999999999</v>
      </c>
      <c r="AP704" s="308">
        <v>11.0623</v>
      </c>
      <c r="AQ704" s="308">
        <v>0</v>
      </c>
      <c r="AR704" s="308">
        <v>10.430199999999999</v>
      </c>
      <c r="AS704" s="308">
        <v>0</v>
      </c>
      <c r="AT704" s="308">
        <v>10.831099999999999</v>
      </c>
      <c r="AU704" s="308">
        <v>10.4716</v>
      </c>
      <c r="AV704" s="308">
        <v>10.2484</v>
      </c>
      <c r="AW704" s="308">
        <v>11.469799999999999</v>
      </c>
      <c r="AX704" s="308">
        <v>9.8893000000000004</v>
      </c>
      <c r="AY704" s="308">
        <v>9.8407</v>
      </c>
      <c r="AZ704" s="308">
        <v>9.7012999999999998</v>
      </c>
      <c r="BA704" s="308">
        <v>0</v>
      </c>
      <c r="BB704" s="308">
        <v>0</v>
      </c>
      <c r="BC704" s="308">
        <v>8.4792000000000005</v>
      </c>
      <c r="BD704" s="308">
        <v>10.0671</v>
      </c>
      <c r="BE704" s="308">
        <v>9.8470999999999993</v>
      </c>
      <c r="BF704" s="308">
        <v>8.8498999999999999</v>
      </c>
      <c r="BG704" s="308">
        <v>11.676</v>
      </c>
      <c r="BH704" s="308">
        <v>11.6319</v>
      </c>
      <c r="BI704" s="308">
        <v>10.886799999999999</v>
      </c>
      <c r="BJ704" s="308">
        <v>9.8683999999999994</v>
      </c>
      <c r="BK704" s="308">
        <v>9.4641000000000002</v>
      </c>
    </row>
    <row r="705" spans="1:63" x14ac:dyDescent="0.25">
      <c r="A705" s="306" t="s">
        <v>745</v>
      </c>
      <c r="B705" s="308" t="s">
        <v>265</v>
      </c>
      <c r="C705" s="308">
        <v>11.328200000000001</v>
      </c>
      <c r="D705" s="308">
        <v>10.195399999999999</v>
      </c>
      <c r="E705" s="308">
        <v>10.784800000000001</v>
      </c>
      <c r="F705" s="308">
        <v>7.9050000000000002</v>
      </c>
      <c r="G705" s="308">
        <v>10.949</v>
      </c>
      <c r="H705" s="308">
        <v>9.0787999999999993</v>
      </c>
      <c r="I705" s="308">
        <v>9.2208000000000006</v>
      </c>
      <c r="J705" s="308">
        <v>6.7508999999999997</v>
      </c>
      <c r="K705" s="308">
        <v>1.4329000000000001</v>
      </c>
      <c r="L705" s="308">
        <v>6.8605</v>
      </c>
      <c r="M705" s="308">
        <v>10.242100000000001</v>
      </c>
      <c r="N705" s="308">
        <v>8.8981999999999992</v>
      </c>
      <c r="O705" s="308">
        <v>10.7735</v>
      </c>
      <c r="P705" s="308">
        <v>9.3867999999999991</v>
      </c>
      <c r="Q705" s="308">
        <v>7.1974</v>
      </c>
      <c r="R705" s="308">
        <v>9.2690000000000001</v>
      </c>
      <c r="S705" s="308">
        <v>9.3673999999999999</v>
      </c>
      <c r="T705" s="308">
        <v>8.5989000000000004</v>
      </c>
      <c r="U705" s="308">
        <v>12.434100000000001</v>
      </c>
      <c r="V705" s="308">
        <v>0</v>
      </c>
      <c r="W705" s="308">
        <v>7.3710000000000004</v>
      </c>
      <c r="X705" s="308">
        <v>7.2630999999999997</v>
      </c>
      <c r="Y705" s="308">
        <v>0</v>
      </c>
      <c r="Z705" s="308">
        <v>8.9666999999999994</v>
      </c>
      <c r="AA705" s="308">
        <v>9.5349000000000004</v>
      </c>
      <c r="AB705" s="308">
        <v>7.9825999999999997</v>
      </c>
      <c r="AC705" s="308">
        <v>11.129200000000001</v>
      </c>
      <c r="AD705" s="308">
        <v>6.8707000000000003</v>
      </c>
      <c r="AE705" s="308">
        <v>9.8848000000000003</v>
      </c>
      <c r="AF705" s="308">
        <v>0</v>
      </c>
      <c r="AG705" s="308">
        <v>9.7919999999999998</v>
      </c>
      <c r="AH705" s="308">
        <v>10.7752</v>
      </c>
      <c r="AI705" s="308">
        <v>6.7874999999999996</v>
      </c>
      <c r="AJ705" s="308">
        <v>10.271699999999999</v>
      </c>
      <c r="AK705" s="308">
        <v>10.708</v>
      </c>
      <c r="AL705" s="308">
        <v>6.8695000000000004</v>
      </c>
      <c r="AM705" s="308">
        <v>9.1571999999999996</v>
      </c>
      <c r="AN705" s="308">
        <v>11.261900000000001</v>
      </c>
      <c r="AO705" s="308">
        <v>12.124499999999999</v>
      </c>
      <c r="AP705" s="308">
        <v>8.6374999999999993</v>
      </c>
      <c r="AQ705" s="308">
        <v>0</v>
      </c>
      <c r="AR705" s="308">
        <v>12.9697</v>
      </c>
      <c r="AS705" s="308">
        <v>0</v>
      </c>
      <c r="AT705" s="308">
        <v>8.8355999999999995</v>
      </c>
      <c r="AU705" s="308">
        <v>10.561299999999999</v>
      </c>
      <c r="AV705" s="308">
        <v>10.115600000000001</v>
      </c>
      <c r="AW705" s="308">
        <v>8.0969999999999995</v>
      </c>
      <c r="AX705" s="308">
        <v>9.9215</v>
      </c>
      <c r="AY705" s="308">
        <v>8.1730999999999998</v>
      </c>
      <c r="AZ705" s="308">
        <v>9.0874000000000006</v>
      </c>
      <c r="BA705" s="308">
        <v>0</v>
      </c>
      <c r="BB705" s="308">
        <v>10.590199999999999</v>
      </c>
      <c r="BC705" s="308">
        <v>8.1928000000000001</v>
      </c>
      <c r="BD705" s="308">
        <v>8.1580999999999992</v>
      </c>
      <c r="BE705" s="308">
        <v>9.7959999999999994</v>
      </c>
      <c r="BF705" s="308">
        <v>9.6681000000000008</v>
      </c>
      <c r="BG705" s="308">
        <v>10.400600000000001</v>
      </c>
      <c r="BH705" s="308">
        <v>10.4886</v>
      </c>
      <c r="BI705" s="308">
        <v>10.532299999999999</v>
      </c>
      <c r="BJ705" s="308">
        <v>10.410500000000001</v>
      </c>
      <c r="BK705" s="308">
        <v>9.3386999999999993</v>
      </c>
    </row>
    <row r="706" spans="1:63" x14ac:dyDescent="0.25">
      <c r="A706" s="306">
        <v>337212</v>
      </c>
      <c r="B706" s="308" t="s">
        <v>268</v>
      </c>
      <c r="C706" s="308">
        <v>10.325799999999999</v>
      </c>
      <c r="D706" s="308">
        <v>0</v>
      </c>
      <c r="E706" s="308">
        <v>11.0625</v>
      </c>
      <c r="F706" s="308">
        <v>10.0623</v>
      </c>
      <c r="G706" s="308">
        <v>9.0540000000000003</v>
      </c>
      <c r="H706" s="308">
        <v>7.6440999999999999</v>
      </c>
      <c r="I706" s="308">
        <v>8.7954000000000008</v>
      </c>
      <c r="J706" s="308">
        <v>7.3692000000000002</v>
      </c>
      <c r="K706" s="308">
        <v>1.4863</v>
      </c>
      <c r="L706" s="308">
        <v>7.3597000000000001</v>
      </c>
      <c r="M706" s="308">
        <v>8.2514000000000003</v>
      </c>
      <c r="N706" s="308">
        <v>9.8515999999999995</v>
      </c>
      <c r="O706" s="308">
        <v>7.1029</v>
      </c>
      <c r="P706" s="308">
        <v>7.6124999999999998</v>
      </c>
      <c r="Q706" s="308">
        <v>9.7420000000000009</v>
      </c>
      <c r="R706" s="308">
        <v>7.6787999999999998</v>
      </c>
      <c r="S706" s="308">
        <v>10.5328</v>
      </c>
      <c r="T706" s="308">
        <v>8.0901999999999994</v>
      </c>
      <c r="U706" s="308">
        <v>10.3371</v>
      </c>
      <c r="V706" s="308">
        <v>9.9413999999999998</v>
      </c>
      <c r="W706" s="308">
        <v>6.8289999999999997</v>
      </c>
      <c r="X706" s="308">
        <v>7.3544999999999998</v>
      </c>
      <c r="Y706" s="308">
        <v>9.3643000000000001</v>
      </c>
      <c r="Z706" s="308">
        <v>8.1503999999999994</v>
      </c>
      <c r="AA706" s="308">
        <v>8.3971</v>
      </c>
      <c r="AB706" s="308">
        <v>7.5804999999999998</v>
      </c>
      <c r="AC706" s="308">
        <v>10.579700000000001</v>
      </c>
      <c r="AD706" s="308">
        <v>9.9074000000000009</v>
      </c>
      <c r="AE706" s="308">
        <v>10.141500000000001</v>
      </c>
      <c r="AF706" s="308">
        <v>8.0223999999999993</v>
      </c>
      <c r="AG706" s="308">
        <v>8.2307000000000006</v>
      </c>
      <c r="AH706" s="308">
        <v>7.6749999999999998</v>
      </c>
      <c r="AI706" s="308">
        <v>7.3506999999999998</v>
      </c>
      <c r="AJ706" s="308">
        <v>8.8981999999999992</v>
      </c>
      <c r="AK706" s="308">
        <v>6.8864999999999998</v>
      </c>
      <c r="AL706" s="308">
        <v>7.0301999999999998</v>
      </c>
      <c r="AM706" s="308">
        <v>9.0793999999999997</v>
      </c>
      <c r="AN706" s="308">
        <v>9.4091000000000005</v>
      </c>
      <c r="AO706" s="308">
        <v>9.5160999999999998</v>
      </c>
      <c r="AP706" s="308">
        <v>8.8178999999999998</v>
      </c>
      <c r="AQ706" s="308">
        <v>7.7797999999999998</v>
      </c>
      <c r="AR706" s="308">
        <v>11.182399999999999</v>
      </c>
      <c r="AS706" s="308">
        <v>9.4295000000000009</v>
      </c>
      <c r="AT706" s="308">
        <v>10.088900000000001</v>
      </c>
      <c r="AU706" s="308">
        <v>9.6838999999999995</v>
      </c>
      <c r="AV706" s="308">
        <v>9.2355</v>
      </c>
      <c r="AW706" s="308">
        <v>7.8887999999999998</v>
      </c>
      <c r="AX706" s="308">
        <v>7.5179</v>
      </c>
      <c r="AY706" s="308">
        <v>8.6900999999999993</v>
      </c>
      <c r="AZ706" s="308">
        <v>9.3749000000000002</v>
      </c>
      <c r="BA706" s="308">
        <v>9.5440000000000005</v>
      </c>
      <c r="BB706" s="308">
        <v>0</v>
      </c>
      <c r="BC706" s="308">
        <v>8.1305999999999994</v>
      </c>
      <c r="BD706" s="308">
        <v>8.3963999999999999</v>
      </c>
      <c r="BE706" s="308">
        <v>9.0428999999999995</v>
      </c>
      <c r="BF706" s="308">
        <v>8.5218000000000007</v>
      </c>
      <c r="BG706" s="308">
        <v>9.8879000000000001</v>
      </c>
      <c r="BH706" s="308">
        <v>11.1557</v>
      </c>
      <c r="BI706" s="308">
        <v>10.1157</v>
      </c>
      <c r="BJ706" s="308">
        <v>9.2472999999999992</v>
      </c>
      <c r="BK706" s="308">
        <v>8.3421000000000003</v>
      </c>
    </row>
    <row r="707" spans="1:63" x14ac:dyDescent="0.25">
      <c r="A707" s="306">
        <v>337215</v>
      </c>
      <c r="B707" s="308" t="s">
        <v>269</v>
      </c>
      <c r="C707" s="308">
        <v>12.6495</v>
      </c>
      <c r="D707" s="308">
        <v>9.2871000000000006</v>
      </c>
      <c r="E707" s="308">
        <v>11.219900000000001</v>
      </c>
      <c r="F707" s="308">
        <v>10.3413</v>
      </c>
      <c r="G707" s="308">
        <v>8.9582999999999995</v>
      </c>
      <c r="H707" s="308">
        <v>9.4825999999999997</v>
      </c>
      <c r="I707" s="308">
        <v>10.8292</v>
      </c>
      <c r="J707" s="308">
        <v>7.7398999999999996</v>
      </c>
      <c r="K707" s="308">
        <v>0</v>
      </c>
      <c r="L707" s="308">
        <v>0</v>
      </c>
      <c r="M707" s="308">
        <v>11.030900000000001</v>
      </c>
      <c r="N707" s="308">
        <v>11.577500000000001</v>
      </c>
      <c r="O707" s="308">
        <v>11.3414</v>
      </c>
      <c r="P707" s="308">
        <v>11.1084</v>
      </c>
      <c r="Q707" s="308">
        <v>11.4712</v>
      </c>
      <c r="R707" s="308">
        <v>9.8582999999999998</v>
      </c>
      <c r="S707" s="308">
        <v>11.0776</v>
      </c>
      <c r="T707" s="308">
        <v>9.3268000000000004</v>
      </c>
      <c r="U707" s="308">
        <v>12.0465</v>
      </c>
      <c r="V707" s="308">
        <v>11.589499999999999</v>
      </c>
      <c r="W707" s="308">
        <v>8.4603999999999999</v>
      </c>
      <c r="X707" s="308">
        <v>8.2029999999999994</v>
      </c>
      <c r="Y707" s="308">
        <v>12.373100000000001</v>
      </c>
      <c r="Z707" s="308">
        <v>10.9162</v>
      </c>
      <c r="AA707" s="308">
        <v>9.6433999999999997</v>
      </c>
      <c r="AB707" s="308">
        <v>8.7332000000000001</v>
      </c>
      <c r="AC707" s="308">
        <v>13.0703</v>
      </c>
      <c r="AD707" s="308">
        <v>11.839</v>
      </c>
      <c r="AE707" s="308">
        <v>12.919600000000001</v>
      </c>
      <c r="AF707" s="308">
        <v>8.1724999999999994</v>
      </c>
      <c r="AG707" s="308">
        <v>7.8529</v>
      </c>
      <c r="AH707" s="308">
        <v>10.864000000000001</v>
      </c>
      <c r="AI707" s="308">
        <v>7.9550999999999998</v>
      </c>
      <c r="AJ707" s="308">
        <v>10.949400000000001</v>
      </c>
      <c r="AK707" s="308">
        <v>9.0573999999999995</v>
      </c>
      <c r="AL707" s="308">
        <v>8.8097999999999992</v>
      </c>
      <c r="AM707" s="308">
        <v>10.4915</v>
      </c>
      <c r="AN707" s="308">
        <v>10.3354</v>
      </c>
      <c r="AO707" s="308">
        <v>10.1744</v>
      </c>
      <c r="AP707" s="308">
        <v>10.764799999999999</v>
      </c>
      <c r="AQ707" s="308">
        <v>8.7266999999999992</v>
      </c>
      <c r="AR707" s="308">
        <v>11.4923</v>
      </c>
      <c r="AS707" s="308">
        <v>8.2552000000000003</v>
      </c>
      <c r="AT707" s="308">
        <v>11.5868</v>
      </c>
      <c r="AU707" s="308">
        <v>11.5677</v>
      </c>
      <c r="AV707" s="308">
        <v>11.8569</v>
      </c>
      <c r="AW707" s="308">
        <v>10.3345</v>
      </c>
      <c r="AX707" s="308">
        <v>8.6997999999999998</v>
      </c>
      <c r="AY707" s="308">
        <v>9.5934000000000008</v>
      </c>
      <c r="AZ707" s="308">
        <v>10.476699999999999</v>
      </c>
      <c r="BA707" s="308">
        <v>11.6631</v>
      </c>
      <c r="BB707" s="308">
        <v>11.092599999999999</v>
      </c>
      <c r="BC707" s="308">
        <v>10.0016</v>
      </c>
      <c r="BD707" s="308">
        <v>10.226599999999999</v>
      </c>
      <c r="BE707" s="308">
        <v>11.1579</v>
      </c>
      <c r="BF707" s="308">
        <v>9.5975000000000001</v>
      </c>
      <c r="BG707" s="308">
        <v>12.3079</v>
      </c>
      <c r="BH707" s="308">
        <v>12.4102</v>
      </c>
      <c r="BI707" s="308">
        <v>11.8665</v>
      </c>
      <c r="BJ707" s="308">
        <v>10.6302</v>
      </c>
      <c r="BK707" s="308">
        <v>9.9846000000000004</v>
      </c>
    </row>
    <row r="708" spans="1:63" x14ac:dyDescent="0.25">
      <c r="A708" s="306" t="s">
        <v>746</v>
      </c>
      <c r="B708" s="308" t="s">
        <v>267</v>
      </c>
      <c r="C708" s="308">
        <v>9.7522000000000002</v>
      </c>
      <c r="D708" s="308">
        <v>0</v>
      </c>
      <c r="E708" s="308">
        <v>0</v>
      </c>
      <c r="F708" s="308">
        <v>9.5248000000000008</v>
      </c>
      <c r="G708" s="308">
        <v>6.7522000000000002</v>
      </c>
      <c r="H708" s="308">
        <v>6.6025999999999998</v>
      </c>
      <c r="I708" s="308">
        <v>0</v>
      </c>
      <c r="J708" s="308">
        <v>6.5388000000000002</v>
      </c>
      <c r="K708" s="308">
        <v>0</v>
      </c>
      <c r="L708" s="308">
        <v>0</v>
      </c>
      <c r="M708" s="308">
        <v>8.2911999999999999</v>
      </c>
      <c r="N708" s="308">
        <v>10.664199999999999</v>
      </c>
      <c r="O708" s="308">
        <v>6.2956000000000003</v>
      </c>
      <c r="P708" s="308">
        <v>10.8238</v>
      </c>
      <c r="Q708" s="308">
        <v>9.7904999999999998</v>
      </c>
      <c r="R708" s="308">
        <v>7.5746000000000002</v>
      </c>
      <c r="S708" s="308">
        <v>8.4985999999999997</v>
      </c>
      <c r="T708" s="308">
        <v>7.8882000000000003</v>
      </c>
      <c r="U708" s="308">
        <v>0</v>
      </c>
      <c r="V708" s="308">
        <v>12.541399999999999</v>
      </c>
      <c r="W708" s="308">
        <v>6.8842999999999996</v>
      </c>
      <c r="X708" s="308">
        <v>7.3903999999999996</v>
      </c>
      <c r="Y708" s="308">
        <v>7.7571000000000003</v>
      </c>
      <c r="Z708" s="308">
        <v>10.6898</v>
      </c>
      <c r="AA708" s="308">
        <v>7.0769000000000002</v>
      </c>
      <c r="AB708" s="308">
        <v>6.4778000000000002</v>
      </c>
      <c r="AC708" s="308">
        <v>0</v>
      </c>
      <c r="AD708" s="308">
        <v>12.1166</v>
      </c>
      <c r="AE708" s="308">
        <v>10.485200000000001</v>
      </c>
      <c r="AF708" s="308">
        <v>0</v>
      </c>
      <c r="AG708" s="308">
        <v>8.0828000000000007</v>
      </c>
      <c r="AH708" s="308">
        <v>0</v>
      </c>
      <c r="AI708" s="308">
        <v>6.0522</v>
      </c>
      <c r="AJ708" s="308">
        <v>11.054500000000001</v>
      </c>
      <c r="AK708" s="308">
        <v>11.9413</v>
      </c>
      <c r="AL708" s="308">
        <v>10.606400000000001</v>
      </c>
      <c r="AM708" s="308">
        <v>9.8594000000000008</v>
      </c>
      <c r="AN708" s="308">
        <v>11.992100000000001</v>
      </c>
      <c r="AO708" s="308">
        <v>10.497999999999999</v>
      </c>
      <c r="AP708" s="308">
        <v>8.8127999999999993</v>
      </c>
      <c r="AQ708" s="308">
        <v>0</v>
      </c>
      <c r="AR708" s="308">
        <v>13.282</v>
      </c>
      <c r="AS708" s="308">
        <v>0</v>
      </c>
      <c r="AT708" s="308">
        <v>10.0778</v>
      </c>
      <c r="AU708" s="308">
        <v>9.7344000000000008</v>
      </c>
      <c r="AV708" s="308">
        <v>12.6805</v>
      </c>
      <c r="AW708" s="308">
        <v>9.3102</v>
      </c>
      <c r="AX708" s="308">
        <v>0</v>
      </c>
      <c r="AY708" s="308">
        <v>10.0296</v>
      </c>
      <c r="AZ708" s="308">
        <v>9.5251000000000001</v>
      </c>
      <c r="BA708" s="308">
        <v>0</v>
      </c>
      <c r="BB708" s="308">
        <v>6.6885000000000003</v>
      </c>
      <c r="BC708" s="308">
        <v>7.8242000000000003</v>
      </c>
      <c r="BD708" s="308">
        <v>8.3003999999999998</v>
      </c>
      <c r="BE708" s="308">
        <v>9.5390999999999995</v>
      </c>
      <c r="BF708" s="308">
        <v>8.3111999999999995</v>
      </c>
      <c r="BG708" s="308">
        <v>10.484999999999999</v>
      </c>
      <c r="BH708" s="308">
        <v>11.3718</v>
      </c>
      <c r="BI708" s="308">
        <v>10.3521</v>
      </c>
      <c r="BJ708" s="308">
        <v>8.5571000000000002</v>
      </c>
      <c r="BK708" s="308">
        <v>7.5468999999999999</v>
      </c>
    </row>
    <row r="709" spans="1:63" x14ac:dyDescent="0.25">
      <c r="A709" s="306">
        <v>337910</v>
      </c>
      <c r="B709" s="308" t="s">
        <v>270</v>
      </c>
      <c r="C709" s="308">
        <v>10.634499999999999</v>
      </c>
      <c r="D709" s="308">
        <v>0</v>
      </c>
      <c r="E709" s="308">
        <v>9.4550000000000001</v>
      </c>
      <c r="F709" s="308">
        <v>9.3675999999999995</v>
      </c>
      <c r="G709" s="308">
        <v>7.4939999999999998</v>
      </c>
      <c r="H709" s="308">
        <v>7.8414000000000001</v>
      </c>
      <c r="I709" s="308">
        <v>7.5228000000000002</v>
      </c>
      <c r="J709" s="308">
        <v>7.4311999999999996</v>
      </c>
      <c r="K709" s="308">
        <v>0</v>
      </c>
      <c r="L709" s="308">
        <v>0</v>
      </c>
      <c r="M709" s="308">
        <v>7.5389999999999997</v>
      </c>
      <c r="N709" s="308">
        <v>8.7050999999999998</v>
      </c>
      <c r="O709" s="308">
        <v>7.0972</v>
      </c>
      <c r="P709" s="308">
        <v>7.7895000000000003</v>
      </c>
      <c r="Q709" s="308">
        <v>6.7049000000000003</v>
      </c>
      <c r="R709" s="308">
        <v>8.3186</v>
      </c>
      <c r="S709" s="308">
        <v>8.7093000000000007</v>
      </c>
      <c r="T709" s="308">
        <v>6.3059000000000003</v>
      </c>
      <c r="U709" s="308">
        <v>9.1354000000000006</v>
      </c>
      <c r="V709" s="308">
        <v>7.2394999999999996</v>
      </c>
      <c r="W709" s="308">
        <v>6.7747000000000002</v>
      </c>
      <c r="X709" s="308">
        <v>7.1615000000000002</v>
      </c>
      <c r="Y709" s="308">
        <v>9.9673999999999996</v>
      </c>
      <c r="Z709" s="308">
        <v>8.1694999999999993</v>
      </c>
      <c r="AA709" s="308">
        <v>7.3398000000000003</v>
      </c>
      <c r="AB709" s="308">
        <v>7.4340000000000002</v>
      </c>
      <c r="AC709" s="308">
        <v>9.4062000000000001</v>
      </c>
      <c r="AD709" s="308">
        <v>7.9534000000000002</v>
      </c>
      <c r="AE709" s="308">
        <v>8.2629999999999999</v>
      </c>
      <c r="AF709" s="308">
        <v>6.5780000000000003</v>
      </c>
      <c r="AG709" s="308">
        <v>5.5480999999999998</v>
      </c>
      <c r="AH709" s="308">
        <v>6.5476000000000001</v>
      </c>
      <c r="AI709" s="308">
        <v>7.2842000000000002</v>
      </c>
      <c r="AJ709" s="308">
        <v>7.8114999999999997</v>
      </c>
      <c r="AK709" s="308">
        <v>8.3989999999999991</v>
      </c>
      <c r="AL709" s="308">
        <v>6.5838000000000001</v>
      </c>
      <c r="AM709" s="308">
        <v>8.6521000000000008</v>
      </c>
      <c r="AN709" s="308">
        <v>9.2364999999999995</v>
      </c>
      <c r="AO709" s="308">
        <v>8.3207000000000004</v>
      </c>
      <c r="AP709" s="308">
        <v>9.0655000000000001</v>
      </c>
      <c r="AQ709" s="308">
        <v>0</v>
      </c>
      <c r="AR709" s="308">
        <v>10.663399999999999</v>
      </c>
      <c r="AS709" s="308">
        <v>0</v>
      </c>
      <c r="AT709" s="308">
        <v>10.619899999999999</v>
      </c>
      <c r="AU709" s="308">
        <v>9.7509999999999994</v>
      </c>
      <c r="AV709" s="308">
        <v>8.8575999999999997</v>
      </c>
      <c r="AW709" s="308">
        <v>7.7732999999999999</v>
      </c>
      <c r="AX709" s="308">
        <v>0</v>
      </c>
      <c r="AY709" s="308">
        <v>7.9370000000000003</v>
      </c>
      <c r="AZ709" s="308">
        <v>8.6734000000000009</v>
      </c>
      <c r="BA709" s="308">
        <v>8.1103000000000005</v>
      </c>
      <c r="BB709" s="308">
        <v>0</v>
      </c>
      <c r="BC709" s="308">
        <v>8.2703000000000007</v>
      </c>
      <c r="BD709" s="308">
        <v>8.5361999999999991</v>
      </c>
      <c r="BE709" s="308">
        <v>9.1079000000000008</v>
      </c>
      <c r="BF709" s="308">
        <v>7.4828999999999999</v>
      </c>
      <c r="BG709" s="308">
        <v>8.9326000000000008</v>
      </c>
      <c r="BH709" s="308">
        <v>10.669499999999999</v>
      </c>
      <c r="BI709" s="308">
        <v>9.9129000000000005</v>
      </c>
      <c r="BJ709" s="308">
        <v>7.8574999999999999</v>
      </c>
      <c r="BK709" s="308">
        <v>8.0996000000000006</v>
      </c>
    </row>
    <row r="710" spans="1:63" x14ac:dyDescent="0.25">
      <c r="A710" s="306">
        <v>337920</v>
      </c>
      <c r="B710" s="308" t="s">
        <v>271</v>
      </c>
      <c r="C710" s="308">
        <v>12.65</v>
      </c>
      <c r="D710" s="308">
        <v>11.512499999999999</v>
      </c>
      <c r="E710" s="308">
        <v>13.434100000000001</v>
      </c>
      <c r="F710" s="308">
        <v>0</v>
      </c>
      <c r="G710" s="308">
        <v>11.001899999999999</v>
      </c>
      <c r="H710" s="308">
        <v>9.8961000000000006</v>
      </c>
      <c r="I710" s="308">
        <v>7.9965000000000002</v>
      </c>
      <c r="J710" s="308">
        <v>8.7622999999999998</v>
      </c>
      <c r="K710" s="308">
        <v>0</v>
      </c>
      <c r="L710" s="308">
        <v>8.3505000000000003</v>
      </c>
      <c r="M710" s="308">
        <v>11.427199999999999</v>
      </c>
      <c r="N710" s="308">
        <v>10.2254</v>
      </c>
      <c r="O710" s="308">
        <v>12.071099999999999</v>
      </c>
      <c r="P710" s="308">
        <v>12.083</v>
      </c>
      <c r="Q710" s="308">
        <v>0</v>
      </c>
      <c r="R710" s="308">
        <v>8.6706000000000003</v>
      </c>
      <c r="S710" s="308">
        <v>13.032</v>
      </c>
      <c r="T710" s="308">
        <v>6.9837999999999996</v>
      </c>
      <c r="U710" s="308">
        <v>12.9284</v>
      </c>
      <c r="V710" s="308">
        <v>12.2567</v>
      </c>
      <c r="W710" s="308">
        <v>9.5532000000000004</v>
      </c>
      <c r="X710" s="308">
        <v>10.150499999999999</v>
      </c>
      <c r="Y710" s="308">
        <v>0</v>
      </c>
      <c r="Z710" s="308">
        <v>12.654299999999999</v>
      </c>
      <c r="AA710" s="308">
        <v>10.721500000000001</v>
      </c>
      <c r="AB710" s="308">
        <v>8.8018000000000001</v>
      </c>
      <c r="AC710" s="308">
        <v>8.7142999999999997</v>
      </c>
      <c r="AD710" s="308">
        <v>0</v>
      </c>
      <c r="AE710" s="308">
        <v>9.2156000000000002</v>
      </c>
      <c r="AF710" s="308">
        <v>7.7127999999999997</v>
      </c>
      <c r="AG710" s="308">
        <v>8.4657</v>
      </c>
      <c r="AH710" s="308">
        <v>9.5548000000000002</v>
      </c>
      <c r="AI710" s="308">
        <v>8.5902999999999992</v>
      </c>
      <c r="AJ710" s="308">
        <v>10.3385</v>
      </c>
      <c r="AK710" s="308">
        <v>11.7593</v>
      </c>
      <c r="AL710" s="308">
        <v>8.7942</v>
      </c>
      <c r="AM710" s="308">
        <v>11.420999999999999</v>
      </c>
      <c r="AN710" s="308">
        <v>9.7504000000000008</v>
      </c>
      <c r="AO710" s="308">
        <v>11.830299999999999</v>
      </c>
      <c r="AP710" s="308">
        <v>11.204700000000001</v>
      </c>
      <c r="AQ710" s="308">
        <v>9.4138000000000002</v>
      </c>
      <c r="AR710" s="308">
        <v>14.0776</v>
      </c>
      <c r="AS710" s="308">
        <v>12.4565</v>
      </c>
      <c r="AT710" s="308">
        <v>13.337899999999999</v>
      </c>
      <c r="AU710" s="308">
        <v>13.812900000000001</v>
      </c>
      <c r="AV710" s="308">
        <v>11.7216</v>
      </c>
      <c r="AW710" s="308">
        <v>10.0433</v>
      </c>
      <c r="AX710" s="308">
        <v>9.0440000000000005</v>
      </c>
      <c r="AY710" s="308">
        <v>10.3164</v>
      </c>
      <c r="AZ710" s="308">
        <v>9.0561000000000007</v>
      </c>
      <c r="BA710" s="308">
        <v>0</v>
      </c>
      <c r="BB710" s="308">
        <v>0</v>
      </c>
      <c r="BC710" s="308">
        <v>10.3653</v>
      </c>
      <c r="BD710" s="308">
        <v>10.270899999999999</v>
      </c>
      <c r="BE710" s="308">
        <v>11.049899999999999</v>
      </c>
      <c r="BF710" s="308">
        <v>11.032500000000001</v>
      </c>
      <c r="BG710" s="308">
        <v>11.9572</v>
      </c>
      <c r="BH710" s="308">
        <v>12.511699999999999</v>
      </c>
      <c r="BI710" s="308">
        <v>13.938599999999999</v>
      </c>
      <c r="BJ710" s="308">
        <v>9.6271000000000004</v>
      </c>
      <c r="BK710" s="308">
        <v>10.1752</v>
      </c>
    </row>
    <row r="711" spans="1:63" x14ac:dyDescent="0.25">
      <c r="A711" s="306">
        <v>339112</v>
      </c>
      <c r="B711" s="308" t="s">
        <v>747</v>
      </c>
      <c r="C711" s="308">
        <v>8.8902999999999999</v>
      </c>
      <c r="D711" s="308">
        <v>8.0296000000000003</v>
      </c>
      <c r="E711" s="308">
        <v>9.5403000000000002</v>
      </c>
      <c r="F711" s="308">
        <v>9.3559000000000001</v>
      </c>
      <c r="G711" s="308">
        <v>10.561999999999999</v>
      </c>
      <c r="H711" s="308">
        <v>6.7160000000000002</v>
      </c>
      <c r="I711" s="308">
        <v>8.2947000000000006</v>
      </c>
      <c r="J711" s="308">
        <v>6.0137999999999998</v>
      </c>
      <c r="K711" s="308">
        <v>0</v>
      </c>
      <c r="L711" s="308">
        <v>0</v>
      </c>
      <c r="M711" s="308">
        <v>8.3734000000000002</v>
      </c>
      <c r="N711" s="308">
        <v>7.3878000000000004</v>
      </c>
      <c r="O711" s="308">
        <v>0</v>
      </c>
      <c r="P711" s="308">
        <v>11.3123</v>
      </c>
      <c r="Q711" s="308">
        <v>11.206</v>
      </c>
      <c r="R711" s="308">
        <v>6.5743</v>
      </c>
      <c r="S711" s="308">
        <v>7.7957999999999998</v>
      </c>
      <c r="T711" s="308">
        <v>8.9529999999999994</v>
      </c>
      <c r="U711" s="308">
        <v>7.24</v>
      </c>
      <c r="V711" s="308">
        <v>11.9307</v>
      </c>
      <c r="W711" s="308">
        <v>6.0334000000000003</v>
      </c>
      <c r="X711" s="308">
        <v>6.9143999999999997</v>
      </c>
      <c r="Y711" s="308">
        <v>12.321</v>
      </c>
      <c r="Z711" s="308">
        <v>8.5807000000000002</v>
      </c>
      <c r="AA711" s="308">
        <v>7.3670999999999998</v>
      </c>
      <c r="AB711" s="308">
        <v>8.1655999999999995</v>
      </c>
      <c r="AC711" s="308">
        <v>11.5023</v>
      </c>
      <c r="AD711" s="308">
        <v>11.5951</v>
      </c>
      <c r="AE711" s="308">
        <v>8.2225999999999999</v>
      </c>
      <c r="AF711" s="308">
        <v>8.4335000000000004</v>
      </c>
      <c r="AG711" s="308">
        <v>9.2790999999999997</v>
      </c>
      <c r="AH711" s="308">
        <v>9.4411000000000005</v>
      </c>
      <c r="AI711" s="308">
        <v>5.8776000000000002</v>
      </c>
      <c r="AJ711" s="308">
        <v>0</v>
      </c>
      <c r="AK711" s="308">
        <v>8.7881999999999998</v>
      </c>
      <c r="AL711" s="308">
        <v>7.2293000000000003</v>
      </c>
      <c r="AM711" s="308">
        <v>8.7609999999999992</v>
      </c>
      <c r="AN711" s="308">
        <v>10.032500000000001</v>
      </c>
      <c r="AO711" s="308">
        <v>8.1806999999999999</v>
      </c>
      <c r="AP711" s="308">
        <v>7.4702999999999999</v>
      </c>
      <c r="AQ711" s="308">
        <v>7.3593000000000002</v>
      </c>
      <c r="AR711" s="308">
        <v>9.7432999999999996</v>
      </c>
      <c r="AS711" s="308">
        <v>11.361000000000001</v>
      </c>
      <c r="AT711" s="308">
        <v>7.7130000000000001</v>
      </c>
      <c r="AU711" s="308">
        <v>8.9088999999999992</v>
      </c>
      <c r="AV711" s="308">
        <v>10.0982</v>
      </c>
      <c r="AW711" s="308">
        <v>8.0378000000000007</v>
      </c>
      <c r="AX711" s="308">
        <v>11.195</v>
      </c>
      <c r="AY711" s="308">
        <v>7.8333000000000004</v>
      </c>
      <c r="AZ711" s="308">
        <v>8.2148000000000003</v>
      </c>
      <c r="BA711" s="308">
        <v>0</v>
      </c>
      <c r="BB711" s="308">
        <v>0</v>
      </c>
      <c r="BC711" s="308">
        <v>7.1041999999999996</v>
      </c>
      <c r="BD711" s="308">
        <v>7.5050999999999997</v>
      </c>
      <c r="BE711" s="308">
        <v>8.1157000000000004</v>
      </c>
      <c r="BF711" s="308">
        <v>8.0785</v>
      </c>
      <c r="BG711" s="308">
        <v>8.6499000000000006</v>
      </c>
      <c r="BH711" s="308">
        <v>8.6649999999999991</v>
      </c>
      <c r="BI711" s="308">
        <v>9.2845999999999993</v>
      </c>
      <c r="BJ711" s="308">
        <v>9.0152000000000001</v>
      </c>
      <c r="BK711" s="308">
        <v>6.8657000000000004</v>
      </c>
    </row>
    <row r="712" spans="1:63" x14ac:dyDescent="0.25">
      <c r="A712" s="306">
        <v>339114</v>
      </c>
      <c r="B712" s="308" t="s">
        <v>272</v>
      </c>
      <c r="C712" s="308">
        <v>10.376300000000001</v>
      </c>
      <c r="D712" s="308">
        <v>0</v>
      </c>
      <c r="E712" s="308">
        <v>10.7879</v>
      </c>
      <c r="F712" s="308">
        <v>13.337199999999999</v>
      </c>
      <c r="G712" s="308">
        <v>12.790100000000001</v>
      </c>
      <c r="H712" s="308">
        <v>8.5169999999999995</v>
      </c>
      <c r="I712" s="308">
        <v>12.0693</v>
      </c>
      <c r="J712" s="308">
        <v>6.7012</v>
      </c>
      <c r="K712" s="308">
        <v>0</v>
      </c>
      <c r="L712" s="308">
        <v>5.4077999999999999</v>
      </c>
      <c r="M712" s="308">
        <v>8.8031000000000006</v>
      </c>
      <c r="N712" s="308">
        <v>11.8843</v>
      </c>
      <c r="O712" s="308">
        <v>0</v>
      </c>
      <c r="P712" s="308">
        <v>0</v>
      </c>
      <c r="Q712" s="308">
        <v>13.016</v>
      </c>
      <c r="R712" s="308">
        <v>8.0867000000000004</v>
      </c>
      <c r="S712" s="308">
        <v>9.3460999999999999</v>
      </c>
      <c r="T712" s="308">
        <v>9.4978999999999996</v>
      </c>
      <c r="U712" s="308">
        <v>9.6372999999999998</v>
      </c>
      <c r="V712" s="308">
        <v>0</v>
      </c>
      <c r="W712" s="308">
        <v>6.7016</v>
      </c>
      <c r="X712" s="308">
        <v>9.3717000000000006</v>
      </c>
      <c r="Y712" s="308">
        <v>0</v>
      </c>
      <c r="Z712" s="308">
        <v>9.4789999999999992</v>
      </c>
      <c r="AA712" s="308">
        <v>7.4321000000000002</v>
      </c>
      <c r="AB712" s="308">
        <v>10.5708</v>
      </c>
      <c r="AC712" s="308">
        <v>12.7087</v>
      </c>
      <c r="AD712" s="308">
        <v>13.291499999999999</v>
      </c>
      <c r="AE712" s="308">
        <v>9.3021999999999991</v>
      </c>
      <c r="AF712" s="308">
        <v>11.6366</v>
      </c>
      <c r="AG712" s="308">
        <v>0</v>
      </c>
      <c r="AH712" s="308">
        <v>0</v>
      </c>
      <c r="AI712" s="308">
        <v>7.3211000000000004</v>
      </c>
      <c r="AJ712" s="308">
        <v>9.5530000000000008</v>
      </c>
      <c r="AK712" s="308">
        <v>9.7794000000000008</v>
      </c>
      <c r="AL712" s="308">
        <v>7.3826999999999998</v>
      </c>
      <c r="AM712" s="308">
        <v>10.4125</v>
      </c>
      <c r="AN712" s="308">
        <v>12.0106</v>
      </c>
      <c r="AO712" s="308">
        <v>9.3787000000000003</v>
      </c>
      <c r="AP712" s="308">
        <v>9.2957999999999998</v>
      </c>
      <c r="AQ712" s="308">
        <v>8.6145999999999994</v>
      </c>
      <c r="AR712" s="308">
        <v>13.956099999999999</v>
      </c>
      <c r="AS712" s="308">
        <v>9.5647000000000002</v>
      </c>
      <c r="AT712" s="308">
        <v>10.7454</v>
      </c>
      <c r="AU712" s="308">
        <v>10.098800000000001</v>
      </c>
      <c r="AV712" s="308">
        <v>11.2669</v>
      </c>
      <c r="AW712" s="308">
        <v>0</v>
      </c>
      <c r="AX712" s="308">
        <v>0</v>
      </c>
      <c r="AY712" s="308">
        <v>13.811500000000001</v>
      </c>
      <c r="AZ712" s="308">
        <v>10.609</v>
      </c>
      <c r="BA712" s="308">
        <v>0</v>
      </c>
      <c r="BB712" s="308">
        <v>0</v>
      </c>
      <c r="BC712" s="308">
        <v>7.5613999999999999</v>
      </c>
      <c r="BD712" s="308">
        <v>8.7940000000000005</v>
      </c>
      <c r="BE712" s="308">
        <v>9.4697999999999993</v>
      </c>
      <c r="BF712" s="308">
        <v>8.8666</v>
      </c>
      <c r="BG712" s="308">
        <v>9.0236000000000001</v>
      </c>
      <c r="BH712" s="308">
        <v>10.788399999999999</v>
      </c>
      <c r="BI712" s="308">
        <v>12.3316</v>
      </c>
      <c r="BJ712" s="308">
        <v>11.369899999999999</v>
      </c>
      <c r="BK712" s="308">
        <v>8.9966000000000008</v>
      </c>
    </row>
    <row r="713" spans="1:63" x14ac:dyDescent="0.25">
      <c r="A713" s="306">
        <v>339115</v>
      </c>
      <c r="B713" s="308" t="s">
        <v>273</v>
      </c>
      <c r="C713" s="308">
        <v>10.3063</v>
      </c>
      <c r="D713" s="308">
        <v>0</v>
      </c>
      <c r="E713" s="308">
        <v>12.6388</v>
      </c>
      <c r="F713" s="308">
        <v>13.9314</v>
      </c>
      <c r="G713" s="308">
        <v>8.6358999999999995</v>
      </c>
      <c r="H713" s="308">
        <v>8.2567000000000004</v>
      </c>
      <c r="I713" s="308">
        <v>12.2827</v>
      </c>
      <c r="J713" s="308">
        <v>8.8719000000000001</v>
      </c>
      <c r="K713" s="308">
        <v>0</v>
      </c>
      <c r="L713" s="308">
        <v>0</v>
      </c>
      <c r="M713" s="308">
        <v>7.6041999999999996</v>
      </c>
      <c r="N713" s="308">
        <v>7.5862999999999996</v>
      </c>
      <c r="O713" s="308">
        <v>10.556800000000001</v>
      </c>
      <c r="P713" s="308">
        <v>13.427</v>
      </c>
      <c r="Q713" s="308">
        <v>6.6680999999999999</v>
      </c>
      <c r="R713" s="308">
        <v>8.1578999999999997</v>
      </c>
      <c r="S713" s="308">
        <v>12.9862</v>
      </c>
      <c r="T713" s="308">
        <v>10.6355</v>
      </c>
      <c r="U713" s="308">
        <v>7.9730999999999996</v>
      </c>
      <c r="V713" s="308">
        <v>11.1632</v>
      </c>
      <c r="W713" s="308">
        <v>7.3817000000000004</v>
      </c>
      <c r="X713" s="308">
        <v>8.6722000000000001</v>
      </c>
      <c r="Y713" s="308">
        <v>14.404400000000001</v>
      </c>
      <c r="Z713" s="308">
        <v>10.654400000000001</v>
      </c>
      <c r="AA713" s="308">
        <v>9.6066000000000003</v>
      </c>
      <c r="AB713" s="308">
        <v>9.1978000000000009</v>
      </c>
      <c r="AC713" s="308">
        <v>12.362399999999999</v>
      </c>
      <c r="AD713" s="308">
        <v>13.883800000000001</v>
      </c>
      <c r="AE713" s="308">
        <v>13.321099999999999</v>
      </c>
      <c r="AF713" s="308">
        <v>0</v>
      </c>
      <c r="AG713" s="308">
        <v>11.7445</v>
      </c>
      <c r="AH713" s="308">
        <v>7.3704000000000001</v>
      </c>
      <c r="AI713" s="308">
        <v>9.6414000000000009</v>
      </c>
      <c r="AJ713" s="308">
        <v>9.0915999999999997</v>
      </c>
      <c r="AK713" s="308">
        <v>10.763</v>
      </c>
      <c r="AL713" s="308">
        <v>6.3480999999999996</v>
      </c>
      <c r="AM713" s="308">
        <v>11.8184</v>
      </c>
      <c r="AN713" s="308">
        <v>9.2135999999999996</v>
      </c>
      <c r="AO713" s="308">
        <v>12.436400000000001</v>
      </c>
      <c r="AP713" s="308">
        <v>10.2904</v>
      </c>
      <c r="AQ713" s="308">
        <v>8.6538000000000004</v>
      </c>
      <c r="AR713" s="308">
        <v>12.8773</v>
      </c>
      <c r="AS713" s="308">
        <v>13.6304</v>
      </c>
      <c r="AT713" s="308">
        <v>10.4391</v>
      </c>
      <c r="AU713" s="308">
        <v>9.8260000000000005</v>
      </c>
      <c r="AV713" s="308">
        <v>12.022600000000001</v>
      </c>
      <c r="AW713" s="308">
        <v>11.3592</v>
      </c>
      <c r="AX713" s="308">
        <v>10.7544</v>
      </c>
      <c r="AY713" s="308">
        <v>12.8467</v>
      </c>
      <c r="AZ713" s="308">
        <v>13.2149</v>
      </c>
      <c r="BA713" s="308">
        <v>12.6663</v>
      </c>
      <c r="BB713" s="308">
        <v>7.0556000000000001</v>
      </c>
      <c r="BC713" s="308">
        <v>8.8689</v>
      </c>
      <c r="BD713" s="308">
        <v>8.3665000000000003</v>
      </c>
      <c r="BE713" s="308">
        <v>11.577</v>
      </c>
      <c r="BF713" s="308">
        <v>10.3551</v>
      </c>
      <c r="BG713" s="308">
        <v>8.3332999999999995</v>
      </c>
      <c r="BH713" s="308">
        <v>10.551</v>
      </c>
      <c r="BI713" s="308">
        <v>10.491899999999999</v>
      </c>
      <c r="BJ713" s="308">
        <v>10.290800000000001</v>
      </c>
      <c r="BK713" s="308">
        <v>8.9403000000000006</v>
      </c>
    </row>
    <row r="714" spans="1:63" x14ac:dyDescent="0.25">
      <c r="A714" s="306">
        <v>339116</v>
      </c>
      <c r="B714" s="308" t="s">
        <v>748</v>
      </c>
      <c r="C714" s="308">
        <v>19.040800000000001</v>
      </c>
      <c r="D714" s="308">
        <v>20.186800000000002</v>
      </c>
      <c r="E714" s="308">
        <v>19.241199999999999</v>
      </c>
      <c r="F714" s="308">
        <v>18.322600000000001</v>
      </c>
      <c r="G714" s="308">
        <v>20.106300000000001</v>
      </c>
      <c r="H714" s="308">
        <v>17.3276</v>
      </c>
      <c r="I714" s="308">
        <v>20.549099999999999</v>
      </c>
      <c r="J714" s="308">
        <v>13.3916</v>
      </c>
      <c r="K714" s="308">
        <v>5.9058999999999999</v>
      </c>
      <c r="L714" s="308">
        <v>11.236000000000001</v>
      </c>
      <c r="M714" s="308">
        <v>17.524699999999999</v>
      </c>
      <c r="N714" s="308">
        <v>16.1449</v>
      </c>
      <c r="O714" s="308">
        <v>23.112500000000001</v>
      </c>
      <c r="P714" s="308">
        <v>20.5578</v>
      </c>
      <c r="Q714" s="308">
        <v>17.634899999999998</v>
      </c>
      <c r="R714" s="308">
        <v>16.3977</v>
      </c>
      <c r="S714" s="308">
        <v>18.386099999999999</v>
      </c>
      <c r="T714" s="308">
        <v>14.088900000000001</v>
      </c>
      <c r="U714" s="308">
        <v>18.4039</v>
      </c>
      <c r="V714" s="308">
        <v>20.454000000000001</v>
      </c>
      <c r="W714" s="308">
        <v>13.3361</v>
      </c>
      <c r="X714" s="308">
        <v>14.305199999999999</v>
      </c>
      <c r="Y714" s="308">
        <v>23.117000000000001</v>
      </c>
      <c r="Z714" s="308">
        <v>16.687999999999999</v>
      </c>
      <c r="AA714" s="308">
        <v>17.547999999999998</v>
      </c>
      <c r="AB714" s="308">
        <v>17.3566</v>
      </c>
      <c r="AC714" s="308">
        <v>19.9635</v>
      </c>
      <c r="AD714" s="308">
        <v>23.7745</v>
      </c>
      <c r="AE714" s="308">
        <v>17.611799999999999</v>
      </c>
      <c r="AF714" s="308">
        <v>19.038699999999999</v>
      </c>
      <c r="AG714" s="308">
        <v>17.299600000000002</v>
      </c>
      <c r="AH714" s="308">
        <v>16.348500000000001</v>
      </c>
      <c r="AI714" s="308">
        <v>13.303699999999999</v>
      </c>
      <c r="AJ714" s="308">
        <v>17.438800000000001</v>
      </c>
      <c r="AK714" s="308">
        <v>15.517099999999999</v>
      </c>
      <c r="AL714" s="308">
        <v>14.8759</v>
      </c>
      <c r="AM714" s="308">
        <v>17.4848</v>
      </c>
      <c r="AN714" s="308">
        <v>20.7669</v>
      </c>
      <c r="AO714" s="308">
        <v>20.158300000000001</v>
      </c>
      <c r="AP714" s="308">
        <v>16.202400000000001</v>
      </c>
      <c r="AQ714" s="308">
        <v>16.7379</v>
      </c>
      <c r="AR714" s="308">
        <v>17.486599999999999</v>
      </c>
      <c r="AS714" s="308">
        <v>19.407599999999999</v>
      </c>
      <c r="AT714" s="308">
        <v>17.6252</v>
      </c>
      <c r="AU714" s="308">
        <v>18.3797</v>
      </c>
      <c r="AV714" s="308">
        <v>18.223400000000002</v>
      </c>
      <c r="AW714" s="308">
        <v>17.973099999999999</v>
      </c>
      <c r="AX714" s="308">
        <v>21.209800000000001</v>
      </c>
      <c r="AY714" s="308">
        <v>21.461500000000001</v>
      </c>
      <c r="AZ714" s="308">
        <v>19.482700000000001</v>
      </c>
      <c r="BA714" s="308">
        <v>19.7165</v>
      </c>
      <c r="BB714" s="308">
        <v>22.270399999999999</v>
      </c>
      <c r="BC714" s="308">
        <v>16.0825</v>
      </c>
      <c r="BD714" s="308">
        <v>16.101199999999999</v>
      </c>
      <c r="BE714" s="308">
        <v>18.091699999999999</v>
      </c>
      <c r="BF714" s="308">
        <v>18.045500000000001</v>
      </c>
      <c r="BG714" s="308">
        <v>17.677399999999999</v>
      </c>
      <c r="BH714" s="308">
        <v>19.213899999999999</v>
      </c>
      <c r="BI714" s="308">
        <v>19.116700000000002</v>
      </c>
      <c r="BJ714" s="308">
        <v>19.561900000000001</v>
      </c>
      <c r="BK714" s="308">
        <v>18.537600000000001</v>
      </c>
    </row>
    <row r="715" spans="1:63" x14ac:dyDescent="0.25">
      <c r="A715" s="306" t="s">
        <v>749</v>
      </c>
      <c r="B715" s="308" t="s">
        <v>750</v>
      </c>
      <c r="C715" s="308">
        <v>9.4231999999999996</v>
      </c>
      <c r="D715" s="308">
        <v>9.7646999999999995</v>
      </c>
      <c r="E715" s="308">
        <v>10.418900000000001</v>
      </c>
      <c r="F715" s="308">
        <v>8.1801999999999992</v>
      </c>
      <c r="G715" s="308">
        <v>7.8704999999999998</v>
      </c>
      <c r="H715" s="308">
        <v>7.0758000000000001</v>
      </c>
      <c r="I715" s="308">
        <v>8.9466000000000001</v>
      </c>
      <c r="J715" s="308">
        <v>6.6235999999999997</v>
      </c>
      <c r="K715" s="308">
        <v>0</v>
      </c>
      <c r="L715" s="308">
        <v>4.6696</v>
      </c>
      <c r="M715" s="308">
        <v>8.8773999999999997</v>
      </c>
      <c r="N715" s="308">
        <v>7.5782999999999996</v>
      </c>
      <c r="O715" s="308">
        <v>11.1754</v>
      </c>
      <c r="P715" s="308">
        <v>9.1981999999999999</v>
      </c>
      <c r="Q715" s="308">
        <v>10.919700000000001</v>
      </c>
      <c r="R715" s="308">
        <v>6.7458</v>
      </c>
      <c r="S715" s="308">
        <v>7.3258999999999999</v>
      </c>
      <c r="T715" s="308">
        <v>9.4305000000000003</v>
      </c>
      <c r="U715" s="308">
        <v>10.1755</v>
      </c>
      <c r="V715" s="308">
        <v>9.8775999999999993</v>
      </c>
      <c r="W715" s="308">
        <v>6.6935000000000002</v>
      </c>
      <c r="X715" s="308">
        <v>5.4543999999999997</v>
      </c>
      <c r="Y715" s="308">
        <v>12.1325</v>
      </c>
      <c r="Z715" s="308">
        <v>7.165</v>
      </c>
      <c r="AA715" s="308">
        <v>7.2981999999999996</v>
      </c>
      <c r="AB715" s="308">
        <v>9.5669000000000004</v>
      </c>
      <c r="AC715" s="308">
        <v>9.3131000000000004</v>
      </c>
      <c r="AD715" s="308">
        <v>11.4053</v>
      </c>
      <c r="AE715" s="308">
        <v>9.4709000000000003</v>
      </c>
      <c r="AF715" s="308">
        <v>9.3054000000000006</v>
      </c>
      <c r="AG715" s="308">
        <v>7.8914999999999997</v>
      </c>
      <c r="AH715" s="308">
        <v>7.9432</v>
      </c>
      <c r="AI715" s="308">
        <v>5.9751000000000003</v>
      </c>
      <c r="AJ715" s="308">
        <v>9.2769999999999992</v>
      </c>
      <c r="AK715" s="308">
        <v>8.2121999999999993</v>
      </c>
      <c r="AL715" s="308">
        <v>7.3121</v>
      </c>
      <c r="AM715" s="308">
        <v>9.5533999999999999</v>
      </c>
      <c r="AN715" s="308">
        <v>9.8858999999999995</v>
      </c>
      <c r="AO715" s="308">
        <v>9.2647999999999993</v>
      </c>
      <c r="AP715" s="308">
        <v>8.9533000000000005</v>
      </c>
      <c r="AQ715" s="308">
        <v>6.8743999999999996</v>
      </c>
      <c r="AR715" s="308">
        <v>10.48</v>
      </c>
      <c r="AS715" s="308">
        <v>6.9760999999999997</v>
      </c>
      <c r="AT715" s="308">
        <v>6.9965000000000002</v>
      </c>
      <c r="AU715" s="308">
        <v>8.0176999999999996</v>
      </c>
      <c r="AV715" s="308">
        <v>9.2799999999999994</v>
      </c>
      <c r="AW715" s="308">
        <v>9.3425999999999991</v>
      </c>
      <c r="AX715" s="308">
        <v>11.2887</v>
      </c>
      <c r="AY715" s="308">
        <v>11.763199999999999</v>
      </c>
      <c r="AZ715" s="308">
        <v>10.063000000000001</v>
      </c>
      <c r="BA715" s="308">
        <v>8.8633000000000006</v>
      </c>
      <c r="BB715" s="308">
        <v>10.793200000000001</v>
      </c>
      <c r="BC715" s="308">
        <v>8.3892000000000007</v>
      </c>
      <c r="BD715" s="308">
        <v>7.7127999999999997</v>
      </c>
      <c r="BE715" s="308">
        <v>8.1941000000000006</v>
      </c>
      <c r="BF715" s="308">
        <v>8.1336999999999993</v>
      </c>
      <c r="BG715" s="308">
        <v>9.2055000000000007</v>
      </c>
      <c r="BH715" s="308">
        <v>8.1426999999999996</v>
      </c>
      <c r="BI715" s="308">
        <v>8.3607999999999993</v>
      </c>
      <c r="BJ715" s="308">
        <v>8.8209999999999997</v>
      </c>
      <c r="BK715" s="308">
        <v>7.6620999999999997</v>
      </c>
    </row>
    <row r="716" spans="1:63" x14ac:dyDescent="0.25">
      <c r="A716" s="306">
        <v>339910</v>
      </c>
      <c r="B716" s="308" t="s">
        <v>274</v>
      </c>
      <c r="C716" s="308">
        <v>10.656499999999999</v>
      </c>
      <c r="D716" s="308">
        <v>6.7857000000000003</v>
      </c>
      <c r="E716" s="308">
        <v>9.6664999999999992</v>
      </c>
      <c r="F716" s="308">
        <v>6.9909999999999997</v>
      </c>
      <c r="G716" s="308">
        <v>11.8346</v>
      </c>
      <c r="H716" s="308">
        <v>10.4834</v>
      </c>
      <c r="I716" s="308">
        <v>8.7994000000000003</v>
      </c>
      <c r="J716" s="308">
        <v>6.7945000000000002</v>
      </c>
      <c r="K716" s="308">
        <v>0</v>
      </c>
      <c r="L716" s="308">
        <v>5.0129999999999999</v>
      </c>
      <c r="M716" s="308">
        <v>9.1956000000000007</v>
      </c>
      <c r="N716" s="308">
        <v>13.1675</v>
      </c>
      <c r="O716" s="308">
        <v>14.1877</v>
      </c>
      <c r="P716" s="308">
        <v>7.6430999999999996</v>
      </c>
      <c r="Q716" s="308">
        <v>11.3124</v>
      </c>
      <c r="R716" s="308">
        <v>9.1225000000000005</v>
      </c>
      <c r="S716" s="308">
        <v>10.43</v>
      </c>
      <c r="T716" s="308">
        <v>12.4358</v>
      </c>
      <c r="U716" s="308">
        <v>13.5617</v>
      </c>
      <c r="V716" s="308">
        <v>11.0634</v>
      </c>
      <c r="W716" s="308">
        <v>8.1325000000000003</v>
      </c>
      <c r="X716" s="308">
        <v>8.2681000000000004</v>
      </c>
      <c r="Y716" s="308">
        <v>14.1911</v>
      </c>
      <c r="Z716" s="308">
        <v>8.6386000000000003</v>
      </c>
      <c r="AA716" s="308">
        <v>7.3803999999999998</v>
      </c>
      <c r="AB716" s="308">
        <v>10.742100000000001</v>
      </c>
      <c r="AC716" s="308">
        <v>13.1487</v>
      </c>
      <c r="AD716" s="308">
        <v>12.3993</v>
      </c>
      <c r="AE716" s="308">
        <v>10.5943</v>
      </c>
      <c r="AF716" s="308">
        <v>12.3361</v>
      </c>
      <c r="AG716" s="308">
        <v>13.0442</v>
      </c>
      <c r="AH716" s="308">
        <v>9.5854999999999997</v>
      </c>
      <c r="AI716" s="308">
        <v>6.7290999999999999</v>
      </c>
      <c r="AJ716" s="308">
        <v>10.387499999999999</v>
      </c>
      <c r="AK716" s="308">
        <v>9.9199000000000002</v>
      </c>
      <c r="AL716" s="308">
        <v>6.6428000000000003</v>
      </c>
      <c r="AM716" s="308">
        <v>9.4473000000000003</v>
      </c>
      <c r="AN716" s="308">
        <v>12.1722</v>
      </c>
      <c r="AO716" s="308">
        <v>13.1511</v>
      </c>
      <c r="AP716" s="308">
        <v>7.7183999999999999</v>
      </c>
      <c r="AQ716" s="308">
        <v>9.1303999999999998</v>
      </c>
      <c r="AR716" s="308">
        <v>10.594200000000001</v>
      </c>
      <c r="AS716" s="308">
        <v>10.0402</v>
      </c>
      <c r="AT716" s="308">
        <v>10.0741</v>
      </c>
      <c r="AU716" s="308">
        <v>9.3750999999999998</v>
      </c>
      <c r="AV716" s="308">
        <v>12.115</v>
      </c>
      <c r="AW716" s="308">
        <v>9.0259</v>
      </c>
      <c r="AX716" s="308">
        <v>13.66</v>
      </c>
      <c r="AY716" s="308">
        <v>10.123900000000001</v>
      </c>
      <c r="AZ716" s="308">
        <v>11.959099999999999</v>
      </c>
      <c r="BA716" s="308">
        <v>7.3276000000000003</v>
      </c>
      <c r="BB716" s="308">
        <v>7.4151999999999996</v>
      </c>
      <c r="BC716" s="308">
        <v>9.8358000000000008</v>
      </c>
      <c r="BD716" s="308">
        <v>7.8076999999999996</v>
      </c>
      <c r="BE716" s="308">
        <v>9.8154000000000003</v>
      </c>
      <c r="BF716" s="308">
        <v>9.0127000000000006</v>
      </c>
      <c r="BG716" s="308">
        <v>10.103400000000001</v>
      </c>
      <c r="BH716" s="308">
        <v>11.392899999999999</v>
      </c>
      <c r="BI716" s="308">
        <v>10.352</v>
      </c>
      <c r="BJ716" s="308">
        <v>11.283200000000001</v>
      </c>
      <c r="BK716" s="308">
        <v>11.218299999999999</v>
      </c>
    </row>
    <row r="717" spans="1:63" x14ac:dyDescent="0.25">
      <c r="A717" s="306">
        <v>339920</v>
      </c>
      <c r="B717" s="308" t="s">
        <v>275</v>
      </c>
      <c r="C717" s="308">
        <v>12.0077</v>
      </c>
      <c r="D717" s="308">
        <v>0</v>
      </c>
      <c r="E717" s="308">
        <v>10.983000000000001</v>
      </c>
      <c r="F717" s="308">
        <v>12.1256</v>
      </c>
      <c r="G717" s="308">
        <v>10.644299999999999</v>
      </c>
      <c r="H717" s="308">
        <v>8.7921999999999993</v>
      </c>
      <c r="I717" s="308">
        <v>11.337300000000001</v>
      </c>
      <c r="J717" s="308">
        <v>7.8522999999999996</v>
      </c>
      <c r="K717" s="308">
        <v>0</v>
      </c>
      <c r="L717" s="308">
        <v>7.3849999999999998</v>
      </c>
      <c r="M717" s="308">
        <v>10.5161</v>
      </c>
      <c r="N717" s="308">
        <v>9.3834999999999997</v>
      </c>
      <c r="O717" s="308">
        <v>11.4255</v>
      </c>
      <c r="P717" s="308">
        <v>10.0069</v>
      </c>
      <c r="Q717" s="308">
        <v>11.6037</v>
      </c>
      <c r="R717" s="308">
        <v>8.9085999999999999</v>
      </c>
      <c r="S717" s="308">
        <v>10.4543</v>
      </c>
      <c r="T717" s="308">
        <v>7.7446999999999999</v>
      </c>
      <c r="U717" s="308">
        <v>10.2013</v>
      </c>
      <c r="V717" s="308">
        <v>12.3498</v>
      </c>
      <c r="W717" s="308">
        <v>7.5247000000000002</v>
      </c>
      <c r="X717" s="308">
        <v>7.5587999999999997</v>
      </c>
      <c r="Y717" s="308">
        <v>11.707100000000001</v>
      </c>
      <c r="Z717" s="308">
        <v>9.5937000000000001</v>
      </c>
      <c r="AA717" s="308">
        <v>10.227499999999999</v>
      </c>
      <c r="AB717" s="308">
        <v>10.511100000000001</v>
      </c>
      <c r="AC717" s="308">
        <v>9.3331</v>
      </c>
      <c r="AD717" s="308">
        <v>12.026899999999999</v>
      </c>
      <c r="AE717" s="308">
        <v>12.3888</v>
      </c>
      <c r="AF717" s="308">
        <v>9.8947000000000003</v>
      </c>
      <c r="AG717" s="308">
        <v>10.6294</v>
      </c>
      <c r="AH717" s="308">
        <v>8.2830999999999992</v>
      </c>
      <c r="AI717" s="308">
        <v>7.4629000000000003</v>
      </c>
      <c r="AJ717" s="308">
        <v>11.1272</v>
      </c>
      <c r="AK717" s="308">
        <v>8.5144000000000002</v>
      </c>
      <c r="AL717" s="308">
        <v>7.9161000000000001</v>
      </c>
      <c r="AM717" s="308">
        <v>11.463100000000001</v>
      </c>
      <c r="AN717" s="308">
        <v>11.255100000000001</v>
      </c>
      <c r="AO717" s="308">
        <v>9.7904999999999998</v>
      </c>
      <c r="AP717" s="308">
        <v>9.5410000000000004</v>
      </c>
      <c r="AQ717" s="308">
        <v>11.3817</v>
      </c>
      <c r="AR717" s="308">
        <v>9.5721000000000007</v>
      </c>
      <c r="AS717" s="308">
        <v>0</v>
      </c>
      <c r="AT717" s="308">
        <v>8.9434000000000005</v>
      </c>
      <c r="AU717" s="308">
        <v>10.3307</v>
      </c>
      <c r="AV717" s="308">
        <v>12.181699999999999</v>
      </c>
      <c r="AW717" s="308">
        <v>10.225300000000001</v>
      </c>
      <c r="AX717" s="308">
        <v>7.7321</v>
      </c>
      <c r="AY717" s="308">
        <v>10.6782</v>
      </c>
      <c r="AZ717" s="308">
        <v>11.482100000000001</v>
      </c>
      <c r="BA717" s="308">
        <v>10.6767</v>
      </c>
      <c r="BB717" s="308">
        <v>7.7046000000000001</v>
      </c>
      <c r="BC717" s="308">
        <v>8.7426999999999992</v>
      </c>
      <c r="BD717" s="308">
        <v>9.2055000000000007</v>
      </c>
      <c r="BE717" s="308">
        <v>10.5732</v>
      </c>
      <c r="BF717" s="308">
        <v>10.4251</v>
      </c>
      <c r="BG717" s="308">
        <v>10.926600000000001</v>
      </c>
      <c r="BH717" s="308">
        <v>10.51</v>
      </c>
      <c r="BI717" s="308">
        <v>11.259499999999999</v>
      </c>
      <c r="BJ717" s="308">
        <v>11.300700000000001</v>
      </c>
      <c r="BK717" s="308">
        <v>9.6225000000000005</v>
      </c>
    </row>
    <row r="718" spans="1:63" x14ac:dyDescent="0.25">
      <c r="A718" s="306">
        <v>339930</v>
      </c>
      <c r="B718" s="308" t="s">
        <v>276</v>
      </c>
      <c r="C718" s="308">
        <v>8.6979000000000006</v>
      </c>
      <c r="D718" s="308">
        <v>3.9468999999999999</v>
      </c>
      <c r="E718" s="308">
        <v>0</v>
      </c>
      <c r="F718" s="308">
        <v>10.635999999999999</v>
      </c>
      <c r="G718" s="308">
        <v>11.1409</v>
      </c>
      <c r="H718" s="308">
        <v>5.4584000000000001</v>
      </c>
      <c r="I718" s="308">
        <v>8.8903999999999996</v>
      </c>
      <c r="J718" s="308">
        <v>5.0277000000000003</v>
      </c>
      <c r="K718" s="308">
        <v>0</v>
      </c>
      <c r="L718" s="308">
        <v>4.1462000000000003</v>
      </c>
      <c r="M718" s="308">
        <v>10.9207</v>
      </c>
      <c r="N718" s="308">
        <v>6.5904999999999996</v>
      </c>
      <c r="O718" s="308">
        <v>0</v>
      </c>
      <c r="P718" s="308">
        <v>8.8157999999999994</v>
      </c>
      <c r="Q718" s="308">
        <v>13.9764</v>
      </c>
      <c r="R718" s="308">
        <v>6.3528000000000002</v>
      </c>
      <c r="S718" s="308">
        <v>8.6745000000000001</v>
      </c>
      <c r="T718" s="308">
        <v>11.726599999999999</v>
      </c>
      <c r="U718" s="308">
        <v>13.7103</v>
      </c>
      <c r="V718" s="308">
        <v>15.168200000000001</v>
      </c>
      <c r="W718" s="308">
        <v>7.5223000000000004</v>
      </c>
      <c r="X718" s="308">
        <v>5.8596000000000004</v>
      </c>
      <c r="Y718" s="308">
        <v>5.7119</v>
      </c>
      <c r="Z718" s="308">
        <v>7.9634999999999998</v>
      </c>
      <c r="AA718" s="308">
        <v>6.6292</v>
      </c>
      <c r="AB718" s="308">
        <v>11.05</v>
      </c>
      <c r="AC718" s="308">
        <v>11.3606</v>
      </c>
      <c r="AD718" s="308">
        <v>14.0969</v>
      </c>
      <c r="AE718" s="308">
        <v>11.8256</v>
      </c>
      <c r="AF718" s="308">
        <v>0</v>
      </c>
      <c r="AG718" s="308">
        <v>13.681800000000001</v>
      </c>
      <c r="AH718" s="308">
        <v>6.6440999999999999</v>
      </c>
      <c r="AI718" s="308">
        <v>6.5019</v>
      </c>
      <c r="AJ718" s="308">
        <v>6.61</v>
      </c>
      <c r="AK718" s="308">
        <v>6.1673999999999998</v>
      </c>
      <c r="AL718" s="308">
        <v>5.7500999999999998</v>
      </c>
      <c r="AM718" s="308">
        <v>9.1361000000000008</v>
      </c>
      <c r="AN718" s="308">
        <v>9.0143000000000004</v>
      </c>
      <c r="AO718" s="308">
        <v>11.546099999999999</v>
      </c>
      <c r="AP718" s="308">
        <v>7.4169</v>
      </c>
      <c r="AQ718" s="308">
        <v>8.0501000000000005</v>
      </c>
      <c r="AR718" s="308">
        <v>0</v>
      </c>
      <c r="AS718" s="308">
        <v>11.5884</v>
      </c>
      <c r="AT718" s="308">
        <v>8.6574000000000009</v>
      </c>
      <c r="AU718" s="308">
        <v>8.8978999999999999</v>
      </c>
      <c r="AV718" s="308">
        <v>14.700100000000001</v>
      </c>
      <c r="AW718" s="308">
        <v>11.9171</v>
      </c>
      <c r="AX718" s="308">
        <v>10.6822</v>
      </c>
      <c r="AY718" s="308">
        <v>6.1098999999999997</v>
      </c>
      <c r="AZ718" s="308">
        <v>8.3302999999999994</v>
      </c>
      <c r="BA718" s="308">
        <v>12.992699999999999</v>
      </c>
      <c r="BB718" s="308">
        <v>4.3973000000000004</v>
      </c>
      <c r="BC718" s="308">
        <v>7.7979000000000003</v>
      </c>
      <c r="BD718" s="308">
        <v>7.0590999999999999</v>
      </c>
      <c r="BE718" s="308">
        <v>7.9534000000000002</v>
      </c>
      <c r="BF718" s="308">
        <v>10.894399999999999</v>
      </c>
      <c r="BG718" s="308">
        <v>9.1157000000000004</v>
      </c>
      <c r="BH718" s="308">
        <v>11.5854</v>
      </c>
      <c r="BI718" s="308">
        <v>10.392099999999999</v>
      </c>
      <c r="BJ718" s="308">
        <v>9.5289999999999999</v>
      </c>
      <c r="BK718" s="308">
        <v>5.9332000000000003</v>
      </c>
    </row>
    <row r="719" spans="1:63" x14ac:dyDescent="0.25">
      <c r="A719" s="306">
        <v>339940</v>
      </c>
      <c r="B719" s="308" t="s">
        <v>277</v>
      </c>
      <c r="C719" s="308">
        <v>10.6493</v>
      </c>
      <c r="D719" s="308">
        <v>7.0030000000000001</v>
      </c>
      <c r="E719" s="308">
        <v>12.545199999999999</v>
      </c>
      <c r="F719" s="308">
        <v>9.3802000000000003</v>
      </c>
      <c r="G719" s="308">
        <v>11.8565</v>
      </c>
      <c r="H719" s="308">
        <v>9.5622000000000007</v>
      </c>
      <c r="I719" s="308">
        <v>11.5039</v>
      </c>
      <c r="J719" s="308">
        <v>6.2869000000000002</v>
      </c>
      <c r="K719" s="308">
        <v>3.8391000000000002</v>
      </c>
      <c r="L719" s="308">
        <v>5.266</v>
      </c>
      <c r="M719" s="308">
        <v>8.8779000000000003</v>
      </c>
      <c r="N719" s="308">
        <v>11.102499999999999</v>
      </c>
      <c r="O719" s="308">
        <v>13.3222</v>
      </c>
      <c r="P719" s="308">
        <v>9.9393999999999991</v>
      </c>
      <c r="Q719" s="308">
        <v>8.0893999999999995</v>
      </c>
      <c r="R719" s="308">
        <v>7.3491999999999997</v>
      </c>
      <c r="S719" s="308">
        <v>9.8600999999999992</v>
      </c>
      <c r="T719" s="308">
        <v>11.3238</v>
      </c>
      <c r="U719" s="308">
        <v>10.4209</v>
      </c>
      <c r="V719" s="308">
        <v>14.313700000000001</v>
      </c>
      <c r="W719" s="308">
        <v>8.4536999999999995</v>
      </c>
      <c r="X719" s="308">
        <v>12.1739</v>
      </c>
      <c r="Y719" s="308">
        <v>10.568</v>
      </c>
      <c r="Z719" s="308">
        <v>7.4044999999999996</v>
      </c>
      <c r="AA719" s="308">
        <v>10.0053</v>
      </c>
      <c r="AB719" s="308">
        <v>8.6181999999999999</v>
      </c>
      <c r="AC719" s="308">
        <v>13.642300000000001</v>
      </c>
      <c r="AD719" s="308">
        <v>8.3508999999999993</v>
      </c>
      <c r="AE719" s="308">
        <v>10.778499999999999</v>
      </c>
      <c r="AF719" s="308">
        <v>11.488</v>
      </c>
      <c r="AG719" s="308">
        <v>8.4617000000000004</v>
      </c>
      <c r="AH719" s="308">
        <v>9.4957999999999991</v>
      </c>
      <c r="AI719" s="308">
        <v>6.6938000000000004</v>
      </c>
      <c r="AJ719" s="308">
        <v>10.5844</v>
      </c>
      <c r="AK719" s="308">
        <v>9.4306000000000001</v>
      </c>
      <c r="AL719" s="308">
        <v>7.4253</v>
      </c>
      <c r="AM719" s="308">
        <v>10.594799999999999</v>
      </c>
      <c r="AN719" s="308">
        <v>11.2051</v>
      </c>
      <c r="AO719" s="308">
        <v>10.149699999999999</v>
      </c>
      <c r="AP719" s="308">
        <v>8.7603000000000009</v>
      </c>
      <c r="AQ719" s="308">
        <v>6.4496000000000002</v>
      </c>
      <c r="AR719" s="308">
        <v>9.0396000000000001</v>
      </c>
      <c r="AS719" s="308">
        <v>13.4518</v>
      </c>
      <c r="AT719" s="308">
        <v>9.5089000000000006</v>
      </c>
      <c r="AU719" s="308">
        <v>11.760999999999999</v>
      </c>
      <c r="AV719" s="308">
        <v>10.5647</v>
      </c>
      <c r="AW719" s="308">
        <v>11.1038</v>
      </c>
      <c r="AX719" s="308">
        <v>0</v>
      </c>
      <c r="AY719" s="308">
        <v>13.2569</v>
      </c>
      <c r="AZ719" s="308">
        <v>10.0868</v>
      </c>
      <c r="BA719" s="308">
        <v>8.4356000000000009</v>
      </c>
      <c r="BB719" s="308">
        <v>13.151400000000001</v>
      </c>
      <c r="BC719" s="308">
        <v>7.7061999999999999</v>
      </c>
      <c r="BD719" s="308">
        <v>8.3803999999999998</v>
      </c>
      <c r="BE719" s="308">
        <v>8.8087999999999997</v>
      </c>
      <c r="BF719" s="308">
        <v>10.120900000000001</v>
      </c>
      <c r="BG719" s="308">
        <v>10.0794</v>
      </c>
      <c r="BH719" s="308">
        <v>10.0451</v>
      </c>
      <c r="BI719" s="308">
        <v>11.5509</v>
      </c>
      <c r="BJ719" s="308">
        <v>10.5677</v>
      </c>
      <c r="BK719" s="308">
        <v>10.328200000000001</v>
      </c>
    </row>
    <row r="720" spans="1:63" x14ac:dyDescent="0.25">
      <c r="A720" s="306">
        <v>339950</v>
      </c>
      <c r="B720" s="308" t="s">
        <v>278</v>
      </c>
      <c r="C720" s="308">
        <v>14.145300000000001</v>
      </c>
      <c r="D720" s="308">
        <v>12.9533</v>
      </c>
      <c r="E720" s="308">
        <v>14.2446</v>
      </c>
      <c r="F720" s="308">
        <v>13.762</v>
      </c>
      <c r="G720" s="308">
        <v>11.958600000000001</v>
      </c>
      <c r="H720" s="308">
        <v>12.0288</v>
      </c>
      <c r="I720" s="308">
        <v>13.597799999999999</v>
      </c>
      <c r="J720" s="308">
        <v>8.6254000000000008</v>
      </c>
      <c r="K720" s="308">
        <v>3.7212999999999998</v>
      </c>
      <c r="L720" s="308">
        <v>6.9108000000000001</v>
      </c>
      <c r="M720" s="308">
        <v>11.7799</v>
      </c>
      <c r="N720" s="308">
        <v>12.189399999999999</v>
      </c>
      <c r="O720" s="308">
        <v>14.7294</v>
      </c>
      <c r="P720" s="308">
        <v>12.281499999999999</v>
      </c>
      <c r="Q720" s="308">
        <v>13.3512</v>
      </c>
      <c r="R720" s="308">
        <v>10.039999999999999</v>
      </c>
      <c r="S720" s="308">
        <v>12.5036</v>
      </c>
      <c r="T720" s="308">
        <v>12.0268</v>
      </c>
      <c r="U720" s="308">
        <v>12.079700000000001</v>
      </c>
      <c r="V720" s="308">
        <v>13.4969</v>
      </c>
      <c r="W720" s="308">
        <v>8.8256999999999994</v>
      </c>
      <c r="X720" s="308">
        <v>8.4536999999999995</v>
      </c>
      <c r="Y720" s="308">
        <v>16.203900000000001</v>
      </c>
      <c r="Z720" s="308">
        <v>11.58</v>
      </c>
      <c r="AA720" s="308">
        <v>11.172000000000001</v>
      </c>
      <c r="AB720" s="308">
        <v>12.4528</v>
      </c>
      <c r="AC720" s="308">
        <v>14.6396</v>
      </c>
      <c r="AD720" s="308">
        <v>14.538399999999999</v>
      </c>
      <c r="AE720" s="308">
        <v>12.908899999999999</v>
      </c>
      <c r="AF720" s="308">
        <v>12.1309</v>
      </c>
      <c r="AG720" s="308">
        <v>12.2233</v>
      </c>
      <c r="AH720" s="308">
        <v>9.8466000000000005</v>
      </c>
      <c r="AI720" s="308">
        <v>8.7333999999999996</v>
      </c>
      <c r="AJ720" s="308">
        <v>11.1036</v>
      </c>
      <c r="AK720" s="308">
        <v>9.3017000000000003</v>
      </c>
      <c r="AL720" s="308">
        <v>9.6786999999999992</v>
      </c>
      <c r="AM720" s="308">
        <v>12.802300000000001</v>
      </c>
      <c r="AN720" s="308">
        <v>14.5097</v>
      </c>
      <c r="AO720" s="308">
        <v>12.950699999999999</v>
      </c>
      <c r="AP720" s="308">
        <v>11.4976</v>
      </c>
      <c r="AQ720" s="308">
        <v>10.8596</v>
      </c>
      <c r="AR720" s="308">
        <v>13.674799999999999</v>
      </c>
      <c r="AS720" s="308">
        <v>12.1831</v>
      </c>
      <c r="AT720" s="308">
        <v>11.646800000000001</v>
      </c>
      <c r="AU720" s="308">
        <v>13.020899999999999</v>
      </c>
      <c r="AV720" s="308">
        <v>13.413500000000001</v>
      </c>
      <c r="AW720" s="308">
        <v>12.23</v>
      </c>
      <c r="AX720" s="308">
        <v>14.4855</v>
      </c>
      <c r="AY720" s="308">
        <v>14.0213</v>
      </c>
      <c r="AZ720" s="308">
        <v>10.958500000000001</v>
      </c>
      <c r="BA720" s="308">
        <v>14.080399999999999</v>
      </c>
      <c r="BB720" s="308">
        <v>14.2622</v>
      </c>
      <c r="BC720" s="308">
        <v>10.7829</v>
      </c>
      <c r="BD720" s="308">
        <v>10.8904</v>
      </c>
      <c r="BE720" s="308">
        <v>11.9711</v>
      </c>
      <c r="BF720" s="308">
        <v>12.9756</v>
      </c>
      <c r="BG720" s="308">
        <v>12.8116</v>
      </c>
      <c r="BH720" s="308">
        <v>13.5227</v>
      </c>
      <c r="BI720" s="308">
        <v>13.6584</v>
      </c>
      <c r="BJ720" s="308">
        <v>12.4047</v>
      </c>
      <c r="BK720" s="308">
        <v>12.867000000000001</v>
      </c>
    </row>
    <row r="721" spans="1:63" x14ac:dyDescent="0.25">
      <c r="A721" s="306">
        <v>339991</v>
      </c>
      <c r="B721" s="308" t="s">
        <v>1</v>
      </c>
      <c r="C721" s="308">
        <v>12.853199999999999</v>
      </c>
      <c r="D721" s="308">
        <v>0</v>
      </c>
      <c r="E721" s="308">
        <v>12.2766</v>
      </c>
      <c r="F721" s="308">
        <v>12.9879</v>
      </c>
      <c r="G721" s="308">
        <v>11.7803</v>
      </c>
      <c r="H721" s="308">
        <v>11.236499999999999</v>
      </c>
      <c r="I721" s="308">
        <v>12.5748</v>
      </c>
      <c r="J721" s="308">
        <v>8.7902000000000005</v>
      </c>
      <c r="K721" s="308">
        <v>0</v>
      </c>
      <c r="L721" s="308">
        <v>8.3132999999999999</v>
      </c>
      <c r="M721" s="308">
        <v>12.1973</v>
      </c>
      <c r="N721" s="308">
        <v>11.781499999999999</v>
      </c>
      <c r="O721" s="308">
        <v>0</v>
      </c>
      <c r="P721" s="308">
        <v>11.715999999999999</v>
      </c>
      <c r="Q721" s="308">
        <v>0</v>
      </c>
      <c r="R721" s="308">
        <v>9.9016000000000002</v>
      </c>
      <c r="S721" s="308">
        <v>12.0726</v>
      </c>
      <c r="T721" s="308">
        <v>12.3232</v>
      </c>
      <c r="U721" s="308">
        <v>13.708500000000001</v>
      </c>
      <c r="V721" s="308">
        <v>11.205500000000001</v>
      </c>
      <c r="W721" s="308">
        <v>8.4305000000000003</v>
      </c>
      <c r="X721" s="308">
        <v>7.5572999999999997</v>
      </c>
      <c r="Y721" s="308">
        <v>9.5401000000000007</v>
      </c>
      <c r="Z721" s="308">
        <v>9.6684999999999999</v>
      </c>
      <c r="AA721" s="308">
        <v>9.3866999999999994</v>
      </c>
      <c r="AB721" s="308">
        <v>12.0063</v>
      </c>
      <c r="AC721" s="308">
        <v>13.2376</v>
      </c>
      <c r="AD721" s="308">
        <v>13.5176</v>
      </c>
      <c r="AE721" s="308">
        <v>12.318</v>
      </c>
      <c r="AF721" s="308">
        <v>0</v>
      </c>
      <c r="AG721" s="308">
        <v>12.9785</v>
      </c>
      <c r="AH721" s="308">
        <v>10.510400000000001</v>
      </c>
      <c r="AI721" s="308">
        <v>7.9231999999999996</v>
      </c>
      <c r="AJ721" s="308">
        <v>10.3361</v>
      </c>
      <c r="AK721" s="308">
        <v>12.084300000000001</v>
      </c>
      <c r="AL721" s="308">
        <v>9.3719000000000001</v>
      </c>
      <c r="AM721" s="308">
        <v>13.272399999999999</v>
      </c>
      <c r="AN721" s="308">
        <v>14.443199999999999</v>
      </c>
      <c r="AO721" s="308">
        <v>14.647500000000001</v>
      </c>
      <c r="AP721" s="308">
        <v>9.6240000000000006</v>
      </c>
      <c r="AQ721" s="308">
        <v>8.3796999999999997</v>
      </c>
      <c r="AR721" s="308">
        <v>11.970499999999999</v>
      </c>
      <c r="AS721" s="308">
        <v>0</v>
      </c>
      <c r="AT721" s="308">
        <v>10.890700000000001</v>
      </c>
      <c r="AU721" s="308">
        <v>11.2301</v>
      </c>
      <c r="AV721" s="308">
        <v>14.368600000000001</v>
      </c>
      <c r="AW721" s="308">
        <v>12.970599999999999</v>
      </c>
      <c r="AX721" s="308">
        <v>11.738799999999999</v>
      </c>
      <c r="AY721" s="308">
        <v>13.866400000000001</v>
      </c>
      <c r="AZ721" s="308">
        <v>11.541499999999999</v>
      </c>
      <c r="BA721" s="308">
        <v>13.063499999999999</v>
      </c>
      <c r="BB721" s="308">
        <v>0</v>
      </c>
      <c r="BC721" s="308">
        <v>10.184699999999999</v>
      </c>
      <c r="BD721" s="308">
        <v>10.042199999999999</v>
      </c>
      <c r="BE721" s="308">
        <v>11.5914</v>
      </c>
      <c r="BF721" s="308">
        <v>11.6576</v>
      </c>
      <c r="BG721" s="308">
        <v>12.458299999999999</v>
      </c>
      <c r="BH721" s="308">
        <v>13.114000000000001</v>
      </c>
      <c r="BI721" s="308">
        <v>11.8012</v>
      </c>
      <c r="BJ721" s="308">
        <v>12.9337</v>
      </c>
      <c r="BK721" s="308">
        <v>12.1035</v>
      </c>
    </row>
    <row r="722" spans="1:63" x14ac:dyDescent="0.25">
      <c r="A722" s="306">
        <v>339992</v>
      </c>
      <c r="B722" s="308" t="s">
        <v>279</v>
      </c>
      <c r="C722" s="308">
        <v>14.030200000000001</v>
      </c>
      <c r="D722" s="308">
        <v>0</v>
      </c>
      <c r="E722" s="308">
        <v>0</v>
      </c>
      <c r="F722" s="308">
        <v>15.4597</v>
      </c>
      <c r="G722" s="308">
        <v>19.2271</v>
      </c>
      <c r="H722" s="308">
        <v>12.7113</v>
      </c>
      <c r="I722" s="308">
        <v>17.8306</v>
      </c>
      <c r="J722" s="308">
        <v>11.965199999999999</v>
      </c>
      <c r="K722" s="308">
        <v>0</v>
      </c>
      <c r="L722" s="308">
        <v>0</v>
      </c>
      <c r="M722" s="308">
        <v>13.832100000000001</v>
      </c>
      <c r="N722" s="308">
        <v>14.0519</v>
      </c>
      <c r="O722" s="308">
        <v>19.2468</v>
      </c>
      <c r="P722" s="308">
        <v>12.694800000000001</v>
      </c>
      <c r="Q722" s="308">
        <v>18.360800000000001</v>
      </c>
      <c r="R722" s="308">
        <v>11.0427</v>
      </c>
      <c r="S722" s="308">
        <v>11.6915</v>
      </c>
      <c r="T722" s="308">
        <v>13.728199999999999</v>
      </c>
      <c r="U722" s="308">
        <v>16.7927</v>
      </c>
      <c r="V722" s="308">
        <v>14.9092</v>
      </c>
      <c r="W722" s="308">
        <v>9.8618000000000006</v>
      </c>
      <c r="X722" s="308">
        <v>9.4393999999999991</v>
      </c>
      <c r="Y722" s="308">
        <v>19.3004</v>
      </c>
      <c r="Z722" s="308">
        <v>12.9221</v>
      </c>
      <c r="AA722" s="308">
        <v>18.902699999999999</v>
      </c>
      <c r="AB722" s="308">
        <v>15.4253</v>
      </c>
      <c r="AC722" s="308">
        <v>14.1853</v>
      </c>
      <c r="AD722" s="308">
        <v>17.780899999999999</v>
      </c>
      <c r="AE722" s="308">
        <v>14.0589</v>
      </c>
      <c r="AF722" s="308">
        <v>11.3901</v>
      </c>
      <c r="AG722" s="308">
        <v>13.944599999999999</v>
      </c>
      <c r="AH722" s="308">
        <v>17.127400000000002</v>
      </c>
      <c r="AI722" s="308">
        <v>9.2459000000000007</v>
      </c>
      <c r="AJ722" s="308">
        <v>18.168900000000001</v>
      </c>
      <c r="AK722" s="308">
        <v>10.9193</v>
      </c>
      <c r="AL722" s="308">
        <v>10.8917</v>
      </c>
      <c r="AM722" s="308">
        <v>12.6532</v>
      </c>
      <c r="AN722" s="308">
        <v>19.013999999999999</v>
      </c>
      <c r="AO722" s="308">
        <v>13.379899999999999</v>
      </c>
      <c r="AP722" s="308">
        <v>11.101699999999999</v>
      </c>
      <c r="AQ722" s="308">
        <v>17.113099999999999</v>
      </c>
      <c r="AR722" s="308">
        <v>13.4742</v>
      </c>
      <c r="AS722" s="308">
        <v>12.3642</v>
      </c>
      <c r="AT722" s="308">
        <v>11.030799999999999</v>
      </c>
      <c r="AU722" s="308">
        <v>12.2738</v>
      </c>
      <c r="AV722" s="308">
        <v>16.0276</v>
      </c>
      <c r="AW722" s="308">
        <v>14.121</v>
      </c>
      <c r="AX722" s="308">
        <v>18.748899999999999</v>
      </c>
      <c r="AY722" s="308">
        <v>15.3185</v>
      </c>
      <c r="AZ722" s="308">
        <v>16.171700000000001</v>
      </c>
      <c r="BA722" s="308">
        <v>10.081099999999999</v>
      </c>
      <c r="BB722" s="308">
        <v>0</v>
      </c>
      <c r="BC722" s="308">
        <v>12.0259</v>
      </c>
      <c r="BD722" s="308">
        <v>11.6713</v>
      </c>
      <c r="BE722" s="308">
        <v>12.7744</v>
      </c>
      <c r="BF722" s="308">
        <v>15.798500000000001</v>
      </c>
      <c r="BG722" s="308">
        <v>12.5578</v>
      </c>
      <c r="BH722" s="308">
        <v>11.577999999999999</v>
      </c>
      <c r="BI722" s="308">
        <v>13.687799999999999</v>
      </c>
      <c r="BJ722" s="308">
        <v>18.101299999999998</v>
      </c>
      <c r="BK722" s="308">
        <v>13.400499999999999</v>
      </c>
    </row>
    <row r="723" spans="1:63" x14ac:dyDescent="0.25">
      <c r="A723" s="306">
        <v>339994</v>
      </c>
      <c r="B723" s="308" t="s">
        <v>281</v>
      </c>
      <c r="C723" s="308">
        <v>12.3535</v>
      </c>
      <c r="D723" s="308">
        <v>0</v>
      </c>
      <c r="E723" s="308">
        <v>16.128499999999999</v>
      </c>
      <c r="F723" s="308">
        <v>11.4305</v>
      </c>
      <c r="G723" s="308">
        <v>0</v>
      </c>
      <c r="H723" s="308">
        <v>10.2555</v>
      </c>
      <c r="I723" s="308">
        <v>10.9826</v>
      </c>
      <c r="J723" s="308">
        <v>6.4431000000000003</v>
      </c>
      <c r="K723" s="308">
        <v>0</v>
      </c>
      <c r="L723" s="308">
        <v>6.6143999999999998</v>
      </c>
      <c r="M723" s="308">
        <v>11.157</v>
      </c>
      <c r="N723" s="308">
        <v>12.194800000000001</v>
      </c>
      <c r="O723" s="308">
        <v>0</v>
      </c>
      <c r="P723" s="308">
        <v>9.0729000000000006</v>
      </c>
      <c r="Q723" s="308">
        <v>0</v>
      </c>
      <c r="R723" s="308">
        <v>9.1486000000000001</v>
      </c>
      <c r="S723" s="308">
        <v>13.427</v>
      </c>
      <c r="T723" s="308">
        <v>9.5718999999999994</v>
      </c>
      <c r="U723" s="308">
        <v>10.3436</v>
      </c>
      <c r="V723" s="308">
        <v>15.589600000000001</v>
      </c>
      <c r="W723" s="308">
        <v>8.66</v>
      </c>
      <c r="X723" s="308">
        <v>8.1292000000000009</v>
      </c>
      <c r="Y723" s="308">
        <v>0</v>
      </c>
      <c r="Z723" s="308">
        <v>9.4697999999999993</v>
      </c>
      <c r="AA723" s="308">
        <v>14.369400000000001</v>
      </c>
      <c r="AB723" s="308">
        <v>11.9818</v>
      </c>
      <c r="AC723" s="308">
        <v>15.0931</v>
      </c>
      <c r="AD723" s="308">
        <v>0</v>
      </c>
      <c r="AE723" s="308">
        <v>9.2057000000000002</v>
      </c>
      <c r="AF723" s="308">
        <v>0</v>
      </c>
      <c r="AG723" s="308">
        <v>14.3034</v>
      </c>
      <c r="AH723" s="308">
        <v>8.0395000000000003</v>
      </c>
      <c r="AI723" s="308">
        <v>7.22</v>
      </c>
      <c r="AJ723" s="308">
        <v>0</v>
      </c>
      <c r="AK723" s="308">
        <v>7.0297000000000001</v>
      </c>
      <c r="AL723" s="308">
        <v>10.4359</v>
      </c>
      <c r="AM723" s="308">
        <v>10.7989</v>
      </c>
      <c r="AN723" s="308">
        <v>13.506500000000001</v>
      </c>
      <c r="AO723" s="308">
        <v>13.8499</v>
      </c>
      <c r="AP723" s="308">
        <v>9.6470000000000002</v>
      </c>
      <c r="AQ723" s="308">
        <v>13.7211</v>
      </c>
      <c r="AR723" s="308">
        <v>13.337899999999999</v>
      </c>
      <c r="AS723" s="308">
        <v>10.616899999999999</v>
      </c>
      <c r="AT723" s="308">
        <v>9.2044999999999995</v>
      </c>
      <c r="AU723" s="308">
        <v>13.284599999999999</v>
      </c>
      <c r="AV723" s="308">
        <v>0</v>
      </c>
      <c r="AW723" s="308">
        <v>10.57</v>
      </c>
      <c r="AX723" s="308">
        <v>13.241199999999999</v>
      </c>
      <c r="AY723" s="308">
        <v>14.971399999999999</v>
      </c>
      <c r="AZ723" s="308">
        <v>11.8947</v>
      </c>
      <c r="BA723" s="308">
        <v>0</v>
      </c>
      <c r="BB723" s="308">
        <v>0</v>
      </c>
      <c r="BC723" s="308">
        <v>9.4623000000000008</v>
      </c>
      <c r="BD723" s="308">
        <v>9.7066999999999997</v>
      </c>
      <c r="BE723" s="308">
        <v>10.9672</v>
      </c>
      <c r="BF723" s="308">
        <v>10.799099999999999</v>
      </c>
      <c r="BG723" s="308">
        <v>10.7027</v>
      </c>
      <c r="BH723" s="308">
        <v>11.7056</v>
      </c>
      <c r="BI723" s="308">
        <v>13.4656</v>
      </c>
      <c r="BJ723" s="308">
        <v>10.014900000000001</v>
      </c>
      <c r="BK723" s="308">
        <v>11.477399999999999</v>
      </c>
    </row>
    <row r="724" spans="1:63" x14ac:dyDescent="0.25">
      <c r="A724" s="306" t="s">
        <v>751</v>
      </c>
      <c r="B724" s="308" t="s">
        <v>280</v>
      </c>
      <c r="C724" s="308">
        <v>13.0677</v>
      </c>
      <c r="D724" s="308">
        <v>7.9245000000000001</v>
      </c>
      <c r="E724" s="308">
        <v>13.668799999999999</v>
      </c>
      <c r="F724" s="308">
        <v>15.055300000000001</v>
      </c>
      <c r="G724" s="308">
        <v>14.913500000000001</v>
      </c>
      <c r="H724" s="308">
        <v>10.112500000000001</v>
      </c>
      <c r="I724" s="308">
        <v>12.557499999999999</v>
      </c>
      <c r="J724" s="308">
        <v>8.1568000000000005</v>
      </c>
      <c r="K724" s="308">
        <v>0</v>
      </c>
      <c r="L724" s="308">
        <v>0</v>
      </c>
      <c r="M724" s="308">
        <v>10.736700000000001</v>
      </c>
      <c r="N724" s="308">
        <v>10.434100000000001</v>
      </c>
      <c r="O724" s="308">
        <v>15.6083</v>
      </c>
      <c r="P724" s="308">
        <v>15.6364</v>
      </c>
      <c r="Q724" s="308">
        <v>15.8422</v>
      </c>
      <c r="R724" s="308">
        <v>9.4149999999999991</v>
      </c>
      <c r="S724" s="308">
        <v>10.2456</v>
      </c>
      <c r="T724" s="308">
        <v>12.223100000000001</v>
      </c>
      <c r="U724" s="308">
        <v>13.5929</v>
      </c>
      <c r="V724" s="308">
        <v>12.9954</v>
      </c>
      <c r="W724" s="308">
        <v>14.061199999999999</v>
      </c>
      <c r="X724" s="308">
        <v>7.5792000000000002</v>
      </c>
      <c r="Y724" s="308">
        <v>16.854600000000001</v>
      </c>
      <c r="Z724" s="308">
        <v>10.499499999999999</v>
      </c>
      <c r="AA724" s="308">
        <v>11.838900000000001</v>
      </c>
      <c r="AB724" s="308">
        <v>10.2415</v>
      </c>
      <c r="AC724" s="308">
        <v>13.822900000000001</v>
      </c>
      <c r="AD724" s="308">
        <v>16.229700000000001</v>
      </c>
      <c r="AE724" s="308">
        <v>12.312200000000001</v>
      </c>
      <c r="AF724" s="308">
        <v>13.6099</v>
      </c>
      <c r="AG724" s="308">
        <v>14.805899999999999</v>
      </c>
      <c r="AH724" s="308">
        <v>9.4526000000000003</v>
      </c>
      <c r="AI724" s="308">
        <v>10.322800000000001</v>
      </c>
      <c r="AJ724" s="308">
        <v>15.4277</v>
      </c>
      <c r="AK724" s="308">
        <v>8.1235999999999997</v>
      </c>
      <c r="AL724" s="308">
        <v>9.3547999999999991</v>
      </c>
      <c r="AM724" s="308">
        <v>12.610099999999999</v>
      </c>
      <c r="AN724" s="308">
        <v>14.5785</v>
      </c>
      <c r="AO724" s="308">
        <v>14.497</v>
      </c>
      <c r="AP724" s="308">
        <v>10.904299999999999</v>
      </c>
      <c r="AQ724" s="308">
        <v>11.023400000000001</v>
      </c>
      <c r="AR724" s="308">
        <v>13.3248</v>
      </c>
      <c r="AS724" s="308">
        <v>12.6874</v>
      </c>
      <c r="AT724" s="308">
        <v>11.2804</v>
      </c>
      <c r="AU724" s="308">
        <v>13.0435</v>
      </c>
      <c r="AV724" s="308">
        <v>15.3195</v>
      </c>
      <c r="AW724" s="308">
        <v>11.3141</v>
      </c>
      <c r="AX724" s="308">
        <v>14.5738</v>
      </c>
      <c r="AY724" s="308">
        <v>13.4084</v>
      </c>
      <c r="AZ724" s="308">
        <v>12.0703</v>
      </c>
      <c r="BA724" s="308">
        <v>14.7121</v>
      </c>
      <c r="BB724" s="308">
        <v>8.9060000000000006</v>
      </c>
      <c r="BC724" s="308">
        <v>11.903499999999999</v>
      </c>
      <c r="BD724" s="308">
        <v>10.951700000000001</v>
      </c>
      <c r="BE724" s="308">
        <v>11.2675</v>
      </c>
      <c r="BF724" s="308">
        <v>12.5305</v>
      </c>
      <c r="BG724" s="308">
        <v>11.635400000000001</v>
      </c>
      <c r="BH724" s="308">
        <v>13.8056</v>
      </c>
      <c r="BI724" s="308">
        <v>14.057600000000001</v>
      </c>
      <c r="BJ724" s="308">
        <v>10.3666</v>
      </c>
      <c r="BK724" s="308">
        <v>10.878</v>
      </c>
    </row>
    <row r="725" spans="1:63" x14ac:dyDescent="0.25">
      <c r="A725" s="306">
        <v>420000</v>
      </c>
      <c r="B725" s="308" t="s">
        <v>425</v>
      </c>
      <c r="C725" s="308">
        <v>8.6583000000000006</v>
      </c>
      <c r="D725" s="308">
        <v>7.4652000000000003</v>
      </c>
      <c r="E725" s="308">
        <v>8.3886000000000003</v>
      </c>
      <c r="F725" s="308">
        <v>8.2256</v>
      </c>
      <c r="G725" s="308">
        <v>7.7671000000000001</v>
      </c>
      <c r="H725" s="308">
        <v>7.4448999999999996</v>
      </c>
      <c r="I725" s="308">
        <v>7.6539999999999999</v>
      </c>
      <c r="J725" s="308">
        <v>6.1111000000000004</v>
      </c>
      <c r="K725" s="308">
        <v>1.327</v>
      </c>
      <c r="L725" s="308">
        <v>5.4428000000000001</v>
      </c>
      <c r="M725" s="308">
        <v>8.3323999999999998</v>
      </c>
      <c r="N725" s="308">
        <v>7.8992000000000004</v>
      </c>
      <c r="O725" s="308">
        <v>8.6388999999999996</v>
      </c>
      <c r="P725" s="308">
        <v>7.8158000000000003</v>
      </c>
      <c r="Q725" s="308">
        <v>8.4216999999999995</v>
      </c>
      <c r="R725" s="308">
        <v>7.3284000000000002</v>
      </c>
      <c r="S725" s="308">
        <v>8.3592999999999993</v>
      </c>
      <c r="T725" s="308">
        <v>6.9496000000000002</v>
      </c>
      <c r="U725" s="308">
        <v>7.9466999999999999</v>
      </c>
      <c r="V725" s="308">
        <v>7.9359999999999999</v>
      </c>
      <c r="W725" s="308">
        <v>6.2298999999999998</v>
      </c>
      <c r="X725" s="308">
        <v>6.7657999999999996</v>
      </c>
      <c r="Y725" s="308">
        <v>9.0093999999999994</v>
      </c>
      <c r="Z725" s="308">
        <v>7.7389999999999999</v>
      </c>
      <c r="AA725" s="308">
        <v>7.1608999999999998</v>
      </c>
      <c r="AB725" s="308">
        <v>7.5311000000000003</v>
      </c>
      <c r="AC725" s="308">
        <v>8.0953999999999997</v>
      </c>
      <c r="AD725" s="308">
        <v>8.3847000000000005</v>
      </c>
      <c r="AE725" s="308">
        <v>8.3262</v>
      </c>
      <c r="AF725" s="308">
        <v>7.0232999999999999</v>
      </c>
      <c r="AG725" s="308">
        <v>7.5216000000000003</v>
      </c>
      <c r="AH725" s="308">
        <v>6.5090000000000003</v>
      </c>
      <c r="AI725" s="308">
        <v>6.3861999999999997</v>
      </c>
      <c r="AJ725" s="308">
        <v>8.3811999999999998</v>
      </c>
      <c r="AK725" s="308">
        <v>7.6642999999999999</v>
      </c>
      <c r="AL725" s="308">
        <v>5.9321999999999999</v>
      </c>
      <c r="AM725" s="308">
        <v>8.2994000000000003</v>
      </c>
      <c r="AN725" s="308">
        <v>8.6836000000000002</v>
      </c>
      <c r="AO725" s="308">
        <v>7.4913999999999996</v>
      </c>
      <c r="AP725" s="308">
        <v>7.5865</v>
      </c>
      <c r="AQ725" s="308">
        <v>6.5682</v>
      </c>
      <c r="AR725" s="308">
        <v>8.5852000000000004</v>
      </c>
      <c r="AS725" s="308">
        <v>7.7096999999999998</v>
      </c>
      <c r="AT725" s="308">
        <v>8.0953999999999997</v>
      </c>
      <c r="AU725" s="308">
        <v>7.5202999999999998</v>
      </c>
      <c r="AV725" s="308">
        <v>9.7013999999999996</v>
      </c>
      <c r="AW725" s="308">
        <v>7.3987999999999996</v>
      </c>
      <c r="AX725" s="308">
        <v>7.7237</v>
      </c>
      <c r="AY725" s="308">
        <v>7.5152000000000001</v>
      </c>
      <c r="AZ725" s="308">
        <v>8.3138000000000005</v>
      </c>
      <c r="BA725" s="308">
        <v>7.7207999999999997</v>
      </c>
      <c r="BB725" s="308">
        <v>6.6307</v>
      </c>
      <c r="BC725" s="308">
        <v>7.0697000000000001</v>
      </c>
      <c r="BD725" s="308">
        <v>7.226</v>
      </c>
      <c r="BE725" s="308">
        <v>8.2021999999999995</v>
      </c>
      <c r="BF725" s="308">
        <v>7.8678999999999997</v>
      </c>
      <c r="BG725" s="308">
        <v>8.4532000000000007</v>
      </c>
      <c r="BH725" s="308">
        <v>8.4601000000000006</v>
      </c>
      <c r="BI725" s="308">
        <v>7.8872</v>
      </c>
      <c r="BJ725" s="308">
        <v>8.3239000000000001</v>
      </c>
      <c r="BK725" s="308">
        <v>7.6372</v>
      </c>
    </row>
    <row r="726" spans="1:63" x14ac:dyDescent="0.25">
      <c r="A726" s="306">
        <v>481000</v>
      </c>
      <c r="B726" s="308" t="s">
        <v>752</v>
      </c>
      <c r="C726" s="308">
        <v>11.0306</v>
      </c>
      <c r="D726" s="308">
        <v>9.9222000000000001</v>
      </c>
      <c r="E726" s="308">
        <v>11.559799999999999</v>
      </c>
      <c r="F726" s="308">
        <v>9.9808000000000003</v>
      </c>
      <c r="G726" s="308">
        <v>8.9593000000000007</v>
      </c>
      <c r="H726" s="308">
        <v>9.6219000000000001</v>
      </c>
      <c r="I726" s="308">
        <v>10.5428</v>
      </c>
      <c r="J726" s="308">
        <v>7.1456</v>
      </c>
      <c r="K726" s="308">
        <v>1.2306999999999999</v>
      </c>
      <c r="L726" s="308">
        <v>6.2701000000000002</v>
      </c>
      <c r="M726" s="308">
        <v>10.3514</v>
      </c>
      <c r="N726" s="308">
        <v>8.7561</v>
      </c>
      <c r="O726" s="308">
        <v>11.003500000000001</v>
      </c>
      <c r="P726" s="308">
        <v>12.020200000000001</v>
      </c>
      <c r="Q726" s="308">
        <v>12.1332</v>
      </c>
      <c r="R726" s="308">
        <v>7.9962</v>
      </c>
      <c r="S726" s="308">
        <v>11.006600000000001</v>
      </c>
      <c r="T726" s="308">
        <v>9.7782</v>
      </c>
      <c r="U726" s="308">
        <v>7.8009000000000004</v>
      </c>
      <c r="V726" s="308">
        <v>8.6226000000000003</v>
      </c>
      <c r="W726" s="308">
        <v>8.5244</v>
      </c>
      <c r="X726" s="308">
        <v>7.8212999999999999</v>
      </c>
      <c r="Y726" s="308">
        <v>12.804500000000001</v>
      </c>
      <c r="Z726" s="308">
        <v>7.6929999999999996</v>
      </c>
      <c r="AA726" s="308">
        <v>7.0842000000000001</v>
      </c>
      <c r="AB726" s="308">
        <v>8.1067</v>
      </c>
      <c r="AC726" s="308">
        <v>13.8734</v>
      </c>
      <c r="AD726" s="308">
        <v>14.765499999999999</v>
      </c>
      <c r="AE726" s="308">
        <v>9.4131</v>
      </c>
      <c r="AF726" s="308">
        <v>9.7171000000000003</v>
      </c>
      <c r="AG726" s="308">
        <v>10.645</v>
      </c>
      <c r="AH726" s="308">
        <v>9.3984000000000005</v>
      </c>
      <c r="AI726" s="308">
        <v>7.1321000000000003</v>
      </c>
      <c r="AJ726" s="308">
        <v>12.040699999999999</v>
      </c>
      <c r="AK726" s="308">
        <v>10.2613</v>
      </c>
      <c r="AL726" s="308">
        <v>6.8296999999999999</v>
      </c>
      <c r="AM726" s="308">
        <v>8.0803999999999991</v>
      </c>
      <c r="AN726" s="308">
        <v>10.557700000000001</v>
      </c>
      <c r="AO726" s="308">
        <v>8.3759999999999994</v>
      </c>
      <c r="AP726" s="308">
        <v>8.1164000000000005</v>
      </c>
      <c r="AQ726" s="308">
        <v>10.1214</v>
      </c>
      <c r="AR726" s="308">
        <v>12.8743</v>
      </c>
      <c r="AS726" s="308">
        <v>13.007300000000001</v>
      </c>
      <c r="AT726" s="308">
        <v>10.1151</v>
      </c>
      <c r="AU726" s="308">
        <v>9.3369999999999997</v>
      </c>
      <c r="AV726" s="308">
        <v>10.374599999999999</v>
      </c>
      <c r="AW726" s="308">
        <v>8.7527000000000008</v>
      </c>
      <c r="AX726" s="308">
        <v>12.2906</v>
      </c>
      <c r="AY726" s="308">
        <v>9.7161000000000008</v>
      </c>
      <c r="AZ726" s="308">
        <v>9.1085999999999991</v>
      </c>
      <c r="BA726" s="308">
        <v>13.0321</v>
      </c>
      <c r="BB726" s="308">
        <v>10.946099999999999</v>
      </c>
      <c r="BC726" s="308">
        <v>9.8841000000000001</v>
      </c>
      <c r="BD726" s="308">
        <v>8.1992999999999991</v>
      </c>
      <c r="BE726" s="308">
        <v>8.7103999999999999</v>
      </c>
      <c r="BF726" s="308">
        <v>7.7457000000000003</v>
      </c>
      <c r="BG726" s="308">
        <v>10.0921</v>
      </c>
      <c r="BH726" s="308">
        <v>9.9391999999999996</v>
      </c>
      <c r="BI726" s="308">
        <v>9.6205999999999996</v>
      </c>
      <c r="BJ726" s="308">
        <v>10.532500000000001</v>
      </c>
      <c r="BK726" s="308">
        <v>10.239000000000001</v>
      </c>
    </row>
    <row r="727" spans="1:63" x14ac:dyDescent="0.25">
      <c r="A727" s="306">
        <v>482000</v>
      </c>
      <c r="B727" s="308" t="s">
        <v>753</v>
      </c>
      <c r="C727" s="308">
        <v>7.9701000000000004</v>
      </c>
      <c r="D727" s="308">
        <v>0</v>
      </c>
      <c r="E727" s="308">
        <v>6.6611000000000002</v>
      </c>
      <c r="F727" s="308">
        <v>5.8932000000000002</v>
      </c>
      <c r="G727" s="308">
        <v>6.0347999999999997</v>
      </c>
      <c r="H727" s="308">
        <v>6.2396000000000003</v>
      </c>
      <c r="I727" s="308">
        <v>6.4583000000000004</v>
      </c>
      <c r="J727" s="308">
        <v>5.1196000000000002</v>
      </c>
      <c r="K727" s="308">
        <v>0.98260000000000003</v>
      </c>
      <c r="L727" s="308">
        <v>4.9253</v>
      </c>
      <c r="M727" s="308">
        <v>6.5239000000000003</v>
      </c>
      <c r="N727" s="308">
        <v>6.5084</v>
      </c>
      <c r="O727" s="308">
        <v>0</v>
      </c>
      <c r="P727" s="308">
        <v>4.7568999999999999</v>
      </c>
      <c r="Q727" s="308">
        <v>5.8780999999999999</v>
      </c>
      <c r="R727" s="308">
        <v>6.3468999999999998</v>
      </c>
      <c r="S727" s="308">
        <v>6.0761000000000003</v>
      </c>
      <c r="T727" s="308">
        <v>4.7812999999999999</v>
      </c>
      <c r="U727" s="308">
        <v>6.0750999999999999</v>
      </c>
      <c r="V727" s="308">
        <v>5.9454000000000002</v>
      </c>
      <c r="W727" s="308">
        <v>5.0034000000000001</v>
      </c>
      <c r="X727" s="308">
        <v>5.7161</v>
      </c>
      <c r="Y727" s="308">
        <v>6.4889000000000001</v>
      </c>
      <c r="Z727" s="308">
        <v>5.8739999999999997</v>
      </c>
      <c r="AA727" s="308">
        <v>5.8240999999999996</v>
      </c>
      <c r="AB727" s="308">
        <v>5.8239999999999998</v>
      </c>
      <c r="AC727" s="308">
        <v>5.5472000000000001</v>
      </c>
      <c r="AD727" s="308">
        <v>6.2516999999999996</v>
      </c>
      <c r="AE727" s="308">
        <v>6.0712999999999999</v>
      </c>
      <c r="AF727" s="308">
        <v>4.8052999999999999</v>
      </c>
      <c r="AG727" s="308">
        <v>4.7606000000000002</v>
      </c>
      <c r="AH727" s="308">
        <v>5.5103</v>
      </c>
      <c r="AI727" s="308">
        <v>5.3562000000000003</v>
      </c>
      <c r="AJ727" s="308">
        <v>5.3975999999999997</v>
      </c>
      <c r="AK727" s="308">
        <v>5.6158999999999999</v>
      </c>
      <c r="AL727" s="308">
        <v>4.9939999999999998</v>
      </c>
      <c r="AM727" s="308">
        <v>6.2335000000000003</v>
      </c>
      <c r="AN727" s="308">
        <v>6.4198000000000004</v>
      </c>
      <c r="AO727" s="308">
        <v>6.2965999999999998</v>
      </c>
      <c r="AP727" s="308">
        <v>6.4782000000000002</v>
      </c>
      <c r="AQ727" s="308">
        <v>4.9589999999999996</v>
      </c>
      <c r="AR727" s="308">
        <v>6.8985000000000003</v>
      </c>
      <c r="AS727" s="308">
        <v>5.0945</v>
      </c>
      <c r="AT727" s="308">
        <v>6.0091999999999999</v>
      </c>
      <c r="AU727" s="308">
        <v>6.6306000000000003</v>
      </c>
      <c r="AV727" s="308">
        <v>7.6753</v>
      </c>
      <c r="AW727" s="308">
        <v>6.1483999999999996</v>
      </c>
      <c r="AX727" s="308">
        <v>5.7751999999999999</v>
      </c>
      <c r="AY727" s="308">
        <v>6.2596999999999996</v>
      </c>
      <c r="AZ727" s="308">
        <v>5.5357000000000003</v>
      </c>
      <c r="BA727" s="308">
        <v>5.1555</v>
      </c>
      <c r="BB727" s="308">
        <v>4.5902000000000003</v>
      </c>
      <c r="BC727" s="308">
        <v>5.9874000000000001</v>
      </c>
      <c r="BD727" s="308">
        <v>6.3282999999999996</v>
      </c>
      <c r="BE727" s="308">
        <v>6.5494000000000003</v>
      </c>
      <c r="BF727" s="308">
        <v>5.8228999999999997</v>
      </c>
      <c r="BG727" s="308">
        <v>7.0053999999999998</v>
      </c>
      <c r="BH727" s="308">
        <v>6.6986999999999997</v>
      </c>
      <c r="BI727" s="308">
        <v>6.9175000000000004</v>
      </c>
      <c r="BJ727" s="308">
        <v>6.8319000000000001</v>
      </c>
      <c r="BK727" s="308">
        <v>6.6097999999999999</v>
      </c>
    </row>
    <row r="728" spans="1:63" x14ac:dyDescent="0.25">
      <c r="A728" s="306">
        <v>483000</v>
      </c>
      <c r="B728" s="308" t="s">
        <v>754</v>
      </c>
      <c r="C728" s="308">
        <v>8.6295000000000002</v>
      </c>
      <c r="D728" s="308">
        <v>5.4386999999999999</v>
      </c>
      <c r="E728" s="308">
        <v>7.0845000000000002</v>
      </c>
      <c r="F728" s="308">
        <v>6.3601000000000001</v>
      </c>
      <c r="G728" s="308">
        <v>9.09</v>
      </c>
      <c r="H728" s="308">
        <v>6.3257000000000003</v>
      </c>
      <c r="I728" s="308">
        <v>0</v>
      </c>
      <c r="J728" s="308">
        <v>5.2240000000000002</v>
      </c>
      <c r="K728" s="308">
        <v>1.0099</v>
      </c>
      <c r="L728" s="308">
        <v>7.0922000000000001</v>
      </c>
      <c r="M728" s="308">
        <v>7.5587999999999997</v>
      </c>
      <c r="N728" s="308">
        <v>7.7855999999999996</v>
      </c>
      <c r="O728" s="308">
        <v>7.0769000000000002</v>
      </c>
      <c r="P728" s="308">
        <v>5.4785000000000004</v>
      </c>
      <c r="Q728" s="308">
        <v>0</v>
      </c>
      <c r="R728" s="308">
        <v>7.0404</v>
      </c>
      <c r="S728" s="308">
        <v>5.8879000000000001</v>
      </c>
      <c r="T728" s="308">
        <v>0</v>
      </c>
      <c r="U728" s="308">
        <v>6.5986000000000002</v>
      </c>
      <c r="V728" s="308">
        <v>6.2649999999999997</v>
      </c>
      <c r="W728" s="308">
        <v>5.9212999999999996</v>
      </c>
      <c r="X728" s="308">
        <v>6.0620000000000003</v>
      </c>
      <c r="Y728" s="308">
        <v>9.7081</v>
      </c>
      <c r="Z728" s="308">
        <v>8.4128000000000007</v>
      </c>
      <c r="AA728" s="308">
        <v>5.2159000000000004</v>
      </c>
      <c r="AB728" s="308">
        <v>6.0308000000000002</v>
      </c>
      <c r="AC728" s="308">
        <v>5.9391999999999996</v>
      </c>
      <c r="AD728" s="308">
        <v>0</v>
      </c>
      <c r="AE728" s="308">
        <v>6.0572999999999997</v>
      </c>
      <c r="AF728" s="308">
        <v>0</v>
      </c>
      <c r="AG728" s="308">
        <v>0</v>
      </c>
      <c r="AH728" s="308">
        <v>0</v>
      </c>
      <c r="AI728" s="308">
        <v>5.7680999999999996</v>
      </c>
      <c r="AJ728" s="308">
        <v>8.2188999999999997</v>
      </c>
      <c r="AK728" s="308">
        <v>9.4895999999999994</v>
      </c>
      <c r="AL728" s="308">
        <v>4.4446000000000003</v>
      </c>
      <c r="AM728" s="308">
        <v>7.1612</v>
      </c>
      <c r="AN728" s="308">
        <v>0</v>
      </c>
      <c r="AO728" s="308">
        <v>6.5224000000000002</v>
      </c>
      <c r="AP728" s="308">
        <v>6.4127999999999998</v>
      </c>
      <c r="AQ728" s="308">
        <v>8.2573000000000008</v>
      </c>
      <c r="AR728" s="308">
        <v>9.8183000000000007</v>
      </c>
      <c r="AS728" s="308">
        <v>0</v>
      </c>
      <c r="AT728" s="308">
        <v>6.9520999999999997</v>
      </c>
      <c r="AU728" s="308">
        <v>7.3167999999999997</v>
      </c>
      <c r="AV728" s="308">
        <v>9.6902000000000008</v>
      </c>
      <c r="AW728" s="308">
        <v>6.3967000000000001</v>
      </c>
      <c r="AX728" s="308">
        <v>6.9782999999999999</v>
      </c>
      <c r="AY728" s="308">
        <v>6.8484999999999996</v>
      </c>
      <c r="AZ728" s="308">
        <v>8.0801999999999996</v>
      </c>
      <c r="BA728" s="308">
        <v>5.4492000000000003</v>
      </c>
      <c r="BB728" s="308">
        <v>6.8964999999999996</v>
      </c>
      <c r="BC728" s="308">
        <v>6.5608000000000004</v>
      </c>
      <c r="BD728" s="308">
        <v>6.1375999999999999</v>
      </c>
      <c r="BE728" s="308">
        <v>7.3006000000000002</v>
      </c>
      <c r="BF728" s="308">
        <v>5.7133000000000003</v>
      </c>
      <c r="BG728" s="308">
        <v>7.9722999999999997</v>
      </c>
      <c r="BH728" s="308">
        <v>7.3292000000000002</v>
      </c>
      <c r="BI728" s="308">
        <v>7.4241000000000001</v>
      </c>
      <c r="BJ728" s="308">
        <v>9.4152000000000005</v>
      </c>
      <c r="BK728" s="308">
        <v>7.0685000000000002</v>
      </c>
    </row>
    <row r="729" spans="1:63" x14ac:dyDescent="0.25">
      <c r="A729" s="306">
        <v>484000</v>
      </c>
      <c r="B729" s="308" t="s">
        <v>755</v>
      </c>
      <c r="C729" s="308">
        <v>14.3893</v>
      </c>
      <c r="D729" s="308">
        <v>10.3673</v>
      </c>
      <c r="E729" s="308">
        <v>13.097300000000001</v>
      </c>
      <c r="F729" s="308">
        <v>11.486800000000001</v>
      </c>
      <c r="G729" s="308">
        <v>11.840999999999999</v>
      </c>
      <c r="H729" s="308">
        <v>12.412599999999999</v>
      </c>
      <c r="I729" s="308">
        <v>12.097799999999999</v>
      </c>
      <c r="J729" s="308">
        <v>9.8505000000000003</v>
      </c>
      <c r="K729" s="308">
        <v>2.2555999999999998</v>
      </c>
      <c r="L729" s="308">
        <v>8.6715999999999998</v>
      </c>
      <c r="M729" s="308">
        <v>13.6006</v>
      </c>
      <c r="N729" s="308">
        <v>13.7713</v>
      </c>
      <c r="O729" s="308">
        <v>12.5213</v>
      </c>
      <c r="P729" s="308">
        <v>10.948600000000001</v>
      </c>
      <c r="Q729" s="308">
        <v>11.7844</v>
      </c>
      <c r="R729" s="308">
        <v>12.161799999999999</v>
      </c>
      <c r="S729" s="308">
        <v>12.1838</v>
      </c>
      <c r="T729" s="308">
        <v>9.9557000000000002</v>
      </c>
      <c r="U729" s="308">
        <v>12.3613</v>
      </c>
      <c r="V729" s="308">
        <v>12.9282</v>
      </c>
      <c r="W729" s="308">
        <v>9.7555999999999994</v>
      </c>
      <c r="X729" s="308">
        <v>11.248699999999999</v>
      </c>
      <c r="Y729" s="308">
        <v>12.341799999999999</v>
      </c>
      <c r="Z729" s="308">
        <v>12.6462</v>
      </c>
      <c r="AA729" s="308">
        <v>11.030099999999999</v>
      </c>
      <c r="AB729" s="308">
        <v>11.0313</v>
      </c>
      <c r="AC729" s="308">
        <v>12.468500000000001</v>
      </c>
      <c r="AD729" s="308">
        <v>11.117699999999999</v>
      </c>
      <c r="AE729" s="308">
        <v>13.0511</v>
      </c>
      <c r="AF729" s="308">
        <v>8.5974000000000004</v>
      </c>
      <c r="AG729" s="308">
        <v>10.005100000000001</v>
      </c>
      <c r="AH729" s="308">
        <v>9.9497999999999998</v>
      </c>
      <c r="AI729" s="308">
        <v>10.5137</v>
      </c>
      <c r="AJ729" s="308">
        <v>11.882899999999999</v>
      </c>
      <c r="AK729" s="308">
        <v>11.870900000000001</v>
      </c>
      <c r="AL729" s="308">
        <v>9.8526000000000007</v>
      </c>
      <c r="AM729" s="308">
        <v>12.6122</v>
      </c>
      <c r="AN729" s="308">
        <v>13.027799999999999</v>
      </c>
      <c r="AO729" s="308">
        <v>11.5741</v>
      </c>
      <c r="AP729" s="308">
        <v>11.149100000000001</v>
      </c>
      <c r="AQ729" s="308">
        <v>10.379300000000001</v>
      </c>
      <c r="AR729" s="308">
        <v>13.8597</v>
      </c>
      <c r="AS729" s="308">
        <v>9.3588000000000005</v>
      </c>
      <c r="AT729" s="308">
        <v>11.7133</v>
      </c>
      <c r="AU729" s="308">
        <v>14.0077</v>
      </c>
      <c r="AV729" s="308">
        <v>13.2217</v>
      </c>
      <c r="AW729" s="308">
        <v>12.105600000000001</v>
      </c>
      <c r="AX729" s="308">
        <v>9.6696000000000009</v>
      </c>
      <c r="AY729" s="308">
        <v>11.6134</v>
      </c>
      <c r="AZ729" s="308">
        <v>11.2501</v>
      </c>
      <c r="BA729" s="308">
        <v>10.940899999999999</v>
      </c>
      <c r="BB729" s="308">
        <v>9.3224</v>
      </c>
      <c r="BC729" s="308">
        <v>11.047599999999999</v>
      </c>
      <c r="BD729" s="308">
        <v>11.203900000000001</v>
      </c>
      <c r="BE729" s="308">
        <v>12.932600000000001</v>
      </c>
      <c r="BF729" s="308">
        <v>11.6287</v>
      </c>
      <c r="BG729" s="308">
        <v>13.8979</v>
      </c>
      <c r="BH729" s="308">
        <v>13.0662</v>
      </c>
      <c r="BI729" s="308">
        <v>13.981999999999999</v>
      </c>
      <c r="BJ729" s="308">
        <v>12.760199999999999</v>
      </c>
      <c r="BK729" s="308">
        <v>12.5761</v>
      </c>
    </row>
    <row r="730" spans="1:63" x14ac:dyDescent="0.25">
      <c r="A730" s="306" t="s">
        <v>756</v>
      </c>
      <c r="B730" s="308" t="s">
        <v>282</v>
      </c>
      <c r="C730" s="308">
        <v>20.344799999999999</v>
      </c>
      <c r="D730" s="308">
        <v>17.471499999999999</v>
      </c>
      <c r="E730" s="308">
        <v>17.353000000000002</v>
      </c>
      <c r="F730" s="308">
        <v>18.702200000000001</v>
      </c>
      <c r="G730" s="308">
        <v>14.307</v>
      </c>
      <c r="H730" s="308">
        <v>16.652200000000001</v>
      </c>
      <c r="I730" s="308">
        <v>13.327</v>
      </c>
      <c r="J730" s="308">
        <v>13.055999999999999</v>
      </c>
      <c r="K730" s="308">
        <v>3.0484</v>
      </c>
      <c r="L730" s="308">
        <v>20.602900000000002</v>
      </c>
      <c r="M730" s="308">
        <v>18.476800000000001</v>
      </c>
      <c r="N730" s="308">
        <v>18.370200000000001</v>
      </c>
      <c r="O730" s="308">
        <v>23.972100000000001</v>
      </c>
      <c r="P730" s="308">
        <v>19.491499999999998</v>
      </c>
      <c r="Q730" s="308">
        <v>21.026599999999998</v>
      </c>
      <c r="R730" s="308">
        <v>18.438600000000001</v>
      </c>
      <c r="S730" s="308">
        <v>23.851700000000001</v>
      </c>
      <c r="T730" s="308">
        <v>18.633199999999999</v>
      </c>
      <c r="U730" s="308">
        <v>16.946100000000001</v>
      </c>
      <c r="V730" s="308">
        <v>18.225300000000001</v>
      </c>
      <c r="W730" s="308">
        <v>16.2303</v>
      </c>
      <c r="X730" s="308">
        <v>21.020499999999998</v>
      </c>
      <c r="Y730" s="308">
        <v>19.852599999999999</v>
      </c>
      <c r="Z730" s="308">
        <v>18.595099999999999</v>
      </c>
      <c r="AA730" s="308">
        <v>19.351700000000001</v>
      </c>
      <c r="AB730" s="308">
        <v>18.589400000000001</v>
      </c>
      <c r="AC730" s="308">
        <v>18.053999999999998</v>
      </c>
      <c r="AD730" s="308">
        <v>19.1676</v>
      </c>
      <c r="AE730" s="308">
        <v>14.6671</v>
      </c>
      <c r="AF730" s="308">
        <v>13.2691</v>
      </c>
      <c r="AG730" s="308">
        <v>18.360199999999999</v>
      </c>
      <c r="AH730" s="308">
        <v>16.4282</v>
      </c>
      <c r="AI730" s="308">
        <v>16.143000000000001</v>
      </c>
      <c r="AJ730" s="308">
        <v>17.5379</v>
      </c>
      <c r="AK730" s="308">
        <v>12.2432</v>
      </c>
      <c r="AL730" s="308">
        <v>17.967500000000001</v>
      </c>
      <c r="AM730" s="308">
        <v>22.7883</v>
      </c>
      <c r="AN730" s="308">
        <v>20.985499999999998</v>
      </c>
      <c r="AO730" s="308">
        <v>19.038699999999999</v>
      </c>
      <c r="AP730" s="308">
        <v>22.1129</v>
      </c>
      <c r="AQ730" s="308">
        <v>17.5989</v>
      </c>
      <c r="AR730" s="308">
        <v>19.609100000000002</v>
      </c>
      <c r="AS730" s="308">
        <v>17.8047</v>
      </c>
      <c r="AT730" s="308">
        <v>15.714700000000001</v>
      </c>
      <c r="AU730" s="308">
        <v>15.444100000000001</v>
      </c>
      <c r="AV730" s="308">
        <v>14.818899999999999</v>
      </c>
      <c r="AW730" s="308">
        <v>19.0626</v>
      </c>
      <c r="AX730" s="308">
        <v>16.4709</v>
      </c>
      <c r="AY730" s="308">
        <v>18.129200000000001</v>
      </c>
      <c r="AZ730" s="308">
        <v>18.422499999999999</v>
      </c>
      <c r="BA730" s="308">
        <v>19.622699999999998</v>
      </c>
      <c r="BB730" s="308">
        <v>11.2859</v>
      </c>
      <c r="BC730" s="308">
        <v>16.217099999999999</v>
      </c>
      <c r="BD730" s="308">
        <v>19.594999999999999</v>
      </c>
      <c r="BE730" s="308">
        <v>20.075900000000001</v>
      </c>
      <c r="BF730" s="308">
        <v>19.474699999999999</v>
      </c>
      <c r="BG730" s="308">
        <v>19.944199999999999</v>
      </c>
      <c r="BH730" s="308">
        <v>17.219100000000001</v>
      </c>
      <c r="BI730" s="308">
        <v>16.4405</v>
      </c>
      <c r="BJ730" s="308">
        <v>14.7445</v>
      </c>
      <c r="BK730" s="308">
        <v>17.5365</v>
      </c>
    </row>
    <row r="731" spans="1:63" x14ac:dyDescent="0.25">
      <c r="A731" s="306">
        <v>486000</v>
      </c>
      <c r="B731" s="308" t="s">
        <v>757</v>
      </c>
      <c r="C731" s="308">
        <v>9.9812999999999992</v>
      </c>
      <c r="D731" s="308">
        <v>5.5223000000000004</v>
      </c>
      <c r="E731" s="308">
        <v>8.7322000000000006</v>
      </c>
      <c r="F731" s="308">
        <v>8.0891999999999999</v>
      </c>
      <c r="G731" s="308">
        <v>7.7911000000000001</v>
      </c>
      <c r="H731" s="308">
        <v>8.0058000000000007</v>
      </c>
      <c r="I731" s="308">
        <v>8.0324000000000009</v>
      </c>
      <c r="J731" s="308">
        <v>5.9042000000000003</v>
      </c>
      <c r="K731" s="308">
        <v>1.0497000000000001</v>
      </c>
      <c r="L731" s="308">
        <v>4.9542999999999999</v>
      </c>
      <c r="M731" s="308">
        <v>8.7025000000000006</v>
      </c>
      <c r="N731" s="308">
        <v>8.8087</v>
      </c>
      <c r="O731" s="308">
        <v>0</v>
      </c>
      <c r="P731" s="308">
        <v>6.38</v>
      </c>
      <c r="Q731" s="308">
        <v>7.3345000000000002</v>
      </c>
      <c r="R731" s="308">
        <v>7.9612999999999996</v>
      </c>
      <c r="S731" s="308">
        <v>8.4276999999999997</v>
      </c>
      <c r="T731" s="308">
        <v>7.5964999999999998</v>
      </c>
      <c r="U731" s="308">
        <v>8.5481999999999996</v>
      </c>
      <c r="V731" s="308">
        <v>8.6349</v>
      </c>
      <c r="W731" s="308">
        <v>6.4633000000000003</v>
      </c>
      <c r="X731" s="308">
        <v>7.0989000000000004</v>
      </c>
      <c r="Y731" s="308">
        <v>6.9763000000000002</v>
      </c>
      <c r="Z731" s="308">
        <v>8.1227999999999998</v>
      </c>
      <c r="AA731" s="308">
        <v>7.2043999999999997</v>
      </c>
      <c r="AB731" s="308">
        <v>7.6528999999999998</v>
      </c>
      <c r="AC731" s="308">
        <v>8.2949999999999999</v>
      </c>
      <c r="AD731" s="308">
        <v>8.8773</v>
      </c>
      <c r="AE731" s="308">
        <v>8.3626000000000005</v>
      </c>
      <c r="AF731" s="308">
        <v>6.0038</v>
      </c>
      <c r="AG731" s="308">
        <v>6.1821000000000002</v>
      </c>
      <c r="AH731" s="308">
        <v>5.5597000000000003</v>
      </c>
      <c r="AI731" s="308">
        <v>7.2779999999999996</v>
      </c>
      <c r="AJ731" s="308">
        <v>8.7629999999999999</v>
      </c>
      <c r="AK731" s="308">
        <v>6.4603000000000002</v>
      </c>
      <c r="AL731" s="308">
        <v>5.9212999999999996</v>
      </c>
      <c r="AM731" s="308">
        <v>8.8876000000000008</v>
      </c>
      <c r="AN731" s="308">
        <v>8.8041</v>
      </c>
      <c r="AO731" s="308">
        <v>7.8342999999999998</v>
      </c>
      <c r="AP731" s="308">
        <v>8.4298999999999999</v>
      </c>
      <c r="AQ731" s="308">
        <v>7.9188000000000001</v>
      </c>
      <c r="AR731" s="308">
        <v>8.9654000000000007</v>
      </c>
      <c r="AS731" s="308">
        <v>5.8006000000000002</v>
      </c>
      <c r="AT731" s="308">
        <v>7.9478999999999997</v>
      </c>
      <c r="AU731" s="308">
        <v>8.5009999999999994</v>
      </c>
      <c r="AV731" s="308">
        <v>9.6521000000000008</v>
      </c>
      <c r="AW731" s="308">
        <v>7.6914999999999996</v>
      </c>
      <c r="AX731" s="308">
        <v>0</v>
      </c>
      <c r="AY731" s="308">
        <v>7.2553000000000001</v>
      </c>
      <c r="AZ731" s="308">
        <v>7.6201999999999996</v>
      </c>
      <c r="BA731" s="308">
        <v>7.3341000000000003</v>
      </c>
      <c r="BB731" s="308">
        <v>6.7268999999999997</v>
      </c>
      <c r="BC731" s="308">
        <v>6.9757999999999996</v>
      </c>
      <c r="BD731" s="308">
        <v>7.5180999999999996</v>
      </c>
      <c r="BE731" s="308">
        <v>8.8247999999999998</v>
      </c>
      <c r="BF731" s="308">
        <v>7.6845999999999997</v>
      </c>
      <c r="BG731" s="308">
        <v>9.3308999999999997</v>
      </c>
      <c r="BH731" s="308">
        <v>9.1402999999999999</v>
      </c>
      <c r="BI731" s="308">
        <v>8.8793000000000006</v>
      </c>
      <c r="BJ731" s="308">
        <v>9.0901999999999994</v>
      </c>
      <c r="BK731" s="308">
        <v>8.0219000000000005</v>
      </c>
    </row>
    <row r="732" spans="1:63" x14ac:dyDescent="0.25">
      <c r="A732" s="306" t="s">
        <v>758</v>
      </c>
      <c r="B732" s="308" t="s">
        <v>283</v>
      </c>
      <c r="C732" s="308">
        <v>14.4693</v>
      </c>
      <c r="D732" s="308">
        <v>12.726699999999999</v>
      </c>
      <c r="E732" s="308">
        <v>13.644</v>
      </c>
      <c r="F732" s="308">
        <v>11.979699999999999</v>
      </c>
      <c r="G732" s="308">
        <v>14.8378</v>
      </c>
      <c r="H732" s="308">
        <v>11.6623</v>
      </c>
      <c r="I732" s="308">
        <v>14.611700000000001</v>
      </c>
      <c r="J732" s="308">
        <v>9.7006999999999994</v>
      </c>
      <c r="K732" s="308">
        <v>2.7848999999999999</v>
      </c>
      <c r="L732" s="308">
        <v>11.847300000000001</v>
      </c>
      <c r="M732" s="308">
        <v>14.999599999999999</v>
      </c>
      <c r="N732" s="308">
        <v>14.932600000000001</v>
      </c>
      <c r="O732" s="308">
        <v>13.7287</v>
      </c>
      <c r="P732" s="308">
        <v>13.012600000000001</v>
      </c>
      <c r="Q732" s="308">
        <v>15.5421</v>
      </c>
      <c r="R732" s="308">
        <v>12.651</v>
      </c>
      <c r="S732" s="308">
        <v>14.2752</v>
      </c>
      <c r="T732" s="308">
        <v>11.880800000000001</v>
      </c>
      <c r="U732" s="308">
        <v>12.2669</v>
      </c>
      <c r="V732" s="308">
        <v>11.135400000000001</v>
      </c>
      <c r="W732" s="308">
        <v>12.3635</v>
      </c>
      <c r="X732" s="308">
        <v>12.868399999999999</v>
      </c>
      <c r="Y732" s="308">
        <v>15.1938</v>
      </c>
      <c r="Z732" s="308">
        <v>14.792299999999999</v>
      </c>
      <c r="AA732" s="308">
        <v>13.269399999999999</v>
      </c>
      <c r="AB732" s="308">
        <v>13.0817</v>
      </c>
      <c r="AC732" s="308">
        <v>13.0862</v>
      </c>
      <c r="AD732" s="308">
        <v>16.0045</v>
      </c>
      <c r="AE732" s="308">
        <v>14.9331</v>
      </c>
      <c r="AF732" s="308">
        <v>11.383699999999999</v>
      </c>
      <c r="AG732" s="308">
        <v>12.622299999999999</v>
      </c>
      <c r="AH732" s="308">
        <v>13.2311</v>
      </c>
      <c r="AI732" s="308">
        <v>10.7616</v>
      </c>
      <c r="AJ732" s="308">
        <v>14.2728</v>
      </c>
      <c r="AK732" s="308">
        <v>15.452299999999999</v>
      </c>
      <c r="AL732" s="308">
        <v>10.3636</v>
      </c>
      <c r="AM732" s="308">
        <v>14.6761</v>
      </c>
      <c r="AN732" s="308">
        <v>15.142300000000001</v>
      </c>
      <c r="AO732" s="308">
        <v>11.0983</v>
      </c>
      <c r="AP732" s="308">
        <v>10.901300000000001</v>
      </c>
      <c r="AQ732" s="308">
        <v>14.3424</v>
      </c>
      <c r="AR732" s="308">
        <v>15.935600000000001</v>
      </c>
      <c r="AS732" s="308">
        <v>13.526400000000001</v>
      </c>
      <c r="AT732" s="308">
        <v>12.2302</v>
      </c>
      <c r="AU732" s="308">
        <v>12.6092</v>
      </c>
      <c r="AV732" s="308">
        <v>14.785500000000001</v>
      </c>
      <c r="AW732" s="308">
        <v>13.598699999999999</v>
      </c>
      <c r="AX732" s="308">
        <v>12.8058</v>
      </c>
      <c r="AY732" s="308">
        <v>11.533200000000001</v>
      </c>
      <c r="AZ732" s="308">
        <v>14.596399999999999</v>
      </c>
      <c r="BA732" s="308">
        <v>12.404999999999999</v>
      </c>
      <c r="BB732" s="308">
        <v>12.609299999999999</v>
      </c>
      <c r="BC732" s="308">
        <v>13.116099999999999</v>
      </c>
      <c r="BD732" s="308">
        <v>11.7349</v>
      </c>
      <c r="BE732" s="308">
        <v>14.3757</v>
      </c>
      <c r="BF732" s="308">
        <v>13.778700000000001</v>
      </c>
      <c r="BG732" s="308">
        <v>15.386699999999999</v>
      </c>
      <c r="BH732" s="308">
        <v>13.587199999999999</v>
      </c>
      <c r="BI732" s="308">
        <v>12.71</v>
      </c>
      <c r="BJ732" s="308">
        <v>15.3995</v>
      </c>
      <c r="BK732" s="308">
        <v>12.1096</v>
      </c>
    </row>
    <row r="733" spans="1:63" x14ac:dyDescent="0.25">
      <c r="A733" s="306">
        <v>491000</v>
      </c>
      <c r="B733" s="308" t="s">
        <v>759</v>
      </c>
      <c r="C733" s="308">
        <v>13.3743</v>
      </c>
      <c r="D733" s="308">
        <v>10.962</v>
      </c>
      <c r="E733" s="308">
        <v>13.3362</v>
      </c>
      <c r="F733" s="308">
        <v>13.631600000000001</v>
      </c>
      <c r="G733" s="308">
        <v>12.829800000000001</v>
      </c>
      <c r="H733" s="308">
        <v>12.377000000000001</v>
      </c>
      <c r="I733" s="308">
        <v>12.276899999999999</v>
      </c>
      <c r="J733" s="308">
        <v>11.360799999999999</v>
      </c>
      <c r="K733" s="308">
        <v>1.9666999999999999</v>
      </c>
      <c r="L733" s="308">
        <v>11.520099999999999</v>
      </c>
      <c r="M733" s="308">
        <v>12.518800000000001</v>
      </c>
      <c r="N733" s="308">
        <v>12.7911</v>
      </c>
      <c r="O733" s="308">
        <v>11.2849</v>
      </c>
      <c r="P733" s="308">
        <v>12.8704</v>
      </c>
      <c r="Q733" s="308">
        <v>13.800599999999999</v>
      </c>
      <c r="R733" s="308">
        <v>12.210900000000001</v>
      </c>
      <c r="S733" s="308">
        <v>13.0731</v>
      </c>
      <c r="T733" s="308">
        <v>12.758100000000001</v>
      </c>
      <c r="U733" s="308">
        <v>12.978899999999999</v>
      </c>
      <c r="V733" s="308">
        <v>12.5307</v>
      </c>
      <c r="W733" s="308">
        <v>11.318199999999999</v>
      </c>
      <c r="X733" s="308">
        <v>11.6393</v>
      </c>
      <c r="Y733" s="308">
        <v>14.010899999999999</v>
      </c>
      <c r="Z733" s="308">
        <v>12.8278</v>
      </c>
      <c r="AA733" s="308">
        <v>12.538600000000001</v>
      </c>
      <c r="AB733" s="308">
        <v>11.9634</v>
      </c>
      <c r="AC733" s="308">
        <v>13.8901</v>
      </c>
      <c r="AD733" s="308">
        <v>14.052</v>
      </c>
      <c r="AE733" s="308">
        <v>12.9452</v>
      </c>
      <c r="AF733" s="308">
        <v>12.819699999999999</v>
      </c>
      <c r="AG733" s="308">
        <v>12.588900000000001</v>
      </c>
      <c r="AH733" s="308">
        <v>11.725300000000001</v>
      </c>
      <c r="AI733" s="308">
        <v>11.7982</v>
      </c>
      <c r="AJ733" s="308">
        <v>13.079800000000001</v>
      </c>
      <c r="AK733" s="308">
        <v>12.1105</v>
      </c>
      <c r="AL733" s="308">
        <v>11.4139</v>
      </c>
      <c r="AM733" s="308">
        <v>12.429500000000001</v>
      </c>
      <c r="AN733" s="308">
        <v>13.567600000000001</v>
      </c>
      <c r="AO733" s="308">
        <v>12.3409</v>
      </c>
      <c r="AP733" s="308">
        <v>12.245100000000001</v>
      </c>
      <c r="AQ733" s="308">
        <v>11.0413</v>
      </c>
      <c r="AR733" s="308">
        <v>13.208399999999999</v>
      </c>
      <c r="AS733" s="308">
        <v>13.379300000000001</v>
      </c>
      <c r="AT733" s="308">
        <v>12.623200000000001</v>
      </c>
      <c r="AU733" s="308">
        <v>12.6213</v>
      </c>
      <c r="AV733" s="308">
        <v>14.9421</v>
      </c>
      <c r="AW733" s="308">
        <v>11.2615</v>
      </c>
      <c r="AX733" s="308">
        <v>12.510199999999999</v>
      </c>
      <c r="AY733" s="308">
        <v>12.4542</v>
      </c>
      <c r="AZ733" s="308">
        <v>13.1615</v>
      </c>
      <c r="BA733" s="308">
        <v>13.1584</v>
      </c>
      <c r="BB733" s="308">
        <v>12.867699999999999</v>
      </c>
      <c r="BC733" s="308">
        <v>12.191800000000001</v>
      </c>
      <c r="BD733" s="308">
        <v>12.2981</v>
      </c>
      <c r="BE733" s="308">
        <v>12.8835</v>
      </c>
      <c r="BF733" s="308">
        <v>13.064</v>
      </c>
      <c r="BG733" s="308">
        <v>12.8727</v>
      </c>
      <c r="BH733" s="308">
        <v>13.3104</v>
      </c>
      <c r="BI733" s="308">
        <v>12.963900000000001</v>
      </c>
      <c r="BJ733" s="308">
        <v>13.1922</v>
      </c>
      <c r="BK733" s="308">
        <v>12.4735</v>
      </c>
    </row>
    <row r="734" spans="1:63" x14ac:dyDescent="0.25">
      <c r="A734" s="306">
        <v>492000</v>
      </c>
      <c r="B734" s="308" t="s">
        <v>284</v>
      </c>
      <c r="C734" s="308">
        <v>15.6355</v>
      </c>
      <c r="D734" s="308">
        <v>9.5515000000000008</v>
      </c>
      <c r="E734" s="308">
        <v>15.5411</v>
      </c>
      <c r="F734" s="308">
        <v>14.694699999999999</v>
      </c>
      <c r="G734" s="308">
        <v>15.797000000000001</v>
      </c>
      <c r="H734" s="308">
        <v>13.824199999999999</v>
      </c>
      <c r="I734" s="308">
        <v>15.5205</v>
      </c>
      <c r="J734" s="308">
        <v>12.900600000000001</v>
      </c>
      <c r="K734" s="308">
        <v>2.8953000000000002</v>
      </c>
      <c r="L734" s="308">
        <v>11.929399999999999</v>
      </c>
      <c r="M734" s="308">
        <v>17.0214</v>
      </c>
      <c r="N734" s="308">
        <v>12.826499999999999</v>
      </c>
      <c r="O734" s="308">
        <v>13.0685</v>
      </c>
      <c r="P734" s="308">
        <v>14.822800000000001</v>
      </c>
      <c r="Q734" s="308">
        <v>14.7272</v>
      </c>
      <c r="R734" s="308">
        <v>15.5915</v>
      </c>
      <c r="S734" s="308">
        <v>15.6205</v>
      </c>
      <c r="T734" s="308">
        <v>10.233499999999999</v>
      </c>
      <c r="U734" s="308">
        <v>9.9133999999999993</v>
      </c>
      <c r="V734" s="308">
        <v>14.5779</v>
      </c>
      <c r="W734" s="308">
        <v>13.295999999999999</v>
      </c>
      <c r="X734" s="308">
        <v>14.6563</v>
      </c>
      <c r="Y734" s="308">
        <v>14.820399999999999</v>
      </c>
      <c r="Z734" s="308">
        <v>14.7967</v>
      </c>
      <c r="AA734" s="308">
        <v>16.2074</v>
      </c>
      <c r="AB734" s="308">
        <v>14.850199999999999</v>
      </c>
      <c r="AC734" s="308">
        <v>14.6891</v>
      </c>
      <c r="AD734" s="308">
        <v>14.8888</v>
      </c>
      <c r="AE734" s="308">
        <v>15.4293</v>
      </c>
      <c r="AF734" s="308">
        <v>12.9452</v>
      </c>
      <c r="AG734" s="308">
        <v>13.438499999999999</v>
      </c>
      <c r="AH734" s="308">
        <v>14.3338</v>
      </c>
      <c r="AI734" s="308">
        <v>12.1968</v>
      </c>
      <c r="AJ734" s="308">
        <v>13.686</v>
      </c>
      <c r="AK734" s="308">
        <v>14.2364</v>
      </c>
      <c r="AL734" s="308">
        <v>11.8588</v>
      </c>
      <c r="AM734" s="308">
        <v>13.2601</v>
      </c>
      <c r="AN734" s="308">
        <v>16.0547</v>
      </c>
      <c r="AO734" s="308">
        <v>13.4762</v>
      </c>
      <c r="AP734" s="308">
        <v>13.555300000000001</v>
      </c>
      <c r="AQ734" s="308">
        <v>13.3401</v>
      </c>
      <c r="AR734" s="308">
        <v>15.9498</v>
      </c>
      <c r="AS734" s="308">
        <v>14.1012</v>
      </c>
      <c r="AT734" s="308">
        <v>9.8987999999999996</v>
      </c>
      <c r="AU734" s="308">
        <v>16.747299999999999</v>
      </c>
      <c r="AV734" s="308">
        <v>16.282900000000001</v>
      </c>
      <c r="AW734" s="308">
        <v>14.7218</v>
      </c>
      <c r="AX734" s="308">
        <v>14.668900000000001</v>
      </c>
      <c r="AY734" s="308">
        <v>14.112299999999999</v>
      </c>
      <c r="AZ734" s="308">
        <v>14.535</v>
      </c>
      <c r="BA734" s="308">
        <v>13.995699999999999</v>
      </c>
      <c r="BB734" s="308">
        <v>13.158200000000001</v>
      </c>
      <c r="BC734" s="308">
        <v>14.366099999999999</v>
      </c>
      <c r="BD734" s="308">
        <v>13.564299999999999</v>
      </c>
      <c r="BE734" s="308">
        <v>14.9137</v>
      </c>
      <c r="BF734" s="308">
        <v>15.1899</v>
      </c>
      <c r="BG734" s="308">
        <v>15.7325</v>
      </c>
      <c r="BH734" s="308">
        <v>11.004300000000001</v>
      </c>
      <c r="BI734" s="308">
        <v>16.587199999999999</v>
      </c>
      <c r="BJ734" s="308">
        <v>15.7951</v>
      </c>
      <c r="BK734" s="308">
        <v>14.0245</v>
      </c>
    </row>
    <row r="735" spans="1:63" x14ac:dyDescent="0.25">
      <c r="A735" s="306">
        <v>493000</v>
      </c>
      <c r="B735" s="308" t="s">
        <v>285</v>
      </c>
      <c r="C735" s="308">
        <v>16.6873</v>
      </c>
      <c r="D735" s="308">
        <v>15.4154</v>
      </c>
      <c r="E735" s="308">
        <v>17.238499999999998</v>
      </c>
      <c r="F735" s="308">
        <v>16.3688</v>
      </c>
      <c r="G735" s="308">
        <v>15.123900000000001</v>
      </c>
      <c r="H735" s="308">
        <v>14.0549</v>
      </c>
      <c r="I735" s="308">
        <v>15.776</v>
      </c>
      <c r="J735" s="308">
        <v>12.1668</v>
      </c>
      <c r="K735" s="308">
        <v>4.1763000000000003</v>
      </c>
      <c r="L735" s="308">
        <v>11.6983</v>
      </c>
      <c r="M735" s="308">
        <v>16.320799999999998</v>
      </c>
      <c r="N735" s="308">
        <v>15.838800000000001</v>
      </c>
      <c r="O735" s="308">
        <v>15.771599999999999</v>
      </c>
      <c r="P735" s="308">
        <v>15.484500000000001</v>
      </c>
      <c r="Q735" s="308">
        <v>17.9131</v>
      </c>
      <c r="R735" s="308">
        <v>14.511699999999999</v>
      </c>
      <c r="S735" s="308">
        <v>16.5442</v>
      </c>
      <c r="T735" s="308">
        <v>14.535299999999999</v>
      </c>
      <c r="U735" s="308">
        <v>15.5677</v>
      </c>
      <c r="V735" s="308">
        <v>14.040800000000001</v>
      </c>
      <c r="W735" s="308">
        <v>11.489000000000001</v>
      </c>
      <c r="X735" s="308">
        <v>13.285600000000001</v>
      </c>
      <c r="Y735" s="308">
        <v>16.878299999999999</v>
      </c>
      <c r="Z735" s="308">
        <v>13.4095</v>
      </c>
      <c r="AA735" s="308">
        <v>14.3284</v>
      </c>
      <c r="AB735" s="308">
        <v>14.389200000000001</v>
      </c>
      <c r="AC735" s="308">
        <v>16.3353</v>
      </c>
      <c r="AD735" s="308">
        <v>17.959800000000001</v>
      </c>
      <c r="AE735" s="308">
        <v>16.257899999999999</v>
      </c>
      <c r="AF735" s="308">
        <v>16.857099999999999</v>
      </c>
      <c r="AG735" s="308">
        <v>16.848199999999999</v>
      </c>
      <c r="AH735" s="308">
        <v>15.1332</v>
      </c>
      <c r="AI735" s="308">
        <v>12.814299999999999</v>
      </c>
      <c r="AJ735" s="308">
        <v>15.8148</v>
      </c>
      <c r="AK735" s="308">
        <v>16.055800000000001</v>
      </c>
      <c r="AL735" s="308">
        <v>13.703900000000001</v>
      </c>
      <c r="AM735" s="308">
        <v>15.599299999999999</v>
      </c>
      <c r="AN735" s="308">
        <v>18.197800000000001</v>
      </c>
      <c r="AO735" s="308">
        <v>13.8521</v>
      </c>
      <c r="AP735" s="308">
        <v>15.1145</v>
      </c>
      <c r="AQ735" s="308">
        <v>16.166499999999999</v>
      </c>
      <c r="AR735" s="308">
        <v>18.866700000000002</v>
      </c>
      <c r="AS735" s="308">
        <v>17.0198</v>
      </c>
      <c r="AT735" s="308">
        <v>15.8918</v>
      </c>
      <c r="AU735" s="308">
        <v>16.768799999999999</v>
      </c>
      <c r="AV735" s="308">
        <v>17.1846</v>
      </c>
      <c r="AW735" s="308">
        <v>15.4251</v>
      </c>
      <c r="AX735" s="308">
        <v>11.852600000000001</v>
      </c>
      <c r="AY735" s="308">
        <v>15.020899999999999</v>
      </c>
      <c r="AZ735" s="308">
        <v>15.8775</v>
      </c>
      <c r="BA735" s="308">
        <v>17.7179</v>
      </c>
      <c r="BB735" s="308">
        <v>15.0276</v>
      </c>
      <c r="BC735" s="308">
        <v>14.399699999999999</v>
      </c>
      <c r="BD735" s="308">
        <v>14.9422</v>
      </c>
      <c r="BE735" s="308">
        <v>15.5754</v>
      </c>
      <c r="BF735" s="308">
        <v>15.7204</v>
      </c>
      <c r="BG735" s="308">
        <v>16.692799999999998</v>
      </c>
      <c r="BH735" s="308">
        <v>16.8505</v>
      </c>
      <c r="BI735" s="308">
        <v>16.840299999999999</v>
      </c>
      <c r="BJ735" s="308">
        <v>16.376100000000001</v>
      </c>
      <c r="BK735" s="308">
        <v>14.3894</v>
      </c>
    </row>
    <row r="736" spans="1:63" x14ac:dyDescent="0.25">
      <c r="A736" s="306" t="s">
        <v>760</v>
      </c>
      <c r="B736" s="308" t="s">
        <v>761</v>
      </c>
      <c r="C736" s="308">
        <v>17.879899999999999</v>
      </c>
      <c r="D736" s="308">
        <v>14.8269</v>
      </c>
      <c r="E736" s="308">
        <v>18.0425</v>
      </c>
      <c r="F736" s="308">
        <v>17.883400000000002</v>
      </c>
      <c r="G736" s="308">
        <v>15.2804</v>
      </c>
      <c r="H736" s="308">
        <v>15.132300000000001</v>
      </c>
      <c r="I736" s="308">
        <v>16.870899999999999</v>
      </c>
      <c r="J736" s="308">
        <v>13.9603</v>
      </c>
      <c r="K736" s="308">
        <v>4.5774999999999997</v>
      </c>
      <c r="L736" s="308">
        <v>14.1875</v>
      </c>
      <c r="M736" s="308">
        <v>16.795400000000001</v>
      </c>
      <c r="N736" s="308">
        <v>17.374300000000002</v>
      </c>
      <c r="O736" s="308">
        <v>16.784600000000001</v>
      </c>
      <c r="P736" s="308">
        <v>17.7362</v>
      </c>
      <c r="Q736" s="308">
        <v>17.023800000000001</v>
      </c>
      <c r="R736" s="308">
        <v>16.619599999999998</v>
      </c>
      <c r="S736" s="308">
        <v>18.513000000000002</v>
      </c>
      <c r="T736" s="308">
        <v>16.889700000000001</v>
      </c>
      <c r="U736" s="308">
        <v>18.109000000000002</v>
      </c>
      <c r="V736" s="308">
        <v>16.683800000000002</v>
      </c>
      <c r="W736" s="308">
        <v>14.5299</v>
      </c>
      <c r="X736" s="308">
        <v>15.0717</v>
      </c>
      <c r="Y736" s="308">
        <v>18.3171</v>
      </c>
      <c r="Z736" s="308">
        <v>18.1526</v>
      </c>
      <c r="AA736" s="308">
        <v>18.2379</v>
      </c>
      <c r="AB736" s="308">
        <v>16.7224</v>
      </c>
      <c r="AC736" s="308">
        <v>17.642499999999998</v>
      </c>
      <c r="AD736" s="308">
        <v>18.387599999999999</v>
      </c>
      <c r="AE736" s="308">
        <v>17.120200000000001</v>
      </c>
      <c r="AF736" s="308">
        <v>16.488499999999998</v>
      </c>
      <c r="AG736" s="308">
        <v>17.890599999999999</v>
      </c>
      <c r="AH736" s="308">
        <v>14.1494</v>
      </c>
      <c r="AI736" s="308">
        <v>14.1525</v>
      </c>
      <c r="AJ736" s="308">
        <v>16.7437</v>
      </c>
      <c r="AK736" s="308">
        <v>15.5252</v>
      </c>
      <c r="AL736" s="308">
        <v>13.5021</v>
      </c>
      <c r="AM736" s="308">
        <v>17.9542</v>
      </c>
      <c r="AN736" s="308">
        <v>17.452400000000001</v>
      </c>
      <c r="AO736" s="308">
        <v>16.947399999999998</v>
      </c>
      <c r="AP736" s="308">
        <v>17.4575</v>
      </c>
      <c r="AQ736" s="308">
        <v>14.5593</v>
      </c>
      <c r="AR736" s="308">
        <v>18.044899999999998</v>
      </c>
      <c r="AS736" s="308">
        <v>17.401199999999999</v>
      </c>
      <c r="AT736" s="308">
        <v>16.074400000000001</v>
      </c>
      <c r="AU736" s="308">
        <v>16.759399999999999</v>
      </c>
      <c r="AV736" s="308">
        <v>18.271999999999998</v>
      </c>
      <c r="AW736" s="308">
        <v>16.340199999999999</v>
      </c>
      <c r="AX736" s="308">
        <v>16.453399999999998</v>
      </c>
      <c r="AY736" s="308">
        <v>14.9841</v>
      </c>
      <c r="AZ736" s="308">
        <v>18.845300000000002</v>
      </c>
      <c r="BA736" s="308">
        <v>17.108699999999999</v>
      </c>
      <c r="BB736" s="308">
        <v>16.4451</v>
      </c>
      <c r="BC736" s="308">
        <v>15.8123</v>
      </c>
      <c r="BD736" s="308">
        <v>15.889699999999999</v>
      </c>
      <c r="BE736" s="308">
        <v>18.2346</v>
      </c>
      <c r="BF736" s="308">
        <v>18.228999999999999</v>
      </c>
      <c r="BG736" s="308">
        <v>17.531300000000002</v>
      </c>
      <c r="BH736" s="308">
        <v>17.691700000000001</v>
      </c>
      <c r="BI736" s="308">
        <v>17.207999999999998</v>
      </c>
      <c r="BJ736" s="308">
        <v>16.842700000000001</v>
      </c>
      <c r="BK736" s="308">
        <v>15.496600000000001</v>
      </c>
    </row>
    <row r="737" spans="1:63" x14ac:dyDescent="0.25">
      <c r="A737" s="306">
        <v>511110</v>
      </c>
      <c r="B737" s="308" t="s">
        <v>286</v>
      </c>
      <c r="C737" s="308">
        <v>12.6409</v>
      </c>
      <c r="D737" s="308">
        <v>12.9933</v>
      </c>
      <c r="E737" s="308">
        <v>12.511799999999999</v>
      </c>
      <c r="F737" s="308">
        <v>14.7883</v>
      </c>
      <c r="G737" s="308">
        <v>11.3757</v>
      </c>
      <c r="H737" s="308">
        <v>10.526999999999999</v>
      </c>
      <c r="I737" s="308">
        <v>11.0891</v>
      </c>
      <c r="J737" s="308">
        <v>10.1594</v>
      </c>
      <c r="K737" s="308">
        <v>2.3704000000000001</v>
      </c>
      <c r="L737" s="308">
        <v>10.0701</v>
      </c>
      <c r="M737" s="308">
        <v>11.107900000000001</v>
      </c>
      <c r="N737" s="308">
        <v>12.0382</v>
      </c>
      <c r="O737" s="308">
        <v>9.359</v>
      </c>
      <c r="P737" s="308">
        <v>14.132999999999999</v>
      </c>
      <c r="Q737" s="308">
        <v>13.454700000000001</v>
      </c>
      <c r="R737" s="308">
        <v>10.775399999999999</v>
      </c>
      <c r="S737" s="308">
        <v>13.478199999999999</v>
      </c>
      <c r="T737" s="308">
        <v>13.504799999999999</v>
      </c>
      <c r="U737" s="308">
        <v>13.8955</v>
      </c>
      <c r="V737" s="308">
        <v>11.9293</v>
      </c>
      <c r="W737" s="308">
        <v>9.0031999999999996</v>
      </c>
      <c r="X737" s="308">
        <v>10.875500000000001</v>
      </c>
      <c r="Y737" s="308">
        <v>14.8271</v>
      </c>
      <c r="Z737" s="308">
        <v>11.585000000000001</v>
      </c>
      <c r="AA737" s="308">
        <v>12.06</v>
      </c>
      <c r="AB737" s="308">
        <v>10.392899999999999</v>
      </c>
      <c r="AC737" s="308">
        <v>13.9377</v>
      </c>
      <c r="AD737" s="308">
        <v>15.57</v>
      </c>
      <c r="AE737" s="308">
        <v>12.1767</v>
      </c>
      <c r="AF737" s="308">
        <v>12.991099999999999</v>
      </c>
      <c r="AG737" s="308">
        <v>14.3873</v>
      </c>
      <c r="AH737" s="308">
        <v>11.525600000000001</v>
      </c>
      <c r="AI737" s="308">
        <v>8.1601999999999997</v>
      </c>
      <c r="AJ737" s="308">
        <v>13.1883</v>
      </c>
      <c r="AK737" s="308">
        <v>11.103</v>
      </c>
      <c r="AL737" s="308">
        <v>7.3728999999999996</v>
      </c>
      <c r="AM737" s="308">
        <v>11.220499999999999</v>
      </c>
      <c r="AN737" s="308">
        <v>13.1234</v>
      </c>
      <c r="AO737" s="308">
        <v>12.142300000000001</v>
      </c>
      <c r="AP737" s="308">
        <v>11.780799999999999</v>
      </c>
      <c r="AQ737" s="308">
        <v>10.3172</v>
      </c>
      <c r="AR737" s="308">
        <v>13.1258</v>
      </c>
      <c r="AS737" s="308">
        <v>14.6927</v>
      </c>
      <c r="AT737" s="308">
        <v>13.729799999999999</v>
      </c>
      <c r="AU737" s="308">
        <v>11.045999999999999</v>
      </c>
      <c r="AV737" s="308">
        <v>14.0266</v>
      </c>
      <c r="AW737" s="308">
        <v>9.6107999999999993</v>
      </c>
      <c r="AX737" s="308">
        <v>14.846500000000001</v>
      </c>
      <c r="AY737" s="308">
        <v>11.1005</v>
      </c>
      <c r="AZ737" s="308">
        <v>13.766999999999999</v>
      </c>
      <c r="BA737" s="308">
        <v>13.0741</v>
      </c>
      <c r="BB737" s="308">
        <v>14.403499999999999</v>
      </c>
      <c r="BC737" s="308">
        <v>10.9984</v>
      </c>
      <c r="BD737" s="308">
        <v>9.8596000000000004</v>
      </c>
      <c r="BE737" s="308">
        <v>12.153700000000001</v>
      </c>
      <c r="BF737" s="308">
        <v>13.2745</v>
      </c>
      <c r="BG737" s="308">
        <v>12.039899999999999</v>
      </c>
      <c r="BH737" s="308">
        <v>13.938499999999999</v>
      </c>
      <c r="BI737" s="308">
        <v>12.010899999999999</v>
      </c>
      <c r="BJ737" s="308">
        <v>12.597899999999999</v>
      </c>
      <c r="BK737" s="308">
        <v>10.9763</v>
      </c>
    </row>
    <row r="738" spans="1:63" x14ac:dyDescent="0.25">
      <c r="A738" s="306">
        <v>511120</v>
      </c>
      <c r="B738" s="308" t="s">
        <v>287</v>
      </c>
      <c r="C738" s="308">
        <v>10.2562</v>
      </c>
      <c r="D738" s="308">
        <v>8.1549999999999994</v>
      </c>
      <c r="E738" s="308">
        <v>8.8597999999999999</v>
      </c>
      <c r="F738" s="308">
        <v>10.5936</v>
      </c>
      <c r="G738" s="308">
        <v>9.0004000000000008</v>
      </c>
      <c r="H738" s="308">
        <v>8.0510999999999999</v>
      </c>
      <c r="I738" s="308">
        <v>9.1895000000000007</v>
      </c>
      <c r="J738" s="308">
        <v>7.1993999999999998</v>
      </c>
      <c r="K738" s="308">
        <v>1.7726</v>
      </c>
      <c r="L738" s="308">
        <v>7.1398999999999999</v>
      </c>
      <c r="M738" s="308">
        <v>10.0603</v>
      </c>
      <c r="N738" s="308">
        <v>9.8818000000000001</v>
      </c>
      <c r="O738" s="308">
        <v>8.5470000000000006</v>
      </c>
      <c r="P738" s="308">
        <v>7.6024000000000003</v>
      </c>
      <c r="Q738" s="308">
        <v>10.2486</v>
      </c>
      <c r="R738" s="308">
        <v>8.1753999999999998</v>
      </c>
      <c r="S738" s="308">
        <v>10.5733</v>
      </c>
      <c r="T738" s="308">
        <v>8.4687999999999999</v>
      </c>
      <c r="U738" s="308">
        <v>9.9405999999999999</v>
      </c>
      <c r="V738" s="308">
        <v>10.351900000000001</v>
      </c>
      <c r="W738" s="308">
        <v>7.2771999999999997</v>
      </c>
      <c r="X738" s="308">
        <v>8.4375999999999998</v>
      </c>
      <c r="Y738" s="308">
        <v>10.9763</v>
      </c>
      <c r="Z738" s="308">
        <v>9.1823999999999995</v>
      </c>
      <c r="AA738" s="308">
        <v>9.6577999999999999</v>
      </c>
      <c r="AB738" s="308">
        <v>9.0570000000000004</v>
      </c>
      <c r="AC738" s="308">
        <v>9.7232000000000003</v>
      </c>
      <c r="AD738" s="308">
        <v>10.8802</v>
      </c>
      <c r="AE738" s="308">
        <v>9.6389999999999993</v>
      </c>
      <c r="AF738" s="308">
        <v>8.7897999999999996</v>
      </c>
      <c r="AG738" s="308">
        <v>9.0632999999999999</v>
      </c>
      <c r="AH738" s="308">
        <v>7.9104000000000001</v>
      </c>
      <c r="AI738" s="308">
        <v>7.3327999999999998</v>
      </c>
      <c r="AJ738" s="308">
        <v>8.6689000000000007</v>
      </c>
      <c r="AK738" s="308">
        <v>9.4377999999999993</v>
      </c>
      <c r="AL738" s="308">
        <v>6.0774999999999997</v>
      </c>
      <c r="AM738" s="308">
        <v>9.8398000000000003</v>
      </c>
      <c r="AN738" s="308">
        <v>10.0442</v>
      </c>
      <c r="AO738" s="308">
        <v>11.244999999999999</v>
      </c>
      <c r="AP738" s="308">
        <v>8.8454999999999995</v>
      </c>
      <c r="AQ738" s="308">
        <v>9.3355999999999995</v>
      </c>
      <c r="AR738" s="308">
        <v>10.3484</v>
      </c>
      <c r="AS738" s="308">
        <v>9.84</v>
      </c>
      <c r="AT738" s="308">
        <v>10.155200000000001</v>
      </c>
      <c r="AU738" s="308">
        <v>9.5822000000000003</v>
      </c>
      <c r="AV738" s="308">
        <v>13.3741</v>
      </c>
      <c r="AW738" s="308">
        <v>7.4946000000000002</v>
      </c>
      <c r="AX738" s="308">
        <v>10.234500000000001</v>
      </c>
      <c r="AY738" s="308">
        <v>8.0554000000000006</v>
      </c>
      <c r="AZ738" s="308">
        <v>10.6943</v>
      </c>
      <c r="BA738" s="308">
        <v>9.8206000000000007</v>
      </c>
      <c r="BB738" s="308">
        <v>9.4368999999999996</v>
      </c>
      <c r="BC738" s="308">
        <v>8.3217999999999996</v>
      </c>
      <c r="BD738" s="308">
        <v>8.2079000000000004</v>
      </c>
      <c r="BE738" s="308">
        <v>9.4161000000000001</v>
      </c>
      <c r="BF738" s="308">
        <v>9.4457000000000004</v>
      </c>
      <c r="BG738" s="308">
        <v>9.8956</v>
      </c>
      <c r="BH738" s="308">
        <v>10.1714</v>
      </c>
      <c r="BI738" s="308">
        <v>10.0162</v>
      </c>
      <c r="BJ738" s="308">
        <v>9.8956999999999997</v>
      </c>
      <c r="BK738" s="308">
        <v>8.4054000000000002</v>
      </c>
    </row>
    <row r="739" spans="1:63" x14ac:dyDescent="0.25">
      <c r="A739" s="306">
        <v>511130</v>
      </c>
      <c r="B739" s="308" t="s">
        <v>288</v>
      </c>
      <c r="C739" s="308">
        <v>8.8328000000000007</v>
      </c>
      <c r="D739" s="308">
        <v>7.4626000000000001</v>
      </c>
      <c r="E739" s="308">
        <v>8.2805999999999997</v>
      </c>
      <c r="F739" s="308">
        <v>7.3860999999999999</v>
      </c>
      <c r="G739" s="308">
        <v>8.6702999999999992</v>
      </c>
      <c r="H739" s="308">
        <v>7.3171999999999997</v>
      </c>
      <c r="I739" s="308">
        <v>7.9992000000000001</v>
      </c>
      <c r="J739" s="308">
        <v>6.0495000000000001</v>
      </c>
      <c r="K739" s="308">
        <v>1.5314000000000001</v>
      </c>
      <c r="L739" s="308">
        <v>5.7187000000000001</v>
      </c>
      <c r="M739" s="308">
        <v>8.8325999999999993</v>
      </c>
      <c r="N739" s="308">
        <v>8.7044999999999995</v>
      </c>
      <c r="O739" s="308">
        <v>8.5936000000000003</v>
      </c>
      <c r="P739" s="308">
        <v>7.6702000000000004</v>
      </c>
      <c r="Q739" s="308">
        <v>8.6610999999999994</v>
      </c>
      <c r="R739" s="308">
        <v>7.4366000000000003</v>
      </c>
      <c r="S739" s="308">
        <v>8.5317000000000007</v>
      </c>
      <c r="T739" s="308">
        <v>7.9255000000000004</v>
      </c>
      <c r="U739" s="308">
        <v>9.5686999999999998</v>
      </c>
      <c r="V739" s="308">
        <v>7.2164999999999999</v>
      </c>
      <c r="W739" s="308">
        <v>6.3117999999999999</v>
      </c>
      <c r="X739" s="308">
        <v>7.8803999999999998</v>
      </c>
      <c r="Y739" s="308">
        <v>9.2288999999999994</v>
      </c>
      <c r="Z739" s="308">
        <v>7.3482000000000003</v>
      </c>
      <c r="AA739" s="308">
        <v>7.1863999999999999</v>
      </c>
      <c r="AB739" s="308">
        <v>7.8127000000000004</v>
      </c>
      <c r="AC739" s="308">
        <v>7.7102000000000004</v>
      </c>
      <c r="AD739" s="308">
        <v>8.4679000000000002</v>
      </c>
      <c r="AE739" s="308">
        <v>8.1765000000000008</v>
      </c>
      <c r="AF739" s="308">
        <v>7.7332000000000001</v>
      </c>
      <c r="AG739" s="308">
        <v>7.1447000000000003</v>
      </c>
      <c r="AH739" s="308">
        <v>6.8125999999999998</v>
      </c>
      <c r="AI739" s="308">
        <v>6.2746000000000004</v>
      </c>
      <c r="AJ739" s="308">
        <v>8.3117999999999999</v>
      </c>
      <c r="AK739" s="308">
        <v>6.6162999999999998</v>
      </c>
      <c r="AL739" s="308">
        <v>5.3498000000000001</v>
      </c>
      <c r="AM739" s="308">
        <v>7.9539</v>
      </c>
      <c r="AN739" s="308">
        <v>8.3178999999999998</v>
      </c>
      <c r="AO739" s="308">
        <v>9.6241000000000003</v>
      </c>
      <c r="AP739" s="308">
        <v>7.8902000000000001</v>
      </c>
      <c r="AQ739" s="308">
        <v>7.7141000000000002</v>
      </c>
      <c r="AR739" s="308">
        <v>7.5133999999999999</v>
      </c>
      <c r="AS739" s="308">
        <v>8.2027999999999999</v>
      </c>
      <c r="AT739" s="308">
        <v>8.5611999999999995</v>
      </c>
      <c r="AU739" s="308">
        <v>8.3762000000000008</v>
      </c>
      <c r="AV739" s="308">
        <v>10.7624</v>
      </c>
      <c r="AW739" s="308">
        <v>6.6435000000000004</v>
      </c>
      <c r="AX739" s="308">
        <v>9.0980000000000008</v>
      </c>
      <c r="AY739" s="308">
        <v>7.4234999999999998</v>
      </c>
      <c r="AZ739" s="308">
        <v>8.2131000000000007</v>
      </c>
      <c r="BA739" s="308">
        <v>8.2379999999999995</v>
      </c>
      <c r="BB739" s="308">
        <v>6.8254999999999999</v>
      </c>
      <c r="BC739" s="308">
        <v>7.0754000000000001</v>
      </c>
      <c r="BD739" s="308">
        <v>7.0776000000000003</v>
      </c>
      <c r="BE739" s="308">
        <v>8.2105999999999995</v>
      </c>
      <c r="BF739" s="308">
        <v>7.4393000000000002</v>
      </c>
      <c r="BG739" s="308">
        <v>8.6844000000000001</v>
      </c>
      <c r="BH739" s="308">
        <v>8.8962000000000003</v>
      </c>
      <c r="BI739" s="308">
        <v>8.4605999999999995</v>
      </c>
      <c r="BJ739" s="308">
        <v>8.7795000000000005</v>
      </c>
      <c r="BK739" s="308">
        <v>7.5688000000000004</v>
      </c>
    </row>
    <row r="740" spans="1:63" x14ac:dyDescent="0.25">
      <c r="A740" s="306" t="s">
        <v>762</v>
      </c>
      <c r="B740" s="308" t="s">
        <v>289</v>
      </c>
      <c r="C740" s="308">
        <v>8.9699000000000009</v>
      </c>
      <c r="D740" s="308">
        <v>5.8705999999999996</v>
      </c>
      <c r="E740" s="308">
        <v>7.8935000000000004</v>
      </c>
      <c r="F740" s="308">
        <v>8.2233999999999998</v>
      </c>
      <c r="G740" s="308">
        <v>7.7876000000000003</v>
      </c>
      <c r="H740" s="308">
        <v>7.2201000000000004</v>
      </c>
      <c r="I740" s="308">
        <v>7.3160999999999996</v>
      </c>
      <c r="J740" s="308">
        <v>6.3079000000000001</v>
      </c>
      <c r="K740" s="308">
        <v>1.4903999999999999</v>
      </c>
      <c r="L740" s="308">
        <v>6.1936999999999998</v>
      </c>
      <c r="M740" s="308">
        <v>8.1570999999999998</v>
      </c>
      <c r="N740" s="308">
        <v>7.9142000000000001</v>
      </c>
      <c r="O740" s="308">
        <v>5.7095000000000002</v>
      </c>
      <c r="P740" s="308">
        <v>7.6254</v>
      </c>
      <c r="Q740" s="308">
        <v>7.4786999999999999</v>
      </c>
      <c r="R740" s="308">
        <v>7.6722000000000001</v>
      </c>
      <c r="S740" s="308">
        <v>7.9127999999999998</v>
      </c>
      <c r="T740" s="308">
        <v>7.3000999999999996</v>
      </c>
      <c r="U740" s="308">
        <v>8.5437999999999992</v>
      </c>
      <c r="V740" s="308">
        <v>6.9863999999999997</v>
      </c>
      <c r="W740" s="308">
        <v>6.1657999999999999</v>
      </c>
      <c r="X740" s="308">
        <v>7.0660999999999996</v>
      </c>
      <c r="Y740" s="308">
        <v>9.0777999999999999</v>
      </c>
      <c r="Z740" s="308">
        <v>7.0082000000000004</v>
      </c>
      <c r="AA740" s="308">
        <v>8.0718999999999994</v>
      </c>
      <c r="AB740" s="308">
        <v>6.6455000000000002</v>
      </c>
      <c r="AC740" s="308">
        <v>6.5442999999999998</v>
      </c>
      <c r="AD740" s="308">
        <v>7.3507999999999996</v>
      </c>
      <c r="AE740" s="308">
        <v>8.016</v>
      </c>
      <c r="AF740" s="308">
        <v>4.9268000000000001</v>
      </c>
      <c r="AG740" s="308">
        <v>7.5095000000000001</v>
      </c>
      <c r="AH740" s="308">
        <v>6.3704999999999998</v>
      </c>
      <c r="AI740" s="308">
        <v>6.2262000000000004</v>
      </c>
      <c r="AJ740" s="308">
        <v>6.2310999999999996</v>
      </c>
      <c r="AK740" s="308">
        <v>5.9722999999999997</v>
      </c>
      <c r="AL740" s="308">
        <v>5.2889999999999997</v>
      </c>
      <c r="AM740" s="308">
        <v>7.9492000000000003</v>
      </c>
      <c r="AN740" s="308">
        <v>8.4733999999999998</v>
      </c>
      <c r="AO740" s="308">
        <v>8.4704999999999995</v>
      </c>
      <c r="AP740" s="308">
        <v>8.0808</v>
      </c>
      <c r="AQ740" s="308">
        <v>7.5106999999999999</v>
      </c>
      <c r="AR740" s="308">
        <v>7.5720999999999998</v>
      </c>
      <c r="AS740" s="308">
        <v>6.6867999999999999</v>
      </c>
      <c r="AT740" s="308">
        <v>8.7751999999999999</v>
      </c>
      <c r="AU740" s="308">
        <v>7.2701000000000002</v>
      </c>
      <c r="AV740" s="308">
        <v>10.4648</v>
      </c>
      <c r="AW740" s="308">
        <v>6.5605000000000002</v>
      </c>
      <c r="AX740" s="308">
        <v>8.2819000000000003</v>
      </c>
      <c r="AY740" s="308">
        <v>6.8365999999999998</v>
      </c>
      <c r="AZ740" s="308">
        <v>8.0877999999999997</v>
      </c>
      <c r="BA740" s="308">
        <v>7.1959999999999997</v>
      </c>
      <c r="BB740" s="308">
        <v>4.9349999999999996</v>
      </c>
      <c r="BC740" s="308">
        <v>7.0747</v>
      </c>
      <c r="BD740" s="308">
        <v>7.2626999999999997</v>
      </c>
      <c r="BE740" s="308">
        <v>8.0877999999999997</v>
      </c>
      <c r="BF740" s="308">
        <v>7.4999000000000002</v>
      </c>
      <c r="BG740" s="308">
        <v>8.5623000000000005</v>
      </c>
      <c r="BH740" s="308">
        <v>8.8315999999999999</v>
      </c>
      <c r="BI740" s="308">
        <v>7.9177999999999997</v>
      </c>
      <c r="BJ740" s="308">
        <v>7.6673999999999998</v>
      </c>
      <c r="BK740" s="308">
        <v>7.3856000000000002</v>
      </c>
    </row>
    <row r="741" spans="1:63" x14ac:dyDescent="0.25">
      <c r="A741" s="306">
        <v>511200</v>
      </c>
      <c r="B741" s="308" t="s">
        <v>290</v>
      </c>
      <c r="C741" s="308">
        <v>8.2773000000000003</v>
      </c>
      <c r="D741" s="308">
        <v>8.3247</v>
      </c>
      <c r="E741" s="308">
        <v>9.8610000000000007</v>
      </c>
      <c r="F741" s="308">
        <v>8.9994999999999994</v>
      </c>
      <c r="G741" s="308">
        <v>8.6013999999999999</v>
      </c>
      <c r="H741" s="308">
        <v>6.7876000000000003</v>
      </c>
      <c r="I741" s="308">
        <v>7.4608999999999996</v>
      </c>
      <c r="J741" s="308">
        <v>6.1169000000000002</v>
      </c>
      <c r="K741" s="308">
        <v>1.7483</v>
      </c>
      <c r="L741" s="308">
        <v>7.0397999999999996</v>
      </c>
      <c r="M741" s="308">
        <v>8.5297999999999998</v>
      </c>
      <c r="N741" s="308">
        <v>7.7237</v>
      </c>
      <c r="O741" s="308">
        <v>7.9161999999999999</v>
      </c>
      <c r="P741" s="308">
        <v>7.9960000000000004</v>
      </c>
      <c r="Q741" s="308">
        <v>7.6573000000000002</v>
      </c>
      <c r="R741" s="308">
        <v>7.9813999999999998</v>
      </c>
      <c r="S741" s="308">
        <v>8.0196000000000005</v>
      </c>
      <c r="T741" s="308">
        <v>7.2236000000000002</v>
      </c>
      <c r="U741" s="308">
        <v>9.1826000000000008</v>
      </c>
      <c r="V741" s="308">
        <v>9.0006000000000004</v>
      </c>
      <c r="W741" s="308">
        <v>6.2506000000000004</v>
      </c>
      <c r="X741" s="308">
        <v>7.0228000000000002</v>
      </c>
      <c r="Y741" s="308">
        <v>9.7451000000000008</v>
      </c>
      <c r="Z741" s="308">
        <v>7.6703999999999999</v>
      </c>
      <c r="AA741" s="308">
        <v>7.6961000000000004</v>
      </c>
      <c r="AB741" s="308">
        <v>6.8902000000000001</v>
      </c>
      <c r="AC741" s="308">
        <v>8.7227999999999994</v>
      </c>
      <c r="AD741" s="308">
        <v>9.2108000000000008</v>
      </c>
      <c r="AE741" s="308">
        <v>7.9244000000000003</v>
      </c>
      <c r="AF741" s="308">
        <v>5.7168999999999999</v>
      </c>
      <c r="AG741" s="308">
        <v>8.0747999999999998</v>
      </c>
      <c r="AH741" s="308">
        <v>6.3960999999999997</v>
      </c>
      <c r="AI741" s="308">
        <v>6.3426999999999998</v>
      </c>
      <c r="AJ741" s="308">
        <v>8.0413999999999994</v>
      </c>
      <c r="AK741" s="308">
        <v>8.0216999999999992</v>
      </c>
      <c r="AL741" s="308">
        <v>5.2215999999999996</v>
      </c>
      <c r="AM741" s="308">
        <v>8.6527999999999992</v>
      </c>
      <c r="AN741" s="308">
        <v>10.000400000000001</v>
      </c>
      <c r="AO741" s="308">
        <v>8.0853999999999999</v>
      </c>
      <c r="AP741" s="308">
        <v>7.1616999999999997</v>
      </c>
      <c r="AQ741" s="308">
        <v>7.1234999999999999</v>
      </c>
      <c r="AR741" s="308">
        <v>9.6635000000000009</v>
      </c>
      <c r="AS741" s="308">
        <v>7.9356999999999998</v>
      </c>
      <c r="AT741" s="308">
        <v>6.6711999999999998</v>
      </c>
      <c r="AU741" s="308">
        <v>7.6494</v>
      </c>
      <c r="AV741" s="308">
        <v>10.049799999999999</v>
      </c>
      <c r="AW741" s="308">
        <v>6.3864999999999998</v>
      </c>
      <c r="AX741" s="308">
        <v>8.2696000000000005</v>
      </c>
      <c r="AY741" s="308">
        <v>6.3601000000000001</v>
      </c>
      <c r="AZ741" s="308">
        <v>8.3656000000000006</v>
      </c>
      <c r="BA741" s="308">
        <v>7.5792000000000002</v>
      </c>
      <c r="BB741" s="308">
        <v>7.4166999999999996</v>
      </c>
      <c r="BC741" s="308">
        <v>6.7313999999999998</v>
      </c>
      <c r="BD741" s="308">
        <v>6.8285999999999998</v>
      </c>
      <c r="BE741" s="308">
        <v>8.4726999999999997</v>
      </c>
      <c r="BF741" s="308">
        <v>7.6214000000000004</v>
      </c>
      <c r="BG741" s="308">
        <v>8.2369000000000003</v>
      </c>
      <c r="BH741" s="308">
        <v>7.6551999999999998</v>
      </c>
      <c r="BI741" s="308">
        <v>7.8722000000000003</v>
      </c>
      <c r="BJ741" s="308">
        <v>8.2896999999999998</v>
      </c>
      <c r="BK741" s="308">
        <v>6.9909999999999997</v>
      </c>
    </row>
    <row r="742" spans="1:63" x14ac:dyDescent="0.25">
      <c r="A742" s="306">
        <v>512100</v>
      </c>
      <c r="B742" s="308" t="s">
        <v>291</v>
      </c>
      <c r="C742" s="308">
        <v>10.2134</v>
      </c>
      <c r="D742" s="308">
        <v>17.557200000000002</v>
      </c>
      <c r="E742" s="308">
        <v>19.078299999999999</v>
      </c>
      <c r="F742" s="308">
        <v>15.0688</v>
      </c>
      <c r="G742" s="308">
        <v>15.168699999999999</v>
      </c>
      <c r="H742" s="308">
        <v>7.6432000000000002</v>
      </c>
      <c r="I742" s="308">
        <v>14.6151</v>
      </c>
      <c r="J742" s="308">
        <v>9.5376999999999992</v>
      </c>
      <c r="K742" s="308">
        <v>2.6758000000000002</v>
      </c>
      <c r="L742" s="308">
        <v>12.7963</v>
      </c>
      <c r="M742" s="308">
        <v>9.6343999999999994</v>
      </c>
      <c r="N742" s="308">
        <v>11.321300000000001</v>
      </c>
      <c r="O742" s="308">
        <v>10.8408</v>
      </c>
      <c r="P742" s="308">
        <v>16.7681</v>
      </c>
      <c r="Q742" s="308">
        <v>5.7034000000000002</v>
      </c>
      <c r="R742" s="308">
        <v>9.8583999999999996</v>
      </c>
      <c r="S742" s="308">
        <v>18.681100000000001</v>
      </c>
      <c r="T742" s="308">
        <v>17.033799999999999</v>
      </c>
      <c r="U742" s="308">
        <v>18.952000000000002</v>
      </c>
      <c r="V742" s="308">
        <v>10.432700000000001</v>
      </c>
      <c r="W742" s="308">
        <v>9.4644999999999992</v>
      </c>
      <c r="X742" s="308">
        <v>12.2592</v>
      </c>
      <c r="Y742" s="308">
        <v>10.648</v>
      </c>
      <c r="Z742" s="308">
        <v>13.168699999999999</v>
      </c>
      <c r="AA742" s="308">
        <v>15.402699999999999</v>
      </c>
      <c r="AB742" s="308">
        <v>13.7887</v>
      </c>
      <c r="AC742" s="308">
        <v>5.7007000000000003</v>
      </c>
      <c r="AD742" s="308">
        <v>18.5626</v>
      </c>
      <c r="AE742" s="308">
        <v>15.651999999999999</v>
      </c>
      <c r="AF742" s="308">
        <v>4.4238</v>
      </c>
      <c r="AG742" s="308">
        <v>6.0115999999999996</v>
      </c>
      <c r="AH742" s="308">
        <v>8.6611999999999991</v>
      </c>
      <c r="AI742" s="308">
        <v>8.3003999999999998</v>
      </c>
      <c r="AJ742" s="308">
        <v>9.9770000000000003</v>
      </c>
      <c r="AK742" s="308">
        <v>11.4655</v>
      </c>
      <c r="AL742" s="308">
        <v>6.1239999999999997</v>
      </c>
      <c r="AM742" s="308">
        <v>16.102399999999999</v>
      </c>
      <c r="AN742" s="308">
        <v>16.5595</v>
      </c>
      <c r="AO742" s="308">
        <v>10.6149</v>
      </c>
      <c r="AP742" s="308">
        <v>10.8362</v>
      </c>
      <c r="AQ742" s="308">
        <v>10.632</v>
      </c>
      <c r="AR742" s="308">
        <v>19.6997</v>
      </c>
      <c r="AS742" s="308">
        <v>14.8178</v>
      </c>
      <c r="AT742" s="308">
        <v>9.4238999999999997</v>
      </c>
      <c r="AU742" s="308">
        <v>12.7614</v>
      </c>
      <c r="AV742" s="308">
        <v>16.517700000000001</v>
      </c>
      <c r="AW742" s="308">
        <v>10.3954</v>
      </c>
      <c r="AX742" s="308">
        <v>20.310400000000001</v>
      </c>
      <c r="AY742" s="308">
        <v>14.584199999999999</v>
      </c>
      <c r="AZ742" s="308">
        <v>15.077999999999999</v>
      </c>
      <c r="BA742" s="308">
        <v>5.9428000000000001</v>
      </c>
      <c r="BB742" s="308">
        <v>20.3399</v>
      </c>
      <c r="BC742" s="308">
        <v>10.4039</v>
      </c>
      <c r="BD742" s="308">
        <v>8.0212000000000003</v>
      </c>
      <c r="BE742" s="308">
        <v>13.0311</v>
      </c>
      <c r="BF742" s="308">
        <v>13.713200000000001</v>
      </c>
      <c r="BG742" s="308">
        <v>11.3111</v>
      </c>
      <c r="BH742" s="308">
        <v>10.2514</v>
      </c>
      <c r="BI742" s="308">
        <v>12.758900000000001</v>
      </c>
      <c r="BJ742" s="308">
        <v>12.970499999999999</v>
      </c>
      <c r="BK742" s="308">
        <v>7.9817</v>
      </c>
    </row>
    <row r="743" spans="1:63" x14ac:dyDescent="0.25">
      <c r="A743" s="306">
        <v>512200</v>
      </c>
      <c r="B743" s="308" t="s">
        <v>292</v>
      </c>
      <c r="C743" s="308">
        <v>10.612399999999999</v>
      </c>
      <c r="D743" s="308">
        <v>8.8021999999999991</v>
      </c>
      <c r="E743" s="308">
        <v>10.3786</v>
      </c>
      <c r="F743" s="308">
        <v>9.1242999999999999</v>
      </c>
      <c r="G743" s="308">
        <v>9.4831000000000003</v>
      </c>
      <c r="H743" s="308">
        <v>8.2370000000000001</v>
      </c>
      <c r="I743" s="308">
        <v>9.8486999999999991</v>
      </c>
      <c r="J743" s="308">
        <v>7.2169999999999996</v>
      </c>
      <c r="K743" s="308">
        <v>2.2349999999999999</v>
      </c>
      <c r="L743" s="308">
        <v>8.9042999999999992</v>
      </c>
      <c r="M743" s="308">
        <v>8.5952999999999999</v>
      </c>
      <c r="N743" s="308">
        <v>9.8112999999999992</v>
      </c>
      <c r="O743" s="308">
        <v>10.490399999999999</v>
      </c>
      <c r="P743" s="308">
        <v>10.3543</v>
      </c>
      <c r="Q743" s="308">
        <v>5.9141000000000004</v>
      </c>
      <c r="R743" s="308">
        <v>9.3703000000000003</v>
      </c>
      <c r="S743" s="308">
        <v>8.2277000000000005</v>
      </c>
      <c r="T743" s="308">
        <v>7.9211999999999998</v>
      </c>
      <c r="U743" s="308">
        <v>11.2402</v>
      </c>
      <c r="V743" s="308">
        <v>10.1579</v>
      </c>
      <c r="W743" s="308">
        <v>8.0870999999999995</v>
      </c>
      <c r="X743" s="308">
        <v>8.9405000000000001</v>
      </c>
      <c r="Y743" s="308">
        <v>6.4866000000000001</v>
      </c>
      <c r="Z743" s="308">
        <v>8.6866000000000003</v>
      </c>
      <c r="AA743" s="308">
        <v>11.250400000000001</v>
      </c>
      <c r="AB743" s="308">
        <v>8.8530999999999995</v>
      </c>
      <c r="AC743" s="308">
        <v>7.2892000000000001</v>
      </c>
      <c r="AD743" s="308">
        <v>11.508900000000001</v>
      </c>
      <c r="AE743" s="308">
        <v>9.6156000000000006</v>
      </c>
      <c r="AF743" s="308">
        <v>6.4413999999999998</v>
      </c>
      <c r="AG743" s="308">
        <v>7.3624999999999998</v>
      </c>
      <c r="AH743" s="308">
        <v>7.5476000000000001</v>
      </c>
      <c r="AI743" s="308">
        <v>8.0187000000000008</v>
      </c>
      <c r="AJ743" s="308">
        <v>9.468</v>
      </c>
      <c r="AK743" s="308">
        <v>10.9717</v>
      </c>
      <c r="AL743" s="308">
        <v>6.4165000000000001</v>
      </c>
      <c r="AM743" s="308">
        <v>9.1730999999999998</v>
      </c>
      <c r="AN743" s="308">
        <v>12.5275</v>
      </c>
      <c r="AO743" s="308">
        <v>10.2788</v>
      </c>
      <c r="AP743" s="308">
        <v>9.1446000000000005</v>
      </c>
      <c r="AQ743" s="308">
        <v>8.7553000000000001</v>
      </c>
      <c r="AR743" s="308">
        <v>7.9642999999999997</v>
      </c>
      <c r="AS743" s="308">
        <v>7.8856000000000002</v>
      </c>
      <c r="AT743" s="308">
        <v>8.5548999999999999</v>
      </c>
      <c r="AU743" s="308">
        <v>8.2104999999999997</v>
      </c>
      <c r="AV743" s="308">
        <v>9.7187000000000001</v>
      </c>
      <c r="AW743" s="308">
        <v>7.3960999999999997</v>
      </c>
      <c r="AX743" s="308">
        <v>8.4556000000000004</v>
      </c>
      <c r="AY743" s="308">
        <v>9.3757000000000001</v>
      </c>
      <c r="AZ743" s="308">
        <v>8.0678999999999998</v>
      </c>
      <c r="BA743" s="308">
        <v>5.4367999999999999</v>
      </c>
      <c r="BB743" s="308">
        <v>8.1755999999999993</v>
      </c>
      <c r="BC743" s="308">
        <v>8.0547000000000004</v>
      </c>
      <c r="BD743" s="308">
        <v>8.4098000000000006</v>
      </c>
      <c r="BE743" s="308">
        <v>9.3190000000000008</v>
      </c>
      <c r="BF743" s="308">
        <v>10.020200000000001</v>
      </c>
      <c r="BG743" s="308">
        <v>9.3219999999999992</v>
      </c>
      <c r="BH743" s="308">
        <v>8.8034999999999997</v>
      </c>
      <c r="BI743" s="308">
        <v>8.4435000000000002</v>
      </c>
      <c r="BJ743" s="308">
        <v>10.198</v>
      </c>
      <c r="BK743" s="308">
        <v>8.6576000000000004</v>
      </c>
    </row>
    <row r="744" spans="1:63" x14ac:dyDescent="0.25">
      <c r="A744" s="306">
        <v>515100</v>
      </c>
      <c r="B744" s="308" t="s">
        <v>293</v>
      </c>
      <c r="C744" s="308">
        <v>11.209</v>
      </c>
      <c r="D744" s="308">
        <v>8.5526</v>
      </c>
      <c r="E744" s="308">
        <v>10.2181</v>
      </c>
      <c r="F744" s="308">
        <v>7.7324999999999999</v>
      </c>
      <c r="G744" s="308">
        <v>8.0356000000000005</v>
      </c>
      <c r="H744" s="308">
        <v>9.0597999999999992</v>
      </c>
      <c r="I744" s="308">
        <v>8.8415999999999997</v>
      </c>
      <c r="J744" s="308">
        <v>7.3727999999999998</v>
      </c>
      <c r="K744" s="308">
        <v>2.1101999999999999</v>
      </c>
      <c r="L744" s="308">
        <v>5.0826000000000002</v>
      </c>
      <c r="M744" s="308">
        <v>8.2375000000000007</v>
      </c>
      <c r="N744" s="308">
        <v>8.3145000000000007</v>
      </c>
      <c r="O744" s="308">
        <v>10.291</v>
      </c>
      <c r="P744" s="308">
        <v>9.0251000000000001</v>
      </c>
      <c r="Q744" s="308">
        <v>9.5586000000000002</v>
      </c>
      <c r="R744" s="308">
        <v>7.7944000000000004</v>
      </c>
      <c r="S744" s="308">
        <v>10.665100000000001</v>
      </c>
      <c r="T744" s="308">
        <v>6.6550000000000002</v>
      </c>
      <c r="U744" s="308">
        <v>10.6105</v>
      </c>
      <c r="V744" s="308">
        <v>10.4687</v>
      </c>
      <c r="W744" s="308">
        <v>7.5960000000000001</v>
      </c>
      <c r="X744" s="308">
        <v>7.0521000000000003</v>
      </c>
      <c r="Y744" s="308">
        <v>9.7913999999999994</v>
      </c>
      <c r="Z744" s="308">
        <v>9.3188999999999993</v>
      </c>
      <c r="AA744" s="308">
        <v>9.0162999999999993</v>
      </c>
      <c r="AB744" s="308">
        <v>7.7392000000000003</v>
      </c>
      <c r="AC744" s="308">
        <v>7.1060999999999996</v>
      </c>
      <c r="AD744" s="308">
        <v>10.2765</v>
      </c>
      <c r="AE744" s="308">
        <v>9.7813999999999997</v>
      </c>
      <c r="AF744" s="308">
        <v>8.0556000000000001</v>
      </c>
      <c r="AG744" s="308">
        <v>9.5525000000000002</v>
      </c>
      <c r="AH744" s="308">
        <v>6.7122000000000002</v>
      </c>
      <c r="AI744" s="308">
        <v>6.6258999999999997</v>
      </c>
      <c r="AJ744" s="308">
        <v>9.3846000000000007</v>
      </c>
      <c r="AK744" s="308">
        <v>7.2525000000000004</v>
      </c>
      <c r="AL744" s="308">
        <v>6.8631000000000002</v>
      </c>
      <c r="AM744" s="308">
        <v>10.145300000000001</v>
      </c>
      <c r="AN744" s="308">
        <v>8.6636000000000006</v>
      </c>
      <c r="AO744" s="308">
        <v>10.4824</v>
      </c>
      <c r="AP744" s="308">
        <v>7.6070000000000002</v>
      </c>
      <c r="AQ744" s="308">
        <v>6.8254000000000001</v>
      </c>
      <c r="AR744" s="308">
        <v>7.2927</v>
      </c>
      <c r="AS744" s="308">
        <v>8.7696000000000005</v>
      </c>
      <c r="AT744" s="308">
        <v>10.710100000000001</v>
      </c>
      <c r="AU744" s="308">
        <v>8.7512000000000008</v>
      </c>
      <c r="AV744" s="308">
        <v>12.9907</v>
      </c>
      <c r="AW744" s="308">
        <v>7.9549000000000003</v>
      </c>
      <c r="AX744" s="308">
        <v>9.7085000000000008</v>
      </c>
      <c r="AY744" s="308">
        <v>7.7366000000000001</v>
      </c>
      <c r="AZ744" s="308">
        <v>9.1971000000000007</v>
      </c>
      <c r="BA744" s="308">
        <v>8.5166000000000004</v>
      </c>
      <c r="BB744" s="308">
        <v>8.9121000000000006</v>
      </c>
      <c r="BC744" s="308">
        <v>8.6856000000000009</v>
      </c>
      <c r="BD744" s="308">
        <v>8.8414999999999999</v>
      </c>
      <c r="BE744" s="308">
        <v>9.3085000000000004</v>
      </c>
      <c r="BF744" s="308">
        <v>9.1315000000000008</v>
      </c>
      <c r="BG744" s="308">
        <v>9.2056000000000004</v>
      </c>
      <c r="BH744" s="308">
        <v>10.1417</v>
      </c>
      <c r="BI744" s="308">
        <v>9.1770999999999994</v>
      </c>
      <c r="BJ744" s="308">
        <v>9.6006</v>
      </c>
      <c r="BK744" s="308">
        <v>9.51</v>
      </c>
    </row>
    <row r="745" spans="1:63" x14ac:dyDescent="0.25">
      <c r="A745" s="306">
        <v>515200</v>
      </c>
      <c r="B745" s="308" t="s">
        <v>294</v>
      </c>
      <c r="C745" s="308">
        <v>10.0983</v>
      </c>
      <c r="D745" s="308">
        <v>9.3622999999999994</v>
      </c>
      <c r="E745" s="308">
        <v>10.3514</v>
      </c>
      <c r="F745" s="308">
        <v>8.1540999999999997</v>
      </c>
      <c r="G745" s="308">
        <v>8.6281999999999996</v>
      </c>
      <c r="H745" s="308">
        <v>8.7255000000000003</v>
      </c>
      <c r="I745" s="308">
        <v>8.4518000000000004</v>
      </c>
      <c r="J745" s="308">
        <v>6.3376999999999999</v>
      </c>
      <c r="K745" s="308">
        <v>1.8286</v>
      </c>
      <c r="L745" s="308">
        <v>5.2218999999999998</v>
      </c>
      <c r="M745" s="308">
        <v>7.0991</v>
      </c>
      <c r="N745" s="308">
        <v>7.7514000000000003</v>
      </c>
      <c r="O745" s="308">
        <v>10.3116</v>
      </c>
      <c r="P745" s="308">
        <v>9.1493000000000002</v>
      </c>
      <c r="Q745" s="308">
        <v>9.8198000000000008</v>
      </c>
      <c r="R745" s="308">
        <v>7.7031999999999998</v>
      </c>
      <c r="S745" s="308">
        <v>5.9560000000000004</v>
      </c>
      <c r="T745" s="308">
        <v>6.5067000000000004</v>
      </c>
      <c r="U745" s="308">
        <v>9.7025000000000006</v>
      </c>
      <c r="V745" s="308">
        <v>9.2014999999999993</v>
      </c>
      <c r="W745" s="308">
        <v>7.5726000000000004</v>
      </c>
      <c r="X745" s="308">
        <v>6.0998999999999999</v>
      </c>
      <c r="Y745" s="308">
        <v>8.7734000000000005</v>
      </c>
      <c r="Z745" s="308">
        <v>8.8930000000000007</v>
      </c>
      <c r="AA745" s="308">
        <v>10.1922</v>
      </c>
      <c r="AB745" s="308">
        <v>7.2632000000000003</v>
      </c>
      <c r="AC745" s="308">
        <v>8.8879999999999999</v>
      </c>
      <c r="AD745" s="308">
        <v>7.5045999999999999</v>
      </c>
      <c r="AE745" s="308">
        <v>8.7982999999999993</v>
      </c>
      <c r="AF745" s="308">
        <v>0</v>
      </c>
      <c r="AG745" s="308">
        <v>8.5088000000000008</v>
      </c>
      <c r="AH745" s="308">
        <v>7.282</v>
      </c>
      <c r="AI745" s="308">
        <v>6.1086999999999998</v>
      </c>
      <c r="AJ745" s="308">
        <v>7.8529</v>
      </c>
      <c r="AK745" s="308">
        <v>7.3131000000000004</v>
      </c>
      <c r="AL745" s="308">
        <v>6.1353999999999997</v>
      </c>
      <c r="AM745" s="308">
        <v>10.364599999999999</v>
      </c>
      <c r="AN745" s="308">
        <v>8.2959999999999994</v>
      </c>
      <c r="AO745" s="308">
        <v>8.4055999999999997</v>
      </c>
      <c r="AP745" s="308">
        <v>6.6924000000000001</v>
      </c>
      <c r="AQ745" s="308">
        <v>5.8482000000000003</v>
      </c>
      <c r="AR745" s="308">
        <v>7.0742000000000003</v>
      </c>
      <c r="AS745" s="308">
        <v>6.7328999999999999</v>
      </c>
      <c r="AT745" s="308">
        <v>7.6341000000000001</v>
      </c>
      <c r="AU745" s="308">
        <v>9.0312000000000001</v>
      </c>
      <c r="AV745" s="308">
        <v>12.752599999999999</v>
      </c>
      <c r="AW745" s="308">
        <v>7.0022000000000002</v>
      </c>
      <c r="AX745" s="308">
        <v>10.081799999999999</v>
      </c>
      <c r="AY745" s="308">
        <v>6.7279999999999998</v>
      </c>
      <c r="AZ745" s="308">
        <v>7.5338000000000003</v>
      </c>
      <c r="BA745" s="308">
        <v>8.3459000000000003</v>
      </c>
      <c r="BB745" s="308">
        <v>8.1141000000000005</v>
      </c>
      <c r="BC745" s="308">
        <v>7.5091000000000001</v>
      </c>
      <c r="BD745" s="308">
        <v>7.8247</v>
      </c>
      <c r="BE745" s="308">
        <v>8.1754999999999995</v>
      </c>
      <c r="BF745" s="308">
        <v>8.6117000000000008</v>
      </c>
      <c r="BG745" s="308">
        <v>8.3742000000000001</v>
      </c>
      <c r="BH745" s="308">
        <v>7.4339000000000004</v>
      </c>
      <c r="BI745" s="308">
        <v>9.0609999999999999</v>
      </c>
      <c r="BJ745" s="308">
        <v>8.9163999999999994</v>
      </c>
      <c r="BK745" s="308">
        <v>8.8676999999999992</v>
      </c>
    </row>
    <row r="746" spans="1:63" x14ac:dyDescent="0.25">
      <c r="A746" s="306">
        <v>517000</v>
      </c>
      <c r="B746" s="308" t="s">
        <v>295</v>
      </c>
      <c r="C746" s="308">
        <v>6.9252000000000002</v>
      </c>
      <c r="D746" s="308">
        <v>4.9146000000000001</v>
      </c>
      <c r="E746" s="308">
        <v>6.2961999999999998</v>
      </c>
      <c r="F746" s="308">
        <v>4.9908000000000001</v>
      </c>
      <c r="G746" s="308">
        <v>6.0944000000000003</v>
      </c>
      <c r="H746" s="308">
        <v>5.4112</v>
      </c>
      <c r="I746" s="308">
        <v>5.516</v>
      </c>
      <c r="J746" s="308">
        <v>4.7209000000000003</v>
      </c>
      <c r="K746" s="308">
        <v>0.9153</v>
      </c>
      <c r="L746" s="308">
        <v>4.6010999999999997</v>
      </c>
      <c r="M746" s="308">
        <v>6.7934000000000001</v>
      </c>
      <c r="N746" s="308">
        <v>5.8231000000000002</v>
      </c>
      <c r="O746" s="308">
        <v>5.7662000000000004</v>
      </c>
      <c r="P746" s="308">
        <v>5.6668000000000003</v>
      </c>
      <c r="Q746" s="308">
        <v>6.2493999999999996</v>
      </c>
      <c r="R746" s="308">
        <v>5.6704999999999997</v>
      </c>
      <c r="S746" s="308">
        <v>5.7725999999999997</v>
      </c>
      <c r="T746" s="308">
        <v>4.0454999999999997</v>
      </c>
      <c r="U746" s="308">
        <v>6.2470999999999997</v>
      </c>
      <c r="V746" s="308">
        <v>6.4490999999999996</v>
      </c>
      <c r="W746" s="308">
        <v>4.7817999999999996</v>
      </c>
      <c r="X746" s="308">
        <v>5.4652000000000003</v>
      </c>
      <c r="Y746" s="308">
        <v>5.9560000000000004</v>
      </c>
      <c r="Z746" s="308">
        <v>6.048</v>
      </c>
      <c r="AA746" s="308">
        <v>5.6481000000000003</v>
      </c>
      <c r="AB746" s="308">
        <v>5.2077999999999998</v>
      </c>
      <c r="AC746" s="308">
        <v>6.0816999999999997</v>
      </c>
      <c r="AD746" s="308">
        <v>6.3914999999999997</v>
      </c>
      <c r="AE746" s="308">
        <v>6.0495000000000001</v>
      </c>
      <c r="AF746" s="308">
        <v>4.6016000000000004</v>
      </c>
      <c r="AG746" s="308">
        <v>5.2182000000000004</v>
      </c>
      <c r="AH746" s="308">
        <v>5.4169999999999998</v>
      </c>
      <c r="AI746" s="308">
        <v>4.8662999999999998</v>
      </c>
      <c r="AJ746" s="308">
        <v>6.8719000000000001</v>
      </c>
      <c r="AK746" s="308">
        <v>5.7492999999999999</v>
      </c>
      <c r="AL746" s="308">
        <v>4.1990999999999996</v>
      </c>
      <c r="AM746" s="308">
        <v>5.9592999999999998</v>
      </c>
      <c r="AN746" s="308">
        <v>6.6961000000000004</v>
      </c>
      <c r="AO746" s="308">
        <v>5.8727999999999998</v>
      </c>
      <c r="AP746" s="308">
        <v>5.5952999999999999</v>
      </c>
      <c r="AQ746" s="308">
        <v>4.5819999999999999</v>
      </c>
      <c r="AR746" s="308">
        <v>6.6456999999999997</v>
      </c>
      <c r="AS746" s="308">
        <v>5.3634000000000004</v>
      </c>
      <c r="AT746" s="308">
        <v>6.6756000000000002</v>
      </c>
      <c r="AU746" s="308">
        <v>6.2413999999999996</v>
      </c>
      <c r="AV746" s="308">
        <v>7.7324000000000002</v>
      </c>
      <c r="AW746" s="308">
        <v>4.7967000000000004</v>
      </c>
      <c r="AX746" s="308">
        <v>5.5274000000000001</v>
      </c>
      <c r="AY746" s="308">
        <v>5.2061999999999999</v>
      </c>
      <c r="AZ746" s="308">
        <v>5.9489000000000001</v>
      </c>
      <c r="BA746" s="308">
        <v>5.3322000000000003</v>
      </c>
      <c r="BB746" s="308">
        <v>5.2849000000000004</v>
      </c>
      <c r="BC746" s="308">
        <v>5.4462000000000002</v>
      </c>
      <c r="BD746" s="308">
        <v>5.4515000000000002</v>
      </c>
      <c r="BE746" s="308">
        <v>6.0627000000000004</v>
      </c>
      <c r="BF746" s="308">
        <v>5.5763999999999996</v>
      </c>
      <c r="BG746" s="308">
        <v>6.4817999999999998</v>
      </c>
      <c r="BH746" s="308">
        <v>6.6524999999999999</v>
      </c>
      <c r="BI746" s="308">
        <v>6.4176000000000002</v>
      </c>
      <c r="BJ746" s="308">
        <v>6.3616000000000001</v>
      </c>
      <c r="BK746" s="308">
        <v>5.6486999999999998</v>
      </c>
    </row>
    <row r="747" spans="1:63" x14ac:dyDescent="0.25">
      <c r="A747" s="306" t="s">
        <v>763</v>
      </c>
      <c r="B747" s="308" t="s">
        <v>764</v>
      </c>
      <c r="C747" s="308">
        <v>8.9021000000000008</v>
      </c>
      <c r="D747" s="308">
        <v>10.238300000000001</v>
      </c>
      <c r="E747" s="308">
        <v>11.236599999999999</v>
      </c>
      <c r="F747" s="308">
        <v>9.5549999999999997</v>
      </c>
      <c r="G747" s="308">
        <v>8.9705999999999992</v>
      </c>
      <c r="H747" s="308">
        <v>7.0056000000000003</v>
      </c>
      <c r="I747" s="308">
        <v>7.4474999999999998</v>
      </c>
      <c r="J747" s="308">
        <v>6.8982999999999999</v>
      </c>
      <c r="K747" s="308">
        <v>1.6752</v>
      </c>
      <c r="L747" s="308">
        <v>5.8632</v>
      </c>
      <c r="M747" s="308">
        <v>9.0952000000000002</v>
      </c>
      <c r="N747" s="308">
        <v>7.8705999999999996</v>
      </c>
      <c r="O747" s="308">
        <v>9.2359000000000009</v>
      </c>
      <c r="P747" s="308">
        <v>9.0970999999999993</v>
      </c>
      <c r="Q747" s="308">
        <v>9.0585000000000004</v>
      </c>
      <c r="R747" s="308">
        <v>7.1433999999999997</v>
      </c>
      <c r="S747" s="308">
        <v>9.9963999999999995</v>
      </c>
      <c r="T747" s="308">
        <v>7.1226000000000003</v>
      </c>
      <c r="U747" s="308">
        <v>9.7697000000000003</v>
      </c>
      <c r="V747" s="308">
        <v>9.5401000000000007</v>
      </c>
      <c r="W747" s="308">
        <v>6.2226999999999997</v>
      </c>
      <c r="X747" s="308">
        <v>7.6824000000000003</v>
      </c>
      <c r="Y747" s="308">
        <v>9.5092999999999996</v>
      </c>
      <c r="Z747" s="308">
        <v>9.7489000000000008</v>
      </c>
      <c r="AA747" s="308">
        <v>8.0746000000000002</v>
      </c>
      <c r="AB747" s="308">
        <v>7.0716999999999999</v>
      </c>
      <c r="AC747" s="308">
        <v>10.007899999999999</v>
      </c>
      <c r="AD747" s="308">
        <v>10.627599999999999</v>
      </c>
      <c r="AE747" s="308">
        <v>7.5450999999999997</v>
      </c>
      <c r="AF747" s="308">
        <v>9.11</v>
      </c>
      <c r="AG747" s="308">
        <v>6.3097000000000003</v>
      </c>
      <c r="AH747" s="308">
        <v>8.4669000000000008</v>
      </c>
      <c r="AI747" s="308">
        <v>6.3670999999999998</v>
      </c>
      <c r="AJ747" s="308">
        <v>11.0359</v>
      </c>
      <c r="AK747" s="308">
        <v>9.5991</v>
      </c>
      <c r="AL747" s="308">
        <v>5.6261000000000001</v>
      </c>
      <c r="AM747" s="308">
        <v>9.4212000000000007</v>
      </c>
      <c r="AN747" s="308">
        <v>11.282999999999999</v>
      </c>
      <c r="AO747" s="308">
        <v>7.5518000000000001</v>
      </c>
      <c r="AP747" s="308">
        <v>8.6266999999999996</v>
      </c>
      <c r="AQ747" s="308">
        <v>7.0650000000000004</v>
      </c>
      <c r="AR747" s="308">
        <v>8.9979999999999993</v>
      </c>
      <c r="AS747" s="308">
        <v>8.6958000000000002</v>
      </c>
      <c r="AT747" s="308">
        <v>8.6136999999999997</v>
      </c>
      <c r="AU747" s="308">
        <v>7.7340999999999998</v>
      </c>
      <c r="AV747" s="308">
        <v>10.8001</v>
      </c>
      <c r="AW747" s="308">
        <v>6.7552000000000003</v>
      </c>
      <c r="AX747" s="308">
        <v>9.7081</v>
      </c>
      <c r="AY747" s="308">
        <v>7.2962999999999996</v>
      </c>
      <c r="AZ747" s="308">
        <v>7.8369999999999997</v>
      </c>
      <c r="BA747" s="308">
        <v>9.1425000000000001</v>
      </c>
      <c r="BB747" s="308">
        <v>9.3500999999999994</v>
      </c>
      <c r="BC747" s="308">
        <v>7.4404000000000003</v>
      </c>
      <c r="BD747" s="308">
        <v>7.3197999999999999</v>
      </c>
      <c r="BE747" s="308">
        <v>8.4550999999999998</v>
      </c>
      <c r="BF747" s="308">
        <v>8.0672999999999995</v>
      </c>
      <c r="BG747" s="308">
        <v>8.6424000000000003</v>
      </c>
      <c r="BH747" s="308">
        <v>9.7630999999999997</v>
      </c>
      <c r="BI747" s="308">
        <v>8.0877999999999997</v>
      </c>
      <c r="BJ747" s="308">
        <v>9.08</v>
      </c>
      <c r="BK747" s="308">
        <v>7.2991000000000001</v>
      </c>
    </row>
    <row r="748" spans="1:63" x14ac:dyDescent="0.25">
      <c r="A748" s="306" t="s">
        <v>765</v>
      </c>
      <c r="B748" s="308" t="s">
        <v>296</v>
      </c>
      <c r="C748" s="308">
        <v>7.4501999999999997</v>
      </c>
      <c r="D748" s="308">
        <v>5.6448</v>
      </c>
      <c r="E748" s="308">
        <v>8.3934999999999995</v>
      </c>
      <c r="F748" s="308">
        <v>7.1950000000000003</v>
      </c>
      <c r="G748" s="308">
        <v>7.2351999999999999</v>
      </c>
      <c r="H748" s="308">
        <v>5.8224999999999998</v>
      </c>
      <c r="I748" s="308">
        <v>6.6710000000000003</v>
      </c>
      <c r="J748" s="308">
        <v>4.4604999999999997</v>
      </c>
      <c r="K748" s="308">
        <v>1.0209999999999999</v>
      </c>
      <c r="L748" s="308">
        <v>4.8358999999999996</v>
      </c>
      <c r="M748" s="308">
        <v>7.9992999999999999</v>
      </c>
      <c r="N748" s="308">
        <v>6.2649999999999997</v>
      </c>
      <c r="O748" s="308">
        <v>7.5460000000000003</v>
      </c>
      <c r="P748" s="308">
        <v>6.0067000000000004</v>
      </c>
      <c r="Q748" s="308">
        <v>6.9046000000000003</v>
      </c>
      <c r="R748" s="308">
        <v>6.1478999999999999</v>
      </c>
      <c r="S748" s="308">
        <v>6.9897999999999998</v>
      </c>
      <c r="T748" s="308">
        <v>6.3216999999999999</v>
      </c>
      <c r="U748" s="308">
        <v>7.9387999999999996</v>
      </c>
      <c r="V748" s="308">
        <v>8.423</v>
      </c>
      <c r="W748" s="308">
        <v>4.9726999999999997</v>
      </c>
      <c r="X748" s="308">
        <v>6.4417</v>
      </c>
      <c r="Y748" s="308">
        <v>8.2080000000000002</v>
      </c>
      <c r="Z748" s="308">
        <v>6.0026000000000002</v>
      </c>
      <c r="AA748" s="308">
        <v>6.5824999999999996</v>
      </c>
      <c r="AB748" s="308">
        <v>7.2542</v>
      </c>
      <c r="AC748" s="308">
        <v>8.6456999999999997</v>
      </c>
      <c r="AD748" s="308">
        <v>8.7446999999999999</v>
      </c>
      <c r="AE748" s="308">
        <v>6.3720999999999997</v>
      </c>
      <c r="AF748" s="308">
        <v>7.4051999999999998</v>
      </c>
      <c r="AG748" s="308">
        <v>6.5683999999999996</v>
      </c>
      <c r="AH748" s="308">
        <v>5.9405999999999999</v>
      </c>
      <c r="AI748" s="308">
        <v>5.5620000000000003</v>
      </c>
      <c r="AJ748" s="308">
        <v>8.0673999999999992</v>
      </c>
      <c r="AK748" s="308">
        <v>5.9645999999999999</v>
      </c>
      <c r="AL748" s="308">
        <v>4.1135999999999999</v>
      </c>
      <c r="AM748" s="308">
        <v>7.6124999999999998</v>
      </c>
      <c r="AN748" s="308">
        <v>9.1591000000000005</v>
      </c>
      <c r="AO748" s="308">
        <v>6.6237000000000004</v>
      </c>
      <c r="AP748" s="308">
        <v>6.2511000000000001</v>
      </c>
      <c r="AQ748" s="308">
        <v>5.4074999999999998</v>
      </c>
      <c r="AR748" s="308">
        <v>8.5616000000000003</v>
      </c>
      <c r="AS748" s="308">
        <v>8.5382999999999996</v>
      </c>
      <c r="AT748" s="308">
        <v>6.6294000000000004</v>
      </c>
      <c r="AU748" s="308">
        <v>6.9424999999999999</v>
      </c>
      <c r="AV748" s="308">
        <v>9.9266000000000005</v>
      </c>
      <c r="AW748" s="308">
        <v>5.1096000000000004</v>
      </c>
      <c r="AX748" s="308">
        <v>6.1420000000000003</v>
      </c>
      <c r="AY748" s="308">
        <v>5.3575999999999997</v>
      </c>
      <c r="AZ748" s="308">
        <v>7.6235999999999997</v>
      </c>
      <c r="BA748" s="308">
        <v>7.0777999999999999</v>
      </c>
      <c r="BB748" s="308">
        <v>7.4695</v>
      </c>
      <c r="BC748" s="308">
        <v>5.5587</v>
      </c>
      <c r="BD748" s="308">
        <v>5.5435999999999996</v>
      </c>
      <c r="BE748" s="308">
        <v>6.8954000000000004</v>
      </c>
      <c r="BF748" s="308">
        <v>7.2778999999999998</v>
      </c>
      <c r="BG748" s="308">
        <v>7.1048</v>
      </c>
      <c r="BH748" s="308">
        <v>7.5807000000000002</v>
      </c>
      <c r="BI748" s="308">
        <v>7.2514000000000003</v>
      </c>
      <c r="BJ748" s="308">
        <v>7.4089999999999998</v>
      </c>
      <c r="BK748" s="308">
        <v>5.9344999999999999</v>
      </c>
    </row>
    <row r="749" spans="1:63" x14ac:dyDescent="0.25">
      <c r="A749" s="306">
        <v>523000</v>
      </c>
      <c r="B749" s="308" t="s">
        <v>297</v>
      </c>
      <c r="C749" s="308">
        <v>14.2346</v>
      </c>
      <c r="D749" s="308">
        <v>24.950800000000001</v>
      </c>
      <c r="E749" s="308">
        <v>24.305900000000001</v>
      </c>
      <c r="F749" s="308">
        <v>19.087900000000001</v>
      </c>
      <c r="G749" s="308">
        <v>24.771899999999999</v>
      </c>
      <c r="H749" s="308">
        <v>11.6043</v>
      </c>
      <c r="I749" s="308">
        <v>16.6449</v>
      </c>
      <c r="J749" s="308">
        <v>7.3255999999999997</v>
      </c>
      <c r="K749" s="308">
        <v>2.3043</v>
      </c>
      <c r="L749" s="308">
        <v>10.2362</v>
      </c>
      <c r="M749" s="308">
        <v>18.655100000000001</v>
      </c>
      <c r="N749" s="308">
        <v>16.029800000000002</v>
      </c>
      <c r="O749" s="308">
        <v>32.1967</v>
      </c>
      <c r="P749" s="308">
        <v>25.803000000000001</v>
      </c>
      <c r="Q749" s="308">
        <v>29.8187</v>
      </c>
      <c r="R749" s="308">
        <v>10.5997</v>
      </c>
      <c r="S749" s="308">
        <v>20.411799999999999</v>
      </c>
      <c r="T749" s="308">
        <v>19.115100000000002</v>
      </c>
      <c r="U749" s="308">
        <v>15.431699999999999</v>
      </c>
      <c r="V749" s="308">
        <v>22.959900000000001</v>
      </c>
      <c r="W749" s="308">
        <v>8.3094000000000001</v>
      </c>
      <c r="X749" s="308">
        <v>12.219900000000001</v>
      </c>
      <c r="Y749" s="308">
        <v>20.455100000000002</v>
      </c>
      <c r="Z749" s="308">
        <v>22.314900000000002</v>
      </c>
      <c r="AA749" s="308">
        <v>13.350300000000001</v>
      </c>
      <c r="AB749" s="308">
        <v>14.6906</v>
      </c>
      <c r="AC749" s="308">
        <v>32.369900000000001</v>
      </c>
      <c r="AD749" s="308">
        <v>25.9817</v>
      </c>
      <c r="AE749" s="308">
        <v>15.567500000000001</v>
      </c>
      <c r="AF749" s="308">
        <v>32.1614</v>
      </c>
      <c r="AG749" s="308">
        <v>23.2014</v>
      </c>
      <c r="AH749" s="308">
        <v>10.812200000000001</v>
      </c>
      <c r="AI749" s="308">
        <v>8.9550000000000001</v>
      </c>
      <c r="AJ749" s="308">
        <v>18.591100000000001</v>
      </c>
      <c r="AK749" s="308">
        <v>39.9604</v>
      </c>
      <c r="AL749" s="308">
        <v>6.5944000000000003</v>
      </c>
      <c r="AM749" s="308">
        <v>18.632899999999999</v>
      </c>
      <c r="AN749" s="308">
        <v>29.2651</v>
      </c>
      <c r="AO749" s="308">
        <v>21.1694</v>
      </c>
      <c r="AP749" s="308">
        <v>13.9376</v>
      </c>
      <c r="AQ749" s="308">
        <v>9.3751999999999995</v>
      </c>
      <c r="AR749" s="308">
        <v>26.357099999999999</v>
      </c>
      <c r="AS749" s="308">
        <v>40.261200000000002</v>
      </c>
      <c r="AT749" s="308">
        <v>14.0898</v>
      </c>
      <c r="AU749" s="308">
        <v>18.453600000000002</v>
      </c>
      <c r="AV749" s="308">
        <v>43.660800000000002</v>
      </c>
      <c r="AW749" s="308">
        <v>14.727</v>
      </c>
      <c r="AX749" s="308">
        <v>15.503500000000001</v>
      </c>
      <c r="AY749" s="308">
        <v>17.1097</v>
      </c>
      <c r="AZ749" s="308">
        <v>15.0839</v>
      </c>
      <c r="BA749" s="308">
        <v>20.886800000000001</v>
      </c>
      <c r="BB749" s="308">
        <v>35.220100000000002</v>
      </c>
      <c r="BC749" s="308">
        <v>8.9870000000000001</v>
      </c>
      <c r="BD749" s="308">
        <v>9.4514999999999993</v>
      </c>
      <c r="BE749" s="308">
        <v>13.6738</v>
      </c>
      <c r="BF749" s="308">
        <v>17.061299999999999</v>
      </c>
      <c r="BG749" s="308">
        <v>16.642399999999999</v>
      </c>
      <c r="BH749" s="308">
        <v>17.168800000000001</v>
      </c>
      <c r="BI749" s="308">
        <v>19.327999999999999</v>
      </c>
      <c r="BJ749" s="308">
        <v>23.911100000000001</v>
      </c>
      <c r="BK749" s="308">
        <v>12.5319</v>
      </c>
    </row>
    <row r="750" spans="1:63" x14ac:dyDescent="0.25">
      <c r="A750" s="306">
        <v>524100</v>
      </c>
      <c r="B750" s="308" t="s">
        <v>298</v>
      </c>
      <c r="C750" s="308">
        <v>9.6660000000000004</v>
      </c>
      <c r="D750" s="308">
        <v>6.5458999999999996</v>
      </c>
      <c r="E750" s="308">
        <v>8.9533000000000005</v>
      </c>
      <c r="F750" s="308">
        <v>8.7546999999999997</v>
      </c>
      <c r="G750" s="308">
        <v>9.3491</v>
      </c>
      <c r="H750" s="308">
        <v>8.1880000000000006</v>
      </c>
      <c r="I750" s="308">
        <v>9.0531000000000006</v>
      </c>
      <c r="J750" s="308">
        <v>6.8571999999999997</v>
      </c>
      <c r="K750" s="308">
        <v>0.97409999999999997</v>
      </c>
      <c r="L750" s="308">
        <v>5.9885000000000002</v>
      </c>
      <c r="M750" s="308">
        <v>9.8885000000000005</v>
      </c>
      <c r="N750" s="308">
        <v>9.2012999999999998</v>
      </c>
      <c r="O750" s="308">
        <v>8.7691999999999997</v>
      </c>
      <c r="P750" s="308">
        <v>8.6277000000000008</v>
      </c>
      <c r="Q750" s="308">
        <v>8.9298000000000002</v>
      </c>
      <c r="R750" s="308">
        <v>8.2596000000000007</v>
      </c>
      <c r="S750" s="308">
        <v>9.14</v>
      </c>
      <c r="T750" s="308">
        <v>8.4235000000000007</v>
      </c>
      <c r="U750" s="308">
        <v>8.5871999999999993</v>
      </c>
      <c r="V750" s="308">
        <v>9.2342999999999993</v>
      </c>
      <c r="W750" s="308">
        <v>7.0419999999999998</v>
      </c>
      <c r="X750" s="308">
        <v>7.8182999999999998</v>
      </c>
      <c r="Y750" s="308">
        <v>9.0724</v>
      </c>
      <c r="Z750" s="308">
        <v>8.5966000000000005</v>
      </c>
      <c r="AA750" s="308">
        <v>7.9553000000000003</v>
      </c>
      <c r="AB750" s="308">
        <v>8.8389000000000006</v>
      </c>
      <c r="AC750" s="308">
        <v>9.5236000000000001</v>
      </c>
      <c r="AD750" s="308">
        <v>10.7033</v>
      </c>
      <c r="AE750" s="308">
        <v>8.1517999999999997</v>
      </c>
      <c r="AF750" s="308">
        <v>7.6882000000000001</v>
      </c>
      <c r="AG750" s="308">
        <v>8.8834999999999997</v>
      </c>
      <c r="AH750" s="308">
        <v>7.6134000000000004</v>
      </c>
      <c r="AI750" s="308">
        <v>6.9767000000000001</v>
      </c>
      <c r="AJ750" s="308">
        <v>8.6420999999999992</v>
      </c>
      <c r="AK750" s="308">
        <v>8.3027999999999995</v>
      </c>
      <c r="AL750" s="308">
        <v>6.0433000000000003</v>
      </c>
      <c r="AM750" s="308">
        <v>8.9344999999999999</v>
      </c>
      <c r="AN750" s="308">
        <v>10.2552</v>
      </c>
      <c r="AO750" s="308">
        <v>8.7260000000000009</v>
      </c>
      <c r="AP750" s="308">
        <v>8.2157</v>
      </c>
      <c r="AQ750" s="308">
        <v>7.8224999999999998</v>
      </c>
      <c r="AR750" s="308">
        <v>10.2597</v>
      </c>
      <c r="AS750" s="308">
        <v>9.5779999999999994</v>
      </c>
      <c r="AT750" s="308">
        <v>9.4389000000000003</v>
      </c>
      <c r="AU750" s="308">
        <v>9.4848999999999997</v>
      </c>
      <c r="AV750" s="308">
        <v>11.954499999999999</v>
      </c>
      <c r="AW750" s="308">
        <v>7.7648000000000001</v>
      </c>
      <c r="AX750" s="308">
        <v>8.0853000000000002</v>
      </c>
      <c r="AY750" s="308">
        <v>7.7335000000000003</v>
      </c>
      <c r="AZ750" s="308">
        <v>9.0927000000000007</v>
      </c>
      <c r="BA750" s="308">
        <v>9.1468000000000007</v>
      </c>
      <c r="BB750" s="308">
        <v>7.9875999999999996</v>
      </c>
      <c r="BC750" s="308">
        <v>7.7336999999999998</v>
      </c>
      <c r="BD750" s="308">
        <v>7.7983000000000002</v>
      </c>
      <c r="BE750" s="308">
        <v>9.0668000000000006</v>
      </c>
      <c r="BF750" s="308">
        <v>9.0419999999999998</v>
      </c>
      <c r="BG750" s="308">
        <v>9.5581999999999994</v>
      </c>
      <c r="BH750" s="308">
        <v>9.4601000000000006</v>
      </c>
      <c r="BI750" s="308">
        <v>9.7309000000000001</v>
      </c>
      <c r="BJ750" s="308">
        <v>9.5325000000000006</v>
      </c>
      <c r="BK750" s="308">
        <v>8.2855000000000008</v>
      </c>
    </row>
    <row r="751" spans="1:63" x14ac:dyDescent="0.25">
      <c r="A751" s="306">
        <v>524200</v>
      </c>
      <c r="B751" s="308" t="s">
        <v>299</v>
      </c>
      <c r="C751" s="308">
        <v>12.4154</v>
      </c>
      <c r="D751" s="308">
        <v>9.0957000000000008</v>
      </c>
      <c r="E751" s="308">
        <v>11.630100000000001</v>
      </c>
      <c r="F751" s="308">
        <v>12.688000000000001</v>
      </c>
      <c r="G751" s="308">
        <v>12.308400000000001</v>
      </c>
      <c r="H751" s="308">
        <v>10.419600000000001</v>
      </c>
      <c r="I751" s="308">
        <v>11.926299999999999</v>
      </c>
      <c r="J751" s="308">
        <v>8.5111000000000008</v>
      </c>
      <c r="K751" s="308">
        <v>1.6580999999999999</v>
      </c>
      <c r="L751" s="308">
        <v>7.6228999999999996</v>
      </c>
      <c r="M751" s="308">
        <v>12.5382</v>
      </c>
      <c r="N751" s="308">
        <v>11.1396</v>
      </c>
      <c r="O751" s="308">
        <v>11.08</v>
      </c>
      <c r="P751" s="308">
        <v>11.326599999999999</v>
      </c>
      <c r="Q751" s="308">
        <v>12.8652</v>
      </c>
      <c r="R751" s="308">
        <v>10.8384</v>
      </c>
      <c r="S751" s="308">
        <v>12.6236</v>
      </c>
      <c r="T751" s="308">
        <v>10.6974</v>
      </c>
      <c r="U751" s="308">
        <v>12.2408</v>
      </c>
      <c r="V751" s="308">
        <v>11.6976</v>
      </c>
      <c r="W751" s="308">
        <v>8.9139999999999997</v>
      </c>
      <c r="X751" s="308">
        <v>10.184200000000001</v>
      </c>
      <c r="Y751" s="308">
        <v>11.578200000000001</v>
      </c>
      <c r="Z751" s="308">
        <v>11.876799999999999</v>
      </c>
      <c r="AA751" s="308">
        <v>10.8696</v>
      </c>
      <c r="AB751" s="308">
        <v>10.6576</v>
      </c>
      <c r="AC751" s="308">
        <v>12.9954</v>
      </c>
      <c r="AD751" s="308">
        <v>13.8935</v>
      </c>
      <c r="AE751" s="308">
        <v>11.724</v>
      </c>
      <c r="AF751" s="308">
        <v>10.2302</v>
      </c>
      <c r="AG751" s="308">
        <v>11.481999999999999</v>
      </c>
      <c r="AH751" s="308">
        <v>9.7540999999999993</v>
      </c>
      <c r="AI751" s="308">
        <v>8.9398999999999997</v>
      </c>
      <c r="AJ751" s="308">
        <v>12.9709</v>
      </c>
      <c r="AK751" s="308">
        <v>12.0024</v>
      </c>
      <c r="AL751" s="308">
        <v>7.4736000000000002</v>
      </c>
      <c r="AM751" s="308">
        <v>12.207599999999999</v>
      </c>
      <c r="AN751" s="308">
        <v>14.2296</v>
      </c>
      <c r="AO751" s="308">
        <v>11.7378</v>
      </c>
      <c r="AP751" s="308">
        <v>10.1426</v>
      </c>
      <c r="AQ751" s="308">
        <v>9.6976999999999993</v>
      </c>
      <c r="AR751" s="308">
        <v>13.523899999999999</v>
      </c>
      <c r="AS751" s="308">
        <v>12.038</v>
      </c>
      <c r="AT751" s="308">
        <v>11.566800000000001</v>
      </c>
      <c r="AU751" s="308">
        <v>12.320600000000001</v>
      </c>
      <c r="AV751" s="308">
        <v>14.7378</v>
      </c>
      <c r="AW751" s="308">
        <v>10.4986</v>
      </c>
      <c r="AX751" s="308">
        <v>10.756600000000001</v>
      </c>
      <c r="AY751" s="308">
        <v>10.542299999999999</v>
      </c>
      <c r="AZ751" s="308">
        <v>11.8399</v>
      </c>
      <c r="BA751" s="308">
        <v>12.296799999999999</v>
      </c>
      <c r="BB751" s="308">
        <v>11.442500000000001</v>
      </c>
      <c r="BC751" s="308">
        <v>9.8162000000000003</v>
      </c>
      <c r="BD751" s="308">
        <v>9.5753000000000004</v>
      </c>
      <c r="BE751" s="308">
        <v>12.007099999999999</v>
      </c>
      <c r="BF751" s="308">
        <v>11.742599999999999</v>
      </c>
      <c r="BG751" s="308">
        <v>12.276</v>
      </c>
      <c r="BH751" s="308">
        <v>12.3537</v>
      </c>
      <c r="BI751" s="308">
        <v>12.7936</v>
      </c>
      <c r="BJ751" s="308">
        <v>13.0625</v>
      </c>
      <c r="BK751" s="308">
        <v>10.6967</v>
      </c>
    </row>
    <row r="752" spans="1:63" x14ac:dyDescent="0.25">
      <c r="A752" s="306">
        <v>525000</v>
      </c>
      <c r="B752" s="308" t="s">
        <v>300</v>
      </c>
      <c r="C752" s="308">
        <v>13.2499</v>
      </c>
      <c r="D752" s="308">
        <v>5.9252000000000002</v>
      </c>
      <c r="E752" s="308">
        <v>14.1928</v>
      </c>
      <c r="F752" s="308">
        <v>13.2348</v>
      </c>
      <c r="G752" s="308">
        <v>11.707599999999999</v>
      </c>
      <c r="H752" s="308">
        <v>8.8872999999999998</v>
      </c>
      <c r="I752" s="308">
        <v>13.408200000000001</v>
      </c>
      <c r="J752" s="308">
        <v>7.4219999999999997</v>
      </c>
      <c r="K752" s="308">
        <v>1.4718</v>
      </c>
      <c r="L752" s="308">
        <v>8.1593</v>
      </c>
      <c r="M752" s="308">
        <v>13.777200000000001</v>
      </c>
      <c r="N752" s="308">
        <v>11.517300000000001</v>
      </c>
      <c r="O752" s="308">
        <v>7.5627000000000004</v>
      </c>
      <c r="P752" s="308">
        <v>6.0795000000000003</v>
      </c>
      <c r="Q752" s="308">
        <v>6.6787999999999998</v>
      </c>
      <c r="R752" s="308">
        <v>11.2605</v>
      </c>
      <c r="S752" s="308">
        <v>6.8715999999999999</v>
      </c>
      <c r="T752" s="308">
        <v>13.6449</v>
      </c>
      <c r="U752" s="308">
        <v>12.3802</v>
      </c>
      <c r="V752" s="308">
        <v>7.4172000000000002</v>
      </c>
      <c r="W752" s="308">
        <v>7.9101999999999997</v>
      </c>
      <c r="X752" s="308">
        <v>14.9625</v>
      </c>
      <c r="Y752" s="308">
        <v>6.2770999999999999</v>
      </c>
      <c r="Z752" s="308">
        <v>7.5933999999999999</v>
      </c>
      <c r="AA752" s="308">
        <v>9.9784000000000006</v>
      </c>
      <c r="AB752" s="308">
        <v>9.3053000000000008</v>
      </c>
      <c r="AC752" s="308">
        <v>6.0454999999999997</v>
      </c>
      <c r="AD752" s="308">
        <v>7.7443</v>
      </c>
      <c r="AE752" s="308">
        <v>10.672800000000001</v>
      </c>
      <c r="AF752" s="308">
        <v>5.6092000000000004</v>
      </c>
      <c r="AG752" s="308">
        <v>13.8276</v>
      </c>
      <c r="AH752" s="308">
        <v>13.5497</v>
      </c>
      <c r="AI752" s="308">
        <v>8.2547999999999995</v>
      </c>
      <c r="AJ752" s="308">
        <v>13.0039</v>
      </c>
      <c r="AK752" s="308">
        <v>11.293200000000001</v>
      </c>
      <c r="AL752" s="308">
        <v>6.3291000000000004</v>
      </c>
      <c r="AM752" s="308">
        <v>10.0456</v>
      </c>
      <c r="AN752" s="308">
        <v>8.0582999999999991</v>
      </c>
      <c r="AO752" s="308">
        <v>14.2272</v>
      </c>
      <c r="AP752" s="308">
        <v>8.2347000000000001</v>
      </c>
      <c r="AQ752" s="308">
        <v>8.8794000000000004</v>
      </c>
      <c r="AR752" s="308">
        <v>13.332599999999999</v>
      </c>
      <c r="AS752" s="308">
        <v>6.5273000000000003</v>
      </c>
      <c r="AT752" s="308">
        <v>7.3510999999999997</v>
      </c>
      <c r="AU752" s="308">
        <v>10.0587</v>
      </c>
      <c r="AV752" s="308">
        <v>19.131</v>
      </c>
      <c r="AW752" s="308">
        <v>6.6200999999999999</v>
      </c>
      <c r="AX752" s="308">
        <v>7.5343</v>
      </c>
      <c r="AY752" s="308">
        <v>8.0765999999999991</v>
      </c>
      <c r="AZ752" s="308">
        <v>13.541399999999999</v>
      </c>
      <c r="BA752" s="308">
        <v>5.0350999999999999</v>
      </c>
      <c r="BB752" s="308">
        <v>13.539899999999999</v>
      </c>
      <c r="BC752" s="308">
        <v>8.8086000000000002</v>
      </c>
      <c r="BD752" s="308">
        <v>8.9392999999999994</v>
      </c>
      <c r="BE752" s="308">
        <v>10.2966</v>
      </c>
      <c r="BF752" s="308">
        <v>9.1430000000000007</v>
      </c>
      <c r="BG752" s="308">
        <v>10.7119</v>
      </c>
      <c r="BH752" s="308">
        <v>7.5152999999999999</v>
      </c>
      <c r="BI752" s="308">
        <v>9.3581000000000003</v>
      </c>
      <c r="BJ752" s="308">
        <v>12.3706</v>
      </c>
      <c r="BK752" s="308">
        <v>8.6552000000000007</v>
      </c>
    </row>
    <row r="753" spans="1:63" x14ac:dyDescent="0.25">
      <c r="A753" s="306" t="s">
        <v>766</v>
      </c>
      <c r="B753" s="308" t="s">
        <v>767</v>
      </c>
      <c r="C753" s="308">
        <v>7.8181000000000003</v>
      </c>
      <c r="D753" s="308">
        <v>6.5555000000000003</v>
      </c>
      <c r="E753" s="308">
        <v>6.9630000000000001</v>
      </c>
      <c r="F753" s="308">
        <v>7.8974000000000002</v>
      </c>
      <c r="G753" s="308">
        <v>7.4611999999999998</v>
      </c>
      <c r="H753" s="308">
        <v>5.9070999999999998</v>
      </c>
      <c r="I753" s="308">
        <v>7.3414999999999999</v>
      </c>
      <c r="J753" s="308">
        <v>5.3400999999999996</v>
      </c>
      <c r="K753" s="308">
        <v>1.2662</v>
      </c>
      <c r="L753" s="308">
        <v>5.4261999999999997</v>
      </c>
      <c r="M753" s="308">
        <v>7.9707999999999997</v>
      </c>
      <c r="N753" s="308">
        <v>6.2085999999999997</v>
      </c>
      <c r="O753" s="308">
        <v>8.2383000000000006</v>
      </c>
      <c r="P753" s="308">
        <v>6.3710000000000004</v>
      </c>
      <c r="Q753" s="308">
        <v>7.1185999999999998</v>
      </c>
      <c r="R753" s="308">
        <v>6.4264000000000001</v>
      </c>
      <c r="S753" s="308">
        <v>7.8102999999999998</v>
      </c>
      <c r="T753" s="308">
        <v>7.1574999999999998</v>
      </c>
      <c r="U753" s="308">
        <v>7.6360000000000001</v>
      </c>
      <c r="V753" s="308">
        <v>7.5004999999999997</v>
      </c>
      <c r="W753" s="308">
        <v>5.4695</v>
      </c>
      <c r="X753" s="308">
        <v>7.0029000000000003</v>
      </c>
      <c r="Y753" s="308">
        <v>8.2170000000000005</v>
      </c>
      <c r="Z753" s="308">
        <v>6.7672999999999996</v>
      </c>
      <c r="AA753" s="308">
        <v>7.0166000000000004</v>
      </c>
      <c r="AB753" s="308">
        <v>7.5156000000000001</v>
      </c>
      <c r="AC753" s="308">
        <v>8.0243000000000002</v>
      </c>
      <c r="AD753" s="308">
        <v>8.4861000000000004</v>
      </c>
      <c r="AE753" s="308">
        <v>5.9778000000000002</v>
      </c>
      <c r="AF753" s="308">
        <v>7.266</v>
      </c>
      <c r="AG753" s="308">
        <v>7.0960999999999999</v>
      </c>
      <c r="AH753" s="308">
        <v>7.5904999999999996</v>
      </c>
      <c r="AI753" s="308">
        <v>6.2205000000000004</v>
      </c>
      <c r="AJ753" s="308">
        <v>7.8109999999999999</v>
      </c>
      <c r="AK753" s="308">
        <v>5.3983999999999996</v>
      </c>
      <c r="AL753" s="308">
        <v>4.5937999999999999</v>
      </c>
      <c r="AM753" s="308">
        <v>7.1219000000000001</v>
      </c>
      <c r="AN753" s="308">
        <v>8.3511000000000006</v>
      </c>
      <c r="AO753" s="308">
        <v>7.2398999999999996</v>
      </c>
      <c r="AP753" s="308">
        <v>6.8536999999999999</v>
      </c>
      <c r="AQ753" s="308">
        <v>6.0290999999999997</v>
      </c>
      <c r="AR753" s="308">
        <v>7.4252000000000002</v>
      </c>
      <c r="AS753" s="308">
        <v>7.4939</v>
      </c>
      <c r="AT753" s="308">
        <v>6.7698</v>
      </c>
      <c r="AU753" s="308">
        <v>7.0835999999999997</v>
      </c>
      <c r="AV753" s="308">
        <v>9.6607000000000003</v>
      </c>
      <c r="AW753" s="308">
        <v>5.9759000000000002</v>
      </c>
      <c r="AX753" s="308">
        <v>6.6662999999999997</v>
      </c>
      <c r="AY753" s="308">
        <v>5.5651000000000002</v>
      </c>
      <c r="AZ753" s="308">
        <v>8.0844000000000005</v>
      </c>
      <c r="BA753" s="308">
        <v>7.3554000000000004</v>
      </c>
      <c r="BB753" s="308">
        <v>6.7636000000000003</v>
      </c>
      <c r="BC753" s="308">
        <v>6.2316000000000003</v>
      </c>
      <c r="BD753" s="308">
        <v>6.3570000000000002</v>
      </c>
      <c r="BE753" s="308">
        <v>7.1722000000000001</v>
      </c>
      <c r="BF753" s="308">
        <v>7.4518000000000004</v>
      </c>
      <c r="BG753" s="308">
        <v>7.1364000000000001</v>
      </c>
      <c r="BH753" s="308">
        <v>7.3375000000000004</v>
      </c>
      <c r="BI753" s="308">
        <v>7.4019000000000004</v>
      </c>
      <c r="BJ753" s="308">
        <v>7.5685000000000002</v>
      </c>
      <c r="BK753" s="308">
        <v>6.0750000000000002</v>
      </c>
    </row>
    <row r="754" spans="1:63" x14ac:dyDescent="0.25">
      <c r="A754" s="306">
        <v>531000</v>
      </c>
      <c r="B754" s="308" t="s">
        <v>416</v>
      </c>
      <c r="C754" s="308">
        <v>12.8742</v>
      </c>
      <c r="D754" s="308">
        <v>12.017300000000001</v>
      </c>
      <c r="E754" s="308">
        <v>17.241099999999999</v>
      </c>
      <c r="F754" s="308">
        <v>18.7972</v>
      </c>
      <c r="G754" s="308">
        <v>11.644</v>
      </c>
      <c r="H754" s="308">
        <v>10.008699999999999</v>
      </c>
      <c r="I754" s="308">
        <v>11.6584</v>
      </c>
      <c r="J754" s="308">
        <v>12.8782</v>
      </c>
      <c r="K754" s="308">
        <v>2.9529000000000001</v>
      </c>
      <c r="L754" s="308">
        <v>14.0967</v>
      </c>
      <c r="M754" s="308">
        <v>12.682600000000001</v>
      </c>
      <c r="N754" s="308">
        <v>12.4842</v>
      </c>
      <c r="O754" s="308">
        <v>10.997299999999999</v>
      </c>
      <c r="P754" s="308">
        <v>20.127600000000001</v>
      </c>
      <c r="Q754" s="308">
        <v>11.7355</v>
      </c>
      <c r="R754" s="308">
        <v>10.149900000000001</v>
      </c>
      <c r="S754" s="308">
        <v>16.0426</v>
      </c>
      <c r="T754" s="308">
        <v>15.636799999999999</v>
      </c>
      <c r="U754" s="308">
        <v>19.601600000000001</v>
      </c>
      <c r="V754" s="308">
        <v>17.9254</v>
      </c>
      <c r="W754" s="308">
        <v>8.8543000000000003</v>
      </c>
      <c r="X754" s="308">
        <v>10.727600000000001</v>
      </c>
      <c r="Y754" s="308">
        <v>18.997699999999998</v>
      </c>
      <c r="Z754" s="308">
        <v>12.049300000000001</v>
      </c>
      <c r="AA754" s="308">
        <v>12.6509</v>
      </c>
      <c r="AB754" s="308">
        <v>16.2563</v>
      </c>
      <c r="AC754" s="308">
        <v>20.034099999999999</v>
      </c>
      <c r="AD754" s="308">
        <v>14.950200000000001</v>
      </c>
      <c r="AE754" s="308">
        <v>15.9445</v>
      </c>
      <c r="AF754" s="308">
        <v>10.7058</v>
      </c>
      <c r="AG754" s="308">
        <v>18.643899999999999</v>
      </c>
      <c r="AH754" s="308">
        <v>12.979100000000001</v>
      </c>
      <c r="AI754" s="308">
        <v>13.381500000000001</v>
      </c>
      <c r="AJ754" s="308">
        <v>18.040099999999999</v>
      </c>
      <c r="AK754" s="308">
        <v>14.011699999999999</v>
      </c>
      <c r="AL754" s="308">
        <v>8.1793999999999993</v>
      </c>
      <c r="AM754" s="308">
        <v>16.0288</v>
      </c>
      <c r="AN754" s="308">
        <v>19.5533</v>
      </c>
      <c r="AO754" s="308">
        <v>15.932499999999999</v>
      </c>
      <c r="AP754" s="308">
        <v>13.930099999999999</v>
      </c>
      <c r="AQ754" s="308">
        <v>14.373699999999999</v>
      </c>
      <c r="AR754" s="308">
        <v>16.9695</v>
      </c>
      <c r="AS754" s="308">
        <v>16.519100000000002</v>
      </c>
      <c r="AT754" s="308">
        <v>14.002700000000001</v>
      </c>
      <c r="AU754" s="308">
        <v>10.938499999999999</v>
      </c>
      <c r="AV754" s="308">
        <v>20.948699999999999</v>
      </c>
      <c r="AW754" s="308">
        <v>10.726000000000001</v>
      </c>
      <c r="AX754" s="308">
        <v>18.315799999999999</v>
      </c>
      <c r="AY754" s="308">
        <v>13.186400000000001</v>
      </c>
      <c r="AZ754" s="308">
        <v>18.398499999999999</v>
      </c>
      <c r="BA754" s="308">
        <v>18.111599999999999</v>
      </c>
      <c r="BB754" s="308">
        <v>16.508600000000001</v>
      </c>
      <c r="BC754" s="308">
        <v>11.5382</v>
      </c>
      <c r="BD754" s="308">
        <v>11.010199999999999</v>
      </c>
      <c r="BE754" s="308">
        <v>13.159599999999999</v>
      </c>
      <c r="BF754" s="308">
        <v>15.6144</v>
      </c>
      <c r="BG754" s="308">
        <v>13.184100000000001</v>
      </c>
      <c r="BH754" s="308">
        <v>16.511500000000002</v>
      </c>
      <c r="BI754" s="308">
        <v>12.3101</v>
      </c>
      <c r="BJ754" s="308">
        <v>13.468</v>
      </c>
      <c r="BK754" s="308">
        <v>10.762600000000001</v>
      </c>
    </row>
    <row r="755" spans="1:63" x14ac:dyDescent="0.25">
      <c r="A755" s="306">
        <v>532100</v>
      </c>
      <c r="B755" s="308" t="s">
        <v>301</v>
      </c>
      <c r="C755" s="308">
        <v>9.3465000000000007</v>
      </c>
      <c r="D755" s="308">
        <v>8.1257999999999999</v>
      </c>
      <c r="E755" s="308">
        <v>10.676</v>
      </c>
      <c r="F755" s="308">
        <v>7.4541000000000004</v>
      </c>
      <c r="G755" s="308">
        <v>7.8132000000000001</v>
      </c>
      <c r="H755" s="308">
        <v>7.8765000000000001</v>
      </c>
      <c r="I755" s="308">
        <v>7.5244</v>
      </c>
      <c r="J755" s="308">
        <v>5.7538</v>
      </c>
      <c r="K755" s="308">
        <v>1.4990000000000001</v>
      </c>
      <c r="L755" s="308">
        <v>5.2073</v>
      </c>
      <c r="M755" s="308">
        <v>10.0541</v>
      </c>
      <c r="N755" s="308">
        <v>7.6158999999999999</v>
      </c>
      <c r="O755" s="308">
        <v>9.6605000000000008</v>
      </c>
      <c r="P755" s="308">
        <v>8.6251999999999995</v>
      </c>
      <c r="Q755" s="308">
        <v>10.2075</v>
      </c>
      <c r="R755" s="308">
        <v>7.8169000000000004</v>
      </c>
      <c r="S755" s="308">
        <v>8.8004999999999995</v>
      </c>
      <c r="T755" s="308">
        <v>6.9039000000000001</v>
      </c>
      <c r="U755" s="308">
        <v>9.1895000000000007</v>
      </c>
      <c r="V755" s="308">
        <v>9.6381999999999994</v>
      </c>
      <c r="W755" s="308">
        <v>7.6634000000000002</v>
      </c>
      <c r="X755" s="308">
        <v>7.1468999999999996</v>
      </c>
      <c r="Y755" s="308">
        <v>9.1465999999999994</v>
      </c>
      <c r="Z755" s="308">
        <v>9.5035000000000007</v>
      </c>
      <c r="AA755" s="308">
        <v>6.7355999999999998</v>
      </c>
      <c r="AB755" s="308">
        <v>7.5281000000000002</v>
      </c>
      <c r="AC755" s="308">
        <v>8.9314999999999998</v>
      </c>
      <c r="AD755" s="308">
        <v>10.2165</v>
      </c>
      <c r="AE755" s="308">
        <v>9.2866999999999997</v>
      </c>
      <c r="AF755" s="308">
        <v>6.5888999999999998</v>
      </c>
      <c r="AG755" s="308">
        <v>7.4939999999999998</v>
      </c>
      <c r="AH755" s="308">
        <v>7.8651999999999997</v>
      </c>
      <c r="AI755" s="308">
        <v>6.1829000000000001</v>
      </c>
      <c r="AJ755" s="308">
        <v>9.8069000000000006</v>
      </c>
      <c r="AK755" s="308">
        <v>7.7237</v>
      </c>
      <c r="AL755" s="308">
        <v>6.2918000000000003</v>
      </c>
      <c r="AM755" s="308">
        <v>8.0446000000000009</v>
      </c>
      <c r="AN755" s="308">
        <v>8.1964000000000006</v>
      </c>
      <c r="AO755" s="308">
        <v>9.0983999999999998</v>
      </c>
      <c r="AP755" s="308">
        <v>6.8826999999999998</v>
      </c>
      <c r="AQ755" s="308">
        <v>7.8644999999999996</v>
      </c>
      <c r="AR755" s="308">
        <v>10.7592</v>
      </c>
      <c r="AS755" s="308">
        <v>9.5645000000000007</v>
      </c>
      <c r="AT755" s="308">
        <v>8.2377000000000002</v>
      </c>
      <c r="AU755" s="308">
        <v>8.4571000000000005</v>
      </c>
      <c r="AV755" s="308">
        <v>10.4558</v>
      </c>
      <c r="AW755" s="308">
        <v>9.2830999999999992</v>
      </c>
      <c r="AX755" s="308">
        <v>9.0166000000000004</v>
      </c>
      <c r="AY755" s="308">
        <v>9.0397999999999996</v>
      </c>
      <c r="AZ755" s="308">
        <v>10.235200000000001</v>
      </c>
      <c r="BA755" s="308">
        <v>9.0678000000000001</v>
      </c>
      <c r="BB755" s="308">
        <v>8.4365000000000006</v>
      </c>
      <c r="BC755" s="308">
        <v>7.8429000000000002</v>
      </c>
      <c r="BD755" s="308">
        <v>6.9557000000000002</v>
      </c>
      <c r="BE755" s="308">
        <v>8.7751000000000001</v>
      </c>
      <c r="BF755" s="308">
        <v>7.64</v>
      </c>
      <c r="BG755" s="308">
        <v>9.4490999999999996</v>
      </c>
      <c r="BH755" s="308">
        <v>9.3042999999999996</v>
      </c>
      <c r="BI755" s="308">
        <v>8.6842000000000006</v>
      </c>
      <c r="BJ755" s="308">
        <v>8.4956999999999994</v>
      </c>
      <c r="BK755" s="308">
        <v>8.3437999999999999</v>
      </c>
    </row>
    <row r="756" spans="1:63" x14ac:dyDescent="0.25">
      <c r="A756" s="306">
        <v>532230</v>
      </c>
      <c r="B756" s="308" t="s">
        <v>303</v>
      </c>
      <c r="C756" s="308">
        <v>22.492100000000001</v>
      </c>
      <c r="D756" s="308">
        <v>21.639900000000001</v>
      </c>
      <c r="E756" s="308">
        <v>29.575199999999999</v>
      </c>
      <c r="F756" s="308">
        <v>20.902999999999999</v>
      </c>
      <c r="G756" s="308">
        <v>18.369199999999999</v>
      </c>
      <c r="H756" s="308">
        <v>16.675599999999999</v>
      </c>
      <c r="I756" s="308">
        <v>17.144200000000001</v>
      </c>
      <c r="J756" s="308">
        <v>14.2601</v>
      </c>
      <c r="K756" s="308">
        <v>3.3029999999999999</v>
      </c>
      <c r="L756" s="308">
        <v>12.6249</v>
      </c>
      <c r="M756" s="308">
        <v>25.936299999999999</v>
      </c>
      <c r="N756" s="308">
        <v>20.986599999999999</v>
      </c>
      <c r="O756" s="308">
        <v>23.063199999999998</v>
      </c>
      <c r="P756" s="308">
        <v>28.0945</v>
      </c>
      <c r="Q756" s="308">
        <v>29.4148</v>
      </c>
      <c r="R756" s="308">
        <v>19.433</v>
      </c>
      <c r="S756" s="308">
        <v>25.229500000000002</v>
      </c>
      <c r="T756" s="308">
        <v>21.094899999999999</v>
      </c>
      <c r="U756" s="308">
        <v>27.264800000000001</v>
      </c>
      <c r="V756" s="308">
        <v>27.399000000000001</v>
      </c>
      <c r="W756" s="308">
        <v>21.223600000000001</v>
      </c>
      <c r="X756" s="308">
        <v>21.890499999999999</v>
      </c>
      <c r="Y756" s="308">
        <v>29.2803</v>
      </c>
      <c r="Z756" s="308">
        <v>26.791</v>
      </c>
      <c r="AA756" s="308">
        <v>21.6081</v>
      </c>
      <c r="AB756" s="308">
        <v>21.689</v>
      </c>
      <c r="AC756" s="308">
        <v>28.131399999999999</v>
      </c>
      <c r="AD756" s="308">
        <v>29.511700000000001</v>
      </c>
      <c r="AE756" s="308">
        <v>25.564299999999999</v>
      </c>
      <c r="AF756" s="308">
        <v>16.351099999999999</v>
      </c>
      <c r="AG756" s="308">
        <v>21.406700000000001</v>
      </c>
      <c r="AH756" s="308">
        <v>23.788900000000002</v>
      </c>
      <c r="AI756" s="308">
        <v>14.7668</v>
      </c>
      <c r="AJ756" s="308">
        <v>27.799700000000001</v>
      </c>
      <c r="AK756" s="308">
        <v>19.498999999999999</v>
      </c>
      <c r="AL756" s="308">
        <v>16.883400000000002</v>
      </c>
      <c r="AM756" s="308">
        <v>20.727599999999999</v>
      </c>
      <c r="AN756" s="308">
        <v>29.196999999999999</v>
      </c>
      <c r="AO756" s="308">
        <v>19.422699999999999</v>
      </c>
      <c r="AP756" s="308">
        <v>16.904299999999999</v>
      </c>
      <c r="AQ756" s="308">
        <v>17.599900000000002</v>
      </c>
      <c r="AR756" s="308">
        <v>26.623699999999999</v>
      </c>
      <c r="AS756" s="308">
        <v>28.8062</v>
      </c>
      <c r="AT756" s="308">
        <v>20.152999999999999</v>
      </c>
      <c r="AU756" s="308">
        <v>18.884399999999999</v>
      </c>
      <c r="AV756" s="308">
        <v>24.226099999999999</v>
      </c>
      <c r="AW756" s="308">
        <v>24.215299999999999</v>
      </c>
      <c r="AX756" s="308">
        <v>24.821899999999999</v>
      </c>
      <c r="AY756" s="308">
        <v>23.721</v>
      </c>
      <c r="AZ756" s="308">
        <v>27.995100000000001</v>
      </c>
      <c r="BA756" s="308">
        <v>24.946100000000001</v>
      </c>
      <c r="BB756" s="308">
        <v>17.825299999999999</v>
      </c>
      <c r="BC756" s="308">
        <v>21.600999999999999</v>
      </c>
      <c r="BD756" s="308">
        <v>17.6295</v>
      </c>
      <c r="BE756" s="308">
        <v>23.536200000000001</v>
      </c>
      <c r="BF756" s="308">
        <v>23.083100000000002</v>
      </c>
      <c r="BG756" s="308">
        <v>25.0366</v>
      </c>
      <c r="BH756" s="308">
        <v>24.985199999999999</v>
      </c>
      <c r="BI756" s="308">
        <v>20.905100000000001</v>
      </c>
      <c r="BJ756" s="308">
        <v>21.0425</v>
      </c>
      <c r="BK756" s="308">
        <v>18.387499999999999</v>
      </c>
    </row>
    <row r="757" spans="1:63" x14ac:dyDescent="0.25">
      <c r="A757" s="306">
        <v>532400</v>
      </c>
      <c r="B757" s="308" t="s">
        <v>304</v>
      </c>
      <c r="C757" s="308">
        <v>8.7525999999999993</v>
      </c>
      <c r="D757" s="308">
        <v>5.7705000000000002</v>
      </c>
      <c r="E757" s="308">
        <v>8.7899999999999991</v>
      </c>
      <c r="F757" s="308">
        <v>6.4764999999999997</v>
      </c>
      <c r="G757" s="308">
        <v>7.4402999999999997</v>
      </c>
      <c r="H757" s="308">
        <v>7.3837999999999999</v>
      </c>
      <c r="I757" s="308">
        <v>6.9714</v>
      </c>
      <c r="J757" s="308">
        <v>5.4443000000000001</v>
      </c>
      <c r="K757" s="308">
        <v>1.5161</v>
      </c>
      <c r="L757" s="308">
        <v>4.8845999999999998</v>
      </c>
      <c r="M757" s="308">
        <v>9.3928999999999991</v>
      </c>
      <c r="N757" s="308">
        <v>7.6532</v>
      </c>
      <c r="O757" s="308">
        <v>8.5204000000000004</v>
      </c>
      <c r="P757" s="308">
        <v>7.1269</v>
      </c>
      <c r="Q757" s="308">
        <v>8.2593999999999994</v>
      </c>
      <c r="R757" s="308">
        <v>7.0237999999999996</v>
      </c>
      <c r="S757" s="308">
        <v>7.9471999999999996</v>
      </c>
      <c r="T757" s="308">
        <v>6.2525000000000004</v>
      </c>
      <c r="U757" s="308">
        <v>7.8010999999999999</v>
      </c>
      <c r="V757" s="308">
        <v>7.6795</v>
      </c>
      <c r="W757" s="308">
        <v>6.5063000000000004</v>
      </c>
      <c r="X757" s="308">
        <v>7.4859</v>
      </c>
      <c r="Y757" s="308">
        <v>8.1725999999999992</v>
      </c>
      <c r="Z757" s="308">
        <v>8.4144000000000005</v>
      </c>
      <c r="AA757" s="308">
        <v>6.4832999999999998</v>
      </c>
      <c r="AB757" s="308">
        <v>7.6231999999999998</v>
      </c>
      <c r="AC757" s="308">
        <v>7.3795999999999999</v>
      </c>
      <c r="AD757" s="308">
        <v>8.1036999999999999</v>
      </c>
      <c r="AE757" s="308">
        <v>8.5685000000000002</v>
      </c>
      <c r="AF757" s="308">
        <v>5.0054999999999996</v>
      </c>
      <c r="AG757" s="308">
        <v>6.2000999999999999</v>
      </c>
      <c r="AH757" s="308">
        <v>7.5233999999999996</v>
      </c>
      <c r="AI757" s="308">
        <v>6.1169000000000002</v>
      </c>
      <c r="AJ757" s="308">
        <v>7.165</v>
      </c>
      <c r="AK757" s="308">
        <v>6.7203999999999997</v>
      </c>
      <c r="AL757" s="308">
        <v>5.6936999999999998</v>
      </c>
      <c r="AM757" s="308">
        <v>7.8875999999999999</v>
      </c>
      <c r="AN757" s="308">
        <v>8.4177999999999997</v>
      </c>
      <c r="AO757" s="308">
        <v>7.7461000000000002</v>
      </c>
      <c r="AP757" s="308">
        <v>6.6798000000000002</v>
      </c>
      <c r="AQ757" s="308">
        <v>6.742</v>
      </c>
      <c r="AR757" s="308">
        <v>8.7950999999999997</v>
      </c>
      <c r="AS757" s="308">
        <v>7.1505999999999998</v>
      </c>
      <c r="AT757" s="308">
        <v>7.3280000000000003</v>
      </c>
      <c r="AU757" s="308">
        <v>7.3662999999999998</v>
      </c>
      <c r="AV757" s="308">
        <v>9.0753000000000004</v>
      </c>
      <c r="AW757" s="308">
        <v>7.2686000000000002</v>
      </c>
      <c r="AX757" s="308">
        <v>7.2055999999999996</v>
      </c>
      <c r="AY757" s="308">
        <v>7.7762000000000002</v>
      </c>
      <c r="AZ757" s="308">
        <v>8.4809000000000001</v>
      </c>
      <c r="BA757" s="308">
        <v>6.5542999999999996</v>
      </c>
      <c r="BB757" s="308">
        <v>5.3063000000000002</v>
      </c>
      <c r="BC757" s="308">
        <v>7.0365000000000002</v>
      </c>
      <c r="BD757" s="308">
        <v>6.6954000000000002</v>
      </c>
      <c r="BE757" s="308">
        <v>8.0024999999999995</v>
      </c>
      <c r="BF757" s="308">
        <v>7.2575000000000003</v>
      </c>
      <c r="BG757" s="308">
        <v>8.9478000000000009</v>
      </c>
      <c r="BH757" s="308">
        <v>8.2234999999999996</v>
      </c>
      <c r="BI757" s="308">
        <v>7.8653000000000004</v>
      </c>
      <c r="BJ757" s="308">
        <v>7.8029000000000002</v>
      </c>
      <c r="BK757" s="308">
        <v>7.6742999999999997</v>
      </c>
    </row>
    <row r="758" spans="1:63" x14ac:dyDescent="0.25">
      <c r="A758" s="306" t="s">
        <v>768</v>
      </c>
      <c r="B758" s="308" t="s">
        <v>302</v>
      </c>
      <c r="C758" s="308">
        <v>13.154299999999999</v>
      </c>
      <c r="D758" s="308">
        <v>10.9444</v>
      </c>
      <c r="E758" s="308">
        <v>15.083</v>
      </c>
      <c r="F758" s="308">
        <v>10.728400000000001</v>
      </c>
      <c r="G758" s="308">
        <v>10.6768</v>
      </c>
      <c r="H758" s="308">
        <v>11.706300000000001</v>
      </c>
      <c r="I758" s="308">
        <v>10.0138</v>
      </c>
      <c r="J758" s="308">
        <v>8.1524000000000001</v>
      </c>
      <c r="K758" s="308">
        <v>2.0991</v>
      </c>
      <c r="L758" s="308">
        <v>7.1439000000000004</v>
      </c>
      <c r="M758" s="308">
        <v>14.2553</v>
      </c>
      <c r="N758" s="308">
        <v>10.684699999999999</v>
      </c>
      <c r="O758" s="308">
        <v>14.6465</v>
      </c>
      <c r="P758" s="308">
        <v>12.638400000000001</v>
      </c>
      <c r="Q758" s="308">
        <v>14.7486</v>
      </c>
      <c r="R758" s="308">
        <v>10.659700000000001</v>
      </c>
      <c r="S758" s="308">
        <v>13.2295</v>
      </c>
      <c r="T758" s="308">
        <v>9.3684999999999992</v>
      </c>
      <c r="U758" s="308">
        <v>13.4316</v>
      </c>
      <c r="V758" s="308">
        <v>12.523899999999999</v>
      </c>
      <c r="W758" s="308">
        <v>10.9192</v>
      </c>
      <c r="X758" s="308">
        <v>10.977499999999999</v>
      </c>
      <c r="Y758" s="308">
        <v>14.0862</v>
      </c>
      <c r="Z758" s="308">
        <v>15.3561</v>
      </c>
      <c r="AA758" s="308">
        <v>11.3483</v>
      </c>
      <c r="AB758" s="308">
        <v>11.966100000000001</v>
      </c>
      <c r="AC758" s="308">
        <v>13.078900000000001</v>
      </c>
      <c r="AD758" s="308">
        <v>14.5625</v>
      </c>
      <c r="AE758" s="308">
        <v>13.5604</v>
      </c>
      <c r="AF758" s="308">
        <v>9.0279000000000007</v>
      </c>
      <c r="AG758" s="308">
        <v>10.2052</v>
      </c>
      <c r="AH758" s="308">
        <v>12.772</v>
      </c>
      <c r="AI758" s="308">
        <v>8.6644000000000005</v>
      </c>
      <c r="AJ758" s="308">
        <v>14.474500000000001</v>
      </c>
      <c r="AK758" s="308">
        <v>10.308400000000001</v>
      </c>
      <c r="AL758" s="308">
        <v>8.8695000000000004</v>
      </c>
      <c r="AM758" s="308">
        <v>12.095499999999999</v>
      </c>
      <c r="AN758" s="308">
        <v>14.6389</v>
      </c>
      <c r="AO758" s="308">
        <v>12.046799999999999</v>
      </c>
      <c r="AP758" s="308">
        <v>10.126899999999999</v>
      </c>
      <c r="AQ758" s="308">
        <v>9.7979000000000003</v>
      </c>
      <c r="AR758" s="308">
        <v>14.406599999999999</v>
      </c>
      <c r="AS758" s="308">
        <v>13.1119</v>
      </c>
      <c r="AT758" s="308">
        <v>11.0512</v>
      </c>
      <c r="AU758" s="308">
        <v>11.101100000000001</v>
      </c>
      <c r="AV758" s="308">
        <v>14.033200000000001</v>
      </c>
      <c r="AW758" s="308">
        <v>13.0283</v>
      </c>
      <c r="AX758" s="308">
        <v>13.202500000000001</v>
      </c>
      <c r="AY758" s="308">
        <v>13.3637</v>
      </c>
      <c r="AZ758" s="308">
        <v>15.4117</v>
      </c>
      <c r="BA758" s="308">
        <v>11.1435</v>
      </c>
      <c r="BB758" s="308">
        <v>10.582800000000001</v>
      </c>
      <c r="BC758" s="308">
        <v>11.347099999999999</v>
      </c>
      <c r="BD758" s="308">
        <v>10.034700000000001</v>
      </c>
      <c r="BE758" s="308">
        <v>12.915800000000001</v>
      </c>
      <c r="BF758" s="308">
        <v>11.9581</v>
      </c>
      <c r="BG758" s="308">
        <v>13.4009</v>
      </c>
      <c r="BH758" s="308">
        <v>13.0908</v>
      </c>
      <c r="BI758" s="308">
        <v>11.758900000000001</v>
      </c>
      <c r="BJ758" s="308">
        <v>11.505100000000001</v>
      </c>
      <c r="BK758" s="308">
        <v>12.248900000000001</v>
      </c>
    </row>
    <row r="759" spans="1:63" x14ac:dyDescent="0.25">
      <c r="A759" s="306">
        <v>533000</v>
      </c>
      <c r="B759" s="308" t="s">
        <v>305</v>
      </c>
      <c r="C759" s="308">
        <v>3.6573000000000002</v>
      </c>
      <c r="D759" s="308">
        <v>3.3254000000000001</v>
      </c>
      <c r="E759" s="308">
        <v>3.4192999999999998</v>
      </c>
      <c r="F759" s="308">
        <v>3.5766</v>
      </c>
      <c r="G759" s="308">
        <v>3.2584</v>
      </c>
      <c r="H759" s="308">
        <v>2.7869000000000002</v>
      </c>
      <c r="I759" s="308">
        <v>3.3887999999999998</v>
      </c>
      <c r="J759" s="308">
        <v>3.0695000000000001</v>
      </c>
      <c r="K759" s="308">
        <v>0</v>
      </c>
      <c r="L759" s="308">
        <v>2.6583999999999999</v>
      </c>
      <c r="M759" s="308">
        <v>3.6124000000000001</v>
      </c>
      <c r="N759" s="308">
        <v>3.3738000000000001</v>
      </c>
      <c r="O759" s="308">
        <v>4.2873000000000001</v>
      </c>
      <c r="P759" s="308">
        <v>3.5569000000000002</v>
      </c>
      <c r="Q759" s="308">
        <v>3.8151999999999999</v>
      </c>
      <c r="R759" s="308">
        <v>3.23</v>
      </c>
      <c r="S759" s="308">
        <v>3.1080999999999999</v>
      </c>
      <c r="T759" s="308">
        <v>3.2581000000000002</v>
      </c>
      <c r="U759" s="308">
        <v>3.2343000000000002</v>
      </c>
      <c r="V759" s="308">
        <v>3.6511999999999998</v>
      </c>
      <c r="W759" s="308">
        <v>2.6684000000000001</v>
      </c>
      <c r="X759" s="308">
        <v>3.1932</v>
      </c>
      <c r="Y759" s="308">
        <v>3.1901999999999999</v>
      </c>
      <c r="Z759" s="308">
        <v>3.4152</v>
      </c>
      <c r="AA759" s="308">
        <v>3.2345000000000002</v>
      </c>
      <c r="AB759" s="308">
        <v>3.3877999999999999</v>
      </c>
      <c r="AC759" s="308">
        <v>4.0530999999999997</v>
      </c>
      <c r="AD759" s="308">
        <v>4.0717999999999996</v>
      </c>
      <c r="AE759" s="308">
        <v>3.7242999999999999</v>
      </c>
      <c r="AF759" s="308">
        <v>3.7349000000000001</v>
      </c>
      <c r="AG759" s="308">
        <v>3.0061</v>
      </c>
      <c r="AH759" s="308">
        <v>3.4801000000000002</v>
      </c>
      <c r="AI759" s="308">
        <v>2.6920000000000002</v>
      </c>
      <c r="AJ759" s="308">
        <v>4.3411999999999997</v>
      </c>
      <c r="AK759" s="308">
        <v>3.7069999999999999</v>
      </c>
      <c r="AL759" s="308">
        <v>2.3302999999999998</v>
      </c>
      <c r="AM759" s="308">
        <v>3.7656999999999998</v>
      </c>
      <c r="AN759" s="308">
        <v>4.0026999999999999</v>
      </c>
      <c r="AO759" s="308">
        <v>3.5135999999999998</v>
      </c>
      <c r="AP759" s="308">
        <v>3.0409999999999999</v>
      </c>
      <c r="AQ759" s="308">
        <v>2.8203999999999998</v>
      </c>
      <c r="AR759" s="308">
        <v>4.4584000000000001</v>
      </c>
      <c r="AS759" s="308">
        <v>3.9117999999999999</v>
      </c>
      <c r="AT759" s="308">
        <v>3.5541</v>
      </c>
      <c r="AU759" s="308">
        <v>3.1097000000000001</v>
      </c>
      <c r="AV759" s="308">
        <v>5.1189</v>
      </c>
      <c r="AW759" s="308">
        <v>3.5005000000000002</v>
      </c>
      <c r="AX759" s="308">
        <v>4.0702999999999996</v>
      </c>
      <c r="AY759" s="308">
        <v>3.6259000000000001</v>
      </c>
      <c r="AZ759" s="308">
        <v>3.7564000000000002</v>
      </c>
      <c r="BA759" s="308">
        <v>3.8086000000000002</v>
      </c>
      <c r="BB759" s="308">
        <v>2.4817</v>
      </c>
      <c r="BC759" s="308">
        <v>3.1896</v>
      </c>
      <c r="BD759" s="308">
        <v>2.8692000000000002</v>
      </c>
      <c r="BE759" s="308">
        <v>3.5922999999999998</v>
      </c>
      <c r="BF759" s="308">
        <v>3.3174999999999999</v>
      </c>
      <c r="BG759" s="308">
        <v>3.7202000000000002</v>
      </c>
      <c r="BH759" s="308">
        <v>3.5884</v>
      </c>
      <c r="BI759" s="308">
        <v>3.3637000000000001</v>
      </c>
      <c r="BJ759" s="308">
        <v>3.5712000000000002</v>
      </c>
      <c r="BK759" s="308">
        <v>3.0005000000000002</v>
      </c>
    </row>
    <row r="760" spans="1:63" x14ac:dyDescent="0.25">
      <c r="A760" s="306">
        <v>541100</v>
      </c>
      <c r="B760" s="308" t="s">
        <v>306</v>
      </c>
      <c r="C760" s="308">
        <v>9.3378999999999994</v>
      </c>
      <c r="D760" s="308">
        <v>10.690099999999999</v>
      </c>
      <c r="E760" s="308">
        <v>10.152699999999999</v>
      </c>
      <c r="F760" s="308">
        <v>11.8217</v>
      </c>
      <c r="G760" s="308">
        <v>9.3063000000000002</v>
      </c>
      <c r="H760" s="308">
        <v>7.3743999999999996</v>
      </c>
      <c r="I760" s="308">
        <v>9.5532000000000004</v>
      </c>
      <c r="J760" s="308">
        <v>8.0524000000000004</v>
      </c>
      <c r="K760" s="308">
        <v>1.8267</v>
      </c>
      <c r="L760" s="308">
        <v>6.1528999999999998</v>
      </c>
      <c r="M760" s="308">
        <v>10.300599999999999</v>
      </c>
      <c r="N760" s="308">
        <v>8.7125000000000004</v>
      </c>
      <c r="O760" s="308">
        <v>8.8495000000000008</v>
      </c>
      <c r="P760" s="308">
        <v>10.619400000000001</v>
      </c>
      <c r="Q760" s="308">
        <v>11.860099999999999</v>
      </c>
      <c r="R760" s="308">
        <v>7.468</v>
      </c>
      <c r="S760" s="308">
        <v>10.293100000000001</v>
      </c>
      <c r="T760" s="308">
        <v>11.1586</v>
      </c>
      <c r="U760" s="308">
        <v>10.287000000000001</v>
      </c>
      <c r="V760" s="308">
        <v>9.1865000000000006</v>
      </c>
      <c r="W760" s="308">
        <v>6.9878999999999998</v>
      </c>
      <c r="X760" s="308">
        <v>8.6628000000000007</v>
      </c>
      <c r="Y760" s="308">
        <v>11.1623</v>
      </c>
      <c r="Z760" s="308">
        <v>9.9486000000000008</v>
      </c>
      <c r="AA760" s="308">
        <v>8.5611999999999995</v>
      </c>
      <c r="AB760" s="308">
        <v>7.7619999999999996</v>
      </c>
      <c r="AC760" s="308">
        <v>9.1130999999999993</v>
      </c>
      <c r="AD760" s="308">
        <v>12.023400000000001</v>
      </c>
      <c r="AE760" s="308">
        <v>10.014200000000001</v>
      </c>
      <c r="AF760" s="308">
        <v>10.577299999999999</v>
      </c>
      <c r="AG760" s="308">
        <v>9.8302999999999994</v>
      </c>
      <c r="AH760" s="308">
        <v>10.322699999999999</v>
      </c>
      <c r="AI760" s="308">
        <v>9.0074000000000005</v>
      </c>
      <c r="AJ760" s="308">
        <v>11.8101</v>
      </c>
      <c r="AK760" s="308">
        <v>9.8582000000000001</v>
      </c>
      <c r="AL760" s="308">
        <v>6.2598000000000003</v>
      </c>
      <c r="AM760" s="308">
        <v>10.358700000000001</v>
      </c>
      <c r="AN760" s="308">
        <v>12.1568</v>
      </c>
      <c r="AO760" s="308">
        <v>9.9857999999999993</v>
      </c>
      <c r="AP760" s="308">
        <v>7.8094000000000001</v>
      </c>
      <c r="AQ760" s="308">
        <v>8.6857000000000006</v>
      </c>
      <c r="AR760" s="308">
        <v>11.0076</v>
      </c>
      <c r="AS760" s="308">
        <v>11.3238</v>
      </c>
      <c r="AT760" s="308">
        <v>9.7934999999999999</v>
      </c>
      <c r="AU760" s="308">
        <v>8.4108000000000001</v>
      </c>
      <c r="AV760" s="308">
        <v>12.215999999999999</v>
      </c>
      <c r="AW760" s="308">
        <v>8.4890000000000008</v>
      </c>
      <c r="AX760" s="308">
        <v>11.1454</v>
      </c>
      <c r="AY760" s="308">
        <v>9.0084</v>
      </c>
      <c r="AZ760" s="308">
        <v>9.2758000000000003</v>
      </c>
      <c r="BA760" s="308">
        <v>9.7020999999999997</v>
      </c>
      <c r="BB760" s="308">
        <v>10.751200000000001</v>
      </c>
      <c r="BC760" s="308">
        <v>8.1373999999999995</v>
      </c>
      <c r="BD760" s="308">
        <v>7.8071000000000002</v>
      </c>
      <c r="BE760" s="308">
        <v>9.0396000000000001</v>
      </c>
      <c r="BF760" s="308">
        <v>9.3625000000000007</v>
      </c>
      <c r="BG760" s="308">
        <v>9.6159999999999997</v>
      </c>
      <c r="BH760" s="308">
        <v>10.1435</v>
      </c>
      <c r="BI760" s="308">
        <v>9.0981000000000005</v>
      </c>
      <c r="BJ760" s="308">
        <v>10.4404</v>
      </c>
      <c r="BK760" s="308">
        <v>7.8051000000000004</v>
      </c>
    </row>
    <row r="761" spans="1:63" x14ac:dyDescent="0.25">
      <c r="A761" s="306">
        <v>541200</v>
      </c>
      <c r="B761" s="308" t="s">
        <v>307</v>
      </c>
      <c r="C761" s="308">
        <v>13.3546</v>
      </c>
      <c r="D761" s="308">
        <v>16.678100000000001</v>
      </c>
      <c r="E761" s="308">
        <v>14.351100000000001</v>
      </c>
      <c r="F761" s="308">
        <v>16.964300000000001</v>
      </c>
      <c r="G761" s="308">
        <v>15.6439</v>
      </c>
      <c r="H761" s="308">
        <v>11.628299999999999</v>
      </c>
      <c r="I761" s="308">
        <v>13.71</v>
      </c>
      <c r="J761" s="308">
        <v>9.3841999999999999</v>
      </c>
      <c r="K761" s="308">
        <v>1.9258999999999999</v>
      </c>
      <c r="L761" s="308">
        <v>9.9792000000000005</v>
      </c>
      <c r="M761" s="308">
        <v>13.785600000000001</v>
      </c>
      <c r="N761" s="308">
        <v>12.548999999999999</v>
      </c>
      <c r="O761" s="308">
        <v>14.9885</v>
      </c>
      <c r="P761" s="308">
        <v>13.170199999999999</v>
      </c>
      <c r="Q761" s="308">
        <v>16.866900000000001</v>
      </c>
      <c r="R761" s="308">
        <v>11.008900000000001</v>
      </c>
      <c r="S761" s="308">
        <v>15.1243</v>
      </c>
      <c r="T761" s="308">
        <v>14.3622</v>
      </c>
      <c r="U761" s="308">
        <v>13.9877</v>
      </c>
      <c r="V761" s="308">
        <v>15.030900000000001</v>
      </c>
      <c r="W761" s="308">
        <v>10.022</v>
      </c>
      <c r="X761" s="308">
        <v>10.9694</v>
      </c>
      <c r="Y761" s="308">
        <v>15.354900000000001</v>
      </c>
      <c r="Z761" s="308">
        <v>13.4329</v>
      </c>
      <c r="AA761" s="308">
        <v>12.271699999999999</v>
      </c>
      <c r="AB761" s="308">
        <v>11.794</v>
      </c>
      <c r="AC761" s="308">
        <v>17.16</v>
      </c>
      <c r="AD761" s="308">
        <v>17.375599999999999</v>
      </c>
      <c r="AE761" s="308">
        <v>14.74</v>
      </c>
      <c r="AF761" s="308">
        <v>15.0928</v>
      </c>
      <c r="AG761" s="308">
        <v>14.679</v>
      </c>
      <c r="AH761" s="308">
        <v>10.472899999999999</v>
      </c>
      <c r="AI761" s="308">
        <v>9.7394999999999996</v>
      </c>
      <c r="AJ761" s="308">
        <v>16.6784</v>
      </c>
      <c r="AK761" s="308">
        <v>13.801600000000001</v>
      </c>
      <c r="AL761" s="308">
        <v>8.6173000000000002</v>
      </c>
      <c r="AM761" s="308">
        <v>13.591900000000001</v>
      </c>
      <c r="AN761" s="308">
        <v>16.131599999999999</v>
      </c>
      <c r="AO761" s="308">
        <v>14.949400000000001</v>
      </c>
      <c r="AP761" s="308">
        <v>11.906000000000001</v>
      </c>
      <c r="AQ761" s="308">
        <v>12.056900000000001</v>
      </c>
      <c r="AR761" s="308">
        <v>17.0518</v>
      </c>
      <c r="AS761" s="308">
        <v>15.913399999999999</v>
      </c>
      <c r="AT761" s="308">
        <v>11.460699999999999</v>
      </c>
      <c r="AU761" s="308">
        <v>13.386699999999999</v>
      </c>
      <c r="AV761" s="308">
        <v>18.266100000000002</v>
      </c>
      <c r="AW761" s="308">
        <v>10.015700000000001</v>
      </c>
      <c r="AX761" s="308">
        <v>15.500400000000001</v>
      </c>
      <c r="AY761" s="308">
        <v>13.3089</v>
      </c>
      <c r="AZ761" s="308">
        <v>13.214</v>
      </c>
      <c r="BA761" s="308">
        <v>15.1487</v>
      </c>
      <c r="BB761" s="308">
        <v>15.196099999999999</v>
      </c>
      <c r="BC761" s="308">
        <v>11.1035</v>
      </c>
      <c r="BD761" s="308">
        <v>10.7455</v>
      </c>
      <c r="BE761" s="308">
        <v>12.932399999999999</v>
      </c>
      <c r="BF761" s="308">
        <v>13.7447</v>
      </c>
      <c r="BG761" s="308">
        <v>13.279500000000001</v>
      </c>
      <c r="BH761" s="308">
        <v>13.3904</v>
      </c>
      <c r="BI761" s="308">
        <v>14.155099999999999</v>
      </c>
      <c r="BJ761" s="308">
        <v>15.5587</v>
      </c>
      <c r="BK761" s="308">
        <v>12.1927</v>
      </c>
    </row>
    <row r="762" spans="1:63" x14ac:dyDescent="0.25">
      <c r="A762" s="306">
        <v>541300</v>
      </c>
      <c r="B762" s="308" t="s">
        <v>308</v>
      </c>
      <c r="C762" s="308">
        <v>10.6996</v>
      </c>
      <c r="D762" s="308">
        <v>7.2605000000000004</v>
      </c>
      <c r="E762" s="308">
        <v>9.5805000000000007</v>
      </c>
      <c r="F762" s="308">
        <v>10.071899999999999</v>
      </c>
      <c r="G762" s="308">
        <v>9.7392000000000003</v>
      </c>
      <c r="H762" s="308">
        <v>8.9908999999999999</v>
      </c>
      <c r="I762" s="308">
        <v>9.3261000000000003</v>
      </c>
      <c r="J762" s="308">
        <v>7.5210999999999997</v>
      </c>
      <c r="K762" s="308">
        <v>1.8282</v>
      </c>
      <c r="L762" s="308">
        <v>6.2226999999999997</v>
      </c>
      <c r="M762" s="308">
        <v>11.3925</v>
      </c>
      <c r="N762" s="308">
        <v>10.4674</v>
      </c>
      <c r="O762" s="308">
        <v>9.1382999999999992</v>
      </c>
      <c r="P762" s="308">
        <v>8.9842999999999993</v>
      </c>
      <c r="Q762" s="308">
        <v>10.4886</v>
      </c>
      <c r="R762" s="308">
        <v>9.7499000000000002</v>
      </c>
      <c r="S762" s="308">
        <v>10.573600000000001</v>
      </c>
      <c r="T762" s="308">
        <v>8.1900999999999993</v>
      </c>
      <c r="U762" s="308">
        <v>10.3203</v>
      </c>
      <c r="V762" s="308">
        <v>9.3162000000000003</v>
      </c>
      <c r="W762" s="308">
        <v>8.0944000000000003</v>
      </c>
      <c r="X762" s="308">
        <v>8.3816000000000006</v>
      </c>
      <c r="Y762" s="308">
        <v>10.309699999999999</v>
      </c>
      <c r="Z762" s="308">
        <v>8.8895</v>
      </c>
      <c r="AA762" s="308">
        <v>9.7925000000000004</v>
      </c>
      <c r="AB762" s="308">
        <v>8.3635999999999999</v>
      </c>
      <c r="AC762" s="308">
        <v>9.7126000000000001</v>
      </c>
      <c r="AD762" s="308">
        <v>10.4925</v>
      </c>
      <c r="AE762" s="308">
        <v>10.479900000000001</v>
      </c>
      <c r="AF762" s="308">
        <v>7.9957000000000003</v>
      </c>
      <c r="AG762" s="308">
        <v>8.6052</v>
      </c>
      <c r="AH762" s="308">
        <v>9.0000999999999998</v>
      </c>
      <c r="AI762" s="308">
        <v>8.2562999999999995</v>
      </c>
      <c r="AJ762" s="308">
        <v>10.011100000000001</v>
      </c>
      <c r="AK762" s="308">
        <v>9.6194000000000006</v>
      </c>
      <c r="AL762" s="308">
        <v>7.6044999999999998</v>
      </c>
      <c r="AM762" s="308">
        <v>10.2768</v>
      </c>
      <c r="AN762" s="308">
        <v>11.0679</v>
      </c>
      <c r="AO762" s="308">
        <v>10.1595</v>
      </c>
      <c r="AP762" s="308">
        <v>9.4400999999999993</v>
      </c>
      <c r="AQ762" s="308">
        <v>8.5484000000000009</v>
      </c>
      <c r="AR762" s="308">
        <v>10.279500000000001</v>
      </c>
      <c r="AS762" s="308">
        <v>9.0786999999999995</v>
      </c>
      <c r="AT762" s="308">
        <v>9.7355</v>
      </c>
      <c r="AU762" s="308">
        <v>9.5734999999999992</v>
      </c>
      <c r="AV762" s="308">
        <v>12.190200000000001</v>
      </c>
      <c r="AW762" s="308">
        <v>8.1259999999999994</v>
      </c>
      <c r="AX762" s="308">
        <v>9.9289000000000005</v>
      </c>
      <c r="AY762" s="308">
        <v>9.2957000000000001</v>
      </c>
      <c r="AZ762" s="308">
        <v>10.7461</v>
      </c>
      <c r="BA762" s="308">
        <v>9.6968999999999994</v>
      </c>
      <c r="BB762" s="308">
        <v>8.4788999999999994</v>
      </c>
      <c r="BC762" s="308">
        <v>8.9931000000000001</v>
      </c>
      <c r="BD762" s="308">
        <v>9.1229999999999993</v>
      </c>
      <c r="BE762" s="308">
        <v>10.1518</v>
      </c>
      <c r="BF762" s="308">
        <v>9.4884000000000004</v>
      </c>
      <c r="BG762" s="308">
        <v>10.599399999999999</v>
      </c>
      <c r="BH762" s="308">
        <v>10.1546</v>
      </c>
      <c r="BI762" s="308">
        <v>9.8756000000000004</v>
      </c>
      <c r="BJ762" s="308">
        <v>10.2516</v>
      </c>
      <c r="BK762" s="308">
        <v>9.2728000000000002</v>
      </c>
    </row>
    <row r="763" spans="1:63" x14ac:dyDescent="0.25">
      <c r="A763" s="306">
        <v>541400</v>
      </c>
      <c r="B763" s="308" t="s">
        <v>309</v>
      </c>
      <c r="C763" s="308">
        <v>14.857100000000001</v>
      </c>
      <c r="D763" s="308">
        <v>17.414000000000001</v>
      </c>
      <c r="E763" s="308">
        <v>19.032800000000002</v>
      </c>
      <c r="F763" s="308">
        <v>20.250800000000002</v>
      </c>
      <c r="G763" s="308">
        <v>15.7531</v>
      </c>
      <c r="H763" s="308">
        <v>11.983000000000001</v>
      </c>
      <c r="I763" s="308">
        <v>14.984999999999999</v>
      </c>
      <c r="J763" s="308">
        <v>10.3123</v>
      </c>
      <c r="K763" s="308">
        <v>4.3461999999999996</v>
      </c>
      <c r="L763" s="308">
        <v>16.773800000000001</v>
      </c>
      <c r="M763" s="308">
        <v>16.795000000000002</v>
      </c>
      <c r="N763" s="308">
        <v>16.901900000000001</v>
      </c>
      <c r="O763" s="308">
        <v>17.330200000000001</v>
      </c>
      <c r="P763" s="308">
        <v>18.818899999999999</v>
      </c>
      <c r="Q763" s="308">
        <v>20.643999999999998</v>
      </c>
      <c r="R763" s="308">
        <v>13.264699999999999</v>
      </c>
      <c r="S763" s="308">
        <v>17.961400000000001</v>
      </c>
      <c r="T763" s="308">
        <v>15.719099999999999</v>
      </c>
      <c r="U763" s="308">
        <v>16.0505</v>
      </c>
      <c r="V763" s="308">
        <v>19.689399999999999</v>
      </c>
      <c r="W763" s="308">
        <v>11.3407</v>
      </c>
      <c r="X763" s="308">
        <v>12.5167</v>
      </c>
      <c r="Y763" s="308">
        <v>19.6495</v>
      </c>
      <c r="Z763" s="308">
        <v>12.1387</v>
      </c>
      <c r="AA763" s="308">
        <v>16.3368</v>
      </c>
      <c r="AB763" s="308">
        <v>14.548400000000001</v>
      </c>
      <c r="AC763" s="308">
        <v>20.666</v>
      </c>
      <c r="AD763" s="308">
        <v>20.814299999999999</v>
      </c>
      <c r="AE763" s="308">
        <v>16.041899999999998</v>
      </c>
      <c r="AF763" s="308">
        <v>18.875699999999998</v>
      </c>
      <c r="AG763" s="308">
        <v>19.395</v>
      </c>
      <c r="AH763" s="308">
        <v>11.232200000000001</v>
      </c>
      <c r="AI763" s="308">
        <v>11.5181</v>
      </c>
      <c r="AJ763" s="308">
        <v>20.015699999999999</v>
      </c>
      <c r="AK763" s="308">
        <v>13.6394</v>
      </c>
      <c r="AL763" s="308">
        <v>10.052099999999999</v>
      </c>
      <c r="AM763" s="308">
        <v>12.093299999999999</v>
      </c>
      <c r="AN763" s="308">
        <v>21.2684</v>
      </c>
      <c r="AO763" s="308">
        <v>18.5138</v>
      </c>
      <c r="AP763" s="308">
        <v>14.438599999999999</v>
      </c>
      <c r="AQ763" s="308">
        <v>11.1777</v>
      </c>
      <c r="AR763" s="308">
        <v>18.834199999999999</v>
      </c>
      <c r="AS763" s="308">
        <v>12.191700000000001</v>
      </c>
      <c r="AT763" s="308">
        <v>15.2178</v>
      </c>
      <c r="AU763" s="308">
        <v>15.145200000000001</v>
      </c>
      <c r="AV763" s="308">
        <v>19.97</v>
      </c>
      <c r="AW763" s="308">
        <v>14.2341</v>
      </c>
      <c r="AX763" s="308">
        <v>14.1058</v>
      </c>
      <c r="AY763" s="308">
        <v>16.2837</v>
      </c>
      <c r="AZ763" s="308">
        <v>16.3294</v>
      </c>
      <c r="BA763" s="308">
        <v>17.997499999999999</v>
      </c>
      <c r="BB763" s="308">
        <v>12.3415</v>
      </c>
      <c r="BC763" s="308">
        <v>12.203200000000001</v>
      </c>
      <c r="BD763" s="308">
        <v>12.432</v>
      </c>
      <c r="BE763" s="308">
        <v>13.555</v>
      </c>
      <c r="BF763" s="308">
        <v>16.7879</v>
      </c>
      <c r="BG763" s="308">
        <v>16.5062</v>
      </c>
      <c r="BH763" s="308">
        <v>16.7867</v>
      </c>
      <c r="BI763" s="308">
        <v>16.1465</v>
      </c>
      <c r="BJ763" s="308">
        <v>16.568100000000001</v>
      </c>
      <c r="BK763" s="308">
        <v>12.8452</v>
      </c>
    </row>
    <row r="764" spans="1:63" x14ac:dyDescent="0.25">
      <c r="A764" s="306">
        <v>541511</v>
      </c>
      <c r="B764" s="308" t="s">
        <v>310</v>
      </c>
      <c r="C764" s="308">
        <v>11.3972</v>
      </c>
      <c r="D764" s="308">
        <v>10.224399999999999</v>
      </c>
      <c r="E764" s="308">
        <v>11.6816</v>
      </c>
      <c r="F764" s="308">
        <v>12.4049</v>
      </c>
      <c r="G764" s="308">
        <v>11.7826</v>
      </c>
      <c r="H764" s="308">
        <v>9.6694999999999993</v>
      </c>
      <c r="I764" s="308">
        <v>10.194900000000001</v>
      </c>
      <c r="J764" s="308">
        <v>8.3386999999999993</v>
      </c>
      <c r="K764" s="308">
        <v>2.0068999999999999</v>
      </c>
      <c r="L764" s="308">
        <v>8.0353999999999992</v>
      </c>
      <c r="M764" s="308">
        <v>13.3873</v>
      </c>
      <c r="N764" s="308">
        <v>11.5618</v>
      </c>
      <c r="O764" s="308">
        <v>11.347200000000001</v>
      </c>
      <c r="P764" s="308">
        <v>11.5161</v>
      </c>
      <c r="Q764" s="308">
        <v>12.725</v>
      </c>
      <c r="R764" s="308">
        <v>10.2629</v>
      </c>
      <c r="S764" s="308">
        <v>12.240399999999999</v>
      </c>
      <c r="T764" s="308">
        <v>8.5894999999999992</v>
      </c>
      <c r="U764" s="308">
        <v>10.5791</v>
      </c>
      <c r="V764" s="308">
        <v>12.836399999999999</v>
      </c>
      <c r="W764" s="308">
        <v>8.6449999999999996</v>
      </c>
      <c r="X764" s="308">
        <v>8.5972000000000008</v>
      </c>
      <c r="Y764" s="308">
        <v>12.488300000000001</v>
      </c>
      <c r="Z764" s="308">
        <v>10.894600000000001</v>
      </c>
      <c r="AA764" s="308">
        <v>10.2857</v>
      </c>
      <c r="AB764" s="308">
        <v>9.7405000000000008</v>
      </c>
      <c r="AC764" s="308">
        <v>11.3918</v>
      </c>
      <c r="AD764" s="308">
        <v>12.4549</v>
      </c>
      <c r="AE764" s="308">
        <v>11.8826</v>
      </c>
      <c r="AF764" s="308">
        <v>8.5222999999999995</v>
      </c>
      <c r="AG764" s="308">
        <v>10.5273</v>
      </c>
      <c r="AH764" s="308">
        <v>8.9588999999999999</v>
      </c>
      <c r="AI764" s="308">
        <v>9.0347000000000008</v>
      </c>
      <c r="AJ764" s="308">
        <v>10.3317</v>
      </c>
      <c r="AK764" s="308">
        <v>10.975099999999999</v>
      </c>
      <c r="AL764" s="308">
        <v>7.4322999999999997</v>
      </c>
      <c r="AM764" s="308">
        <v>10.801600000000001</v>
      </c>
      <c r="AN764" s="308">
        <v>13.281000000000001</v>
      </c>
      <c r="AO764" s="308">
        <v>12.910399999999999</v>
      </c>
      <c r="AP764" s="308">
        <v>10.073499999999999</v>
      </c>
      <c r="AQ764" s="308">
        <v>9.7047000000000008</v>
      </c>
      <c r="AR764" s="308">
        <v>12.314</v>
      </c>
      <c r="AS764" s="308">
        <v>9.9712999999999994</v>
      </c>
      <c r="AT764" s="308">
        <v>11.588699999999999</v>
      </c>
      <c r="AU764" s="308">
        <v>10.596399999999999</v>
      </c>
      <c r="AV764" s="308">
        <v>13.2643</v>
      </c>
      <c r="AW764" s="308">
        <v>8.7704000000000004</v>
      </c>
      <c r="AX764" s="308">
        <v>10.667</v>
      </c>
      <c r="AY764" s="308">
        <v>10.087899999999999</v>
      </c>
      <c r="AZ764" s="308">
        <v>12.0688</v>
      </c>
      <c r="BA764" s="308">
        <v>10.3314</v>
      </c>
      <c r="BB764" s="308">
        <v>11.145200000000001</v>
      </c>
      <c r="BC764" s="308">
        <v>9.6211000000000002</v>
      </c>
      <c r="BD764" s="308">
        <v>9.5342000000000002</v>
      </c>
      <c r="BE764" s="308">
        <v>11.142799999999999</v>
      </c>
      <c r="BF764" s="308">
        <v>10.613</v>
      </c>
      <c r="BG764" s="308">
        <v>11.5075</v>
      </c>
      <c r="BH764" s="308">
        <v>11.721399999999999</v>
      </c>
      <c r="BI764" s="308">
        <v>11.058199999999999</v>
      </c>
      <c r="BJ764" s="308">
        <v>11.663</v>
      </c>
      <c r="BK764" s="308">
        <v>9.9098000000000006</v>
      </c>
    </row>
    <row r="765" spans="1:63" x14ac:dyDescent="0.25">
      <c r="A765" s="306">
        <v>541512</v>
      </c>
      <c r="B765" s="308" t="s">
        <v>311</v>
      </c>
      <c r="C765" s="308">
        <v>11.4536</v>
      </c>
      <c r="D765" s="308">
        <v>8.7887000000000004</v>
      </c>
      <c r="E765" s="308">
        <v>10.715</v>
      </c>
      <c r="F765" s="308">
        <v>10.790699999999999</v>
      </c>
      <c r="G765" s="308">
        <v>10.970800000000001</v>
      </c>
      <c r="H765" s="308">
        <v>10.0909</v>
      </c>
      <c r="I765" s="308">
        <v>10.1494</v>
      </c>
      <c r="J765" s="308">
        <v>7.6220999999999997</v>
      </c>
      <c r="K765" s="308">
        <v>1.9159999999999999</v>
      </c>
      <c r="L765" s="308">
        <v>7.4945000000000004</v>
      </c>
      <c r="M765" s="308">
        <v>12.0778</v>
      </c>
      <c r="N765" s="308">
        <v>10.869300000000001</v>
      </c>
      <c r="O765" s="308">
        <v>11.1562</v>
      </c>
      <c r="P765" s="308">
        <v>10.965999999999999</v>
      </c>
      <c r="Q765" s="308">
        <v>12.2591</v>
      </c>
      <c r="R765" s="308">
        <v>9.8019999999999996</v>
      </c>
      <c r="S765" s="308">
        <v>11.179399999999999</v>
      </c>
      <c r="T765" s="308">
        <v>8.6510999999999996</v>
      </c>
      <c r="U765" s="308">
        <v>10.9772</v>
      </c>
      <c r="V765" s="308">
        <v>10.9282</v>
      </c>
      <c r="W765" s="308">
        <v>8.4489000000000001</v>
      </c>
      <c r="X765" s="308">
        <v>8.6813000000000002</v>
      </c>
      <c r="Y765" s="308">
        <v>11.756600000000001</v>
      </c>
      <c r="Z765" s="308">
        <v>10.5379</v>
      </c>
      <c r="AA765" s="308">
        <v>9.8106000000000009</v>
      </c>
      <c r="AB765" s="308">
        <v>9.5630000000000006</v>
      </c>
      <c r="AC765" s="308">
        <v>11.8123</v>
      </c>
      <c r="AD765" s="308">
        <v>12.35</v>
      </c>
      <c r="AE765" s="308">
        <v>11.4533</v>
      </c>
      <c r="AF765" s="308">
        <v>9.5264000000000006</v>
      </c>
      <c r="AG765" s="308">
        <v>10.4885</v>
      </c>
      <c r="AH765" s="308">
        <v>8.2100000000000009</v>
      </c>
      <c r="AI765" s="308">
        <v>8.9295000000000009</v>
      </c>
      <c r="AJ765" s="308">
        <v>12.365</v>
      </c>
      <c r="AK765" s="308">
        <v>10.8185</v>
      </c>
      <c r="AL765" s="308">
        <v>7.5895999999999999</v>
      </c>
      <c r="AM765" s="308">
        <v>11.0063</v>
      </c>
      <c r="AN765" s="308">
        <v>12.877599999999999</v>
      </c>
      <c r="AO765" s="308">
        <v>11.378299999999999</v>
      </c>
      <c r="AP765" s="308">
        <v>9.8332999999999995</v>
      </c>
      <c r="AQ765" s="308">
        <v>8.81</v>
      </c>
      <c r="AR765" s="308">
        <v>11.854200000000001</v>
      </c>
      <c r="AS765" s="308">
        <v>9.8219999999999992</v>
      </c>
      <c r="AT765" s="308">
        <v>10.383900000000001</v>
      </c>
      <c r="AU765" s="308">
        <v>10.450200000000001</v>
      </c>
      <c r="AV765" s="308">
        <v>11.355</v>
      </c>
      <c r="AW765" s="308">
        <v>8.5570000000000004</v>
      </c>
      <c r="AX765" s="308">
        <v>10.8009</v>
      </c>
      <c r="AY765" s="308">
        <v>10.222799999999999</v>
      </c>
      <c r="AZ765" s="308">
        <v>11.7913</v>
      </c>
      <c r="BA765" s="308">
        <v>10.5031</v>
      </c>
      <c r="BB765" s="308">
        <v>10.956899999999999</v>
      </c>
      <c r="BC765" s="308">
        <v>9.2992000000000008</v>
      </c>
      <c r="BD765" s="308">
        <v>9.6277000000000008</v>
      </c>
      <c r="BE765" s="308">
        <v>10.859299999999999</v>
      </c>
      <c r="BF765" s="308">
        <v>10.318899999999999</v>
      </c>
      <c r="BG765" s="308">
        <v>10.8446</v>
      </c>
      <c r="BH765" s="308">
        <v>11.0792</v>
      </c>
      <c r="BI765" s="308">
        <v>10.7517</v>
      </c>
      <c r="BJ765" s="308">
        <v>10.978300000000001</v>
      </c>
      <c r="BK765" s="308">
        <v>10.430199999999999</v>
      </c>
    </row>
    <row r="766" spans="1:63" x14ac:dyDescent="0.25">
      <c r="A766" s="306" t="s">
        <v>769</v>
      </c>
      <c r="B766" s="308" t="s">
        <v>312</v>
      </c>
      <c r="C766" s="308">
        <v>10.2554</v>
      </c>
      <c r="D766" s="308">
        <v>9.2818000000000005</v>
      </c>
      <c r="E766" s="308">
        <v>9.6928000000000001</v>
      </c>
      <c r="F766" s="308">
        <v>8.7386999999999997</v>
      </c>
      <c r="G766" s="308">
        <v>11.4086</v>
      </c>
      <c r="H766" s="308">
        <v>9.0709</v>
      </c>
      <c r="I766" s="308">
        <v>9.1911000000000005</v>
      </c>
      <c r="J766" s="308">
        <v>7.1139000000000001</v>
      </c>
      <c r="K766" s="308">
        <v>1.6029</v>
      </c>
      <c r="L766" s="308">
        <v>6.3395000000000001</v>
      </c>
      <c r="M766" s="308">
        <v>10.749499999999999</v>
      </c>
      <c r="N766" s="308">
        <v>10.0632</v>
      </c>
      <c r="O766" s="308">
        <v>12.288399999999999</v>
      </c>
      <c r="P766" s="308">
        <v>11.082700000000001</v>
      </c>
      <c r="Q766" s="308">
        <v>11.9518</v>
      </c>
      <c r="R766" s="308">
        <v>8.5244999999999997</v>
      </c>
      <c r="S766" s="308">
        <v>9.9085000000000001</v>
      </c>
      <c r="T766" s="308">
        <v>6.4794</v>
      </c>
      <c r="U766" s="308">
        <v>10.5276</v>
      </c>
      <c r="V766" s="308">
        <v>11.904299999999999</v>
      </c>
      <c r="W766" s="308">
        <v>7.3212000000000002</v>
      </c>
      <c r="X766" s="308">
        <v>7.7351000000000001</v>
      </c>
      <c r="Y766" s="308">
        <v>12.439</v>
      </c>
      <c r="Z766" s="308">
        <v>8.8789999999999996</v>
      </c>
      <c r="AA766" s="308">
        <v>8.2441999999999993</v>
      </c>
      <c r="AB766" s="308">
        <v>8.6577000000000002</v>
      </c>
      <c r="AC766" s="308">
        <v>11.659000000000001</v>
      </c>
      <c r="AD766" s="308">
        <v>12.042999999999999</v>
      </c>
      <c r="AE766" s="308">
        <v>10.365</v>
      </c>
      <c r="AF766" s="308">
        <v>9.6182999999999996</v>
      </c>
      <c r="AG766" s="308">
        <v>9.1080000000000005</v>
      </c>
      <c r="AH766" s="308">
        <v>7.9382999999999999</v>
      </c>
      <c r="AI766" s="308">
        <v>7.8535000000000004</v>
      </c>
      <c r="AJ766" s="308">
        <v>9.9085999999999999</v>
      </c>
      <c r="AK766" s="308">
        <v>9.4101999999999997</v>
      </c>
      <c r="AL766" s="308">
        <v>6.4379999999999997</v>
      </c>
      <c r="AM766" s="308">
        <v>10.100099999999999</v>
      </c>
      <c r="AN766" s="308">
        <v>12.189</v>
      </c>
      <c r="AO766" s="308">
        <v>8.9974000000000007</v>
      </c>
      <c r="AP766" s="308">
        <v>8.1401000000000003</v>
      </c>
      <c r="AQ766" s="308">
        <v>7.9626999999999999</v>
      </c>
      <c r="AR766" s="308">
        <v>12.5289</v>
      </c>
      <c r="AS766" s="308">
        <v>8.2876999999999992</v>
      </c>
      <c r="AT766" s="308">
        <v>10.106400000000001</v>
      </c>
      <c r="AU766" s="308">
        <v>9.3803999999999998</v>
      </c>
      <c r="AV766" s="308">
        <v>11.109400000000001</v>
      </c>
      <c r="AW766" s="308">
        <v>7.6703999999999999</v>
      </c>
      <c r="AX766" s="308">
        <v>10.0595</v>
      </c>
      <c r="AY766" s="308">
        <v>9.5326000000000004</v>
      </c>
      <c r="AZ766" s="308">
        <v>10.5494</v>
      </c>
      <c r="BA766" s="308">
        <v>8.7736000000000001</v>
      </c>
      <c r="BB766" s="308">
        <v>10.995100000000001</v>
      </c>
      <c r="BC766" s="308">
        <v>8.5840999999999994</v>
      </c>
      <c r="BD766" s="308">
        <v>8.2347999999999999</v>
      </c>
      <c r="BE766" s="308">
        <v>9.5992999999999995</v>
      </c>
      <c r="BF766" s="308">
        <v>8.7691999999999997</v>
      </c>
      <c r="BG766" s="308">
        <v>10.019500000000001</v>
      </c>
      <c r="BH766" s="308">
        <v>11.144500000000001</v>
      </c>
      <c r="BI766" s="308">
        <v>10.231</v>
      </c>
      <c r="BJ766" s="308">
        <v>10.551399999999999</v>
      </c>
      <c r="BK766" s="308">
        <v>9.5726999999999993</v>
      </c>
    </row>
    <row r="767" spans="1:63" x14ac:dyDescent="0.25">
      <c r="A767" s="306">
        <v>541610</v>
      </c>
      <c r="B767" s="308" t="s">
        <v>313</v>
      </c>
      <c r="C767" s="308">
        <v>13.1585</v>
      </c>
      <c r="D767" s="308">
        <v>11.7959</v>
      </c>
      <c r="E767" s="308">
        <v>15.430999999999999</v>
      </c>
      <c r="F767" s="308">
        <v>15.7311</v>
      </c>
      <c r="G767" s="308">
        <v>13.8323</v>
      </c>
      <c r="H767" s="308">
        <v>10.7606</v>
      </c>
      <c r="I767" s="308">
        <v>12.9901</v>
      </c>
      <c r="J767" s="308">
        <v>8.9198000000000004</v>
      </c>
      <c r="K767" s="308">
        <v>2.8121</v>
      </c>
      <c r="L767" s="308">
        <v>9.2661999999999995</v>
      </c>
      <c r="M767" s="308">
        <v>14.1364</v>
      </c>
      <c r="N767" s="308">
        <v>12.5397</v>
      </c>
      <c r="O767" s="308">
        <v>15.7026</v>
      </c>
      <c r="P767" s="308">
        <v>15.476100000000001</v>
      </c>
      <c r="Q767" s="308">
        <v>15.9497</v>
      </c>
      <c r="R767" s="308">
        <v>10.2485</v>
      </c>
      <c r="S767" s="308">
        <v>14.4969</v>
      </c>
      <c r="T767" s="308">
        <v>13.185600000000001</v>
      </c>
      <c r="U767" s="308">
        <v>13.9954</v>
      </c>
      <c r="V767" s="308">
        <v>14.5253</v>
      </c>
      <c r="W767" s="308">
        <v>9.4969999999999999</v>
      </c>
      <c r="X767" s="308">
        <v>11.036899999999999</v>
      </c>
      <c r="Y767" s="308">
        <v>12.914999999999999</v>
      </c>
      <c r="Z767" s="308">
        <v>12.825799999999999</v>
      </c>
      <c r="AA767" s="308">
        <v>12.759</v>
      </c>
      <c r="AB767" s="308">
        <v>11.999599999999999</v>
      </c>
      <c r="AC767" s="308">
        <v>15.632</v>
      </c>
      <c r="AD767" s="308">
        <v>16.918199999999999</v>
      </c>
      <c r="AE767" s="308">
        <v>13.3323</v>
      </c>
      <c r="AF767" s="308">
        <v>14.789899999999999</v>
      </c>
      <c r="AG767" s="308">
        <v>12.525</v>
      </c>
      <c r="AH767" s="308">
        <v>11.728400000000001</v>
      </c>
      <c r="AI767" s="308">
        <v>9.5221999999999998</v>
      </c>
      <c r="AJ767" s="308">
        <v>16.940100000000001</v>
      </c>
      <c r="AK767" s="308">
        <v>11.3651</v>
      </c>
      <c r="AL767" s="308">
        <v>7.9278000000000004</v>
      </c>
      <c r="AM767" s="308">
        <v>13.3241</v>
      </c>
      <c r="AN767" s="308">
        <v>15.9024</v>
      </c>
      <c r="AO767" s="308">
        <v>14.9719</v>
      </c>
      <c r="AP767" s="308">
        <v>10.8658</v>
      </c>
      <c r="AQ767" s="308">
        <v>14.2849</v>
      </c>
      <c r="AR767" s="308">
        <v>15.8066</v>
      </c>
      <c r="AS767" s="308">
        <v>13.3392</v>
      </c>
      <c r="AT767" s="308">
        <v>11.363099999999999</v>
      </c>
      <c r="AU767" s="308">
        <v>11.860099999999999</v>
      </c>
      <c r="AV767" s="308">
        <v>17.465699999999998</v>
      </c>
      <c r="AW767" s="308">
        <v>9.2258999999999993</v>
      </c>
      <c r="AX767" s="308">
        <v>15.120200000000001</v>
      </c>
      <c r="AY767" s="308">
        <v>12.6494</v>
      </c>
      <c r="AZ767" s="308">
        <v>14.3826</v>
      </c>
      <c r="BA767" s="308">
        <v>14.2569</v>
      </c>
      <c r="BB767" s="308">
        <v>14.2988</v>
      </c>
      <c r="BC767" s="308">
        <v>10.513999999999999</v>
      </c>
      <c r="BD767" s="308">
        <v>10.325100000000001</v>
      </c>
      <c r="BE767" s="308">
        <v>12.148400000000001</v>
      </c>
      <c r="BF767" s="308">
        <v>13.6145</v>
      </c>
      <c r="BG767" s="308">
        <v>12.965999999999999</v>
      </c>
      <c r="BH767" s="308">
        <v>13.2561</v>
      </c>
      <c r="BI767" s="308">
        <v>12.479100000000001</v>
      </c>
      <c r="BJ767" s="308">
        <v>14.3916</v>
      </c>
      <c r="BK767" s="308">
        <v>11.363799999999999</v>
      </c>
    </row>
    <row r="768" spans="1:63" x14ac:dyDescent="0.25">
      <c r="A768" s="306" t="s">
        <v>770</v>
      </c>
      <c r="B768" s="308" t="s">
        <v>314</v>
      </c>
      <c r="C768" s="308">
        <v>14.8497</v>
      </c>
      <c r="D768" s="308">
        <v>14.424099999999999</v>
      </c>
      <c r="E768" s="308">
        <v>13.6289</v>
      </c>
      <c r="F768" s="308">
        <v>15.601100000000001</v>
      </c>
      <c r="G768" s="308">
        <v>14.936199999999999</v>
      </c>
      <c r="H768" s="308">
        <v>13.3873</v>
      </c>
      <c r="I768" s="308">
        <v>15.778</v>
      </c>
      <c r="J768" s="308">
        <v>10.6669</v>
      </c>
      <c r="K768" s="308">
        <v>2.9641999999999999</v>
      </c>
      <c r="L768" s="308">
        <v>7.6894999999999998</v>
      </c>
      <c r="M768" s="308">
        <v>14.8024</v>
      </c>
      <c r="N768" s="308">
        <v>14.114800000000001</v>
      </c>
      <c r="O768" s="308">
        <v>19.863099999999999</v>
      </c>
      <c r="P768" s="308">
        <v>18.4603</v>
      </c>
      <c r="Q768" s="308">
        <v>16.171199999999999</v>
      </c>
      <c r="R768" s="308">
        <v>10.706300000000001</v>
      </c>
      <c r="S768" s="308">
        <v>16.133500000000002</v>
      </c>
      <c r="T768" s="308">
        <v>11.5412</v>
      </c>
      <c r="U768" s="308">
        <v>16.191099999999999</v>
      </c>
      <c r="V768" s="308">
        <v>13.786</v>
      </c>
      <c r="W768" s="308">
        <v>9.9338999999999995</v>
      </c>
      <c r="X768" s="308">
        <v>11.001300000000001</v>
      </c>
      <c r="Y768" s="308">
        <v>17.842199999999998</v>
      </c>
      <c r="Z768" s="308">
        <v>16.505199999999999</v>
      </c>
      <c r="AA768" s="308">
        <v>16.3124</v>
      </c>
      <c r="AB768" s="308">
        <v>14.483700000000001</v>
      </c>
      <c r="AC768" s="308">
        <v>17.971499999999999</v>
      </c>
      <c r="AD768" s="308">
        <v>19.2271</v>
      </c>
      <c r="AE768" s="308">
        <v>13.885899999999999</v>
      </c>
      <c r="AF768" s="308">
        <v>12.8941</v>
      </c>
      <c r="AG768" s="308">
        <v>15.8132</v>
      </c>
      <c r="AH768" s="308">
        <v>14.276400000000001</v>
      </c>
      <c r="AI768" s="308">
        <v>10.2332</v>
      </c>
      <c r="AJ768" s="308">
        <v>15.830299999999999</v>
      </c>
      <c r="AK768" s="308">
        <v>14.3725</v>
      </c>
      <c r="AL768" s="308">
        <v>9.8462999999999994</v>
      </c>
      <c r="AM768" s="308">
        <v>16.069800000000001</v>
      </c>
      <c r="AN768" s="308">
        <v>16.197700000000001</v>
      </c>
      <c r="AO768" s="308">
        <v>17.952500000000001</v>
      </c>
      <c r="AP768" s="308">
        <v>11.995100000000001</v>
      </c>
      <c r="AQ768" s="308">
        <v>14.8034</v>
      </c>
      <c r="AR768" s="308">
        <v>14.68</v>
      </c>
      <c r="AS768" s="308">
        <v>12.9871</v>
      </c>
      <c r="AT768" s="308">
        <v>12.505000000000001</v>
      </c>
      <c r="AU768" s="308">
        <v>11.3019</v>
      </c>
      <c r="AV768" s="308">
        <v>17.121500000000001</v>
      </c>
      <c r="AW768" s="308">
        <v>9.6180000000000003</v>
      </c>
      <c r="AX768" s="308">
        <v>14.3582</v>
      </c>
      <c r="AY768" s="308">
        <v>17.467300000000002</v>
      </c>
      <c r="AZ768" s="308">
        <v>15.5608</v>
      </c>
      <c r="BA768" s="308">
        <v>15.9322</v>
      </c>
      <c r="BB768" s="308">
        <v>14.050800000000001</v>
      </c>
      <c r="BC768" s="308">
        <v>11.937200000000001</v>
      </c>
      <c r="BD768" s="308">
        <v>11.913</v>
      </c>
      <c r="BE768" s="308">
        <v>14.8606</v>
      </c>
      <c r="BF768" s="308">
        <v>15.7401</v>
      </c>
      <c r="BG768" s="308">
        <v>13.6325</v>
      </c>
      <c r="BH768" s="308">
        <v>14.6371</v>
      </c>
      <c r="BI768" s="308">
        <v>12.2745</v>
      </c>
      <c r="BJ768" s="308">
        <v>16.536000000000001</v>
      </c>
      <c r="BK768" s="308">
        <v>14.018800000000001</v>
      </c>
    </row>
    <row r="769" spans="1:63" x14ac:dyDescent="0.25">
      <c r="A769" s="306">
        <v>541700</v>
      </c>
      <c r="B769" s="308" t="s">
        <v>315</v>
      </c>
      <c r="C769" s="308">
        <v>10.2346</v>
      </c>
      <c r="D769" s="308">
        <v>11.4313</v>
      </c>
      <c r="E769" s="308">
        <v>9.6696000000000009</v>
      </c>
      <c r="F769" s="308">
        <v>11.919700000000001</v>
      </c>
      <c r="G769" s="308">
        <v>10.106999999999999</v>
      </c>
      <c r="H769" s="308">
        <v>8.0686999999999998</v>
      </c>
      <c r="I769" s="308">
        <v>8.6578999999999997</v>
      </c>
      <c r="J769" s="308">
        <v>6.923</v>
      </c>
      <c r="K769" s="308">
        <v>1.9791000000000001</v>
      </c>
      <c r="L769" s="308">
        <v>5.8608000000000002</v>
      </c>
      <c r="M769" s="308">
        <v>11.0223</v>
      </c>
      <c r="N769" s="308">
        <v>11.558999999999999</v>
      </c>
      <c r="O769" s="308">
        <v>10.450699999999999</v>
      </c>
      <c r="P769" s="308">
        <v>11.479900000000001</v>
      </c>
      <c r="Q769" s="308">
        <v>9.3079000000000001</v>
      </c>
      <c r="R769" s="308">
        <v>8.7390000000000008</v>
      </c>
      <c r="S769" s="308">
        <v>9.7705000000000002</v>
      </c>
      <c r="T769" s="308">
        <v>9.0602</v>
      </c>
      <c r="U769" s="308">
        <v>11.824199999999999</v>
      </c>
      <c r="V769" s="308">
        <v>12.026199999999999</v>
      </c>
      <c r="W769" s="308">
        <v>7.3962000000000003</v>
      </c>
      <c r="X769" s="308">
        <v>8.5038</v>
      </c>
      <c r="Y769" s="308">
        <v>12.8535</v>
      </c>
      <c r="Z769" s="308">
        <v>8.2402999999999995</v>
      </c>
      <c r="AA769" s="308">
        <v>9.1555999999999997</v>
      </c>
      <c r="AB769" s="308">
        <v>7.2032999999999996</v>
      </c>
      <c r="AC769" s="308">
        <v>11.2113</v>
      </c>
      <c r="AD769" s="308">
        <v>11.439399999999999</v>
      </c>
      <c r="AE769" s="308">
        <v>9.6654999999999998</v>
      </c>
      <c r="AF769" s="308">
        <v>9.9725999999999999</v>
      </c>
      <c r="AG769" s="308">
        <v>10.605700000000001</v>
      </c>
      <c r="AH769" s="308">
        <v>7.5942999999999996</v>
      </c>
      <c r="AI769" s="308">
        <v>7.5202999999999998</v>
      </c>
      <c r="AJ769" s="308">
        <v>8.8163999999999998</v>
      </c>
      <c r="AK769" s="308">
        <v>8.6516999999999999</v>
      </c>
      <c r="AL769" s="308">
        <v>9.0068000000000001</v>
      </c>
      <c r="AM769" s="308">
        <v>10.0288</v>
      </c>
      <c r="AN769" s="308">
        <v>12.566800000000001</v>
      </c>
      <c r="AO769" s="308">
        <v>10.8111</v>
      </c>
      <c r="AP769" s="308">
        <v>8.4928000000000008</v>
      </c>
      <c r="AQ769" s="308">
        <v>9.7144999999999992</v>
      </c>
      <c r="AR769" s="308">
        <v>11.174899999999999</v>
      </c>
      <c r="AS769" s="308">
        <v>7.5826000000000002</v>
      </c>
      <c r="AT769" s="308">
        <v>9.8513000000000002</v>
      </c>
      <c r="AU769" s="308">
        <v>10.4572</v>
      </c>
      <c r="AV769" s="308">
        <v>11.140599999999999</v>
      </c>
      <c r="AW769" s="308">
        <v>7.9555999999999996</v>
      </c>
      <c r="AX769" s="308">
        <v>11.989800000000001</v>
      </c>
      <c r="AY769" s="308">
        <v>9.077</v>
      </c>
      <c r="AZ769" s="308">
        <v>10.306699999999999</v>
      </c>
      <c r="BA769" s="308">
        <v>11.2318</v>
      </c>
      <c r="BB769" s="308">
        <v>11.4397</v>
      </c>
      <c r="BC769" s="308">
        <v>8.1509999999999998</v>
      </c>
      <c r="BD769" s="308">
        <v>8.9282000000000004</v>
      </c>
      <c r="BE769" s="308">
        <v>9.3872</v>
      </c>
      <c r="BF769" s="308">
        <v>8.7164000000000001</v>
      </c>
      <c r="BG769" s="308">
        <v>10.1427</v>
      </c>
      <c r="BH769" s="308">
        <v>10.2097</v>
      </c>
      <c r="BI769" s="308">
        <v>10.783200000000001</v>
      </c>
      <c r="BJ769" s="308">
        <v>9.6716999999999995</v>
      </c>
      <c r="BK769" s="308">
        <v>8.4922000000000004</v>
      </c>
    </row>
    <row r="770" spans="1:63" x14ac:dyDescent="0.25">
      <c r="A770" s="306">
        <v>541800</v>
      </c>
      <c r="B770" s="308" t="s">
        <v>316</v>
      </c>
      <c r="C770" s="308">
        <v>11.6168</v>
      </c>
      <c r="D770" s="308">
        <v>13.182499999999999</v>
      </c>
      <c r="E770" s="308">
        <v>13.0907</v>
      </c>
      <c r="F770" s="308">
        <v>13.174899999999999</v>
      </c>
      <c r="G770" s="308">
        <v>12.7403</v>
      </c>
      <c r="H770" s="308">
        <v>9.7483000000000004</v>
      </c>
      <c r="I770" s="308">
        <v>11.3407</v>
      </c>
      <c r="J770" s="308">
        <v>7.9574999999999996</v>
      </c>
      <c r="K770" s="308">
        <v>2.5365000000000002</v>
      </c>
      <c r="L770" s="308">
        <v>10.9147</v>
      </c>
      <c r="M770" s="308">
        <v>13.324299999999999</v>
      </c>
      <c r="N770" s="308">
        <v>9.6524000000000001</v>
      </c>
      <c r="O770" s="308">
        <v>14.958399999999999</v>
      </c>
      <c r="P770" s="308">
        <v>13.7957</v>
      </c>
      <c r="Q770" s="308">
        <v>16.233499999999999</v>
      </c>
      <c r="R770" s="308">
        <v>8.8230000000000004</v>
      </c>
      <c r="S770" s="308">
        <v>13.035</v>
      </c>
      <c r="T770" s="308">
        <v>10.840400000000001</v>
      </c>
      <c r="U770" s="308">
        <v>13.5198</v>
      </c>
      <c r="V770" s="308">
        <v>12.635400000000001</v>
      </c>
      <c r="W770" s="308">
        <v>7.8916000000000004</v>
      </c>
      <c r="X770" s="308">
        <v>10.4955</v>
      </c>
      <c r="Y770" s="308">
        <v>15.181699999999999</v>
      </c>
      <c r="Z770" s="308">
        <v>9.3312000000000008</v>
      </c>
      <c r="AA770" s="308">
        <v>11.295299999999999</v>
      </c>
      <c r="AB770" s="308">
        <v>9.6788000000000007</v>
      </c>
      <c r="AC770" s="308">
        <v>14.3385</v>
      </c>
      <c r="AD770" s="308">
        <v>17.736899999999999</v>
      </c>
      <c r="AE770" s="308">
        <v>12.176299999999999</v>
      </c>
      <c r="AF770" s="308">
        <v>13.4483</v>
      </c>
      <c r="AG770" s="308">
        <v>12.034000000000001</v>
      </c>
      <c r="AH770" s="308">
        <v>12.545999999999999</v>
      </c>
      <c r="AI770" s="308">
        <v>9.3745999999999992</v>
      </c>
      <c r="AJ770" s="308">
        <v>17.1877</v>
      </c>
      <c r="AK770" s="308">
        <v>12.6173</v>
      </c>
      <c r="AL770" s="308">
        <v>6.9968000000000004</v>
      </c>
      <c r="AM770" s="308">
        <v>12.103</v>
      </c>
      <c r="AN770" s="308">
        <v>13.9282</v>
      </c>
      <c r="AO770" s="308">
        <v>12.3833</v>
      </c>
      <c r="AP770" s="308">
        <v>11.0114</v>
      </c>
      <c r="AQ770" s="308">
        <v>10.506</v>
      </c>
      <c r="AR770" s="308">
        <v>15.680300000000001</v>
      </c>
      <c r="AS770" s="308">
        <v>14.7583</v>
      </c>
      <c r="AT770" s="308">
        <v>11.7524</v>
      </c>
      <c r="AU770" s="308">
        <v>11.313499999999999</v>
      </c>
      <c r="AV770" s="308">
        <v>14.864100000000001</v>
      </c>
      <c r="AW770" s="308">
        <v>10.213699999999999</v>
      </c>
      <c r="AX770" s="308">
        <v>12.607100000000001</v>
      </c>
      <c r="AY770" s="308">
        <v>11.6038</v>
      </c>
      <c r="AZ770" s="308">
        <v>12.723100000000001</v>
      </c>
      <c r="BA770" s="308">
        <v>15.456899999999999</v>
      </c>
      <c r="BB770" s="308">
        <v>14.0115</v>
      </c>
      <c r="BC770" s="308">
        <v>9.0559999999999992</v>
      </c>
      <c r="BD770" s="308">
        <v>9.1984999999999992</v>
      </c>
      <c r="BE770" s="308">
        <v>10.309900000000001</v>
      </c>
      <c r="BF770" s="308">
        <v>11.8256</v>
      </c>
      <c r="BG770" s="308">
        <v>11.767899999999999</v>
      </c>
      <c r="BH770" s="308">
        <v>12.9308</v>
      </c>
      <c r="BI770" s="308">
        <v>11.7782</v>
      </c>
      <c r="BJ770" s="308">
        <v>13.055199999999999</v>
      </c>
      <c r="BK770" s="308">
        <v>10.2936</v>
      </c>
    </row>
    <row r="771" spans="1:63" x14ac:dyDescent="0.25">
      <c r="A771" s="306">
        <v>541920</v>
      </c>
      <c r="B771" s="308" t="s">
        <v>317</v>
      </c>
      <c r="C771" s="308">
        <v>23.0212</v>
      </c>
      <c r="D771" s="308">
        <v>22.1341</v>
      </c>
      <c r="E771" s="308">
        <v>24.422599999999999</v>
      </c>
      <c r="F771" s="308">
        <v>18.456600000000002</v>
      </c>
      <c r="G771" s="308">
        <v>22.318300000000001</v>
      </c>
      <c r="H771" s="308">
        <v>19.410299999999999</v>
      </c>
      <c r="I771" s="308">
        <v>26.665099999999999</v>
      </c>
      <c r="J771" s="308">
        <v>17.546900000000001</v>
      </c>
      <c r="K771" s="308">
        <v>4.5846</v>
      </c>
      <c r="L771" s="308">
        <v>13.6951</v>
      </c>
      <c r="M771" s="308">
        <v>26.903600000000001</v>
      </c>
      <c r="N771" s="308">
        <v>25.192299999999999</v>
      </c>
      <c r="O771" s="308">
        <v>32.416899999999998</v>
      </c>
      <c r="P771" s="308">
        <v>21.069299999999998</v>
      </c>
      <c r="Q771" s="308">
        <v>15.479699999999999</v>
      </c>
      <c r="R771" s="308">
        <v>19.010899999999999</v>
      </c>
      <c r="S771" s="308">
        <v>26.641100000000002</v>
      </c>
      <c r="T771" s="308">
        <v>15.363099999999999</v>
      </c>
      <c r="U771" s="308">
        <v>26.680700000000002</v>
      </c>
      <c r="V771" s="308">
        <v>25.349900000000002</v>
      </c>
      <c r="W771" s="308">
        <v>21.6645</v>
      </c>
      <c r="X771" s="308">
        <v>21.573899999999998</v>
      </c>
      <c r="Y771" s="308">
        <v>32.380699999999997</v>
      </c>
      <c r="Z771" s="308">
        <v>18.446999999999999</v>
      </c>
      <c r="AA771" s="308">
        <v>19.702500000000001</v>
      </c>
      <c r="AB771" s="308">
        <v>24.290900000000001</v>
      </c>
      <c r="AC771" s="308">
        <v>31.277699999999999</v>
      </c>
      <c r="AD771" s="308">
        <v>23.5106</v>
      </c>
      <c r="AE771" s="308">
        <v>22.5703</v>
      </c>
      <c r="AF771" s="308">
        <v>29.1173</v>
      </c>
      <c r="AG771" s="308">
        <v>28.8584</v>
      </c>
      <c r="AH771" s="308">
        <v>20.8856</v>
      </c>
      <c r="AI771" s="308">
        <v>22.130600000000001</v>
      </c>
      <c r="AJ771" s="308">
        <v>25.267800000000001</v>
      </c>
      <c r="AK771" s="308">
        <v>19.7742</v>
      </c>
      <c r="AL771" s="308">
        <v>13.833</v>
      </c>
      <c r="AM771" s="308">
        <v>20.307700000000001</v>
      </c>
      <c r="AN771" s="308">
        <v>26.101700000000001</v>
      </c>
      <c r="AO771" s="308">
        <v>26.4541</v>
      </c>
      <c r="AP771" s="308">
        <v>28.4436</v>
      </c>
      <c r="AQ771" s="308">
        <v>25.604700000000001</v>
      </c>
      <c r="AR771" s="308">
        <v>25.3292</v>
      </c>
      <c r="AS771" s="308">
        <v>28.278600000000001</v>
      </c>
      <c r="AT771" s="308">
        <v>16.028199999999998</v>
      </c>
      <c r="AU771" s="308">
        <v>23.772300000000001</v>
      </c>
      <c r="AV771" s="308">
        <v>19.453399999999998</v>
      </c>
      <c r="AW771" s="308">
        <v>23.7102</v>
      </c>
      <c r="AX771" s="308">
        <v>29.5045</v>
      </c>
      <c r="AY771" s="308">
        <v>28.901399999999999</v>
      </c>
      <c r="AZ771" s="308">
        <v>26.151199999999999</v>
      </c>
      <c r="BA771" s="308">
        <v>25.208500000000001</v>
      </c>
      <c r="BB771" s="308">
        <v>30.634399999999999</v>
      </c>
      <c r="BC771" s="308">
        <v>22.677299999999999</v>
      </c>
      <c r="BD771" s="308">
        <v>19.433299999999999</v>
      </c>
      <c r="BE771" s="308">
        <v>21.242899999999999</v>
      </c>
      <c r="BF771" s="308">
        <v>21.997399999999999</v>
      </c>
      <c r="BG771" s="308">
        <v>25.475300000000001</v>
      </c>
      <c r="BH771" s="308">
        <v>19.439</v>
      </c>
      <c r="BI771" s="308">
        <v>24.159300000000002</v>
      </c>
      <c r="BJ771" s="308">
        <v>22.420400000000001</v>
      </c>
      <c r="BK771" s="308">
        <v>21.310400000000001</v>
      </c>
    </row>
    <row r="772" spans="1:63" x14ac:dyDescent="0.25">
      <c r="A772" s="306">
        <v>541940</v>
      </c>
      <c r="B772" s="308" t="s">
        <v>318</v>
      </c>
      <c r="C772" s="308">
        <v>16.532599999999999</v>
      </c>
      <c r="D772" s="308">
        <v>16.479500000000002</v>
      </c>
      <c r="E772" s="308">
        <v>17.186199999999999</v>
      </c>
      <c r="F772" s="308">
        <v>12.3712</v>
      </c>
      <c r="G772" s="308">
        <v>14.5246</v>
      </c>
      <c r="H772" s="308">
        <v>13.1061</v>
      </c>
      <c r="I772" s="308">
        <v>16.840900000000001</v>
      </c>
      <c r="J772" s="308">
        <v>11.167199999999999</v>
      </c>
      <c r="K772" s="308">
        <v>3.3062999999999998</v>
      </c>
      <c r="L772" s="308">
        <v>9.7103000000000002</v>
      </c>
      <c r="M772" s="308">
        <v>17.324000000000002</v>
      </c>
      <c r="N772" s="308">
        <v>18.571000000000002</v>
      </c>
      <c r="O772" s="308">
        <v>19.034500000000001</v>
      </c>
      <c r="P772" s="308">
        <v>14.1059</v>
      </c>
      <c r="Q772" s="308">
        <v>10.746499999999999</v>
      </c>
      <c r="R772" s="308">
        <v>14.070600000000001</v>
      </c>
      <c r="S772" s="308">
        <v>17.644400000000001</v>
      </c>
      <c r="T772" s="308">
        <v>11.898899999999999</v>
      </c>
      <c r="U772" s="308">
        <v>14.634</v>
      </c>
      <c r="V772" s="308">
        <v>18.077300000000001</v>
      </c>
      <c r="W772" s="308">
        <v>13.7379</v>
      </c>
      <c r="X772" s="308">
        <v>14.6381</v>
      </c>
      <c r="Y772" s="308">
        <v>21.199000000000002</v>
      </c>
      <c r="Z772" s="308">
        <v>12.3338</v>
      </c>
      <c r="AA772" s="308">
        <v>20.1892</v>
      </c>
      <c r="AB772" s="308">
        <v>16.9786</v>
      </c>
      <c r="AC772" s="308">
        <v>20.119</v>
      </c>
      <c r="AD772" s="308">
        <v>18.997299999999999</v>
      </c>
      <c r="AE772" s="308">
        <v>17.260300000000001</v>
      </c>
      <c r="AF772" s="308">
        <v>15.8515</v>
      </c>
      <c r="AG772" s="308">
        <v>19.095199999999998</v>
      </c>
      <c r="AH772" s="308">
        <v>12.4255</v>
      </c>
      <c r="AI772" s="308">
        <v>13.6258</v>
      </c>
      <c r="AJ772" s="308">
        <v>16.540900000000001</v>
      </c>
      <c r="AK772" s="308">
        <v>13.5136</v>
      </c>
      <c r="AL772" s="308">
        <v>11.2903</v>
      </c>
      <c r="AM772" s="308">
        <v>13.9986</v>
      </c>
      <c r="AN772" s="308">
        <v>18.4467</v>
      </c>
      <c r="AO772" s="308">
        <v>17.3339</v>
      </c>
      <c r="AP772" s="308">
        <v>15.868499999999999</v>
      </c>
      <c r="AQ772" s="308">
        <v>16.4467</v>
      </c>
      <c r="AR772" s="308">
        <v>15.939399999999999</v>
      </c>
      <c r="AS772" s="308">
        <v>19.527799999999999</v>
      </c>
      <c r="AT772" s="308">
        <v>13.086399999999999</v>
      </c>
      <c r="AU772" s="308">
        <v>15.4322</v>
      </c>
      <c r="AV772" s="308">
        <v>13.0403</v>
      </c>
      <c r="AW772" s="308">
        <v>14.8841</v>
      </c>
      <c r="AX772" s="308">
        <v>18.883500000000002</v>
      </c>
      <c r="AY772" s="308">
        <v>17.679200000000002</v>
      </c>
      <c r="AZ772" s="308">
        <v>17.136800000000001</v>
      </c>
      <c r="BA772" s="308">
        <v>15.936</v>
      </c>
      <c r="BB772" s="308">
        <v>19.5397</v>
      </c>
      <c r="BC772" s="308">
        <v>14.5824</v>
      </c>
      <c r="BD772" s="308">
        <v>14.284800000000001</v>
      </c>
      <c r="BE772" s="308">
        <v>14.936199999999999</v>
      </c>
      <c r="BF772" s="308">
        <v>16.9937</v>
      </c>
      <c r="BG772" s="308">
        <v>17.436299999999999</v>
      </c>
      <c r="BH772" s="308">
        <v>15.3225</v>
      </c>
      <c r="BI772" s="308">
        <v>16.025099999999998</v>
      </c>
      <c r="BJ772" s="308">
        <v>15.347</v>
      </c>
      <c r="BK772" s="308">
        <v>14.2636</v>
      </c>
    </row>
    <row r="773" spans="1:63" x14ac:dyDescent="0.25">
      <c r="A773" s="306" t="s">
        <v>771</v>
      </c>
      <c r="B773" s="308" t="s">
        <v>319</v>
      </c>
      <c r="C773" s="308">
        <v>13.0593</v>
      </c>
      <c r="D773" s="308">
        <v>9.6969999999999992</v>
      </c>
      <c r="E773" s="308">
        <v>18.8965</v>
      </c>
      <c r="F773" s="308">
        <v>14.0259</v>
      </c>
      <c r="G773" s="308">
        <v>15.2333</v>
      </c>
      <c r="H773" s="308">
        <v>10.896100000000001</v>
      </c>
      <c r="I773" s="308">
        <v>12.8416</v>
      </c>
      <c r="J773" s="308">
        <v>8.4024000000000001</v>
      </c>
      <c r="K773" s="308">
        <v>2.6857000000000002</v>
      </c>
      <c r="L773" s="308">
        <v>7.9714</v>
      </c>
      <c r="M773" s="308">
        <v>16.777000000000001</v>
      </c>
      <c r="N773" s="308">
        <v>14.6523</v>
      </c>
      <c r="O773" s="308">
        <v>19.0199</v>
      </c>
      <c r="P773" s="308">
        <v>17.840800000000002</v>
      </c>
      <c r="Q773" s="308">
        <v>11.9231</v>
      </c>
      <c r="R773" s="308">
        <v>10.1678</v>
      </c>
      <c r="S773" s="308">
        <v>10.684799999999999</v>
      </c>
      <c r="T773" s="308">
        <v>10.9979</v>
      </c>
      <c r="U773" s="308">
        <v>16.702500000000001</v>
      </c>
      <c r="V773" s="308">
        <v>12.1532</v>
      </c>
      <c r="W773" s="308">
        <v>9.3518000000000008</v>
      </c>
      <c r="X773" s="308">
        <v>11.847899999999999</v>
      </c>
      <c r="Y773" s="308">
        <v>18.3858</v>
      </c>
      <c r="Z773" s="308">
        <v>10.1592</v>
      </c>
      <c r="AA773" s="308">
        <v>13.7097</v>
      </c>
      <c r="AB773" s="308">
        <v>12.0883</v>
      </c>
      <c r="AC773" s="308">
        <v>13.0076</v>
      </c>
      <c r="AD773" s="308">
        <v>15.2098</v>
      </c>
      <c r="AE773" s="308">
        <v>15.016299999999999</v>
      </c>
      <c r="AF773" s="308">
        <v>16.888400000000001</v>
      </c>
      <c r="AG773" s="308">
        <v>17.983499999999999</v>
      </c>
      <c r="AH773" s="308">
        <v>9.8361999999999998</v>
      </c>
      <c r="AI773" s="308">
        <v>9.3666999999999998</v>
      </c>
      <c r="AJ773" s="308">
        <v>14.8649</v>
      </c>
      <c r="AK773" s="308">
        <v>14.299200000000001</v>
      </c>
      <c r="AL773" s="308">
        <v>8.0267999999999997</v>
      </c>
      <c r="AM773" s="308">
        <v>13.552899999999999</v>
      </c>
      <c r="AN773" s="308">
        <v>13.522399999999999</v>
      </c>
      <c r="AO773" s="308">
        <v>15.1898</v>
      </c>
      <c r="AP773" s="308">
        <v>13.083500000000001</v>
      </c>
      <c r="AQ773" s="308">
        <v>18.159099999999999</v>
      </c>
      <c r="AR773" s="308">
        <v>12.124599999999999</v>
      </c>
      <c r="AS773" s="308">
        <v>17.5992</v>
      </c>
      <c r="AT773" s="308">
        <v>11.4895</v>
      </c>
      <c r="AU773" s="308">
        <v>12.919700000000001</v>
      </c>
      <c r="AV773" s="308">
        <v>14.8012</v>
      </c>
      <c r="AW773" s="308">
        <v>10.966100000000001</v>
      </c>
      <c r="AX773" s="308">
        <v>17.899999999999999</v>
      </c>
      <c r="AY773" s="308">
        <v>17.172699999999999</v>
      </c>
      <c r="AZ773" s="308">
        <v>17.828299999999999</v>
      </c>
      <c r="BA773" s="308">
        <v>16.844999999999999</v>
      </c>
      <c r="BB773" s="308">
        <v>14.896800000000001</v>
      </c>
      <c r="BC773" s="308">
        <v>10.3453</v>
      </c>
      <c r="BD773" s="308">
        <v>10.195399999999999</v>
      </c>
      <c r="BE773" s="308">
        <v>11.7599</v>
      </c>
      <c r="BF773" s="308">
        <v>14.091200000000001</v>
      </c>
      <c r="BG773" s="308">
        <v>14.521100000000001</v>
      </c>
      <c r="BH773" s="308">
        <v>15.557499999999999</v>
      </c>
      <c r="BI773" s="308">
        <v>13.1027</v>
      </c>
      <c r="BJ773" s="308">
        <v>14.1944</v>
      </c>
      <c r="BK773" s="308">
        <v>11.7272</v>
      </c>
    </row>
    <row r="774" spans="1:63" x14ac:dyDescent="0.25">
      <c r="A774" s="306">
        <v>550000</v>
      </c>
      <c r="B774" s="308" t="s">
        <v>320</v>
      </c>
      <c r="C774" s="308">
        <v>8.6496999999999993</v>
      </c>
      <c r="D774" s="308">
        <v>8.2135999999999996</v>
      </c>
      <c r="E774" s="308">
        <v>8.8732000000000006</v>
      </c>
      <c r="F774" s="308">
        <v>7.3856999999999999</v>
      </c>
      <c r="G774" s="308">
        <v>9.0864999999999991</v>
      </c>
      <c r="H774" s="308">
        <v>7.7770000000000001</v>
      </c>
      <c r="I774" s="308">
        <v>7.5125000000000002</v>
      </c>
      <c r="J774" s="308">
        <v>5.8364000000000003</v>
      </c>
      <c r="K774" s="308">
        <v>1.2531000000000001</v>
      </c>
      <c r="L774" s="308">
        <v>5.7355999999999998</v>
      </c>
      <c r="M774" s="308">
        <v>8.7809000000000008</v>
      </c>
      <c r="N774" s="308">
        <v>8.4513999999999996</v>
      </c>
      <c r="O774" s="308">
        <v>8.6441999999999997</v>
      </c>
      <c r="P774" s="308">
        <v>8.1462000000000003</v>
      </c>
      <c r="Q774" s="308">
        <v>7.7659000000000002</v>
      </c>
      <c r="R774" s="308">
        <v>7.0206999999999997</v>
      </c>
      <c r="S774" s="308">
        <v>7.9318</v>
      </c>
      <c r="T774" s="308">
        <v>7.2866</v>
      </c>
      <c r="U774" s="308">
        <v>7.7119</v>
      </c>
      <c r="V774" s="308">
        <v>9.0327999999999999</v>
      </c>
      <c r="W774" s="308">
        <v>6.6207000000000003</v>
      </c>
      <c r="X774" s="308">
        <v>7.3658999999999999</v>
      </c>
      <c r="Y774" s="308">
        <v>8.7744999999999997</v>
      </c>
      <c r="Z774" s="308">
        <v>6.9413</v>
      </c>
      <c r="AA774" s="308">
        <v>6.6590999999999996</v>
      </c>
      <c r="AB774" s="308">
        <v>6.6607000000000003</v>
      </c>
      <c r="AC774" s="308">
        <v>8.2843999999999998</v>
      </c>
      <c r="AD774" s="308">
        <v>9.7597000000000005</v>
      </c>
      <c r="AE774" s="308">
        <v>7.5739000000000001</v>
      </c>
      <c r="AF774" s="308">
        <v>8.6319999999999997</v>
      </c>
      <c r="AG774" s="308">
        <v>7.2582000000000004</v>
      </c>
      <c r="AH774" s="308">
        <v>7.1599000000000004</v>
      </c>
      <c r="AI774" s="308">
        <v>5.9436999999999998</v>
      </c>
      <c r="AJ774" s="308">
        <v>9.7017000000000007</v>
      </c>
      <c r="AK774" s="308">
        <v>6.6363000000000003</v>
      </c>
      <c r="AL774" s="308">
        <v>4.7565999999999997</v>
      </c>
      <c r="AM774" s="308">
        <v>7.6025</v>
      </c>
      <c r="AN774" s="308">
        <v>8.9983000000000004</v>
      </c>
      <c r="AO774" s="308">
        <v>8.1730999999999998</v>
      </c>
      <c r="AP774" s="308">
        <v>7.3304</v>
      </c>
      <c r="AQ774" s="308">
        <v>6.0511999999999997</v>
      </c>
      <c r="AR774" s="308">
        <v>9.7314000000000007</v>
      </c>
      <c r="AS774" s="308">
        <v>6.7304000000000004</v>
      </c>
      <c r="AT774" s="308">
        <v>8.2370999999999999</v>
      </c>
      <c r="AU774" s="308">
        <v>8.6917000000000009</v>
      </c>
      <c r="AV774" s="308">
        <v>11.304500000000001</v>
      </c>
      <c r="AW774" s="308">
        <v>6.7487000000000004</v>
      </c>
      <c r="AX774" s="308">
        <v>10.0192</v>
      </c>
      <c r="AY774" s="308">
        <v>7.2508999999999997</v>
      </c>
      <c r="AZ774" s="308">
        <v>7.7454000000000001</v>
      </c>
      <c r="BA774" s="308">
        <v>8.8909000000000002</v>
      </c>
      <c r="BB774" s="308">
        <v>6.91</v>
      </c>
      <c r="BC774" s="308">
        <v>7.0616000000000003</v>
      </c>
      <c r="BD774" s="308">
        <v>6.5818000000000003</v>
      </c>
      <c r="BE774" s="308">
        <v>7.7016</v>
      </c>
      <c r="BF774" s="308">
        <v>7.0350999999999999</v>
      </c>
      <c r="BG774" s="308">
        <v>8.5891999999999999</v>
      </c>
      <c r="BH774" s="308">
        <v>8.4469999999999992</v>
      </c>
      <c r="BI774" s="308">
        <v>8.8897999999999993</v>
      </c>
      <c r="BJ774" s="308">
        <v>8.5321999999999996</v>
      </c>
      <c r="BK774" s="308">
        <v>7.9847999999999999</v>
      </c>
    </row>
    <row r="775" spans="1:63" x14ac:dyDescent="0.25">
      <c r="A775" s="306">
        <v>561100</v>
      </c>
      <c r="B775" s="308" t="s">
        <v>323</v>
      </c>
      <c r="C775" s="308">
        <v>14.5358</v>
      </c>
      <c r="D775" s="308">
        <v>12.683</v>
      </c>
      <c r="E775" s="308">
        <v>15.754899999999999</v>
      </c>
      <c r="F775" s="308">
        <v>14.613</v>
      </c>
      <c r="G775" s="308">
        <v>13.9511</v>
      </c>
      <c r="H775" s="308">
        <v>12.2027</v>
      </c>
      <c r="I775" s="308">
        <v>12.229200000000001</v>
      </c>
      <c r="J775" s="308">
        <v>10.861700000000001</v>
      </c>
      <c r="K775" s="308">
        <v>4.0824999999999996</v>
      </c>
      <c r="L775" s="308">
        <v>10.223800000000001</v>
      </c>
      <c r="M775" s="308">
        <v>16.469000000000001</v>
      </c>
      <c r="N775" s="308">
        <v>15.103300000000001</v>
      </c>
      <c r="O775" s="308">
        <v>13.881</v>
      </c>
      <c r="P775" s="308">
        <v>11.882999999999999</v>
      </c>
      <c r="Q775" s="308">
        <v>13.966699999999999</v>
      </c>
      <c r="R775" s="308">
        <v>14.102499999999999</v>
      </c>
      <c r="S775" s="308">
        <v>15.076000000000001</v>
      </c>
      <c r="T775" s="308">
        <v>12.4221</v>
      </c>
      <c r="U775" s="308">
        <v>11.631399999999999</v>
      </c>
      <c r="V775" s="308">
        <v>11.9893</v>
      </c>
      <c r="W775" s="308">
        <v>12.235200000000001</v>
      </c>
      <c r="X775" s="308">
        <v>13.6882</v>
      </c>
      <c r="Y775" s="308">
        <v>15.826599999999999</v>
      </c>
      <c r="Z775" s="308">
        <v>13.908899999999999</v>
      </c>
      <c r="AA775" s="308">
        <v>13.2963</v>
      </c>
      <c r="AB775" s="308">
        <v>12.648400000000001</v>
      </c>
      <c r="AC775" s="308">
        <v>13.5024</v>
      </c>
      <c r="AD775" s="308">
        <v>15.310600000000001</v>
      </c>
      <c r="AE775" s="308">
        <v>14.802</v>
      </c>
      <c r="AF775" s="308">
        <v>12.1623</v>
      </c>
      <c r="AG775" s="308">
        <v>14.224</v>
      </c>
      <c r="AH775" s="308">
        <v>11.225099999999999</v>
      </c>
      <c r="AI775" s="308">
        <v>11.073600000000001</v>
      </c>
      <c r="AJ775" s="308">
        <v>12.7454</v>
      </c>
      <c r="AK775" s="308">
        <v>12.355600000000001</v>
      </c>
      <c r="AL775" s="308">
        <v>10.1516</v>
      </c>
      <c r="AM775" s="308">
        <v>14.2193</v>
      </c>
      <c r="AN775" s="308">
        <v>15.8812</v>
      </c>
      <c r="AO775" s="308">
        <v>13.897399999999999</v>
      </c>
      <c r="AP775" s="308">
        <v>13.172499999999999</v>
      </c>
      <c r="AQ775" s="308">
        <v>14.5951</v>
      </c>
      <c r="AR775" s="308">
        <v>14.719799999999999</v>
      </c>
      <c r="AS775" s="308">
        <v>12.2933</v>
      </c>
      <c r="AT775" s="308">
        <v>11.4937</v>
      </c>
      <c r="AU775" s="308">
        <v>12.9221</v>
      </c>
      <c r="AV775" s="308">
        <v>16.637499999999999</v>
      </c>
      <c r="AW775" s="308">
        <v>14.0533</v>
      </c>
      <c r="AX775" s="308">
        <v>14.708600000000001</v>
      </c>
      <c r="AY775" s="308">
        <v>14.7463</v>
      </c>
      <c r="AZ775" s="308">
        <v>13.951499999999999</v>
      </c>
      <c r="BA775" s="308">
        <v>11.547499999999999</v>
      </c>
      <c r="BB775" s="308">
        <v>13.551</v>
      </c>
      <c r="BC775" s="308">
        <v>12.9025</v>
      </c>
      <c r="BD775" s="308">
        <v>11.960699999999999</v>
      </c>
      <c r="BE775" s="308">
        <v>14.574299999999999</v>
      </c>
      <c r="BF775" s="308">
        <v>13.603400000000001</v>
      </c>
      <c r="BG775" s="308">
        <v>15.885899999999999</v>
      </c>
      <c r="BH775" s="308">
        <v>12.669499999999999</v>
      </c>
      <c r="BI775" s="308">
        <v>13.241199999999999</v>
      </c>
      <c r="BJ775" s="308">
        <v>14.1709</v>
      </c>
      <c r="BK775" s="308">
        <v>12.533099999999999</v>
      </c>
    </row>
    <row r="776" spans="1:63" x14ac:dyDescent="0.25">
      <c r="A776" s="306">
        <v>561200</v>
      </c>
      <c r="B776" s="308" t="s">
        <v>324</v>
      </c>
      <c r="C776" s="308">
        <v>17.0487</v>
      </c>
      <c r="D776" s="308">
        <v>13.586600000000001</v>
      </c>
      <c r="E776" s="308">
        <v>17.836400000000001</v>
      </c>
      <c r="F776" s="308">
        <v>24.1663</v>
      </c>
      <c r="G776" s="308">
        <v>14.350899999999999</v>
      </c>
      <c r="H776" s="308">
        <v>14.364599999999999</v>
      </c>
      <c r="I776" s="308">
        <v>15.3889</v>
      </c>
      <c r="J776" s="308">
        <v>8.5048999999999992</v>
      </c>
      <c r="K776" s="308">
        <v>5.165</v>
      </c>
      <c r="L776" s="308">
        <v>7.5185000000000004</v>
      </c>
      <c r="M776" s="308">
        <v>13.7926</v>
      </c>
      <c r="N776" s="308">
        <v>19.784500000000001</v>
      </c>
      <c r="O776" s="308">
        <v>12.5402</v>
      </c>
      <c r="P776" s="308">
        <v>32.051200000000001</v>
      </c>
      <c r="Q776" s="308">
        <v>16.619399999999999</v>
      </c>
      <c r="R776" s="308">
        <v>18.279599999999999</v>
      </c>
      <c r="S776" s="308">
        <v>17.871700000000001</v>
      </c>
      <c r="T776" s="308">
        <v>13.3223</v>
      </c>
      <c r="U776" s="308">
        <v>18.051400000000001</v>
      </c>
      <c r="V776" s="308">
        <v>20.917899999999999</v>
      </c>
      <c r="W776" s="308">
        <v>12.944000000000001</v>
      </c>
      <c r="X776" s="308">
        <v>12.8346</v>
      </c>
      <c r="Y776" s="308">
        <v>13.639200000000001</v>
      </c>
      <c r="Z776" s="308">
        <v>18.140799999999999</v>
      </c>
      <c r="AA776" s="308">
        <v>18.9633</v>
      </c>
      <c r="AB776" s="308">
        <v>22.964600000000001</v>
      </c>
      <c r="AC776" s="308">
        <v>18.8904</v>
      </c>
      <c r="AD776" s="308">
        <v>19.971</v>
      </c>
      <c r="AE776" s="308">
        <v>18.072900000000001</v>
      </c>
      <c r="AF776" s="308">
        <v>21.017499999999998</v>
      </c>
      <c r="AG776" s="308">
        <v>18.187899999999999</v>
      </c>
      <c r="AH776" s="308">
        <v>11.594799999999999</v>
      </c>
      <c r="AI776" s="308">
        <v>15.2821</v>
      </c>
      <c r="AJ776" s="308">
        <v>13.527900000000001</v>
      </c>
      <c r="AK776" s="308">
        <v>13.3536</v>
      </c>
      <c r="AL776" s="308">
        <v>14.684699999999999</v>
      </c>
      <c r="AM776" s="308">
        <v>16.2745</v>
      </c>
      <c r="AN776" s="308">
        <v>15.667199999999999</v>
      </c>
      <c r="AO776" s="308">
        <v>14.9634</v>
      </c>
      <c r="AP776" s="308">
        <v>14.8131</v>
      </c>
      <c r="AQ776" s="308">
        <v>14.610200000000001</v>
      </c>
      <c r="AR776" s="308">
        <v>25.1799</v>
      </c>
      <c r="AS776" s="308">
        <v>17.398399999999999</v>
      </c>
      <c r="AT776" s="308">
        <v>11.757</v>
      </c>
      <c r="AU776" s="308">
        <v>18.568300000000001</v>
      </c>
      <c r="AV776" s="308">
        <v>17.868300000000001</v>
      </c>
      <c r="AW776" s="308">
        <v>14.921799999999999</v>
      </c>
      <c r="AX776" s="308">
        <v>23.284400000000002</v>
      </c>
      <c r="AY776" s="308">
        <v>15.309200000000001</v>
      </c>
      <c r="AZ776" s="308">
        <v>11.545400000000001</v>
      </c>
      <c r="BA776" s="308">
        <v>25.832100000000001</v>
      </c>
      <c r="BB776" s="308">
        <v>15.7735</v>
      </c>
      <c r="BC776" s="308">
        <v>12.8591</v>
      </c>
      <c r="BD776" s="308">
        <v>15.885199999999999</v>
      </c>
      <c r="BE776" s="308">
        <v>17.0273</v>
      </c>
      <c r="BF776" s="308">
        <v>19.777000000000001</v>
      </c>
      <c r="BG776" s="308">
        <v>16.133099999999999</v>
      </c>
      <c r="BH776" s="308">
        <v>16.245999999999999</v>
      </c>
      <c r="BI776" s="308">
        <v>18.598700000000001</v>
      </c>
      <c r="BJ776" s="308">
        <v>15.2583</v>
      </c>
      <c r="BK776" s="308">
        <v>14.7988</v>
      </c>
    </row>
    <row r="777" spans="1:63" x14ac:dyDescent="0.25">
      <c r="A777" s="306">
        <v>561300</v>
      </c>
      <c r="B777" s="308" t="s">
        <v>321</v>
      </c>
      <c r="C777" s="308">
        <v>32.269500000000001</v>
      </c>
      <c r="D777" s="308">
        <v>23.8552</v>
      </c>
      <c r="E777" s="308">
        <v>38.677799999999998</v>
      </c>
      <c r="F777" s="308">
        <v>37.598500000000001</v>
      </c>
      <c r="G777" s="308">
        <v>26.865100000000002</v>
      </c>
      <c r="H777" s="308">
        <v>28.203199999999999</v>
      </c>
      <c r="I777" s="308">
        <v>29.233799999999999</v>
      </c>
      <c r="J777" s="308">
        <v>28.7682</v>
      </c>
      <c r="K777" s="308">
        <v>8.3940999999999999</v>
      </c>
      <c r="L777" s="308">
        <v>22.9773</v>
      </c>
      <c r="M777" s="308">
        <v>35.345199999999998</v>
      </c>
      <c r="N777" s="308">
        <v>35.042099999999998</v>
      </c>
      <c r="O777" s="308">
        <v>27.691600000000001</v>
      </c>
      <c r="P777" s="308">
        <v>34.922199999999997</v>
      </c>
      <c r="Q777" s="308">
        <v>34.534799999999997</v>
      </c>
      <c r="R777" s="308">
        <v>34.061999999999998</v>
      </c>
      <c r="S777" s="308">
        <v>31.523399999999999</v>
      </c>
      <c r="T777" s="308">
        <v>27.5398</v>
      </c>
      <c r="U777" s="308">
        <v>36.4392</v>
      </c>
      <c r="V777" s="308">
        <v>31.619199999999999</v>
      </c>
      <c r="W777" s="308">
        <v>26.875599999999999</v>
      </c>
      <c r="X777" s="308">
        <v>25.379899999999999</v>
      </c>
      <c r="Y777" s="308">
        <v>38.702300000000001</v>
      </c>
      <c r="Z777" s="308">
        <v>29.5747</v>
      </c>
      <c r="AA777" s="308">
        <v>34.849400000000003</v>
      </c>
      <c r="AB777" s="308">
        <v>26.062200000000001</v>
      </c>
      <c r="AC777" s="308">
        <v>37.383000000000003</v>
      </c>
      <c r="AD777" s="308">
        <v>38.563000000000002</v>
      </c>
      <c r="AE777" s="308">
        <v>33.995600000000003</v>
      </c>
      <c r="AF777" s="308">
        <v>33.1036</v>
      </c>
      <c r="AG777" s="308">
        <v>33.567100000000003</v>
      </c>
      <c r="AH777" s="308">
        <v>25.887</v>
      </c>
      <c r="AI777" s="308">
        <v>26.250599999999999</v>
      </c>
      <c r="AJ777" s="308">
        <v>29.730499999999999</v>
      </c>
      <c r="AK777" s="308">
        <v>35.933599999999998</v>
      </c>
      <c r="AL777" s="308">
        <v>22.7331</v>
      </c>
      <c r="AM777" s="308">
        <v>32.871299999999998</v>
      </c>
      <c r="AN777" s="308">
        <v>31.593699999999998</v>
      </c>
      <c r="AO777" s="308">
        <v>29.833300000000001</v>
      </c>
      <c r="AP777" s="308">
        <v>30.604099999999999</v>
      </c>
      <c r="AQ777" s="308">
        <v>28.029499999999999</v>
      </c>
      <c r="AR777" s="308">
        <v>33.215899999999998</v>
      </c>
      <c r="AS777" s="308">
        <v>37.057600000000001</v>
      </c>
      <c r="AT777" s="308">
        <v>30.6982</v>
      </c>
      <c r="AU777" s="308">
        <v>32.832700000000003</v>
      </c>
      <c r="AV777" s="308">
        <v>35.573599999999999</v>
      </c>
      <c r="AW777" s="308">
        <v>33.946899999999999</v>
      </c>
      <c r="AX777" s="308">
        <v>37.002000000000002</v>
      </c>
      <c r="AY777" s="308">
        <v>24.802600000000002</v>
      </c>
      <c r="AZ777" s="308">
        <v>35.822600000000001</v>
      </c>
      <c r="BA777" s="308">
        <v>27.7592</v>
      </c>
      <c r="BB777" s="308">
        <v>28.020499999999998</v>
      </c>
      <c r="BC777" s="308">
        <v>29.606999999999999</v>
      </c>
      <c r="BD777" s="308">
        <v>27.473099999999999</v>
      </c>
      <c r="BE777" s="308">
        <v>32.884599999999999</v>
      </c>
      <c r="BF777" s="308">
        <v>32.061599999999999</v>
      </c>
      <c r="BG777" s="308">
        <v>34.531199999999998</v>
      </c>
      <c r="BH777" s="308">
        <v>35.104300000000002</v>
      </c>
      <c r="BI777" s="308">
        <v>33.067100000000003</v>
      </c>
      <c r="BJ777" s="308">
        <v>30.018000000000001</v>
      </c>
      <c r="BK777" s="308">
        <v>28.104600000000001</v>
      </c>
    </row>
    <row r="778" spans="1:63" x14ac:dyDescent="0.25">
      <c r="A778" s="306">
        <v>561400</v>
      </c>
      <c r="B778" s="308" t="s">
        <v>325</v>
      </c>
      <c r="C778" s="308">
        <v>19.090199999999999</v>
      </c>
      <c r="D778" s="308">
        <v>19.788900000000002</v>
      </c>
      <c r="E778" s="308">
        <v>22.8888</v>
      </c>
      <c r="F778" s="308">
        <v>21.7897</v>
      </c>
      <c r="G778" s="308">
        <v>17.515599999999999</v>
      </c>
      <c r="H778" s="308">
        <v>15.5543</v>
      </c>
      <c r="I778" s="308">
        <v>18.738700000000001</v>
      </c>
      <c r="J778" s="308">
        <v>14.336600000000001</v>
      </c>
      <c r="K778" s="308">
        <v>4.6513</v>
      </c>
      <c r="L778" s="308">
        <v>11.808400000000001</v>
      </c>
      <c r="M778" s="308">
        <v>19.366</v>
      </c>
      <c r="N778" s="308">
        <v>17.112200000000001</v>
      </c>
      <c r="O778" s="308">
        <v>18.9209</v>
      </c>
      <c r="P778" s="308">
        <v>20.903700000000001</v>
      </c>
      <c r="Q778" s="308">
        <v>20.155799999999999</v>
      </c>
      <c r="R778" s="308">
        <v>16.0899</v>
      </c>
      <c r="S778" s="308">
        <v>19.962499999999999</v>
      </c>
      <c r="T778" s="308">
        <v>17.071400000000001</v>
      </c>
      <c r="U778" s="308">
        <v>20.138500000000001</v>
      </c>
      <c r="V778" s="308">
        <v>21.6313</v>
      </c>
      <c r="W778" s="308">
        <v>14.7791</v>
      </c>
      <c r="X778" s="308">
        <v>17.992699999999999</v>
      </c>
      <c r="Y778" s="308">
        <v>19.965</v>
      </c>
      <c r="Z778" s="308">
        <v>15.819000000000001</v>
      </c>
      <c r="AA778" s="308">
        <v>17.151</v>
      </c>
      <c r="AB778" s="308">
        <v>15.0184</v>
      </c>
      <c r="AC778" s="308">
        <v>21.646599999999999</v>
      </c>
      <c r="AD778" s="308">
        <v>22.346399999999999</v>
      </c>
      <c r="AE778" s="308">
        <v>21.707000000000001</v>
      </c>
      <c r="AF778" s="308">
        <v>19.736599999999999</v>
      </c>
      <c r="AG778" s="308">
        <v>18.407800000000002</v>
      </c>
      <c r="AH778" s="308">
        <v>16.126899999999999</v>
      </c>
      <c r="AI778" s="308">
        <v>13.9665</v>
      </c>
      <c r="AJ778" s="308">
        <v>21.020700000000001</v>
      </c>
      <c r="AK778" s="308">
        <v>17.2728</v>
      </c>
      <c r="AL778" s="308">
        <v>13.012</v>
      </c>
      <c r="AM778" s="308">
        <v>17.452999999999999</v>
      </c>
      <c r="AN778" s="308">
        <v>18.739699999999999</v>
      </c>
      <c r="AO778" s="308">
        <v>18.8642</v>
      </c>
      <c r="AP778" s="308">
        <v>17.233000000000001</v>
      </c>
      <c r="AQ778" s="308">
        <v>13.498900000000001</v>
      </c>
      <c r="AR778" s="308">
        <v>18.985700000000001</v>
      </c>
      <c r="AS778" s="308">
        <v>20.624099999999999</v>
      </c>
      <c r="AT778" s="308">
        <v>15.017899999999999</v>
      </c>
      <c r="AU778" s="308">
        <v>17.763000000000002</v>
      </c>
      <c r="AV778" s="308">
        <v>20.456900000000001</v>
      </c>
      <c r="AW778" s="308">
        <v>20.276800000000001</v>
      </c>
      <c r="AX778" s="308">
        <v>20.836600000000001</v>
      </c>
      <c r="AY778" s="308">
        <v>19.773599999999998</v>
      </c>
      <c r="AZ778" s="308">
        <v>19.934000000000001</v>
      </c>
      <c r="BA778" s="308">
        <v>20.382300000000001</v>
      </c>
      <c r="BB778" s="308">
        <v>20.624199999999998</v>
      </c>
      <c r="BC778" s="308">
        <v>16.790400000000002</v>
      </c>
      <c r="BD778" s="308">
        <v>15.6113</v>
      </c>
      <c r="BE778" s="308">
        <v>17.797799999999999</v>
      </c>
      <c r="BF778" s="308">
        <v>18.195900000000002</v>
      </c>
      <c r="BG778" s="308">
        <v>19.923500000000001</v>
      </c>
      <c r="BH778" s="308">
        <v>18.617699999999999</v>
      </c>
      <c r="BI778" s="308">
        <v>18.500499999999999</v>
      </c>
      <c r="BJ778" s="308">
        <v>19.4114</v>
      </c>
      <c r="BK778" s="308">
        <v>17.0136</v>
      </c>
    </row>
    <row r="779" spans="1:63" x14ac:dyDescent="0.25">
      <c r="A779" s="306">
        <v>561500</v>
      </c>
      <c r="B779" s="308" t="s">
        <v>322</v>
      </c>
      <c r="C779" s="308">
        <v>16.204799999999999</v>
      </c>
      <c r="D779" s="308">
        <v>16.9559</v>
      </c>
      <c r="E779" s="308">
        <v>16.218800000000002</v>
      </c>
      <c r="F779" s="308">
        <v>17.886900000000001</v>
      </c>
      <c r="G779" s="308">
        <v>15.675800000000001</v>
      </c>
      <c r="H779" s="308">
        <v>13.973699999999999</v>
      </c>
      <c r="I779" s="308">
        <v>14.076700000000001</v>
      </c>
      <c r="J779" s="308">
        <v>11.5595</v>
      </c>
      <c r="K779" s="308">
        <v>4.2167000000000003</v>
      </c>
      <c r="L779" s="308">
        <v>9.8983000000000008</v>
      </c>
      <c r="M779" s="308">
        <v>16.721699999999998</v>
      </c>
      <c r="N779" s="308">
        <v>13.7195</v>
      </c>
      <c r="O779" s="308">
        <v>17.1557</v>
      </c>
      <c r="P779" s="308">
        <v>16.636500000000002</v>
      </c>
      <c r="Q779" s="308">
        <v>16.597899999999999</v>
      </c>
      <c r="R779" s="308">
        <v>14.1936</v>
      </c>
      <c r="S779" s="308">
        <v>13.9137</v>
      </c>
      <c r="T779" s="308">
        <v>14.2658</v>
      </c>
      <c r="U779" s="308">
        <v>15.4649</v>
      </c>
      <c r="V779" s="308">
        <v>18.494900000000001</v>
      </c>
      <c r="W779" s="308">
        <v>11.85</v>
      </c>
      <c r="X779" s="308">
        <v>12.826000000000001</v>
      </c>
      <c r="Y779" s="308">
        <v>19.301500000000001</v>
      </c>
      <c r="Z779" s="308">
        <v>15.293200000000001</v>
      </c>
      <c r="AA779" s="308">
        <v>15.213200000000001</v>
      </c>
      <c r="AB779" s="308">
        <v>13.026300000000001</v>
      </c>
      <c r="AC779" s="308">
        <v>17.886900000000001</v>
      </c>
      <c r="AD779" s="308">
        <v>18.783799999999999</v>
      </c>
      <c r="AE779" s="308">
        <v>16.969799999999999</v>
      </c>
      <c r="AF779" s="308">
        <v>16.687999999999999</v>
      </c>
      <c r="AG779" s="308">
        <v>17.747800000000002</v>
      </c>
      <c r="AH779" s="308">
        <v>13.429600000000001</v>
      </c>
      <c r="AI779" s="308">
        <v>11.873900000000001</v>
      </c>
      <c r="AJ779" s="308">
        <v>14.9688</v>
      </c>
      <c r="AK779" s="308">
        <v>14.289099999999999</v>
      </c>
      <c r="AL779" s="308">
        <v>11.9762</v>
      </c>
      <c r="AM779" s="308">
        <v>16.101400000000002</v>
      </c>
      <c r="AN779" s="308">
        <v>16.685099999999998</v>
      </c>
      <c r="AO779" s="308">
        <v>16.157499999999999</v>
      </c>
      <c r="AP779" s="308">
        <v>15.8322</v>
      </c>
      <c r="AQ779" s="308">
        <v>14.3238</v>
      </c>
      <c r="AR779" s="308">
        <v>16.269500000000001</v>
      </c>
      <c r="AS779" s="308">
        <v>17.478200000000001</v>
      </c>
      <c r="AT779" s="308">
        <v>12.8375</v>
      </c>
      <c r="AU779" s="308">
        <v>14.978999999999999</v>
      </c>
      <c r="AV779" s="308">
        <v>20.6568</v>
      </c>
      <c r="AW779" s="308">
        <v>15.5893</v>
      </c>
      <c r="AX779" s="308">
        <v>16.3582</v>
      </c>
      <c r="AY779" s="308">
        <v>12.4702</v>
      </c>
      <c r="AZ779" s="308">
        <v>14.7301</v>
      </c>
      <c r="BA779" s="308">
        <v>17.142700000000001</v>
      </c>
      <c r="BB779" s="308">
        <v>16.5349</v>
      </c>
      <c r="BC779" s="308">
        <v>13.443099999999999</v>
      </c>
      <c r="BD779" s="308">
        <v>14.0236</v>
      </c>
      <c r="BE779" s="308">
        <v>15.1646</v>
      </c>
      <c r="BF779" s="308">
        <v>15.8049</v>
      </c>
      <c r="BG779" s="308">
        <v>16.498899999999999</v>
      </c>
      <c r="BH779" s="308">
        <v>14.4146</v>
      </c>
      <c r="BI779" s="308">
        <v>15.6136</v>
      </c>
      <c r="BJ779" s="308">
        <v>16.5093</v>
      </c>
      <c r="BK779" s="308">
        <v>14.4312</v>
      </c>
    </row>
    <row r="780" spans="1:63" x14ac:dyDescent="0.25">
      <c r="A780" s="306">
        <v>561600</v>
      </c>
      <c r="B780" s="308" t="s">
        <v>326</v>
      </c>
      <c r="C780" s="308">
        <v>28.947500000000002</v>
      </c>
      <c r="D780" s="308">
        <v>22.018000000000001</v>
      </c>
      <c r="E780" s="308">
        <v>31.9285</v>
      </c>
      <c r="F780" s="308">
        <v>29.111000000000001</v>
      </c>
      <c r="G780" s="308">
        <v>25.423300000000001</v>
      </c>
      <c r="H780" s="308">
        <v>27.5885</v>
      </c>
      <c r="I780" s="308">
        <v>26.379300000000001</v>
      </c>
      <c r="J780" s="308">
        <v>22.6799</v>
      </c>
      <c r="K780" s="308">
        <v>7.6863999999999999</v>
      </c>
      <c r="L780" s="308">
        <v>21.179300000000001</v>
      </c>
      <c r="M780" s="308">
        <v>28.135300000000001</v>
      </c>
      <c r="N780" s="308">
        <v>31.3508</v>
      </c>
      <c r="O780" s="308">
        <v>28.3127</v>
      </c>
      <c r="P780" s="308">
        <v>29.9315</v>
      </c>
      <c r="Q780" s="308">
        <v>29.768699999999999</v>
      </c>
      <c r="R780" s="308">
        <v>27.870899999999999</v>
      </c>
      <c r="S780" s="308">
        <v>29.028500000000001</v>
      </c>
      <c r="T780" s="308">
        <v>23.691099999999999</v>
      </c>
      <c r="U780" s="308">
        <v>30.123799999999999</v>
      </c>
      <c r="V780" s="308">
        <v>30.979600000000001</v>
      </c>
      <c r="W780" s="308">
        <v>29.082799999999999</v>
      </c>
      <c r="X780" s="308">
        <v>24.900700000000001</v>
      </c>
      <c r="Y780" s="308">
        <v>30.2774</v>
      </c>
      <c r="Z780" s="308">
        <v>29.596699999999998</v>
      </c>
      <c r="AA780" s="308">
        <v>28.7744</v>
      </c>
      <c r="AB780" s="308">
        <v>22.8413</v>
      </c>
      <c r="AC780" s="308">
        <v>30.580500000000001</v>
      </c>
      <c r="AD780" s="308">
        <v>26.883400000000002</v>
      </c>
      <c r="AE780" s="308">
        <v>31.793700000000001</v>
      </c>
      <c r="AF780" s="308">
        <v>28.645499999999998</v>
      </c>
      <c r="AG780" s="308">
        <v>30.218900000000001</v>
      </c>
      <c r="AH780" s="308">
        <v>21.447299999999998</v>
      </c>
      <c r="AI780" s="308">
        <v>22.980699999999999</v>
      </c>
      <c r="AJ780" s="308">
        <v>25.950299999999999</v>
      </c>
      <c r="AK780" s="308">
        <v>23.834</v>
      </c>
      <c r="AL780" s="308">
        <v>24.753699999999998</v>
      </c>
      <c r="AM780" s="308">
        <v>28.5625</v>
      </c>
      <c r="AN780" s="308">
        <v>26.394100000000002</v>
      </c>
      <c r="AO780" s="308">
        <v>25.670300000000001</v>
      </c>
      <c r="AP780" s="308">
        <v>27.578900000000001</v>
      </c>
      <c r="AQ780" s="308">
        <v>24.9422</v>
      </c>
      <c r="AR780" s="308">
        <v>25.112300000000001</v>
      </c>
      <c r="AS780" s="308">
        <v>29.423300000000001</v>
      </c>
      <c r="AT780" s="308">
        <v>22.5593</v>
      </c>
      <c r="AU780" s="308">
        <v>29.4877</v>
      </c>
      <c r="AV780" s="308">
        <v>26.436599999999999</v>
      </c>
      <c r="AW780" s="308">
        <v>23.1432</v>
      </c>
      <c r="AX780" s="308">
        <v>25.2333</v>
      </c>
      <c r="AY780" s="308">
        <v>25.648599999999998</v>
      </c>
      <c r="AZ780" s="308">
        <v>31.0489</v>
      </c>
      <c r="BA780" s="308">
        <v>28.966899999999999</v>
      </c>
      <c r="BB780" s="308">
        <v>27.1843</v>
      </c>
      <c r="BC780" s="308">
        <v>27.5029</v>
      </c>
      <c r="BD780" s="308">
        <v>26.9361</v>
      </c>
      <c r="BE780" s="308">
        <v>29.375399999999999</v>
      </c>
      <c r="BF780" s="308">
        <v>27.4267</v>
      </c>
      <c r="BG780" s="308">
        <v>28.573</v>
      </c>
      <c r="BH780" s="308">
        <v>27.604399999999998</v>
      </c>
      <c r="BI780" s="308">
        <v>29.736499999999999</v>
      </c>
      <c r="BJ780" s="308">
        <v>26.108799999999999</v>
      </c>
      <c r="BK780" s="308">
        <v>27.514099999999999</v>
      </c>
    </row>
    <row r="781" spans="1:63" x14ac:dyDescent="0.25">
      <c r="A781" s="306">
        <v>561700</v>
      </c>
      <c r="B781" s="308" t="s">
        <v>327</v>
      </c>
      <c r="C781" s="308">
        <v>25.4209</v>
      </c>
      <c r="D781" s="308">
        <v>23.6279</v>
      </c>
      <c r="E781" s="308">
        <v>27.468499999999999</v>
      </c>
      <c r="F781" s="308">
        <v>26.6813</v>
      </c>
      <c r="G781" s="308">
        <v>21.562999999999999</v>
      </c>
      <c r="H781" s="308">
        <v>21.479500000000002</v>
      </c>
      <c r="I781" s="308">
        <v>23.886600000000001</v>
      </c>
      <c r="J781" s="308">
        <v>21.470600000000001</v>
      </c>
      <c r="K781" s="308">
        <v>9.1776</v>
      </c>
      <c r="L781" s="308">
        <v>20.587499999999999</v>
      </c>
      <c r="M781" s="308">
        <v>24.536100000000001</v>
      </c>
      <c r="N781" s="308">
        <v>25.296500000000002</v>
      </c>
      <c r="O781" s="308">
        <v>21.2517</v>
      </c>
      <c r="P781" s="308">
        <v>24.150099999999998</v>
      </c>
      <c r="Q781" s="308">
        <v>24.1</v>
      </c>
      <c r="R781" s="308">
        <v>22.6783</v>
      </c>
      <c r="S781" s="308">
        <v>23.439800000000002</v>
      </c>
      <c r="T781" s="308">
        <v>20.8354</v>
      </c>
      <c r="U781" s="308">
        <v>25.1037</v>
      </c>
      <c r="V781" s="308">
        <v>26.737400000000001</v>
      </c>
      <c r="W781" s="308">
        <v>21.959299999999999</v>
      </c>
      <c r="X781" s="308">
        <v>23.063099999999999</v>
      </c>
      <c r="Y781" s="308">
        <v>26.259899999999998</v>
      </c>
      <c r="Z781" s="308">
        <v>24.316600000000001</v>
      </c>
      <c r="AA781" s="308">
        <v>24.627600000000001</v>
      </c>
      <c r="AB781" s="308">
        <v>20.709199999999999</v>
      </c>
      <c r="AC781" s="308">
        <v>26.8477</v>
      </c>
      <c r="AD781" s="308">
        <v>27.6128</v>
      </c>
      <c r="AE781" s="308">
        <v>26.985900000000001</v>
      </c>
      <c r="AF781" s="308">
        <v>24.9101</v>
      </c>
      <c r="AG781" s="308">
        <v>25.960599999999999</v>
      </c>
      <c r="AH781" s="308">
        <v>21.895700000000001</v>
      </c>
      <c r="AI781" s="308">
        <v>20.331800000000001</v>
      </c>
      <c r="AJ781" s="308">
        <v>23.197500000000002</v>
      </c>
      <c r="AK781" s="308">
        <v>21.543500000000002</v>
      </c>
      <c r="AL781" s="308">
        <v>18.831399999999999</v>
      </c>
      <c r="AM781" s="308">
        <v>23.2087</v>
      </c>
      <c r="AN781" s="308">
        <v>25.522500000000001</v>
      </c>
      <c r="AO781" s="308">
        <v>22.024799999999999</v>
      </c>
      <c r="AP781" s="308">
        <v>23.2943</v>
      </c>
      <c r="AQ781" s="308">
        <v>19.683399999999999</v>
      </c>
      <c r="AR781" s="308">
        <v>25.6632</v>
      </c>
      <c r="AS781" s="308">
        <v>25.781099999999999</v>
      </c>
      <c r="AT781" s="308">
        <v>20.587599999999998</v>
      </c>
      <c r="AU781" s="308">
        <v>27.058299999999999</v>
      </c>
      <c r="AV781" s="308">
        <v>26.979800000000001</v>
      </c>
      <c r="AW781" s="308">
        <v>25.924700000000001</v>
      </c>
      <c r="AX781" s="308">
        <v>26.471399999999999</v>
      </c>
      <c r="AY781" s="308">
        <v>23.139500000000002</v>
      </c>
      <c r="AZ781" s="308">
        <v>24.491</v>
      </c>
      <c r="BA781" s="308">
        <v>22.9815</v>
      </c>
      <c r="BB781" s="308">
        <v>26.062100000000001</v>
      </c>
      <c r="BC781" s="308">
        <v>23.3828</v>
      </c>
      <c r="BD781" s="308">
        <v>22.001799999999999</v>
      </c>
      <c r="BE781" s="308">
        <v>23.996099999999998</v>
      </c>
      <c r="BF781" s="308">
        <v>23.988099999999999</v>
      </c>
      <c r="BG781" s="308">
        <v>26.2044</v>
      </c>
      <c r="BH781" s="308">
        <v>24.596800000000002</v>
      </c>
      <c r="BI781" s="308">
        <v>27.2578</v>
      </c>
      <c r="BJ781" s="308">
        <v>23.916699999999999</v>
      </c>
      <c r="BK781" s="308">
        <v>22.013000000000002</v>
      </c>
    </row>
    <row r="782" spans="1:63" x14ac:dyDescent="0.25">
      <c r="A782" s="306">
        <v>561900</v>
      </c>
      <c r="B782" s="308" t="s">
        <v>328</v>
      </c>
      <c r="C782" s="308">
        <v>14.5764</v>
      </c>
      <c r="D782" s="308">
        <v>12.001899999999999</v>
      </c>
      <c r="E782" s="308">
        <v>18.6386</v>
      </c>
      <c r="F782" s="308">
        <v>13.4163</v>
      </c>
      <c r="G782" s="308">
        <v>12.0024</v>
      </c>
      <c r="H782" s="308">
        <v>12.5648</v>
      </c>
      <c r="I782" s="308">
        <v>12.2202</v>
      </c>
      <c r="J782" s="308">
        <v>9.8757000000000001</v>
      </c>
      <c r="K782" s="308">
        <v>4.5861999999999998</v>
      </c>
      <c r="L782" s="308">
        <v>14.2303</v>
      </c>
      <c r="M782" s="308">
        <v>13.664899999999999</v>
      </c>
      <c r="N782" s="308">
        <v>15.8591</v>
      </c>
      <c r="O782" s="308">
        <v>15.4968</v>
      </c>
      <c r="P782" s="308">
        <v>16.9222</v>
      </c>
      <c r="Q782" s="308">
        <v>16.829499999999999</v>
      </c>
      <c r="R782" s="308">
        <v>13.7408</v>
      </c>
      <c r="S782" s="308">
        <v>14.0068</v>
      </c>
      <c r="T782" s="308">
        <v>13.0884</v>
      </c>
      <c r="U782" s="308">
        <v>17.361699999999999</v>
      </c>
      <c r="V782" s="308">
        <v>11.2134</v>
      </c>
      <c r="W782" s="308">
        <v>10.807600000000001</v>
      </c>
      <c r="X782" s="308">
        <v>11.862299999999999</v>
      </c>
      <c r="Y782" s="308">
        <v>17.010000000000002</v>
      </c>
      <c r="Z782" s="308">
        <v>13.0946</v>
      </c>
      <c r="AA782" s="308">
        <v>13.4</v>
      </c>
      <c r="AB782" s="308">
        <v>12.2531</v>
      </c>
      <c r="AC782" s="308">
        <v>17.4955</v>
      </c>
      <c r="AD782" s="308">
        <v>15.9419</v>
      </c>
      <c r="AE782" s="308">
        <v>15.7928</v>
      </c>
      <c r="AF782" s="308">
        <v>10.9238</v>
      </c>
      <c r="AG782" s="308">
        <v>14.2364</v>
      </c>
      <c r="AH782" s="308">
        <v>15.7569</v>
      </c>
      <c r="AI782" s="308">
        <v>10.355700000000001</v>
      </c>
      <c r="AJ782" s="308">
        <v>14.9818</v>
      </c>
      <c r="AK782" s="308">
        <v>12.0282</v>
      </c>
      <c r="AL782" s="308">
        <v>10.001899999999999</v>
      </c>
      <c r="AM782" s="308">
        <v>12.5952</v>
      </c>
      <c r="AN782" s="308">
        <v>14.5905</v>
      </c>
      <c r="AO782" s="308">
        <v>12.629</v>
      </c>
      <c r="AP782" s="308">
        <v>15.306100000000001</v>
      </c>
      <c r="AQ782" s="308">
        <v>17.2135</v>
      </c>
      <c r="AR782" s="308">
        <v>15.4476</v>
      </c>
      <c r="AS782" s="308">
        <v>16.7317</v>
      </c>
      <c r="AT782" s="308">
        <v>10.853400000000001</v>
      </c>
      <c r="AU782" s="308">
        <v>14.481999999999999</v>
      </c>
      <c r="AV782" s="308">
        <v>15.8361</v>
      </c>
      <c r="AW782" s="308">
        <v>17.355599999999999</v>
      </c>
      <c r="AX782" s="308">
        <v>17.549499999999998</v>
      </c>
      <c r="AY782" s="308">
        <v>12.358599999999999</v>
      </c>
      <c r="AZ782" s="308">
        <v>15.834300000000001</v>
      </c>
      <c r="BA782" s="308">
        <v>16.5442</v>
      </c>
      <c r="BB782" s="308">
        <v>15.495200000000001</v>
      </c>
      <c r="BC782" s="308">
        <v>12.9687</v>
      </c>
      <c r="BD782" s="308">
        <v>12.1732</v>
      </c>
      <c r="BE782" s="308">
        <v>14.1023</v>
      </c>
      <c r="BF782" s="308">
        <v>13.7524</v>
      </c>
      <c r="BG782" s="308">
        <v>15.5032</v>
      </c>
      <c r="BH782" s="308">
        <v>13.2697</v>
      </c>
      <c r="BI782" s="308">
        <v>13.9803</v>
      </c>
      <c r="BJ782" s="308">
        <v>13.153499999999999</v>
      </c>
      <c r="BK782" s="308">
        <v>12.8255</v>
      </c>
    </row>
    <row r="783" spans="1:63" x14ac:dyDescent="0.25">
      <c r="A783" s="306">
        <v>562000</v>
      </c>
      <c r="B783" s="308" t="s">
        <v>329</v>
      </c>
      <c r="C783" s="308">
        <v>9.5137</v>
      </c>
      <c r="D783" s="308">
        <v>6.3869999999999996</v>
      </c>
      <c r="E783" s="308">
        <v>9.4817</v>
      </c>
      <c r="F783" s="308">
        <v>9.6837999999999997</v>
      </c>
      <c r="G783" s="308">
        <v>7.2961</v>
      </c>
      <c r="H783" s="308">
        <v>7.9664999999999999</v>
      </c>
      <c r="I783" s="308">
        <v>7.5332999999999997</v>
      </c>
      <c r="J783" s="308">
        <v>6.9288999999999996</v>
      </c>
      <c r="K783" s="308">
        <v>2.8628999999999998</v>
      </c>
      <c r="L783" s="308">
        <v>7.1614000000000004</v>
      </c>
      <c r="M783" s="308">
        <v>9.2462999999999997</v>
      </c>
      <c r="N783" s="308">
        <v>9.6471</v>
      </c>
      <c r="O783" s="308">
        <v>8.2904</v>
      </c>
      <c r="P783" s="308">
        <v>9.1842000000000006</v>
      </c>
      <c r="Q783" s="308">
        <v>9.7492000000000001</v>
      </c>
      <c r="R783" s="308">
        <v>7.5117000000000003</v>
      </c>
      <c r="S783" s="308">
        <v>8.4588000000000001</v>
      </c>
      <c r="T783" s="308">
        <v>9.1452000000000009</v>
      </c>
      <c r="U783" s="308">
        <v>9.4301999999999992</v>
      </c>
      <c r="V783" s="308">
        <v>8.2088999999999999</v>
      </c>
      <c r="W783" s="308">
        <v>7.0275999999999996</v>
      </c>
      <c r="X783" s="308">
        <v>8.7395999999999994</v>
      </c>
      <c r="Y783" s="308">
        <v>10.488200000000001</v>
      </c>
      <c r="Z783" s="308">
        <v>8.7108000000000008</v>
      </c>
      <c r="AA783" s="308">
        <v>8.5609000000000002</v>
      </c>
      <c r="AB783" s="308">
        <v>9.0114999999999998</v>
      </c>
      <c r="AC783" s="308">
        <v>9.9928000000000008</v>
      </c>
      <c r="AD783" s="308">
        <v>9.3774999999999995</v>
      </c>
      <c r="AE783" s="308">
        <v>9.7825000000000006</v>
      </c>
      <c r="AF783" s="308">
        <v>8.1748999999999992</v>
      </c>
      <c r="AG783" s="308">
        <v>9.0150000000000006</v>
      </c>
      <c r="AH783" s="308">
        <v>8.1706000000000003</v>
      </c>
      <c r="AI783" s="308">
        <v>7.6943000000000001</v>
      </c>
      <c r="AJ783" s="308">
        <v>8.3443000000000005</v>
      </c>
      <c r="AK783" s="308">
        <v>8.0031999999999996</v>
      </c>
      <c r="AL783" s="308">
        <v>6.8479999999999999</v>
      </c>
      <c r="AM783" s="308">
        <v>9.0358999999999998</v>
      </c>
      <c r="AN783" s="308">
        <v>10.4621</v>
      </c>
      <c r="AO783" s="308">
        <v>8.4254999999999995</v>
      </c>
      <c r="AP783" s="308">
        <v>9.0341000000000005</v>
      </c>
      <c r="AQ783" s="308">
        <v>8.7444000000000006</v>
      </c>
      <c r="AR783" s="308">
        <v>7.9432</v>
      </c>
      <c r="AS783" s="308">
        <v>8.5572999999999997</v>
      </c>
      <c r="AT783" s="308">
        <v>8.4541000000000004</v>
      </c>
      <c r="AU783" s="308">
        <v>8.3960000000000008</v>
      </c>
      <c r="AV783" s="308">
        <v>9.3693000000000008</v>
      </c>
      <c r="AW783" s="308">
        <v>9.2253000000000007</v>
      </c>
      <c r="AX783" s="308">
        <v>8.2988999999999997</v>
      </c>
      <c r="AY783" s="308">
        <v>7.0907</v>
      </c>
      <c r="AZ783" s="308">
        <v>9.1001999999999992</v>
      </c>
      <c r="BA783" s="308">
        <v>9.7859999999999996</v>
      </c>
      <c r="BB783" s="308">
        <v>8.0236999999999998</v>
      </c>
      <c r="BC783" s="308">
        <v>7.7862999999999998</v>
      </c>
      <c r="BD783" s="308">
        <v>8.1236999999999995</v>
      </c>
      <c r="BE783" s="308">
        <v>8.7119</v>
      </c>
      <c r="BF783" s="308">
        <v>9.1797000000000004</v>
      </c>
      <c r="BG783" s="308">
        <v>9.3928999999999991</v>
      </c>
      <c r="BH783" s="308">
        <v>9.4067000000000007</v>
      </c>
      <c r="BI783" s="308">
        <v>8.7952999999999992</v>
      </c>
      <c r="BJ783" s="308">
        <v>8.3406000000000002</v>
      </c>
      <c r="BK783" s="308">
        <v>7.9977999999999998</v>
      </c>
    </row>
    <row r="784" spans="1:63" x14ac:dyDescent="0.25">
      <c r="A784" s="306">
        <v>611100</v>
      </c>
      <c r="B784" s="308" t="s">
        <v>772</v>
      </c>
      <c r="C784" s="308">
        <v>23.7438</v>
      </c>
      <c r="D784" s="308">
        <v>30.401</v>
      </c>
      <c r="E784" s="308">
        <v>30.782299999999999</v>
      </c>
      <c r="F784" s="308">
        <v>30.1737</v>
      </c>
      <c r="G784" s="308">
        <v>23.581600000000002</v>
      </c>
      <c r="H784" s="308">
        <v>20.354600000000001</v>
      </c>
      <c r="I784" s="308">
        <v>27.875800000000002</v>
      </c>
      <c r="J784" s="308">
        <v>17.0579</v>
      </c>
      <c r="K784" s="308">
        <v>5.5495999999999999</v>
      </c>
      <c r="L784" s="308">
        <v>18.724399999999999</v>
      </c>
      <c r="M784" s="308">
        <v>24.3672</v>
      </c>
      <c r="N784" s="308">
        <v>22.6401</v>
      </c>
      <c r="O784" s="308">
        <v>17.942399999999999</v>
      </c>
      <c r="P784" s="308">
        <v>28.6447</v>
      </c>
      <c r="Q784" s="308">
        <v>30.133199999999999</v>
      </c>
      <c r="R784" s="308">
        <v>22.432200000000002</v>
      </c>
      <c r="S784" s="308">
        <v>24.555099999999999</v>
      </c>
      <c r="T784" s="308">
        <v>28.511299999999999</v>
      </c>
      <c r="U784" s="308">
        <v>27.127199999999998</v>
      </c>
      <c r="V784" s="308">
        <v>23.132400000000001</v>
      </c>
      <c r="W784" s="308">
        <v>17.102699999999999</v>
      </c>
      <c r="X784" s="308">
        <v>18.522300000000001</v>
      </c>
      <c r="Y784" s="308">
        <v>23.414300000000001</v>
      </c>
      <c r="Z784" s="308">
        <v>25.3658</v>
      </c>
      <c r="AA784" s="308">
        <v>25.0139</v>
      </c>
      <c r="AB784" s="308">
        <v>21.6934</v>
      </c>
      <c r="AC784" s="308">
        <v>28.370999999999999</v>
      </c>
      <c r="AD784" s="308">
        <v>30.8064</v>
      </c>
      <c r="AE784" s="308">
        <v>25</v>
      </c>
      <c r="AF784" s="308">
        <v>28.335699999999999</v>
      </c>
      <c r="AG784" s="308">
        <v>25.687899999999999</v>
      </c>
      <c r="AH784" s="308">
        <v>17.6892</v>
      </c>
      <c r="AI784" s="308">
        <v>19.883700000000001</v>
      </c>
      <c r="AJ784" s="308">
        <v>24.5792</v>
      </c>
      <c r="AK784" s="308">
        <v>27.597999999999999</v>
      </c>
      <c r="AL784" s="308">
        <v>16.6267</v>
      </c>
      <c r="AM784" s="308">
        <v>24.559899999999999</v>
      </c>
      <c r="AN784" s="308">
        <v>29.518799999999999</v>
      </c>
      <c r="AO784" s="308">
        <v>26.5626</v>
      </c>
      <c r="AP784" s="308">
        <v>19.433399999999999</v>
      </c>
      <c r="AQ784" s="308">
        <v>16.258400000000002</v>
      </c>
      <c r="AR784" s="308">
        <v>28.2912</v>
      </c>
      <c r="AS784" s="308">
        <v>24.403300000000002</v>
      </c>
      <c r="AT784" s="308">
        <v>21.812000000000001</v>
      </c>
      <c r="AU784" s="308">
        <v>26.0534</v>
      </c>
      <c r="AV784" s="308">
        <v>29.2043</v>
      </c>
      <c r="AW784" s="308">
        <v>21.866800000000001</v>
      </c>
      <c r="AX784" s="308">
        <v>21.6356</v>
      </c>
      <c r="AY784" s="308">
        <v>26.8993</v>
      </c>
      <c r="AZ784" s="308">
        <v>24.868500000000001</v>
      </c>
      <c r="BA784" s="308">
        <v>28.976600000000001</v>
      </c>
      <c r="BB784" s="308">
        <v>30.2804</v>
      </c>
      <c r="BC784" s="308">
        <v>18.587599999999998</v>
      </c>
      <c r="BD784" s="308">
        <v>19.199000000000002</v>
      </c>
      <c r="BE784" s="308">
        <v>24.512899999999998</v>
      </c>
      <c r="BF784" s="308">
        <v>25.340399999999999</v>
      </c>
      <c r="BG784" s="308">
        <v>23.483799999999999</v>
      </c>
      <c r="BH784" s="308">
        <v>26.414899999999999</v>
      </c>
      <c r="BI784" s="308">
        <v>26.523099999999999</v>
      </c>
      <c r="BJ784" s="308">
        <v>26.924399999999999</v>
      </c>
      <c r="BK784" s="308">
        <v>21.555900000000001</v>
      </c>
    </row>
    <row r="785" spans="1:63" x14ac:dyDescent="0.25">
      <c r="A785" s="306" t="s">
        <v>773</v>
      </c>
      <c r="B785" s="308" t="s">
        <v>774</v>
      </c>
      <c r="C785" s="308">
        <v>18.036000000000001</v>
      </c>
      <c r="D785" s="308">
        <v>18.726700000000001</v>
      </c>
      <c r="E785" s="308">
        <v>22.787099999999999</v>
      </c>
      <c r="F785" s="308">
        <v>22.2912</v>
      </c>
      <c r="G785" s="308">
        <v>16.1922</v>
      </c>
      <c r="H785" s="308">
        <v>16.0731</v>
      </c>
      <c r="I785" s="308">
        <v>18.7182</v>
      </c>
      <c r="J785" s="308">
        <v>13.5853</v>
      </c>
      <c r="K785" s="308">
        <v>4.3404999999999996</v>
      </c>
      <c r="L785" s="308">
        <v>13.638</v>
      </c>
      <c r="M785" s="308">
        <v>16.774100000000001</v>
      </c>
      <c r="N785" s="308">
        <v>15.244300000000001</v>
      </c>
      <c r="O785" s="308">
        <v>19.413399999999999</v>
      </c>
      <c r="P785" s="308">
        <v>21.618200000000002</v>
      </c>
      <c r="Q785" s="308">
        <v>22.036200000000001</v>
      </c>
      <c r="R785" s="308">
        <v>14.936500000000001</v>
      </c>
      <c r="S785" s="308">
        <v>19.851600000000001</v>
      </c>
      <c r="T785" s="308">
        <v>19.088100000000001</v>
      </c>
      <c r="U785" s="308">
        <v>21.977</v>
      </c>
      <c r="V785" s="308">
        <v>17.608899999999998</v>
      </c>
      <c r="W785" s="308">
        <v>13.696</v>
      </c>
      <c r="X785" s="308">
        <v>13.6783</v>
      </c>
      <c r="Y785" s="308">
        <v>18.8125</v>
      </c>
      <c r="Z785" s="308">
        <v>20.490300000000001</v>
      </c>
      <c r="AA785" s="308">
        <v>19.4207</v>
      </c>
      <c r="AB785" s="308">
        <v>16.040800000000001</v>
      </c>
      <c r="AC785" s="308">
        <v>22.232299999999999</v>
      </c>
      <c r="AD785" s="308">
        <v>22.621500000000001</v>
      </c>
      <c r="AE785" s="308">
        <v>17.3596</v>
      </c>
      <c r="AF785" s="308">
        <v>20.697099999999999</v>
      </c>
      <c r="AG785" s="308">
        <v>17.2483</v>
      </c>
      <c r="AH785" s="308">
        <v>12.9594</v>
      </c>
      <c r="AI785" s="308">
        <v>15.9998</v>
      </c>
      <c r="AJ785" s="308">
        <v>22.4864</v>
      </c>
      <c r="AK785" s="308">
        <v>17.2562</v>
      </c>
      <c r="AL785" s="308">
        <v>13.5722</v>
      </c>
      <c r="AM785" s="308">
        <v>20.032299999999999</v>
      </c>
      <c r="AN785" s="308">
        <v>21.4419</v>
      </c>
      <c r="AO785" s="308">
        <v>22.912099999999999</v>
      </c>
      <c r="AP785" s="308">
        <v>15.485099999999999</v>
      </c>
      <c r="AQ785" s="308">
        <v>13.619199999999999</v>
      </c>
      <c r="AR785" s="308">
        <v>21.2712</v>
      </c>
      <c r="AS785" s="308">
        <v>21.297999999999998</v>
      </c>
      <c r="AT785" s="308">
        <v>17.024100000000001</v>
      </c>
      <c r="AU785" s="308">
        <v>17.461200000000002</v>
      </c>
      <c r="AV785" s="308">
        <v>22.6493</v>
      </c>
      <c r="AW785" s="308">
        <v>15.3848</v>
      </c>
      <c r="AX785" s="308">
        <v>18.835699999999999</v>
      </c>
      <c r="AY785" s="308">
        <v>21.558</v>
      </c>
      <c r="AZ785" s="308">
        <v>17.122900000000001</v>
      </c>
      <c r="BA785" s="308">
        <v>21.267700000000001</v>
      </c>
      <c r="BB785" s="308">
        <v>21.8857</v>
      </c>
      <c r="BC785" s="308">
        <v>14.833</v>
      </c>
      <c r="BD785" s="308">
        <v>15.412699999999999</v>
      </c>
      <c r="BE785" s="308">
        <v>17.946100000000001</v>
      </c>
      <c r="BF785" s="308">
        <v>18.611899999999999</v>
      </c>
      <c r="BG785" s="308">
        <v>16.7697</v>
      </c>
      <c r="BH785" s="308">
        <v>19.968900000000001</v>
      </c>
      <c r="BI785" s="308">
        <v>18.4148</v>
      </c>
      <c r="BJ785" s="308">
        <v>19.556000000000001</v>
      </c>
      <c r="BK785" s="308">
        <v>17.385300000000001</v>
      </c>
    </row>
    <row r="786" spans="1:63" x14ac:dyDescent="0.25">
      <c r="A786" s="306" t="s">
        <v>775</v>
      </c>
      <c r="B786" s="308" t="s">
        <v>776</v>
      </c>
      <c r="C786" s="308">
        <v>18.062999999999999</v>
      </c>
      <c r="D786" s="308">
        <v>17.664300000000001</v>
      </c>
      <c r="E786" s="308">
        <v>22.478100000000001</v>
      </c>
      <c r="F786" s="308">
        <v>18.734999999999999</v>
      </c>
      <c r="G786" s="308">
        <v>14.103199999999999</v>
      </c>
      <c r="H786" s="308">
        <v>18.4511</v>
      </c>
      <c r="I786" s="308">
        <v>17.3355</v>
      </c>
      <c r="J786" s="308">
        <v>16.645099999999999</v>
      </c>
      <c r="K786" s="308">
        <v>4.1374000000000004</v>
      </c>
      <c r="L786" s="308">
        <v>15.606</v>
      </c>
      <c r="M786" s="308">
        <v>15.565099999999999</v>
      </c>
      <c r="N786" s="308">
        <v>15.253299999999999</v>
      </c>
      <c r="O786" s="308">
        <v>22.387699999999999</v>
      </c>
      <c r="P786" s="308">
        <v>18.680299999999999</v>
      </c>
      <c r="Q786" s="308">
        <v>21.5383</v>
      </c>
      <c r="R786" s="308">
        <v>14.785399999999999</v>
      </c>
      <c r="S786" s="308">
        <v>20.5274</v>
      </c>
      <c r="T786" s="308">
        <v>17.370799999999999</v>
      </c>
      <c r="U786" s="308">
        <v>21.4712</v>
      </c>
      <c r="V786" s="308">
        <v>18.101199999999999</v>
      </c>
      <c r="W786" s="308">
        <v>15.864100000000001</v>
      </c>
      <c r="X786" s="308">
        <v>14.359299999999999</v>
      </c>
      <c r="Y786" s="308">
        <v>19.517199999999999</v>
      </c>
      <c r="Z786" s="308">
        <v>17.895499999999998</v>
      </c>
      <c r="AA786" s="308">
        <v>22.4483</v>
      </c>
      <c r="AB786" s="308">
        <v>14.3089</v>
      </c>
      <c r="AC786" s="308">
        <v>19.6797</v>
      </c>
      <c r="AD786" s="308">
        <v>15.7697</v>
      </c>
      <c r="AE786" s="308">
        <v>17.1751</v>
      </c>
      <c r="AF786" s="308">
        <v>14.087899999999999</v>
      </c>
      <c r="AG786" s="308">
        <v>20.1647</v>
      </c>
      <c r="AH786" s="308">
        <v>14.357699999999999</v>
      </c>
      <c r="AI786" s="308">
        <v>16.1707</v>
      </c>
      <c r="AJ786" s="308">
        <v>20.911799999999999</v>
      </c>
      <c r="AK786" s="308">
        <v>15.467599999999999</v>
      </c>
      <c r="AL786" s="308">
        <v>13.5502</v>
      </c>
      <c r="AM786" s="308">
        <v>20.228899999999999</v>
      </c>
      <c r="AN786" s="308">
        <v>14.8193</v>
      </c>
      <c r="AO786" s="308">
        <v>22.289200000000001</v>
      </c>
      <c r="AP786" s="308">
        <v>16.517399999999999</v>
      </c>
      <c r="AQ786" s="308">
        <v>14.7593</v>
      </c>
      <c r="AR786" s="308">
        <v>20.118200000000002</v>
      </c>
      <c r="AS786" s="308">
        <v>14.493</v>
      </c>
      <c r="AT786" s="308">
        <v>16.959299999999999</v>
      </c>
      <c r="AU786" s="308">
        <v>15.347200000000001</v>
      </c>
      <c r="AV786" s="308">
        <v>22.398499999999999</v>
      </c>
      <c r="AW786" s="308">
        <v>13.3</v>
      </c>
      <c r="AX786" s="308">
        <v>18.783100000000001</v>
      </c>
      <c r="AY786" s="308">
        <v>22.174600000000002</v>
      </c>
      <c r="AZ786" s="308">
        <v>20.319900000000001</v>
      </c>
      <c r="BA786" s="308">
        <v>20.52</v>
      </c>
      <c r="BB786" s="308">
        <v>21.028400000000001</v>
      </c>
      <c r="BC786" s="308">
        <v>17.011199999999999</v>
      </c>
      <c r="BD786" s="308">
        <v>15.867699999999999</v>
      </c>
      <c r="BE786" s="308">
        <v>17.688500000000001</v>
      </c>
      <c r="BF786" s="308">
        <v>18.536100000000001</v>
      </c>
      <c r="BG786" s="308">
        <v>15.924799999999999</v>
      </c>
      <c r="BH786" s="308">
        <v>19.579899999999999</v>
      </c>
      <c r="BI786" s="308">
        <v>16.003399999999999</v>
      </c>
      <c r="BJ786" s="308">
        <v>17.741599999999998</v>
      </c>
      <c r="BK786" s="308">
        <v>19.375800000000002</v>
      </c>
    </row>
    <row r="787" spans="1:63" x14ac:dyDescent="0.25">
      <c r="A787" s="306">
        <v>621600</v>
      </c>
      <c r="B787" s="308" t="s">
        <v>331</v>
      </c>
      <c r="C787" s="308">
        <v>24.7654</v>
      </c>
      <c r="D787" s="308">
        <v>25.265999999999998</v>
      </c>
      <c r="E787" s="308">
        <v>20.216899999999999</v>
      </c>
      <c r="F787" s="308">
        <v>27.563199999999998</v>
      </c>
      <c r="G787" s="308">
        <v>23.347200000000001</v>
      </c>
      <c r="H787" s="308">
        <v>20.633199999999999</v>
      </c>
      <c r="I787" s="308">
        <v>25.921299999999999</v>
      </c>
      <c r="J787" s="308">
        <v>18.155799999999999</v>
      </c>
      <c r="K787" s="308">
        <v>6.9032999999999998</v>
      </c>
      <c r="L787" s="308">
        <v>16.8673</v>
      </c>
      <c r="M787" s="308">
        <v>21.905999999999999</v>
      </c>
      <c r="N787" s="308">
        <v>21.386199999999999</v>
      </c>
      <c r="O787" s="308">
        <v>28.145099999999999</v>
      </c>
      <c r="P787" s="308">
        <v>23.1403</v>
      </c>
      <c r="Q787" s="308">
        <v>27.438800000000001</v>
      </c>
      <c r="R787" s="308">
        <v>22.303100000000001</v>
      </c>
      <c r="S787" s="308">
        <v>22.5425</v>
      </c>
      <c r="T787" s="308">
        <v>24.822500000000002</v>
      </c>
      <c r="U787" s="308">
        <v>18.052900000000001</v>
      </c>
      <c r="V787" s="308">
        <v>20.994800000000001</v>
      </c>
      <c r="W787" s="308">
        <v>19.242699999999999</v>
      </c>
      <c r="X787" s="308">
        <v>19.092500000000001</v>
      </c>
      <c r="Y787" s="308">
        <v>23.482800000000001</v>
      </c>
      <c r="Z787" s="308">
        <v>23.8353</v>
      </c>
      <c r="AA787" s="308">
        <v>27.999600000000001</v>
      </c>
      <c r="AB787" s="308">
        <v>22.523900000000001</v>
      </c>
      <c r="AC787" s="308">
        <v>18.108899999999998</v>
      </c>
      <c r="AD787" s="308">
        <v>27.906700000000001</v>
      </c>
      <c r="AE787" s="308">
        <v>28.5258</v>
      </c>
      <c r="AF787" s="308">
        <v>23.915299999999998</v>
      </c>
      <c r="AG787" s="308">
        <v>21.550999999999998</v>
      </c>
      <c r="AH787" s="308">
        <v>21.8247</v>
      </c>
      <c r="AI787" s="308">
        <v>22.314399999999999</v>
      </c>
      <c r="AJ787" s="308">
        <v>27.852399999999999</v>
      </c>
      <c r="AK787" s="308">
        <v>18.6188</v>
      </c>
      <c r="AL787" s="308">
        <v>20.859100000000002</v>
      </c>
      <c r="AM787" s="308">
        <v>27.456900000000001</v>
      </c>
      <c r="AN787" s="308">
        <v>27.0868</v>
      </c>
      <c r="AO787" s="308">
        <v>21.709800000000001</v>
      </c>
      <c r="AP787" s="308">
        <v>20.0808</v>
      </c>
      <c r="AQ787" s="308">
        <v>22.254899999999999</v>
      </c>
      <c r="AR787" s="308">
        <v>26.030799999999999</v>
      </c>
      <c r="AS787" s="308">
        <v>22.898</v>
      </c>
      <c r="AT787" s="308">
        <v>18.641500000000001</v>
      </c>
      <c r="AU787" s="308">
        <v>28.7867</v>
      </c>
      <c r="AV787" s="308">
        <v>21.7881</v>
      </c>
      <c r="AW787" s="308">
        <v>26.116</v>
      </c>
      <c r="AX787" s="308">
        <v>22.582799999999999</v>
      </c>
      <c r="AY787" s="308">
        <v>21.195</v>
      </c>
      <c r="AZ787" s="308">
        <v>25.2928</v>
      </c>
      <c r="BA787" s="308">
        <v>23.174700000000001</v>
      </c>
      <c r="BB787" s="308">
        <v>24.1889</v>
      </c>
      <c r="BC787" s="308">
        <v>20.584099999999999</v>
      </c>
      <c r="BD787" s="308">
        <v>22.1845</v>
      </c>
      <c r="BE787" s="308">
        <v>24.9192</v>
      </c>
      <c r="BF787" s="308">
        <v>25.454999999999998</v>
      </c>
      <c r="BG787" s="308">
        <v>24.281199999999998</v>
      </c>
      <c r="BH787" s="308">
        <v>19.221800000000002</v>
      </c>
      <c r="BI787" s="308">
        <v>28.0044</v>
      </c>
      <c r="BJ787" s="308">
        <v>24.867599999999999</v>
      </c>
      <c r="BK787" s="308">
        <v>21.174099999999999</v>
      </c>
    </row>
    <row r="788" spans="1:63" x14ac:dyDescent="0.25">
      <c r="A788" s="306" t="s">
        <v>777</v>
      </c>
      <c r="B788" s="308" t="s">
        <v>330</v>
      </c>
      <c r="C788" s="308">
        <v>12.6233</v>
      </c>
      <c r="D788" s="308">
        <v>11.4429</v>
      </c>
      <c r="E788" s="308">
        <v>11.2034</v>
      </c>
      <c r="F788" s="308">
        <v>11.4214</v>
      </c>
      <c r="G788" s="308">
        <v>11.4079</v>
      </c>
      <c r="H788" s="308">
        <v>11.4826</v>
      </c>
      <c r="I788" s="308">
        <v>12.374499999999999</v>
      </c>
      <c r="J788" s="308">
        <v>9.9956999999999994</v>
      </c>
      <c r="K788" s="308">
        <v>2.4561000000000002</v>
      </c>
      <c r="L788" s="308">
        <v>9.0965000000000007</v>
      </c>
      <c r="M788" s="308">
        <v>12.9885</v>
      </c>
      <c r="N788" s="308">
        <v>12.0009</v>
      </c>
      <c r="O788" s="308">
        <v>12.036300000000001</v>
      </c>
      <c r="P788" s="308">
        <v>10.539300000000001</v>
      </c>
      <c r="Q788" s="308">
        <v>11.8079</v>
      </c>
      <c r="R788" s="308">
        <v>11.753299999999999</v>
      </c>
      <c r="S788" s="308">
        <v>11.0954</v>
      </c>
      <c r="T788" s="308">
        <v>10.6561</v>
      </c>
      <c r="U788" s="308">
        <v>11.4992</v>
      </c>
      <c r="V788" s="308">
        <v>11.544499999999999</v>
      </c>
      <c r="W788" s="308">
        <v>10.2475</v>
      </c>
      <c r="X788" s="308">
        <v>11.4152</v>
      </c>
      <c r="Y788" s="308">
        <v>12.6236</v>
      </c>
      <c r="Z788" s="308">
        <v>12.492800000000001</v>
      </c>
      <c r="AA788" s="308">
        <v>10.8855</v>
      </c>
      <c r="AB788" s="308">
        <v>10.5373</v>
      </c>
      <c r="AC788" s="308">
        <v>10.7204</v>
      </c>
      <c r="AD788" s="308">
        <v>12.1059</v>
      </c>
      <c r="AE788" s="308">
        <v>11.743600000000001</v>
      </c>
      <c r="AF788" s="308">
        <v>10.2202</v>
      </c>
      <c r="AG788" s="308">
        <v>11.218500000000001</v>
      </c>
      <c r="AH788" s="308">
        <v>10.025700000000001</v>
      </c>
      <c r="AI788" s="308">
        <v>10.568899999999999</v>
      </c>
      <c r="AJ788" s="308">
        <v>12.184900000000001</v>
      </c>
      <c r="AK788" s="308">
        <v>10.930099999999999</v>
      </c>
      <c r="AL788" s="308">
        <v>10.3866</v>
      </c>
      <c r="AM788" s="308">
        <v>12.069000000000001</v>
      </c>
      <c r="AN788" s="308">
        <v>11.923500000000001</v>
      </c>
      <c r="AO788" s="308">
        <v>12.1722</v>
      </c>
      <c r="AP788" s="308">
        <v>11.4618</v>
      </c>
      <c r="AQ788" s="308">
        <v>11.264200000000001</v>
      </c>
      <c r="AR788" s="308">
        <v>12.3644</v>
      </c>
      <c r="AS788" s="308">
        <v>9.4017999999999997</v>
      </c>
      <c r="AT788" s="308">
        <v>10.533099999999999</v>
      </c>
      <c r="AU788" s="308">
        <v>11.1831</v>
      </c>
      <c r="AV788" s="308">
        <v>13.6652</v>
      </c>
      <c r="AW788" s="308">
        <v>10.808199999999999</v>
      </c>
      <c r="AX788" s="308">
        <v>11.7614</v>
      </c>
      <c r="AY788" s="308">
        <v>12.036099999999999</v>
      </c>
      <c r="AZ788" s="308">
        <v>10.680999999999999</v>
      </c>
      <c r="BA788" s="308">
        <v>11.2294</v>
      </c>
      <c r="BB788" s="308">
        <v>10.6493</v>
      </c>
      <c r="BC788" s="308">
        <v>11.069699999999999</v>
      </c>
      <c r="BD788" s="308">
        <v>11.482100000000001</v>
      </c>
      <c r="BE788" s="308">
        <v>12.1401</v>
      </c>
      <c r="BF788" s="308">
        <v>11.2027</v>
      </c>
      <c r="BG788" s="308">
        <v>12.631600000000001</v>
      </c>
      <c r="BH788" s="308">
        <v>11.233000000000001</v>
      </c>
      <c r="BI788" s="308">
        <v>11.5532</v>
      </c>
      <c r="BJ788" s="308">
        <v>12.315300000000001</v>
      </c>
      <c r="BK788" s="308">
        <v>11.8276</v>
      </c>
    </row>
    <row r="789" spans="1:63" x14ac:dyDescent="0.25">
      <c r="A789" s="306" t="s">
        <v>778</v>
      </c>
      <c r="B789" s="308" t="s">
        <v>332</v>
      </c>
      <c r="C789" s="308">
        <v>15.037100000000001</v>
      </c>
      <c r="D789" s="308">
        <v>10.687900000000001</v>
      </c>
      <c r="E789" s="308">
        <v>13.7172</v>
      </c>
      <c r="F789" s="308">
        <v>14.8911</v>
      </c>
      <c r="G789" s="308">
        <v>13.194900000000001</v>
      </c>
      <c r="H789" s="308">
        <v>12.3347</v>
      </c>
      <c r="I789" s="308">
        <v>13.6883</v>
      </c>
      <c r="J789" s="308">
        <v>11.736000000000001</v>
      </c>
      <c r="K789" s="308">
        <v>2.8231999999999999</v>
      </c>
      <c r="L789" s="308">
        <v>12.7967</v>
      </c>
      <c r="M789" s="308">
        <v>16.1493</v>
      </c>
      <c r="N789" s="308">
        <v>15.6052</v>
      </c>
      <c r="O789" s="308">
        <v>12.956099999999999</v>
      </c>
      <c r="P789" s="308">
        <v>14.023</v>
      </c>
      <c r="Q789" s="308">
        <v>13.216100000000001</v>
      </c>
      <c r="R789" s="308">
        <v>14.828799999999999</v>
      </c>
      <c r="S789" s="308">
        <v>13.578900000000001</v>
      </c>
      <c r="T789" s="308">
        <v>13.362299999999999</v>
      </c>
      <c r="U789" s="308">
        <v>15.0985</v>
      </c>
      <c r="V789" s="308">
        <v>13.722</v>
      </c>
      <c r="W789" s="308">
        <v>12.446899999999999</v>
      </c>
      <c r="X789" s="308">
        <v>12.3398</v>
      </c>
      <c r="Y789" s="308">
        <v>16.318100000000001</v>
      </c>
      <c r="Z789" s="308">
        <v>14.441800000000001</v>
      </c>
      <c r="AA789" s="308">
        <v>12.9222</v>
      </c>
      <c r="AB789" s="308">
        <v>13.888500000000001</v>
      </c>
      <c r="AC789" s="308">
        <v>15.111000000000001</v>
      </c>
      <c r="AD789" s="308">
        <v>14.6944</v>
      </c>
      <c r="AE789" s="308">
        <v>15.843999999999999</v>
      </c>
      <c r="AF789" s="308">
        <v>13.3293</v>
      </c>
      <c r="AG789" s="308">
        <v>12.944000000000001</v>
      </c>
      <c r="AH789" s="308">
        <v>15.2178</v>
      </c>
      <c r="AI789" s="308">
        <v>11.7598</v>
      </c>
      <c r="AJ789" s="308">
        <v>13.658799999999999</v>
      </c>
      <c r="AK789" s="308">
        <v>12.2982</v>
      </c>
      <c r="AL789" s="308">
        <v>11.851599999999999</v>
      </c>
      <c r="AM789" s="308">
        <v>15.6792</v>
      </c>
      <c r="AN789" s="308">
        <v>14.7277</v>
      </c>
      <c r="AO789" s="308">
        <v>11.998900000000001</v>
      </c>
      <c r="AP789" s="308">
        <v>14.519399999999999</v>
      </c>
      <c r="AQ789" s="308">
        <v>13.8531</v>
      </c>
      <c r="AR789" s="308">
        <v>16.153700000000001</v>
      </c>
      <c r="AS789" s="308">
        <v>12.9016</v>
      </c>
      <c r="AT789" s="308">
        <v>12.6023</v>
      </c>
      <c r="AU789" s="308">
        <v>14.005100000000001</v>
      </c>
      <c r="AV789" s="308">
        <v>16.867000000000001</v>
      </c>
      <c r="AW789" s="308">
        <v>13.319599999999999</v>
      </c>
      <c r="AX789" s="308">
        <v>15.042299999999999</v>
      </c>
      <c r="AY789" s="308">
        <v>12.4742</v>
      </c>
      <c r="AZ789" s="308">
        <v>13.2155</v>
      </c>
      <c r="BA789" s="308">
        <v>14.4802</v>
      </c>
      <c r="BB789" s="308">
        <v>12.515000000000001</v>
      </c>
      <c r="BC789" s="308">
        <v>13.661799999999999</v>
      </c>
      <c r="BD789" s="308">
        <v>13.502800000000001</v>
      </c>
      <c r="BE789" s="308">
        <v>15.032400000000001</v>
      </c>
      <c r="BF789" s="308">
        <v>14.0852</v>
      </c>
      <c r="BG789" s="308">
        <v>15.689299999999999</v>
      </c>
      <c r="BH789" s="308">
        <v>13.990600000000001</v>
      </c>
      <c r="BI789" s="308">
        <v>14.430300000000001</v>
      </c>
      <c r="BJ789" s="308">
        <v>14.0581</v>
      </c>
      <c r="BK789" s="308">
        <v>12.563599999999999</v>
      </c>
    </row>
    <row r="790" spans="1:63" x14ac:dyDescent="0.25">
      <c r="A790" s="306">
        <v>622000</v>
      </c>
      <c r="B790" s="308" t="s">
        <v>779</v>
      </c>
      <c r="C790" s="308">
        <v>13.487299999999999</v>
      </c>
      <c r="D790" s="308">
        <v>10.0091</v>
      </c>
      <c r="E790" s="308">
        <v>13.626099999999999</v>
      </c>
      <c r="F790" s="308">
        <v>12.8752</v>
      </c>
      <c r="G790" s="308">
        <v>11.226599999999999</v>
      </c>
      <c r="H790" s="308">
        <v>10.9107</v>
      </c>
      <c r="I790" s="308">
        <v>12.358599999999999</v>
      </c>
      <c r="J790" s="308">
        <v>10.2538</v>
      </c>
      <c r="K790" s="308">
        <v>2.1515</v>
      </c>
      <c r="L790" s="308">
        <v>9.1190999999999995</v>
      </c>
      <c r="M790" s="308">
        <v>13.308299999999999</v>
      </c>
      <c r="N790" s="308">
        <v>13.287000000000001</v>
      </c>
      <c r="O790" s="308">
        <v>10.936400000000001</v>
      </c>
      <c r="P790" s="308">
        <v>12.0433</v>
      </c>
      <c r="Q790" s="308">
        <v>12.1486</v>
      </c>
      <c r="R790" s="308">
        <v>12.209</v>
      </c>
      <c r="S790" s="308">
        <v>13.110900000000001</v>
      </c>
      <c r="T790" s="308">
        <v>11.9435</v>
      </c>
      <c r="U790" s="308">
        <v>12.958399999999999</v>
      </c>
      <c r="V790" s="308">
        <v>12.749000000000001</v>
      </c>
      <c r="W790" s="308">
        <v>10.2804</v>
      </c>
      <c r="X790" s="308">
        <v>11.011900000000001</v>
      </c>
      <c r="Y790" s="308">
        <v>12.2959</v>
      </c>
      <c r="Z790" s="308">
        <v>12.5441</v>
      </c>
      <c r="AA790" s="308">
        <v>12.061299999999999</v>
      </c>
      <c r="AB790" s="308">
        <v>12.0756</v>
      </c>
      <c r="AC790" s="308">
        <v>12.7658</v>
      </c>
      <c r="AD790" s="308">
        <v>12.267300000000001</v>
      </c>
      <c r="AE790" s="308">
        <v>13.0661</v>
      </c>
      <c r="AF790" s="308">
        <v>10.906499999999999</v>
      </c>
      <c r="AG790" s="308">
        <v>12.353199999999999</v>
      </c>
      <c r="AH790" s="308">
        <v>11.301600000000001</v>
      </c>
      <c r="AI790" s="308">
        <v>11.247</v>
      </c>
      <c r="AJ790" s="308">
        <v>11.1944</v>
      </c>
      <c r="AK790" s="308">
        <v>10.6248</v>
      </c>
      <c r="AL790" s="308">
        <v>9.6412999999999993</v>
      </c>
      <c r="AM790" s="308">
        <v>12.9278</v>
      </c>
      <c r="AN790" s="308">
        <v>13.3705</v>
      </c>
      <c r="AO790" s="308">
        <v>11.616099999999999</v>
      </c>
      <c r="AP790" s="308">
        <v>12.4445</v>
      </c>
      <c r="AQ790" s="308">
        <v>11.5351</v>
      </c>
      <c r="AR790" s="308">
        <v>14.0501</v>
      </c>
      <c r="AS790" s="308">
        <v>11.517799999999999</v>
      </c>
      <c r="AT790" s="308">
        <v>12.451499999999999</v>
      </c>
      <c r="AU790" s="308">
        <v>12.4886</v>
      </c>
      <c r="AV790" s="308">
        <v>15.1783</v>
      </c>
      <c r="AW790" s="308">
        <v>12.329499999999999</v>
      </c>
      <c r="AX790" s="308">
        <v>10.711</v>
      </c>
      <c r="AY790" s="308">
        <v>10.7758</v>
      </c>
      <c r="AZ790" s="308">
        <v>13.078099999999999</v>
      </c>
      <c r="BA790" s="308">
        <v>11.150600000000001</v>
      </c>
      <c r="BB790" s="308">
        <v>10.7712</v>
      </c>
      <c r="BC790" s="308">
        <v>11.3195</v>
      </c>
      <c r="BD790" s="308">
        <v>11.7173</v>
      </c>
      <c r="BE790" s="308">
        <v>13.092000000000001</v>
      </c>
      <c r="BF790" s="308">
        <v>12.648999999999999</v>
      </c>
      <c r="BG790" s="308">
        <v>13.365500000000001</v>
      </c>
      <c r="BH790" s="308">
        <v>13.2179</v>
      </c>
      <c r="BI790" s="308">
        <v>13.0814</v>
      </c>
      <c r="BJ790" s="308">
        <v>12.5101</v>
      </c>
      <c r="BK790" s="308">
        <v>11.178599999999999</v>
      </c>
    </row>
    <row r="791" spans="1:63" x14ac:dyDescent="0.25">
      <c r="A791" s="306">
        <v>623000</v>
      </c>
      <c r="B791" s="308" t="s">
        <v>333</v>
      </c>
      <c r="C791" s="308">
        <v>22.122699999999998</v>
      </c>
      <c r="D791" s="308">
        <v>17.5154</v>
      </c>
      <c r="E791" s="308">
        <v>23.2623</v>
      </c>
      <c r="F791" s="308">
        <v>22.850300000000001</v>
      </c>
      <c r="G791" s="308">
        <v>20.929300000000001</v>
      </c>
      <c r="H791" s="308">
        <v>19.861499999999999</v>
      </c>
      <c r="I791" s="308">
        <v>20.100899999999999</v>
      </c>
      <c r="J791" s="308">
        <v>17.295200000000001</v>
      </c>
      <c r="K791" s="308">
        <v>5.8373999999999997</v>
      </c>
      <c r="L791" s="308">
        <v>16.7027</v>
      </c>
      <c r="M791" s="308">
        <v>21.225000000000001</v>
      </c>
      <c r="N791" s="308">
        <v>22.607199999999999</v>
      </c>
      <c r="O791" s="308">
        <v>19.456700000000001</v>
      </c>
      <c r="P791" s="308">
        <v>22.764600000000002</v>
      </c>
      <c r="Q791" s="308">
        <v>22.924900000000001</v>
      </c>
      <c r="R791" s="308">
        <v>21.099900000000002</v>
      </c>
      <c r="S791" s="308">
        <v>21.279800000000002</v>
      </c>
      <c r="T791" s="308">
        <v>22.7301</v>
      </c>
      <c r="U791" s="308">
        <v>19.925000000000001</v>
      </c>
      <c r="V791" s="308">
        <v>23.839500000000001</v>
      </c>
      <c r="W791" s="308">
        <v>17.1996</v>
      </c>
      <c r="X791" s="308">
        <v>17.682300000000001</v>
      </c>
      <c r="Y791" s="308">
        <v>22.389900000000001</v>
      </c>
      <c r="Z791" s="308">
        <v>22.816500000000001</v>
      </c>
      <c r="AA791" s="308">
        <v>23.690300000000001</v>
      </c>
      <c r="AB791" s="308">
        <v>23.400600000000001</v>
      </c>
      <c r="AC791" s="308">
        <v>22.518999999999998</v>
      </c>
      <c r="AD791" s="308">
        <v>23.479900000000001</v>
      </c>
      <c r="AE791" s="308">
        <v>23.744299999999999</v>
      </c>
      <c r="AF791" s="308">
        <v>21.803100000000001</v>
      </c>
      <c r="AG791" s="308">
        <v>21.706</v>
      </c>
      <c r="AH791" s="308">
        <v>18.305</v>
      </c>
      <c r="AI791" s="308">
        <v>17.623100000000001</v>
      </c>
      <c r="AJ791" s="308">
        <v>21.169699999999999</v>
      </c>
      <c r="AK791" s="308">
        <v>18.736899999999999</v>
      </c>
      <c r="AL791" s="308">
        <v>17.085599999999999</v>
      </c>
      <c r="AM791" s="308">
        <v>21.991399999999999</v>
      </c>
      <c r="AN791" s="308">
        <v>24.001999999999999</v>
      </c>
      <c r="AO791" s="308">
        <v>21.025300000000001</v>
      </c>
      <c r="AP791" s="308">
        <v>19.9252</v>
      </c>
      <c r="AQ791" s="308">
        <v>18.915500000000002</v>
      </c>
      <c r="AR791" s="308">
        <v>23.403700000000001</v>
      </c>
      <c r="AS791" s="308">
        <v>22.166899999999998</v>
      </c>
      <c r="AT791" s="308">
        <v>18.5549</v>
      </c>
      <c r="AU791" s="308">
        <v>22.5078</v>
      </c>
      <c r="AV791" s="308">
        <v>25.112100000000002</v>
      </c>
      <c r="AW791" s="308">
        <v>19.050699999999999</v>
      </c>
      <c r="AX791" s="308">
        <v>19.0624</v>
      </c>
      <c r="AY791" s="308">
        <v>20.234000000000002</v>
      </c>
      <c r="AZ791" s="308">
        <v>23.298100000000002</v>
      </c>
      <c r="BA791" s="308">
        <v>21.534099999999999</v>
      </c>
      <c r="BB791" s="308">
        <v>17.799399999999999</v>
      </c>
      <c r="BC791" s="308">
        <v>18.779299999999999</v>
      </c>
      <c r="BD791" s="308">
        <v>18.855599999999999</v>
      </c>
      <c r="BE791" s="308">
        <v>22.402999999999999</v>
      </c>
      <c r="BF791" s="308">
        <v>23.715399999999999</v>
      </c>
      <c r="BG791" s="308">
        <v>21.805399999999999</v>
      </c>
      <c r="BH791" s="308">
        <v>20.8841</v>
      </c>
      <c r="BI791" s="308">
        <v>23.380600000000001</v>
      </c>
      <c r="BJ791" s="308">
        <v>21.7057</v>
      </c>
      <c r="BK791" s="308">
        <v>20.242000000000001</v>
      </c>
    </row>
    <row r="792" spans="1:63" x14ac:dyDescent="0.25">
      <c r="A792" s="306">
        <v>624200</v>
      </c>
      <c r="B792" s="308" t="s">
        <v>336</v>
      </c>
      <c r="C792" s="308">
        <v>23.764199999999999</v>
      </c>
      <c r="D792" s="308">
        <v>18.302399999999999</v>
      </c>
      <c r="E792" s="308">
        <v>21.6008</v>
      </c>
      <c r="F792" s="308">
        <v>24.0806</v>
      </c>
      <c r="G792" s="308">
        <v>22.1509</v>
      </c>
      <c r="H792" s="308">
        <v>23.6249</v>
      </c>
      <c r="I792" s="308">
        <v>19.7682</v>
      </c>
      <c r="J792" s="308">
        <v>19.291599999999999</v>
      </c>
      <c r="K792" s="308">
        <v>6.0292000000000003</v>
      </c>
      <c r="L792" s="308">
        <v>26.2727</v>
      </c>
      <c r="M792" s="308">
        <v>21.0306</v>
      </c>
      <c r="N792" s="308">
        <v>23.151499999999999</v>
      </c>
      <c r="O792" s="308">
        <v>18.552199999999999</v>
      </c>
      <c r="P792" s="308">
        <v>24.093900000000001</v>
      </c>
      <c r="Q792" s="308">
        <v>24.8703</v>
      </c>
      <c r="R792" s="308">
        <v>20.849699999999999</v>
      </c>
      <c r="S792" s="308">
        <v>22.933299999999999</v>
      </c>
      <c r="T792" s="308">
        <v>22.311599999999999</v>
      </c>
      <c r="U792" s="308">
        <v>23.226800000000001</v>
      </c>
      <c r="V792" s="308">
        <v>24.026599999999998</v>
      </c>
      <c r="W792" s="308">
        <v>17.409199999999998</v>
      </c>
      <c r="X792" s="308">
        <v>19.614899999999999</v>
      </c>
      <c r="Y792" s="308">
        <v>21.778700000000001</v>
      </c>
      <c r="Z792" s="308">
        <v>28.028400000000001</v>
      </c>
      <c r="AA792" s="308">
        <v>22.478899999999999</v>
      </c>
      <c r="AB792" s="308">
        <v>21.9878</v>
      </c>
      <c r="AC792" s="308">
        <v>21.1251</v>
      </c>
      <c r="AD792" s="308">
        <v>25.322399999999998</v>
      </c>
      <c r="AE792" s="308">
        <v>21.510999999999999</v>
      </c>
      <c r="AF792" s="308">
        <v>25.0122</v>
      </c>
      <c r="AG792" s="308">
        <v>25.310400000000001</v>
      </c>
      <c r="AH792" s="308">
        <v>22.693899999999999</v>
      </c>
      <c r="AI792" s="308">
        <v>20.488700000000001</v>
      </c>
      <c r="AJ792" s="308">
        <v>22.8306</v>
      </c>
      <c r="AK792" s="308">
        <v>24.350200000000001</v>
      </c>
      <c r="AL792" s="308">
        <v>16.818999999999999</v>
      </c>
      <c r="AM792" s="308">
        <v>26.7348</v>
      </c>
      <c r="AN792" s="308">
        <v>27.104900000000001</v>
      </c>
      <c r="AO792" s="308">
        <v>24.421600000000002</v>
      </c>
      <c r="AP792" s="308">
        <v>20.254999999999999</v>
      </c>
      <c r="AQ792" s="308">
        <v>22.8889</v>
      </c>
      <c r="AR792" s="308">
        <v>22.690300000000001</v>
      </c>
      <c r="AS792" s="308">
        <v>22.511199999999999</v>
      </c>
      <c r="AT792" s="308">
        <v>22.405799999999999</v>
      </c>
      <c r="AU792" s="308">
        <v>25.023700000000002</v>
      </c>
      <c r="AV792" s="308">
        <v>28.979299999999999</v>
      </c>
      <c r="AW792" s="308">
        <v>20.253699999999998</v>
      </c>
      <c r="AX792" s="308">
        <v>17.272600000000001</v>
      </c>
      <c r="AY792" s="308">
        <v>20.5871</v>
      </c>
      <c r="AZ792" s="308">
        <v>22.9726</v>
      </c>
      <c r="BA792" s="308">
        <v>26.134899999999998</v>
      </c>
      <c r="BB792" s="308">
        <v>21.032900000000001</v>
      </c>
      <c r="BC792" s="308">
        <v>19.760300000000001</v>
      </c>
      <c r="BD792" s="308">
        <v>19.135100000000001</v>
      </c>
      <c r="BE792" s="308">
        <v>23.9787</v>
      </c>
      <c r="BF792" s="308">
        <v>23.654800000000002</v>
      </c>
      <c r="BG792" s="308">
        <v>21.9466</v>
      </c>
      <c r="BH792" s="308">
        <v>22.589400000000001</v>
      </c>
      <c r="BI792" s="308">
        <v>25.628799999999998</v>
      </c>
      <c r="BJ792" s="308">
        <v>23.436699999999998</v>
      </c>
      <c r="BK792" s="308">
        <v>23.252300000000002</v>
      </c>
    </row>
    <row r="793" spans="1:63" x14ac:dyDescent="0.25">
      <c r="A793" s="306">
        <v>624400</v>
      </c>
      <c r="B793" s="308" t="s">
        <v>334</v>
      </c>
      <c r="C793" s="308">
        <v>26.6783</v>
      </c>
      <c r="D793" s="308">
        <v>22.599799999999998</v>
      </c>
      <c r="E793" s="308">
        <v>31.427299999999999</v>
      </c>
      <c r="F793" s="308">
        <v>26.5945</v>
      </c>
      <c r="G793" s="308">
        <v>25.613299999999999</v>
      </c>
      <c r="H793" s="308">
        <v>21.489699999999999</v>
      </c>
      <c r="I793" s="308">
        <v>23.373000000000001</v>
      </c>
      <c r="J793" s="308">
        <v>23.398800000000001</v>
      </c>
      <c r="K793" s="308">
        <v>7.2542</v>
      </c>
      <c r="L793" s="308">
        <v>24.910399999999999</v>
      </c>
      <c r="M793" s="308">
        <v>23.4542</v>
      </c>
      <c r="N793" s="308">
        <v>29.3249</v>
      </c>
      <c r="O793" s="308">
        <v>21.642199999999999</v>
      </c>
      <c r="P793" s="308">
        <v>30.385999999999999</v>
      </c>
      <c r="Q793" s="308">
        <v>31.232199999999999</v>
      </c>
      <c r="R793" s="308">
        <v>24.2441</v>
      </c>
      <c r="S793" s="308">
        <v>25.485600000000002</v>
      </c>
      <c r="T793" s="308">
        <v>24.564900000000002</v>
      </c>
      <c r="U793" s="308">
        <v>31.093</v>
      </c>
      <c r="V793" s="308">
        <v>31.380500000000001</v>
      </c>
      <c r="W793" s="308">
        <v>19.511099999999999</v>
      </c>
      <c r="X793" s="308">
        <v>22.421199999999999</v>
      </c>
      <c r="Y793" s="308">
        <v>23.037299999999998</v>
      </c>
      <c r="Z793" s="308">
        <v>32.098700000000001</v>
      </c>
      <c r="AA793" s="308">
        <v>22.340599999999998</v>
      </c>
      <c r="AB793" s="308">
        <v>25.850300000000001</v>
      </c>
      <c r="AC793" s="308">
        <v>30.2745</v>
      </c>
      <c r="AD793" s="308">
        <v>32.038400000000003</v>
      </c>
      <c r="AE793" s="308">
        <v>24.286200000000001</v>
      </c>
      <c r="AF793" s="308">
        <v>29.5746</v>
      </c>
      <c r="AG793" s="308">
        <v>30.3902</v>
      </c>
      <c r="AH793" s="308">
        <v>22.0471</v>
      </c>
      <c r="AI793" s="308">
        <v>21.910399999999999</v>
      </c>
      <c r="AJ793" s="308">
        <v>25.035499999999999</v>
      </c>
      <c r="AK793" s="308">
        <v>25.8704</v>
      </c>
      <c r="AL793" s="308">
        <v>19.0914</v>
      </c>
      <c r="AM793" s="308">
        <v>29.594000000000001</v>
      </c>
      <c r="AN793" s="308">
        <v>29.403400000000001</v>
      </c>
      <c r="AO793" s="308">
        <v>28.170200000000001</v>
      </c>
      <c r="AP793" s="308">
        <v>24.798500000000001</v>
      </c>
      <c r="AQ793" s="308">
        <v>20.3339</v>
      </c>
      <c r="AR793" s="308">
        <v>28.3018</v>
      </c>
      <c r="AS793" s="308">
        <v>30.468</v>
      </c>
      <c r="AT793" s="308">
        <v>27.036300000000001</v>
      </c>
      <c r="AU793" s="308">
        <v>32.105600000000003</v>
      </c>
      <c r="AV793" s="308">
        <v>34.254399999999997</v>
      </c>
      <c r="AW793" s="308">
        <v>23.613</v>
      </c>
      <c r="AX793" s="308">
        <v>24.4146</v>
      </c>
      <c r="AY793" s="308">
        <v>25.5246</v>
      </c>
      <c r="AZ793" s="308">
        <v>23.997800000000002</v>
      </c>
      <c r="BA793" s="308">
        <v>30.257300000000001</v>
      </c>
      <c r="BB793" s="308">
        <v>20.283100000000001</v>
      </c>
      <c r="BC793" s="308">
        <v>21.864599999999999</v>
      </c>
      <c r="BD793" s="308">
        <v>22.102900000000002</v>
      </c>
      <c r="BE793" s="308">
        <v>27.005299999999998</v>
      </c>
      <c r="BF793" s="308">
        <v>27.1904</v>
      </c>
      <c r="BG793" s="308">
        <v>25.4543</v>
      </c>
      <c r="BH793" s="308">
        <v>29.945</v>
      </c>
      <c r="BI793" s="308">
        <v>31.5962</v>
      </c>
      <c r="BJ793" s="308">
        <v>26.3004</v>
      </c>
      <c r="BK793" s="308">
        <v>22.621600000000001</v>
      </c>
    </row>
    <row r="794" spans="1:63" x14ac:dyDescent="0.25">
      <c r="A794" s="306" t="s">
        <v>780</v>
      </c>
      <c r="B794" s="308" t="s">
        <v>335</v>
      </c>
      <c r="C794" s="308">
        <v>25.840800000000002</v>
      </c>
      <c r="D794" s="308">
        <v>19.423200000000001</v>
      </c>
      <c r="E794" s="308">
        <v>27.6081</v>
      </c>
      <c r="F794" s="308">
        <v>27.0383</v>
      </c>
      <c r="G794" s="308">
        <v>24.3977</v>
      </c>
      <c r="H794" s="308">
        <v>22.077300000000001</v>
      </c>
      <c r="I794" s="308">
        <v>25.7012</v>
      </c>
      <c r="J794" s="308">
        <v>19.105899999999998</v>
      </c>
      <c r="K794" s="308">
        <v>7.1413000000000002</v>
      </c>
      <c r="L794" s="308">
        <v>20.0336</v>
      </c>
      <c r="M794" s="308">
        <v>21.459700000000002</v>
      </c>
      <c r="N794" s="308">
        <v>25.159099999999999</v>
      </c>
      <c r="O794" s="308">
        <v>23.4131</v>
      </c>
      <c r="P794" s="308">
        <v>28.425599999999999</v>
      </c>
      <c r="Q794" s="308">
        <v>29.3048</v>
      </c>
      <c r="R794" s="308">
        <v>27.163699999999999</v>
      </c>
      <c r="S794" s="308">
        <v>23.597100000000001</v>
      </c>
      <c r="T794" s="308">
        <v>27.6995</v>
      </c>
      <c r="U794" s="308">
        <v>24.140899999999998</v>
      </c>
      <c r="V794" s="308">
        <v>27.357399999999998</v>
      </c>
      <c r="W794" s="308">
        <v>19.139099999999999</v>
      </c>
      <c r="X794" s="308">
        <v>20.113700000000001</v>
      </c>
      <c r="Y794" s="308">
        <v>24.1252</v>
      </c>
      <c r="Z794" s="308">
        <v>25.6999</v>
      </c>
      <c r="AA794" s="308">
        <v>26.020499999999998</v>
      </c>
      <c r="AB794" s="308">
        <v>26.644500000000001</v>
      </c>
      <c r="AC794" s="308">
        <v>29.464300000000001</v>
      </c>
      <c r="AD794" s="308">
        <v>29.677700000000002</v>
      </c>
      <c r="AE794" s="308">
        <v>25.000299999999999</v>
      </c>
      <c r="AF794" s="308">
        <v>23.0732</v>
      </c>
      <c r="AG794" s="308">
        <v>26.922699999999999</v>
      </c>
      <c r="AH794" s="308">
        <v>24.5715</v>
      </c>
      <c r="AI794" s="308">
        <v>19.541799999999999</v>
      </c>
      <c r="AJ794" s="308">
        <v>27.425899999999999</v>
      </c>
      <c r="AK794" s="308">
        <v>27.579000000000001</v>
      </c>
      <c r="AL794" s="308">
        <v>21.2727</v>
      </c>
      <c r="AM794" s="308">
        <v>24.8917</v>
      </c>
      <c r="AN794" s="308">
        <v>25.353899999999999</v>
      </c>
      <c r="AO794" s="308">
        <v>29.604500000000002</v>
      </c>
      <c r="AP794" s="308">
        <v>24.967300000000002</v>
      </c>
      <c r="AQ794" s="308">
        <v>18.5778</v>
      </c>
      <c r="AR794" s="308">
        <v>30.8307</v>
      </c>
      <c r="AS794" s="308">
        <v>23.745899999999999</v>
      </c>
      <c r="AT794" s="308">
        <v>26.346599999999999</v>
      </c>
      <c r="AU794" s="308">
        <v>25.1937</v>
      </c>
      <c r="AV794" s="308">
        <v>27.3748</v>
      </c>
      <c r="AW794" s="308">
        <v>22.627400000000002</v>
      </c>
      <c r="AX794" s="308">
        <v>28.992899999999999</v>
      </c>
      <c r="AY794" s="308">
        <v>23.807500000000001</v>
      </c>
      <c r="AZ794" s="308">
        <v>26.1693</v>
      </c>
      <c r="BA794" s="308">
        <v>28.2044</v>
      </c>
      <c r="BB794" s="308">
        <v>27.768599999999999</v>
      </c>
      <c r="BC794" s="308">
        <v>21.497900000000001</v>
      </c>
      <c r="BD794" s="308">
        <v>23.0792</v>
      </c>
      <c r="BE794" s="308">
        <v>26.212</v>
      </c>
      <c r="BF794" s="308">
        <v>27.255400000000002</v>
      </c>
      <c r="BG794" s="308">
        <v>24.2241</v>
      </c>
      <c r="BH794" s="308">
        <v>26.899899999999999</v>
      </c>
      <c r="BI794" s="308">
        <v>26.337700000000002</v>
      </c>
      <c r="BJ794" s="308">
        <v>27.1173</v>
      </c>
      <c r="BK794" s="308">
        <v>23.365300000000001</v>
      </c>
    </row>
    <row r="795" spans="1:63" x14ac:dyDescent="0.25">
      <c r="A795" s="306">
        <v>711100</v>
      </c>
      <c r="B795" s="308" t="s">
        <v>337</v>
      </c>
      <c r="C795" s="308">
        <v>28.874600000000001</v>
      </c>
      <c r="D795" s="308">
        <v>17.771599999999999</v>
      </c>
      <c r="E795" s="308">
        <v>35.613900000000001</v>
      </c>
      <c r="F795" s="308">
        <v>35.702399999999997</v>
      </c>
      <c r="G795" s="308">
        <v>37.941000000000003</v>
      </c>
      <c r="H795" s="308">
        <v>19.863</v>
      </c>
      <c r="I795" s="308">
        <v>42.976599999999998</v>
      </c>
      <c r="J795" s="308">
        <v>35.133800000000001</v>
      </c>
      <c r="K795" s="308">
        <v>9.3292000000000002</v>
      </c>
      <c r="L795" s="308">
        <v>30.365100000000002</v>
      </c>
      <c r="M795" s="308">
        <v>23.075199999999999</v>
      </c>
      <c r="N795" s="308">
        <v>39.939500000000002</v>
      </c>
      <c r="O795" s="308">
        <v>26.145700000000001</v>
      </c>
      <c r="P795" s="308">
        <v>35.062399999999997</v>
      </c>
      <c r="Q795" s="308">
        <v>17.7408</v>
      </c>
      <c r="R795" s="308">
        <v>37.620600000000003</v>
      </c>
      <c r="S795" s="308">
        <v>42.103299999999997</v>
      </c>
      <c r="T795" s="308">
        <v>21.582799999999999</v>
      </c>
      <c r="U795" s="308">
        <v>27.2196</v>
      </c>
      <c r="V795" s="308">
        <v>37.886200000000002</v>
      </c>
      <c r="W795" s="308">
        <v>26.811399999999999</v>
      </c>
      <c r="X795" s="308">
        <v>37.026299999999999</v>
      </c>
      <c r="Y795" s="308">
        <v>27.792400000000001</v>
      </c>
      <c r="Z795" s="308">
        <v>39.274099999999997</v>
      </c>
      <c r="AA795" s="308">
        <v>37.308300000000003</v>
      </c>
      <c r="AB795" s="308">
        <v>28.6629</v>
      </c>
      <c r="AC795" s="308">
        <v>32.056600000000003</v>
      </c>
      <c r="AD795" s="308">
        <v>25.7333</v>
      </c>
      <c r="AE795" s="308">
        <v>45.329700000000003</v>
      </c>
      <c r="AF795" s="308">
        <v>39.814900000000002</v>
      </c>
      <c r="AG795" s="308">
        <v>39.008899999999997</v>
      </c>
      <c r="AH795" s="308">
        <v>29.840199999999999</v>
      </c>
      <c r="AI795" s="308">
        <v>23.720400000000001</v>
      </c>
      <c r="AJ795" s="308">
        <v>35.104700000000001</v>
      </c>
      <c r="AK795" s="308">
        <v>18.743500000000001</v>
      </c>
      <c r="AL795" s="308">
        <v>16.6614</v>
      </c>
      <c r="AM795" s="308">
        <v>41.375399999999999</v>
      </c>
      <c r="AN795" s="308">
        <v>39.5334</v>
      </c>
      <c r="AO795" s="308">
        <v>25.3489</v>
      </c>
      <c r="AP795" s="308">
        <v>27.6448</v>
      </c>
      <c r="AQ795" s="308">
        <v>39.312800000000003</v>
      </c>
      <c r="AR795" s="308">
        <v>31.041899999999998</v>
      </c>
      <c r="AS795" s="308">
        <v>15.7049</v>
      </c>
      <c r="AT795" s="308">
        <v>19.896100000000001</v>
      </c>
      <c r="AU795" s="308">
        <v>33.488399999999999</v>
      </c>
      <c r="AV795" s="308">
        <v>47.271099999999997</v>
      </c>
      <c r="AW795" s="308">
        <v>35.910499999999999</v>
      </c>
      <c r="AX795" s="308">
        <v>26.2211</v>
      </c>
      <c r="AY795" s="308">
        <v>37.308700000000002</v>
      </c>
      <c r="AZ795" s="308">
        <v>25.135999999999999</v>
      </c>
      <c r="BA795" s="308">
        <v>21.133800000000001</v>
      </c>
      <c r="BB795" s="308">
        <v>13.2242</v>
      </c>
      <c r="BC795" s="308">
        <v>31.1065</v>
      </c>
      <c r="BD795" s="308">
        <v>21.191500000000001</v>
      </c>
      <c r="BE795" s="308">
        <v>37.230400000000003</v>
      </c>
      <c r="BF795" s="308">
        <v>32.549300000000002</v>
      </c>
      <c r="BG795" s="308">
        <v>30.816199999999998</v>
      </c>
      <c r="BH795" s="308">
        <v>21.071400000000001</v>
      </c>
      <c r="BI795" s="308">
        <v>34.953000000000003</v>
      </c>
      <c r="BJ795" s="308">
        <v>27.232399999999998</v>
      </c>
      <c r="BK795" s="308">
        <v>22.612300000000001</v>
      </c>
    </row>
    <row r="796" spans="1:63" x14ac:dyDescent="0.25">
      <c r="A796" s="306">
        <v>711200</v>
      </c>
      <c r="B796" s="308" t="s">
        <v>781</v>
      </c>
      <c r="C796" s="308">
        <v>17.0306</v>
      </c>
      <c r="D796" s="308">
        <v>19.128699999999998</v>
      </c>
      <c r="E796" s="308">
        <v>13.862500000000001</v>
      </c>
      <c r="F796" s="308">
        <v>27.252600000000001</v>
      </c>
      <c r="G796" s="308">
        <v>11.616300000000001</v>
      </c>
      <c r="H796" s="308">
        <v>16.565899999999999</v>
      </c>
      <c r="I796" s="308">
        <v>11.824</v>
      </c>
      <c r="J796" s="308">
        <v>18.501300000000001</v>
      </c>
      <c r="K796" s="308">
        <v>4.1436999999999999</v>
      </c>
      <c r="L796" s="308">
        <v>13.2156</v>
      </c>
      <c r="M796" s="308">
        <v>13.891299999999999</v>
      </c>
      <c r="N796" s="308">
        <v>14.848100000000001</v>
      </c>
      <c r="O796" s="308">
        <v>25.325299999999999</v>
      </c>
      <c r="P796" s="308">
        <v>27.533899999999999</v>
      </c>
      <c r="Q796" s="308">
        <v>25.329499999999999</v>
      </c>
      <c r="R796" s="308">
        <v>14.291399999999999</v>
      </c>
      <c r="S796" s="308">
        <v>19.8902</v>
      </c>
      <c r="T796" s="308">
        <v>11.8451</v>
      </c>
      <c r="U796" s="308">
        <v>27.416899999999998</v>
      </c>
      <c r="V796" s="308">
        <v>13.437200000000001</v>
      </c>
      <c r="W796" s="308">
        <v>9.2914999999999992</v>
      </c>
      <c r="X796" s="308">
        <v>16.051500000000001</v>
      </c>
      <c r="Y796" s="308">
        <v>28.523499999999999</v>
      </c>
      <c r="Z796" s="308">
        <v>15.663399999999999</v>
      </c>
      <c r="AA796" s="308">
        <v>10.4716</v>
      </c>
      <c r="AB796" s="308">
        <v>9.5324000000000009</v>
      </c>
      <c r="AC796" s="308">
        <v>12.2309</v>
      </c>
      <c r="AD796" s="308">
        <v>13.8569</v>
      </c>
      <c r="AE796" s="308">
        <v>19.010200000000001</v>
      </c>
      <c r="AF796" s="308">
        <v>12.4109</v>
      </c>
      <c r="AG796" s="308">
        <v>28.076599999999999</v>
      </c>
      <c r="AH796" s="308">
        <v>26.4861</v>
      </c>
      <c r="AI796" s="308">
        <v>14.105</v>
      </c>
      <c r="AJ796" s="308">
        <v>14.0383</v>
      </c>
      <c r="AK796" s="308">
        <v>21.661300000000001</v>
      </c>
      <c r="AL796" s="308">
        <v>12.086399999999999</v>
      </c>
      <c r="AM796" s="308">
        <v>15.8711</v>
      </c>
      <c r="AN796" s="308">
        <v>30.277699999999999</v>
      </c>
      <c r="AO796" s="308">
        <v>18.1965</v>
      </c>
      <c r="AP796" s="308">
        <v>12.0436</v>
      </c>
      <c r="AQ796" s="308">
        <v>27.044799999999999</v>
      </c>
      <c r="AR796" s="308">
        <v>27.0108</v>
      </c>
      <c r="AS796" s="308">
        <v>20.862100000000002</v>
      </c>
      <c r="AT796" s="308">
        <v>11.3332</v>
      </c>
      <c r="AU796" s="308">
        <v>13.994199999999999</v>
      </c>
      <c r="AV796" s="308">
        <v>18.9862</v>
      </c>
      <c r="AW796" s="308">
        <v>19.024999999999999</v>
      </c>
      <c r="AX796" s="308">
        <v>13.8924</v>
      </c>
      <c r="AY796" s="308">
        <v>13.7821</v>
      </c>
      <c r="AZ796" s="308">
        <v>14.570499999999999</v>
      </c>
      <c r="BA796" s="308">
        <v>19.1158</v>
      </c>
      <c r="BB796" s="308">
        <v>9.2988</v>
      </c>
      <c r="BC796" s="308">
        <v>14.3292</v>
      </c>
      <c r="BD796" s="308">
        <v>14.083299999999999</v>
      </c>
      <c r="BE796" s="308">
        <v>16.215</v>
      </c>
      <c r="BF796" s="308">
        <v>12.2445</v>
      </c>
      <c r="BG796" s="308">
        <v>16.724399999999999</v>
      </c>
      <c r="BH796" s="308">
        <v>15.9246</v>
      </c>
      <c r="BI796" s="308">
        <v>15.8111</v>
      </c>
      <c r="BJ796" s="308">
        <v>13.5786</v>
      </c>
      <c r="BK796" s="308">
        <v>16.557600000000001</v>
      </c>
    </row>
    <row r="797" spans="1:63" x14ac:dyDescent="0.25">
      <c r="A797" s="306">
        <v>711500</v>
      </c>
      <c r="B797" s="308" t="s">
        <v>339</v>
      </c>
      <c r="C797" s="308">
        <v>12.163500000000001</v>
      </c>
      <c r="D797" s="308">
        <v>10.2636</v>
      </c>
      <c r="E797" s="308">
        <v>19.662299999999998</v>
      </c>
      <c r="F797" s="308">
        <v>10.0075</v>
      </c>
      <c r="G797" s="308">
        <v>15.419</v>
      </c>
      <c r="H797" s="308">
        <v>8.7332000000000001</v>
      </c>
      <c r="I797" s="308">
        <v>25.9741</v>
      </c>
      <c r="J797" s="308">
        <v>8.8684999999999992</v>
      </c>
      <c r="K797" s="308">
        <v>4.1497999999999999</v>
      </c>
      <c r="L797" s="308">
        <v>14.0297</v>
      </c>
      <c r="M797" s="308">
        <v>13.816599999999999</v>
      </c>
      <c r="N797" s="308">
        <v>10.2561</v>
      </c>
      <c r="O797" s="308">
        <v>9.8757999999999999</v>
      </c>
      <c r="P797" s="308">
        <v>17.130600000000001</v>
      </c>
      <c r="Q797" s="308">
        <v>12.8094</v>
      </c>
      <c r="R797" s="308">
        <v>20.751999999999999</v>
      </c>
      <c r="S797" s="308">
        <v>22.940100000000001</v>
      </c>
      <c r="T797" s="308">
        <v>7.1196000000000002</v>
      </c>
      <c r="U797" s="308">
        <v>17.734300000000001</v>
      </c>
      <c r="V797" s="308">
        <v>23.061599999999999</v>
      </c>
      <c r="W797" s="308">
        <v>10.2569</v>
      </c>
      <c r="X797" s="308">
        <v>17.714600000000001</v>
      </c>
      <c r="Y797" s="308">
        <v>8.7858000000000001</v>
      </c>
      <c r="Z797" s="308">
        <v>27.306000000000001</v>
      </c>
      <c r="AA797" s="308">
        <v>22.464400000000001</v>
      </c>
      <c r="AB797" s="308">
        <v>21.840499999999999</v>
      </c>
      <c r="AC797" s="308">
        <v>7.3330000000000002</v>
      </c>
      <c r="AD797" s="308">
        <v>24.800599999999999</v>
      </c>
      <c r="AE797" s="308">
        <v>21.8933</v>
      </c>
      <c r="AF797" s="308">
        <v>7.1372</v>
      </c>
      <c r="AG797" s="308">
        <v>24.898800000000001</v>
      </c>
      <c r="AH797" s="308">
        <v>6.6561000000000003</v>
      </c>
      <c r="AI797" s="308">
        <v>15.934900000000001</v>
      </c>
      <c r="AJ797" s="308">
        <v>13.421799999999999</v>
      </c>
      <c r="AK797" s="308">
        <v>11.801</v>
      </c>
      <c r="AL797" s="308">
        <v>7.0980999999999996</v>
      </c>
      <c r="AM797" s="308">
        <v>10.267099999999999</v>
      </c>
      <c r="AN797" s="308">
        <v>9.1194000000000006</v>
      </c>
      <c r="AO797" s="308">
        <v>8.9685000000000006</v>
      </c>
      <c r="AP797" s="308">
        <v>19.716899999999999</v>
      </c>
      <c r="AQ797" s="308">
        <v>13.910500000000001</v>
      </c>
      <c r="AR797" s="308">
        <v>16.724399999999999</v>
      </c>
      <c r="AS797" s="308">
        <v>7.4471999999999996</v>
      </c>
      <c r="AT797" s="308">
        <v>18.731100000000001</v>
      </c>
      <c r="AU797" s="308">
        <v>21.302800000000001</v>
      </c>
      <c r="AV797" s="308">
        <v>28.598400000000002</v>
      </c>
      <c r="AW797" s="308">
        <v>8.9494000000000007</v>
      </c>
      <c r="AX797" s="308">
        <v>18.414100000000001</v>
      </c>
      <c r="AY797" s="308">
        <v>17.565899999999999</v>
      </c>
      <c r="AZ797" s="308">
        <v>8.7406000000000006</v>
      </c>
      <c r="BA797" s="308">
        <v>20.167899999999999</v>
      </c>
      <c r="BB797" s="308">
        <v>4.6406000000000001</v>
      </c>
      <c r="BC797" s="308">
        <v>10.5402</v>
      </c>
      <c r="BD797" s="308">
        <v>10.1214</v>
      </c>
      <c r="BE797" s="308">
        <v>15.341699999999999</v>
      </c>
      <c r="BF797" s="308">
        <v>15.858599999999999</v>
      </c>
      <c r="BG797" s="308">
        <v>12.6976</v>
      </c>
      <c r="BH797" s="308">
        <v>17.776399999999999</v>
      </c>
      <c r="BI797" s="308">
        <v>19.042000000000002</v>
      </c>
      <c r="BJ797" s="308">
        <v>16.5654</v>
      </c>
      <c r="BK797" s="308">
        <v>9.0716999999999999</v>
      </c>
    </row>
    <row r="798" spans="1:63" x14ac:dyDescent="0.25">
      <c r="A798" s="306" t="s">
        <v>782</v>
      </c>
      <c r="B798" s="308" t="s">
        <v>338</v>
      </c>
      <c r="C798" s="308">
        <v>22.689</v>
      </c>
      <c r="D798" s="308">
        <v>13.557600000000001</v>
      </c>
      <c r="E798" s="308">
        <v>25.797599999999999</v>
      </c>
      <c r="F798" s="308">
        <v>21.623200000000001</v>
      </c>
      <c r="G798" s="308">
        <v>25.057300000000001</v>
      </c>
      <c r="H798" s="308">
        <v>17.742599999999999</v>
      </c>
      <c r="I798" s="308">
        <v>30.6953</v>
      </c>
      <c r="J798" s="308">
        <v>22.364100000000001</v>
      </c>
      <c r="K798" s="308">
        <v>8.9353999999999996</v>
      </c>
      <c r="L798" s="308">
        <v>13.5573</v>
      </c>
      <c r="M798" s="308">
        <v>20.5716</v>
      </c>
      <c r="N798" s="308">
        <v>18.171199999999999</v>
      </c>
      <c r="O798" s="308">
        <v>27.797599999999999</v>
      </c>
      <c r="P798" s="308">
        <v>24.5305</v>
      </c>
      <c r="Q798" s="308">
        <v>13.0306</v>
      </c>
      <c r="R798" s="308">
        <v>23.888100000000001</v>
      </c>
      <c r="S798" s="308">
        <v>25.483000000000001</v>
      </c>
      <c r="T798" s="308">
        <v>16.4802</v>
      </c>
      <c r="U798" s="308">
        <v>20.254300000000001</v>
      </c>
      <c r="V798" s="308">
        <v>19.820399999999999</v>
      </c>
      <c r="W798" s="308">
        <v>18.786000000000001</v>
      </c>
      <c r="X798" s="308">
        <v>25.681100000000001</v>
      </c>
      <c r="Y798" s="308">
        <v>27.623999999999999</v>
      </c>
      <c r="Z798" s="308">
        <v>20.5625</v>
      </c>
      <c r="AA798" s="308">
        <v>21.104099999999999</v>
      </c>
      <c r="AB798" s="308">
        <v>26.665099999999999</v>
      </c>
      <c r="AC798" s="308">
        <v>16.883500000000002</v>
      </c>
      <c r="AD798" s="308">
        <v>19.744299999999999</v>
      </c>
      <c r="AE798" s="308">
        <v>28.913900000000002</v>
      </c>
      <c r="AF798" s="308">
        <v>16.7852</v>
      </c>
      <c r="AG798" s="308">
        <v>19.066800000000001</v>
      </c>
      <c r="AH798" s="308">
        <v>19.689</v>
      </c>
      <c r="AI798" s="308">
        <v>16.005299999999998</v>
      </c>
      <c r="AJ798" s="308">
        <v>19.686800000000002</v>
      </c>
      <c r="AK798" s="308">
        <v>15.758599999999999</v>
      </c>
      <c r="AL798" s="308">
        <v>13.486800000000001</v>
      </c>
      <c r="AM798" s="308">
        <v>23.823699999999999</v>
      </c>
      <c r="AN798" s="308">
        <v>29.463100000000001</v>
      </c>
      <c r="AO798" s="308">
        <v>20.145700000000001</v>
      </c>
      <c r="AP798" s="308">
        <v>27.875499999999999</v>
      </c>
      <c r="AQ798" s="308">
        <v>18.167100000000001</v>
      </c>
      <c r="AR798" s="308">
        <v>23.838200000000001</v>
      </c>
      <c r="AS798" s="308">
        <v>11.9117</v>
      </c>
      <c r="AT798" s="308">
        <v>16.188700000000001</v>
      </c>
      <c r="AU798" s="308">
        <v>19.744700000000002</v>
      </c>
      <c r="AV798" s="308">
        <v>23.081499999999998</v>
      </c>
      <c r="AW798" s="308">
        <v>26.835999999999999</v>
      </c>
      <c r="AX798" s="308">
        <v>20.491</v>
      </c>
      <c r="AY798" s="308">
        <v>29.3748</v>
      </c>
      <c r="AZ798" s="308">
        <v>19.7578</v>
      </c>
      <c r="BA798" s="308">
        <v>11.7814</v>
      </c>
      <c r="BB798" s="308">
        <v>11.486000000000001</v>
      </c>
      <c r="BC798" s="308">
        <v>21.010899999999999</v>
      </c>
      <c r="BD798" s="308">
        <v>17.651700000000002</v>
      </c>
      <c r="BE798" s="308">
        <v>22.966799999999999</v>
      </c>
      <c r="BF798" s="308">
        <v>21.540600000000001</v>
      </c>
      <c r="BG798" s="308">
        <v>22.388000000000002</v>
      </c>
      <c r="BH798" s="308">
        <v>18.125</v>
      </c>
      <c r="BI798" s="308">
        <v>20.573799999999999</v>
      </c>
      <c r="BJ798" s="308">
        <v>22.033999999999999</v>
      </c>
      <c r="BK798" s="308">
        <v>19.202100000000002</v>
      </c>
    </row>
    <row r="799" spans="1:63" x14ac:dyDescent="0.25">
      <c r="A799" s="306">
        <v>712000</v>
      </c>
      <c r="B799" s="308" t="s">
        <v>340</v>
      </c>
      <c r="C799" s="308">
        <v>21.538599999999999</v>
      </c>
      <c r="D799" s="308">
        <v>17.124099999999999</v>
      </c>
      <c r="E799" s="308">
        <v>25.624400000000001</v>
      </c>
      <c r="F799" s="308">
        <v>18.756399999999999</v>
      </c>
      <c r="G799" s="308">
        <v>20.850899999999999</v>
      </c>
      <c r="H799" s="308">
        <v>17.8841</v>
      </c>
      <c r="I799" s="308">
        <v>21.283100000000001</v>
      </c>
      <c r="J799" s="308">
        <v>18.9878</v>
      </c>
      <c r="K799" s="308">
        <v>4.4955999999999996</v>
      </c>
      <c r="L799" s="308">
        <v>16.915400000000002</v>
      </c>
      <c r="M799" s="308">
        <v>21.6769</v>
      </c>
      <c r="N799" s="308">
        <v>20.7377</v>
      </c>
      <c r="O799" s="308">
        <v>20.9679</v>
      </c>
      <c r="P799" s="308">
        <v>24.621500000000001</v>
      </c>
      <c r="Q799" s="308">
        <v>22.953399999999998</v>
      </c>
      <c r="R799" s="308">
        <v>18.334</v>
      </c>
      <c r="S799" s="308">
        <v>21.076599999999999</v>
      </c>
      <c r="T799" s="308">
        <v>24.1876</v>
      </c>
      <c r="U799" s="308">
        <v>22.96</v>
      </c>
      <c r="V799" s="308">
        <v>20.749400000000001</v>
      </c>
      <c r="W799" s="308">
        <v>17.625399999999999</v>
      </c>
      <c r="X799" s="308">
        <v>20.504999999999999</v>
      </c>
      <c r="Y799" s="308">
        <v>20.991800000000001</v>
      </c>
      <c r="Z799" s="308">
        <v>24.130600000000001</v>
      </c>
      <c r="AA799" s="308">
        <v>20.620999999999999</v>
      </c>
      <c r="AB799" s="308">
        <v>18.347000000000001</v>
      </c>
      <c r="AC799" s="308">
        <v>24.3081</v>
      </c>
      <c r="AD799" s="308">
        <v>24.953600000000002</v>
      </c>
      <c r="AE799" s="308">
        <v>23.762699999999999</v>
      </c>
      <c r="AF799" s="308">
        <v>22.259699999999999</v>
      </c>
      <c r="AG799" s="308">
        <v>23.729900000000001</v>
      </c>
      <c r="AH799" s="308">
        <v>23.428699999999999</v>
      </c>
      <c r="AI799" s="308">
        <v>19.341899999999999</v>
      </c>
      <c r="AJ799" s="308">
        <v>19.587800000000001</v>
      </c>
      <c r="AK799" s="308">
        <v>20.097799999999999</v>
      </c>
      <c r="AL799" s="308">
        <v>15.8423</v>
      </c>
      <c r="AM799" s="308">
        <v>20.872499999999999</v>
      </c>
      <c r="AN799" s="308">
        <v>23.740400000000001</v>
      </c>
      <c r="AO799" s="308">
        <v>22.250299999999999</v>
      </c>
      <c r="AP799" s="308">
        <v>20.1219</v>
      </c>
      <c r="AQ799" s="308">
        <v>20.294799999999999</v>
      </c>
      <c r="AR799" s="308">
        <v>24.7592</v>
      </c>
      <c r="AS799" s="308">
        <v>23.745999999999999</v>
      </c>
      <c r="AT799" s="308">
        <v>23.053899999999999</v>
      </c>
      <c r="AU799" s="308">
        <v>21.54</v>
      </c>
      <c r="AV799" s="308">
        <v>27.256499999999999</v>
      </c>
      <c r="AW799" s="308">
        <v>20.3279</v>
      </c>
      <c r="AX799" s="308">
        <v>21.0733</v>
      </c>
      <c r="AY799" s="308">
        <v>20.398499999999999</v>
      </c>
      <c r="AZ799" s="308">
        <v>24.501300000000001</v>
      </c>
      <c r="BA799" s="308">
        <v>16.587299999999999</v>
      </c>
      <c r="BB799" s="308">
        <v>16.774699999999999</v>
      </c>
      <c r="BC799" s="308">
        <v>19.817</v>
      </c>
      <c r="BD799" s="308">
        <v>18.780799999999999</v>
      </c>
      <c r="BE799" s="308">
        <v>21.024899999999999</v>
      </c>
      <c r="BF799" s="308">
        <v>21.8949</v>
      </c>
      <c r="BG799" s="308">
        <v>22.210799999999999</v>
      </c>
      <c r="BH799" s="308">
        <v>23.879000000000001</v>
      </c>
      <c r="BI799" s="308">
        <v>21.8751</v>
      </c>
      <c r="BJ799" s="308">
        <v>22.121300000000002</v>
      </c>
      <c r="BK799" s="308">
        <v>18.773</v>
      </c>
    </row>
    <row r="800" spans="1:63" x14ac:dyDescent="0.25">
      <c r="A800" s="306">
        <v>713940</v>
      </c>
      <c r="B800" s="308" t="s">
        <v>341</v>
      </c>
      <c r="C800" s="308">
        <v>29.212299999999999</v>
      </c>
      <c r="D800" s="308">
        <v>36.824100000000001</v>
      </c>
      <c r="E800" s="308">
        <v>36.9788</v>
      </c>
      <c r="F800" s="308">
        <v>30.446300000000001</v>
      </c>
      <c r="G800" s="308">
        <v>29.0792</v>
      </c>
      <c r="H800" s="308">
        <v>25.191500000000001</v>
      </c>
      <c r="I800" s="308">
        <v>28.669799999999999</v>
      </c>
      <c r="J800" s="308">
        <v>25.2821</v>
      </c>
      <c r="K800" s="308">
        <v>6.2957000000000001</v>
      </c>
      <c r="L800" s="308">
        <v>22.174900000000001</v>
      </c>
      <c r="M800" s="308">
        <v>24.2956</v>
      </c>
      <c r="N800" s="308">
        <v>29.0961</v>
      </c>
      <c r="O800" s="308">
        <v>29.423999999999999</v>
      </c>
      <c r="P800" s="308">
        <v>30.945599999999999</v>
      </c>
      <c r="Q800" s="308">
        <v>33.307400000000001</v>
      </c>
      <c r="R800" s="308">
        <v>23.620200000000001</v>
      </c>
      <c r="S800" s="308">
        <v>27.864899999999999</v>
      </c>
      <c r="T800" s="308">
        <v>33.318100000000001</v>
      </c>
      <c r="U800" s="308">
        <v>33.5334</v>
      </c>
      <c r="V800" s="308">
        <v>26.545000000000002</v>
      </c>
      <c r="W800" s="308">
        <v>23.913599999999999</v>
      </c>
      <c r="X800" s="308">
        <v>25.7925</v>
      </c>
      <c r="Y800" s="308">
        <v>34.763199999999998</v>
      </c>
      <c r="Z800" s="308">
        <v>28.713100000000001</v>
      </c>
      <c r="AA800" s="308">
        <v>32.825499999999998</v>
      </c>
      <c r="AB800" s="308">
        <v>25.000399999999999</v>
      </c>
      <c r="AC800" s="308">
        <v>25.958300000000001</v>
      </c>
      <c r="AD800" s="308">
        <v>37.556600000000003</v>
      </c>
      <c r="AE800" s="308">
        <v>30.81</v>
      </c>
      <c r="AF800" s="308">
        <v>32.514899999999997</v>
      </c>
      <c r="AG800" s="308">
        <v>35.920699999999997</v>
      </c>
      <c r="AH800" s="308">
        <v>30.429400000000001</v>
      </c>
      <c r="AI800" s="308">
        <v>24.950600000000001</v>
      </c>
      <c r="AJ800" s="308">
        <v>37.072000000000003</v>
      </c>
      <c r="AK800" s="308">
        <v>25.084599999999998</v>
      </c>
      <c r="AL800" s="308">
        <v>21.459499999999998</v>
      </c>
      <c r="AM800" s="308">
        <v>29.577500000000001</v>
      </c>
      <c r="AN800" s="308">
        <v>30.504200000000001</v>
      </c>
      <c r="AO800" s="308">
        <v>31.102599999999999</v>
      </c>
      <c r="AP800" s="308">
        <v>32.173900000000003</v>
      </c>
      <c r="AQ800" s="308">
        <v>26.407800000000002</v>
      </c>
      <c r="AR800" s="308">
        <v>31.995100000000001</v>
      </c>
      <c r="AS800" s="308">
        <v>35.257199999999997</v>
      </c>
      <c r="AT800" s="308">
        <v>28.240500000000001</v>
      </c>
      <c r="AU800" s="308">
        <v>26.724299999999999</v>
      </c>
      <c r="AV800" s="308">
        <v>36.085500000000003</v>
      </c>
      <c r="AW800" s="308">
        <v>27.448399999999999</v>
      </c>
      <c r="AX800" s="308">
        <v>36.031199999999998</v>
      </c>
      <c r="AY800" s="308">
        <v>34.244599999999998</v>
      </c>
      <c r="AZ800" s="308">
        <v>37.378300000000003</v>
      </c>
      <c r="BA800" s="308">
        <v>33.521500000000003</v>
      </c>
      <c r="BB800" s="308">
        <v>24.426100000000002</v>
      </c>
      <c r="BC800" s="308">
        <v>27.549399999999999</v>
      </c>
      <c r="BD800" s="308">
        <v>25.794599999999999</v>
      </c>
      <c r="BE800" s="308">
        <v>27.9876</v>
      </c>
      <c r="BF800" s="308">
        <v>31.111000000000001</v>
      </c>
      <c r="BG800" s="308">
        <v>28.250499999999999</v>
      </c>
      <c r="BH800" s="308">
        <v>31.811599999999999</v>
      </c>
      <c r="BI800" s="308">
        <v>27.571000000000002</v>
      </c>
      <c r="BJ800" s="308">
        <v>30.7073</v>
      </c>
      <c r="BK800" s="308">
        <v>27.2591</v>
      </c>
    </row>
    <row r="801" spans="1:63" x14ac:dyDescent="0.25">
      <c r="A801" s="306">
        <v>713950</v>
      </c>
      <c r="B801" s="308" t="s">
        <v>342</v>
      </c>
      <c r="C801" s="308">
        <v>28.840499999999999</v>
      </c>
      <c r="D801" s="308">
        <v>29.659800000000001</v>
      </c>
      <c r="E801" s="308">
        <v>29.299099999999999</v>
      </c>
      <c r="F801" s="308">
        <v>28.895199999999999</v>
      </c>
      <c r="G801" s="308">
        <v>30.264700000000001</v>
      </c>
      <c r="H801" s="308">
        <v>24.488700000000001</v>
      </c>
      <c r="I801" s="308">
        <v>22.8706</v>
      </c>
      <c r="J801" s="308">
        <v>29.067900000000002</v>
      </c>
      <c r="K801" s="308">
        <v>5.8026</v>
      </c>
      <c r="L801" s="308">
        <v>22.184799999999999</v>
      </c>
      <c r="M801" s="308">
        <v>23.936699999999998</v>
      </c>
      <c r="N801" s="308">
        <v>28.054300000000001</v>
      </c>
      <c r="O801" s="308">
        <v>23.5623</v>
      </c>
      <c r="P801" s="308">
        <v>29</v>
      </c>
      <c r="Q801" s="308">
        <v>33.645499999999998</v>
      </c>
      <c r="R801" s="308">
        <v>23.275600000000001</v>
      </c>
      <c r="S801" s="308">
        <v>25.529599999999999</v>
      </c>
      <c r="T801" s="308">
        <v>31.984500000000001</v>
      </c>
      <c r="U801" s="308">
        <v>29.517099999999999</v>
      </c>
      <c r="V801" s="308">
        <v>24.0733</v>
      </c>
      <c r="W801" s="308">
        <v>21.7013</v>
      </c>
      <c r="X801" s="308">
        <v>24.484500000000001</v>
      </c>
      <c r="Y801" s="308">
        <v>26.616700000000002</v>
      </c>
      <c r="Z801" s="308">
        <v>28.160699999999999</v>
      </c>
      <c r="AA801" s="308">
        <v>34.385300000000001</v>
      </c>
      <c r="AB801" s="308">
        <v>26.3291</v>
      </c>
      <c r="AC801" s="308">
        <v>27.036000000000001</v>
      </c>
      <c r="AD801" s="308">
        <v>31.959800000000001</v>
      </c>
      <c r="AE801" s="308">
        <v>28.3398</v>
      </c>
      <c r="AF801" s="308">
        <v>30.387699999999999</v>
      </c>
      <c r="AG801" s="308">
        <v>30.414999999999999</v>
      </c>
      <c r="AH801" s="308">
        <v>20.409099999999999</v>
      </c>
      <c r="AI801" s="308">
        <v>21.513200000000001</v>
      </c>
      <c r="AJ801" s="308">
        <v>34.170400000000001</v>
      </c>
      <c r="AK801" s="308">
        <v>21.282599999999999</v>
      </c>
      <c r="AL801" s="308">
        <v>22.0626</v>
      </c>
      <c r="AM801" s="308">
        <v>29.386199999999999</v>
      </c>
      <c r="AN801" s="308">
        <v>34.765099999999997</v>
      </c>
      <c r="AO801" s="308">
        <v>26.014099999999999</v>
      </c>
      <c r="AP801" s="308">
        <v>26.546700000000001</v>
      </c>
      <c r="AQ801" s="308">
        <v>20.1998</v>
      </c>
      <c r="AR801" s="308">
        <v>26.665299999999998</v>
      </c>
      <c r="AS801" s="308">
        <v>32.613799999999998</v>
      </c>
      <c r="AT801" s="308">
        <v>29.562000000000001</v>
      </c>
      <c r="AU801" s="308">
        <v>27.4877</v>
      </c>
      <c r="AV801" s="308">
        <v>30.469200000000001</v>
      </c>
      <c r="AW801" s="308">
        <v>25.047699999999999</v>
      </c>
      <c r="AX801" s="308">
        <v>22.4847</v>
      </c>
      <c r="AY801" s="308">
        <v>27.177600000000002</v>
      </c>
      <c r="AZ801" s="308">
        <v>34.893599999999999</v>
      </c>
      <c r="BA801" s="308">
        <v>27.325600000000001</v>
      </c>
      <c r="BB801" s="308">
        <v>31.687799999999999</v>
      </c>
      <c r="BC801" s="308">
        <v>24.0258</v>
      </c>
      <c r="BD801" s="308">
        <v>24.715399999999999</v>
      </c>
      <c r="BE801" s="308">
        <v>28.8521</v>
      </c>
      <c r="BF801" s="308">
        <v>32.059399999999997</v>
      </c>
      <c r="BG801" s="308">
        <v>26.752199999999998</v>
      </c>
      <c r="BH801" s="308">
        <v>30.1889</v>
      </c>
      <c r="BI801" s="308">
        <v>28.073699999999999</v>
      </c>
      <c r="BJ801" s="308">
        <v>28.1279</v>
      </c>
      <c r="BK801" s="308">
        <v>25.5989</v>
      </c>
    </row>
    <row r="802" spans="1:63" x14ac:dyDescent="0.25">
      <c r="A802" s="306" t="s">
        <v>783</v>
      </c>
      <c r="B802" s="308" t="s">
        <v>343</v>
      </c>
      <c r="C802" s="308">
        <v>19.0397</v>
      </c>
      <c r="D802" s="308">
        <v>16.976600000000001</v>
      </c>
      <c r="E802" s="308">
        <v>28.445499999999999</v>
      </c>
      <c r="F802" s="308">
        <v>17.051600000000001</v>
      </c>
      <c r="G802" s="308">
        <v>17.829000000000001</v>
      </c>
      <c r="H802" s="308">
        <v>17.2316</v>
      </c>
      <c r="I802" s="308">
        <v>17.556000000000001</v>
      </c>
      <c r="J802" s="308">
        <v>16.2332</v>
      </c>
      <c r="K802" s="308">
        <v>3.9009999999999998</v>
      </c>
      <c r="L802" s="308">
        <v>12.9018</v>
      </c>
      <c r="M802" s="308">
        <v>15.0128</v>
      </c>
      <c r="N802" s="308">
        <v>28.8294</v>
      </c>
      <c r="O802" s="308">
        <v>28.674099999999999</v>
      </c>
      <c r="P802" s="308">
        <v>14.3513</v>
      </c>
      <c r="Q802" s="308">
        <v>27.930199999999999</v>
      </c>
      <c r="R802" s="308">
        <v>14.561999999999999</v>
      </c>
      <c r="S802" s="308">
        <v>13.071999999999999</v>
      </c>
      <c r="T802" s="308">
        <v>20.790099999999999</v>
      </c>
      <c r="U802" s="308">
        <v>27.524799999999999</v>
      </c>
      <c r="V802" s="308">
        <v>15.4734</v>
      </c>
      <c r="W802" s="308">
        <v>26.6007</v>
      </c>
      <c r="X802" s="308">
        <v>25.9998</v>
      </c>
      <c r="Y802" s="308">
        <v>23.222100000000001</v>
      </c>
      <c r="Z802" s="308">
        <v>14.7615</v>
      </c>
      <c r="AA802" s="308">
        <v>22.663799999999998</v>
      </c>
      <c r="AB802" s="308">
        <v>16.1617</v>
      </c>
      <c r="AC802" s="308">
        <v>14.5061</v>
      </c>
      <c r="AD802" s="308">
        <v>27.720199999999998</v>
      </c>
      <c r="AE802" s="308">
        <v>22.463200000000001</v>
      </c>
      <c r="AF802" s="308">
        <v>23.4376</v>
      </c>
      <c r="AG802" s="308">
        <v>24.8094</v>
      </c>
      <c r="AH802" s="308">
        <v>23.482800000000001</v>
      </c>
      <c r="AI802" s="308">
        <v>23.2242</v>
      </c>
      <c r="AJ802" s="308">
        <v>23.3447</v>
      </c>
      <c r="AK802" s="308">
        <v>17.041399999999999</v>
      </c>
      <c r="AL802" s="308">
        <v>17.837399999999999</v>
      </c>
      <c r="AM802" s="308">
        <v>21.899000000000001</v>
      </c>
      <c r="AN802" s="308">
        <v>19.497199999999999</v>
      </c>
      <c r="AO802" s="308">
        <v>20.476299999999998</v>
      </c>
      <c r="AP802" s="308">
        <v>21.47</v>
      </c>
      <c r="AQ802" s="308">
        <v>14.341900000000001</v>
      </c>
      <c r="AR802" s="308">
        <v>23.454999999999998</v>
      </c>
      <c r="AS802" s="308">
        <v>23.462299999999999</v>
      </c>
      <c r="AT802" s="308">
        <v>27.322700000000001</v>
      </c>
      <c r="AU802" s="308">
        <v>29.226299999999998</v>
      </c>
      <c r="AV802" s="308">
        <v>28.7453</v>
      </c>
      <c r="AW802" s="308">
        <v>27.5974</v>
      </c>
      <c r="AX802" s="308">
        <v>19.819800000000001</v>
      </c>
      <c r="AY802" s="308">
        <v>18.994800000000001</v>
      </c>
      <c r="AZ802" s="308">
        <v>20.340299999999999</v>
      </c>
      <c r="BA802" s="308">
        <v>20.164999999999999</v>
      </c>
      <c r="BB802" s="308">
        <v>21.1419</v>
      </c>
      <c r="BC802" s="308">
        <v>19.208300000000001</v>
      </c>
      <c r="BD802" s="308">
        <v>21.271000000000001</v>
      </c>
      <c r="BE802" s="308">
        <v>15.9674</v>
      </c>
      <c r="BF802" s="308">
        <v>19.2562</v>
      </c>
      <c r="BG802" s="308">
        <v>16.899999999999999</v>
      </c>
      <c r="BH802" s="308">
        <v>20.384499999999999</v>
      </c>
      <c r="BI802" s="308">
        <v>19.832000000000001</v>
      </c>
      <c r="BJ802" s="308">
        <v>19.927900000000001</v>
      </c>
      <c r="BK802" s="308">
        <v>17.7927</v>
      </c>
    </row>
    <row r="803" spans="1:63" x14ac:dyDescent="0.25">
      <c r="A803" s="306" t="s">
        <v>784</v>
      </c>
      <c r="B803" s="308" t="s">
        <v>344</v>
      </c>
      <c r="C803" s="308">
        <v>22.41</v>
      </c>
      <c r="D803" s="308">
        <v>26.029699999999998</v>
      </c>
      <c r="E803" s="308">
        <v>24.428799999999999</v>
      </c>
      <c r="F803" s="308">
        <v>23.283999999999999</v>
      </c>
      <c r="G803" s="308">
        <v>24.136199999999999</v>
      </c>
      <c r="H803" s="308">
        <v>19.276900000000001</v>
      </c>
      <c r="I803" s="308">
        <v>18.270099999999999</v>
      </c>
      <c r="J803" s="308">
        <v>18.723299999999998</v>
      </c>
      <c r="K803" s="308">
        <v>4.5324</v>
      </c>
      <c r="L803" s="308">
        <v>15.759399999999999</v>
      </c>
      <c r="M803" s="308">
        <v>17.649799999999999</v>
      </c>
      <c r="N803" s="308">
        <v>21.740600000000001</v>
      </c>
      <c r="O803" s="308">
        <v>17.061299999999999</v>
      </c>
      <c r="P803" s="308">
        <v>23.400500000000001</v>
      </c>
      <c r="Q803" s="308">
        <v>21.867999999999999</v>
      </c>
      <c r="R803" s="308">
        <v>19.485800000000001</v>
      </c>
      <c r="S803" s="308">
        <v>21.695399999999999</v>
      </c>
      <c r="T803" s="308">
        <v>25.842500000000001</v>
      </c>
      <c r="U803" s="308">
        <v>24.888500000000001</v>
      </c>
      <c r="V803" s="308">
        <v>21.356400000000001</v>
      </c>
      <c r="W803" s="308">
        <v>17.554500000000001</v>
      </c>
      <c r="X803" s="308">
        <v>18.193300000000001</v>
      </c>
      <c r="Y803" s="308">
        <v>21.2898</v>
      </c>
      <c r="Z803" s="308">
        <v>24.221900000000002</v>
      </c>
      <c r="AA803" s="308">
        <v>28.036200000000001</v>
      </c>
      <c r="AB803" s="308">
        <v>21.556899999999999</v>
      </c>
      <c r="AC803" s="308">
        <v>20.211099999999998</v>
      </c>
      <c r="AD803" s="308">
        <v>21.753599999999999</v>
      </c>
      <c r="AE803" s="308">
        <v>22.660299999999999</v>
      </c>
      <c r="AF803" s="308">
        <v>24.239899999999999</v>
      </c>
      <c r="AG803" s="308">
        <v>25.631399999999999</v>
      </c>
      <c r="AH803" s="308">
        <v>20.8354</v>
      </c>
      <c r="AI803" s="308">
        <v>16.934799999999999</v>
      </c>
      <c r="AJ803" s="308">
        <v>27.760100000000001</v>
      </c>
      <c r="AK803" s="308">
        <v>16.685600000000001</v>
      </c>
      <c r="AL803" s="308">
        <v>16.0885</v>
      </c>
      <c r="AM803" s="308">
        <v>25.7364</v>
      </c>
      <c r="AN803" s="308">
        <v>25.014500000000002</v>
      </c>
      <c r="AO803" s="308">
        <v>24.280200000000001</v>
      </c>
      <c r="AP803" s="308">
        <v>22.657599999999999</v>
      </c>
      <c r="AQ803" s="308">
        <v>16.566500000000001</v>
      </c>
      <c r="AR803" s="308">
        <v>21.430399999999999</v>
      </c>
      <c r="AS803" s="308">
        <v>26.151199999999999</v>
      </c>
      <c r="AT803" s="308">
        <v>24.665700000000001</v>
      </c>
      <c r="AU803" s="308">
        <v>21.923999999999999</v>
      </c>
      <c r="AV803" s="308">
        <v>21.330400000000001</v>
      </c>
      <c r="AW803" s="308">
        <v>21.7361</v>
      </c>
      <c r="AX803" s="308">
        <v>21.172899999999998</v>
      </c>
      <c r="AY803" s="308">
        <v>26.720600000000001</v>
      </c>
      <c r="AZ803" s="308">
        <v>28.2913</v>
      </c>
      <c r="BA803" s="308">
        <v>23.952999999999999</v>
      </c>
      <c r="BB803" s="308">
        <v>23.756599999999999</v>
      </c>
      <c r="BC803" s="308">
        <v>19.8005</v>
      </c>
      <c r="BD803" s="308">
        <v>19.439699999999998</v>
      </c>
      <c r="BE803" s="308">
        <v>23.861999999999998</v>
      </c>
      <c r="BF803" s="308">
        <v>26.008600000000001</v>
      </c>
      <c r="BG803" s="308">
        <v>20.430599999999998</v>
      </c>
      <c r="BH803" s="308">
        <v>24.9009</v>
      </c>
      <c r="BI803" s="308">
        <v>22.524100000000001</v>
      </c>
      <c r="BJ803" s="308">
        <v>20.6128</v>
      </c>
      <c r="BK803" s="308">
        <v>20.3553</v>
      </c>
    </row>
    <row r="804" spans="1:63" x14ac:dyDescent="0.25">
      <c r="A804" s="306" t="s">
        <v>785</v>
      </c>
      <c r="B804" s="308" t="s">
        <v>345</v>
      </c>
      <c r="C804" s="308">
        <v>14.576700000000001</v>
      </c>
      <c r="D804" s="308">
        <v>15.6342</v>
      </c>
      <c r="E804" s="308">
        <v>18.484300000000001</v>
      </c>
      <c r="F804" s="308">
        <v>18.755600000000001</v>
      </c>
      <c r="G804" s="308">
        <v>13.190099999999999</v>
      </c>
      <c r="H804" s="308">
        <v>12.2509</v>
      </c>
      <c r="I804" s="308">
        <v>13.859500000000001</v>
      </c>
      <c r="J804" s="308">
        <v>11.470499999999999</v>
      </c>
      <c r="K804" s="308">
        <v>3.1509999999999998</v>
      </c>
      <c r="L804" s="308">
        <v>14.287000000000001</v>
      </c>
      <c r="M804" s="308">
        <v>13.458600000000001</v>
      </c>
      <c r="N804" s="308">
        <v>14.571400000000001</v>
      </c>
      <c r="O804" s="308">
        <v>11.0617</v>
      </c>
      <c r="P804" s="308">
        <v>16.585999999999999</v>
      </c>
      <c r="Q804" s="308">
        <v>18.886700000000001</v>
      </c>
      <c r="R804" s="308">
        <v>12.1219</v>
      </c>
      <c r="S804" s="308">
        <v>16.771899999999999</v>
      </c>
      <c r="T804" s="308">
        <v>17.032499999999999</v>
      </c>
      <c r="U804" s="308">
        <v>15.678800000000001</v>
      </c>
      <c r="V804" s="308">
        <v>13.333</v>
      </c>
      <c r="W804" s="308">
        <v>10.8657</v>
      </c>
      <c r="X804" s="308">
        <v>10.076599999999999</v>
      </c>
      <c r="Y804" s="308">
        <v>18.1312</v>
      </c>
      <c r="Z804" s="308">
        <v>17.558199999999999</v>
      </c>
      <c r="AA804" s="308">
        <v>16.8322</v>
      </c>
      <c r="AB804" s="308">
        <v>15.065799999999999</v>
      </c>
      <c r="AC804" s="308">
        <v>12.679600000000001</v>
      </c>
      <c r="AD804" s="308">
        <v>19.0397</v>
      </c>
      <c r="AE804" s="308">
        <v>17.171900000000001</v>
      </c>
      <c r="AF804" s="308">
        <v>17.144200000000001</v>
      </c>
      <c r="AG804" s="308">
        <v>18.4725</v>
      </c>
      <c r="AH804" s="308">
        <v>14.4255</v>
      </c>
      <c r="AI804" s="308">
        <v>10.499000000000001</v>
      </c>
      <c r="AJ804" s="308">
        <v>16.7651</v>
      </c>
      <c r="AK804" s="308">
        <v>10.599399999999999</v>
      </c>
      <c r="AL804" s="308">
        <v>9.6897000000000002</v>
      </c>
      <c r="AM804" s="308">
        <v>16.462499999999999</v>
      </c>
      <c r="AN804" s="308">
        <v>19.661799999999999</v>
      </c>
      <c r="AO804" s="308">
        <v>16.751200000000001</v>
      </c>
      <c r="AP804" s="308">
        <v>15.1265</v>
      </c>
      <c r="AQ804" s="308">
        <v>12.8697</v>
      </c>
      <c r="AR804" s="308">
        <v>15.885199999999999</v>
      </c>
      <c r="AS804" s="308">
        <v>18.202500000000001</v>
      </c>
      <c r="AT804" s="308">
        <v>13.677300000000001</v>
      </c>
      <c r="AU804" s="308">
        <v>14.238899999999999</v>
      </c>
      <c r="AV804" s="308">
        <v>16.8828</v>
      </c>
      <c r="AW804" s="308">
        <v>14.0562</v>
      </c>
      <c r="AX804" s="308">
        <v>15.114100000000001</v>
      </c>
      <c r="AY804" s="308">
        <v>13.714700000000001</v>
      </c>
      <c r="AZ804" s="308">
        <v>19.325800000000001</v>
      </c>
      <c r="BA804" s="308">
        <v>14.135400000000001</v>
      </c>
      <c r="BB804" s="308">
        <v>14.342700000000001</v>
      </c>
      <c r="BC804" s="308">
        <v>13.0905</v>
      </c>
      <c r="BD804" s="308">
        <v>11.9108</v>
      </c>
      <c r="BE804" s="308">
        <v>15.6747</v>
      </c>
      <c r="BF804" s="308">
        <v>17.200600000000001</v>
      </c>
      <c r="BG804" s="308">
        <v>14.486800000000001</v>
      </c>
      <c r="BH804" s="308">
        <v>14.7346</v>
      </c>
      <c r="BI804" s="308">
        <v>14.8497</v>
      </c>
      <c r="BJ804" s="308">
        <v>12.740600000000001</v>
      </c>
      <c r="BK804" s="308">
        <v>12.728300000000001</v>
      </c>
    </row>
    <row r="805" spans="1:63" x14ac:dyDescent="0.25">
      <c r="A805" s="306" t="s">
        <v>786</v>
      </c>
      <c r="B805" s="308" t="s">
        <v>346</v>
      </c>
      <c r="C805" s="308">
        <v>14.9255</v>
      </c>
      <c r="D805" s="308">
        <v>10.3537</v>
      </c>
      <c r="E805" s="308">
        <v>14.504200000000001</v>
      </c>
      <c r="F805" s="308">
        <v>16.243400000000001</v>
      </c>
      <c r="G805" s="308">
        <v>13.7544</v>
      </c>
      <c r="H805" s="308">
        <v>12.680899999999999</v>
      </c>
      <c r="I805" s="308">
        <v>13.6629</v>
      </c>
      <c r="J805" s="308">
        <v>10.074400000000001</v>
      </c>
      <c r="K805" s="308">
        <v>3.0817000000000001</v>
      </c>
      <c r="L805" s="308">
        <v>10.2141</v>
      </c>
      <c r="M805" s="308">
        <v>13.4117</v>
      </c>
      <c r="N805" s="308">
        <v>14.3066</v>
      </c>
      <c r="O805" s="308">
        <v>12.6257</v>
      </c>
      <c r="P805" s="308">
        <v>15.4709</v>
      </c>
      <c r="Q805" s="308">
        <v>16.327400000000001</v>
      </c>
      <c r="R805" s="308">
        <v>14.4816</v>
      </c>
      <c r="S805" s="308">
        <v>16.448899999999998</v>
      </c>
      <c r="T805" s="308">
        <v>15.403600000000001</v>
      </c>
      <c r="U805" s="308">
        <v>13.746499999999999</v>
      </c>
      <c r="V805" s="308">
        <v>14.043200000000001</v>
      </c>
      <c r="W805" s="308">
        <v>10.9588</v>
      </c>
      <c r="X805" s="308">
        <v>10.096</v>
      </c>
      <c r="Y805" s="308">
        <v>14.439399999999999</v>
      </c>
      <c r="Z805" s="308">
        <v>16.3736</v>
      </c>
      <c r="AA805" s="308">
        <v>16.567799999999998</v>
      </c>
      <c r="AB805" s="308">
        <v>13.7898</v>
      </c>
      <c r="AC805" s="308">
        <v>13.085000000000001</v>
      </c>
      <c r="AD805" s="308">
        <v>13.1494</v>
      </c>
      <c r="AE805" s="308">
        <v>13.8817</v>
      </c>
      <c r="AF805" s="308">
        <v>14.4739</v>
      </c>
      <c r="AG805" s="308">
        <v>15.7012</v>
      </c>
      <c r="AH805" s="308">
        <v>12.6937</v>
      </c>
      <c r="AI805" s="308">
        <v>11.2759</v>
      </c>
      <c r="AJ805" s="308">
        <v>14.6653</v>
      </c>
      <c r="AK805" s="308">
        <v>12.327400000000001</v>
      </c>
      <c r="AL805" s="308">
        <v>9.9527000000000001</v>
      </c>
      <c r="AM805" s="308">
        <v>14.163600000000001</v>
      </c>
      <c r="AN805" s="308">
        <v>16.901599999999998</v>
      </c>
      <c r="AO805" s="308">
        <v>16.778700000000001</v>
      </c>
      <c r="AP805" s="308">
        <v>13.7476</v>
      </c>
      <c r="AQ805" s="308">
        <v>11.991400000000001</v>
      </c>
      <c r="AR805" s="308">
        <v>13.7195</v>
      </c>
      <c r="AS805" s="308">
        <v>12.8155</v>
      </c>
      <c r="AT805" s="308">
        <v>12.7423</v>
      </c>
      <c r="AU805" s="308">
        <v>13.683199999999999</v>
      </c>
      <c r="AV805" s="308">
        <v>17.287400000000002</v>
      </c>
      <c r="AW805" s="308">
        <v>13.7569</v>
      </c>
      <c r="AX805" s="308">
        <v>14.064500000000001</v>
      </c>
      <c r="AY805" s="308">
        <v>14.441000000000001</v>
      </c>
      <c r="AZ805" s="308">
        <v>16.893899999999999</v>
      </c>
      <c r="BA805" s="308">
        <v>14.9833</v>
      </c>
      <c r="BB805" s="308">
        <v>10.286300000000001</v>
      </c>
      <c r="BC805" s="308">
        <v>12.968299999999999</v>
      </c>
      <c r="BD805" s="308">
        <v>12.2525</v>
      </c>
      <c r="BE805" s="308">
        <v>16.079599999999999</v>
      </c>
      <c r="BF805" s="308">
        <v>15.460900000000001</v>
      </c>
      <c r="BG805" s="308">
        <v>14.074</v>
      </c>
      <c r="BH805" s="308">
        <v>13.521100000000001</v>
      </c>
      <c r="BI805" s="308">
        <v>14.4377</v>
      </c>
      <c r="BJ805" s="308">
        <v>14.222300000000001</v>
      </c>
      <c r="BK805" s="308">
        <v>13.3165</v>
      </c>
    </row>
    <row r="806" spans="1:63" x14ac:dyDescent="0.25">
      <c r="A806" s="306">
        <v>722000</v>
      </c>
      <c r="B806" s="308" t="s">
        <v>347</v>
      </c>
      <c r="C806" s="308">
        <v>23.979600000000001</v>
      </c>
      <c r="D806" s="308">
        <v>17.756599999999999</v>
      </c>
      <c r="E806" s="308">
        <v>26.1675</v>
      </c>
      <c r="F806" s="308">
        <v>26.575600000000001</v>
      </c>
      <c r="G806" s="308">
        <v>20.528600000000001</v>
      </c>
      <c r="H806" s="308">
        <v>19.448699999999999</v>
      </c>
      <c r="I806" s="308">
        <v>21.571100000000001</v>
      </c>
      <c r="J806" s="308">
        <v>18.430800000000001</v>
      </c>
      <c r="K806" s="308">
        <v>6.8353999999999999</v>
      </c>
      <c r="L806" s="308">
        <v>18.377199999999998</v>
      </c>
      <c r="M806" s="308">
        <v>20.321200000000001</v>
      </c>
      <c r="N806" s="308">
        <v>23.0501</v>
      </c>
      <c r="O806" s="308">
        <v>19.187799999999999</v>
      </c>
      <c r="P806" s="308">
        <v>25.448499999999999</v>
      </c>
      <c r="Q806" s="308">
        <v>25.915600000000001</v>
      </c>
      <c r="R806" s="308">
        <v>21.593</v>
      </c>
      <c r="S806" s="308">
        <v>26.171199999999999</v>
      </c>
      <c r="T806" s="308">
        <v>21.4512</v>
      </c>
      <c r="U806" s="308">
        <v>24.203700000000001</v>
      </c>
      <c r="V806" s="308">
        <v>22.753799999999998</v>
      </c>
      <c r="W806" s="308">
        <v>18.8565</v>
      </c>
      <c r="X806" s="308">
        <v>19.270499999999998</v>
      </c>
      <c r="Y806" s="308">
        <v>23.0791</v>
      </c>
      <c r="Z806" s="308">
        <v>25.9376</v>
      </c>
      <c r="AA806" s="308">
        <v>25.1203</v>
      </c>
      <c r="AB806" s="308">
        <v>23.828099999999999</v>
      </c>
      <c r="AC806" s="308">
        <v>25.9846</v>
      </c>
      <c r="AD806" s="308">
        <v>26.2028</v>
      </c>
      <c r="AE806" s="308">
        <v>24.745999999999999</v>
      </c>
      <c r="AF806" s="308">
        <v>24.193200000000001</v>
      </c>
      <c r="AG806" s="308">
        <v>25.751200000000001</v>
      </c>
      <c r="AH806" s="308">
        <v>19.191800000000001</v>
      </c>
      <c r="AI806" s="308">
        <v>19.501200000000001</v>
      </c>
      <c r="AJ806" s="308">
        <v>22.08</v>
      </c>
      <c r="AK806" s="308">
        <v>18.356200000000001</v>
      </c>
      <c r="AL806" s="308">
        <v>17.511199999999999</v>
      </c>
      <c r="AM806" s="308">
        <v>25.259399999999999</v>
      </c>
      <c r="AN806" s="308">
        <v>24.733000000000001</v>
      </c>
      <c r="AO806" s="308">
        <v>22.409500000000001</v>
      </c>
      <c r="AP806" s="308">
        <v>24.1798</v>
      </c>
      <c r="AQ806" s="308">
        <v>21.420400000000001</v>
      </c>
      <c r="AR806" s="308">
        <v>24.710999999999999</v>
      </c>
      <c r="AS806" s="308">
        <v>25.16</v>
      </c>
      <c r="AT806" s="308">
        <v>22.8566</v>
      </c>
      <c r="AU806" s="308">
        <v>22.733000000000001</v>
      </c>
      <c r="AV806" s="308">
        <v>25.325299999999999</v>
      </c>
      <c r="AW806" s="308">
        <v>21.653700000000001</v>
      </c>
      <c r="AX806" s="308">
        <v>22.007400000000001</v>
      </c>
      <c r="AY806" s="308">
        <v>21.604500000000002</v>
      </c>
      <c r="AZ806" s="308">
        <v>27.0319</v>
      </c>
      <c r="BA806" s="308">
        <v>24.6372</v>
      </c>
      <c r="BB806" s="308">
        <v>21.930499999999999</v>
      </c>
      <c r="BC806" s="308">
        <v>20.511900000000001</v>
      </c>
      <c r="BD806" s="308">
        <v>20.899799999999999</v>
      </c>
      <c r="BE806" s="308">
        <v>25.177299999999999</v>
      </c>
      <c r="BF806" s="308">
        <v>25.232399999999998</v>
      </c>
      <c r="BG806" s="308">
        <v>22.700099999999999</v>
      </c>
      <c r="BH806" s="308">
        <v>24.958300000000001</v>
      </c>
      <c r="BI806" s="308">
        <v>23.581399999999999</v>
      </c>
      <c r="BJ806" s="308">
        <v>22.206</v>
      </c>
      <c r="BK806" s="308">
        <v>20.177900000000001</v>
      </c>
    </row>
    <row r="807" spans="1:63" x14ac:dyDescent="0.25">
      <c r="A807" s="306">
        <v>811192</v>
      </c>
      <c r="B807" s="308" t="s">
        <v>349</v>
      </c>
      <c r="C807" s="308">
        <v>23.002300000000002</v>
      </c>
      <c r="D807" s="308">
        <v>16.1861</v>
      </c>
      <c r="E807" s="308">
        <v>27.3901</v>
      </c>
      <c r="F807" s="308">
        <v>24.978899999999999</v>
      </c>
      <c r="G807" s="308">
        <v>20.755099999999999</v>
      </c>
      <c r="H807" s="308">
        <v>17.7835</v>
      </c>
      <c r="I807" s="308">
        <v>22.0853</v>
      </c>
      <c r="J807" s="308">
        <v>16.104800000000001</v>
      </c>
      <c r="K807" s="308">
        <v>5.0873999999999997</v>
      </c>
      <c r="L807" s="308">
        <v>16.677199999999999</v>
      </c>
      <c r="M807" s="308">
        <v>23.869700000000002</v>
      </c>
      <c r="N807" s="308">
        <v>27.606300000000001</v>
      </c>
      <c r="O807" s="308">
        <v>16.839400000000001</v>
      </c>
      <c r="P807" s="308">
        <v>24.505199999999999</v>
      </c>
      <c r="Q807" s="308">
        <v>21.820900000000002</v>
      </c>
      <c r="R807" s="308">
        <v>23.414200000000001</v>
      </c>
      <c r="S807" s="308">
        <v>24.3353</v>
      </c>
      <c r="T807" s="308">
        <v>22.1877</v>
      </c>
      <c r="U807" s="308">
        <v>26.4208</v>
      </c>
      <c r="V807" s="308">
        <v>23.811599999999999</v>
      </c>
      <c r="W807" s="308">
        <v>15.7934</v>
      </c>
      <c r="X807" s="308">
        <v>20.287800000000001</v>
      </c>
      <c r="Y807" s="308">
        <v>19.254000000000001</v>
      </c>
      <c r="Z807" s="308">
        <v>25.983699999999999</v>
      </c>
      <c r="AA807" s="308">
        <v>23.976400000000002</v>
      </c>
      <c r="AB807" s="308">
        <v>24.526199999999999</v>
      </c>
      <c r="AC807" s="308">
        <v>20.760899999999999</v>
      </c>
      <c r="AD807" s="308">
        <v>18.233899999999998</v>
      </c>
      <c r="AE807" s="308">
        <v>27.021599999999999</v>
      </c>
      <c r="AF807" s="308">
        <v>19.583300000000001</v>
      </c>
      <c r="AG807" s="308">
        <v>24.225999999999999</v>
      </c>
      <c r="AH807" s="308">
        <v>15.842599999999999</v>
      </c>
      <c r="AI807" s="308">
        <v>18.223299999999998</v>
      </c>
      <c r="AJ807" s="308">
        <v>18.590900000000001</v>
      </c>
      <c r="AK807" s="308">
        <v>23.945</v>
      </c>
      <c r="AL807" s="308">
        <v>20.7318</v>
      </c>
      <c r="AM807" s="308">
        <v>25.455100000000002</v>
      </c>
      <c r="AN807" s="308">
        <v>27.689900000000002</v>
      </c>
      <c r="AO807" s="308">
        <v>19.6248</v>
      </c>
      <c r="AP807" s="308">
        <v>19.398700000000002</v>
      </c>
      <c r="AQ807" s="308">
        <v>21.178799999999999</v>
      </c>
      <c r="AR807" s="308">
        <v>26.590199999999999</v>
      </c>
      <c r="AS807" s="308">
        <v>24.340199999999999</v>
      </c>
      <c r="AT807" s="308">
        <v>21.830500000000001</v>
      </c>
      <c r="AU807" s="308">
        <v>22.598700000000001</v>
      </c>
      <c r="AV807" s="308">
        <v>28.627700000000001</v>
      </c>
      <c r="AW807" s="308">
        <v>22.340299999999999</v>
      </c>
      <c r="AX807" s="308">
        <v>17.601800000000001</v>
      </c>
      <c r="AY807" s="308">
        <v>19.516300000000001</v>
      </c>
      <c r="AZ807" s="308">
        <v>22.1248</v>
      </c>
      <c r="BA807" s="308">
        <v>18.912800000000001</v>
      </c>
      <c r="BB807" s="308">
        <v>25.592600000000001</v>
      </c>
      <c r="BC807" s="308">
        <v>17.314699999999998</v>
      </c>
      <c r="BD807" s="308">
        <v>20.499700000000001</v>
      </c>
      <c r="BE807" s="308">
        <v>24.9406</v>
      </c>
      <c r="BF807" s="308">
        <v>24.866099999999999</v>
      </c>
      <c r="BG807" s="308">
        <v>25.197600000000001</v>
      </c>
      <c r="BH807" s="308">
        <v>24.808</v>
      </c>
      <c r="BI807" s="308">
        <v>23.311</v>
      </c>
      <c r="BJ807" s="308">
        <v>22.5182</v>
      </c>
      <c r="BK807" s="308">
        <v>18.0718</v>
      </c>
    </row>
    <row r="808" spans="1:63" x14ac:dyDescent="0.25">
      <c r="A808" s="306" t="s">
        <v>787</v>
      </c>
      <c r="B808" s="308" t="s">
        <v>348</v>
      </c>
      <c r="C808" s="308">
        <v>13.6371</v>
      </c>
      <c r="D808" s="308">
        <v>9.4656000000000002</v>
      </c>
      <c r="E808" s="308">
        <v>14.360900000000001</v>
      </c>
      <c r="F808" s="308">
        <v>13.6282</v>
      </c>
      <c r="G808" s="308">
        <v>11.669700000000001</v>
      </c>
      <c r="H808" s="308">
        <v>10.492900000000001</v>
      </c>
      <c r="I808" s="308">
        <v>11.2912</v>
      </c>
      <c r="J808" s="308">
        <v>9.9558</v>
      </c>
      <c r="K808" s="308">
        <v>2.6596000000000002</v>
      </c>
      <c r="L808" s="308">
        <v>8.4831000000000003</v>
      </c>
      <c r="M808" s="308">
        <v>14.1051</v>
      </c>
      <c r="N808" s="308">
        <v>14.3161</v>
      </c>
      <c r="O808" s="308">
        <v>11.8048</v>
      </c>
      <c r="P808" s="308">
        <v>12.788399999999999</v>
      </c>
      <c r="Q808" s="308">
        <v>11.8405</v>
      </c>
      <c r="R808" s="308">
        <v>12.539300000000001</v>
      </c>
      <c r="S808" s="308">
        <v>13.2925</v>
      </c>
      <c r="T808" s="308">
        <v>11.015599999999999</v>
      </c>
      <c r="U808" s="308">
        <v>13.929500000000001</v>
      </c>
      <c r="V808" s="308">
        <v>13.2698</v>
      </c>
      <c r="W808" s="308">
        <v>9.6813000000000002</v>
      </c>
      <c r="X808" s="308">
        <v>11.269</v>
      </c>
      <c r="Y808" s="308">
        <v>12.5984</v>
      </c>
      <c r="Z808" s="308">
        <v>13.5974</v>
      </c>
      <c r="AA808" s="308">
        <v>12.203099999999999</v>
      </c>
      <c r="AB808" s="308">
        <v>12.604699999999999</v>
      </c>
      <c r="AC808" s="308">
        <v>13.197800000000001</v>
      </c>
      <c r="AD808" s="308">
        <v>10.924200000000001</v>
      </c>
      <c r="AE808" s="308">
        <v>13.7798</v>
      </c>
      <c r="AF808" s="308">
        <v>10.1388</v>
      </c>
      <c r="AG808" s="308">
        <v>12.2524</v>
      </c>
      <c r="AH808" s="308">
        <v>10.145099999999999</v>
      </c>
      <c r="AI808" s="308">
        <v>10.0258</v>
      </c>
      <c r="AJ808" s="308">
        <v>11.668799999999999</v>
      </c>
      <c r="AK808" s="308">
        <v>11.293100000000001</v>
      </c>
      <c r="AL808" s="308">
        <v>11.5101</v>
      </c>
      <c r="AM808" s="308">
        <v>13.246</v>
      </c>
      <c r="AN808" s="308">
        <v>14.1713</v>
      </c>
      <c r="AO808" s="308">
        <v>12.0791</v>
      </c>
      <c r="AP808" s="308">
        <v>11.1911</v>
      </c>
      <c r="AQ808" s="308">
        <v>10.4145</v>
      </c>
      <c r="AR808" s="308">
        <v>14.0999</v>
      </c>
      <c r="AS808" s="308">
        <v>10.685600000000001</v>
      </c>
      <c r="AT808" s="308">
        <v>12.03</v>
      </c>
      <c r="AU808" s="308">
        <v>12.737399999999999</v>
      </c>
      <c r="AV808" s="308">
        <v>15.2056</v>
      </c>
      <c r="AW808" s="308">
        <v>11.2035</v>
      </c>
      <c r="AX808" s="308">
        <v>12.299099999999999</v>
      </c>
      <c r="AY808" s="308">
        <v>11.0418</v>
      </c>
      <c r="AZ808" s="308">
        <v>12.630699999999999</v>
      </c>
      <c r="BA808" s="308">
        <v>12.8407</v>
      </c>
      <c r="BB808" s="308">
        <v>12.3371</v>
      </c>
      <c r="BC808" s="308">
        <v>10.968400000000001</v>
      </c>
      <c r="BD808" s="308">
        <v>11.510899999999999</v>
      </c>
      <c r="BE808" s="308">
        <v>13.4579</v>
      </c>
      <c r="BF808" s="308">
        <v>12.7437</v>
      </c>
      <c r="BG808" s="308">
        <v>13.7491</v>
      </c>
      <c r="BH808" s="308">
        <v>13.644600000000001</v>
      </c>
      <c r="BI808" s="308">
        <v>13.2927</v>
      </c>
      <c r="BJ808" s="308">
        <v>12.231</v>
      </c>
      <c r="BK808" s="308">
        <v>10.8635</v>
      </c>
    </row>
    <row r="809" spans="1:63" x14ac:dyDescent="0.25">
      <c r="A809" s="306">
        <v>811200</v>
      </c>
      <c r="B809" s="308" t="s">
        <v>350</v>
      </c>
      <c r="C809" s="308">
        <v>11.4032</v>
      </c>
      <c r="D809" s="308">
        <v>7.8860999999999999</v>
      </c>
      <c r="E809" s="308">
        <v>10.2615</v>
      </c>
      <c r="F809" s="308">
        <v>11.1069</v>
      </c>
      <c r="G809" s="308">
        <v>9.6780000000000008</v>
      </c>
      <c r="H809" s="308">
        <v>9.0687999999999995</v>
      </c>
      <c r="I809" s="308">
        <v>9.9475999999999996</v>
      </c>
      <c r="J809" s="308">
        <v>7.9031000000000002</v>
      </c>
      <c r="K809" s="308">
        <v>1.5587</v>
      </c>
      <c r="L809" s="308">
        <v>7.9710999999999999</v>
      </c>
      <c r="M809" s="308">
        <v>11.9297</v>
      </c>
      <c r="N809" s="308">
        <v>12.547800000000001</v>
      </c>
      <c r="O809" s="308">
        <v>11.091900000000001</v>
      </c>
      <c r="P809" s="308">
        <v>8.7773000000000003</v>
      </c>
      <c r="Q809" s="308">
        <v>9.4238</v>
      </c>
      <c r="R809" s="308">
        <v>10.735900000000001</v>
      </c>
      <c r="S809" s="308">
        <v>12.2431</v>
      </c>
      <c r="T809" s="308">
        <v>8.6303000000000001</v>
      </c>
      <c r="U809" s="308">
        <v>11.6228</v>
      </c>
      <c r="V809" s="308">
        <v>11.7506</v>
      </c>
      <c r="W809" s="308">
        <v>7.7758000000000003</v>
      </c>
      <c r="X809" s="308">
        <v>9.0860000000000003</v>
      </c>
      <c r="Y809" s="308">
        <v>10.9978</v>
      </c>
      <c r="Z809" s="308">
        <v>11.9894</v>
      </c>
      <c r="AA809" s="308">
        <v>10.036899999999999</v>
      </c>
      <c r="AB809" s="308">
        <v>9.0387000000000004</v>
      </c>
      <c r="AC809" s="308">
        <v>11.145099999999999</v>
      </c>
      <c r="AD809" s="308">
        <v>10.065200000000001</v>
      </c>
      <c r="AE809" s="308">
        <v>12.244199999999999</v>
      </c>
      <c r="AF809" s="308">
        <v>6.3140999999999998</v>
      </c>
      <c r="AG809" s="308">
        <v>10.036199999999999</v>
      </c>
      <c r="AH809" s="308">
        <v>6.8917000000000002</v>
      </c>
      <c r="AI809" s="308">
        <v>8.4146000000000001</v>
      </c>
      <c r="AJ809" s="308">
        <v>9.4085000000000001</v>
      </c>
      <c r="AK809" s="308">
        <v>11.1913</v>
      </c>
      <c r="AL809" s="308">
        <v>8.3007000000000009</v>
      </c>
      <c r="AM809" s="308">
        <v>11.037599999999999</v>
      </c>
      <c r="AN809" s="308">
        <v>12.3284</v>
      </c>
      <c r="AO809" s="308">
        <v>10.5633</v>
      </c>
      <c r="AP809" s="308">
        <v>8.9291999999999998</v>
      </c>
      <c r="AQ809" s="308">
        <v>8.7527000000000008</v>
      </c>
      <c r="AR809" s="308">
        <v>12.4581</v>
      </c>
      <c r="AS809" s="308">
        <v>7.4493</v>
      </c>
      <c r="AT809" s="308">
        <v>10.327500000000001</v>
      </c>
      <c r="AU809" s="308">
        <v>11.4924</v>
      </c>
      <c r="AV809" s="308">
        <v>12.1942</v>
      </c>
      <c r="AW809" s="308">
        <v>7.9954000000000001</v>
      </c>
      <c r="AX809" s="308">
        <v>9.1463999999999999</v>
      </c>
      <c r="AY809" s="308">
        <v>9.5904000000000007</v>
      </c>
      <c r="AZ809" s="308">
        <v>10.6347</v>
      </c>
      <c r="BA809" s="308">
        <v>10.1088</v>
      </c>
      <c r="BB809" s="308">
        <v>8.7301000000000002</v>
      </c>
      <c r="BC809" s="308">
        <v>8.8201999999999998</v>
      </c>
      <c r="BD809" s="308">
        <v>9.2855000000000008</v>
      </c>
      <c r="BE809" s="308">
        <v>11.600300000000001</v>
      </c>
      <c r="BF809" s="308">
        <v>9.9907000000000004</v>
      </c>
      <c r="BG809" s="308">
        <v>11.5595</v>
      </c>
      <c r="BH809" s="308">
        <v>11.081</v>
      </c>
      <c r="BI809" s="308">
        <v>11.854900000000001</v>
      </c>
      <c r="BJ809" s="308">
        <v>10.542199999999999</v>
      </c>
      <c r="BK809" s="308">
        <v>9.3963000000000001</v>
      </c>
    </row>
    <row r="810" spans="1:63" x14ac:dyDescent="0.25">
      <c r="A810" s="306">
        <v>811300</v>
      </c>
      <c r="B810" s="308" t="s">
        <v>351</v>
      </c>
      <c r="C810" s="308">
        <v>9.9680999999999997</v>
      </c>
      <c r="D810" s="308">
        <v>6.6763000000000003</v>
      </c>
      <c r="E810" s="308">
        <v>9.5140999999999991</v>
      </c>
      <c r="F810" s="308">
        <v>9.5943000000000005</v>
      </c>
      <c r="G810" s="308">
        <v>8.3681999999999999</v>
      </c>
      <c r="H810" s="308">
        <v>7.5949999999999998</v>
      </c>
      <c r="I810" s="308">
        <v>9.1496999999999993</v>
      </c>
      <c r="J810" s="308">
        <v>6.7302</v>
      </c>
      <c r="K810" s="308">
        <v>1.7664</v>
      </c>
      <c r="L810" s="308">
        <v>6.43</v>
      </c>
      <c r="M810" s="308">
        <v>10.4961</v>
      </c>
      <c r="N810" s="308">
        <v>10.431699999999999</v>
      </c>
      <c r="O810" s="308">
        <v>8.39</v>
      </c>
      <c r="P810" s="308">
        <v>9.3976000000000006</v>
      </c>
      <c r="Q810" s="308">
        <v>9.4991000000000003</v>
      </c>
      <c r="R810" s="308">
        <v>8.7898999999999994</v>
      </c>
      <c r="S810" s="308">
        <v>10.1296</v>
      </c>
      <c r="T810" s="308">
        <v>7.9903000000000004</v>
      </c>
      <c r="U810" s="308">
        <v>10.292899999999999</v>
      </c>
      <c r="V810" s="308">
        <v>8.6152999999999995</v>
      </c>
      <c r="W810" s="308">
        <v>6.8597000000000001</v>
      </c>
      <c r="X810" s="308">
        <v>8.6652000000000005</v>
      </c>
      <c r="Y810" s="308">
        <v>7.6563999999999997</v>
      </c>
      <c r="Z810" s="308">
        <v>9.2164000000000001</v>
      </c>
      <c r="AA810" s="308">
        <v>10.079700000000001</v>
      </c>
      <c r="AB810" s="308">
        <v>9.8309999999999995</v>
      </c>
      <c r="AC810" s="308">
        <v>8.3198000000000008</v>
      </c>
      <c r="AD810" s="308">
        <v>8.8208000000000002</v>
      </c>
      <c r="AE810" s="308">
        <v>10.173999999999999</v>
      </c>
      <c r="AF810" s="308">
        <v>8.0820000000000007</v>
      </c>
      <c r="AG810" s="308">
        <v>9.5540000000000003</v>
      </c>
      <c r="AH810" s="308">
        <v>7.6295000000000002</v>
      </c>
      <c r="AI810" s="308">
        <v>7.0213000000000001</v>
      </c>
      <c r="AJ810" s="308">
        <v>7.8827999999999996</v>
      </c>
      <c r="AK810" s="308">
        <v>7.5209999999999999</v>
      </c>
      <c r="AL810" s="308">
        <v>7.8917999999999999</v>
      </c>
      <c r="AM810" s="308">
        <v>9.9205000000000005</v>
      </c>
      <c r="AN810" s="308">
        <v>10.590299999999999</v>
      </c>
      <c r="AO810" s="308">
        <v>7.0057999999999998</v>
      </c>
      <c r="AP810" s="308">
        <v>8.0391999999999992</v>
      </c>
      <c r="AQ810" s="308">
        <v>8.3208000000000002</v>
      </c>
      <c r="AR810" s="308">
        <v>10.787599999999999</v>
      </c>
      <c r="AS810" s="308">
        <v>8.3977000000000004</v>
      </c>
      <c r="AT810" s="308">
        <v>8.1361000000000008</v>
      </c>
      <c r="AU810" s="308">
        <v>8.9344999999999999</v>
      </c>
      <c r="AV810" s="308">
        <v>9.7474000000000007</v>
      </c>
      <c r="AW810" s="308">
        <v>8.4346999999999994</v>
      </c>
      <c r="AX810" s="308">
        <v>9.0896000000000008</v>
      </c>
      <c r="AY810" s="308">
        <v>7.7016</v>
      </c>
      <c r="AZ810" s="308">
        <v>9.0205000000000002</v>
      </c>
      <c r="BA810" s="308">
        <v>9.0991999999999997</v>
      </c>
      <c r="BB810" s="308">
        <v>7.6090999999999998</v>
      </c>
      <c r="BC810" s="308">
        <v>7.8093000000000004</v>
      </c>
      <c r="BD810" s="308">
        <v>8.1776999999999997</v>
      </c>
      <c r="BE810" s="308">
        <v>9.7622999999999998</v>
      </c>
      <c r="BF810" s="308">
        <v>9.8645999999999994</v>
      </c>
      <c r="BG810" s="308">
        <v>10.4048</v>
      </c>
      <c r="BH810" s="308">
        <v>9.4658999999999995</v>
      </c>
      <c r="BI810" s="308">
        <v>9.3640000000000008</v>
      </c>
      <c r="BJ810" s="308">
        <v>8.9379000000000008</v>
      </c>
      <c r="BK810" s="308">
        <v>7.7298999999999998</v>
      </c>
    </row>
    <row r="811" spans="1:63" x14ac:dyDescent="0.25">
      <c r="A811" s="306">
        <v>811400</v>
      </c>
      <c r="B811" s="308" t="s">
        <v>352</v>
      </c>
      <c r="C811" s="308">
        <v>11.1515</v>
      </c>
      <c r="D811" s="308">
        <v>7.5719000000000003</v>
      </c>
      <c r="E811" s="308">
        <v>12.2437</v>
      </c>
      <c r="F811" s="308">
        <v>10.8249</v>
      </c>
      <c r="G811" s="308">
        <v>9.8547999999999991</v>
      </c>
      <c r="H811" s="308">
        <v>8.7019000000000002</v>
      </c>
      <c r="I811" s="308">
        <v>9.9672999999999998</v>
      </c>
      <c r="J811" s="308">
        <v>7.9618000000000002</v>
      </c>
      <c r="K811" s="308">
        <v>2.5266000000000002</v>
      </c>
      <c r="L811" s="308">
        <v>6.1035000000000004</v>
      </c>
      <c r="M811" s="308">
        <v>10.864000000000001</v>
      </c>
      <c r="N811" s="308">
        <v>12.519399999999999</v>
      </c>
      <c r="O811" s="308">
        <v>9.4731000000000005</v>
      </c>
      <c r="P811" s="308">
        <v>10.5512</v>
      </c>
      <c r="Q811" s="308">
        <v>10.212999999999999</v>
      </c>
      <c r="R811" s="308">
        <v>10.3368</v>
      </c>
      <c r="S811" s="308">
        <v>10.523999999999999</v>
      </c>
      <c r="T811" s="308">
        <v>8.7278000000000002</v>
      </c>
      <c r="U811" s="308">
        <v>11.478999999999999</v>
      </c>
      <c r="V811" s="308">
        <v>10.899900000000001</v>
      </c>
      <c r="W811" s="308">
        <v>8.0759000000000007</v>
      </c>
      <c r="X811" s="308">
        <v>9.0825999999999993</v>
      </c>
      <c r="Y811" s="308">
        <v>9.9031000000000002</v>
      </c>
      <c r="Z811" s="308">
        <v>10.396800000000001</v>
      </c>
      <c r="AA811" s="308">
        <v>11.3565</v>
      </c>
      <c r="AB811" s="308">
        <v>10.751300000000001</v>
      </c>
      <c r="AC811" s="308">
        <v>9.7843</v>
      </c>
      <c r="AD811" s="308">
        <v>9.5536999999999992</v>
      </c>
      <c r="AE811" s="308">
        <v>11.433400000000001</v>
      </c>
      <c r="AF811" s="308">
        <v>9.6800999999999995</v>
      </c>
      <c r="AG811" s="308">
        <v>9.8398000000000003</v>
      </c>
      <c r="AH811" s="308">
        <v>8.1193000000000008</v>
      </c>
      <c r="AI811" s="308">
        <v>8.5335000000000001</v>
      </c>
      <c r="AJ811" s="308">
        <v>10.038399999999999</v>
      </c>
      <c r="AK811" s="308">
        <v>9.8056000000000001</v>
      </c>
      <c r="AL811" s="308">
        <v>7.5259</v>
      </c>
      <c r="AM811" s="308">
        <v>11.020799999999999</v>
      </c>
      <c r="AN811" s="308">
        <v>12.1897</v>
      </c>
      <c r="AO811" s="308">
        <v>10.483700000000001</v>
      </c>
      <c r="AP811" s="308">
        <v>8.9742999999999995</v>
      </c>
      <c r="AQ811" s="308">
        <v>9.6628000000000007</v>
      </c>
      <c r="AR811" s="308">
        <v>12.0388</v>
      </c>
      <c r="AS811" s="308">
        <v>8.6128</v>
      </c>
      <c r="AT811" s="308">
        <v>11.304500000000001</v>
      </c>
      <c r="AU811" s="308">
        <v>10.151300000000001</v>
      </c>
      <c r="AV811" s="308">
        <v>12.6835</v>
      </c>
      <c r="AW811" s="308">
        <v>10.4017</v>
      </c>
      <c r="AX811" s="308">
        <v>9.9154999999999998</v>
      </c>
      <c r="AY811" s="308">
        <v>8.4606999999999992</v>
      </c>
      <c r="AZ811" s="308">
        <v>10.6851</v>
      </c>
      <c r="BA811" s="308">
        <v>11.015499999999999</v>
      </c>
      <c r="BB811" s="308">
        <v>10.7431</v>
      </c>
      <c r="BC811" s="308">
        <v>8.9123999999999999</v>
      </c>
      <c r="BD811" s="308">
        <v>8.8216000000000001</v>
      </c>
      <c r="BE811" s="308">
        <v>10.9679</v>
      </c>
      <c r="BF811" s="308">
        <v>11.009600000000001</v>
      </c>
      <c r="BG811" s="308">
        <v>11.4313</v>
      </c>
      <c r="BH811" s="308">
        <v>11.7096</v>
      </c>
      <c r="BI811" s="308">
        <v>10.745799999999999</v>
      </c>
      <c r="BJ811" s="308">
        <v>10.5136</v>
      </c>
      <c r="BK811" s="308">
        <v>8.968</v>
      </c>
    </row>
    <row r="812" spans="1:63" x14ac:dyDescent="0.25">
      <c r="A812" s="306">
        <v>812100</v>
      </c>
      <c r="B812" s="308" t="s">
        <v>353</v>
      </c>
      <c r="C812" s="308">
        <v>14.5448</v>
      </c>
      <c r="D812" s="308">
        <v>10.898300000000001</v>
      </c>
      <c r="E812" s="308">
        <v>13.8263</v>
      </c>
      <c r="F812" s="308">
        <v>13.5844</v>
      </c>
      <c r="G812" s="308">
        <v>12.814299999999999</v>
      </c>
      <c r="H812" s="308">
        <v>12.4892</v>
      </c>
      <c r="I812" s="308">
        <v>13.0654</v>
      </c>
      <c r="J812" s="308">
        <v>11.087899999999999</v>
      </c>
      <c r="K812" s="308">
        <v>4.1013999999999999</v>
      </c>
      <c r="L812" s="308">
        <v>12.837300000000001</v>
      </c>
      <c r="M812" s="308">
        <v>15.0397</v>
      </c>
      <c r="N812" s="308">
        <v>14.3607</v>
      </c>
      <c r="O812" s="308">
        <v>12.617100000000001</v>
      </c>
      <c r="P812" s="308">
        <v>14.401199999999999</v>
      </c>
      <c r="Q812" s="308">
        <v>14.7813</v>
      </c>
      <c r="R812" s="308">
        <v>13.3736</v>
      </c>
      <c r="S812" s="308">
        <v>15.2476</v>
      </c>
      <c r="T812" s="308">
        <v>12.3775</v>
      </c>
      <c r="U812" s="308">
        <v>14.6548</v>
      </c>
      <c r="V812" s="308">
        <v>14.7768</v>
      </c>
      <c r="W812" s="308">
        <v>11.3796</v>
      </c>
      <c r="X812" s="308">
        <v>13.508100000000001</v>
      </c>
      <c r="Y812" s="308">
        <v>13.447699999999999</v>
      </c>
      <c r="Z812" s="308">
        <v>14.222099999999999</v>
      </c>
      <c r="AA812" s="308">
        <v>13.4849</v>
      </c>
      <c r="AB812" s="308">
        <v>14.7799</v>
      </c>
      <c r="AC812" s="308">
        <v>14.0296</v>
      </c>
      <c r="AD812" s="308">
        <v>12.783899999999999</v>
      </c>
      <c r="AE812" s="308">
        <v>13.507300000000001</v>
      </c>
      <c r="AF812" s="308">
        <v>13.2719</v>
      </c>
      <c r="AG812" s="308">
        <v>13.173999999999999</v>
      </c>
      <c r="AH812" s="308">
        <v>11.2453</v>
      </c>
      <c r="AI812" s="308">
        <v>15.2631</v>
      </c>
      <c r="AJ812" s="308">
        <v>13.735900000000001</v>
      </c>
      <c r="AK812" s="308">
        <v>11.663399999999999</v>
      </c>
      <c r="AL812" s="308">
        <v>11.4779</v>
      </c>
      <c r="AM812" s="308">
        <v>15.648300000000001</v>
      </c>
      <c r="AN812" s="308">
        <v>15.245100000000001</v>
      </c>
      <c r="AO812" s="308">
        <v>13.151899999999999</v>
      </c>
      <c r="AP812" s="308">
        <v>13.4087</v>
      </c>
      <c r="AQ812" s="308">
        <v>13.473800000000001</v>
      </c>
      <c r="AR812" s="308">
        <v>13.490600000000001</v>
      </c>
      <c r="AS812" s="308">
        <v>12.749499999999999</v>
      </c>
      <c r="AT812" s="308">
        <v>12.4076</v>
      </c>
      <c r="AU812" s="308">
        <v>13.2806</v>
      </c>
      <c r="AV812" s="308">
        <v>16.7377</v>
      </c>
      <c r="AW812" s="308">
        <v>13.0747</v>
      </c>
      <c r="AX812" s="308">
        <v>11.520300000000001</v>
      </c>
      <c r="AY812" s="308">
        <v>11.9863</v>
      </c>
      <c r="AZ812" s="308">
        <v>14.741099999999999</v>
      </c>
      <c r="BA812" s="308">
        <v>13.654199999999999</v>
      </c>
      <c r="BB812" s="308">
        <v>13.630100000000001</v>
      </c>
      <c r="BC812" s="308">
        <v>12.143700000000001</v>
      </c>
      <c r="BD812" s="308">
        <v>13.5032</v>
      </c>
      <c r="BE812" s="308">
        <v>14.8325</v>
      </c>
      <c r="BF812" s="308">
        <v>14.138299999999999</v>
      </c>
      <c r="BG812" s="308">
        <v>14.6637</v>
      </c>
      <c r="BH812" s="308">
        <v>13.593500000000001</v>
      </c>
      <c r="BI812" s="308">
        <v>13.8263</v>
      </c>
      <c r="BJ812" s="308">
        <v>13.6761</v>
      </c>
      <c r="BK812" s="308">
        <v>12.589600000000001</v>
      </c>
    </row>
    <row r="813" spans="1:63" x14ac:dyDescent="0.25">
      <c r="A813" s="306">
        <v>812200</v>
      </c>
      <c r="B813" s="308" t="s">
        <v>354</v>
      </c>
      <c r="C813" s="308">
        <v>12.0854</v>
      </c>
      <c r="D813" s="308">
        <v>7.6345999999999998</v>
      </c>
      <c r="E813" s="308">
        <v>11.6607</v>
      </c>
      <c r="F813" s="308">
        <v>10.9625</v>
      </c>
      <c r="G813" s="308">
        <v>10.585000000000001</v>
      </c>
      <c r="H813" s="308">
        <v>9.1936999999999998</v>
      </c>
      <c r="I813" s="308">
        <v>10.3743</v>
      </c>
      <c r="J813" s="308">
        <v>8.3854000000000006</v>
      </c>
      <c r="K813" s="308">
        <v>4.3754</v>
      </c>
      <c r="L813" s="308">
        <v>8.2876999999999992</v>
      </c>
      <c r="M813" s="308">
        <v>11.5457</v>
      </c>
      <c r="N813" s="308">
        <v>12.318099999999999</v>
      </c>
      <c r="O813" s="308">
        <v>9.4053000000000004</v>
      </c>
      <c r="P813" s="308">
        <v>10.427300000000001</v>
      </c>
      <c r="Q813" s="308">
        <v>10.988899999999999</v>
      </c>
      <c r="R813" s="308">
        <v>9.9639000000000006</v>
      </c>
      <c r="S813" s="308">
        <v>11.348100000000001</v>
      </c>
      <c r="T813" s="308">
        <v>10.663399999999999</v>
      </c>
      <c r="U813" s="308">
        <v>11.488300000000001</v>
      </c>
      <c r="V813" s="308">
        <v>10.4397</v>
      </c>
      <c r="W813" s="308">
        <v>8.0807000000000002</v>
      </c>
      <c r="X813" s="308">
        <v>9.4153000000000002</v>
      </c>
      <c r="Y813" s="308">
        <v>11.2149</v>
      </c>
      <c r="Z813" s="308">
        <v>10.3619</v>
      </c>
      <c r="AA813" s="308">
        <v>11.4345</v>
      </c>
      <c r="AB813" s="308">
        <v>10.7104</v>
      </c>
      <c r="AC813" s="308">
        <v>11.502700000000001</v>
      </c>
      <c r="AD813" s="308">
        <v>9.8999000000000006</v>
      </c>
      <c r="AE813" s="308">
        <v>11.7456</v>
      </c>
      <c r="AF813" s="308">
        <v>8.8758999999999997</v>
      </c>
      <c r="AG813" s="308">
        <v>9.2942999999999998</v>
      </c>
      <c r="AH813" s="308">
        <v>8.9987999999999992</v>
      </c>
      <c r="AI813" s="308">
        <v>8.8238000000000003</v>
      </c>
      <c r="AJ813" s="308">
        <v>9.7203999999999997</v>
      </c>
      <c r="AK813" s="308">
        <v>8.7154000000000007</v>
      </c>
      <c r="AL813" s="308">
        <v>7.665</v>
      </c>
      <c r="AM813" s="308">
        <v>11.955299999999999</v>
      </c>
      <c r="AN813" s="308">
        <v>12.666399999999999</v>
      </c>
      <c r="AO813" s="308">
        <v>10.238099999999999</v>
      </c>
      <c r="AP813" s="308">
        <v>10.432700000000001</v>
      </c>
      <c r="AQ813" s="308">
        <v>9.0405999999999995</v>
      </c>
      <c r="AR813" s="308">
        <v>11.6274</v>
      </c>
      <c r="AS813" s="308">
        <v>9.4321999999999999</v>
      </c>
      <c r="AT813" s="308">
        <v>10.359400000000001</v>
      </c>
      <c r="AU813" s="308">
        <v>10.888299999999999</v>
      </c>
      <c r="AV813" s="308">
        <v>12.065300000000001</v>
      </c>
      <c r="AW813" s="308">
        <v>10.9556</v>
      </c>
      <c r="AX813" s="308">
        <v>10.0334</v>
      </c>
      <c r="AY813" s="308">
        <v>9.48</v>
      </c>
      <c r="AZ813" s="308">
        <v>10.182</v>
      </c>
      <c r="BA813" s="308">
        <v>9.7520000000000007</v>
      </c>
      <c r="BB813" s="308">
        <v>8.9488000000000003</v>
      </c>
      <c r="BC813" s="308">
        <v>9.4280000000000008</v>
      </c>
      <c r="BD813" s="308">
        <v>9.4532000000000007</v>
      </c>
      <c r="BE813" s="308">
        <v>11.3438</v>
      </c>
      <c r="BF813" s="308">
        <v>11.266400000000001</v>
      </c>
      <c r="BG813" s="308">
        <v>11.908899999999999</v>
      </c>
      <c r="BH813" s="308">
        <v>11.679399999999999</v>
      </c>
      <c r="BI813" s="308">
        <v>11.405799999999999</v>
      </c>
      <c r="BJ813" s="308">
        <v>11.124000000000001</v>
      </c>
      <c r="BK813" s="308">
        <v>9.5957000000000008</v>
      </c>
    </row>
    <row r="814" spans="1:63" x14ac:dyDescent="0.25">
      <c r="A814" s="306">
        <v>812300</v>
      </c>
      <c r="B814" s="308" t="s">
        <v>355</v>
      </c>
      <c r="C814" s="308">
        <v>10.5342</v>
      </c>
      <c r="D814" s="308">
        <v>7.8155999999999999</v>
      </c>
      <c r="E814" s="308">
        <v>10.4331</v>
      </c>
      <c r="F814" s="308">
        <v>9.9764999999999997</v>
      </c>
      <c r="G814" s="308">
        <v>9.8892000000000007</v>
      </c>
      <c r="H814" s="308">
        <v>8.4527999999999999</v>
      </c>
      <c r="I814" s="308">
        <v>9.6259999999999994</v>
      </c>
      <c r="J814" s="308">
        <v>8.0511999999999997</v>
      </c>
      <c r="K814" s="308">
        <v>2.9834000000000001</v>
      </c>
      <c r="L814" s="308">
        <v>8.2674000000000003</v>
      </c>
      <c r="M814" s="308">
        <v>11.4712</v>
      </c>
      <c r="N814" s="308">
        <v>10.9346</v>
      </c>
      <c r="O814" s="308">
        <v>10.776400000000001</v>
      </c>
      <c r="P814" s="308">
        <v>9.6624999999999996</v>
      </c>
      <c r="Q814" s="308">
        <v>9.8841999999999999</v>
      </c>
      <c r="R814" s="308">
        <v>9.2019000000000002</v>
      </c>
      <c r="S814" s="308">
        <v>9.9786000000000001</v>
      </c>
      <c r="T814" s="308">
        <v>9.5073000000000008</v>
      </c>
      <c r="U814" s="308">
        <v>10.3109</v>
      </c>
      <c r="V814" s="308">
        <v>11.266400000000001</v>
      </c>
      <c r="W814" s="308">
        <v>8.2258999999999993</v>
      </c>
      <c r="X814" s="308">
        <v>9.7591999999999999</v>
      </c>
      <c r="Y814" s="308">
        <v>10.095800000000001</v>
      </c>
      <c r="Z814" s="308">
        <v>10.071999999999999</v>
      </c>
      <c r="AA814" s="308">
        <v>8.3648000000000007</v>
      </c>
      <c r="AB814" s="308">
        <v>9.2462999999999997</v>
      </c>
      <c r="AC814" s="308">
        <v>11.1297</v>
      </c>
      <c r="AD814" s="308">
        <v>9.5525000000000002</v>
      </c>
      <c r="AE814" s="308">
        <v>11.0061</v>
      </c>
      <c r="AF814" s="308">
        <v>7.1797000000000004</v>
      </c>
      <c r="AG814" s="308">
        <v>8.8810000000000002</v>
      </c>
      <c r="AH814" s="308">
        <v>7.9702000000000002</v>
      </c>
      <c r="AI814" s="308">
        <v>10.395899999999999</v>
      </c>
      <c r="AJ814" s="308">
        <v>10.454800000000001</v>
      </c>
      <c r="AK814" s="308">
        <v>8.1683000000000003</v>
      </c>
      <c r="AL814" s="308">
        <v>9.1214999999999993</v>
      </c>
      <c r="AM814" s="308">
        <v>10.2189</v>
      </c>
      <c r="AN814" s="308">
        <v>11.418900000000001</v>
      </c>
      <c r="AO814" s="308">
        <v>7.9497999999999998</v>
      </c>
      <c r="AP814" s="308">
        <v>8.8866999999999994</v>
      </c>
      <c r="AQ814" s="308">
        <v>8.4253</v>
      </c>
      <c r="AR814" s="308">
        <v>10.9124</v>
      </c>
      <c r="AS814" s="308">
        <v>8.0460999999999991</v>
      </c>
      <c r="AT814" s="308">
        <v>8.8103999999999996</v>
      </c>
      <c r="AU814" s="308">
        <v>11.4223</v>
      </c>
      <c r="AV814" s="308">
        <v>11.8856</v>
      </c>
      <c r="AW814" s="308">
        <v>10.5921</v>
      </c>
      <c r="AX814" s="308">
        <v>9.3025000000000002</v>
      </c>
      <c r="AY814" s="308">
        <v>8.5949000000000009</v>
      </c>
      <c r="AZ814" s="308">
        <v>9.4045000000000005</v>
      </c>
      <c r="BA814" s="308">
        <v>8.9404000000000003</v>
      </c>
      <c r="BB814" s="308">
        <v>10.1692</v>
      </c>
      <c r="BC814" s="308">
        <v>8.7960999999999991</v>
      </c>
      <c r="BD814" s="308">
        <v>9.7824000000000009</v>
      </c>
      <c r="BE814" s="308">
        <v>9.9577000000000009</v>
      </c>
      <c r="BF814" s="308">
        <v>9.4301999999999992</v>
      </c>
      <c r="BG814" s="308">
        <v>11.3161</v>
      </c>
      <c r="BH814" s="308">
        <v>10.27</v>
      </c>
      <c r="BI814" s="308">
        <v>11.440899999999999</v>
      </c>
      <c r="BJ814" s="308">
        <v>9.8919999999999995</v>
      </c>
      <c r="BK814" s="308">
        <v>8.593</v>
      </c>
    </row>
    <row r="815" spans="1:63" x14ac:dyDescent="0.25">
      <c r="A815" s="306">
        <v>812900</v>
      </c>
      <c r="B815" s="308" t="s">
        <v>356</v>
      </c>
      <c r="C815" s="308">
        <v>8.9286999999999992</v>
      </c>
      <c r="D815" s="308">
        <v>5.2122000000000002</v>
      </c>
      <c r="E815" s="308">
        <v>7.4892000000000003</v>
      </c>
      <c r="F815" s="308">
        <v>6.6929999999999996</v>
      </c>
      <c r="G815" s="308">
        <v>7.452</v>
      </c>
      <c r="H815" s="308">
        <v>7.0937000000000001</v>
      </c>
      <c r="I815" s="308">
        <v>7.7073999999999998</v>
      </c>
      <c r="J815" s="308">
        <v>6.0709</v>
      </c>
      <c r="K815" s="308">
        <v>1.9785999999999999</v>
      </c>
      <c r="L815" s="308">
        <v>6.1509999999999998</v>
      </c>
      <c r="M815" s="308">
        <v>9.19</v>
      </c>
      <c r="N815" s="308">
        <v>8.7324999999999999</v>
      </c>
      <c r="O815" s="308">
        <v>7.9314</v>
      </c>
      <c r="P815" s="308">
        <v>6.8773999999999997</v>
      </c>
      <c r="Q815" s="308">
        <v>6.4874000000000001</v>
      </c>
      <c r="R815" s="308">
        <v>7.4961000000000002</v>
      </c>
      <c r="S815" s="308">
        <v>8.0373000000000001</v>
      </c>
      <c r="T815" s="308">
        <v>6.4379999999999997</v>
      </c>
      <c r="U815" s="308">
        <v>7.8468999999999998</v>
      </c>
      <c r="V815" s="308">
        <v>7.9062999999999999</v>
      </c>
      <c r="W815" s="308">
        <v>6.6806000000000001</v>
      </c>
      <c r="X815" s="308">
        <v>7.3052999999999999</v>
      </c>
      <c r="Y815" s="308">
        <v>8.141</v>
      </c>
      <c r="Z815" s="308">
        <v>7.8753000000000002</v>
      </c>
      <c r="AA815" s="308">
        <v>7.7134</v>
      </c>
      <c r="AB815" s="308">
        <v>6.9827000000000004</v>
      </c>
      <c r="AC815" s="308">
        <v>7.5766</v>
      </c>
      <c r="AD815" s="308">
        <v>7.6304999999999996</v>
      </c>
      <c r="AE815" s="308">
        <v>8.2555999999999994</v>
      </c>
      <c r="AF815" s="308">
        <v>5.9359999999999999</v>
      </c>
      <c r="AG815" s="308">
        <v>6.8592000000000004</v>
      </c>
      <c r="AH815" s="308">
        <v>7.2473999999999998</v>
      </c>
      <c r="AI815" s="308">
        <v>7.9063999999999997</v>
      </c>
      <c r="AJ815" s="308">
        <v>7.5076999999999998</v>
      </c>
      <c r="AK815" s="308">
        <v>6.5342000000000002</v>
      </c>
      <c r="AL815" s="308">
        <v>5.6727999999999996</v>
      </c>
      <c r="AM815" s="308">
        <v>8.6247000000000007</v>
      </c>
      <c r="AN815" s="308">
        <v>7.7587999999999999</v>
      </c>
      <c r="AO815" s="308">
        <v>7.4301000000000004</v>
      </c>
      <c r="AP815" s="308">
        <v>7.1158999999999999</v>
      </c>
      <c r="AQ815" s="308">
        <v>7.2363999999999997</v>
      </c>
      <c r="AR815" s="308">
        <v>8.5824999999999996</v>
      </c>
      <c r="AS815" s="308">
        <v>5.8815999999999997</v>
      </c>
      <c r="AT815" s="308">
        <v>7.4085999999999999</v>
      </c>
      <c r="AU815" s="308">
        <v>8.0676000000000005</v>
      </c>
      <c r="AV815" s="308">
        <v>9.6712000000000007</v>
      </c>
      <c r="AW815" s="308">
        <v>7.9154999999999998</v>
      </c>
      <c r="AX815" s="308">
        <v>7.6463000000000001</v>
      </c>
      <c r="AY815" s="308">
        <v>6.6788999999999996</v>
      </c>
      <c r="AZ815" s="308">
        <v>8.2826000000000004</v>
      </c>
      <c r="BA815" s="308">
        <v>6.9837999999999996</v>
      </c>
      <c r="BB815" s="308">
        <v>6.3491999999999997</v>
      </c>
      <c r="BC815" s="308">
        <v>7.1726999999999999</v>
      </c>
      <c r="BD815" s="308">
        <v>7.2590000000000003</v>
      </c>
      <c r="BE815" s="308">
        <v>8.2156000000000002</v>
      </c>
      <c r="BF815" s="308">
        <v>7.2836999999999996</v>
      </c>
      <c r="BG815" s="308">
        <v>9.0982000000000003</v>
      </c>
      <c r="BH815" s="308">
        <v>7.7271999999999998</v>
      </c>
      <c r="BI815" s="308">
        <v>8.2530000000000001</v>
      </c>
      <c r="BJ815" s="308">
        <v>8.0957000000000008</v>
      </c>
      <c r="BK815" s="308">
        <v>7.2746000000000004</v>
      </c>
    </row>
    <row r="816" spans="1:63" x14ac:dyDescent="0.25">
      <c r="A816" s="306">
        <v>813100</v>
      </c>
      <c r="B816" s="308" t="s">
        <v>357</v>
      </c>
      <c r="C816" s="308">
        <v>21.103200000000001</v>
      </c>
      <c r="D816" s="308">
        <v>15.506600000000001</v>
      </c>
      <c r="E816" s="308">
        <v>21.953499999999998</v>
      </c>
      <c r="F816" s="308">
        <v>20.867699999999999</v>
      </c>
      <c r="G816" s="308">
        <v>18.8565</v>
      </c>
      <c r="H816" s="308">
        <v>17.226800000000001</v>
      </c>
      <c r="I816" s="308">
        <v>17.928999999999998</v>
      </c>
      <c r="J816" s="308">
        <v>15.962400000000001</v>
      </c>
      <c r="K816" s="308">
        <v>3.8325</v>
      </c>
      <c r="L816" s="308">
        <v>15.513999999999999</v>
      </c>
      <c r="M816" s="308">
        <v>18.409500000000001</v>
      </c>
      <c r="N816" s="308">
        <v>19.4786</v>
      </c>
      <c r="O816" s="308">
        <v>15.362</v>
      </c>
      <c r="P816" s="308">
        <v>21.002099999999999</v>
      </c>
      <c r="Q816" s="308">
        <v>19.254799999999999</v>
      </c>
      <c r="R816" s="308">
        <v>17.812899999999999</v>
      </c>
      <c r="S816" s="308">
        <v>18.5623</v>
      </c>
      <c r="T816" s="308">
        <v>19.234100000000002</v>
      </c>
      <c r="U816" s="308">
        <v>20.7759</v>
      </c>
      <c r="V816" s="308">
        <v>19.671800000000001</v>
      </c>
      <c r="W816" s="308">
        <v>15.677099999999999</v>
      </c>
      <c r="X816" s="308">
        <v>15.442500000000001</v>
      </c>
      <c r="Y816" s="308">
        <v>21.032800000000002</v>
      </c>
      <c r="Z816" s="308">
        <v>17.974499999999999</v>
      </c>
      <c r="AA816" s="308">
        <v>19.705100000000002</v>
      </c>
      <c r="AB816" s="308">
        <v>18.494700000000002</v>
      </c>
      <c r="AC816" s="308">
        <v>21.4086</v>
      </c>
      <c r="AD816" s="308">
        <v>22.173999999999999</v>
      </c>
      <c r="AE816" s="308">
        <v>20.007400000000001</v>
      </c>
      <c r="AF816" s="308">
        <v>19.990200000000002</v>
      </c>
      <c r="AG816" s="308">
        <v>20.004899999999999</v>
      </c>
      <c r="AH816" s="308">
        <v>18.9773</v>
      </c>
      <c r="AI816" s="308">
        <v>16.305099999999999</v>
      </c>
      <c r="AJ816" s="308">
        <v>19.489599999999999</v>
      </c>
      <c r="AK816" s="308">
        <v>15.945399999999999</v>
      </c>
      <c r="AL816" s="308">
        <v>14.6938</v>
      </c>
      <c r="AM816" s="308">
        <v>19.4801</v>
      </c>
      <c r="AN816" s="308">
        <v>22.625800000000002</v>
      </c>
      <c r="AO816" s="308">
        <v>18.744700000000002</v>
      </c>
      <c r="AP816" s="308">
        <v>19.195499999999999</v>
      </c>
      <c r="AQ816" s="308">
        <v>16.984100000000002</v>
      </c>
      <c r="AR816" s="308">
        <v>21.4725</v>
      </c>
      <c r="AS816" s="308">
        <v>21.0548</v>
      </c>
      <c r="AT816" s="308">
        <v>19.721599999999999</v>
      </c>
      <c r="AU816" s="308">
        <v>20.9193</v>
      </c>
      <c r="AV816" s="308">
        <v>18.5534</v>
      </c>
      <c r="AW816" s="308">
        <v>16.317299999999999</v>
      </c>
      <c r="AX816" s="308">
        <v>21.639299999999999</v>
      </c>
      <c r="AY816" s="308">
        <v>17.418399999999998</v>
      </c>
      <c r="AZ816" s="308">
        <v>19.108000000000001</v>
      </c>
      <c r="BA816" s="308">
        <v>19.9239</v>
      </c>
      <c r="BB816" s="308">
        <v>21.186699999999998</v>
      </c>
      <c r="BC816" s="308">
        <v>17.494800000000001</v>
      </c>
      <c r="BD816" s="308">
        <v>17.843699999999998</v>
      </c>
      <c r="BE816" s="308">
        <v>19.0989</v>
      </c>
      <c r="BF816" s="308">
        <v>20.1448</v>
      </c>
      <c r="BG816" s="308">
        <v>19.321200000000001</v>
      </c>
      <c r="BH816" s="308">
        <v>21.145499999999998</v>
      </c>
      <c r="BI816" s="308">
        <v>21.421600000000002</v>
      </c>
      <c r="BJ816" s="308">
        <v>18.396999999999998</v>
      </c>
      <c r="BK816" s="308">
        <v>17.5562</v>
      </c>
    </row>
    <row r="817" spans="1:63" x14ac:dyDescent="0.25">
      <c r="A817" s="306" t="s">
        <v>788</v>
      </c>
      <c r="B817" s="308" t="s">
        <v>358</v>
      </c>
      <c r="C817" s="308">
        <v>16.004300000000001</v>
      </c>
      <c r="D817" s="308">
        <v>12.551399999999999</v>
      </c>
      <c r="E817" s="308">
        <v>16.240400000000001</v>
      </c>
      <c r="F817" s="308">
        <v>15.8477</v>
      </c>
      <c r="G817" s="308">
        <v>13.8871</v>
      </c>
      <c r="H817" s="308">
        <v>13.783799999999999</v>
      </c>
      <c r="I817" s="308">
        <v>13.637600000000001</v>
      </c>
      <c r="J817" s="308">
        <v>11.185600000000001</v>
      </c>
      <c r="K817" s="308">
        <v>3.0516999999999999</v>
      </c>
      <c r="L817" s="308">
        <v>13.585100000000001</v>
      </c>
      <c r="M817" s="308">
        <v>15.595599999999999</v>
      </c>
      <c r="N817" s="308">
        <v>15.462199999999999</v>
      </c>
      <c r="O817" s="308">
        <v>11.737</v>
      </c>
      <c r="P817" s="308">
        <v>15.485099999999999</v>
      </c>
      <c r="Q817" s="308">
        <v>15.351800000000001</v>
      </c>
      <c r="R817" s="308">
        <v>14.5563</v>
      </c>
      <c r="S817" s="308">
        <v>14.019399999999999</v>
      </c>
      <c r="T817" s="308">
        <v>15.492100000000001</v>
      </c>
      <c r="U817" s="308">
        <v>15.505699999999999</v>
      </c>
      <c r="V817" s="308">
        <v>14.825200000000001</v>
      </c>
      <c r="W817" s="308">
        <v>12.4513</v>
      </c>
      <c r="X817" s="308">
        <v>12.679</v>
      </c>
      <c r="Y817" s="308">
        <v>15.2439</v>
      </c>
      <c r="Z817" s="308">
        <v>14.9765</v>
      </c>
      <c r="AA817" s="308">
        <v>15.2463</v>
      </c>
      <c r="AB817" s="308">
        <v>13.7508</v>
      </c>
      <c r="AC817" s="308">
        <v>14.2751</v>
      </c>
      <c r="AD817" s="308">
        <v>16.340800000000002</v>
      </c>
      <c r="AE817" s="308">
        <v>15.7729</v>
      </c>
      <c r="AF817" s="308">
        <v>13.993600000000001</v>
      </c>
      <c r="AG817" s="308">
        <v>13.723800000000001</v>
      </c>
      <c r="AH817" s="308">
        <v>16.700900000000001</v>
      </c>
      <c r="AI817" s="308">
        <v>13.6966</v>
      </c>
      <c r="AJ817" s="308">
        <v>15.056100000000001</v>
      </c>
      <c r="AK817" s="308">
        <v>13.5959</v>
      </c>
      <c r="AL817" s="308">
        <v>10.5572</v>
      </c>
      <c r="AM817" s="308">
        <v>15.104200000000001</v>
      </c>
      <c r="AN817" s="308">
        <v>16.9283</v>
      </c>
      <c r="AO817" s="308">
        <v>14.137600000000001</v>
      </c>
      <c r="AP817" s="308">
        <v>13.229200000000001</v>
      </c>
      <c r="AQ817" s="308">
        <v>13.958</v>
      </c>
      <c r="AR817" s="308">
        <v>16.5566</v>
      </c>
      <c r="AS817" s="308">
        <v>12.2433</v>
      </c>
      <c r="AT817" s="308">
        <v>14.7349</v>
      </c>
      <c r="AU817" s="308">
        <v>15.278499999999999</v>
      </c>
      <c r="AV817" s="308">
        <v>16.114599999999999</v>
      </c>
      <c r="AW817" s="308">
        <v>11.353300000000001</v>
      </c>
      <c r="AX817" s="308">
        <v>13.8309</v>
      </c>
      <c r="AY817" s="308">
        <v>12.2027</v>
      </c>
      <c r="AZ817" s="308">
        <v>15.606299999999999</v>
      </c>
      <c r="BA817" s="308">
        <v>14.964</v>
      </c>
      <c r="BB817" s="308">
        <v>12.1744</v>
      </c>
      <c r="BC817" s="308">
        <v>13.720700000000001</v>
      </c>
      <c r="BD817" s="308">
        <v>12.877800000000001</v>
      </c>
      <c r="BE817" s="308">
        <v>15.396100000000001</v>
      </c>
      <c r="BF817" s="308">
        <v>15.2836</v>
      </c>
      <c r="BG817" s="308">
        <v>14.8009</v>
      </c>
      <c r="BH817" s="308">
        <v>15.5456</v>
      </c>
      <c r="BI817" s="308">
        <v>16.196999999999999</v>
      </c>
      <c r="BJ817" s="308">
        <v>14.989800000000001</v>
      </c>
      <c r="BK817" s="308">
        <v>13.8095</v>
      </c>
    </row>
    <row r="818" spans="1:63" x14ac:dyDescent="0.25">
      <c r="A818" s="306" t="s">
        <v>789</v>
      </c>
      <c r="B818" s="308" t="s">
        <v>359</v>
      </c>
      <c r="C818" s="308">
        <v>17.809799999999999</v>
      </c>
      <c r="D818" s="308">
        <v>13.106400000000001</v>
      </c>
      <c r="E818" s="308">
        <v>17.4527</v>
      </c>
      <c r="F818" s="308">
        <v>17.1602</v>
      </c>
      <c r="G818" s="308">
        <v>17.906400000000001</v>
      </c>
      <c r="H818" s="308">
        <v>14.4993</v>
      </c>
      <c r="I818" s="308">
        <v>13.7112</v>
      </c>
      <c r="J818" s="308">
        <v>15.512700000000001</v>
      </c>
      <c r="K818" s="308">
        <v>2.9125999999999999</v>
      </c>
      <c r="L818" s="308">
        <v>17.7179</v>
      </c>
      <c r="M818" s="308">
        <v>16.2195</v>
      </c>
      <c r="N818" s="308">
        <v>17.104099999999999</v>
      </c>
      <c r="O818" s="308">
        <v>15.6927</v>
      </c>
      <c r="P818" s="308">
        <v>18.7881</v>
      </c>
      <c r="Q818" s="308">
        <v>19.253599999999999</v>
      </c>
      <c r="R818" s="308">
        <v>12.7326</v>
      </c>
      <c r="S818" s="308">
        <v>19.455400000000001</v>
      </c>
      <c r="T818" s="308">
        <v>15.3414</v>
      </c>
      <c r="U818" s="308">
        <v>17.5487</v>
      </c>
      <c r="V818" s="308">
        <v>15.9161</v>
      </c>
      <c r="W818" s="308">
        <v>15.8028</v>
      </c>
      <c r="X818" s="308">
        <v>12.2827</v>
      </c>
      <c r="Y818" s="308">
        <v>20.6541</v>
      </c>
      <c r="Z818" s="308">
        <v>16.667899999999999</v>
      </c>
      <c r="AA818" s="308">
        <v>20.434899999999999</v>
      </c>
      <c r="AB818" s="308">
        <v>17.1631</v>
      </c>
      <c r="AC818" s="308">
        <v>16.689800000000002</v>
      </c>
      <c r="AD818" s="308">
        <v>18.934200000000001</v>
      </c>
      <c r="AE818" s="308">
        <v>20.176200000000001</v>
      </c>
      <c r="AF818" s="308">
        <v>21.414899999999999</v>
      </c>
      <c r="AG818" s="308">
        <v>19.341999999999999</v>
      </c>
      <c r="AH818" s="308">
        <v>16.364799999999999</v>
      </c>
      <c r="AI818" s="308">
        <v>13.434799999999999</v>
      </c>
      <c r="AJ818" s="308">
        <v>17.164300000000001</v>
      </c>
      <c r="AK818" s="308">
        <v>12.669</v>
      </c>
      <c r="AL818" s="308">
        <v>11.2698</v>
      </c>
      <c r="AM818" s="308">
        <v>21.311199999999999</v>
      </c>
      <c r="AN818" s="308">
        <v>17.5093</v>
      </c>
      <c r="AO818" s="308">
        <v>16.274100000000001</v>
      </c>
      <c r="AP818" s="308">
        <v>19.069199999999999</v>
      </c>
      <c r="AQ818" s="308">
        <v>16.852399999999999</v>
      </c>
      <c r="AR818" s="308">
        <v>16.811900000000001</v>
      </c>
      <c r="AS818" s="308">
        <v>20.378499999999999</v>
      </c>
      <c r="AT818" s="308">
        <v>18.7075</v>
      </c>
      <c r="AU818" s="308">
        <v>17.026</v>
      </c>
      <c r="AV818" s="308">
        <v>17.5321</v>
      </c>
      <c r="AW818" s="308">
        <v>10.886699999999999</v>
      </c>
      <c r="AX818" s="308">
        <v>17.6739</v>
      </c>
      <c r="AY818" s="308">
        <v>15.8758</v>
      </c>
      <c r="AZ818" s="308">
        <v>21.4377</v>
      </c>
      <c r="BA818" s="308">
        <v>20.241</v>
      </c>
      <c r="BB818" s="308">
        <v>19.364999999999998</v>
      </c>
      <c r="BC818" s="308">
        <v>17.186199999999999</v>
      </c>
      <c r="BD818" s="308">
        <v>15.0852</v>
      </c>
      <c r="BE818" s="308">
        <v>16.770700000000001</v>
      </c>
      <c r="BF818" s="308">
        <v>19.199300000000001</v>
      </c>
      <c r="BG818" s="308">
        <v>15.315</v>
      </c>
      <c r="BH818" s="308">
        <v>18.497399999999999</v>
      </c>
      <c r="BI818" s="308">
        <v>17.352</v>
      </c>
      <c r="BJ818" s="308">
        <v>16.279800000000002</v>
      </c>
      <c r="BK818" s="308">
        <v>15.224</v>
      </c>
    </row>
    <row r="819" spans="1:63" x14ac:dyDescent="0.25">
      <c r="A819" s="306" t="s">
        <v>790</v>
      </c>
      <c r="B819" s="308" t="s">
        <v>791</v>
      </c>
      <c r="C819" s="308">
        <v>0</v>
      </c>
      <c r="D819" s="308">
        <v>0</v>
      </c>
      <c r="E819" s="308">
        <v>0</v>
      </c>
      <c r="F819" s="308">
        <v>0</v>
      </c>
      <c r="G819" s="308">
        <v>0</v>
      </c>
      <c r="H819" s="308">
        <v>0</v>
      </c>
      <c r="I819" s="308">
        <v>0</v>
      </c>
      <c r="J819" s="308">
        <v>0</v>
      </c>
      <c r="K819" s="308">
        <v>0</v>
      </c>
      <c r="L819" s="308">
        <v>0</v>
      </c>
      <c r="M819" s="308">
        <v>0</v>
      </c>
      <c r="N819" s="308">
        <v>0</v>
      </c>
      <c r="O819" s="308">
        <v>0</v>
      </c>
      <c r="P819" s="308">
        <v>0</v>
      </c>
      <c r="Q819" s="308">
        <v>0</v>
      </c>
      <c r="R819" s="308">
        <v>0</v>
      </c>
      <c r="S819" s="308">
        <v>0</v>
      </c>
      <c r="T819" s="308">
        <v>0</v>
      </c>
      <c r="U819" s="308">
        <v>0</v>
      </c>
      <c r="V819" s="308">
        <v>0</v>
      </c>
      <c r="W819" s="308">
        <v>0</v>
      </c>
      <c r="X819" s="308">
        <v>0</v>
      </c>
      <c r="Y819" s="308">
        <v>0</v>
      </c>
      <c r="Z819" s="308">
        <v>0</v>
      </c>
      <c r="AA819" s="308">
        <v>0</v>
      </c>
      <c r="AB819" s="308">
        <v>0</v>
      </c>
      <c r="AC819" s="308">
        <v>0</v>
      </c>
      <c r="AD819" s="308">
        <v>0</v>
      </c>
      <c r="AE819" s="308">
        <v>0</v>
      </c>
      <c r="AF819" s="308">
        <v>0</v>
      </c>
      <c r="AG819" s="308">
        <v>0</v>
      </c>
      <c r="AH819" s="308">
        <v>0</v>
      </c>
      <c r="AI819" s="308">
        <v>0</v>
      </c>
      <c r="AJ819" s="308">
        <v>0</v>
      </c>
      <c r="AK819" s="308">
        <v>0</v>
      </c>
      <c r="AL819" s="308">
        <v>0</v>
      </c>
      <c r="AM819" s="308">
        <v>0</v>
      </c>
      <c r="AN819" s="308">
        <v>0</v>
      </c>
      <c r="AO819" s="308">
        <v>0</v>
      </c>
      <c r="AP819" s="308">
        <v>0</v>
      </c>
      <c r="AQ819" s="308">
        <v>0</v>
      </c>
      <c r="AR819" s="308">
        <v>0</v>
      </c>
      <c r="AS819" s="308">
        <v>0</v>
      </c>
      <c r="AT819" s="308">
        <v>0</v>
      </c>
      <c r="AU819" s="308">
        <v>0</v>
      </c>
      <c r="AV819" s="308">
        <v>0</v>
      </c>
      <c r="AW819" s="308">
        <v>0</v>
      </c>
      <c r="AX819" s="308">
        <v>0</v>
      </c>
      <c r="AY819" s="308">
        <v>0</v>
      </c>
      <c r="AZ819" s="308">
        <v>0</v>
      </c>
      <c r="BA819" s="308">
        <v>0</v>
      </c>
      <c r="BB819" s="308">
        <v>0</v>
      </c>
      <c r="BC819" s="308">
        <v>0</v>
      </c>
      <c r="BD819" s="308">
        <v>0</v>
      </c>
      <c r="BE819" s="308">
        <v>0</v>
      </c>
      <c r="BF819" s="308">
        <v>0</v>
      </c>
      <c r="BG819" s="308">
        <v>0</v>
      </c>
      <c r="BH819" s="308">
        <v>0</v>
      </c>
      <c r="BI819" s="308">
        <v>0</v>
      </c>
      <c r="BJ819" s="308">
        <v>0</v>
      </c>
      <c r="BK819" s="308">
        <v>0</v>
      </c>
    </row>
    <row r="820" spans="1:63" x14ac:dyDescent="0.25">
      <c r="A820" s="306" t="s">
        <v>792</v>
      </c>
      <c r="B820" s="308" t="s">
        <v>793</v>
      </c>
      <c r="C820" s="308">
        <v>3.2027999999999999</v>
      </c>
      <c r="D820" s="308">
        <v>1.5365</v>
      </c>
      <c r="E820" s="308">
        <v>2.6288</v>
      </c>
      <c r="F820" s="308">
        <v>1.9902</v>
      </c>
      <c r="G820" s="308">
        <v>2.5928</v>
      </c>
      <c r="H820" s="308">
        <v>2.2080000000000002</v>
      </c>
      <c r="I820" s="308">
        <v>2.7109999999999999</v>
      </c>
      <c r="J820" s="308">
        <v>1.9545999999999999</v>
      </c>
      <c r="K820" s="308">
        <v>0.36030000000000001</v>
      </c>
      <c r="L820" s="308">
        <v>2.1511</v>
      </c>
      <c r="M820" s="308">
        <v>2.9197000000000002</v>
      </c>
      <c r="N820" s="308">
        <v>2.8109000000000002</v>
      </c>
      <c r="O820" s="308">
        <v>2.0718000000000001</v>
      </c>
      <c r="P820" s="308">
        <v>2.1257999999999999</v>
      </c>
      <c r="Q820" s="308">
        <v>2.0941000000000001</v>
      </c>
      <c r="R820" s="308">
        <v>2.4441999999999999</v>
      </c>
      <c r="S820" s="308">
        <v>2.4394</v>
      </c>
      <c r="T820" s="308">
        <v>1.8185</v>
      </c>
      <c r="U820" s="308">
        <v>2.5865999999999998</v>
      </c>
      <c r="V820" s="308">
        <v>2.1294</v>
      </c>
      <c r="W820" s="308">
        <v>1.8446</v>
      </c>
      <c r="X820" s="308">
        <v>2.3288000000000002</v>
      </c>
      <c r="Y820" s="308">
        <v>2.7738</v>
      </c>
      <c r="Z820" s="308">
        <v>2.1675</v>
      </c>
      <c r="AA820" s="308">
        <v>2.3679000000000001</v>
      </c>
      <c r="AB820" s="308">
        <v>2.6608999999999998</v>
      </c>
      <c r="AC820" s="308">
        <v>2.3132999999999999</v>
      </c>
      <c r="AD820" s="308">
        <v>2.2387000000000001</v>
      </c>
      <c r="AE820" s="308">
        <v>2.57</v>
      </c>
      <c r="AF820" s="308">
        <v>1.6228</v>
      </c>
      <c r="AG820" s="308">
        <v>1.9862</v>
      </c>
      <c r="AH820" s="308">
        <v>2.2414999999999998</v>
      </c>
      <c r="AI820" s="308">
        <v>2.2738999999999998</v>
      </c>
      <c r="AJ820" s="308">
        <v>2.0943999999999998</v>
      </c>
      <c r="AK820" s="308">
        <v>2.2875999999999999</v>
      </c>
      <c r="AL820" s="308">
        <v>1.7057</v>
      </c>
      <c r="AM820" s="308">
        <v>2.6408999999999998</v>
      </c>
      <c r="AN820" s="308">
        <v>2.3788999999999998</v>
      </c>
      <c r="AO820" s="308">
        <v>2.5918000000000001</v>
      </c>
      <c r="AP820" s="308">
        <v>2.5103</v>
      </c>
      <c r="AQ820" s="308">
        <v>2.1896</v>
      </c>
      <c r="AR820" s="308">
        <v>3.1776</v>
      </c>
      <c r="AS820" s="308">
        <v>2.1122000000000001</v>
      </c>
      <c r="AT820" s="308">
        <v>2.6808000000000001</v>
      </c>
      <c r="AU820" s="308">
        <v>2.7761999999999998</v>
      </c>
      <c r="AV820" s="308">
        <v>3.5145</v>
      </c>
      <c r="AW820" s="308">
        <v>2.3792</v>
      </c>
      <c r="AX820" s="308">
        <v>2.2604000000000002</v>
      </c>
      <c r="AY820" s="308">
        <v>2.3184999999999998</v>
      </c>
      <c r="AZ820" s="308">
        <v>2.4836</v>
      </c>
      <c r="BA820" s="308">
        <v>1.9258999999999999</v>
      </c>
      <c r="BB820" s="308">
        <v>1.5773999999999999</v>
      </c>
      <c r="BC820" s="308">
        <v>2.2599999999999998</v>
      </c>
      <c r="BD820" s="308">
        <v>2.3611</v>
      </c>
      <c r="BE820" s="308">
        <v>2.6284000000000001</v>
      </c>
      <c r="BF820" s="308">
        <v>2.4870999999999999</v>
      </c>
      <c r="BG820" s="308">
        <v>2.9965999999999999</v>
      </c>
      <c r="BH820" s="308">
        <v>2.7667999999999999</v>
      </c>
      <c r="BI820" s="308">
        <v>2.8732000000000002</v>
      </c>
      <c r="BJ820" s="308">
        <v>2.8294000000000001</v>
      </c>
      <c r="BK820" s="308">
        <v>2.3687</v>
      </c>
    </row>
    <row r="821" spans="1:63" x14ac:dyDescent="0.25">
      <c r="A821" s="306" t="s">
        <v>794</v>
      </c>
      <c r="B821" s="308" t="s">
        <v>795</v>
      </c>
      <c r="C821" s="308">
        <v>11.000400000000001</v>
      </c>
      <c r="D821" s="308">
        <v>8.1295999999999999</v>
      </c>
      <c r="E821" s="308">
        <v>10.9224</v>
      </c>
      <c r="F821" s="308">
        <v>10.318899999999999</v>
      </c>
      <c r="G821" s="308">
        <v>9.3139000000000003</v>
      </c>
      <c r="H821" s="308">
        <v>8.1428999999999991</v>
      </c>
      <c r="I821" s="308">
        <v>9.8242999999999991</v>
      </c>
      <c r="J821" s="308">
        <v>6.9511000000000003</v>
      </c>
      <c r="K821" s="308">
        <v>1.2573000000000001</v>
      </c>
      <c r="L821" s="308">
        <v>7.5625999999999998</v>
      </c>
      <c r="M821" s="308">
        <v>10.4457</v>
      </c>
      <c r="N821" s="308">
        <v>11.2125</v>
      </c>
      <c r="O821" s="308">
        <v>9.3118999999999996</v>
      </c>
      <c r="P821" s="308">
        <v>7.7554999999999996</v>
      </c>
      <c r="Q821" s="308">
        <v>10.784599999999999</v>
      </c>
      <c r="R821" s="308">
        <v>8.1942000000000004</v>
      </c>
      <c r="S821" s="308">
        <v>9.5062999999999995</v>
      </c>
      <c r="T821" s="308">
        <v>9.4953000000000003</v>
      </c>
      <c r="U821" s="308">
        <v>9.9154999999999998</v>
      </c>
      <c r="V821" s="308">
        <v>10.6869</v>
      </c>
      <c r="W821" s="308">
        <v>7.1879</v>
      </c>
      <c r="X821" s="308">
        <v>9.8017000000000003</v>
      </c>
      <c r="Y821" s="308">
        <v>10.137700000000001</v>
      </c>
      <c r="Z821" s="308">
        <v>9.3565000000000005</v>
      </c>
      <c r="AA821" s="308">
        <v>8.2828999999999997</v>
      </c>
      <c r="AB821" s="308">
        <v>9.1552000000000007</v>
      </c>
      <c r="AC821" s="308">
        <v>10.5936</v>
      </c>
      <c r="AD821" s="308">
        <v>11.212999999999999</v>
      </c>
      <c r="AE821" s="308">
        <v>11.3796</v>
      </c>
      <c r="AF821" s="308">
        <v>9.3512000000000004</v>
      </c>
      <c r="AG821" s="308">
        <v>8.0039999999999996</v>
      </c>
      <c r="AH821" s="308">
        <v>10.4213</v>
      </c>
      <c r="AI821" s="308">
        <v>7.6871</v>
      </c>
      <c r="AJ821" s="308">
        <v>10.733599999999999</v>
      </c>
      <c r="AK821" s="308">
        <v>8.0510999999999999</v>
      </c>
      <c r="AL821" s="308">
        <v>7.3105000000000002</v>
      </c>
      <c r="AM821" s="308">
        <v>9.1919000000000004</v>
      </c>
      <c r="AN821" s="308">
        <v>11.9077</v>
      </c>
      <c r="AO821" s="308">
        <v>8.9268000000000001</v>
      </c>
      <c r="AP821" s="308">
        <v>9.5436999999999994</v>
      </c>
      <c r="AQ821" s="308">
        <v>8.3911999999999995</v>
      </c>
      <c r="AR821" s="308">
        <v>10.7935</v>
      </c>
      <c r="AS821" s="308">
        <v>9.6767000000000003</v>
      </c>
      <c r="AT821" s="308">
        <v>10.143800000000001</v>
      </c>
      <c r="AU821" s="308">
        <v>10.5223</v>
      </c>
      <c r="AV821" s="308">
        <v>11.551</v>
      </c>
      <c r="AW821" s="308">
        <v>9.077</v>
      </c>
      <c r="AX821" s="308">
        <v>8.4174000000000007</v>
      </c>
      <c r="AY821" s="308">
        <v>8.7902000000000005</v>
      </c>
      <c r="AZ821" s="308">
        <v>9.6790000000000003</v>
      </c>
      <c r="BA821" s="308">
        <v>10.5396</v>
      </c>
      <c r="BB821" s="308">
        <v>9.9442000000000004</v>
      </c>
      <c r="BC821" s="308">
        <v>8.4765999999999995</v>
      </c>
      <c r="BD821" s="308">
        <v>8.6762999999999995</v>
      </c>
      <c r="BE821" s="308">
        <v>9.3131000000000004</v>
      </c>
      <c r="BF821" s="308">
        <v>9.3061000000000007</v>
      </c>
      <c r="BG821" s="308">
        <v>11.0313</v>
      </c>
      <c r="BH821" s="308">
        <v>10.9323</v>
      </c>
      <c r="BI821" s="308">
        <v>11.158099999999999</v>
      </c>
      <c r="BJ821" s="308">
        <v>10.396100000000001</v>
      </c>
      <c r="BK821" s="308">
        <v>8.6378000000000004</v>
      </c>
    </row>
    <row r="823" spans="1:63" s="135" customFormat="1" x14ac:dyDescent="0.25">
      <c r="A823" s="136"/>
    </row>
    <row r="825" spans="1:63" x14ac:dyDescent="0.25">
      <c r="B825" s="2" t="s">
        <v>859</v>
      </c>
    </row>
    <row r="826" spans="1:63" x14ac:dyDescent="0.25">
      <c r="A826" s="306" t="s">
        <v>617</v>
      </c>
      <c r="B826" s="309" t="s">
        <v>618</v>
      </c>
      <c r="C826" s="309" t="s">
        <v>860</v>
      </c>
      <c r="D826" s="309" t="s">
        <v>861</v>
      </c>
      <c r="E826" s="309" t="s">
        <v>862</v>
      </c>
      <c r="F826" s="309" t="s">
        <v>863</v>
      </c>
      <c r="G826" s="309" t="s">
        <v>864</v>
      </c>
      <c r="H826" s="309" t="s">
        <v>865</v>
      </c>
      <c r="I826" s="309" t="s">
        <v>866</v>
      </c>
      <c r="J826" s="309" t="s">
        <v>867</v>
      </c>
      <c r="K826" s="309" t="s">
        <v>868</v>
      </c>
      <c r="L826" s="309" t="s">
        <v>869</v>
      </c>
      <c r="M826" s="309" t="s">
        <v>870</v>
      </c>
      <c r="N826" s="309" t="s">
        <v>871</v>
      </c>
      <c r="O826" s="309" t="s">
        <v>872</v>
      </c>
      <c r="P826" s="309" t="s">
        <v>873</v>
      </c>
      <c r="Q826" s="309" t="s">
        <v>874</v>
      </c>
      <c r="R826" s="309" t="s">
        <v>875</v>
      </c>
      <c r="S826" s="309" t="s">
        <v>876</v>
      </c>
      <c r="T826" s="309" t="s">
        <v>877</v>
      </c>
      <c r="U826" s="309" t="s">
        <v>878</v>
      </c>
      <c r="V826" s="309" t="s">
        <v>879</v>
      </c>
      <c r="W826" s="309" t="s">
        <v>880</v>
      </c>
      <c r="X826" s="309" t="s">
        <v>881</v>
      </c>
      <c r="Y826" s="309" t="s">
        <v>882</v>
      </c>
      <c r="Z826" s="309" t="s">
        <v>883</v>
      </c>
      <c r="AA826" s="309" t="s">
        <v>884</v>
      </c>
      <c r="AB826" s="309" t="s">
        <v>885</v>
      </c>
      <c r="AC826" s="309" t="s">
        <v>886</v>
      </c>
      <c r="AD826" s="309" t="s">
        <v>887</v>
      </c>
      <c r="AE826" s="309" t="s">
        <v>888</v>
      </c>
      <c r="AF826" s="309" t="s">
        <v>889</v>
      </c>
      <c r="AG826" s="309" t="s">
        <v>890</v>
      </c>
      <c r="AH826" s="309" t="s">
        <v>891</v>
      </c>
      <c r="AI826" s="309" t="s">
        <v>892</v>
      </c>
      <c r="AJ826" s="309" t="s">
        <v>893</v>
      </c>
      <c r="AK826" s="309" t="s">
        <v>894</v>
      </c>
      <c r="AL826" s="309" t="s">
        <v>895</v>
      </c>
      <c r="AM826" s="309" t="s">
        <v>896</v>
      </c>
      <c r="AN826" s="309" t="s">
        <v>897</v>
      </c>
      <c r="AO826" s="309" t="s">
        <v>898</v>
      </c>
      <c r="AP826" s="309" t="s">
        <v>899</v>
      </c>
      <c r="AQ826" s="309" t="s">
        <v>900</v>
      </c>
      <c r="AR826" s="309" t="s">
        <v>901</v>
      </c>
      <c r="AS826" s="309" t="s">
        <v>902</v>
      </c>
      <c r="AT826" s="309" t="s">
        <v>903</v>
      </c>
      <c r="AU826" s="309" t="s">
        <v>904</v>
      </c>
      <c r="AV826" s="309" t="s">
        <v>905</v>
      </c>
      <c r="AW826" s="309" t="s">
        <v>906</v>
      </c>
      <c r="AX826" s="309" t="s">
        <v>907</v>
      </c>
      <c r="AY826" s="309" t="s">
        <v>908</v>
      </c>
      <c r="AZ826" s="309" t="s">
        <v>909</v>
      </c>
      <c r="BA826" s="309" t="s">
        <v>910</v>
      </c>
      <c r="BB826" s="309" t="s">
        <v>911</v>
      </c>
      <c r="BC826" s="309" t="s">
        <v>912</v>
      </c>
      <c r="BD826" s="309" t="s">
        <v>913</v>
      </c>
      <c r="BE826" s="309" t="s">
        <v>914</v>
      </c>
      <c r="BF826" s="309" t="s">
        <v>915</v>
      </c>
      <c r="BG826" s="309" t="s">
        <v>916</v>
      </c>
      <c r="BH826" s="309" t="s">
        <v>917</v>
      </c>
      <c r="BI826" s="309" t="s">
        <v>918</v>
      </c>
      <c r="BJ826" s="309" t="s">
        <v>919</v>
      </c>
      <c r="BK826" s="309" t="s">
        <v>920</v>
      </c>
    </row>
    <row r="827" spans="1:63" x14ac:dyDescent="0.25">
      <c r="A827" s="306" t="s">
        <v>680</v>
      </c>
      <c r="B827" s="309" t="s">
        <v>681</v>
      </c>
      <c r="C827" s="309">
        <v>16.191800000000001</v>
      </c>
      <c r="D827" s="309">
        <v>7.7504999999999997</v>
      </c>
      <c r="E827" s="309">
        <v>15.0465</v>
      </c>
      <c r="F827" s="309">
        <v>11.4908</v>
      </c>
      <c r="G827" s="309">
        <v>13.2203</v>
      </c>
      <c r="H827" s="309">
        <v>10.311299999999999</v>
      </c>
      <c r="I827" s="309">
        <v>13.214399999999999</v>
      </c>
      <c r="J827" s="309">
        <v>8.5427</v>
      </c>
      <c r="K827" s="309">
        <v>0</v>
      </c>
      <c r="L827" s="309">
        <v>7.3059000000000003</v>
      </c>
      <c r="M827" s="309">
        <v>14.152100000000001</v>
      </c>
      <c r="N827" s="309">
        <v>11.3864</v>
      </c>
      <c r="O827" s="309">
        <v>11.9544</v>
      </c>
      <c r="P827" s="309">
        <v>8.8971</v>
      </c>
      <c r="Q827" s="309">
        <v>9.7775999999999996</v>
      </c>
      <c r="R827" s="309">
        <v>9.4987999999999992</v>
      </c>
      <c r="S827" s="309">
        <v>9.8463999999999992</v>
      </c>
      <c r="T827" s="309">
        <v>9.0326000000000004</v>
      </c>
      <c r="U827" s="309">
        <v>16.772400000000001</v>
      </c>
      <c r="V827" s="309">
        <v>13.1534</v>
      </c>
      <c r="W827" s="309">
        <v>8.7689000000000004</v>
      </c>
      <c r="X827" s="309">
        <v>10.8223</v>
      </c>
      <c r="Y827" s="309">
        <v>11.4793</v>
      </c>
      <c r="Z827" s="309">
        <v>11.554399999999999</v>
      </c>
      <c r="AA827" s="309">
        <v>9.6470000000000002</v>
      </c>
      <c r="AB827" s="309">
        <v>14.3346</v>
      </c>
      <c r="AC827" s="309">
        <v>14.921099999999999</v>
      </c>
      <c r="AD827" s="309">
        <v>15.9556</v>
      </c>
      <c r="AE827" s="309">
        <v>11.6372</v>
      </c>
      <c r="AF827" s="309">
        <v>7.1962000000000002</v>
      </c>
      <c r="AG827" s="309">
        <v>8.0655000000000001</v>
      </c>
      <c r="AH827" s="309">
        <v>9.1410999999999998</v>
      </c>
      <c r="AI827" s="309">
        <v>13.1082</v>
      </c>
      <c r="AJ827" s="309">
        <v>10.803900000000001</v>
      </c>
      <c r="AK827" s="309">
        <v>9.4513999999999996</v>
      </c>
      <c r="AL827" s="309">
        <v>9.9704999999999995</v>
      </c>
      <c r="AM827" s="309">
        <v>15.701599999999999</v>
      </c>
      <c r="AN827" s="309">
        <v>12.2704</v>
      </c>
      <c r="AO827" s="309">
        <v>15.956300000000001</v>
      </c>
      <c r="AP827" s="309">
        <v>14.796900000000001</v>
      </c>
      <c r="AQ827" s="309">
        <v>9.0440000000000005</v>
      </c>
      <c r="AR827" s="309">
        <v>16.826699999999999</v>
      </c>
      <c r="AS827" s="309">
        <v>7.0175999999999998</v>
      </c>
      <c r="AT827" s="309">
        <v>11.221500000000001</v>
      </c>
      <c r="AU827" s="309">
        <v>12.958600000000001</v>
      </c>
      <c r="AV827" s="309">
        <v>14.0383</v>
      </c>
      <c r="AW827" s="309">
        <v>9.7247000000000003</v>
      </c>
      <c r="AX827" s="309">
        <v>10.9476</v>
      </c>
      <c r="AY827" s="309">
        <v>12.835000000000001</v>
      </c>
      <c r="AZ827" s="309">
        <v>13.65</v>
      </c>
      <c r="BA827" s="309">
        <v>9.2540999999999993</v>
      </c>
      <c r="BB827" s="309">
        <v>8.8671000000000006</v>
      </c>
      <c r="BC827" s="309">
        <v>9.9283000000000001</v>
      </c>
      <c r="BD827" s="309">
        <v>13.4033</v>
      </c>
      <c r="BE827" s="309">
        <v>11.204599999999999</v>
      </c>
      <c r="BF827" s="309">
        <v>10.756399999999999</v>
      </c>
      <c r="BG827" s="309">
        <v>13.462899999999999</v>
      </c>
      <c r="BH827" s="309">
        <v>15.9687</v>
      </c>
      <c r="BI827" s="309">
        <v>14.107799999999999</v>
      </c>
      <c r="BJ827" s="309">
        <v>14.3466</v>
      </c>
      <c r="BK827" s="309">
        <v>12.0175</v>
      </c>
    </row>
    <row r="828" spans="1:63" x14ac:dyDescent="0.25">
      <c r="A828" s="306">
        <v>111200</v>
      </c>
      <c r="B828" s="309" t="s">
        <v>11</v>
      </c>
      <c r="C828" s="309">
        <v>17.668700000000001</v>
      </c>
      <c r="D828" s="309">
        <v>9.1623999999999999</v>
      </c>
      <c r="E828" s="309">
        <v>14.270799999999999</v>
      </c>
      <c r="F828" s="309">
        <v>17.139600000000002</v>
      </c>
      <c r="G828" s="309">
        <v>16.284700000000001</v>
      </c>
      <c r="H828" s="309">
        <v>11.042199999999999</v>
      </c>
      <c r="I828" s="309">
        <v>16.2393</v>
      </c>
      <c r="J828" s="309">
        <v>14.852</v>
      </c>
      <c r="K828" s="309">
        <v>0</v>
      </c>
      <c r="L828" s="309">
        <v>7.1398000000000001</v>
      </c>
      <c r="M828" s="309">
        <v>18.948699999999999</v>
      </c>
      <c r="N828" s="309">
        <v>14.846299999999999</v>
      </c>
      <c r="O828" s="309">
        <v>21.087499999999999</v>
      </c>
      <c r="P828" s="309">
        <v>10.3178</v>
      </c>
      <c r="Q828" s="309">
        <v>10.327400000000001</v>
      </c>
      <c r="R828" s="309">
        <v>9.7484999999999999</v>
      </c>
      <c r="S828" s="309">
        <v>13.3119</v>
      </c>
      <c r="T828" s="309">
        <v>11.6945</v>
      </c>
      <c r="U828" s="309">
        <v>14.2475</v>
      </c>
      <c r="V828" s="309">
        <v>13.317600000000001</v>
      </c>
      <c r="W828" s="309">
        <v>18.468499999999999</v>
      </c>
      <c r="X828" s="309">
        <v>18.209700000000002</v>
      </c>
      <c r="Y828" s="309">
        <v>21.721</v>
      </c>
      <c r="Z828" s="309">
        <v>14.084300000000001</v>
      </c>
      <c r="AA828" s="309">
        <v>9.1532999999999998</v>
      </c>
      <c r="AB828" s="309">
        <v>20.304500000000001</v>
      </c>
      <c r="AC828" s="309">
        <v>20.138200000000001</v>
      </c>
      <c r="AD828" s="309">
        <v>22.3187</v>
      </c>
      <c r="AE828" s="309">
        <v>14.830500000000001</v>
      </c>
      <c r="AF828" s="309">
        <v>8.0762</v>
      </c>
      <c r="AG828" s="309">
        <v>8.3531999999999993</v>
      </c>
      <c r="AH828" s="309">
        <v>11.075100000000001</v>
      </c>
      <c r="AI828" s="309">
        <v>14.503399999999999</v>
      </c>
      <c r="AJ828" s="309">
        <v>14.106999999999999</v>
      </c>
      <c r="AK828" s="309">
        <v>10.334899999999999</v>
      </c>
      <c r="AL828" s="309">
        <v>13.771599999999999</v>
      </c>
      <c r="AM828" s="309">
        <v>19.564800000000002</v>
      </c>
      <c r="AN828" s="309">
        <v>13.029199999999999</v>
      </c>
      <c r="AO828" s="309">
        <v>19.529399999999999</v>
      </c>
      <c r="AP828" s="309">
        <v>12.8645</v>
      </c>
      <c r="AQ828" s="309">
        <v>10.8436</v>
      </c>
      <c r="AR828" s="309">
        <v>21.551200000000001</v>
      </c>
      <c r="AS828" s="309">
        <v>7.3657000000000004</v>
      </c>
      <c r="AT828" s="309">
        <v>12.819699999999999</v>
      </c>
      <c r="AU828" s="309">
        <v>14.428100000000001</v>
      </c>
      <c r="AV828" s="309">
        <v>14.763400000000001</v>
      </c>
      <c r="AW828" s="309">
        <v>11.67</v>
      </c>
      <c r="AX828" s="309">
        <v>21.742100000000001</v>
      </c>
      <c r="AY828" s="309">
        <v>11.8988</v>
      </c>
      <c r="AZ828" s="309">
        <v>13.8538</v>
      </c>
      <c r="BA828" s="309">
        <v>11.511100000000001</v>
      </c>
      <c r="BB828" s="309">
        <v>10.4939</v>
      </c>
      <c r="BC828" s="309">
        <v>17.938700000000001</v>
      </c>
      <c r="BD828" s="309">
        <v>14.4847</v>
      </c>
      <c r="BE828" s="309">
        <v>14.363</v>
      </c>
      <c r="BF828" s="309">
        <v>10.3787</v>
      </c>
      <c r="BG828" s="309">
        <v>17.707799999999999</v>
      </c>
      <c r="BH828" s="309">
        <v>15.686500000000001</v>
      </c>
      <c r="BI828" s="309">
        <v>15.195399999999999</v>
      </c>
      <c r="BJ828" s="309">
        <v>15.488799999999999</v>
      </c>
      <c r="BK828" s="309">
        <v>12.0411</v>
      </c>
    </row>
    <row r="829" spans="1:63" x14ac:dyDescent="0.25">
      <c r="A829" s="306" t="s">
        <v>682</v>
      </c>
      <c r="B829" s="309" t="s">
        <v>683</v>
      </c>
      <c r="C829" s="309">
        <v>20.9024</v>
      </c>
      <c r="D829" s="309">
        <v>11.798299999999999</v>
      </c>
      <c r="E829" s="309">
        <v>24.1021</v>
      </c>
      <c r="F829" s="309">
        <v>15.4582</v>
      </c>
      <c r="G829" s="309">
        <v>20.579899999999999</v>
      </c>
      <c r="H829" s="309">
        <v>14.2857</v>
      </c>
      <c r="I829" s="309">
        <v>21.616099999999999</v>
      </c>
      <c r="J829" s="309">
        <v>17.0258</v>
      </c>
      <c r="K829" s="309">
        <v>0</v>
      </c>
      <c r="L829" s="309">
        <v>9.8375000000000004</v>
      </c>
      <c r="M829" s="309">
        <v>19.424499999999998</v>
      </c>
      <c r="N829" s="309">
        <v>15.545999999999999</v>
      </c>
      <c r="O829" s="309">
        <v>22.3123</v>
      </c>
      <c r="P829" s="309">
        <v>18.047699999999999</v>
      </c>
      <c r="Q829" s="309">
        <v>14.7575</v>
      </c>
      <c r="R829" s="309">
        <v>12.5349</v>
      </c>
      <c r="S829" s="309">
        <v>14.7668</v>
      </c>
      <c r="T829" s="309">
        <v>20.659199999999998</v>
      </c>
      <c r="U829" s="309">
        <v>18.458200000000001</v>
      </c>
      <c r="V829" s="309">
        <v>21.2453</v>
      </c>
      <c r="W829" s="309">
        <v>16.6463</v>
      </c>
      <c r="X829" s="309">
        <v>20.114599999999999</v>
      </c>
      <c r="Y829" s="309">
        <v>22.545000000000002</v>
      </c>
      <c r="Z829" s="309">
        <v>18.169599999999999</v>
      </c>
      <c r="AA829" s="309">
        <v>14.617000000000001</v>
      </c>
      <c r="AB829" s="309">
        <v>21.373799999999999</v>
      </c>
      <c r="AC829" s="309">
        <v>23.2026</v>
      </c>
      <c r="AD829" s="309">
        <v>17.759899999999998</v>
      </c>
      <c r="AE829" s="309">
        <v>17.228999999999999</v>
      </c>
      <c r="AF829" s="309">
        <v>15.4465</v>
      </c>
      <c r="AG829" s="309">
        <v>12.178100000000001</v>
      </c>
      <c r="AH829" s="309">
        <v>14.1637</v>
      </c>
      <c r="AI829" s="309">
        <v>15.879899999999999</v>
      </c>
      <c r="AJ829" s="309">
        <v>14.698499999999999</v>
      </c>
      <c r="AK829" s="309">
        <v>10.3096</v>
      </c>
      <c r="AL829" s="309">
        <v>16.701799999999999</v>
      </c>
      <c r="AM829" s="309">
        <v>22.367000000000001</v>
      </c>
      <c r="AN829" s="309">
        <v>16.589300000000001</v>
      </c>
      <c r="AO829" s="309">
        <v>24.017399999999999</v>
      </c>
      <c r="AP829" s="309">
        <v>16.334599999999998</v>
      </c>
      <c r="AQ829" s="309">
        <v>13.861800000000001</v>
      </c>
      <c r="AR829" s="309">
        <v>17.857399999999998</v>
      </c>
      <c r="AS829" s="309">
        <v>14.6325</v>
      </c>
      <c r="AT829" s="309">
        <v>16.035499999999999</v>
      </c>
      <c r="AU829" s="309">
        <v>18.079000000000001</v>
      </c>
      <c r="AV829" s="309">
        <v>17.740200000000002</v>
      </c>
      <c r="AW829" s="309">
        <v>14.7776</v>
      </c>
      <c r="AX829" s="309">
        <v>22.267900000000001</v>
      </c>
      <c r="AY829" s="309">
        <v>17.096399999999999</v>
      </c>
      <c r="AZ829" s="309">
        <v>15.662100000000001</v>
      </c>
      <c r="BA829" s="309">
        <v>14.978300000000001</v>
      </c>
      <c r="BB829" s="309">
        <v>13.911899999999999</v>
      </c>
      <c r="BC829" s="309">
        <v>18.308800000000002</v>
      </c>
      <c r="BD829" s="309">
        <v>17.093599999999999</v>
      </c>
      <c r="BE829" s="309">
        <v>17.243300000000001</v>
      </c>
      <c r="BF829" s="309">
        <v>17.4361</v>
      </c>
      <c r="BG829" s="309">
        <v>18.7544</v>
      </c>
      <c r="BH829" s="309">
        <v>20.145299999999999</v>
      </c>
      <c r="BI829" s="309">
        <v>18.654599999999999</v>
      </c>
      <c r="BJ829" s="309">
        <v>18.437999999999999</v>
      </c>
      <c r="BK829" s="309">
        <v>15.923500000000001</v>
      </c>
    </row>
    <row r="830" spans="1:63" x14ac:dyDescent="0.25">
      <c r="A830" s="306">
        <v>111400</v>
      </c>
      <c r="B830" s="309" t="s">
        <v>12</v>
      </c>
      <c r="C830" s="309">
        <v>20.786000000000001</v>
      </c>
      <c r="D830" s="309">
        <v>12.1347</v>
      </c>
      <c r="E830" s="309">
        <v>23.205400000000001</v>
      </c>
      <c r="F830" s="309">
        <v>13.295199999999999</v>
      </c>
      <c r="G830" s="309">
        <v>21.1342</v>
      </c>
      <c r="H830" s="309">
        <v>12.8636</v>
      </c>
      <c r="I830" s="309">
        <v>21.199000000000002</v>
      </c>
      <c r="J830" s="309">
        <v>18.987200000000001</v>
      </c>
      <c r="K830" s="309">
        <v>0</v>
      </c>
      <c r="L830" s="309">
        <v>9.2272999999999996</v>
      </c>
      <c r="M830" s="309">
        <v>19.990200000000002</v>
      </c>
      <c r="N830" s="309">
        <v>13.152900000000001</v>
      </c>
      <c r="O830" s="309">
        <v>16.317499999999999</v>
      </c>
      <c r="P830" s="309">
        <v>10.929500000000001</v>
      </c>
      <c r="Q830" s="309">
        <v>13.2818</v>
      </c>
      <c r="R830" s="309">
        <v>11.597799999999999</v>
      </c>
      <c r="S830" s="309">
        <v>14.5395</v>
      </c>
      <c r="T830" s="309">
        <v>15.035500000000001</v>
      </c>
      <c r="U830" s="309">
        <v>16.631799999999998</v>
      </c>
      <c r="V830" s="309">
        <v>18.768000000000001</v>
      </c>
      <c r="W830" s="309">
        <v>20.576000000000001</v>
      </c>
      <c r="X830" s="309">
        <v>16.8691</v>
      </c>
      <c r="Y830" s="309">
        <v>24.172899999999998</v>
      </c>
      <c r="Z830" s="309">
        <v>18.466200000000001</v>
      </c>
      <c r="AA830" s="309">
        <v>11.6509</v>
      </c>
      <c r="AB830" s="309">
        <v>19.415400000000002</v>
      </c>
      <c r="AC830" s="309">
        <v>19.159500000000001</v>
      </c>
      <c r="AD830" s="309">
        <v>16.234400000000001</v>
      </c>
      <c r="AE830" s="309">
        <v>15.1046</v>
      </c>
      <c r="AF830" s="309">
        <v>11.0624</v>
      </c>
      <c r="AG830" s="309">
        <v>10.134</v>
      </c>
      <c r="AH830" s="309">
        <v>14.88</v>
      </c>
      <c r="AI830" s="309">
        <v>17.109100000000002</v>
      </c>
      <c r="AJ830" s="309">
        <v>15.9061</v>
      </c>
      <c r="AK830" s="309">
        <v>10.673999999999999</v>
      </c>
      <c r="AL830" s="309">
        <v>15.791600000000001</v>
      </c>
      <c r="AM830" s="309">
        <v>23.4069</v>
      </c>
      <c r="AN830" s="309">
        <v>16.882899999999999</v>
      </c>
      <c r="AO830" s="309">
        <v>23.997800000000002</v>
      </c>
      <c r="AP830" s="309">
        <v>23.708500000000001</v>
      </c>
      <c r="AQ830" s="309">
        <v>21.872699999999998</v>
      </c>
      <c r="AR830" s="309">
        <v>24.354299999999999</v>
      </c>
      <c r="AS830" s="309">
        <v>9.8567</v>
      </c>
      <c r="AT830" s="309">
        <v>16.610199999999999</v>
      </c>
      <c r="AU830" s="309">
        <v>17.365200000000002</v>
      </c>
      <c r="AV830" s="309">
        <v>18.328600000000002</v>
      </c>
      <c r="AW830" s="309">
        <v>14.947800000000001</v>
      </c>
      <c r="AX830" s="309">
        <v>23.2788</v>
      </c>
      <c r="AY830" s="309">
        <v>15.597200000000001</v>
      </c>
      <c r="AZ830" s="309">
        <v>22.900200000000002</v>
      </c>
      <c r="BA830" s="309">
        <v>14.869899999999999</v>
      </c>
      <c r="BB830" s="309">
        <v>13.0425</v>
      </c>
      <c r="BC830" s="309">
        <v>20.623799999999999</v>
      </c>
      <c r="BD830" s="309">
        <v>20.9618</v>
      </c>
      <c r="BE830" s="309">
        <v>17.338100000000001</v>
      </c>
      <c r="BF830" s="309">
        <v>13.8644</v>
      </c>
      <c r="BG830" s="309">
        <v>18.1633</v>
      </c>
      <c r="BH830" s="309">
        <v>19.276800000000001</v>
      </c>
      <c r="BI830" s="309">
        <v>17.866599999999998</v>
      </c>
      <c r="BJ830" s="309">
        <v>19.5212</v>
      </c>
      <c r="BK830" s="309">
        <v>15.803100000000001</v>
      </c>
    </row>
    <row r="831" spans="1:63" x14ac:dyDescent="0.25">
      <c r="A831" s="306">
        <v>111910</v>
      </c>
      <c r="B831" s="309" t="s">
        <v>13</v>
      </c>
      <c r="C831" s="309">
        <v>21.428100000000001</v>
      </c>
      <c r="D831" s="309">
        <v>0</v>
      </c>
      <c r="E831" s="309">
        <v>0</v>
      </c>
      <c r="F831" s="309">
        <v>0</v>
      </c>
      <c r="G831" s="309">
        <v>0</v>
      </c>
      <c r="H831" s="309">
        <v>0</v>
      </c>
      <c r="I831" s="309">
        <v>0</v>
      </c>
      <c r="J831" s="309">
        <v>12.206099999999999</v>
      </c>
      <c r="K831" s="309">
        <v>0</v>
      </c>
      <c r="L831" s="309">
        <v>0</v>
      </c>
      <c r="M831" s="309">
        <v>18.569199999999999</v>
      </c>
      <c r="N831" s="309">
        <v>14.542299999999999</v>
      </c>
      <c r="O831" s="309">
        <v>0</v>
      </c>
      <c r="P831" s="309">
        <v>0</v>
      </c>
      <c r="Q831" s="309">
        <v>0</v>
      </c>
      <c r="R831" s="309">
        <v>14.5763</v>
      </c>
      <c r="S831" s="309">
        <v>14.240500000000001</v>
      </c>
      <c r="T831" s="309">
        <v>0</v>
      </c>
      <c r="U831" s="309">
        <v>20.1463</v>
      </c>
      <c r="V831" s="309">
        <v>0</v>
      </c>
      <c r="W831" s="309">
        <v>11.988300000000001</v>
      </c>
      <c r="X831" s="309">
        <v>12.571999999999999</v>
      </c>
      <c r="Y831" s="309">
        <v>0</v>
      </c>
      <c r="Z831" s="309">
        <v>0</v>
      </c>
      <c r="AA831" s="309">
        <v>0</v>
      </c>
      <c r="AB831" s="309">
        <v>15.643000000000001</v>
      </c>
      <c r="AC831" s="309">
        <v>0</v>
      </c>
      <c r="AD831" s="309">
        <v>0</v>
      </c>
      <c r="AE831" s="309">
        <v>14.887700000000001</v>
      </c>
      <c r="AF831" s="309">
        <v>0</v>
      </c>
      <c r="AG831" s="309">
        <v>0</v>
      </c>
      <c r="AH831" s="309">
        <v>0</v>
      </c>
      <c r="AI831" s="309">
        <v>0</v>
      </c>
      <c r="AJ831" s="309">
        <v>0</v>
      </c>
      <c r="AK831" s="309">
        <v>0</v>
      </c>
      <c r="AL831" s="309">
        <v>0</v>
      </c>
      <c r="AM831" s="309">
        <v>16.772500000000001</v>
      </c>
      <c r="AN831" s="309">
        <v>0</v>
      </c>
      <c r="AO831" s="309">
        <v>0</v>
      </c>
      <c r="AP831" s="309">
        <v>14.6646</v>
      </c>
      <c r="AQ831" s="309">
        <v>0</v>
      </c>
      <c r="AR831" s="309">
        <v>16.6798</v>
      </c>
      <c r="AS831" s="309">
        <v>0</v>
      </c>
      <c r="AT831" s="309">
        <v>14.731199999999999</v>
      </c>
      <c r="AU831" s="309">
        <v>0</v>
      </c>
      <c r="AV831" s="309">
        <v>0</v>
      </c>
      <c r="AW831" s="309">
        <v>13.247299999999999</v>
      </c>
      <c r="AX831" s="309">
        <v>0</v>
      </c>
      <c r="AY831" s="309">
        <v>0</v>
      </c>
      <c r="AZ831" s="309">
        <v>15.484999999999999</v>
      </c>
      <c r="BA831" s="309">
        <v>12.173500000000001</v>
      </c>
      <c r="BB831" s="309">
        <v>0</v>
      </c>
      <c r="BC831" s="309">
        <v>13.962899999999999</v>
      </c>
      <c r="BD831" s="309">
        <v>13.579000000000001</v>
      </c>
      <c r="BE831" s="309">
        <v>15.778700000000001</v>
      </c>
      <c r="BF831" s="309">
        <v>14.657999999999999</v>
      </c>
      <c r="BG831" s="309">
        <v>16.946899999999999</v>
      </c>
      <c r="BH831" s="309">
        <v>20.438199999999998</v>
      </c>
      <c r="BI831" s="309">
        <v>0</v>
      </c>
      <c r="BJ831" s="309">
        <v>0</v>
      </c>
      <c r="BK831" s="309">
        <v>0</v>
      </c>
    </row>
    <row r="832" spans="1:63" x14ac:dyDescent="0.25">
      <c r="A832" s="306">
        <v>111920</v>
      </c>
      <c r="B832" s="309" t="s">
        <v>14</v>
      </c>
      <c r="C832" s="309">
        <v>20.611899999999999</v>
      </c>
      <c r="D832" s="309">
        <v>0</v>
      </c>
      <c r="E832" s="309">
        <v>18.247499999999999</v>
      </c>
      <c r="F832" s="309">
        <v>13.0991</v>
      </c>
      <c r="G832" s="309">
        <v>16.585599999999999</v>
      </c>
      <c r="H832" s="309">
        <v>12.688700000000001</v>
      </c>
      <c r="I832" s="309">
        <v>0</v>
      </c>
      <c r="J832" s="309">
        <v>0</v>
      </c>
      <c r="K832" s="309">
        <v>0</v>
      </c>
      <c r="L832" s="309">
        <v>0</v>
      </c>
      <c r="M832" s="309">
        <v>15.2788</v>
      </c>
      <c r="N832" s="309">
        <v>14.4673</v>
      </c>
      <c r="O832" s="309">
        <v>0</v>
      </c>
      <c r="P832" s="309">
        <v>0</v>
      </c>
      <c r="Q832" s="309">
        <v>0</v>
      </c>
      <c r="R832" s="309">
        <v>0</v>
      </c>
      <c r="S832" s="309">
        <v>0</v>
      </c>
      <c r="T832" s="309">
        <v>9.7588000000000008</v>
      </c>
      <c r="U832" s="309">
        <v>0</v>
      </c>
      <c r="V832" s="309">
        <v>16.561</v>
      </c>
      <c r="W832" s="309">
        <v>0</v>
      </c>
      <c r="X832" s="309">
        <v>0</v>
      </c>
      <c r="Y832" s="309">
        <v>0</v>
      </c>
      <c r="Z832" s="309">
        <v>0</v>
      </c>
      <c r="AA832" s="309">
        <v>0</v>
      </c>
      <c r="AB832" s="309">
        <v>17.4422</v>
      </c>
      <c r="AC832" s="309">
        <v>16.555900000000001</v>
      </c>
      <c r="AD832" s="309">
        <v>0</v>
      </c>
      <c r="AE832" s="309">
        <v>14.301399999999999</v>
      </c>
      <c r="AF832" s="309">
        <v>0</v>
      </c>
      <c r="AG832" s="309">
        <v>0</v>
      </c>
      <c r="AH832" s="309">
        <v>0</v>
      </c>
      <c r="AI832" s="309">
        <v>0</v>
      </c>
      <c r="AJ832" s="309">
        <v>13.866400000000001</v>
      </c>
      <c r="AK832" s="309">
        <v>0</v>
      </c>
      <c r="AL832" s="309">
        <v>0</v>
      </c>
      <c r="AM832" s="309">
        <v>0</v>
      </c>
      <c r="AN832" s="309">
        <v>14.478400000000001</v>
      </c>
      <c r="AO832" s="309">
        <v>0</v>
      </c>
      <c r="AP832" s="309">
        <v>0</v>
      </c>
      <c r="AQ832" s="309">
        <v>0</v>
      </c>
      <c r="AR832" s="309">
        <v>16.352399999999999</v>
      </c>
      <c r="AS832" s="309">
        <v>0</v>
      </c>
      <c r="AT832" s="309">
        <v>13.7746</v>
      </c>
      <c r="AU832" s="309">
        <v>16.228100000000001</v>
      </c>
      <c r="AV832" s="309">
        <v>0</v>
      </c>
      <c r="AW832" s="309">
        <v>11.893000000000001</v>
      </c>
      <c r="AX832" s="309">
        <v>0</v>
      </c>
      <c r="AY832" s="309">
        <v>0</v>
      </c>
      <c r="AZ832" s="309">
        <v>0</v>
      </c>
      <c r="BA832" s="309">
        <v>0</v>
      </c>
      <c r="BB832" s="309">
        <v>0</v>
      </c>
      <c r="BC832" s="309">
        <v>0</v>
      </c>
      <c r="BD832" s="309">
        <v>0</v>
      </c>
      <c r="BE832" s="309">
        <v>0</v>
      </c>
      <c r="BF832" s="309">
        <v>16.181899999999999</v>
      </c>
      <c r="BG832" s="309">
        <v>15.993399999999999</v>
      </c>
      <c r="BH832" s="309">
        <v>18.130700000000001</v>
      </c>
      <c r="BI832" s="309">
        <v>16.976700000000001</v>
      </c>
      <c r="BJ832" s="309">
        <v>17.709499999999998</v>
      </c>
      <c r="BK832" s="309">
        <v>13.129</v>
      </c>
    </row>
    <row r="833" spans="1:63" x14ac:dyDescent="0.25">
      <c r="A833" s="306" t="s">
        <v>684</v>
      </c>
      <c r="B833" s="309" t="s">
        <v>685</v>
      </c>
      <c r="C833" s="309">
        <v>17.941600000000001</v>
      </c>
      <c r="D833" s="309">
        <v>8.7136999999999993</v>
      </c>
      <c r="E833" s="309">
        <v>17.720800000000001</v>
      </c>
      <c r="F833" s="309">
        <v>12.7216</v>
      </c>
      <c r="G833" s="309">
        <v>15.2935</v>
      </c>
      <c r="H833" s="309">
        <v>11.382099999999999</v>
      </c>
      <c r="I833" s="309">
        <v>15.474500000000001</v>
      </c>
      <c r="J833" s="309">
        <v>13.696</v>
      </c>
      <c r="K833" s="309">
        <v>0</v>
      </c>
      <c r="L833" s="309">
        <v>7.7088999999999999</v>
      </c>
      <c r="M833" s="309">
        <v>13.3917</v>
      </c>
      <c r="N833" s="309">
        <v>12.4604</v>
      </c>
      <c r="O833" s="309">
        <v>14.2896</v>
      </c>
      <c r="P833" s="309">
        <v>10.017300000000001</v>
      </c>
      <c r="Q833" s="309">
        <v>10.2766</v>
      </c>
      <c r="R833" s="309">
        <v>9.7729999999999997</v>
      </c>
      <c r="S833" s="309">
        <v>11.241199999999999</v>
      </c>
      <c r="T833" s="309">
        <v>9.9090000000000007</v>
      </c>
      <c r="U833" s="309">
        <v>14.236800000000001</v>
      </c>
      <c r="V833" s="309">
        <v>14.4374</v>
      </c>
      <c r="W833" s="309">
        <v>14.0145</v>
      </c>
      <c r="X833" s="309">
        <v>14.6137</v>
      </c>
      <c r="Y833" s="309">
        <v>12.887499999999999</v>
      </c>
      <c r="Z833" s="309">
        <v>13.5375</v>
      </c>
      <c r="AA833" s="309">
        <v>9.9699000000000009</v>
      </c>
      <c r="AB833" s="309">
        <v>16.533100000000001</v>
      </c>
      <c r="AC833" s="309">
        <v>14.323</v>
      </c>
      <c r="AD833" s="309">
        <v>16.7806</v>
      </c>
      <c r="AE833" s="309">
        <v>13.279400000000001</v>
      </c>
      <c r="AF833" s="309">
        <v>8.2552000000000003</v>
      </c>
      <c r="AG833" s="309">
        <v>8.6547999999999998</v>
      </c>
      <c r="AH833" s="309">
        <v>10.1388</v>
      </c>
      <c r="AI833" s="309">
        <v>12.007</v>
      </c>
      <c r="AJ833" s="309">
        <v>12.3497</v>
      </c>
      <c r="AK833" s="309">
        <v>10.238</v>
      </c>
      <c r="AL833" s="309">
        <v>11.8764</v>
      </c>
      <c r="AM833" s="309">
        <v>18.228200000000001</v>
      </c>
      <c r="AN833" s="309">
        <v>13.321999999999999</v>
      </c>
      <c r="AO833" s="309">
        <v>17.226500000000001</v>
      </c>
      <c r="AP833" s="309">
        <v>12.861700000000001</v>
      </c>
      <c r="AQ833" s="309">
        <v>14.465199999999999</v>
      </c>
      <c r="AR833" s="309">
        <v>19.863</v>
      </c>
      <c r="AS833" s="309">
        <v>7.7267000000000001</v>
      </c>
      <c r="AT833" s="309">
        <v>12.125500000000001</v>
      </c>
      <c r="AU833" s="309">
        <v>14.282500000000001</v>
      </c>
      <c r="AV833" s="309">
        <v>20.917100000000001</v>
      </c>
      <c r="AW833" s="309">
        <v>10.7279</v>
      </c>
      <c r="AX833" s="309">
        <v>15.6274</v>
      </c>
      <c r="AY833" s="309">
        <v>12.6029</v>
      </c>
      <c r="AZ833" s="309">
        <v>14.597300000000001</v>
      </c>
      <c r="BA833" s="309">
        <v>10.6889</v>
      </c>
      <c r="BB833" s="309">
        <v>10.1134</v>
      </c>
      <c r="BC833" s="309">
        <v>12.9703</v>
      </c>
      <c r="BD833" s="309">
        <v>12.867800000000001</v>
      </c>
      <c r="BE833" s="309">
        <v>12.894600000000001</v>
      </c>
      <c r="BF833" s="309">
        <v>11.237399999999999</v>
      </c>
      <c r="BG833" s="309">
        <v>14.8062</v>
      </c>
      <c r="BH833" s="309">
        <v>15.729200000000001</v>
      </c>
      <c r="BI833" s="309">
        <v>15.6587</v>
      </c>
      <c r="BJ833" s="309">
        <v>14.9018</v>
      </c>
      <c r="BK833" s="309">
        <v>12.985300000000001</v>
      </c>
    </row>
    <row r="834" spans="1:63" x14ac:dyDescent="0.25">
      <c r="A834" s="306">
        <v>112120</v>
      </c>
      <c r="B834" s="309" t="s">
        <v>16</v>
      </c>
      <c r="C834" s="309">
        <v>16.7394</v>
      </c>
      <c r="D834" s="309">
        <v>6.8357999999999999</v>
      </c>
      <c r="E834" s="309">
        <v>17.023599999999998</v>
      </c>
      <c r="F834" s="309">
        <v>12.2441</v>
      </c>
      <c r="G834" s="309">
        <v>13.0349</v>
      </c>
      <c r="H834" s="309">
        <v>9.5348000000000006</v>
      </c>
      <c r="I834" s="309">
        <v>14.9612</v>
      </c>
      <c r="J834" s="309">
        <v>10.9663</v>
      </c>
      <c r="K834" s="309">
        <v>0</v>
      </c>
      <c r="L834" s="309">
        <v>6.0801999999999996</v>
      </c>
      <c r="M834" s="309">
        <v>11.7432</v>
      </c>
      <c r="N834" s="309">
        <v>10.891500000000001</v>
      </c>
      <c r="O834" s="309">
        <v>14.4901</v>
      </c>
      <c r="P834" s="309">
        <v>8.7539999999999996</v>
      </c>
      <c r="Q834" s="309">
        <v>9.7520000000000007</v>
      </c>
      <c r="R834" s="309">
        <v>9.1518999999999995</v>
      </c>
      <c r="S834" s="309">
        <v>10.5425</v>
      </c>
      <c r="T834" s="309">
        <v>9.9837000000000007</v>
      </c>
      <c r="U834" s="309">
        <v>14.106199999999999</v>
      </c>
      <c r="V834" s="309">
        <v>13.3935</v>
      </c>
      <c r="W834" s="309">
        <v>12.0045</v>
      </c>
      <c r="X834" s="309">
        <v>10.9838</v>
      </c>
      <c r="Y834" s="309">
        <v>15.7128</v>
      </c>
      <c r="Z834" s="309">
        <v>11.229200000000001</v>
      </c>
      <c r="AA834" s="309">
        <v>10.5685</v>
      </c>
      <c r="AB834" s="309">
        <v>16.249700000000001</v>
      </c>
      <c r="AC834" s="309">
        <v>13.660299999999999</v>
      </c>
      <c r="AD834" s="309">
        <v>17.8917</v>
      </c>
      <c r="AE834" s="309">
        <v>10.779</v>
      </c>
      <c r="AF834" s="309">
        <v>8.2443000000000008</v>
      </c>
      <c r="AG834" s="309">
        <v>8.3864999999999998</v>
      </c>
      <c r="AH834" s="309">
        <v>8.5924999999999994</v>
      </c>
      <c r="AI834" s="309">
        <v>9.8072999999999997</v>
      </c>
      <c r="AJ834" s="309">
        <v>10.593299999999999</v>
      </c>
      <c r="AK834" s="309">
        <v>9.0540000000000003</v>
      </c>
      <c r="AL834" s="309">
        <v>9.6853999999999996</v>
      </c>
      <c r="AM834" s="309">
        <v>16.563199999999998</v>
      </c>
      <c r="AN834" s="309">
        <v>13.3752</v>
      </c>
      <c r="AO834" s="309">
        <v>15.0466</v>
      </c>
      <c r="AP834" s="309">
        <v>11.186299999999999</v>
      </c>
      <c r="AQ834" s="309">
        <v>8.0017999999999994</v>
      </c>
      <c r="AR834" s="309">
        <v>15.8497</v>
      </c>
      <c r="AS834" s="309">
        <v>7.8593000000000002</v>
      </c>
      <c r="AT834" s="309">
        <v>10.15</v>
      </c>
      <c r="AU834" s="309">
        <v>13.0291</v>
      </c>
      <c r="AV834" s="309">
        <v>14.549099999999999</v>
      </c>
      <c r="AW834" s="309">
        <v>9.6209000000000007</v>
      </c>
      <c r="AX834" s="309">
        <v>14.1309</v>
      </c>
      <c r="AY834" s="309">
        <v>10.851100000000001</v>
      </c>
      <c r="AZ834" s="309">
        <v>15.2303</v>
      </c>
      <c r="BA834" s="309">
        <v>9.0631000000000004</v>
      </c>
      <c r="BB834" s="309">
        <v>8.8086000000000002</v>
      </c>
      <c r="BC834" s="309">
        <v>11.8774</v>
      </c>
      <c r="BD834" s="309">
        <v>10.824</v>
      </c>
      <c r="BE834" s="309">
        <v>14.0863</v>
      </c>
      <c r="BF834" s="309">
        <v>11.1515</v>
      </c>
      <c r="BG834" s="309">
        <v>12.224399999999999</v>
      </c>
      <c r="BH834" s="309">
        <v>14.3202</v>
      </c>
      <c r="BI834" s="309">
        <v>14.5768</v>
      </c>
      <c r="BJ834" s="309">
        <v>12.9122</v>
      </c>
      <c r="BK834" s="309">
        <v>10.4032</v>
      </c>
    </row>
    <row r="835" spans="1:63" x14ac:dyDescent="0.25">
      <c r="A835" s="306" t="s">
        <v>686</v>
      </c>
      <c r="B835" s="309" t="s">
        <v>15</v>
      </c>
      <c r="C835" s="309">
        <v>18.994299999999999</v>
      </c>
      <c r="D835" s="309">
        <v>5.9687999999999999</v>
      </c>
      <c r="E835" s="309">
        <v>16.644200000000001</v>
      </c>
      <c r="F835" s="309">
        <v>13.6608</v>
      </c>
      <c r="G835" s="309">
        <v>13.975</v>
      </c>
      <c r="H835" s="309">
        <v>9.2490000000000006</v>
      </c>
      <c r="I835" s="309">
        <v>18.572700000000001</v>
      </c>
      <c r="J835" s="309">
        <v>7.3952</v>
      </c>
      <c r="K835" s="309">
        <v>0</v>
      </c>
      <c r="L835" s="309">
        <v>4.9429999999999996</v>
      </c>
      <c r="M835" s="309">
        <v>10.366099999999999</v>
      </c>
      <c r="N835" s="309">
        <v>9.7940000000000005</v>
      </c>
      <c r="O835" s="309">
        <v>12.4269</v>
      </c>
      <c r="P835" s="309">
        <v>9.9764999999999997</v>
      </c>
      <c r="Q835" s="309">
        <v>11.5709</v>
      </c>
      <c r="R835" s="309">
        <v>7.4248000000000003</v>
      </c>
      <c r="S835" s="309">
        <v>9.3888999999999996</v>
      </c>
      <c r="T835" s="309">
        <v>11.603199999999999</v>
      </c>
      <c r="U835" s="309">
        <v>21.208400000000001</v>
      </c>
      <c r="V835" s="309">
        <v>13.5562</v>
      </c>
      <c r="W835" s="309">
        <v>6.6527000000000003</v>
      </c>
      <c r="X835" s="309">
        <v>8.8366000000000007</v>
      </c>
      <c r="Y835" s="309">
        <v>9.8545999999999996</v>
      </c>
      <c r="Z835" s="309">
        <v>10.6851</v>
      </c>
      <c r="AA835" s="309">
        <v>12.342499999999999</v>
      </c>
      <c r="AB835" s="309">
        <v>17.413799999999998</v>
      </c>
      <c r="AC835" s="309">
        <v>13.071199999999999</v>
      </c>
      <c r="AD835" s="309">
        <v>21.321200000000001</v>
      </c>
      <c r="AE835" s="309">
        <v>10.7447</v>
      </c>
      <c r="AF835" s="309">
        <v>9.6949000000000005</v>
      </c>
      <c r="AG835" s="309">
        <v>9.8265999999999991</v>
      </c>
      <c r="AH835" s="309">
        <v>7.3089000000000004</v>
      </c>
      <c r="AI835" s="309">
        <v>7.6532999999999998</v>
      </c>
      <c r="AJ835" s="309">
        <v>13.695</v>
      </c>
      <c r="AK835" s="309">
        <v>11.0784</v>
      </c>
      <c r="AL835" s="309">
        <v>8.5388999999999999</v>
      </c>
      <c r="AM835" s="309">
        <v>14.1493</v>
      </c>
      <c r="AN835" s="309">
        <v>15.8735</v>
      </c>
      <c r="AO835" s="309">
        <v>19.697199999999999</v>
      </c>
      <c r="AP835" s="309">
        <v>13.004899999999999</v>
      </c>
      <c r="AQ835" s="309">
        <v>6.8802000000000003</v>
      </c>
      <c r="AR835" s="309">
        <v>14.4999</v>
      </c>
      <c r="AS835" s="309">
        <v>9.2908000000000008</v>
      </c>
      <c r="AT835" s="309">
        <v>9.9478000000000009</v>
      </c>
      <c r="AU835" s="309">
        <v>16.213200000000001</v>
      </c>
      <c r="AV835" s="309">
        <v>16.162800000000001</v>
      </c>
      <c r="AW835" s="309">
        <v>8.4481999999999999</v>
      </c>
      <c r="AX835" s="309">
        <v>13.456899999999999</v>
      </c>
      <c r="AY835" s="309">
        <v>11.071</v>
      </c>
      <c r="AZ835" s="309">
        <v>16.632100000000001</v>
      </c>
      <c r="BA835" s="309">
        <v>9.6539000000000001</v>
      </c>
      <c r="BB835" s="309">
        <v>11.5768</v>
      </c>
      <c r="BC835" s="309">
        <v>8.2562999999999995</v>
      </c>
      <c r="BD835" s="309">
        <v>10.7555</v>
      </c>
      <c r="BE835" s="309">
        <v>11.0604</v>
      </c>
      <c r="BF835" s="309">
        <v>13.0367</v>
      </c>
      <c r="BG835" s="309">
        <v>11.1388</v>
      </c>
      <c r="BH835" s="309">
        <v>16.281300000000002</v>
      </c>
      <c r="BI835" s="309">
        <v>17.4255</v>
      </c>
      <c r="BJ835" s="309">
        <v>17.995000000000001</v>
      </c>
      <c r="BK835" s="309">
        <v>10.741400000000001</v>
      </c>
    </row>
    <row r="836" spans="1:63" x14ac:dyDescent="0.25">
      <c r="A836" s="306">
        <v>112300</v>
      </c>
      <c r="B836" s="309" t="s">
        <v>17</v>
      </c>
      <c r="C836" s="309">
        <v>19.106999999999999</v>
      </c>
      <c r="D836" s="309">
        <v>5.1729000000000003</v>
      </c>
      <c r="E836" s="309">
        <v>14.046099999999999</v>
      </c>
      <c r="F836" s="309">
        <v>12.9015</v>
      </c>
      <c r="G836" s="309">
        <v>6.8205999999999998</v>
      </c>
      <c r="H836" s="309">
        <v>8.6956000000000007</v>
      </c>
      <c r="I836" s="309">
        <v>13.105700000000001</v>
      </c>
      <c r="J836" s="309">
        <v>6.6711</v>
      </c>
      <c r="K836" s="309">
        <v>0</v>
      </c>
      <c r="L836" s="309">
        <v>6.0517000000000003</v>
      </c>
      <c r="M836" s="309">
        <v>8.5276999999999994</v>
      </c>
      <c r="N836" s="309">
        <v>11.186199999999999</v>
      </c>
      <c r="O836" s="309">
        <v>9.9137000000000004</v>
      </c>
      <c r="P836" s="309">
        <v>10.428699999999999</v>
      </c>
      <c r="Q836" s="309">
        <v>10.5298</v>
      </c>
      <c r="R836" s="309">
        <v>10.7713</v>
      </c>
      <c r="S836" s="309">
        <v>13.893599999999999</v>
      </c>
      <c r="T836" s="309">
        <v>8.8061000000000007</v>
      </c>
      <c r="U836" s="309">
        <v>19.780899999999999</v>
      </c>
      <c r="V836" s="309">
        <v>15.2662</v>
      </c>
      <c r="W836" s="309">
        <v>9.1242999999999999</v>
      </c>
      <c r="X836" s="309">
        <v>9.3123000000000005</v>
      </c>
      <c r="Y836" s="309">
        <v>13.782299999999999</v>
      </c>
      <c r="Z836" s="309">
        <v>9.3383000000000003</v>
      </c>
      <c r="AA836" s="309">
        <v>12.210599999999999</v>
      </c>
      <c r="AB836" s="309">
        <v>17.226400000000002</v>
      </c>
      <c r="AC836" s="309">
        <v>15.3291</v>
      </c>
      <c r="AD836" s="309">
        <v>14.8916</v>
      </c>
      <c r="AE836" s="309">
        <v>11.6594</v>
      </c>
      <c r="AF836" s="309">
        <v>8.6250999999999998</v>
      </c>
      <c r="AG836" s="309">
        <v>9.7651000000000003</v>
      </c>
      <c r="AH836" s="309">
        <v>6.5660999999999996</v>
      </c>
      <c r="AI836" s="309">
        <v>8.4407999999999994</v>
      </c>
      <c r="AJ836" s="309">
        <v>9.5661000000000005</v>
      </c>
      <c r="AK836" s="309">
        <v>6.0670999999999999</v>
      </c>
      <c r="AL836" s="309">
        <v>6.8784000000000001</v>
      </c>
      <c r="AM836" s="309">
        <v>18.012499999999999</v>
      </c>
      <c r="AN836" s="309">
        <v>14.977600000000001</v>
      </c>
      <c r="AO836" s="309">
        <v>11.2174</v>
      </c>
      <c r="AP836" s="309">
        <v>14.6061</v>
      </c>
      <c r="AQ836" s="309">
        <v>6.0110999999999999</v>
      </c>
      <c r="AR836" s="309">
        <v>13.413399999999999</v>
      </c>
      <c r="AS836" s="309">
        <v>9.0462000000000007</v>
      </c>
      <c r="AT836" s="309">
        <v>10.008699999999999</v>
      </c>
      <c r="AU836" s="309">
        <v>11.9589</v>
      </c>
      <c r="AV836" s="309">
        <v>15.6844</v>
      </c>
      <c r="AW836" s="309">
        <v>9.4903999999999993</v>
      </c>
      <c r="AX836" s="309">
        <v>11.6547</v>
      </c>
      <c r="AY836" s="309">
        <v>10.301600000000001</v>
      </c>
      <c r="AZ836" s="309">
        <v>13.494899999999999</v>
      </c>
      <c r="BA836" s="309">
        <v>7.6593999999999998</v>
      </c>
      <c r="BB836" s="309">
        <v>6.2782999999999998</v>
      </c>
      <c r="BC836" s="309">
        <v>9.0214999999999996</v>
      </c>
      <c r="BD836" s="309">
        <v>10.9961</v>
      </c>
      <c r="BE836" s="309">
        <v>14.6929</v>
      </c>
      <c r="BF836" s="309">
        <v>13.482799999999999</v>
      </c>
      <c r="BG836" s="309">
        <v>11.1434</v>
      </c>
      <c r="BH836" s="309">
        <v>17.069800000000001</v>
      </c>
      <c r="BI836" s="309">
        <v>15.0389</v>
      </c>
      <c r="BJ836" s="309">
        <v>12.2971</v>
      </c>
      <c r="BK836" s="309">
        <v>9.4330999999999996</v>
      </c>
    </row>
    <row r="837" spans="1:63" x14ac:dyDescent="0.25">
      <c r="A837" s="306" t="s">
        <v>687</v>
      </c>
      <c r="B837" s="309" t="s">
        <v>18</v>
      </c>
      <c r="C837" s="309">
        <v>13.8407</v>
      </c>
      <c r="D837" s="309">
        <v>6.0541999999999998</v>
      </c>
      <c r="E837" s="309">
        <v>13.0404</v>
      </c>
      <c r="F837" s="309">
        <v>9.3806999999999992</v>
      </c>
      <c r="G837" s="309">
        <v>11.0556</v>
      </c>
      <c r="H837" s="309">
        <v>7.8078000000000003</v>
      </c>
      <c r="I837" s="309">
        <v>12.632</v>
      </c>
      <c r="J837" s="309">
        <v>7.1871</v>
      </c>
      <c r="K837" s="309">
        <v>0</v>
      </c>
      <c r="L837" s="309">
        <v>6.0239000000000003</v>
      </c>
      <c r="M837" s="309">
        <v>10.347799999999999</v>
      </c>
      <c r="N837" s="309">
        <v>9.0113000000000003</v>
      </c>
      <c r="O837" s="309">
        <v>10.4299</v>
      </c>
      <c r="P837" s="309">
        <v>7.6077000000000004</v>
      </c>
      <c r="Q837" s="309">
        <v>9.2382000000000009</v>
      </c>
      <c r="R837" s="309">
        <v>7.8776999999999999</v>
      </c>
      <c r="S837" s="309">
        <v>8.9357000000000006</v>
      </c>
      <c r="T837" s="309">
        <v>8.9587000000000003</v>
      </c>
      <c r="U837" s="309">
        <v>16.3782</v>
      </c>
      <c r="V837" s="309">
        <v>11.145300000000001</v>
      </c>
      <c r="W837" s="309">
        <v>10.1889</v>
      </c>
      <c r="X837" s="309">
        <v>8.8771000000000004</v>
      </c>
      <c r="Y837" s="309">
        <v>14.003399999999999</v>
      </c>
      <c r="Z837" s="309">
        <v>9.5580999999999996</v>
      </c>
      <c r="AA837" s="309">
        <v>8.4764999999999997</v>
      </c>
      <c r="AB837" s="309">
        <v>13.9733</v>
      </c>
      <c r="AC837" s="309">
        <v>11.5619</v>
      </c>
      <c r="AD837" s="309">
        <v>15.976100000000001</v>
      </c>
      <c r="AE837" s="309">
        <v>9.4634</v>
      </c>
      <c r="AF837" s="309">
        <v>7.0156999999999998</v>
      </c>
      <c r="AG837" s="309">
        <v>7.2213000000000003</v>
      </c>
      <c r="AH837" s="309">
        <v>7.3121999999999998</v>
      </c>
      <c r="AI837" s="309">
        <v>9.5654000000000003</v>
      </c>
      <c r="AJ837" s="309">
        <v>9.3080999999999996</v>
      </c>
      <c r="AK837" s="309">
        <v>7.5612000000000004</v>
      </c>
      <c r="AL837" s="309">
        <v>7.0023999999999997</v>
      </c>
      <c r="AM837" s="309">
        <v>14.371499999999999</v>
      </c>
      <c r="AN837" s="309">
        <v>11.355499999999999</v>
      </c>
      <c r="AO837" s="309">
        <v>13.1143</v>
      </c>
      <c r="AP837" s="309">
        <v>13.1752</v>
      </c>
      <c r="AQ837" s="309">
        <v>10.9998</v>
      </c>
      <c r="AR837" s="309">
        <v>13.4412</v>
      </c>
      <c r="AS837" s="309">
        <v>6.7789000000000001</v>
      </c>
      <c r="AT837" s="309">
        <v>8.6399000000000008</v>
      </c>
      <c r="AU837" s="309">
        <v>10.6174</v>
      </c>
      <c r="AV837" s="309">
        <v>16.698599999999999</v>
      </c>
      <c r="AW837" s="309">
        <v>8.0949000000000009</v>
      </c>
      <c r="AX837" s="309">
        <v>11.333</v>
      </c>
      <c r="AY837" s="309">
        <v>9.1201000000000008</v>
      </c>
      <c r="AZ837" s="309">
        <v>11.8963</v>
      </c>
      <c r="BA837" s="309">
        <v>7.8060999999999998</v>
      </c>
      <c r="BB837" s="309">
        <v>8.1120000000000001</v>
      </c>
      <c r="BC837" s="309">
        <v>10.1341</v>
      </c>
      <c r="BD837" s="309">
        <v>10.005800000000001</v>
      </c>
      <c r="BE837" s="309">
        <v>9.9304000000000006</v>
      </c>
      <c r="BF837" s="309">
        <v>9.5290999999999997</v>
      </c>
      <c r="BG837" s="309">
        <v>10.786199999999999</v>
      </c>
      <c r="BH837" s="309">
        <v>14.9201</v>
      </c>
      <c r="BI837" s="309">
        <v>11.645899999999999</v>
      </c>
      <c r="BJ837" s="309">
        <v>12.810600000000001</v>
      </c>
      <c r="BK837" s="309">
        <v>9.0012000000000008</v>
      </c>
    </row>
    <row r="838" spans="1:63" x14ac:dyDescent="0.25">
      <c r="A838" s="306">
        <v>113300</v>
      </c>
      <c r="B838" s="309" t="s">
        <v>688</v>
      </c>
      <c r="C838" s="309">
        <v>21.6371</v>
      </c>
      <c r="D838" s="309">
        <v>9.1153999999999993</v>
      </c>
      <c r="E838" s="309">
        <v>16.8001</v>
      </c>
      <c r="F838" s="309">
        <v>16.0854</v>
      </c>
      <c r="G838" s="309">
        <v>15.301399999999999</v>
      </c>
      <c r="H838" s="309">
        <v>10.868499999999999</v>
      </c>
      <c r="I838" s="309">
        <v>15.8123</v>
      </c>
      <c r="J838" s="309">
        <v>11.8026</v>
      </c>
      <c r="K838" s="309">
        <v>0</v>
      </c>
      <c r="L838" s="309">
        <v>5.7907000000000002</v>
      </c>
      <c r="M838" s="309">
        <v>16.568200000000001</v>
      </c>
      <c r="N838" s="309">
        <v>17.138000000000002</v>
      </c>
      <c r="O838" s="309">
        <v>10.882899999999999</v>
      </c>
      <c r="P838" s="309">
        <v>14.075900000000001</v>
      </c>
      <c r="Q838" s="309">
        <v>15.679600000000001</v>
      </c>
      <c r="R838" s="309">
        <v>11.900600000000001</v>
      </c>
      <c r="S838" s="309">
        <v>13.1333</v>
      </c>
      <c r="T838" s="309">
        <v>14.2842</v>
      </c>
      <c r="U838" s="309">
        <v>16.545200000000001</v>
      </c>
      <c r="V838" s="309">
        <v>15.2857</v>
      </c>
      <c r="W838" s="309">
        <v>7.0083000000000002</v>
      </c>
      <c r="X838" s="309">
        <v>11.0547</v>
      </c>
      <c r="Y838" s="309">
        <v>18.121400000000001</v>
      </c>
      <c r="Z838" s="309">
        <v>15.5311</v>
      </c>
      <c r="AA838" s="309">
        <v>15.547800000000001</v>
      </c>
      <c r="AB838" s="309">
        <v>13.6389</v>
      </c>
      <c r="AC838" s="309">
        <v>16.460899999999999</v>
      </c>
      <c r="AD838" s="309">
        <v>17.926600000000001</v>
      </c>
      <c r="AE838" s="309">
        <v>16.0062</v>
      </c>
      <c r="AF838" s="309">
        <v>0</v>
      </c>
      <c r="AG838" s="309">
        <v>10.911899999999999</v>
      </c>
      <c r="AH838" s="309">
        <v>10.848599999999999</v>
      </c>
      <c r="AI838" s="309">
        <v>10.004799999999999</v>
      </c>
      <c r="AJ838" s="309">
        <v>15.497299999999999</v>
      </c>
      <c r="AK838" s="309">
        <v>12.760400000000001</v>
      </c>
      <c r="AL838" s="309">
        <v>10.3721</v>
      </c>
      <c r="AM838" s="309">
        <v>11.013299999999999</v>
      </c>
      <c r="AN838" s="309">
        <v>11.678000000000001</v>
      </c>
      <c r="AO838" s="309">
        <v>15.4093</v>
      </c>
      <c r="AP838" s="309">
        <v>11.7925</v>
      </c>
      <c r="AQ838" s="309">
        <v>13.6228</v>
      </c>
      <c r="AR838" s="309">
        <v>18.176100000000002</v>
      </c>
      <c r="AS838" s="309">
        <v>12.7897</v>
      </c>
      <c r="AT838" s="309">
        <v>9.6052999999999997</v>
      </c>
      <c r="AU838" s="309">
        <v>13.1214</v>
      </c>
      <c r="AV838" s="309">
        <v>15.613300000000001</v>
      </c>
      <c r="AW838" s="309">
        <v>11.600099999999999</v>
      </c>
      <c r="AX838" s="309">
        <v>18.617100000000001</v>
      </c>
      <c r="AY838" s="309">
        <v>15.161099999999999</v>
      </c>
      <c r="AZ838" s="309">
        <v>16.990300000000001</v>
      </c>
      <c r="BA838" s="309">
        <v>13.514699999999999</v>
      </c>
      <c r="BB838" s="309">
        <v>12.0722</v>
      </c>
      <c r="BC838" s="309">
        <v>14.187200000000001</v>
      </c>
      <c r="BD838" s="309">
        <v>11.367100000000001</v>
      </c>
      <c r="BE838" s="309">
        <v>13.8033</v>
      </c>
      <c r="BF838" s="309">
        <v>14.148099999999999</v>
      </c>
      <c r="BG838" s="309">
        <v>18.5198</v>
      </c>
      <c r="BH838" s="309">
        <v>17.7224</v>
      </c>
      <c r="BI838" s="309">
        <v>17.779900000000001</v>
      </c>
      <c r="BJ838" s="309">
        <v>15.518000000000001</v>
      </c>
      <c r="BK838" s="309">
        <v>15.541499999999999</v>
      </c>
    </row>
    <row r="839" spans="1:63" x14ac:dyDescent="0.25">
      <c r="A839" s="306" t="s">
        <v>689</v>
      </c>
      <c r="B839" s="309" t="s">
        <v>690</v>
      </c>
      <c r="C839" s="309">
        <v>17.7424</v>
      </c>
      <c r="D839" s="309">
        <v>5.6741999999999999</v>
      </c>
      <c r="E839" s="309">
        <v>12.8401</v>
      </c>
      <c r="F839" s="309">
        <v>11.931699999999999</v>
      </c>
      <c r="G839" s="309">
        <v>14.177899999999999</v>
      </c>
      <c r="H839" s="309">
        <v>14.1517</v>
      </c>
      <c r="I839" s="309">
        <v>10.1004</v>
      </c>
      <c r="J839" s="309">
        <v>0</v>
      </c>
      <c r="K839" s="309">
        <v>0</v>
      </c>
      <c r="L839" s="309">
        <v>0</v>
      </c>
      <c r="M839" s="309">
        <v>15.041399999999999</v>
      </c>
      <c r="N839" s="309">
        <v>10.957599999999999</v>
      </c>
      <c r="O839" s="309">
        <v>14.0578</v>
      </c>
      <c r="P839" s="309">
        <v>0</v>
      </c>
      <c r="Q839" s="309">
        <v>14.063599999999999</v>
      </c>
      <c r="R839" s="309">
        <v>12.448399999999999</v>
      </c>
      <c r="S839" s="309">
        <v>9.4244000000000003</v>
      </c>
      <c r="T839" s="309">
        <v>0</v>
      </c>
      <c r="U839" s="309">
        <v>18.790700000000001</v>
      </c>
      <c r="V839" s="309">
        <v>10.286199999999999</v>
      </c>
      <c r="W839" s="309">
        <v>7.7991999999999999</v>
      </c>
      <c r="X839" s="309">
        <v>8.2268000000000008</v>
      </c>
      <c r="Y839" s="309">
        <v>11.488899999999999</v>
      </c>
      <c r="Z839" s="309">
        <v>11.268000000000001</v>
      </c>
      <c r="AA839" s="309">
        <v>9.4016000000000002</v>
      </c>
      <c r="AB839" s="309">
        <v>10.829499999999999</v>
      </c>
      <c r="AC839" s="309">
        <v>12.7387</v>
      </c>
      <c r="AD839" s="309">
        <v>12.733499999999999</v>
      </c>
      <c r="AE839" s="309">
        <v>11.198600000000001</v>
      </c>
      <c r="AF839" s="309">
        <v>13.686999999999999</v>
      </c>
      <c r="AG839" s="309">
        <v>12.977600000000001</v>
      </c>
      <c r="AH839" s="309">
        <v>7.1559999999999997</v>
      </c>
      <c r="AI839" s="309">
        <v>5.5111999999999997</v>
      </c>
      <c r="AJ839" s="309">
        <v>13.270099999999999</v>
      </c>
      <c r="AK839" s="309">
        <v>0</v>
      </c>
      <c r="AL839" s="309">
        <v>8.2217000000000002</v>
      </c>
      <c r="AM839" s="309">
        <v>9.9583999999999993</v>
      </c>
      <c r="AN839" s="309">
        <v>10.448700000000001</v>
      </c>
      <c r="AO839" s="309">
        <v>12.7019</v>
      </c>
      <c r="AP839" s="309">
        <v>9.7878000000000007</v>
      </c>
      <c r="AQ839" s="309">
        <v>0</v>
      </c>
      <c r="AR839" s="309">
        <v>12.708500000000001</v>
      </c>
      <c r="AS839" s="309">
        <v>12.8887</v>
      </c>
      <c r="AT839" s="309">
        <v>7.7827000000000002</v>
      </c>
      <c r="AU839" s="309">
        <v>10.88</v>
      </c>
      <c r="AV839" s="309">
        <v>0</v>
      </c>
      <c r="AW839" s="309">
        <v>7.1776999999999997</v>
      </c>
      <c r="AX839" s="309">
        <v>13.6662</v>
      </c>
      <c r="AY839" s="309">
        <v>11.590400000000001</v>
      </c>
      <c r="AZ839" s="309">
        <v>11.8546</v>
      </c>
      <c r="BA839" s="309">
        <v>6.0354000000000001</v>
      </c>
      <c r="BB839" s="309">
        <v>0</v>
      </c>
      <c r="BC839" s="309">
        <v>8.6085999999999991</v>
      </c>
      <c r="BD839" s="309">
        <v>7.7973999999999997</v>
      </c>
      <c r="BE839" s="309">
        <v>10.973000000000001</v>
      </c>
      <c r="BF839" s="309">
        <v>11.7392</v>
      </c>
      <c r="BG839" s="309">
        <v>13.424899999999999</v>
      </c>
      <c r="BH839" s="309">
        <v>13.6281</v>
      </c>
      <c r="BI839" s="309">
        <v>12.110900000000001</v>
      </c>
      <c r="BJ839" s="309">
        <v>14.917</v>
      </c>
      <c r="BK839" s="309">
        <v>12.4323</v>
      </c>
    </row>
    <row r="840" spans="1:63" x14ac:dyDescent="0.25">
      <c r="A840" s="306">
        <v>114100</v>
      </c>
      <c r="B840" s="309" t="s">
        <v>691</v>
      </c>
      <c r="C840" s="309">
        <v>29.9178</v>
      </c>
      <c r="D840" s="309">
        <v>16.1341</v>
      </c>
      <c r="E840" s="309">
        <v>25.632400000000001</v>
      </c>
      <c r="F840" s="309">
        <v>24.0059</v>
      </c>
      <c r="G840" s="309">
        <v>0</v>
      </c>
      <c r="H840" s="309">
        <v>25.961500000000001</v>
      </c>
      <c r="I840" s="309">
        <v>0</v>
      </c>
      <c r="J840" s="309">
        <v>25.285599999999999</v>
      </c>
      <c r="K840" s="309">
        <v>0</v>
      </c>
      <c r="L840" s="309">
        <v>17.6508</v>
      </c>
      <c r="M840" s="309">
        <v>26.127199999999998</v>
      </c>
      <c r="N840" s="309">
        <v>25.086500000000001</v>
      </c>
      <c r="O840" s="309">
        <v>26.0718</v>
      </c>
      <c r="P840" s="309">
        <v>0</v>
      </c>
      <c r="Q840" s="309">
        <v>24.931899999999999</v>
      </c>
      <c r="R840" s="309">
        <v>32.232700000000001</v>
      </c>
      <c r="S840" s="309">
        <v>0</v>
      </c>
      <c r="T840" s="309">
        <v>0</v>
      </c>
      <c r="U840" s="309">
        <v>27.439800000000002</v>
      </c>
      <c r="V840" s="309">
        <v>41.980800000000002</v>
      </c>
      <c r="W840" s="309">
        <v>18.217600000000001</v>
      </c>
      <c r="X840" s="309">
        <v>41.328899999999997</v>
      </c>
      <c r="Y840" s="309">
        <v>30.764800000000001</v>
      </c>
      <c r="Z840" s="309">
        <v>25.742999999999999</v>
      </c>
      <c r="AA840" s="309">
        <v>25.5229</v>
      </c>
      <c r="AB840" s="309">
        <v>0</v>
      </c>
      <c r="AC840" s="309">
        <v>31.763000000000002</v>
      </c>
      <c r="AD840" s="309">
        <v>30.408300000000001</v>
      </c>
      <c r="AE840" s="309">
        <v>25.619299999999999</v>
      </c>
      <c r="AF840" s="309">
        <v>0</v>
      </c>
      <c r="AG840" s="309">
        <v>0</v>
      </c>
      <c r="AH840" s="309">
        <v>19.008199999999999</v>
      </c>
      <c r="AI840" s="309">
        <v>24.507300000000001</v>
      </c>
      <c r="AJ840" s="309">
        <v>0</v>
      </c>
      <c r="AK840" s="309">
        <v>21.1966</v>
      </c>
      <c r="AL840" s="309">
        <v>38.155200000000001</v>
      </c>
      <c r="AM840" s="309">
        <v>26.848600000000001</v>
      </c>
      <c r="AN840" s="309">
        <v>0</v>
      </c>
      <c r="AO840" s="309">
        <v>26.275200000000002</v>
      </c>
      <c r="AP840" s="309">
        <v>22.852699999999999</v>
      </c>
      <c r="AQ840" s="309">
        <v>25.290600000000001</v>
      </c>
      <c r="AR840" s="309">
        <v>44.572000000000003</v>
      </c>
      <c r="AS840" s="309">
        <v>0</v>
      </c>
      <c r="AT840" s="309">
        <v>26.8948</v>
      </c>
      <c r="AU840" s="309">
        <v>27.683199999999999</v>
      </c>
      <c r="AV840" s="309">
        <v>27.410299999999999</v>
      </c>
      <c r="AW840" s="309">
        <v>37.4831</v>
      </c>
      <c r="AX840" s="309">
        <v>0</v>
      </c>
      <c r="AY840" s="309">
        <v>16.816199999999998</v>
      </c>
      <c r="AZ840" s="309">
        <v>25.604900000000001</v>
      </c>
      <c r="BA840" s="309">
        <v>0</v>
      </c>
      <c r="BB840" s="309">
        <v>0</v>
      </c>
      <c r="BC840" s="309">
        <v>24.7455</v>
      </c>
      <c r="BD840" s="309">
        <v>29.127700000000001</v>
      </c>
      <c r="BE840" s="309">
        <v>27.162700000000001</v>
      </c>
      <c r="BF840" s="309">
        <v>24.618500000000001</v>
      </c>
      <c r="BG840" s="309">
        <v>29.561299999999999</v>
      </c>
      <c r="BH840" s="309">
        <v>29.0825</v>
      </c>
      <c r="BI840" s="309">
        <v>33.649000000000001</v>
      </c>
      <c r="BJ840" s="309">
        <v>28.1846</v>
      </c>
      <c r="BK840" s="309">
        <v>23.855399999999999</v>
      </c>
    </row>
    <row r="841" spans="1:63" x14ac:dyDescent="0.25">
      <c r="A841" s="306">
        <v>114200</v>
      </c>
      <c r="B841" s="309" t="s">
        <v>692</v>
      </c>
      <c r="C841" s="309">
        <v>21.0823</v>
      </c>
      <c r="D841" s="309">
        <v>0</v>
      </c>
      <c r="E841" s="309">
        <v>19.803699999999999</v>
      </c>
      <c r="F841" s="309">
        <v>14.951499999999999</v>
      </c>
      <c r="G841" s="309">
        <v>22.378699999999998</v>
      </c>
      <c r="H841" s="309">
        <v>16.478200000000001</v>
      </c>
      <c r="I841" s="309">
        <v>21.637</v>
      </c>
      <c r="J841" s="309">
        <v>11.0372</v>
      </c>
      <c r="K841" s="309">
        <v>0</v>
      </c>
      <c r="L841" s="309">
        <v>0</v>
      </c>
      <c r="M841" s="309">
        <v>16.938700000000001</v>
      </c>
      <c r="N841" s="309">
        <v>14.2439</v>
      </c>
      <c r="O841" s="309">
        <v>11.5124</v>
      </c>
      <c r="P841" s="309">
        <v>14.281000000000001</v>
      </c>
      <c r="Q841" s="309">
        <v>16.030799999999999</v>
      </c>
      <c r="R841" s="309">
        <v>22.391100000000002</v>
      </c>
      <c r="S841" s="309">
        <v>16.665900000000001</v>
      </c>
      <c r="T841" s="309">
        <v>15.046900000000001</v>
      </c>
      <c r="U841" s="309">
        <v>16.835000000000001</v>
      </c>
      <c r="V841" s="309">
        <v>13.2699</v>
      </c>
      <c r="W841" s="309">
        <v>17.0443</v>
      </c>
      <c r="X841" s="309">
        <v>15.847200000000001</v>
      </c>
      <c r="Y841" s="309">
        <v>0</v>
      </c>
      <c r="Z841" s="309">
        <v>22.084099999999999</v>
      </c>
      <c r="AA841" s="309">
        <v>21.4846</v>
      </c>
      <c r="AB841" s="309">
        <v>13.8179</v>
      </c>
      <c r="AC841" s="309">
        <v>12.016400000000001</v>
      </c>
      <c r="AD841" s="309">
        <v>15.5267</v>
      </c>
      <c r="AE841" s="309">
        <v>15.635199999999999</v>
      </c>
      <c r="AF841" s="309">
        <v>20.689699999999998</v>
      </c>
      <c r="AG841" s="309">
        <v>14.773099999999999</v>
      </c>
      <c r="AH841" s="309">
        <v>0</v>
      </c>
      <c r="AI841" s="309">
        <v>15.736599999999999</v>
      </c>
      <c r="AJ841" s="309">
        <v>0</v>
      </c>
      <c r="AK841" s="309">
        <v>14.639099999999999</v>
      </c>
      <c r="AL841" s="309">
        <v>15.2296</v>
      </c>
      <c r="AM841" s="309">
        <v>20.663699999999999</v>
      </c>
      <c r="AN841" s="309">
        <v>16.985900000000001</v>
      </c>
      <c r="AO841" s="309">
        <v>14.0595</v>
      </c>
      <c r="AP841" s="309">
        <v>19.2136</v>
      </c>
      <c r="AQ841" s="309">
        <v>0</v>
      </c>
      <c r="AR841" s="309">
        <v>17.292100000000001</v>
      </c>
      <c r="AS841" s="309">
        <v>18.627800000000001</v>
      </c>
      <c r="AT841" s="309">
        <v>23.2818</v>
      </c>
      <c r="AU841" s="309">
        <v>14.862</v>
      </c>
      <c r="AV841" s="309">
        <v>22.085899999999999</v>
      </c>
      <c r="AW841" s="309">
        <v>13.2636</v>
      </c>
      <c r="AX841" s="309">
        <v>14.5349</v>
      </c>
      <c r="AY841" s="309">
        <v>12.155099999999999</v>
      </c>
      <c r="AZ841" s="309">
        <v>22.303899999999999</v>
      </c>
      <c r="BA841" s="309">
        <v>15.2857</v>
      </c>
      <c r="BB841" s="309">
        <v>16.016500000000001</v>
      </c>
      <c r="BC841" s="309">
        <v>14.6281</v>
      </c>
      <c r="BD841" s="309">
        <v>18.419699999999999</v>
      </c>
      <c r="BE841" s="309">
        <v>22.069800000000001</v>
      </c>
      <c r="BF841" s="309">
        <v>17.679300000000001</v>
      </c>
      <c r="BG841" s="309">
        <v>16.788</v>
      </c>
      <c r="BH841" s="309">
        <v>19.5047</v>
      </c>
      <c r="BI841" s="309">
        <v>16.033000000000001</v>
      </c>
      <c r="BJ841" s="309">
        <v>19.961400000000001</v>
      </c>
      <c r="BK841" s="309">
        <v>14.866</v>
      </c>
    </row>
    <row r="842" spans="1:63" x14ac:dyDescent="0.25">
      <c r="A842" s="306">
        <v>115000</v>
      </c>
      <c r="B842" s="309" t="s">
        <v>19</v>
      </c>
      <c r="C842" s="309">
        <v>32.811100000000003</v>
      </c>
      <c r="D842" s="309">
        <v>24.269100000000002</v>
      </c>
      <c r="E842" s="309">
        <v>27.623000000000001</v>
      </c>
      <c r="F842" s="309">
        <v>23.1004</v>
      </c>
      <c r="G842" s="309">
        <v>26.7928</v>
      </c>
      <c r="H842" s="309">
        <v>25.055700000000002</v>
      </c>
      <c r="I842" s="309">
        <v>29.8062</v>
      </c>
      <c r="J842" s="309">
        <v>29.650099999999998</v>
      </c>
      <c r="K842" s="309">
        <v>0</v>
      </c>
      <c r="L842" s="309">
        <v>26.229700000000001</v>
      </c>
      <c r="M842" s="309">
        <v>30.265799999999999</v>
      </c>
      <c r="N842" s="309">
        <v>29.977900000000002</v>
      </c>
      <c r="O842" s="309">
        <v>34.106999999999999</v>
      </c>
      <c r="P842" s="309">
        <v>28.889399999999998</v>
      </c>
      <c r="Q842" s="309">
        <v>26.142199999999999</v>
      </c>
      <c r="R842" s="309">
        <v>23.031099999999999</v>
      </c>
      <c r="S842" s="309">
        <v>23.693100000000001</v>
      </c>
      <c r="T842" s="309">
        <v>21.8064</v>
      </c>
      <c r="U842" s="309">
        <v>27.747499999999999</v>
      </c>
      <c r="V842" s="309">
        <v>27.828499999999998</v>
      </c>
      <c r="W842" s="309">
        <v>21.6661</v>
      </c>
      <c r="X842" s="309">
        <v>32.486499999999999</v>
      </c>
      <c r="Y842" s="309">
        <v>35.9465</v>
      </c>
      <c r="Z842" s="309">
        <v>34.877000000000002</v>
      </c>
      <c r="AA842" s="309">
        <v>25.654</v>
      </c>
      <c r="AB842" s="309">
        <v>26.358899999999998</v>
      </c>
      <c r="AC842" s="309">
        <v>26.9481</v>
      </c>
      <c r="AD842" s="309">
        <v>26.016999999999999</v>
      </c>
      <c r="AE842" s="309">
        <v>27.057500000000001</v>
      </c>
      <c r="AF842" s="309">
        <v>22.085100000000001</v>
      </c>
      <c r="AG842" s="309">
        <v>23.7989</v>
      </c>
      <c r="AH842" s="309">
        <v>30.597300000000001</v>
      </c>
      <c r="AI842" s="309">
        <v>29.957899999999999</v>
      </c>
      <c r="AJ842" s="309">
        <v>29.8767</v>
      </c>
      <c r="AK842" s="309">
        <v>31.7821</v>
      </c>
      <c r="AL842" s="309">
        <v>21.2074</v>
      </c>
      <c r="AM842" s="309">
        <v>36.483800000000002</v>
      </c>
      <c r="AN842" s="309">
        <v>31.384499999999999</v>
      </c>
      <c r="AO842" s="309">
        <v>27.395199999999999</v>
      </c>
      <c r="AP842" s="309">
        <v>31.588799999999999</v>
      </c>
      <c r="AQ842" s="309">
        <v>33.571899999999999</v>
      </c>
      <c r="AR842" s="309">
        <v>26.481400000000001</v>
      </c>
      <c r="AS842" s="309">
        <v>21.572399999999998</v>
      </c>
      <c r="AT842" s="309">
        <v>31.3308</v>
      </c>
      <c r="AU842" s="309">
        <v>29.3367</v>
      </c>
      <c r="AV842" s="309">
        <v>36.288400000000003</v>
      </c>
      <c r="AW842" s="309">
        <v>32.938000000000002</v>
      </c>
      <c r="AX842" s="309">
        <v>33.201300000000003</v>
      </c>
      <c r="AY842" s="309">
        <v>24.472999999999999</v>
      </c>
      <c r="AZ842" s="309">
        <v>31.941800000000001</v>
      </c>
      <c r="BA842" s="309">
        <v>30.984500000000001</v>
      </c>
      <c r="BB842" s="309">
        <v>28.875599999999999</v>
      </c>
      <c r="BC842" s="309">
        <v>29.184200000000001</v>
      </c>
      <c r="BD842" s="309">
        <v>27.4086</v>
      </c>
      <c r="BE842" s="309">
        <v>30.9558</v>
      </c>
      <c r="BF842" s="309">
        <v>27.159199999999998</v>
      </c>
      <c r="BG842" s="309">
        <v>32.008499999999998</v>
      </c>
      <c r="BH842" s="309">
        <v>30.5123</v>
      </c>
      <c r="BI842" s="309">
        <v>30.020800000000001</v>
      </c>
      <c r="BJ842" s="309">
        <v>30.065899999999999</v>
      </c>
      <c r="BK842" s="309">
        <v>25.732299999999999</v>
      </c>
    </row>
    <row r="843" spans="1:63" x14ac:dyDescent="0.25">
      <c r="A843" s="306">
        <v>211000</v>
      </c>
      <c r="B843" s="309" t="s">
        <v>693</v>
      </c>
      <c r="C843" s="309">
        <v>11.893700000000001</v>
      </c>
      <c r="D843" s="309">
        <v>5.4360999999999997</v>
      </c>
      <c r="E843" s="309">
        <v>7.8261000000000003</v>
      </c>
      <c r="F843" s="309">
        <v>8.7962000000000007</v>
      </c>
      <c r="G843" s="309">
        <v>11.2033</v>
      </c>
      <c r="H843" s="309">
        <v>8.1571999999999996</v>
      </c>
      <c r="I843" s="309">
        <v>8.8150999999999993</v>
      </c>
      <c r="J843" s="309">
        <v>8.2987000000000002</v>
      </c>
      <c r="K843" s="309">
        <v>0</v>
      </c>
      <c r="L843" s="309">
        <v>0</v>
      </c>
      <c r="M843" s="309">
        <v>13.039199999999999</v>
      </c>
      <c r="N843" s="309">
        <v>0</v>
      </c>
      <c r="O843" s="309">
        <v>6.7526999999999999</v>
      </c>
      <c r="P843" s="309">
        <v>0</v>
      </c>
      <c r="Q843" s="309">
        <v>11.7498</v>
      </c>
      <c r="R843" s="309">
        <v>7.4329000000000001</v>
      </c>
      <c r="S843" s="309">
        <v>12.097899999999999</v>
      </c>
      <c r="T843" s="309">
        <v>9.1427999999999994</v>
      </c>
      <c r="U843" s="309">
        <v>9.7439999999999998</v>
      </c>
      <c r="V843" s="309">
        <v>7.6132</v>
      </c>
      <c r="W843" s="309">
        <v>5.8216000000000001</v>
      </c>
      <c r="X843" s="309">
        <v>6.4499000000000004</v>
      </c>
      <c r="Y843" s="309">
        <v>7.2648999999999999</v>
      </c>
      <c r="Z843" s="309">
        <v>10.956899999999999</v>
      </c>
      <c r="AA843" s="309">
        <v>13.720599999999999</v>
      </c>
      <c r="AB843" s="309">
        <v>6.5223000000000004</v>
      </c>
      <c r="AC843" s="309">
        <v>7.1128999999999998</v>
      </c>
      <c r="AD843" s="309">
        <v>8.0267999999999997</v>
      </c>
      <c r="AE843" s="309">
        <v>7.1098999999999997</v>
      </c>
      <c r="AF843" s="309">
        <v>7.8673000000000002</v>
      </c>
      <c r="AG843" s="309">
        <v>10.4901</v>
      </c>
      <c r="AH843" s="309">
        <v>0</v>
      </c>
      <c r="AI843" s="309">
        <v>9.5481999999999996</v>
      </c>
      <c r="AJ843" s="309">
        <v>7.6196999999999999</v>
      </c>
      <c r="AK843" s="309">
        <v>12.1713</v>
      </c>
      <c r="AL843" s="309">
        <v>4.4381000000000004</v>
      </c>
      <c r="AM843" s="309">
        <v>10.3467</v>
      </c>
      <c r="AN843" s="309">
        <v>9.1158000000000001</v>
      </c>
      <c r="AO843" s="309">
        <v>7.6056999999999997</v>
      </c>
      <c r="AP843" s="309">
        <v>9.7157999999999998</v>
      </c>
      <c r="AQ843" s="309">
        <v>12.533300000000001</v>
      </c>
      <c r="AR843" s="309">
        <v>8.0770999999999997</v>
      </c>
      <c r="AS843" s="309">
        <v>4.1127000000000002</v>
      </c>
      <c r="AT843" s="309">
        <v>13.5748</v>
      </c>
      <c r="AU843" s="309">
        <v>8.6181000000000001</v>
      </c>
      <c r="AV843" s="309">
        <v>10.6312</v>
      </c>
      <c r="AW843" s="309">
        <v>9.8040000000000003</v>
      </c>
      <c r="AX843" s="309">
        <v>0</v>
      </c>
      <c r="AY843" s="309">
        <v>0</v>
      </c>
      <c r="AZ843" s="309">
        <v>14.0869</v>
      </c>
      <c r="BA843" s="309">
        <v>9.5548999999999999</v>
      </c>
      <c r="BB843" s="309">
        <v>5.8963999999999999</v>
      </c>
      <c r="BC843" s="309">
        <v>7.9798</v>
      </c>
      <c r="BD843" s="309">
        <v>7.6294000000000004</v>
      </c>
      <c r="BE843" s="309">
        <v>9.7781000000000002</v>
      </c>
      <c r="BF843" s="309">
        <v>10.1333</v>
      </c>
      <c r="BG843" s="309">
        <v>11.105700000000001</v>
      </c>
      <c r="BH843" s="309">
        <v>9.3143999999999991</v>
      </c>
      <c r="BI843" s="309">
        <v>9.1664999999999992</v>
      </c>
      <c r="BJ843" s="309">
        <v>9.5503</v>
      </c>
      <c r="BK843" s="309">
        <v>8.4932999999999996</v>
      </c>
    </row>
    <row r="844" spans="1:63" x14ac:dyDescent="0.25">
      <c r="A844" s="306">
        <v>212100</v>
      </c>
      <c r="B844" s="309" t="s">
        <v>694</v>
      </c>
      <c r="C844" s="309">
        <v>14.542999999999999</v>
      </c>
      <c r="D844" s="309">
        <v>9.5311000000000003</v>
      </c>
      <c r="E844" s="309">
        <v>9.9787999999999997</v>
      </c>
      <c r="F844" s="309">
        <v>5.6616</v>
      </c>
      <c r="G844" s="309">
        <v>8.9945000000000004</v>
      </c>
      <c r="H844" s="309">
        <v>7.1</v>
      </c>
      <c r="I844" s="309">
        <v>10.8444</v>
      </c>
      <c r="J844" s="309">
        <v>0</v>
      </c>
      <c r="K844" s="309">
        <v>0</v>
      </c>
      <c r="L844" s="309">
        <v>0</v>
      </c>
      <c r="M844" s="309">
        <v>0</v>
      </c>
      <c r="N844" s="309">
        <v>8.1524000000000001</v>
      </c>
      <c r="O844" s="309">
        <v>0</v>
      </c>
      <c r="P844" s="309">
        <v>0</v>
      </c>
      <c r="Q844" s="309">
        <v>0</v>
      </c>
      <c r="R844" s="309">
        <v>10.33</v>
      </c>
      <c r="S844" s="309">
        <v>9.1920999999999999</v>
      </c>
      <c r="T844" s="309">
        <v>8.4017999999999997</v>
      </c>
      <c r="U844" s="309">
        <v>10.404299999999999</v>
      </c>
      <c r="V844" s="309">
        <v>8.8431999999999995</v>
      </c>
      <c r="W844" s="309">
        <v>0</v>
      </c>
      <c r="X844" s="309">
        <v>8.2845999999999993</v>
      </c>
      <c r="Y844" s="309">
        <v>0</v>
      </c>
      <c r="Z844" s="309">
        <v>0</v>
      </c>
      <c r="AA844" s="309">
        <v>0</v>
      </c>
      <c r="AB844" s="309">
        <v>7.1257999999999999</v>
      </c>
      <c r="AC844" s="309">
        <v>9.1180000000000003</v>
      </c>
      <c r="AD844" s="309">
        <v>8.0762999999999998</v>
      </c>
      <c r="AE844" s="309">
        <v>14.9026</v>
      </c>
      <c r="AF844" s="309">
        <v>7.2403000000000004</v>
      </c>
      <c r="AG844" s="309">
        <v>0</v>
      </c>
      <c r="AH844" s="309">
        <v>0</v>
      </c>
      <c r="AI844" s="309">
        <v>0</v>
      </c>
      <c r="AJ844" s="309">
        <v>8.3385999999999996</v>
      </c>
      <c r="AK844" s="309">
        <v>0</v>
      </c>
      <c r="AL844" s="309">
        <v>11.7842</v>
      </c>
      <c r="AM844" s="309">
        <v>11.4506</v>
      </c>
      <c r="AN844" s="309">
        <v>10.3216</v>
      </c>
      <c r="AO844" s="309">
        <v>0</v>
      </c>
      <c r="AP844" s="309">
        <v>11.3782</v>
      </c>
      <c r="AQ844" s="309">
        <v>0</v>
      </c>
      <c r="AR844" s="309">
        <v>10.442500000000001</v>
      </c>
      <c r="AS844" s="309">
        <v>0</v>
      </c>
      <c r="AT844" s="309">
        <v>13.2704</v>
      </c>
      <c r="AU844" s="309">
        <v>10.7745</v>
      </c>
      <c r="AV844" s="309">
        <v>13.3752</v>
      </c>
      <c r="AW844" s="309">
        <v>8.3811</v>
      </c>
      <c r="AX844" s="309">
        <v>0</v>
      </c>
      <c r="AY844" s="309">
        <v>10.966100000000001</v>
      </c>
      <c r="AZ844" s="309">
        <v>0</v>
      </c>
      <c r="BA844" s="309">
        <v>8.6491000000000007</v>
      </c>
      <c r="BB844" s="309">
        <v>7.0327999999999999</v>
      </c>
      <c r="BC844" s="309">
        <v>0</v>
      </c>
      <c r="BD844" s="309">
        <v>9.8955000000000002</v>
      </c>
      <c r="BE844" s="309">
        <v>11.176299999999999</v>
      </c>
      <c r="BF844" s="309">
        <v>8.4356000000000009</v>
      </c>
      <c r="BG844" s="309">
        <v>11.0036</v>
      </c>
      <c r="BH844" s="309">
        <v>11.191599999999999</v>
      </c>
      <c r="BI844" s="309">
        <v>11.3207</v>
      </c>
      <c r="BJ844" s="309">
        <v>10.9672</v>
      </c>
      <c r="BK844" s="309">
        <v>11.239800000000001</v>
      </c>
    </row>
    <row r="845" spans="1:63" x14ac:dyDescent="0.25">
      <c r="A845" s="306">
        <v>212210</v>
      </c>
      <c r="B845" s="309" t="s">
        <v>695</v>
      </c>
      <c r="C845" s="309">
        <v>15.1648</v>
      </c>
      <c r="D845" s="309">
        <v>0</v>
      </c>
      <c r="E845" s="309">
        <v>13.519399999999999</v>
      </c>
      <c r="F845" s="309">
        <v>0</v>
      </c>
      <c r="G845" s="309">
        <v>11.120100000000001</v>
      </c>
      <c r="H845" s="309">
        <v>7.9733999999999998</v>
      </c>
      <c r="I845" s="309">
        <v>8.3962000000000003</v>
      </c>
      <c r="J845" s="309">
        <v>0</v>
      </c>
      <c r="K845" s="309">
        <v>0</v>
      </c>
      <c r="L845" s="309">
        <v>0</v>
      </c>
      <c r="M845" s="309">
        <v>6.7451999999999996</v>
      </c>
      <c r="N845" s="309">
        <v>0</v>
      </c>
      <c r="O845" s="309">
        <v>0</v>
      </c>
      <c r="P845" s="309">
        <v>0</v>
      </c>
      <c r="Q845" s="309">
        <v>0</v>
      </c>
      <c r="R845" s="309">
        <v>0</v>
      </c>
      <c r="S845" s="309">
        <v>0</v>
      </c>
      <c r="T845" s="309">
        <v>0</v>
      </c>
      <c r="U845" s="309">
        <v>0</v>
      </c>
      <c r="V845" s="309">
        <v>18.9373</v>
      </c>
      <c r="W845" s="309">
        <v>0</v>
      </c>
      <c r="X845" s="309">
        <v>0</v>
      </c>
      <c r="Y845" s="309">
        <v>0</v>
      </c>
      <c r="Z845" s="309">
        <v>11.1662</v>
      </c>
      <c r="AA845" s="309">
        <v>9.6952999999999996</v>
      </c>
      <c r="AB845" s="309">
        <v>0</v>
      </c>
      <c r="AC845" s="309">
        <v>0</v>
      </c>
      <c r="AD845" s="309">
        <v>9.1477000000000004</v>
      </c>
      <c r="AE845" s="309">
        <v>0</v>
      </c>
      <c r="AF845" s="309">
        <v>0</v>
      </c>
      <c r="AG845" s="309">
        <v>0</v>
      </c>
      <c r="AH845" s="309">
        <v>0</v>
      </c>
      <c r="AI845" s="309">
        <v>0</v>
      </c>
      <c r="AJ845" s="309">
        <v>0</v>
      </c>
      <c r="AK845" s="309">
        <v>10.4374</v>
      </c>
      <c r="AL845" s="309">
        <v>0</v>
      </c>
      <c r="AM845" s="309">
        <v>0</v>
      </c>
      <c r="AN845" s="309">
        <v>0</v>
      </c>
      <c r="AO845" s="309">
        <v>0</v>
      </c>
      <c r="AP845" s="309">
        <v>14.664</v>
      </c>
      <c r="AQ845" s="309">
        <v>0</v>
      </c>
      <c r="AR845" s="309">
        <v>9.1059999999999999</v>
      </c>
      <c r="AS845" s="309">
        <v>0</v>
      </c>
      <c r="AT845" s="309">
        <v>0</v>
      </c>
      <c r="AU845" s="309">
        <v>12.569000000000001</v>
      </c>
      <c r="AV845" s="309">
        <v>0</v>
      </c>
      <c r="AW845" s="309">
        <v>8.2553999999999998</v>
      </c>
      <c r="AX845" s="309">
        <v>0</v>
      </c>
      <c r="AY845" s="309">
        <v>9.4169999999999998</v>
      </c>
      <c r="AZ845" s="309">
        <v>0</v>
      </c>
      <c r="BA845" s="309">
        <v>8.7712000000000003</v>
      </c>
      <c r="BB845" s="309">
        <v>0</v>
      </c>
      <c r="BC845" s="309">
        <v>0</v>
      </c>
      <c r="BD845" s="309">
        <v>13.1204</v>
      </c>
      <c r="BE845" s="309">
        <v>12.355600000000001</v>
      </c>
      <c r="BF845" s="309">
        <v>10.229200000000001</v>
      </c>
      <c r="BG845" s="309">
        <v>11.2935</v>
      </c>
      <c r="BH845" s="309">
        <v>14.075799999999999</v>
      </c>
      <c r="BI845" s="309">
        <v>13.3363</v>
      </c>
      <c r="BJ845" s="309">
        <v>9.6248000000000005</v>
      </c>
      <c r="BK845" s="309">
        <v>9.0593000000000004</v>
      </c>
    </row>
    <row r="846" spans="1:63" x14ac:dyDescent="0.25">
      <c r="A846" s="306">
        <v>212230</v>
      </c>
      <c r="B846" s="309" t="s">
        <v>696</v>
      </c>
      <c r="C846" s="309">
        <v>12.753399999999999</v>
      </c>
      <c r="D846" s="309">
        <v>8.1168999999999993</v>
      </c>
      <c r="E846" s="309">
        <v>0</v>
      </c>
      <c r="F846" s="309">
        <v>0</v>
      </c>
      <c r="G846" s="309">
        <v>8.2522000000000002</v>
      </c>
      <c r="H846" s="309">
        <v>0</v>
      </c>
      <c r="I846" s="309">
        <v>8.3560999999999996</v>
      </c>
      <c r="J846" s="309">
        <v>0</v>
      </c>
      <c r="K846" s="309">
        <v>0</v>
      </c>
      <c r="L846" s="309">
        <v>0</v>
      </c>
      <c r="M846" s="309">
        <v>0</v>
      </c>
      <c r="N846" s="309">
        <v>0</v>
      </c>
      <c r="O846" s="309">
        <v>0</v>
      </c>
      <c r="P846" s="309">
        <v>0</v>
      </c>
      <c r="Q846" s="309">
        <v>11.1213</v>
      </c>
      <c r="R846" s="309">
        <v>0</v>
      </c>
      <c r="S846" s="309">
        <v>0</v>
      </c>
      <c r="T846" s="309">
        <v>0</v>
      </c>
      <c r="U846" s="309">
        <v>0</v>
      </c>
      <c r="V846" s="309">
        <v>5.9386999999999999</v>
      </c>
      <c r="W846" s="309">
        <v>0</v>
      </c>
      <c r="X846" s="309">
        <v>0</v>
      </c>
      <c r="Y846" s="309">
        <v>0</v>
      </c>
      <c r="Z846" s="309">
        <v>8.2370000000000001</v>
      </c>
      <c r="AA846" s="309">
        <v>8.1788000000000007</v>
      </c>
      <c r="AB846" s="309">
        <v>8.8842999999999996</v>
      </c>
      <c r="AC846" s="309">
        <v>0</v>
      </c>
      <c r="AD846" s="309">
        <v>7.0460000000000003</v>
      </c>
      <c r="AE846" s="309">
        <v>0</v>
      </c>
      <c r="AF846" s="309">
        <v>0</v>
      </c>
      <c r="AG846" s="309">
        <v>0</v>
      </c>
      <c r="AH846" s="309">
        <v>0</v>
      </c>
      <c r="AI846" s="309">
        <v>0</v>
      </c>
      <c r="AJ846" s="309">
        <v>8.8673000000000002</v>
      </c>
      <c r="AK846" s="309">
        <v>7.8757000000000001</v>
      </c>
      <c r="AL846" s="309">
        <v>5.4587000000000003</v>
      </c>
      <c r="AM846" s="309">
        <v>0</v>
      </c>
      <c r="AN846" s="309">
        <v>12.3567</v>
      </c>
      <c r="AO846" s="309">
        <v>0</v>
      </c>
      <c r="AP846" s="309">
        <v>0</v>
      </c>
      <c r="AQ846" s="309">
        <v>0</v>
      </c>
      <c r="AR846" s="309">
        <v>0</v>
      </c>
      <c r="AS846" s="309">
        <v>7.4847999999999999</v>
      </c>
      <c r="AT846" s="309">
        <v>10.3756</v>
      </c>
      <c r="AU846" s="309">
        <v>0</v>
      </c>
      <c r="AV846" s="309">
        <v>11.6511</v>
      </c>
      <c r="AW846" s="309">
        <v>0</v>
      </c>
      <c r="AX846" s="309">
        <v>7.0571999999999999</v>
      </c>
      <c r="AY846" s="309">
        <v>7.7380000000000004</v>
      </c>
      <c r="AZ846" s="309">
        <v>0</v>
      </c>
      <c r="BA846" s="309">
        <v>0</v>
      </c>
      <c r="BB846" s="309">
        <v>0</v>
      </c>
      <c r="BC846" s="309">
        <v>8.2284000000000006</v>
      </c>
      <c r="BD846" s="309">
        <v>9.7678999999999991</v>
      </c>
      <c r="BE846" s="309">
        <v>8.9809999999999999</v>
      </c>
      <c r="BF846" s="309">
        <v>8.73</v>
      </c>
      <c r="BG846" s="309">
        <v>0</v>
      </c>
      <c r="BH846" s="309">
        <v>10.887499999999999</v>
      </c>
      <c r="BI846" s="309">
        <v>8.1715999999999998</v>
      </c>
      <c r="BJ846" s="309">
        <v>10.300700000000001</v>
      </c>
      <c r="BK846" s="309">
        <v>9.1692999999999998</v>
      </c>
    </row>
    <row r="847" spans="1:63" x14ac:dyDescent="0.25">
      <c r="A847" s="306" t="s">
        <v>697</v>
      </c>
      <c r="B847" s="309" t="s">
        <v>698</v>
      </c>
      <c r="C847" s="309">
        <v>16.043900000000001</v>
      </c>
      <c r="D847" s="309">
        <v>10.6815</v>
      </c>
      <c r="E847" s="309">
        <v>14.212899999999999</v>
      </c>
      <c r="F847" s="309">
        <v>11.545400000000001</v>
      </c>
      <c r="G847" s="309">
        <v>10.0573</v>
      </c>
      <c r="H847" s="309">
        <v>9.9179999999999993</v>
      </c>
      <c r="I847" s="309">
        <v>11.5</v>
      </c>
      <c r="J847" s="309">
        <v>0</v>
      </c>
      <c r="K847" s="309">
        <v>0</v>
      </c>
      <c r="L847" s="309">
        <v>0</v>
      </c>
      <c r="M847" s="309">
        <v>10.2615</v>
      </c>
      <c r="N847" s="309">
        <v>0</v>
      </c>
      <c r="O847" s="309">
        <v>0</v>
      </c>
      <c r="P847" s="309">
        <v>0</v>
      </c>
      <c r="Q847" s="309">
        <v>10.761200000000001</v>
      </c>
      <c r="R847" s="309">
        <v>8.3239999999999998</v>
      </c>
      <c r="S847" s="309">
        <v>0</v>
      </c>
      <c r="T847" s="309">
        <v>0</v>
      </c>
      <c r="U847" s="309">
        <v>0</v>
      </c>
      <c r="V847" s="309">
        <v>8.5325000000000006</v>
      </c>
      <c r="W847" s="309">
        <v>0</v>
      </c>
      <c r="X847" s="309">
        <v>0</v>
      </c>
      <c r="Y847" s="309">
        <v>0</v>
      </c>
      <c r="Z847" s="309">
        <v>0</v>
      </c>
      <c r="AA847" s="309">
        <v>0</v>
      </c>
      <c r="AB847" s="309">
        <v>9.8173999999999992</v>
      </c>
      <c r="AC847" s="309">
        <v>0</v>
      </c>
      <c r="AD847" s="309">
        <v>11.0938</v>
      </c>
      <c r="AE847" s="309">
        <v>13.6411</v>
      </c>
      <c r="AF847" s="309">
        <v>0</v>
      </c>
      <c r="AG847" s="309">
        <v>7.1829000000000001</v>
      </c>
      <c r="AH847" s="309">
        <v>0</v>
      </c>
      <c r="AI847" s="309">
        <v>0</v>
      </c>
      <c r="AJ847" s="309">
        <v>10.9605</v>
      </c>
      <c r="AK847" s="309">
        <v>10.1593</v>
      </c>
      <c r="AL847" s="309">
        <v>4.7939999999999996</v>
      </c>
      <c r="AM847" s="309">
        <v>0</v>
      </c>
      <c r="AN847" s="309">
        <v>11.7857</v>
      </c>
      <c r="AO847" s="309">
        <v>12.877700000000001</v>
      </c>
      <c r="AP847" s="309">
        <v>11.4643</v>
      </c>
      <c r="AQ847" s="309">
        <v>0</v>
      </c>
      <c r="AR847" s="309">
        <v>11.382199999999999</v>
      </c>
      <c r="AS847" s="309">
        <v>10.029299999999999</v>
      </c>
      <c r="AT847" s="309">
        <v>0</v>
      </c>
      <c r="AU847" s="309">
        <v>13.357900000000001</v>
      </c>
      <c r="AV847" s="309">
        <v>16.098099999999999</v>
      </c>
      <c r="AW847" s="309">
        <v>10.0175</v>
      </c>
      <c r="AX847" s="309">
        <v>0</v>
      </c>
      <c r="AY847" s="309">
        <v>12.680099999999999</v>
      </c>
      <c r="AZ847" s="309">
        <v>0</v>
      </c>
      <c r="BA847" s="309">
        <v>9.7783999999999995</v>
      </c>
      <c r="BB847" s="309">
        <v>9.0151000000000003</v>
      </c>
      <c r="BC847" s="309">
        <v>0</v>
      </c>
      <c r="BD847" s="309">
        <v>9.7379999999999995</v>
      </c>
      <c r="BE847" s="309">
        <v>11.3757</v>
      </c>
      <c r="BF847" s="309">
        <v>10.869300000000001</v>
      </c>
      <c r="BG847" s="309">
        <v>11.455500000000001</v>
      </c>
      <c r="BH847" s="309">
        <v>14.2576</v>
      </c>
      <c r="BI847" s="309">
        <v>13.1587</v>
      </c>
      <c r="BJ847" s="309">
        <v>12.7417</v>
      </c>
      <c r="BK847" s="309">
        <v>12.041499999999999</v>
      </c>
    </row>
    <row r="848" spans="1:63" x14ac:dyDescent="0.25">
      <c r="A848" s="306">
        <v>212310</v>
      </c>
      <c r="B848" s="309" t="s">
        <v>699</v>
      </c>
      <c r="C848" s="309">
        <v>17.53</v>
      </c>
      <c r="D848" s="309">
        <v>11.6973</v>
      </c>
      <c r="E848" s="309">
        <v>11.8523</v>
      </c>
      <c r="F848" s="309">
        <v>13.2575</v>
      </c>
      <c r="G848" s="309">
        <v>11.492900000000001</v>
      </c>
      <c r="H848" s="309">
        <v>13.3344</v>
      </c>
      <c r="I848" s="309">
        <v>15.5189</v>
      </c>
      <c r="J848" s="309">
        <v>11.2601</v>
      </c>
      <c r="K848" s="309">
        <v>0</v>
      </c>
      <c r="L848" s="309">
        <v>0</v>
      </c>
      <c r="M848" s="309">
        <v>12.1898</v>
      </c>
      <c r="N848" s="309">
        <v>13.0528</v>
      </c>
      <c r="O848" s="309">
        <v>9.5176999999999996</v>
      </c>
      <c r="P848" s="309">
        <v>10.605600000000001</v>
      </c>
      <c r="Q848" s="309">
        <v>15.282999999999999</v>
      </c>
      <c r="R848" s="309">
        <v>12.029400000000001</v>
      </c>
      <c r="S848" s="309">
        <v>11.3978</v>
      </c>
      <c r="T848" s="309">
        <v>11.279400000000001</v>
      </c>
      <c r="U848" s="309">
        <v>12.7852</v>
      </c>
      <c r="V848" s="309">
        <v>15.0474</v>
      </c>
      <c r="W848" s="309">
        <v>9.2746999999999993</v>
      </c>
      <c r="X848" s="309">
        <v>10.084</v>
      </c>
      <c r="Y848" s="309">
        <v>12.704499999999999</v>
      </c>
      <c r="Z848" s="309">
        <v>12.874000000000001</v>
      </c>
      <c r="AA848" s="309">
        <v>11.6854</v>
      </c>
      <c r="AB848" s="309">
        <v>12.819699999999999</v>
      </c>
      <c r="AC848" s="309">
        <v>13.646599999999999</v>
      </c>
      <c r="AD848" s="309">
        <v>13.346399999999999</v>
      </c>
      <c r="AE848" s="309">
        <v>12.000400000000001</v>
      </c>
      <c r="AF848" s="309">
        <v>0</v>
      </c>
      <c r="AG848" s="309">
        <v>8.6570999999999998</v>
      </c>
      <c r="AH848" s="309">
        <v>12.571400000000001</v>
      </c>
      <c r="AI848" s="309">
        <v>8.8911999999999995</v>
      </c>
      <c r="AJ848" s="309">
        <v>13.4963</v>
      </c>
      <c r="AK848" s="309">
        <v>11.8055</v>
      </c>
      <c r="AL848" s="309">
        <v>10.230700000000001</v>
      </c>
      <c r="AM848" s="309">
        <v>13.8986</v>
      </c>
      <c r="AN848" s="309">
        <v>15.4903</v>
      </c>
      <c r="AO848" s="309">
        <v>14.789099999999999</v>
      </c>
      <c r="AP848" s="309">
        <v>14.866199999999999</v>
      </c>
      <c r="AQ848" s="309">
        <v>9.0791000000000004</v>
      </c>
      <c r="AR848" s="309">
        <v>13.8027</v>
      </c>
      <c r="AS848" s="309">
        <v>12.126099999999999</v>
      </c>
      <c r="AT848" s="309">
        <v>14.937200000000001</v>
      </c>
      <c r="AU848" s="309">
        <v>14.577400000000001</v>
      </c>
      <c r="AV848" s="309">
        <v>17.734100000000002</v>
      </c>
      <c r="AW848" s="309">
        <v>10.6213</v>
      </c>
      <c r="AX848" s="309">
        <v>12.9834</v>
      </c>
      <c r="AY848" s="309">
        <v>15.3348</v>
      </c>
      <c r="AZ848" s="309">
        <v>13.3804</v>
      </c>
      <c r="BA848" s="309">
        <v>11.565300000000001</v>
      </c>
      <c r="BB848" s="309">
        <v>10.023899999999999</v>
      </c>
      <c r="BC848" s="309">
        <v>12.571999999999999</v>
      </c>
      <c r="BD848" s="309">
        <v>13.3249</v>
      </c>
      <c r="BE848" s="309">
        <v>13.930999999999999</v>
      </c>
      <c r="BF848" s="309">
        <v>12.745799999999999</v>
      </c>
      <c r="BG848" s="309">
        <v>13.860300000000001</v>
      </c>
      <c r="BH848" s="309">
        <v>13.9152</v>
      </c>
      <c r="BI848" s="309">
        <v>15.491099999999999</v>
      </c>
      <c r="BJ848" s="309">
        <v>14.793799999999999</v>
      </c>
      <c r="BK848" s="309">
        <v>14.172000000000001</v>
      </c>
    </row>
    <row r="849" spans="1:63" x14ac:dyDescent="0.25">
      <c r="A849" s="306">
        <v>212320</v>
      </c>
      <c r="B849" s="309" t="s">
        <v>700</v>
      </c>
      <c r="C849" s="309">
        <v>18.535900000000002</v>
      </c>
      <c r="D849" s="309">
        <v>13.028499999999999</v>
      </c>
      <c r="E849" s="309">
        <v>13.7166</v>
      </c>
      <c r="F849" s="309">
        <v>13.6561</v>
      </c>
      <c r="G849" s="309">
        <v>13.207700000000001</v>
      </c>
      <c r="H849" s="309">
        <v>13.368399999999999</v>
      </c>
      <c r="I849" s="309">
        <v>14.8863</v>
      </c>
      <c r="J849" s="309">
        <v>9.3727</v>
      </c>
      <c r="K849" s="309">
        <v>0</v>
      </c>
      <c r="L849" s="309">
        <v>7.1035000000000004</v>
      </c>
      <c r="M849" s="309">
        <v>12.768800000000001</v>
      </c>
      <c r="N849" s="309">
        <v>12.9529</v>
      </c>
      <c r="O849" s="309">
        <v>9.5754000000000001</v>
      </c>
      <c r="P849" s="309">
        <v>11.2287</v>
      </c>
      <c r="Q849" s="309">
        <v>14.3285</v>
      </c>
      <c r="R849" s="309">
        <v>12.1694</v>
      </c>
      <c r="S849" s="309">
        <v>11.8558</v>
      </c>
      <c r="T849" s="309">
        <v>11.1249</v>
      </c>
      <c r="U849" s="309">
        <v>13.7959</v>
      </c>
      <c r="V849" s="309">
        <v>13.781700000000001</v>
      </c>
      <c r="W849" s="309">
        <v>10.420400000000001</v>
      </c>
      <c r="X849" s="309">
        <v>10.1576</v>
      </c>
      <c r="Y849" s="309">
        <v>10.173299999999999</v>
      </c>
      <c r="Z849" s="309">
        <v>13.9528</v>
      </c>
      <c r="AA849" s="309">
        <v>12.6532</v>
      </c>
      <c r="AB849" s="309">
        <v>12.963900000000001</v>
      </c>
      <c r="AC849" s="309">
        <v>13.057499999999999</v>
      </c>
      <c r="AD849" s="309">
        <v>11.805099999999999</v>
      </c>
      <c r="AE849" s="309">
        <v>14.1676</v>
      </c>
      <c r="AF849" s="309">
        <v>9.9184999999999999</v>
      </c>
      <c r="AG849" s="309">
        <v>9.0905000000000005</v>
      </c>
      <c r="AH849" s="309">
        <v>14.5601</v>
      </c>
      <c r="AI849" s="309">
        <v>9.3557000000000006</v>
      </c>
      <c r="AJ849" s="309">
        <v>13.8222</v>
      </c>
      <c r="AK849" s="309">
        <v>12.3226</v>
      </c>
      <c r="AL849" s="309">
        <v>10.7974</v>
      </c>
      <c r="AM849" s="309">
        <v>15.7835</v>
      </c>
      <c r="AN849" s="309">
        <v>15.766400000000001</v>
      </c>
      <c r="AO849" s="309">
        <v>13.948</v>
      </c>
      <c r="AP849" s="309">
        <v>16.2879</v>
      </c>
      <c r="AQ849" s="309">
        <v>10.250999999999999</v>
      </c>
      <c r="AR849" s="309">
        <v>14.27</v>
      </c>
      <c r="AS849" s="309">
        <v>10.962400000000001</v>
      </c>
      <c r="AT849" s="309">
        <v>11.9245</v>
      </c>
      <c r="AU849" s="309">
        <v>14.415800000000001</v>
      </c>
      <c r="AV849" s="309">
        <v>18.9239</v>
      </c>
      <c r="AW849" s="309">
        <v>10.852600000000001</v>
      </c>
      <c r="AX849" s="309">
        <v>12.5481</v>
      </c>
      <c r="AY849" s="309">
        <v>14.4404</v>
      </c>
      <c r="AZ849" s="309">
        <v>12.538500000000001</v>
      </c>
      <c r="BA849" s="309">
        <v>9.6846999999999994</v>
      </c>
      <c r="BB849" s="309">
        <v>10.1142</v>
      </c>
      <c r="BC849" s="309">
        <v>12.5326</v>
      </c>
      <c r="BD849" s="309">
        <v>13.4237</v>
      </c>
      <c r="BE849" s="309">
        <v>14.625299999999999</v>
      </c>
      <c r="BF849" s="309">
        <v>12.8384</v>
      </c>
      <c r="BG849" s="309">
        <v>14.4701</v>
      </c>
      <c r="BH849" s="309">
        <v>14.3866</v>
      </c>
      <c r="BI849" s="309">
        <v>15.2676</v>
      </c>
      <c r="BJ849" s="309">
        <v>15.5479</v>
      </c>
      <c r="BK849" s="309">
        <v>14.166399999999999</v>
      </c>
    </row>
    <row r="850" spans="1:63" x14ac:dyDescent="0.25">
      <c r="A850" s="306">
        <v>212390</v>
      </c>
      <c r="B850" s="309" t="s">
        <v>701</v>
      </c>
      <c r="C850" s="309">
        <v>15.3087</v>
      </c>
      <c r="D850" s="309">
        <v>8.1800999999999995</v>
      </c>
      <c r="E850" s="309">
        <v>15.444000000000001</v>
      </c>
      <c r="F850" s="309">
        <v>12.5602</v>
      </c>
      <c r="G850" s="309">
        <v>10.992599999999999</v>
      </c>
      <c r="H850" s="309">
        <v>11.269500000000001</v>
      </c>
      <c r="I850" s="309">
        <v>10.3627</v>
      </c>
      <c r="J850" s="309">
        <v>7.6547999999999998</v>
      </c>
      <c r="K850" s="309">
        <v>0</v>
      </c>
      <c r="L850" s="309">
        <v>0</v>
      </c>
      <c r="M850" s="309">
        <v>9.5051000000000005</v>
      </c>
      <c r="N850" s="309">
        <v>11.7967</v>
      </c>
      <c r="O850" s="309">
        <v>8.3634000000000004</v>
      </c>
      <c r="P850" s="309">
        <v>10.464499999999999</v>
      </c>
      <c r="Q850" s="309">
        <v>11.3748</v>
      </c>
      <c r="R850" s="309">
        <v>12.126799999999999</v>
      </c>
      <c r="S850" s="309">
        <v>9.3024000000000004</v>
      </c>
      <c r="T850" s="309">
        <v>8.9123999999999999</v>
      </c>
      <c r="U850" s="309">
        <v>0</v>
      </c>
      <c r="V850" s="309">
        <v>10.4147</v>
      </c>
      <c r="W850" s="309">
        <v>0</v>
      </c>
      <c r="X850" s="309">
        <v>9.0841999999999992</v>
      </c>
      <c r="Y850" s="309">
        <v>11.794</v>
      </c>
      <c r="Z850" s="309">
        <v>12.8172</v>
      </c>
      <c r="AA850" s="309">
        <v>14.7258</v>
      </c>
      <c r="AB850" s="309">
        <v>11.9392</v>
      </c>
      <c r="AC850" s="309">
        <v>13.4503</v>
      </c>
      <c r="AD850" s="309">
        <v>9.6661000000000001</v>
      </c>
      <c r="AE850" s="309">
        <v>11.1151</v>
      </c>
      <c r="AF850" s="309">
        <v>0</v>
      </c>
      <c r="AG850" s="309">
        <v>7.1519000000000004</v>
      </c>
      <c r="AH850" s="309">
        <v>13.9099</v>
      </c>
      <c r="AI850" s="309">
        <v>7.7392000000000003</v>
      </c>
      <c r="AJ850" s="309">
        <v>10.2493</v>
      </c>
      <c r="AK850" s="309">
        <v>10.4238</v>
      </c>
      <c r="AL850" s="309">
        <v>8.5747999999999998</v>
      </c>
      <c r="AM850" s="309">
        <v>12.285299999999999</v>
      </c>
      <c r="AN850" s="309">
        <v>13.2829</v>
      </c>
      <c r="AO850" s="309">
        <v>13.5037</v>
      </c>
      <c r="AP850" s="309">
        <v>15.136799999999999</v>
      </c>
      <c r="AQ850" s="309">
        <v>0</v>
      </c>
      <c r="AR850" s="309">
        <v>12.221399999999999</v>
      </c>
      <c r="AS850" s="309">
        <v>12.101800000000001</v>
      </c>
      <c r="AT850" s="309">
        <v>15.319599999999999</v>
      </c>
      <c r="AU850" s="309">
        <v>11.6029</v>
      </c>
      <c r="AV850" s="309">
        <v>13.673999999999999</v>
      </c>
      <c r="AW850" s="309">
        <v>8.5715000000000003</v>
      </c>
      <c r="AX850" s="309">
        <v>9.3965999999999994</v>
      </c>
      <c r="AY850" s="309">
        <v>12.6356</v>
      </c>
      <c r="AZ850" s="309">
        <v>10.8064</v>
      </c>
      <c r="BA850" s="309">
        <v>8.0145</v>
      </c>
      <c r="BB850" s="309">
        <v>7.1440000000000001</v>
      </c>
      <c r="BC850" s="309">
        <v>10.9641</v>
      </c>
      <c r="BD850" s="309">
        <v>10.8812</v>
      </c>
      <c r="BE850" s="309">
        <v>12.3916</v>
      </c>
      <c r="BF850" s="309">
        <v>11.331300000000001</v>
      </c>
      <c r="BG850" s="309">
        <v>11.7751</v>
      </c>
      <c r="BH850" s="309">
        <v>16.252300000000002</v>
      </c>
      <c r="BI850" s="309">
        <v>12.416700000000001</v>
      </c>
      <c r="BJ850" s="309">
        <v>11.611800000000001</v>
      </c>
      <c r="BK850" s="309">
        <v>11.9247</v>
      </c>
    </row>
    <row r="851" spans="1:63" x14ac:dyDescent="0.25">
      <c r="A851" s="306">
        <v>213111</v>
      </c>
      <c r="B851" s="309" t="s">
        <v>20</v>
      </c>
      <c r="C851" s="309">
        <v>14.664300000000001</v>
      </c>
      <c r="D851" s="309">
        <v>5.9569999999999999</v>
      </c>
      <c r="E851" s="309">
        <v>9.0375999999999994</v>
      </c>
      <c r="F851" s="309">
        <v>9.2787000000000006</v>
      </c>
      <c r="G851" s="309">
        <v>8.23</v>
      </c>
      <c r="H851" s="309">
        <v>9.3541000000000007</v>
      </c>
      <c r="I851" s="309">
        <v>10.032400000000001</v>
      </c>
      <c r="J851" s="309">
        <v>10.8371</v>
      </c>
      <c r="K851" s="309">
        <v>0</v>
      </c>
      <c r="L851" s="309">
        <v>9.8556000000000008</v>
      </c>
      <c r="M851" s="309">
        <v>13.891</v>
      </c>
      <c r="N851" s="309">
        <v>13.5342</v>
      </c>
      <c r="O851" s="309">
        <v>0</v>
      </c>
      <c r="P851" s="309">
        <v>10.9467</v>
      </c>
      <c r="Q851" s="309">
        <v>13.002700000000001</v>
      </c>
      <c r="R851" s="309">
        <v>13.4224</v>
      </c>
      <c r="S851" s="309">
        <v>14.4663</v>
      </c>
      <c r="T851" s="309">
        <v>9.9506999999999994</v>
      </c>
      <c r="U851" s="309">
        <v>12.112500000000001</v>
      </c>
      <c r="V851" s="309">
        <v>9.5073000000000008</v>
      </c>
      <c r="W851" s="309">
        <v>11.516400000000001</v>
      </c>
      <c r="X851" s="309">
        <v>10.673400000000001</v>
      </c>
      <c r="Y851" s="309">
        <v>13.9777</v>
      </c>
      <c r="Z851" s="309">
        <v>12.1915</v>
      </c>
      <c r="AA851" s="309">
        <v>9.0350000000000001</v>
      </c>
      <c r="AB851" s="309">
        <v>10.3963</v>
      </c>
      <c r="AC851" s="309">
        <v>8.9802</v>
      </c>
      <c r="AD851" s="309">
        <v>8.7987000000000002</v>
      </c>
      <c r="AE851" s="309">
        <v>13.2446</v>
      </c>
      <c r="AF851" s="309">
        <v>7.0641999999999996</v>
      </c>
      <c r="AG851" s="309">
        <v>9.5046999999999997</v>
      </c>
      <c r="AH851" s="309">
        <v>8.8462999999999994</v>
      </c>
      <c r="AI851" s="309">
        <v>10.598599999999999</v>
      </c>
      <c r="AJ851" s="309">
        <v>8.6445000000000007</v>
      </c>
      <c r="AK851" s="309">
        <v>10.657999999999999</v>
      </c>
      <c r="AL851" s="309">
        <v>6.1798000000000002</v>
      </c>
      <c r="AM851" s="309">
        <v>12.9779</v>
      </c>
      <c r="AN851" s="309">
        <v>10.641999999999999</v>
      </c>
      <c r="AO851" s="309">
        <v>15.0565</v>
      </c>
      <c r="AP851" s="309">
        <v>11.368</v>
      </c>
      <c r="AQ851" s="309">
        <v>9.4161999999999999</v>
      </c>
      <c r="AR851" s="309">
        <v>10.287599999999999</v>
      </c>
      <c r="AS851" s="309">
        <v>7.9819000000000004</v>
      </c>
      <c r="AT851" s="309">
        <v>9.7129999999999992</v>
      </c>
      <c r="AU851" s="309">
        <v>10.801399999999999</v>
      </c>
      <c r="AV851" s="309">
        <v>12.199</v>
      </c>
      <c r="AW851" s="309">
        <v>9.8353000000000002</v>
      </c>
      <c r="AX851" s="309">
        <v>0</v>
      </c>
      <c r="AY851" s="309">
        <v>12.5306</v>
      </c>
      <c r="AZ851" s="309">
        <v>14.7468</v>
      </c>
      <c r="BA851" s="309">
        <v>9.1051000000000002</v>
      </c>
      <c r="BB851" s="309">
        <v>6.7502000000000004</v>
      </c>
      <c r="BC851" s="309">
        <v>14.001799999999999</v>
      </c>
      <c r="BD851" s="309">
        <v>10.0875</v>
      </c>
      <c r="BE851" s="309">
        <v>14.023400000000001</v>
      </c>
      <c r="BF851" s="309">
        <v>10.8066</v>
      </c>
      <c r="BG851" s="309">
        <v>12.043900000000001</v>
      </c>
      <c r="BH851" s="309">
        <v>11.3188</v>
      </c>
      <c r="BI851" s="309">
        <v>11.545400000000001</v>
      </c>
      <c r="BJ851" s="309">
        <v>10.3804</v>
      </c>
      <c r="BK851" s="309">
        <v>9.6823999999999995</v>
      </c>
    </row>
    <row r="852" spans="1:63" x14ac:dyDescent="0.25">
      <c r="A852" s="306">
        <v>213112</v>
      </c>
      <c r="B852" s="309" t="s">
        <v>21</v>
      </c>
      <c r="C852" s="309">
        <v>18.064800000000002</v>
      </c>
      <c r="D852" s="309">
        <v>7.5572999999999997</v>
      </c>
      <c r="E852" s="309">
        <v>10.8965</v>
      </c>
      <c r="F852" s="309">
        <v>11.709899999999999</v>
      </c>
      <c r="G852" s="309">
        <v>13.8124</v>
      </c>
      <c r="H852" s="309">
        <v>12.5398</v>
      </c>
      <c r="I852" s="309">
        <v>12.9398</v>
      </c>
      <c r="J852" s="309">
        <v>8.7138000000000009</v>
      </c>
      <c r="K852" s="309">
        <v>0</v>
      </c>
      <c r="L852" s="309">
        <v>0</v>
      </c>
      <c r="M852" s="309">
        <v>16.9589</v>
      </c>
      <c r="N852" s="309">
        <v>10.5341</v>
      </c>
      <c r="O852" s="309">
        <v>21.6663</v>
      </c>
      <c r="P852" s="309">
        <v>8.3808000000000007</v>
      </c>
      <c r="Q852" s="309">
        <v>11.321099999999999</v>
      </c>
      <c r="R852" s="309">
        <v>17.033999999999999</v>
      </c>
      <c r="S852" s="309">
        <v>17.147099999999998</v>
      </c>
      <c r="T852" s="309">
        <v>12.307700000000001</v>
      </c>
      <c r="U852" s="309">
        <v>14.4498</v>
      </c>
      <c r="V852" s="309">
        <v>11.367800000000001</v>
      </c>
      <c r="W852" s="309">
        <v>14.263</v>
      </c>
      <c r="X852" s="309">
        <v>13.020200000000001</v>
      </c>
      <c r="Y852" s="309">
        <v>0</v>
      </c>
      <c r="Z852" s="309">
        <v>14.656499999999999</v>
      </c>
      <c r="AA852" s="309">
        <v>13.079800000000001</v>
      </c>
      <c r="AB852" s="309">
        <v>10.1899</v>
      </c>
      <c r="AC852" s="309">
        <v>12.2166</v>
      </c>
      <c r="AD852" s="309">
        <v>11.0015</v>
      </c>
      <c r="AE852" s="309">
        <v>13.48</v>
      </c>
      <c r="AF852" s="309">
        <v>8.9983000000000004</v>
      </c>
      <c r="AG852" s="309">
        <v>10.7933</v>
      </c>
      <c r="AH852" s="309">
        <v>0</v>
      </c>
      <c r="AI852" s="309">
        <v>13.008699999999999</v>
      </c>
      <c r="AJ852" s="309">
        <v>11.538399999999999</v>
      </c>
      <c r="AK852" s="309">
        <v>13.4697</v>
      </c>
      <c r="AL852" s="309">
        <v>9.7459000000000007</v>
      </c>
      <c r="AM852" s="309">
        <v>14.3262</v>
      </c>
      <c r="AN852" s="309">
        <v>13.066599999999999</v>
      </c>
      <c r="AO852" s="309">
        <v>22.622800000000002</v>
      </c>
      <c r="AP852" s="309">
        <v>14.307499999999999</v>
      </c>
      <c r="AQ852" s="309">
        <v>0</v>
      </c>
      <c r="AR852" s="309">
        <v>12.886200000000001</v>
      </c>
      <c r="AS852" s="309">
        <v>14.2035</v>
      </c>
      <c r="AT852" s="309">
        <v>10.4415</v>
      </c>
      <c r="AU852" s="309">
        <v>13.3994</v>
      </c>
      <c r="AV852" s="309">
        <v>16.351099999999999</v>
      </c>
      <c r="AW852" s="309">
        <v>12.658799999999999</v>
      </c>
      <c r="AX852" s="309">
        <v>0</v>
      </c>
      <c r="AY852" s="309">
        <v>15.139799999999999</v>
      </c>
      <c r="AZ852" s="309">
        <v>14.7043</v>
      </c>
      <c r="BA852" s="309">
        <v>12.539199999999999</v>
      </c>
      <c r="BB852" s="309">
        <v>9.1196999999999999</v>
      </c>
      <c r="BC852" s="309">
        <v>13.615</v>
      </c>
      <c r="BD852" s="309">
        <v>13.513999999999999</v>
      </c>
      <c r="BE852" s="309">
        <v>16.0303</v>
      </c>
      <c r="BF852" s="309">
        <v>13.101699999999999</v>
      </c>
      <c r="BG852" s="309">
        <v>15.5482</v>
      </c>
      <c r="BH852" s="309">
        <v>14.1823</v>
      </c>
      <c r="BI852" s="309">
        <v>14.0929</v>
      </c>
      <c r="BJ852" s="309">
        <v>13.6898</v>
      </c>
      <c r="BK852" s="309">
        <v>12.2127</v>
      </c>
    </row>
    <row r="853" spans="1:63" x14ac:dyDescent="0.25">
      <c r="A853" s="306" t="s">
        <v>702</v>
      </c>
      <c r="B853" s="309" t="s">
        <v>22</v>
      </c>
      <c r="C853" s="309">
        <v>19.840499999999999</v>
      </c>
      <c r="D853" s="309">
        <v>9.0998999999999999</v>
      </c>
      <c r="E853" s="309">
        <v>11.8231</v>
      </c>
      <c r="F853" s="309">
        <v>11.4679</v>
      </c>
      <c r="G853" s="309">
        <v>12.4457</v>
      </c>
      <c r="H853" s="309">
        <v>13.632899999999999</v>
      </c>
      <c r="I853" s="309">
        <v>14.624000000000001</v>
      </c>
      <c r="J853" s="309">
        <v>15.047700000000001</v>
      </c>
      <c r="K853" s="309">
        <v>0</v>
      </c>
      <c r="L853" s="309">
        <v>0</v>
      </c>
      <c r="M853" s="309">
        <v>17.0184</v>
      </c>
      <c r="N853" s="309">
        <v>16.031500000000001</v>
      </c>
      <c r="O853" s="309">
        <v>0</v>
      </c>
      <c r="P853" s="309">
        <v>13.6151</v>
      </c>
      <c r="Q853" s="309">
        <v>14.1395</v>
      </c>
      <c r="R853" s="309">
        <v>15.3521</v>
      </c>
      <c r="S853" s="309">
        <v>14.4146</v>
      </c>
      <c r="T853" s="309">
        <v>14.0158</v>
      </c>
      <c r="U853" s="309">
        <v>14.262499999999999</v>
      </c>
      <c r="V853" s="309">
        <v>11.690899999999999</v>
      </c>
      <c r="W853" s="309">
        <v>14.081</v>
      </c>
      <c r="X853" s="309">
        <v>12.7781</v>
      </c>
      <c r="Y853" s="309">
        <v>0</v>
      </c>
      <c r="Z853" s="309">
        <v>14.242800000000001</v>
      </c>
      <c r="AA853" s="309">
        <v>16.158300000000001</v>
      </c>
      <c r="AB853" s="309">
        <v>12.4259</v>
      </c>
      <c r="AC853" s="309">
        <v>15.7773</v>
      </c>
      <c r="AD853" s="309">
        <v>11.957700000000001</v>
      </c>
      <c r="AE853" s="309">
        <v>15.4274</v>
      </c>
      <c r="AF853" s="309">
        <v>9.2584</v>
      </c>
      <c r="AG853" s="309">
        <v>10.479200000000001</v>
      </c>
      <c r="AH853" s="309">
        <v>9.5485000000000007</v>
      </c>
      <c r="AI853" s="309">
        <v>12.4313</v>
      </c>
      <c r="AJ853" s="309">
        <v>13.864100000000001</v>
      </c>
      <c r="AK853" s="309">
        <v>11.769299999999999</v>
      </c>
      <c r="AL853" s="309">
        <v>9.3876000000000008</v>
      </c>
      <c r="AM853" s="309">
        <v>13.75</v>
      </c>
      <c r="AN853" s="309">
        <v>15.920199999999999</v>
      </c>
      <c r="AO853" s="309">
        <v>17.763999999999999</v>
      </c>
      <c r="AP853" s="309">
        <v>15.1671</v>
      </c>
      <c r="AQ853" s="309">
        <v>0</v>
      </c>
      <c r="AR853" s="309">
        <v>13.1723</v>
      </c>
      <c r="AS853" s="309">
        <v>12.3855</v>
      </c>
      <c r="AT853" s="309">
        <v>11.3293</v>
      </c>
      <c r="AU853" s="309">
        <v>13.8674</v>
      </c>
      <c r="AV853" s="309">
        <v>16.086500000000001</v>
      </c>
      <c r="AW853" s="309">
        <v>11.8775</v>
      </c>
      <c r="AX853" s="309">
        <v>9.9007000000000005</v>
      </c>
      <c r="AY853" s="309">
        <v>14.025399999999999</v>
      </c>
      <c r="AZ853" s="309">
        <v>15.657400000000001</v>
      </c>
      <c r="BA853" s="309">
        <v>11.63</v>
      </c>
      <c r="BB853" s="309">
        <v>10.344900000000001</v>
      </c>
      <c r="BC853" s="309">
        <v>14.0351</v>
      </c>
      <c r="BD853" s="309">
        <v>13.4503</v>
      </c>
      <c r="BE853" s="309">
        <v>15.5519</v>
      </c>
      <c r="BF853" s="309">
        <v>14.468299999999999</v>
      </c>
      <c r="BG853" s="309">
        <v>15.532</v>
      </c>
      <c r="BH853" s="309">
        <v>15.798999999999999</v>
      </c>
      <c r="BI853" s="309">
        <v>14.978300000000001</v>
      </c>
      <c r="BJ853" s="309">
        <v>14.794700000000001</v>
      </c>
      <c r="BK853" s="309">
        <v>14.603400000000001</v>
      </c>
    </row>
    <row r="854" spans="1:63" x14ac:dyDescent="0.25">
      <c r="A854" s="306" t="s">
        <v>602</v>
      </c>
      <c r="B854" s="309" t="s">
        <v>23</v>
      </c>
      <c r="C854" s="309">
        <v>10.975099999999999</v>
      </c>
      <c r="D854" s="309">
        <v>6.9836</v>
      </c>
      <c r="E854" s="309">
        <v>8.3530999999999995</v>
      </c>
      <c r="F854" s="309">
        <v>7.1981999999999999</v>
      </c>
      <c r="G854" s="309">
        <v>7.1250999999999998</v>
      </c>
      <c r="H854" s="309">
        <v>6.8503999999999996</v>
      </c>
      <c r="I854" s="309">
        <v>8.9291999999999998</v>
      </c>
      <c r="J854" s="309">
        <v>5.0483000000000002</v>
      </c>
      <c r="K854" s="309">
        <v>0.6532</v>
      </c>
      <c r="L854" s="309">
        <v>4.8586</v>
      </c>
      <c r="M854" s="309">
        <v>7.5736999999999997</v>
      </c>
      <c r="N854" s="309">
        <v>7.5042</v>
      </c>
      <c r="O854" s="309">
        <v>6.9385000000000003</v>
      </c>
      <c r="P854" s="309">
        <v>5.9124999999999996</v>
      </c>
      <c r="Q854" s="309">
        <v>6.6833999999999998</v>
      </c>
      <c r="R854" s="309">
        <v>7.2089999999999996</v>
      </c>
      <c r="S854" s="309">
        <v>7.7441000000000004</v>
      </c>
      <c r="T854" s="309">
        <v>6.4791999999999996</v>
      </c>
      <c r="U854" s="309">
        <v>8.2764000000000006</v>
      </c>
      <c r="V854" s="309">
        <v>7.5731000000000002</v>
      </c>
      <c r="W854" s="309">
        <v>5.3697999999999997</v>
      </c>
      <c r="X854" s="309">
        <v>5.6741999999999999</v>
      </c>
      <c r="Y854" s="309">
        <v>7.8795000000000002</v>
      </c>
      <c r="Z854" s="309">
        <v>7.0948000000000002</v>
      </c>
      <c r="AA854" s="309">
        <v>7.0179999999999998</v>
      </c>
      <c r="AB854" s="309">
        <v>7.3282999999999996</v>
      </c>
      <c r="AC854" s="309">
        <v>7.7678000000000003</v>
      </c>
      <c r="AD854" s="309">
        <v>8.0742999999999991</v>
      </c>
      <c r="AE854" s="309">
        <v>6.8921000000000001</v>
      </c>
      <c r="AF854" s="309">
        <v>6.6151</v>
      </c>
      <c r="AG854" s="309">
        <v>4.9546999999999999</v>
      </c>
      <c r="AH854" s="309">
        <v>5.6210000000000004</v>
      </c>
      <c r="AI854" s="309">
        <v>5.6864999999999997</v>
      </c>
      <c r="AJ854" s="309">
        <v>8.3039000000000005</v>
      </c>
      <c r="AK854" s="309">
        <v>5.8212999999999999</v>
      </c>
      <c r="AL854" s="309">
        <v>4.9207999999999998</v>
      </c>
      <c r="AM854" s="309">
        <v>8.1516000000000002</v>
      </c>
      <c r="AN854" s="309">
        <v>8.4763999999999999</v>
      </c>
      <c r="AO854" s="309">
        <v>6.7291999999999996</v>
      </c>
      <c r="AP854" s="309">
        <v>7.7847999999999997</v>
      </c>
      <c r="AQ854" s="309">
        <v>5.4104000000000001</v>
      </c>
      <c r="AR854" s="309">
        <v>7.3433000000000002</v>
      </c>
      <c r="AS854" s="309">
        <v>6.1071999999999997</v>
      </c>
      <c r="AT854" s="309">
        <v>7.6767000000000003</v>
      </c>
      <c r="AU854" s="309">
        <v>8.2637999999999998</v>
      </c>
      <c r="AV854" s="309">
        <v>9.9925999999999995</v>
      </c>
      <c r="AW854" s="309">
        <v>6.7923999999999998</v>
      </c>
      <c r="AX854" s="309">
        <v>5.6418999999999997</v>
      </c>
      <c r="AY854" s="309">
        <v>6.8338999999999999</v>
      </c>
      <c r="AZ854" s="309">
        <v>7.2840999999999996</v>
      </c>
      <c r="BA854" s="309">
        <v>7.7150999999999996</v>
      </c>
      <c r="BB854" s="309">
        <v>6.7576000000000001</v>
      </c>
      <c r="BC854" s="309">
        <v>6.4541000000000004</v>
      </c>
      <c r="BD854" s="309">
        <v>6.8658999999999999</v>
      </c>
      <c r="BE854" s="309">
        <v>8.2611000000000008</v>
      </c>
      <c r="BF854" s="309">
        <v>7.4508000000000001</v>
      </c>
      <c r="BG854" s="309">
        <v>8.7797000000000001</v>
      </c>
      <c r="BH854" s="309">
        <v>8.9071999999999996</v>
      </c>
      <c r="BI854" s="309">
        <v>8.6387</v>
      </c>
      <c r="BJ854" s="309">
        <v>9.1582000000000008</v>
      </c>
      <c r="BK854" s="309">
        <v>7.3201000000000001</v>
      </c>
    </row>
    <row r="855" spans="1:63" x14ac:dyDescent="0.25">
      <c r="A855" s="306">
        <v>221200</v>
      </c>
      <c r="B855" s="309" t="s">
        <v>24</v>
      </c>
      <c r="C855" s="309">
        <v>11.220599999999999</v>
      </c>
      <c r="D855" s="309">
        <v>6.0002000000000004</v>
      </c>
      <c r="E855" s="309">
        <v>6.4241999999999999</v>
      </c>
      <c r="F855" s="309">
        <v>6.2352999999999996</v>
      </c>
      <c r="G855" s="309">
        <v>4.7154999999999996</v>
      </c>
      <c r="H855" s="309">
        <v>6.0365000000000002</v>
      </c>
      <c r="I855" s="309">
        <v>8.2494999999999994</v>
      </c>
      <c r="J855" s="309">
        <v>3.2096</v>
      </c>
      <c r="K855" s="309">
        <v>0.35110000000000002</v>
      </c>
      <c r="L855" s="309">
        <v>2.9746000000000001</v>
      </c>
      <c r="M855" s="309">
        <v>4.8426999999999998</v>
      </c>
      <c r="N855" s="309">
        <v>4.6086</v>
      </c>
      <c r="O855" s="309">
        <v>4.1574</v>
      </c>
      <c r="P855" s="309">
        <v>3.8077999999999999</v>
      </c>
      <c r="Q855" s="309">
        <v>4.1093999999999999</v>
      </c>
      <c r="R855" s="309">
        <v>5.0357000000000003</v>
      </c>
      <c r="S855" s="309">
        <v>5.1508000000000003</v>
      </c>
      <c r="T855" s="309">
        <v>6.7819000000000003</v>
      </c>
      <c r="U855" s="309">
        <v>6.6246</v>
      </c>
      <c r="V855" s="309">
        <v>7.9592000000000001</v>
      </c>
      <c r="W855" s="309">
        <v>3.2877000000000001</v>
      </c>
      <c r="X855" s="309">
        <v>3.5211000000000001</v>
      </c>
      <c r="Y855" s="309">
        <v>4.8940000000000001</v>
      </c>
      <c r="Z855" s="309">
        <v>5.2953000000000001</v>
      </c>
      <c r="AA855" s="309">
        <v>4.5498000000000003</v>
      </c>
      <c r="AB855" s="309">
        <v>4.2504999999999997</v>
      </c>
      <c r="AC855" s="309">
        <v>7.1077000000000004</v>
      </c>
      <c r="AD855" s="309">
        <v>7.1436000000000002</v>
      </c>
      <c r="AE855" s="309">
        <v>4.6532</v>
      </c>
      <c r="AF855" s="309">
        <v>5.7742000000000004</v>
      </c>
      <c r="AG855" s="309">
        <v>3.1101000000000001</v>
      </c>
      <c r="AH855" s="309">
        <v>3.4615</v>
      </c>
      <c r="AI855" s="309">
        <v>3.6432000000000002</v>
      </c>
      <c r="AJ855" s="309">
        <v>7.8082000000000003</v>
      </c>
      <c r="AK855" s="309">
        <v>3.3826000000000001</v>
      </c>
      <c r="AL855" s="309">
        <v>2.8776999999999999</v>
      </c>
      <c r="AM855" s="309">
        <v>6.2984</v>
      </c>
      <c r="AN855" s="309">
        <v>8.5226000000000006</v>
      </c>
      <c r="AO855" s="309">
        <v>3.7913999999999999</v>
      </c>
      <c r="AP855" s="309">
        <v>6.1597</v>
      </c>
      <c r="AQ855" s="309">
        <v>3.3732000000000002</v>
      </c>
      <c r="AR855" s="309">
        <v>4.5038999999999998</v>
      </c>
      <c r="AS855" s="309">
        <v>3.6598000000000002</v>
      </c>
      <c r="AT855" s="309">
        <v>5.5373999999999999</v>
      </c>
      <c r="AU855" s="309">
        <v>8.5213000000000001</v>
      </c>
      <c r="AV855" s="309">
        <v>9.0036000000000005</v>
      </c>
      <c r="AW855" s="309">
        <v>4.0439999999999996</v>
      </c>
      <c r="AX855" s="309">
        <v>3.556</v>
      </c>
      <c r="AY855" s="309">
        <v>4.0970000000000004</v>
      </c>
      <c r="AZ855" s="309">
        <v>4.8217999999999996</v>
      </c>
      <c r="BA855" s="309">
        <v>7.9303999999999997</v>
      </c>
      <c r="BB855" s="309">
        <v>6.5423999999999998</v>
      </c>
      <c r="BC855" s="309">
        <v>3.9782000000000002</v>
      </c>
      <c r="BD855" s="309">
        <v>4.3958000000000004</v>
      </c>
      <c r="BE855" s="309">
        <v>5.8486000000000002</v>
      </c>
      <c r="BF855" s="309">
        <v>5.2618999999999998</v>
      </c>
      <c r="BG855" s="309">
        <v>5.4522000000000004</v>
      </c>
      <c r="BH855" s="309">
        <v>6.9146000000000001</v>
      </c>
      <c r="BI855" s="309">
        <v>8.9995999999999992</v>
      </c>
      <c r="BJ855" s="309">
        <v>9.1080000000000005</v>
      </c>
      <c r="BK855" s="309">
        <v>6.4142000000000001</v>
      </c>
    </row>
    <row r="856" spans="1:63" x14ac:dyDescent="0.25">
      <c r="A856" s="306">
        <v>221300</v>
      </c>
      <c r="B856" s="309" t="s">
        <v>703</v>
      </c>
      <c r="C856" s="309">
        <v>16.027799999999999</v>
      </c>
      <c r="D856" s="309">
        <v>10.4062</v>
      </c>
      <c r="E856" s="309">
        <v>15.025499999999999</v>
      </c>
      <c r="F856" s="309">
        <v>13.8284</v>
      </c>
      <c r="G856" s="309">
        <v>12.0982</v>
      </c>
      <c r="H856" s="309">
        <v>11.4869</v>
      </c>
      <c r="I856" s="309">
        <v>13.6623</v>
      </c>
      <c r="J856" s="309">
        <v>8.6641999999999992</v>
      </c>
      <c r="K856" s="309">
        <v>1.1227</v>
      </c>
      <c r="L856" s="309">
        <v>8.3928999999999991</v>
      </c>
      <c r="M856" s="309">
        <v>14.1562</v>
      </c>
      <c r="N856" s="309">
        <v>13.5007</v>
      </c>
      <c r="O856" s="309">
        <v>13.1334</v>
      </c>
      <c r="P856" s="309">
        <v>10.986800000000001</v>
      </c>
      <c r="Q856" s="309">
        <v>14.192399999999999</v>
      </c>
      <c r="R856" s="309">
        <v>12.750400000000001</v>
      </c>
      <c r="S856" s="309">
        <v>12.492800000000001</v>
      </c>
      <c r="T856" s="309">
        <v>12.5289</v>
      </c>
      <c r="U856" s="309">
        <v>13.9839</v>
      </c>
      <c r="V856" s="309">
        <v>14.634</v>
      </c>
      <c r="W856" s="309">
        <v>9.2622</v>
      </c>
      <c r="X856" s="309">
        <v>10.5168</v>
      </c>
      <c r="Y856" s="309">
        <v>13.053699999999999</v>
      </c>
      <c r="Z856" s="309">
        <v>11.8743</v>
      </c>
      <c r="AA856" s="309">
        <v>10.452299999999999</v>
      </c>
      <c r="AB856" s="309">
        <v>11.7195</v>
      </c>
      <c r="AC856" s="309">
        <v>14.5921</v>
      </c>
      <c r="AD856" s="309">
        <v>15.167899999999999</v>
      </c>
      <c r="AE856" s="309">
        <v>13.9308</v>
      </c>
      <c r="AF856" s="309">
        <v>12.2537</v>
      </c>
      <c r="AG856" s="309">
        <v>8.1248000000000005</v>
      </c>
      <c r="AH856" s="309">
        <v>11.656599999999999</v>
      </c>
      <c r="AI856" s="309">
        <v>9.7083999999999993</v>
      </c>
      <c r="AJ856" s="309">
        <v>14.795400000000001</v>
      </c>
      <c r="AK856" s="309">
        <v>11.1258</v>
      </c>
      <c r="AL856" s="309">
        <v>8.4873999999999992</v>
      </c>
      <c r="AM856" s="309">
        <v>13.106299999999999</v>
      </c>
      <c r="AN856" s="309">
        <v>14.1228</v>
      </c>
      <c r="AO856" s="309">
        <v>14.0001</v>
      </c>
      <c r="AP856" s="309">
        <v>11.768800000000001</v>
      </c>
      <c r="AQ856" s="309">
        <v>8.9699000000000009</v>
      </c>
      <c r="AR856" s="309">
        <v>13.935499999999999</v>
      </c>
      <c r="AS856" s="309">
        <v>11.861000000000001</v>
      </c>
      <c r="AT856" s="309">
        <v>13.8322</v>
      </c>
      <c r="AU856" s="309">
        <v>13.051600000000001</v>
      </c>
      <c r="AV856" s="309">
        <v>17.4876</v>
      </c>
      <c r="AW856" s="309">
        <v>12.0099</v>
      </c>
      <c r="AX856" s="309">
        <v>12.714700000000001</v>
      </c>
      <c r="AY856" s="309">
        <v>12.389799999999999</v>
      </c>
      <c r="AZ856" s="309">
        <v>11.326700000000001</v>
      </c>
      <c r="BA856" s="309">
        <v>11.3064</v>
      </c>
      <c r="BB856" s="309">
        <v>10.7281</v>
      </c>
      <c r="BC856" s="309">
        <v>11.0359</v>
      </c>
      <c r="BD856" s="309">
        <v>10.821300000000001</v>
      </c>
      <c r="BE856" s="309">
        <v>13.6562</v>
      </c>
      <c r="BF856" s="309">
        <v>12.1861</v>
      </c>
      <c r="BG856" s="309">
        <v>14.530200000000001</v>
      </c>
      <c r="BH856" s="309">
        <v>15.7553</v>
      </c>
      <c r="BI856" s="309">
        <v>14.1098</v>
      </c>
      <c r="BJ856" s="309">
        <v>14.3636</v>
      </c>
      <c r="BK856" s="309">
        <v>12.2933</v>
      </c>
    </row>
    <row r="857" spans="1:63" x14ac:dyDescent="0.25">
      <c r="A857" s="306">
        <v>230000</v>
      </c>
      <c r="B857" s="309" t="s">
        <v>426</v>
      </c>
      <c r="C857" s="309">
        <v>23.957899999999999</v>
      </c>
      <c r="D857" s="309">
        <v>13.3536</v>
      </c>
      <c r="E857" s="309">
        <v>21.665600000000001</v>
      </c>
      <c r="F857" s="309">
        <v>19.312799999999999</v>
      </c>
      <c r="G857" s="309">
        <v>17.817499999999999</v>
      </c>
      <c r="H857" s="309">
        <v>16.3476</v>
      </c>
      <c r="I857" s="309">
        <v>18.590699999999998</v>
      </c>
      <c r="J857" s="309">
        <v>13.347</v>
      </c>
      <c r="K857" s="309">
        <v>1.7490000000000001</v>
      </c>
      <c r="L857" s="309">
        <v>12.8614</v>
      </c>
      <c r="M857" s="309">
        <v>19.659800000000001</v>
      </c>
      <c r="N857" s="309">
        <v>21.168199999999999</v>
      </c>
      <c r="O857" s="309">
        <v>15.1568</v>
      </c>
      <c r="P857" s="309">
        <v>16.9558</v>
      </c>
      <c r="Q857" s="309">
        <v>19.148599999999998</v>
      </c>
      <c r="R857" s="309">
        <v>16.830200000000001</v>
      </c>
      <c r="S857" s="309">
        <v>19.1496</v>
      </c>
      <c r="T857" s="309">
        <v>15.8576</v>
      </c>
      <c r="U857" s="309">
        <v>20.1235</v>
      </c>
      <c r="V857" s="309">
        <v>18.196400000000001</v>
      </c>
      <c r="W857" s="309">
        <v>13.794600000000001</v>
      </c>
      <c r="X857" s="309">
        <v>14.4125</v>
      </c>
      <c r="Y857" s="309">
        <v>20.979600000000001</v>
      </c>
      <c r="Z857" s="309">
        <v>19.4269</v>
      </c>
      <c r="AA857" s="309">
        <v>17.776499999999999</v>
      </c>
      <c r="AB857" s="309">
        <v>18.379300000000001</v>
      </c>
      <c r="AC857" s="309">
        <v>19.803899999999999</v>
      </c>
      <c r="AD857" s="309">
        <v>20.025099999999998</v>
      </c>
      <c r="AE857" s="309">
        <v>20.7468</v>
      </c>
      <c r="AF857" s="309">
        <v>14.480499999999999</v>
      </c>
      <c r="AG857" s="309">
        <v>16.030100000000001</v>
      </c>
      <c r="AH857" s="309">
        <v>16.1523</v>
      </c>
      <c r="AI857" s="309">
        <v>14.616099999999999</v>
      </c>
      <c r="AJ857" s="309">
        <v>18.482199999999999</v>
      </c>
      <c r="AK857" s="309">
        <v>14.6358</v>
      </c>
      <c r="AL857" s="309">
        <v>12.5701</v>
      </c>
      <c r="AM857" s="309">
        <v>20.468699999999998</v>
      </c>
      <c r="AN857" s="309">
        <v>21.537800000000001</v>
      </c>
      <c r="AO857" s="309">
        <v>18.476199999999999</v>
      </c>
      <c r="AP857" s="309">
        <v>18.707599999999999</v>
      </c>
      <c r="AQ857" s="309">
        <v>14.8134</v>
      </c>
      <c r="AR857" s="309">
        <v>21.9316</v>
      </c>
      <c r="AS857" s="309">
        <v>17.3689</v>
      </c>
      <c r="AT857" s="309">
        <v>20.2712</v>
      </c>
      <c r="AU857" s="309">
        <v>20.2973</v>
      </c>
      <c r="AV857" s="309">
        <v>22.431799999999999</v>
      </c>
      <c r="AW857" s="309">
        <v>17.005400000000002</v>
      </c>
      <c r="AX857" s="309">
        <v>18.9726</v>
      </c>
      <c r="AY857" s="309">
        <v>17.231999999999999</v>
      </c>
      <c r="AZ857" s="309">
        <v>18.912099999999999</v>
      </c>
      <c r="BA857" s="309">
        <v>17.1372</v>
      </c>
      <c r="BB857" s="309">
        <v>14.472300000000001</v>
      </c>
      <c r="BC857" s="309">
        <v>17.009</v>
      </c>
      <c r="BD857" s="309">
        <v>16.797799999999999</v>
      </c>
      <c r="BE857" s="309">
        <v>20.486999999999998</v>
      </c>
      <c r="BF857" s="309">
        <v>19.1571</v>
      </c>
      <c r="BG857" s="309">
        <v>21.476099999999999</v>
      </c>
      <c r="BH857" s="309">
        <v>22.285299999999999</v>
      </c>
      <c r="BI857" s="309">
        <v>21.281700000000001</v>
      </c>
      <c r="BJ857" s="309">
        <v>19.663900000000002</v>
      </c>
      <c r="BK857" s="309">
        <v>17.451000000000001</v>
      </c>
    </row>
    <row r="858" spans="1:63" x14ac:dyDescent="0.25">
      <c r="A858" s="306">
        <v>311111</v>
      </c>
      <c r="B858" s="309" t="s">
        <v>25</v>
      </c>
      <c r="C858" s="309">
        <v>14.624499999999999</v>
      </c>
      <c r="D858" s="309">
        <v>5.7522000000000002</v>
      </c>
      <c r="E858" s="309">
        <v>8.8600999999999992</v>
      </c>
      <c r="F858" s="309">
        <v>10.999499999999999</v>
      </c>
      <c r="G858" s="309">
        <v>6.3090000000000002</v>
      </c>
      <c r="H858" s="309">
        <v>6.6144999999999996</v>
      </c>
      <c r="I858" s="309">
        <v>9.2216000000000005</v>
      </c>
      <c r="J858" s="309">
        <v>0</v>
      </c>
      <c r="K858" s="309">
        <v>0</v>
      </c>
      <c r="L858" s="309">
        <v>4.4260000000000002</v>
      </c>
      <c r="M858" s="309">
        <v>8.6175999999999995</v>
      </c>
      <c r="N858" s="309">
        <v>8.5980000000000008</v>
      </c>
      <c r="O858" s="309">
        <v>5.7896000000000001</v>
      </c>
      <c r="P858" s="309">
        <v>7.6379999999999999</v>
      </c>
      <c r="Q858" s="309">
        <v>0</v>
      </c>
      <c r="R858" s="309">
        <v>10.714</v>
      </c>
      <c r="S858" s="309">
        <v>10.349600000000001</v>
      </c>
      <c r="T858" s="309">
        <v>7.9999000000000002</v>
      </c>
      <c r="U858" s="309">
        <v>10.951700000000001</v>
      </c>
      <c r="V858" s="309">
        <v>0</v>
      </c>
      <c r="W858" s="309">
        <v>6.6059999999999999</v>
      </c>
      <c r="X858" s="309">
        <v>6.3768000000000002</v>
      </c>
      <c r="Y858" s="309">
        <v>0</v>
      </c>
      <c r="Z858" s="309">
        <v>8.8442000000000007</v>
      </c>
      <c r="AA858" s="309">
        <v>10.343999999999999</v>
      </c>
      <c r="AB858" s="309">
        <v>10.425599999999999</v>
      </c>
      <c r="AC858" s="309">
        <v>10.1523</v>
      </c>
      <c r="AD858" s="309">
        <v>9.4349000000000007</v>
      </c>
      <c r="AE858" s="309">
        <v>9.1044</v>
      </c>
      <c r="AF858" s="309">
        <v>0</v>
      </c>
      <c r="AG858" s="309">
        <v>7.3132000000000001</v>
      </c>
      <c r="AH858" s="309">
        <v>5.4036</v>
      </c>
      <c r="AI858" s="309">
        <v>6.5610999999999997</v>
      </c>
      <c r="AJ858" s="309">
        <v>7.6501000000000001</v>
      </c>
      <c r="AK858" s="309">
        <v>5.5082000000000004</v>
      </c>
      <c r="AL858" s="309">
        <v>4.8623000000000003</v>
      </c>
      <c r="AM858" s="309">
        <v>10.844900000000001</v>
      </c>
      <c r="AN858" s="309">
        <v>9.9312000000000005</v>
      </c>
      <c r="AO858" s="309">
        <v>9.7827000000000002</v>
      </c>
      <c r="AP858" s="309">
        <v>8.7434999999999992</v>
      </c>
      <c r="AQ858" s="309">
        <v>0</v>
      </c>
      <c r="AR858" s="309">
        <v>8.9138999999999999</v>
      </c>
      <c r="AS858" s="309">
        <v>6.8555000000000001</v>
      </c>
      <c r="AT858" s="309">
        <v>8.4507999999999992</v>
      </c>
      <c r="AU858" s="309">
        <v>10.8797</v>
      </c>
      <c r="AV858" s="309">
        <v>10.3437</v>
      </c>
      <c r="AW858" s="309">
        <v>8.1112000000000002</v>
      </c>
      <c r="AX858" s="309">
        <v>6.9705000000000004</v>
      </c>
      <c r="AY858" s="309">
        <v>9.2105999999999995</v>
      </c>
      <c r="AZ858" s="309">
        <v>10.3184</v>
      </c>
      <c r="BA858" s="309">
        <v>7.4987000000000004</v>
      </c>
      <c r="BB858" s="309">
        <v>0</v>
      </c>
      <c r="BC858" s="309">
        <v>7.5368000000000004</v>
      </c>
      <c r="BD858" s="309">
        <v>7.3986999999999998</v>
      </c>
      <c r="BE858" s="309">
        <v>11.5823</v>
      </c>
      <c r="BF858" s="309">
        <v>10.2676</v>
      </c>
      <c r="BG858" s="309">
        <v>8.9158000000000008</v>
      </c>
      <c r="BH858" s="309">
        <v>10.958</v>
      </c>
      <c r="BI858" s="309">
        <v>11.571199999999999</v>
      </c>
      <c r="BJ858" s="309">
        <v>9.2017000000000007</v>
      </c>
      <c r="BK858" s="309">
        <v>7.2028999999999996</v>
      </c>
    </row>
    <row r="859" spans="1:63" x14ac:dyDescent="0.25">
      <c r="A859" s="306">
        <v>311119</v>
      </c>
      <c r="B859" s="309" t="s">
        <v>26</v>
      </c>
      <c r="C859" s="309">
        <v>17.9481</v>
      </c>
      <c r="D859" s="309">
        <v>0</v>
      </c>
      <c r="E859" s="309">
        <v>9.7712000000000003</v>
      </c>
      <c r="F859" s="309">
        <v>12.4887</v>
      </c>
      <c r="G859" s="309">
        <v>7.7458999999999998</v>
      </c>
      <c r="H859" s="309">
        <v>7.8455000000000004</v>
      </c>
      <c r="I859" s="309">
        <v>11.517200000000001</v>
      </c>
      <c r="J859" s="309">
        <v>5.1093999999999999</v>
      </c>
      <c r="K859" s="309">
        <v>0</v>
      </c>
      <c r="L859" s="309">
        <v>5.9561999999999999</v>
      </c>
      <c r="M859" s="309">
        <v>7.9421999999999997</v>
      </c>
      <c r="N859" s="309">
        <v>9.9176000000000002</v>
      </c>
      <c r="O859" s="309">
        <v>0</v>
      </c>
      <c r="P859" s="309">
        <v>9.6729000000000003</v>
      </c>
      <c r="Q859" s="309">
        <v>9.6990999999999996</v>
      </c>
      <c r="R859" s="309">
        <v>12.0601</v>
      </c>
      <c r="S859" s="309">
        <v>12.4511</v>
      </c>
      <c r="T859" s="309">
        <v>9.3477999999999994</v>
      </c>
      <c r="U859" s="309">
        <v>14.522</v>
      </c>
      <c r="V859" s="309">
        <v>11.419499999999999</v>
      </c>
      <c r="W859" s="309">
        <v>7.2492999999999999</v>
      </c>
      <c r="X859" s="309">
        <v>6.1802999999999999</v>
      </c>
      <c r="Y859" s="309">
        <v>8.6387</v>
      </c>
      <c r="Z859" s="309">
        <v>10.8232</v>
      </c>
      <c r="AA859" s="309">
        <v>11.9526</v>
      </c>
      <c r="AB859" s="309">
        <v>14.1966</v>
      </c>
      <c r="AC859" s="309">
        <v>13.3398</v>
      </c>
      <c r="AD859" s="309">
        <v>13.044499999999999</v>
      </c>
      <c r="AE859" s="309">
        <v>10.546900000000001</v>
      </c>
      <c r="AF859" s="309">
        <v>9.5444999999999993</v>
      </c>
      <c r="AG859" s="309">
        <v>9.3945000000000007</v>
      </c>
      <c r="AH859" s="309">
        <v>6.0159000000000002</v>
      </c>
      <c r="AI859" s="309">
        <v>7.4093</v>
      </c>
      <c r="AJ859" s="309">
        <v>7.5919999999999996</v>
      </c>
      <c r="AK859" s="309">
        <v>7.0284000000000004</v>
      </c>
      <c r="AL859" s="309">
        <v>5.2232000000000003</v>
      </c>
      <c r="AM859" s="309">
        <v>14.234299999999999</v>
      </c>
      <c r="AN859" s="309">
        <v>13.6152</v>
      </c>
      <c r="AO859" s="309">
        <v>9.5213000000000001</v>
      </c>
      <c r="AP859" s="309">
        <v>9.11</v>
      </c>
      <c r="AQ859" s="309">
        <v>0</v>
      </c>
      <c r="AR859" s="309">
        <v>10.6775</v>
      </c>
      <c r="AS859" s="309">
        <v>8.3785000000000007</v>
      </c>
      <c r="AT859" s="309">
        <v>9.9158000000000008</v>
      </c>
      <c r="AU859" s="309">
        <v>11.2516</v>
      </c>
      <c r="AV859" s="309">
        <v>11.324199999999999</v>
      </c>
      <c r="AW859" s="309">
        <v>7.7388000000000003</v>
      </c>
      <c r="AX859" s="309">
        <v>6.1741999999999999</v>
      </c>
      <c r="AY859" s="309">
        <v>10.641400000000001</v>
      </c>
      <c r="AZ859" s="309">
        <v>11.782500000000001</v>
      </c>
      <c r="BA859" s="309">
        <v>0</v>
      </c>
      <c r="BB859" s="309">
        <v>7.1555</v>
      </c>
      <c r="BC859" s="309">
        <v>7.2976999999999999</v>
      </c>
      <c r="BD859" s="309">
        <v>8.0007000000000001</v>
      </c>
      <c r="BE859" s="309">
        <v>14.0329</v>
      </c>
      <c r="BF859" s="309">
        <v>12.77</v>
      </c>
      <c r="BG859" s="309">
        <v>9.7675999999999998</v>
      </c>
      <c r="BH859" s="309">
        <v>14.0009</v>
      </c>
      <c r="BI859" s="309">
        <v>13.764799999999999</v>
      </c>
      <c r="BJ859" s="309">
        <v>11.3643</v>
      </c>
      <c r="BK859" s="309">
        <v>8.6182999999999996</v>
      </c>
    </row>
    <row r="860" spans="1:63" x14ac:dyDescent="0.25">
      <c r="A860" s="306">
        <v>311210</v>
      </c>
      <c r="B860" s="309" t="s">
        <v>27</v>
      </c>
      <c r="C860" s="309">
        <v>17.305</v>
      </c>
      <c r="D860" s="309">
        <v>0</v>
      </c>
      <c r="E860" s="309">
        <v>9.8485999999999994</v>
      </c>
      <c r="F860" s="309">
        <v>12.310600000000001</v>
      </c>
      <c r="G860" s="309">
        <v>8.4557000000000002</v>
      </c>
      <c r="H860" s="309">
        <v>8.8771000000000004</v>
      </c>
      <c r="I860" s="309">
        <v>11.7441</v>
      </c>
      <c r="J860" s="309">
        <v>0</v>
      </c>
      <c r="K860" s="309">
        <v>0</v>
      </c>
      <c r="L860" s="309">
        <v>0</v>
      </c>
      <c r="M860" s="309">
        <v>7.9348000000000001</v>
      </c>
      <c r="N860" s="309">
        <v>10.0624</v>
      </c>
      <c r="O860" s="309">
        <v>9.3138000000000005</v>
      </c>
      <c r="P860" s="309">
        <v>9.3923000000000005</v>
      </c>
      <c r="Q860" s="309">
        <v>10.0158</v>
      </c>
      <c r="R860" s="309">
        <v>12.1684</v>
      </c>
      <c r="S860" s="309">
        <v>12.698399999999999</v>
      </c>
      <c r="T860" s="309">
        <v>9.7075999999999993</v>
      </c>
      <c r="U860" s="309">
        <v>15.077400000000001</v>
      </c>
      <c r="V860" s="309">
        <v>12.983599999999999</v>
      </c>
      <c r="W860" s="309">
        <v>6.1604999999999999</v>
      </c>
      <c r="X860" s="309">
        <v>7.8</v>
      </c>
      <c r="Y860" s="309">
        <v>8.4270999999999994</v>
      </c>
      <c r="Z860" s="309">
        <v>11.341200000000001</v>
      </c>
      <c r="AA860" s="309">
        <v>11.210900000000001</v>
      </c>
      <c r="AB860" s="309">
        <v>13.214399999999999</v>
      </c>
      <c r="AC860" s="309">
        <v>12.8545</v>
      </c>
      <c r="AD860" s="309">
        <v>12.9291</v>
      </c>
      <c r="AE860" s="309">
        <v>11.193199999999999</v>
      </c>
      <c r="AF860" s="309">
        <v>8.6137999999999995</v>
      </c>
      <c r="AG860" s="309">
        <v>8.9480000000000004</v>
      </c>
      <c r="AH860" s="309">
        <v>0</v>
      </c>
      <c r="AI860" s="309">
        <v>6.7083000000000004</v>
      </c>
      <c r="AJ860" s="309">
        <v>0</v>
      </c>
      <c r="AK860" s="309">
        <v>0</v>
      </c>
      <c r="AL860" s="309">
        <v>5.6623999999999999</v>
      </c>
      <c r="AM860" s="309">
        <v>14.6747</v>
      </c>
      <c r="AN860" s="309">
        <v>12.5976</v>
      </c>
      <c r="AO860" s="309">
        <v>10.9895</v>
      </c>
      <c r="AP860" s="309">
        <v>9.9494000000000007</v>
      </c>
      <c r="AQ860" s="309">
        <v>8.4560999999999993</v>
      </c>
      <c r="AR860" s="309">
        <v>10.8048</v>
      </c>
      <c r="AS860" s="309">
        <v>0</v>
      </c>
      <c r="AT860" s="309">
        <v>11.3133</v>
      </c>
      <c r="AU860" s="309">
        <v>11.822699999999999</v>
      </c>
      <c r="AV860" s="309">
        <v>11.43</v>
      </c>
      <c r="AW860" s="309">
        <v>8.5868000000000002</v>
      </c>
      <c r="AX860" s="309">
        <v>0</v>
      </c>
      <c r="AY860" s="309">
        <v>11.3575</v>
      </c>
      <c r="AZ860" s="309">
        <v>13.1648</v>
      </c>
      <c r="BA860" s="309">
        <v>0</v>
      </c>
      <c r="BB860" s="309">
        <v>0</v>
      </c>
      <c r="BC860" s="309">
        <v>7.3657000000000004</v>
      </c>
      <c r="BD860" s="309">
        <v>8.3413000000000004</v>
      </c>
      <c r="BE860" s="309">
        <v>13.6488</v>
      </c>
      <c r="BF860" s="309">
        <v>12.0381</v>
      </c>
      <c r="BG860" s="309">
        <v>11.046900000000001</v>
      </c>
      <c r="BH860" s="309">
        <v>13.971</v>
      </c>
      <c r="BI860" s="309">
        <v>14.266999999999999</v>
      </c>
      <c r="BJ860" s="309">
        <v>12.2791</v>
      </c>
      <c r="BK860" s="309">
        <v>9.9001000000000001</v>
      </c>
    </row>
    <row r="861" spans="1:63" x14ac:dyDescent="0.25">
      <c r="A861" s="306">
        <v>311221</v>
      </c>
      <c r="B861" s="309" t="s">
        <v>28</v>
      </c>
      <c r="C861" s="309">
        <v>17.058299999999999</v>
      </c>
      <c r="D861" s="309">
        <v>0</v>
      </c>
      <c r="E861" s="309">
        <v>8.9964999999999993</v>
      </c>
      <c r="F861" s="309">
        <v>11.8497</v>
      </c>
      <c r="G861" s="309">
        <v>0</v>
      </c>
      <c r="H861" s="309">
        <v>8.0305999999999997</v>
      </c>
      <c r="I861" s="309">
        <v>13.026</v>
      </c>
      <c r="J861" s="309">
        <v>0</v>
      </c>
      <c r="K861" s="309">
        <v>0</v>
      </c>
      <c r="L861" s="309">
        <v>0</v>
      </c>
      <c r="M861" s="309">
        <v>7.6589</v>
      </c>
      <c r="N861" s="309">
        <v>0</v>
      </c>
      <c r="O861" s="309">
        <v>0</v>
      </c>
      <c r="P861" s="309">
        <v>9.1214999999999993</v>
      </c>
      <c r="Q861" s="309">
        <v>11.1546</v>
      </c>
      <c r="R861" s="309">
        <v>11.438599999999999</v>
      </c>
      <c r="S861" s="309">
        <v>11.519399999999999</v>
      </c>
      <c r="T861" s="309">
        <v>10.721</v>
      </c>
      <c r="U861" s="309">
        <v>0</v>
      </c>
      <c r="V861" s="309">
        <v>0</v>
      </c>
      <c r="W861" s="309">
        <v>0</v>
      </c>
      <c r="X861" s="309">
        <v>0</v>
      </c>
      <c r="Y861" s="309">
        <v>8.7994000000000003</v>
      </c>
      <c r="Z861" s="309">
        <v>0</v>
      </c>
      <c r="AA861" s="309">
        <v>11.4785</v>
      </c>
      <c r="AB861" s="309">
        <v>13.2601</v>
      </c>
      <c r="AC861" s="309">
        <v>0</v>
      </c>
      <c r="AD861" s="309">
        <v>0</v>
      </c>
      <c r="AE861" s="309">
        <v>9.2036999999999995</v>
      </c>
      <c r="AF861" s="309">
        <v>8.4619</v>
      </c>
      <c r="AG861" s="309">
        <v>0</v>
      </c>
      <c r="AH861" s="309">
        <v>0</v>
      </c>
      <c r="AI861" s="309">
        <v>6.4432999999999998</v>
      </c>
      <c r="AJ861" s="309">
        <v>0</v>
      </c>
      <c r="AK861" s="309">
        <v>0</v>
      </c>
      <c r="AL861" s="309">
        <v>0</v>
      </c>
      <c r="AM861" s="309">
        <v>14.9664</v>
      </c>
      <c r="AN861" s="309">
        <v>0</v>
      </c>
      <c r="AO861" s="309">
        <v>11.3895</v>
      </c>
      <c r="AP861" s="309">
        <v>9.2444000000000006</v>
      </c>
      <c r="AQ861" s="309">
        <v>0</v>
      </c>
      <c r="AR861" s="309">
        <v>10.9755</v>
      </c>
      <c r="AS861" s="309">
        <v>0</v>
      </c>
      <c r="AT861" s="309">
        <v>9.9163999999999994</v>
      </c>
      <c r="AU861" s="309">
        <v>11.9696</v>
      </c>
      <c r="AV861" s="309">
        <v>0</v>
      </c>
      <c r="AW861" s="309">
        <v>0</v>
      </c>
      <c r="AX861" s="309">
        <v>0</v>
      </c>
      <c r="AY861" s="309">
        <v>11.158799999999999</v>
      </c>
      <c r="AZ861" s="309">
        <v>0</v>
      </c>
      <c r="BA861" s="309">
        <v>0</v>
      </c>
      <c r="BB861" s="309">
        <v>0</v>
      </c>
      <c r="BC861" s="309">
        <v>8.0838999999999999</v>
      </c>
      <c r="BD861" s="309">
        <v>7.59</v>
      </c>
      <c r="BE861" s="309">
        <v>13.1073</v>
      </c>
      <c r="BF861" s="309">
        <v>12.0471</v>
      </c>
      <c r="BG861" s="309">
        <v>9.7777999999999992</v>
      </c>
      <c r="BH861" s="309">
        <v>13.019399999999999</v>
      </c>
      <c r="BI861" s="309">
        <v>14.083500000000001</v>
      </c>
      <c r="BJ861" s="309">
        <v>13.299300000000001</v>
      </c>
      <c r="BK861" s="309">
        <v>9.0153999999999996</v>
      </c>
    </row>
    <row r="862" spans="1:63" x14ac:dyDescent="0.25">
      <c r="A862" s="306">
        <v>311225</v>
      </c>
      <c r="B862" s="309" t="s">
        <v>30</v>
      </c>
      <c r="C862" s="309">
        <v>18.014099999999999</v>
      </c>
      <c r="D862" s="309">
        <v>0</v>
      </c>
      <c r="E862" s="309">
        <v>10.3904</v>
      </c>
      <c r="F862" s="309">
        <v>14.2524</v>
      </c>
      <c r="G862" s="309">
        <v>6.2031999999999998</v>
      </c>
      <c r="H862" s="309">
        <v>7.3369</v>
      </c>
      <c r="I862" s="309">
        <v>8.5616000000000003</v>
      </c>
      <c r="J862" s="309">
        <v>5.2633000000000001</v>
      </c>
      <c r="K862" s="309">
        <v>0</v>
      </c>
      <c r="L862" s="309">
        <v>4.5034999999999998</v>
      </c>
      <c r="M862" s="309">
        <v>7.1422999999999996</v>
      </c>
      <c r="N862" s="309">
        <v>10.781599999999999</v>
      </c>
      <c r="O862" s="309">
        <v>0</v>
      </c>
      <c r="P862" s="309">
        <v>10.2979</v>
      </c>
      <c r="Q862" s="309">
        <v>0</v>
      </c>
      <c r="R862" s="309">
        <v>12.465299999999999</v>
      </c>
      <c r="S862" s="309">
        <v>12.945499999999999</v>
      </c>
      <c r="T862" s="309">
        <v>9.8506999999999998</v>
      </c>
      <c r="U862" s="309">
        <v>15.097899999999999</v>
      </c>
      <c r="V862" s="309">
        <v>9.7982999999999993</v>
      </c>
      <c r="W862" s="309">
        <v>5.6756000000000002</v>
      </c>
      <c r="X862" s="309">
        <v>5.0255999999999998</v>
      </c>
      <c r="Y862" s="309">
        <v>0</v>
      </c>
      <c r="Z862" s="309">
        <v>10.280200000000001</v>
      </c>
      <c r="AA862" s="309">
        <v>12.577199999999999</v>
      </c>
      <c r="AB862" s="309">
        <v>14.1953</v>
      </c>
      <c r="AC862" s="309">
        <v>0</v>
      </c>
      <c r="AD862" s="309">
        <v>10.8337</v>
      </c>
      <c r="AE862" s="309">
        <v>0</v>
      </c>
      <c r="AF862" s="309">
        <v>9.1015999999999995</v>
      </c>
      <c r="AG862" s="309">
        <v>8.9476999999999993</v>
      </c>
      <c r="AH862" s="309">
        <v>0</v>
      </c>
      <c r="AI862" s="309">
        <v>5.6955</v>
      </c>
      <c r="AJ862" s="309">
        <v>0</v>
      </c>
      <c r="AK862" s="309">
        <v>0</v>
      </c>
      <c r="AL862" s="309">
        <v>5.3872999999999998</v>
      </c>
      <c r="AM862" s="309">
        <v>12.170400000000001</v>
      </c>
      <c r="AN862" s="309">
        <v>12.371499999999999</v>
      </c>
      <c r="AO862" s="309">
        <v>9.1268999999999991</v>
      </c>
      <c r="AP862" s="309">
        <v>7.9275000000000002</v>
      </c>
      <c r="AQ862" s="309">
        <v>0</v>
      </c>
      <c r="AR862" s="309">
        <v>8.6159999999999997</v>
      </c>
      <c r="AS862" s="309">
        <v>8.4220000000000006</v>
      </c>
      <c r="AT862" s="309">
        <v>10.3756</v>
      </c>
      <c r="AU862" s="309">
        <v>9.0874000000000006</v>
      </c>
      <c r="AV862" s="309">
        <v>0</v>
      </c>
      <c r="AW862" s="309">
        <v>7.5918999999999999</v>
      </c>
      <c r="AX862" s="309">
        <v>0</v>
      </c>
      <c r="AY862" s="309">
        <v>9.2989999999999995</v>
      </c>
      <c r="AZ862" s="309">
        <v>0</v>
      </c>
      <c r="BA862" s="309">
        <v>0</v>
      </c>
      <c r="BB862" s="309">
        <v>0</v>
      </c>
      <c r="BC862" s="309">
        <v>6.3289999999999997</v>
      </c>
      <c r="BD862" s="309">
        <v>6.7571000000000003</v>
      </c>
      <c r="BE862" s="309">
        <v>14.5153</v>
      </c>
      <c r="BF862" s="309">
        <v>13.497199999999999</v>
      </c>
      <c r="BG862" s="309">
        <v>8.6826000000000008</v>
      </c>
      <c r="BH862" s="309">
        <v>14.2293</v>
      </c>
      <c r="BI862" s="309">
        <v>12.6371</v>
      </c>
      <c r="BJ862" s="309">
        <v>7.9381000000000004</v>
      </c>
      <c r="BK862" s="309">
        <v>7.8887</v>
      </c>
    </row>
    <row r="863" spans="1:63" x14ac:dyDescent="0.25">
      <c r="A863" s="306" t="s">
        <v>704</v>
      </c>
      <c r="B863" s="309" t="s">
        <v>29</v>
      </c>
      <c r="C863" s="309">
        <v>18.583300000000001</v>
      </c>
      <c r="D863" s="309">
        <v>0</v>
      </c>
      <c r="E863" s="309">
        <v>8.7241999999999997</v>
      </c>
      <c r="F863" s="309">
        <v>14.3466</v>
      </c>
      <c r="G863" s="309">
        <v>7.6154999999999999</v>
      </c>
      <c r="H863" s="309">
        <v>6.8773</v>
      </c>
      <c r="I863" s="309">
        <v>13.1755</v>
      </c>
      <c r="J863" s="309">
        <v>0</v>
      </c>
      <c r="K863" s="309">
        <v>0</v>
      </c>
      <c r="L863" s="309">
        <v>0</v>
      </c>
      <c r="M863" s="309">
        <v>0</v>
      </c>
      <c r="N863" s="309">
        <v>8.6087000000000007</v>
      </c>
      <c r="O863" s="309">
        <v>7.1565000000000003</v>
      </c>
      <c r="P863" s="309">
        <v>10.8361</v>
      </c>
      <c r="Q863" s="309">
        <v>11.731400000000001</v>
      </c>
      <c r="R863" s="309">
        <v>12.2852</v>
      </c>
      <c r="S863" s="309">
        <v>12.918799999999999</v>
      </c>
      <c r="T863" s="309">
        <v>11.6053</v>
      </c>
      <c r="U863" s="309">
        <v>16.8276</v>
      </c>
      <c r="V863" s="309">
        <v>13.674799999999999</v>
      </c>
      <c r="W863" s="309">
        <v>4.8291000000000004</v>
      </c>
      <c r="X863" s="309">
        <v>0</v>
      </c>
      <c r="Y863" s="309">
        <v>0</v>
      </c>
      <c r="Z863" s="309">
        <v>11.1043</v>
      </c>
      <c r="AA863" s="309">
        <v>12.425800000000001</v>
      </c>
      <c r="AB863" s="309">
        <v>15.7662</v>
      </c>
      <c r="AC863" s="309">
        <v>16.569800000000001</v>
      </c>
      <c r="AD863" s="309">
        <v>16.5047</v>
      </c>
      <c r="AE863" s="309">
        <v>9.0343</v>
      </c>
      <c r="AF863" s="309">
        <v>9.5777999999999999</v>
      </c>
      <c r="AG863" s="309">
        <v>9.8953000000000007</v>
      </c>
      <c r="AH863" s="309">
        <v>0</v>
      </c>
      <c r="AI863" s="309">
        <v>0</v>
      </c>
      <c r="AJ863" s="309">
        <v>0</v>
      </c>
      <c r="AK863" s="309">
        <v>6.2245999999999997</v>
      </c>
      <c r="AL863" s="309">
        <v>5.6746999999999996</v>
      </c>
      <c r="AM863" s="309">
        <v>16.9649</v>
      </c>
      <c r="AN863" s="309">
        <v>14.2767</v>
      </c>
      <c r="AO863" s="309">
        <v>0</v>
      </c>
      <c r="AP863" s="309">
        <v>8.9949999999999992</v>
      </c>
      <c r="AQ863" s="309">
        <v>0</v>
      </c>
      <c r="AR863" s="309">
        <v>9.9222000000000001</v>
      </c>
      <c r="AS863" s="309">
        <v>9.0835000000000008</v>
      </c>
      <c r="AT863" s="309">
        <v>9.6548999999999996</v>
      </c>
      <c r="AU863" s="309">
        <v>11.0116</v>
      </c>
      <c r="AV863" s="309">
        <v>9.0783000000000005</v>
      </c>
      <c r="AW863" s="309">
        <v>0</v>
      </c>
      <c r="AX863" s="309">
        <v>6.52</v>
      </c>
      <c r="AY863" s="309">
        <v>11.9458</v>
      </c>
      <c r="AZ863" s="309">
        <v>14.9756</v>
      </c>
      <c r="BA863" s="309">
        <v>0</v>
      </c>
      <c r="BB863" s="309">
        <v>0</v>
      </c>
      <c r="BC863" s="309">
        <v>5.5541999999999998</v>
      </c>
      <c r="BD863" s="309">
        <v>7.5492999999999997</v>
      </c>
      <c r="BE863" s="309">
        <v>14.1785</v>
      </c>
      <c r="BF863" s="309">
        <v>13.585900000000001</v>
      </c>
      <c r="BG863" s="309">
        <v>8.3895999999999997</v>
      </c>
      <c r="BH863" s="309">
        <v>14.602499999999999</v>
      </c>
      <c r="BI863" s="309">
        <v>14.846</v>
      </c>
      <c r="BJ863" s="309">
        <v>13.0273</v>
      </c>
      <c r="BK863" s="309">
        <v>8.0837000000000003</v>
      </c>
    </row>
    <row r="864" spans="1:63" x14ac:dyDescent="0.25">
      <c r="A864" s="306">
        <v>311230</v>
      </c>
      <c r="B864" s="309" t="s">
        <v>31</v>
      </c>
      <c r="C864" s="309">
        <v>11.835699999999999</v>
      </c>
      <c r="D864" s="309">
        <v>0</v>
      </c>
      <c r="E864" s="309">
        <v>0</v>
      </c>
      <c r="F864" s="309">
        <v>7.8639000000000001</v>
      </c>
      <c r="G864" s="309">
        <v>0</v>
      </c>
      <c r="H864" s="309">
        <v>6.3887999999999998</v>
      </c>
      <c r="I864" s="309">
        <v>8.5431000000000008</v>
      </c>
      <c r="J864" s="309">
        <v>4.3566000000000003</v>
      </c>
      <c r="K864" s="309">
        <v>0</v>
      </c>
      <c r="L864" s="309">
        <v>0</v>
      </c>
      <c r="M864" s="309">
        <v>0</v>
      </c>
      <c r="N864" s="309">
        <v>7.7506000000000004</v>
      </c>
      <c r="O864" s="309">
        <v>0</v>
      </c>
      <c r="P864" s="309">
        <v>5.5682</v>
      </c>
      <c r="Q864" s="309">
        <v>0</v>
      </c>
      <c r="R864" s="309">
        <v>7.5810000000000004</v>
      </c>
      <c r="S864" s="309">
        <v>0</v>
      </c>
      <c r="T864" s="309">
        <v>7.1970999999999998</v>
      </c>
      <c r="U864" s="309">
        <v>0</v>
      </c>
      <c r="V864" s="309">
        <v>0</v>
      </c>
      <c r="W864" s="309">
        <v>5.8571</v>
      </c>
      <c r="X864" s="309">
        <v>6.4389000000000003</v>
      </c>
      <c r="Y864" s="309">
        <v>0</v>
      </c>
      <c r="Z864" s="309">
        <v>7.7652999999999999</v>
      </c>
      <c r="AA864" s="309">
        <v>7.9908000000000001</v>
      </c>
      <c r="AB864" s="309">
        <v>9.3181999999999992</v>
      </c>
      <c r="AC864" s="309">
        <v>0</v>
      </c>
      <c r="AD864" s="309">
        <v>7.7167000000000003</v>
      </c>
      <c r="AE864" s="309">
        <v>8.8489000000000004</v>
      </c>
      <c r="AF864" s="309">
        <v>0</v>
      </c>
      <c r="AG864" s="309">
        <v>5.4593999999999996</v>
      </c>
      <c r="AH864" s="309">
        <v>0</v>
      </c>
      <c r="AI864" s="309">
        <v>6.0652999999999997</v>
      </c>
      <c r="AJ864" s="309">
        <v>4.8013000000000003</v>
      </c>
      <c r="AK864" s="309">
        <v>4.8433000000000002</v>
      </c>
      <c r="AL864" s="309">
        <v>0</v>
      </c>
      <c r="AM864" s="309">
        <v>8.9707000000000008</v>
      </c>
      <c r="AN864" s="309">
        <v>0</v>
      </c>
      <c r="AO864" s="309">
        <v>7.4641000000000002</v>
      </c>
      <c r="AP864" s="309">
        <v>7.1890999999999998</v>
      </c>
      <c r="AQ864" s="309">
        <v>0</v>
      </c>
      <c r="AR864" s="309">
        <v>0</v>
      </c>
      <c r="AS864" s="309">
        <v>0</v>
      </c>
      <c r="AT864" s="309">
        <v>7.0110999999999999</v>
      </c>
      <c r="AU864" s="309">
        <v>7.4028</v>
      </c>
      <c r="AV864" s="309">
        <v>8.2730999999999995</v>
      </c>
      <c r="AW864" s="309">
        <v>0</v>
      </c>
      <c r="AX864" s="309">
        <v>0</v>
      </c>
      <c r="AY864" s="309">
        <v>8.0405999999999995</v>
      </c>
      <c r="AZ864" s="309">
        <v>9.1426999999999996</v>
      </c>
      <c r="BA864" s="309">
        <v>0</v>
      </c>
      <c r="BB864" s="309">
        <v>3.9805999999999999</v>
      </c>
      <c r="BC864" s="309">
        <v>6.3802000000000003</v>
      </c>
      <c r="BD864" s="309">
        <v>6.4924999999999997</v>
      </c>
      <c r="BE864" s="309">
        <v>9.2003000000000004</v>
      </c>
      <c r="BF864" s="309">
        <v>8.0289999999999999</v>
      </c>
      <c r="BG864" s="309">
        <v>7.7385999999999999</v>
      </c>
      <c r="BH864" s="309">
        <v>8.0516000000000005</v>
      </c>
      <c r="BI864" s="309">
        <v>8.7879000000000005</v>
      </c>
      <c r="BJ864" s="309">
        <v>7.3047000000000004</v>
      </c>
      <c r="BK864" s="309">
        <v>7.0362999999999998</v>
      </c>
    </row>
    <row r="865" spans="1:63" x14ac:dyDescent="0.25">
      <c r="A865" s="306">
        <v>311313</v>
      </c>
      <c r="B865" s="309" t="s">
        <v>33</v>
      </c>
      <c r="C865" s="309">
        <v>19.0532</v>
      </c>
      <c r="D865" s="309">
        <v>0</v>
      </c>
      <c r="E865" s="309">
        <v>0</v>
      </c>
      <c r="F865" s="309">
        <v>0</v>
      </c>
      <c r="G865" s="309">
        <v>0</v>
      </c>
      <c r="H865" s="309">
        <v>12.286899999999999</v>
      </c>
      <c r="I865" s="309">
        <v>14.0542</v>
      </c>
      <c r="J865" s="309">
        <v>0</v>
      </c>
      <c r="K865" s="309">
        <v>0</v>
      </c>
      <c r="L865" s="309">
        <v>0</v>
      </c>
      <c r="M865" s="309">
        <v>0</v>
      </c>
      <c r="N865" s="309">
        <v>0</v>
      </c>
      <c r="O865" s="309">
        <v>0</v>
      </c>
      <c r="P865" s="309">
        <v>0</v>
      </c>
      <c r="Q865" s="309">
        <v>10.837</v>
      </c>
      <c r="R865" s="309">
        <v>0</v>
      </c>
      <c r="S865" s="309">
        <v>0</v>
      </c>
      <c r="T865" s="309">
        <v>0</v>
      </c>
      <c r="U865" s="309">
        <v>13.4604</v>
      </c>
      <c r="V865" s="309">
        <v>15.1469</v>
      </c>
      <c r="W865" s="309">
        <v>0</v>
      </c>
      <c r="X865" s="309">
        <v>0</v>
      </c>
      <c r="Y865" s="309">
        <v>0</v>
      </c>
      <c r="Z865" s="309">
        <v>12.984999999999999</v>
      </c>
      <c r="AA865" s="309">
        <v>11.6997</v>
      </c>
      <c r="AB865" s="309">
        <v>0</v>
      </c>
      <c r="AC865" s="309">
        <v>0</v>
      </c>
      <c r="AD865" s="309">
        <v>14.441800000000001</v>
      </c>
      <c r="AE865" s="309">
        <v>0</v>
      </c>
      <c r="AF865" s="309">
        <v>8.4534000000000002</v>
      </c>
      <c r="AG865" s="309">
        <v>9.8216000000000001</v>
      </c>
      <c r="AH865" s="309">
        <v>0</v>
      </c>
      <c r="AI865" s="309">
        <v>6.7378999999999998</v>
      </c>
      <c r="AJ865" s="309">
        <v>0</v>
      </c>
      <c r="AK865" s="309">
        <v>0</v>
      </c>
      <c r="AL865" s="309">
        <v>7.4836</v>
      </c>
      <c r="AM865" s="309">
        <v>10.991199999999999</v>
      </c>
      <c r="AN865" s="309">
        <v>0</v>
      </c>
      <c r="AO865" s="309">
        <v>15.6371</v>
      </c>
      <c r="AP865" s="309">
        <v>0</v>
      </c>
      <c r="AQ865" s="309">
        <v>0</v>
      </c>
      <c r="AR865" s="309">
        <v>0</v>
      </c>
      <c r="AS865" s="309">
        <v>8.5731000000000002</v>
      </c>
      <c r="AT865" s="309">
        <v>0</v>
      </c>
      <c r="AU865" s="309">
        <v>0</v>
      </c>
      <c r="AV865" s="309">
        <v>0</v>
      </c>
      <c r="AW865" s="309">
        <v>0</v>
      </c>
      <c r="AX865" s="309">
        <v>0</v>
      </c>
      <c r="AY865" s="309">
        <v>0</v>
      </c>
      <c r="AZ865" s="309">
        <v>0</v>
      </c>
      <c r="BA865" s="309">
        <v>0</v>
      </c>
      <c r="BB865" s="309">
        <v>10.6014</v>
      </c>
      <c r="BC865" s="309">
        <v>0</v>
      </c>
      <c r="BD865" s="309">
        <v>8.9214000000000002</v>
      </c>
      <c r="BE865" s="309">
        <v>11.5341</v>
      </c>
      <c r="BF865" s="309">
        <v>12.6511</v>
      </c>
      <c r="BG865" s="309">
        <v>0</v>
      </c>
      <c r="BH865" s="309">
        <v>13.4084</v>
      </c>
      <c r="BI865" s="309">
        <v>16.7881</v>
      </c>
      <c r="BJ865" s="309">
        <v>14.757999999999999</v>
      </c>
      <c r="BK865" s="309">
        <v>13.4217</v>
      </c>
    </row>
    <row r="866" spans="1:63" x14ac:dyDescent="0.25">
      <c r="A866" s="306" t="s">
        <v>705</v>
      </c>
      <c r="B866" s="309" t="s">
        <v>32</v>
      </c>
      <c r="C866" s="309">
        <v>17.7773</v>
      </c>
      <c r="D866" s="309">
        <v>0</v>
      </c>
      <c r="E866" s="309">
        <v>12.2639</v>
      </c>
      <c r="F866" s="309">
        <v>0</v>
      </c>
      <c r="G866" s="309">
        <v>0</v>
      </c>
      <c r="H866" s="309">
        <v>10.0153</v>
      </c>
      <c r="I866" s="309">
        <v>0</v>
      </c>
      <c r="J866" s="309">
        <v>0</v>
      </c>
      <c r="K866" s="309">
        <v>0</v>
      </c>
      <c r="L866" s="309">
        <v>0</v>
      </c>
      <c r="M866" s="309">
        <v>10.870699999999999</v>
      </c>
      <c r="N866" s="309">
        <v>12.190099999999999</v>
      </c>
      <c r="O866" s="309">
        <v>11.7272</v>
      </c>
      <c r="P866" s="309">
        <v>0</v>
      </c>
      <c r="Q866" s="309">
        <v>0</v>
      </c>
      <c r="R866" s="309">
        <v>6.9694000000000003</v>
      </c>
      <c r="S866" s="309">
        <v>0</v>
      </c>
      <c r="T866" s="309">
        <v>0</v>
      </c>
      <c r="U866" s="309">
        <v>0</v>
      </c>
      <c r="V866" s="309">
        <v>12.2577</v>
      </c>
      <c r="W866" s="309">
        <v>0</v>
      </c>
      <c r="X866" s="309">
        <v>6.3658000000000001</v>
      </c>
      <c r="Y866" s="309">
        <v>0</v>
      </c>
      <c r="Z866" s="309">
        <v>11.827400000000001</v>
      </c>
      <c r="AA866" s="309">
        <v>0</v>
      </c>
      <c r="AB866" s="309">
        <v>0</v>
      </c>
      <c r="AC866" s="309">
        <v>0</v>
      </c>
      <c r="AD866" s="309">
        <v>0</v>
      </c>
      <c r="AE866" s="309">
        <v>0</v>
      </c>
      <c r="AF866" s="309">
        <v>0</v>
      </c>
      <c r="AG866" s="309">
        <v>9.3461999999999996</v>
      </c>
      <c r="AH866" s="309">
        <v>8.8169000000000004</v>
      </c>
      <c r="AI866" s="309">
        <v>0</v>
      </c>
      <c r="AJ866" s="309">
        <v>0</v>
      </c>
      <c r="AK866" s="309">
        <v>0</v>
      </c>
      <c r="AL866" s="309">
        <v>5.3338999999999999</v>
      </c>
      <c r="AM866" s="309">
        <v>10.427</v>
      </c>
      <c r="AN866" s="309">
        <v>0</v>
      </c>
      <c r="AO866" s="309">
        <v>0</v>
      </c>
      <c r="AP866" s="309">
        <v>0</v>
      </c>
      <c r="AQ866" s="309">
        <v>0</v>
      </c>
      <c r="AR866" s="309">
        <v>0</v>
      </c>
      <c r="AS866" s="309">
        <v>0</v>
      </c>
      <c r="AT866" s="309">
        <v>7.4059999999999997</v>
      </c>
      <c r="AU866" s="309">
        <v>11.839399999999999</v>
      </c>
      <c r="AV866" s="309">
        <v>0</v>
      </c>
      <c r="AW866" s="309">
        <v>0</v>
      </c>
      <c r="AX866" s="309">
        <v>0</v>
      </c>
      <c r="AY866" s="309">
        <v>0</v>
      </c>
      <c r="AZ866" s="309">
        <v>0</v>
      </c>
      <c r="BA866" s="309">
        <v>0</v>
      </c>
      <c r="BB866" s="309">
        <v>0</v>
      </c>
      <c r="BC866" s="309">
        <v>7.681</v>
      </c>
      <c r="BD866" s="309">
        <v>6.8849</v>
      </c>
      <c r="BE866" s="309">
        <v>10.673500000000001</v>
      </c>
      <c r="BF866" s="309">
        <v>11.9788</v>
      </c>
      <c r="BG866" s="309">
        <v>11.9656</v>
      </c>
      <c r="BH866" s="309">
        <v>9.9080999999999992</v>
      </c>
      <c r="BI866" s="309">
        <v>13.361000000000001</v>
      </c>
      <c r="BJ866" s="309">
        <v>0</v>
      </c>
      <c r="BK866" s="309">
        <v>11.3062</v>
      </c>
    </row>
    <row r="867" spans="1:63" x14ac:dyDescent="0.25">
      <c r="A867" s="306">
        <v>311320</v>
      </c>
      <c r="B867" s="309" t="s">
        <v>34</v>
      </c>
      <c r="C867" s="309">
        <v>16.333500000000001</v>
      </c>
      <c r="D867" s="309">
        <v>0</v>
      </c>
      <c r="E867" s="309">
        <v>0</v>
      </c>
      <c r="F867" s="309">
        <v>8.1707000000000001</v>
      </c>
      <c r="G867" s="309">
        <v>0</v>
      </c>
      <c r="H867" s="309">
        <v>10.2125</v>
      </c>
      <c r="I867" s="309">
        <v>11.4275</v>
      </c>
      <c r="J867" s="309">
        <v>7.6478000000000002</v>
      </c>
      <c r="K867" s="309">
        <v>0</v>
      </c>
      <c r="L867" s="309">
        <v>0</v>
      </c>
      <c r="M867" s="309">
        <v>12.6153</v>
      </c>
      <c r="N867" s="309">
        <v>14.0877</v>
      </c>
      <c r="O867" s="309">
        <v>0</v>
      </c>
      <c r="P867" s="309">
        <v>0</v>
      </c>
      <c r="Q867" s="309">
        <v>0</v>
      </c>
      <c r="R867" s="309">
        <v>9.1957000000000004</v>
      </c>
      <c r="S867" s="309">
        <v>0</v>
      </c>
      <c r="T867" s="309">
        <v>0</v>
      </c>
      <c r="U867" s="309">
        <v>0</v>
      </c>
      <c r="V867" s="309">
        <v>0</v>
      </c>
      <c r="W867" s="309">
        <v>8.1525999999999996</v>
      </c>
      <c r="X867" s="309">
        <v>8.9678000000000004</v>
      </c>
      <c r="Y867" s="309">
        <v>0</v>
      </c>
      <c r="Z867" s="309">
        <v>13.9389</v>
      </c>
      <c r="AA867" s="309">
        <v>12.857900000000001</v>
      </c>
      <c r="AB867" s="309">
        <v>9.8339999999999996</v>
      </c>
      <c r="AC867" s="309">
        <v>0</v>
      </c>
      <c r="AD867" s="309">
        <v>0</v>
      </c>
      <c r="AE867" s="309">
        <v>0</v>
      </c>
      <c r="AF867" s="309">
        <v>0</v>
      </c>
      <c r="AG867" s="309">
        <v>0</v>
      </c>
      <c r="AH867" s="309">
        <v>7.5872000000000002</v>
      </c>
      <c r="AI867" s="309">
        <v>7.6158999999999999</v>
      </c>
      <c r="AJ867" s="309">
        <v>7.1976000000000004</v>
      </c>
      <c r="AK867" s="309">
        <v>6.6616999999999997</v>
      </c>
      <c r="AL867" s="309">
        <v>7.6079999999999997</v>
      </c>
      <c r="AM867" s="309">
        <v>13.895899999999999</v>
      </c>
      <c r="AN867" s="309">
        <v>9.0759000000000007</v>
      </c>
      <c r="AO867" s="309">
        <v>14.001899999999999</v>
      </c>
      <c r="AP867" s="309">
        <v>9.6963000000000008</v>
      </c>
      <c r="AQ867" s="309">
        <v>0</v>
      </c>
      <c r="AR867" s="309">
        <v>0</v>
      </c>
      <c r="AS867" s="309">
        <v>0</v>
      </c>
      <c r="AT867" s="309">
        <v>10.4976</v>
      </c>
      <c r="AU867" s="309">
        <v>13.716799999999999</v>
      </c>
      <c r="AV867" s="309">
        <v>14.559699999999999</v>
      </c>
      <c r="AW867" s="309">
        <v>0</v>
      </c>
      <c r="AX867" s="309">
        <v>0</v>
      </c>
      <c r="AY867" s="309">
        <v>11.283899999999999</v>
      </c>
      <c r="AZ867" s="309">
        <v>10.659700000000001</v>
      </c>
      <c r="BA867" s="309">
        <v>0</v>
      </c>
      <c r="BB867" s="309">
        <v>0</v>
      </c>
      <c r="BC867" s="309">
        <v>8.9336000000000002</v>
      </c>
      <c r="BD867" s="309">
        <v>8.9220000000000006</v>
      </c>
      <c r="BE867" s="309">
        <v>11.649900000000001</v>
      </c>
      <c r="BF867" s="309">
        <v>11.0213</v>
      </c>
      <c r="BG867" s="309">
        <v>14.432600000000001</v>
      </c>
      <c r="BH867" s="309">
        <v>11.7689</v>
      </c>
      <c r="BI867" s="309">
        <v>12.105</v>
      </c>
      <c r="BJ867" s="309">
        <v>10.859400000000001</v>
      </c>
      <c r="BK867" s="309">
        <v>10.8726</v>
      </c>
    </row>
    <row r="868" spans="1:63" x14ac:dyDescent="0.25">
      <c r="A868" s="306">
        <v>311330</v>
      </c>
      <c r="B868" s="309" t="s">
        <v>35</v>
      </c>
      <c r="C868" s="309">
        <v>15.9597</v>
      </c>
      <c r="D868" s="309">
        <v>10.660299999999999</v>
      </c>
      <c r="E868" s="309">
        <v>15.8667</v>
      </c>
      <c r="F868" s="309">
        <v>13.284800000000001</v>
      </c>
      <c r="G868" s="309">
        <v>12.3672</v>
      </c>
      <c r="H868" s="309">
        <v>10.1355</v>
      </c>
      <c r="I868" s="309">
        <v>11.3657</v>
      </c>
      <c r="J868" s="309">
        <v>8.1660000000000004</v>
      </c>
      <c r="K868" s="309">
        <v>0.83889999999999998</v>
      </c>
      <c r="L868" s="309">
        <v>6.6493000000000002</v>
      </c>
      <c r="M868" s="309">
        <v>13.9589</v>
      </c>
      <c r="N868" s="309">
        <v>10.6243</v>
      </c>
      <c r="O868" s="309">
        <v>9.7100000000000009</v>
      </c>
      <c r="P868" s="309">
        <v>9.5458999999999996</v>
      </c>
      <c r="Q868" s="309">
        <v>11.776999999999999</v>
      </c>
      <c r="R868" s="309">
        <v>9.6748999999999992</v>
      </c>
      <c r="S868" s="309">
        <v>11.6556</v>
      </c>
      <c r="T868" s="309">
        <v>8.3834</v>
      </c>
      <c r="U868" s="309">
        <v>14.386900000000001</v>
      </c>
      <c r="V868" s="309">
        <v>10.382</v>
      </c>
      <c r="W868" s="309">
        <v>10.143000000000001</v>
      </c>
      <c r="X868" s="309">
        <v>9.4681999999999995</v>
      </c>
      <c r="Y868" s="309">
        <v>14.4308</v>
      </c>
      <c r="Z868" s="309">
        <v>11.0497</v>
      </c>
      <c r="AA868" s="309">
        <v>10.303699999999999</v>
      </c>
      <c r="AB868" s="309">
        <v>12.5169</v>
      </c>
      <c r="AC868" s="309">
        <v>8.2530000000000001</v>
      </c>
      <c r="AD868" s="309">
        <v>11.7782</v>
      </c>
      <c r="AE868" s="309">
        <v>11.1074</v>
      </c>
      <c r="AF868" s="309">
        <v>11.7509</v>
      </c>
      <c r="AG868" s="309">
        <v>12.075799999999999</v>
      </c>
      <c r="AH868" s="309">
        <v>12.385400000000001</v>
      </c>
      <c r="AI868" s="309">
        <v>7.5477999999999996</v>
      </c>
      <c r="AJ868" s="309">
        <v>12.7484</v>
      </c>
      <c r="AK868" s="309">
        <v>7.7908999999999997</v>
      </c>
      <c r="AL868" s="309">
        <v>7.8861999999999997</v>
      </c>
      <c r="AM868" s="309">
        <v>13.4358</v>
      </c>
      <c r="AN868" s="309">
        <v>0</v>
      </c>
      <c r="AO868" s="309">
        <v>12.681800000000001</v>
      </c>
      <c r="AP868" s="309">
        <v>10.6342</v>
      </c>
      <c r="AQ868" s="309">
        <v>13.8103</v>
      </c>
      <c r="AR868" s="309">
        <v>14.0456</v>
      </c>
      <c r="AS868" s="309">
        <v>6.0180999999999996</v>
      </c>
      <c r="AT868" s="309">
        <v>9.1311999999999998</v>
      </c>
      <c r="AU868" s="309">
        <v>10.276999999999999</v>
      </c>
      <c r="AV868" s="309">
        <v>15.716799999999999</v>
      </c>
      <c r="AW868" s="309">
        <v>8.0549999999999997</v>
      </c>
      <c r="AX868" s="309">
        <v>8.1235999999999997</v>
      </c>
      <c r="AY868" s="309">
        <v>10.833399999999999</v>
      </c>
      <c r="AZ868" s="309">
        <v>11.710599999999999</v>
      </c>
      <c r="BA868" s="309">
        <v>10.1454</v>
      </c>
      <c r="BB868" s="309">
        <v>11.0242</v>
      </c>
      <c r="BC868" s="309">
        <v>11.3954</v>
      </c>
      <c r="BD868" s="309">
        <v>9.8956</v>
      </c>
      <c r="BE868" s="309">
        <v>12.3315</v>
      </c>
      <c r="BF868" s="309">
        <v>11.369300000000001</v>
      </c>
      <c r="BG868" s="309">
        <v>11.812099999999999</v>
      </c>
      <c r="BH868" s="309">
        <v>10.1745</v>
      </c>
      <c r="BI868" s="309">
        <v>11.023199999999999</v>
      </c>
      <c r="BJ868" s="309">
        <v>12.004200000000001</v>
      </c>
      <c r="BK868" s="309">
        <v>11.097099999999999</v>
      </c>
    </row>
    <row r="869" spans="1:63" x14ac:dyDescent="0.25">
      <c r="A869" s="306">
        <v>311340</v>
      </c>
      <c r="B869" s="309" t="s">
        <v>36</v>
      </c>
      <c r="C869" s="309">
        <v>17.014500000000002</v>
      </c>
      <c r="D869" s="309">
        <v>5.57</v>
      </c>
      <c r="E869" s="309">
        <v>16.537500000000001</v>
      </c>
      <c r="F869" s="309">
        <v>13.7456</v>
      </c>
      <c r="G869" s="309">
        <v>7.4913999999999996</v>
      </c>
      <c r="H869" s="309">
        <v>9.9002999999999997</v>
      </c>
      <c r="I869" s="309">
        <v>12.250999999999999</v>
      </c>
      <c r="J869" s="309">
        <v>8.4552999999999994</v>
      </c>
      <c r="K869" s="309">
        <v>0</v>
      </c>
      <c r="L869" s="309">
        <v>9.9171999999999993</v>
      </c>
      <c r="M869" s="309">
        <v>12.529400000000001</v>
      </c>
      <c r="N869" s="309">
        <v>11.4755</v>
      </c>
      <c r="O869" s="309">
        <v>14.854799999999999</v>
      </c>
      <c r="P869" s="309">
        <v>9.7575000000000003</v>
      </c>
      <c r="Q869" s="309">
        <v>8.0105000000000004</v>
      </c>
      <c r="R869" s="309">
        <v>10.462400000000001</v>
      </c>
      <c r="S869" s="309">
        <v>11.601599999999999</v>
      </c>
      <c r="T869" s="309">
        <v>8.3284000000000002</v>
      </c>
      <c r="U869" s="309">
        <v>10.0427</v>
      </c>
      <c r="V869" s="309">
        <v>14.4034</v>
      </c>
      <c r="W869" s="309">
        <v>9.1196999999999999</v>
      </c>
      <c r="X869" s="309">
        <v>8.5504999999999995</v>
      </c>
      <c r="Y869" s="309">
        <v>15.843999999999999</v>
      </c>
      <c r="Z869" s="309">
        <v>16.079499999999999</v>
      </c>
      <c r="AA869" s="309">
        <v>10.9862</v>
      </c>
      <c r="AB869" s="309">
        <v>12.4679</v>
      </c>
      <c r="AC869" s="309">
        <v>9.4876000000000005</v>
      </c>
      <c r="AD869" s="309">
        <v>12.6065</v>
      </c>
      <c r="AE869" s="309">
        <v>10.989699999999999</v>
      </c>
      <c r="AF869" s="309">
        <v>0</v>
      </c>
      <c r="AG869" s="309">
        <v>7.8616000000000001</v>
      </c>
      <c r="AH869" s="309">
        <v>8.4468999999999994</v>
      </c>
      <c r="AI869" s="309">
        <v>8.3968000000000007</v>
      </c>
      <c r="AJ869" s="309">
        <v>11.004</v>
      </c>
      <c r="AK869" s="309">
        <v>8.9067000000000007</v>
      </c>
      <c r="AL869" s="309">
        <v>7.9882999999999997</v>
      </c>
      <c r="AM869" s="309">
        <v>13.907999999999999</v>
      </c>
      <c r="AN869" s="309">
        <v>13.781499999999999</v>
      </c>
      <c r="AO869" s="309">
        <v>12.4056</v>
      </c>
      <c r="AP869" s="309">
        <v>10.8795</v>
      </c>
      <c r="AQ869" s="309">
        <v>0</v>
      </c>
      <c r="AR869" s="309">
        <v>14.373799999999999</v>
      </c>
      <c r="AS869" s="309">
        <v>11.120699999999999</v>
      </c>
      <c r="AT869" s="309">
        <v>10.8378</v>
      </c>
      <c r="AU869" s="309">
        <v>12.3614</v>
      </c>
      <c r="AV869" s="309">
        <v>13.325100000000001</v>
      </c>
      <c r="AW869" s="309">
        <v>10.990600000000001</v>
      </c>
      <c r="AX869" s="309">
        <v>7.0865</v>
      </c>
      <c r="AY869" s="309">
        <v>12.370100000000001</v>
      </c>
      <c r="AZ869" s="309">
        <v>12.133599999999999</v>
      </c>
      <c r="BA869" s="309">
        <v>7.5122999999999998</v>
      </c>
      <c r="BB869" s="309">
        <v>12.1229</v>
      </c>
      <c r="BC869" s="309">
        <v>10.7417</v>
      </c>
      <c r="BD869" s="309">
        <v>10.1915</v>
      </c>
      <c r="BE869" s="309">
        <v>12.772399999999999</v>
      </c>
      <c r="BF869" s="309">
        <v>11.6997</v>
      </c>
      <c r="BG869" s="309">
        <v>12.317500000000001</v>
      </c>
      <c r="BH869" s="309">
        <v>12.378500000000001</v>
      </c>
      <c r="BI869" s="309">
        <v>13.760199999999999</v>
      </c>
      <c r="BJ869" s="309">
        <v>11.1274</v>
      </c>
      <c r="BK869" s="309">
        <v>10.684200000000001</v>
      </c>
    </row>
    <row r="870" spans="1:63" x14ac:dyDescent="0.25">
      <c r="A870" s="306">
        <v>311410</v>
      </c>
      <c r="B870" s="309" t="s">
        <v>37</v>
      </c>
      <c r="C870" s="309">
        <v>18.4496</v>
      </c>
      <c r="D870" s="309">
        <v>0</v>
      </c>
      <c r="E870" s="309">
        <v>0</v>
      </c>
      <c r="F870" s="309">
        <v>12.082599999999999</v>
      </c>
      <c r="G870" s="309">
        <v>10.8851</v>
      </c>
      <c r="H870" s="309">
        <v>10.9137</v>
      </c>
      <c r="I870" s="309">
        <v>12.8725</v>
      </c>
      <c r="J870" s="309">
        <v>6.8494999999999999</v>
      </c>
      <c r="K870" s="309">
        <v>0</v>
      </c>
      <c r="L870" s="309">
        <v>7.5579999999999998</v>
      </c>
      <c r="M870" s="309">
        <v>10.1502</v>
      </c>
      <c r="N870" s="309">
        <v>12.0684</v>
      </c>
      <c r="O870" s="309">
        <v>11.1363</v>
      </c>
      <c r="P870" s="309">
        <v>9.1012000000000004</v>
      </c>
      <c r="Q870" s="309">
        <v>10.757400000000001</v>
      </c>
      <c r="R870" s="309">
        <v>10.755699999999999</v>
      </c>
      <c r="S870" s="309">
        <v>11.455299999999999</v>
      </c>
      <c r="T870" s="309">
        <v>9.9600000000000009</v>
      </c>
      <c r="U870" s="309">
        <v>12.504</v>
      </c>
      <c r="V870" s="309">
        <v>12.175000000000001</v>
      </c>
      <c r="W870" s="309">
        <v>8.3611000000000004</v>
      </c>
      <c r="X870" s="309">
        <v>9.0619999999999994</v>
      </c>
      <c r="Y870" s="309">
        <v>13.1884</v>
      </c>
      <c r="Z870" s="309">
        <v>12.286099999999999</v>
      </c>
      <c r="AA870" s="309">
        <v>12.0433</v>
      </c>
      <c r="AB870" s="309">
        <v>12.295500000000001</v>
      </c>
      <c r="AC870" s="309">
        <v>12.874599999999999</v>
      </c>
      <c r="AD870" s="309">
        <v>0</v>
      </c>
      <c r="AE870" s="309">
        <v>12.1683</v>
      </c>
      <c r="AF870" s="309">
        <v>8.1428999999999991</v>
      </c>
      <c r="AG870" s="309">
        <v>9.0471000000000004</v>
      </c>
      <c r="AH870" s="309">
        <v>9.0221999999999998</v>
      </c>
      <c r="AI870" s="309">
        <v>8.8434000000000008</v>
      </c>
      <c r="AJ870" s="309">
        <v>10.861599999999999</v>
      </c>
      <c r="AK870" s="309">
        <v>9.2603000000000009</v>
      </c>
      <c r="AL870" s="309">
        <v>6.7873999999999999</v>
      </c>
      <c r="AM870" s="309">
        <v>12.728400000000001</v>
      </c>
      <c r="AN870" s="309">
        <v>12.541399999999999</v>
      </c>
      <c r="AO870" s="309">
        <v>13.2112</v>
      </c>
      <c r="AP870" s="309">
        <v>11.9397</v>
      </c>
      <c r="AQ870" s="309">
        <v>7.7336</v>
      </c>
      <c r="AR870" s="309">
        <v>11.9702</v>
      </c>
      <c r="AS870" s="309">
        <v>7.5444000000000004</v>
      </c>
      <c r="AT870" s="309">
        <v>10.8291</v>
      </c>
      <c r="AU870" s="309">
        <v>13.0624</v>
      </c>
      <c r="AV870" s="309">
        <v>13.432</v>
      </c>
      <c r="AW870" s="309">
        <v>10.272600000000001</v>
      </c>
      <c r="AX870" s="309">
        <v>9.9600000000000009</v>
      </c>
      <c r="AY870" s="309">
        <v>11.092499999999999</v>
      </c>
      <c r="AZ870" s="309">
        <v>13.910500000000001</v>
      </c>
      <c r="BA870" s="309">
        <v>7.6879</v>
      </c>
      <c r="BB870" s="309">
        <v>0</v>
      </c>
      <c r="BC870" s="309">
        <v>10.201700000000001</v>
      </c>
      <c r="BD870" s="309">
        <v>9.8673999999999999</v>
      </c>
      <c r="BE870" s="309">
        <v>13.519600000000001</v>
      </c>
      <c r="BF870" s="309">
        <v>12.7044</v>
      </c>
      <c r="BG870" s="309">
        <v>12.684100000000001</v>
      </c>
      <c r="BH870" s="309">
        <v>12.7425</v>
      </c>
      <c r="BI870" s="309">
        <v>13.9817</v>
      </c>
      <c r="BJ870" s="309">
        <v>12.7324</v>
      </c>
      <c r="BK870" s="309">
        <v>11.7036</v>
      </c>
    </row>
    <row r="871" spans="1:63" x14ac:dyDescent="0.25">
      <c r="A871" s="306">
        <v>311420</v>
      </c>
      <c r="B871" s="309" t="s">
        <v>38</v>
      </c>
      <c r="C871" s="309">
        <v>15.4682</v>
      </c>
      <c r="D871" s="309">
        <v>0</v>
      </c>
      <c r="E871" s="309">
        <v>9.8825000000000003</v>
      </c>
      <c r="F871" s="309">
        <v>9.3739000000000008</v>
      </c>
      <c r="G871" s="309">
        <v>9.3661999999999992</v>
      </c>
      <c r="H871" s="309">
        <v>9.7055000000000007</v>
      </c>
      <c r="I871" s="309">
        <v>11.560700000000001</v>
      </c>
      <c r="J871" s="309">
        <v>6.7695999999999996</v>
      </c>
      <c r="K871" s="309">
        <v>0</v>
      </c>
      <c r="L871" s="309">
        <v>5.6314000000000002</v>
      </c>
      <c r="M871" s="309">
        <v>9.2307000000000006</v>
      </c>
      <c r="N871" s="309">
        <v>11.1096</v>
      </c>
      <c r="O871" s="309">
        <v>9.7847000000000008</v>
      </c>
      <c r="P871" s="309">
        <v>7.6223999999999998</v>
      </c>
      <c r="Q871" s="309">
        <v>8.7003000000000004</v>
      </c>
      <c r="R871" s="309">
        <v>9.2911999999999999</v>
      </c>
      <c r="S871" s="309">
        <v>10.1927</v>
      </c>
      <c r="T871" s="309">
        <v>7.9720000000000004</v>
      </c>
      <c r="U871" s="309">
        <v>9.0117999999999991</v>
      </c>
      <c r="V871" s="309">
        <v>9.4350000000000005</v>
      </c>
      <c r="W871" s="309">
        <v>6.8128000000000002</v>
      </c>
      <c r="X871" s="309">
        <v>6.5782999999999996</v>
      </c>
      <c r="Y871" s="309">
        <v>10.522</v>
      </c>
      <c r="Z871" s="309">
        <v>10.252000000000001</v>
      </c>
      <c r="AA871" s="309">
        <v>10.182</v>
      </c>
      <c r="AB871" s="309">
        <v>9.2879000000000005</v>
      </c>
      <c r="AC871" s="309">
        <v>10.4184</v>
      </c>
      <c r="AD871" s="309">
        <v>8.8313000000000006</v>
      </c>
      <c r="AE871" s="309">
        <v>10.4163</v>
      </c>
      <c r="AF871" s="309">
        <v>6.2671000000000001</v>
      </c>
      <c r="AG871" s="309">
        <v>8.0495999999999999</v>
      </c>
      <c r="AH871" s="309">
        <v>8.3384</v>
      </c>
      <c r="AI871" s="309">
        <v>7.8005000000000004</v>
      </c>
      <c r="AJ871" s="309">
        <v>9.4033999999999995</v>
      </c>
      <c r="AK871" s="309">
        <v>6.9520999999999997</v>
      </c>
      <c r="AL871" s="309">
        <v>6.3865999999999996</v>
      </c>
      <c r="AM871" s="309">
        <v>10.6226</v>
      </c>
      <c r="AN871" s="309">
        <v>9.6791999999999998</v>
      </c>
      <c r="AO871" s="309">
        <v>11.266999999999999</v>
      </c>
      <c r="AP871" s="309">
        <v>10.560700000000001</v>
      </c>
      <c r="AQ871" s="309">
        <v>8.9124999999999996</v>
      </c>
      <c r="AR871" s="309">
        <v>11.2151</v>
      </c>
      <c r="AS871" s="309">
        <v>0</v>
      </c>
      <c r="AT871" s="309">
        <v>8.9270999999999994</v>
      </c>
      <c r="AU871" s="309">
        <v>9.8603000000000005</v>
      </c>
      <c r="AV871" s="309">
        <v>12.4068</v>
      </c>
      <c r="AW871" s="309">
        <v>8.8247</v>
      </c>
      <c r="AX871" s="309">
        <v>9.0469000000000008</v>
      </c>
      <c r="AY871" s="309">
        <v>10.176600000000001</v>
      </c>
      <c r="AZ871" s="309">
        <v>11.328799999999999</v>
      </c>
      <c r="BA871" s="309">
        <v>8.3439999999999994</v>
      </c>
      <c r="BB871" s="309">
        <v>0</v>
      </c>
      <c r="BC871" s="309">
        <v>8.4313000000000002</v>
      </c>
      <c r="BD871" s="309">
        <v>9.2493999999999996</v>
      </c>
      <c r="BE871" s="309">
        <v>11.6419</v>
      </c>
      <c r="BF871" s="309">
        <v>10.1572</v>
      </c>
      <c r="BG871" s="309">
        <v>11.575900000000001</v>
      </c>
      <c r="BH871" s="309">
        <v>10.2339</v>
      </c>
      <c r="BI871" s="309">
        <v>10.8027</v>
      </c>
      <c r="BJ871" s="309">
        <v>10.833299999999999</v>
      </c>
      <c r="BK871" s="309">
        <v>10.315099999999999</v>
      </c>
    </row>
    <row r="872" spans="1:63" x14ac:dyDescent="0.25">
      <c r="A872" s="306">
        <v>311513</v>
      </c>
      <c r="B872" s="309" t="s">
        <v>40</v>
      </c>
      <c r="C872" s="309">
        <v>19.2257</v>
      </c>
      <c r="D872" s="309">
        <v>0</v>
      </c>
      <c r="E872" s="309">
        <v>9.0042000000000009</v>
      </c>
      <c r="F872" s="309">
        <v>7.5011999999999999</v>
      </c>
      <c r="G872" s="309">
        <v>0</v>
      </c>
      <c r="H872" s="309">
        <v>12.233000000000001</v>
      </c>
      <c r="I872" s="309">
        <v>13.5358</v>
      </c>
      <c r="J872" s="309">
        <v>6.3691000000000004</v>
      </c>
      <c r="K872" s="309">
        <v>0</v>
      </c>
      <c r="L872" s="309">
        <v>0</v>
      </c>
      <c r="M872" s="309">
        <v>7.0452000000000004</v>
      </c>
      <c r="N872" s="309">
        <v>9.3421000000000003</v>
      </c>
      <c r="O872" s="309">
        <v>6.1257999999999999</v>
      </c>
      <c r="P872" s="309">
        <v>11.5639</v>
      </c>
      <c r="Q872" s="309">
        <v>12.327999999999999</v>
      </c>
      <c r="R872" s="309">
        <v>8.8057999999999996</v>
      </c>
      <c r="S872" s="309">
        <v>12.545</v>
      </c>
      <c r="T872" s="309">
        <v>0</v>
      </c>
      <c r="U872" s="309">
        <v>11.7052</v>
      </c>
      <c r="V872" s="309">
        <v>9.3406000000000002</v>
      </c>
      <c r="W872" s="309">
        <v>7.2824999999999998</v>
      </c>
      <c r="X872" s="309">
        <v>6.7557</v>
      </c>
      <c r="Y872" s="309">
        <v>14.6038</v>
      </c>
      <c r="Z872" s="309">
        <v>13.112</v>
      </c>
      <c r="AA872" s="309">
        <v>13.1957</v>
      </c>
      <c r="AB872" s="309">
        <v>11.555400000000001</v>
      </c>
      <c r="AC872" s="309">
        <v>0</v>
      </c>
      <c r="AD872" s="309">
        <v>0</v>
      </c>
      <c r="AE872" s="309">
        <v>9.2344000000000008</v>
      </c>
      <c r="AF872" s="309">
        <v>8.6730999999999998</v>
      </c>
      <c r="AG872" s="309">
        <v>8.3467000000000002</v>
      </c>
      <c r="AH872" s="309">
        <v>0</v>
      </c>
      <c r="AI872" s="309">
        <v>6.8323999999999998</v>
      </c>
      <c r="AJ872" s="309">
        <v>12.381</v>
      </c>
      <c r="AK872" s="309">
        <v>0</v>
      </c>
      <c r="AL872" s="309">
        <v>9.1798999999999999</v>
      </c>
      <c r="AM872" s="309">
        <v>14.4801</v>
      </c>
      <c r="AN872" s="309">
        <v>10.832000000000001</v>
      </c>
      <c r="AO872" s="309">
        <v>14.8863</v>
      </c>
      <c r="AP872" s="309">
        <v>13.8035</v>
      </c>
      <c r="AQ872" s="309">
        <v>6.5033000000000003</v>
      </c>
      <c r="AR872" s="309">
        <v>9.5755999999999997</v>
      </c>
      <c r="AS872" s="309">
        <v>10.082100000000001</v>
      </c>
      <c r="AT872" s="309">
        <v>9.3696999999999999</v>
      </c>
      <c r="AU872" s="309">
        <v>9.9779999999999998</v>
      </c>
      <c r="AV872" s="309">
        <v>17.114999999999998</v>
      </c>
      <c r="AW872" s="309">
        <v>0</v>
      </c>
      <c r="AX872" s="309">
        <v>15.4139</v>
      </c>
      <c r="AY872" s="309">
        <v>12.523899999999999</v>
      </c>
      <c r="AZ872" s="309">
        <v>16.427600000000002</v>
      </c>
      <c r="BA872" s="309">
        <v>0</v>
      </c>
      <c r="BB872" s="309">
        <v>0</v>
      </c>
      <c r="BC872" s="309">
        <v>9.8176000000000005</v>
      </c>
      <c r="BD872" s="309">
        <v>11.5063</v>
      </c>
      <c r="BE872" s="309">
        <v>16.8141</v>
      </c>
      <c r="BF872" s="309">
        <v>14.0021</v>
      </c>
      <c r="BG872" s="309">
        <v>9.3508999999999993</v>
      </c>
      <c r="BH872" s="309">
        <v>10.343500000000001</v>
      </c>
      <c r="BI872" s="309">
        <v>10.2072</v>
      </c>
      <c r="BJ872" s="309">
        <v>15.007199999999999</v>
      </c>
      <c r="BK872" s="309">
        <v>12.993</v>
      </c>
    </row>
    <row r="873" spans="1:63" x14ac:dyDescent="0.25">
      <c r="A873" s="306">
        <v>311514</v>
      </c>
      <c r="B873" s="309" t="s">
        <v>41</v>
      </c>
      <c r="C873" s="309">
        <v>16.882999999999999</v>
      </c>
      <c r="D873" s="309">
        <v>0</v>
      </c>
      <c r="E873" s="309">
        <v>0</v>
      </c>
      <c r="F873" s="309">
        <v>8.7638999999999996</v>
      </c>
      <c r="G873" s="309">
        <v>10.2113</v>
      </c>
      <c r="H873" s="309">
        <v>10.264699999999999</v>
      </c>
      <c r="I873" s="309">
        <v>10.5069</v>
      </c>
      <c r="J873" s="309">
        <v>0</v>
      </c>
      <c r="K873" s="309">
        <v>0</v>
      </c>
      <c r="L873" s="309">
        <v>0</v>
      </c>
      <c r="M873" s="309">
        <v>8.7236999999999991</v>
      </c>
      <c r="N873" s="309">
        <v>8.8771000000000004</v>
      </c>
      <c r="O873" s="309">
        <v>0</v>
      </c>
      <c r="P873" s="309">
        <v>10.089</v>
      </c>
      <c r="Q873" s="309">
        <v>10.216900000000001</v>
      </c>
      <c r="R873" s="309">
        <v>8.8431999999999995</v>
      </c>
      <c r="S873" s="309">
        <v>11.0785</v>
      </c>
      <c r="T873" s="309">
        <v>9.8327000000000009</v>
      </c>
      <c r="U873" s="309">
        <v>10.946199999999999</v>
      </c>
      <c r="V873" s="309">
        <v>7.4634</v>
      </c>
      <c r="W873" s="309">
        <v>6.5803000000000003</v>
      </c>
      <c r="X873" s="309">
        <v>6.8361000000000001</v>
      </c>
      <c r="Y873" s="309">
        <v>0</v>
      </c>
      <c r="Z873" s="309">
        <v>11.314500000000001</v>
      </c>
      <c r="AA873" s="309">
        <v>11.588800000000001</v>
      </c>
      <c r="AB873" s="309">
        <v>10.6646</v>
      </c>
      <c r="AC873" s="309">
        <v>0</v>
      </c>
      <c r="AD873" s="309">
        <v>0</v>
      </c>
      <c r="AE873" s="309">
        <v>0</v>
      </c>
      <c r="AF873" s="309">
        <v>0</v>
      </c>
      <c r="AG873" s="309">
        <v>7.5620000000000003</v>
      </c>
      <c r="AH873" s="309">
        <v>0</v>
      </c>
      <c r="AI873" s="309">
        <v>6.8704000000000001</v>
      </c>
      <c r="AJ873" s="309">
        <v>9.7569999999999997</v>
      </c>
      <c r="AK873" s="309">
        <v>0</v>
      </c>
      <c r="AL873" s="309">
        <v>7.5364000000000004</v>
      </c>
      <c r="AM873" s="309">
        <v>12.8385</v>
      </c>
      <c r="AN873" s="309">
        <v>9.6668000000000003</v>
      </c>
      <c r="AO873" s="309">
        <v>12.0913</v>
      </c>
      <c r="AP873" s="309">
        <v>12.2614</v>
      </c>
      <c r="AQ873" s="309">
        <v>0</v>
      </c>
      <c r="AR873" s="309">
        <v>0</v>
      </c>
      <c r="AS873" s="309">
        <v>8.6547999999999998</v>
      </c>
      <c r="AT873" s="309">
        <v>8.8229000000000006</v>
      </c>
      <c r="AU873" s="309">
        <v>9.8903999999999996</v>
      </c>
      <c r="AV873" s="309">
        <v>15.211600000000001</v>
      </c>
      <c r="AW873" s="309">
        <v>7.8346999999999998</v>
      </c>
      <c r="AX873" s="309">
        <v>10.8675</v>
      </c>
      <c r="AY873" s="309">
        <v>9.8147000000000002</v>
      </c>
      <c r="AZ873" s="309">
        <v>14.055099999999999</v>
      </c>
      <c r="BA873" s="309">
        <v>0</v>
      </c>
      <c r="BB873" s="309">
        <v>0</v>
      </c>
      <c r="BC873" s="309">
        <v>8.7513000000000005</v>
      </c>
      <c r="BD873" s="309">
        <v>10.2212</v>
      </c>
      <c r="BE873" s="309">
        <v>14.1401</v>
      </c>
      <c r="BF873" s="309">
        <v>12.3888</v>
      </c>
      <c r="BG873" s="309">
        <v>9.0675000000000008</v>
      </c>
      <c r="BH873" s="309">
        <v>10.138199999999999</v>
      </c>
      <c r="BI873" s="309">
        <v>10.289099999999999</v>
      </c>
      <c r="BJ873" s="309">
        <v>11.9474</v>
      </c>
      <c r="BK873" s="309">
        <v>10.7697</v>
      </c>
    </row>
    <row r="874" spans="1:63" x14ac:dyDescent="0.25">
      <c r="A874" s="306" t="s">
        <v>706</v>
      </c>
      <c r="B874" s="309" t="s">
        <v>39</v>
      </c>
      <c r="C874" s="309">
        <v>17.215699999999998</v>
      </c>
      <c r="D874" s="309">
        <v>0</v>
      </c>
      <c r="E874" s="309">
        <v>8.4984999999999999</v>
      </c>
      <c r="F874" s="309">
        <v>7.9947999999999997</v>
      </c>
      <c r="G874" s="309">
        <v>11.592000000000001</v>
      </c>
      <c r="H874" s="309">
        <v>10.7903</v>
      </c>
      <c r="I874" s="309">
        <v>12.3901</v>
      </c>
      <c r="J874" s="309">
        <v>5.9904000000000002</v>
      </c>
      <c r="K874" s="309">
        <v>0</v>
      </c>
      <c r="L874" s="309">
        <v>5.2247000000000003</v>
      </c>
      <c r="M874" s="309">
        <v>8.1850000000000005</v>
      </c>
      <c r="N874" s="309">
        <v>9.1227</v>
      </c>
      <c r="O874" s="309">
        <v>6.3384999999999998</v>
      </c>
      <c r="P874" s="309">
        <v>9.7852999999999994</v>
      </c>
      <c r="Q874" s="309">
        <v>10.593999999999999</v>
      </c>
      <c r="R874" s="309">
        <v>8.9192</v>
      </c>
      <c r="S874" s="309">
        <v>11.9092</v>
      </c>
      <c r="T874" s="309">
        <v>9.8099000000000007</v>
      </c>
      <c r="U874" s="309">
        <v>10.7936</v>
      </c>
      <c r="V874" s="309">
        <v>8.7666000000000004</v>
      </c>
      <c r="W874" s="309">
        <v>6.3323999999999998</v>
      </c>
      <c r="X874" s="309">
        <v>7.1322999999999999</v>
      </c>
      <c r="Y874" s="309">
        <v>13.9221</v>
      </c>
      <c r="Z874" s="309">
        <v>12.5175</v>
      </c>
      <c r="AA874" s="309">
        <v>11.598100000000001</v>
      </c>
      <c r="AB874" s="309">
        <v>10.313000000000001</v>
      </c>
      <c r="AC874" s="309">
        <v>8.6003000000000007</v>
      </c>
      <c r="AD874" s="309">
        <v>10.1069</v>
      </c>
      <c r="AE874" s="309">
        <v>9.6251999999999995</v>
      </c>
      <c r="AF874" s="309">
        <v>7.5151000000000003</v>
      </c>
      <c r="AG874" s="309">
        <v>7.71</v>
      </c>
      <c r="AH874" s="309">
        <v>7.3781999999999996</v>
      </c>
      <c r="AI874" s="309">
        <v>6.2496999999999998</v>
      </c>
      <c r="AJ874" s="309">
        <v>10.785600000000001</v>
      </c>
      <c r="AK874" s="309">
        <v>7.4222000000000001</v>
      </c>
      <c r="AL874" s="309">
        <v>8.0197000000000003</v>
      </c>
      <c r="AM874" s="309">
        <v>14.0518</v>
      </c>
      <c r="AN874" s="309">
        <v>10.154199999999999</v>
      </c>
      <c r="AO874" s="309">
        <v>12.9772</v>
      </c>
      <c r="AP874" s="309">
        <v>12.853899999999999</v>
      </c>
      <c r="AQ874" s="309">
        <v>6.5137999999999998</v>
      </c>
      <c r="AR874" s="309">
        <v>8.6311</v>
      </c>
      <c r="AS874" s="309">
        <v>8.1176999999999992</v>
      </c>
      <c r="AT874" s="309">
        <v>8.9193999999999996</v>
      </c>
      <c r="AU874" s="309">
        <v>10.2982</v>
      </c>
      <c r="AV874" s="309">
        <v>15.263299999999999</v>
      </c>
      <c r="AW874" s="309">
        <v>8.1379000000000001</v>
      </c>
      <c r="AX874" s="309">
        <v>12.5869</v>
      </c>
      <c r="AY874" s="309">
        <v>10.965</v>
      </c>
      <c r="AZ874" s="309">
        <v>14.382</v>
      </c>
      <c r="BA874" s="309">
        <v>6.8066000000000004</v>
      </c>
      <c r="BB874" s="309">
        <v>6.1611000000000002</v>
      </c>
      <c r="BC874" s="309">
        <v>9.2209000000000003</v>
      </c>
      <c r="BD874" s="309">
        <v>10.659800000000001</v>
      </c>
      <c r="BE874" s="309">
        <v>14.829800000000001</v>
      </c>
      <c r="BF874" s="309">
        <v>12.299899999999999</v>
      </c>
      <c r="BG874" s="309">
        <v>9.6035000000000004</v>
      </c>
      <c r="BH874" s="309">
        <v>10.1524</v>
      </c>
      <c r="BI874" s="309">
        <v>10.7639</v>
      </c>
      <c r="BJ874" s="309">
        <v>13.1622</v>
      </c>
      <c r="BK874" s="309">
        <v>11.474</v>
      </c>
    </row>
    <row r="875" spans="1:63" x14ac:dyDescent="0.25">
      <c r="A875" s="306">
        <v>311520</v>
      </c>
      <c r="B875" s="309" t="s">
        <v>42</v>
      </c>
      <c r="C875" s="309">
        <v>16.679500000000001</v>
      </c>
      <c r="D875" s="309">
        <v>6.1028000000000002</v>
      </c>
      <c r="E875" s="309">
        <v>10.4964</v>
      </c>
      <c r="F875" s="309">
        <v>9.1974</v>
      </c>
      <c r="G875" s="309">
        <v>8.5</v>
      </c>
      <c r="H875" s="309">
        <v>10.2157</v>
      </c>
      <c r="I875" s="309">
        <v>10.0654</v>
      </c>
      <c r="J875" s="309">
        <v>6.8426</v>
      </c>
      <c r="K875" s="309">
        <v>0</v>
      </c>
      <c r="L875" s="309">
        <v>0</v>
      </c>
      <c r="M875" s="309">
        <v>9.7922999999999991</v>
      </c>
      <c r="N875" s="309">
        <v>9.9478000000000009</v>
      </c>
      <c r="O875" s="309">
        <v>9.0892999999999997</v>
      </c>
      <c r="P875" s="309">
        <v>8.1867000000000001</v>
      </c>
      <c r="Q875" s="309">
        <v>0</v>
      </c>
      <c r="R875" s="309">
        <v>10.4239</v>
      </c>
      <c r="S875" s="309">
        <v>10.942</v>
      </c>
      <c r="T875" s="309">
        <v>0</v>
      </c>
      <c r="U875" s="309">
        <v>11.150700000000001</v>
      </c>
      <c r="V875" s="309">
        <v>0</v>
      </c>
      <c r="W875" s="309">
        <v>7.4031000000000002</v>
      </c>
      <c r="X875" s="309">
        <v>7.5708000000000002</v>
      </c>
      <c r="Y875" s="309">
        <v>11.7203</v>
      </c>
      <c r="Z875" s="309">
        <v>12.233000000000001</v>
      </c>
      <c r="AA875" s="309">
        <v>10.7524</v>
      </c>
      <c r="AB875" s="309">
        <v>10.675800000000001</v>
      </c>
      <c r="AC875" s="309">
        <v>8.3788999999999998</v>
      </c>
      <c r="AD875" s="309">
        <v>7.6818</v>
      </c>
      <c r="AE875" s="309">
        <v>10.3315</v>
      </c>
      <c r="AF875" s="309">
        <v>0</v>
      </c>
      <c r="AG875" s="309">
        <v>7.6665999999999999</v>
      </c>
      <c r="AH875" s="309">
        <v>7.7163000000000004</v>
      </c>
      <c r="AI875" s="309">
        <v>8.4209999999999994</v>
      </c>
      <c r="AJ875" s="309">
        <v>0</v>
      </c>
      <c r="AK875" s="309">
        <v>7.3159999999999998</v>
      </c>
      <c r="AL875" s="309">
        <v>8.0162999999999993</v>
      </c>
      <c r="AM875" s="309">
        <v>13.0496</v>
      </c>
      <c r="AN875" s="309">
        <v>9.9405999999999999</v>
      </c>
      <c r="AO875" s="309">
        <v>10.9481</v>
      </c>
      <c r="AP875" s="309">
        <v>11.7781</v>
      </c>
      <c r="AQ875" s="309">
        <v>8.6532999999999998</v>
      </c>
      <c r="AR875" s="309">
        <v>10.1995</v>
      </c>
      <c r="AS875" s="309">
        <v>6.6890999999999998</v>
      </c>
      <c r="AT875" s="309">
        <v>11.101800000000001</v>
      </c>
      <c r="AU875" s="309">
        <v>10.412699999999999</v>
      </c>
      <c r="AV875" s="309">
        <v>13.838200000000001</v>
      </c>
      <c r="AW875" s="309">
        <v>10.216799999999999</v>
      </c>
      <c r="AX875" s="309">
        <v>9.4204000000000008</v>
      </c>
      <c r="AY875" s="309">
        <v>9.6146999999999991</v>
      </c>
      <c r="AZ875" s="309">
        <v>11.569000000000001</v>
      </c>
      <c r="BA875" s="309">
        <v>7.9295999999999998</v>
      </c>
      <c r="BB875" s="309">
        <v>0</v>
      </c>
      <c r="BC875" s="309">
        <v>9.5172000000000008</v>
      </c>
      <c r="BD875" s="309">
        <v>10.7113</v>
      </c>
      <c r="BE875" s="309">
        <v>13.5268</v>
      </c>
      <c r="BF875" s="309">
        <v>11.158799999999999</v>
      </c>
      <c r="BG875" s="309">
        <v>11.481</v>
      </c>
      <c r="BH875" s="309">
        <v>12.017899999999999</v>
      </c>
      <c r="BI875" s="309">
        <v>11.2104</v>
      </c>
      <c r="BJ875" s="309">
        <v>10.706</v>
      </c>
      <c r="BK875" s="309">
        <v>10.7783</v>
      </c>
    </row>
    <row r="876" spans="1:63" x14ac:dyDescent="0.25">
      <c r="A876" s="306">
        <v>311615</v>
      </c>
      <c r="B876" s="309" t="s">
        <v>44</v>
      </c>
      <c r="C876" s="309">
        <v>23.119</v>
      </c>
      <c r="D876" s="309">
        <v>8.5265000000000004</v>
      </c>
      <c r="E876" s="309">
        <v>17.882200000000001</v>
      </c>
      <c r="F876" s="309">
        <v>16.752099999999999</v>
      </c>
      <c r="G876" s="309">
        <v>11.097300000000001</v>
      </c>
      <c r="H876" s="309">
        <v>10.6</v>
      </c>
      <c r="I876" s="309">
        <v>11.128399999999999</v>
      </c>
      <c r="J876" s="309">
        <v>8.2623999999999995</v>
      </c>
      <c r="K876" s="309">
        <v>0</v>
      </c>
      <c r="L876" s="309">
        <v>10.158200000000001</v>
      </c>
      <c r="M876" s="309">
        <v>11.0771</v>
      </c>
      <c r="N876" s="309">
        <v>17.137799999999999</v>
      </c>
      <c r="O876" s="309">
        <v>9.8389000000000006</v>
      </c>
      <c r="P876" s="309">
        <v>13.0402</v>
      </c>
      <c r="Q876" s="309">
        <v>9.8680000000000003</v>
      </c>
      <c r="R876" s="309">
        <v>9.8710000000000004</v>
      </c>
      <c r="S876" s="309">
        <v>16.5303</v>
      </c>
      <c r="T876" s="309">
        <v>10.6129</v>
      </c>
      <c r="U876" s="309">
        <v>19.144100000000002</v>
      </c>
      <c r="V876" s="309">
        <v>17.787199999999999</v>
      </c>
      <c r="W876" s="309">
        <v>9.3637999999999995</v>
      </c>
      <c r="X876" s="309">
        <v>13.0083</v>
      </c>
      <c r="Y876" s="309">
        <v>13.9625</v>
      </c>
      <c r="Z876" s="309">
        <v>11.1472</v>
      </c>
      <c r="AA876" s="309">
        <v>15.635899999999999</v>
      </c>
      <c r="AB876" s="309">
        <v>18.177600000000002</v>
      </c>
      <c r="AC876" s="309">
        <v>18.0716</v>
      </c>
      <c r="AD876" s="309">
        <v>7.7671000000000001</v>
      </c>
      <c r="AE876" s="309">
        <v>17.454899999999999</v>
      </c>
      <c r="AF876" s="309">
        <v>0</v>
      </c>
      <c r="AG876" s="309">
        <v>9.9429999999999996</v>
      </c>
      <c r="AH876" s="309">
        <v>0</v>
      </c>
      <c r="AI876" s="309">
        <v>9.6728000000000005</v>
      </c>
      <c r="AJ876" s="309">
        <v>9.2809000000000008</v>
      </c>
      <c r="AK876" s="309">
        <v>0</v>
      </c>
      <c r="AL876" s="309">
        <v>8.6278000000000006</v>
      </c>
      <c r="AM876" s="309">
        <v>16.478100000000001</v>
      </c>
      <c r="AN876" s="309">
        <v>17.583300000000001</v>
      </c>
      <c r="AO876" s="309">
        <v>10.4023</v>
      </c>
      <c r="AP876" s="309">
        <v>15.241400000000001</v>
      </c>
      <c r="AQ876" s="309">
        <v>8.7104999999999997</v>
      </c>
      <c r="AR876" s="309">
        <v>17.346699999999998</v>
      </c>
      <c r="AS876" s="309">
        <v>11.753500000000001</v>
      </c>
      <c r="AT876" s="309">
        <v>15.136200000000001</v>
      </c>
      <c r="AU876" s="309">
        <v>14.492900000000001</v>
      </c>
      <c r="AV876" s="309">
        <v>15.52</v>
      </c>
      <c r="AW876" s="309">
        <v>14.1624</v>
      </c>
      <c r="AX876" s="309">
        <v>0</v>
      </c>
      <c r="AY876" s="309">
        <v>11.1279</v>
      </c>
      <c r="AZ876" s="309">
        <v>13.892099999999999</v>
      </c>
      <c r="BA876" s="309">
        <v>13.475300000000001</v>
      </c>
      <c r="BB876" s="309">
        <v>0</v>
      </c>
      <c r="BC876" s="309">
        <v>9.7705000000000002</v>
      </c>
      <c r="BD876" s="309">
        <v>11.4496</v>
      </c>
      <c r="BE876" s="309">
        <v>14.4413</v>
      </c>
      <c r="BF876" s="309">
        <v>16.799299999999999</v>
      </c>
      <c r="BG876" s="309">
        <v>17.660599999999999</v>
      </c>
      <c r="BH876" s="309">
        <v>19.868500000000001</v>
      </c>
      <c r="BI876" s="309">
        <v>18.717500000000001</v>
      </c>
      <c r="BJ876" s="309">
        <v>11.0265</v>
      </c>
      <c r="BK876" s="309">
        <v>10.939500000000001</v>
      </c>
    </row>
    <row r="877" spans="1:63" x14ac:dyDescent="0.25">
      <c r="A877" s="306" t="s">
        <v>707</v>
      </c>
      <c r="B877" s="309" t="s">
        <v>43</v>
      </c>
      <c r="C877" s="309">
        <v>19.852</v>
      </c>
      <c r="D877" s="309">
        <v>6.0364000000000004</v>
      </c>
      <c r="E877" s="309">
        <v>11.805199999999999</v>
      </c>
      <c r="F877" s="309">
        <v>14.516999999999999</v>
      </c>
      <c r="G877" s="309">
        <v>10.4321</v>
      </c>
      <c r="H877" s="309">
        <v>7.8617999999999997</v>
      </c>
      <c r="I877" s="309">
        <v>17.613199999999999</v>
      </c>
      <c r="J877" s="309">
        <v>6.0063000000000004</v>
      </c>
      <c r="K877" s="309">
        <v>0</v>
      </c>
      <c r="L877" s="309">
        <v>5.1727999999999996</v>
      </c>
      <c r="M877" s="309">
        <v>8.1908999999999992</v>
      </c>
      <c r="N877" s="309">
        <v>9.3905999999999992</v>
      </c>
      <c r="O877" s="309">
        <v>8.7619000000000007</v>
      </c>
      <c r="P877" s="309">
        <v>11.824299999999999</v>
      </c>
      <c r="Q877" s="309">
        <v>13.694800000000001</v>
      </c>
      <c r="R877" s="309">
        <v>10.026199999999999</v>
      </c>
      <c r="S877" s="309">
        <v>11.6358</v>
      </c>
      <c r="T877" s="309">
        <v>12.5139</v>
      </c>
      <c r="U877" s="309">
        <v>18.734300000000001</v>
      </c>
      <c r="V877" s="309">
        <v>9.7760999999999996</v>
      </c>
      <c r="W877" s="309">
        <v>5.7568999999999999</v>
      </c>
      <c r="X877" s="309">
        <v>6.1993</v>
      </c>
      <c r="Y877" s="309">
        <v>9.9427000000000003</v>
      </c>
      <c r="Z877" s="309">
        <v>9.5495000000000001</v>
      </c>
      <c r="AA877" s="309">
        <v>14.056800000000001</v>
      </c>
      <c r="AB877" s="309">
        <v>17.117000000000001</v>
      </c>
      <c r="AC877" s="309">
        <v>12.352499999999999</v>
      </c>
      <c r="AD877" s="309">
        <v>17.213999999999999</v>
      </c>
      <c r="AE877" s="309">
        <v>12.300599999999999</v>
      </c>
      <c r="AF877" s="309">
        <v>10.6778</v>
      </c>
      <c r="AG877" s="309">
        <v>11.1074</v>
      </c>
      <c r="AH877" s="309">
        <v>6.8752000000000004</v>
      </c>
      <c r="AI877" s="309">
        <v>6.1059999999999999</v>
      </c>
      <c r="AJ877" s="309">
        <v>12.4</v>
      </c>
      <c r="AK877" s="309">
        <v>7.5589000000000004</v>
      </c>
      <c r="AL877" s="309">
        <v>5.2164999999999999</v>
      </c>
      <c r="AM877" s="309">
        <v>11.392099999999999</v>
      </c>
      <c r="AN877" s="309">
        <v>16.424499999999998</v>
      </c>
      <c r="AO877" s="309">
        <v>14.6965</v>
      </c>
      <c r="AP877" s="309">
        <v>10.457800000000001</v>
      </c>
      <c r="AQ877" s="309">
        <v>6.3319999999999999</v>
      </c>
      <c r="AR877" s="309">
        <v>9.9514999999999993</v>
      </c>
      <c r="AS877" s="309">
        <v>10.595000000000001</v>
      </c>
      <c r="AT877" s="309">
        <v>10.5093</v>
      </c>
      <c r="AU877" s="309">
        <v>15.8406</v>
      </c>
      <c r="AV877" s="309">
        <v>16.364599999999999</v>
      </c>
      <c r="AW877" s="309">
        <v>9.0912000000000006</v>
      </c>
      <c r="AX877" s="309">
        <v>9.3787000000000003</v>
      </c>
      <c r="AY877" s="309">
        <v>9.8436000000000003</v>
      </c>
      <c r="AZ877" s="309">
        <v>14.622999999999999</v>
      </c>
      <c r="BA877" s="309">
        <v>9.0042000000000009</v>
      </c>
      <c r="BB877" s="309">
        <v>11.456899999999999</v>
      </c>
      <c r="BC877" s="309">
        <v>6.8239000000000001</v>
      </c>
      <c r="BD877" s="309">
        <v>7.5762999999999998</v>
      </c>
      <c r="BE877" s="309">
        <v>11.9015</v>
      </c>
      <c r="BF877" s="309">
        <v>14.847</v>
      </c>
      <c r="BG877" s="309">
        <v>11.187900000000001</v>
      </c>
      <c r="BH877" s="309">
        <v>14.9878</v>
      </c>
      <c r="BI877" s="309">
        <v>17.183800000000002</v>
      </c>
      <c r="BJ877" s="309">
        <v>16.4102</v>
      </c>
      <c r="BK877" s="309">
        <v>8.7719000000000005</v>
      </c>
    </row>
    <row r="878" spans="1:63" x14ac:dyDescent="0.25">
      <c r="A878" s="306">
        <v>311700</v>
      </c>
      <c r="B878" s="309" t="s">
        <v>45</v>
      </c>
      <c r="C878" s="309">
        <v>13.8919</v>
      </c>
      <c r="D878" s="309">
        <v>7.5491999999999999</v>
      </c>
      <c r="E878" s="309">
        <v>12.3306</v>
      </c>
      <c r="F878" s="309">
        <v>11.3574</v>
      </c>
      <c r="G878" s="309">
        <v>0</v>
      </c>
      <c r="H878" s="309">
        <v>9.7172999999999998</v>
      </c>
      <c r="I878" s="309">
        <v>9.4459999999999997</v>
      </c>
      <c r="J878" s="309">
        <v>7.4320000000000004</v>
      </c>
      <c r="K878" s="309">
        <v>0</v>
      </c>
      <c r="L878" s="309">
        <v>5.9085000000000001</v>
      </c>
      <c r="M878" s="309">
        <v>10.033300000000001</v>
      </c>
      <c r="N878" s="309">
        <v>9.9867000000000008</v>
      </c>
      <c r="O878" s="309">
        <v>11.5565</v>
      </c>
      <c r="P878" s="309">
        <v>8.6370000000000005</v>
      </c>
      <c r="Q878" s="309">
        <v>9.4655000000000005</v>
      </c>
      <c r="R878" s="309">
        <v>10.042999999999999</v>
      </c>
      <c r="S878" s="309">
        <v>11.722200000000001</v>
      </c>
      <c r="T878" s="309">
        <v>0</v>
      </c>
      <c r="U878" s="309">
        <v>11.675800000000001</v>
      </c>
      <c r="V878" s="309">
        <v>12.226800000000001</v>
      </c>
      <c r="W878" s="309">
        <v>8.0546000000000006</v>
      </c>
      <c r="X878" s="309">
        <v>7.7375999999999996</v>
      </c>
      <c r="Y878" s="309">
        <v>12.556900000000001</v>
      </c>
      <c r="Z878" s="309">
        <v>8.8529</v>
      </c>
      <c r="AA878" s="309">
        <v>9.8194999999999997</v>
      </c>
      <c r="AB878" s="309">
        <v>0</v>
      </c>
      <c r="AC878" s="309">
        <v>11.6706</v>
      </c>
      <c r="AD878" s="309">
        <v>8.3163</v>
      </c>
      <c r="AE878" s="309">
        <v>12.174799999999999</v>
      </c>
      <c r="AF878" s="309">
        <v>8.8085000000000004</v>
      </c>
      <c r="AG878" s="309">
        <v>7.1675000000000004</v>
      </c>
      <c r="AH878" s="309">
        <v>7.8445</v>
      </c>
      <c r="AI878" s="309">
        <v>7.7939999999999996</v>
      </c>
      <c r="AJ878" s="309">
        <v>0</v>
      </c>
      <c r="AK878" s="309">
        <v>10.6351</v>
      </c>
      <c r="AL878" s="309">
        <v>5.9974999999999996</v>
      </c>
      <c r="AM878" s="309">
        <v>11.6814</v>
      </c>
      <c r="AN878" s="309">
        <v>0</v>
      </c>
      <c r="AO878" s="309">
        <v>12.1835</v>
      </c>
      <c r="AP878" s="309">
        <v>9.9857999999999993</v>
      </c>
      <c r="AQ878" s="309">
        <v>8.4754000000000005</v>
      </c>
      <c r="AR878" s="309">
        <v>12.033899999999999</v>
      </c>
      <c r="AS878" s="309">
        <v>0</v>
      </c>
      <c r="AT878" s="309">
        <v>0</v>
      </c>
      <c r="AU878" s="309">
        <v>10.9238</v>
      </c>
      <c r="AV878" s="309">
        <v>0</v>
      </c>
      <c r="AW878" s="309">
        <v>9.4076000000000004</v>
      </c>
      <c r="AX878" s="309">
        <v>0</v>
      </c>
      <c r="AY878" s="309">
        <v>8.7363999999999997</v>
      </c>
      <c r="AZ878" s="309">
        <v>10.349299999999999</v>
      </c>
      <c r="BA878" s="309">
        <v>0</v>
      </c>
      <c r="BB878" s="309">
        <v>0</v>
      </c>
      <c r="BC878" s="309">
        <v>9.6882999999999999</v>
      </c>
      <c r="BD878" s="309">
        <v>8.4146000000000001</v>
      </c>
      <c r="BE878" s="309">
        <v>10.703799999999999</v>
      </c>
      <c r="BF878" s="309">
        <v>9.9140999999999995</v>
      </c>
      <c r="BG878" s="309">
        <v>11.3759</v>
      </c>
      <c r="BH878" s="309">
        <v>13.004300000000001</v>
      </c>
      <c r="BI878" s="309">
        <v>12.208299999999999</v>
      </c>
      <c r="BJ878" s="309">
        <v>11.0587</v>
      </c>
      <c r="BK878" s="309">
        <v>10.196199999999999</v>
      </c>
    </row>
    <row r="879" spans="1:63" x14ac:dyDescent="0.25">
      <c r="A879" s="306">
        <v>311810</v>
      </c>
      <c r="B879" s="309" t="s">
        <v>46</v>
      </c>
      <c r="C879" s="309">
        <v>23.6646</v>
      </c>
      <c r="D879" s="309">
        <v>11.879099999999999</v>
      </c>
      <c r="E879" s="309">
        <v>15.879799999999999</v>
      </c>
      <c r="F879" s="309">
        <v>15.7928</v>
      </c>
      <c r="G879" s="309">
        <v>16.0595</v>
      </c>
      <c r="H879" s="309">
        <v>16.885300000000001</v>
      </c>
      <c r="I879" s="309">
        <v>18.0794</v>
      </c>
      <c r="J879" s="309">
        <v>12.875999999999999</v>
      </c>
      <c r="K879" s="309">
        <v>2.1688999999999998</v>
      </c>
      <c r="L879" s="309">
        <v>13.1607</v>
      </c>
      <c r="M879" s="309">
        <v>18.319900000000001</v>
      </c>
      <c r="N879" s="309">
        <v>17.3645</v>
      </c>
      <c r="O879" s="309">
        <v>18.409600000000001</v>
      </c>
      <c r="P879" s="309">
        <v>16.2423</v>
      </c>
      <c r="Q879" s="309">
        <v>18.032399999999999</v>
      </c>
      <c r="R879" s="309">
        <v>16.992999999999999</v>
      </c>
      <c r="S879" s="309">
        <v>17.433</v>
      </c>
      <c r="T879" s="309">
        <v>13.5543</v>
      </c>
      <c r="U879" s="309">
        <v>16.511600000000001</v>
      </c>
      <c r="V879" s="309">
        <v>16.11</v>
      </c>
      <c r="W879" s="309">
        <v>15.282400000000001</v>
      </c>
      <c r="X879" s="309">
        <v>13.8741</v>
      </c>
      <c r="Y879" s="309">
        <v>18.6188</v>
      </c>
      <c r="Z879" s="309">
        <v>20.074999999999999</v>
      </c>
      <c r="AA879" s="309">
        <v>18.033899999999999</v>
      </c>
      <c r="AB879" s="309">
        <v>17.277699999999999</v>
      </c>
      <c r="AC879" s="309">
        <v>16.269600000000001</v>
      </c>
      <c r="AD879" s="309">
        <v>17.8035</v>
      </c>
      <c r="AE879" s="309">
        <v>17.3354</v>
      </c>
      <c r="AF879" s="309">
        <v>13.465999999999999</v>
      </c>
      <c r="AG879" s="309">
        <v>12.318</v>
      </c>
      <c r="AH879" s="309">
        <v>16.901499999999999</v>
      </c>
      <c r="AI879" s="309">
        <v>15.6142</v>
      </c>
      <c r="AJ879" s="309">
        <v>16.3001</v>
      </c>
      <c r="AK879" s="309">
        <v>16.863800000000001</v>
      </c>
      <c r="AL879" s="309">
        <v>14.7416</v>
      </c>
      <c r="AM879" s="309">
        <v>18.943200000000001</v>
      </c>
      <c r="AN879" s="309">
        <v>16.2347</v>
      </c>
      <c r="AO879" s="309">
        <v>17.759899999999998</v>
      </c>
      <c r="AP879" s="309">
        <v>16.783200000000001</v>
      </c>
      <c r="AQ879" s="309">
        <v>16.635899999999999</v>
      </c>
      <c r="AR879" s="309">
        <v>16.676200000000001</v>
      </c>
      <c r="AS879" s="309">
        <v>12.111700000000001</v>
      </c>
      <c r="AT879" s="309">
        <v>16.343299999999999</v>
      </c>
      <c r="AU879" s="309">
        <v>17.219000000000001</v>
      </c>
      <c r="AV879" s="309">
        <v>21.77</v>
      </c>
      <c r="AW879" s="309">
        <v>17.415199999999999</v>
      </c>
      <c r="AX879" s="309">
        <v>16.244199999999999</v>
      </c>
      <c r="AY879" s="309">
        <v>17.287500000000001</v>
      </c>
      <c r="AZ879" s="309">
        <v>20.545999999999999</v>
      </c>
      <c r="BA879" s="309">
        <v>14.598000000000001</v>
      </c>
      <c r="BB879" s="309">
        <v>12.027100000000001</v>
      </c>
      <c r="BC879" s="309">
        <v>17.117000000000001</v>
      </c>
      <c r="BD879" s="309">
        <v>17.416799999999999</v>
      </c>
      <c r="BE879" s="309">
        <v>20.016200000000001</v>
      </c>
      <c r="BF879" s="309">
        <v>17.871200000000002</v>
      </c>
      <c r="BG879" s="309">
        <v>19.1767</v>
      </c>
      <c r="BH879" s="309">
        <v>17.997399999999999</v>
      </c>
      <c r="BI879" s="309">
        <v>18.257400000000001</v>
      </c>
      <c r="BJ879" s="309">
        <v>19.0518</v>
      </c>
      <c r="BK879" s="309">
        <v>17.686800000000002</v>
      </c>
    </row>
    <row r="880" spans="1:63" x14ac:dyDescent="0.25">
      <c r="A880" s="306">
        <v>311820</v>
      </c>
      <c r="B880" s="309" t="s">
        <v>47</v>
      </c>
      <c r="C880" s="309">
        <v>16.942900000000002</v>
      </c>
      <c r="D880" s="309">
        <v>0</v>
      </c>
      <c r="E880" s="309">
        <v>10.6845</v>
      </c>
      <c r="F880" s="309">
        <v>10.319699999999999</v>
      </c>
      <c r="G880" s="309">
        <v>9.3993000000000002</v>
      </c>
      <c r="H880" s="309">
        <v>10.684900000000001</v>
      </c>
      <c r="I880" s="309">
        <v>10.1191</v>
      </c>
      <c r="J880" s="309">
        <v>9.1174999999999997</v>
      </c>
      <c r="K880" s="309">
        <v>1.1017999999999999</v>
      </c>
      <c r="L880" s="309">
        <v>0</v>
      </c>
      <c r="M880" s="309">
        <v>10.9216</v>
      </c>
      <c r="N880" s="309">
        <v>11.350300000000001</v>
      </c>
      <c r="O880" s="309">
        <v>10.9453</v>
      </c>
      <c r="P880" s="309">
        <v>8.6018000000000008</v>
      </c>
      <c r="Q880" s="309">
        <v>11.158799999999999</v>
      </c>
      <c r="R880" s="309">
        <v>11.5321</v>
      </c>
      <c r="S880" s="309">
        <v>11.1052</v>
      </c>
      <c r="T880" s="309">
        <v>8.0914000000000001</v>
      </c>
      <c r="U880" s="309">
        <v>11.019299999999999</v>
      </c>
      <c r="V880" s="309">
        <v>13.1212</v>
      </c>
      <c r="W880" s="309">
        <v>8.1197999999999997</v>
      </c>
      <c r="X880" s="309">
        <v>8.1130999999999993</v>
      </c>
      <c r="Y880" s="309">
        <v>11.706099999999999</v>
      </c>
      <c r="Z880" s="309">
        <v>10.9657</v>
      </c>
      <c r="AA880" s="309">
        <v>10.7348</v>
      </c>
      <c r="AB880" s="309">
        <v>11.269600000000001</v>
      </c>
      <c r="AC880" s="309">
        <v>11.3416</v>
      </c>
      <c r="AD880" s="309">
        <v>10.9154</v>
      </c>
      <c r="AE880" s="309">
        <v>10.8902</v>
      </c>
      <c r="AF880" s="309">
        <v>7.8105000000000002</v>
      </c>
      <c r="AG880" s="309">
        <v>8.5914999999999999</v>
      </c>
      <c r="AH880" s="309">
        <v>9.1102000000000007</v>
      </c>
      <c r="AI880" s="309">
        <v>8.6181000000000001</v>
      </c>
      <c r="AJ880" s="309">
        <v>9.7483000000000004</v>
      </c>
      <c r="AK880" s="309">
        <v>9.7909000000000006</v>
      </c>
      <c r="AL880" s="309">
        <v>8.4426000000000005</v>
      </c>
      <c r="AM880" s="309">
        <v>12.621</v>
      </c>
      <c r="AN880" s="309">
        <v>11.052099999999999</v>
      </c>
      <c r="AO880" s="309">
        <v>10.8802</v>
      </c>
      <c r="AP880" s="309">
        <v>11.4024</v>
      </c>
      <c r="AQ880" s="309">
        <v>9.9978999999999996</v>
      </c>
      <c r="AR880" s="309">
        <v>10.682600000000001</v>
      </c>
      <c r="AS880" s="309">
        <v>7</v>
      </c>
      <c r="AT880" s="309">
        <v>10.860200000000001</v>
      </c>
      <c r="AU880" s="309">
        <v>11.438499999999999</v>
      </c>
      <c r="AV880" s="309">
        <v>13.7798</v>
      </c>
      <c r="AW880" s="309">
        <v>8.6363000000000003</v>
      </c>
      <c r="AX880" s="309">
        <v>9.1414000000000009</v>
      </c>
      <c r="AY880" s="309">
        <v>9.1875999999999998</v>
      </c>
      <c r="AZ880" s="309">
        <v>12.83</v>
      </c>
      <c r="BA880" s="309">
        <v>8.9197000000000006</v>
      </c>
      <c r="BB880" s="309">
        <v>0</v>
      </c>
      <c r="BC880" s="309">
        <v>9.6876999999999995</v>
      </c>
      <c r="BD880" s="309">
        <v>10.5985</v>
      </c>
      <c r="BE880" s="309">
        <v>13.448</v>
      </c>
      <c r="BF880" s="309">
        <v>11.6564</v>
      </c>
      <c r="BG880" s="309">
        <v>11.9458</v>
      </c>
      <c r="BH880" s="309">
        <v>12.2774</v>
      </c>
      <c r="BI880" s="309">
        <v>12.8123</v>
      </c>
      <c r="BJ880" s="309">
        <v>11.700799999999999</v>
      </c>
      <c r="BK880" s="309">
        <v>11.0418</v>
      </c>
    </row>
    <row r="881" spans="1:63" x14ac:dyDescent="0.25">
      <c r="A881" s="306">
        <v>311830</v>
      </c>
      <c r="B881" s="309" t="s">
        <v>48</v>
      </c>
      <c r="C881" s="309">
        <v>22.927299999999999</v>
      </c>
      <c r="D881" s="309">
        <v>10.0001</v>
      </c>
      <c r="E881" s="309">
        <v>0</v>
      </c>
      <c r="F881" s="309">
        <v>15.751300000000001</v>
      </c>
      <c r="G881" s="309">
        <v>17.5547</v>
      </c>
      <c r="H881" s="309">
        <v>15.0482</v>
      </c>
      <c r="I881" s="309">
        <v>17.6007</v>
      </c>
      <c r="J881" s="309">
        <v>0</v>
      </c>
      <c r="K881" s="309">
        <v>0</v>
      </c>
      <c r="L881" s="309">
        <v>0</v>
      </c>
      <c r="M881" s="309">
        <v>17.2028</v>
      </c>
      <c r="N881" s="309">
        <v>17.8034</v>
      </c>
      <c r="O881" s="309">
        <v>16.775700000000001</v>
      </c>
      <c r="P881" s="309">
        <v>0</v>
      </c>
      <c r="Q881" s="309">
        <v>14.6965</v>
      </c>
      <c r="R881" s="309">
        <v>17.336099999999998</v>
      </c>
      <c r="S881" s="309">
        <v>17.5123</v>
      </c>
      <c r="T881" s="309">
        <v>15.0488</v>
      </c>
      <c r="U881" s="309">
        <v>0</v>
      </c>
      <c r="V881" s="309">
        <v>0</v>
      </c>
      <c r="W881" s="309">
        <v>13.4687</v>
      </c>
      <c r="X881" s="309">
        <v>15.1151</v>
      </c>
      <c r="Y881" s="309">
        <v>0</v>
      </c>
      <c r="Z881" s="309">
        <v>19.697600000000001</v>
      </c>
      <c r="AA881" s="309">
        <v>16.133299999999998</v>
      </c>
      <c r="AB881" s="309">
        <v>16.2591</v>
      </c>
      <c r="AC881" s="309">
        <v>0</v>
      </c>
      <c r="AD881" s="309">
        <v>16.284099999999999</v>
      </c>
      <c r="AE881" s="309">
        <v>17.998999999999999</v>
      </c>
      <c r="AF881" s="309">
        <v>0</v>
      </c>
      <c r="AG881" s="309">
        <v>13.56</v>
      </c>
      <c r="AH881" s="309">
        <v>0</v>
      </c>
      <c r="AI881" s="309">
        <v>12.937200000000001</v>
      </c>
      <c r="AJ881" s="309">
        <v>16.986899999999999</v>
      </c>
      <c r="AK881" s="309">
        <v>15.0984</v>
      </c>
      <c r="AL881" s="309">
        <v>14.686</v>
      </c>
      <c r="AM881" s="309">
        <v>21.741499999999998</v>
      </c>
      <c r="AN881" s="309">
        <v>20.516200000000001</v>
      </c>
      <c r="AO881" s="309">
        <v>17.543500000000002</v>
      </c>
      <c r="AP881" s="309">
        <v>16.180099999999999</v>
      </c>
      <c r="AQ881" s="309">
        <v>16.373000000000001</v>
      </c>
      <c r="AR881" s="309">
        <v>0</v>
      </c>
      <c r="AS881" s="309">
        <v>11.2073</v>
      </c>
      <c r="AT881" s="309">
        <v>19.920999999999999</v>
      </c>
      <c r="AU881" s="309">
        <v>20.239100000000001</v>
      </c>
      <c r="AV881" s="309">
        <v>22.822700000000001</v>
      </c>
      <c r="AW881" s="309">
        <v>13.629</v>
      </c>
      <c r="AX881" s="309">
        <v>0</v>
      </c>
      <c r="AY881" s="309">
        <v>17.926100000000002</v>
      </c>
      <c r="AZ881" s="309">
        <v>21.367699999999999</v>
      </c>
      <c r="BA881" s="309">
        <v>0</v>
      </c>
      <c r="BB881" s="309">
        <v>0</v>
      </c>
      <c r="BC881" s="309">
        <v>15.064</v>
      </c>
      <c r="BD881" s="309">
        <v>15.7547</v>
      </c>
      <c r="BE881" s="309">
        <v>19.319099999999999</v>
      </c>
      <c r="BF881" s="309">
        <v>17.048100000000002</v>
      </c>
      <c r="BG881" s="309">
        <v>18.361699999999999</v>
      </c>
      <c r="BH881" s="309">
        <v>21.602399999999999</v>
      </c>
      <c r="BI881" s="309">
        <v>20.771599999999999</v>
      </c>
      <c r="BJ881" s="309">
        <v>19.309100000000001</v>
      </c>
      <c r="BK881" s="309">
        <v>15.7323</v>
      </c>
    </row>
    <row r="882" spans="1:63" x14ac:dyDescent="0.25">
      <c r="A882" s="306">
        <v>311910</v>
      </c>
      <c r="B882" s="309" t="s">
        <v>49</v>
      </c>
      <c r="C882" s="309">
        <v>15.3512</v>
      </c>
      <c r="D882" s="309">
        <v>6.6768000000000001</v>
      </c>
      <c r="E882" s="309">
        <v>10.7721</v>
      </c>
      <c r="F882" s="309">
        <v>9.6578999999999997</v>
      </c>
      <c r="G882" s="309">
        <v>8.9056999999999995</v>
      </c>
      <c r="H882" s="309">
        <v>9.5100999999999996</v>
      </c>
      <c r="I882" s="309">
        <v>9.7515999999999998</v>
      </c>
      <c r="J882" s="309">
        <v>6.5401999999999996</v>
      </c>
      <c r="K882" s="309">
        <v>0</v>
      </c>
      <c r="L882" s="309">
        <v>0</v>
      </c>
      <c r="M882" s="309">
        <v>9.9280000000000008</v>
      </c>
      <c r="N882" s="309">
        <v>10.7258</v>
      </c>
      <c r="O882" s="309">
        <v>10.993600000000001</v>
      </c>
      <c r="P882" s="309">
        <v>6.5804</v>
      </c>
      <c r="Q882" s="309">
        <v>7.1355000000000004</v>
      </c>
      <c r="R882" s="309">
        <v>9.6478999999999999</v>
      </c>
      <c r="S882" s="309">
        <v>9.7224000000000004</v>
      </c>
      <c r="T882" s="309">
        <v>8.2047000000000008</v>
      </c>
      <c r="U882" s="309">
        <v>9.9030000000000005</v>
      </c>
      <c r="V882" s="309">
        <v>10.066599999999999</v>
      </c>
      <c r="W882" s="309">
        <v>6.8403999999999998</v>
      </c>
      <c r="X882" s="309">
        <v>6.4386000000000001</v>
      </c>
      <c r="Y882" s="309">
        <v>0</v>
      </c>
      <c r="Z882" s="309">
        <v>10.756600000000001</v>
      </c>
      <c r="AA882" s="309">
        <v>9.9017999999999997</v>
      </c>
      <c r="AB882" s="309">
        <v>11.299099999999999</v>
      </c>
      <c r="AC882" s="309">
        <v>11.313800000000001</v>
      </c>
      <c r="AD882" s="309">
        <v>8.6209000000000007</v>
      </c>
      <c r="AE882" s="309">
        <v>9.8278999999999996</v>
      </c>
      <c r="AF882" s="309">
        <v>6.9410999999999996</v>
      </c>
      <c r="AG882" s="309">
        <v>6.8135000000000003</v>
      </c>
      <c r="AH882" s="309">
        <v>7.7775999999999996</v>
      </c>
      <c r="AI882" s="309">
        <v>8.5420999999999996</v>
      </c>
      <c r="AJ882" s="309">
        <v>8.9313000000000002</v>
      </c>
      <c r="AK882" s="309">
        <v>9.4128000000000007</v>
      </c>
      <c r="AL882" s="309">
        <v>6.3308999999999997</v>
      </c>
      <c r="AM882" s="309">
        <v>10.9862</v>
      </c>
      <c r="AN882" s="309">
        <v>10.640700000000001</v>
      </c>
      <c r="AO882" s="309">
        <v>10.6112</v>
      </c>
      <c r="AP882" s="309">
        <v>10.0006</v>
      </c>
      <c r="AQ882" s="309">
        <v>8.8918999999999997</v>
      </c>
      <c r="AR882" s="309">
        <v>11.869400000000001</v>
      </c>
      <c r="AS882" s="309">
        <v>6.9067999999999996</v>
      </c>
      <c r="AT882" s="309">
        <v>9.1623000000000001</v>
      </c>
      <c r="AU882" s="309">
        <v>9.5652000000000008</v>
      </c>
      <c r="AV882" s="309">
        <v>11.5413</v>
      </c>
      <c r="AW882" s="309">
        <v>8.1477000000000004</v>
      </c>
      <c r="AX882" s="309">
        <v>9.9520999999999997</v>
      </c>
      <c r="AY882" s="309">
        <v>9.1420999999999992</v>
      </c>
      <c r="AZ882" s="309">
        <v>10.5449</v>
      </c>
      <c r="BA882" s="309">
        <v>8.9097000000000008</v>
      </c>
      <c r="BB882" s="309">
        <v>0</v>
      </c>
      <c r="BC882" s="309">
        <v>8.4047000000000001</v>
      </c>
      <c r="BD882" s="309">
        <v>9.0372000000000003</v>
      </c>
      <c r="BE882" s="309">
        <v>11.557600000000001</v>
      </c>
      <c r="BF882" s="309">
        <v>10.5299</v>
      </c>
      <c r="BG882" s="309">
        <v>11.364699999999999</v>
      </c>
      <c r="BH882" s="309">
        <v>11.0732</v>
      </c>
      <c r="BI882" s="309">
        <v>10.6427</v>
      </c>
      <c r="BJ882" s="309">
        <v>10.0443</v>
      </c>
      <c r="BK882" s="309">
        <v>10.0192</v>
      </c>
    </row>
    <row r="883" spans="1:63" x14ac:dyDescent="0.25">
      <c r="A883" s="306">
        <v>311920</v>
      </c>
      <c r="B883" s="309" t="s">
        <v>50</v>
      </c>
      <c r="C883" s="309">
        <v>13.2369</v>
      </c>
      <c r="D883" s="309">
        <v>6.6494999999999997</v>
      </c>
      <c r="E883" s="309">
        <v>9.6129999999999995</v>
      </c>
      <c r="F883" s="309">
        <v>8.9915000000000003</v>
      </c>
      <c r="G883" s="309">
        <v>7.8068999999999997</v>
      </c>
      <c r="H883" s="309">
        <v>8.6545000000000005</v>
      </c>
      <c r="I883" s="309">
        <v>9.9038000000000004</v>
      </c>
      <c r="J883" s="309">
        <v>6.2213000000000003</v>
      </c>
      <c r="K883" s="309">
        <v>0</v>
      </c>
      <c r="L883" s="309">
        <v>0</v>
      </c>
      <c r="M883" s="309">
        <v>8.4064999999999994</v>
      </c>
      <c r="N883" s="309">
        <v>10.599399999999999</v>
      </c>
      <c r="O883" s="309">
        <v>8.5871999999999993</v>
      </c>
      <c r="P883" s="309">
        <v>6.3453999999999997</v>
      </c>
      <c r="Q883" s="309">
        <v>7.3361000000000001</v>
      </c>
      <c r="R883" s="309">
        <v>9.2213999999999992</v>
      </c>
      <c r="S883" s="309">
        <v>9.6372999999999998</v>
      </c>
      <c r="T883" s="309">
        <v>7.9253999999999998</v>
      </c>
      <c r="U883" s="309">
        <v>9.3126999999999995</v>
      </c>
      <c r="V883" s="309">
        <v>7.9042000000000003</v>
      </c>
      <c r="W883" s="309">
        <v>6.6651999999999996</v>
      </c>
      <c r="X883" s="309">
        <v>6.8585000000000003</v>
      </c>
      <c r="Y883" s="309">
        <v>10.374000000000001</v>
      </c>
      <c r="Z883" s="309">
        <v>9.3941999999999997</v>
      </c>
      <c r="AA883" s="309">
        <v>9.1227</v>
      </c>
      <c r="AB883" s="309">
        <v>8.7367000000000008</v>
      </c>
      <c r="AC883" s="309">
        <v>0</v>
      </c>
      <c r="AD883" s="309">
        <v>8.5485000000000007</v>
      </c>
      <c r="AE883" s="309">
        <v>9.2058</v>
      </c>
      <c r="AF883" s="309">
        <v>0</v>
      </c>
      <c r="AG883" s="309">
        <v>8.1686999999999994</v>
      </c>
      <c r="AH883" s="309">
        <v>8.8673000000000002</v>
      </c>
      <c r="AI883" s="309">
        <v>7.2709999999999999</v>
      </c>
      <c r="AJ883" s="309">
        <v>0</v>
      </c>
      <c r="AK883" s="309">
        <v>7.7316000000000003</v>
      </c>
      <c r="AL883" s="309">
        <v>6.0503999999999998</v>
      </c>
      <c r="AM883" s="309">
        <v>10.9094</v>
      </c>
      <c r="AN883" s="309">
        <v>9.2304999999999993</v>
      </c>
      <c r="AO883" s="309">
        <v>9.6829000000000001</v>
      </c>
      <c r="AP883" s="309">
        <v>10.5633</v>
      </c>
      <c r="AQ883" s="309">
        <v>7.4116999999999997</v>
      </c>
      <c r="AR883" s="309">
        <v>11.3866</v>
      </c>
      <c r="AS883" s="309">
        <v>0</v>
      </c>
      <c r="AT883" s="309">
        <v>9.4077999999999999</v>
      </c>
      <c r="AU883" s="309">
        <v>9.2591000000000001</v>
      </c>
      <c r="AV883" s="309">
        <v>12.808999999999999</v>
      </c>
      <c r="AW883" s="309">
        <v>7.9237000000000002</v>
      </c>
      <c r="AX883" s="309">
        <v>8.5925999999999991</v>
      </c>
      <c r="AY883" s="309">
        <v>9.6077999999999992</v>
      </c>
      <c r="AZ883" s="309">
        <v>11.5228</v>
      </c>
      <c r="BA883" s="309">
        <v>0</v>
      </c>
      <c r="BB883" s="309">
        <v>7.0366999999999997</v>
      </c>
      <c r="BC883" s="309">
        <v>8.7294999999999998</v>
      </c>
      <c r="BD883" s="309">
        <v>8.7835999999999999</v>
      </c>
      <c r="BE883" s="309">
        <v>10.8752</v>
      </c>
      <c r="BF883" s="309">
        <v>8.9345999999999997</v>
      </c>
      <c r="BG883" s="309">
        <v>10.4123</v>
      </c>
      <c r="BH883" s="309">
        <v>10.207000000000001</v>
      </c>
      <c r="BI883" s="309">
        <v>9.6766000000000005</v>
      </c>
      <c r="BJ883" s="309">
        <v>9.8191000000000006</v>
      </c>
      <c r="BK883" s="309">
        <v>9.5279000000000007</v>
      </c>
    </row>
    <row r="884" spans="1:63" x14ac:dyDescent="0.25">
      <c r="A884" s="306">
        <v>311930</v>
      </c>
      <c r="B884" s="309" t="s">
        <v>51</v>
      </c>
      <c r="C884" s="309">
        <v>6.07</v>
      </c>
      <c r="D884" s="309">
        <v>0</v>
      </c>
      <c r="E884" s="309">
        <v>5.7241999999999997</v>
      </c>
      <c r="F884" s="309">
        <v>5.2572000000000001</v>
      </c>
      <c r="G884" s="309">
        <v>4.2347999999999999</v>
      </c>
      <c r="H884" s="309">
        <v>4.4436999999999998</v>
      </c>
      <c r="I884" s="309">
        <v>0</v>
      </c>
      <c r="J884" s="309">
        <v>3.3690000000000002</v>
      </c>
      <c r="K884" s="309">
        <v>0</v>
      </c>
      <c r="L884" s="309">
        <v>0</v>
      </c>
      <c r="M884" s="309">
        <v>5.9844999999999997</v>
      </c>
      <c r="N884" s="309">
        <v>4.1497999999999999</v>
      </c>
      <c r="O884" s="309">
        <v>5.7012</v>
      </c>
      <c r="P884" s="309">
        <v>0</v>
      </c>
      <c r="Q884" s="309">
        <v>0</v>
      </c>
      <c r="R884" s="309">
        <v>4.4154999999999998</v>
      </c>
      <c r="S884" s="309">
        <v>4.1867000000000001</v>
      </c>
      <c r="T884" s="309">
        <v>4.9189999999999996</v>
      </c>
      <c r="U884" s="309">
        <v>4.1247999999999996</v>
      </c>
      <c r="V884" s="309">
        <v>5.7282999999999999</v>
      </c>
      <c r="W884" s="309">
        <v>0</v>
      </c>
      <c r="X884" s="309">
        <v>2.9679000000000002</v>
      </c>
      <c r="Y884" s="309">
        <v>0</v>
      </c>
      <c r="Z884" s="309">
        <v>4.5003000000000002</v>
      </c>
      <c r="AA884" s="309">
        <v>0</v>
      </c>
      <c r="AB884" s="309">
        <v>4.3556999999999997</v>
      </c>
      <c r="AC884" s="309">
        <v>3.7637</v>
      </c>
      <c r="AD884" s="309">
        <v>0</v>
      </c>
      <c r="AE884" s="309">
        <v>4.4343000000000004</v>
      </c>
      <c r="AF884" s="309">
        <v>0</v>
      </c>
      <c r="AG884" s="309">
        <v>0</v>
      </c>
      <c r="AH884" s="309">
        <v>2.9352</v>
      </c>
      <c r="AI884" s="309">
        <v>3.5819999999999999</v>
      </c>
      <c r="AJ884" s="309">
        <v>0</v>
      </c>
      <c r="AK884" s="309">
        <v>3.9533</v>
      </c>
      <c r="AL884" s="309">
        <v>3.2282999999999999</v>
      </c>
      <c r="AM884" s="309">
        <v>4.7813999999999997</v>
      </c>
      <c r="AN884" s="309">
        <v>3.3237000000000001</v>
      </c>
      <c r="AO884" s="309">
        <v>4.4077999999999999</v>
      </c>
      <c r="AP884" s="309">
        <v>4.4016999999999999</v>
      </c>
      <c r="AQ884" s="309">
        <v>4.9344999999999999</v>
      </c>
      <c r="AR884" s="309">
        <v>0</v>
      </c>
      <c r="AS884" s="309">
        <v>0</v>
      </c>
      <c r="AT884" s="309">
        <v>4.1509</v>
      </c>
      <c r="AU884" s="309">
        <v>4.4539999999999997</v>
      </c>
      <c r="AV884" s="309">
        <v>0</v>
      </c>
      <c r="AW884" s="309">
        <v>0</v>
      </c>
      <c r="AX884" s="309">
        <v>0</v>
      </c>
      <c r="AY884" s="309">
        <v>5.2079000000000004</v>
      </c>
      <c r="AZ884" s="309">
        <v>6.0778999999999996</v>
      </c>
      <c r="BA884" s="309">
        <v>0</v>
      </c>
      <c r="BB884" s="309">
        <v>0</v>
      </c>
      <c r="BC884" s="309">
        <v>4.4227999999999996</v>
      </c>
      <c r="BD884" s="309">
        <v>4.1696</v>
      </c>
      <c r="BE884" s="309">
        <v>4.9587000000000003</v>
      </c>
      <c r="BF884" s="309">
        <v>4.8345000000000002</v>
      </c>
      <c r="BG884" s="309">
        <v>4.6044999999999998</v>
      </c>
      <c r="BH884" s="309">
        <v>4.5884999999999998</v>
      </c>
      <c r="BI884" s="309">
        <v>4.8219000000000003</v>
      </c>
      <c r="BJ884" s="309">
        <v>4.8817000000000004</v>
      </c>
      <c r="BK884" s="309">
        <v>4.6859999999999999</v>
      </c>
    </row>
    <row r="885" spans="1:63" x14ac:dyDescent="0.25">
      <c r="A885" s="306">
        <v>311940</v>
      </c>
      <c r="B885" s="309" t="s">
        <v>52</v>
      </c>
      <c r="C885" s="309">
        <v>16.7</v>
      </c>
      <c r="D885" s="309">
        <v>0</v>
      </c>
      <c r="E885" s="309">
        <v>11.3612</v>
      </c>
      <c r="F885" s="309">
        <v>12.2499</v>
      </c>
      <c r="G885" s="309">
        <v>11.622199999999999</v>
      </c>
      <c r="H885" s="309">
        <v>10.0802</v>
      </c>
      <c r="I885" s="309">
        <v>10.185600000000001</v>
      </c>
      <c r="J885" s="309">
        <v>6.4560000000000004</v>
      </c>
      <c r="K885" s="309">
        <v>0</v>
      </c>
      <c r="L885" s="309">
        <v>5.3072999999999997</v>
      </c>
      <c r="M885" s="309">
        <v>10.255100000000001</v>
      </c>
      <c r="N885" s="309">
        <v>12.2563</v>
      </c>
      <c r="O885" s="309">
        <v>10.6713</v>
      </c>
      <c r="P885" s="309">
        <v>8.1956000000000007</v>
      </c>
      <c r="Q885" s="309">
        <v>8.7486999999999995</v>
      </c>
      <c r="R885" s="309">
        <v>9.9105000000000008</v>
      </c>
      <c r="S885" s="309">
        <v>10.1319</v>
      </c>
      <c r="T885" s="309">
        <v>7.7373000000000003</v>
      </c>
      <c r="U885" s="309">
        <v>11.819800000000001</v>
      </c>
      <c r="V885" s="309">
        <v>11.418900000000001</v>
      </c>
      <c r="W885" s="309">
        <v>7.6242000000000001</v>
      </c>
      <c r="X885" s="309">
        <v>6.9318</v>
      </c>
      <c r="Y885" s="309">
        <v>10.451700000000001</v>
      </c>
      <c r="Z885" s="309">
        <v>10.46</v>
      </c>
      <c r="AA885" s="309">
        <v>10.770200000000001</v>
      </c>
      <c r="AB885" s="309">
        <v>11.171099999999999</v>
      </c>
      <c r="AC885" s="309">
        <v>9.3529999999999998</v>
      </c>
      <c r="AD885" s="309">
        <v>10.638299999999999</v>
      </c>
      <c r="AE885" s="309">
        <v>9.5852000000000004</v>
      </c>
      <c r="AF885" s="309">
        <v>7.4119000000000002</v>
      </c>
      <c r="AG885" s="309">
        <v>6.4892000000000003</v>
      </c>
      <c r="AH885" s="309">
        <v>8.2142999999999997</v>
      </c>
      <c r="AI885" s="309">
        <v>7.9477000000000002</v>
      </c>
      <c r="AJ885" s="309">
        <v>8.8285</v>
      </c>
      <c r="AK885" s="309">
        <v>8.4404000000000003</v>
      </c>
      <c r="AL885" s="309">
        <v>6.1639999999999997</v>
      </c>
      <c r="AM885" s="309">
        <v>11.680199999999999</v>
      </c>
      <c r="AN885" s="309">
        <v>11.5822</v>
      </c>
      <c r="AO885" s="309">
        <v>11.605499999999999</v>
      </c>
      <c r="AP885" s="309">
        <v>10.9884</v>
      </c>
      <c r="AQ885" s="309">
        <v>8.6973000000000003</v>
      </c>
      <c r="AR885" s="309">
        <v>11.2666</v>
      </c>
      <c r="AS885" s="309">
        <v>7.0842999999999998</v>
      </c>
      <c r="AT885" s="309">
        <v>10.5564</v>
      </c>
      <c r="AU885" s="309">
        <v>10.7971</v>
      </c>
      <c r="AV885" s="309">
        <v>12.4786</v>
      </c>
      <c r="AW885" s="309">
        <v>8.5210000000000008</v>
      </c>
      <c r="AX885" s="309">
        <v>10.5</v>
      </c>
      <c r="AY885" s="309">
        <v>10.0442</v>
      </c>
      <c r="AZ885" s="309">
        <v>10.6341</v>
      </c>
      <c r="BA885" s="309">
        <v>8.0419999999999998</v>
      </c>
      <c r="BB885" s="309">
        <v>7.9654999999999996</v>
      </c>
      <c r="BC885" s="309">
        <v>8.9121000000000006</v>
      </c>
      <c r="BD885" s="309">
        <v>9.39</v>
      </c>
      <c r="BE885" s="309">
        <v>12.060600000000001</v>
      </c>
      <c r="BF885" s="309">
        <v>11.0526</v>
      </c>
      <c r="BG885" s="309">
        <v>12.1973</v>
      </c>
      <c r="BH885" s="309">
        <v>12.494400000000001</v>
      </c>
      <c r="BI885" s="309">
        <v>12.245799999999999</v>
      </c>
      <c r="BJ885" s="309">
        <v>10.8809</v>
      </c>
      <c r="BK885" s="309">
        <v>10.638299999999999</v>
      </c>
    </row>
    <row r="886" spans="1:63" x14ac:dyDescent="0.25">
      <c r="A886" s="306">
        <v>311990</v>
      </c>
      <c r="B886" s="309" t="s">
        <v>53</v>
      </c>
      <c r="C886" s="309">
        <v>17.716699999999999</v>
      </c>
      <c r="D886" s="309">
        <v>9.2799999999999994</v>
      </c>
      <c r="E886" s="309">
        <v>10.846</v>
      </c>
      <c r="F886" s="309">
        <v>12.683</v>
      </c>
      <c r="G886" s="309">
        <v>11.3972</v>
      </c>
      <c r="H886" s="309">
        <v>11.838200000000001</v>
      </c>
      <c r="I886" s="309">
        <v>11.9184</v>
      </c>
      <c r="J886" s="309">
        <v>9.6052</v>
      </c>
      <c r="K886" s="309">
        <v>1.2070000000000001</v>
      </c>
      <c r="L886" s="309">
        <v>9.0027000000000008</v>
      </c>
      <c r="M886" s="309">
        <v>13.0426</v>
      </c>
      <c r="N886" s="309">
        <v>12.998900000000001</v>
      </c>
      <c r="O886" s="309">
        <v>13.2988</v>
      </c>
      <c r="P886" s="309">
        <v>8.9785000000000004</v>
      </c>
      <c r="Q886" s="309">
        <v>10.957000000000001</v>
      </c>
      <c r="R886" s="309">
        <v>11.627800000000001</v>
      </c>
      <c r="S886" s="309">
        <v>11.3323</v>
      </c>
      <c r="T886" s="309">
        <v>9.0269999999999992</v>
      </c>
      <c r="U886" s="309">
        <v>11.479200000000001</v>
      </c>
      <c r="V886" s="309">
        <v>13.653700000000001</v>
      </c>
      <c r="W886" s="309">
        <v>9.6240000000000006</v>
      </c>
      <c r="X886" s="309">
        <v>9.5589999999999993</v>
      </c>
      <c r="Y886" s="309">
        <v>12.9932</v>
      </c>
      <c r="Z886" s="309">
        <v>13.9383</v>
      </c>
      <c r="AA886" s="309">
        <v>11.495200000000001</v>
      </c>
      <c r="AB886" s="309">
        <v>12.337199999999999</v>
      </c>
      <c r="AC886" s="309">
        <v>11.126300000000001</v>
      </c>
      <c r="AD886" s="309">
        <v>12.7256</v>
      </c>
      <c r="AE886" s="309">
        <v>14.3405</v>
      </c>
      <c r="AF886" s="309">
        <v>9.1306999999999992</v>
      </c>
      <c r="AG886" s="309">
        <v>9.9328000000000003</v>
      </c>
      <c r="AH886" s="309">
        <v>11.6851</v>
      </c>
      <c r="AI886" s="309">
        <v>9.4461999999999993</v>
      </c>
      <c r="AJ886" s="309">
        <v>12.259399999999999</v>
      </c>
      <c r="AK886" s="309">
        <v>11.408200000000001</v>
      </c>
      <c r="AL886" s="309">
        <v>9.0302000000000007</v>
      </c>
      <c r="AM886" s="309">
        <v>13.858700000000001</v>
      </c>
      <c r="AN886" s="309">
        <v>11.3644</v>
      </c>
      <c r="AO886" s="309">
        <v>14.0547</v>
      </c>
      <c r="AP886" s="309">
        <v>13.5258</v>
      </c>
      <c r="AQ886" s="309">
        <v>10.914300000000001</v>
      </c>
      <c r="AR886" s="309">
        <v>13.164099999999999</v>
      </c>
      <c r="AS886" s="309">
        <v>9.4393999999999991</v>
      </c>
      <c r="AT886" s="309">
        <v>11.4413</v>
      </c>
      <c r="AU886" s="309">
        <v>13.1912</v>
      </c>
      <c r="AV886" s="309">
        <v>14.561999999999999</v>
      </c>
      <c r="AW886" s="309">
        <v>10.4922</v>
      </c>
      <c r="AX886" s="309">
        <v>11.5311</v>
      </c>
      <c r="AY886" s="309">
        <v>12.7737</v>
      </c>
      <c r="AZ886" s="309">
        <v>12.514699999999999</v>
      </c>
      <c r="BA886" s="309">
        <v>8.5982000000000003</v>
      </c>
      <c r="BB886" s="309">
        <v>0</v>
      </c>
      <c r="BC886" s="309">
        <v>11.589499999999999</v>
      </c>
      <c r="BD886" s="309">
        <v>11.582700000000001</v>
      </c>
      <c r="BE886" s="309">
        <v>13.688599999999999</v>
      </c>
      <c r="BF886" s="309">
        <v>12.076700000000001</v>
      </c>
      <c r="BG886" s="309">
        <v>14.491</v>
      </c>
      <c r="BH886" s="309">
        <v>12.766500000000001</v>
      </c>
      <c r="BI886" s="309">
        <v>13.810600000000001</v>
      </c>
      <c r="BJ886" s="309">
        <v>13.1685</v>
      </c>
      <c r="BK886" s="309">
        <v>12.675700000000001</v>
      </c>
    </row>
    <row r="887" spans="1:63" x14ac:dyDescent="0.25">
      <c r="A887" s="306">
        <v>312110</v>
      </c>
      <c r="B887" s="309" t="s">
        <v>54</v>
      </c>
      <c r="C887" s="309">
        <v>14.076700000000001</v>
      </c>
      <c r="D887" s="309">
        <v>5.3941999999999997</v>
      </c>
      <c r="E887" s="309">
        <v>8.9568999999999992</v>
      </c>
      <c r="F887" s="309">
        <v>8.4187999999999992</v>
      </c>
      <c r="G887" s="309">
        <v>8.0165000000000006</v>
      </c>
      <c r="H887" s="309">
        <v>8.2863000000000007</v>
      </c>
      <c r="I887" s="309">
        <v>7.5929000000000002</v>
      </c>
      <c r="J887" s="309">
        <v>5.9202000000000004</v>
      </c>
      <c r="K887" s="309">
        <v>0</v>
      </c>
      <c r="L887" s="309">
        <v>4.5890000000000004</v>
      </c>
      <c r="M887" s="309">
        <v>7.7995999999999999</v>
      </c>
      <c r="N887" s="309">
        <v>10.172700000000001</v>
      </c>
      <c r="O887" s="309">
        <v>6.8520000000000003</v>
      </c>
      <c r="P887" s="309">
        <v>7.8472999999999997</v>
      </c>
      <c r="Q887" s="309">
        <v>6.5594000000000001</v>
      </c>
      <c r="R887" s="309">
        <v>9.1575000000000006</v>
      </c>
      <c r="S887" s="309">
        <v>9.5284999999999993</v>
      </c>
      <c r="T887" s="309">
        <v>6.4137000000000004</v>
      </c>
      <c r="U887" s="309">
        <v>9.7819000000000003</v>
      </c>
      <c r="V887" s="309">
        <v>8.6934000000000005</v>
      </c>
      <c r="W887" s="309">
        <v>6.3384999999999998</v>
      </c>
      <c r="X887" s="309">
        <v>6.8906000000000001</v>
      </c>
      <c r="Y887" s="309">
        <v>6.9907000000000004</v>
      </c>
      <c r="Z887" s="309">
        <v>9.8193000000000001</v>
      </c>
      <c r="AA887" s="309">
        <v>7.9985999999999997</v>
      </c>
      <c r="AB887" s="309">
        <v>10.0748</v>
      </c>
      <c r="AC887" s="309">
        <v>7.9443000000000001</v>
      </c>
      <c r="AD887" s="309">
        <v>6.2633999999999999</v>
      </c>
      <c r="AE887" s="309">
        <v>9.1168999999999993</v>
      </c>
      <c r="AF887" s="309">
        <v>5.2633000000000001</v>
      </c>
      <c r="AG887" s="309">
        <v>5.3813000000000004</v>
      </c>
      <c r="AH887" s="309">
        <v>7.2946</v>
      </c>
      <c r="AI887" s="309">
        <v>7.9688999999999997</v>
      </c>
      <c r="AJ887" s="309">
        <v>6.1562000000000001</v>
      </c>
      <c r="AK887" s="309">
        <v>6.7407000000000004</v>
      </c>
      <c r="AL887" s="309">
        <v>4.6665999999999999</v>
      </c>
      <c r="AM887" s="309">
        <v>11.452999999999999</v>
      </c>
      <c r="AN887" s="309">
        <v>8.3780999999999999</v>
      </c>
      <c r="AO887" s="309">
        <v>8.7456999999999994</v>
      </c>
      <c r="AP887" s="309">
        <v>9.7606000000000002</v>
      </c>
      <c r="AQ887" s="309">
        <v>5.8891</v>
      </c>
      <c r="AR887" s="309">
        <v>9.6014999999999997</v>
      </c>
      <c r="AS887" s="309">
        <v>5.3925000000000001</v>
      </c>
      <c r="AT887" s="309">
        <v>9.0900999999999996</v>
      </c>
      <c r="AU887" s="309">
        <v>9.1414000000000009</v>
      </c>
      <c r="AV887" s="309">
        <v>10.0929</v>
      </c>
      <c r="AW887" s="309">
        <v>8.2457999999999991</v>
      </c>
      <c r="AX887" s="309">
        <v>6.0900999999999996</v>
      </c>
      <c r="AY887" s="309">
        <v>8.0751000000000008</v>
      </c>
      <c r="AZ887" s="309">
        <v>9.4700000000000006</v>
      </c>
      <c r="BA887" s="309">
        <v>6.2717999999999998</v>
      </c>
      <c r="BB887" s="309">
        <v>4.7191000000000001</v>
      </c>
      <c r="BC887" s="309">
        <v>7.5064000000000002</v>
      </c>
      <c r="BD887" s="309">
        <v>8.1889000000000003</v>
      </c>
      <c r="BE887" s="309">
        <v>11.394399999999999</v>
      </c>
      <c r="BF887" s="309">
        <v>9.4581</v>
      </c>
      <c r="BG887" s="309">
        <v>10.6098</v>
      </c>
      <c r="BH887" s="309">
        <v>10.3218</v>
      </c>
      <c r="BI887" s="309">
        <v>10.0678</v>
      </c>
      <c r="BJ887" s="309">
        <v>8.2390000000000008</v>
      </c>
      <c r="BK887" s="309">
        <v>8.6484000000000005</v>
      </c>
    </row>
    <row r="888" spans="1:63" x14ac:dyDescent="0.25">
      <c r="A888" s="306">
        <v>312120</v>
      </c>
      <c r="B888" s="309" t="s">
        <v>55</v>
      </c>
      <c r="C888" s="309">
        <v>11.661199999999999</v>
      </c>
      <c r="D888" s="309">
        <v>5.5968</v>
      </c>
      <c r="E888" s="309">
        <v>0</v>
      </c>
      <c r="F888" s="309">
        <v>10.494199999999999</v>
      </c>
      <c r="G888" s="309">
        <v>10.7666</v>
      </c>
      <c r="H888" s="309">
        <v>7.1414</v>
      </c>
      <c r="I888" s="309">
        <v>7.2880000000000003</v>
      </c>
      <c r="J888" s="309">
        <v>5.3385999999999996</v>
      </c>
      <c r="K888" s="309">
        <v>1.1299999999999999</v>
      </c>
      <c r="L888" s="309">
        <v>3.7181999999999999</v>
      </c>
      <c r="M888" s="309">
        <v>5.8231999999999999</v>
      </c>
      <c r="N888" s="309">
        <v>8.1935000000000002</v>
      </c>
      <c r="O888" s="309">
        <v>7.3379000000000003</v>
      </c>
      <c r="P888" s="309">
        <v>10.7981</v>
      </c>
      <c r="Q888" s="309">
        <v>8.7443000000000008</v>
      </c>
      <c r="R888" s="309">
        <v>9.2789000000000001</v>
      </c>
      <c r="S888" s="309">
        <v>9.9086999999999996</v>
      </c>
      <c r="T888" s="309">
        <v>4.9272999999999998</v>
      </c>
      <c r="U888" s="309">
        <v>7.6429999999999998</v>
      </c>
      <c r="V888" s="309">
        <v>8.2606999999999999</v>
      </c>
      <c r="W888" s="309">
        <v>4.7032999999999996</v>
      </c>
      <c r="X888" s="309">
        <v>6.0141</v>
      </c>
      <c r="Y888" s="309">
        <v>6.6304999999999996</v>
      </c>
      <c r="Z888" s="309">
        <v>10.648899999999999</v>
      </c>
      <c r="AA888" s="309">
        <v>8.6929999999999996</v>
      </c>
      <c r="AB888" s="309">
        <v>7.5795000000000003</v>
      </c>
      <c r="AC888" s="309">
        <v>7.7169999999999996</v>
      </c>
      <c r="AD888" s="309">
        <v>9.4631000000000007</v>
      </c>
      <c r="AE888" s="309">
        <v>7.7441000000000004</v>
      </c>
      <c r="AF888" s="309">
        <v>0</v>
      </c>
      <c r="AG888" s="309">
        <v>5.7624000000000004</v>
      </c>
      <c r="AH888" s="309">
        <v>4.3608000000000002</v>
      </c>
      <c r="AI888" s="309">
        <v>5.9371999999999998</v>
      </c>
      <c r="AJ888" s="309">
        <v>10.551</v>
      </c>
      <c r="AK888" s="309">
        <v>11.3948</v>
      </c>
      <c r="AL888" s="309">
        <v>4.0088999999999997</v>
      </c>
      <c r="AM888" s="309">
        <v>9.0554000000000006</v>
      </c>
      <c r="AN888" s="309">
        <v>14.6121</v>
      </c>
      <c r="AO888" s="309">
        <v>8.3844999999999992</v>
      </c>
      <c r="AP888" s="309">
        <v>9.0912000000000006</v>
      </c>
      <c r="AQ888" s="309">
        <v>7.0964999999999998</v>
      </c>
      <c r="AR888" s="309">
        <v>8.7591999999999999</v>
      </c>
      <c r="AS888" s="309">
        <v>4.0270999999999999</v>
      </c>
      <c r="AT888" s="309">
        <v>11.002000000000001</v>
      </c>
      <c r="AU888" s="309">
        <v>7.1494999999999997</v>
      </c>
      <c r="AV888" s="309">
        <v>9.1811000000000007</v>
      </c>
      <c r="AW888" s="309">
        <v>6.4675000000000002</v>
      </c>
      <c r="AX888" s="309">
        <v>5.8323999999999998</v>
      </c>
      <c r="AY888" s="309">
        <v>9.0257000000000005</v>
      </c>
      <c r="AZ888" s="309">
        <v>8.8949999999999996</v>
      </c>
      <c r="BA888" s="309">
        <v>9.5982000000000003</v>
      </c>
      <c r="BB888" s="309">
        <v>0</v>
      </c>
      <c r="BC888" s="309">
        <v>5.9596999999999998</v>
      </c>
      <c r="BD888" s="309">
        <v>6.8817000000000004</v>
      </c>
      <c r="BE888" s="309">
        <v>9.7509999999999994</v>
      </c>
      <c r="BF888" s="309">
        <v>7.3343999999999996</v>
      </c>
      <c r="BG888" s="309">
        <v>8.2184000000000008</v>
      </c>
      <c r="BH888" s="309">
        <v>9.0722000000000005</v>
      </c>
      <c r="BI888" s="309">
        <v>8.3604000000000003</v>
      </c>
      <c r="BJ888" s="309">
        <v>7.0663999999999998</v>
      </c>
      <c r="BK888" s="309">
        <v>7.7152000000000003</v>
      </c>
    </row>
    <row r="889" spans="1:63" x14ac:dyDescent="0.25">
      <c r="A889" s="306">
        <v>312130</v>
      </c>
      <c r="B889" s="309" t="s">
        <v>56</v>
      </c>
      <c r="C889" s="309">
        <v>16.746099999999998</v>
      </c>
      <c r="D889" s="309">
        <v>8.2077000000000009</v>
      </c>
      <c r="E889" s="309">
        <v>8.8732000000000006</v>
      </c>
      <c r="F889" s="309">
        <v>9.0282999999999998</v>
      </c>
      <c r="G889" s="309">
        <v>11.8201</v>
      </c>
      <c r="H889" s="309">
        <v>11.5991</v>
      </c>
      <c r="I889" s="309">
        <v>13.3591</v>
      </c>
      <c r="J889" s="309">
        <v>7.4006999999999996</v>
      </c>
      <c r="K889" s="309">
        <v>0</v>
      </c>
      <c r="L889" s="309">
        <v>0</v>
      </c>
      <c r="M889" s="309">
        <v>11.4757</v>
      </c>
      <c r="N889" s="309">
        <v>13.6835</v>
      </c>
      <c r="O889" s="309">
        <v>11.326499999999999</v>
      </c>
      <c r="P889" s="309">
        <v>13.8317</v>
      </c>
      <c r="Q889" s="309">
        <v>11.9773</v>
      </c>
      <c r="R889" s="309">
        <v>15.476800000000001</v>
      </c>
      <c r="S889" s="309">
        <v>12.121</v>
      </c>
      <c r="T889" s="309">
        <v>9.9344000000000001</v>
      </c>
      <c r="U889" s="309">
        <v>13.1227</v>
      </c>
      <c r="V889" s="309">
        <v>10.9939</v>
      </c>
      <c r="W889" s="309">
        <v>12.483000000000001</v>
      </c>
      <c r="X889" s="309">
        <v>10.755599999999999</v>
      </c>
      <c r="Y889" s="309">
        <v>10.569800000000001</v>
      </c>
      <c r="Z889" s="309">
        <v>13.7967</v>
      </c>
      <c r="AA889" s="309">
        <v>16.190200000000001</v>
      </c>
      <c r="AB889" s="309">
        <v>14.475099999999999</v>
      </c>
      <c r="AC889" s="309">
        <v>0</v>
      </c>
      <c r="AD889" s="309">
        <v>13.2439</v>
      </c>
      <c r="AE889" s="309">
        <v>12.8469</v>
      </c>
      <c r="AF889" s="309">
        <v>10.601100000000001</v>
      </c>
      <c r="AG889" s="309">
        <v>13.1165</v>
      </c>
      <c r="AH889" s="309">
        <v>13.6236</v>
      </c>
      <c r="AI889" s="309">
        <v>11.8269</v>
      </c>
      <c r="AJ889" s="309">
        <v>10.6203</v>
      </c>
      <c r="AK889" s="309">
        <v>0</v>
      </c>
      <c r="AL889" s="309">
        <v>7.5823999999999998</v>
      </c>
      <c r="AM889" s="309">
        <v>16.678599999999999</v>
      </c>
      <c r="AN889" s="309">
        <v>15.704599999999999</v>
      </c>
      <c r="AO889" s="309">
        <v>14.508900000000001</v>
      </c>
      <c r="AP889" s="309">
        <v>15.2037</v>
      </c>
      <c r="AQ889" s="309">
        <v>10.823700000000001</v>
      </c>
      <c r="AR889" s="309">
        <v>12.8165</v>
      </c>
      <c r="AS889" s="309">
        <v>6.3055000000000003</v>
      </c>
      <c r="AT889" s="309">
        <v>10.3592</v>
      </c>
      <c r="AU889" s="309">
        <v>12.8454</v>
      </c>
      <c r="AV889" s="309">
        <v>0</v>
      </c>
      <c r="AW889" s="309">
        <v>11.8407</v>
      </c>
      <c r="AX889" s="309">
        <v>10.585000000000001</v>
      </c>
      <c r="AY889" s="309">
        <v>13.462300000000001</v>
      </c>
      <c r="AZ889" s="309">
        <v>13.1907</v>
      </c>
      <c r="BA889" s="309">
        <v>6.5628000000000002</v>
      </c>
      <c r="BB889" s="309">
        <v>0</v>
      </c>
      <c r="BC889" s="309">
        <v>10.929</v>
      </c>
      <c r="BD889" s="309">
        <v>11.1981</v>
      </c>
      <c r="BE889" s="309">
        <v>15.195</v>
      </c>
      <c r="BF889" s="309">
        <v>14.183400000000001</v>
      </c>
      <c r="BG889" s="309">
        <v>14.406000000000001</v>
      </c>
      <c r="BH889" s="309">
        <v>12.129799999999999</v>
      </c>
      <c r="BI889" s="309">
        <v>13.1005</v>
      </c>
      <c r="BJ889" s="309">
        <v>12.8725</v>
      </c>
      <c r="BK889" s="309">
        <v>12.239699999999999</v>
      </c>
    </row>
    <row r="890" spans="1:63" x14ac:dyDescent="0.25">
      <c r="A890" s="306">
        <v>312140</v>
      </c>
      <c r="B890" s="309" t="s">
        <v>57</v>
      </c>
      <c r="C890" s="309">
        <v>7.8226000000000004</v>
      </c>
      <c r="D890" s="309">
        <v>0</v>
      </c>
      <c r="E890" s="309">
        <v>0</v>
      </c>
      <c r="F890" s="309">
        <v>5.9271000000000003</v>
      </c>
      <c r="G890" s="309">
        <v>0</v>
      </c>
      <c r="H890" s="309">
        <v>5.3304</v>
      </c>
      <c r="I890" s="309">
        <v>7.2405999999999997</v>
      </c>
      <c r="J890" s="309">
        <v>3.3986000000000001</v>
      </c>
      <c r="K890" s="309">
        <v>0</v>
      </c>
      <c r="L890" s="309">
        <v>0</v>
      </c>
      <c r="M890" s="309">
        <v>5.6611000000000002</v>
      </c>
      <c r="N890" s="309">
        <v>5.0890000000000004</v>
      </c>
      <c r="O890" s="309">
        <v>6.1348000000000003</v>
      </c>
      <c r="P890" s="309">
        <v>6.0137</v>
      </c>
      <c r="Q890" s="309">
        <v>5.3859000000000004</v>
      </c>
      <c r="R890" s="309">
        <v>6.0091999999999999</v>
      </c>
      <c r="S890" s="309">
        <v>5.6561000000000003</v>
      </c>
      <c r="T890" s="309">
        <v>0</v>
      </c>
      <c r="U890" s="309">
        <v>5.2142999999999997</v>
      </c>
      <c r="V890" s="309">
        <v>0</v>
      </c>
      <c r="W890" s="309">
        <v>0</v>
      </c>
      <c r="X890" s="309">
        <v>4.66</v>
      </c>
      <c r="Y890" s="309">
        <v>6.1702000000000004</v>
      </c>
      <c r="Z890" s="309">
        <v>5.2057000000000002</v>
      </c>
      <c r="AA890" s="309">
        <v>5.7603999999999997</v>
      </c>
      <c r="AB890" s="309">
        <v>6.4238999999999997</v>
      </c>
      <c r="AC890" s="309">
        <v>0</v>
      </c>
      <c r="AD890" s="309">
        <v>0</v>
      </c>
      <c r="AE890" s="309">
        <v>0</v>
      </c>
      <c r="AF890" s="309">
        <v>0</v>
      </c>
      <c r="AG890" s="309">
        <v>0</v>
      </c>
      <c r="AH890" s="309">
        <v>5.6284999999999998</v>
      </c>
      <c r="AI890" s="309">
        <v>5.2774000000000001</v>
      </c>
      <c r="AJ890" s="309">
        <v>0</v>
      </c>
      <c r="AK890" s="309">
        <v>0</v>
      </c>
      <c r="AL890" s="309">
        <v>2.8607</v>
      </c>
      <c r="AM890" s="309">
        <v>7.0648999999999997</v>
      </c>
      <c r="AN890" s="309">
        <v>0</v>
      </c>
      <c r="AO890" s="309">
        <v>6.9554</v>
      </c>
      <c r="AP890" s="309">
        <v>5.7855999999999996</v>
      </c>
      <c r="AQ890" s="309">
        <v>0</v>
      </c>
      <c r="AR890" s="309">
        <v>0</v>
      </c>
      <c r="AS890" s="309">
        <v>0</v>
      </c>
      <c r="AT890" s="309">
        <v>5.5320999999999998</v>
      </c>
      <c r="AU890" s="309">
        <v>5.0010000000000003</v>
      </c>
      <c r="AV890" s="309">
        <v>5.5636999999999999</v>
      </c>
      <c r="AW890" s="309">
        <v>0</v>
      </c>
      <c r="AX890" s="309">
        <v>0</v>
      </c>
      <c r="AY890" s="309">
        <v>5.3293999999999997</v>
      </c>
      <c r="AZ890" s="309">
        <v>5.4748999999999999</v>
      </c>
      <c r="BA890" s="309">
        <v>0</v>
      </c>
      <c r="BB890" s="309">
        <v>4.8678999999999997</v>
      </c>
      <c r="BC890" s="309">
        <v>4.8625999999999996</v>
      </c>
      <c r="BD890" s="309">
        <v>4.6265000000000001</v>
      </c>
      <c r="BE890" s="309">
        <v>6.6836000000000002</v>
      </c>
      <c r="BF890" s="309">
        <v>5.9356</v>
      </c>
      <c r="BG890" s="309">
        <v>6.3601000000000001</v>
      </c>
      <c r="BH890" s="309">
        <v>5.6942000000000004</v>
      </c>
      <c r="BI890" s="309">
        <v>6.2884000000000002</v>
      </c>
      <c r="BJ890" s="309">
        <v>6.3125</v>
      </c>
      <c r="BK890" s="309">
        <v>5.7130999999999998</v>
      </c>
    </row>
    <row r="891" spans="1:63" x14ac:dyDescent="0.25">
      <c r="A891" s="306" t="s">
        <v>708</v>
      </c>
      <c r="B891" s="309" t="s">
        <v>58</v>
      </c>
      <c r="C891" s="309">
        <v>6.7717999999999998</v>
      </c>
      <c r="D891" s="309">
        <v>0</v>
      </c>
      <c r="E891" s="309">
        <v>6.1383000000000001</v>
      </c>
      <c r="F891" s="309">
        <v>0</v>
      </c>
      <c r="G891" s="309">
        <v>0</v>
      </c>
      <c r="H891" s="309">
        <v>3.3559000000000001</v>
      </c>
      <c r="I891" s="309">
        <v>0</v>
      </c>
      <c r="J891" s="309">
        <v>3.3218999999999999</v>
      </c>
      <c r="K891" s="309">
        <v>0.86609999999999998</v>
      </c>
      <c r="L891" s="309">
        <v>0</v>
      </c>
      <c r="M891" s="309">
        <v>4.5113000000000003</v>
      </c>
      <c r="N891" s="309">
        <v>5.3403</v>
      </c>
      <c r="O891" s="309">
        <v>0</v>
      </c>
      <c r="P891" s="309">
        <v>0</v>
      </c>
      <c r="Q891" s="309">
        <v>0</v>
      </c>
      <c r="R891" s="309">
        <v>4.0692000000000004</v>
      </c>
      <c r="S891" s="309">
        <v>6.8630000000000004</v>
      </c>
      <c r="T891" s="309">
        <v>0</v>
      </c>
      <c r="U891" s="309">
        <v>5.3018000000000001</v>
      </c>
      <c r="V891" s="309">
        <v>0</v>
      </c>
      <c r="W891" s="309">
        <v>0</v>
      </c>
      <c r="X891" s="309">
        <v>0</v>
      </c>
      <c r="Y891" s="309">
        <v>0</v>
      </c>
      <c r="Z891" s="309">
        <v>0</v>
      </c>
      <c r="AA891" s="309">
        <v>0</v>
      </c>
      <c r="AB891" s="309">
        <v>3.5457000000000001</v>
      </c>
      <c r="AC891" s="309">
        <v>0</v>
      </c>
      <c r="AD891" s="309">
        <v>0</v>
      </c>
      <c r="AE891" s="309">
        <v>5.0967000000000002</v>
      </c>
      <c r="AF891" s="309">
        <v>0</v>
      </c>
      <c r="AG891" s="309">
        <v>0</v>
      </c>
      <c r="AH891" s="309">
        <v>0</v>
      </c>
      <c r="AI891" s="309">
        <v>8.9720999999999993</v>
      </c>
      <c r="AJ891" s="309">
        <v>4.9185999999999996</v>
      </c>
      <c r="AK891" s="309">
        <v>0</v>
      </c>
      <c r="AL891" s="309">
        <v>1.7156</v>
      </c>
      <c r="AM891" s="309">
        <v>0</v>
      </c>
      <c r="AN891" s="309">
        <v>3.8755000000000002</v>
      </c>
      <c r="AO891" s="309">
        <v>0</v>
      </c>
      <c r="AP891" s="309">
        <v>4.8979999999999997</v>
      </c>
      <c r="AQ891" s="309">
        <v>0</v>
      </c>
      <c r="AR891" s="309">
        <v>8.7254000000000005</v>
      </c>
      <c r="AS891" s="309">
        <v>0</v>
      </c>
      <c r="AT891" s="309">
        <v>4.6772</v>
      </c>
      <c r="AU891" s="309">
        <v>6.8997999999999999</v>
      </c>
      <c r="AV891" s="309">
        <v>5.2149999999999999</v>
      </c>
      <c r="AW891" s="309">
        <v>4.2873000000000001</v>
      </c>
      <c r="AX891" s="309">
        <v>0</v>
      </c>
      <c r="AY891" s="309">
        <v>5.7347999999999999</v>
      </c>
      <c r="AZ891" s="309">
        <v>7.8933999999999997</v>
      </c>
      <c r="BA891" s="309">
        <v>3.1551</v>
      </c>
      <c r="BB891" s="309">
        <v>7.8964999999999996</v>
      </c>
      <c r="BC891" s="309">
        <v>4.1605999999999996</v>
      </c>
      <c r="BD891" s="309">
        <v>3.5706000000000002</v>
      </c>
      <c r="BE891" s="309">
        <v>4.8392999999999997</v>
      </c>
      <c r="BF891" s="309">
        <v>3.5061</v>
      </c>
      <c r="BG891" s="309">
        <v>5.5570000000000004</v>
      </c>
      <c r="BH891" s="309">
        <v>5.6531000000000002</v>
      </c>
      <c r="BI891" s="309">
        <v>5.0446999999999997</v>
      </c>
      <c r="BJ891" s="309">
        <v>5.7249999999999996</v>
      </c>
      <c r="BK891" s="309">
        <v>3.9773999999999998</v>
      </c>
    </row>
    <row r="892" spans="1:63" x14ac:dyDescent="0.25">
      <c r="A892" s="306">
        <v>313100</v>
      </c>
      <c r="B892" s="309" t="s">
        <v>59</v>
      </c>
      <c r="C892" s="309">
        <v>19.962900000000001</v>
      </c>
      <c r="D892" s="309">
        <v>0</v>
      </c>
      <c r="E892" s="309">
        <v>15.505100000000001</v>
      </c>
      <c r="F892" s="309">
        <v>0</v>
      </c>
      <c r="G892" s="309">
        <v>10.5379</v>
      </c>
      <c r="H892" s="309">
        <v>11.732900000000001</v>
      </c>
      <c r="I892" s="309">
        <v>0</v>
      </c>
      <c r="J892" s="309">
        <v>8.3785000000000007</v>
      </c>
      <c r="K892" s="309">
        <v>0</v>
      </c>
      <c r="L892" s="309">
        <v>0</v>
      </c>
      <c r="M892" s="309">
        <v>10.397600000000001</v>
      </c>
      <c r="N892" s="309">
        <v>14.465299999999999</v>
      </c>
      <c r="O892" s="309">
        <v>0</v>
      </c>
      <c r="P892" s="309">
        <v>0</v>
      </c>
      <c r="Q892" s="309">
        <v>6.5495999999999999</v>
      </c>
      <c r="R892" s="309">
        <v>10.147600000000001</v>
      </c>
      <c r="S892" s="309">
        <v>10.3672</v>
      </c>
      <c r="T892" s="309">
        <v>10.9232</v>
      </c>
      <c r="U892" s="309">
        <v>0</v>
      </c>
      <c r="V892" s="309">
        <v>9.8064999999999998</v>
      </c>
      <c r="W892" s="309">
        <v>8.5670000000000002</v>
      </c>
      <c r="X892" s="309">
        <v>6.5323000000000002</v>
      </c>
      <c r="Y892" s="309">
        <v>11.8607</v>
      </c>
      <c r="Z892" s="309">
        <v>12.401999999999999</v>
      </c>
      <c r="AA892" s="309">
        <v>0</v>
      </c>
      <c r="AB892" s="309">
        <v>0</v>
      </c>
      <c r="AC892" s="309">
        <v>11.411</v>
      </c>
      <c r="AD892" s="309">
        <v>0</v>
      </c>
      <c r="AE892" s="309">
        <v>15.1044</v>
      </c>
      <c r="AF892" s="309">
        <v>0</v>
      </c>
      <c r="AG892" s="309">
        <v>9.6432000000000002</v>
      </c>
      <c r="AH892" s="309">
        <v>9.3096999999999994</v>
      </c>
      <c r="AI892" s="309">
        <v>6.7342000000000004</v>
      </c>
      <c r="AJ892" s="309">
        <v>10.442299999999999</v>
      </c>
      <c r="AK892" s="309">
        <v>0</v>
      </c>
      <c r="AL892" s="309">
        <v>8.0934000000000008</v>
      </c>
      <c r="AM892" s="309">
        <v>12.1099</v>
      </c>
      <c r="AN892" s="309">
        <v>9.0113000000000003</v>
      </c>
      <c r="AO892" s="309">
        <v>9.1205999999999996</v>
      </c>
      <c r="AP892" s="309">
        <v>11.113799999999999</v>
      </c>
      <c r="AQ892" s="309">
        <v>8.5799000000000003</v>
      </c>
      <c r="AR892" s="309">
        <v>15.354900000000001</v>
      </c>
      <c r="AS892" s="309">
        <v>0</v>
      </c>
      <c r="AT892" s="309">
        <v>14.0244</v>
      </c>
      <c r="AU892" s="309">
        <v>13.6744</v>
      </c>
      <c r="AV892" s="309">
        <v>13.8796</v>
      </c>
      <c r="AW892" s="309">
        <v>12.8818</v>
      </c>
      <c r="AX892" s="309">
        <v>12.780799999999999</v>
      </c>
      <c r="AY892" s="309">
        <v>7.9672999999999998</v>
      </c>
      <c r="AZ892" s="309">
        <v>9.6332000000000004</v>
      </c>
      <c r="BA892" s="309">
        <v>8.3947000000000003</v>
      </c>
      <c r="BB892" s="309">
        <v>10.7704</v>
      </c>
      <c r="BC892" s="309">
        <v>10.4335</v>
      </c>
      <c r="BD892" s="309">
        <v>9.8567999999999998</v>
      </c>
      <c r="BE892" s="309">
        <v>11.101800000000001</v>
      </c>
      <c r="BF892" s="309">
        <v>12.283099999999999</v>
      </c>
      <c r="BG892" s="309">
        <v>16.300799999999999</v>
      </c>
      <c r="BH892" s="309">
        <v>16.109200000000001</v>
      </c>
      <c r="BI892" s="309">
        <v>11.0832</v>
      </c>
      <c r="BJ892" s="309">
        <v>10.1159</v>
      </c>
      <c r="BK892" s="309">
        <v>11.8002</v>
      </c>
    </row>
    <row r="893" spans="1:63" x14ac:dyDescent="0.25">
      <c r="A893" s="306">
        <v>313210</v>
      </c>
      <c r="B893" s="309" t="s">
        <v>60</v>
      </c>
      <c r="C893" s="309">
        <v>20.2347</v>
      </c>
      <c r="D893" s="309">
        <v>0</v>
      </c>
      <c r="E893" s="309">
        <v>16.202999999999999</v>
      </c>
      <c r="F893" s="309">
        <v>12.0908</v>
      </c>
      <c r="G893" s="309">
        <v>13.851800000000001</v>
      </c>
      <c r="H893" s="309">
        <v>12.1943</v>
      </c>
      <c r="I893" s="309">
        <v>0</v>
      </c>
      <c r="J893" s="309">
        <v>9.3208000000000002</v>
      </c>
      <c r="K893" s="309">
        <v>1.3711</v>
      </c>
      <c r="L893" s="309">
        <v>6.0696000000000003</v>
      </c>
      <c r="M893" s="309">
        <v>13.286099999999999</v>
      </c>
      <c r="N893" s="309">
        <v>15.7033</v>
      </c>
      <c r="O893" s="309">
        <v>0</v>
      </c>
      <c r="P893" s="309">
        <v>0</v>
      </c>
      <c r="Q893" s="309">
        <v>13.428699999999999</v>
      </c>
      <c r="R893" s="309">
        <v>12.064500000000001</v>
      </c>
      <c r="S893" s="309">
        <v>15.3161</v>
      </c>
      <c r="T893" s="309">
        <v>0</v>
      </c>
      <c r="U893" s="309">
        <v>12.0518</v>
      </c>
      <c r="V893" s="309">
        <v>12.0511</v>
      </c>
      <c r="W893" s="309">
        <v>9.2707999999999995</v>
      </c>
      <c r="X893" s="309">
        <v>11.5886</v>
      </c>
      <c r="Y893" s="309">
        <v>13.027100000000001</v>
      </c>
      <c r="Z893" s="309">
        <v>10.9269</v>
      </c>
      <c r="AA893" s="309">
        <v>10.8233</v>
      </c>
      <c r="AB893" s="309">
        <v>15.091900000000001</v>
      </c>
      <c r="AC893" s="309">
        <v>12.3878</v>
      </c>
      <c r="AD893" s="309">
        <v>16.640699999999999</v>
      </c>
      <c r="AE893" s="309">
        <v>15.616899999999999</v>
      </c>
      <c r="AF893" s="309">
        <v>9.1532999999999998</v>
      </c>
      <c r="AG893" s="309">
        <v>0</v>
      </c>
      <c r="AH893" s="309">
        <v>9.1636000000000006</v>
      </c>
      <c r="AI893" s="309">
        <v>11.8513</v>
      </c>
      <c r="AJ893" s="309">
        <v>17.306799999999999</v>
      </c>
      <c r="AK893" s="309">
        <v>16.454999999999998</v>
      </c>
      <c r="AL893" s="309">
        <v>7.7276999999999996</v>
      </c>
      <c r="AM893" s="309">
        <v>13.325900000000001</v>
      </c>
      <c r="AN893" s="309">
        <v>15.476000000000001</v>
      </c>
      <c r="AO893" s="309">
        <v>14.1257</v>
      </c>
      <c r="AP893" s="309">
        <v>13.4795</v>
      </c>
      <c r="AQ893" s="309">
        <v>13.206899999999999</v>
      </c>
      <c r="AR893" s="309">
        <v>15.475899999999999</v>
      </c>
      <c r="AS893" s="309">
        <v>0</v>
      </c>
      <c r="AT893" s="309">
        <v>13.462999999999999</v>
      </c>
      <c r="AU893" s="309">
        <v>14.364800000000001</v>
      </c>
      <c r="AV893" s="309">
        <v>12.987399999999999</v>
      </c>
      <c r="AW893" s="309">
        <v>13.3955</v>
      </c>
      <c r="AX893" s="309">
        <v>11.023899999999999</v>
      </c>
      <c r="AY893" s="309">
        <v>11.141999999999999</v>
      </c>
      <c r="AZ893" s="309">
        <v>10.4627</v>
      </c>
      <c r="BA893" s="309">
        <v>0</v>
      </c>
      <c r="BB893" s="309">
        <v>0</v>
      </c>
      <c r="BC893" s="309">
        <v>12.1272</v>
      </c>
      <c r="BD893" s="309">
        <v>12.0977</v>
      </c>
      <c r="BE893" s="309">
        <v>12.000999999999999</v>
      </c>
      <c r="BF893" s="309">
        <v>11.565200000000001</v>
      </c>
      <c r="BG893" s="309">
        <v>17.049499999999998</v>
      </c>
      <c r="BH893" s="309">
        <v>16.803100000000001</v>
      </c>
      <c r="BI893" s="309">
        <v>14.532299999999999</v>
      </c>
      <c r="BJ893" s="309">
        <v>12.9764</v>
      </c>
      <c r="BK893" s="309">
        <v>12.8879</v>
      </c>
    </row>
    <row r="894" spans="1:63" x14ac:dyDescent="0.25">
      <c r="A894" s="306">
        <v>313220</v>
      </c>
      <c r="B894" s="309" t="s">
        <v>61</v>
      </c>
      <c r="C894" s="309">
        <v>23.1233</v>
      </c>
      <c r="D894" s="309">
        <v>0</v>
      </c>
      <c r="E894" s="309">
        <v>18.8233</v>
      </c>
      <c r="F894" s="309">
        <v>0</v>
      </c>
      <c r="G894" s="309">
        <v>16.6875</v>
      </c>
      <c r="H894" s="309">
        <v>14.8873</v>
      </c>
      <c r="I894" s="309">
        <v>17.6355</v>
      </c>
      <c r="J894" s="309">
        <v>11.3088</v>
      </c>
      <c r="K894" s="309">
        <v>0</v>
      </c>
      <c r="L894" s="309">
        <v>0</v>
      </c>
      <c r="M894" s="309">
        <v>16.256699999999999</v>
      </c>
      <c r="N894" s="309">
        <v>16.848299999999998</v>
      </c>
      <c r="O894" s="309">
        <v>0</v>
      </c>
      <c r="P894" s="309">
        <v>0</v>
      </c>
      <c r="Q894" s="309">
        <v>13.377800000000001</v>
      </c>
      <c r="R894" s="309">
        <v>16.199300000000001</v>
      </c>
      <c r="S894" s="309">
        <v>0</v>
      </c>
      <c r="T894" s="309">
        <v>14.505800000000001</v>
      </c>
      <c r="U894" s="309">
        <v>14.3527</v>
      </c>
      <c r="V894" s="309">
        <v>17.953600000000002</v>
      </c>
      <c r="W894" s="309">
        <v>14.1303</v>
      </c>
      <c r="X894" s="309">
        <v>14.101900000000001</v>
      </c>
      <c r="Y894" s="309">
        <v>16.452300000000001</v>
      </c>
      <c r="Z894" s="309">
        <v>18.206199999999999</v>
      </c>
      <c r="AA894" s="309">
        <v>13.2705</v>
      </c>
      <c r="AB894" s="309">
        <v>0</v>
      </c>
      <c r="AC894" s="309">
        <v>0</v>
      </c>
      <c r="AD894" s="309">
        <v>13.3506</v>
      </c>
      <c r="AE894" s="309">
        <v>17.4587</v>
      </c>
      <c r="AF894" s="309">
        <v>0</v>
      </c>
      <c r="AG894" s="309">
        <v>0</v>
      </c>
      <c r="AH894" s="309">
        <v>13.697900000000001</v>
      </c>
      <c r="AI894" s="309">
        <v>12.0884</v>
      </c>
      <c r="AJ894" s="309">
        <v>14.6286</v>
      </c>
      <c r="AK894" s="309">
        <v>0</v>
      </c>
      <c r="AL894" s="309">
        <v>9.3354999999999997</v>
      </c>
      <c r="AM894" s="309">
        <v>14.923500000000001</v>
      </c>
      <c r="AN894" s="309">
        <v>18.441600000000001</v>
      </c>
      <c r="AO894" s="309">
        <v>0</v>
      </c>
      <c r="AP894" s="309">
        <v>16.038499999999999</v>
      </c>
      <c r="AQ894" s="309">
        <v>14.386900000000001</v>
      </c>
      <c r="AR894" s="309">
        <v>19.747900000000001</v>
      </c>
      <c r="AS894" s="309">
        <v>0</v>
      </c>
      <c r="AT894" s="309">
        <v>16.819900000000001</v>
      </c>
      <c r="AU894" s="309">
        <v>16.435500000000001</v>
      </c>
      <c r="AV894" s="309">
        <v>20.564900000000002</v>
      </c>
      <c r="AW894" s="309">
        <v>20.191500000000001</v>
      </c>
      <c r="AX894" s="309">
        <v>0</v>
      </c>
      <c r="AY894" s="309">
        <v>0</v>
      </c>
      <c r="AZ894" s="309">
        <v>0</v>
      </c>
      <c r="BA894" s="309">
        <v>0</v>
      </c>
      <c r="BB894" s="309">
        <v>0</v>
      </c>
      <c r="BC894" s="309">
        <v>15.6464</v>
      </c>
      <c r="BD894" s="309">
        <v>14.2105</v>
      </c>
      <c r="BE894" s="309">
        <v>16.0715</v>
      </c>
      <c r="BF894" s="309">
        <v>14.189500000000001</v>
      </c>
      <c r="BG894" s="309">
        <v>20.401299999999999</v>
      </c>
      <c r="BH894" s="309">
        <v>19.436</v>
      </c>
      <c r="BI894" s="309">
        <v>16.864699999999999</v>
      </c>
      <c r="BJ894" s="309">
        <v>16.057099999999998</v>
      </c>
      <c r="BK894" s="309">
        <v>15.1524</v>
      </c>
    </row>
    <row r="895" spans="1:63" x14ac:dyDescent="0.25">
      <c r="A895" s="306">
        <v>313230</v>
      </c>
      <c r="B895" s="309" t="s">
        <v>62</v>
      </c>
      <c r="C895" s="309">
        <v>15.527200000000001</v>
      </c>
      <c r="D895" s="309">
        <v>0</v>
      </c>
      <c r="E895" s="309">
        <v>11.409599999999999</v>
      </c>
      <c r="F895" s="309">
        <v>7.8105000000000002</v>
      </c>
      <c r="G895" s="309">
        <v>9.9108000000000001</v>
      </c>
      <c r="H895" s="309">
        <v>9.7233000000000001</v>
      </c>
      <c r="I895" s="309">
        <v>0</v>
      </c>
      <c r="J895" s="309">
        <v>6.1786000000000003</v>
      </c>
      <c r="K895" s="309">
        <v>0</v>
      </c>
      <c r="L895" s="309">
        <v>5.4428000000000001</v>
      </c>
      <c r="M895" s="309">
        <v>9.3556000000000008</v>
      </c>
      <c r="N895" s="309">
        <v>10.110300000000001</v>
      </c>
      <c r="O895" s="309">
        <v>0</v>
      </c>
      <c r="P895" s="309">
        <v>0</v>
      </c>
      <c r="Q895" s="309">
        <v>7.8692000000000002</v>
      </c>
      <c r="R895" s="309">
        <v>10.511699999999999</v>
      </c>
      <c r="S895" s="309">
        <v>10.4489</v>
      </c>
      <c r="T895" s="309">
        <v>8.4311000000000007</v>
      </c>
      <c r="U895" s="309">
        <v>10.0197</v>
      </c>
      <c r="V895" s="309">
        <v>0</v>
      </c>
      <c r="W895" s="309">
        <v>7.7531999999999996</v>
      </c>
      <c r="X895" s="309">
        <v>6.5669000000000004</v>
      </c>
      <c r="Y895" s="309">
        <v>9.4328000000000003</v>
      </c>
      <c r="Z895" s="309">
        <v>0</v>
      </c>
      <c r="AA895" s="309">
        <v>0</v>
      </c>
      <c r="AB895" s="309">
        <v>8.2517999999999994</v>
      </c>
      <c r="AC895" s="309">
        <v>8.8514999999999997</v>
      </c>
      <c r="AD895" s="309">
        <v>0</v>
      </c>
      <c r="AE895" s="309">
        <v>10.6554</v>
      </c>
      <c r="AF895" s="309">
        <v>0</v>
      </c>
      <c r="AG895" s="309">
        <v>7.1436999999999999</v>
      </c>
      <c r="AH895" s="309">
        <v>7.7236000000000002</v>
      </c>
      <c r="AI895" s="309">
        <v>7.7503000000000002</v>
      </c>
      <c r="AJ895" s="309">
        <v>0</v>
      </c>
      <c r="AK895" s="309">
        <v>7.3695000000000004</v>
      </c>
      <c r="AL895" s="309">
        <v>5.8985000000000003</v>
      </c>
      <c r="AM895" s="309">
        <v>11.645300000000001</v>
      </c>
      <c r="AN895" s="309">
        <v>10.2934</v>
      </c>
      <c r="AO895" s="309">
        <v>0</v>
      </c>
      <c r="AP895" s="309">
        <v>10.861800000000001</v>
      </c>
      <c r="AQ895" s="309">
        <v>8.5523000000000007</v>
      </c>
      <c r="AR895" s="309">
        <v>11.3439</v>
      </c>
      <c r="AS895" s="309">
        <v>0</v>
      </c>
      <c r="AT895" s="309">
        <v>9.8614999999999995</v>
      </c>
      <c r="AU895" s="309">
        <v>10.802099999999999</v>
      </c>
      <c r="AV895" s="309">
        <v>0</v>
      </c>
      <c r="AW895" s="309">
        <v>9.1783000000000001</v>
      </c>
      <c r="AX895" s="309">
        <v>0</v>
      </c>
      <c r="AY895" s="309">
        <v>7.7287999999999997</v>
      </c>
      <c r="AZ895" s="309">
        <v>9.2571999999999992</v>
      </c>
      <c r="BA895" s="309">
        <v>8.5260999999999996</v>
      </c>
      <c r="BB895" s="309">
        <v>0</v>
      </c>
      <c r="BC895" s="309">
        <v>9.6532</v>
      </c>
      <c r="BD895" s="309">
        <v>9.3161000000000005</v>
      </c>
      <c r="BE895" s="309">
        <v>11.3957</v>
      </c>
      <c r="BF895" s="309">
        <v>9.1783999999999999</v>
      </c>
      <c r="BG895" s="309">
        <v>11.789099999999999</v>
      </c>
      <c r="BH895" s="309">
        <v>11.560700000000001</v>
      </c>
      <c r="BI895" s="309">
        <v>10.847099999999999</v>
      </c>
      <c r="BJ895" s="309">
        <v>10.0473</v>
      </c>
      <c r="BK895" s="309">
        <v>9.6626999999999992</v>
      </c>
    </row>
    <row r="896" spans="1:63" x14ac:dyDescent="0.25">
      <c r="A896" s="306">
        <v>313240</v>
      </c>
      <c r="B896" s="309" t="s">
        <v>63</v>
      </c>
      <c r="C896" s="309">
        <v>21.4437</v>
      </c>
      <c r="D896" s="309">
        <v>0</v>
      </c>
      <c r="E896" s="309">
        <v>18.856000000000002</v>
      </c>
      <c r="F896" s="309">
        <v>0</v>
      </c>
      <c r="G896" s="309">
        <v>15.9673</v>
      </c>
      <c r="H896" s="309">
        <v>14.217499999999999</v>
      </c>
      <c r="I896" s="309">
        <v>0</v>
      </c>
      <c r="J896" s="309">
        <v>0</v>
      </c>
      <c r="K896" s="309">
        <v>0</v>
      </c>
      <c r="L896" s="309">
        <v>0</v>
      </c>
      <c r="M896" s="309">
        <v>13.4209</v>
      </c>
      <c r="N896" s="309">
        <v>16.514399999999998</v>
      </c>
      <c r="O896" s="309">
        <v>0</v>
      </c>
      <c r="P896" s="309">
        <v>9.0138999999999996</v>
      </c>
      <c r="Q896" s="309">
        <v>0</v>
      </c>
      <c r="R896" s="309">
        <v>15.4787</v>
      </c>
      <c r="S896" s="309">
        <v>15.053800000000001</v>
      </c>
      <c r="T896" s="309">
        <v>11.0967</v>
      </c>
      <c r="U896" s="309">
        <v>12.8606</v>
      </c>
      <c r="V896" s="309">
        <v>0</v>
      </c>
      <c r="W896" s="309">
        <v>9.6782000000000004</v>
      </c>
      <c r="X896" s="309">
        <v>11.3573</v>
      </c>
      <c r="Y896" s="309">
        <v>18.0961</v>
      </c>
      <c r="Z896" s="309">
        <v>11.4603</v>
      </c>
      <c r="AA896" s="309">
        <v>13.306699999999999</v>
      </c>
      <c r="AB896" s="309">
        <v>13.975199999999999</v>
      </c>
      <c r="AC896" s="309">
        <v>15.3873</v>
      </c>
      <c r="AD896" s="309">
        <v>0</v>
      </c>
      <c r="AE896" s="309">
        <v>16.5154</v>
      </c>
      <c r="AF896" s="309">
        <v>0</v>
      </c>
      <c r="AG896" s="309">
        <v>0</v>
      </c>
      <c r="AH896" s="309">
        <v>10.674099999999999</v>
      </c>
      <c r="AI896" s="309">
        <v>10.847899999999999</v>
      </c>
      <c r="AJ896" s="309">
        <v>0</v>
      </c>
      <c r="AK896" s="309">
        <v>0</v>
      </c>
      <c r="AL896" s="309">
        <v>7.8959999999999999</v>
      </c>
      <c r="AM896" s="309">
        <v>0</v>
      </c>
      <c r="AN896" s="309">
        <v>0</v>
      </c>
      <c r="AO896" s="309">
        <v>0</v>
      </c>
      <c r="AP896" s="309">
        <v>13.661799999999999</v>
      </c>
      <c r="AQ896" s="309">
        <v>11.2639</v>
      </c>
      <c r="AR896" s="309">
        <v>16.251799999999999</v>
      </c>
      <c r="AS896" s="309">
        <v>0</v>
      </c>
      <c r="AT896" s="309">
        <v>15.8047</v>
      </c>
      <c r="AU896" s="309">
        <v>0</v>
      </c>
      <c r="AV896" s="309">
        <v>0</v>
      </c>
      <c r="AW896" s="309">
        <v>0</v>
      </c>
      <c r="AX896" s="309">
        <v>0</v>
      </c>
      <c r="AY896" s="309">
        <v>0</v>
      </c>
      <c r="AZ896" s="309">
        <v>11.3766</v>
      </c>
      <c r="BA896" s="309">
        <v>0</v>
      </c>
      <c r="BB896" s="309">
        <v>0</v>
      </c>
      <c r="BC896" s="309">
        <v>11.914199999999999</v>
      </c>
      <c r="BD896" s="309">
        <v>11.8925</v>
      </c>
      <c r="BE896" s="309">
        <v>14.3217</v>
      </c>
      <c r="BF896" s="309">
        <v>12.287100000000001</v>
      </c>
      <c r="BG896" s="309">
        <v>18.1846</v>
      </c>
      <c r="BH896" s="309">
        <v>18.076599999999999</v>
      </c>
      <c r="BI896" s="309">
        <v>0</v>
      </c>
      <c r="BJ896" s="309">
        <v>16.091899999999999</v>
      </c>
      <c r="BK896" s="309">
        <v>14.4801</v>
      </c>
    </row>
    <row r="897" spans="1:63" x14ac:dyDescent="0.25">
      <c r="A897" s="306">
        <v>313310</v>
      </c>
      <c r="B897" s="309" t="s">
        <v>64</v>
      </c>
      <c r="C897" s="309">
        <v>16.8917</v>
      </c>
      <c r="D897" s="309">
        <v>7.2229999999999999</v>
      </c>
      <c r="E897" s="309">
        <v>13.456799999999999</v>
      </c>
      <c r="F897" s="309">
        <v>9.9405000000000001</v>
      </c>
      <c r="G897" s="309">
        <v>11.5562</v>
      </c>
      <c r="H897" s="309">
        <v>11.3813</v>
      </c>
      <c r="I897" s="309">
        <v>8.9047999999999998</v>
      </c>
      <c r="J897" s="309">
        <v>7.6379999999999999</v>
      </c>
      <c r="K897" s="309">
        <v>2.7025000000000001</v>
      </c>
      <c r="L897" s="309">
        <v>8.0291999999999994</v>
      </c>
      <c r="M897" s="309">
        <v>8.4863</v>
      </c>
      <c r="N897" s="309">
        <v>11.855399999999999</v>
      </c>
      <c r="O897" s="309">
        <v>10.576599999999999</v>
      </c>
      <c r="P897" s="309">
        <v>10.3908</v>
      </c>
      <c r="Q897" s="309">
        <v>11.362299999999999</v>
      </c>
      <c r="R897" s="309">
        <v>9.1193000000000008</v>
      </c>
      <c r="S897" s="309">
        <v>10.993499999999999</v>
      </c>
      <c r="T897" s="309">
        <v>9.6374999999999993</v>
      </c>
      <c r="U897" s="309">
        <v>9.8749000000000002</v>
      </c>
      <c r="V897" s="309">
        <v>9.1</v>
      </c>
      <c r="W897" s="309">
        <v>8.0030000000000001</v>
      </c>
      <c r="X897" s="309">
        <v>8.0799000000000003</v>
      </c>
      <c r="Y897" s="309">
        <v>11.7658</v>
      </c>
      <c r="Z897" s="309">
        <v>9.5945</v>
      </c>
      <c r="AA897" s="309">
        <v>11.707599999999999</v>
      </c>
      <c r="AB897" s="309">
        <v>9.3234999999999992</v>
      </c>
      <c r="AC897" s="309">
        <v>13.3797</v>
      </c>
      <c r="AD897" s="309">
        <v>11.482699999999999</v>
      </c>
      <c r="AE897" s="309">
        <v>13.083399999999999</v>
      </c>
      <c r="AF897" s="309">
        <v>7.9541000000000004</v>
      </c>
      <c r="AG897" s="309">
        <v>8.5995000000000008</v>
      </c>
      <c r="AH897" s="309">
        <v>10.512499999999999</v>
      </c>
      <c r="AI897" s="309">
        <v>8.5589999999999993</v>
      </c>
      <c r="AJ897" s="309">
        <v>11.533899999999999</v>
      </c>
      <c r="AK897" s="309">
        <v>0</v>
      </c>
      <c r="AL897" s="309">
        <v>6.3875000000000002</v>
      </c>
      <c r="AM897" s="309">
        <v>9.4101999999999997</v>
      </c>
      <c r="AN897" s="309">
        <v>12.5769</v>
      </c>
      <c r="AO897" s="309">
        <v>12.5458</v>
      </c>
      <c r="AP897" s="309">
        <v>12.125299999999999</v>
      </c>
      <c r="AQ897" s="309">
        <v>8.4871999999999996</v>
      </c>
      <c r="AR897" s="309">
        <v>13.1303</v>
      </c>
      <c r="AS897" s="309">
        <v>7.1813000000000002</v>
      </c>
      <c r="AT897" s="309">
        <v>12.2704</v>
      </c>
      <c r="AU897" s="309">
        <v>11.5458</v>
      </c>
      <c r="AV897" s="309">
        <v>12.5533</v>
      </c>
      <c r="AW897" s="309">
        <v>11.404</v>
      </c>
      <c r="AX897" s="309">
        <v>10.6073</v>
      </c>
      <c r="AY897" s="309">
        <v>11.9055</v>
      </c>
      <c r="AZ897" s="309">
        <v>14.048500000000001</v>
      </c>
      <c r="BA897" s="309">
        <v>0</v>
      </c>
      <c r="BB897" s="309">
        <v>10.356299999999999</v>
      </c>
      <c r="BC897" s="309">
        <v>10.3619</v>
      </c>
      <c r="BD897" s="309">
        <v>9.9308999999999994</v>
      </c>
      <c r="BE897" s="309">
        <v>10.326599999999999</v>
      </c>
      <c r="BF897" s="309">
        <v>11.2317</v>
      </c>
      <c r="BG897" s="309">
        <v>14.1197</v>
      </c>
      <c r="BH897" s="309">
        <v>14.5375</v>
      </c>
      <c r="BI897" s="309">
        <v>11.888199999999999</v>
      </c>
      <c r="BJ897" s="309">
        <v>11.351100000000001</v>
      </c>
      <c r="BK897" s="309">
        <v>11.672800000000001</v>
      </c>
    </row>
    <row r="898" spans="1:63" x14ac:dyDescent="0.25">
      <c r="A898" s="306">
        <v>313320</v>
      </c>
      <c r="B898" s="309" t="s">
        <v>65</v>
      </c>
      <c r="C898" s="309">
        <v>18.1706</v>
      </c>
      <c r="D898" s="309">
        <v>0</v>
      </c>
      <c r="E898" s="309">
        <v>0</v>
      </c>
      <c r="F898" s="309">
        <v>11.4892</v>
      </c>
      <c r="G898" s="309">
        <v>8.3899000000000008</v>
      </c>
      <c r="H898" s="309">
        <v>9.8262</v>
      </c>
      <c r="I898" s="309">
        <v>11.7529</v>
      </c>
      <c r="J898" s="309">
        <v>8.1539999999999999</v>
      </c>
      <c r="K898" s="309">
        <v>0</v>
      </c>
      <c r="L898" s="309">
        <v>8.3604000000000003</v>
      </c>
      <c r="M898" s="309">
        <v>11.0886</v>
      </c>
      <c r="N898" s="309">
        <v>14.653700000000001</v>
      </c>
      <c r="O898" s="309">
        <v>0</v>
      </c>
      <c r="P898" s="309">
        <v>0</v>
      </c>
      <c r="Q898" s="309">
        <v>0</v>
      </c>
      <c r="R898" s="309">
        <v>10.9681</v>
      </c>
      <c r="S898" s="309">
        <v>12.2943</v>
      </c>
      <c r="T898" s="309">
        <v>0</v>
      </c>
      <c r="U898" s="309">
        <v>0</v>
      </c>
      <c r="V898" s="309">
        <v>0</v>
      </c>
      <c r="W898" s="309">
        <v>9.1407000000000007</v>
      </c>
      <c r="X898" s="309">
        <v>7.5202</v>
      </c>
      <c r="Y898" s="309">
        <v>10.919600000000001</v>
      </c>
      <c r="Z898" s="309">
        <v>10.944900000000001</v>
      </c>
      <c r="AA898" s="309">
        <v>10.008599999999999</v>
      </c>
      <c r="AB898" s="309">
        <v>9.3111999999999995</v>
      </c>
      <c r="AC898" s="309">
        <v>0</v>
      </c>
      <c r="AD898" s="309">
        <v>0</v>
      </c>
      <c r="AE898" s="309">
        <v>13.834</v>
      </c>
      <c r="AF898" s="309">
        <v>0</v>
      </c>
      <c r="AG898" s="309">
        <v>0</v>
      </c>
      <c r="AH898" s="309">
        <v>9.3491999999999997</v>
      </c>
      <c r="AI898" s="309">
        <v>9.6237999999999992</v>
      </c>
      <c r="AJ898" s="309">
        <v>10.7151</v>
      </c>
      <c r="AK898" s="309">
        <v>9.4661000000000008</v>
      </c>
      <c r="AL898" s="309">
        <v>7.3868</v>
      </c>
      <c r="AM898" s="309">
        <v>12.829800000000001</v>
      </c>
      <c r="AN898" s="309">
        <v>10.8726</v>
      </c>
      <c r="AO898" s="309">
        <v>0</v>
      </c>
      <c r="AP898" s="309">
        <v>12.3833</v>
      </c>
      <c r="AQ898" s="309">
        <v>11.162599999999999</v>
      </c>
      <c r="AR898" s="309">
        <v>13.74</v>
      </c>
      <c r="AS898" s="309">
        <v>0</v>
      </c>
      <c r="AT898" s="309">
        <v>13.299200000000001</v>
      </c>
      <c r="AU898" s="309">
        <v>12.9062</v>
      </c>
      <c r="AV898" s="309">
        <v>13.9476</v>
      </c>
      <c r="AW898" s="309">
        <v>12.353300000000001</v>
      </c>
      <c r="AX898" s="309">
        <v>0</v>
      </c>
      <c r="AY898" s="309">
        <v>10.3117</v>
      </c>
      <c r="AZ898" s="309">
        <v>12.3134</v>
      </c>
      <c r="BA898" s="309">
        <v>0</v>
      </c>
      <c r="BB898" s="309">
        <v>0</v>
      </c>
      <c r="BC898" s="309">
        <v>11.4078</v>
      </c>
      <c r="BD898" s="309">
        <v>11.0054</v>
      </c>
      <c r="BE898" s="309">
        <v>13.120100000000001</v>
      </c>
      <c r="BF898" s="309">
        <v>9.5656999999999996</v>
      </c>
      <c r="BG898" s="309">
        <v>15.240500000000001</v>
      </c>
      <c r="BH898" s="309">
        <v>14.864100000000001</v>
      </c>
      <c r="BI898" s="309">
        <v>13.3644</v>
      </c>
      <c r="BJ898" s="309">
        <v>10.915100000000001</v>
      </c>
      <c r="BK898" s="309">
        <v>10.227399999999999</v>
      </c>
    </row>
    <row r="899" spans="1:63" x14ac:dyDescent="0.25">
      <c r="A899" s="306">
        <v>314110</v>
      </c>
      <c r="B899" s="309" t="s">
        <v>66</v>
      </c>
      <c r="C899" s="309">
        <v>16.4451</v>
      </c>
      <c r="D899" s="309">
        <v>0</v>
      </c>
      <c r="E899" s="309">
        <v>13.533200000000001</v>
      </c>
      <c r="F899" s="309">
        <v>6.5716000000000001</v>
      </c>
      <c r="G899" s="309">
        <v>6.3312999999999997</v>
      </c>
      <c r="H899" s="309">
        <v>6.6905999999999999</v>
      </c>
      <c r="I899" s="309">
        <v>5.9751000000000003</v>
      </c>
      <c r="J899" s="309">
        <v>4.3830999999999998</v>
      </c>
      <c r="K899" s="309">
        <v>2.0379999999999998</v>
      </c>
      <c r="L899" s="309">
        <v>0</v>
      </c>
      <c r="M899" s="309">
        <v>7.4097999999999997</v>
      </c>
      <c r="N899" s="309">
        <v>11.916499999999999</v>
      </c>
      <c r="O899" s="309">
        <v>0</v>
      </c>
      <c r="P899" s="309">
        <v>4.6622000000000003</v>
      </c>
      <c r="Q899" s="309">
        <v>0</v>
      </c>
      <c r="R899" s="309">
        <v>5.5587999999999997</v>
      </c>
      <c r="S899" s="309">
        <v>7.1492000000000004</v>
      </c>
      <c r="T899" s="309">
        <v>5.0297000000000001</v>
      </c>
      <c r="U899" s="309">
        <v>7.2706999999999997</v>
      </c>
      <c r="V899" s="309">
        <v>0</v>
      </c>
      <c r="W899" s="309">
        <v>6.8010000000000002</v>
      </c>
      <c r="X899" s="309">
        <v>6.1012000000000004</v>
      </c>
      <c r="Y899" s="309">
        <v>9.6715</v>
      </c>
      <c r="Z899" s="309">
        <v>6.1288999999999998</v>
      </c>
      <c r="AA899" s="309">
        <v>7.6521999999999997</v>
      </c>
      <c r="AB899" s="309">
        <v>6.7683</v>
      </c>
      <c r="AC899" s="309">
        <v>0</v>
      </c>
      <c r="AD899" s="309">
        <v>0</v>
      </c>
      <c r="AE899" s="309">
        <v>13.017899999999999</v>
      </c>
      <c r="AF899" s="309">
        <v>0</v>
      </c>
      <c r="AG899" s="309">
        <v>6.9695</v>
      </c>
      <c r="AH899" s="309">
        <v>5.8455000000000004</v>
      </c>
      <c r="AI899" s="309">
        <v>5.5095000000000001</v>
      </c>
      <c r="AJ899" s="309">
        <v>7.4744999999999999</v>
      </c>
      <c r="AK899" s="309">
        <v>0</v>
      </c>
      <c r="AL899" s="309">
        <v>4.1833999999999998</v>
      </c>
      <c r="AM899" s="309">
        <v>8.0780999999999992</v>
      </c>
      <c r="AN899" s="309">
        <v>5.2354000000000003</v>
      </c>
      <c r="AO899" s="309">
        <v>0</v>
      </c>
      <c r="AP899" s="309">
        <v>7.7507000000000001</v>
      </c>
      <c r="AQ899" s="309">
        <v>8.8992000000000004</v>
      </c>
      <c r="AR899" s="309">
        <v>12.741300000000001</v>
      </c>
      <c r="AS899" s="309">
        <v>0</v>
      </c>
      <c r="AT899" s="309">
        <v>11.504200000000001</v>
      </c>
      <c r="AU899" s="309">
        <v>6.9478</v>
      </c>
      <c r="AV899" s="309">
        <v>0</v>
      </c>
      <c r="AW899" s="309">
        <v>10.843400000000001</v>
      </c>
      <c r="AX899" s="309">
        <v>8.0972000000000008</v>
      </c>
      <c r="AY899" s="309">
        <v>6.2134999999999998</v>
      </c>
      <c r="AZ899" s="309">
        <v>8.4101999999999997</v>
      </c>
      <c r="BA899" s="309">
        <v>0</v>
      </c>
      <c r="BB899" s="309">
        <v>0</v>
      </c>
      <c r="BC899" s="309">
        <v>8.5169999999999995</v>
      </c>
      <c r="BD899" s="309">
        <v>6.5568999999999997</v>
      </c>
      <c r="BE899" s="309">
        <v>7.5751999999999997</v>
      </c>
      <c r="BF899" s="309">
        <v>6.2453000000000003</v>
      </c>
      <c r="BG899" s="309">
        <v>13.1639</v>
      </c>
      <c r="BH899" s="309">
        <v>14.201599999999999</v>
      </c>
      <c r="BI899" s="309">
        <v>7.3011999999999997</v>
      </c>
      <c r="BJ899" s="309">
        <v>6.1986999999999997</v>
      </c>
      <c r="BK899" s="309">
        <v>6.8074000000000003</v>
      </c>
    </row>
    <row r="900" spans="1:63" x14ac:dyDescent="0.25">
      <c r="A900" s="306">
        <v>314120</v>
      </c>
      <c r="B900" s="309" t="s">
        <v>67</v>
      </c>
      <c r="C900" s="309">
        <v>18.022500000000001</v>
      </c>
      <c r="D900" s="309">
        <v>0</v>
      </c>
      <c r="E900" s="309">
        <v>15.5563</v>
      </c>
      <c r="F900" s="309">
        <v>13.027100000000001</v>
      </c>
      <c r="G900" s="309">
        <v>11.169</v>
      </c>
      <c r="H900" s="309">
        <v>11.2972</v>
      </c>
      <c r="I900" s="309">
        <v>9.8213000000000008</v>
      </c>
      <c r="J900" s="309">
        <v>9.7242999999999995</v>
      </c>
      <c r="K900" s="309">
        <v>2.2601</v>
      </c>
      <c r="L900" s="309">
        <v>8.2149000000000001</v>
      </c>
      <c r="M900" s="309">
        <v>12.5366</v>
      </c>
      <c r="N900" s="309">
        <v>14.2715</v>
      </c>
      <c r="O900" s="309">
        <v>10.012499999999999</v>
      </c>
      <c r="P900" s="309">
        <v>12.2148</v>
      </c>
      <c r="Q900" s="309">
        <v>12.446300000000001</v>
      </c>
      <c r="R900" s="309">
        <v>11.2723</v>
      </c>
      <c r="S900" s="309">
        <v>12.5951</v>
      </c>
      <c r="T900" s="309">
        <v>10.478899999999999</v>
      </c>
      <c r="U900" s="309">
        <v>11.6119</v>
      </c>
      <c r="V900" s="309">
        <v>12.9872</v>
      </c>
      <c r="W900" s="309">
        <v>9.3079999999999998</v>
      </c>
      <c r="X900" s="309">
        <v>9.3145000000000007</v>
      </c>
      <c r="Y900" s="309">
        <v>14.571199999999999</v>
      </c>
      <c r="Z900" s="309">
        <v>12.8056</v>
      </c>
      <c r="AA900" s="309">
        <v>12.1004</v>
      </c>
      <c r="AB900" s="309">
        <v>13.383800000000001</v>
      </c>
      <c r="AC900" s="309">
        <v>12.9772</v>
      </c>
      <c r="AD900" s="309">
        <v>11.347799999999999</v>
      </c>
      <c r="AE900" s="309">
        <v>14.681100000000001</v>
      </c>
      <c r="AF900" s="309">
        <v>9.1629000000000005</v>
      </c>
      <c r="AG900" s="309">
        <v>9.8323999999999998</v>
      </c>
      <c r="AH900" s="309">
        <v>11.696400000000001</v>
      </c>
      <c r="AI900" s="309">
        <v>8.5611999999999995</v>
      </c>
      <c r="AJ900" s="309">
        <v>9.5454000000000008</v>
      </c>
      <c r="AK900" s="309">
        <v>8.9332999999999991</v>
      </c>
      <c r="AL900" s="309">
        <v>7.6883999999999997</v>
      </c>
      <c r="AM900" s="309">
        <v>11.585599999999999</v>
      </c>
      <c r="AN900" s="309">
        <v>12.567500000000001</v>
      </c>
      <c r="AO900" s="309">
        <v>11.5372</v>
      </c>
      <c r="AP900" s="309">
        <v>14.756</v>
      </c>
      <c r="AQ900" s="309">
        <v>9.8450000000000006</v>
      </c>
      <c r="AR900" s="309">
        <v>15.4298</v>
      </c>
      <c r="AS900" s="309">
        <v>12.112500000000001</v>
      </c>
      <c r="AT900" s="309">
        <v>12.2782</v>
      </c>
      <c r="AU900" s="309">
        <v>13.414099999999999</v>
      </c>
      <c r="AV900" s="309">
        <v>14.819800000000001</v>
      </c>
      <c r="AW900" s="309">
        <v>13.3612</v>
      </c>
      <c r="AX900" s="309">
        <v>12.2468</v>
      </c>
      <c r="AY900" s="309">
        <v>9.3522999999999996</v>
      </c>
      <c r="AZ900" s="309">
        <v>14.1692</v>
      </c>
      <c r="BA900" s="309">
        <v>11.418900000000001</v>
      </c>
      <c r="BB900" s="309">
        <v>4.3902999999999999</v>
      </c>
      <c r="BC900" s="309">
        <v>12.736700000000001</v>
      </c>
      <c r="BD900" s="309">
        <v>11.033799999999999</v>
      </c>
      <c r="BE900" s="309">
        <v>12.842000000000001</v>
      </c>
      <c r="BF900" s="309">
        <v>12.7464</v>
      </c>
      <c r="BG900" s="309">
        <v>15.752700000000001</v>
      </c>
      <c r="BH900" s="309">
        <v>15.872199999999999</v>
      </c>
      <c r="BI900" s="309">
        <v>13.611499999999999</v>
      </c>
      <c r="BJ900" s="309">
        <v>11.4453</v>
      </c>
      <c r="BK900" s="309">
        <v>11.4998</v>
      </c>
    </row>
    <row r="901" spans="1:63" x14ac:dyDescent="0.25">
      <c r="A901" s="306">
        <v>314910</v>
      </c>
      <c r="B901" s="309" t="s">
        <v>68</v>
      </c>
      <c r="C901" s="309">
        <v>23.304400000000001</v>
      </c>
      <c r="D901" s="309">
        <v>14.732100000000001</v>
      </c>
      <c r="E901" s="309">
        <v>19.2864</v>
      </c>
      <c r="F901" s="309">
        <v>14.872999999999999</v>
      </c>
      <c r="G901" s="309">
        <v>18.8324</v>
      </c>
      <c r="H901" s="309">
        <v>15.4312</v>
      </c>
      <c r="I901" s="309">
        <v>16.790800000000001</v>
      </c>
      <c r="J901" s="309">
        <v>13.074</v>
      </c>
      <c r="K901" s="309">
        <v>0</v>
      </c>
      <c r="L901" s="309">
        <v>9.4390000000000001</v>
      </c>
      <c r="M901" s="309">
        <v>16.028500000000001</v>
      </c>
      <c r="N901" s="309">
        <v>19.9801</v>
      </c>
      <c r="O901" s="309">
        <v>17.834299999999999</v>
      </c>
      <c r="P901" s="309">
        <v>16.250599999999999</v>
      </c>
      <c r="Q901" s="309">
        <v>18.366</v>
      </c>
      <c r="R901" s="309">
        <v>17.4922</v>
      </c>
      <c r="S901" s="309">
        <v>16.276199999999999</v>
      </c>
      <c r="T901" s="309">
        <v>16.909700000000001</v>
      </c>
      <c r="U901" s="309">
        <v>20.0212</v>
      </c>
      <c r="V901" s="309">
        <v>15.5581</v>
      </c>
      <c r="W901" s="309">
        <v>12.6759</v>
      </c>
      <c r="X901" s="309">
        <v>13.3665</v>
      </c>
      <c r="Y901" s="309">
        <v>16.0581</v>
      </c>
      <c r="Z901" s="309">
        <v>18.065799999999999</v>
      </c>
      <c r="AA901" s="309">
        <v>17.980699999999999</v>
      </c>
      <c r="AB901" s="309">
        <v>17.698399999999999</v>
      </c>
      <c r="AC901" s="309">
        <v>18.599699999999999</v>
      </c>
      <c r="AD901" s="309">
        <v>18.6602</v>
      </c>
      <c r="AE901" s="309">
        <v>20.179200000000002</v>
      </c>
      <c r="AF901" s="309">
        <v>12.052</v>
      </c>
      <c r="AG901" s="309">
        <v>16.736899999999999</v>
      </c>
      <c r="AH901" s="309">
        <v>13.3773</v>
      </c>
      <c r="AI901" s="309">
        <v>14.9861</v>
      </c>
      <c r="AJ901" s="309">
        <v>18.5063</v>
      </c>
      <c r="AK901" s="309">
        <v>13.2094</v>
      </c>
      <c r="AL901" s="309">
        <v>13.4595</v>
      </c>
      <c r="AM901" s="309">
        <v>17.913599999999999</v>
      </c>
      <c r="AN901" s="309">
        <v>18.738199999999999</v>
      </c>
      <c r="AO901" s="309">
        <v>17.099299999999999</v>
      </c>
      <c r="AP901" s="309">
        <v>18.4513</v>
      </c>
      <c r="AQ901" s="309">
        <v>14.855700000000001</v>
      </c>
      <c r="AR901" s="309">
        <v>20.8689</v>
      </c>
      <c r="AS901" s="309">
        <v>14.385300000000001</v>
      </c>
      <c r="AT901" s="309">
        <v>15.0549</v>
      </c>
      <c r="AU901" s="309">
        <v>20.877099999999999</v>
      </c>
      <c r="AV901" s="309">
        <v>18.981200000000001</v>
      </c>
      <c r="AW901" s="309">
        <v>15.279199999999999</v>
      </c>
      <c r="AX901" s="309">
        <v>14.992800000000001</v>
      </c>
      <c r="AY901" s="309">
        <v>14.941800000000001</v>
      </c>
      <c r="AZ901" s="309">
        <v>19.769200000000001</v>
      </c>
      <c r="BA901" s="309">
        <v>16.4376</v>
      </c>
      <c r="BB901" s="309">
        <v>9.1296999999999997</v>
      </c>
      <c r="BC901" s="309">
        <v>16.315999999999999</v>
      </c>
      <c r="BD901" s="309">
        <v>17.2897</v>
      </c>
      <c r="BE901" s="309">
        <v>19.069800000000001</v>
      </c>
      <c r="BF901" s="309">
        <v>18.0901</v>
      </c>
      <c r="BG901" s="309">
        <v>19.997699999999998</v>
      </c>
      <c r="BH901" s="309">
        <v>19.928599999999999</v>
      </c>
      <c r="BI901" s="309">
        <v>20.206399999999999</v>
      </c>
      <c r="BJ901" s="309">
        <v>17.974599999999999</v>
      </c>
      <c r="BK901" s="309">
        <v>16.070399999999999</v>
      </c>
    </row>
    <row r="902" spans="1:63" x14ac:dyDescent="0.25">
      <c r="A902" s="306">
        <v>314990</v>
      </c>
      <c r="B902" s="309" t="s">
        <v>69</v>
      </c>
      <c r="C902" s="309">
        <v>20.617799999999999</v>
      </c>
      <c r="D902" s="309">
        <v>14.5906</v>
      </c>
      <c r="E902" s="309">
        <v>15.742599999999999</v>
      </c>
      <c r="F902" s="309">
        <v>11.065200000000001</v>
      </c>
      <c r="G902" s="309">
        <v>12.4185</v>
      </c>
      <c r="H902" s="309">
        <v>14.042299999999999</v>
      </c>
      <c r="I902" s="309">
        <v>14.2516</v>
      </c>
      <c r="J902" s="309">
        <v>9.8787000000000003</v>
      </c>
      <c r="K902" s="309">
        <v>0</v>
      </c>
      <c r="L902" s="309">
        <v>8.2294</v>
      </c>
      <c r="M902" s="309">
        <v>13.6541</v>
      </c>
      <c r="N902" s="309">
        <v>15.765000000000001</v>
      </c>
      <c r="O902" s="309">
        <v>16.367000000000001</v>
      </c>
      <c r="P902" s="309">
        <v>15.4977</v>
      </c>
      <c r="Q902" s="309">
        <v>15.182600000000001</v>
      </c>
      <c r="R902" s="309">
        <v>13.995200000000001</v>
      </c>
      <c r="S902" s="309">
        <v>13.8926</v>
      </c>
      <c r="T902" s="309">
        <v>13.1317</v>
      </c>
      <c r="U902" s="309">
        <v>13.406499999999999</v>
      </c>
      <c r="V902" s="309">
        <v>13.9572</v>
      </c>
      <c r="W902" s="309">
        <v>11.322699999999999</v>
      </c>
      <c r="X902" s="309">
        <v>11.736700000000001</v>
      </c>
      <c r="Y902" s="309">
        <v>13.836399999999999</v>
      </c>
      <c r="Z902" s="309">
        <v>14.157299999999999</v>
      </c>
      <c r="AA902" s="309">
        <v>13.065099999999999</v>
      </c>
      <c r="AB902" s="309">
        <v>14.3332</v>
      </c>
      <c r="AC902" s="309">
        <v>16.184899999999999</v>
      </c>
      <c r="AD902" s="309">
        <v>16.369399999999999</v>
      </c>
      <c r="AE902" s="309">
        <v>15.7384</v>
      </c>
      <c r="AF902" s="309">
        <v>13.803599999999999</v>
      </c>
      <c r="AG902" s="309">
        <v>14.727</v>
      </c>
      <c r="AH902" s="309">
        <v>15.033300000000001</v>
      </c>
      <c r="AI902" s="309">
        <v>11.1997</v>
      </c>
      <c r="AJ902" s="309">
        <v>12.305899999999999</v>
      </c>
      <c r="AK902" s="309">
        <v>13.474600000000001</v>
      </c>
      <c r="AL902" s="309">
        <v>9.4398999999999997</v>
      </c>
      <c r="AM902" s="309">
        <v>16.768699999999999</v>
      </c>
      <c r="AN902" s="309">
        <v>16.800599999999999</v>
      </c>
      <c r="AO902" s="309">
        <v>14.2629</v>
      </c>
      <c r="AP902" s="309">
        <v>14.309100000000001</v>
      </c>
      <c r="AQ902" s="309">
        <v>11.921200000000001</v>
      </c>
      <c r="AR902" s="309">
        <v>16.7454</v>
      </c>
      <c r="AS902" s="309">
        <v>14.824299999999999</v>
      </c>
      <c r="AT902" s="309">
        <v>15.044499999999999</v>
      </c>
      <c r="AU902" s="309">
        <v>16.403600000000001</v>
      </c>
      <c r="AV902" s="309">
        <v>17.768999999999998</v>
      </c>
      <c r="AW902" s="309">
        <v>14.8925</v>
      </c>
      <c r="AX902" s="309">
        <v>15.587</v>
      </c>
      <c r="AY902" s="309">
        <v>12.629</v>
      </c>
      <c r="AZ902" s="309">
        <v>14.315099999999999</v>
      </c>
      <c r="BA902" s="309">
        <v>14.4505</v>
      </c>
      <c r="BB902" s="309">
        <v>8.3439999999999994</v>
      </c>
      <c r="BC902" s="309">
        <v>13.8246</v>
      </c>
      <c r="BD902" s="309">
        <v>12.919700000000001</v>
      </c>
      <c r="BE902" s="309">
        <v>15.849399999999999</v>
      </c>
      <c r="BF902" s="309">
        <v>14.1112</v>
      </c>
      <c r="BG902" s="309">
        <v>17.203700000000001</v>
      </c>
      <c r="BH902" s="309">
        <v>17.223099999999999</v>
      </c>
      <c r="BI902" s="309">
        <v>15.8025</v>
      </c>
      <c r="BJ902" s="309">
        <v>14.6029</v>
      </c>
      <c r="BK902" s="309">
        <v>14.3399</v>
      </c>
    </row>
    <row r="903" spans="1:63" x14ac:dyDescent="0.25">
      <c r="A903" s="306">
        <v>315100</v>
      </c>
      <c r="B903" s="309" t="s">
        <v>70</v>
      </c>
      <c r="C903" s="309">
        <v>22.2407</v>
      </c>
      <c r="D903" s="309">
        <v>0</v>
      </c>
      <c r="E903" s="309">
        <v>18.6755</v>
      </c>
      <c r="F903" s="309">
        <v>15.883699999999999</v>
      </c>
      <c r="G903" s="309">
        <v>15.285500000000001</v>
      </c>
      <c r="H903" s="309">
        <v>15.4057</v>
      </c>
      <c r="I903" s="309">
        <v>14.3101</v>
      </c>
      <c r="J903" s="309">
        <v>0</v>
      </c>
      <c r="K903" s="309">
        <v>0</v>
      </c>
      <c r="L903" s="309">
        <v>0</v>
      </c>
      <c r="M903" s="309">
        <v>11.9259</v>
      </c>
      <c r="N903" s="309">
        <v>15.091100000000001</v>
      </c>
      <c r="O903" s="309">
        <v>0</v>
      </c>
      <c r="P903" s="309">
        <v>11.9718</v>
      </c>
      <c r="Q903" s="309">
        <v>0</v>
      </c>
      <c r="R903" s="309">
        <v>14.0914</v>
      </c>
      <c r="S903" s="309">
        <v>15.491300000000001</v>
      </c>
      <c r="T903" s="309">
        <v>11.609500000000001</v>
      </c>
      <c r="U903" s="309">
        <v>15.0915</v>
      </c>
      <c r="V903" s="309">
        <v>13.395200000000001</v>
      </c>
      <c r="W903" s="309">
        <v>10.293200000000001</v>
      </c>
      <c r="X903" s="309">
        <v>0</v>
      </c>
      <c r="Y903" s="309">
        <v>0</v>
      </c>
      <c r="Z903" s="309">
        <v>14.5877</v>
      </c>
      <c r="AA903" s="309">
        <v>18.004799999999999</v>
      </c>
      <c r="AB903" s="309">
        <v>16.380500000000001</v>
      </c>
      <c r="AC903" s="309">
        <v>19.0533</v>
      </c>
      <c r="AD903" s="309">
        <v>0</v>
      </c>
      <c r="AE903" s="309">
        <v>15.460599999999999</v>
      </c>
      <c r="AF903" s="309">
        <v>0</v>
      </c>
      <c r="AG903" s="309">
        <v>0</v>
      </c>
      <c r="AH903" s="309">
        <v>0</v>
      </c>
      <c r="AI903" s="309">
        <v>11.409000000000001</v>
      </c>
      <c r="AJ903" s="309">
        <v>7.6025999999999998</v>
      </c>
      <c r="AK903" s="309">
        <v>0</v>
      </c>
      <c r="AL903" s="309">
        <v>11.3521</v>
      </c>
      <c r="AM903" s="309">
        <v>20.354199999999999</v>
      </c>
      <c r="AN903" s="309">
        <v>0</v>
      </c>
      <c r="AO903" s="309">
        <v>18.4453</v>
      </c>
      <c r="AP903" s="309">
        <v>17.663900000000002</v>
      </c>
      <c r="AQ903" s="309">
        <v>16.639399999999998</v>
      </c>
      <c r="AR903" s="309">
        <v>19.959299999999999</v>
      </c>
      <c r="AS903" s="309">
        <v>0</v>
      </c>
      <c r="AT903" s="309">
        <v>18.755700000000001</v>
      </c>
      <c r="AU903" s="309">
        <v>20.0303</v>
      </c>
      <c r="AV903" s="309">
        <v>15.6037</v>
      </c>
      <c r="AW903" s="309">
        <v>17.1068</v>
      </c>
      <c r="AX903" s="309">
        <v>18.2669</v>
      </c>
      <c r="AY903" s="309">
        <v>0</v>
      </c>
      <c r="AZ903" s="309">
        <v>16.942499999999999</v>
      </c>
      <c r="BA903" s="309">
        <v>0</v>
      </c>
      <c r="BB903" s="309">
        <v>0</v>
      </c>
      <c r="BC903" s="309">
        <v>16.274100000000001</v>
      </c>
      <c r="BD903" s="309">
        <v>15.850099999999999</v>
      </c>
      <c r="BE903" s="309">
        <v>17.000599999999999</v>
      </c>
      <c r="BF903" s="309">
        <v>16.083300000000001</v>
      </c>
      <c r="BG903" s="309">
        <v>17.238800000000001</v>
      </c>
      <c r="BH903" s="309">
        <v>19.758700000000001</v>
      </c>
      <c r="BI903" s="309">
        <v>17.882300000000001</v>
      </c>
      <c r="BJ903" s="309">
        <v>14.8233</v>
      </c>
      <c r="BK903" s="309">
        <v>15.631</v>
      </c>
    </row>
    <row r="904" spans="1:63" x14ac:dyDescent="0.25">
      <c r="A904" s="306">
        <v>315210</v>
      </c>
      <c r="B904" s="309" t="s">
        <v>71</v>
      </c>
      <c r="C904" s="309">
        <v>34.441600000000001</v>
      </c>
      <c r="D904" s="309">
        <v>0</v>
      </c>
      <c r="E904" s="309">
        <v>26.751899999999999</v>
      </c>
      <c r="F904" s="309">
        <v>38.9895</v>
      </c>
      <c r="G904" s="309">
        <v>27.974299999999999</v>
      </c>
      <c r="H904" s="309">
        <v>28.0946</v>
      </c>
      <c r="I904" s="309">
        <v>44.822899999999997</v>
      </c>
      <c r="J904" s="309">
        <v>21.538399999999999</v>
      </c>
      <c r="K904" s="309">
        <v>3.8632</v>
      </c>
      <c r="L904" s="309">
        <v>22.514800000000001</v>
      </c>
      <c r="M904" s="309">
        <v>32.433999999999997</v>
      </c>
      <c r="N904" s="309">
        <v>37.218699999999998</v>
      </c>
      <c r="O904" s="309">
        <v>27.718</v>
      </c>
      <c r="P904" s="309">
        <v>38.897599999999997</v>
      </c>
      <c r="Q904" s="309">
        <v>44.540799999999997</v>
      </c>
      <c r="R904" s="309">
        <v>31.4573</v>
      </c>
      <c r="S904" s="309">
        <v>40.914299999999997</v>
      </c>
      <c r="T904" s="309">
        <v>17.9069</v>
      </c>
      <c r="U904" s="309">
        <v>35.336399999999998</v>
      </c>
      <c r="V904" s="309">
        <v>40.046300000000002</v>
      </c>
      <c r="W904" s="309">
        <v>35.476900000000001</v>
      </c>
      <c r="X904" s="309">
        <v>24.169499999999999</v>
      </c>
      <c r="Y904" s="309">
        <v>29.149699999999999</v>
      </c>
      <c r="Z904" s="309">
        <v>39.312800000000003</v>
      </c>
      <c r="AA904" s="309">
        <v>40.7408</v>
      </c>
      <c r="AB904" s="309">
        <v>19.476500000000001</v>
      </c>
      <c r="AC904" s="309">
        <v>36.713099999999997</v>
      </c>
      <c r="AD904" s="309">
        <v>0</v>
      </c>
      <c r="AE904" s="309">
        <v>31.388100000000001</v>
      </c>
      <c r="AF904" s="309">
        <v>11.736000000000001</v>
      </c>
      <c r="AG904" s="309">
        <v>21.722200000000001</v>
      </c>
      <c r="AH904" s="309">
        <v>24.8659</v>
      </c>
      <c r="AI904" s="309">
        <v>24.204699999999999</v>
      </c>
      <c r="AJ904" s="309">
        <v>15.2471</v>
      </c>
      <c r="AK904" s="309">
        <v>26.695</v>
      </c>
      <c r="AL904" s="309">
        <v>21.413799999999998</v>
      </c>
      <c r="AM904" s="309">
        <v>34.759799999999998</v>
      </c>
      <c r="AN904" s="309">
        <v>31.213200000000001</v>
      </c>
      <c r="AO904" s="309">
        <v>48.020699999999998</v>
      </c>
      <c r="AP904" s="309">
        <v>25.603899999999999</v>
      </c>
      <c r="AQ904" s="309">
        <v>43.052100000000003</v>
      </c>
      <c r="AR904" s="309">
        <v>34.084299999999999</v>
      </c>
      <c r="AS904" s="309">
        <v>32.0045</v>
      </c>
      <c r="AT904" s="309">
        <v>25.428899999999999</v>
      </c>
      <c r="AU904" s="309">
        <v>29.8125</v>
      </c>
      <c r="AV904" s="309">
        <v>31.2608</v>
      </c>
      <c r="AW904" s="309">
        <v>38.324599999999997</v>
      </c>
      <c r="AX904" s="309">
        <v>25.0822</v>
      </c>
      <c r="AY904" s="309">
        <v>36.513199999999998</v>
      </c>
      <c r="AZ904" s="309">
        <v>48.347999999999999</v>
      </c>
      <c r="BA904" s="309">
        <v>43.076799999999999</v>
      </c>
      <c r="BB904" s="309">
        <v>0</v>
      </c>
      <c r="BC904" s="309">
        <v>32.391599999999997</v>
      </c>
      <c r="BD904" s="309">
        <v>27.565200000000001</v>
      </c>
      <c r="BE904" s="309">
        <v>38.496200000000002</v>
      </c>
      <c r="BF904" s="309">
        <v>25.125299999999999</v>
      </c>
      <c r="BG904" s="309">
        <v>36.003100000000003</v>
      </c>
      <c r="BH904" s="309">
        <v>28.818899999999999</v>
      </c>
      <c r="BI904" s="309">
        <v>31.264700000000001</v>
      </c>
      <c r="BJ904" s="309">
        <v>34.5839</v>
      </c>
      <c r="BK904" s="309">
        <v>28.758500000000002</v>
      </c>
    </row>
    <row r="905" spans="1:63" x14ac:dyDescent="0.25">
      <c r="A905" s="306">
        <v>315220</v>
      </c>
      <c r="B905" s="309" t="s">
        <v>72</v>
      </c>
      <c r="C905" s="309">
        <v>18.340800000000002</v>
      </c>
      <c r="D905" s="309">
        <v>0</v>
      </c>
      <c r="E905" s="309">
        <v>15.327299999999999</v>
      </c>
      <c r="F905" s="309">
        <v>12.8249</v>
      </c>
      <c r="G905" s="309">
        <v>10.437900000000001</v>
      </c>
      <c r="H905" s="309">
        <v>12.0063</v>
      </c>
      <c r="I905" s="309">
        <v>12.5725</v>
      </c>
      <c r="J905" s="309">
        <v>10.2439</v>
      </c>
      <c r="K905" s="309">
        <v>1.3915999999999999</v>
      </c>
      <c r="L905" s="309">
        <v>0</v>
      </c>
      <c r="M905" s="309">
        <v>12.2209</v>
      </c>
      <c r="N905" s="309">
        <v>14.2033</v>
      </c>
      <c r="O905" s="309">
        <v>10.213200000000001</v>
      </c>
      <c r="P905" s="309">
        <v>11.0633</v>
      </c>
      <c r="Q905" s="309">
        <v>10.0563</v>
      </c>
      <c r="R905" s="309">
        <v>12.347799999999999</v>
      </c>
      <c r="S905" s="309">
        <v>10.9312</v>
      </c>
      <c r="T905" s="309">
        <v>10.097300000000001</v>
      </c>
      <c r="U905" s="309">
        <v>11.718999999999999</v>
      </c>
      <c r="V905" s="309">
        <v>14.0517</v>
      </c>
      <c r="W905" s="309">
        <v>12.101100000000001</v>
      </c>
      <c r="X905" s="309">
        <v>9.8506</v>
      </c>
      <c r="Y905" s="309">
        <v>15.6342</v>
      </c>
      <c r="Z905" s="309">
        <v>10.206799999999999</v>
      </c>
      <c r="AA905" s="309">
        <v>13.5197</v>
      </c>
      <c r="AB905" s="309">
        <v>14.3741</v>
      </c>
      <c r="AC905" s="309">
        <v>12.401400000000001</v>
      </c>
      <c r="AD905" s="309">
        <v>0</v>
      </c>
      <c r="AE905" s="309">
        <v>15.0505</v>
      </c>
      <c r="AF905" s="309">
        <v>0</v>
      </c>
      <c r="AG905" s="309">
        <v>7.7008999999999999</v>
      </c>
      <c r="AH905" s="309">
        <v>13.6065</v>
      </c>
      <c r="AI905" s="309">
        <v>11.1092</v>
      </c>
      <c r="AJ905" s="309">
        <v>6.4383999999999997</v>
      </c>
      <c r="AK905" s="309">
        <v>9.5313999999999997</v>
      </c>
      <c r="AL905" s="309">
        <v>8.5162999999999993</v>
      </c>
      <c r="AM905" s="309">
        <v>11.777699999999999</v>
      </c>
      <c r="AN905" s="309">
        <v>14.2933</v>
      </c>
      <c r="AO905" s="309">
        <v>12.593</v>
      </c>
      <c r="AP905" s="309">
        <v>13.150499999999999</v>
      </c>
      <c r="AQ905" s="309">
        <v>15.177099999999999</v>
      </c>
      <c r="AR905" s="309">
        <v>13.8764</v>
      </c>
      <c r="AS905" s="309">
        <v>0</v>
      </c>
      <c r="AT905" s="309">
        <v>12.7805</v>
      </c>
      <c r="AU905" s="309">
        <v>14.962999999999999</v>
      </c>
      <c r="AV905" s="309">
        <v>13.102399999999999</v>
      </c>
      <c r="AW905" s="309">
        <v>12.750299999999999</v>
      </c>
      <c r="AX905" s="309">
        <v>13.928000000000001</v>
      </c>
      <c r="AY905" s="309">
        <v>12.089399999999999</v>
      </c>
      <c r="AZ905" s="309">
        <v>14.6113</v>
      </c>
      <c r="BA905" s="309">
        <v>12.3262</v>
      </c>
      <c r="BB905" s="309">
        <v>8.5496999999999996</v>
      </c>
      <c r="BC905" s="309">
        <v>14.3649</v>
      </c>
      <c r="BD905" s="309">
        <v>12.507</v>
      </c>
      <c r="BE905" s="309">
        <v>12.3666</v>
      </c>
      <c r="BF905" s="309">
        <v>13.9274</v>
      </c>
      <c r="BG905" s="309">
        <v>15.8202</v>
      </c>
      <c r="BH905" s="309">
        <v>15.1342</v>
      </c>
      <c r="BI905" s="309">
        <v>15.1578</v>
      </c>
      <c r="BJ905" s="309">
        <v>11.887</v>
      </c>
      <c r="BK905" s="309">
        <v>12.6988</v>
      </c>
    </row>
    <row r="906" spans="1:63" x14ac:dyDescent="0.25">
      <c r="A906" s="306">
        <v>315230</v>
      </c>
      <c r="B906" s="309" t="s">
        <v>73</v>
      </c>
      <c r="C906" s="309">
        <v>18.598299999999998</v>
      </c>
      <c r="D906" s="309">
        <v>0</v>
      </c>
      <c r="E906" s="309">
        <v>14.4177</v>
      </c>
      <c r="F906" s="309">
        <v>16.5764</v>
      </c>
      <c r="G906" s="309">
        <v>9.8781999999999996</v>
      </c>
      <c r="H906" s="309">
        <v>12.911</v>
      </c>
      <c r="I906" s="309">
        <v>16.813400000000001</v>
      </c>
      <c r="J906" s="309">
        <v>11.2758</v>
      </c>
      <c r="K906" s="309">
        <v>1.3052999999999999</v>
      </c>
      <c r="L906" s="309">
        <v>0</v>
      </c>
      <c r="M906" s="309">
        <v>13.5824</v>
      </c>
      <c r="N906" s="309">
        <v>13.4353</v>
      </c>
      <c r="O906" s="309">
        <v>18.0579</v>
      </c>
      <c r="P906" s="309">
        <v>13.5372</v>
      </c>
      <c r="Q906" s="309">
        <v>8.8437000000000001</v>
      </c>
      <c r="R906" s="309">
        <v>11.936500000000001</v>
      </c>
      <c r="S906" s="309">
        <v>12.3271</v>
      </c>
      <c r="T906" s="309">
        <v>8.6572999999999993</v>
      </c>
      <c r="U906" s="309">
        <v>9.1743000000000006</v>
      </c>
      <c r="V906" s="309">
        <v>17.282900000000001</v>
      </c>
      <c r="W906" s="309">
        <v>10.9651</v>
      </c>
      <c r="X906" s="309">
        <v>12.4818</v>
      </c>
      <c r="Y906" s="309">
        <v>12.527200000000001</v>
      </c>
      <c r="Z906" s="309">
        <v>10.423500000000001</v>
      </c>
      <c r="AA906" s="309">
        <v>17.226099999999999</v>
      </c>
      <c r="AB906" s="309">
        <v>12.0571</v>
      </c>
      <c r="AC906" s="309">
        <v>14.8607</v>
      </c>
      <c r="AD906" s="309">
        <v>0</v>
      </c>
      <c r="AE906" s="309">
        <v>16.179600000000001</v>
      </c>
      <c r="AF906" s="309">
        <v>4.5045000000000002</v>
      </c>
      <c r="AG906" s="309">
        <v>12.0136</v>
      </c>
      <c r="AH906" s="309">
        <v>12.073499999999999</v>
      </c>
      <c r="AI906" s="309">
        <v>9.8945000000000007</v>
      </c>
      <c r="AJ906" s="309">
        <v>6.5698999999999996</v>
      </c>
      <c r="AK906" s="309">
        <v>8.8613999999999997</v>
      </c>
      <c r="AL906" s="309">
        <v>7.8883000000000001</v>
      </c>
      <c r="AM906" s="309">
        <v>16.094799999999999</v>
      </c>
      <c r="AN906" s="309">
        <v>15.067600000000001</v>
      </c>
      <c r="AO906" s="309">
        <v>18.055700000000002</v>
      </c>
      <c r="AP906" s="309">
        <v>13.539</v>
      </c>
      <c r="AQ906" s="309">
        <v>0</v>
      </c>
      <c r="AR906" s="309">
        <v>17.962199999999999</v>
      </c>
      <c r="AS906" s="309">
        <v>0</v>
      </c>
      <c r="AT906" s="309">
        <v>17.111999999999998</v>
      </c>
      <c r="AU906" s="309">
        <v>17.777699999999999</v>
      </c>
      <c r="AV906" s="309">
        <v>12.6838</v>
      </c>
      <c r="AW906" s="309">
        <v>14.8119</v>
      </c>
      <c r="AX906" s="309">
        <v>16.8858</v>
      </c>
      <c r="AY906" s="309">
        <v>12.780099999999999</v>
      </c>
      <c r="AZ906" s="309">
        <v>13.330500000000001</v>
      </c>
      <c r="BA906" s="309">
        <v>0</v>
      </c>
      <c r="BB906" s="309">
        <v>14.493600000000001</v>
      </c>
      <c r="BC906" s="309">
        <v>13.2783</v>
      </c>
      <c r="BD906" s="309">
        <v>11.6539</v>
      </c>
      <c r="BE906" s="309">
        <v>13.2803</v>
      </c>
      <c r="BF906" s="309">
        <v>11.737500000000001</v>
      </c>
      <c r="BG906" s="309">
        <v>16.9373</v>
      </c>
      <c r="BH906" s="309">
        <v>16.320599999999999</v>
      </c>
      <c r="BI906" s="309">
        <v>18.067</v>
      </c>
      <c r="BJ906" s="309">
        <v>12.283899999999999</v>
      </c>
      <c r="BK906" s="309">
        <v>13.4038</v>
      </c>
    </row>
    <row r="907" spans="1:63" x14ac:dyDescent="0.25">
      <c r="A907" s="306">
        <v>315290</v>
      </c>
      <c r="B907" s="309" t="s">
        <v>74</v>
      </c>
      <c r="C907" s="309">
        <v>24.872699999999998</v>
      </c>
      <c r="D907" s="309">
        <v>0</v>
      </c>
      <c r="E907" s="309">
        <v>22.473800000000001</v>
      </c>
      <c r="F907" s="309">
        <v>0</v>
      </c>
      <c r="G907" s="309">
        <v>28.444900000000001</v>
      </c>
      <c r="H907" s="309">
        <v>15.532299999999999</v>
      </c>
      <c r="I907" s="309">
        <v>23.936900000000001</v>
      </c>
      <c r="J907" s="309">
        <v>11.9406</v>
      </c>
      <c r="K907" s="309">
        <v>0</v>
      </c>
      <c r="L907" s="309">
        <v>0</v>
      </c>
      <c r="M907" s="309">
        <v>21.713100000000001</v>
      </c>
      <c r="N907" s="309">
        <v>20.454699999999999</v>
      </c>
      <c r="O907" s="309">
        <v>16.3264</v>
      </c>
      <c r="P907" s="309">
        <v>18.057300000000001</v>
      </c>
      <c r="Q907" s="309">
        <v>15.8499</v>
      </c>
      <c r="R907" s="309">
        <v>21.4695</v>
      </c>
      <c r="S907" s="309">
        <v>21.755800000000001</v>
      </c>
      <c r="T907" s="309">
        <v>18.665800000000001</v>
      </c>
      <c r="U907" s="309">
        <v>26.951899999999998</v>
      </c>
      <c r="V907" s="309">
        <v>22.495100000000001</v>
      </c>
      <c r="W907" s="309">
        <v>18.240100000000002</v>
      </c>
      <c r="X907" s="309">
        <v>14.4331</v>
      </c>
      <c r="Y907" s="309">
        <v>22.3947</v>
      </c>
      <c r="Z907" s="309">
        <v>30.029399999999999</v>
      </c>
      <c r="AA907" s="309">
        <v>23.224699999999999</v>
      </c>
      <c r="AB907" s="309">
        <v>22.204499999999999</v>
      </c>
      <c r="AC907" s="309">
        <v>19.492000000000001</v>
      </c>
      <c r="AD907" s="309">
        <v>0</v>
      </c>
      <c r="AE907" s="309">
        <v>17.566700000000001</v>
      </c>
      <c r="AF907" s="309">
        <v>0</v>
      </c>
      <c r="AG907" s="309">
        <v>19.734999999999999</v>
      </c>
      <c r="AH907" s="309">
        <v>15.573499999999999</v>
      </c>
      <c r="AI907" s="309">
        <v>14.3322</v>
      </c>
      <c r="AJ907" s="309">
        <v>9.7654999999999994</v>
      </c>
      <c r="AK907" s="309">
        <v>15.9687</v>
      </c>
      <c r="AL907" s="309">
        <v>11.794</v>
      </c>
      <c r="AM907" s="309">
        <v>25.419</v>
      </c>
      <c r="AN907" s="309">
        <v>23.535699999999999</v>
      </c>
      <c r="AO907" s="309">
        <v>28.500800000000002</v>
      </c>
      <c r="AP907" s="309">
        <v>22.3033</v>
      </c>
      <c r="AQ907" s="309">
        <v>30.559000000000001</v>
      </c>
      <c r="AR907" s="309">
        <v>17.972999999999999</v>
      </c>
      <c r="AS907" s="309">
        <v>27.310500000000001</v>
      </c>
      <c r="AT907" s="309">
        <v>22.439299999999999</v>
      </c>
      <c r="AU907" s="309">
        <v>21.681000000000001</v>
      </c>
      <c r="AV907" s="309">
        <v>33.534300000000002</v>
      </c>
      <c r="AW907" s="309">
        <v>21.846399999999999</v>
      </c>
      <c r="AX907" s="309">
        <v>15.242599999999999</v>
      </c>
      <c r="AY907" s="309">
        <v>25.096499999999999</v>
      </c>
      <c r="AZ907" s="309">
        <v>23.858000000000001</v>
      </c>
      <c r="BA907" s="309">
        <v>0</v>
      </c>
      <c r="BB907" s="309">
        <v>0</v>
      </c>
      <c r="BC907" s="309">
        <v>19.401900000000001</v>
      </c>
      <c r="BD907" s="309">
        <v>17.967500000000001</v>
      </c>
      <c r="BE907" s="309">
        <v>23.660599999999999</v>
      </c>
      <c r="BF907" s="309">
        <v>22.710799999999999</v>
      </c>
      <c r="BG907" s="309">
        <v>22.038599999999999</v>
      </c>
      <c r="BH907" s="309">
        <v>23.563099999999999</v>
      </c>
      <c r="BI907" s="309">
        <v>22.579899999999999</v>
      </c>
      <c r="BJ907" s="309">
        <v>25.239599999999999</v>
      </c>
      <c r="BK907" s="309">
        <v>16.215800000000002</v>
      </c>
    </row>
    <row r="908" spans="1:63" x14ac:dyDescent="0.25">
      <c r="A908" s="306">
        <v>315900</v>
      </c>
      <c r="B908" s="309" t="s">
        <v>75</v>
      </c>
      <c r="C908" s="309">
        <v>25.622499999999999</v>
      </c>
      <c r="D908" s="309">
        <v>14.126200000000001</v>
      </c>
      <c r="E908" s="309">
        <v>21.970500000000001</v>
      </c>
      <c r="F908" s="309">
        <v>21.984200000000001</v>
      </c>
      <c r="G908" s="309">
        <v>16.707899999999999</v>
      </c>
      <c r="H908" s="309">
        <v>16.867899999999999</v>
      </c>
      <c r="I908" s="309">
        <v>24.623100000000001</v>
      </c>
      <c r="J908" s="309">
        <v>19.226800000000001</v>
      </c>
      <c r="K908" s="309">
        <v>0</v>
      </c>
      <c r="L908" s="309">
        <v>18.0671</v>
      </c>
      <c r="M908" s="309">
        <v>21.204499999999999</v>
      </c>
      <c r="N908" s="309">
        <v>21.2974</v>
      </c>
      <c r="O908" s="309">
        <v>16.041899999999998</v>
      </c>
      <c r="P908" s="309">
        <v>15.790900000000001</v>
      </c>
      <c r="Q908" s="309">
        <v>22.498999999999999</v>
      </c>
      <c r="R908" s="309">
        <v>16.748000000000001</v>
      </c>
      <c r="S908" s="309">
        <v>23.0397</v>
      </c>
      <c r="T908" s="309">
        <v>18.444299999999998</v>
      </c>
      <c r="U908" s="309">
        <v>17.119</v>
      </c>
      <c r="V908" s="309">
        <v>20.833400000000001</v>
      </c>
      <c r="W908" s="309">
        <v>15.1576</v>
      </c>
      <c r="X908" s="309">
        <v>13.616899999999999</v>
      </c>
      <c r="Y908" s="309">
        <v>17.352</v>
      </c>
      <c r="Z908" s="309">
        <v>17.656099999999999</v>
      </c>
      <c r="AA908" s="309">
        <v>19.4847</v>
      </c>
      <c r="AB908" s="309">
        <v>20.948</v>
      </c>
      <c r="AC908" s="309">
        <v>18.514299999999999</v>
      </c>
      <c r="AD908" s="309">
        <v>23.235299999999999</v>
      </c>
      <c r="AE908" s="309">
        <v>22.975899999999999</v>
      </c>
      <c r="AF908" s="309">
        <v>7.3705999999999996</v>
      </c>
      <c r="AG908" s="309">
        <v>12.7797</v>
      </c>
      <c r="AH908" s="309">
        <v>17.404699999999998</v>
      </c>
      <c r="AI908" s="309">
        <v>16.933399999999999</v>
      </c>
      <c r="AJ908" s="309">
        <v>9.7736000000000001</v>
      </c>
      <c r="AK908" s="309">
        <v>15.392799999999999</v>
      </c>
      <c r="AL908" s="309">
        <v>12.2399</v>
      </c>
      <c r="AM908" s="309">
        <v>18.6235</v>
      </c>
      <c r="AN908" s="309">
        <v>18.807200000000002</v>
      </c>
      <c r="AO908" s="309">
        <v>22.625699999999998</v>
      </c>
      <c r="AP908" s="309">
        <v>18.866099999999999</v>
      </c>
      <c r="AQ908" s="309">
        <v>22.528600000000001</v>
      </c>
      <c r="AR908" s="309">
        <v>18.105</v>
      </c>
      <c r="AS908" s="309">
        <v>13.542</v>
      </c>
      <c r="AT908" s="309">
        <v>23.4895</v>
      </c>
      <c r="AU908" s="309">
        <v>25.377300000000002</v>
      </c>
      <c r="AV908" s="309">
        <v>26.863399999999999</v>
      </c>
      <c r="AW908" s="309">
        <v>21.6403</v>
      </c>
      <c r="AX908" s="309">
        <v>21.832599999999999</v>
      </c>
      <c r="AY908" s="309">
        <v>23.416399999999999</v>
      </c>
      <c r="AZ908" s="309">
        <v>22.9754</v>
      </c>
      <c r="BA908" s="309">
        <v>14.317299999999999</v>
      </c>
      <c r="BB908" s="309">
        <v>14.128500000000001</v>
      </c>
      <c r="BC908" s="309">
        <v>21.09</v>
      </c>
      <c r="BD908" s="309">
        <v>17.7728</v>
      </c>
      <c r="BE908" s="309">
        <v>19.1099</v>
      </c>
      <c r="BF908" s="309">
        <v>19.7271</v>
      </c>
      <c r="BG908" s="309">
        <v>23.828700000000001</v>
      </c>
      <c r="BH908" s="309">
        <v>23.042899999999999</v>
      </c>
      <c r="BI908" s="309">
        <v>25.096599999999999</v>
      </c>
      <c r="BJ908" s="309">
        <v>23.253299999999999</v>
      </c>
      <c r="BK908" s="309">
        <v>17.668199999999999</v>
      </c>
    </row>
    <row r="909" spans="1:63" x14ac:dyDescent="0.25">
      <c r="A909" s="306">
        <v>316100</v>
      </c>
      <c r="B909" s="309" t="s">
        <v>76</v>
      </c>
      <c r="C909" s="309">
        <v>19.831299999999999</v>
      </c>
      <c r="D909" s="309">
        <v>6.2728000000000002</v>
      </c>
      <c r="E909" s="309">
        <v>11.281000000000001</v>
      </c>
      <c r="F909" s="309">
        <v>0</v>
      </c>
      <c r="G909" s="309">
        <v>9.9695</v>
      </c>
      <c r="H909" s="309">
        <v>8.1374999999999993</v>
      </c>
      <c r="I909" s="309">
        <v>18.968399999999999</v>
      </c>
      <c r="J909" s="309">
        <v>0</v>
      </c>
      <c r="K909" s="309">
        <v>0</v>
      </c>
      <c r="L909" s="309">
        <v>0</v>
      </c>
      <c r="M909" s="309">
        <v>9.5934000000000008</v>
      </c>
      <c r="N909" s="309">
        <v>15.597799999999999</v>
      </c>
      <c r="O909" s="309">
        <v>0</v>
      </c>
      <c r="P909" s="309">
        <v>11.9537</v>
      </c>
      <c r="Q909" s="309">
        <v>17.627400000000002</v>
      </c>
      <c r="R909" s="309">
        <v>13.638</v>
      </c>
      <c r="S909" s="309">
        <v>13.132300000000001</v>
      </c>
      <c r="T909" s="309">
        <v>0</v>
      </c>
      <c r="U909" s="309">
        <v>16.370899999999999</v>
      </c>
      <c r="V909" s="309">
        <v>9.2370999999999999</v>
      </c>
      <c r="W909" s="309">
        <v>7.7106000000000003</v>
      </c>
      <c r="X909" s="309">
        <v>5.4695</v>
      </c>
      <c r="Y909" s="309">
        <v>7.7853000000000003</v>
      </c>
      <c r="Z909" s="309">
        <v>10.1838</v>
      </c>
      <c r="AA909" s="309">
        <v>12.7281</v>
      </c>
      <c r="AB909" s="309">
        <v>16.138000000000002</v>
      </c>
      <c r="AC909" s="309">
        <v>13.502599999999999</v>
      </c>
      <c r="AD909" s="309">
        <v>15.3452</v>
      </c>
      <c r="AE909" s="309">
        <v>14.4095</v>
      </c>
      <c r="AF909" s="309">
        <v>0</v>
      </c>
      <c r="AG909" s="309">
        <v>10.861700000000001</v>
      </c>
      <c r="AH909" s="309">
        <v>5.7755000000000001</v>
      </c>
      <c r="AI909" s="309">
        <v>8.7088999999999999</v>
      </c>
      <c r="AJ909" s="309">
        <v>0</v>
      </c>
      <c r="AK909" s="309">
        <v>0</v>
      </c>
      <c r="AL909" s="309">
        <v>5.8765999999999998</v>
      </c>
      <c r="AM909" s="309">
        <v>13.7286</v>
      </c>
      <c r="AN909" s="309">
        <v>15.0885</v>
      </c>
      <c r="AO909" s="309">
        <v>12.918100000000001</v>
      </c>
      <c r="AP909" s="309">
        <v>12.640599999999999</v>
      </c>
      <c r="AQ909" s="309">
        <v>0</v>
      </c>
      <c r="AR909" s="309">
        <v>15.699</v>
      </c>
      <c r="AS909" s="309">
        <v>0</v>
      </c>
      <c r="AT909" s="309">
        <v>13.263199999999999</v>
      </c>
      <c r="AU909" s="309">
        <v>17.474499999999999</v>
      </c>
      <c r="AV909" s="309">
        <v>20.6995</v>
      </c>
      <c r="AW909" s="309">
        <v>0</v>
      </c>
      <c r="AX909" s="309">
        <v>0</v>
      </c>
      <c r="AY909" s="309">
        <v>11.744899999999999</v>
      </c>
      <c r="AZ909" s="309">
        <v>14.8253</v>
      </c>
      <c r="BA909" s="309">
        <v>11.796900000000001</v>
      </c>
      <c r="BB909" s="309">
        <v>7.0547000000000004</v>
      </c>
      <c r="BC909" s="309">
        <v>8.3259000000000007</v>
      </c>
      <c r="BD909" s="309">
        <v>9.2248999999999999</v>
      </c>
      <c r="BE909" s="309">
        <v>14.257899999999999</v>
      </c>
      <c r="BF909" s="309">
        <v>14.388</v>
      </c>
      <c r="BG909" s="309">
        <v>12.4917</v>
      </c>
      <c r="BH909" s="309">
        <v>15.3477</v>
      </c>
      <c r="BI909" s="309">
        <v>17.905100000000001</v>
      </c>
      <c r="BJ909" s="309">
        <v>15.819900000000001</v>
      </c>
      <c r="BK909" s="309">
        <v>8.8712999999999997</v>
      </c>
    </row>
    <row r="910" spans="1:63" x14ac:dyDescent="0.25">
      <c r="A910" s="306">
        <v>316200</v>
      </c>
      <c r="B910" s="309" t="s">
        <v>77</v>
      </c>
      <c r="C910" s="309">
        <v>19.766500000000001</v>
      </c>
      <c r="D910" s="309">
        <v>0</v>
      </c>
      <c r="E910" s="309">
        <v>0</v>
      </c>
      <c r="F910" s="309">
        <v>16.281500000000001</v>
      </c>
      <c r="G910" s="309">
        <v>14.066700000000001</v>
      </c>
      <c r="H910" s="309">
        <v>14.5509</v>
      </c>
      <c r="I910" s="309">
        <v>15.824400000000001</v>
      </c>
      <c r="J910" s="309">
        <v>0</v>
      </c>
      <c r="K910" s="309">
        <v>0</v>
      </c>
      <c r="L910" s="309">
        <v>0</v>
      </c>
      <c r="M910" s="309">
        <v>16.266500000000001</v>
      </c>
      <c r="N910" s="309">
        <v>14.8348</v>
      </c>
      <c r="O910" s="309">
        <v>17.4162</v>
      </c>
      <c r="P910" s="309">
        <v>0</v>
      </c>
      <c r="Q910" s="309">
        <v>13.819900000000001</v>
      </c>
      <c r="R910" s="309">
        <v>13.74</v>
      </c>
      <c r="S910" s="309">
        <v>16.189</v>
      </c>
      <c r="T910" s="309">
        <v>0</v>
      </c>
      <c r="U910" s="309">
        <v>17.234300000000001</v>
      </c>
      <c r="V910" s="309">
        <v>0</v>
      </c>
      <c r="W910" s="309">
        <v>10.916700000000001</v>
      </c>
      <c r="X910" s="309">
        <v>10.371</v>
      </c>
      <c r="Y910" s="309">
        <v>15.457800000000001</v>
      </c>
      <c r="Z910" s="309">
        <v>17.553699999999999</v>
      </c>
      <c r="AA910" s="309">
        <v>10.0505</v>
      </c>
      <c r="AB910" s="309">
        <v>12.951700000000001</v>
      </c>
      <c r="AC910" s="309">
        <v>0</v>
      </c>
      <c r="AD910" s="309">
        <v>17.8109</v>
      </c>
      <c r="AE910" s="309">
        <v>17.2773</v>
      </c>
      <c r="AF910" s="309">
        <v>10.907299999999999</v>
      </c>
      <c r="AG910" s="309">
        <v>12.125299999999999</v>
      </c>
      <c r="AH910" s="309">
        <v>12.341100000000001</v>
      </c>
      <c r="AI910" s="309">
        <v>11.2646</v>
      </c>
      <c r="AJ910" s="309">
        <v>0</v>
      </c>
      <c r="AK910" s="309">
        <v>0</v>
      </c>
      <c r="AL910" s="309">
        <v>9.0126000000000008</v>
      </c>
      <c r="AM910" s="309">
        <v>15.693899999999999</v>
      </c>
      <c r="AN910" s="309">
        <v>17.299600000000002</v>
      </c>
      <c r="AO910" s="309">
        <v>11.898099999999999</v>
      </c>
      <c r="AP910" s="309">
        <v>13.981400000000001</v>
      </c>
      <c r="AQ910" s="309">
        <v>0</v>
      </c>
      <c r="AR910" s="309">
        <v>20.350100000000001</v>
      </c>
      <c r="AS910" s="309">
        <v>0</v>
      </c>
      <c r="AT910" s="309">
        <v>18.242699999999999</v>
      </c>
      <c r="AU910" s="309">
        <v>17.735299999999999</v>
      </c>
      <c r="AV910" s="309">
        <v>0</v>
      </c>
      <c r="AW910" s="309">
        <v>18.204599999999999</v>
      </c>
      <c r="AX910" s="309">
        <v>0</v>
      </c>
      <c r="AY910" s="309">
        <v>13.702</v>
      </c>
      <c r="AZ910" s="309">
        <v>15.6652</v>
      </c>
      <c r="BA910" s="309">
        <v>0</v>
      </c>
      <c r="BB910" s="309">
        <v>0</v>
      </c>
      <c r="BC910" s="309">
        <v>14.2607</v>
      </c>
      <c r="BD910" s="309">
        <v>12.836499999999999</v>
      </c>
      <c r="BE910" s="309">
        <v>16.433700000000002</v>
      </c>
      <c r="BF910" s="309">
        <v>11.9574</v>
      </c>
      <c r="BG910" s="309">
        <v>18.2193</v>
      </c>
      <c r="BH910" s="309">
        <v>19.112300000000001</v>
      </c>
      <c r="BI910" s="309">
        <v>18.4833</v>
      </c>
      <c r="BJ910" s="309">
        <v>15.7279</v>
      </c>
      <c r="BK910" s="309">
        <v>14.3102</v>
      </c>
    </row>
    <row r="911" spans="1:63" x14ac:dyDescent="0.25">
      <c r="A911" s="306">
        <v>316900</v>
      </c>
      <c r="B911" s="309" t="s">
        <v>78</v>
      </c>
      <c r="C911" s="309">
        <v>20.628599999999999</v>
      </c>
      <c r="D911" s="309">
        <v>0</v>
      </c>
      <c r="E911" s="309">
        <v>19.305199999999999</v>
      </c>
      <c r="F911" s="309">
        <v>14.116199999999999</v>
      </c>
      <c r="G911" s="309">
        <v>15.292899999999999</v>
      </c>
      <c r="H911" s="309">
        <v>14.581899999999999</v>
      </c>
      <c r="I911" s="309">
        <v>17.192299999999999</v>
      </c>
      <c r="J911" s="309">
        <v>9.0960999999999999</v>
      </c>
      <c r="K911" s="309">
        <v>0</v>
      </c>
      <c r="L911" s="309">
        <v>10.767099999999999</v>
      </c>
      <c r="M911" s="309">
        <v>14.4687</v>
      </c>
      <c r="N911" s="309">
        <v>20.869499999999999</v>
      </c>
      <c r="O911" s="309">
        <v>0</v>
      </c>
      <c r="P911" s="309">
        <v>16.767900000000001</v>
      </c>
      <c r="Q911" s="309">
        <v>21.311199999999999</v>
      </c>
      <c r="R911" s="309">
        <v>15.0258</v>
      </c>
      <c r="S911" s="309">
        <v>12.1638</v>
      </c>
      <c r="T911" s="309">
        <v>13.108000000000001</v>
      </c>
      <c r="U911" s="309">
        <v>18.560300000000002</v>
      </c>
      <c r="V911" s="309">
        <v>18.199400000000001</v>
      </c>
      <c r="W911" s="309">
        <v>12.413500000000001</v>
      </c>
      <c r="X911" s="309">
        <v>10.4566</v>
      </c>
      <c r="Y911" s="309">
        <v>16.242699999999999</v>
      </c>
      <c r="Z911" s="309">
        <v>12.253</v>
      </c>
      <c r="AA911" s="309">
        <v>14.777900000000001</v>
      </c>
      <c r="AB911" s="309">
        <v>19.870999999999999</v>
      </c>
      <c r="AC911" s="309">
        <v>20.931999999999999</v>
      </c>
      <c r="AD911" s="309">
        <v>13.251200000000001</v>
      </c>
      <c r="AE911" s="309">
        <v>16.5426</v>
      </c>
      <c r="AF911" s="309">
        <v>20.650300000000001</v>
      </c>
      <c r="AG911" s="309">
        <v>9.2523999999999997</v>
      </c>
      <c r="AH911" s="309">
        <v>12.834199999999999</v>
      </c>
      <c r="AI911" s="309">
        <v>10.6531</v>
      </c>
      <c r="AJ911" s="309">
        <v>19.3826</v>
      </c>
      <c r="AK911" s="309">
        <v>27.405999999999999</v>
      </c>
      <c r="AL911" s="309">
        <v>10.779400000000001</v>
      </c>
      <c r="AM911" s="309">
        <v>18.570599999999999</v>
      </c>
      <c r="AN911" s="309">
        <v>14.1273</v>
      </c>
      <c r="AO911" s="309">
        <v>16.846699999999998</v>
      </c>
      <c r="AP911" s="309">
        <v>15.272</v>
      </c>
      <c r="AQ911" s="309">
        <v>15.669499999999999</v>
      </c>
      <c r="AR911" s="309">
        <v>22.058800000000002</v>
      </c>
      <c r="AS911" s="309">
        <v>16.217500000000001</v>
      </c>
      <c r="AT911" s="309">
        <v>15.4063</v>
      </c>
      <c r="AU911" s="309">
        <v>19.114699999999999</v>
      </c>
      <c r="AV911" s="309">
        <v>26.106200000000001</v>
      </c>
      <c r="AW911" s="309">
        <v>17.009599999999999</v>
      </c>
      <c r="AX911" s="309">
        <v>10.4666</v>
      </c>
      <c r="AY911" s="309">
        <v>13.5411</v>
      </c>
      <c r="AZ911" s="309">
        <v>17.206299999999999</v>
      </c>
      <c r="BA911" s="309">
        <v>0</v>
      </c>
      <c r="BB911" s="309">
        <v>17.416499999999999</v>
      </c>
      <c r="BC911" s="309">
        <v>14.1579</v>
      </c>
      <c r="BD911" s="309">
        <v>13.804500000000001</v>
      </c>
      <c r="BE911" s="309">
        <v>16.3018</v>
      </c>
      <c r="BF911" s="309">
        <v>17.6554</v>
      </c>
      <c r="BG911" s="309">
        <v>17.241800000000001</v>
      </c>
      <c r="BH911" s="309">
        <v>18.559000000000001</v>
      </c>
      <c r="BI911" s="309">
        <v>18.446200000000001</v>
      </c>
      <c r="BJ911" s="309">
        <v>19.1419</v>
      </c>
      <c r="BK911" s="309">
        <v>14.9131</v>
      </c>
    </row>
    <row r="912" spans="1:63" x14ac:dyDescent="0.25">
      <c r="A912" s="306">
        <v>321100</v>
      </c>
      <c r="B912" s="309" t="s">
        <v>79</v>
      </c>
      <c r="C912" s="309">
        <v>20.752700000000001</v>
      </c>
      <c r="D912" s="309">
        <v>11.599600000000001</v>
      </c>
      <c r="E912" s="309">
        <v>16.398399999999999</v>
      </c>
      <c r="F912" s="309">
        <v>15.325900000000001</v>
      </c>
      <c r="G912" s="309">
        <v>8.8934999999999995</v>
      </c>
      <c r="H912" s="309">
        <v>9.1629000000000005</v>
      </c>
      <c r="I912" s="309">
        <v>9.6338000000000008</v>
      </c>
      <c r="J912" s="309">
        <v>7.7028999999999996</v>
      </c>
      <c r="K912" s="309">
        <v>0</v>
      </c>
      <c r="L912" s="309">
        <v>5.9509999999999996</v>
      </c>
      <c r="M912" s="309">
        <v>13.630800000000001</v>
      </c>
      <c r="N912" s="309">
        <v>16.564699999999998</v>
      </c>
      <c r="O912" s="309">
        <v>9.1580999999999992</v>
      </c>
      <c r="P912" s="309">
        <v>7.6845999999999997</v>
      </c>
      <c r="Q912" s="309">
        <v>13.880599999999999</v>
      </c>
      <c r="R912" s="309">
        <v>8.5596999999999994</v>
      </c>
      <c r="S912" s="309">
        <v>10.1051</v>
      </c>
      <c r="T912" s="309">
        <v>8.3475999999999999</v>
      </c>
      <c r="U912" s="309">
        <v>12.4879</v>
      </c>
      <c r="V912" s="309">
        <v>14.8323</v>
      </c>
      <c r="W912" s="309">
        <v>7.2331000000000003</v>
      </c>
      <c r="X912" s="309">
        <v>7.2472000000000003</v>
      </c>
      <c r="Y912" s="309">
        <v>16.485900000000001</v>
      </c>
      <c r="Z912" s="309">
        <v>13.9777</v>
      </c>
      <c r="AA912" s="309">
        <v>11.7631</v>
      </c>
      <c r="AB912" s="309">
        <v>10.859</v>
      </c>
      <c r="AC912" s="309">
        <v>15.401400000000001</v>
      </c>
      <c r="AD912" s="309">
        <v>16.463899999999999</v>
      </c>
      <c r="AE912" s="309">
        <v>15.5962</v>
      </c>
      <c r="AF912" s="309">
        <v>5.4641000000000002</v>
      </c>
      <c r="AG912" s="309">
        <v>8.0569000000000006</v>
      </c>
      <c r="AH912" s="309">
        <v>12.008800000000001</v>
      </c>
      <c r="AI912" s="309">
        <v>5.8597000000000001</v>
      </c>
      <c r="AJ912" s="309">
        <v>9.7544000000000004</v>
      </c>
      <c r="AK912" s="309">
        <v>6.6020000000000003</v>
      </c>
      <c r="AL912" s="309">
        <v>7.3198999999999996</v>
      </c>
      <c r="AM912" s="309">
        <v>10.255699999999999</v>
      </c>
      <c r="AN912" s="309">
        <v>9.4410000000000007</v>
      </c>
      <c r="AO912" s="309">
        <v>14.952999999999999</v>
      </c>
      <c r="AP912" s="309">
        <v>10.8553</v>
      </c>
      <c r="AQ912" s="309">
        <v>6.6755000000000004</v>
      </c>
      <c r="AR912" s="309">
        <v>16.979099999999999</v>
      </c>
      <c r="AS912" s="309">
        <v>10.3368</v>
      </c>
      <c r="AT912" s="309">
        <v>11.8599</v>
      </c>
      <c r="AU912" s="309">
        <v>11.2387</v>
      </c>
      <c r="AV912" s="309">
        <v>11.8405</v>
      </c>
      <c r="AW912" s="309">
        <v>12.557600000000001</v>
      </c>
      <c r="AX912" s="309">
        <v>15.885</v>
      </c>
      <c r="AY912" s="309">
        <v>14.327999999999999</v>
      </c>
      <c r="AZ912" s="309">
        <v>13.7387</v>
      </c>
      <c r="BA912" s="309">
        <v>14.0617</v>
      </c>
      <c r="BB912" s="309">
        <v>9.4069000000000003</v>
      </c>
      <c r="BC912" s="309">
        <v>13.526400000000001</v>
      </c>
      <c r="BD912" s="309">
        <v>9.3251000000000008</v>
      </c>
      <c r="BE912" s="309">
        <v>11.4193</v>
      </c>
      <c r="BF912" s="309">
        <v>10.5223</v>
      </c>
      <c r="BG912" s="309">
        <v>17.847000000000001</v>
      </c>
      <c r="BH912" s="309">
        <v>17.624099999999999</v>
      </c>
      <c r="BI912" s="309">
        <v>17.1402</v>
      </c>
      <c r="BJ912" s="309">
        <v>13.5985</v>
      </c>
      <c r="BK912" s="309">
        <v>14.87</v>
      </c>
    </row>
    <row r="913" spans="1:63" x14ac:dyDescent="0.25">
      <c r="A913" s="306">
        <v>321219</v>
      </c>
      <c r="B913" s="309" t="s">
        <v>82</v>
      </c>
      <c r="C913" s="309">
        <v>16.466699999999999</v>
      </c>
      <c r="D913" s="309">
        <v>0</v>
      </c>
      <c r="E913" s="309">
        <v>12.389900000000001</v>
      </c>
      <c r="F913" s="309">
        <v>11.081899999999999</v>
      </c>
      <c r="G913" s="309">
        <v>8.9086999999999996</v>
      </c>
      <c r="H913" s="309">
        <v>8.6010000000000009</v>
      </c>
      <c r="I913" s="309">
        <v>8.2360000000000007</v>
      </c>
      <c r="J913" s="309">
        <v>0</v>
      </c>
      <c r="K913" s="309">
        <v>0</v>
      </c>
      <c r="L913" s="309">
        <v>5.7323000000000004</v>
      </c>
      <c r="M913" s="309">
        <v>10.4336</v>
      </c>
      <c r="N913" s="309">
        <v>12.4549</v>
      </c>
      <c r="O913" s="309">
        <v>0</v>
      </c>
      <c r="P913" s="309">
        <v>0</v>
      </c>
      <c r="Q913" s="309">
        <v>9.7688000000000006</v>
      </c>
      <c r="R913" s="309">
        <v>8.6196000000000002</v>
      </c>
      <c r="S913" s="309">
        <v>9.9885999999999999</v>
      </c>
      <c r="T913" s="309">
        <v>0</v>
      </c>
      <c r="U913" s="309">
        <v>10.615399999999999</v>
      </c>
      <c r="V913" s="309">
        <v>11.599500000000001</v>
      </c>
      <c r="W913" s="309">
        <v>6.5458999999999996</v>
      </c>
      <c r="X913" s="309">
        <v>7.1875</v>
      </c>
      <c r="Y913" s="309">
        <v>12.0662</v>
      </c>
      <c r="Z913" s="309">
        <v>11.1029</v>
      </c>
      <c r="AA913" s="309">
        <v>8.5202000000000009</v>
      </c>
      <c r="AB913" s="309">
        <v>10.0969</v>
      </c>
      <c r="AC913" s="309">
        <v>11.495799999999999</v>
      </c>
      <c r="AD913" s="309">
        <v>11.1637</v>
      </c>
      <c r="AE913" s="309">
        <v>11.788500000000001</v>
      </c>
      <c r="AF913" s="309">
        <v>6.3628</v>
      </c>
      <c r="AG913" s="309">
        <v>0</v>
      </c>
      <c r="AH913" s="309">
        <v>9.7045999999999992</v>
      </c>
      <c r="AI913" s="309">
        <v>6.9532999999999996</v>
      </c>
      <c r="AJ913" s="309">
        <v>8.4665999999999997</v>
      </c>
      <c r="AK913" s="309">
        <v>7.5792999999999999</v>
      </c>
      <c r="AL913" s="309">
        <v>6.8318000000000003</v>
      </c>
      <c r="AM913" s="309">
        <v>9.4513999999999996</v>
      </c>
      <c r="AN913" s="309">
        <v>10.3939</v>
      </c>
      <c r="AO913" s="309">
        <v>11.464499999999999</v>
      </c>
      <c r="AP913" s="309">
        <v>10.695499999999999</v>
      </c>
      <c r="AQ913" s="309">
        <v>0</v>
      </c>
      <c r="AR913" s="309">
        <v>12.6717</v>
      </c>
      <c r="AS913" s="309">
        <v>8.8247999999999998</v>
      </c>
      <c r="AT913" s="309">
        <v>9.5955999999999992</v>
      </c>
      <c r="AU913" s="309">
        <v>10.4404</v>
      </c>
      <c r="AV913" s="309">
        <v>0</v>
      </c>
      <c r="AW913" s="309">
        <v>10.377700000000001</v>
      </c>
      <c r="AX913" s="309">
        <v>0</v>
      </c>
      <c r="AY913" s="309">
        <v>11.5108</v>
      </c>
      <c r="AZ913" s="309">
        <v>10.9719</v>
      </c>
      <c r="BA913" s="309">
        <v>10.209300000000001</v>
      </c>
      <c r="BB913" s="309">
        <v>0</v>
      </c>
      <c r="BC913" s="309">
        <v>10.684900000000001</v>
      </c>
      <c r="BD913" s="309">
        <v>8.9205000000000005</v>
      </c>
      <c r="BE913" s="309">
        <v>10.7531</v>
      </c>
      <c r="BF913" s="309">
        <v>8.7882999999999996</v>
      </c>
      <c r="BG913" s="309">
        <v>13.3307</v>
      </c>
      <c r="BH913" s="309">
        <v>13.4251</v>
      </c>
      <c r="BI913" s="309">
        <v>13.367800000000001</v>
      </c>
      <c r="BJ913" s="309">
        <v>11.1839</v>
      </c>
      <c r="BK913" s="309">
        <v>11.3863</v>
      </c>
    </row>
    <row r="914" spans="1:63" x14ac:dyDescent="0.25">
      <c r="A914" s="306" t="s">
        <v>709</v>
      </c>
      <c r="B914" s="309" t="s">
        <v>80</v>
      </c>
      <c r="C914" s="309">
        <v>20.091999999999999</v>
      </c>
      <c r="D914" s="309">
        <v>14.066800000000001</v>
      </c>
      <c r="E914" s="309">
        <v>16.094000000000001</v>
      </c>
      <c r="F914" s="309">
        <v>14.6517</v>
      </c>
      <c r="G914" s="309">
        <v>9.2857000000000003</v>
      </c>
      <c r="H914" s="309">
        <v>10.793900000000001</v>
      </c>
      <c r="I914" s="309">
        <v>14.4115</v>
      </c>
      <c r="J914" s="309">
        <v>0</v>
      </c>
      <c r="K914" s="309">
        <v>0</v>
      </c>
      <c r="L914" s="309">
        <v>10.604799999999999</v>
      </c>
      <c r="M914" s="309">
        <v>12.513</v>
      </c>
      <c r="N914" s="309">
        <v>16.150099999999998</v>
      </c>
      <c r="O914" s="309">
        <v>8.7103999999999999</v>
      </c>
      <c r="P914" s="309">
        <v>10.541399999999999</v>
      </c>
      <c r="Q914" s="309">
        <v>12.738099999999999</v>
      </c>
      <c r="R914" s="309">
        <v>9.5260999999999996</v>
      </c>
      <c r="S914" s="309">
        <v>11.344099999999999</v>
      </c>
      <c r="T914" s="309">
        <v>0</v>
      </c>
      <c r="U914" s="309">
        <v>14.4474</v>
      </c>
      <c r="V914" s="309">
        <v>14.4831</v>
      </c>
      <c r="W914" s="309">
        <v>8.6811000000000007</v>
      </c>
      <c r="X914" s="309">
        <v>6.3859000000000004</v>
      </c>
      <c r="Y914" s="309">
        <v>18.175799999999999</v>
      </c>
      <c r="Z914" s="309">
        <v>14.404400000000001</v>
      </c>
      <c r="AA914" s="309">
        <v>10.847799999999999</v>
      </c>
      <c r="AB914" s="309">
        <v>13.8584</v>
      </c>
      <c r="AC914" s="309">
        <v>14.773099999999999</v>
      </c>
      <c r="AD914" s="309">
        <v>15.2407</v>
      </c>
      <c r="AE914" s="309">
        <v>15.5784</v>
      </c>
      <c r="AF914" s="309">
        <v>0</v>
      </c>
      <c r="AG914" s="309">
        <v>11.96</v>
      </c>
      <c r="AH914" s="309">
        <v>11.8147</v>
      </c>
      <c r="AI914" s="309">
        <v>6.1380999999999997</v>
      </c>
      <c r="AJ914" s="309">
        <v>0</v>
      </c>
      <c r="AK914" s="309">
        <v>0</v>
      </c>
      <c r="AL914" s="309">
        <v>8.3523999999999994</v>
      </c>
      <c r="AM914" s="309">
        <v>11.7843</v>
      </c>
      <c r="AN914" s="309">
        <v>10.6867</v>
      </c>
      <c r="AO914" s="309">
        <v>15.097200000000001</v>
      </c>
      <c r="AP914" s="309">
        <v>12.899699999999999</v>
      </c>
      <c r="AQ914" s="309">
        <v>11.4816</v>
      </c>
      <c r="AR914" s="309">
        <v>17.009499999999999</v>
      </c>
      <c r="AS914" s="309">
        <v>0</v>
      </c>
      <c r="AT914" s="309">
        <v>12.021100000000001</v>
      </c>
      <c r="AU914" s="309">
        <v>11.5463</v>
      </c>
      <c r="AV914" s="309">
        <v>13.2874</v>
      </c>
      <c r="AW914" s="309">
        <v>13.365500000000001</v>
      </c>
      <c r="AX914" s="309">
        <v>16.085899999999999</v>
      </c>
      <c r="AY914" s="309">
        <v>14.3606</v>
      </c>
      <c r="AZ914" s="309">
        <v>14.834300000000001</v>
      </c>
      <c r="BA914" s="309">
        <v>13.619</v>
      </c>
      <c r="BB914" s="309">
        <v>0</v>
      </c>
      <c r="BC914" s="309">
        <v>14.7113</v>
      </c>
      <c r="BD914" s="309">
        <v>11.051299999999999</v>
      </c>
      <c r="BE914" s="309">
        <v>13.144500000000001</v>
      </c>
      <c r="BF914" s="309">
        <v>11.342000000000001</v>
      </c>
      <c r="BG914" s="309">
        <v>17.418500000000002</v>
      </c>
      <c r="BH914" s="309">
        <v>17.0871</v>
      </c>
      <c r="BI914" s="309">
        <v>16.351800000000001</v>
      </c>
      <c r="BJ914" s="309">
        <v>13.6296</v>
      </c>
      <c r="BK914" s="309">
        <v>15.0809</v>
      </c>
    </row>
    <row r="915" spans="1:63" x14ac:dyDescent="0.25">
      <c r="A915" s="306" t="s">
        <v>710</v>
      </c>
      <c r="B915" s="309" t="s">
        <v>81</v>
      </c>
      <c r="C915" s="309">
        <v>20.8459</v>
      </c>
      <c r="D915" s="309">
        <v>13.013999999999999</v>
      </c>
      <c r="E915" s="309">
        <v>17.793900000000001</v>
      </c>
      <c r="F915" s="309">
        <v>16.481000000000002</v>
      </c>
      <c r="G915" s="309">
        <v>13.998900000000001</v>
      </c>
      <c r="H915" s="309">
        <v>13.270300000000001</v>
      </c>
      <c r="I915" s="309">
        <v>14.024800000000001</v>
      </c>
      <c r="J915" s="309">
        <v>11.5505</v>
      </c>
      <c r="K915" s="309">
        <v>0</v>
      </c>
      <c r="L915" s="309">
        <v>10.801299999999999</v>
      </c>
      <c r="M915" s="309">
        <v>14.117599999999999</v>
      </c>
      <c r="N915" s="309">
        <v>17.486899999999999</v>
      </c>
      <c r="O915" s="309">
        <v>13.063700000000001</v>
      </c>
      <c r="P915" s="309">
        <v>11.5707</v>
      </c>
      <c r="Q915" s="309">
        <v>13.978300000000001</v>
      </c>
      <c r="R915" s="309">
        <v>12.288399999999999</v>
      </c>
      <c r="S915" s="309">
        <v>14.308400000000001</v>
      </c>
      <c r="T915" s="309">
        <v>11.6523</v>
      </c>
      <c r="U915" s="309">
        <v>15.7423</v>
      </c>
      <c r="V915" s="309">
        <v>15.8131</v>
      </c>
      <c r="W915" s="309">
        <v>11.3383</v>
      </c>
      <c r="X915" s="309">
        <v>9.9471000000000007</v>
      </c>
      <c r="Y915" s="309">
        <v>16.134399999999999</v>
      </c>
      <c r="Z915" s="309">
        <v>14.694599999999999</v>
      </c>
      <c r="AA915" s="309">
        <v>11.8315</v>
      </c>
      <c r="AB915" s="309">
        <v>16.015000000000001</v>
      </c>
      <c r="AC915" s="309">
        <v>16.9787</v>
      </c>
      <c r="AD915" s="309">
        <v>16.941199999999998</v>
      </c>
      <c r="AE915" s="309">
        <v>16.545400000000001</v>
      </c>
      <c r="AF915" s="309">
        <v>10.2501</v>
      </c>
      <c r="AG915" s="309">
        <v>11.2174</v>
      </c>
      <c r="AH915" s="309">
        <v>14.4331</v>
      </c>
      <c r="AI915" s="309">
        <v>10.2738</v>
      </c>
      <c r="AJ915" s="309">
        <v>13.3847</v>
      </c>
      <c r="AK915" s="309">
        <v>11.6035</v>
      </c>
      <c r="AL915" s="309">
        <v>10.8703</v>
      </c>
      <c r="AM915" s="309">
        <v>14.6205</v>
      </c>
      <c r="AN915" s="309">
        <v>16.453099999999999</v>
      </c>
      <c r="AO915" s="309">
        <v>15.5779</v>
      </c>
      <c r="AP915" s="309">
        <v>16.045999999999999</v>
      </c>
      <c r="AQ915" s="309">
        <v>11.1219</v>
      </c>
      <c r="AR915" s="309">
        <v>16.815200000000001</v>
      </c>
      <c r="AS915" s="309">
        <v>12.7462</v>
      </c>
      <c r="AT915" s="309">
        <v>16.034199999999998</v>
      </c>
      <c r="AU915" s="309">
        <v>15.4998</v>
      </c>
      <c r="AV915" s="309">
        <v>16.6312</v>
      </c>
      <c r="AW915" s="309">
        <v>14.892899999999999</v>
      </c>
      <c r="AX915" s="309">
        <v>15.7683</v>
      </c>
      <c r="AY915" s="309">
        <v>15.2485</v>
      </c>
      <c r="AZ915" s="309">
        <v>16.34</v>
      </c>
      <c r="BA915" s="309">
        <v>14.165100000000001</v>
      </c>
      <c r="BB915" s="309">
        <v>13.0465</v>
      </c>
      <c r="BC915" s="309">
        <v>14.484400000000001</v>
      </c>
      <c r="BD915" s="309">
        <v>13.5905</v>
      </c>
      <c r="BE915" s="309">
        <v>15.406000000000001</v>
      </c>
      <c r="BF915" s="309">
        <v>13.7753</v>
      </c>
      <c r="BG915" s="309">
        <v>17.963899999999999</v>
      </c>
      <c r="BH915" s="309">
        <v>18.363</v>
      </c>
      <c r="BI915" s="309">
        <v>18.290500000000002</v>
      </c>
      <c r="BJ915" s="309">
        <v>16.332799999999999</v>
      </c>
      <c r="BK915" s="309">
        <v>16.001300000000001</v>
      </c>
    </row>
    <row r="916" spans="1:63" x14ac:dyDescent="0.25">
      <c r="A916" s="306">
        <v>321910</v>
      </c>
      <c r="B916" s="309" t="s">
        <v>711</v>
      </c>
      <c r="C916" s="309">
        <v>20.53</v>
      </c>
      <c r="D916" s="309">
        <v>11.757</v>
      </c>
      <c r="E916" s="309">
        <v>16.763100000000001</v>
      </c>
      <c r="F916" s="309">
        <v>16.178000000000001</v>
      </c>
      <c r="G916" s="309">
        <v>12.3847</v>
      </c>
      <c r="H916" s="309">
        <v>12.7738</v>
      </c>
      <c r="I916" s="309">
        <v>13.2174</v>
      </c>
      <c r="J916" s="309">
        <v>9.3224999999999998</v>
      </c>
      <c r="K916" s="309">
        <v>0</v>
      </c>
      <c r="L916" s="309">
        <v>8.9578000000000007</v>
      </c>
      <c r="M916" s="309">
        <v>13.1805</v>
      </c>
      <c r="N916" s="309">
        <v>16.597000000000001</v>
      </c>
      <c r="O916" s="309">
        <v>12.068099999999999</v>
      </c>
      <c r="P916" s="309">
        <v>9.9680999999999997</v>
      </c>
      <c r="Q916" s="309">
        <v>13.179600000000001</v>
      </c>
      <c r="R916" s="309">
        <v>12.2281</v>
      </c>
      <c r="S916" s="309">
        <v>14.2075</v>
      </c>
      <c r="T916" s="309">
        <v>10.952</v>
      </c>
      <c r="U916" s="309">
        <v>16.423500000000001</v>
      </c>
      <c r="V916" s="309">
        <v>14.766400000000001</v>
      </c>
      <c r="W916" s="309">
        <v>9.6257000000000001</v>
      </c>
      <c r="X916" s="309">
        <v>9.1418999999999997</v>
      </c>
      <c r="Y916" s="309">
        <v>16.5367</v>
      </c>
      <c r="Z916" s="309">
        <v>14.3781</v>
      </c>
      <c r="AA916" s="309">
        <v>11.414</v>
      </c>
      <c r="AB916" s="309">
        <v>15.1927</v>
      </c>
      <c r="AC916" s="309">
        <v>16.1845</v>
      </c>
      <c r="AD916" s="309">
        <v>14.358599999999999</v>
      </c>
      <c r="AE916" s="309">
        <v>15.8551</v>
      </c>
      <c r="AF916" s="309">
        <v>9.1271000000000004</v>
      </c>
      <c r="AG916" s="309">
        <v>11.274699999999999</v>
      </c>
      <c r="AH916" s="309">
        <v>11.7743</v>
      </c>
      <c r="AI916" s="309">
        <v>9.5847999999999995</v>
      </c>
      <c r="AJ916" s="309">
        <v>12.381500000000001</v>
      </c>
      <c r="AK916" s="309">
        <v>9.7684999999999995</v>
      </c>
      <c r="AL916" s="309">
        <v>8.8926999999999996</v>
      </c>
      <c r="AM916" s="309">
        <v>15.1676</v>
      </c>
      <c r="AN916" s="309">
        <v>14.9472</v>
      </c>
      <c r="AO916" s="309">
        <v>15.6327</v>
      </c>
      <c r="AP916" s="309">
        <v>15.582800000000001</v>
      </c>
      <c r="AQ916" s="309">
        <v>10.37</v>
      </c>
      <c r="AR916" s="309">
        <v>17.135000000000002</v>
      </c>
      <c r="AS916" s="309">
        <v>12.0503</v>
      </c>
      <c r="AT916" s="309">
        <v>15.2326</v>
      </c>
      <c r="AU916" s="309">
        <v>15.0063</v>
      </c>
      <c r="AV916" s="309">
        <v>16.573599999999999</v>
      </c>
      <c r="AW916" s="309">
        <v>14.478199999999999</v>
      </c>
      <c r="AX916" s="309">
        <v>14.9184</v>
      </c>
      <c r="AY916" s="309">
        <v>14.633699999999999</v>
      </c>
      <c r="AZ916" s="309">
        <v>16.4099</v>
      </c>
      <c r="BA916" s="309">
        <v>15.1281</v>
      </c>
      <c r="BB916" s="309">
        <v>11.886900000000001</v>
      </c>
      <c r="BC916" s="309">
        <v>13.297599999999999</v>
      </c>
      <c r="BD916" s="309">
        <v>12.630699999999999</v>
      </c>
      <c r="BE916" s="309">
        <v>15.9076</v>
      </c>
      <c r="BF916" s="309">
        <v>12.657</v>
      </c>
      <c r="BG916" s="309">
        <v>17.5091</v>
      </c>
      <c r="BH916" s="309">
        <v>18.129899999999999</v>
      </c>
      <c r="BI916" s="309">
        <v>17.6492</v>
      </c>
      <c r="BJ916" s="309">
        <v>15.154299999999999</v>
      </c>
      <c r="BK916" s="309">
        <v>15.492599999999999</v>
      </c>
    </row>
    <row r="917" spans="1:63" x14ac:dyDescent="0.25">
      <c r="A917" s="306">
        <v>321920</v>
      </c>
      <c r="B917" s="309" t="s">
        <v>83</v>
      </c>
      <c r="C917" s="309">
        <v>22.6188</v>
      </c>
      <c r="D917" s="309">
        <v>14.7827</v>
      </c>
      <c r="E917" s="309">
        <v>19.855</v>
      </c>
      <c r="F917" s="309">
        <v>17.905999999999999</v>
      </c>
      <c r="G917" s="309">
        <v>15.402100000000001</v>
      </c>
      <c r="H917" s="309">
        <v>14.590400000000001</v>
      </c>
      <c r="I917" s="309">
        <v>15.690200000000001</v>
      </c>
      <c r="J917" s="309">
        <v>12.220800000000001</v>
      </c>
      <c r="K917" s="309">
        <v>0</v>
      </c>
      <c r="L917" s="309">
        <v>11.269</v>
      </c>
      <c r="M917" s="309">
        <v>15.605499999999999</v>
      </c>
      <c r="N917" s="309">
        <v>18.977399999999999</v>
      </c>
      <c r="O917" s="309">
        <v>0</v>
      </c>
      <c r="P917" s="309">
        <v>13.7188</v>
      </c>
      <c r="Q917" s="309">
        <v>14.044499999999999</v>
      </c>
      <c r="R917" s="309">
        <v>15.1096</v>
      </c>
      <c r="S917" s="309">
        <v>16.2776</v>
      </c>
      <c r="T917" s="309">
        <v>13.4673</v>
      </c>
      <c r="U917" s="309">
        <v>15.442</v>
      </c>
      <c r="V917" s="309">
        <v>16.924199999999999</v>
      </c>
      <c r="W917" s="309">
        <v>11.8301</v>
      </c>
      <c r="X917" s="309">
        <v>11.689500000000001</v>
      </c>
      <c r="Y917" s="309">
        <v>17.0273</v>
      </c>
      <c r="Z917" s="309">
        <v>16.038599999999999</v>
      </c>
      <c r="AA917" s="309">
        <v>13.469200000000001</v>
      </c>
      <c r="AB917" s="309">
        <v>16.189699999999998</v>
      </c>
      <c r="AC917" s="309">
        <v>16.143000000000001</v>
      </c>
      <c r="AD917" s="309">
        <v>18.130299999999998</v>
      </c>
      <c r="AE917" s="309">
        <v>18.121700000000001</v>
      </c>
      <c r="AF917" s="309">
        <v>11.483599999999999</v>
      </c>
      <c r="AG917" s="309">
        <v>13.5078</v>
      </c>
      <c r="AH917" s="309">
        <v>14.369</v>
      </c>
      <c r="AI917" s="309">
        <v>12.504</v>
      </c>
      <c r="AJ917" s="309">
        <v>15.3531</v>
      </c>
      <c r="AK917" s="309">
        <v>14.6531</v>
      </c>
      <c r="AL917" s="309">
        <v>12.4704</v>
      </c>
      <c r="AM917" s="309">
        <v>16.715299999999999</v>
      </c>
      <c r="AN917" s="309">
        <v>17.313300000000002</v>
      </c>
      <c r="AO917" s="309">
        <v>16.961500000000001</v>
      </c>
      <c r="AP917" s="309">
        <v>17.613600000000002</v>
      </c>
      <c r="AQ917" s="309">
        <v>13.6656</v>
      </c>
      <c r="AR917" s="309">
        <v>20.4069</v>
      </c>
      <c r="AS917" s="309">
        <v>12.658799999999999</v>
      </c>
      <c r="AT917" s="309">
        <v>17.847000000000001</v>
      </c>
      <c r="AU917" s="309">
        <v>17.121600000000001</v>
      </c>
      <c r="AV917" s="309">
        <v>19.095300000000002</v>
      </c>
      <c r="AW917" s="309">
        <v>15.222099999999999</v>
      </c>
      <c r="AX917" s="309">
        <v>17.3857</v>
      </c>
      <c r="AY917" s="309">
        <v>16.5564</v>
      </c>
      <c r="AZ917" s="309">
        <v>18.4543</v>
      </c>
      <c r="BA917" s="309">
        <v>17.171900000000001</v>
      </c>
      <c r="BB917" s="309">
        <v>15.018700000000001</v>
      </c>
      <c r="BC917" s="309">
        <v>15.624499999999999</v>
      </c>
      <c r="BD917" s="309">
        <v>15.8108</v>
      </c>
      <c r="BE917" s="309">
        <v>17.648700000000002</v>
      </c>
      <c r="BF917" s="309">
        <v>15.3187</v>
      </c>
      <c r="BG917" s="309">
        <v>19.6904</v>
      </c>
      <c r="BH917" s="309">
        <v>19.108899999999998</v>
      </c>
      <c r="BI917" s="309">
        <v>19.422599999999999</v>
      </c>
      <c r="BJ917" s="309">
        <v>17.667899999999999</v>
      </c>
      <c r="BK917" s="309">
        <v>16.903700000000001</v>
      </c>
    </row>
    <row r="918" spans="1:63" x14ac:dyDescent="0.25">
      <c r="A918" s="306">
        <v>321991</v>
      </c>
      <c r="B918" s="309" t="s">
        <v>84</v>
      </c>
      <c r="C918" s="309">
        <v>21.545999999999999</v>
      </c>
      <c r="D918" s="309">
        <v>0</v>
      </c>
      <c r="E918" s="309">
        <v>18.342600000000001</v>
      </c>
      <c r="F918" s="309">
        <v>14.1469</v>
      </c>
      <c r="G918" s="309">
        <v>14.3363</v>
      </c>
      <c r="H918" s="309">
        <v>13.3117</v>
      </c>
      <c r="I918" s="309">
        <v>15.362399999999999</v>
      </c>
      <c r="J918" s="309">
        <v>0</v>
      </c>
      <c r="K918" s="309">
        <v>0</v>
      </c>
      <c r="L918" s="309">
        <v>0</v>
      </c>
      <c r="M918" s="309">
        <v>14.8741</v>
      </c>
      <c r="N918" s="309">
        <v>18.2318</v>
      </c>
      <c r="O918" s="309">
        <v>0</v>
      </c>
      <c r="P918" s="309">
        <v>15.195399999999999</v>
      </c>
      <c r="Q918" s="309">
        <v>12.2676</v>
      </c>
      <c r="R918" s="309">
        <v>16.093699999999998</v>
      </c>
      <c r="S918" s="309">
        <v>14.463100000000001</v>
      </c>
      <c r="T918" s="309">
        <v>13.2044</v>
      </c>
      <c r="U918" s="309">
        <v>16.7563</v>
      </c>
      <c r="V918" s="309">
        <v>13.4175</v>
      </c>
      <c r="W918" s="309">
        <v>0</v>
      </c>
      <c r="X918" s="309">
        <v>10.0398</v>
      </c>
      <c r="Y918" s="309">
        <v>15.267899999999999</v>
      </c>
      <c r="Z918" s="309">
        <v>14.0564</v>
      </c>
      <c r="AA918" s="309">
        <v>13.5976</v>
      </c>
      <c r="AB918" s="309">
        <v>17.090599999999998</v>
      </c>
      <c r="AC918" s="309">
        <v>16.001000000000001</v>
      </c>
      <c r="AD918" s="309">
        <v>16.392099999999999</v>
      </c>
      <c r="AE918" s="309">
        <v>16.266999999999999</v>
      </c>
      <c r="AF918" s="309">
        <v>11.809900000000001</v>
      </c>
      <c r="AG918" s="309">
        <v>12.5952</v>
      </c>
      <c r="AH918" s="309">
        <v>0</v>
      </c>
      <c r="AI918" s="309">
        <v>14.062799999999999</v>
      </c>
      <c r="AJ918" s="309">
        <v>15.3443</v>
      </c>
      <c r="AK918" s="309">
        <v>0</v>
      </c>
      <c r="AL918" s="309">
        <v>10.085900000000001</v>
      </c>
      <c r="AM918" s="309">
        <v>16.654699999999998</v>
      </c>
      <c r="AN918" s="309">
        <v>17.803000000000001</v>
      </c>
      <c r="AO918" s="309">
        <v>15.617000000000001</v>
      </c>
      <c r="AP918" s="309">
        <v>16.547599999999999</v>
      </c>
      <c r="AQ918" s="309">
        <v>0</v>
      </c>
      <c r="AR918" s="309">
        <v>16.007300000000001</v>
      </c>
      <c r="AS918" s="309">
        <v>14.0633</v>
      </c>
      <c r="AT918" s="309">
        <v>14.895799999999999</v>
      </c>
      <c r="AU918" s="309">
        <v>16.437999999999999</v>
      </c>
      <c r="AV918" s="309">
        <v>17.936800000000002</v>
      </c>
      <c r="AW918" s="309">
        <v>15.587999999999999</v>
      </c>
      <c r="AX918" s="309">
        <v>15.6363</v>
      </c>
      <c r="AY918" s="309">
        <v>15.9575</v>
      </c>
      <c r="AZ918" s="309">
        <v>15.898999999999999</v>
      </c>
      <c r="BA918" s="309">
        <v>12.3589</v>
      </c>
      <c r="BB918" s="309">
        <v>11.112399999999999</v>
      </c>
      <c r="BC918" s="309">
        <v>16.555</v>
      </c>
      <c r="BD918" s="309">
        <v>14.523899999999999</v>
      </c>
      <c r="BE918" s="309">
        <v>16.672799999999999</v>
      </c>
      <c r="BF918" s="309">
        <v>15.5688</v>
      </c>
      <c r="BG918" s="309">
        <v>18.450099999999999</v>
      </c>
      <c r="BH918" s="309">
        <v>18.202000000000002</v>
      </c>
      <c r="BI918" s="309">
        <v>17.688700000000001</v>
      </c>
      <c r="BJ918" s="309">
        <v>15.990500000000001</v>
      </c>
      <c r="BK918" s="309">
        <v>15.036899999999999</v>
      </c>
    </row>
    <row r="919" spans="1:63" x14ac:dyDescent="0.25">
      <c r="A919" s="306">
        <v>321992</v>
      </c>
      <c r="B919" s="309" t="s">
        <v>85</v>
      </c>
      <c r="C919" s="309">
        <v>21.2715</v>
      </c>
      <c r="D919" s="309">
        <v>11.1305</v>
      </c>
      <c r="E919" s="309">
        <v>18.843900000000001</v>
      </c>
      <c r="F919" s="309">
        <v>15.939</v>
      </c>
      <c r="G919" s="309">
        <v>13.4215</v>
      </c>
      <c r="H919" s="309">
        <v>13.3108</v>
      </c>
      <c r="I919" s="309">
        <v>15.2362</v>
      </c>
      <c r="J919" s="309">
        <v>10.818</v>
      </c>
      <c r="K919" s="309">
        <v>0</v>
      </c>
      <c r="L919" s="309">
        <v>9.6545000000000005</v>
      </c>
      <c r="M919" s="309">
        <v>12.813800000000001</v>
      </c>
      <c r="N919" s="309">
        <v>18.9682</v>
      </c>
      <c r="O919" s="309">
        <v>14.546799999999999</v>
      </c>
      <c r="P919" s="309">
        <v>12.4017</v>
      </c>
      <c r="Q919" s="309">
        <v>12.8604</v>
      </c>
      <c r="R919" s="309">
        <v>12.5457</v>
      </c>
      <c r="S919" s="309">
        <v>14.748799999999999</v>
      </c>
      <c r="T919" s="309">
        <v>12.7133</v>
      </c>
      <c r="U919" s="309">
        <v>15.7279</v>
      </c>
      <c r="V919" s="309">
        <v>13.1638</v>
      </c>
      <c r="W919" s="309">
        <v>10.749599999999999</v>
      </c>
      <c r="X919" s="309">
        <v>8.8309999999999995</v>
      </c>
      <c r="Y919" s="309">
        <v>16.745899999999999</v>
      </c>
      <c r="Z919" s="309">
        <v>14.0937</v>
      </c>
      <c r="AA919" s="309">
        <v>12.427</v>
      </c>
      <c r="AB919" s="309">
        <v>15.3118</v>
      </c>
      <c r="AC919" s="309">
        <v>15.7264</v>
      </c>
      <c r="AD919" s="309">
        <v>14.852399999999999</v>
      </c>
      <c r="AE919" s="309">
        <v>16.180499999999999</v>
      </c>
      <c r="AF919" s="309">
        <v>10.007999999999999</v>
      </c>
      <c r="AG919" s="309">
        <v>11.6623</v>
      </c>
      <c r="AH919" s="309">
        <v>13.2082</v>
      </c>
      <c r="AI919" s="309">
        <v>11.4092</v>
      </c>
      <c r="AJ919" s="309">
        <v>14.1091</v>
      </c>
      <c r="AK919" s="309">
        <v>11.0448</v>
      </c>
      <c r="AL919" s="309">
        <v>10.45</v>
      </c>
      <c r="AM919" s="309">
        <v>15.4497</v>
      </c>
      <c r="AN919" s="309">
        <v>17.9482</v>
      </c>
      <c r="AO919" s="309">
        <v>16.660399999999999</v>
      </c>
      <c r="AP919" s="309">
        <v>16.947800000000001</v>
      </c>
      <c r="AQ919" s="309">
        <v>13.8642</v>
      </c>
      <c r="AR919" s="309">
        <v>16.342700000000001</v>
      </c>
      <c r="AS919" s="309">
        <v>13.552899999999999</v>
      </c>
      <c r="AT919" s="309">
        <v>15.911899999999999</v>
      </c>
      <c r="AU919" s="309">
        <v>14.9633</v>
      </c>
      <c r="AV919" s="309">
        <v>17.8887</v>
      </c>
      <c r="AW919" s="309">
        <v>15.417199999999999</v>
      </c>
      <c r="AX919" s="309">
        <v>13.346399999999999</v>
      </c>
      <c r="AY919" s="309">
        <v>15.259600000000001</v>
      </c>
      <c r="AZ919" s="309">
        <v>16.469200000000001</v>
      </c>
      <c r="BA919" s="309">
        <v>16.358499999999999</v>
      </c>
      <c r="BB919" s="309">
        <v>14.0641</v>
      </c>
      <c r="BC919" s="309">
        <v>14.347799999999999</v>
      </c>
      <c r="BD919" s="309">
        <v>14.602</v>
      </c>
      <c r="BE919" s="309">
        <v>16.220600000000001</v>
      </c>
      <c r="BF919" s="309">
        <v>14.5474</v>
      </c>
      <c r="BG919" s="309">
        <v>18.251000000000001</v>
      </c>
      <c r="BH919" s="309">
        <v>18.397400000000001</v>
      </c>
      <c r="BI919" s="309">
        <v>17.014399999999998</v>
      </c>
      <c r="BJ919" s="309">
        <v>15.9511</v>
      </c>
      <c r="BK919" s="309">
        <v>15.8018</v>
      </c>
    </row>
    <row r="920" spans="1:63" x14ac:dyDescent="0.25">
      <c r="A920" s="306">
        <v>321999</v>
      </c>
      <c r="B920" s="309" t="s">
        <v>86</v>
      </c>
      <c r="C920" s="309">
        <v>23.156300000000002</v>
      </c>
      <c r="D920" s="309">
        <v>15.8916</v>
      </c>
      <c r="E920" s="309">
        <v>17.236999999999998</v>
      </c>
      <c r="F920" s="309">
        <v>19.505700000000001</v>
      </c>
      <c r="G920" s="309">
        <v>16.279299999999999</v>
      </c>
      <c r="H920" s="309">
        <v>14.2622</v>
      </c>
      <c r="I920" s="309">
        <v>18.320799999999998</v>
      </c>
      <c r="J920" s="309">
        <v>11.4878</v>
      </c>
      <c r="K920" s="309">
        <v>0</v>
      </c>
      <c r="L920" s="309">
        <v>0</v>
      </c>
      <c r="M920" s="309">
        <v>15.3805</v>
      </c>
      <c r="N920" s="309">
        <v>17.764800000000001</v>
      </c>
      <c r="O920" s="309">
        <v>13.6082</v>
      </c>
      <c r="P920" s="309">
        <v>15.088200000000001</v>
      </c>
      <c r="Q920" s="309">
        <v>15.2255</v>
      </c>
      <c r="R920" s="309">
        <v>14.557600000000001</v>
      </c>
      <c r="S920" s="309">
        <v>16.261199999999999</v>
      </c>
      <c r="T920" s="309">
        <v>12.6675</v>
      </c>
      <c r="U920" s="309">
        <v>18.840199999999999</v>
      </c>
      <c r="V920" s="309">
        <v>17.977499999999999</v>
      </c>
      <c r="W920" s="309">
        <v>11.7737</v>
      </c>
      <c r="X920" s="309">
        <v>12.994300000000001</v>
      </c>
      <c r="Y920" s="309">
        <v>19.432600000000001</v>
      </c>
      <c r="Z920" s="309">
        <v>17.429600000000001</v>
      </c>
      <c r="AA920" s="309">
        <v>14.4254</v>
      </c>
      <c r="AB920" s="309">
        <v>18.4086</v>
      </c>
      <c r="AC920" s="309">
        <v>17.343299999999999</v>
      </c>
      <c r="AD920" s="309">
        <v>18.938500000000001</v>
      </c>
      <c r="AE920" s="309">
        <v>16.875499999999999</v>
      </c>
      <c r="AF920" s="309">
        <v>12.0562</v>
      </c>
      <c r="AG920" s="309">
        <v>14.974500000000001</v>
      </c>
      <c r="AH920" s="309">
        <v>15.194100000000001</v>
      </c>
      <c r="AI920" s="309">
        <v>11.510300000000001</v>
      </c>
      <c r="AJ920" s="309">
        <v>16.447700000000001</v>
      </c>
      <c r="AK920" s="309">
        <v>15.7301</v>
      </c>
      <c r="AL920" s="309">
        <v>12.110900000000001</v>
      </c>
      <c r="AM920" s="309">
        <v>17.598199999999999</v>
      </c>
      <c r="AN920" s="309">
        <v>16.613199999999999</v>
      </c>
      <c r="AO920" s="309">
        <v>18.467600000000001</v>
      </c>
      <c r="AP920" s="309">
        <v>17.5289</v>
      </c>
      <c r="AQ920" s="309">
        <v>13.762600000000001</v>
      </c>
      <c r="AR920" s="309">
        <v>20.463000000000001</v>
      </c>
      <c r="AS920" s="309">
        <v>16.580100000000002</v>
      </c>
      <c r="AT920" s="309">
        <v>18.776299999999999</v>
      </c>
      <c r="AU920" s="309">
        <v>16.776499999999999</v>
      </c>
      <c r="AV920" s="309">
        <v>19.7272</v>
      </c>
      <c r="AW920" s="309">
        <v>17.622499999999999</v>
      </c>
      <c r="AX920" s="309">
        <v>16.9102</v>
      </c>
      <c r="AY920" s="309">
        <v>18.875299999999999</v>
      </c>
      <c r="AZ920" s="309">
        <v>17.5123</v>
      </c>
      <c r="BA920" s="309">
        <v>17.148399999999999</v>
      </c>
      <c r="BB920" s="309">
        <v>14.2797</v>
      </c>
      <c r="BC920" s="309">
        <v>16.975899999999999</v>
      </c>
      <c r="BD920" s="309">
        <v>15.605499999999999</v>
      </c>
      <c r="BE920" s="309">
        <v>17.828700000000001</v>
      </c>
      <c r="BF920" s="309">
        <v>16.165299999999998</v>
      </c>
      <c r="BG920" s="309">
        <v>19.537299999999998</v>
      </c>
      <c r="BH920" s="309">
        <v>19.921299999999999</v>
      </c>
      <c r="BI920" s="309">
        <v>19.713100000000001</v>
      </c>
      <c r="BJ920" s="309">
        <v>18.8752</v>
      </c>
      <c r="BK920" s="309">
        <v>17.606100000000001</v>
      </c>
    </row>
    <row r="921" spans="1:63" x14ac:dyDescent="0.25">
      <c r="A921" s="306">
        <v>322110</v>
      </c>
      <c r="B921" s="309" t="s">
        <v>87</v>
      </c>
      <c r="C921" s="309">
        <v>15.7102</v>
      </c>
      <c r="D921" s="309">
        <v>0</v>
      </c>
      <c r="E921" s="309">
        <v>11.3523</v>
      </c>
      <c r="F921" s="309">
        <v>0</v>
      </c>
      <c r="G921" s="309">
        <v>9.5852000000000004</v>
      </c>
      <c r="H921" s="309">
        <v>8.5919000000000008</v>
      </c>
      <c r="I921" s="309">
        <v>0</v>
      </c>
      <c r="J921" s="309">
        <v>0</v>
      </c>
      <c r="K921" s="309">
        <v>0</v>
      </c>
      <c r="L921" s="309">
        <v>0</v>
      </c>
      <c r="M921" s="309">
        <v>9.0061999999999998</v>
      </c>
      <c r="N921" s="309">
        <v>11.6456</v>
      </c>
      <c r="O921" s="309">
        <v>0</v>
      </c>
      <c r="P921" s="309">
        <v>8.0309000000000008</v>
      </c>
      <c r="Q921" s="309">
        <v>0</v>
      </c>
      <c r="R921" s="309">
        <v>0</v>
      </c>
      <c r="S921" s="309">
        <v>0</v>
      </c>
      <c r="T921" s="309">
        <v>0</v>
      </c>
      <c r="U921" s="309">
        <v>0</v>
      </c>
      <c r="V921" s="309">
        <v>0</v>
      </c>
      <c r="W921" s="309">
        <v>0</v>
      </c>
      <c r="X921" s="309">
        <v>7.9835000000000003</v>
      </c>
      <c r="Y921" s="309">
        <v>12.357699999999999</v>
      </c>
      <c r="Z921" s="309">
        <v>11.0215</v>
      </c>
      <c r="AA921" s="309">
        <v>0</v>
      </c>
      <c r="AB921" s="309">
        <v>0</v>
      </c>
      <c r="AC921" s="309">
        <v>11.255800000000001</v>
      </c>
      <c r="AD921" s="309">
        <v>0</v>
      </c>
      <c r="AE921" s="309">
        <v>11.075100000000001</v>
      </c>
      <c r="AF921" s="309">
        <v>0</v>
      </c>
      <c r="AG921" s="309">
        <v>0</v>
      </c>
      <c r="AH921" s="309">
        <v>0</v>
      </c>
      <c r="AI921" s="309">
        <v>0</v>
      </c>
      <c r="AJ921" s="309">
        <v>0</v>
      </c>
      <c r="AK921" s="309">
        <v>0</v>
      </c>
      <c r="AL921" s="309">
        <v>7.2221000000000002</v>
      </c>
      <c r="AM921" s="309">
        <v>11.0053</v>
      </c>
      <c r="AN921" s="309">
        <v>11.086600000000001</v>
      </c>
      <c r="AO921" s="309">
        <v>10.8423</v>
      </c>
      <c r="AP921" s="309">
        <v>0</v>
      </c>
      <c r="AQ921" s="309">
        <v>0</v>
      </c>
      <c r="AR921" s="309">
        <v>11.5594</v>
      </c>
      <c r="AS921" s="309">
        <v>0</v>
      </c>
      <c r="AT921" s="309">
        <v>9.3046000000000006</v>
      </c>
      <c r="AU921" s="309">
        <v>10.971</v>
      </c>
      <c r="AV921" s="309">
        <v>0</v>
      </c>
      <c r="AW921" s="309">
        <v>0</v>
      </c>
      <c r="AX921" s="309">
        <v>0</v>
      </c>
      <c r="AY921" s="309">
        <v>10.796099999999999</v>
      </c>
      <c r="AZ921" s="309">
        <v>11.153499999999999</v>
      </c>
      <c r="BA921" s="309">
        <v>10.6488</v>
      </c>
      <c r="BB921" s="309">
        <v>0</v>
      </c>
      <c r="BC921" s="309">
        <v>10.8681</v>
      </c>
      <c r="BD921" s="309">
        <v>9.7339000000000002</v>
      </c>
      <c r="BE921" s="309">
        <v>11.1242</v>
      </c>
      <c r="BF921" s="309">
        <v>10.3581</v>
      </c>
      <c r="BG921" s="309">
        <v>12.466100000000001</v>
      </c>
      <c r="BH921" s="309">
        <v>12.1806</v>
      </c>
      <c r="BI921" s="309">
        <v>14.4649</v>
      </c>
      <c r="BJ921" s="309">
        <v>12.665100000000001</v>
      </c>
      <c r="BK921" s="309">
        <v>11.243</v>
      </c>
    </row>
    <row r="922" spans="1:63" x14ac:dyDescent="0.25">
      <c r="A922" s="306">
        <v>322120</v>
      </c>
      <c r="B922" s="309" t="s">
        <v>88</v>
      </c>
      <c r="C922" s="309">
        <v>12.865500000000001</v>
      </c>
      <c r="D922" s="309">
        <v>0</v>
      </c>
      <c r="E922" s="309">
        <v>8.9810999999999996</v>
      </c>
      <c r="F922" s="309">
        <v>8.0717999999999996</v>
      </c>
      <c r="G922" s="309">
        <v>6.6372</v>
      </c>
      <c r="H922" s="309">
        <v>7.4458000000000002</v>
      </c>
      <c r="I922" s="309">
        <v>8.5086999999999993</v>
      </c>
      <c r="J922" s="309">
        <v>5.5629</v>
      </c>
      <c r="K922" s="309">
        <v>0</v>
      </c>
      <c r="L922" s="309">
        <v>0</v>
      </c>
      <c r="M922" s="309">
        <v>7.4579000000000004</v>
      </c>
      <c r="N922" s="309">
        <v>9.3513999999999999</v>
      </c>
      <c r="O922" s="309">
        <v>6.7367999999999997</v>
      </c>
      <c r="P922" s="309">
        <v>6.4907000000000004</v>
      </c>
      <c r="Q922" s="309">
        <v>7.0247999999999999</v>
      </c>
      <c r="R922" s="309">
        <v>8.0922000000000001</v>
      </c>
      <c r="S922" s="309">
        <v>8.1707999999999998</v>
      </c>
      <c r="T922" s="309">
        <v>6.4433999999999996</v>
      </c>
      <c r="U922" s="309">
        <v>7.8258999999999999</v>
      </c>
      <c r="V922" s="309">
        <v>7.9629000000000003</v>
      </c>
      <c r="W922" s="309">
        <v>5.8628</v>
      </c>
      <c r="X922" s="309">
        <v>5.6178999999999997</v>
      </c>
      <c r="Y922" s="309">
        <v>8.6928999999999998</v>
      </c>
      <c r="Z922" s="309">
        <v>8.7218999999999998</v>
      </c>
      <c r="AA922" s="309">
        <v>7.6456</v>
      </c>
      <c r="AB922" s="309">
        <v>7.7506000000000004</v>
      </c>
      <c r="AC922" s="309">
        <v>7.8052000000000001</v>
      </c>
      <c r="AD922" s="309">
        <v>0</v>
      </c>
      <c r="AE922" s="309">
        <v>9.0510999999999999</v>
      </c>
      <c r="AF922" s="309">
        <v>0</v>
      </c>
      <c r="AG922" s="309">
        <v>6.0115999999999996</v>
      </c>
      <c r="AH922" s="309">
        <v>7.0346000000000002</v>
      </c>
      <c r="AI922" s="309">
        <v>6.3112000000000004</v>
      </c>
      <c r="AJ922" s="309">
        <v>6.4509999999999996</v>
      </c>
      <c r="AK922" s="309">
        <v>0</v>
      </c>
      <c r="AL922" s="309">
        <v>5.4638999999999998</v>
      </c>
      <c r="AM922" s="309">
        <v>9.0973000000000006</v>
      </c>
      <c r="AN922" s="309">
        <v>8.0112000000000005</v>
      </c>
      <c r="AO922" s="309">
        <v>8.2971000000000004</v>
      </c>
      <c r="AP922" s="309">
        <v>8.3383000000000003</v>
      </c>
      <c r="AQ922" s="309">
        <v>0</v>
      </c>
      <c r="AR922" s="309">
        <v>9.2766000000000002</v>
      </c>
      <c r="AS922" s="309">
        <v>0</v>
      </c>
      <c r="AT922" s="309">
        <v>7.9633000000000003</v>
      </c>
      <c r="AU922" s="309">
        <v>8.0907999999999998</v>
      </c>
      <c r="AV922" s="309">
        <v>9.7833000000000006</v>
      </c>
      <c r="AW922" s="309">
        <v>7.4207999999999998</v>
      </c>
      <c r="AX922" s="309">
        <v>6.5869999999999997</v>
      </c>
      <c r="AY922" s="309">
        <v>7.9813999999999998</v>
      </c>
      <c r="AZ922" s="309">
        <v>8.7826000000000004</v>
      </c>
      <c r="BA922" s="309">
        <v>0</v>
      </c>
      <c r="BB922" s="309">
        <v>0</v>
      </c>
      <c r="BC922" s="309">
        <v>8.0940999999999992</v>
      </c>
      <c r="BD922" s="309">
        <v>7.5812999999999997</v>
      </c>
      <c r="BE922" s="309">
        <v>9.4954000000000001</v>
      </c>
      <c r="BF922" s="309">
        <v>7.7192999999999996</v>
      </c>
      <c r="BG922" s="309">
        <v>9.9695999999999998</v>
      </c>
      <c r="BH922" s="309">
        <v>9.7149999999999999</v>
      </c>
      <c r="BI922" s="309">
        <v>9.7606000000000002</v>
      </c>
      <c r="BJ922" s="309">
        <v>8.6071000000000009</v>
      </c>
      <c r="BK922" s="309">
        <v>8.3994999999999997</v>
      </c>
    </row>
    <row r="923" spans="1:63" x14ac:dyDescent="0.25">
      <c r="A923" s="306">
        <v>322130</v>
      </c>
      <c r="B923" s="309" t="s">
        <v>712</v>
      </c>
      <c r="C923" s="309">
        <v>14.0436</v>
      </c>
      <c r="D923" s="309">
        <v>0</v>
      </c>
      <c r="E923" s="309">
        <v>10.1197</v>
      </c>
      <c r="F923" s="309">
        <v>9.1638000000000002</v>
      </c>
      <c r="G923" s="309">
        <v>8.0701000000000001</v>
      </c>
      <c r="H923" s="309">
        <v>8.2040000000000006</v>
      </c>
      <c r="I923" s="309">
        <v>0</v>
      </c>
      <c r="J923" s="309">
        <v>6.0473999999999997</v>
      </c>
      <c r="K923" s="309">
        <v>0</v>
      </c>
      <c r="L923" s="309">
        <v>0</v>
      </c>
      <c r="M923" s="309">
        <v>8.2856000000000005</v>
      </c>
      <c r="N923" s="309">
        <v>10.142899999999999</v>
      </c>
      <c r="O923" s="309">
        <v>0</v>
      </c>
      <c r="P923" s="309">
        <v>6.7340999999999998</v>
      </c>
      <c r="Q923" s="309">
        <v>7.7385999999999999</v>
      </c>
      <c r="R923" s="309">
        <v>9.1455000000000002</v>
      </c>
      <c r="S923" s="309">
        <v>8.7103000000000002</v>
      </c>
      <c r="T923" s="309">
        <v>6.6852</v>
      </c>
      <c r="U923" s="309">
        <v>8.7136999999999993</v>
      </c>
      <c r="V923" s="309">
        <v>9.2561999999999998</v>
      </c>
      <c r="W923" s="309">
        <v>6.8680000000000003</v>
      </c>
      <c r="X923" s="309">
        <v>6.8604000000000003</v>
      </c>
      <c r="Y923" s="309">
        <v>10.785399999999999</v>
      </c>
      <c r="Z923" s="309">
        <v>9.7863000000000007</v>
      </c>
      <c r="AA923" s="309">
        <v>8.5510999999999999</v>
      </c>
      <c r="AB923" s="309">
        <v>9.0624000000000002</v>
      </c>
      <c r="AC923" s="309">
        <v>8.6440000000000001</v>
      </c>
      <c r="AD923" s="309">
        <v>8.9275000000000002</v>
      </c>
      <c r="AE923" s="309">
        <v>9.7108000000000008</v>
      </c>
      <c r="AF923" s="309">
        <v>0</v>
      </c>
      <c r="AG923" s="309">
        <v>0</v>
      </c>
      <c r="AH923" s="309">
        <v>0</v>
      </c>
      <c r="AI923" s="309">
        <v>7.3554000000000004</v>
      </c>
      <c r="AJ923" s="309">
        <v>0</v>
      </c>
      <c r="AK923" s="309">
        <v>0</v>
      </c>
      <c r="AL923" s="309">
        <v>5.2343000000000002</v>
      </c>
      <c r="AM923" s="309">
        <v>9.5466999999999995</v>
      </c>
      <c r="AN923" s="309">
        <v>8.6516000000000002</v>
      </c>
      <c r="AO923" s="309">
        <v>9.0906000000000002</v>
      </c>
      <c r="AP923" s="309">
        <v>8.9639000000000006</v>
      </c>
      <c r="AQ923" s="309">
        <v>6.4028</v>
      </c>
      <c r="AR923" s="309">
        <v>10.341699999999999</v>
      </c>
      <c r="AS923" s="309">
        <v>0</v>
      </c>
      <c r="AT923" s="309">
        <v>8.8547999999999991</v>
      </c>
      <c r="AU923" s="309">
        <v>9.1854999999999993</v>
      </c>
      <c r="AV923" s="309">
        <v>0</v>
      </c>
      <c r="AW923" s="309">
        <v>8.4731000000000005</v>
      </c>
      <c r="AX923" s="309">
        <v>7.8780000000000001</v>
      </c>
      <c r="AY923" s="309">
        <v>9.0923999999999996</v>
      </c>
      <c r="AZ923" s="309">
        <v>9.7752999999999997</v>
      </c>
      <c r="BA923" s="309">
        <v>9.5615000000000006</v>
      </c>
      <c r="BB923" s="309">
        <v>0</v>
      </c>
      <c r="BC923" s="309">
        <v>9.4183000000000003</v>
      </c>
      <c r="BD923" s="309">
        <v>7.6471999999999998</v>
      </c>
      <c r="BE923" s="309">
        <v>10.1469</v>
      </c>
      <c r="BF923" s="309">
        <v>8.7067999999999994</v>
      </c>
      <c r="BG923" s="309">
        <v>10.977</v>
      </c>
      <c r="BH923" s="309">
        <v>10.8673</v>
      </c>
      <c r="BI923" s="309">
        <v>11.098599999999999</v>
      </c>
      <c r="BJ923" s="309">
        <v>9.5470000000000006</v>
      </c>
      <c r="BK923" s="309">
        <v>9.6308000000000007</v>
      </c>
    </row>
    <row r="924" spans="1:63" x14ac:dyDescent="0.25">
      <c r="A924" s="306">
        <v>322210</v>
      </c>
      <c r="B924" s="309" t="s">
        <v>89</v>
      </c>
      <c r="C924" s="309">
        <v>16.9572</v>
      </c>
      <c r="D924" s="309">
        <v>0</v>
      </c>
      <c r="E924" s="309">
        <v>13.191700000000001</v>
      </c>
      <c r="F924" s="309">
        <v>11.832800000000001</v>
      </c>
      <c r="G924" s="309">
        <v>9.4717000000000002</v>
      </c>
      <c r="H924" s="309">
        <v>9.0984999999999996</v>
      </c>
      <c r="I924" s="309">
        <v>9.5993999999999993</v>
      </c>
      <c r="J924" s="309">
        <v>8.0643999999999991</v>
      </c>
      <c r="K924" s="309">
        <v>0</v>
      </c>
      <c r="L924" s="309">
        <v>7.3391999999999999</v>
      </c>
      <c r="M924" s="309">
        <v>10.1843</v>
      </c>
      <c r="N924" s="309">
        <v>13.013199999999999</v>
      </c>
      <c r="O924" s="309">
        <v>7.4518000000000004</v>
      </c>
      <c r="P924" s="309">
        <v>7.6773999999999996</v>
      </c>
      <c r="Q924" s="309">
        <v>10.1281</v>
      </c>
      <c r="R924" s="309">
        <v>9.8582999999999998</v>
      </c>
      <c r="S924" s="309">
        <v>10.805099999999999</v>
      </c>
      <c r="T924" s="309">
        <v>7.2716000000000003</v>
      </c>
      <c r="U924" s="309">
        <v>11.347099999999999</v>
      </c>
      <c r="V924" s="309">
        <v>11.3088</v>
      </c>
      <c r="W924" s="309">
        <v>9.0951000000000004</v>
      </c>
      <c r="X924" s="309">
        <v>8.1301000000000005</v>
      </c>
      <c r="Y924" s="309">
        <v>11.2903</v>
      </c>
      <c r="Z924" s="309">
        <v>13.2658</v>
      </c>
      <c r="AA924" s="309">
        <v>10.2807</v>
      </c>
      <c r="AB924" s="309">
        <v>9.3846000000000007</v>
      </c>
      <c r="AC924" s="309">
        <v>11.1907</v>
      </c>
      <c r="AD924" s="309">
        <v>10.6166</v>
      </c>
      <c r="AE924" s="309">
        <v>12.542400000000001</v>
      </c>
      <c r="AF924" s="309">
        <v>6.4789000000000003</v>
      </c>
      <c r="AG924" s="309">
        <v>7.2408000000000001</v>
      </c>
      <c r="AH924" s="309">
        <v>9.5455000000000005</v>
      </c>
      <c r="AI924" s="309">
        <v>7.8601000000000001</v>
      </c>
      <c r="AJ924" s="309">
        <v>8.8846000000000007</v>
      </c>
      <c r="AK924" s="309">
        <v>8.6389999999999993</v>
      </c>
      <c r="AL924" s="309">
        <v>7.484</v>
      </c>
      <c r="AM924" s="309">
        <v>13.205299999999999</v>
      </c>
      <c r="AN924" s="309">
        <v>11.6692</v>
      </c>
      <c r="AO924" s="309">
        <v>11.8232</v>
      </c>
      <c r="AP924" s="309">
        <v>11.5481</v>
      </c>
      <c r="AQ924" s="309">
        <v>9.2568999999999999</v>
      </c>
      <c r="AR924" s="309">
        <v>12.0764</v>
      </c>
      <c r="AS924" s="309">
        <v>7.5875000000000004</v>
      </c>
      <c r="AT924" s="309">
        <v>12.495799999999999</v>
      </c>
      <c r="AU924" s="309">
        <v>11.8584</v>
      </c>
      <c r="AV924" s="309">
        <v>11.417999999999999</v>
      </c>
      <c r="AW924" s="309">
        <v>11.5558</v>
      </c>
      <c r="AX924" s="309">
        <v>8.4283000000000001</v>
      </c>
      <c r="AY924" s="309">
        <v>11.472</v>
      </c>
      <c r="AZ924" s="309">
        <v>12.248699999999999</v>
      </c>
      <c r="BA924" s="309">
        <v>9.0047999999999995</v>
      </c>
      <c r="BB924" s="309">
        <v>0</v>
      </c>
      <c r="BC924" s="309">
        <v>11.2791</v>
      </c>
      <c r="BD924" s="309">
        <v>10.1015</v>
      </c>
      <c r="BE924" s="309">
        <v>13.3704</v>
      </c>
      <c r="BF924" s="309">
        <v>10.021699999999999</v>
      </c>
      <c r="BG924" s="309">
        <v>13.5062</v>
      </c>
      <c r="BH924" s="309">
        <v>13.8809</v>
      </c>
      <c r="BI924" s="309">
        <v>13.8461</v>
      </c>
      <c r="BJ924" s="309">
        <v>10.7807</v>
      </c>
      <c r="BK924" s="309">
        <v>10.7278</v>
      </c>
    </row>
    <row r="925" spans="1:63" x14ac:dyDescent="0.25">
      <c r="A925" s="306" t="s">
        <v>713</v>
      </c>
      <c r="B925" s="309" t="s">
        <v>90</v>
      </c>
      <c r="C925" s="309">
        <v>14.1142</v>
      </c>
      <c r="D925" s="309">
        <v>0</v>
      </c>
      <c r="E925" s="309">
        <v>9.3294999999999995</v>
      </c>
      <c r="F925" s="309">
        <v>9.3309999999999995</v>
      </c>
      <c r="G925" s="309">
        <v>7.5457999999999998</v>
      </c>
      <c r="H925" s="309">
        <v>8.3221000000000007</v>
      </c>
      <c r="I925" s="309">
        <v>8.4403000000000006</v>
      </c>
      <c r="J925" s="309">
        <v>6.9263000000000003</v>
      </c>
      <c r="K925" s="309">
        <v>0</v>
      </c>
      <c r="L925" s="309">
        <v>6.2472000000000003</v>
      </c>
      <c r="M925" s="309">
        <v>8.2155000000000005</v>
      </c>
      <c r="N925" s="309">
        <v>10.989800000000001</v>
      </c>
      <c r="O925" s="309">
        <v>0</v>
      </c>
      <c r="P925" s="309">
        <v>6.3723000000000001</v>
      </c>
      <c r="Q925" s="309">
        <v>0</v>
      </c>
      <c r="R925" s="309">
        <v>8.9398999999999997</v>
      </c>
      <c r="S925" s="309">
        <v>9.7073</v>
      </c>
      <c r="T925" s="309">
        <v>6.9276999999999997</v>
      </c>
      <c r="U925" s="309">
        <v>9.3884000000000007</v>
      </c>
      <c r="V925" s="309">
        <v>9.3048000000000002</v>
      </c>
      <c r="W925" s="309">
        <v>7.5586000000000002</v>
      </c>
      <c r="X925" s="309">
        <v>6.6999000000000004</v>
      </c>
      <c r="Y925" s="309">
        <v>0</v>
      </c>
      <c r="Z925" s="309">
        <v>10.1173</v>
      </c>
      <c r="AA925" s="309">
        <v>8.5550999999999995</v>
      </c>
      <c r="AB925" s="309">
        <v>8.2569999999999997</v>
      </c>
      <c r="AC925" s="309">
        <v>8.2917000000000005</v>
      </c>
      <c r="AD925" s="309">
        <v>0</v>
      </c>
      <c r="AE925" s="309">
        <v>10.116400000000001</v>
      </c>
      <c r="AF925" s="309">
        <v>0</v>
      </c>
      <c r="AG925" s="309">
        <v>6.5049000000000001</v>
      </c>
      <c r="AH925" s="309">
        <v>8.2809000000000008</v>
      </c>
      <c r="AI925" s="309">
        <v>7.1551999999999998</v>
      </c>
      <c r="AJ925" s="309">
        <v>6.0117000000000003</v>
      </c>
      <c r="AK925" s="309">
        <v>7.5534999999999997</v>
      </c>
      <c r="AL925" s="309">
        <v>6.1257999999999999</v>
      </c>
      <c r="AM925" s="309">
        <v>10.751099999999999</v>
      </c>
      <c r="AN925" s="309">
        <v>8.5298999999999996</v>
      </c>
      <c r="AO925" s="309">
        <v>9.2471999999999994</v>
      </c>
      <c r="AP925" s="309">
        <v>9.8224999999999998</v>
      </c>
      <c r="AQ925" s="309">
        <v>7.3941999999999997</v>
      </c>
      <c r="AR925" s="309">
        <v>10.249700000000001</v>
      </c>
      <c r="AS925" s="309">
        <v>0</v>
      </c>
      <c r="AT925" s="309">
        <v>10.231</v>
      </c>
      <c r="AU925" s="309">
        <v>9.8733000000000004</v>
      </c>
      <c r="AV925" s="309">
        <v>9.9342000000000006</v>
      </c>
      <c r="AW925" s="309">
        <v>9.1077999999999992</v>
      </c>
      <c r="AX925" s="309">
        <v>5.7573999999999996</v>
      </c>
      <c r="AY925" s="309">
        <v>8.6217000000000006</v>
      </c>
      <c r="AZ925" s="309">
        <v>9.8682999999999996</v>
      </c>
      <c r="BA925" s="309">
        <v>0</v>
      </c>
      <c r="BB925" s="309">
        <v>0</v>
      </c>
      <c r="BC925" s="309">
        <v>9.3094000000000001</v>
      </c>
      <c r="BD925" s="309">
        <v>8.6809999999999992</v>
      </c>
      <c r="BE925" s="309">
        <v>11.168200000000001</v>
      </c>
      <c r="BF925" s="309">
        <v>8.6540999999999997</v>
      </c>
      <c r="BG925" s="309">
        <v>11.157400000000001</v>
      </c>
      <c r="BH925" s="309">
        <v>11.2148</v>
      </c>
      <c r="BI925" s="309">
        <v>11.082000000000001</v>
      </c>
      <c r="BJ925" s="309">
        <v>8.8084000000000007</v>
      </c>
      <c r="BK925" s="309">
        <v>9.1128</v>
      </c>
    </row>
    <row r="926" spans="1:63" x14ac:dyDescent="0.25">
      <c r="A926" s="306" t="s">
        <v>714</v>
      </c>
      <c r="B926" s="309" t="s">
        <v>91</v>
      </c>
      <c r="C926" s="309">
        <v>17.338999999999999</v>
      </c>
      <c r="D926" s="309">
        <v>0</v>
      </c>
      <c r="E926" s="309">
        <v>13.109299999999999</v>
      </c>
      <c r="F926" s="309">
        <v>11.591200000000001</v>
      </c>
      <c r="G926" s="309">
        <v>10.617800000000001</v>
      </c>
      <c r="H926" s="309">
        <v>10.396800000000001</v>
      </c>
      <c r="I926" s="309">
        <v>0</v>
      </c>
      <c r="J926" s="309">
        <v>10.083299999999999</v>
      </c>
      <c r="K926" s="309">
        <v>0</v>
      </c>
      <c r="L926" s="309">
        <v>0</v>
      </c>
      <c r="M926" s="309">
        <v>10.092700000000001</v>
      </c>
      <c r="N926" s="309">
        <v>13.865</v>
      </c>
      <c r="O926" s="309">
        <v>8.2644000000000002</v>
      </c>
      <c r="P926" s="309">
        <v>8.7173999999999996</v>
      </c>
      <c r="Q926" s="309">
        <v>0</v>
      </c>
      <c r="R926" s="309">
        <v>11.6435</v>
      </c>
      <c r="S926" s="309">
        <v>11.578200000000001</v>
      </c>
      <c r="T926" s="309">
        <v>8.0572999999999997</v>
      </c>
      <c r="U926" s="309">
        <v>11.8752</v>
      </c>
      <c r="V926" s="309">
        <v>12.305</v>
      </c>
      <c r="W926" s="309">
        <v>9.6829999999999998</v>
      </c>
      <c r="X926" s="309">
        <v>0</v>
      </c>
      <c r="Y926" s="309">
        <v>12.5214</v>
      </c>
      <c r="Z926" s="309">
        <v>13.0801</v>
      </c>
      <c r="AA926" s="309">
        <v>10.6577</v>
      </c>
      <c r="AB926" s="309">
        <v>10.722200000000001</v>
      </c>
      <c r="AC926" s="309">
        <v>11.6114</v>
      </c>
      <c r="AD926" s="309">
        <v>0</v>
      </c>
      <c r="AE926" s="309">
        <v>12.747400000000001</v>
      </c>
      <c r="AF926" s="309">
        <v>0</v>
      </c>
      <c r="AG926" s="309">
        <v>7.2362000000000002</v>
      </c>
      <c r="AH926" s="309">
        <v>10.041700000000001</v>
      </c>
      <c r="AI926" s="309">
        <v>9.3557000000000006</v>
      </c>
      <c r="AJ926" s="309">
        <v>0</v>
      </c>
      <c r="AK926" s="309">
        <v>8.1914999999999996</v>
      </c>
      <c r="AL926" s="309">
        <v>8.5010999999999992</v>
      </c>
      <c r="AM926" s="309">
        <v>13.6608</v>
      </c>
      <c r="AN926" s="309">
        <v>12.5359</v>
      </c>
      <c r="AO926" s="309">
        <v>11.837400000000001</v>
      </c>
      <c r="AP926" s="309">
        <v>11.895</v>
      </c>
      <c r="AQ926" s="309">
        <v>8.0993999999999993</v>
      </c>
      <c r="AR926" s="309">
        <v>12.393599999999999</v>
      </c>
      <c r="AS926" s="309">
        <v>0</v>
      </c>
      <c r="AT926" s="309">
        <v>12.394600000000001</v>
      </c>
      <c r="AU926" s="309">
        <v>12.7219</v>
      </c>
      <c r="AV926" s="309">
        <v>12.281700000000001</v>
      </c>
      <c r="AW926" s="309">
        <v>11.3034</v>
      </c>
      <c r="AX926" s="309">
        <v>0</v>
      </c>
      <c r="AY926" s="309">
        <v>11.0962</v>
      </c>
      <c r="AZ926" s="309">
        <v>11.9671</v>
      </c>
      <c r="BA926" s="309">
        <v>9.4620999999999995</v>
      </c>
      <c r="BB926" s="309">
        <v>0</v>
      </c>
      <c r="BC926" s="309">
        <v>12.027200000000001</v>
      </c>
      <c r="BD926" s="309">
        <v>11.2035</v>
      </c>
      <c r="BE926" s="309">
        <v>14.231400000000001</v>
      </c>
      <c r="BF926" s="309">
        <v>10.9328</v>
      </c>
      <c r="BG926" s="309">
        <v>13.6838</v>
      </c>
      <c r="BH926" s="309">
        <v>13.796900000000001</v>
      </c>
      <c r="BI926" s="309">
        <v>14.4245</v>
      </c>
      <c r="BJ926" s="309">
        <v>10.8758</v>
      </c>
      <c r="BK926" s="309">
        <v>11.436500000000001</v>
      </c>
    </row>
    <row r="927" spans="1:63" x14ac:dyDescent="0.25">
      <c r="A927" s="306">
        <v>322230</v>
      </c>
      <c r="B927" s="309" t="s">
        <v>92</v>
      </c>
      <c r="C927" s="309">
        <v>17.3461</v>
      </c>
      <c r="D927" s="309">
        <v>0</v>
      </c>
      <c r="E927" s="309">
        <v>14.3574</v>
      </c>
      <c r="F927" s="309">
        <v>13.321999999999999</v>
      </c>
      <c r="G927" s="309">
        <v>10.405900000000001</v>
      </c>
      <c r="H927" s="309">
        <v>9.7766000000000002</v>
      </c>
      <c r="I927" s="309">
        <v>10.712899999999999</v>
      </c>
      <c r="J927" s="309">
        <v>8.8653999999999993</v>
      </c>
      <c r="K927" s="309">
        <v>0</v>
      </c>
      <c r="L927" s="309">
        <v>0</v>
      </c>
      <c r="M927" s="309">
        <v>10.9529</v>
      </c>
      <c r="N927" s="309">
        <v>13.1396</v>
      </c>
      <c r="O927" s="309">
        <v>8.2812999999999999</v>
      </c>
      <c r="P927" s="309">
        <v>9.1597000000000008</v>
      </c>
      <c r="Q927" s="309">
        <v>11.0601</v>
      </c>
      <c r="R927" s="309">
        <v>11.1374</v>
      </c>
      <c r="S927" s="309">
        <v>12.027200000000001</v>
      </c>
      <c r="T927" s="309">
        <v>8.9242000000000008</v>
      </c>
      <c r="U927" s="309">
        <v>11.501799999999999</v>
      </c>
      <c r="V927" s="309">
        <v>13.209300000000001</v>
      </c>
      <c r="W927" s="309">
        <v>9.5556999999999999</v>
      </c>
      <c r="X927" s="309">
        <v>8.2440999999999995</v>
      </c>
      <c r="Y927" s="309">
        <v>13.4155</v>
      </c>
      <c r="Z927" s="309">
        <v>13.637700000000001</v>
      </c>
      <c r="AA927" s="309">
        <v>10.7484</v>
      </c>
      <c r="AB927" s="309">
        <v>10.107100000000001</v>
      </c>
      <c r="AC927" s="309">
        <v>12.801399999999999</v>
      </c>
      <c r="AD927" s="309">
        <v>0</v>
      </c>
      <c r="AE927" s="309">
        <v>12.8889</v>
      </c>
      <c r="AF927" s="309">
        <v>0</v>
      </c>
      <c r="AG927" s="309">
        <v>8.1419999999999995</v>
      </c>
      <c r="AH927" s="309">
        <v>10.332800000000001</v>
      </c>
      <c r="AI927" s="309">
        <v>9.8542000000000005</v>
      </c>
      <c r="AJ927" s="309">
        <v>10.2065</v>
      </c>
      <c r="AK927" s="309">
        <v>10.813499999999999</v>
      </c>
      <c r="AL927" s="309">
        <v>8.1311999999999998</v>
      </c>
      <c r="AM927" s="309">
        <v>14.451000000000001</v>
      </c>
      <c r="AN927" s="309">
        <v>11.4826</v>
      </c>
      <c r="AO927" s="309">
        <v>12.8888</v>
      </c>
      <c r="AP927" s="309">
        <v>12.8499</v>
      </c>
      <c r="AQ927" s="309">
        <v>10.667999999999999</v>
      </c>
      <c r="AR927" s="309">
        <v>12.370799999999999</v>
      </c>
      <c r="AS927" s="309">
        <v>9.6812000000000005</v>
      </c>
      <c r="AT927" s="309">
        <v>13.258800000000001</v>
      </c>
      <c r="AU927" s="309">
        <v>12.2323</v>
      </c>
      <c r="AV927" s="309">
        <v>13.0098</v>
      </c>
      <c r="AW927" s="309">
        <v>11.986000000000001</v>
      </c>
      <c r="AX927" s="309">
        <v>0</v>
      </c>
      <c r="AY927" s="309">
        <v>12.0768</v>
      </c>
      <c r="AZ927" s="309">
        <v>12.9849</v>
      </c>
      <c r="BA927" s="309">
        <v>10.555300000000001</v>
      </c>
      <c r="BB927" s="309">
        <v>0</v>
      </c>
      <c r="BC927" s="309">
        <v>11.9383</v>
      </c>
      <c r="BD927" s="309">
        <v>11.4657</v>
      </c>
      <c r="BE927" s="309">
        <v>14.223100000000001</v>
      </c>
      <c r="BF927" s="309">
        <v>10.902100000000001</v>
      </c>
      <c r="BG927" s="309">
        <v>13.891400000000001</v>
      </c>
      <c r="BH927" s="309">
        <v>14.4573</v>
      </c>
      <c r="BI927" s="309">
        <v>14.0608</v>
      </c>
      <c r="BJ927" s="309">
        <v>11.7531</v>
      </c>
      <c r="BK927" s="309">
        <v>11.1896</v>
      </c>
    </row>
    <row r="928" spans="1:63" x14ac:dyDescent="0.25">
      <c r="A928" s="306">
        <v>322291</v>
      </c>
      <c r="B928" s="309" t="s">
        <v>93</v>
      </c>
      <c r="C928" s="309">
        <v>9.0609000000000002</v>
      </c>
      <c r="D928" s="309">
        <v>0</v>
      </c>
      <c r="E928" s="309">
        <v>0</v>
      </c>
      <c r="F928" s="309">
        <v>5.78</v>
      </c>
      <c r="G928" s="309">
        <v>5.5279999999999996</v>
      </c>
      <c r="H928" s="309">
        <v>5.0369000000000002</v>
      </c>
      <c r="I928" s="309">
        <v>0</v>
      </c>
      <c r="J928" s="309">
        <v>0</v>
      </c>
      <c r="K928" s="309">
        <v>0</v>
      </c>
      <c r="L928" s="309">
        <v>3.6284000000000001</v>
      </c>
      <c r="M928" s="309">
        <v>5.3269000000000002</v>
      </c>
      <c r="N928" s="309">
        <v>6.5259</v>
      </c>
      <c r="O928" s="309">
        <v>0</v>
      </c>
      <c r="P928" s="309">
        <v>0</v>
      </c>
      <c r="Q928" s="309">
        <v>5.2964000000000002</v>
      </c>
      <c r="R928" s="309">
        <v>5.9672000000000001</v>
      </c>
      <c r="S928" s="309">
        <v>6.6444999999999999</v>
      </c>
      <c r="T928" s="309">
        <v>0</v>
      </c>
      <c r="U928" s="309">
        <v>6.2954999999999997</v>
      </c>
      <c r="V928" s="309">
        <v>0</v>
      </c>
      <c r="W928" s="309">
        <v>5.7849000000000004</v>
      </c>
      <c r="X928" s="309">
        <v>5.0415999999999999</v>
      </c>
      <c r="Y928" s="309">
        <v>6.4598000000000004</v>
      </c>
      <c r="Z928" s="309">
        <v>7.5541</v>
      </c>
      <c r="AA928" s="309">
        <v>6.7248999999999999</v>
      </c>
      <c r="AB928" s="309">
        <v>5.1102999999999996</v>
      </c>
      <c r="AC928" s="309">
        <v>6.4492000000000003</v>
      </c>
      <c r="AD928" s="309">
        <v>0</v>
      </c>
      <c r="AE928" s="309">
        <v>6.6539999999999999</v>
      </c>
      <c r="AF928" s="309">
        <v>0</v>
      </c>
      <c r="AG928" s="309">
        <v>5.0284000000000004</v>
      </c>
      <c r="AH928" s="309">
        <v>0</v>
      </c>
      <c r="AI928" s="309">
        <v>4.3044000000000002</v>
      </c>
      <c r="AJ928" s="309">
        <v>5.3944999999999999</v>
      </c>
      <c r="AK928" s="309">
        <v>4.3581000000000003</v>
      </c>
      <c r="AL928" s="309">
        <v>4.2068000000000003</v>
      </c>
      <c r="AM928" s="309">
        <v>7.5273000000000003</v>
      </c>
      <c r="AN928" s="309">
        <v>0</v>
      </c>
      <c r="AO928" s="309">
        <v>5.3457999999999997</v>
      </c>
      <c r="AP928" s="309">
        <v>6.4236000000000004</v>
      </c>
      <c r="AQ928" s="309">
        <v>0</v>
      </c>
      <c r="AR928" s="309">
        <v>6.6010999999999997</v>
      </c>
      <c r="AS928" s="309">
        <v>0</v>
      </c>
      <c r="AT928" s="309">
        <v>6.4531000000000001</v>
      </c>
      <c r="AU928" s="309">
        <v>5.6113</v>
      </c>
      <c r="AV928" s="309">
        <v>5.9116999999999997</v>
      </c>
      <c r="AW928" s="309">
        <v>0</v>
      </c>
      <c r="AX928" s="309">
        <v>0</v>
      </c>
      <c r="AY928" s="309">
        <v>5.3072999999999997</v>
      </c>
      <c r="AZ928" s="309">
        <v>6.6684999999999999</v>
      </c>
      <c r="BA928" s="309">
        <v>0</v>
      </c>
      <c r="BB928" s="309">
        <v>0</v>
      </c>
      <c r="BC928" s="309">
        <v>6.3217999999999996</v>
      </c>
      <c r="BD928" s="309">
        <v>5.4592999999999998</v>
      </c>
      <c r="BE928" s="309">
        <v>7.4255000000000004</v>
      </c>
      <c r="BF928" s="309">
        <v>5.4622999999999999</v>
      </c>
      <c r="BG928" s="309">
        <v>6.9183000000000003</v>
      </c>
      <c r="BH928" s="309">
        <v>7.3784000000000001</v>
      </c>
      <c r="BI928" s="309">
        <v>6.6227999999999998</v>
      </c>
      <c r="BJ928" s="309">
        <v>5.4878999999999998</v>
      </c>
      <c r="BK928" s="309">
        <v>5.3558000000000003</v>
      </c>
    </row>
    <row r="929" spans="1:63" x14ac:dyDescent="0.25">
      <c r="A929" s="306">
        <v>322299</v>
      </c>
      <c r="B929" s="309" t="s">
        <v>94</v>
      </c>
      <c r="C929" s="309">
        <v>17.0504</v>
      </c>
      <c r="D929" s="309">
        <v>6.7385999999999999</v>
      </c>
      <c r="E929" s="309">
        <v>12.548400000000001</v>
      </c>
      <c r="F929" s="309">
        <v>13.7811</v>
      </c>
      <c r="G929" s="309">
        <v>10.7232</v>
      </c>
      <c r="H929" s="309">
        <v>10.4963</v>
      </c>
      <c r="I929" s="309">
        <v>11.246700000000001</v>
      </c>
      <c r="J929" s="309">
        <v>9.1241000000000003</v>
      </c>
      <c r="K929" s="309">
        <v>0</v>
      </c>
      <c r="L929" s="309">
        <v>9.0494000000000003</v>
      </c>
      <c r="M929" s="309">
        <v>11.741899999999999</v>
      </c>
      <c r="N929" s="309">
        <v>14.9664</v>
      </c>
      <c r="O929" s="309">
        <v>10.436500000000001</v>
      </c>
      <c r="P929" s="309">
        <v>8.8230000000000004</v>
      </c>
      <c r="Q929" s="309">
        <v>9.7370999999999999</v>
      </c>
      <c r="R929" s="309">
        <v>10.7182</v>
      </c>
      <c r="S929" s="309">
        <v>11.355399999999999</v>
      </c>
      <c r="T929" s="309">
        <v>8.2012999999999998</v>
      </c>
      <c r="U929" s="309">
        <v>10.797599999999999</v>
      </c>
      <c r="V929" s="309">
        <v>12.6515</v>
      </c>
      <c r="W929" s="309">
        <v>8.5853000000000002</v>
      </c>
      <c r="X929" s="309">
        <v>8.0436999999999994</v>
      </c>
      <c r="Y929" s="309">
        <v>11.416499999999999</v>
      </c>
      <c r="Z929" s="309">
        <v>12.5022</v>
      </c>
      <c r="AA929" s="309">
        <v>11.530099999999999</v>
      </c>
      <c r="AB929" s="309">
        <v>11.717499999999999</v>
      </c>
      <c r="AC929" s="309">
        <v>13.5909</v>
      </c>
      <c r="AD929" s="309">
        <v>12.853999999999999</v>
      </c>
      <c r="AE929" s="309">
        <v>12.6</v>
      </c>
      <c r="AF929" s="309">
        <v>6.2110000000000003</v>
      </c>
      <c r="AG929" s="309">
        <v>7.8066000000000004</v>
      </c>
      <c r="AH929" s="309">
        <v>9.0185999999999993</v>
      </c>
      <c r="AI929" s="309">
        <v>9.4730000000000008</v>
      </c>
      <c r="AJ929" s="309">
        <v>0</v>
      </c>
      <c r="AK929" s="309">
        <v>9.2960999999999991</v>
      </c>
      <c r="AL929" s="309">
        <v>9.2317999999999998</v>
      </c>
      <c r="AM929" s="309">
        <v>13.4246</v>
      </c>
      <c r="AN929" s="309">
        <v>12.746</v>
      </c>
      <c r="AO929" s="309">
        <v>11.514099999999999</v>
      </c>
      <c r="AP929" s="309">
        <v>11.924799999999999</v>
      </c>
      <c r="AQ929" s="309">
        <v>9.8887999999999998</v>
      </c>
      <c r="AR929" s="309">
        <v>13.5237</v>
      </c>
      <c r="AS929" s="309">
        <v>0</v>
      </c>
      <c r="AT929" s="309">
        <v>13.971500000000001</v>
      </c>
      <c r="AU929" s="309">
        <v>11.9832</v>
      </c>
      <c r="AV929" s="309">
        <v>14.5733</v>
      </c>
      <c r="AW929" s="309">
        <v>13.033099999999999</v>
      </c>
      <c r="AX929" s="309">
        <v>0</v>
      </c>
      <c r="AY929" s="309">
        <v>11.355399999999999</v>
      </c>
      <c r="AZ929" s="309">
        <v>12.8361</v>
      </c>
      <c r="BA929" s="309">
        <v>0</v>
      </c>
      <c r="BB929" s="309">
        <v>0</v>
      </c>
      <c r="BC929" s="309">
        <v>11.299099999999999</v>
      </c>
      <c r="BD929" s="309">
        <v>11.290100000000001</v>
      </c>
      <c r="BE929" s="309">
        <v>13.5899</v>
      </c>
      <c r="BF929" s="309">
        <v>11.3331</v>
      </c>
      <c r="BG929" s="309">
        <v>14.460900000000001</v>
      </c>
      <c r="BH929" s="309">
        <v>13.9658</v>
      </c>
      <c r="BI929" s="309">
        <v>13.5223</v>
      </c>
      <c r="BJ929" s="309">
        <v>12.236499999999999</v>
      </c>
      <c r="BK929" s="309">
        <v>11.551399999999999</v>
      </c>
    </row>
    <row r="930" spans="1:63" x14ac:dyDescent="0.25">
      <c r="A930" s="306">
        <v>323110</v>
      </c>
      <c r="B930" s="309" t="s">
        <v>95</v>
      </c>
      <c r="C930" s="309">
        <v>20.1142</v>
      </c>
      <c r="D930" s="309">
        <v>13.9032</v>
      </c>
      <c r="E930" s="309">
        <v>16.8567</v>
      </c>
      <c r="F930" s="309">
        <v>14.906499999999999</v>
      </c>
      <c r="G930" s="309">
        <v>15.7012</v>
      </c>
      <c r="H930" s="309">
        <v>14.698700000000001</v>
      </c>
      <c r="I930" s="309">
        <v>15.564500000000001</v>
      </c>
      <c r="J930" s="309">
        <v>11.503399999999999</v>
      </c>
      <c r="K930" s="309">
        <v>1.5349999999999999</v>
      </c>
      <c r="L930" s="309">
        <v>10.4986</v>
      </c>
      <c r="M930" s="309">
        <v>16.216799999999999</v>
      </c>
      <c r="N930" s="309">
        <v>16.120799999999999</v>
      </c>
      <c r="O930" s="309">
        <v>15.6677</v>
      </c>
      <c r="P930" s="309">
        <v>13.4171</v>
      </c>
      <c r="Q930" s="309">
        <v>15.4015</v>
      </c>
      <c r="R930" s="309">
        <v>14.3439</v>
      </c>
      <c r="S930" s="309">
        <v>15.181699999999999</v>
      </c>
      <c r="T930" s="309">
        <v>12.5794</v>
      </c>
      <c r="U930" s="309">
        <v>14.995900000000001</v>
      </c>
      <c r="V930" s="309">
        <v>16.723600000000001</v>
      </c>
      <c r="W930" s="309">
        <v>12.052300000000001</v>
      </c>
      <c r="X930" s="309">
        <v>11.8193</v>
      </c>
      <c r="Y930" s="309">
        <v>15.5852</v>
      </c>
      <c r="Z930" s="309">
        <v>16.459</v>
      </c>
      <c r="AA930" s="309">
        <v>14.8392</v>
      </c>
      <c r="AB930" s="309">
        <v>13.8247</v>
      </c>
      <c r="AC930" s="309">
        <v>15.474600000000001</v>
      </c>
      <c r="AD930" s="309">
        <v>15.5174</v>
      </c>
      <c r="AE930" s="309">
        <v>15.2911</v>
      </c>
      <c r="AF930" s="309">
        <v>11.5787</v>
      </c>
      <c r="AG930" s="309">
        <v>12.5459</v>
      </c>
      <c r="AH930" s="309">
        <v>13.4788</v>
      </c>
      <c r="AI930" s="309">
        <v>12.0953</v>
      </c>
      <c r="AJ930" s="309">
        <v>15.744</v>
      </c>
      <c r="AK930" s="309">
        <v>13.1508</v>
      </c>
      <c r="AL930" s="309">
        <v>10.953799999999999</v>
      </c>
      <c r="AM930" s="309">
        <v>16.937799999999999</v>
      </c>
      <c r="AN930" s="309">
        <v>17.326799999999999</v>
      </c>
      <c r="AO930" s="309">
        <v>15.644500000000001</v>
      </c>
      <c r="AP930" s="309">
        <v>15.667899999999999</v>
      </c>
      <c r="AQ930" s="309">
        <v>12.914099999999999</v>
      </c>
      <c r="AR930" s="309">
        <v>16.916699999999999</v>
      </c>
      <c r="AS930" s="309">
        <v>13.2033</v>
      </c>
      <c r="AT930" s="309">
        <v>15.513299999999999</v>
      </c>
      <c r="AU930" s="309">
        <v>15.9732</v>
      </c>
      <c r="AV930" s="309">
        <v>17.946200000000001</v>
      </c>
      <c r="AW930" s="309">
        <v>14.262</v>
      </c>
      <c r="AX930" s="309">
        <v>13.205399999999999</v>
      </c>
      <c r="AY930" s="309">
        <v>14.8643</v>
      </c>
      <c r="AZ930" s="309">
        <v>15.5436</v>
      </c>
      <c r="BA930" s="309">
        <v>13.9823</v>
      </c>
      <c r="BB930" s="309">
        <v>13.028</v>
      </c>
      <c r="BC930" s="309">
        <v>14.497</v>
      </c>
      <c r="BD930" s="309">
        <v>14.664999999999999</v>
      </c>
      <c r="BE930" s="309">
        <v>17.0381</v>
      </c>
      <c r="BF930" s="309">
        <v>15.1677</v>
      </c>
      <c r="BG930" s="309">
        <v>16.972799999999999</v>
      </c>
      <c r="BH930" s="309">
        <v>16.7776</v>
      </c>
      <c r="BI930" s="309">
        <v>17.2971</v>
      </c>
      <c r="BJ930" s="309">
        <v>16.404199999999999</v>
      </c>
      <c r="BK930" s="309">
        <v>15.5169</v>
      </c>
    </row>
    <row r="931" spans="1:63" x14ac:dyDescent="0.25">
      <c r="A931" s="306">
        <v>323120</v>
      </c>
      <c r="B931" s="309" t="s">
        <v>96</v>
      </c>
      <c r="C931" s="309">
        <v>23.6295</v>
      </c>
      <c r="D931" s="309">
        <v>21.017800000000001</v>
      </c>
      <c r="E931" s="309">
        <v>16.1112</v>
      </c>
      <c r="F931" s="309">
        <v>22.760100000000001</v>
      </c>
      <c r="G931" s="309">
        <v>20.065000000000001</v>
      </c>
      <c r="H931" s="309">
        <v>18.098600000000001</v>
      </c>
      <c r="I931" s="309">
        <v>20.578199999999999</v>
      </c>
      <c r="J931" s="309">
        <v>13.447100000000001</v>
      </c>
      <c r="K931" s="309">
        <v>2.0922000000000001</v>
      </c>
      <c r="L931" s="309">
        <v>14.6905</v>
      </c>
      <c r="M931" s="309">
        <v>19.776900000000001</v>
      </c>
      <c r="N931" s="309">
        <v>23.7361</v>
      </c>
      <c r="O931" s="309">
        <v>21.021999999999998</v>
      </c>
      <c r="P931" s="309">
        <v>17.602399999999999</v>
      </c>
      <c r="Q931" s="309">
        <v>20.9786</v>
      </c>
      <c r="R931" s="309">
        <v>18.234300000000001</v>
      </c>
      <c r="S931" s="309">
        <v>22.538799999999998</v>
      </c>
      <c r="T931" s="309">
        <v>15.619400000000001</v>
      </c>
      <c r="U931" s="309">
        <v>16.482700000000001</v>
      </c>
      <c r="V931" s="309">
        <v>24.116700000000002</v>
      </c>
      <c r="W931" s="309">
        <v>14.418200000000001</v>
      </c>
      <c r="X931" s="309">
        <v>17.130700000000001</v>
      </c>
      <c r="Y931" s="309">
        <v>22.668299999999999</v>
      </c>
      <c r="Z931" s="309">
        <v>18.939699999999998</v>
      </c>
      <c r="AA931" s="309">
        <v>16.766200000000001</v>
      </c>
      <c r="AB931" s="309">
        <v>16.1675</v>
      </c>
      <c r="AC931" s="309">
        <v>21.837900000000001</v>
      </c>
      <c r="AD931" s="309">
        <v>16.910599999999999</v>
      </c>
      <c r="AE931" s="309">
        <v>20.700099999999999</v>
      </c>
      <c r="AF931" s="309">
        <v>16.210699999999999</v>
      </c>
      <c r="AG931" s="309">
        <v>18.270499999999998</v>
      </c>
      <c r="AH931" s="309">
        <v>16.417400000000001</v>
      </c>
      <c r="AI931" s="309">
        <v>15.229799999999999</v>
      </c>
      <c r="AJ931" s="309">
        <v>23.1648</v>
      </c>
      <c r="AK931" s="309">
        <v>21.55</v>
      </c>
      <c r="AL931" s="309">
        <v>14.542199999999999</v>
      </c>
      <c r="AM931" s="309">
        <v>19.684999999999999</v>
      </c>
      <c r="AN931" s="309">
        <v>24.681899999999999</v>
      </c>
      <c r="AO931" s="309">
        <v>18.915700000000001</v>
      </c>
      <c r="AP931" s="309">
        <v>19.603400000000001</v>
      </c>
      <c r="AQ931" s="309">
        <v>16.229199999999999</v>
      </c>
      <c r="AR931" s="309">
        <v>20.900200000000002</v>
      </c>
      <c r="AS931" s="309">
        <v>0</v>
      </c>
      <c r="AT931" s="309">
        <v>20.804600000000001</v>
      </c>
      <c r="AU931" s="309">
        <v>20.987400000000001</v>
      </c>
      <c r="AV931" s="309">
        <v>26.034700000000001</v>
      </c>
      <c r="AW931" s="309">
        <v>16.314</v>
      </c>
      <c r="AX931" s="309">
        <v>15.874499999999999</v>
      </c>
      <c r="AY931" s="309">
        <v>19.7041</v>
      </c>
      <c r="AZ931" s="309">
        <v>18.6402</v>
      </c>
      <c r="BA931" s="309">
        <v>0</v>
      </c>
      <c r="BB931" s="309">
        <v>0</v>
      </c>
      <c r="BC931" s="309">
        <v>16.862200000000001</v>
      </c>
      <c r="BD931" s="309">
        <v>18.4345</v>
      </c>
      <c r="BE931" s="309">
        <v>20.373100000000001</v>
      </c>
      <c r="BF931" s="309">
        <v>17.890699999999999</v>
      </c>
      <c r="BG931" s="309">
        <v>22.270199999999999</v>
      </c>
      <c r="BH931" s="309">
        <v>20.046900000000001</v>
      </c>
      <c r="BI931" s="309">
        <v>22.117000000000001</v>
      </c>
      <c r="BJ931" s="309">
        <v>21.958500000000001</v>
      </c>
      <c r="BK931" s="309">
        <v>18.8855</v>
      </c>
    </row>
    <row r="932" spans="1:63" x14ac:dyDescent="0.25">
      <c r="A932" s="306">
        <v>324110</v>
      </c>
      <c r="B932" s="309" t="s">
        <v>97</v>
      </c>
      <c r="C932" s="309">
        <v>9.3202999999999996</v>
      </c>
      <c r="D932" s="309">
        <v>4.7591000000000001</v>
      </c>
      <c r="E932" s="309">
        <v>5.0212000000000003</v>
      </c>
      <c r="F932" s="309">
        <v>5.4194000000000004</v>
      </c>
      <c r="G932" s="309">
        <v>3.8904000000000001</v>
      </c>
      <c r="H932" s="309">
        <v>5.2751000000000001</v>
      </c>
      <c r="I932" s="309">
        <v>6.5991</v>
      </c>
      <c r="J932" s="309">
        <v>0</v>
      </c>
      <c r="K932" s="309">
        <v>0.49959999999999999</v>
      </c>
      <c r="L932" s="309">
        <v>2.7988</v>
      </c>
      <c r="M932" s="309">
        <v>4.7545999999999999</v>
      </c>
      <c r="N932" s="309">
        <v>4.2164000000000001</v>
      </c>
      <c r="O932" s="309">
        <v>3.8405</v>
      </c>
      <c r="P932" s="309">
        <v>2.9823</v>
      </c>
      <c r="Q932" s="309">
        <v>3.6486999999999998</v>
      </c>
      <c r="R932" s="309">
        <v>4.4123000000000001</v>
      </c>
      <c r="S932" s="309">
        <v>3.9354</v>
      </c>
      <c r="T932" s="309">
        <v>5.4461000000000004</v>
      </c>
      <c r="U932" s="309">
        <v>4.6012000000000004</v>
      </c>
      <c r="V932" s="309">
        <v>6.5058999999999996</v>
      </c>
      <c r="W932" s="309">
        <v>3.7378999999999998</v>
      </c>
      <c r="X932" s="309">
        <v>4.0312000000000001</v>
      </c>
      <c r="Y932" s="309">
        <v>4.6148999999999996</v>
      </c>
      <c r="Z932" s="309">
        <v>4.5926999999999998</v>
      </c>
      <c r="AA932" s="309">
        <v>3.9702999999999999</v>
      </c>
      <c r="AB932" s="309">
        <v>4.5148999999999999</v>
      </c>
      <c r="AC932" s="309">
        <v>4.8216000000000001</v>
      </c>
      <c r="AD932" s="309">
        <v>5.7554999999999996</v>
      </c>
      <c r="AE932" s="309">
        <v>4.6163999999999996</v>
      </c>
      <c r="AF932" s="309">
        <v>4.7751999999999999</v>
      </c>
      <c r="AG932" s="309">
        <v>3.0112000000000001</v>
      </c>
      <c r="AH932" s="309">
        <v>4.1692999999999998</v>
      </c>
      <c r="AI932" s="309">
        <v>3.7993000000000001</v>
      </c>
      <c r="AJ932" s="309">
        <v>6.4340999999999999</v>
      </c>
      <c r="AK932" s="309">
        <v>3.9135</v>
      </c>
      <c r="AL932" s="309">
        <v>2.6884999999999999</v>
      </c>
      <c r="AM932" s="309">
        <v>5.4997999999999996</v>
      </c>
      <c r="AN932" s="309">
        <v>7.3860000000000001</v>
      </c>
      <c r="AO932" s="309">
        <v>3.5001000000000002</v>
      </c>
      <c r="AP932" s="309">
        <v>4.9800000000000004</v>
      </c>
      <c r="AQ932" s="309">
        <v>0</v>
      </c>
      <c r="AR932" s="309">
        <v>4.8464999999999998</v>
      </c>
      <c r="AS932" s="309">
        <v>2.7515999999999998</v>
      </c>
      <c r="AT932" s="309">
        <v>3.9878</v>
      </c>
      <c r="AU932" s="309">
        <v>7.1645000000000003</v>
      </c>
      <c r="AV932" s="309">
        <v>7.6410999999999998</v>
      </c>
      <c r="AW932" s="309">
        <v>3.6795</v>
      </c>
      <c r="AX932" s="309">
        <v>0</v>
      </c>
      <c r="AY932" s="309">
        <v>3.9912000000000001</v>
      </c>
      <c r="AZ932" s="309">
        <v>3.9599000000000002</v>
      </c>
      <c r="BA932" s="309">
        <v>6.3640999999999996</v>
      </c>
      <c r="BB932" s="309">
        <v>5.1622000000000003</v>
      </c>
      <c r="BC932" s="309">
        <v>4.6436999999999999</v>
      </c>
      <c r="BD932" s="309">
        <v>4.2350000000000003</v>
      </c>
      <c r="BE932" s="309">
        <v>5.0765000000000002</v>
      </c>
      <c r="BF932" s="309">
        <v>4.5075000000000003</v>
      </c>
      <c r="BG932" s="309">
        <v>4.7813999999999997</v>
      </c>
      <c r="BH932" s="309">
        <v>5.2507999999999999</v>
      </c>
      <c r="BI932" s="309">
        <v>7.5579999999999998</v>
      </c>
      <c r="BJ932" s="309">
        <v>7.4515000000000002</v>
      </c>
      <c r="BK932" s="309">
        <v>5.5744999999999996</v>
      </c>
    </row>
    <row r="933" spans="1:63" x14ac:dyDescent="0.25">
      <c r="A933" s="306">
        <v>324121</v>
      </c>
      <c r="B933" s="309" t="s">
        <v>98</v>
      </c>
      <c r="C933" s="309">
        <v>15.458</v>
      </c>
      <c r="D933" s="309">
        <v>6.8400999999999996</v>
      </c>
      <c r="E933" s="309">
        <v>10.5116</v>
      </c>
      <c r="F933" s="309">
        <v>10.3072</v>
      </c>
      <c r="G933" s="309">
        <v>7.5937999999999999</v>
      </c>
      <c r="H933" s="309">
        <v>9.6105999999999998</v>
      </c>
      <c r="I933" s="309">
        <v>10.0357</v>
      </c>
      <c r="J933" s="309">
        <v>6.2961999999999998</v>
      </c>
      <c r="K933" s="309">
        <v>0</v>
      </c>
      <c r="L933" s="309">
        <v>7.6855000000000002</v>
      </c>
      <c r="M933" s="309">
        <v>8.8506999999999998</v>
      </c>
      <c r="N933" s="309">
        <v>9.9756999999999998</v>
      </c>
      <c r="O933" s="309">
        <v>7.9043000000000001</v>
      </c>
      <c r="P933" s="309">
        <v>5.3502999999999998</v>
      </c>
      <c r="Q933" s="309">
        <v>6.2489999999999997</v>
      </c>
      <c r="R933" s="309">
        <v>9.4857999999999993</v>
      </c>
      <c r="S933" s="309">
        <v>8.4419000000000004</v>
      </c>
      <c r="T933" s="309">
        <v>9.2933000000000003</v>
      </c>
      <c r="U933" s="309">
        <v>10.234</v>
      </c>
      <c r="V933" s="309">
        <v>10.7064</v>
      </c>
      <c r="W933" s="309">
        <v>7.1379999999999999</v>
      </c>
      <c r="X933" s="309">
        <v>8.0814000000000004</v>
      </c>
      <c r="Y933" s="309">
        <v>9.2893000000000008</v>
      </c>
      <c r="Z933" s="309">
        <v>8.9815000000000005</v>
      </c>
      <c r="AA933" s="309">
        <v>10.5778</v>
      </c>
      <c r="AB933" s="309">
        <v>8.3947000000000003</v>
      </c>
      <c r="AC933" s="309">
        <v>8.5565999999999995</v>
      </c>
      <c r="AD933" s="309">
        <v>10.3988</v>
      </c>
      <c r="AE933" s="309">
        <v>10.145200000000001</v>
      </c>
      <c r="AF933" s="309">
        <v>0</v>
      </c>
      <c r="AG933" s="309">
        <v>0</v>
      </c>
      <c r="AH933" s="309">
        <v>7.9109999999999996</v>
      </c>
      <c r="AI933" s="309">
        <v>8.9063999999999997</v>
      </c>
      <c r="AJ933" s="309">
        <v>10.2492</v>
      </c>
      <c r="AK933" s="309">
        <v>6.9177999999999997</v>
      </c>
      <c r="AL933" s="309">
        <v>5.8457999999999997</v>
      </c>
      <c r="AM933" s="309">
        <v>11.1424</v>
      </c>
      <c r="AN933" s="309">
        <v>12.053699999999999</v>
      </c>
      <c r="AO933" s="309">
        <v>8.7517999999999994</v>
      </c>
      <c r="AP933" s="309">
        <v>10.5204</v>
      </c>
      <c r="AQ933" s="309">
        <v>7.0315000000000003</v>
      </c>
      <c r="AR933" s="309">
        <v>9.8209999999999997</v>
      </c>
      <c r="AS933" s="309">
        <v>5.5384000000000002</v>
      </c>
      <c r="AT933" s="309">
        <v>9.3908000000000005</v>
      </c>
      <c r="AU933" s="309">
        <v>11.7746</v>
      </c>
      <c r="AV933" s="309">
        <v>13.914999999999999</v>
      </c>
      <c r="AW933" s="309">
        <v>7.6745999999999999</v>
      </c>
      <c r="AX933" s="309">
        <v>6.6203000000000003</v>
      </c>
      <c r="AY933" s="309">
        <v>8.2879000000000005</v>
      </c>
      <c r="AZ933" s="309">
        <v>9.4204000000000008</v>
      </c>
      <c r="BA933" s="309">
        <v>8.0386000000000006</v>
      </c>
      <c r="BB933" s="309">
        <v>8.7932000000000006</v>
      </c>
      <c r="BC933" s="309">
        <v>8.6610999999999994</v>
      </c>
      <c r="BD933" s="309">
        <v>9.3074999999999992</v>
      </c>
      <c r="BE933" s="309">
        <v>10.978899999999999</v>
      </c>
      <c r="BF933" s="309">
        <v>9.3650000000000002</v>
      </c>
      <c r="BG933" s="309">
        <v>10.433</v>
      </c>
      <c r="BH933" s="309">
        <v>11.5364</v>
      </c>
      <c r="BI933" s="309">
        <v>12.5543</v>
      </c>
      <c r="BJ933" s="309">
        <v>11.107699999999999</v>
      </c>
      <c r="BK933" s="309">
        <v>9.9936000000000007</v>
      </c>
    </row>
    <row r="934" spans="1:63" x14ac:dyDescent="0.25">
      <c r="A934" s="306">
        <v>324122</v>
      </c>
      <c r="B934" s="309" t="s">
        <v>99</v>
      </c>
      <c r="C934" s="309">
        <v>15.6424</v>
      </c>
      <c r="D934" s="309">
        <v>0</v>
      </c>
      <c r="E934" s="309">
        <v>9.9506999999999994</v>
      </c>
      <c r="F934" s="309">
        <v>8.6202000000000005</v>
      </c>
      <c r="G934" s="309">
        <v>8.2576000000000001</v>
      </c>
      <c r="H934" s="309">
        <v>10.5547</v>
      </c>
      <c r="I934" s="309">
        <v>10.492100000000001</v>
      </c>
      <c r="J934" s="309">
        <v>6.923</v>
      </c>
      <c r="K934" s="309">
        <v>0</v>
      </c>
      <c r="L934" s="309">
        <v>7.5437000000000003</v>
      </c>
      <c r="M934" s="309">
        <v>9.2584</v>
      </c>
      <c r="N934" s="309">
        <v>10.6479</v>
      </c>
      <c r="O934" s="309">
        <v>0</v>
      </c>
      <c r="P934" s="309">
        <v>6.4908000000000001</v>
      </c>
      <c r="Q934" s="309">
        <v>6.7164999999999999</v>
      </c>
      <c r="R934" s="309">
        <v>10.5566</v>
      </c>
      <c r="S934" s="309">
        <v>9.7408999999999999</v>
      </c>
      <c r="T934" s="309">
        <v>8.9288000000000007</v>
      </c>
      <c r="U934" s="309">
        <v>0</v>
      </c>
      <c r="V934" s="309">
        <v>10.700200000000001</v>
      </c>
      <c r="W934" s="309">
        <v>7.8023999999999996</v>
      </c>
      <c r="X934" s="309">
        <v>7.1134000000000004</v>
      </c>
      <c r="Y934" s="309">
        <v>0</v>
      </c>
      <c r="Z934" s="309">
        <v>9.6364999999999998</v>
      </c>
      <c r="AA934" s="309">
        <v>9.4055</v>
      </c>
      <c r="AB934" s="309">
        <v>9.0581999999999994</v>
      </c>
      <c r="AC934" s="309">
        <v>8.6903000000000006</v>
      </c>
      <c r="AD934" s="309">
        <v>0</v>
      </c>
      <c r="AE934" s="309">
        <v>9.8996999999999993</v>
      </c>
      <c r="AF934" s="309">
        <v>0</v>
      </c>
      <c r="AG934" s="309">
        <v>8.0511999999999997</v>
      </c>
      <c r="AH934" s="309">
        <v>9.1341000000000001</v>
      </c>
      <c r="AI934" s="309">
        <v>9.1190999999999995</v>
      </c>
      <c r="AJ934" s="309">
        <v>0</v>
      </c>
      <c r="AK934" s="309">
        <v>8.1399000000000008</v>
      </c>
      <c r="AL934" s="309">
        <v>6.5037000000000003</v>
      </c>
      <c r="AM934" s="309">
        <v>11.6447</v>
      </c>
      <c r="AN934" s="309">
        <v>11.540699999999999</v>
      </c>
      <c r="AO934" s="309">
        <v>9.1024999999999991</v>
      </c>
      <c r="AP934" s="309">
        <v>11.3643</v>
      </c>
      <c r="AQ934" s="309">
        <v>0</v>
      </c>
      <c r="AR934" s="309">
        <v>9.3240999999999996</v>
      </c>
      <c r="AS934" s="309">
        <v>0</v>
      </c>
      <c r="AT934" s="309">
        <v>9.5259</v>
      </c>
      <c r="AU934" s="309">
        <v>11.7715</v>
      </c>
      <c r="AV934" s="309">
        <v>13.3489</v>
      </c>
      <c r="AW934" s="309">
        <v>8.8277000000000001</v>
      </c>
      <c r="AX934" s="309">
        <v>0</v>
      </c>
      <c r="AY934" s="309">
        <v>10.651300000000001</v>
      </c>
      <c r="AZ934" s="309">
        <v>9.7408999999999999</v>
      </c>
      <c r="BA934" s="309">
        <v>0</v>
      </c>
      <c r="BB934" s="309">
        <v>8.0214999999999996</v>
      </c>
      <c r="BC934" s="309">
        <v>9.5671999999999997</v>
      </c>
      <c r="BD934" s="309">
        <v>10.4116</v>
      </c>
      <c r="BE934" s="309">
        <v>12.349299999999999</v>
      </c>
      <c r="BF934" s="309">
        <v>9.7025000000000006</v>
      </c>
      <c r="BG934" s="309">
        <v>10.942299999999999</v>
      </c>
      <c r="BH934" s="309">
        <v>11.241899999999999</v>
      </c>
      <c r="BI934" s="309">
        <v>12.3933</v>
      </c>
      <c r="BJ934" s="309">
        <v>11.0191</v>
      </c>
      <c r="BK934" s="309">
        <v>11.086399999999999</v>
      </c>
    </row>
    <row r="935" spans="1:63" x14ac:dyDescent="0.25">
      <c r="A935" s="306">
        <v>324191</v>
      </c>
      <c r="B935" s="309" t="s">
        <v>100</v>
      </c>
      <c r="C935" s="309">
        <v>15.5136</v>
      </c>
      <c r="D935" s="309">
        <v>0</v>
      </c>
      <c r="E935" s="309">
        <v>10.3607</v>
      </c>
      <c r="F935" s="309">
        <v>11.4991</v>
      </c>
      <c r="G935" s="309">
        <v>8.0576000000000008</v>
      </c>
      <c r="H935" s="309">
        <v>10.3231</v>
      </c>
      <c r="I935" s="309">
        <v>10.9171</v>
      </c>
      <c r="J935" s="309">
        <v>8.6464999999999996</v>
      </c>
      <c r="K935" s="309">
        <v>0</v>
      </c>
      <c r="L935" s="309">
        <v>6.3400999999999996</v>
      </c>
      <c r="M935" s="309">
        <v>9.3364999999999991</v>
      </c>
      <c r="N935" s="309">
        <v>9.6210000000000004</v>
      </c>
      <c r="O935" s="309">
        <v>0</v>
      </c>
      <c r="P935" s="309">
        <v>5.5822000000000003</v>
      </c>
      <c r="Q935" s="309">
        <v>0</v>
      </c>
      <c r="R935" s="309">
        <v>9.7792999999999992</v>
      </c>
      <c r="S935" s="309">
        <v>9.6280000000000001</v>
      </c>
      <c r="T935" s="309">
        <v>8.8839000000000006</v>
      </c>
      <c r="U935" s="309">
        <v>8.1594999999999995</v>
      </c>
      <c r="V935" s="309">
        <v>10.4817</v>
      </c>
      <c r="W935" s="309">
        <v>7.3921999999999999</v>
      </c>
      <c r="X935" s="309">
        <v>7.1463999999999999</v>
      </c>
      <c r="Y935" s="309">
        <v>0</v>
      </c>
      <c r="Z935" s="309">
        <v>8.9981000000000009</v>
      </c>
      <c r="AA935" s="309">
        <v>9.8082999999999991</v>
      </c>
      <c r="AB935" s="309">
        <v>8.5542999999999996</v>
      </c>
      <c r="AC935" s="309">
        <v>9.1203000000000003</v>
      </c>
      <c r="AD935" s="309">
        <v>0</v>
      </c>
      <c r="AE935" s="309">
        <v>9.2560000000000002</v>
      </c>
      <c r="AF935" s="309">
        <v>0</v>
      </c>
      <c r="AG935" s="309">
        <v>7.4991000000000003</v>
      </c>
      <c r="AH935" s="309">
        <v>7.2438000000000002</v>
      </c>
      <c r="AI935" s="309">
        <v>7.8493000000000004</v>
      </c>
      <c r="AJ935" s="309">
        <v>11.078200000000001</v>
      </c>
      <c r="AK935" s="309">
        <v>7.6768999999999998</v>
      </c>
      <c r="AL935" s="309">
        <v>6.5656999999999996</v>
      </c>
      <c r="AM935" s="309">
        <v>11.267200000000001</v>
      </c>
      <c r="AN935" s="309">
        <v>12.034599999999999</v>
      </c>
      <c r="AO935" s="309">
        <v>7.6999000000000004</v>
      </c>
      <c r="AP935" s="309">
        <v>9.8910999999999998</v>
      </c>
      <c r="AQ935" s="309">
        <v>0</v>
      </c>
      <c r="AR935" s="309">
        <v>10.0868</v>
      </c>
      <c r="AS935" s="309">
        <v>0</v>
      </c>
      <c r="AT935" s="309">
        <v>7.1539999999999999</v>
      </c>
      <c r="AU935" s="309">
        <v>12.243399999999999</v>
      </c>
      <c r="AV935" s="309">
        <v>12.698</v>
      </c>
      <c r="AW935" s="309">
        <v>0</v>
      </c>
      <c r="AX935" s="309">
        <v>0</v>
      </c>
      <c r="AY935" s="309">
        <v>10.1309</v>
      </c>
      <c r="AZ935" s="309">
        <v>8.6862999999999992</v>
      </c>
      <c r="BA935" s="309">
        <v>7.9558999999999997</v>
      </c>
      <c r="BB935" s="309">
        <v>0</v>
      </c>
      <c r="BC935" s="309">
        <v>8.6311</v>
      </c>
      <c r="BD935" s="309">
        <v>8.7433999999999994</v>
      </c>
      <c r="BE935" s="309">
        <v>10.968400000000001</v>
      </c>
      <c r="BF935" s="309">
        <v>9.3192000000000004</v>
      </c>
      <c r="BG935" s="309">
        <v>10.257899999999999</v>
      </c>
      <c r="BH935" s="309">
        <v>10.6441</v>
      </c>
      <c r="BI935" s="309">
        <v>12.628299999999999</v>
      </c>
      <c r="BJ935" s="309">
        <v>11.555300000000001</v>
      </c>
      <c r="BK935" s="309">
        <v>10.772600000000001</v>
      </c>
    </row>
    <row r="936" spans="1:63" x14ac:dyDescent="0.25">
      <c r="A936" s="306">
        <v>324199</v>
      </c>
      <c r="B936" s="309" t="s">
        <v>101</v>
      </c>
      <c r="C936" s="309">
        <v>14.8034</v>
      </c>
      <c r="D936" s="309">
        <v>0</v>
      </c>
      <c r="E936" s="309">
        <v>9.1218000000000004</v>
      </c>
      <c r="F936" s="309">
        <v>0</v>
      </c>
      <c r="G936" s="309">
        <v>0</v>
      </c>
      <c r="H936" s="309">
        <v>9.4026999999999994</v>
      </c>
      <c r="I936" s="309">
        <v>12.4991</v>
      </c>
      <c r="J936" s="309">
        <v>0</v>
      </c>
      <c r="K936" s="309">
        <v>0</v>
      </c>
      <c r="L936" s="309">
        <v>0</v>
      </c>
      <c r="M936" s="309">
        <v>9.9946000000000002</v>
      </c>
      <c r="N936" s="309">
        <v>8.9865999999999993</v>
      </c>
      <c r="O936" s="309">
        <v>0</v>
      </c>
      <c r="P936" s="309">
        <v>0</v>
      </c>
      <c r="Q936" s="309">
        <v>0</v>
      </c>
      <c r="R936" s="309">
        <v>9.3751999999999995</v>
      </c>
      <c r="S936" s="309">
        <v>8.0731000000000002</v>
      </c>
      <c r="T936" s="309">
        <v>0</v>
      </c>
      <c r="U936" s="309">
        <v>7.9652000000000003</v>
      </c>
      <c r="V936" s="309">
        <v>10.8309</v>
      </c>
      <c r="W936" s="309">
        <v>0</v>
      </c>
      <c r="X936" s="309">
        <v>0</v>
      </c>
      <c r="Y936" s="309">
        <v>0</v>
      </c>
      <c r="Z936" s="309">
        <v>8.5114000000000001</v>
      </c>
      <c r="AA936" s="309">
        <v>9.0701999999999998</v>
      </c>
      <c r="AB936" s="309">
        <v>0</v>
      </c>
      <c r="AC936" s="309">
        <v>7.9923000000000002</v>
      </c>
      <c r="AD936" s="309">
        <v>0</v>
      </c>
      <c r="AE936" s="309">
        <v>0</v>
      </c>
      <c r="AF936" s="309">
        <v>0</v>
      </c>
      <c r="AG936" s="309">
        <v>5.3803999999999998</v>
      </c>
      <c r="AH936" s="309">
        <v>0</v>
      </c>
      <c r="AI936" s="309">
        <v>9.907</v>
      </c>
      <c r="AJ936" s="309">
        <v>0</v>
      </c>
      <c r="AK936" s="309">
        <v>0</v>
      </c>
      <c r="AL936" s="309">
        <v>6.4829999999999997</v>
      </c>
      <c r="AM936" s="309">
        <v>9.5228000000000002</v>
      </c>
      <c r="AN936" s="309">
        <v>11.0419</v>
      </c>
      <c r="AO936" s="309">
        <v>0</v>
      </c>
      <c r="AP936" s="309">
        <v>9.3421000000000003</v>
      </c>
      <c r="AQ936" s="309">
        <v>0</v>
      </c>
      <c r="AR936" s="309">
        <v>8.8835999999999995</v>
      </c>
      <c r="AS936" s="309">
        <v>0</v>
      </c>
      <c r="AT936" s="309">
        <v>9.0931999999999995</v>
      </c>
      <c r="AU936" s="309">
        <v>10.7011</v>
      </c>
      <c r="AV936" s="309">
        <v>12.8428</v>
      </c>
      <c r="AW936" s="309">
        <v>7.0879000000000003</v>
      </c>
      <c r="AX936" s="309">
        <v>0</v>
      </c>
      <c r="AY936" s="309">
        <v>0</v>
      </c>
      <c r="AZ936" s="309">
        <v>9.6823999999999995</v>
      </c>
      <c r="BA936" s="309">
        <v>7.9973000000000001</v>
      </c>
      <c r="BB936" s="309">
        <v>7.7305999999999999</v>
      </c>
      <c r="BC936" s="309">
        <v>0</v>
      </c>
      <c r="BD936" s="309">
        <v>8.6595999999999993</v>
      </c>
      <c r="BE936" s="309">
        <v>9.8919999999999995</v>
      </c>
      <c r="BF936" s="309">
        <v>7.8594999999999997</v>
      </c>
      <c r="BG936" s="309">
        <v>9.2361000000000004</v>
      </c>
      <c r="BH936" s="309">
        <v>9.6104000000000003</v>
      </c>
      <c r="BI936" s="309">
        <v>12.100099999999999</v>
      </c>
      <c r="BJ936" s="309">
        <v>11.1599</v>
      </c>
      <c r="BK936" s="309">
        <v>9.8276000000000003</v>
      </c>
    </row>
    <row r="937" spans="1:63" x14ac:dyDescent="0.25">
      <c r="A937" s="306">
        <v>325110</v>
      </c>
      <c r="B937" s="309" t="s">
        <v>102</v>
      </c>
      <c r="C937" s="309">
        <v>13.390599999999999</v>
      </c>
      <c r="D937" s="309">
        <v>0</v>
      </c>
      <c r="E937" s="309">
        <v>8.0488999999999997</v>
      </c>
      <c r="F937" s="309">
        <v>7.8293999999999997</v>
      </c>
      <c r="G937" s="309">
        <v>0</v>
      </c>
      <c r="H937" s="309">
        <v>7.1372</v>
      </c>
      <c r="I937" s="309">
        <v>0</v>
      </c>
      <c r="J937" s="309">
        <v>5.6346999999999996</v>
      </c>
      <c r="K937" s="309">
        <v>0</v>
      </c>
      <c r="L937" s="309">
        <v>5.3005000000000004</v>
      </c>
      <c r="M937" s="309">
        <v>5.9859999999999998</v>
      </c>
      <c r="N937" s="309">
        <v>7.4980000000000002</v>
      </c>
      <c r="O937" s="309">
        <v>0</v>
      </c>
      <c r="P937" s="309">
        <v>0</v>
      </c>
      <c r="Q937" s="309">
        <v>0</v>
      </c>
      <c r="R937" s="309">
        <v>8.0511999999999997</v>
      </c>
      <c r="S937" s="309">
        <v>0</v>
      </c>
      <c r="T937" s="309">
        <v>0</v>
      </c>
      <c r="U937" s="309">
        <v>0</v>
      </c>
      <c r="V937" s="309">
        <v>8.5465</v>
      </c>
      <c r="W937" s="309">
        <v>5.9034000000000004</v>
      </c>
      <c r="X937" s="309">
        <v>0</v>
      </c>
      <c r="Y937" s="309">
        <v>6.3541999999999996</v>
      </c>
      <c r="Z937" s="309">
        <v>6.9454000000000002</v>
      </c>
      <c r="AA937" s="309">
        <v>0</v>
      </c>
      <c r="AB937" s="309">
        <v>7.4462999999999999</v>
      </c>
      <c r="AC937" s="309">
        <v>6.3196000000000003</v>
      </c>
      <c r="AD937" s="309">
        <v>0</v>
      </c>
      <c r="AE937" s="309">
        <v>6.9366000000000003</v>
      </c>
      <c r="AF937" s="309">
        <v>0</v>
      </c>
      <c r="AG937" s="309">
        <v>0</v>
      </c>
      <c r="AH937" s="309">
        <v>0</v>
      </c>
      <c r="AI937" s="309">
        <v>7.2347999999999999</v>
      </c>
      <c r="AJ937" s="309">
        <v>0</v>
      </c>
      <c r="AK937" s="309">
        <v>0</v>
      </c>
      <c r="AL937" s="309">
        <v>4.7601000000000004</v>
      </c>
      <c r="AM937" s="309">
        <v>8.9117999999999995</v>
      </c>
      <c r="AN937" s="309">
        <v>0</v>
      </c>
      <c r="AO937" s="309">
        <v>0</v>
      </c>
      <c r="AP937" s="309">
        <v>7.5951000000000004</v>
      </c>
      <c r="AQ937" s="309">
        <v>0</v>
      </c>
      <c r="AR937" s="309">
        <v>7.8291000000000004</v>
      </c>
      <c r="AS937" s="309">
        <v>0</v>
      </c>
      <c r="AT937" s="309">
        <v>6.6288</v>
      </c>
      <c r="AU937" s="309">
        <v>9.8109999999999999</v>
      </c>
      <c r="AV937" s="309">
        <v>0</v>
      </c>
      <c r="AW937" s="309">
        <v>0</v>
      </c>
      <c r="AX937" s="309">
        <v>0</v>
      </c>
      <c r="AY937" s="309">
        <v>6.1943000000000001</v>
      </c>
      <c r="AZ937" s="309">
        <v>0</v>
      </c>
      <c r="BA937" s="309">
        <v>7.2862</v>
      </c>
      <c r="BB937" s="309">
        <v>0</v>
      </c>
      <c r="BC937" s="309">
        <v>6.8663999999999996</v>
      </c>
      <c r="BD937" s="309">
        <v>7.1055000000000001</v>
      </c>
      <c r="BE937" s="309">
        <v>9.1440999999999999</v>
      </c>
      <c r="BF937" s="309">
        <v>7.0522</v>
      </c>
      <c r="BG937" s="309">
        <v>7.9499000000000004</v>
      </c>
      <c r="BH937" s="309">
        <v>8.6935000000000002</v>
      </c>
      <c r="BI937" s="309">
        <v>10.2187</v>
      </c>
      <c r="BJ937" s="309">
        <v>0</v>
      </c>
      <c r="BK937" s="309">
        <v>7.2893999999999997</v>
      </c>
    </row>
    <row r="938" spans="1:63" x14ac:dyDescent="0.25">
      <c r="A938" s="306">
        <v>325120</v>
      </c>
      <c r="B938" s="309" t="s">
        <v>103</v>
      </c>
      <c r="C938" s="309">
        <v>11.848800000000001</v>
      </c>
      <c r="D938" s="309">
        <v>0</v>
      </c>
      <c r="E938" s="309">
        <v>7.7877999999999998</v>
      </c>
      <c r="F938" s="309">
        <v>7.4250999999999996</v>
      </c>
      <c r="G938" s="309">
        <v>6.6543000000000001</v>
      </c>
      <c r="H938" s="309">
        <v>7.1528999999999998</v>
      </c>
      <c r="I938" s="309">
        <v>8.6426999999999996</v>
      </c>
      <c r="J938" s="309">
        <v>5.0053000000000001</v>
      </c>
      <c r="K938" s="309">
        <v>0</v>
      </c>
      <c r="L938" s="309">
        <v>5.0019</v>
      </c>
      <c r="M938" s="309">
        <v>6.9859</v>
      </c>
      <c r="N938" s="309">
        <v>8.2253000000000007</v>
      </c>
      <c r="O938" s="309">
        <v>6.6878000000000002</v>
      </c>
      <c r="P938" s="309">
        <v>5.7282999999999999</v>
      </c>
      <c r="Q938" s="309">
        <v>6.7759</v>
      </c>
      <c r="R938" s="309">
        <v>7.78</v>
      </c>
      <c r="S938" s="309">
        <v>7.4372999999999996</v>
      </c>
      <c r="T938" s="309">
        <v>6.1562000000000001</v>
      </c>
      <c r="U938" s="309">
        <v>8.4010999999999996</v>
      </c>
      <c r="V938" s="309">
        <v>7.5294999999999996</v>
      </c>
      <c r="W938" s="309">
        <v>5.9729999999999999</v>
      </c>
      <c r="X938" s="309">
        <v>6.0823</v>
      </c>
      <c r="Y938" s="309">
        <v>7.1398000000000001</v>
      </c>
      <c r="Z938" s="309">
        <v>8.3347999999999995</v>
      </c>
      <c r="AA938" s="309">
        <v>7.5065</v>
      </c>
      <c r="AB938" s="309">
        <v>7.3703000000000003</v>
      </c>
      <c r="AC938" s="309">
        <v>7.6985000000000001</v>
      </c>
      <c r="AD938" s="309">
        <v>6.9537000000000004</v>
      </c>
      <c r="AE938" s="309">
        <v>7.8560999999999996</v>
      </c>
      <c r="AF938" s="309">
        <v>0</v>
      </c>
      <c r="AG938" s="309">
        <v>7.7949999999999999</v>
      </c>
      <c r="AH938" s="309">
        <v>0</v>
      </c>
      <c r="AI938" s="309">
        <v>5.7316000000000003</v>
      </c>
      <c r="AJ938" s="309">
        <v>6.8539000000000003</v>
      </c>
      <c r="AK938" s="309">
        <v>6.0984999999999996</v>
      </c>
      <c r="AL938" s="309">
        <v>4.6642999999999999</v>
      </c>
      <c r="AM938" s="309">
        <v>8.8943999999999992</v>
      </c>
      <c r="AN938" s="309">
        <v>7.9446000000000003</v>
      </c>
      <c r="AO938" s="309">
        <v>7.4457000000000004</v>
      </c>
      <c r="AP938" s="309">
        <v>8.3750999999999998</v>
      </c>
      <c r="AQ938" s="309">
        <v>6.0872999999999999</v>
      </c>
      <c r="AR938" s="309">
        <v>8.0351999999999997</v>
      </c>
      <c r="AS938" s="309">
        <v>0</v>
      </c>
      <c r="AT938" s="309">
        <v>8.0754000000000001</v>
      </c>
      <c r="AU938" s="309">
        <v>8.2922999999999991</v>
      </c>
      <c r="AV938" s="309">
        <v>10.0824</v>
      </c>
      <c r="AW938" s="309">
        <v>7.0595999999999997</v>
      </c>
      <c r="AX938" s="309">
        <v>0</v>
      </c>
      <c r="AY938" s="309">
        <v>7.2625000000000002</v>
      </c>
      <c r="AZ938" s="309">
        <v>8.0113000000000003</v>
      </c>
      <c r="BA938" s="309">
        <v>6.9808000000000003</v>
      </c>
      <c r="BB938" s="309">
        <v>5.7297000000000002</v>
      </c>
      <c r="BC938" s="309">
        <v>6.4823000000000004</v>
      </c>
      <c r="BD938" s="309">
        <v>7.2702</v>
      </c>
      <c r="BE938" s="309">
        <v>9.0894999999999992</v>
      </c>
      <c r="BF938" s="309">
        <v>8.1064000000000007</v>
      </c>
      <c r="BG938" s="309">
        <v>9.0891999999999999</v>
      </c>
      <c r="BH938" s="309">
        <v>8.7543000000000006</v>
      </c>
      <c r="BI938" s="309">
        <v>8.7542000000000009</v>
      </c>
      <c r="BJ938" s="309">
        <v>8.9278999999999993</v>
      </c>
      <c r="BK938" s="309">
        <v>7.6618000000000004</v>
      </c>
    </row>
    <row r="939" spans="1:63" x14ac:dyDescent="0.25">
      <c r="A939" s="306">
        <v>325130</v>
      </c>
      <c r="B939" s="309" t="s">
        <v>104</v>
      </c>
      <c r="C939" s="309">
        <v>15.3261</v>
      </c>
      <c r="D939" s="309">
        <v>0</v>
      </c>
      <c r="E939" s="309">
        <v>9.1148000000000007</v>
      </c>
      <c r="F939" s="309">
        <v>9.3513999999999999</v>
      </c>
      <c r="G939" s="309">
        <v>8.3928999999999991</v>
      </c>
      <c r="H939" s="309">
        <v>10.4696</v>
      </c>
      <c r="I939" s="309">
        <v>11.316800000000001</v>
      </c>
      <c r="J939" s="309">
        <v>8.6297999999999995</v>
      </c>
      <c r="K939" s="309">
        <v>0</v>
      </c>
      <c r="L939" s="309">
        <v>5.9622000000000002</v>
      </c>
      <c r="M939" s="309">
        <v>9.4094999999999995</v>
      </c>
      <c r="N939" s="309">
        <v>10.2478</v>
      </c>
      <c r="O939" s="309">
        <v>0</v>
      </c>
      <c r="P939" s="309">
        <v>7.0343</v>
      </c>
      <c r="Q939" s="309">
        <v>8.7873999999999999</v>
      </c>
      <c r="R939" s="309">
        <v>11.146100000000001</v>
      </c>
      <c r="S939" s="309">
        <v>10.264799999999999</v>
      </c>
      <c r="T939" s="309">
        <v>8.032</v>
      </c>
      <c r="U939" s="309">
        <v>9.4352</v>
      </c>
      <c r="V939" s="309">
        <v>9.5002999999999993</v>
      </c>
      <c r="W939" s="309">
        <v>8.7149000000000001</v>
      </c>
      <c r="X939" s="309">
        <v>7.0136000000000003</v>
      </c>
      <c r="Y939" s="309">
        <v>0</v>
      </c>
      <c r="Z939" s="309">
        <v>10.6286</v>
      </c>
      <c r="AA939" s="309">
        <v>9.6560000000000006</v>
      </c>
      <c r="AB939" s="309">
        <v>10.1785</v>
      </c>
      <c r="AC939" s="309">
        <v>7.9576000000000002</v>
      </c>
      <c r="AD939" s="309">
        <v>0</v>
      </c>
      <c r="AE939" s="309">
        <v>9.7819000000000003</v>
      </c>
      <c r="AF939" s="309">
        <v>0</v>
      </c>
      <c r="AG939" s="309">
        <v>0</v>
      </c>
      <c r="AH939" s="309">
        <v>7.2026000000000003</v>
      </c>
      <c r="AI939" s="309">
        <v>8.8648000000000007</v>
      </c>
      <c r="AJ939" s="309">
        <v>0</v>
      </c>
      <c r="AK939" s="309">
        <v>0</v>
      </c>
      <c r="AL939" s="309">
        <v>6.3705999999999996</v>
      </c>
      <c r="AM939" s="309">
        <v>11.557499999999999</v>
      </c>
      <c r="AN939" s="309">
        <v>9.5291999999999994</v>
      </c>
      <c r="AO939" s="309">
        <v>8.8896999999999995</v>
      </c>
      <c r="AP939" s="309">
        <v>10.7537</v>
      </c>
      <c r="AQ939" s="309">
        <v>7.2398999999999996</v>
      </c>
      <c r="AR939" s="309">
        <v>10.2379</v>
      </c>
      <c r="AS939" s="309">
        <v>0</v>
      </c>
      <c r="AT939" s="309">
        <v>9.4634</v>
      </c>
      <c r="AU939" s="309">
        <v>10.5251</v>
      </c>
      <c r="AV939" s="309">
        <v>0</v>
      </c>
      <c r="AW939" s="309">
        <v>9.4893000000000001</v>
      </c>
      <c r="AX939" s="309">
        <v>0</v>
      </c>
      <c r="AY939" s="309">
        <v>8.3179999999999996</v>
      </c>
      <c r="AZ939" s="309">
        <v>9.8804999999999996</v>
      </c>
      <c r="BA939" s="309">
        <v>7.5861999999999998</v>
      </c>
      <c r="BB939" s="309">
        <v>0</v>
      </c>
      <c r="BC939" s="309">
        <v>9.7889999999999997</v>
      </c>
      <c r="BD939" s="309">
        <v>10.041399999999999</v>
      </c>
      <c r="BE939" s="309">
        <v>12.1791</v>
      </c>
      <c r="BF939" s="309">
        <v>10.1882</v>
      </c>
      <c r="BG939" s="309">
        <v>11.0541</v>
      </c>
      <c r="BH939" s="309">
        <v>10.5223</v>
      </c>
      <c r="BI939" s="309">
        <v>11.1059</v>
      </c>
      <c r="BJ939" s="309">
        <v>10.6784</v>
      </c>
      <c r="BK939" s="309">
        <v>9.8659999999999997</v>
      </c>
    </row>
    <row r="940" spans="1:63" x14ac:dyDescent="0.25">
      <c r="A940" s="306">
        <v>325181</v>
      </c>
      <c r="B940" s="309" t="s">
        <v>105</v>
      </c>
      <c r="C940" s="309">
        <v>15.4719</v>
      </c>
      <c r="D940" s="309">
        <v>0</v>
      </c>
      <c r="E940" s="309">
        <v>9.5457000000000001</v>
      </c>
      <c r="F940" s="309">
        <v>0</v>
      </c>
      <c r="G940" s="309">
        <v>0</v>
      </c>
      <c r="H940" s="309">
        <v>9.7988999999999997</v>
      </c>
      <c r="I940" s="309">
        <v>10.9018</v>
      </c>
      <c r="J940" s="309">
        <v>0</v>
      </c>
      <c r="K940" s="309">
        <v>0</v>
      </c>
      <c r="L940" s="309">
        <v>5.8992000000000004</v>
      </c>
      <c r="M940" s="309">
        <v>9.3262</v>
      </c>
      <c r="N940" s="309">
        <v>9.3398000000000003</v>
      </c>
      <c r="O940" s="309">
        <v>0</v>
      </c>
      <c r="P940" s="309">
        <v>6.9307999999999996</v>
      </c>
      <c r="Q940" s="309">
        <v>0</v>
      </c>
      <c r="R940" s="309">
        <v>12.512600000000001</v>
      </c>
      <c r="S940" s="309">
        <v>0</v>
      </c>
      <c r="T940" s="309">
        <v>7.7716000000000003</v>
      </c>
      <c r="U940" s="309">
        <v>0</v>
      </c>
      <c r="V940" s="309">
        <v>9.6705000000000005</v>
      </c>
      <c r="W940" s="309">
        <v>0</v>
      </c>
      <c r="X940" s="309">
        <v>7.1722999999999999</v>
      </c>
      <c r="Y940" s="309">
        <v>0</v>
      </c>
      <c r="Z940" s="309">
        <v>12.8865</v>
      </c>
      <c r="AA940" s="309">
        <v>0</v>
      </c>
      <c r="AB940" s="309">
        <v>0</v>
      </c>
      <c r="AC940" s="309">
        <v>10.3834</v>
      </c>
      <c r="AD940" s="309">
        <v>0</v>
      </c>
      <c r="AE940" s="309">
        <v>0</v>
      </c>
      <c r="AF940" s="309">
        <v>0</v>
      </c>
      <c r="AG940" s="309">
        <v>0</v>
      </c>
      <c r="AH940" s="309">
        <v>0</v>
      </c>
      <c r="AI940" s="309">
        <v>7.6337999999999999</v>
      </c>
      <c r="AJ940" s="309">
        <v>0</v>
      </c>
      <c r="AK940" s="309">
        <v>7.1821000000000002</v>
      </c>
      <c r="AL940" s="309">
        <v>6.5868000000000002</v>
      </c>
      <c r="AM940" s="309">
        <v>12.071400000000001</v>
      </c>
      <c r="AN940" s="309">
        <v>9.0587</v>
      </c>
      <c r="AO940" s="309">
        <v>0</v>
      </c>
      <c r="AP940" s="309">
        <v>11.0898</v>
      </c>
      <c r="AQ940" s="309">
        <v>0</v>
      </c>
      <c r="AR940" s="309">
        <v>0</v>
      </c>
      <c r="AS940" s="309">
        <v>0</v>
      </c>
      <c r="AT940" s="309">
        <v>9.7385999999999999</v>
      </c>
      <c r="AU940" s="309">
        <v>10.458399999999999</v>
      </c>
      <c r="AV940" s="309">
        <v>14.4261</v>
      </c>
      <c r="AW940" s="309">
        <v>9.5646000000000004</v>
      </c>
      <c r="AX940" s="309">
        <v>0</v>
      </c>
      <c r="AY940" s="309">
        <v>9.6721000000000004</v>
      </c>
      <c r="AZ940" s="309">
        <v>9.9545999999999992</v>
      </c>
      <c r="BA940" s="309">
        <v>8.4834999999999994</v>
      </c>
      <c r="BB940" s="309">
        <v>6.5430999999999999</v>
      </c>
      <c r="BC940" s="309">
        <v>0</v>
      </c>
      <c r="BD940" s="309">
        <v>9.9194999999999993</v>
      </c>
      <c r="BE940" s="309">
        <v>12.435700000000001</v>
      </c>
      <c r="BF940" s="309">
        <v>9.9640000000000004</v>
      </c>
      <c r="BG940" s="309">
        <v>11.481999999999999</v>
      </c>
      <c r="BH940" s="309">
        <v>10.5464</v>
      </c>
      <c r="BI940" s="309">
        <v>11.241199999999999</v>
      </c>
      <c r="BJ940" s="309">
        <v>11.1434</v>
      </c>
      <c r="BK940" s="309">
        <v>10.3726</v>
      </c>
    </row>
    <row r="941" spans="1:63" x14ac:dyDescent="0.25">
      <c r="A941" s="306">
        <v>325182</v>
      </c>
      <c r="B941" s="309" t="s">
        <v>106</v>
      </c>
      <c r="C941" s="309">
        <v>11.8012</v>
      </c>
      <c r="D941" s="309">
        <v>0</v>
      </c>
      <c r="E941" s="309">
        <v>7.2727000000000004</v>
      </c>
      <c r="F941" s="309">
        <v>0</v>
      </c>
      <c r="G941" s="309">
        <v>0</v>
      </c>
      <c r="H941" s="309">
        <v>0</v>
      </c>
      <c r="I941" s="309">
        <v>0</v>
      </c>
      <c r="J941" s="309">
        <v>0</v>
      </c>
      <c r="K941" s="309">
        <v>0</v>
      </c>
      <c r="L941" s="309">
        <v>0</v>
      </c>
      <c r="M941" s="309">
        <v>0</v>
      </c>
      <c r="N941" s="309">
        <v>6.7302999999999997</v>
      </c>
      <c r="O941" s="309">
        <v>0</v>
      </c>
      <c r="P941" s="309">
        <v>0</v>
      </c>
      <c r="Q941" s="309">
        <v>0</v>
      </c>
      <c r="R941" s="309">
        <v>0</v>
      </c>
      <c r="S941" s="309">
        <v>0</v>
      </c>
      <c r="T941" s="309">
        <v>6.4618000000000002</v>
      </c>
      <c r="U941" s="309">
        <v>7.0923999999999996</v>
      </c>
      <c r="V941" s="309">
        <v>7.9246999999999996</v>
      </c>
      <c r="W941" s="309">
        <v>0</v>
      </c>
      <c r="X941" s="309">
        <v>0</v>
      </c>
      <c r="Y941" s="309">
        <v>0</v>
      </c>
      <c r="Z941" s="309">
        <v>0</v>
      </c>
      <c r="AA941" s="309">
        <v>0</v>
      </c>
      <c r="AB941" s="309">
        <v>0</v>
      </c>
      <c r="AC941" s="309">
        <v>0</v>
      </c>
      <c r="AD941" s="309">
        <v>0</v>
      </c>
      <c r="AE941" s="309">
        <v>7.1997999999999998</v>
      </c>
      <c r="AF941" s="309">
        <v>0</v>
      </c>
      <c r="AG941" s="309">
        <v>0</v>
      </c>
      <c r="AH941" s="309">
        <v>0</v>
      </c>
      <c r="AI941" s="309">
        <v>0</v>
      </c>
      <c r="AJ941" s="309">
        <v>0</v>
      </c>
      <c r="AK941" s="309">
        <v>0</v>
      </c>
      <c r="AL941" s="309">
        <v>0</v>
      </c>
      <c r="AM941" s="309">
        <v>8.0988000000000007</v>
      </c>
      <c r="AN941" s="309">
        <v>8.1808999999999994</v>
      </c>
      <c r="AO941" s="309">
        <v>0</v>
      </c>
      <c r="AP941" s="309">
        <v>0</v>
      </c>
      <c r="AQ941" s="309">
        <v>0</v>
      </c>
      <c r="AR941" s="309">
        <v>0</v>
      </c>
      <c r="AS941" s="309">
        <v>0</v>
      </c>
      <c r="AT941" s="309">
        <v>0</v>
      </c>
      <c r="AU941" s="309">
        <v>8.7134</v>
      </c>
      <c r="AV941" s="309">
        <v>0</v>
      </c>
      <c r="AW941" s="309">
        <v>0</v>
      </c>
      <c r="AX941" s="309">
        <v>0</v>
      </c>
      <c r="AY941" s="309">
        <v>0</v>
      </c>
      <c r="AZ941" s="309">
        <v>0</v>
      </c>
      <c r="BA941" s="309">
        <v>6.1767000000000003</v>
      </c>
      <c r="BB941" s="309">
        <v>0</v>
      </c>
      <c r="BC941" s="309">
        <v>0</v>
      </c>
      <c r="BD941" s="309">
        <v>0</v>
      </c>
      <c r="BE941" s="309">
        <v>8.4276999999999997</v>
      </c>
      <c r="BF941" s="309">
        <v>7.3486000000000002</v>
      </c>
      <c r="BG941" s="309">
        <v>7.6410999999999998</v>
      </c>
      <c r="BH941" s="309">
        <v>7.9749999999999996</v>
      </c>
      <c r="BI941" s="309">
        <v>9.1493000000000002</v>
      </c>
      <c r="BJ941" s="309">
        <v>0</v>
      </c>
      <c r="BK941" s="309">
        <v>0</v>
      </c>
    </row>
    <row r="942" spans="1:63" x14ac:dyDescent="0.25">
      <c r="A942" s="306">
        <v>325188</v>
      </c>
      <c r="B942" s="309" t="s">
        <v>107</v>
      </c>
      <c r="C942" s="309">
        <v>16.939399999999999</v>
      </c>
      <c r="D942" s="309">
        <v>0</v>
      </c>
      <c r="E942" s="309">
        <v>11.4688</v>
      </c>
      <c r="F942" s="309">
        <v>10.864100000000001</v>
      </c>
      <c r="G942" s="309">
        <v>10.9749</v>
      </c>
      <c r="H942" s="309">
        <v>10.6882</v>
      </c>
      <c r="I942" s="309">
        <v>12.572699999999999</v>
      </c>
      <c r="J942" s="309">
        <v>8.8123000000000005</v>
      </c>
      <c r="K942" s="309">
        <v>0</v>
      </c>
      <c r="L942" s="309">
        <v>7.0709</v>
      </c>
      <c r="M942" s="309">
        <v>10.9945</v>
      </c>
      <c r="N942" s="309">
        <v>11.5623</v>
      </c>
      <c r="O942" s="309">
        <v>9.8758999999999997</v>
      </c>
      <c r="P942" s="309">
        <v>8.9527000000000001</v>
      </c>
      <c r="Q942" s="309">
        <v>10.4361</v>
      </c>
      <c r="R942" s="309">
        <v>11.1469</v>
      </c>
      <c r="S942" s="309">
        <v>12.1099</v>
      </c>
      <c r="T942" s="309">
        <v>8.6629000000000005</v>
      </c>
      <c r="U942" s="309">
        <v>10.796900000000001</v>
      </c>
      <c r="V942" s="309">
        <v>11.1579</v>
      </c>
      <c r="W942" s="309">
        <v>9.3247</v>
      </c>
      <c r="X942" s="309">
        <v>8.6979000000000006</v>
      </c>
      <c r="Y942" s="309">
        <v>11.785</v>
      </c>
      <c r="Z942" s="309">
        <v>12.623200000000001</v>
      </c>
      <c r="AA942" s="309">
        <v>0</v>
      </c>
      <c r="AB942" s="309">
        <v>11.071099999999999</v>
      </c>
      <c r="AC942" s="309">
        <v>10.027100000000001</v>
      </c>
      <c r="AD942" s="309">
        <v>10.924899999999999</v>
      </c>
      <c r="AE942" s="309">
        <v>11.5725</v>
      </c>
      <c r="AF942" s="309">
        <v>0</v>
      </c>
      <c r="AG942" s="309">
        <v>9.4600000000000009</v>
      </c>
      <c r="AH942" s="309">
        <v>0</v>
      </c>
      <c r="AI942" s="309">
        <v>8.8359000000000005</v>
      </c>
      <c r="AJ942" s="309">
        <v>9.4403000000000006</v>
      </c>
      <c r="AK942" s="309">
        <v>8.4796999999999993</v>
      </c>
      <c r="AL942" s="309">
        <v>8.1089000000000002</v>
      </c>
      <c r="AM942" s="309">
        <v>12.9209</v>
      </c>
      <c r="AN942" s="309">
        <v>11.1637</v>
      </c>
      <c r="AO942" s="309">
        <v>11.4336</v>
      </c>
      <c r="AP942" s="309">
        <v>12.249499999999999</v>
      </c>
      <c r="AQ942" s="309">
        <v>8.7682000000000002</v>
      </c>
      <c r="AR942" s="309">
        <v>12.113799999999999</v>
      </c>
      <c r="AS942" s="309">
        <v>0</v>
      </c>
      <c r="AT942" s="309">
        <v>12.035399999999999</v>
      </c>
      <c r="AU942" s="309">
        <v>12.4419</v>
      </c>
      <c r="AV942" s="309">
        <v>14.759399999999999</v>
      </c>
      <c r="AW942" s="309">
        <v>9.5524000000000004</v>
      </c>
      <c r="AX942" s="309">
        <v>0</v>
      </c>
      <c r="AY942" s="309">
        <v>10.166600000000001</v>
      </c>
      <c r="AZ942" s="309">
        <v>12.286199999999999</v>
      </c>
      <c r="BA942" s="309">
        <v>9.5568000000000008</v>
      </c>
      <c r="BB942" s="309">
        <v>9.3521000000000001</v>
      </c>
      <c r="BC942" s="309">
        <v>11.039400000000001</v>
      </c>
      <c r="BD942" s="309">
        <v>10.6213</v>
      </c>
      <c r="BE942" s="309">
        <v>13.455399999999999</v>
      </c>
      <c r="BF942" s="309">
        <v>11.5566</v>
      </c>
      <c r="BG942" s="309">
        <v>12.7149</v>
      </c>
      <c r="BH942" s="309">
        <v>12.638500000000001</v>
      </c>
      <c r="BI942" s="309">
        <v>13.071099999999999</v>
      </c>
      <c r="BJ942" s="309">
        <v>12.8268</v>
      </c>
      <c r="BK942" s="309">
        <v>11.2666</v>
      </c>
    </row>
    <row r="943" spans="1:63" x14ac:dyDescent="0.25">
      <c r="A943" s="306">
        <v>325190</v>
      </c>
      <c r="B943" s="309" t="s">
        <v>108</v>
      </c>
      <c r="C943" s="309">
        <v>15.1753</v>
      </c>
      <c r="D943" s="309">
        <v>0</v>
      </c>
      <c r="E943" s="309">
        <v>9.3684999999999992</v>
      </c>
      <c r="F943" s="309">
        <v>8.3987999999999996</v>
      </c>
      <c r="G943" s="309">
        <v>6.9557000000000002</v>
      </c>
      <c r="H943" s="309">
        <v>8.1725999999999992</v>
      </c>
      <c r="I943" s="309">
        <v>8.6897000000000002</v>
      </c>
      <c r="J943" s="309">
        <v>6.0994999999999999</v>
      </c>
      <c r="K943" s="309">
        <v>0</v>
      </c>
      <c r="L943" s="309">
        <v>5.6040999999999999</v>
      </c>
      <c r="M943" s="309">
        <v>7.4112</v>
      </c>
      <c r="N943" s="309">
        <v>8.7141999999999999</v>
      </c>
      <c r="O943" s="309">
        <v>0</v>
      </c>
      <c r="P943" s="309">
        <v>6.6928000000000001</v>
      </c>
      <c r="Q943" s="309">
        <v>7.0492999999999997</v>
      </c>
      <c r="R943" s="309">
        <v>9.3773999999999997</v>
      </c>
      <c r="S943" s="309">
        <v>9.3025000000000002</v>
      </c>
      <c r="T943" s="309">
        <v>7.5730000000000004</v>
      </c>
      <c r="U943" s="309">
        <v>8.8826000000000001</v>
      </c>
      <c r="V943" s="309">
        <v>9.4198000000000004</v>
      </c>
      <c r="W943" s="309">
        <v>6.2823000000000002</v>
      </c>
      <c r="X943" s="309">
        <v>6.2792000000000003</v>
      </c>
      <c r="Y943" s="309">
        <v>7.7876000000000003</v>
      </c>
      <c r="Z943" s="309">
        <v>9.1452000000000009</v>
      </c>
      <c r="AA943" s="309">
        <v>8.3476999999999997</v>
      </c>
      <c r="AB943" s="309">
        <v>9.3985000000000003</v>
      </c>
      <c r="AC943" s="309">
        <v>8.0840999999999994</v>
      </c>
      <c r="AD943" s="309">
        <v>7.9352</v>
      </c>
      <c r="AE943" s="309">
        <v>8.8671000000000006</v>
      </c>
      <c r="AF943" s="309">
        <v>6.1576000000000004</v>
      </c>
      <c r="AG943" s="309">
        <v>6.7267000000000001</v>
      </c>
      <c r="AH943" s="309">
        <v>0</v>
      </c>
      <c r="AI943" s="309">
        <v>7.7830000000000004</v>
      </c>
      <c r="AJ943" s="309">
        <v>7.1798000000000002</v>
      </c>
      <c r="AK943" s="309">
        <v>6.0010000000000003</v>
      </c>
      <c r="AL943" s="309">
        <v>5.1626000000000003</v>
      </c>
      <c r="AM943" s="309">
        <v>10.317500000000001</v>
      </c>
      <c r="AN943" s="309">
        <v>8.6861999999999995</v>
      </c>
      <c r="AO943" s="309">
        <v>7.8491</v>
      </c>
      <c r="AP943" s="309">
        <v>9.42</v>
      </c>
      <c r="AQ943" s="309">
        <v>6.444</v>
      </c>
      <c r="AR943" s="309">
        <v>9.6157000000000004</v>
      </c>
      <c r="AS943" s="309">
        <v>5.9427000000000003</v>
      </c>
      <c r="AT943" s="309">
        <v>8.8893000000000004</v>
      </c>
      <c r="AU943" s="309">
        <v>10.8187</v>
      </c>
      <c r="AV943" s="309">
        <v>0</v>
      </c>
      <c r="AW943" s="309">
        <v>7.3719999999999999</v>
      </c>
      <c r="AX943" s="309">
        <v>0</v>
      </c>
      <c r="AY943" s="309">
        <v>7.5719000000000003</v>
      </c>
      <c r="AZ943" s="309">
        <v>9.0371000000000006</v>
      </c>
      <c r="BA943" s="309">
        <v>7.883</v>
      </c>
      <c r="BB943" s="309">
        <v>6.6360999999999999</v>
      </c>
      <c r="BC943" s="309">
        <v>7.5475000000000003</v>
      </c>
      <c r="BD943" s="309">
        <v>8.3680000000000003</v>
      </c>
      <c r="BE943" s="309">
        <v>10.8246</v>
      </c>
      <c r="BF943" s="309">
        <v>9.3270999999999997</v>
      </c>
      <c r="BG943" s="309">
        <v>9.6719000000000008</v>
      </c>
      <c r="BH943" s="309">
        <v>10.353899999999999</v>
      </c>
      <c r="BI943" s="309">
        <v>11.4079</v>
      </c>
      <c r="BJ943" s="309">
        <v>9.3778000000000006</v>
      </c>
      <c r="BK943" s="309">
        <v>8.5762999999999998</v>
      </c>
    </row>
    <row r="944" spans="1:63" x14ac:dyDescent="0.25">
      <c r="A944" s="306">
        <v>325211</v>
      </c>
      <c r="B944" s="309" t="s">
        <v>2</v>
      </c>
      <c r="C944" s="309">
        <v>14.5701</v>
      </c>
      <c r="D944" s="309">
        <v>5.3261000000000003</v>
      </c>
      <c r="E944" s="309">
        <v>9.0015999999999998</v>
      </c>
      <c r="F944" s="309">
        <v>8.2849000000000004</v>
      </c>
      <c r="G944" s="309">
        <v>6.4878999999999998</v>
      </c>
      <c r="H944" s="309">
        <v>7.5278999999999998</v>
      </c>
      <c r="I944" s="309">
        <v>8.0591000000000008</v>
      </c>
      <c r="J944" s="309">
        <v>6.1173999999999999</v>
      </c>
      <c r="K944" s="309">
        <v>0</v>
      </c>
      <c r="L944" s="309">
        <v>5.6669</v>
      </c>
      <c r="M944" s="309">
        <v>7.0149999999999997</v>
      </c>
      <c r="N944" s="309">
        <v>8.4492999999999991</v>
      </c>
      <c r="O944" s="309">
        <v>0</v>
      </c>
      <c r="P944" s="309">
        <v>5.7279999999999998</v>
      </c>
      <c r="Q944" s="309">
        <v>6.4401999999999999</v>
      </c>
      <c r="R944" s="309">
        <v>9.1672999999999991</v>
      </c>
      <c r="S944" s="309">
        <v>8.6699000000000002</v>
      </c>
      <c r="T944" s="309">
        <v>6.6235999999999997</v>
      </c>
      <c r="U944" s="309">
        <v>8.3873999999999995</v>
      </c>
      <c r="V944" s="309">
        <v>8.9498999999999995</v>
      </c>
      <c r="W944" s="309">
        <v>5.9572000000000003</v>
      </c>
      <c r="X944" s="309">
        <v>5.8891999999999998</v>
      </c>
      <c r="Y944" s="309">
        <v>7.1416000000000004</v>
      </c>
      <c r="Z944" s="309">
        <v>7.8118999999999996</v>
      </c>
      <c r="AA944" s="309">
        <v>7.9393000000000002</v>
      </c>
      <c r="AB944" s="309">
        <v>8.9082000000000008</v>
      </c>
      <c r="AC944" s="309">
        <v>7.1547999999999998</v>
      </c>
      <c r="AD944" s="309">
        <v>7.5094000000000003</v>
      </c>
      <c r="AE944" s="309">
        <v>8.7584999999999997</v>
      </c>
      <c r="AF944" s="309">
        <v>0</v>
      </c>
      <c r="AG944" s="309">
        <v>6.5025000000000004</v>
      </c>
      <c r="AH944" s="309">
        <v>5.7024999999999997</v>
      </c>
      <c r="AI944" s="309">
        <v>7.9813999999999998</v>
      </c>
      <c r="AJ944" s="309">
        <v>6.2248999999999999</v>
      </c>
      <c r="AK944" s="309">
        <v>5.5568999999999997</v>
      </c>
      <c r="AL944" s="309">
        <v>4.5057999999999998</v>
      </c>
      <c r="AM944" s="309">
        <v>10.352</v>
      </c>
      <c r="AN944" s="309">
        <v>6.9772999999999996</v>
      </c>
      <c r="AO944" s="309">
        <v>7.1299000000000001</v>
      </c>
      <c r="AP944" s="309">
        <v>8.7443000000000008</v>
      </c>
      <c r="AQ944" s="309">
        <v>5.9855</v>
      </c>
      <c r="AR944" s="309">
        <v>9.2370000000000001</v>
      </c>
      <c r="AS944" s="309">
        <v>5.8263999999999996</v>
      </c>
      <c r="AT944" s="309">
        <v>7.8407</v>
      </c>
      <c r="AU944" s="309">
        <v>10.1614</v>
      </c>
      <c r="AV944" s="309">
        <v>9.33</v>
      </c>
      <c r="AW944" s="309">
        <v>7.4253999999999998</v>
      </c>
      <c r="AX944" s="309">
        <v>5.3596000000000004</v>
      </c>
      <c r="AY944" s="309">
        <v>6.9358000000000004</v>
      </c>
      <c r="AZ944" s="309">
        <v>8.7647999999999993</v>
      </c>
      <c r="BA944" s="309">
        <v>7.4707999999999997</v>
      </c>
      <c r="BB944" s="309">
        <v>0</v>
      </c>
      <c r="BC944" s="309">
        <v>7.2782999999999998</v>
      </c>
      <c r="BD944" s="309">
        <v>8.2340999999999998</v>
      </c>
      <c r="BE944" s="309">
        <v>10.527900000000001</v>
      </c>
      <c r="BF944" s="309">
        <v>8.5960999999999999</v>
      </c>
      <c r="BG944" s="309">
        <v>9.4011999999999993</v>
      </c>
      <c r="BH944" s="309">
        <v>9.9796999999999993</v>
      </c>
      <c r="BI944" s="309">
        <v>10.6721</v>
      </c>
      <c r="BJ944" s="309">
        <v>8.4246999999999996</v>
      </c>
      <c r="BK944" s="309">
        <v>7.8265000000000002</v>
      </c>
    </row>
    <row r="945" spans="1:63" x14ac:dyDescent="0.25">
      <c r="A945" s="306">
        <v>325212</v>
      </c>
      <c r="B945" s="309" t="s">
        <v>109</v>
      </c>
      <c r="C945" s="309">
        <v>14.7216</v>
      </c>
      <c r="D945" s="309">
        <v>0</v>
      </c>
      <c r="E945" s="309">
        <v>10.459300000000001</v>
      </c>
      <c r="F945" s="309">
        <v>0</v>
      </c>
      <c r="G945" s="309">
        <v>6.4526000000000003</v>
      </c>
      <c r="H945" s="309">
        <v>9.0345999999999993</v>
      </c>
      <c r="I945" s="309">
        <v>0</v>
      </c>
      <c r="J945" s="309">
        <v>6.2127999999999997</v>
      </c>
      <c r="K945" s="309">
        <v>0</v>
      </c>
      <c r="L945" s="309">
        <v>7.1036999999999999</v>
      </c>
      <c r="M945" s="309">
        <v>8.3295999999999992</v>
      </c>
      <c r="N945" s="309">
        <v>8.9140999999999995</v>
      </c>
      <c r="O945" s="309">
        <v>0</v>
      </c>
      <c r="P945" s="309">
        <v>0</v>
      </c>
      <c r="Q945" s="309">
        <v>0</v>
      </c>
      <c r="R945" s="309">
        <v>9.0355000000000008</v>
      </c>
      <c r="S945" s="309">
        <v>9.4763999999999999</v>
      </c>
      <c r="T945" s="309">
        <v>0</v>
      </c>
      <c r="U945" s="309">
        <v>7.9768999999999997</v>
      </c>
      <c r="V945" s="309">
        <v>9.0581999999999994</v>
      </c>
      <c r="W945" s="309">
        <v>7.9669999999999996</v>
      </c>
      <c r="X945" s="309">
        <v>7.0296000000000003</v>
      </c>
      <c r="Y945" s="309">
        <v>8.8935999999999993</v>
      </c>
      <c r="Z945" s="309">
        <v>9.1158999999999999</v>
      </c>
      <c r="AA945" s="309">
        <v>8.3461999999999996</v>
      </c>
      <c r="AB945" s="309">
        <v>0</v>
      </c>
      <c r="AC945" s="309">
        <v>8.0637000000000008</v>
      </c>
      <c r="AD945" s="309">
        <v>0</v>
      </c>
      <c r="AE945" s="309">
        <v>10.639699999999999</v>
      </c>
      <c r="AF945" s="309">
        <v>0</v>
      </c>
      <c r="AG945" s="309">
        <v>0</v>
      </c>
      <c r="AH945" s="309">
        <v>7.6199000000000003</v>
      </c>
      <c r="AI945" s="309">
        <v>8.7050999999999998</v>
      </c>
      <c r="AJ945" s="309">
        <v>7.9212999999999996</v>
      </c>
      <c r="AK945" s="309">
        <v>0</v>
      </c>
      <c r="AL945" s="309">
        <v>4.8917999999999999</v>
      </c>
      <c r="AM945" s="309">
        <v>10.639900000000001</v>
      </c>
      <c r="AN945" s="309">
        <v>8.4267000000000003</v>
      </c>
      <c r="AO945" s="309">
        <v>9.2760999999999996</v>
      </c>
      <c r="AP945" s="309">
        <v>9.5328999999999997</v>
      </c>
      <c r="AQ945" s="309">
        <v>7.7502000000000004</v>
      </c>
      <c r="AR945" s="309">
        <v>10.052199999999999</v>
      </c>
      <c r="AS945" s="309">
        <v>0</v>
      </c>
      <c r="AT945" s="309">
        <v>9.9786999999999999</v>
      </c>
      <c r="AU945" s="309">
        <v>10.516500000000001</v>
      </c>
      <c r="AV945" s="309">
        <v>11.9833</v>
      </c>
      <c r="AW945" s="309">
        <v>8.4337999999999997</v>
      </c>
      <c r="AX945" s="309">
        <v>0</v>
      </c>
      <c r="AY945" s="309">
        <v>9.1865000000000006</v>
      </c>
      <c r="AZ945" s="309">
        <v>8.5042000000000009</v>
      </c>
      <c r="BA945" s="309">
        <v>0</v>
      </c>
      <c r="BB945" s="309">
        <v>0</v>
      </c>
      <c r="BC945" s="309">
        <v>9.2668999999999997</v>
      </c>
      <c r="BD945" s="309">
        <v>8.3453999999999997</v>
      </c>
      <c r="BE945" s="309">
        <v>10.815</v>
      </c>
      <c r="BF945" s="309">
        <v>8.7459000000000007</v>
      </c>
      <c r="BG945" s="309">
        <v>10.5913</v>
      </c>
      <c r="BH945" s="309">
        <v>9.7429000000000006</v>
      </c>
      <c r="BI945" s="309">
        <v>10.8162</v>
      </c>
      <c r="BJ945" s="309">
        <v>9.6358999999999995</v>
      </c>
      <c r="BK945" s="309">
        <v>9.3970000000000002</v>
      </c>
    </row>
    <row r="946" spans="1:63" x14ac:dyDescent="0.25">
      <c r="A946" s="306">
        <v>325220</v>
      </c>
      <c r="B946" s="309" t="s">
        <v>110</v>
      </c>
      <c r="C946" s="309">
        <v>16.258900000000001</v>
      </c>
      <c r="D946" s="309">
        <v>0</v>
      </c>
      <c r="E946" s="309">
        <v>10.8109</v>
      </c>
      <c r="F946" s="309">
        <v>9.4955999999999996</v>
      </c>
      <c r="G946" s="309">
        <v>9.4938000000000002</v>
      </c>
      <c r="H946" s="309">
        <v>10.4482</v>
      </c>
      <c r="I946" s="309">
        <v>12.0474</v>
      </c>
      <c r="J946" s="309">
        <v>9.8498000000000001</v>
      </c>
      <c r="K946" s="309">
        <v>0</v>
      </c>
      <c r="L946" s="309">
        <v>6.5274000000000001</v>
      </c>
      <c r="M946" s="309">
        <v>8.1921999999999997</v>
      </c>
      <c r="N946" s="309">
        <v>11.0678</v>
      </c>
      <c r="O946" s="309">
        <v>10.082599999999999</v>
      </c>
      <c r="P946" s="309">
        <v>9.6358999999999995</v>
      </c>
      <c r="Q946" s="309">
        <v>0</v>
      </c>
      <c r="R946" s="309">
        <v>12.968</v>
      </c>
      <c r="S946" s="309">
        <v>0</v>
      </c>
      <c r="T946" s="309">
        <v>7.5591999999999997</v>
      </c>
      <c r="U946" s="309">
        <v>0</v>
      </c>
      <c r="V946" s="309">
        <v>0</v>
      </c>
      <c r="W946" s="309">
        <v>7.9335000000000004</v>
      </c>
      <c r="X946" s="309">
        <v>8.3018000000000001</v>
      </c>
      <c r="Y946" s="309">
        <v>0</v>
      </c>
      <c r="Z946" s="309">
        <v>10.9781</v>
      </c>
      <c r="AA946" s="309">
        <v>0</v>
      </c>
      <c r="AB946" s="309">
        <v>0</v>
      </c>
      <c r="AC946" s="309">
        <v>10.7325</v>
      </c>
      <c r="AD946" s="309">
        <v>0</v>
      </c>
      <c r="AE946" s="309">
        <v>10.945600000000001</v>
      </c>
      <c r="AF946" s="309">
        <v>0</v>
      </c>
      <c r="AG946" s="309">
        <v>0</v>
      </c>
      <c r="AH946" s="309">
        <v>8.2114999999999991</v>
      </c>
      <c r="AI946" s="309">
        <v>8.7222000000000008</v>
      </c>
      <c r="AJ946" s="309">
        <v>7.8691000000000004</v>
      </c>
      <c r="AK946" s="309">
        <v>0</v>
      </c>
      <c r="AL946" s="309">
        <v>7.5362999999999998</v>
      </c>
      <c r="AM946" s="309">
        <v>12.508900000000001</v>
      </c>
      <c r="AN946" s="309">
        <v>0</v>
      </c>
      <c r="AO946" s="309">
        <v>8.9210999999999991</v>
      </c>
      <c r="AP946" s="309">
        <v>12.1151</v>
      </c>
      <c r="AQ946" s="309">
        <v>0</v>
      </c>
      <c r="AR946" s="309">
        <v>11.1662</v>
      </c>
      <c r="AS946" s="309">
        <v>0</v>
      </c>
      <c r="AT946" s="309">
        <v>9.3013999999999992</v>
      </c>
      <c r="AU946" s="309">
        <v>12.57</v>
      </c>
      <c r="AV946" s="309">
        <v>13.474500000000001</v>
      </c>
      <c r="AW946" s="309">
        <v>8.7151999999999994</v>
      </c>
      <c r="AX946" s="309">
        <v>7.4394</v>
      </c>
      <c r="AY946" s="309">
        <v>0</v>
      </c>
      <c r="AZ946" s="309">
        <v>0</v>
      </c>
      <c r="BA946" s="309">
        <v>0</v>
      </c>
      <c r="BB946" s="309">
        <v>0</v>
      </c>
      <c r="BC946" s="309">
        <v>10.339399999999999</v>
      </c>
      <c r="BD946" s="309">
        <v>11.238899999999999</v>
      </c>
      <c r="BE946" s="309">
        <v>13.102499999999999</v>
      </c>
      <c r="BF946" s="309">
        <v>10.206799999999999</v>
      </c>
      <c r="BG946" s="309">
        <v>11.542899999999999</v>
      </c>
      <c r="BH946" s="309">
        <v>10.9473</v>
      </c>
      <c r="BI946" s="309">
        <v>13.0197</v>
      </c>
      <c r="BJ946" s="309">
        <v>11.071899999999999</v>
      </c>
      <c r="BK946" s="309">
        <v>10.793799999999999</v>
      </c>
    </row>
    <row r="947" spans="1:63" x14ac:dyDescent="0.25">
      <c r="A947" s="306">
        <v>325310</v>
      </c>
      <c r="B947" s="309" t="s">
        <v>111</v>
      </c>
      <c r="C947" s="309">
        <v>15.992699999999999</v>
      </c>
      <c r="D947" s="309">
        <v>7.1878000000000002</v>
      </c>
      <c r="E947" s="309">
        <v>11.097099999999999</v>
      </c>
      <c r="F947" s="309">
        <v>9.93</v>
      </c>
      <c r="G947" s="309">
        <v>8.8979999999999997</v>
      </c>
      <c r="H947" s="309">
        <v>9.7196999999999996</v>
      </c>
      <c r="I947" s="309">
        <v>10.779500000000001</v>
      </c>
      <c r="J947" s="309">
        <v>6.6791</v>
      </c>
      <c r="K947" s="309">
        <v>0.49320000000000003</v>
      </c>
      <c r="L947" s="309">
        <v>5.3544999999999998</v>
      </c>
      <c r="M947" s="309">
        <v>8.9732000000000003</v>
      </c>
      <c r="N947" s="309">
        <v>10.7248</v>
      </c>
      <c r="O947" s="309">
        <v>8.0828000000000007</v>
      </c>
      <c r="P947" s="309">
        <v>6.2074999999999996</v>
      </c>
      <c r="Q947" s="309">
        <v>9.3157999999999994</v>
      </c>
      <c r="R947" s="309">
        <v>9.8026999999999997</v>
      </c>
      <c r="S947" s="309">
        <v>10.273400000000001</v>
      </c>
      <c r="T947" s="309">
        <v>8.1577000000000002</v>
      </c>
      <c r="U947" s="309">
        <v>9.4770000000000003</v>
      </c>
      <c r="V947" s="309">
        <v>10.278499999999999</v>
      </c>
      <c r="W947" s="309">
        <v>6.8323</v>
      </c>
      <c r="X947" s="309">
        <v>6.9751000000000003</v>
      </c>
      <c r="Y947" s="309">
        <v>10.7532</v>
      </c>
      <c r="Z947" s="309">
        <v>9.8802000000000003</v>
      </c>
      <c r="AA947" s="309">
        <v>8.4635999999999996</v>
      </c>
      <c r="AB947" s="309">
        <v>9.8104999999999993</v>
      </c>
      <c r="AC947" s="309">
        <v>8.4484999999999992</v>
      </c>
      <c r="AD947" s="309">
        <v>10.3163</v>
      </c>
      <c r="AE947" s="309">
        <v>10.5497</v>
      </c>
      <c r="AF947" s="309">
        <v>0</v>
      </c>
      <c r="AG947" s="309">
        <v>8.1846999999999994</v>
      </c>
      <c r="AH947" s="309">
        <v>0</v>
      </c>
      <c r="AI947" s="309">
        <v>7.8703000000000003</v>
      </c>
      <c r="AJ947" s="309">
        <v>9.5937000000000001</v>
      </c>
      <c r="AK947" s="309">
        <v>7.3551000000000002</v>
      </c>
      <c r="AL947" s="309">
        <v>6.2965</v>
      </c>
      <c r="AM947" s="309">
        <v>11.419499999999999</v>
      </c>
      <c r="AN947" s="309">
        <v>10.922000000000001</v>
      </c>
      <c r="AO947" s="309">
        <v>10.049899999999999</v>
      </c>
      <c r="AP947" s="309">
        <v>10.513999999999999</v>
      </c>
      <c r="AQ947" s="309">
        <v>0</v>
      </c>
      <c r="AR947" s="309">
        <v>10.620200000000001</v>
      </c>
      <c r="AS947" s="309">
        <v>5.5640000000000001</v>
      </c>
      <c r="AT947" s="309">
        <v>9.5242000000000004</v>
      </c>
      <c r="AU947" s="309">
        <v>12.047000000000001</v>
      </c>
      <c r="AV947" s="309">
        <v>13.0915</v>
      </c>
      <c r="AW947" s="309">
        <v>9.0129999999999999</v>
      </c>
      <c r="AX947" s="309">
        <v>9.0256000000000007</v>
      </c>
      <c r="AY947" s="309">
        <v>8.5593000000000004</v>
      </c>
      <c r="AZ947" s="309">
        <v>10.3985</v>
      </c>
      <c r="BA947" s="309">
        <v>10.427300000000001</v>
      </c>
      <c r="BB947" s="309">
        <v>7.2084999999999999</v>
      </c>
      <c r="BC947" s="309">
        <v>8.7734000000000005</v>
      </c>
      <c r="BD947" s="309">
        <v>8.8472000000000008</v>
      </c>
      <c r="BE947" s="309">
        <v>11.776199999999999</v>
      </c>
      <c r="BF947" s="309">
        <v>9.4533000000000005</v>
      </c>
      <c r="BG947" s="309">
        <v>11.398099999999999</v>
      </c>
      <c r="BH947" s="309">
        <v>10.8193</v>
      </c>
      <c r="BI947" s="309">
        <v>12.685700000000001</v>
      </c>
      <c r="BJ947" s="309">
        <v>12.333299999999999</v>
      </c>
      <c r="BK947" s="309">
        <v>10.1967</v>
      </c>
    </row>
    <row r="948" spans="1:63" x14ac:dyDescent="0.25">
      <c r="A948" s="306">
        <v>325320</v>
      </c>
      <c r="B948" s="309" t="s">
        <v>112</v>
      </c>
      <c r="C948" s="309">
        <v>11.6374</v>
      </c>
      <c r="D948" s="309">
        <v>0</v>
      </c>
      <c r="E948" s="309">
        <v>7.0994000000000002</v>
      </c>
      <c r="F948" s="309">
        <v>7.6277999999999997</v>
      </c>
      <c r="G948" s="309">
        <v>6.4398</v>
      </c>
      <c r="H948" s="309">
        <v>6.7347999999999999</v>
      </c>
      <c r="I948" s="309">
        <v>8.5952999999999999</v>
      </c>
      <c r="J948" s="309">
        <v>6.1368</v>
      </c>
      <c r="K948" s="309">
        <v>0</v>
      </c>
      <c r="L948" s="309">
        <v>0</v>
      </c>
      <c r="M948" s="309">
        <v>6.7614000000000001</v>
      </c>
      <c r="N948" s="309">
        <v>8.4924999999999997</v>
      </c>
      <c r="O948" s="309">
        <v>0</v>
      </c>
      <c r="P948" s="309">
        <v>5.1527000000000003</v>
      </c>
      <c r="Q948" s="309">
        <v>6.4168000000000003</v>
      </c>
      <c r="R948" s="309">
        <v>8.0828000000000007</v>
      </c>
      <c r="S948" s="309">
        <v>6.9779999999999998</v>
      </c>
      <c r="T948" s="309">
        <v>5.8977000000000004</v>
      </c>
      <c r="U948" s="309">
        <v>8.1967999999999996</v>
      </c>
      <c r="V948" s="309">
        <v>6.7969999999999997</v>
      </c>
      <c r="W948" s="309">
        <v>5.6193999999999997</v>
      </c>
      <c r="X948" s="309">
        <v>4.8533999999999997</v>
      </c>
      <c r="Y948" s="309">
        <v>7.6151</v>
      </c>
      <c r="Z948" s="309">
        <v>7.7293000000000003</v>
      </c>
      <c r="AA948" s="309">
        <v>7.1071999999999997</v>
      </c>
      <c r="AB948" s="309">
        <v>7.5827</v>
      </c>
      <c r="AC948" s="309">
        <v>6.8986999999999998</v>
      </c>
      <c r="AD948" s="309">
        <v>6.8865999999999996</v>
      </c>
      <c r="AE948" s="309">
        <v>7.2470999999999997</v>
      </c>
      <c r="AF948" s="309">
        <v>5.5198</v>
      </c>
      <c r="AG948" s="309">
        <v>5.2893999999999997</v>
      </c>
      <c r="AH948" s="309">
        <v>0</v>
      </c>
      <c r="AI948" s="309">
        <v>6.9234</v>
      </c>
      <c r="AJ948" s="309">
        <v>6.5480999999999998</v>
      </c>
      <c r="AK948" s="309">
        <v>0</v>
      </c>
      <c r="AL948" s="309">
        <v>4.6104000000000003</v>
      </c>
      <c r="AM948" s="309">
        <v>9.1720000000000006</v>
      </c>
      <c r="AN948" s="309">
        <v>6.0734000000000004</v>
      </c>
      <c r="AO948" s="309">
        <v>7.2805</v>
      </c>
      <c r="AP948" s="309">
        <v>7.9448999999999996</v>
      </c>
      <c r="AQ948" s="309">
        <v>0</v>
      </c>
      <c r="AR948" s="309">
        <v>8.2612000000000005</v>
      </c>
      <c r="AS948" s="309">
        <v>0</v>
      </c>
      <c r="AT948" s="309">
        <v>6.8171999999999997</v>
      </c>
      <c r="AU948" s="309">
        <v>7.8856999999999999</v>
      </c>
      <c r="AV948" s="309">
        <v>8.3567999999999998</v>
      </c>
      <c r="AW948" s="309">
        <v>7.5301999999999998</v>
      </c>
      <c r="AX948" s="309">
        <v>0</v>
      </c>
      <c r="AY948" s="309">
        <v>6.4550999999999998</v>
      </c>
      <c r="AZ948" s="309">
        <v>8.3643000000000001</v>
      </c>
      <c r="BA948" s="309">
        <v>5.8476999999999997</v>
      </c>
      <c r="BB948" s="309">
        <v>0</v>
      </c>
      <c r="BC948" s="309">
        <v>7.1632999999999996</v>
      </c>
      <c r="BD948" s="309">
        <v>7.6776999999999997</v>
      </c>
      <c r="BE948" s="309">
        <v>9.0297000000000001</v>
      </c>
      <c r="BF948" s="309">
        <v>7.5327000000000002</v>
      </c>
      <c r="BG948" s="309">
        <v>8.2967999999999993</v>
      </c>
      <c r="BH948" s="309">
        <v>8.1395</v>
      </c>
      <c r="BI948" s="309">
        <v>8.2111999999999998</v>
      </c>
      <c r="BJ948" s="309">
        <v>7.8529</v>
      </c>
      <c r="BK948" s="309">
        <v>7.0678999999999998</v>
      </c>
    </row>
    <row r="949" spans="1:63" x14ac:dyDescent="0.25">
      <c r="A949" s="306">
        <v>325411</v>
      </c>
      <c r="B949" s="309" t="s">
        <v>113</v>
      </c>
      <c r="C949" s="309">
        <v>10.4659</v>
      </c>
      <c r="D949" s="309">
        <v>0</v>
      </c>
      <c r="E949" s="309">
        <v>5.9519000000000002</v>
      </c>
      <c r="F949" s="309">
        <v>6.7854999999999999</v>
      </c>
      <c r="G949" s="309">
        <v>5.8532000000000002</v>
      </c>
      <c r="H949" s="309">
        <v>7.0423</v>
      </c>
      <c r="I949" s="309">
        <v>7.4099000000000004</v>
      </c>
      <c r="J949" s="309">
        <v>5.0448000000000004</v>
      </c>
      <c r="K949" s="309">
        <v>0</v>
      </c>
      <c r="L949" s="309">
        <v>0</v>
      </c>
      <c r="M949" s="309">
        <v>6.4962999999999997</v>
      </c>
      <c r="N949" s="309">
        <v>6.5113000000000003</v>
      </c>
      <c r="O949" s="309">
        <v>0</v>
      </c>
      <c r="P949" s="309">
        <v>5.6550000000000002</v>
      </c>
      <c r="Q949" s="309">
        <v>6.8194999999999997</v>
      </c>
      <c r="R949" s="309">
        <v>7.0294999999999996</v>
      </c>
      <c r="S949" s="309">
        <v>7.2736999999999998</v>
      </c>
      <c r="T949" s="309">
        <v>4.7912999999999997</v>
      </c>
      <c r="U949" s="309">
        <v>5.7729999999999997</v>
      </c>
      <c r="V949" s="309">
        <v>6.9360999999999997</v>
      </c>
      <c r="W949" s="309">
        <v>5.8175999999999997</v>
      </c>
      <c r="X949" s="309">
        <v>5.5709999999999997</v>
      </c>
      <c r="Y949" s="309">
        <v>8.0332000000000008</v>
      </c>
      <c r="Z949" s="309">
        <v>7.1626000000000003</v>
      </c>
      <c r="AA949" s="309">
        <v>6.6157000000000004</v>
      </c>
      <c r="AB949" s="309">
        <v>7.125</v>
      </c>
      <c r="AC949" s="309">
        <v>6.1516000000000002</v>
      </c>
      <c r="AD949" s="309">
        <v>6.8574999999999999</v>
      </c>
      <c r="AE949" s="309">
        <v>6.9970999999999997</v>
      </c>
      <c r="AF949" s="309">
        <v>0</v>
      </c>
      <c r="AG949" s="309">
        <v>5.9981</v>
      </c>
      <c r="AH949" s="309">
        <v>6.0000999999999998</v>
      </c>
      <c r="AI949" s="309">
        <v>6.2622</v>
      </c>
      <c r="AJ949" s="309">
        <v>6.4512</v>
      </c>
      <c r="AK949" s="309">
        <v>5.1843000000000004</v>
      </c>
      <c r="AL949" s="309">
        <v>4.3056000000000001</v>
      </c>
      <c r="AM949" s="309">
        <v>6.5128000000000004</v>
      </c>
      <c r="AN949" s="309">
        <v>0</v>
      </c>
      <c r="AO949" s="309">
        <v>7.4351000000000003</v>
      </c>
      <c r="AP949" s="309">
        <v>7.4606000000000003</v>
      </c>
      <c r="AQ949" s="309">
        <v>0</v>
      </c>
      <c r="AR949" s="309">
        <v>5.657</v>
      </c>
      <c r="AS949" s="309">
        <v>0</v>
      </c>
      <c r="AT949" s="309">
        <v>7.1642000000000001</v>
      </c>
      <c r="AU949" s="309">
        <v>6.8372000000000002</v>
      </c>
      <c r="AV949" s="309">
        <v>9.4234000000000009</v>
      </c>
      <c r="AW949" s="309">
        <v>6.0167000000000002</v>
      </c>
      <c r="AX949" s="309">
        <v>0</v>
      </c>
      <c r="AY949" s="309">
        <v>6.6473000000000004</v>
      </c>
      <c r="AZ949" s="309">
        <v>7.5575000000000001</v>
      </c>
      <c r="BA949" s="309">
        <v>5.3663999999999996</v>
      </c>
      <c r="BB949" s="309">
        <v>4.7252999999999998</v>
      </c>
      <c r="BC949" s="309">
        <v>7.0242000000000004</v>
      </c>
      <c r="BD949" s="309">
        <v>7.1684000000000001</v>
      </c>
      <c r="BE949" s="309">
        <v>7.9435000000000002</v>
      </c>
      <c r="BF949" s="309">
        <v>7.0899000000000001</v>
      </c>
      <c r="BG949" s="309">
        <v>7.7691999999999997</v>
      </c>
      <c r="BH949" s="309">
        <v>6.2919999999999998</v>
      </c>
      <c r="BI949" s="309">
        <v>7.0372000000000003</v>
      </c>
      <c r="BJ949" s="309">
        <v>7.5629</v>
      </c>
      <c r="BK949" s="309">
        <v>7.2323000000000004</v>
      </c>
    </row>
    <row r="950" spans="1:63" x14ac:dyDescent="0.25">
      <c r="A950" s="306">
        <v>325412</v>
      </c>
      <c r="B950" s="309" t="s">
        <v>114</v>
      </c>
      <c r="C950" s="309">
        <v>9.9420999999999999</v>
      </c>
      <c r="D950" s="309">
        <v>0</v>
      </c>
      <c r="E950" s="309">
        <v>6.5930999999999997</v>
      </c>
      <c r="F950" s="309">
        <v>6.3739999999999997</v>
      </c>
      <c r="G950" s="309">
        <v>5.7454000000000001</v>
      </c>
      <c r="H950" s="309">
        <v>6.0961999999999996</v>
      </c>
      <c r="I950" s="309">
        <v>7.1727999999999996</v>
      </c>
      <c r="J950" s="309">
        <v>4.9855</v>
      </c>
      <c r="K950" s="309">
        <v>0.45610000000000001</v>
      </c>
      <c r="L950" s="309">
        <v>3.8624000000000001</v>
      </c>
      <c r="M950" s="309">
        <v>6.2191999999999998</v>
      </c>
      <c r="N950" s="309">
        <v>6.2542</v>
      </c>
      <c r="O950" s="309">
        <v>5.6463000000000001</v>
      </c>
      <c r="P950" s="309">
        <v>5.1750999999999996</v>
      </c>
      <c r="Q950" s="309">
        <v>5.7285000000000004</v>
      </c>
      <c r="R950" s="309">
        <v>6.5248999999999997</v>
      </c>
      <c r="S950" s="309">
        <v>5.3501000000000003</v>
      </c>
      <c r="T950" s="309">
        <v>4.5983999999999998</v>
      </c>
      <c r="U950" s="309">
        <v>6.4679000000000002</v>
      </c>
      <c r="V950" s="309">
        <v>6.3247999999999998</v>
      </c>
      <c r="W950" s="309">
        <v>5.6988000000000003</v>
      </c>
      <c r="X950" s="309">
        <v>5.0673000000000004</v>
      </c>
      <c r="Y950" s="309">
        <v>6.6988000000000003</v>
      </c>
      <c r="Z950" s="309">
        <v>6.9725999999999999</v>
      </c>
      <c r="AA950" s="309">
        <v>6.0911</v>
      </c>
      <c r="AB950" s="309">
        <v>6.9794</v>
      </c>
      <c r="AC950" s="309">
        <v>5.5476999999999999</v>
      </c>
      <c r="AD950" s="309">
        <v>5.7511000000000001</v>
      </c>
      <c r="AE950" s="309">
        <v>6.8926999999999996</v>
      </c>
      <c r="AF950" s="309">
        <v>0</v>
      </c>
      <c r="AG950" s="309">
        <v>5.2576999999999998</v>
      </c>
      <c r="AH950" s="309">
        <v>5.9817</v>
      </c>
      <c r="AI950" s="309">
        <v>5.8869999999999996</v>
      </c>
      <c r="AJ950" s="309">
        <v>4.9431000000000003</v>
      </c>
      <c r="AK950" s="309">
        <v>5.5035999999999996</v>
      </c>
      <c r="AL950" s="309">
        <v>4.3667999999999996</v>
      </c>
      <c r="AM950" s="309">
        <v>7.0228000000000002</v>
      </c>
      <c r="AN950" s="309">
        <v>5.0068999999999999</v>
      </c>
      <c r="AO950" s="309">
        <v>6.9619999999999997</v>
      </c>
      <c r="AP950" s="309">
        <v>6.7038000000000002</v>
      </c>
      <c r="AQ950" s="309">
        <v>4.6863999999999999</v>
      </c>
      <c r="AR950" s="309">
        <v>6.5297000000000001</v>
      </c>
      <c r="AS950" s="309">
        <v>4.6307999999999998</v>
      </c>
      <c r="AT950" s="309">
        <v>6.0903</v>
      </c>
      <c r="AU950" s="309">
        <v>6.1108000000000002</v>
      </c>
      <c r="AV950" s="309">
        <v>9.2047000000000008</v>
      </c>
      <c r="AW950" s="309">
        <v>6.4531999999999998</v>
      </c>
      <c r="AX950" s="309">
        <v>4.0637999999999996</v>
      </c>
      <c r="AY950" s="309">
        <v>5.6044</v>
      </c>
      <c r="AZ950" s="309">
        <v>6.9555999999999996</v>
      </c>
      <c r="BA950" s="309">
        <v>5.4210000000000003</v>
      </c>
      <c r="BB950" s="309">
        <v>4.5136000000000003</v>
      </c>
      <c r="BC950" s="309">
        <v>6.7268999999999997</v>
      </c>
      <c r="BD950" s="309">
        <v>6.8849</v>
      </c>
      <c r="BE950" s="309">
        <v>7.3747999999999996</v>
      </c>
      <c r="BF950" s="309">
        <v>6.8632999999999997</v>
      </c>
      <c r="BG950" s="309">
        <v>7.7154999999999996</v>
      </c>
      <c r="BH950" s="309">
        <v>6.7816000000000001</v>
      </c>
      <c r="BI950" s="309">
        <v>6.3052999999999999</v>
      </c>
      <c r="BJ950" s="309">
        <v>7.2247000000000003</v>
      </c>
      <c r="BK950" s="309">
        <v>6.3017000000000003</v>
      </c>
    </row>
    <row r="951" spans="1:63" x14ac:dyDescent="0.25">
      <c r="A951" s="306">
        <v>325413</v>
      </c>
      <c r="B951" s="309" t="s">
        <v>115</v>
      </c>
      <c r="C951" s="309">
        <v>17.3582</v>
      </c>
      <c r="D951" s="309">
        <v>0</v>
      </c>
      <c r="E951" s="309">
        <v>0</v>
      </c>
      <c r="F951" s="309">
        <v>9.9359999999999999</v>
      </c>
      <c r="G951" s="309">
        <v>0</v>
      </c>
      <c r="H951" s="309">
        <v>11.6656</v>
      </c>
      <c r="I951" s="309">
        <v>13.0687</v>
      </c>
      <c r="J951" s="309">
        <v>9.2914999999999992</v>
      </c>
      <c r="K951" s="309">
        <v>0</v>
      </c>
      <c r="L951" s="309">
        <v>0</v>
      </c>
      <c r="M951" s="309">
        <v>11.9895</v>
      </c>
      <c r="N951" s="309">
        <v>11.4941</v>
      </c>
      <c r="O951" s="309">
        <v>0</v>
      </c>
      <c r="P951" s="309">
        <v>9.6326999999999998</v>
      </c>
      <c r="Q951" s="309">
        <v>0</v>
      </c>
      <c r="R951" s="309">
        <v>12.755100000000001</v>
      </c>
      <c r="S951" s="309">
        <v>11.786899999999999</v>
      </c>
      <c r="T951" s="309">
        <v>9.7174999999999994</v>
      </c>
      <c r="U951" s="309">
        <v>11.6426</v>
      </c>
      <c r="V951" s="309">
        <v>9.7597000000000005</v>
      </c>
      <c r="W951" s="309">
        <v>10.345599999999999</v>
      </c>
      <c r="X951" s="309">
        <v>9.8493999999999993</v>
      </c>
      <c r="Y951" s="309">
        <v>13.413500000000001</v>
      </c>
      <c r="Z951" s="309">
        <v>12.6829</v>
      </c>
      <c r="AA951" s="309">
        <v>11.769600000000001</v>
      </c>
      <c r="AB951" s="309">
        <v>12.081099999999999</v>
      </c>
      <c r="AC951" s="309">
        <v>0</v>
      </c>
      <c r="AD951" s="309">
        <v>0</v>
      </c>
      <c r="AE951" s="309">
        <v>13.39</v>
      </c>
      <c r="AF951" s="309">
        <v>0</v>
      </c>
      <c r="AG951" s="309">
        <v>9.3272999999999993</v>
      </c>
      <c r="AH951" s="309">
        <v>0</v>
      </c>
      <c r="AI951" s="309">
        <v>10.7187</v>
      </c>
      <c r="AJ951" s="309">
        <v>11.4009</v>
      </c>
      <c r="AK951" s="309">
        <v>0</v>
      </c>
      <c r="AL951" s="309">
        <v>9.4382999999999999</v>
      </c>
      <c r="AM951" s="309">
        <v>14.2799</v>
      </c>
      <c r="AN951" s="309">
        <v>11.1099</v>
      </c>
      <c r="AO951" s="309">
        <v>12.9253</v>
      </c>
      <c r="AP951" s="309">
        <v>12.69</v>
      </c>
      <c r="AQ951" s="309">
        <v>10.5022</v>
      </c>
      <c r="AR951" s="309">
        <v>12.5069</v>
      </c>
      <c r="AS951" s="309">
        <v>0</v>
      </c>
      <c r="AT951" s="309">
        <v>10.8538</v>
      </c>
      <c r="AU951" s="309">
        <v>13.005100000000001</v>
      </c>
      <c r="AV951" s="309">
        <v>16.416499999999999</v>
      </c>
      <c r="AW951" s="309">
        <v>12.077999999999999</v>
      </c>
      <c r="AX951" s="309">
        <v>9.7537000000000003</v>
      </c>
      <c r="AY951" s="309">
        <v>11.5253</v>
      </c>
      <c r="AZ951" s="309">
        <v>12.9795</v>
      </c>
      <c r="BA951" s="309">
        <v>0</v>
      </c>
      <c r="BB951" s="309">
        <v>0</v>
      </c>
      <c r="BC951" s="309">
        <v>12.335000000000001</v>
      </c>
      <c r="BD951" s="309">
        <v>12.436</v>
      </c>
      <c r="BE951" s="309">
        <v>14.8323</v>
      </c>
      <c r="BF951" s="309">
        <v>12.406700000000001</v>
      </c>
      <c r="BG951" s="309">
        <v>13.888</v>
      </c>
      <c r="BH951" s="309">
        <v>12.284599999999999</v>
      </c>
      <c r="BI951" s="309">
        <v>13.245100000000001</v>
      </c>
      <c r="BJ951" s="309">
        <v>12.846399999999999</v>
      </c>
      <c r="BK951" s="309">
        <v>12.1607</v>
      </c>
    </row>
    <row r="952" spans="1:63" x14ac:dyDescent="0.25">
      <c r="A952" s="306">
        <v>325414</v>
      </c>
      <c r="B952" s="309" t="s">
        <v>116</v>
      </c>
      <c r="C952" s="309">
        <v>14.319000000000001</v>
      </c>
      <c r="D952" s="309">
        <v>0</v>
      </c>
      <c r="E952" s="309">
        <v>9.3461999999999996</v>
      </c>
      <c r="F952" s="309">
        <v>10.206</v>
      </c>
      <c r="G952" s="309">
        <v>7.5540000000000003</v>
      </c>
      <c r="H952" s="309">
        <v>9.9521999999999995</v>
      </c>
      <c r="I952" s="309">
        <v>11.1142</v>
      </c>
      <c r="J952" s="309">
        <v>7.8536999999999999</v>
      </c>
      <c r="K952" s="309">
        <v>0</v>
      </c>
      <c r="L952" s="309">
        <v>6.7584999999999997</v>
      </c>
      <c r="M952" s="309">
        <v>11.543799999999999</v>
      </c>
      <c r="N952" s="309">
        <v>10.089700000000001</v>
      </c>
      <c r="O952" s="309">
        <v>8.9242000000000008</v>
      </c>
      <c r="P952" s="309">
        <v>8.1593999999999998</v>
      </c>
      <c r="Q952" s="309">
        <v>0</v>
      </c>
      <c r="R952" s="309">
        <v>10.345800000000001</v>
      </c>
      <c r="S952" s="309">
        <v>9.2690999999999999</v>
      </c>
      <c r="T952" s="309">
        <v>7.9661999999999997</v>
      </c>
      <c r="U952" s="309">
        <v>0</v>
      </c>
      <c r="V952" s="309">
        <v>11.3309</v>
      </c>
      <c r="W952" s="309">
        <v>8.1767000000000003</v>
      </c>
      <c r="X952" s="309">
        <v>7.4278000000000004</v>
      </c>
      <c r="Y952" s="309">
        <v>12.4816</v>
      </c>
      <c r="Z952" s="309">
        <v>10.507</v>
      </c>
      <c r="AA952" s="309">
        <v>10.484999999999999</v>
      </c>
      <c r="AB952" s="309">
        <v>10.0337</v>
      </c>
      <c r="AC952" s="309">
        <v>10.1828</v>
      </c>
      <c r="AD952" s="309">
        <v>8.6494</v>
      </c>
      <c r="AE952" s="309">
        <v>10.583600000000001</v>
      </c>
      <c r="AF952" s="309">
        <v>0</v>
      </c>
      <c r="AG952" s="309">
        <v>8.2713000000000001</v>
      </c>
      <c r="AH952" s="309">
        <v>8.3063000000000002</v>
      </c>
      <c r="AI952" s="309">
        <v>8.3383000000000003</v>
      </c>
      <c r="AJ952" s="309">
        <v>0</v>
      </c>
      <c r="AK952" s="309">
        <v>0</v>
      </c>
      <c r="AL952" s="309">
        <v>7.0507</v>
      </c>
      <c r="AM952" s="309">
        <v>11.112</v>
      </c>
      <c r="AN952" s="309">
        <v>8.5449999999999999</v>
      </c>
      <c r="AO952" s="309">
        <v>10.8513</v>
      </c>
      <c r="AP952" s="309">
        <v>10.453799999999999</v>
      </c>
      <c r="AQ952" s="309">
        <v>0</v>
      </c>
      <c r="AR952" s="309">
        <v>9.1888000000000005</v>
      </c>
      <c r="AS952" s="309">
        <v>0</v>
      </c>
      <c r="AT952" s="309">
        <v>11.4825</v>
      </c>
      <c r="AU952" s="309">
        <v>10.2157</v>
      </c>
      <c r="AV952" s="309">
        <v>0</v>
      </c>
      <c r="AW952" s="309">
        <v>10.668799999999999</v>
      </c>
      <c r="AX952" s="309">
        <v>7.3505000000000003</v>
      </c>
      <c r="AY952" s="309">
        <v>9.5574999999999992</v>
      </c>
      <c r="AZ952" s="309">
        <v>10.277900000000001</v>
      </c>
      <c r="BA952" s="309">
        <v>0</v>
      </c>
      <c r="BB952" s="309">
        <v>0</v>
      </c>
      <c r="BC952" s="309">
        <v>10.121600000000001</v>
      </c>
      <c r="BD952" s="309">
        <v>10.0626</v>
      </c>
      <c r="BE952" s="309">
        <v>11.5543</v>
      </c>
      <c r="BF952" s="309">
        <v>10.6004</v>
      </c>
      <c r="BG952" s="309">
        <v>11.3307</v>
      </c>
      <c r="BH952" s="309">
        <v>9.9170999999999996</v>
      </c>
      <c r="BI952" s="309">
        <v>10.5244</v>
      </c>
      <c r="BJ952" s="309">
        <v>10.539300000000001</v>
      </c>
      <c r="BK952" s="309">
        <v>10.3794</v>
      </c>
    </row>
    <row r="953" spans="1:63" x14ac:dyDescent="0.25">
      <c r="A953" s="306">
        <v>325510</v>
      </c>
      <c r="B953" s="309" t="s">
        <v>117</v>
      </c>
      <c r="C953" s="309">
        <v>14.9367</v>
      </c>
      <c r="D953" s="309">
        <v>0</v>
      </c>
      <c r="E953" s="309">
        <v>9.3217999999999996</v>
      </c>
      <c r="F953" s="309">
        <v>8.5046999999999997</v>
      </c>
      <c r="G953" s="309">
        <v>7.0693000000000001</v>
      </c>
      <c r="H953" s="309">
        <v>8.2645</v>
      </c>
      <c r="I953" s="309">
        <v>9.1219000000000001</v>
      </c>
      <c r="J953" s="309">
        <v>6.4732000000000003</v>
      </c>
      <c r="K953" s="309">
        <v>0</v>
      </c>
      <c r="L953" s="309">
        <v>5.7560000000000002</v>
      </c>
      <c r="M953" s="309">
        <v>7.7492999999999999</v>
      </c>
      <c r="N953" s="309">
        <v>9.8847000000000005</v>
      </c>
      <c r="O953" s="309">
        <v>0</v>
      </c>
      <c r="P953" s="309">
        <v>7.0198999999999998</v>
      </c>
      <c r="Q953" s="309">
        <v>7.4867999999999997</v>
      </c>
      <c r="R953" s="309">
        <v>9.9774999999999991</v>
      </c>
      <c r="S953" s="309">
        <v>9.7934000000000001</v>
      </c>
      <c r="T953" s="309">
        <v>6.6653000000000002</v>
      </c>
      <c r="U953" s="309">
        <v>9.4827999999999992</v>
      </c>
      <c r="V953" s="309">
        <v>9.6818000000000008</v>
      </c>
      <c r="W953" s="309">
        <v>7.2847</v>
      </c>
      <c r="X953" s="309">
        <v>7.0288000000000004</v>
      </c>
      <c r="Y953" s="309">
        <v>0</v>
      </c>
      <c r="Z953" s="309">
        <v>9.6250999999999998</v>
      </c>
      <c r="AA953" s="309">
        <v>7.9109999999999996</v>
      </c>
      <c r="AB953" s="309">
        <v>9.2493999999999996</v>
      </c>
      <c r="AC953" s="309">
        <v>8.2063000000000006</v>
      </c>
      <c r="AD953" s="309">
        <v>0</v>
      </c>
      <c r="AE953" s="309">
        <v>9.7184000000000008</v>
      </c>
      <c r="AF953" s="309">
        <v>5.6898999999999997</v>
      </c>
      <c r="AG953" s="309">
        <v>7.0967000000000002</v>
      </c>
      <c r="AH953" s="309">
        <v>7.1520999999999999</v>
      </c>
      <c r="AI953" s="309">
        <v>8.0574999999999992</v>
      </c>
      <c r="AJ953" s="309">
        <v>6.2843999999999998</v>
      </c>
      <c r="AK953" s="309">
        <v>6.4250999999999996</v>
      </c>
      <c r="AL953" s="309">
        <v>6.0471000000000004</v>
      </c>
      <c r="AM953" s="309">
        <v>11.086</v>
      </c>
      <c r="AN953" s="309">
        <v>7.3975999999999997</v>
      </c>
      <c r="AO953" s="309">
        <v>9.0486000000000004</v>
      </c>
      <c r="AP953" s="309">
        <v>10.2407</v>
      </c>
      <c r="AQ953" s="309">
        <v>7.3935000000000004</v>
      </c>
      <c r="AR953" s="309">
        <v>9.7540999999999993</v>
      </c>
      <c r="AS953" s="309">
        <v>6.1909000000000001</v>
      </c>
      <c r="AT953" s="309">
        <v>9.5214999999999996</v>
      </c>
      <c r="AU953" s="309">
        <v>10.5121</v>
      </c>
      <c r="AV953" s="309">
        <v>10.269</v>
      </c>
      <c r="AW953" s="309">
        <v>8.0193999999999992</v>
      </c>
      <c r="AX953" s="309">
        <v>5.9103000000000003</v>
      </c>
      <c r="AY953" s="309">
        <v>7.5736999999999997</v>
      </c>
      <c r="AZ953" s="309">
        <v>9.2007999999999992</v>
      </c>
      <c r="BA953" s="309">
        <v>8.2399000000000004</v>
      </c>
      <c r="BB953" s="309">
        <v>0</v>
      </c>
      <c r="BC953" s="309">
        <v>8.5976999999999997</v>
      </c>
      <c r="BD953" s="309">
        <v>9.3031000000000006</v>
      </c>
      <c r="BE953" s="309">
        <v>11.6309</v>
      </c>
      <c r="BF953" s="309">
        <v>8.9230999999999998</v>
      </c>
      <c r="BG953" s="309">
        <v>10.704599999999999</v>
      </c>
      <c r="BH953" s="309">
        <v>10.7387</v>
      </c>
      <c r="BI953" s="309">
        <v>10.9778</v>
      </c>
      <c r="BJ953" s="309">
        <v>8.8293999999999997</v>
      </c>
      <c r="BK953" s="309">
        <v>8.7154000000000007</v>
      </c>
    </row>
    <row r="954" spans="1:63" x14ac:dyDescent="0.25">
      <c r="A954" s="306">
        <v>325520</v>
      </c>
      <c r="B954" s="309" t="s">
        <v>118</v>
      </c>
      <c r="C954" s="309">
        <v>15.8561</v>
      </c>
      <c r="D954" s="309">
        <v>0</v>
      </c>
      <c r="E954" s="309">
        <v>10.5387</v>
      </c>
      <c r="F954" s="309">
        <v>8.7349999999999994</v>
      </c>
      <c r="G954" s="309">
        <v>9.0977999999999994</v>
      </c>
      <c r="H954" s="309">
        <v>9.5555000000000003</v>
      </c>
      <c r="I954" s="309">
        <v>10.866</v>
      </c>
      <c r="J954" s="309">
        <v>7.2115</v>
      </c>
      <c r="K954" s="309">
        <v>1.0599000000000001</v>
      </c>
      <c r="L954" s="309">
        <v>7.3242000000000003</v>
      </c>
      <c r="M954" s="309">
        <v>10.050599999999999</v>
      </c>
      <c r="N954" s="309">
        <v>10.8908</v>
      </c>
      <c r="O954" s="309">
        <v>0</v>
      </c>
      <c r="P954" s="309">
        <v>6.8384</v>
      </c>
      <c r="Q954" s="309">
        <v>0</v>
      </c>
      <c r="R954" s="309">
        <v>11.0329</v>
      </c>
      <c r="S954" s="309">
        <v>11.283300000000001</v>
      </c>
      <c r="T954" s="309">
        <v>7.8368000000000002</v>
      </c>
      <c r="U954" s="309">
        <v>9.7591999999999999</v>
      </c>
      <c r="V954" s="309">
        <v>9.4710999999999999</v>
      </c>
      <c r="W954" s="309">
        <v>7.6936999999999998</v>
      </c>
      <c r="X954" s="309">
        <v>7.4703999999999997</v>
      </c>
      <c r="Y954" s="309">
        <v>0</v>
      </c>
      <c r="Z954" s="309">
        <v>10.712400000000001</v>
      </c>
      <c r="AA954" s="309">
        <v>8.7601999999999993</v>
      </c>
      <c r="AB954" s="309">
        <v>10.2865</v>
      </c>
      <c r="AC954" s="309">
        <v>8.4421999999999997</v>
      </c>
      <c r="AD954" s="309">
        <v>0</v>
      </c>
      <c r="AE954" s="309">
        <v>10.7073</v>
      </c>
      <c r="AF954" s="309">
        <v>6.7731000000000003</v>
      </c>
      <c r="AG954" s="309">
        <v>8.2448999999999995</v>
      </c>
      <c r="AH954" s="309">
        <v>8.0277999999999992</v>
      </c>
      <c r="AI954" s="309">
        <v>9.0744000000000007</v>
      </c>
      <c r="AJ954" s="309">
        <v>0</v>
      </c>
      <c r="AK954" s="309">
        <v>8.2028999999999996</v>
      </c>
      <c r="AL954" s="309">
        <v>6.2030000000000003</v>
      </c>
      <c r="AM954" s="309">
        <v>11.828900000000001</v>
      </c>
      <c r="AN954" s="309">
        <v>9.0559999999999992</v>
      </c>
      <c r="AO954" s="309">
        <v>8.8081999999999994</v>
      </c>
      <c r="AP954" s="309">
        <v>11.0504</v>
      </c>
      <c r="AQ954" s="309">
        <v>7.9424999999999999</v>
      </c>
      <c r="AR954" s="309">
        <v>10.971</v>
      </c>
      <c r="AS954" s="309">
        <v>0</v>
      </c>
      <c r="AT954" s="309">
        <v>10.41</v>
      </c>
      <c r="AU954" s="309">
        <v>11.6723</v>
      </c>
      <c r="AV954" s="309">
        <v>12.868600000000001</v>
      </c>
      <c r="AW954" s="309">
        <v>9.4673999999999996</v>
      </c>
      <c r="AX954" s="309">
        <v>6.7027999999999999</v>
      </c>
      <c r="AY954" s="309">
        <v>9.4718999999999998</v>
      </c>
      <c r="AZ954" s="309">
        <v>10.1135</v>
      </c>
      <c r="BA954" s="309">
        <v>8.2894000000000005</v>
      </c>
      <c r="BB954" s="309">
        <v>0</v>
      </c>
      <c r="BC954" s="309">
        <v>9.2185000000000006</v>
      </c>
      <c r="BD954" s="309">
        <v>10.135300000000001</v>
      </c>
      <c r="BE954" s="309">
        <v>12.547800000000001</v>
      </c>
      <c r="BF954" s="309">
        <v>9.9938000000000002</v>
      </c>
      <c r="BG954" s="309">
        <v>11.7622</v>
      </c>
      <c r="BH954" s="309">
        <v>11.275700000000001</v>
      </c>
      <c r="BI954" s="309">
        <v>12.055199999999999</v>
      </c>
      <c r="BJ954" s="309">
        <v>11.0601</v>
      </c>
      <c r="BK954" s="309">
        <v>9.9040999999999997</v>
      </c>
    </row>
    <row r="955" spans="1:63" x14ac:dyDescent="0.25">
      <c r="A955" s="306">
        <v>325610</v>
      </c>
      <c r="B955" s="309" t="s">
        <v>119</v>
      </c>
      <c r="C955" s="309">
        <v>11.4457</v>
      </c>
      <c r="D955" s="309">
        <v>3.8915999999999999</v>
      </c>
      <c r="E955" s="309">
        <v>7.6185999999999998</v>
      </c>
      <c r="F955" s="309">
        <v>7.0824999999999996</v>
      </c>
      <c r="G955" s="309">
        <v>5.9124999999999996</v>
      </c>
      <c r="H955" s="309">
        <v>6.8449</v>
      </c>
      <c r="I955" s="309">
        <v>7.7380000000000004</v>
      </c>
      <c r="J955" s="309">
        <v>5.4081000000000001</v>
      </c>
      <c r="K955" s="309">
        <v>0.41489999999999999</v>
      </c>
      <c r="L955" s="309">
        <v>4.6265000000000001</v>
      </c>
      <c r="M955" s="309">
        <v>6.4691999999999998</v>
      </c>
      <c r="N955" s="309">
        <v>8.0081000000000007</v>
      </c>
      <c r="O955" s="309">
        <v>7.0702999999999996</v>
      </c>
      <c r="P955" s="309">
        <v>6.8288000000000002</v>
      </c>
      <c r="Q955" s="309">
        <v>8.0604999999999993</v>
      </c>
      <c r="R955" s="309">
        <v>8.3076000000000008</v>
      </c>
      <c r="S955" s="309">
        <v>7.7762000000000002</v>
      </c>
      <c r="T955" s="309">
        <v>5.6192000000000002</v>
      </c>
      <c r="U955" s="309">
        <v>8.0736000000000008</v>
      </c>
      <c r="V955" s="309">
        <v>7.0038999999999998</v>
      </c>
      <c r="W955" s="309">
        <v>5.9848999999999997</v>
      </c>
      <c r="X955" s="309">
        <v>5.7698999999999998</v>
      </c>
      <c r="Y955" s="309">
        <v>6.8220000000000001</v>
      </c>
      <c r="Z955" s="309">
        <v>7.9321000000000002</v>
      </c>
      <c r="AA955" s="309">
        <v>6.9001000000000001</v>
      </c>
      <c r="AB955" s="309">
        <v>7.9047999999999998</v>
      </c>
      <c r="AC955" s="309">
        <v>7.5415000000000001</v>
      </c>
      <c r="AD955" s="309">
        <v>7.52</v>
      </c>
      <c r="AE955" s="309">
        <v>8.3417999999999992</v>
      </c>
      <c r="AF955" s="309">
        <v>0</v>
      </c>
      <c r="AG955" s="309">
        <v>7.0076999999999998</v>
      </c>
      <c r="AH955" s="309">
        <v>7.5441000000000003</v>
      </c>
      <c r="AI955" s="309">
        <v>6.5087000000000002</v>
      </c>
      <c r="AJ955" s="309">
        <v>7.6504000000000003</v>
      </c>
      <c r="AK955" s="309">
        <v>5.6779000000000002</v>
      </c>
      <c r="AL955" s="309">
        <v>5.3146000000000004</v>
      </c>
      <c r="AM955" s="309">
        <v>8.7774000000000001</v>
      </c>
      <c r="AN955" s="309">
        <v>6.2157</v>
      </c>
      <c r="AO955" s="309">
        <v>6.8189000000000002</v>
      </c>
      <c r="AP955" s="309">
        <v>8.4765999999999995</v>
      </c>
      <c r="AQ955" s="309">
        <v>6.6303999999999998</v>
      </c>
      <c r="AR955" s="309">
        <v>7.9615999999999998</v>
      </c>
      <c r="AS955" s="309">
        <v>6.7159000000000004</v>
      </c>
      <c r="AT955" s="309">
        <v>8.1193000000000008</v>
      </c>
      <c r="AU955" s="309">
        <v>7.6990999999999996</v>
      </c>
      <c r="AV955" s="309">
        <v>9.8009000000000004</v>
      </c>
      <c r="AW955" s="309">
        <v>6.3662999999999998</v>
      </c>
      <c r="AX955" s="309">
        <v>6.3333000000000004</v>
      </c>
      <c r="AY955" s="309">
        <v>6.6806999999999999</v>
      </c>
      <c r="AZ955" s="309">
        <v>7.0182000000000002</v>
      </c>
      <c r="BA955" s="309">
        <v>6.2729999999999997</v>
      </c>
      <c r="BB955" s="309">
        <v>4.0423999999999998</v>
      </c>
      <c r="BC955" s="309">
        <v>7.4307999999999996</v>
      </c>
      <c r="BD955" s="309">
        <v>7.5945999999999998</v>
      </c>
      <c r="BE955" s="309">
        <v>9.0119000000000007</v>
      </c>
      <c r="BF955" s="309">
        <v>7.7618999999999998</v>
      </c>
      <c r="BG955" s="309">
        <v>8.7810000000000006</v>
      </c>
      <c r="BH955" s="309">
        <v>8.8414999999999999</v>
      </c>
      <c r="BI955" s="309">
        <v>8.0578000000000003</v>
      </c>
      <c r="BJ955" s="309">
        <v>7.8190999999999997</v>
      </c>
      <c r="BK955" s="309">
        <v>7.0069999999999997</v>
      </c>
    </row>
    <row r="956" spans="1:63" x14ac:dyDescent="0.25">
      <c r="A956" s="306">
        <v>325620</v>
      </c>
      <c r="B956" s="309" t="s">
        <v>120</v>
      </c>
      <c r="C956" s="309">
        <v>11.9063</v>
      </c>
      <c r="D956" s="309">
        <v>0</v>
      </c>
      <c r="E956" s="309">
        <v>7.7064000000000004</v>
      </c>
      <c r="F956" s="309">
        <v>7.3933999999999997</v>
      </c>
      <c r="G956" s="309">
        <v>6.5616000000000003</v>
      </c>
      <c r="H956" s="309">
        <v>7.915</v>
      </c>
      <c r="I956" s="309">
        <v>9.6358999999999995</v>
      </c>
      <c r="J956" s="309">
        <v>5.8787000000000003</v>
      </c>
      <c r="K956" s="309">
        <v>0</v>
      </c>
      <c r="L956" s="309">
        <v>4.6028000000000002</v>
      </c>
      <c r="M956" s="309">
        <v>7.3381999999999996</v>
      </c>
      <c r="N956" s="309">
        <v>8.0533999999999999</v>
      </c>
      <c r="O956" s="309">
        <v>7.4194000000000004</v>
      </c>
      <c r="P956" s="309">
        <v>6.3414000000000001</v>
      </c>
      <c r="Q956" s="309">
        <v>7.8436000000000003</v>
      </c>
      <c r="R956" s="309">
        <v>8.2637999999999998</v>
      </c>
      <c r="S956" s="309">
        <v>7.1919000000000004</v>
      </c>
      <c r="T956" s="309">
        <v>5.7178000000000004</v>
      </c>
      <c r="U956" s="309">
        <v>7.5481999999999996</v>
      </c>
      <c r="V956" s="309">
        <v>7.8192000000000004</v>
      </c>
      <c r="W956" s="309">
        <v>6.3422000000000001</v>
      </c>
      <c r="X956" s="309">
        <v>5.7828999999999997</v>
      </c>
      <c r="Y956" s="309">
        <v>8.8017000000000003</v>
      </c>
      <c r="Z956" s="309">
        <v>9.6753</v>
      </c>
      <c r="AA956" s="309">
        <v>7.6498999999999997</v>
      </c>
      <c r="AB956" s="309">
        <v>7.9588999999999999</v>
      </c>
      <c r="AC956" s="309">
        <v>6.9383999999999997</v>
      </c>
      <c r="AD956" s="309">
        <v>6.8487999999999998</v>
      </c>
      <c r="AE956" s="309">
        <v>8.6202000000000005</v>
      </c>
      <c r="AF956" s="309">
        <v>4.5185000000000004</v>
      </c>
      <c r="AG956" s="309">
        <v>6.8685</v>
      </c>
      <c r="AH956" s="309">
        <v>7.2481999999999998</v>
      </c>
      <c r="AI956" s="309">
        <v>6.9710999999999999</v>
      </c>
      <c r="AJ956" s="309">
        <v>6.2047999999999996</v>
      </c>
      <c r="AK956" s="309">
        <v>6.2751000000000001</v>
      </c>
      <c r="AL956" s="309">
        <v>4.9485000000000001</v>
      </c>
      <c r="AM956" s="309">
        <v>9.3165999999999993</v>
      </c>
      <c r="AN956" s="309">
        <v>7.2694999999999999</v>
      </c>
      <c r="AO956" s="309">
        <v>8.9359999999999999</v>
      </c>
      <c r="AP956" s="309">
        <v>9.8709000000000007</v>
      </c>
      <c r="AQ956" s="309">
        <v>6.4212999999999996</v>
      </c>
      <c r="AR956" s="309">
        <v>9.1501000000000001</v>
      </c>
      <c r="AS956" s="309">
        <v>5.2910000000000004</v>
      </c>
      <c r="AT956" s="309">
        <v>8.6043000000000003</v>
      </c>
      <c r="AU956" s="309">
        <v>7.8480999999999996</v>
      </c>
      <c r="AV956" s="309">
        <v>9.7847000000000008</v>
      </c>
      <c r="AW956" s="309">
        <v>7.8955000000000002</v>
      </c>
      <c r="AX956" s="309">
        <v>6.3693999999999997</v>
      </c>
      <c r="AY956" s="309">
        <v>7.0450999999999997</v>
      </c>
      <c r="AZ956" s="309">
        <v>9.6815999999999995</v>
      </c>
      <c r="BA956" s="309">
        <v>0</v>
      </c>
      <c r="BB956" s="309">
        <v>5.9202000000000004</v>
      </c>
      <c r="BC956" s="309">
        <v>7.6201999999999996</v>
      </c>
      <c r="BD956" s="309">
        <v>8.0005000000000006</v>
      </c>
      <c r="BE956" s="309">
        <v>9.5275999999999996</v>
      </c>
      <c r="BF956" s="309">
        <v>8.1951999999999998</v>
      </c>
      <c r="BG956" s="309">
        <v>9.0658999999999992</v>
      </c>
      <c r="BH956" s="309">
        <v>8.9318000000000008</v>
      </c>
      <c r="BI956" s="309">
        <v>8.3414000000000001</v>
      </c>
      <c r="BJ956" s="309">
        <v>8.5113000000000003</v>
      </c>
      <c r="BK956" s="309">
        <v>8.1671999999999993</v>
      </c>
    </row>
    <row r="957" spans="1:63" x14ac:dyDescent="0.25">
      <c r="A957" s="306">
        <v>325910</v>
      </c>
      <c r="B957" s="309" t="s">
        <v>121</v>
      </c>
      <c r="C957" s="309">
        <v>16.1616</v>
      </c>
      <c r="D957" s="309">
        <v>0</v>
      </c>
      <c r="E957" s="309">
        <v>10.2341</v>
      </c>
      <c r="F957" s="309">
        <v>8.5106999999999999</v>
      </c>
      <c r="G957" s="309">
        <v>8.3329000000000004</v>
      </c>
      <c r="H957" s="309">
        <v>9.2492999999999999</v>
      </c>
      <c r="I957" s="309">
        <v>9.4532000000000007</v>
      </c>
      <c r="J957" s="309">
        <v>7.4739000000000004</v>
      </c>
      <c r="K957" s="309">
        <v>0</v>
      </c>
      <c r="L957" s="309">
        <v>6.4561000000000002</v>
      </c>
      <c r="M957" s="309">
        <v>7.9576000000000002</v>
      </c>
      <c r="N957" s="309">
        <v>10.822100000000001</v>
      </c>
      <c r="O957" s="309">
        <v>0</v>
      </c>
      <c r="P957" s="309">
        <v>7.7363</v>
      </c>
      <c r="Q957" s="309">
        <v>0</v>
      </c>
      <c r="R957" s="309">
        <v>10.6755</v>
      </c>
      <c r="S957" s="309">
        <v>10.6211</v>
      </c>
      <c r="T957" s="309">
        <v>7.1767000000000003</v>
      </c>
      <c r="U957" s="309">
        <v>9.8114000000000008</v>
      </c>
      <c r="V957" s="309">
        <v>10.3947</v>
      </c>
      <c r="W957" s="309">
        <v>7.9537000000000004</v>
      </c>
      <c r="X957" s="309">
        <v>7.9470000000000001</v>
      </c>
      <c r="Y957" s="309">
        <v>9.0541</v>
      </c>
      <c r="Z957" s="309">
        <v>10.6341</v>
      </c>
      <c r="AA957" s="309">
        <v>9.0946999999999996</v>
      </c>
      <c r="AB957" s="309">
        <v>9.4659999999999993</v>
      </c>
      <c r="AC957" s="309">
        <v>0</v>
      </c>
      <c r="AD957" s="309">
        <v>0</v>
      </c>
      <c r="AE957" s="309">
        <v>11.0418</v>
      </c>
      <c r="AF957" s="309">
        <v>0</v>
      </c>
      <c r="AG957" s="309">
        <v>7.0575000000000001</v>
      </c>
      <c r="AH957" s="309">
        <v>7.7568000000000001</v>
      </c>
      <c r="AI957" s="309">
        <v>8.8096999999999994</v>
      </c>
      <c r="AJ957" s="309">
        <v>8.4101999999999997</v>
      </c>
      <c r="AK957" s="309">
        <v>6.7342000000000004</v>
      </c>
      <c r="AL957" s="309">
        <v>6.0312000000000001</v>
      </c>
      <c r="AM957" s="309">
        <v>11.933999999999999</v>
      </c>
      <c r="AN957" s="309">
        <v>8.2897999999999996</v>
      </c>
      <c r="AO957" s="309">
        <v>9.7893000000000008</v>
      </c>
      <c r="AP957" s="309">
        <v>11.6744</v>
      </c>
      <c r="AQ957" s="309">
        <v>8.2751000000000001</v>
      </c>
      <c r="AR957" s="309">
        <v>10.222099999999999</v>
      </c>
      <c r="AS957" s="309">
        <v>0</v>
      </c>
      <c r="AT957" s="309">
        <v>10.283200000000001</v>
      </c>
      <c r="AU957" s="309">
        <v>11.779</v>
      </c>
      <c r="AV957" s="309">
        <v>12.0802</v>
      </c>
      <c r="AW957" s="309">
        <v>8.5603999999999996</v>
      </c>
      <c r="AX957" s="309">
        <v>0</v>
      </c>
      <c r="AY957" s="309">
        <v>7.9447999999999999</v>
      </c>
      <c r="AZ957" s="309">
        <v>9.6050000000000004</v>
      </c>
      <c r="BA957" s="309">
        <v>0</v>
      </c>
      <c r="BB957" s="309">
        <v>0</v>
      </c>
      <c r="BC957" s="309">
        <v>9.4062000000000001</v>
      </c>
      <c r="BD957" s="309">
        <v>10.0463</v>
      </c>
      <c r="BE957" s="309">
        <v>12.462199999999999</v>
      </c>
      <c r="BF957" s="309">
        <v>9.4693000000000005</v>
      </c>
      <c r="BG957" s="309">
        <v>11.775600000000001</v>
      </c>
      <c r="BH957" s="309">
        <v>11.1631</v>
      </c>
      <c r="BI957" s="309">
        <v>12.041700000000001</v>
      </c>
      <c r="BJ957" s="309">
        <v>9.8562999999999992</v>
      </c>
      <c r="BK957" s="309">
        <v>9.6917000000000009</v>
      </c>
    </row>
    <row r="958" spans="1:63" x14ac:dyDescent="0.25">
      <c r="A958" s="306" t="s">
        <v>715</v>
      </c>
      <c r="B958" s="309" t="s">
        <v>122</v>
      </c>
      <c r="C958" s="309">
        <v>16.2531</v>
      </c>
      <c r="D958" s="309">
        <v>7.8872</v>
      </c>
      <c r="E958" s="309">
        <v>10.6595</v>
      </c>
      <c r="F958" s="309">
        <v>10.2003</v>
      </c>
      <c r="G958" s="309">
        <v>8.6234999999999999</v>
      </c>
      <c r="H958" s="309">
        <v>10.1227</v>
      </c>
      <c r="I958" s="309">
        <v>11.012499999999999</v>
      </c>
      <c r="J958" s="309">
        <v>7.6401000000000003</v>
      </c>
      <c r="K958" s="309">
        <v>0</v>
      </c>
      <c r="L958" s="309">
        <v>6.9573</v>
      </c>
      <c r="M958" s="309">
        <v>9.3773</v>
      </c>
      <c r="N958" s="309">
        <v>11.239599999999999</v>
      </c>
      <c r="O958" s="309">
        <v>7.7432999999999996</v>
      </c>
      <c r="P958" s="309">
        <v>8.7431999999999999</v>
      </c>
      <c r="Q958" s="309">
        <v>7.726</v>
      </c>
      <c r="R958" s="309">
        <v>11.5794</v>
      </c>
      <c r="S958" s="309">
        <v>11.2197</v>
      </c>
      <c r="T958" s="309">
        <v>8.5859000000000005</v>
      </c>
      <c r="U958" s="309">
        <v>10.1922</v>
      </c>
      <c r="V958" s="309">
        <v>10.2959</v>
      </c>
      <c r="W958" s="309">
        <v>8.9802</v>
      </c>
      <c r="X958" s="309">
        <v>9.3785000000000007</v>
      </c>
      <c r="Y958" s="309">
        <v>10.7094</v>
      </c>
      <c r="Z958" s="309">
        <v>11.935700000000001</v>
      </c>
      <c r="AA958" s="309">
        <v>9.4504999999999999</v>
      </c>
      <c r="AB958" s="309">
        <v>11.3093</v>
      </c>
      <c r="AC958" s="309">
        <v>9.5524000000000004</v>
      </c>
      <c r="AD958" s="309">
        <v>9.2651000000000003</v>
      </c>
      <c r="AE958" s="309">
        <v>11.476000000000001</v>
      </c>
      <c r="AF958" s="309">
        <v>6.6261000000000001</v>
      </c>
      <c r="AG958" s="309">
        <v>8.9673999999999996</v>
      </c>
      <c r="AH958" s="309">
        <v>8.0008999999999997</v>
      </c>
      <c r="AI958" s="309">
        <v>9.4600000000000009</v>
      </c>
      <c r="AJ958" s="309">
        <v>7.5932000000000004</v>
      </c>
      <c r="AK958" s="309">
        <v>7.3715000000000002</v>
      </c>
      <c r="AL958" s="309">
        <v>6.2877999999999998</v>
      </c>
      <c r="AM958" s="309">
        <v>12.205299999999999</v>
      </c>
      <c r="AN958" s="309">
        <v>8.9236000000000004</v>
      </c>
      <c r="AO958" s="309">
        <v>9.9391999999999996</v>
      </c>
      <c r="AP958" s="309">
        <v>11.703799999999999</v>
      </c>
      <c r="AQ958" s="309">
        <v>8.0305</v>
      </c>
      <c r="AR958" s="309">
        <v>10.742900000000001</v>
      </c>
      <c r="AS958" s="309">
        <v>7.9992000000000001</v>
      </c>
      <c r="AT958" s="309">
        <v>10.9404</v>
      </c>
      <c r="AU958" s="309">
        <v>11.1004</v>
      </c>
      <c r="AV958" s="309">
        <v>13.081799999999999</v>
      </c>
      <c r="AW958" s="309">
        <v>10.1075</v>
      </c>
      <c r="AX958" s="309">
        <v>8.2226999999999997</v>
      </c>
      <c r="AY958" s="309">
        <v>9.3657000000000004</v>
      </c>
      <c r="AZ958" s="309">
        <v>11.026199999999999</v>
      </c>
      <c r="BA958" s="309">
        <v>9.8605</v>
      </c>
      <c r="BB958" s="309">
        <v>6.2591000000000001</v>
      </c>
      <c r="BC958" s="309">
        <v>10.2151</v>
      </c>
      <c r="BD958" s="309">
        <v>10.382899999999999</v>
      </c>
      <c r="BE958" s="309">
        <v>13.173400000000001</v>
      </c>
      <c r="BF958" s="309">
        <v>10.619199999999999</v>
      </c>
      <c r="BG958" s="309">
        <v>12.4765</v>
      </c>
      <c r="BH958" s="309">
        <v>11.7995</v>
      </c>
      <c r="BI958" s="309">
        <v>11.7568</v>
      </c>
      <c r="BJ958" s="309">
        <v>10.7066</v>
      </c>
      <c r="BK958" s="309">
        <v>10.5091</v>
      </c>
    </row>
    <row r="959" spans="1:63" x14ac:dyDescent="0.25">
      <c r="A959" s="306">
        <v>326110</v>
      </c>
      <c r="B959" s="309" t="s">
        <v>123</v>
      </c>
      <c r="C959" s="309">
        <v>15.067500000000001</v>
      </c>
      <c r="D959" s="309">
        <v>0</v>
      </c>
      <c r="E959" s="309">
        <v>11.7812</v>
      </c>
      <c r="F959" s="309">
        <v>8.5366999999999997</v>
      </c>
      <c r="G959" s="309">
        <v>9.0266000000000002</v>
      </c>
      <c r="H959" s="309">
        <v>8.9277999999999995</v>
      </c>
      <c r="I959" s="309">
        <v>9.1404999999999994</v>
      </c>
      <c r="J959" s="309">
        <v>7.2291999999999996</v>
      </c>
      <c r="K959" s="309">
        <v>0</v>
      </c>
      <c r="L959" s="309">
        <v>6.4348999999999998</v>
      </c>
      <c r="M959" s="309">
        <v>9.0275999999999996</v>
      </c>
      <c r="N959" s="309">
        <v>10.247400000000001</v>
      </c>
      <c r="O959" s="309">
        <v>7.5114000000000001</v>
      </c>
      <c r="P959" s="309">
        <v>6.9042000000000003</v>
      </c>
      <c r="Q959" s="309">
        <v>8.3739000000000008</v>
      </c>
      <c r="R959" s="309">
        <v>10.204599999999999</v>
      </c>
      <c r="S959" s="309">
        <v>10.093500000000001</v>
      </c>
      <c r="T959" s="309">
        <v>8.5844000000000005</v>
      </c>
      <c r="U959" s="309">
        <v>10.042</v>
      </c>
      <c r="V959" s="309">
        <v>11.2477</v>
      </c>
      <c r="W959" s="309">
        <v>7.7359999999999998</v>
      </c>
      <c r="X959" s="309">
        <v>6.8278999999999996</v>
      </c>
      <c r="Y959" s="309">
        <v>8.1561000000000003</v>
      </c>
      <c r="Z959" s="309">
        <v>10.0063</v>
      </c>
      <c r="AA959" s="309">
        <v>8.9651999999999994</v>
      </c>
      <c r="AB959" s="309">
        <v>9.9437999999999995</v>
      </c>
      <c r="AC959" s="309">
        <v>9.2075999999999993</v>
      </c>
      <c r="AD959" s="309">
        <v>0</v>
      </c>
      <c r="AE959" s="309">
        <v>9.4825999999999997</v>
      </c>
      <c r="AF959" s="309">
        <v>6.8261000000000003</v>
      </c>
      <c r="AG959" s="309">
        <v>8.0763999999999996</v>
      </c>
      <c r="AH959" s="309">
        <v>7.1877000000000004</v>
      </c>
      <c r="AI959" s="309">
        <v>8.6219999999999999</v>
      </c>
      <c r="AJ959" s="309">
        <v>8.3602000000000007</v>
      </c>
      <c r="AK959" s="309">
        <v>8.1713000000000005</v>
      </c>
      <c r="AL959" s="309">
        <v>7.0387000000000004</v>
      </c>
      <c r="AM959" s="309">
        <v>11.4712</v>
      </c>
      <c r="AN959" s="309">
        <v>9.3994</v>
      </c>
      <c r="AO959" s="309">
        <v>8.6221999999999994</v>
      </c>
      <c r="AP959" s="309">
        <v>10.7926</v>
      </c>
      <c r="AQ959" s="309">
        <v>7.4420999999999999</v>
      </c>
      <c r="AR959" s="309">
        <v>10.492100000000001</v>
      </c>
      <c r="AS959" s="309">
        <v>7.9431000000000003</v>
      </c>
      <c r="AT959" s="309">
        <v>10.5656</v>
      </c>
      <c r="AU959" s="309">
        <v>12.1485</v>
      </c>
      <c r="AV959" s="309">
        <v>10.8187</v>
      </c>
      <c r="AW959" s="309">
        <v>7.8723000000000001</v>
      </c>
      <c r="AX959" s="309">
        <v>7.7131999999999996</v>
      </c>
      <c r="AY959" s="309">
        <v>8.8491999999999997</v>
      </c>
      <c r="AZ959" s="309">
        <v>9.3344000000000005</v>
      </c>
      <c r="BA959" s="309">
        <v>9.0211000000000006</v>
      </c>
      <c r="BB959" s="309">
        <v>0</v>
      </c>
      <c r="BC959" s="309">
        <v>9.1044999999999998</v>
      </c>
      <c r="BD959" s="309">
        <v>9.6466999999999992</v>
      </c>
      <c r="BE959" s="309">
        <v>11.693</v>
      </c>
      <c r="BF959" s="309">
        <v>9.4754000000000005</v>
      </c>
      <c r="BG959" s="309">
        <v>10.8024</v>
      </c>
      <c r="BH959" s="309">
        <v>11.846</v>
      </c>
      <c r="BI959" s="309">
        <v>12.6394</v>
      </c>
      <c r="BJ959" s="309">
        <v>9.8010000000000002</v>
      </c>
      <c r="BK959" s="309">
        <v>9.2309999999999999</v>
      </c>
    </row>
    <row r="960" spans="1:63" x14ac:dyDescent="0.25">
      <c r="A960" s="306">
        <v>326121</v>
      </c>
      <c r="B960" s="309" t="s">
        <v>124</v>
      </c>
      <c r="C960" s="309">
        <v>16.088899999999999</v>
      </c>
      <c r="D960" s="309">
        <v>0</v>
      </c>
      <c r="E960" s="309">
        <v>12.6059</v>
      </c>
      <c r="F960" s="309">
        <v>9.9604999999999997</v>
      </c>
      <c r="G960" s="309">
        <v>11.459899999999999</v>
      </c>
      <c r="H960" s="309">
        <v>9.6648999999999994</v>
      </c>
      <c r="I960" s="309">
        <v>10.3833</v>
      </c>
      <c r="J960" s="309">
        <v>8.3927999999999994</v>
      </c>
      <c r="K960" s="309">
        <v>0</v>
      </c>
      <c r="L960" s="309">
        <v>7.0229999999999997</v>
      </c>
      <c r="M960" s="309">
        <v>9.4770000000000003</v>
      </c>
      <c r="N960" s="309">
        <v>11.7456</v>
      </c>
      <c r="O960" s="309">
        <v>10.6357</v>
      </c>
      <c r="P960" s="309">
        <v>10.413600000000001</v>
      </c>
      <c r="Q960" s="309">
        <v>10.738099999999999</v>
      </c>
      <c r="R960" s="309">
        <v>11.738099999999999</v>
      </c>
      <c r="S960" s="309">
        <v>11.8596</v>
      </c>
      <c r="T960" s="309">
        <v>10.5623</v>
      </c>
      <c r="U960" s="309">
        <v>11.728400000000001</v>
      </c>
      <c r="V960" s="309">
        <v>12.092000000000001</v>
      </c>
      <c r="W960" s="309">
        <v>9.7049000000000003</v>
      </c>
      <c r="X960" s="309">
        <v>8.1616</v>
      </c>
      <c r="Y960" s="309">
        <v>0</v>
      </c>
      <c r="Z960" s="309">
        <v>12.1883</v>
      </c>
      <c r="AA960" s="309">
        <v>9.8302999999999994</v>
      </c>
      <c r="AB960" s="309">
        <v>10.6668</v>
      </c>
      <c r="AC960" s="309">
        <v>9.0587999999999997</v>
      </c>
      <c r="AD960" s="309">
        <v>10.6286</v>
      </c>
      <c r="AE960" s="309">
        <v>12.280099999999999</v>
      </c>
      <c r="AF960" s="309">
        <v>6.8676000000000004</v>
      </c>
      <c r="AG960" s="309">
        <v>0</v>
      </c>
      <c r="AH960" s="309">
        <v>8.0591000000000008</v>
      </c>
      <c r="AI960" s="309">
        <v>8.7001000000000008</v>
      </c>
      <c r="AJ960" s="309">
        <v>0</v>
      </c>
      <c r="AK960" s="309">
        <v>10.392200000000001</v>
      </c>
      <c r="AL960" s="309">
        <v>6.9275000000000002</v>
      </c>
      <c r="AM960" s="309">
        <v>13.119300000000001</v>
      </c>
      <c r="AN960" s="309">
        <v>11.1457</v>
      </c>
      <c r="AO960" s="309">
        <v>11.6052</v>
      </c>
      <c r="AP960" s="309">
        <v>11.962899999999999</v>
      </c>
      <c r="AQ960" s="309">
        <v>8.7720000000000002</v>
      </c>
      <c r="AR960" s="309">
        <v>11.616400000000001</v>
      </c>
      <c r="AS960" s="309">
        <v>0</v>
      </c>
      <c r="AT960" s="309">
        <v>11.707599999999999</v>
      </c>
      <c r="AU960" s="309">
        <v>14.442</v>
      </c>
      <c r="AV960" s="309">
        <v>13.213900000000001</v>
      </c>
      <c r="AW960" s="309">
        <v>9.8378999999999994</v>
      </c>
      <c r="AX960" s="309">
        <v>0</v>
      </c>
      <c r="AY960" s="309">
        <v>10.1607</v>
      </c>
      <c r="AZ960" s="309">
        <v>11.701499999999999</v>
      </c>
      <c r="BA960" s="309">
        <v>9.1226000000000003</v>
      </c>
      <c r="BB960" s="309">
        <v>0</v>
      </c>
      <c r="BC960" s="309">
        <v>10.4636</v>
      </c>
      <c r="BD960" s="309">
        <v>10.096299999999999</v>
      </c>
      <c r="BE960" s="309">
        <v>13.4521</v>
      </c>
      <c r="BF960" s="309">
        <v>10.776199999999999</v>
      </c>
      <c r="BG960" s="309">
        <v>12.262700000000001</v>
      </c>
      <c r="BH960" s="309">
        <v>12.748900000000001</v>
      </c>
      <c r="BI960" s="309">
        <v>14.4352</v>
      </c>
      <c r="BJ960" s="309">
        <v>11.5015</v>
      </c>
      <c r="BK960" s="309">
        <v>10.298500000000001</v>
      </c>
    </row>
    <row r="961" spans="1:63" x14ac:dyDescent="0.25">
      <c r="A961" s="306">
        <v>326122</v>
      </c>
      <c r="B961" s="309" t="s">
        <v>125</v>
      </c>
      <c r="C961" s="309">
        <v>14.438599999999999</v>
      </c>
      <c r="D961" s="309">
        <v>0</v>
      </c>
      <c r="E961" s="309">
        <v>10.7105</v>
      </c>
      <c r="F961" s="309">
        <v>7.3890000000000002</v>
      </c>
      <c r="G961" s="309">
        <v>7.0636999999999999</v>
      </c>
      <c r="H961" s="309">
        <v>7.52</v>
      </c>
      <c r="I961" s="309">
        <v>7.3186999999999998</v>
      </c>
      <c r="J961" s="309">
        <v>7.3573000000000004</v>
      </c>
      <c r="K961" s="309">
        <v>0</v>
      </c>
      <c r="L961" s="309">
        <v>0</v>
      </c>
      <c r="M961" s="309">
        <v>7.8939000000000004</v>
      </c>
      <c r="N961" s="309">
        <v>8.2756000000000007</v>
      </c>
      <c r="O961" s="309">
        <v>0</v>
      </c>
      <c r="P961" s="309">
        <v>7.1753</v>
      </c>
      <c r="Q961" s="309">
        <v>7.2164000000000001</v>
      </c>
      <c r="R961" s="309">
        <v>9.3857999999999997</v>
      </c>
      <c r="S961" s="309">
        <v>9.5699000000000005</v>
      </c>
      <c r="T961" s="309">
        <v>7.3029999999999999</v>
      </c>
      <c r="U961" s="309">
        <v>9.7597000000000005</v>
      </c>
      <c r="V961" s="309">
        <v>10.2689</v>
      </c>
      <c r="W961" s="309">
        <v>7.2695999999999996</v>
      </c>
      <c r="X961" s="309">
        <v>5.9086999999999996</v>
      </c>
      <c r="Y961" s="309">
        <v>6.4989999999999997</v>
      </c>
      <c r="Z961" s="309">
        <v>9.1740999999999993</v>
      </c>
      <c r="AA961" s="309">
        <v>7.0739999999999998</v>
      </c>
      <c r="AB961" s="309">
        <v>9.7631999999999994</v>
      </c>
      <c r="AC961" s="309">
        <v>8.8077000000000005</v>
      </c>
      <c r="AD961" s="309">
        <v>7.1528</v>
      </c>
      <c r="AE961" s="309">
        <v>8.7857000000000003</v>
      </c>
      <c r="AF961" s="309">
        <v>5.3323999999999998</v>
      </c>
      <c r="AG961" s="309">
        <v>6.7327000000000004</v>
      </c>
      <c r="AH961" s="309">
        <v>6.1113999999999997</v>
      </c>
      <c r="AI961" s="309">
        <v>7.2706999999999997</v>
      </c>
      <c r="AJ961" s="309">
        <v>6.2694999999999999</v>
      </c>
      <c r="AK961" s="309">
        <v>6.1879999999999997</v>
      </c>
      <c r="AL961" s="309">
        <v>6.0509000000000004</v>
      </c>
      <c r="AM961" s="309">
        <v>10.947900000000001</v>
      </c>
      <c r="AN961" s="309">
        <v>7.5288000000000004</v>
      </c>
      <c r="AO961" s="309">
        <v>7.4225000000000003</v>
      </c>
      <c r="AP961" s="309">
        <v>10.1648</v>
      </c>
      <c r="AQ961" s="309">
        <v>0</v>
      </c>
      <c r="AR961" s="309">
        <v>11.071300000000001</v>
      </c>
      <c r="AS961" s="309">
        <v>0</v>
      </c>
      <c r="AT961" s="309">
        <v>9.3033999999999999</v>
      </c>
      <c r="AU961" s="309">
        <v>10.6662</v>
      </c>
      <c r="AV961" s="309">
        <v>9.0058000000000007</v>
      </c>
      <c r="AW961" s="309">
        <v>7.4984999999999999</v>
      </c>
      <c r="AX961" s="309">
        <v>6.6730999999999998</v>
      </c>
      <c r="AY961" s="309">
        <v>8.0784000000000002</v>
      </c>
      <c r="AZ961" s="309">
        <v>8.6441999999999997</v>
      </c>
      <c r="BA961" s="309">
        <v>8.9657</v>
      </c>
      <c r="BB961" s="309">
        <v>5.6856</v>
      </c>
      <c r="BC961" s="309">
        <v>8.6280000000000001</v>
      </c>
      <c r="BD961" s="309">
        <v>8.5711999999999993</v>
      </c>
      <c r="BE961" s="309">
        <v>10.9937</v>
      </c>
      <c r="BF961" s="309">
        <v>8.5823999999999998</v>
      </c>
      <c r="BG961" s="309">
        <v>10.1249</v>
      </c>
      <c r="BH961" s="309">
        <v>11.0192</v>
      </c>
      <c r="BI961" s="309">
        <v>11.196</v>
      </c>
      <c r="BJ961" s="309">
        <v>7.9436999999999998</v>
      </c>
      <c r="BK961" s="309">
        <v>7.8442999999999996</v>
      </c>
    </row>
    <row r="962" spans="1:63" x14ac:dyDescent="0.25">
      <c r="A962" s="306">
        <v>326130</v>
      </c>
      <c r="B962" s="309" t="s">
        <v>126</v>
      </c>
      <c r="C962" s="309">
        <v>17.0456</v>
      </c>
      <c r="D962" s="309">
        <v>0</v>
      </c>
      <c r="E962" s="309">
        <v>12.840299999999999</v>
      </c>
      <c r="F962" s="309">
        <v>11.761100000000001</v>
      </c>
      <c r="G962" s="309">
        <v>10.134</v>
      </c>
      <c r="H962" s="309">
        <v>10.644600000000001</v>
      </c>
      <c r="I962" s="309">
        <v>10.846399999999999</v>
      </c>
      <c r="J962" s="309">
        <v>9.5739000000000001</v>
      </c>
      <c r="K962" s="309">
        <v>0</v>
      </c>
      <c r="L962" s="309">
        <v>8.0493000000000006</v>
      </c>
      <c r="M962" s="309">
        <v>12.660600000000001</v>
      </c>
      <c r="N962" s="309">
        <v>14.67</v>
      </c>
      <c r="O962" s="309">
        <v>0</v>
      </c>
      <c r="P962" s="309">
        <v>10.056699999999999</v>
      </c>
      <c r="Q962" s="309">
        <v>11.6652</v>
      </c>
      <c r="R962" s="309">
        <v>11.6816</v>
      </c>
      <c r="S962" s="309">
        <v>13.492000000000001</v>
      </c>
      <c r="T962" s="309">
        <v>10.6206</v>
      </c>
      <c r="U962" s="309">
        <v>11.3109</v>
      </c>
      <c r="V962" s="309">
        <v>12.4687</v>
      </c>
      <c r="W962" s="309">
        <v>9.7248000000000001</v>
      </c>
      <c r="X962" s="309">
        <v>9.7578999999999994</v>
      </c>
      <c r="Y962" s="309">
        <v>12.0764</v>
      </c>
      <c r="Z962" s="309">
        <v>12.436</v>
      </c>
      <c r="AA962" s="309">
        <v>11.4693</v>
      </c>
      <c r="AB962" s="309">
        <v>11.6547</v>
      </c>
      <c r="AC962" s="309">
        <v>11.603899999999999</v>
      </c>
      <c r="AD962" s="309">
        <v>0</v>
      </c>
      <c r="AE962" s="309">
        <v>11.957700000000001</v>
      </c>
      <c r="AF962" s="309">
        <v>0</v>
      </c>
      <c r="AG962" s="309">
        <v>10.394</v>
      </c>
      <c r="AH962" s="309">
        <v>9.6928000000000001</v>
      </c>
      <c r="AI962" s="309">
        <v>9.5995000000000008</v>
      </c>
      <c r="AJ962" s="309">
        <v>0</v>
      </c>
      <c r="AK962" s="309">
        <v>0</v>
      </c>
      <c r="AL962" s="309">
        <v>8.2775999999999996</v>
      </c>
      <c r="AM962" s="309">
        <v>14.165900000000001</v>
      </c>
      <c r="AN962" s="309">
        <v>11.665800000000001</v>
      </c>
      <c r="AO962" s="309">
        <v>11.2006</v>
      </c>
      <c r="AP962" s="309">
        <v>12.659800000000001</v>
      </c>
      <c r="AQ962" s="309">
        <v>8.8922000000000008</v>
      </c>
      <c r="AR962" s="309">
        <v>13.1447</v>
      </c>
      <c r="AS962" s="309">
        <v>10.694800000000001</v>
      </c>
      <c r="AT962" s="309">
        <v>12.9915</v>
      </c>
      <c r="AU962" s="309">
        <v>12.423400000000001</v>
      </c>
      <c r="AV962" s="309">
        <v>12.6488</v>
      </c>
      <c r="AW962" s="309">
        <v>9.8369</v>
      </c>
      <c r="AX962" s="309">
        <v>8.9152000000000005</v>
      </c>
      <c r="AY962" s="309">
        <v>12.1142</v>
      </c>
      <c r="AZ962" s="309">
        <v>12.658200000000001</v>
      </c>
      <c r="BA962" s="309">
        <v>0</v>
      </c>
      <c r="BB962" s="309">
        <v>9.0274000000000001</v>
      </c>
      <c r="BC962" s="309">
        <v>11.7067</v>
      </c>
      <c r="BD962" s="309">
        <v>11.3315</v>
      </c>
      <c r="BE962" s="309">
        <v>14.5855</v>
      </c>
      <c r="BF962" s="309">
        <v>12.370200000000001</v>
      </c>
      <c r="BG962" s="309">
        <v>13.499700000000001</v>
      </c>
      <c r="BH962" s="309">
        <v>13.9072</v>
      </c>
      <c r="BI962" s="309">
        <v>13.5715</v>
      </c>
      <c r="BJ962" s="309">
        <v>11.5623</v>
      </c>
      <c r="BK962" s="309">
        <v>11.319699999999999</v>
      </c>
    </row>
    <row r="963" spans="1:63" x14ac:dyDescent="0.25">
      <c r="A963" s="306">
        <v>326140</v>
      </c>
      <c r="B963" s="309" t="s">
        <v>127</v>
      </c>
      <c r="C963" s="309">
        <v>15.7454</v>
      </c>
      <c r="D963" s="309">
        <v>6.9412000000000003</v>
      </c>
      <c r="E963" s="309">
        <v>11.734400000000001</v>
      </c>
      <c r="F963" s="309">
        <v>9.2302</v>
      </c>
      <c r="G963" s="309">
        <v>9.2822999999999993</v>
      </c>
      <c r="H963" s="309">
        <v>10.011699999999999</v>
      </c>
      <c r="I963" s="309">
        <v>10.2761</v>
      </c>
      <c r="J963" s="309">
        <v>7.8752000000000004</v>
      </c>
      <c r="K963" s="309">
        <v>0</v>
      </c>
      <c r="L963" s="309">
        <v>6.9500999999999999</v>
      </c>
      <c r="M963" s="309">
        <v>10.0611</v>
      </c>
      <c r="N963" s="309">
        <v>11.1023</v>
      </c>
      <c r="O963" s="309">
        <v>9.5244999999999997</v>
      </c>
      <c r="P963" s="309">
        <v>9.3020999999999994</v>
      </c>
      <c r="Q963" s="309">
        <v>8.8264999999999993</v>
      </c>
      <c r="R963" s="309">
        <v>10.8346</v>
      </c>
      <c r="S963" s="309">
        <v>11.2654</v>
      </c>
      <c r="T963" s="309">
        <v>7.9954999999999998</v>
      </c>
      <c r="U963" s="309">
        <v>11.5905</v>
      </c>
      <c r="V963" s="309">
        <v>11.831300000000001</v>
      </c>
      <c r="W963" s="309">
        <v>8.1349999999999998</v>
      </c>
      <c r="X963" s="309">
        <v>6.8705999999999996</v>
      </c>
      <c r="Y963" s="309">
        <v>9.6212</v>
      </c>
      <c r="Z963" s="309">
        <v>10.5252</v>
      </c>
      <c r="AA963" s="309">
        <v>9.8391000000000002</v>
      </c>
      <c r="AB963" s="309">
        <v>10.0473</v>
      </c>
      <c r="AC963" s="309">
        <v>10.4528</v>
      </c>
      <c r="AD963" s="309">
        <v>9.0774000000000008</v>
      </c>
      <c r="AE963" s="309">
        <v>10.8787</v>
      </c>
      <c r="AF963" s="309">
        <v>0</v>
      </c>
      <c r="AG963" s="309">
        <v>8.9383999999999997</v>
      </c>
      <c r="AH963" s="309">
        <v>7.5225999999999997</v>
      </c>
      <c r="AI963" s="309">
        <v>8.2271999999999998</v>
      </c>
      <c r="AJ963" s="309">
        <v>9.8721999999999994</v>
      </c>
      <c r="AK963" s="309">
        <v>8.6995000000000005</v>
      </c>
      <c r="AL963" s="309">
        <v>7.6821999999999999</v>
      </c>
      <c r="AM963" s="309">
        <v>12.211</v>
      </c>
      <c r="AN963" s="309">
        <v>10.9763</v>
      </c>
      <c r="AO963" s="309">
        <v>10.793100000000001</v>
      </c>
      <c r="AP963" s="309">
        <v>10.481299999999999</v>
      </c>
      <c r="AQ963" s="309">
        <v>8.9250000000000007</v>
      </c>
      <c r="AR963" s="309">
        <v>11.651899999999999</v>
      </c>
      <c r="AS963" s="309">
        <v>8.1242000000000001</v>
      </c>
      <c r="AT963" s="309">
        <v>11.229699999999999</v>
      </c>
      <c r="AU963" s="309">
        <v>12.479799999999999</v>
      </c>
      <c r="AV963" s="309">
        <v>12.0717</v>
      </c>
      <c r="AW963" s="309">
        <v>9.5200999999999993</v>
      </c>
      <c r="AX963" s="309">
        <v>0</v>
      </c>
      <c r="AY963" s="309">
        <v>8.9588000000000001</v>
      </c>
      <c r="AZ963" s="309">
        <v>10.511799999999999</v>
      </c>
      <c r="BA963" s="309">
        <v>8.0914999999999999</v>
      </c>
      <c r="BB963" s="309">
        <v>0</v>
      </c>
      <c r="BC963" s="309">
        <v>9.4943000000000008</v>
      </c>
      <c r="BD963" s="309">
        <v>10.030799999999999</v>
      </c>
      <c r="BE963" s="309">
        <v>12.3948</v>
      </c>
      <c r="BF963" s="309">
        <v>9.9344000000000001</v>
      </c>
      <c r="BG963" s="309">
        <v>12.0236</v>
      </c>
      <c r="BH963" s="309">
        <v>12.9596</v>
      </c>
      <c r="BI963" s="309">
        <v>13.1342</v>
      </c>
      <c r="BJ963" s="309">
        <v>10.5296</v>
      </c>
      <c r="BK963" s="309">
        <v>10.2166</v>
      </c>
    </row>
    <row r="964" spans="1:63" x14ac:dyDescent="0.25">
      <c r="A964" s="306">
        <v>326150</v>
      </c>
      <c r="B964" s="309" t="s">
        <v>128</v>
      </c>
      <c r="C964" s="309">
        <v>15.7159</v>
      </c>
      <c r="D964" s="309">
        <v>7.0713999999999997</v>
      </c>
      <c r="E964" s="309">
        <v>11.9076</v>
      </c>
      <c r="F964" s="309">
        <v>8.5623000000000005</v>
      </c>
      <c r="G964" s="309">
        <v>9.5579000000000001</v>
      </c>
      <c r="H964" s="309">
        <v>9.5914000000000001</v>
      </c>
      <c r="I964" s="309">
        <v>9.3764000000000003</v>
      </c>
      <c r="J964" s="309">
        <v>7.4438000000000004</v>
      </c>
      <c r="K964" s="309">
        <v>0</v>
      </c>
      <c r="L964" s="309">
        <v>6.2034000000000002</v>
      </c>
      <c r="M964" s="309">
        <v>9.3886000000000003</v>
      </c>
      <c r="N964" s="309">
        <v>10.7536</v>
      </c>
      <c r="O964" s="309">
        <v>0</v>
      </c>
      <c r="P964" s="309">
        <v>8.7621000000000002</v>
      </c>
      <c r="Q964" s="309">
        <v>0</v>
      </c>
      <c r="R964" s="309">
        <v>10.6409</v>
      </c>
      <c r="S964" s="309">
        <v>10.9419</v>
      </c>
      <c r="T964" s="309">
        <v>9.3236000000000008</v>
      </c>
      <c r="U964" s="309">
        <v>11.236700000000001</v>
      </c>
      <c r="V964" s="309">
        <v>9.4262999999999995</v>
      </c>
      <c r="W964" s="309">
        <v>7.8925999999999998</v>
      </c>
      <c r="X964" s="309">
        <v>6.9306000000000001</v>
      </c>
      <c r="Y964" s="309">
        <v>9.3353000000000002</v>
      </c>
      <c r="Z964" s="309">
        <v>10.516500000000001</v>
      </c>
      <c r="AA964" s="309">
        <v>10.126099999999999</v>
      </c>
      <c r="AB964" s="309">
        <v>10.7372</v>
      </c>
      <c r="AC964" s="309">
        <v>9.9443000000000001</v>
      </c>
      <c r="AD964" s="309">
        <v>0</v>
      </c>
      <c r="AE964" s="309">
        <v>10.9434</v>
      </c>
      <c r="AF964" s="309">
        <v>0</v>
      </c>
      <c r="AG964" s="309">
        <v>8.77</v>
      </c>
      <c r="AH964" s="309">
        <v>7.9882999999999997</v>
      </c>
      <c r="AI964" s="309">
        <v>8.8292000000000002</v>
      </c>
      <c r="AJ964" s="309">
        <v>8.9117999999999995</v>
      </c>
      <c r="AK964" s="309">
        <v>6.7759</v>
      </c>
      <c r="AL964" s="309">
        <v>7.7736999999999998</v>
      </c>
      <c r="AM964" s="309">
        <v>12.3521</v>
      </c>
      <c r="AN964" s="309">
        <v>9.8516999999999992</v>
      </c>
      <c r="AO964" s="309">
        <v>9.8672000000000004</v>
      </c>
      <c r="AP964" s="309">
        <v>11.1852</v>
      </c>
      <c r="AQ964" s="309">
        <v>8.6158000000000001</v>
      </c>
      <c r="AR964" s="309">
        <v>11.450100000000001</v>
      </c>
      <c r="AS964" s="309">
        <v>0</v>
      </c>
      <c r="AT964" s="309">
        <v>11.693099999999999</v>
      </c>
      <c r="AU964" s="309">
        <v>11.663500000000001</v>
      </c>
      <c r="AV964" s="309">
        <v>11.0466</v>
      </c>
      <c r="AW964" s="309">
        <v>8.3948</v>
      </c>
      <c r="AX964" s="309">
        <v>0</v>
      </c>
      <c r="AY964" s="309">
        <v>8.1684000000000001</v>
      </c>
      <c r="AZ964" s="309">
        <v>10.7216</v>
      </c>
      <c r="BA964" s="309">
        <v>8.0955999999999992</v>
      </c>
      <c r="BB964" s="309">
        <v>0</v>
      </c>
      <c r="BC964" s="309">
        <v>9.5549999999999997</v>
      </c>
      <c r="BD964" s="309">
        <v>10.565099999999999</v>
      </c>
      <c r="BE964" s="309">
        <v>12.636799999999999</v>
      </c>
      <c r="BF964" s="309">
        <v>10.976800000000001</v>
      </c>
      <c r="BG964" s="309">
        <v>11.6408</v>
      </c>
      <c r="BH964" s="309">
        <v>13.1288</v>
      </c>
      <c r="BI964" s="309">
        <v>12.077999999999999</v>
      </c>
      <c r="BJ964" s="309">
        <v>9.9245000000000001</v>
      </c>
      <c r="BK964" s="309">
        <v>9.7098999999999993</v>
      </c>
    </row>
    <row r="965" spans="1:63" x14ac:dyDescent="0.25">
      <c r="A965" s="306">
        <v>326160</v>
      </c>
      <c r="B965" s="309" t="s">
        <v>129</v>
      </c>
      <c r="C965" s="309">
        <v>14.116</v>
      </c>
      <c r="D965" s="309">
        <v>0</v>
      </c>
      <c r="E965" s="309">
        <v>10.9293</v>
      </c>
      <c r="F965" s="309">
        <v>7.8621999999999996</v>
      </c>
      <c r="G965" s="309">
        <v>7.5739999999999998</v>
      </c>
      <c r="H965" s="309">
        <v>7.9924999999999997</v>
      </c>
      <c r="I965" s="309">
        <v>7.7962999999999996</v>
      </c>
      <c r="J965" s="309">
        <v>7.4573</v>
      </c>
      <c r="K965" s="309">
        <v>0</v>
      </c>
      <c r="L965" s="309">
        <v>6.5875000000000004</v>
      </c>
      <c r="M965" s="309">
        <v>7.8395999999999999</v>
      </c>
      <c r="N965" s="309">
        <v>9.6059000000000001</v>
      </c>
      <c r="O965" s="309">
        <v>7.4717000000000002</v>
      </c>
      <c r="P965" s="309">
        <v>7.3436000000000003</v>
      </c>
      <c r="Q965" s="309">
        <v>0</v>
      </c>
      <c r="R965" s="309">
        <v>9.8620999999999999</v>
      </c>
      <c r="S965" s="309">
        <v>10.2783</v>
      </c>
      <c r="T965" s="309">
        <v>6.9619999999999997</v>
      </c>
      <c r="U965" s="309">
        <v>9.4030000000000005</v>
      </c>
      <c r="V965" s="309">
        <v>9.8896999999999995</v>
      </c>
      <c r="W965" s="309">
        <v>7.6470000000000002</v>
      </c>
      <c r="X965" s="309">
        <v>6.2834000000000003</v>
      </c>
      <c r="Y965" s="309">
        <v>8.2998999999999992</v>
      </c>
      <c r="Z965" s="309">
        <v>8.9602000000000004</v>
      </c>
      <c r="AA965" s="309">
        <v>8.9236000000000004</v>
      </c>
      <c r="AB965" s="309">
        <v>9.4269999999999996</v>
      </c>
      <c r="AC965" s="309">
        <v>8.5242000000000004</v>
      </c>
      <c r="AD965" s="309">
        <v>7.2946</v>
      </c>
      <c r="AE965" s="309">
        <v>9.2467000000000006</v>
      </c>
      <c r="AF965" s="309">
        <v>6.3921999999999999</v>
      </c>
      <c r="AG965" s="309">
        <v>0</v>
      </c>
      <c r="AH965" s="309">
        <v>6.5377999999999998</v>
      </c>
      <c r="AI965" s="309">
        <v>7.6553000000000004</v>
      </c>
      <c r="AJ965" s="309">
        <v>0</v>
      </c>
      <c r="AK965" s="309">
        <v>6.2111000000000001</v>
      </c>
      <c r="AL965" s="309">
        <v>6.5795000000000003</v>
      </c>
      <c r="AM965" s="309">
        <v>11.094900000000001</v>
      </c>
      <c r="AN965" s="309">
        <v>9.1029999999999998</v>
      </c>
      <c r="AO965" s="309">
        <v>7.4702000000000002</v>
      </c>
      <c r="AP965" s="309">
        <v>9.8872999999999998</v>
      </c>
      <c r="AQ965" s="309">
        <v>7.8040000000000003</v>
      </c>
      <c r="AR965" s="309">
        <v>10.582800000000001</v>
      </c>
      <c r="AS965" s="309">
        <v>6.8754</v>
      </c>
      <c r="AT965" s="309">
        <v>9.0012000000000008</v>
      </c>
      <c r="AU965" s="309">
        <v>11.0693</v>
      </c>
      <c r="AV965" s="309">
        <v>9.8255999999999997</v>
      </c>
      <c r="AW965" s="309">
        <v>7.8960999999999997</v>
      </c>
      <c r="AX965" s="309">
        <v>6.1456</v>
      </c>
      <c r="AY965" s="309">
        <v>8.0565999999999995</v>
      </c>
      <c r="AZ965" s="309">
        <v>8.9979999999999993</v>
      </c>
      <c r="BA965" s="309">
        <v>8.2896000000000001</v>
      </c>
      <c r="BB965" s="309">
        <v>6.2732999999999999</v>
      </c>
      <c r="BC965" s="309">
        <v>8.7451000000000008</v>
      </c>
      <c r="BD965" s="309">
        <v>8.6752000000000002</v>
      </c>
      <c r="BE965" s="309">
        <v>11.2402</v>
      </c>
      <c r="BF965" s="309">
        <v>8.8760999999999992</v>
      </c>
      <c r="BG965" s="309">
        <v>10.445499999999999</v>
      </c>
      <c r="BH965" s="309">
        <v>10.7211</v>
      </c>
      <c r="BI965" s="309">
        <v>11.5989</v>
      </c>
      <c r="BJ965" s="309">
        <v>8.3338999999999999</v>
      </c>
      <c r="BK965" s="309">
        <v>8.2972000000000001</v>
      </c>
    </row>
    <row r="966" spans="1:63" x14ac:dyDescent="0.25">
      <c r="A966" s="306" t="s">
        <v>716</v>
      </c>
      <c r="B966" s="309" t="s">
        <v>130</v>
      </c>
      <c r="C966" s="309">
        <v>18.070699999999999</v>
      </c>
      <c r="D966" s="309">
        <v>9.1922999999999995</v>
      </c>
      <c r="E966" s="309">
        <v>13.972799999999999</v>
      </c>
      <c r="F966" s="309">
        <v>12.367000000000001</v>
      </c>
      <c r="G966" s="309">
        <v>12.6478</v>
      </c>
      <c r="H966" s="309">
        <v>11.745699999999999</v>
      </c>
      <c r="I966" s="309">
        <v>12.588100000000001</v>
      </c>
      <c r="J966" s="309">
        <v>9.9261999999999997</v>
      </c>
      <c r="K966" s="309">
        <v>0</v>
      </c>
      <c r="L966" s="309">
        <v>9.6670999999999996</v>
      </c>
      <c r="M966" s="309">
        <v>13.335100000000001</v>
      </c>
      <c r="N966" s="309">
        <v>13.723699999999999</v>
      </c>
      <c r="O966" s="309">
        <v>11.080500000000001</v>
      </c>
      <c r="P966" s="309">
        <v>10.949400000000001</v>
      </c>
      <c r="Q966" s="309">
        <v>12.119899999999999</v>
      </c>
      <c r="R966" s="309">
        <v>12.4955</v>
      </c>
      <c r="S966" s="309">
        <v>12.922000000000001</v>
      </c>
      <c r="T966" s="309">
        <v>10.8613</v>
      </c>
      <c r="U966" s="309">
        <v>13.249499999999999</v>
      </c>
      <c r="V966" s="309">
        <v>13.4397</v>
      </c>
      <c r="W966" s="309">
        <v>10.154999999999999</v>
      </c>
      <c r="X966" s="309">
        <v>8.7857000000000003</v>
      </c>
      <c r="Y966" s="309">
        <v>12.042199999999999</v>
      </c>
      <c r="Z966" s="309">
        <v>13.118600000000001</v>
      </c>
      <c r="AA966" s="309">
        <v>11.5794</v>
      </c>
      <c r="AB966" s="309">
        <v>12.8515</v>
      </c>
      <c r="AC966" s="309">
        <v>12.4482</v>
      </c>
      <c r="AD966" s="309">
        <v>11.952</v>
      </c>
      <c r="AE966" s="309">
        <v>13.294</v>
      </c>
      <c r="AF966" s="309">
        <v>9.6159999999999997</v>
      </c>
      <c r="AG966" s="309">
        <v>10.337899999999999</v>
      </c>
      <c r="AH966" s="309">
        <v>10.103400000000001</v>
      </c>
      <c r="AI966" s="309">
        <v>10.372400000000001</v>
      </c>
      <c r="AJ966" s="309">
        <v>11.946</v>
      </c>
      <c r="AK966" s="309">
        <v>10.8476</v>
      </c>
      <c r="AL966" s="309">
        <v>9.4433000000000007</v>
      </c>
      <c r="AM966" s="309">
        <v>14.614800000000001</v>
      </c>
      <c r="AN966" s="309">
        <v>13.090199999999999</v>
      </c>
      <c r="AO966" s="309">
        <v>12.3231</v>
      </c>
      <c r="AP966" s="309">
        <v>14.026300000000001</v>
      </c>
      <c r="AQ966" s="309">
        <v>10.828799999999999</v>
      </c>
      <c r="AR966" s="309">
        <v>14.1899</v>
      </c>
      <c r="AS966" s="309">
        <v>11.2464</v>
      </c>
      <c r="AT966" s="309">
        <v>14.3942</v>
      </c>
      <c r="AU966" s="309">
        <v>14.8398</v>
      </c>
      <c r="AV966" s="309">
        <v>14.5564</v>
      </c>
      <c r="AW966" s="309">
        <v>10.96</v>
      </c>
      <c r="AX966" s="309">
        <v>9.5541999999999998</v>
      </c>
      <c r="AY966" s="309">
        <v>12.4056</v>
      </c>
      <c r="AZ966" s="309">
        <v>12.827999999999999</v>
      </c>
      <c r="BA966" s="309">
        <v>11.6973</v>
      </c>
      <c r="BB966" s="309">
        <v>9.5249000000000006</v>
      </c>
      <c r="BC966" s="309">
        <v>12.1165</v>
      </c>
      <c r="BD966" s="309">
        <v>12.516400000000001</v>
      </c>
      <c r="BE966" s="309">
        <v>14.700799999999999</v>
      </c>
      <c r="BF966" s="309">
        <v>12.592700000000001</v>
      </c>
      <c r="BG966" s="309">
        <v>14.644399999999999</v>
      </c>
      <c r="BH966" s="309">
        <v>15.1167</v>
      </c>
      <c r="BI966" s="309">
        <v>15.563499999999999</v>
      </c>
      <c r="BJ966" s="309">
        <v>13.335699999999999</v>
      </c>
      <c r="BK966" s="309">
        <v>12.381500000000001</v>
      </c>
    </row>
    <row r="967" spans="1:63" x14ac:dyDescent="0.25">
      <c r="A967" s="306">
        <v>326210</v>
      </c>
      <c r="B967" s="309" t="s">
        <v>131</v>
      </c>
      <c r="C967" s="309">
        <v>16.560400000000001</v>
      </c>
      <c r="D967" s="309">
        <v>0</v>
      </c>
      <c r="E967" s="309">
        <v>11.9366</v>
      </c>
      <c r="F967" s="309">
        <v>9.4741999999999997</v>
      </c>
      <c r="G967" s="309">
        <v>11.6584</v>
      </c>
      <c r="H967" s="309">
        <v>12.472</v>
      </c>
      <c r="I967" s="309">
        <v>13.6988</v>
      </c>
      <c r="J967" s="309">
        <v>10.192299999999999</v>
      </c>
      <c r="K967" s="309">
        <v>0</v>
      </c>
      <c r="L967" s="309">
        <v>7.5919999999999996</v>
      </c>
      <c r="M967" s="309">
        <v>13.5517</v>
      </c>
      <c r="N967" s="309">
        <v>13.31</v>
      </c>
      <c r="O967" s="309">
        <v>11.180400000000001</v>
      </c>
      <c r="P967" s="309">
        <v>8.0085999999999995</v>
      </c>
      <c r="Q967" s="309">
        <v>11.3993</v>
      </c>
      <c r="R967" s="309">
        <v>11.481</v>
      </c>
      <c r="S967" s="309">
        <v>11.1402</v>
      </c>
      <c r="T967" s="309">
        <v>8.9016000000000002</v>
      </c>
      <c r="U967" s="309">
        <v>13.160399999999999</v>
      </c>
      <c r="V967" s="309">
        <v>12.305999999999999</v>
      </c>
      <c r="W967" s="309">
        <v>10.645300000000001</v>
      </c>
      <c r="X967" s="309">
        <v>9.0411999999999999</v>
      </c>
      <c r="Y967" s="309">
        <v>12.361599999999999</v>
      </c>
      <c r="Z967" s="309">
        <v>12.711399999999999</v>
      </c>
      <c r="AA967" s="309">
        <v>13.0365</v>
      </c>
      <c r="AB967" s="309">
        <v>12.4694</v>
      </c>
      <c r="AC967" s="309">
        <v>10.721500000000001</v>
      </c>
      <c r="AD967" s="309">
        <v>12.1371</v>
      </c>
      <c r="AE967" s="309">
        <v>11.635400000000001</v>
      </c>
      <c r="AF967" s="309">
        <v>8.6082000000000001</v>
      </c>
      <c r="AG967" s="309">
        <v>8.7684999999999995</v>
      </c>
      <c r="AH967" s="309">
        <v>8.7766999999999999</v>
      </c>
      <c r="AI967" s="309">
        <v>10.7804</v>
      </c>
      <c r="AJ967" s="309">
        <v>11.6515</v>
      </c>
      <c r="AK967" s="309">
        <v>8.9548000000000005</v>
      </c>
      <c r="AL967" s="309">
        <v>8.0952000000000002</v>
      </c>
      <c r="AM967" s="309">
        <v>12.9407</v>
      </c>
      <c r="AN967" s="309">
        <v>10.808400000000001</v>
      </c>
      <c r="AO967" s="309">
        <v>13.343</v>
      </c>
      <c r="AP967" s="309">
        <v>13.655200000000001</v>
      </c>
      <c r="AQ967" s="309">
        <v>0</v>
      </c>
      <c r="AR967" s="309">
        <v>12.043799999999999</v>
      </c>
      <c r="AS967" s="309">
        <v>9.7002000000000006</v>
      </c>
      <c r="AT967" s="309">
        <v>11.339399999999999</v>
      </c>
      <c r="AU967" s="309">
        <v>12.464600000000001</v>
      </c>
      <c r="AV967" s="309">
        <v>14.525600000000001</v>
      </c>
      <c r="AW967" s="309">
        <v>9.8041</v>
      </c>
      <c r="AX967" s="309">
        <v>0</v>
      </c>
      <c r="AY967" s="309">
        <v>11.6709</v>
      </c>
      <c r="AZ967" s="309">
        <v>12.814299999999999</v>
      </c>
      <c r="BA967" s="309">
        <v>10.864000000000001</v>
      </c>
      <c r="BB967" s="309">
        <v>0</v>
      </c>
      <c r="BC967" s="309">
        <v>11.820399999999999</v>
      </c>
      <c r="BD967" s="309">
        <v>11.871499999999999</v>
      </c>
      <c r="BE967" s="309">
        <v>12.9697</v>
      </c>
      <c r="BF967" s="309">
        <v>10.9727</v>
      </c>
      <c r="BG967" s="309">
        <v>13.1637</v>
      </c>
      <c r="BH967" s="309">
        <v>13.183</v>
      </c>
      <c r="BI967" s="309">
        <v>13.149800000000001</v>
      </c>
      <c r="BJ967" s="309">
        <v>12.777799999999999</v>
      </c>
      <c r="BK967" s="309">
        <v>12.926500000000001</v>
      </c>
    </row>
    <row r="968" spans="1:63" x14ac:dyDescent="0.25">
      <c r="A968" s="306">
        <v>326220</v>
      </c>
      <c r="B968" s="309" t="s">
        <v>132</v>
      </c>
      <c r="C968" s="309">
        <v>15.4846</v>
      </c>
      <c r="D968" s="309">
        <v>0</v>
      </c>
      <c r="E968" s="309">
        <v>13.1127</v>
      </c>
      <c r="F968" s="309">
        <v>9.6412999999999993</v>
      </c>
      <c r="G968" s="309">
        <v>8.4102999999999994</v>
      </c>
      <c r="H968" s="309">
        <v>9.8602000000000007</v>
      </c>
      <c r="I968" s="309">
        <v>8.8180999999999994</v>
      </c>
      <c r="J968" s="309">
        <v>8.2615999999999996</v>
      </c>
      <c r="K968" s="309">
        <v>0</v>
      </c>
      <c r="L968" s="309">
        <v>7.9348999999999998</v>
      </c>
      <c r="M968" s="309">
        <v>10.3872</v>
      </c>
      <c r="N968" s="309">
        <v>12.1579</v>
      </c>
      <c r="O968" s="309">
        <v>0</v>
      </c>
      <c r="P968" s="309">
        <v>8.5631000000000004</v>
      </c>
      <c r="Q968" s="309">
        <v>9.9590999999999994</v>
      </c>
      <c r="R968" s="309">
        <v>11.1492</v>
      </c>
      <c r="S968" s="309">
        <v>12.4907</v>
      </c>
      <c r="T968" s="309">
        <v>9.2636000000000003</v>
      </c>
      <c r="U968" s="309">
        <v>11.1684</v>
      </c>
      <c r="V968" s="309">
        <v>9.4587000000000003</v>
      </c>
      <c r="W968" s="309">
        <v>9.0168999999999997</v>
      </c>
      <c r="X968" s="309">
        <v>7.5937000000000001</v>
      </c>
      <c r="Y968" s="309">
        <v>0</v>
      </c>
      <c r="Z968" s="309">
        <v>11.625500000000001</v>
      </c>
      <c r="AA968" s="309">
        <v>9.0672999999999995</v>
      </c>
      <c r="AB968" s="309">
        <v>11.2155</v>
      </c>
      <c r="AC968" s="309">
        <v>11.350300000000001</v>
      </c>
      <c r="AD968" s="309">
        <v>0</v>
      </c>
      <c r="AE968" s="309">
        <v>11.8581</v>
      </c>
      <c r="AF968" s="309">
        <v>8.6786999999999992</v>
      </c>
      <c r="AG968" s="309">
        <v>7.9238999999999997</v>
      </c>
      <c r="AH968" s="309">
        <v>9.2451000000000008</v>
      </c>
      <c r="AI968" s="309">
        <v>8.6277000000000008</v>
      </c>
      <c r="AJ968" s="309">
        <v>0</v>
      </c>
      <c r="AK968" s="309">
        <v>9.1333000000000002</v>
      </c>
      <c r="AL968" s="309">
        <v>7.8415999999999997</v>
      </c>
      <c r="AM968" s="309">
        <v>12.542199999999999</v>
      </c>
      <c r="AN968" s="309">
        <v>10.5144</v>
      </c>
      <c r="AO968" s="309">
        <v>10.3399</v>
      </c>
      <c r="AP968" s="309">
        <v>11.571400000000001</v>
      </c>
      <c r="AQ968" s="309">
        <v>7.5381999999999998</v>
      </c>
      <c r="AR968" s="309">
        <v>12.2661</v>
      </c>
      <c r="AS968" s="309">
        <v>0</v>
      </c>
      <c r="AT968" s="309">
        <v>12.317</v>
      </c>
      <c r="AU968" s="309">
        <v>11.742000000000001</v>
      </c>
      <c r="AV968" s="309">
        <v>13.257999999999999</v>
      </c>
      <c r="AW968" s="309">
        <v>10.5784</v>
      </c>
      <c r="AX968" s="309">
        <v>0</v>
      </c>
      <c r="AY968" s="309">
        <v>11.1145</v>
      </c>
      <c r="AZ968" s="309">
        <v>10.720599999999999</v>
      </c>
      <c r="BA968" s="309">
        <v>9.8308999999999997</v>
      </c>
      <c r="BB968" s="309">
        <v>0</v>
      </c>
      <c r="BC968" s="309">
        <v>10.3184</v>
      </c>
      <c r="BD968" s="309">
        <v>10.374000000000001</v>
      </c>
      <c r="BE968" s="309">
        <v>12.8856</v>
      </c>
      <c r="BF968" s="309">
        <v>10.9413</v>
      </c>
      <c r="BG968" s="309">
        <v>12.6844</v>
      </c>
      <c r="BH968" s="309">
        <v>13.128299999999999</v>
      </c>
      <c r="BI968" s="309">
        <v>12.168799999999999</v>
      </c>
      <c r="BJ968" s="309">
        <v>9.5320999999999998</v>
      </c>
      <c r="BK968" s="309">
        <v>10.068300000000001</v>
      </c>
    </row>
    <row r="969" spans="1:63" x14ac:dyDescent="0.25">
      <c r="A969" s="306">
        <v>326290</v>
      </c>
      <c r="B969" s="309" t="s">
        <v>133</v>
      </c>
      <c r="C969" s="309">
        <v>18.253900000000002</v>
      </c>
      <c r="D969" s="309">
        <v>0</v>
      </c>
      <c r="E969" s="309">
        <v>14.595000000000001</v>
      </c>
      <c r="F969" s="309">
        <v>11.0595</v>
      </c>
      <c r="G969" s="309">
        <v>10.908099999999999</v>
      </c>
      <c r="H969" s="309">
        <v>12.797700000000001</v>
      </c>
      <c r="I969" s="309">
        <v>11.5388</v>
      </c>
      <c r="J969" s="309">
        <v>9.6715</v>
      </c>
      <c r="K969" s="309">
        <v>0</v>
      </c>
      <c r="L969" s="309">
        <v>9.2382000000000009</v>
      </c>
      <c r="M969" s="309">
        <v>11.0778</v>
      </c>
      <c r="N969" s="309">
        <v>14.0867</v>
      </c>
      <c r="O969" s="309">
        <v>0</v>
      </c>
      <c r="P969" s="309">
        <v>11.654500000000001</v>
      </c>
      <c r="Q969" s="309">
        <v>11.684699999999999</v>
      </c>
      <c r="R969" s="309">
        <v>13.041499999999999</v>
      </c>
      <c r="S969" s="309">
        <v>13.34</v>
      </c>
      <c r="T969" s="309">
        <v>10.9998</v>
      </c>
      <c r="U969" s="309">
        <v>14.2784</v>
      </c>
      <c r="V969" s="309">
        <v>11.2118</v>
      </c>
      <c r="W969" s="309">
        <v>9.8543000000000003</v>
      </c>
      <c r="X969" s="309">
        <v>10.3429</v>
      </c>
      <c r="Y969" s="309">
        <v>11.9978</v>
      </c>
      <c r="Z969" s="309">
        <v>13.5343</v>
      </c>
      <c r="AA969" s="309">
        <v>11.9648</v>
      </c>
      <c r="AB969" s="309">
        <v>12.3002</v>
      </c>
      <c r="AC969" s="309">
        <v>12.3161</v>
      </c>
      <c r="AD969" s="309">
        <v>11.9857</v>
      </c>
      <c r="AE969" s="309">
        <v>13.287800000000001</v>
      </c>
      <c r="AF969" s="309">
        <v>0</v>
      </c>
      <c r="AG969" s="309">
        <v>9.6635000000000009</v>
      </c>
      <c r="AH969" s="309">
        <v>10.4649</v>
      </c>
      <c r="AI969" s="309">
        <v>9.9145000000000003</v>
      </c>
      <c r="AJ969" s="309">
        <v>12.5031</v>
      </c>
      <c r="AK969" s="309">
        <v>9.9260999999999999</v>
      </c>
      <c r="AL969" s="309">
        <v>9.5198</v>
      </c>
      <c r="AM969" s="309">
        <v>14.777699999999999</v>
      </c>
      <c r="AN969" s="309">
        <v>14.1732</v>
      </c>
      <c r="AO969" s="309">
        <v>12.8352</v>
      </c>
      <c r="AP969" s="309">
        <v>12.6394</v>
      </c>
      <c r="AQ969" s="309">
        <v>11.869</v>
      </c>
      <c r="AR969" s="309">
        <v>14.5471</v>
      </c>
      <c r="AS969" s="309">
        <v>10.5793</v>
      </c>
      <c r="AT969" s="309">
        <v>13.9193</v>
      </c>
      <c r="AU969" s="309">
        <v>13.700100000000001</v>
      </c>
      <c r="AV969" s="309">
        <v>13.3131</v>
      </c>
      <c r="AW969" s="309">
        <v>11.8306</v>
      </c>
      <c r="AX969" s="309">
        <v>10.1602</v>
      </c>
      <c r="AY969" s="309">
        <v>12.0143</v>
      </c>
      <c r="AZ969" s="309">
        <v>13.344200000000001</v>
      </c>
      <c r="BA969" s="309">
        <v>10.565300000000001</v>
      </c>
      <c r="BB969" s="309">
        <v>9.6829999999999998</v>
      </c>
      <c r="BC969" s="309">
        <v>11.7578</v>
      </c>
      <c r="BD969" s="309">
        <v>11.901999999999999</v>
      </c>
      <c r="BE969" s="309">
        <v>15.0924</v>
      </c>
      <c r="BF969" s="309">
        <v>12.6586</v>
      </c>
      <c r="BG969" s="309">
        <v>14.4383</v>
      </c>
      <c r="BH969" s="309">
        <v>15.6273</v>
      </c>
      <c r="BI969" s="309">
        <v>14.569699999999999</v>
      </c>
      <c r="BJ969" s="309">
        <v>12.5807</v>
      </c>
      <c r="BK969" s="309">
        <v>13.0762</v>
      </c>
    </row>
    <row r="970" spans="1:63" x14ac:dyDescent="0.25">
      <c r="A970" s="306" t="s">
        <v>717</v>
      </c>
      <c r="B970" s="309" t="s">
        <v>134</v>
      </c>
      <c r="C970" s="309">
        <v>21.331399999999999</v>
      </c>
      <c r="D970" s="309">
        <v>0</v>
      </c>
      <c r="E970" s="309">
        <v>24.672999999999998</v>
      </c>
      <c r="F970" s="309">
        <v>16.385200000000001</v>
      </c>
      <c r="G970" s="309">
        <v>20.1235</v>
      </c>
      <c r="H970" s="309">
        <v>16.980599999999999</v>
      </c>
      <c r="I970" s="309">
        <v>13.964600000000001</v>
      </c>
      <c r="J970" s="309">
        <v>13.9421</v>
      </c>
      <c r="K970" s="309">
        <v>3.4449000000000001</v>
      </c>
      <c r="L970" s="309">
        <v>10.4832</v>
      </c>
      <c r="M970" s="309">
        <v>22.872900000000001</v>
      </c>
      <c r="N970" s="309">
        <v>16.473600000000001</v>
      </c>
      <c r="O970" s="309">
        <v>19.676100000000002</v>
      </c>
      <c r="P970" s="309">
        <v>17.5747</v>
      </c>
      <c r="Q970" s="309">
        <v>28.796800000000001</v>
      </c>
      <c r="R970" s="309">
        <v>14.4238</v>
      </c>
      <c r="S970" s="309">
        <v>14.9145</v>
      </c>
      <c r="T970" s="309">
        <v>19.651800000000001</v>
      </c>
      <c r="U970" s="309">
        <v>20.862100000000002</v>
      </c>
      <c r="V970" s="309">
        <v>14.6974</v>
      </c>
      <c r="W970" s="309">
        <v>14.0547</v>
      </c>
      <c r="X970" s="309">
        <v>13.2392</v>
      </c>
      <c r="Y970" s="309">
        <v>24.2987</v>
      </c>
      <c r="Z970" s="309">
        <v>28.931000000000001</v>
      </c>
      <c r="AA970" s="309">
        <v>20.253799999999998</v>
      </c>
      <c r="AB970" s="309">
        <v>17.813600000000001</v>
      </c>
      <c r="AC970" s="309">
        <v>20.392900000000001</v>
      </c>
      <c r="AD970" s="309">
        <v>26.1374</v>
      </c>
      <c r="AE970" s="309">
        <v>18.356000000000002</v>
      </c>
      <c r="AF970" s="309">
        <v>10.9214</v>
      </c>
      <c r="AG970" s="309">
        <v>12.4474</v>
      </c>
      <c r="AH970" s="309">
        <v>18.7898</v>
      </c>
      <c r="AI970" s="309">
        <v>11.868499999999999</v>
      </c>
      <c r="AJ970" s="309">
        <v>26.793199999999999</v>
      </c>
      <c r="AK970" s="309">
        <v>15.3165</v>
      </c>
      <c r="AL970" s="309">
        <v>10.646699999999999</v>
      </c>
      <c r="AM970" s="309">
        <v>18.188300000000002</v>
      </c>
      <c r="AN970" s="309">
        <v>20.534600000000001</v>
      </c>
      <c r="AO970" s="309">
        <v>15.381500000000001</v>
      </c>
      <c r="AP970" s="309">
        <v>17.6965</v>
      </c>
      <c r="AQ970" s="309">
        <v>18.314599999999999</v>
      </c>
      <c r="AR970" s="309">
        <v>16.168700000000001</v>
      </c>
      <c r="AS970" s="309">
        <v>27.182099999999998</v>
      </c>
      <c r="AT970" s="309">
        <v>18.698</v>
      </c>
      <c r="AU970" s="309">
        <v>17.386900000000001</v>
      </c>
      <c r="AV970" s="309">
        <v>33.027700000000003</v>
      </c>
      <c r="AW970" s="309">
        <v>23.959399999999999</v>
      </c>
      <c r="AX970" s="309">
        <v>15.184900000000001</v>
      </c>
      <c r="AY970" s="309">
        <v>28.939599999999999</v>
      </c>
      <c r="AZ970" s="309">
        <v>24.293800000000001</v>
      </c>
      <c r="BA970" s="309">
        <v>14.514200000000001</v>
      </c>
      <c r="BB970" s="309">
        <v>11.596500000000001</v>
      </c>
      <c r="BC970" s="309">
        <v>17.688400000000001</v>
      </c>
      <c r="BD970" s="309">
        <v>14.3506</v>
      </c>
      <c r="BE970" s="309">
        <v>18.485800000000001</v>
      </c>
      <c r="BF970" s="309">
        <v>18.799199999999999</v>
      </c>
      <c r="BG970" s="309">
        <v>18.427600000000002</v>
      </c>
      <c r="BH970" s="309">
        <v>20.572099999999999</v>
      </c>
      <c r="BI970" s="309">
        <v>18.3748</v>
      </c>
      <c r="BJ970" s="309">
        <v>14.9649</v>
      </c>
      <c r="BK970" s="309">
        <v>17.3249</v>
      </c>
    </row>
    <row r="971" spans="1:63" x14ac:dyDescent="0.25">
      <c r="A971" s="306" t="s">
        <v>718</v>
      </c>
      <c r="B971" s="309" t="s">
        <v>135</v>
      </c>
      <c r="C971" s="309">
        <v>16.834499999999998</v>
      </c>
      <c r="D971" s="309">
        <v>0</v>
      </c>
      <c r="E971" s="309">
        <v>12.6249</v>
      </c>
      <c r="F971" s="309">
        <v>12.301299999999999</v>
      </c>
      <c r="G971" s="309">
        <v>11.504899999999999</v>
      </c>
      <c r="H971" s="309">
        <v>12.5589</v>
      </c>
      <c r="I971" s="309">
        <v>13.019600000000001</v>
      </c>
      <c r="J971" s="309">
        <v>9.3777000000000008</v>
      </c>
      <c r="K971" s="309">
        <v>0</v>
      </c>
      <c r="L971" s="309">
        <v>0</v>
      </c>
      <c r="M971" s="309">
        <v>12.779199999999999</v>
      </c>
      <c r="N971" s="309">
        <v>12.435700000000001</v>
      </c>
      <c r="O971" s="309">
        <v>13.5314</v>
      </c>
      <c r="P971" s="309">
        <v>11.575200000000001</v>
      </c>
      <c r="Q971" s="309">
        <v>12.4247</v>
      </c>
      <c r="R971" s="309">
        <v>11.4993</v>
      </c>
      <c r="S971" s="309">
        <v>13.1089</v>
      </c>
      <c r="T971" s="309">
        <v>10.4107</v>
      </c>
      <c r="U971" s="309">
        <v>14.5304</v>
      </c>
      <c r="V971" s="309">
        <v>14.057499999999999</v>
      </c>
      <c r="W971" s="309">
        <v>9.3905999999999992</v>
      </c>
      <c r="X971" s="309">
        <v>9.7942999999999998</v>
      </c>
      <c r="Y971" s="309">
        <v>13.9595</v>
      </c>
      <c r="Z971" s="309">
        <v>13.7669</v>
      </c>
      <c r="AA971" s="309">
        <v>12.2692</v>
      </c>
      <c r="AB971" s="309">
        <v>14.148899999999999</v>
      </c>
      <c r="AC971" s="309">
        <v>12.434200000000001</v>
      </c>
      <c r="AD971" s="309">
        <v>13.559799999999999</v>
      </c>
      <c r="AE971" s="309">
        <v>12.704499999999999</v>
      </c>
      <c r="AF971" s="309">
        <v>10.0809</v>
      </c>
      <c r="AG971" s="309">
        <v>11.242000000000001</v>
      </c>
      <c r="AH971" s="309">
        <v>12.482799999999999</v>
      </c>
      <c r="AI971" s="309">
        <v>10.1035</v>
      </c>
      <c r="AJ971" s="309">
        <v>13.726599999999999</v>
      </c>
      <c r="AK971" s="309">
        <v>0</v>
      </c>
      <c r="AL971" s="309">
        <v>10.6342</v>
      </c>
      <c r="AM971" s="309">
        <v>14.3978</v>
      </c>
      <c r="AN971" s="309">
        <v>13.0504</v>
      </c>
      <c r="AO971" s="309">
        <v>14.3925</v>
      </c>
      <c r="AP971" s="309">
        <v>14.0541</v>
      </c>
      <c r="AQ971" s="309">
        <v>0</v>
      </c>
      <c r="AR971" s="309">
        <v>13.735300000000001</v>
      </c>
      <c r="AS971" s="309">
        <v>0</v>
      </c>
      <c r="AT971" s="309">
        <v>12.0344</v>
      </c>
      <c r="AU971" s="309">
        <v>12.4758</v>
      </c>
      <c r="AV971" s="309">
        <v>14.9206</v>
      </c>
      <c r="AW971" s="309">
        <v>11.9771</v>
      </c>
      <c r="AX971" s="309">
        <v>9.9029000000000007</v>
      </c>
      <c r="AY971" s="309">
        <v>13.3508</v>
      </c>
      <c r="AZ971" s="309">
        <v>15.189</v>
      </c>
      <c r="BA971" s="309">
        <v>11.8165</v>
      </c>
      <c r="BB971" s="309">
        <v>0</v>
      </c>
      <c r="BC971" s="309">
        <v>12.1051</v>
      </c>
      <c r="BD971" s="309">
        <v>12.957599999999999</v>
      </c>
      <c r="BE971" s="309">
        <v>14.344900000000001</v>
      </c>
      <c r="BF971" s="309">
        <v>13.3933</v>
      </c>
      <c r="BG971" s="309">
        <v>13.778700000000001</v>
      </c>
      <c r="BH971" s="309">
        <v>13.6374</v>
      </c>
      <c r="BI971" s="309">
        <v>13.3245</v>
      </c>
      <c r="BJ971" s="309">
        <v>13.4664</v>
      </c>
      <c r="BK971" s="309">
        <v>13.5748</v>
      </c>
    </row>
    <row r="972" spans="1:63" x14ac:dyDescent="0.25">
      <c r="A972" s="306" t="s">
        <v>719</v>
      </c>
      <c r="B972" s="309" t="s">
        <v>136</v>
      </c>
      <c r="C972" s="309">
        <v>17.645099999999999</v>
      </c>
      <c r="D972" s="309">
        <v>0</v>
      </c>
      <c r="E972" s="309">
        <v>12.462300000000001</v>
      </c>
      <c r="F972" s="309">
        <v>0</v>
      </c>
      <c r="G972" s="309">
        <v>13.4369</v>
      </c>
      <c r="H972" s="309">
        <v>12.055899999999999</v>
      </c>
      <c r="I972" s="309">
        <v>13.3132</v>
      </c>
      <c r="J972" s="309">
        <v>0</v>
      </c>
      <c r="K972" s="309">
        <v>0</v>
      </c>
      <c r="L972" s="309">
        <v>6.7041000000000004</v>
      </c>
      <c r="M972" s="309">
        <v>10.4344</v>
      </c>
      <c r="N972" s="309">
        <v>13.2522</v>
      </c>
      <c r="O972" s="309">
        <v>0</v>
      </c>
      <c r="P972" s="309">
        <v>8.5481999999999996</v>
      </c>
      <c r="Q972" s="309">
        <v>8.8008000000000006</v>
      </c>
      <c r="R972" s="309">
        <v>11.553000000000001</v>
      </c>
      <c r="S972" s="309">
        <v>13.0258</v>
      </c>
      <c r="T972" s="309">
        <v>11.1958</v>
      </c>
      <c r="U972" s="309">
        <v>12.5618</v>
      </c>
      <c r="V972" s="309">
        <v>13.4124</v>
      </c>
      <c r="W972" s="309">
        <v>9.2959999999999994</v>
      </c>
      <c r="X972" s="309">
        <v>10.669700000000001</v>
      </c>
      <c r="Y972" s="309">
        <v>0</v>
      </c>
      <c r="Z972" s="309">
        <v>13.565799999999999</v>
      </c>
      <c r="AA972" s="309">
        <v>13.3523</v>
      </c>
      <c r="AB972" s="309">
        <v>11.93</v>
      </c>
      <c r="AC972" s="309">
        <v>12.5214</v>
      </c>
      <c r="AD972" s="309">
        <v>0</v>
      </c>
      <c r="AE972" s="309">
        <v>13.129200000000001</v>
      </c>
      <c r="AF972" s="309">
        <v>0</v>
      </c>
      <c r="AG972" s="309">
        <v>0</v>
      </c>
      <c r="AH972" s="309">
        <v>0</v>
      </c>
      <c r="AI972" s="309">
        <v>12.266299999999999</v>
      </c>
      <c r="AJ972" s="309">
        <v>11.6282</v>
      </c>
      <c r="AK972" s="309">
        <v>11.8881</v>
      </c>
      <c r="AL972" s="309">
        <v>8.7421000000000006</v>
      </c>
      <c r="AM972" s="309">
        <v>14.045500000000001</v>
      </c>
      <c r="AN972" s="309">
        <v>13.1935</v>
      </c>
      <c r="AO972" s="309">
        <v>14.4275</v>
      </c>
      <c r="AP972" s="309">
        <v>13.22</v>
      </c>
      <c r="AQ972" s="309">
        <v>0</v>
      </c>
      <c r="AR972" s="309">
        <v>14.4482</v>
      </c>
      <c r="AS972" s="309">
        <v>10.923299999999999</v>
      </c>
      <c r="AT972" s="309">
        <v>13.3172</v>
      </c>
      <c r="AU972" s="309">
        <v>12.9778</v>
      </c>
      <c r="AV972" s="309">
        <v>15.5868</v>
      </c>
      <c r="AW972" s="309">
        <v>12.4687</v>
      </c>
      <c r="AX972" s="309">
        <v>12.1532</v>
      </c>
      <c r="AY972" s="309">
        <v>11.2456</v>
      </c>
      <c r="AZ972" s="309">
        <v>14.5722</v>
      </c>
      <c r="BA972" s="309">
        <v>8.8695000000000004</v>
      </c>
      <c r="BB972" s="309">
        <v>0</v>
      </c>
      <c r="BC972" s="309">
        <v>11.207700000000001</v>
      </c>
      <c r="BD972" s="309">
        <v>12.1347</v>
      </c>
      <c r="BE972" s="309">
        <v>14.736499999999999</v>
      </c>
      <c r="BF972" s="309">
        <v>11.741099999999999</v>
      </c>
      <c r="BG972" s="309">
        <v>13.757199999999999</v>
      </c>
      <c r="BH972" s="309">
        <v>13.756</v>
      </c>
      <c r="BI972" s="309">
        <v>13.6706</v>
      </c>
      <c r="BJ972" s="309">
        <v>14.056900000000001</v>
      </c>
      <c r="BK972" s="309">
        <v>12.7446</v>
      </c>
    </row>
    <row r="973" spans="1:63" x14ac:dyDescent="0.25">
      <c r="A973" s="306">
        <v>327211</v>
      </c>
      <c r="B973" s="309" t="s">
        <v>137</v>
      </c>
      <c r="C973" s="309">
        <v>14.7263</v>
      </c>
      <c r="D973" s="309">
        <v>0</v>
      </c>
      <c r="E973" s="309">
        <v>0</v>
      </c>
      <c r="F973" s="309">
        <v>0</v>
      </c>
      <c r="G973" s="309">
        <v>12.664</v>
      </c>
      <c r="H973" s="309">
        <v>10.014099999999999</v>
      </c>
      <c r="I973" s="309">
        <v>10.3866</v>
      </c>
      <c r="J973" s="309">
        <v>10.871499999999999</v>
      </c>
      <c r="K973" s="309">
        <v>0</v>
      </c>
      <c r="L973" s="309">
        <v>0</v>
      </c>
      <c r="M973" s="309">
        <v>12.1135</v>
      </c>
      <c r="N973" s="309">
        <v>12.3561</v>
      </c>
      <c r="O973" s="309">
        <v>0</v>
      </c>
      <c r="P973" s="309">
        <v>8.3187999999999995</v>
      </c>
      <c r="Q973" s="309">
        <v>0</v>
      </c>
      <c r="R973" s="309">
        <v>9.8178000000000001</v>
      </c>
      <c r="S973" s="309">
        <v>13.2751</v>
      </c>
      <c r="T973" s="309">
        <v>8.2455999999999996</v>
      </c>
      <c r="U973" s="309">
        <v>9.2771000000000008</v>
      </c>
      <c r="V973" s="309">
        <v>0</v>
      </c>
      <c r="W973" s="309">
        <v>7.9391999999999996</v>
      </c>
      <c r="X973" s="309">
        <v>9.0297999999999998</v>
      </c>
      <c r="Y973" s="309">
        <v>10.583</v>
      </c>
      <c r="Z973" s="309">
        <v>9.7392000000000003</v>
      </c>
      <c r="AA973" s="309">
        <v>11.5357</v>
      </c>
      <c r="AB973" s="309">
        <v>0</v>
      </c>
      <c r="AC973" s="309">
        <v>0</v>
      </c>
      <c r="AD973" s="309">
        <v>0</v>
      </c>
      <c r="AE973" s="309">
        <v>10.9091</v>
      </c>
      <c r="AF973" s="309">
        <v>0</v>
      </c>
      <c r="AG973" s="309">
        <v>0</v>
      </c>
      <c r="AH973" s="309">
        <v>10.784800000000001</v>
      </c>
      <c r="AI973" s="309">
        <v>8.4763000000000002</v>
      </c>
      <c r="AJ973" s="309">
        <v>0</v>
      </c>
      <c r="AK973" s="309">
        <v>0</v>
      </c>
      <c r="AL973" s="309">
        <v>7.9504999999999999</v>
      </c>
      <c r="AM973" s="309">
        <v>12.8056</v>
      </c>
      <c r="AN973" s="309">
        <v>10.086499999999999</v>
      </c>
      <c r="AO973" s="309">
        <v>12.4915</v>
      </c>
      <c r="AP973" s="309">
        <v>11.091100000000001</v>
      </c>
      <c r="AQ973" s="309">
        <v>0</v>
      </c>
      <c r="AR973" s="309">
        <v>13.4582</v>
      </c>
      <c r="AS973" s="309">
        <v>0</v>
      </c>
      <c r="AT973" s="309">
        <v>9.5585000000000004</v>
      </c>
      <c r="AU973" s="309">
        <v>11.690899999999999</v>
      </c>
      <c r="AV973" s="309">
        <v>0</v>
      </c>
      <c r="AW973" s="309">
        <v>11.908300000000001</v>
      </c>
      <c r="AX973" s="309">
        <v>0</v>
      </c>
      <c r="AY973" s="309">
        <v>11.0617</v>
      </c>
      <c r="AZ973" s="309">
        <v>11.122400000000001</v>
      </c>
      <c r="BA973" s="309">
        <v>9.7687000000000008</v>
      </c>
      <c r="BB973" s="309">
        <v>0</v>
      </c>
      <c r="BC973" s="309">
        <v>9.9494000000000007</v>
      </c>
      <c r="BD973" s="309">
        <v>10.0695</v>
      </c>
      <c r="BE973" s="309">
        <v>12.0869</v>
      </c>
      <c r="BF973" s="309">
        <v>10.469200000000001</v>
      </c>
      <c r="BG973" s="309">
        <v>12.8645</v>
      </c>
      <c r="BH973" s="309">
        <v>10.5183</v>
      </c>
      <c r="BI973" s="309">
        <v>11.7883</v>
      </c>
      <c r="BJ973" s="309">
        <v>10.8856</v>
      </c>
      <c r="BK973" s="309">
        <v>10.899800000000001</v>
      </c>
    </row>
    <row r="974" spans="1:63" x14ac:dyDescent="0.25">
      <c r="A974" s="306">
        <v>327212</v>
      </c>
      <c r="B974" s="309" t="s">
        <v>138</v>
      </c>
      <c r="C974" s="309">
        <v>17.194299999999998</v>
      </c>
      <c r="D974" s="309">
        <v>14.7315</v>
      </c>
      <c r="E974" s="309">
        <v>17.892199999999999</v>
      </c>
      <c r="F974" s="309">
        <v>16.8476</v>
      </c>
      <c r="G974" s="309">
        <v>12.2256</v>
      </c>
      <c r="H974" s="309">
        <v>12.9419</v>
      </c>
      <c r="I974" s="309">
        <v>12.824199999999999</v>
      </c>
      <c r="J974" s="309">
        <v>11.8706</v>
      </c>
      <c r="K974" s="309">
        <v>0</v>
      </c>
      <c r="L974" s="309">
        <v>10.454499999999999</v>
      </c>
      <c r="M974" s="309">
        <v>14.573700000000001</v>
      </c>
      <c r="N974" s="309">
        <v>14.549300000000001</v>
      </c>
      <c r="O974" s="309">
        <v>14.4108</v>
      </c>
      <c r="P974" s="309">
        <v>9.7286999999999999</v>
      </c>
      <c r="Q974" s="309">
        <v>16.3172</v>
      </c>
      <c r="R974" s="309">
        <v>14.632099999999999</v>
      </c>
      <c r="S974" s="309">
        <v>16.208600000000001</v>
      </c>
      <c r="T974" s="309">
        <v>14.6686</v>
      </c>
      <c r="U974" s="309">
        <v>11.3592</v>
      </c>
      <c r="V974" s="309">
        <v>13.8201</v>
      </c>
      <c r="W974" s="309">
        <v>10.8377</v>
      </c>
      <c r="X974" s="309">
        <v>0</v>
      </c>
      <c r="Y974" s="309">
        <v>0</v>
      </c>
      <c r="Z974" s="309">
        <v>15.986700000000001</v>
      </c>
      <c r="AA974" s="309">
        <v>17.1447</v>
      </c>
      <c r="AB974" s="309">
        <v>11.4506</v>
      </c>
      <c r="AC974" s="309">
        <v>13.166499999999999</v>
      </c>
      <c r="AD974" s="309">
        <v>0</v>
      </c>
      <c r="AE974" s="309">
        <v>11.4201</v>
      </c>
      <c r="AF974" s="309">
        <v>13.716699999999999</v>
      </c>
      <c r="AG974" s="309">
        <v>15.209899999999999</v>
      </c>
      <c r="AH974" s="309">
        <v>9.7719000000000005</v>
      </c>
      <c r="AI974" s="309">
        <v>11.1699</v>
      </c>
      <c r="AJ974" s="309">
        <v>14.785</v>
      </c>
      <c r="AK974" s="309">
        <v>10.869199999999999</v>
      </c>
      <c r="AL974" s="309">
        <v>8.6457999999999995</v>
      </c>
      <c r="AM974" s="309">
        <v>13.916700000000001</v>
      </c>
      <c r="AN974" s="309">
        <v>14.6899</v>
      </c>
      <c r="AO974" s="309">
        <v>13.5403</v>
      </c>
      <c r="AP974" s="309">
        <v>14.1088</v>
      </c>
      <c r="AQ974" s="309">
        <v>10.1602</v>
      </c>
      <c r="AR974" s="309">
        <v>12.5337</v>
      </c>
      <c r="AS974" s="309">
        <v>0</v>
      </c>
      <c r="AT974" s="309">
        <v>11.8964</v>
      </c>
      <c r="AU974" s="309">
        <v>12.7561</v>
      </c>
      <c r="AV974" s="309">
        <v>20.315000000000001</v>
      </c>
      <c r="AW974" s="309">
        <v>10.336499999999999</v>
      </c>
      <c r="AX974" s="309">
        <v>11.7576</v>
      </c>
      <c r="AY974" s="309">
        <v>17.327400000000001</v>
      </c>
      <c r="AZ974" s="309">
        <v>14.016299999999999</v>
      </c>
      <c r="BA974" s="309">
        <v>13.654500000000001</v>
      </c>
      <c r="BB974" s="309">
        <v>0</v>
      </c>
      <c r="BC974" s="309">
        <v>12.476800000000001</v>
      </c>
      <c r="BD974" s="309">
        <v>12.5626</v>
      </c>
      <c r="BE974" s="309">
        <v>14.500400000000001</v>
      </c>
      <c r="BF974" s="309">
        <v>12.089700000000001</v>
      </c>
      <c r="BG974" s="309">
        <v>13.403700000000001</v>
      </c>
      <c r="BH974" s="309">
        <v>12.684699999999999</v>
      </c>
      <c r="BI974" s="309">
        <v>14.0458</v>
      </c>
      <c r="BJ974" s="309">
        <v>14.272500000000001</v>
      </c>
      <c r="BK974" s="309">
        <v>13.9993</v>
      </c>
    </row>
    <row r="975" spans="1:63" x14ac:dyDescent="0.25">
      <c r="A975" s="306">
        <v>327213</v>
      </c>
      <c r="B975" s="309" t="s">
        <v>139</v>
      </c>
      <c r="C975" s="309">
        <v>14.337300000000001</v>
      </c>
      <c r="D975" s="309">
        <v>0</v>
      </c>
      <c r="E975" s="309">
        <v>0</v>
      </c>
      <c r="F975" s="309">
        <v>10.6061</v>
      </c>
      <c r="G975" s="309">
        <v>10.252000000000001</v>
      </c>
      <c r="H975" s="309">
        <v>9.3605999999999998</v>
      </c>
      <c r="I975" s="309">
        <v>9.4503000000000004</v>
      </c>
      <c r="J975" s="309">
        <v>0</v>
      </c>
      <c r="K975" s="309">
        <v>0</v>
      </c>
      <c r="L975" s="309">
        <v>0</v>
      </c>
      <c r="M975" s="309">
        <v>9.2341999999999995</v>
      </c>
      <c r="N975" s="309">
        <v>11.153499999999999</v>
      </c>
      <c r="O975" s="309">
        <v>0</v>
      </c>
      <c r="P975" s="309">
        <v>0</v>
      </c>
      <c r="Q975" s="309">
        <v>0</v>
      </c>
      <c r="R975" s="309">
        <v>9.8268000000000004</v>
      </c>
      <c r="S975" s="309">
        <v>10.137499999999999</v>
      </c>
      <c r="T975" s="309">
        <v>0</v>
      </c>
      <c r="U975" s="309">
        <v>0</v>
      </c>
      <c r="V975" s="309">
        <v>9.9071999999999996</v>
      </c>
      <c r="W975" s="309">
        <v>7.5934999999999997</v>
      </c>
      <c r="X975" s="309">
        <v>0</v>
      </c>
      <c r="Y975" s="309">
        <v>0</v>
      </c>
      <c r="Z975" s="309">
        <v>10.545999999999999</v>
      </c>
      <c r="AA975" s="309">
        <v>9.7782</v>
      </c>
      <c r="AB975" s="309">
        <v>10.7066</v>
      </c>
      <c r="AC975" s="309">
        <v>0</v>
      </c>
      <c r="AD975" s="309">
        <v>0</v>
      </c>
      <c r="AE975" s="309">
        <v>9.6853999999999996</v>
      </c>
      <c r="AF975" s="309">
        <v>0</v>
      </c>
      <c r="AG975" s="309">
        <v>8.8280999999999992</v>
      </c>
      <c r="AH975" s="309">
        <v>0</v>
      </c>
      <c r="AI975" s="309">
        <v>8.7344000000000008</v>
      </c>
      <c r="AJ975" s="309">
        <v>0</v>
      </c>
      <c r="AK975" s="309">
        <v>0</v>
      </c>
      <c r="AL975" s="309">
        <v>7.2394999999999996</v>
      </c>
      <c r="AM975" s="309">
        <v>10.5426</v>
      </c>
      <c r="AN975" s="309">
        <v>9.8265999999999991</v>
      </c>
      <c r="AO975" s="309">
        <v>9.8125999999999998</v>
      </c>
      <c r="AP975" s="309">
        <v>11.0334</v>
      </c>
      <c r="AQ975" s="309">
        <v>0</v>
      </c>
      <c r="AR975" s="309">
        <v>0</v>
      </c>
      <c r="AS975" s="309">
        <v>0</v>
      </c>
      <c r="AT975" s="309">
        <v>10.815200000000001</v>
      </c>
      <c r="AU975" s="309">
        <v>10.220000000000001</v>
      </c>
      <c r="AV975" s="309">
        <v>0</v>
      </c>
      <c r="AW975" s="309">
        <v>9.0175000000000001</v>
      </c>
      <c r="AX975" s="309">
        <v>0</v>
      </c>
      <c r="AY975" s="309">
        <v>9.3714999999999993</v>
      </c>
      <c r="AZ975" s="309">
        <v>10.2255</v>
      </c>
      <c r="BA975" s="309">
        <v>0</v>
      </c>
      <c r="BB975" s="309">
        <v>0</v>
      </c>
      <c r="BC975" s="309">
        <v>9.1273999999999997</v>
      </c>
      <c r="BD975" s="309">
        <v>9.9093</v>
      </c>
      <c r="BE975" s="309">
        <v>11.2493</v>
      </c>
      <c r="BF975" s="309">
        <v>10.692600000000001</v>
      </c>
      <c r="BG975" s="309">
        <v>11.3812</v>
      </c>
      <c r="BH975" s="309">
        <v>11.6904</v>
      </c>
      <c r="BI975" s="309">
        <v>11.3245</v>
      </c>
      <c r="BJ975" s="309">
        <v>9.8544999999999998</v>
      </c>
      <c r="BK975" s="309">
        <v>9.8445999999999998</v>
      </c>
    </row>
    <row r="976" spans="1:63" x14ac:dyDescent="0.25">
      <c r="A976" s="306">
        <v>327215</v>
      </c>
      <c r="B976" s="309" t="s">
        <v>140</v>
      </c>
      <c r="C976" s="309">
        <v>17.6097</v>
      </c>
      <c r="D976" s="309">
        <v>0</v>
      </c>
      <c r="E976" s="309">
        <v>11.517200000000001</v>
      </c>
      <c r="F976" s="309">
        <v>11.04</v>
      </c>
      <c r="G976" s="309">
        <v>11.61</v>
      </c>
      <c r="H976" s="309">
        <v>12.321899999999999</v>
      </c>
      <c r="I976" s="309">
        <v>13.5244</v>
      </c>
      <c r="J976" s="309">
        <v>9.5995000000000008</v>
      </c>
      <c r="K976" s="309">
        <v>0</v>
      </c>
      <c r="L976" s="309">
        <v>10.080500000000001</v>
      </c>
      <c r="M976" s="309">
        <v>12.396100000000001</v>
      </c>
      <c r="N976" s="309">
        <v>13.7264</v>
      </c>
      <c r="O976" s="309">
        <v>10.7942</v>
      </c>
      <c r="P976" s="309">
        <v>10.791399999999999</v>
      </c>
      <c r="Q976" s="309">
        <v>12.497400000000001</v>
      </c>
      <c r="R976" s="309">
        <v>11.9764</v>
      </c>
      <c r="S976" s="309">
        <v>12.5059</v>
      </c>
      <c r="T976" s="309">
        <v>10.5869</v>
      </c>
      <c r="U976" s="309">
        <v>12.1408</v>
      </c>
      <c r="V976" s="309">
        <v>13.382</v>
      </c>
      <c r="W976" s="309">
        <v>10.213900000000001</v>
      </c>
      <c r="X976" s="309">
        <v>8.7571999999999992</v>
      </c>
      <c r="Y976" s="309">
        <v>14.285</v>
      </c>
      <c r="Z976" s="309">
        <v>11.943899999999999</v>
      </c>
      <c r="AA976" s="309">
        <v>11.393700000000001</v>
      </c>
      <c r="AB976" s="309">
        <v>11.4589</v>
      </c>
      <c r="AC976" s="309">
        <v>12.5844</v>
      </c>
      <c r="AD976" s="309">
        <v>12.6022</v>
      </c>
      <c r="AE976" s="309">
        <v>14.843400000000001</v>
      </c>
      <c r="AF976" s="309">
        <v>8.907</v>
      </c>
      <c r="AG976" s="309">
        <v>10.6471</v>
      </c>
      <c r="AH976" s="309">
        <v>9.7527000000000008</v>
      </c>
      <c r="AI976" s="309">
        <v>11.3062</v>
      </c>
      <c r="AJ976" s="309">
        <v>13.166600000000001</v>
      </c>
      <c r="AK976" s="309">
        <v>11.558400000000001</v>
      </c>
      <c r="AL976" s="309">
        <v>9.0378000000000007</v>
      </c>
      <c r="AM976" s="309">
        <v>14.4777</v>
      </c>
      <c r="AN976" s="309">
        <v>13.6106</v>
      </c>
      <c r="AO976" s="309">
        <v>13.9572</v>
      </c>
      <c r="AP976" s="309">
        <v>13.590299999999999</v>
      </c>
      <c r="AQ976" s="309">
        <v>9.6211000000000002</v>
      </c>
      <c r="AR976" s="309">
        <v>13.103199999999999</v>
      </c>
      <c r="AS976" s="309">
        <v>11.2087</v>
      </c>
      <c r="AT976" s="309">
        <v>14.4008</v>
      </c>
      <c r="AU976" s="309">
        <v>13.653600000000001</v>
      </c>
      <c r="AV976" s="309">
        <v>15.395899999999999</v>
      </c>
      <c r="AW976" s="309">
        <v>12.472</v>
      </c>
      <c r="AX976" s="309">
        <v>12.686500000000001</v>
      </c>
      <c r="AY976" s="309">
        <v>12.6372</v>
      </c>
      <c r="AZ976" s="309">
        <v>13.6119</v>
      </c>
      <c r="BA976" s="309">
        <v>12.1191</v>
      </c>
      <c r="BB976" s="309">
        <v>0</v>
      </c>
      <c r="BC976" s="309">
        <v>12.031599999999999</v>
      </c>
      <c r="BD976" s="309">
        <v>12.697100000000001</v>
      </c>
      <c r="BE976" s="309">
        <v>14.769399999999999</v>
      </c>
      <c r="BF976" s="309">
        <v>12.5001</v>
      </c>
      <c r="BG976" s="309">
        <v>14.829800000000001</v>
      </c>
      <c r="BH976" s="309">
        <v>14.119899999999999</v>
      </c>
      <c r="BI976" s="309">
        <v>14.382899999999999</v>
      </c>
      <c r="BJ976" s="309">
        <v>13.6211</v>
      </c>
      <c r="BK976" s="309">
        <v>13.069599999999999</v>
      </c>
    </row>
    <row r="977" spans="1:63" x14ac:dyDescent="0.25">
      <c r="A977" s="306">
        <v>327310</v>
      </c>
      <c r="B977" s="309" t="s">
        <v>141</v>
      </c>
      <c r="C977" s="309">
        <v>11.9878</v>
      </c>
      <c r="D977" s="309">
        <v>0</v>
      </c>
      <c r="E977" s="309">
        <v>8.4982000000000006</v>
      </c>
      <c r="F977" s="309">
        <v>7.4762000000000004</v>
      </c>
      <c r="G977" s="309">
        <v>7.9447000000000001</v>
      </c>
      <c r="H977" s="309">
        <v>7.4930000000000003</v>
      </c>
      <c r="I977" s="309">
        <v>8.2242999999999995</v>
      </c>
      <c r="J977" s="309">
        <v>0</v>
      </c>
      <c r="K977" s="309">
        <v>0</v>
      </c>
      <c r="L977" s="309">
        <v>0</v>
      </c>
      <c r="M977" s="309">
        <v>7.9158999999999997</v>
      </c>
      <c r="N977" s="309">
        <v>8.8413000000000004</v>
      </c>
      <c r="O977" s="309">
        <v>7.7632000000000003</v>
      </c>
      <c r="P977" s="309">
        <v>6.1521999999999997</v>
      </c>
      <c r="Q977" s="309">
        <v>6.7862</v>
      </c>
      <c r="R977" s="309">
        <v>8.1425999999999998</v>
      </c>
      <c r="S977" s="309">
        <v>8.8234999999999992</v>
      </c>
      <c r="T977" s="309">
        <v>6.9080000000000004</v>
      </c>
      <c r="U977" s="309">
        <v>8.5799000000000003</v>
      </c>
      <c r="V977" s="309">
        <v>7.9851999999999999</v>
      </c>
      <c r="W977" s="309">
        <v>5.6219999999999999</v>
      </c>
      <c r="X977" s="309">
        <v>6.0860000000000003</v>
      </c>
      <c r="Y977" s="309">
        <v>8.7692999999999994</v>
      </c>
      <c r="Z977" s="309">
        <v>8.1399000000000008</v>
      </c>
      <c r="AA977" s="309">
        <v>0</v>
      </c>
      <c r="AB977" s="309">
        <v>7.9821</v>
      </c>
      <c r="AC977" s="309">
        <v>7.3777999999999997</v>
      </c>
      <c r="AD977" s="309">
        <v>7.5279999999999996</v>
      </c>
      <c r="AE977" s="309">
        <v>8.8853000000000009</v>
      </c>
      <c r="AF977" s="309">
        <v>6.0186000000000002</v>
      </c>
      <c r="AG977" s="309">
        <v>6.0194999999999999</v>
      </c>
      <c r="AH977" s="309">
        <v>6.8880999999999997</v>
      </c>
      <c r="AI977" s="309">
        <v>7.0694999999999997</v>
      </c>
      <c r="AJ977" s="309">
        <v>7.7840999999999996</v>
      </c>
      <c r="AK977" s="309">
        <v>6.4476000000000004</v>
      </c>
      <c r="AL977" s="309">
        <v>5.6628999999999996</v>
      </c>
      <c r="AM977" s="309">
        <v>9.5370000000000008</v>
      </c>
      <c r="AN977" s="309">
        <v>8.6234000000000002</v>
      </c>
      <c r="AO977" s="309">
        <v>8.4216999999999995</v>
      </c>
      <c r="AP977" s="309">
        <v>8.8930000000000007</v>
      </c>
      <c r="AQ977" s="309">
        <v>0</v>
      </c>
      <c r="AR977" s="309">
        <v>8.2715999999999994</v>
      </c>
      <c r="AS977" s="309">
        <v>5.8761999999999999</v>
      </c>
      <c r="AT977" s="309">
        <v>8.5015999999999998</v>
      </c>
      <c r="AU977" s="309">
        <v>9.0738000000000003</v>
      </c>
      <c r="AV977" s="309">
        <v>10.128399999999999</v>
      </c>
      <c r="AW977" s="309">
        <v>7.0498000000000003</v>
      </c>
      <c r="AX977" s="309">
        <v>0</v>
      </c>
      <c r="AY977" s="309">
        <v>7.6947999999999999</v>
      </c>
      <c r="AZ977" s="309">
        <v>0</v>
      </c>
      <c r="BA977" s="309">
        <v>7.0113000000000003</v>
      </c>
      <c r="BB977" s="309">
        <v>6.2195999999999998</v>
      </c>
      <c r="BC977" s="309">
        <v>7.5983000000000001</v>
      </c>
      <c r="BD977" s="309">
        <v>7.8918999999999997</v>
      </c>
      <c r="BE977" s="309">
        <v>9.5334000000000003</v>
      </c>
      <c r="BF977" s="309">
        <v>8.1613000000000007</v>
      </c>
      <c r="BG977" s="309">
        <v>9.2110000000000003</v>
      </c>
      <c r="BH977" s="309">
        <v>9.1280000000000001</v>
      </c>
      <c r="BI977" s="309">
        <v>9.4816000000000003</v>
      </c>
      <c r="BJ977" s="309">
        <v>9.1301000000000005</v>
      </c>
      <c r="BK977" s="309">
        <v>8.0690000000000008</v>
      </c>
    </row>
    <row r="978" spans="1:63" x14ac:dyDescent="0.25">
      <c r="A978" s="306">
        <v>327320</v>
      </c>
      <c r="B978" s="309" t="s">
        <v>142</v>
      </c>
      <c r="C978" s="309">
        <v>17.7026</v>
      </c>
      <c r="D978" s="309">
        <v>9.9694000000000003</v>
      </c>
      <c r="E978" s="309">
        <v>13.809799999999999</v>
      </c>
      <c r="F978" s="309">
        <v>13.2509</v>
      </c>
      <c r="G978" s="309">
        <v>12.305199999999999</v>
      </c>
      <c r="H978" s="309">
        <v>11.083399999999999</v>
      </c>
      <c r="I978" s="309">
        <v>13.1905</v>
      </c>
      <c r="J978" s="309">
        <v>8.173</v>
      </c>
      <c r="K978" s="309">
        <v>2.1684000000000001</v>
      </c>
      <c r="L978" s="309">
        <v>7.5903</v>
      </c>
      <c r="M978" s="309">
        <v>11.5825</v>
      </c>
      <c r="N978" s="309">
        <v>13.893700000000001</v>
      </c>
      <c r="O978" s="309">
        <v>9.5258000000000003</v>
      </c>
      <c r="P978" s="309">
        <v>11.4109</v>
      </c>
      <c r="Q978" s="309">
        <v>12.451700000000001</v>
      </c>
      <c r="R978" s="309">
        <v>11.8185</v>
      </c>
      <c r="S978" s="309">
        <v>12.968299999999999</v>
      </c>
      <c r="T978" s="309">
        <v>11.295400000000001</v>
      </c>
      <c r="U978" s="309">
        <v>13.1325</v>
      </c>
      <c r="V978" s="309">
        <v>12.1159</v>
      </c>
      <c r="W978" s="309">
        <v>8.4315999999999995</v>
      </c>
      <c r="X978" s="309">
        <v>9.8219999999999992</v>
      </c>
      <c r="Y978" s="309">
        <v>13.126300000000001</v>
      </c>
      <c r="Z978" s="309">
        <v>13.135199999999999</v>
      </c>
      <c r="AA978" s="309">
        <v>10.769</v>
      </c>
      <c r="AB978" s="309">
        <v>13.465400000000001</v>
      </c>
      <c r="AC978" s="309">
        <v>12.266999999999999</v>
      </c>
      <c r="AD978" s="309">
        <v>13.24</v>
      </c>
      <c r="AE978" s="309">
        <v>12.064299999999999</v>
      </c>
      <c r="AF978" s="309">
        <v>9.1445000000000007</v>
      </c>
      <c r="AG978" s="309">
        <v>10.996</v>
      </c>
      <c r="AH978" s="309">
        <v>9.3902999999999999</v>
      </c>
      <c r="AI978" s="309">
        <v>9.6524000000000001</v>
      </c>
      <c r="AJ978" s="309">
        <v>12.803100000000001</v>
      </c>
      <c r="AK978" s="309">
        <v>10.5768</v>
      </c>
      <c r="AL978" s="309">
        <v>8.0888000000000009</v>
      </c>
      <c r="AM978" s="309">
        <v>13.907999999999999</v>
      </c>
      <c r="AN978" s="309">
        <v>14.793200000000001</v>
      </c>
      <c r="AO978" s="309">
        <v>13.103899999999999</v>
      </c>
      <c r="AP978" s="309">
        <v>13.7546</v>
      </c>
      <c r="AQ978" s="309">
        <v>8.6704000000000008</v>
      </c>
      <c r="AR978" s="309">
        <v>13.8111</v>
      </c>
      <c r="AS978" s="309">
        <v>11.1762</v>
      </c>
      <c r="AT978" s="309">
        <v>13.9247</v>
      </c>
      <c r="AU978" s="309">
        <v>13.950100000000001</v>
      </c>
      <c r="AV978" s="309">
        <v>15.4688</v>
      </c>
      <c r="AW978" s="309">
        <v>11.1762</v>
      </c>
      <c r="AX978" s="309">
        <v>10.4246</v>
      </c>
      <c r="AY978" s="309">
        <v>11.8607</v>
      </c>
      <c r="AZ978" s="309">
        <v>12.1351</v>
      </c>
      <c r="BA978" s="309">
        <v>11.548500000000001</v>
      </c>
      <c r="BB978" s="309">
        <v>10.370699999999999</v>
      </c>
      <c r="BC978" s="309">
        <v>10.6708</v>
      </c>
      <c r="BD978" s="309">
        <v>11.792</v>
      </c>
      <c r="BE978" s="309">
        <v>14.567600000000001</v>
      </c>
      <c r="BF978" s="309">
        <v>13.593500000000001</v>
      </c>
      <c r="BG978" s="309">
        <v>14.129300000000001</v>
      </c>
      <c r="BH978" s="309">
        <v>14.852</v>
      </c>
      <c r="BI978" s="309">
        <v>14.7376</v>
      </c>
      <c r="BJ978" s="309">
        <v>14.2897</v>
      </c>
      <c r="BK978" s="309">
        <v>11.9937</v>
      </c>
    </row>
    <row r="979" spans="1:63" x14ac:dyDescent="0.25">
      <c r="A979" s="306">
        <v>327330</v>
      </c>
      <c r="B979" s="309" t="s">
        <v>143</v>
      </c>
      <c r="C979" s="309">
        <v>17.454999999999998</v>
      </c>
      <c r="D979" s="309">
        <v>9.4726999999999997</v>
      </c>
      <c r="E979" s="309">
        <v>13.622299999999999</v>
      </c>
      <c r="F979" s="309">
        <v>13.2134</v>
      </c>
      <c r="G979" s="309">
        <v>12.3832</v>
      </c>
      <c r="H979" s="309">
        <v>11.961499999999999</v>
      </c>
      <c r="I979" s="309">
        <v>12.9787</v>
      </c>
      <c r="J979" s="309">
        <v>9.7477</v>
      </c>
      <c r="K979" s="309">
        <v>0</v>
      </c>
      <c r="L979" s="309">
        <v>9.5406999999999993</v>
      </c>
      <c r="M979" s="309">
        <v>13.2216</v>
      </c>
      <c r="N979" s="309">
        <v>13.9034</v>
      </c>
      <c r="O979" s="309">
        <v>10.0106</v>
      </c>
      <c r="P979" s="309">
        <v>10.162000000000001</v>
      </c>
      <c r="Q979" s="309">
        <v>12.4937</v>
      </c>
      <c r="R979" s="309">
        <v>12.478899999999999</v>
      </c>
      <c r="S979" s="309">
        <v>12.7715</v>
      </c>
      <c r="T979" s="309">
        <v>11.2606</v>
      </c>
      <c r="U979" s="309">
        <v>13.9307</v>
      </c>
      <c r="V979" s="309">
        <v>13.5237</v>
      </c>
      <c r="W979" s="309">
        <v>10.154</v>
      </c>
      <c r="X979" s="309">
        <v>10.704499999999999</v>
      </c>
      <c r="Y979" s="309">
        <v>13.470800000000001</v>
      </c>
      <c r="Z979" s="309">
        <v>13.0671</v>
      </c>
      <c r="AA979" s="309">
        <v>11.5265</v>
      </c>
      <c r="AB979" s="309">
        <v>12.9742</v>
      </c>
      <c r="AC979" s="309">
        <v>13.159599999999999</v>
      </c>
      <c r="AD979" s="309">
        <v>12.3141</v>
      </c>
      <c r="AE979" s="309">
        <v>11.7026</v>
      </c>
      <c r="AF979" s="309">
        <v>8.7071000000000005</v>
      </c>
      <c r="AG979" s="309">
        <v>10.841699999999999</v>
      </c>
      <c r="AH979" s="309">
        <v>10.6836</v>
      </c>
      <c r="AI979" s="309">
        <v>10.316800000000001</v>
      </c>
      <c r="AJ979" s="309">
        <v>12.663399999999999</v>
      </c>
      <c r="AK979" s="309">
        <v>10.9526</v>
      </c>
      <c r="AL979" s="309">
        <v>8.9072999999999993</v>
      </c>
      <c r="AM979" s="309">
        <v>14.2393</v>
      </c>
      <c r="AN979" s="309">
        <v>14.3865</v>
      </c>
      <c r="AO979" s="309">
        <v>13.704000000000001</v>
      </c>
      <c r="AP979" s="309">
        <v>13.8626</v>
      </c>
      <c r="AQ979" s="309">
        <v>10.169700000000001</v>
      </c>
      <c r="AR979" s="309">
        <v>13.874000000000001</v>
      </c>
      <c r="AS979" s="309">
        <v>11.026</v>
      </c>
      <c r="AT979" s="309">
        <v>13.379</v>
      </c>
      <c r="AU979" s="309">
        <v>13.3401</v>
      </c>
      <c r="AV979" s="309">
        <v>14.9137</v>
      </c>
      <c r="AW979" s="309">
        <v>11.828200000000001</v>
      </c>
      <c r="AX979" s="309">
        <v>10.079800000000001</v>
      </c>
      <c r="AY979" s="309">
        <v>12.3241</v>
      </c>
      <c r="AZ979" s="309">
        <v>11.5631</v>
      </c>
      <c r="BA979" s="309">
        <v>11.3606</v>
      </c>
      <c r="BB979" s="309">
        <v>11.117100000000001</v>
      </c>
      <c r="BC979" s="309">
        <v>12.0989</v>
      </c>
      <c r="BD979" s="309">
        <v>12.356299999999999</v>
      </c>
      <c r="BE979" s="309">
        <v>14.6129</v>
      </c>
      <c r="BF979" s="309">
        <v>13.055099999999999</v>
      </c>
      <c r="BG979" s="309">
        <v>14.2956</v>
      </c>
      <c r="BH979" s="309">
        <v>14.6297</v>
      </c>
      <c r="BI979" s="309">
        <v>14.178800000000001</v>
      </c>
      <c r="BJ979" s="309">
        <v>13.631600000000001</v>
      </c>
      <c r="BK979" s="309">
        <v>12.5966</v>
      </c>
    </row>
    <row r="980" spans="1:63" x14ac:dyDescent="0.25">
      <c r="A980" s="306">
        <v>327390</v>
      </c>
      <c r="B980" s="309" t="s">
        <v>144</v>
      </c>
      <c r="C980" s="309">
        <v>19.6707</v>
      </c>
      <c r="D980" s="309">
        <v>11.9772</v>
      </c>
      <c r="E980" s="309">
        <v>16.122</v>
      </c>
      <c r="F980" s="309">
        <v>14.9788</v>
      </c>
      <c r="G980" s="309">
        <v>13.728999999999999</v>
      </c>
      <c r="H980" s="309">
        <v>13.585900000000001</v>
      </c>
      <c r="I980" s="309">
        <v>14.761799999999999</v>
      </c>
      <c r="J980" s="309">
        <v>10.701499999999999</v>
      </c>
      <c r="K980" s="309">
        <v>0</v>
      </c>
      <c r="L980" s="309">
        <v>10.923999999999999</v>
      </c>
      <c r="M980" s="309">
        <v>15.0464</v>
      </c>
      <c r="N980" s="309">
        <v>14.867100000000001</v>
      </c>
      <c r="O980" s="309">
        <v>11.354200000000001</v>
      </c>
      <c r="P980" s="309">
        <v>13.3287</v>
      </c>
      <c r="Q980" s="309">
        <v>14.1929</v>
      </c>
      <c r="R980" s="309">
        <v>14.328900000000001</v>
      </c>
      <c r="S980" s="309">
        <v>15.2765</v>
      </c>
      <c r="T980" s="309">
        <v>12.462899999999999</v>
      </c>
      <c r="U980" s="309">
        <v>15.681699999999999</v>
      </c>
      <c r="V980" s="309">
        <v>14.2187</v>
      </c>
      <c r="W980" s="309">
        <v>11.0303</v>
      </c>
      <c r="X980" s="309">
        <v>11.6615</v>
      </c>
      <c r="Y980" s="309">
        <v>14.722899999999999</v>
      </c>
      <c r="Z980" s="309">
        <v>14.438800000000001</v>
      </c>
      <c r="AA980" s="309">
        <v>13.435700000000001</v>
      </c>
      <c r="AB980" s="309">
        <v>15.995699999999999</v>
      </c>
      <c r="AC980" s="309">
        <v>13.7628</v>
      </c>
      <c r="AD980" s="309">
        <v>14.2692</v>
      </c>
      <c r="AE980" s="309">
        <v>15.3025</v>
      </c>
      <c r="AF980" s="309">
        <v>10.079800000000001</v>
      </c>
      <c r="AG980" s="309">
        <v>13.357799999999999</v>
      </c>
      <c r="AH980" s="309">
        <v>11.5578</v>
      </c>
      <c r="AI980" s="309">
        <v>12.3896</v>
      </c>
      <c r="AJ980" s="309">
        <v>14.223000000000001</v>
      </c>
      <c r="AK980" s="309">
        <v>12.2904</v>
      </c>
      <c r="AL980" s="309">
        <v>10.4016</v>
      </c>
      <c r="AM980" s="309">
        <v>16.4268</v>
      </c>
      <c r="AN980" s="309">
        <v>16.487100000000002</v>
      </c>
      <c r="AO980" s="309">
        <v>15.591200000000001</v>
      </c>
      <c r="AP980" s="309">
        <v>15.7599</v>
      </c>
      <c r="AQ980" s="309">
        <v>10.911799999999999</v>
      </c>
      <c r="AR980" s="309">
        <v>14.4702</v>
      </c>
      <c r="AS980" s="309">
        <v>11.6905</v>
      </c>
      <c r="AT980" s="309">
        <v>14.5121</v>
      </c>
      <c r="AU980" s="309">
        <v>15.9069</v>
      </c>
      <c r="AV980" s="309">
        <v>18.2013</v>
      </c>
      <c r="AW980" s="309">
        <v>12.8581</v>
      </c>
      <c r="AX980" s="309">
        <v>12.938000000000001</v>
      </c>
      <c r="AY980" s="309">
        <v>13.9435</v>
      </c>
      <c r="AZ980" s="309">
        <v>14.4496</v>
      </c>
      <c r="BA980" s="309">
        <v>12.7056</v>
      </c>
      <c r="BB980" s="309">
        <v>10.954700000000001</v>
      </c>
      <c r="BC980" s="309">
        <v>13.2872</v>
      </c>
      <c r="BD980" s="309">
        <v>14.2845</v>
      </c>
      <c r="BE980" s="309">
        <v>16.598400000000002</v>
      </c>
      <c r="BF980" s="309">
        <v>15.371600000000001</v>
      </c>
      <c r="BG980" s="309">
        <v>16.054099999999998</v>
      </c>
      <c r="BH980" s="309">
        <v>16.039100000000001</v>
      </c>
      <c r="BI980" s="309">
        <v>16.6934</v>
      </c>
      <c r="BJ980" s="309">
        <v>15.4361</v>
      </c>
      <c r="BK980" s="309">
        <v>14.3157</v>
      </c>
    </row>
    <row r="981" spans="1:63" x14ac:dyDescent="0.25">
      <c r="A981" s="306" t="s">
        <v>720</v>
      </c>
      <c r="B981" s="309" t="s">
        <v>145</v>
      </c>
      <c r="C981" s="309">
        <v>14.306699999999999</v>
      </c>
      <c r="D981" s="309">
        <v>0</v>
      </c>
      <c r="E981" s="309">
        <v>10.063000000000001</v>
      </c>
      <c r="F981" s="309">
        <v>9.5450999999999997</v>
      </c>
      <c r="G981" s="309">
        <v>8.7164999999999999</v>
      </c>
      <c r="H981" s="309">
        <v>8.7195999999999998</v>
      </c>
      <c r="I981" s="309">
        <v>9.2645999999999997</v>
      </c>
      <c r="J981" s="309">
        <v>6.1864999999999997</v>
      </c>
      <c r="K981" s="309">
        <v>0</v>
      </c>
      <c r="L981" s="309">
        <v>6.5168999999999997</v>
      </c>
      <c r="M981" s="309">
        <v>8.6615000000000002</v>
      </c>
      <c r="N981" s="309">
        <v>10.0741</v>
      </c>
      <c r="O981" s="309">
        <v>0</v>
      </c>
      <c r="P981" s="309">
        <v>6.9466999999999999</v>
      </c>
      <c r="Q981" s="309">
        <v>9.3374000000000006</v>
      </c>
      <c r="R981" s="309">
        <v>9.0707000000000004</v>
      </c>
      <c r="S981" s="309">
        <v>9.7910000000000004</v>
      </c>
      <c r="T981" s="309">
        <v>7.8845000000000001</v>
      </c>
      <c r="U981" s="309">
        <v>8.8277000000000001</v>
      </c>
      <c r="V981" s="309">
        <v>10.1587</v>
      </c>
      <c r="W981" s="309">
        <v>7.7092000000000001</v>
      </c>
      <c r="X981" s="309">
        <v>6.4344999999999999</v>
      </c>
      <c r="Y981" s="309">
        <v>0</v>
      </c>
      <c r="Z981" s="309">
        <v>10.1531</v>
      </c>
      <c r="AA981" s="309">
        <v>0</v>
      </c>
      <c r="AB981" s="309">
        <v>8.4395000000000007</v>
      </c>
      <c r="AC981" s="309">
        <v>9.8169000000000004</v>
      </c>
      <c r="AD981" s="309">
        <v>10.4071</v>
      </c>
      <c r="AE981" s="309">
        <v>10.5862</v>
      </c>
      <c r="AF981" s="309">
        <v>0</v>
      </c>
      <c r="AG981" s="309">
        <v>7.9302999999999999</v>
      </c>
      <c r="AH981" s="309">
        <v>6.5826000000000002</v>
      </c>
      <c r="AI981" s="309">
        <v>7.2537000000000003</v>
      </c>
      <c r="AJ981" s="309">
        <v>9.3101000000000003</v>
      </c>
      <c r="AK981" s="309">
        <v>7.5930999999999997</v>
      </c>
      <c r="AL981" s="309">
        <v>6.0483000000000002</v>
      </c>
      <c r="AM981" s="309">
        <v>11.0761</v>
      </c>
      <c r="AN981" s="309">
        <v>10.388999999999999</v>
      </c>
      <c r="AO981" s="309">
        <v>10.055899999999999</v>
      </c>
      <c r="AP981" s="309">
        <v>9.6044</v>
      </c>
      <c r="AQ981" s="309">
        <v>0</v>
      </c>
      <c r="AR981" s="309">
        <v>10.3399</v>
      </c>
      <c r="AS981" s="309">
        <v>5.8479000000000001</v>
      </c>
      <c r="AT981" s="309">
        <v>9.4275000000000002</v>
      </c>
      <c r="AU981" s="309">
        <v>11.269600000000001</v>
      </c>
      <c r="AV981" s="309">
        <v>11.529299999999999</v>
      </c>
      <c r="AW981" s="309">
        <v>8.6951000000000001</v>
      </c>
      <c r="AX981" s="309">
        <v>0</v>
      </c>
      <c r="AY981" s="309">
        <v>9.1638000000000002</v>
      </c>
      <c r="AZ981" s="309">
        <v>9.3637999999999995</v>
      </c>
      <c r="BA981" s="309">
        <v>8.0892999999999997</v>
      </c>
      <c r="BB981" s="309">
        <v>7.1266999999999996</v>
      </c>
      <c r="BC981" s="309">
        <v>8.2827000000000002</v>
      </c>
      <c r="BD981" s="309">
        <v>8.3665000000000003</v>
      </c>
      <c r="BE981" s="309">
        <v>10.9945</v>
      </c>
      <c r="BF981" s="309">
        <v>8.7768999999999995</v>
      </c>
      <c r="BG981" s="309">
        <v>10.806900000000001</v>
      </c>
      <c r="BH981" s="309">
        <v>10.4872</v>
      </c>
      <c r="BI981" s="309">
        <v>11.9217</v>
      </c>
      <c r="BJ981" s="309">
        <v>10.7037</v>
      </c>
      <c r="BK981" s="309">
        <v>9.5685000000000002</v>
      </c>
    </row>
    <row r="982" spans="1:63" x14ac:dyDescent="0.25">
      <c r="A982" s="306">
        <v>327910</v>
      </c>
      <c r="B982" s="309" t="s">
        <v>146</v>
      </c>
      <c r="C982" s="309">
        <v>14.9214</v>
      </c>
      <c r="D982" s="309">
        <v>0</v>
      </c>
      <c r="E982" s="309">
        <v>10.087400000000001</v>
      </c>
      <c r="F982" s="309">
        <v>9.9834999999999994</v>
      </c>
      <c r="G982" s="309">
        <v>9.3171999999999997</v>
      </c>
      <c r="H982" s="309">
        <v>11.058</v>
      </c>
      <c r="I982" s="309">
        <v>11.7235</v>
      </c>
      <c r="J982" s="309">
        <v>8.0366</v>
      </c>
      <c r="K982" s="309">
        <v>0</v>
      </c>
      <c r="L982" s="309">
        <v>0</v>
      </c>
      <c r="M982" s="309">
        <v>12.404999999999999</v>
      </c>
      <c r="N982" s="309">
        <v>13.376200000000001</v>
      </c>
      <c r="O982" s="309">
        <v>0</v>
      </c>
      <c r="P982" s="309">
        <v>8.7777999999999992</v>
      </c>
      <c r="Q982" s="309">
        <v>11.125500000000001</v>
      </c>
      <c r="R982" s="309">
        <v>11.217599999999999</v>
      </c>
      <c r="S982" s="309">
        <v>12.4872</v>
      </c>
      <c r="T982" s="309">
        <v>9.8459000000000003</v>
      </c>
      <c r="U982" s="309">
        <v>12.4686</v>
      </c>
      <c r="V982" s="309">
        <v>10.3269</v>
      </c>
      <c r="W982" s="309">
        <v>8.2283000000000008</v>
      </c>
      <c r="X982" s="309">
        <v>7.6637000000000004</v>
      </c>
      <c r="Y982" s="309">
        <v>0</v>
      </c>
      <c r="Z982" s="309">
        <v>11.646100000000001</v>
      </c>
      <c r="AA982" s="309">
        <v>10.6389</v>
      </c>
      <c r="AB982" s="309">
        <v>10.980700000000001</v>
      </c>
      <c r="AC982" s="309">
        <v>9.2840000000000007</v>
      </c>
      <c r="AD982" s="309">
        <v>0</v>
      </c>
      <c r="AE982" s="309">
        <v>13.152100000000001</v>
      </c>
      <c r="AF982" s="309">
        <v>0</v>
      </c>
      <c r="AG982" s="309">
        <v>0</v>
      </c>
      <c r="AH982" s="309">
        <v>8.2462999999999997</v>
      </c>
      <c r="AI982" s="309">
        <v>10.2659</v>
      </c>
      <c r="AJ982" s="309">
        <v>0</v>
      </c>
      <c r="AK982" s="309">
        <v>0</v>
      </c>
      <c r="AL982" s="309">
        <v>8.7051999999999996</v>
      </c>
      <c r="AM982" s="309">
        <v>13.2898</v>
      </c>
      <c r="AN982" s="309">
        <v>0</v>
      </c>
      <c r="AO982" s="309">
        <v>10.5778</v>
      </c>
      <c r="AP982" s="309">
        <v>11.5204</v>
      </c>
      <c r="AQ982" s="309">
        <v>7.556</v>
      </c>
      <c r="AR982" s="309">
        <v>12.9087</v>
      </c>
      <c r="AS982" s="309">
        <v>0</v>
      </c>
      <c r="AT982" s="309">
        <v>12.314299999999999</v>
      </c>
      <c r="AU982" s="309">
        <v>12.5611</v>
      </c>
      <c r="AV982" s="309">
        <v>11.915100000000001</v>
      </c>
      <c r="AW982" s="309">
        <v>10.7819</v>
      </c>
      <c r="AX982" s="309">
        <v>9.6320999999999994</v>
      </c>
      <c r="AY982" s="309">
        <v>10.9032</v>
      </c>
      <c r="AZ982" s="309">
        <v>11.533899999999999</v>
      </c>
      <c r="BA982" s="309">
        <v>0</v>
      </c>
      <c r="BB982" s="309">
        <v>0</v>
      </c>
      <c r="BC982" s="309">
        <v>9.7775999999999996</v>
      </c>
      <c r="BD982" s="309">
        <v>11.151899999999999</v>
      </c>
      <c r="BE982" s="309">
        <v>12.917199999999999</v>
      </c>
      <c r="BF982" s="309">
        <v>10.7287</v>
      </c>
      <c r="BG982" s="309">
        <v>13.2233</v>
      </c>
      <c r="BH982" s="309">
        <v>11.463100000000001</v>
      </c>
      <c r="BI982" s="309">
        <v>12.6944</v>
      </c>
      <c r="BJ982" s="309">
        <v>10.785600000000001</v>
      </c>
      <c r="BK982" s="309">
        <v>11.152799999999999</v>
      </c>
    </row>
    <row r="983" spans="1:63" x14ac:dyDescent="0.25">
      <c r="A983" s="306">
        <v>327991</v>
      </c>
      <c r="B983" s="309" t="s">
        <v>147</v>
      </c>
      <c r="C983" s="309">
        <v>23.851299999999998</v>
      </c>
      <c r="D983" s="309">
        <v>17.061800000000002</v>
      </c>
      <c r="E983" s="309">
        <v>19.985900000000001</v>
      </c>
      <c r="F983" s="309">
        <v>19.579499999999999</v>
      </c>
      <c r="G983" s="309">
        <v>19.1662</v>
      </c>
      <c r="H983" s="309">
        <v>17.453800000000001</v>
      </c>
      <c r="I983" s="309">
        <v>18.6569</v>
      </c>
      <c r="J983" s="309">
        <v>13.6637</v>
      </c>
      <c r="K983" s="309">
        <v>0</v>
      </c>
      <c r="L983" s="309">
        <v>12.606</v>
      </c>
      <c r="M983" s="309">
        <v>18.0822</v>
      </c>
      <c r="N983" s="309">
        <v>20.253799999999998</v>
      </c>
      <c r="O983" s="309">
        <v>16.4405</v>
      </c>
      <c r="P983" s="309">
        <v>16.467600000000001</v>
      </c>
      <c r="Q983" s="309">
        <v>19.496099999999998</v>
      </c>
      <c r="R983" s="309">
        <v>17.344799999999999</v>
      </c>
      <c r="S983" s="309">
        <v>17.241399999999999</v>
      </c>
      <c r="T983" s="309">
        <v>15.684799999999999</v>
      </c>
      <c r="U983" s="309">
        <v>18.8188</v>
      </c>
      <c r="V983" s="309">
        <v>19.6462</v>
      </c>
      <c r="W983" s="309">
        <v>13.7692</v>
      </c>
      <c r="X983" s="309">
        <v>14.3515</v>
      </c>
      <c r="Y983" s="309">
        <v>17.910499999999999</v>
      </c>
      <c r="Z983" s="309">
        <v>19.060199999999998</v>
      </c>
      <c r="AA983" s="309">
        <v>17.5688</v>
      </c>
      <c r="AB983" s="309">
        <v>18.4634</v>
      </c>
      <c r="AC983" s="309">
        <v>18.807200000000002</v>
      </c>
      <c r="AD983" s="309">
        <v>19.377700000000001</v>
      </c>
      <c r="AE983" s="309">
        <v>19.894600000000001</v>
      </c>
      <c r="AF983" s="309">
        <v>14.748200000000001</v>
      </c>
      <c r="AG983" s="309">
        <v>17.7866</v>
      </c>
      <c r="AH983" s="309">
        <v>13.803100000000001</v>
      </c>
      <c r="AI983" s="309">
        <v>14.9673</v>
      </c>
      <c r="AJ983" s="309">
        <v>17.9909</v>
      </c>
      <c r="AK983" s="309">
        <v>14.5413</v>
      </c>
      <c r="AL983" s="309">
        <v>13.8827</v>
      </c>
      <c r="AM983" s="309">
        <v>20.077300000000001</v>
      </c>
      <c r="AN983" s="309">
        <v>19.745200000000001</v>
      </c>
      <c r="AO983" s="309">
        <v>19.5639</v>
      </c>
      <c r="AP983" s="309">
        <v>19.492899999999999</v>
      </c>
      <c r="AQ983" s="309">
        <v>13.772600000000001</v>
      </c>
      <c r="AR983" s="309">
        <v>20.486699999999999</v>
      </c>
      <c r="AS983" s="309">
        <v>14.040900000000001</v>
      </c>
      <c r="AT983" s="309">
        <v>19.950099999999999</v>
      </c>
      <c r="AU983" s="309">
        <v>19.364100000000001</v>
      </c>
      <c r="AV983" s="309">
        <v>22.102599999999999</v>
      </c>
      <c r="AW983" s="309">
        <v>16.394200000000001</v>
      </c>
      <c r="AX983" s="309">
        <v>15.4254</v>
      </c>
      <c r="AY983" s="309">
        <v>17.677099999999999</v>
      </c>
      <c r="AZ983" s="309">
        <v>18.959700000000002</v>
      </c>
      <c r="BA983" s="309">
        <v>16.513400000000001</v>
      </c>
      <c r="BB983" s="309">
        <v>17.323399999999999</v>
      </c>
      <c r="BC983" s="309">
        <v>16.727</v>
      </c>
      <c r="BD983" s="309">
        <v>17.621099999999998</v>
      </c>
      <c r="BE983" s="309">
        <v>20.0946</v>
      </c>
      <c r="BF983" s="309">
        <v>18.592500000000001</v>
      </c>
      <c r="BG983" s="309">
        <v>20.677700000000002</v>
      </c>
      <c r="BH983" s="309">
        <v>20.821999999999999</v>
      </c>
      <c r="BI983" s="309">
        <v>20.4541</v>
      </c>
      <c r="BJ983" s="309">
        <v>19.5869</v>
      </c>
      <c r="BK983" s="309">
        <v>18.427</v>
      </c>
    </row>
    <row r="984" spans="1:63" x14ac:dyDescent="0.25">
      <c r="A984" s="306">
        <v>327992</v>
      </c>
      <c r="B984" s="309" t="s">
        <v>148</v>
      </c>
      <c r="C984" s="309">
        <v>11.803900000000001</v>
      </c>
      <c r="D984" s="309">
        <v>0</v>
      </c>
      <c r="E984" s="309">
        <v>9.1815999999999995</v>
      </c>
      <c r="F984" s="309">
        <v>7.7538</v>
      </c>
      <c r="G984" s="309">
        <v>9.7767999999999997</v>
      </c>
      <c r="H984" s="309">
        <v>8.2429000000000006</v>
      </c>
      <c r="I984" s="309">
        <v>10.5327</v>
      </c>
      <c r="J984" s="309">
        <v>0</v>
      </c>
      <c r="K984" s="309">
        <v>0</v>
      </c>
      <c r="L984" s="309">
        <v>0</v>
      </c>
      <c r="M984" s="309">
        <v>8.3223000000000003</v>
      </c>
      <c r="N984" s="309">
        <v>9.0936000000000003</v>
      </c>
      <c r="O984" s="309">
        <v>0</v>
      </c>
      <c r="P984" s="309">
        <v>0</v>
      </c>
      <c r="Q984" s="309">
        <v>0</v>
      </c>
      <c r="R984" s="309">
        <v>8.0831999999999997</v>
      </c>
      <c r="S984" s="309">
        <v>8.3295999999999992</v>
      </c>
      <c r="T984" s="309">
        <v>0</v>
      </c>
      <c r="U984" s="309">
        <v>9.0023</v>
      </c>
      <c r="V984" s="309">
        <v>8.1043000000000003</v>
      </c>
      <c r="W984" s="309">
        <v>6.6191000000000004</v>
      </c>
      <c r="X984" s="309">
        <v>0</v>
      </c>
      <c r="Y984" s="309">
        <v>9.5162999999999993</v>
      </c>
      <c r="Z984" s="309">
        <v>7.8813000000000004</v>
      </c>
      <c r="AA984" s="309">
        <v>7.5298999999999996</v>
      </c>
      <c r="AB984" s="309">
        <v>8.7636000000000003</v>
      </c>
      <c r="AC984" s="309">
        <v>0</v>
      </c>
      <c r="AD984" s="309">
        <v>0</v>
      </c>
      <c r="AE984" s="309">
        <v>8.8693000000000008</v>
      </c>
      <c r="AF984" s="309">
        <v>0</v>
      </c>
      <c r="AG984" s="309">
        <v>0</v>
      </c>
      <c r="AH984" s="309">
        <v>0</v>
      </c>
      <c r="AI984" s="309">
        <v>6.5358999999999998</v>
      </c>
      <c r="AJ984" s="309">
        <v>9.0684000000000005</v>
      </c>
      <c r="AK984" s="309">
        <v>8.8032000000000004</v>
      </c>
      <c r="AL984" s="309">
        <v>6.8285999999999998</v>
      </c>
      <c r="AM984" s="309">
        <v>9.3290000000000006</v>
      </c>
      <c r="AN984" s="309">
        <v>8.1125000000000007</v>
      </c>
      <c r="AO984" s="309">
        <v>10.1136</v>
      </c>
      <c r="AP984" s="309">
        <v>8.2378</v>
      </c>
      <c r="AQ984" s="309">
        <v>0</v>
      </c>
      <c r="AR984" s="309">
        <v>9.0450999999999997</v>
      </c>
      <c r="AS984" s="309">
        <v>0</v>
      </c>
      <c r="AT984" s="309">
        <v>9.9893999999999998</v>
      </c>
      <c r="AU984" s="309">
        <v>8.7596000000000007</v>
      </c>
      <c r="AV984" s="309">
        <v>0</v>
      </c>
      <c r="AW984" s="309">
        <v>8.5216999999999992</v>
      </c>
      <c r="AX984" s="309">
        <v>0</v>
      </c>
      <c r="AY984" s="309">
        <v>7.4343000000000004</v>
      </c>
      <c r="AZ984" s="309">
        <v>8.3952000000000009</v>
      </c>
      <c r="BA984" s="309">
        <v>0</v>
      </c>
      <c r="BB984" s="309">
        <v>7.7016999999999998</v>
      </c>
      <c r="BC984" s="309">
        <v>7.9829999999999997</v>
      </c>
      <c r="BD984" s="309">
        <v>7.8395000000000001</v>
      </c>
      <c r="BE984" s="309">
        <v>9.1501999999999999</v>
      </c>
      <c r="BF984" s="309">
        <v>8.5787999999999993</v>
      </c>
      <c r="BG984" s="309">
        <v>9.6166</v>
      </c>
      <c r="BH984" s="309">
        <v>10.1463</v>
      </c>
      <c r="BI984" s="309">
        <v>9.3780999999999999</v>
      </c>
      <c r="BJ984" s="309">
        <v>10.8232</v>
      </c>
      <c r="BK984" s="309">
        <v>8.1659000000000006</v>
      </c>
    </row>
    <row r="985" spans="1:63" x14ac:dyDescent="0.25">
      <c r="A985" s="306">
        <v>327993</v>
      </c>
      <c r="B985" s="309" t="s">
        <v>149</v>
      </c>
      <c r="C985" s="309">
        <v>14.729799999999999</v>
      </c>
      <c r="D985" s="309">
        <v>0</v>
      </c>
      <c r="E985" s="309">
        <v>11.610900000000001</v>
      </c>
      <c r="F985" s="309">
        <v>11.3949</v>
      </c>
      <c r="G985" s="309">
        <v>10.3865</v>
      </c>
      <c r="H985" s="309">
        <v>9.8529</v>
      </c>
      <c r="I985" s="309">
        <v>10.4977</v>
      </c>
      <c r="J985" s="309">
        <v>10.0434</v>
      </c>
      <c r="K985" s="309">
        <v>0</v>
      </c>
      <c r="L985" s="309">
        <v>0</v>
      </c>
      <c r="M985" s="309">
        <v>9.7291000000000007</v>
      </c>
      <c r="N985" s="309">
        <v>10.884399999999999</v>
      </c>
      <c r="O985" s="309">
        <v>9.6052</v>
      </c>
      <c r="P985" s="309">
        <v>9.9107000000000003</v>
      </c>
      <c r="Q985" s="309">
        <v>10.694900000000001</v>
      </c>
      <c r="R985" s="309">
        <v>10.542</v>
      </c>
      <c r="S985" s="309">
        <v>10.2041</v>
      </c>
      <c r="T985" s="309">
        <v>7.5395000000000003</v>
      </c>
      <c r="U985" s="309">
        <v>11.818099999999999</v>
      </c>
      <c r="V985" s="309">
        <v>11.392799999999999</v>
      </c>
      <c r="W985" s="309">
        <v>7.5666000000000002</v>
      </c>
      <c r="X985" s="309">
        <v>0</v>
      </c>
      <c r="Y985" s="309">
        <v>9.6963000000000008</v>
      </c>
      <c r="Z985" s="309">
        <v>11.2361</v>
      </c>
      <c r="AA985" s="309">
        <v>9.7123000000000008</v>
      </c>
      <c r="AB985" s="309">
        <v>10.0947</v>
      </c>
      <c r="AC985" s="309">
        <v>10.0502</v>
      </c>
      <c r="AD985" s="309">
        <v>0</v>
      </c>
      <c r="AE985" s="309">
        <v>12.308999999999999</v>
      </c>
      <c r="AF985" s="309">
        <v>7.2854000000000001</v>
      </c>
      <c r="AG985" s="309">
        <v>9.9222000000000001</v>
      </c>
      <c r="AH985" s="309">
        <v>0</v>
      </c>
      <c r="AI985" s="309">
        <v>8.7886000000000006</v>
      </c>
      <c r="AJ985" s="309">
        <v>11.191599999999999</v>
      </c>
      <c r="AK985" s="309">
        <v>8.5272000000000006</v>
      </c>
      <c r="AL985" s="309">
        <v>7.1036000000000001</v>
      </c>
      <c r="AM985" s="309">
        <v>11.130699999999999</v>
      </c>
      <c r="AN985" s="309">
        <v>12.616099999999999</v>
      </c>
      <c r="AO985" s="309">
        <v>10.3005</v>
      </c>
      <c r="AP985" s="309">
        <v>10.7248</v>
      </c>
      <c r="AQ985" s="309">
        <v>7.3400999999999996</v>
      </c>
      <c r="AR985" s="309">
        <v>10.7554</v>
      </c>
      <c r="AS985" s="309">
        <v>7.1757999999999997</v>
      </c>
      <c r="AT985" s="309">
        <v>12.0502</v>
      </c>
      <c r="AU985" s="309">
        <v>11.647</v>
      </c>
      <c r="AV985" s="309">
        <v>13.1713</v>
      </c>
      <c r="AW985" s="309">
        <v>9.5759000000000007</v>
      </c>
      <c r="AX985" s="309">
        <v>0</v>
      </c>
      <c r="AY985" s="309">
        <v>11.7537</v>
      </c>
      <c r="AZ985" s="309">
        <v>10.9566</v>
      </c>
      <c r="BA985" s="309">
        <v>9.4844000000000008</v>
      </c>
      <c r="BB985" s="309">
        <v>0</v>
      </c>
      <c r="BC985" s="309">
        <v>9.6240000000000006</v>
      </c>
      <c r="BD985" s="309">
        <v>9.7748000000000008</v>
      </c>
      <c r="BE985" s="309">
        <v>11.664099999999999</v>
      </c>
      <c r="BF985" s="309">
        <v>9.9809000000000001</v>
      </c>
      <c r="BG985" s="309">
        <v>11.728400000000001</v>
      </c>
      <c r="BH985" s="309">
        <v>12.4854</v>
      </c>
      <c r="BI985" s="309">
        <v>12.2295</v>
      </c>
      <c r="BJ985" s="309">
        <v>11.5877</v>
      </c>
      <c r="BK985" s="309">
        <v>10.3202</v>
      </c>
    </row>
    <row r="986" spans="1:63" x14ac:dyDescent="0.25">
      <c r="A986" s="306">
        <v>327999</v>
      </c>
      <c r="B986" s="309" t="s">
        <v>721</v>
      </c>
      <c r="C986" s="309">
        <v>16.990500000000001</v>
      </c>
      <c r="D986" s="309">
        <v>0</v>
      </c>
      <c r="E986" s="309">
        <v>13.6358</v>
      </c>
      <c r="F986" s="309">
        <v>11.4671</v>
      </c>
      <c r="G986" s="309">
        <v>12.5199</v>
      </c>
      <c r="H986" s="309">
        <v>11.6653</v>
      </c>
      <c r="I986" s="309">
        <v>13.6088</v>
      </c>
      <c r="J986" s="309">
        <v>8.1487999999999996</v>
      </c>
      <c r="K986" s="309">
        <v>2.0087999999999999</v>
      </c>
      <c r="L986" s="309">
        <v>7.1041999999999996</v>
      </c>
      <c r="M986" s="309">
        <v>12.232100000000001</v>
      </c>
      <c r="N986" s="309">
        <v>12.635300000000001</v>
      </c>
      <c r="O986" s="309">
        <v>8.4271999999999991</v>
      </c>
      <c r="P986" s="309">
        <v>10.822699999999999</v>
      </c>
      <c r="Q986" s="309">
        <v>11.508699999999999</v>
      </c>
      <c r="R986" s="309">
        <v>11.746600000000001</v>
      </c>
      <c r="S986" s="309">
        <v>12.694900000000001</v>
      </c>
      <c r="T986" s="309">
        <v>10.386799999999999</v>
      </c>
      <c r="U986" s="309">
        <v>13.4057</v>
      </c>
      <c r="V986" s="309">
        <v>11.9137</v>
      </c>
      <c r="W986" s="309">
        <v>9.2201000000000004</v>
      </c>
      <c r="X986" s="309">
        <v>9.1044999999999998</v>
      </c>
      <c r="Y986" s="309">
        <v>13.268800000000001</v>
      </c>
      <c r="Z986" s="309">
        <v>12.7628</v>
      </c>
      <c r="AA986" s="309">
        <v>11.0351</v>
      </c>
      <c r="AB986" s="309">
        <v>11.9939</v>
      </c>
      <c r="AC986" s="309">
        <v>0</v>
      </c>
      <c r="AD986" s="309">
        <v>10.370799999999999</v>
      </c>
      <c r="AE986" s="309">
        <v>12.783899999999999</v>
      </c>
      <c r="AF986" s="309">
        <v>0</v>
      </c>
      <c r="AG986" s="309">
        <v>10.1967</v>
      </c>
      <c r="AH986" s="309">
        <v>8.5592000000000006</v>
      </c>
      <c r="AI986" s="309">
        <v>9.3757999999999999</v>
      </c>
      <c r="AJ986" s="309">
        <v>11.4063</v>
      </c>
      <c r="AK986" s="309">
        <v>10.978</v>
      </c>
      <c r="AL986" s="309">
        <v>8.0652000000000008</v>
      </c>
      <c r="AM986" s="309">
        <v>12.4444</v>
      </c>
      <c r="AN986" s="309">
        <v>12.372400000000001</v>
      </c>
      <c r="AO986" s="309">
        <v>12.1319</v>
      </c>
      <c r="AP986" s="309">
        <v>12.462999999999999</v>
      </c>
      <c r="AQ986" s="309">
        <v>8.3336000000000006</v>
      </c>
      <c r="AR986" s="309">
        <v>12.3451</v>
      </c>
      <c r="AS986" s="309">
        <v>10.482699999999999</v>
      </c>
      <c r="AT986" s="309">
        <v>13.6722</v>
      </c>
      <c r="AU986" s="309">
        <v>14.4094</v>
      </c>
      <c r="AV986" s="309">
        <v>13.6919</v>
      </c>
      <c r="AW986" s="309">
        <v>11.807600000000001</v>
      </c>
      <c r="AX986" s="309">
        <v>9.2363</v>
      </c>
      <c r="AY986" s="309">
        <v>12.1669</v>
      </c>
      <c r="AZ986" s="309">
        <v>11.9475</v>
      </c>
      <c r="BA986" s="309">
        <v>9.1685999999999996</v>
      </c>
      <c r="BB986" s="309">
        <v>0</v>
      </c>
      <c r="BC986" s="309">
        <v>10.374599999999999</v>
      </c>
      <c r="BD986" s="309">
        <v>11.1486</v>
      </c>
      <c r="BE986" s="309">
        <v>13.6363</v>
      </c>
      <c r="BF986" s="309">
        <v>12.386200000000001</v>
      </c>
      <c r="BG986" s="309">
        <v>13.5626</v>
      </c>
      <c r="BH986" s="309">
        <v>14.6267</v>
      </c>
      <c r="BI986" s="309">
        <v>14.660299999999999</v>
      </c>
      <c r="BJ986" s="309">
        <v>13.0227</v>
      </c>
      <c r="BK986" s="309">
        <v>12.1488</v>
      </c>
    </row>
    <row r="987" spans="1:63" x14ac:dyDescent="0.25">
      <c r="A987" s="306">
        <v>331110</v>
      </c>
      <c r="B987" s="309" t="s">
        <v>150</v>
      </c>
      <c r="C987" s="309">
        <v>14.382300000000001</v>
      </c>
      <c r="D987" s="309">
        <v>4.9212999999999996</v>
      </c>
      <c r="E987" s="309">
        <v>10.142799999999999</v>
      </c>
      <c r="F987" s="309">
        <v>8.1051000000000002</v>
      </c>
      <c r="G987" s="309">
        <v>9.4159000000000006</v>
      </c>
      <c r="H987" s="309">
        <v>8.5361999999999991</v>
      </c>
      <c r="I987" s="309">
        <v>9.2554999999999996</v>
      </c>
      <c r="J987" s="309">
        <v>6.7957999999999998</v>
      </c>
      <c r="K987" s="309">
        <v>1.1707000000000001</v>
      </c>
      <c r="L987" s="309">
        <v>5.0514000000000001</v>
      </c>
      <c r="M987" s="309">
        <v>8.8299000000000003</v>
      </c>
      <c r="N987" s="309">
        <v>9.0352999999999994</v>
      </c>
      <c r="O987" s="309">
        <v>4.5650000000000004</v>
      </c>
      <c r="P987" s="309">
        <v>6.7225999999999999</v>
      </c>
      <c r="Q987" s="309">
        <v>8.1127000000000002</v>
      </c>
      <c r="R987" s="309">
        <v>9.8081999999999994</v>
      </c>
      <c r="S987" s="309">
        <v>9.4946000000000002</v>
      </c>
      <c r="T987" s="309">
        <v>7.5488</v>
      </c>
      <c r="U987" s="309">
        <v>9.8773999999999997</v>
      </c>
      <c r="V987" s="309">
        <v>7.8262999999999998</v>
      </c>
      <c r="W987" s="309">
        <v>7.9379999999999997</v>
      </c>
      <c r="X987" s="309">
        <v>7.1421999999999999</v>
      </c>
      <c r="Y987" s="309">
        <v>0</v>
      </c>
      <c r="Z987" s="309">
        <v>10.3171</v>
      </c>
      <c r="AA987" s="309">
        <v>8.7095000000000002</v>
      </c>
      <c r="AB987" s="309">
        <v>9.4492999999999991</v>
      </c>
      <c r="AC987" s="309">
        <v>8.1379999999999999</v>
      </c>
      <c r="AD987" s="309">
        <v>8.3505000000000003</v>
      </c>
      <c r="AE987" s="309">
        <v>8.9876000000000005</v>
      </c>
      <c r="AF987" s="309">
        <v>6.9824999999999999</v>
      </c>
      <c r="AG987" s="309">
        <v>6.2092999999999998</v>
      </c>
      <c r="AH987" s="309">
        <v>6.5190999999999999</v>
      </c>
      <c r="AI987" s="309">
        <v>7.3151000000000002</v>
      </c>
      <c r="AJ987" s="309">
        <v>7.3150000000000004</v>
      </c>
      <c r="AK987" s="309">
        <v>0</v>
      </c>
      <c r="AL987" s="309">
        <v>6.3712999999999997</v>
      </c>
      <c r="AM987" s="309">
        <v>10.714399999999999</v>
      </c>
      <c r="AN987" s="309">
        <v>10.5113</v>
      </c>
      <c r="AO987" s="309">
        <v>8.6006</v>
      </c>
      <c r="AP987" s="309">
        <v>10.4422</v>
      </c>
      <c r="AQ987" s="309">
        <v>6.5541</v>
      </c>
      <c r="AR987" s="309">
        <v>10.2156</v>
      </c>
      <c r="AS987" s="309">
        <v>0</v>
      </c>
      <c r="AT987" s="309">
        <v>10.459099999999999</v>
      </c>
      <c r="AU987" s="309">
        <v>10.3979</v>
      </c>
      <c r="AV987" s="309">
        <v>10.7202</v>
      </c>
      <c r="AW987" s="309">
        <v>8.1623999999999999</v>
      </c>
      <c r="AX987" s="309">
        <v>7.3468</v>
      </c>
      <c r="AY987" s="309">
        <v>9.0111000000000008</v>
      </c>
      <c r="AZ987" s="309">
        <v>9.2148000000000003</v>
      </c>
      <c r="BA987" s="309">
        <v>7.5757000000000003</v>
      </c>
      <c r="BB987" s="309">
        <v>0</v>
      </c>
      <c r="BC987" s="309">
        <v>8.5266000000000002</v>
      </c>
      <c r="BD987" s="309">
        <v>9.1380999999999997</v>
      </c>
      <c r="BE987" s="309">
        <v>11.47</v>
      </c>
      <c r="BF987" s="309">
        <v>9.1845999999999997</v>
      </c>
      <c r="BG987" s="309">
        <v>10.157</v>
      </c>
      <c r="BH987" s="309">
        <v>10.8919</v>
      </c>
      <c r="BI987" s="309">
        <v>10.9542</v>
      </c>
      <c r="BJ987" s="309">
        <v>9.3535000000000004</v>
      </c>
      <c r="BK987" s="309">
        <v>8.8394999999999992</v>
      </c>
    </row>
    <row r="988" spans="1:63" x14ac:dyDescent="0.25">
      <c r="A988" s="306">
        <v>331200</v>
      </c>
      <c r="B988" s="309" t="s">
        <v>151</v>
      </c>
      <c r="C988" s="309">
        <v>16.0274</v>
      </c>
      <c r="D988" s="309">
        <v>4.8772000000000002</v>
      </c>
      <c r="E988" s="309">
        <v>11.800800000000001</v>
      </c>
      <c r="F988" s="309">
        <v>10.230499999999999</v>
      </c>
      <c r="G988" s="309">
        <v>8.8673000000000002</v>
      </c>
      <c r="H988" s="309">
        <v>8.5152999999999999</v>
      </c>
      <c r="I988" s="309">
        <v>10.07</v>
      </c>
      <c r="J988" s="309">
        <v>7.6520000000000001</v>
      </c>
      <c r="K988" s="309">
        <v>0</v>
      </c>
      <c r="L988" s="309">
        <v>6.2272999999999996</v>
      </c>
      <c r="M988" s="309">
        <v>8.5145999999999997</v>
      </c>
      <c r="N988" s="309">
        <v>9.7683</v>
      </c>
      <c r="O988" s="309">
        <v>4.4595000000000002</v>
      </c>
      <c r="P988" s="309">
        <v>7.9748000000000001</v>
      </c>
      <c r="Q988" s="309">
        <v>8.4481999999999999</v>
      </c>
      <c r="R988" s="309">
        <v>11.571</v>
      </c>
      <c r="S988" s="309">
        <v>11.5138</v>
      </c>
      <c r="T988" s="309">
        <v>6.9748999999999999</v>
      </c>
      <c r="U988" s="309">
        <v>11.0357</v>
      </c>
      <c r="V988" s="309">
        <v>9.2617999999999991</v>
      </c>
      <c r="W988" s="309">
        <v>6.6096000000000004</v>
      </c>
      <c r="X988" s="309">
        <v>8.8870000000000005</v>
      </c>
      <c r="Y988" s="309">
        <v>8.7845999999999993</v>
      </c>
      <c r="Z988" s="309">
        <v>11.839600000000001</v>
      </c>
      <c r="AA988" s="309">
        <v>9.4946999999999999</v>
      </c>
      <c r="AB988" s="309">
        <v>9.9275000000000002</v>
      </c>
      <c r="AC988" s="309">
        <v>11.25</v>
      </c>
      <c r="AD988" s="309">
        <v>8.9812999999999992</v>
      </c>
      <c r="AE988" s="309">
        <v>11.023899999999999</v>
      </c>
      <c r="AF988" s="309">
        <v>0</v>
      </c>
      <c r="AG988" s="309">
        <v>8.7689000000000004</v>
      </c>
      <c r="AH988" s="309">
        <v>8.9268000000000001</v>
      </c>
      <c r="AI988" s="309">
        <v>7.7973999999999997</v>
      </c>
      <c r="AJ988" s="309">
        <v>0</v>
      </c>
      <c r="AK988" s="309">
        <v>7.8109999999999999</v>
      </c>
      <c r="AL988" s="309">
        <v>6.3817000000000004</v>
      </c>
      <c r="AM988" s="309">
        <v>12.579700000000001</v>
      </c>
      <c r="AN988" s="309">
        <v>12.207700000000001</v>
      </c>
      <c r="AO988" s="309">
        <v>9.8234999999999992</v>
      </c>
      <c r="AP988" s="309">
        <v>12.4876</v>
      </c>
      <c r="AQ988" s="309">
        <v>7.2203999999999997</v>
      </c>
      <c r="AR988" s="309">
        <v>11.647500000000001</v>
      </c>
      <c r="AS988" s="309">
        <v>7.7431999999999999</v>
      </c>
      <c r="AT988" s="309">
        <v>11.9595</v>
      </c>
      <c r="AU988" s="309">
        <v>11.760999999999999</v>
      </c>
      <c r="AV988" s="309">
        <v>14.2173</v>
      </c>
      <c r="AW988" s="309">
        <v>8.9008000000000003</v>
      </c>
      <c r="AX988" s="309">
        <v>6.7126999999999999</v>
      </c>
      <c r="AY988" s="309">
        <v>7.5282</v>
      </c>
      <c r="AZ988" s="309">
        <v>9.8699999999999992</v>
      </c>
      <c r="BA988" s="309">
        <v>8.2231000000000005</v>
      </c>
      <c r="BB988" s="309">
        <v>0</v>
      </c>
      <c r="BC988" s="309">
        <v>8.8292000000000002</v>
      </c>
      <c r="BD988" s="309">
        <v>11.1257</v>
      </c>
      <c r="BE988" s="309">
        <v>13.1785</v>
      </c>
      <c r="BF988" s="309">
        <v>9.8260000000000005</v>
      </c>
      <c r="BG988" s="309">
        <v>10.8566</v>
      </c>
      <c r="BH988" s="309">
        <v>12.7501</v>
      </c>
      <c r="BI988" s="309">
        <v>12.984299999999999</v>
      </c>
      <c r="BJ988" s="309">
        <v>10.3529</v>
      </c>
      <c r="BK988" s="309">
        <v>8.8705999999999996</v>
      </c>
    </row>
    <row r="989" spans="1:63" x14ac:dyDescent="0.25">
      <c r="A989" s="306">
        <v>331314</v>
      </c>
      <c r="B989" s="309" t="s">
        <v>153</v>
      </c>
      <c r="C989" s="309">
        <v>13.743600000000001</v>
      </c>
      <c r="D989" s="309">
        <v>0</v>
      </c>
      <c r="E989" s="309">
        <v>9.9678000000000004</v>
      </c>
      <c r="F989" s="309">
        <v>9.2170000000000005</v>
      </c>
      <c r="G989" s="309">
        <v>0</v>
      </c>
      <c r="H989" s="309">
        <v>7.7845000000000004</v>
      </c>
      <c r="I989" s="309">
        <v>0</v>
      </c>
      <c r="J989" s="309">
        <v>0</v>
      </c>
      <c r="K989" s="309">
        <v>0</v>
      </c>
      <c r="L989" s="309">
        <v>0</v>
      </c>
      <c r="M989" s="309">
        <v>9.6084999999999994</v>
      </c>
      <c r="N989" s="309">
        <v>8.9646000000000008</v>
      </c>
      <c r="O989" s="309">
        <v>0</v>
      </c>
      <c r="P989" s="309">
        <v>7.7697000000000003</v>
      </c>
      <c r="Q989" s="309">
        <v>7.3743999999999996</v>
      </c>
      <c r="R989" s="309">
        <v>8.6969999999999992</v>
      </c>
      <c r="S989" s="309">
        <v>10.123900000000001</v>
      </c>
      <c r="T989" s="309">
        <v>7.9936999999999996</v>
      </c>
      <c r="U989" s="309">
        <v>9.5093999999999994</v>
      </c>
      <c r="V989" s="309">
        <v>9.0276999999999994</v>
      </c>
      <c r="W989" s="309">
        <v>6.8411999999999997</v>
      </c>
      <c r="X989" s="309">
        <v>6.8625999999999996</v>
      </c>
      <c r="Y989" s="309">
        <v>0</v>
      </c>
      <c r="Z989" s="309">
        <v>9.6496999999999993</v>
      </c>
      <c r="AA989" s="309">
        <v>7.9740000000000002</v>
      </c>
      <c r="AB989" s="309">
        <v>8.9818999999999996</v>
      </c>
      <c r="AC989" s="309">
        <v>0</v>
      </c>
      <c r="AD989" s="309">
        <v>0</v>
      </c>
      <c r="AE989" s="309">
        <v>9.8169000000000004</v>
      </c>
      <c r="AF989" s="309">
        <v>0</v>
      </c>
      <c r="AG989" s="309">
        <v>0</v>
      </c>
      <c r="AH989" s="309">
        <v>0</v>
      </c>
      <c r="AI989" s="309">
        <v>6.4090999999999996</v>
      </c>
      <c r="AJ989" s="309">
        <v>0</v>
      </c>
      <c r="AK989" s="309">
        <v>0</v>
      </c>
      <c r="AL989" s="309">
        <v>6.3693</v>
      </c>
      <c r="AM989" s="309">
        <v>11.5138</v>
      </c>
      <c r="AN989" s="309">
        <v>9.6091999999999995</v>
      </c>
      <c r="AO989" s="309">
        <v>8.2478999999999996</v>
      </c>
      <c r="AP989" s="309">
        <v>9.1903000000000006</v>
      </c>
      <c r="AQ989" s="309">
        <v>0</v>
      </c>
      <c r="AR989" s="309">
        <v>11.3842</v>
      </c>
      <c r="AS989" s="309">
        <v>0</v>
      </c>
      <c r="AT989" s="309">
        <v>10.309699999999999</v>
      </c>
      <c r="AU989" s="309">
        <v>10.9459</v>
      </c>
      <c r="AV989" s="309">
        <v>0</v>
      </c>
      <c r="AW989" s="309">
        <v>0</v>
      </c>
      <c r="AX989" s="309">
        <v>0</v>
      </c>
      <c r="AY989" s="309">
        <v>7.3472</v>
      </c>
      <c r="AZ989" s="309">
        <v>8.9893999999999998</v>
      </c>
      <c r="BA989" s="309">
        <v>0</v>
      </c>
      <c r="BB989" s="309">
        <v>0</v>
      </c>
      <c r="BC989" s="309">
        <v>8.2202000000000002</v>
      </c>
      <c r="BD989" s="309">
        <v>8.5007999999999999</v>
      </c>
      <c r="BE989" s="309">
        <v>11.4655</v>
      </c>
      <c r="BF989" s="309">
        <v>8.9590999999999994</v>
      </c>
      <c r="BG989" s="309">
        <v>10.4261</v>
      </c>
      <c r="BH989" s="309">
        <v>11.085100000000001</v>
      </c>
      <c r="BI989" s="309">
        <v>11.4313</v>
      </c>
      <c r="BJ989" s="309">
        <v>9.6678999999999995</v>
      </c>
      <c r="BK989" s="309">
        <v>8.4415999999999993</v>
      </c>
    </row>
    <row r="990" spans="1:63" x14ac:dyDescent="0.25">
      <c r="A990" s="306" t="s">
        <v>722</v>
      </c>
      <c r="B990" s="309" t="s">
        <v>152</v>
      </c>
      <c r="C990" s="309">
        <v>13.324400000000001</v>
      </c>
      <c r="D990" s="309">
        <v>0</v>
      </c>
      <c r="E990" s="309">
        <v>11.137600000000001</v>
      </c>
      <c r="F990" s="309">
        <v>8.7448999999999995</v>
      </c>
      <c r="G990" s="309">
        <v>8.1866000000000003</v>
      </c>
      <c r="H990" s="309">
        <v>8.2880000000000003</v>
      </c>
      <c r="I990" s="309">
        <v>0</v>
      </c>
      <c r="J990" s="309">
        <v>0</v>
      </c>
      <c r="K990" s="309">
        <v>0</v>
      </c>
      <c r="L990" s="309">
        <v>0</v>
      </c>
      <c r="M990" s="309">
        <v>9.3472000000000008</v>
      </c>
      <c r="N990" s="309">
        <v>8.4731000000000005</v>
      </c>
      <c r="O990" s="309">
        <v>0</v>
      </c>
      <c r="P990" s="309">
        <v>0</v>
      </c>
      <c r="Q990" s="309">
        <v>5.5232000000000001</v>
      </c>
      <c r="R990" s="309">
        <v>8.9649999999999999</v>
      </c>
      <c r="S990" s="309">
        <v>8.7962000000000007</v>
      </c>
      <c r="T990" s="309">
        <v>0</v>
      </c>
      <c r="U990" s="309">
        <v>9.2746999999999993</v>
      </c>
      <c r="V990" s="309">
        <v>8.3930000000000007</v>
      </c>
      <c r="W990" s="309">
        <v>7.6220999999999997</v>
      </c>
      <c r="X990" s="309">
        <v>5.8525</v>
      </c>
      <c r="Y990" s="309">
        <v>0</v>
      </c>
      <c r="Z990" s="309">
        <v>0</v>
      </c>
      <c r="AA990" s="309">
        <v>9.7288999999999994</v>
      </c>
      <c r="AB990" s="309">
        <v>8.6806999999999999</v>
      </c>
      <c r="AC990" s="309">
        <v>0</v>
      </c>
      <c r="AD990" s="309">
        <v>7.3769999999999998</v>
      </c>
      <c r="AE990" s="309">
        <v>8.1214999999999993</v>
      </c>
      <c r="AF990" s="309">
        <v>0</v>
      </c>
      <c r="AG990" s="309">
        <v>0</v>
      </c>
      <c r="AH990" s="309">
        <v>8.3794000000000004</v>
      </c>
      <c r="AI990" s="309">
        <v>8.1957000000000004</v>
      </c>
      <c r="AJ990" s="309">
        <v>0</v>
      </c>
      <c r="AK990" s="309">
        <v>0</v>
      </c>
      <c r="AL990" s="309">
        <v>6.1353999999999997</v>
      </c>
      <c r="AM990" s="309">
        <v>10.8918</v>
      </c>
      <c r="AN990" s="309">
        <v>10.597300000000001</v>
      </c>
      <c r="AO990" s="309">
        <v>7.4531999999999998</v>
      </c>
      <c r="AP990" s="309">
        <v>9.5846999999999998</v>
      </c>
      <c r="AQ990" s="309">
        <v>0</v>
      </c>
      <c r="AR990" s="309">
        <v>9.3186</v>
      </c>
      <c r="AS990" s="309">
        <v>0</v>
      </c>
      <c r="AT990" s="309">
        <v>8.9322999999999997</v>
      </c>
      <c r="AU990" s="309">
        <v>9.7642000000000007</v>
      </c>
      <c r="AV990" s="309">
        <v>0</v>
      </c>
      <c r="AW990" s="309">
        <v>0</v>
      </c>
      <c r="AX990" s="309">
        <v>0</v>
      </c>
      <c r="AY990" s="309">
        <v>7.7150999999999996</v>
      </c>
      <c r="AZ990" s="309">
        <v>0</v>
      </c>
      <c r="BA990" s="309">
        <v>7.2434000000000003</v>
      </c>
      <c r="BB990" s="309">
        <v>0</v>
      </c>
      <c r="BC990" s="309">
        <v>9.1074999999999999</v>
      </c>
      <c r="BD990" s="309">
        <v>8.4908999999999999</v>
      </c>
      <c r="BE990" s="309">
        <v>10.7361</v>
      </c>
      <c r="BF990" s="309">
        <v>8.5648999999999997</v>
      </c>
      <c r="BG990" s="309">
        <v>9.6001999999999992</v>
      </c>
      <c r="BH990" s="309">
        <v>10.2128</v>
      </c>
      <c r="BI990" s="309">
        <v>10.5352</v>
      </c>
      <c r="BJ990" s="309">
        <v>9.3140999999999998</v>
      </c>
      <c r="BK990" s="309">
        <v>8.5517000000000003</v>
      </c>
    </row>
    <row r="991" spans="1:63" x14ac:dyDescent="0.25">
      <c r="A991" s="306" t="s">
        <v>723</v>
      </c>
      <c r="B991" s="309" t="s">
        <v>154</v>
      </c>
      <c r="C991" s="309">
        <v>13.483700000000001</v>
      </c>
      <c r="D991" s="309">
        <v>0</v>
      </c>
      <c r="E991" s="309">
        <v>9.0931999999999995</v>
      </c>
      <c r="F991" s="309">
        <v>8.6699000000000002</v>
      </c>
      <c r="G991" s="309">
        <v>7.9725000000000001</v>
      </c>
      <c r="H991" s="309">
        <v>7.8646000000000003</v>
      </c>
      <c r="I991" s="309">
        <v>6.9414999999999996</v>
      </c>
      <c r="J991" s="309">
        <v>5.8724999999999996</v>
      </c>
      <c r="K991" s="309">
        <v>0</v>
      </c>
      <c r="L991" s="309">
        <v>0</v>
      </c>
      <c r="M991" s="309">
        <v>8.3552999999999997</v>
      </c>
      <c r="N991" s="309">
        <v>8.3839000000000006</v>
      </c>
      <c r="O991" s="309">
        <v>0</v>
      </c>
      <c r="P991" s="309">
        <v>5.4782999999999999</v>
      </c>
      <c r="Q991" s="309">
        <v>0</v>
      </c>
      <c r="R991" s="309">
        <v>8.0456000000000003</v>
      </c>
      <c r="S991" s="309">
        <v>9.6125000000000007</v>
      </c>
      <c r="T991" s="309">
        <v>6.4532999999999996</v>
      </c>
      <c r="U991" s="309">
        <v>8.9093</v>
      </c>
      <c r="V991" s="309">
        <v>9.0036000000000005</v>
      </c>
      <c r="W991" s="309">
        <v>5.8164999999999996</v>
      </c>
      <c r="X991" s="309">
        <v>6.1455000000000002</v>
      </c>
      <c r="Y991" s="309">
        <v>0</v>
      </c>
      <c r="Z991" s="309">
        <v>9.1613000000000007</v>
      </c>
      <c r="AA991" s="309">
        <v>8.1577999999999999</v>
      </c>
      <c r="AB991" s="309">
        <v>9.2421000000000006</v>
      </c>
      <c r="AC991" s="309">
        <v>7.827</v>
      </c>
      <c r="AD991" s="309">
        <v>0</v>
      </c>
      <c r="AE991" s="309">
        <v>7.7702</v>
      </c>
      <c r="AF991" s="309">
        <v>0</v>
      </c>
      <c r="AG991" s="309">
        <v>0</v>
      </c>
      <c r="AH991" s="309">
        <v>7.2069999999999999</v>
      </c>
      <c r="AI991" s="309">
        <v>6.8156999999999996</v>
      </c>
      <c r="AJ991" s="309">
        <v>0</v>
      </c>
      <c r="AK991" s="309">
        <v>4.8337000000000003</v>
      </c>
      <c r="AL991" s="309">
        <v>5.8226000000000004</v>
      </c>
      <c r="AM991" s="309">
        <v>11.2921</v>
      </c>
      <c r="AN991" s="309">
        <v>8.2988</v>
      </c>
      <c r="AO991" s="309">
        <v>8.4426000000000005</v>
      </c>
      <c r="AP991" s="309">
        <v>9.2553000000000001</v>
      </c>
      <c r="AQ991" s="309">
        <v>0</v>
      </c>
      <c r="AR991" s="309">
        <v>9.6648999999999994</v>
      </c>
      <c r="AS991" s="309">
        <v>6.6622000000000003</v>
      </c>
      <c r="AT991" s="309">
        <v>8.9570000000000007</v>
      </c>
      <c r="AU991" s="309">
        <v>10.357200000000001</v>
      </c>
      <c r="AV991" s="309">
        <v>9.2794000000000008</v>
      </c>
      <c r="AW991" s="309">
        <v>6.9993999999999996</v>
      </c>
      <c r="AX991" s="309">
        <v>0</v>
      </c>
      <c r="AY991" s="309">
        <v>7.6512000000000002</v>
      </c>
      <c r="AZ991" s="309">
        <v>8.7085000000000008</v>
      </c>
      <c r="BA991" s="309">
        <v>6.2572999999999999</v>
      </c>
      <c r="BB991" s="309">
        <v>0</v>
      </c>
      <c r="BC991" s="309">
        <v>7.1551</v>
      </c>
      <c r="BD991" s="309">
        <v>8.4209999999999994</v>
      </c>
      <c r="BE991" s="309">
        <v>11.2714</v>
      </c>
      <c r="BF991" s="309">
        <v>8.8039000000000005</v>
      </c>
      <c r="BG991" s="309">
        <v>9.0352999999999994</v>
      </c>
      <c r="BH991" s="309">
        <v>10.058400000000001</v>
      </c>
      <c r="BI991" s="309">
        <v>11.303599999999999</v>
      </c>
      <c r="BJ991" s="309">
        <v>8.1212999999999997</v>
      </c>
      <c r="BK991" s="309">
        <v>8.5391999999999992</v>
      </c>
    </row>
    <row r="992" spans="1:63" x14ac:dyDescent="0.25">
      <c r="A992" s="306">
        <v>331411</v>
      </c>
      <c r="B992" s="309" t="s">
        <v>155</v>
      </c>
      <c r="C992" s="309">
        <v>10.527799999999999</v>
      </c>
      <c r="D992" s="309">
        <v>0</v>
      </c>
      <c r="E992" s="309">
        <v>0</v>
      </c>
      <c r="F992" s="309">
        <v>0</v>
      </c>
      <c r="G992" s="309">
        <v>6.9142999999999999</v>
      </c>
      <c r="H992" s="309">
        <v>0</v>
      </c>
      <c r="I992" s="309">
        <v>0</v>
      </c>
      <c r="J992" s="309">
        <v>0</v>
      </c>
      <c r="K992" s="309">
        <v>0</v>
      </c>
      <c r="L992" s="309">
        <v>0</v>
      </c>
      <c r="M992" s="309">
        <v>0</v>
      </c>
      <c r="N992" s="309">
        <v>0</v>
      </c>
      <c r="O992" s="309">
        <v>0</v>
      </c>
      <c r="P992" s="309">
        <v>0</v>
      </c>
      <c r="Q992" s="309">
        <v>0</v>
      </c>
      <c r="R992" s="309">
        <v>0</v>
      </c>
      <c r="S992" s="309">
        <v>0</v>
      </c>
      <c r="T992" s="309">
        <v>0</v>
      </c>
      <c r="U992" s="309">
        <v>0</v>
      </c>
      <c r="V992" s="309">
        <v>0</v>
      </c>
      <c r="W992" s="309">
        <v>0</v>
      </c>
      <c r="X992" s="309">
        <v>0</v>
      </c>
      <c r="Y992" s="309">
        <v>0</v>
      </c>
      <c r="Z992" s="309">
        <v>6.6718999999999999</v>
      </c>
      <c r="AA992" s="309">
        <v>0</v>
      </c>
      <c r="AB992" s="309">
        <v>0</v>
      </c>
      <c r="AC992" s="309">
        <v>0</v>
      </c>
      <c r="AD992" s="309">
        <v>0</v>
      </c>
      <c r="AE992" s="309">
        <v>0</v>
      </c>
      <c r="AF992" s="309">
        <v>0</v>
      </c>
      <c r="AG992" s="309">
        <v>0</v>
      </c>
      <c r="AH992" s="309">
        <v>0</v>
      </c>
      <c r="AI992" s="309">
        <v>0</v>
      </c>
      <c r="AJ992" s="309">
        <v>0</v>
      </c>
      <c r="AK992" s="309">
        <v>0</v>
      </c>
      <c r="AL992" s="309">
        <v>0</v>
      </c>
      <c r="AM992" s="309">
        <v>0</v>
      </c>
      <c r="AN992" s="309">
        <v>0</v>
      </c>
      <c r="AO992" s="309">
        <v>0</v>
      </c>
      <c r="AP992" s="309">
        <v>0</v>
      </c>
      <c r="AQ992" s="309">
        <v>5.3571</v>
      </c>
      <c r="AR992" s="309">
        <v>0</v>
      </c>
      <c r="AS992" s="309">
        <v>0</v>
      </c>
      <c r="AT992" s="309">
        <v>0</v>
      </c>
      <c r="AU992" s="309">
        <v>6.9599000000000002</v>
      </c>
      <c r="AV992" s="309">
        <v>8.8529999999999998</v>
      </c>
      <c r="AW992" s="309">
        <v>0</v>
      </c>
      <c r="AX992" s="309">
        <v>0</v>
      </c>
      <c r="AY992" s="309">
        <v>0</v>
      </c>
      <c r="AZ992" s="309">
        <v>0</v>
      </c>
      <c r="BA992" s="309">
        <v>0</v>
      </c>
      <c r="BB992" s="309">
        <v>0</v>
      </c>
      <c r="BC992" s="309">
        <v>5.5746000000000002</v>
      </c>
      <c r="BD992" s="309">
        <v>0</v>
      </c>
      <c r="BE992" s="309">
        <v>6.4409999999999998</v>
      </c>
      <c r="BF992" s="309">
        <v>0</v>
      </c>
      <c r="BG992" s="309">
        <v>0</v>
      </c>
      <c r="BH992" s="309">
        <v>0</v>
      </c>
      <c r="BI992" s="309">
        <v>7.3498999999999999</v>
      </c>
      <c r="BJ992" s="309">
        <v>7.7962999999999996</v>
      </c>
      <c r="BK992" s="309">
        <v>0</v>
      </c>
    </row>
    <row r="993" spans="1:63" x14ac:dyDescent="0.25">
      <c r="A993" s="306">
        <v>331419</v>
      </c>
      <c r="B993" s="309" t="s">
        <v>156</v>
      </c>
      <c r="C993" s="309">
        <v>14.850199999999999</v>
      </c>
      <c r="D993" s="309">
        <v>0</v>
      </c>
      <c r="E993" s="309">
        <v>9.4192999999999998</v>
      </c>
      <c r="F993" s="309">
        <v>9.4358000000000004</v>
      </c>
      <c r="G993" s="309">
        <v>9.2264999999999997</v>
      </c>
      <c r="H993" s="309">
        <v>8.8666999999999998</v>
      </c>
      <c r="I993" s="309">
        <v>9.6171000000000006</v>
      </c>
      <c r="J993" s="309">
        <v>5.8410000000000002</v>
      </c>
      <c r="K993" s="309">
        <v>0</v>
      </c>
      <c r="L993" s="309">
        <v>0</v>
      </c>
      <c r="M993" s="309">
        <v>10.429</v>
      </c>
      <c r="N993" s="309">
        <v>0</v>
      </c>
      <c r="O993" s="309">
        <v>0</v>
      </c>
      <c r="P993" s="309">
        <v>0</v>
      </c>
      <c r="Q993" s="309">
        <v>10.0661</v>
      </c>
      <c r="R993" s="309">
        <v>7.9817</v>
      </c>
      <c r="S993" s="309">
        <v>0</v>
      </c>
      <c r="T993" s="309">
        <v>7.9865000000000004</v>
      </c>
      <c r="U993" s="309">
        <v>0</v>
      </c>
      <c r="V993" s="309">
        <v>0</v>
      </c>
      <c r="W993" s="309">
        <v>6.9664000000000001</v>
      </c>
      <c r="X993" s="309">
        <v>0</v>
      </c>
      <c r="Y993" s="309">
        <v>0</v>
      </c>
      <c r="Z993" s="309">
        <v>10.579599999999999</v>
      </c>
      <c r="AA993" s="309">
        <v>7.7766999999999999</v>
      </c>
      <c r="AB993" s="309">
        <v>9.0143000000000004</v>
      </c>
      <c r="AC993" s="309">
        <v>0</v>
      </c>
      <c r="AD993" s="309">
        <v>8.8003</v>
      </c>
      <c r="AE993" s="309">
        <v>8.1481999999999992</v>
      </c>
      <c r="AF993" s="309">
        <v>6.8929</v>
      </c>
      <c r="AG993" s="309">
        <v>0</v>
      </c>
      <c r="AH993" s="309">
        <v>0</v>
      </c>
      <c r="AI993" s="309">
        <v>6.8941999999999997</v>
      </c>
      <c r="AJ993" s="309">
        <v>8.6462000000000003</v>
      </c>
      <c r="AK993" s="309">
        <v>8.8869000000000007</v>
      </c>
      <c r="AL993" s="309">
        <v>5.8996000000000004</v>
      </c>
      <c r="AM993" s="309">
        <v>9.2667999999999999</v>
      </c>
      <c r="AN993" s="309">
        <v>0</v>
      </c>
      <c r="AO993" s="309">
        <v>7.8757000000000001</v>
      </c>
      <c r="AP993" s="309">
        <v>8.8886000000000003</v>
      </c>
      <c r="AQ993" s="309">
        <v>7.0380000000000003</v>
      </c>
      <c r="AR993" s="309">
        <v>10.7178</v>
      </c>
      <c r="AS993" s="309">
        <v>7.8968999999999996</v>
      </c>
      <c r="AT993" s="309">
        <v>9.9840999999999998</v>
      </c>
      <c r="AU993" s="309">
        <v>9.2316000000000003</v>
      </c>
      <c r="AV993" s="309">
        <v>14.2956</v>
      </c>
      <c r="AW993" s="309">
        <v>0</v>
      </c>
      <c r="AX993" s="309">
        <v>0</v>
      </c>
      <c r="AY993" s="309">
        <v>8.8892000000000007</v>
      </c>
      <c r="AZ993" s="309">
        <v>0</v>
      </c>
      <c r="BA993" s="309">
        <v>0</v>
      </c>
      <c r="BB993" s="309">
        <v>0</v>
      </c>
      <c r="BC993" s="309">
        <v>8.2563999999999993</v>
      </c>
      <c r="BD993" s="309">
        <v>8.1714000000000002</v>
      </c>
      <c r="BE993" s="309">
        <v>9.6496999999999993</v>
      </c>
      <c r="BF993" s="309">
        <v>8.6812000000000005</v>
      </c>
      <c r="BG993" s="309">
        <v>10.395200000000001</v>
      </c>
      <c r="BH993" s="309">
        <v>10.0814</v>
      </c>
      <c r="BI993" s="309">
        <v>9.4975000000000005</v>
      </c>
      <c r="BJ993" s="309">
        <v>12.090299999999999</v>
      </c>
      <c r="BK993" s="309">
        <v>9.9091000000000005</v>
      </c>
    </row>
    <row r="994" spans="1:63" x14ac:dyDescent="0.25">
      <c r="A994" s="306">
        <v>331420</v>
      </c>
      <c r="B994" s="309" t="s">
        <v>157</v>
      </c>
      <c r="C994" s="309">
        <v>13.686199999999999</v>
      </c>
      <c r="D994" s="309">
        <v>0</v>
      </c>
      <c r="E994" s="309">
        <v>8.9349000000000007</v>
      </c>
      <c r="F994" s="309">
        <v>8.7635000000000005</v>
      </c>
      <c r="G994" s="309">
        <v>8.2965999999999998</v>
      </c>
      <c r="H994" s="309">
        <v>7.6121999999999996</v>
      </c>
      <c r="I994" s="309">
        <v>8.0164000000000009</v>
      </c>
      <c r="J994" s="309">
        <v>7.1429999999999998</v>
      </c>
      <c r="K994" s="309">
        <v>0</v>
      </c>
      <c r="L994" s="309">
        <v>3.9498000000000002</v>
      </c>
      <c r="M994" s="309">
        <v>8.2203999999999997</v>
      </c>
      <c r="N994" s="309">
        <v>9.4541000000000004</v>
      </c>
      <c r="O994" s="309">
        <v>0</v>
      </c>
      <c r="P994" s="309">
        <v>6.5480999999999998</v>
      </c>
      <c r="Q994" s="309">
        <v>0</v>
      </c>
      <c r="R994" s="309">
        <v>8.6751000000000005</v>
      </c>
      <c r="S994" s="309">
        <v>9.0032999999999994</v>
      </c>
      <c r="T994" s="309">
        <v>7.6018999999999997</v>
      </c>
      <c r="U994" s="309">
        <v>8.7248000000000001</v>
      </c>
      <c r="V994" s="309">
        <v>7.4759000000000002</v>
      </c>
      <c r="W994" s="309">
        <v>7.5773999999999999</v>
      </c>
      <c r="X994" s="309">
        <v>6.7845000000000004</v>
      </c>
      <c r="Y994" s="309">
        <v>7.3951000000000002</v>
      </c>
      <c r="Z994" s="309">
        <v>9.5487000000000002</v>
      </c>
      <c r="AA994" s="309">
        <v>7.1919000000000004</v>
      </c>
      <c r="AB994" s="309">
        <v>8.0739999999999998</v>
      </c>
      <c r="AC994" s="309">
        <v>8.3442000000000007</v>
      </c>
      <c r="AD994" s="309">
        <v>0</v>
      </c>
      <c r="AE994" s="309">
        <v>9.2744</v>
      </c>
      <c r="AF994" s="309">
        <v>0</v>
      </c>
      <c r="AG994" s="309">
        <v>7.1763000000000003</v>
      </c>
      <c r="AH994" s="309">
        <v>8.4006000000000007</v>
      </c>
      <c r="AI994" s="309">
        <v>7.2979000000000003</v>
      </c>
      <c r="AJ994" s="309">
        <v>5.8670999999999998</v>
      </c>
      <c r="AK994" s="309">
        <v>0</v>
      </c>
      <c r="AL994" s="309">
        <v>6.5453999999999999</v>
      </c>
      <c r="AM994" s="309">
        <v>9.3460999999999999</v>
      </c>
      <c r="AN994" s="309">
        <v>9.1814</v>
      </c>
      <c r="AO994" s="309">
        <v>6.8273999999999999</v>
      </c>
      <c r="AP994" s="309">
        <v>9.532</v>
      </c>
      <c r="AQ994" s="309">
        <v>7.4005999999999998</v>
      </c>
      <c r="AR994" s="309">
        <v>10.1578</v>
      </c>
      <c r="AS994" s="309">
        <v>0</v>
      </c>
      <c r="AT994" s="309">
        <v>8.6812000000000005</v>
      </c>
      <c r="AU994" s="309">
        <v>10.0558</v>
      </c>
      <c r="AV994" s="309">
        <v>11.389099999999999</v>
      </c>
      <c r="AW994" s="309">
        <v>7.7881</v>
      </c>
      <c r="AX994" s="309">
        <v>6.8506</v>
      </c>
      <c r="AY994" s="309">
        <v>0</v>
      </c>
      <c r="AZ994" s="309">
        <v>8.4666999999999994</v>
      </c>
      <c r="BA994" s="309">
        <v>6.2347999999999999</v>
      </c>
      <c r="BB994" s="309">
        <v>0</v>
      </c>
      <c r="BC994" s="309">
        <v>8.9152000000000005</v>
      </c>
      <c r="BD994" s="309">
        <v>8.7698999999999998</v>
      </c>
      <c r="BE994" s="309">
        <v>10.115600000000001</v>
      </c>
      <c r="BF994" s="309">
        <v>8.3108000000000004</v>
      </c>
      <c r="BG994" s="309">
        <v>9.3811999999999998</v>
      </c>
      <c r="BH994" s="309">
        <v>9.7382000000000009</v>
      </c>
      <c r="BI994" s="309">
        <v>10.544</v>
      </c>
      <c r="BJ994" s="309">
        <v>9.0586000000000002</v>
      </c>
      <c r="BK994" s="309">
        <v>7.7445000000000004</v>
      </c>
    </row>
    <row r="995" spans="1:63" x14ac:dyDescent="0.25">
      <c r="A995" s="306">
        <v>331490</v>
      </c>
      <c r="B995" s="309" t="s">
        <v>158</v>
      </c>
      <c r="C995" s="309">
        <v>14.447900000000001</v>
      </c>
      <c r="D995" s="309">
        <v>0</v>
      </c>
      <c r="E995" s="309">
        <v>10.427</v>
      </c>
      <c r="F995" s="309">
        <v>9.76</v>
      </c>
      <c r="G995" s="309">
        <v>9.4441000000000006</v>
      </c>
      <c r="H995" s="309">
        <v>9.4969000000000001</v>
      </c>
      <c r="I995" s="309">
        <v>8.9102999999999994</v>
      </c>
      <c r="J995" s="309">
        <v>7.8943000000000003</v>
      </c>
      <c r="K995" s="309">
        <v>0</v>
      </c>
      <c r="L995" s="309">
        <v>0</v>
      </c>
      <c r="M995" s="309">
        <v>8.9420999999999999</v>
      </c>
      <c r="N995" s="309">
        <v>9.6585999999999999</v>
      </c>
      <c r="O995" s="309">
        <v>0</v>
      </c>
      <c r="P995" s="309">
        <v>0</v>
      </c>
      <c r="Q995" s="309">
        <v>8.7097999999999995</v>
      </c>
      <c r="R995" s="309">
        <v>9.4618000000000002</v>
      </c>
      <c r="S995" s="309">
        <v>9.5436999999999994</v>
      </c>
      <c r="T995" s="309">
        <v>0</v>
      </c>
      <c r="U995" s="309">
        <v>9.9661000000000008</v>
      </c>
      <c r="V995" s="309">
        <v>9.0907</v>
      </c>
      <c r="W995" s="309">
        <v>7.4371999999999998</v>
      </c>
      <c r="X995" s="309">
        <v>8.3853000000000009</v>
      </c>
      <c r="Y995" s="309">
        <v>8.3285</v>
      </c>
      <c r="Z995" s="309">
        <v>10.2516</v>
      </c>
      <c r="AA995" s="309">
        <v>9.9925999999999995</v>
      </c>
      <c r="AB995" s="309">
        <v>10.3994</v>
      </c>
      <c r="AC995" s="309">
        <v>0</v>
      </c>
      <c r="AD995" s="309">
        <v>9.3803000000000001</v>
      </c>
      <c r="AE995" s="309">
        <v>9.2921999999999993</v>
      </c>
      <c r="AF995" s="309">
        <v>0</v>
      </c>
      <c r="AG995" s="309">
        <v>0</v>
      </c>
      <c r="AH995" s="309">
        <v>7.4688999999999997</v>
      </c>
      <c r="AI995" s="309">
        <v>7.5807000000000002</v>
      </c>
      <c r="AJ995" s="309">
        <v>6.8865999999999996</v>
      </c>
      <c r="AK995" s="309">
        <v>8.1079000000000008</v>
      </c>
      <c r="AL995" s="309">
        <v>7.0580999999999996</v>
      </c>
      <c r="AM995" s="309">
        <v>10.722300000000001</v>
      </c>
      <c r="AN995" s="309">
        <v>10.4224</v>
      </c>
      <c r="AO995" s="309">
        <v>9.3261000000000003</v>
      </c>
      <c r="AP995" s="309">
        <v>10.644399999999999</v>
      </c>
      <c r="AQ995" s="309">
        <v>7.9379999999999997</v>
      </c>
      <c r="AR995" s="309">
        <v>10.363</v>
      </c>
      <c r="AS995" s="309">
        <v>0</v>
      </c>
      <c r="AT995" s="309">
        <v>10.561199999999999</v>
      </c>
      <c r="AU995" s="309">
        <v>11.304500000000001</v>
      </c>
      <c r="AV995" s="309">
        <v>12.0741</v>
      </c>
      <c r="AW995" s="309">
        <v>9.6837999999999997</v>
      </c>
      <c r="AX995" s="309">
        <v>0</v>
      </c>
      <c r="AY995" s="309">
        <v>8.7727000000000004</v>
      </c>
      <c r="AZ995" s="309">
        <v>9.5992999999999995</v>
      </c>
      <c r="BA995" s="309">
        <v>6.8342999999999998</v>
      </c>
      <c r="BB995" s="309">
        <v>0</v>
      </c>
      <c r="BC995" s="309">
        <v>9.3430999999999997</v>
      </c>
      <c r="BD995" s="309">
        <v>9.7315000000000005</v>
      </c>
      <c r="BE995" s="309">
        <v>11.2041</v>
      </c>
      <c r="BF995" s="309">
        <v>10.0116</v>
      </c>
      <c r="BG995" s="309">
        <v>10.220700000000001</v>
      </c>
      <c r="BH995" s="309">
        <v>11.281499999999999</v>
      </c>
      <c r="BI995" s="309">
        <v>11.567600000000001</v>
      </c>
      <c r="BJ995" s="309">
        <v>10.4092</v>
      </c>
      <c r="BK995" s="309">
        <v>10.1044</v>
      </c>
    </row>
    <row r="996" spans="1:63" x14ac:dyDescent="0.25">
      <c r="A996" s="306">
        <v>331510</v>
      </c>
      <c r="B996" s="309" t="s">
        <v>159</v>
      </c>
      <c r="C996" s="309">
        <v>18.9252</v>
      </c>
      <c r="D996" s="309">
        <v>0</v>
      </c>
      <c r="E996" s="309">
        <v>13.999700000000001</v>
      </c>
      <c r="F996" s="309">
        <v>13.639200000000001</v>
      </c>
      <c r="G996" s="309">
        <v>13.439</v>
      </c>
      <c r="H996" s="309">
        <v>14.476699999999999</v>
      </c>
      <c r="I996" s="309">
        <v>15.0236</v>
      </c>
      <c r="J996" s="309">
        <v>11.1485</v>
      </c>
      <c r="K996" s="309">
        <v>0</v>
      </c>
      <c r="L996" s="309">
        <v>0</v>
      </c>
      <c r="M996" s="309">
        <v>15.5426</v>
      </c>
      <c r="N996" s="309">
        <v>15.164300000000001</v>
      </c>
      <c r="O996" s="309">
        <v>0</v>
      </c>
      <c r="P996" s="309">
        <v>11.454499999999999</v>
      </c>
      <c r="Q996" s="309">
        <v>12.537699999999999</v>
      </c>
      <c r="R996" s="309">
        <v>13.4146</v>
      </c>
      <c r="S996" s="309">
        <v>14.7011</v>
      </c>
      <c r="T996" s="309">
        <v>12.4336</v>
      </c>
      <c r="U996" s="309">
        <v>14.922499999999999</v>
      </c>
      <c r="V996" s="309">
        <v>15.3512</v>
      </c>
      <c r="W996" s="309">
        <v>11.385</v>
      </c>
      <c r="X996" s="309">
        <v>11.305099999999999</v>
      </c>
      <c r="Y996" s="309">
        <v>15.178100000000001</v>
      </c>
      <c r="Z996" s="309">
        <v>14.1815</v>
      </c>
      <c r="AA996" s="309">
        <v>14.6234</v>
      </c>
      <c r="AB996" s="309">
        <v>14.599299999999999</v>
      </c>
      <c r="AC996" s="309">
        <v>14.5783</v>
      </c>
      <c r="AD996" s="309">
        <v>13.104900000000001</v>
      </c>
      <c r="AE996" s="309">
        <v>14.5634</v>
      </c>
      <c r="AF996" s="309">
        <v>0</v>
      </c>
      <c r="AG996" s="309">
        <v>13.3124</v>
      </c>
      <c r="AH996" s="309">
        <v>12.8147</v>
      </c>
      <c r="AI996" s="309">
        <v>11.735200000000001</v>
      </c>
      <c r="AJ996" s="309">
        <v>11.4072</v>
      </c>
      <c r="AK996" s="309">
        <v>12.084</v>
      </c>
      <c r="AL996" s="309">
        <v>11.890700000000001</v>
      </c>
      <c r="AM996" s="309">
        <v>14.7598</v>
      </c>
      <c r="AN996" s="309">
        <v>16.305099999999999</v>
      </c>
      <c r="AO996" s="309">
        <v>12.718299999999999</v>
      </c>
      <c r="AP996" s="309">
        <v>15.2117</v>
      </c>
      <c r="AQ996" s="309">
        <v>12.8391</v>
      </c>
      <c r="AR996" s="309">
        <v>16.826000000000001</v>
      </c>
      <c r="AS996" s="309">
        <v>12.6882</v>
      </c>
      <c r="AT996" s="309">
        <v>14.7781</v>
      </c>
      <c r="AU996" s="309">
        <v>15.813000000000001</v>
      </c>
      <c r="AV996" s="309">
        <v>17.994800000000001</v>
      </c>
      <c r="AW996" s="309">
        <v>14.5585</v>
      </c>
      <c r="AX996" s="309">
        <v>11.556100000000001</v>
      </c>
      <c r="AY996" s="309">
        <v>14.003500000000001</v>
      </c>
      <c r="AZ996" s="309">
        <v>14.385</v>
      </c>
      <c r="BA996" s="309">
        <v>11.4854</v>
      </c>
      <c r="BB996" s="309">
        <v>0</v>
      </c>
      <c r="BC996" s="309">
        <v>14.050700000000001</v>
      </c>
      <c r="BD996" s="309">
        <v>14.2836</v>
      </c>
      <c r="BE996" s="309">
        <v>15.7972</v>
      </c>
      <c r="BF996" s="309">
        <v>14.7897</v>
      </c>
      <c r="BG996" s="309">
        <v>16.0855</v>
      </c>
      <c r="BH996" s="309">
        <v>14.8344</v>
      </c>
      <c r="BI996" s="309">
        <v>16.449400000000001</v>
      </c>
      <c r="BJ996" s="309">
        <v>15.488200000000001</v>
      </c>
      <c r="BK996" s="309">
        <v>14.4041</v>
      </c>
    </row>
    <row r="997" spans="1:63" x14ac:dyDescent="0.25">
      <c r="A997" s="306">
        <v>331520</v>
      </c>
      <c r="B997" s="309" t="s">
        <v>160</v>
      </c>
      <c r="C997" s="309">
        <v>19.906300000000002</v>
      </c>
      <c r="D997" s="309">
        <v>0</v>
      </c>
      <c r="E997" s="309">
        <v>15.613899999999999</v>
      </c>
      <c r="F997" s="309">
        <v>13.434100000000001</v>
      </c>
      <c r="G997" s="309">
        <v>14.706899999999999</v>
      </c>
      <c r="H997" s="309">
        <v>13.6159</v>
      </c>
      <c r="I997" s="309">
        <v>14.2242</v>
      </c>
      <c r="J997" s="309">
        <v>12.012499999999999</v>
      </c>
      <c r="K997" s="309">
        <v>0</v>
      </c>
      <c r="L997" s="309">
        <v>0</v>
      </c>
      <c r="M997" s="309">
        <v>16.615600000000001</v>
      </c>
      <c r="N997" s="309">
        <v>14.6134</v>
      </c>
      <c r="O997" s="309">
        <v>0</v>
      </c>
      <c r="P997" s="309">
        <v>12.161899999999999</v>
      </c>
      <c r="Q997" s="309">
        <v>10.5891</v>
      </c>
      <c r="R997" s="309">
        <v>14.5382</v>
      </c>
      <c r="S997" s="309">
        <v>14.5677</v>
      </c>
      <c r="T997" s="309">
        <v>13.4641</v>
      </c>
      <c r="U997" s="309">
        <v>15.0474</v>
      </c>
      <c r="V997" s="309">
        <v>16.325500000000002</v>
      </c>
      <c r="W997" s="309">
        <v>11.873699999999999</v>
      </c>
      <c r="X997" s="309">
        <v>13.7409</v>
      </c>
      <c r="Y997" s="309">
        <v>15.989800000000001</v>
      </c>
      <c r="Z997" s="309">
        <v>14.2202</v>
      </c>
      <c r="AA997" s="309">
        <v>13.8752</v>
      </c>
      <c r="AB997" s="309">
        <v>14.9824</v>
      </c>
      <c r="AC997" s="309">
        <v>11.596399999999999</v>
      </c>
      <c r="AD997" s="309">
        <v>13.147500000000001</v>
      </c>
      <c r="AE997" s="309">
        <v>15.1844</v>
      </c>
      <c r="AF997" s="309">
        <v>0</v>
      </c>
      <c r="AG997" s="309">
        <v>12.902900000000001</v>
      </c>
      <c r="AH997" s="309">
        <v>12.147600000000001</v>
      </c>
      <c r="AI997" s="309">
        <v>13.103199999999999</v>
      </c>
      <c r="AJ997" s="309">
        <v>10.7433</v>
      </c>
      <c r="AK997" s="309">
        <v>12.8649</v>
      </c>
      <c r="AL997" s="309">
        <v>10.660399999999999</v>
      </c>
      <c r="AM997" s="309">
        <v>15.83</v>
      </c>
      <c r="AN997" s="309">
        <v>15.763</v>
      </c>
      <c r="AO997" s="309">
        <v>12.4062</v>
      </c>
      <c r="AP997" s="309">
        <v>15.4406</v>
      </c>
      <c r="AQ997" s="309">
        <v>13.9299</v>
      </c>
      <c r="AR997" s="309">
        <v>16.264600000000002</v>
      </c>
      <c r="AS997" s="309">
        <v>12.804399999999999</v>
      </c>
      <c r="AT997" s="309">
        <v>15.2166</v>
      </c>
      <c r="AU997" s="309">
        <v>17.384499999999999</v>
      </c>
      <c r="AV997" s="309">
        <v>18.8873</v>
      </c>
      <c r="AW997" s="309">
        <v>12.010300000000001</v>
      </c>
      <c r="AX997" s="309">
        <v>0</v>
      </c>
      <c r="AY997" s="309">
        <v>13.7845</v>
      </c>
      <c r="AZ997" s="309">
        <v>14.533799999999999</v>
      </c>
      <c r="BA997" s="309">
        <v>11.549099999999999</v>
      </c>
      <c r="BB997" s="309">
        <v>11.8406</v>
      </c>
      <c r="BC997" s="309">
        <v>14.282299999999999</v>
      </c>
      <c r="BD997" s="309">
        <v>14.426</v>
      </c>
      <c r="BE997" s="309">
        <v>16.538</v>
      </c>
      <c r="BF997" s="309">
        <v>14.779500000000001</v>
      </c>
      <c r="BG997" s="309">
        <v>15.3725</v>
      </c>
      <c r="BH997" s="309">
        <v>16.545300000000001</v>
      </c>
      <c r="BI997" s="309">
        <v>17.409500000000001</v>
      </c>
      <c r="BJ997" s="309">
        <v>15.512499999999999</v>
      </c>
      <c r="BK997" s="309">
        <v>14.0738</v>
      </c>
    </row>
    <row r="998" spans="1:63" x14ac:dyDescent="0.25">
      <c r="A998" s="306">
        <v>332114</v>
      </c>
      <c r="B998" s="309" t="s">
        <v>162</v>
      </c>
      <c r="C998" s="309">
        <v>16.788799999999998</v>
      </c>
      <c r="D998" s="309">
        <v>9.4207999999999998</v>
      </c>
      <c r="E998" s="309">
        <v>13.4215</v>
      </c>
      <c r="F998" s="309">
        <v>13.645300000000001</v>
      </c>
      <c r="G998" s="309">
        <v>0</v>
      </c>
      <c r="H998" s="309">
        <v>9.6968999999999994</v>
      </c>
      <c r="I998" s="309">
        <v>12.3225</v>
      </c>
      <c r="J998" s="309">
        <v>9.2439999999999998</v>
      </c>
      <c r="K998" s="309">
        <v>0</v>
      </c>
      <c r="L998" s="309">
        <v>0</v>
      </c>
      <c r="M998" s="309">
        <v>10.055899999999999</v>
      </c>
      <c r="N998" s="309">
        <v>12.6229</v>
      </c>
      <c r="O998" s="309">
        <v>0</v>
      </c>
      <c r="P998" s="309">
        <v>0</v>
      </c>
      <c r="Q998" s="309">
        <v>10.9369</v>
      </c>
      <c r="R998" s="309">
        <v>12.824999999999999</v>
      </c>
      <c r="S998" s="309">
        <v>12.9245</v>
      </c>
      <c r="T998" s="309">
        <v>7.8465999999999996</v>
      </c>
      <c r="U998" s="309">
        <v>11.6556</v>
      </c>
      <c r="V998" s="309">
        <v>10.8484</v>
      </c>
      <c r="W998" s="309">
        <v>11.0703</v>
      </c>
      <c r="X998" s="309">
        <v>9.6641999999999992</v>
      </c>
      <c r="Y998" s="309">
        <v>0</v>
      </c>
      <c r="Z998" s="309">
        <v>12.497</v>
      </c>
      <c r="AA998" s="309">
        <v>8.9816000000000003</v>
      </c>
      <c r="AB998" s="309">
        <v>11.4657</v>
      </c>
      <c r="AC998" s="309">
        <v>13.159800000000001</v>
      </c>
      <c r="AD998" s="309">
        <v>0</v>
      </c>
      <c r="AE998" s="309">
        <v>11.3202</v>
      </c>
      <c r="AF998" s="309">
        <v>0</v>
      </c>
      <c r="AG998" s="309">
        <v>8.9781999999999993</v>
      </c>
      <c r="AH998" s="309">
        <v>8.0898000000000003</v>
      </c>
      <c r="AI998" s="309">
        <v>10.2385</v>
      </c>
      <c r="AJ998" s="309">
        <v>9.9476999999999993</v>
      </c>
      <c r="AK998" s="309">
        <v>11.249000000000001</v>
      </c>
      <c r="AL998" s="309">
        <v>8.7356999999999996</v>
      </c>
      <c r="AM998" s="309">
        <v>13.8369</v>
      </c>
      <c r="AN998" s="309">
        <v>14.1485</v>
      </c>
      <c r="AO998" s="309">
        <v>11.8955</v>
      </c>
      <c r="AP998" s="309">
        <v>12.509499999999999</v>
      </c>
      <c r="AQ998" s="309">
        <v>0</v>
      </c>
      <c r="AR998" s="309">
        <v>11.9467</v>
      </c>
      <c r="AS998" s="309">
        <v>0</v>
      </c>
      <c r="AT998" s="309">
        <v>12.447100000000001</v>
      </c>
      <c r="AU998" s="309">
        <v>12.6854</v>
      </c>
      <c r="AV998" s="309">
        <v>0</v>
      </c>
      <c r="AW998" s="309">
        <v>0</v>
      </c>
      <c r="AX998" s="309">
        <v>0</v>
      </c>
      <c r="AY998" s="309">
        <v>10.1929</v>
      </c>
      <c r="AZ998" s="309">
        <v>10.138</v>
      </c>
      <c r="BA998" s="309">
        <v>12.117000000000001</v>
      </c>
      <c r="BB998" s="309">
        <v>0</v>
      </c>
      <c r="BC998" s="309">
        <v>9.7448999999999995</v>
      </c>
      <c r="BD998" s="309">
        <v>12.1488</v>
      </c>
      <c r="BE998" s="309">
        <v>13.946300000000001</v>
      </c>
      <c r="BF998" s="309">
        <v>10.473100000000001</v>
      </c>
      <c r="BG998" s="309">
        <v>12.6037</v>
      </c>
      <c r="BH998" s="309">
        <v>13.0924</v>
      </c>
      <c r="BI998" s="309">
        <v>13.9177</v>
      </c>
      <c r="BJ998" s="309">
        <v>12.843</v>
      </c>
      <c r="BK998" s="309">
        <v>10.1995</v>
      </c>
    </row>
    <row r="999" spans="1:63" x14ac:dyDescent="0.25">
      <c r="A999" s="306" t="s">
        <v>724</v>
      </c>
      <c r="B999" s="309" t="s">
        <v>161</v>
      </c>
      <c r="C999" s="309">
        <v>18.517099999999999</v>
      </c>
      <c r="D999" s="309">
        <v>14.019399999999999</v>
      </c>
      <c r="E999" s="309">
        <v>14.763299999999999</v>
      </c>
      <c r="F999" s="309">
        <v>13.436</v>
      </c>
      <c r="G999" s="309">
        <v>13.188599999999999</v>
      </c>
      <c r="H999" s="309">
        <v>11.6107</v>
      </c>
      <c r="I999" s="309">
        <v>13.181100000000001</v>
      </c>
      <c r="J999" s="309">
        <v>10.386699999999999</v>
      </c>
      <c r="K999" s="309">
        <v>0</v>
      </c>
      <c r="L999" s="309">
        <v>0</v>
      </c>
      <c r="M999" s="309">
        <v>14.2943</v>
      </c>
      <c r="N999" s="309">
        <v>13.1149</v>
      </c>
      <c r="O999" s="309">
        <v>0</v>
      </c>
      <c r="P999" s="309">
        <v>10.234299999999999</v>
      </c>
      <c r="Q999" s="309">
        <v>13.7597</v>
      </c>
      <c r="R999" s="309">
        <v>13.3185</v>
      </c>
      <c r="S999" s="309">
        <v>13.991899999999999</v>
      </c>
      <c r="T999" s="309">
        <v>9.5412999999999997</v>
      </c>
      <c r="U999" s="309">
        <v>13.7509</v>
      </c>
      <c r="V999" s="309">
        <v>10.4331</v>
      </c>
      <c r="W999" s="309">
        <v>8.9924999999999997</v>
      </c>
      <c r="X999" s="309">
        <v>12.4407</v>
      </c>
      <c r="Y999" s="309">
        <v>0</v>
      </c>
      <c r="Z999" s="309">
        <v>14.022399999999999</v>
      </c>
      <c r="AA999" s="309">
        <v>11.637</v>
      </c>
      <c r="AB999" s="309">
        <v>13.831</v>
      </c>
      <c r="AC999" s="309">
        <v>13.4465</v>
      </c>
      <c r="AD999" s="309">
        <v>14.7456</v>
      </c>
      <c r="AE999" s="309">
        <v>13.4337</v>
      </c>
      <c r="AF999" s="309">
        <v>0</v>
      </c>
      <c r="AG999" s="309">
        <v>11.877599999999999</v>
      </c>
      <c r="AH999" s="309">
        <v>0</v>
      </c>
      <c r="AI999" s="309">
        <v>9.9867000000000008</v>
      </c>
      <c r="AJ999" s="309">
        <v>15.0329</v>
      </c>
      <c r="AK999" s="309">
        <v>9.1936</v>
      </c>
      <c r="AL999" s="309">
        <v>7.7244999999999999</v>
      </c>
      <c r="AM999" s="309">
        <v>14.5563</v>
      </c>
      <c r="AN999" s="309">
        <v>14.3864</v>
      </c>
      <c r="AO999" s="309">
        <v>12.907400000000001</v>
      </c>
      <c r="AP999" s="309">
        <v>15.426299999999999</v>
      </c>
      <c r="AQ999" s="309">
        <v>15.9909</v>
      </c>
      <c r="AR999" s="309">
        <v>14.4026</v>
      </c>
      <c r="AS999" s="309">
        <v>12.748699999999999</v>
      </c>
      <c r="AT999" s="309">
        <v>14.3698</v>
      </c>
      <c r="AU999" s="309">
        <v>13.062799999999999</v>
      </c>
      <c r="AV999" s="309">
        <v>17.236699999999999</v>
      </c>
      <c r="AW999" s="309">
        <v>12.1912</v>
      </c>
      <c r="AX999" s="309">
        <v>15.690300000000001</v>
      </c>
      <c r="AY999" s="309">
        <v>10.373699999999999</v>
      </c>
      <c r="AZ999" s="309">
        <v>12.525</v>
      </c>
      <c r="BA999" s="309">
        <v>12.8324</v>
      </c>
      <c r="BB999" s="309">
        <v>10.621499999999999</v>
      </c>
      <c r="BC999" s="309">
        <v>11.2354</v>
      </c>
      <c r="BD999" s="309">
        <v>14.085699999999999</v>
      </c>
      <c r="BE999" s="309">
        <v>15.3346</v>
      </c>
      <c r="BF999" s="309">
        <v>12.5443</v>
      </c>
      <c r="BG999" s="309">
        <v>14.759600000000001</v>
      </c>
      <c r="BH999" s="309">
        <v>15.64</v>
      </c>
      <c r="BI999" s="309">
        <v>13.912000000000001</v>
      </c>
      <c r="BJ999" s="309">
        <v>13.470700000000001</v>
      </c>
      <c r="BK999" s="309">
        <v>12.0177</v>
      </c>
    </row>
    <row r="1000" spans="1:63" x14ac:dyDescent="0.25">
      <c r="A1000" s="306" t="s">
        <v>725</v>
      </c>
      <c r="B1000" s="309" t="s">
        <v>163</v>
      </c>
      <c r="C1000" s="309">
        <v>20.366499999999998</v>
      </c>
      <c r="D1000" s="309">
        <v>0</v>
      </c>
      <c r="E1000" s="309">
        <v>18.162099999999999</v>
      </c>
      <c r="F1000" s="309">
        <v>14.2767</v>
      </c>
      <c r="G1000" s="309">
        <v>13.451499999999999</v>
      </c>
      <c r="H1000" s="309">
        <v>13.722</v>
      </c>
      <c r="I1000" s="309">
        <v>14.7256</v>
      </c>
      <c r="J1000" s="309">
        <v>11.0952</v>
      </c>
      <c r="K1000" s="309">
        <v>1.2369000000000001</v>
      </c>
      <c r="L1000" s="309">
        <v>10.808999999999999</v>
      </c>
      <c r="M1000" s="309">
        <v>13.948</v>
      </c>
      <c r="N1000" s="309">
        <v>15.195600000000001</v>
      </c>
      <c r="O1000" s="309">
        <v>0</v>
      </c>
      <c r="P1000" s="309">
        <v>12.746</v>
      </c>
      <c r="Q1000" s="309">
        <v>0</v>
      </c>
      <c r="R1000" s="309">
        <v>15.007999999999999</v>
      </c>
      <c r="S1000" s="309">
        <v>15.3894</v>
      </c>
      <c r="T1000" s="309">
        <v>13.4773</v>
      </c>
      <c r="U1000" s="309">
        <v>15.959199999999999</v>
      </c>
      <c r="V1000" s="309">
        <v>0</v>
      </c>
      <c r="W1000" s="309">
        <v>10.8789</v>
      </c>
      <c r="X1000" s="309">
        <v>12.735099999999999</v>
      </c>
      <c r="Y1000" s="309">
        <v>14.7783</v>
      </c>
      <c r="Z1000" s="309">
        <v>15.680400000000001</v>
      </c>
      <c r="AA1000" s="309">
        <v>13.2807</v>
      </c>
      <c r="AB1000" s="309">
        <v>14.333</v>
      </c>
      <c r="AC1000" s="309">
        <v>15.643700000000001</v>
      </c>
      <c r="AD1000" s="309">
        <v>14.728</v>
      </c>
      <c r="AE1000" s="309">
        <v>14.6508</v>
      </c>
      <c r="AF1000" s="309">
        <v>10.677199999999999</v>
      </c>
      <c r="AG1000" s="309">
        <v>11.535500000000001</v>
      </c>
      <c r="AH1000" s="309">
        <v>11.0358</v>
      </c>
      <c r="AI1000" s="309">
        <v>11.2728</v>
      </c>
      <c r="AJ1000" s="309">
        <v>13.2431</v>
      </c>
      <c r="AK1000" s="309">
        <v>10.004</v>
      </c>
      <c r="AL1000" s="309">
        <v>10.369</v>
      </c>
      <c r="AM1000" s="309">
        <v>16.676400000000001</v>
      </c>
      <c r="AN1000" s="309">
        <v>15.551299999999999</v>
      </c>
      <c r="AO1000" s="309">
        <v>14.7378</v>
      </c>
      <c r="AP1000" s="309">
        <v>15.994999999999999</v>
      </c>
      <c r="AQ1000" s="309">
        <v>11.3828</v>
      </c>
      <c r="AR1000" s="309">
        <v>16.9678</v>
      </c>
      <c r="AS1000" s="309">
        <v>13.161300000000001</v>
      </c>
      <c r="AT1000" s="309">
        <v>16.408799999999999</v>
      </c>
      <c r="AU1000" s="309">
        <v>15.297800000000001</v>
      </c>
      <c r="AV1000" s="309">
        <v>19.7271</v>
      </c>
      <c r="AW1000" s="309">
        <v>13.188800000000001</v>
      </c>
      <c r="AX1000" s="309">
        <v>11.623799999999999</v>
      </c>
      <c r="AY1000" s="309">
        <v>13.0098</v>
      </c>
      <c r="AZ1000" s="309">
        <v>14.9154</v>
      </c>
      <c r="BA1000" s="309">
        <v>12.960900000000001</v>
      </c>
      <c r="BB1000" s="309">
        <v>0</v>
      </c>
      <c r="BC1000" s="309">
        <v>12.8101</v>
      </c>
      <c r="BD1000" s="309">
        <v>14.466699999999999</v>
      </c>
      <c r="BE1000" s="309">
        <v>17.123699999999999</v>
      </c>
      <c r="BF1000" s="309">
        <v>14.288399999999999</v>
      </c>
      <c r="BG1000" s="309">
        <v>16.2318</v>
      </c>
      <c r="BH1000" s="309">
        <v>18.059699999999999</v>
      </c>
      <c r="BI1000" s="309">
        <v>16.378399999999999</v>
      </c>
      <c r="BJ1000" s="309">
        <v>14.7827</v>
      </c>
      <c r="BK1000" s="309">
        <v>14.18</v>
      </c>
    </row>
    <row r="1001" spans="1:63" x14ac:dyDescent="0.25">
      <c r="A1001" s="306" t="s">
        <v>726</v>
      </c>
      <c r="B1001" s="309" t="s">
        <v>164</v>
      </c>
      <c r="C1001" s="309">
        <v>12.693199999999999</v>
      </c>
      <c r="D1001" s="309">
        <v>10.5953</v>
      </c>
      <c r="E1001" s="309">
        <v>13.6737</v>
      </c>
      <c r="F1001" s="309">
        <v>11.7919</v>
      </c>
      <c r="G1001" s="309">
        <v>8.6845999999999997</v>
      </c>
      <c r="H1001" s="309">
        <v>9.0534999999999997</v>
      </c>
      <c r="I1001" s="309">
        <v>8.3417999999999992</v>
      </c>
      <c r="J1001" s="309">
        <v>6.1139999999999999</v>
      </c>
      <c r="K1001" s="309">
        <v>0</v>
      </c>
      <c r="L1001" s="309">
        <v>0</v>
      </c>
      <c r="M1001" s="309">
        <v>8.6715999999999998</v>
      </c>
      <c r="N1001" s="309">
        <v>7.6651999999999996</v>
      </c>
      <c r="O1001" s="309">
        <v>0</v>
      </c>
      <c r="P1001" s="309">
        <v>8.2972000000000001</v>
      </c>
      <c r="Q1001" s="309">
        <v>8.6760999999999999</v>
      </c>
      <c r="R1001" s="309">
        <v>8.2743000000000002</v>
      </c>
      <c r="S1001" s="309">
        <v>11.3893</v>
      </c>
      <c r="T1001" s="309">
        <v>8.3122000000000007</v>
      </c>
      <c r="U1001" s="309">
        <v>9.9548000000000005</v>
      </c>
      <c r="V1001" s="309">
        <v>0</v>
      </c>
      <c r="W1001" s="309">
        <v>6.0888999999999998</v>
      </c>
      <c r="X1001" s="309">
        <v>8.4397000000000002</v>
      </c>
      <c r="Y1001" s="309">
        <v>0</v>
      </c>
      <c r="Z1001" s="309">
        <v>11.287000000000001</v>
      </c>
      <c r="AA1001" s="309">
        <v>8.3977000000000004</v>
      </c>
      <c r="AB1001" s="309">
        <v>12.370699999999999</v>
      </c>
      <c r="AC1001" s="309">
        <v>0</v>
      </c>
      <c r="AD1001" s="309">
        <v>12.353400000000001</v>
      </c>
      <c r="AE1001" s="309">
        <v>9.8488000000000007</v>
      </c>
      <c r="AF1001" s="309">
        <v>8.9808000000000003</v>
      </c>
      <c r="AG1001" s="309">
        <v>11.802</v>
      </c>
      <c r="AH1001" s="309">
        <v>8.7812000000000001</v>
      </c>
      <c r="AI1001" s="309">
        <v>8.1532999999999998</v>
      </c>
      <c r="AJ1001" s="309">
        <v>8.8521000000000001</v>
      </c>
      <c r="AK1001" s="309">
        <v>0</v>
      </c>
      <c r="AL1001" s="309">
        <v>7.0625999999999998</v>
      </c>
      <c r="AM1001" s="309">
        <v>11.040800000000001</v>
      </c>
      <c r="AN1001" s="309">
        <v>11.1914</v>
      </c>
      <c r="AO1001" s="309">
        <v>9.3419000000000008</v>
      </c>
      <c r="AP1001" s="309">
        <v>11.858599999999999</v>
      </c>
      <c r="AQ1001" s="309">
        <v>0</v>
      </c>
      <c r="AR1001" s="309">
        <v>12.111499999999999</v>
      </c>
      <c r="AS1001" s="309">
        <v>0</v>
      </c>
      <c r="AT1001" s="309">
        <v>9.8683999999999994</v>
      </c>
      <c r="AU1001" s="309">
        <v>11.956799999999999</v>
      </c>
      <c r="AV1001" s="309">
        <v>0</v>
      </c>
      <c r="AW1001" s="309">
        <v>7.2342000000000004</v>
      </c>
      <c r="AX1001" s="309">
        <v>6.6341999999999999</v>
      </c>
      <c r="AY1001" s="309">
        <v>10.1867</v>
      </c>
      <c r="AZ1001" s="309">
        <v>8.7035</v>
      </c>
      <c r="BA1001" s="309">
        <v>9.1280999999999999</v>
      </c>
      <c r="BB1001" s="309">
        <v>0</v>
      </c>
      <c r="BC1001" s="309">
        <v>7.2564000000000002</v>
      </c>
      <c r="BD1001" s="309">
        <v>10.0025</v>
      </c>
      <c r="BE1001" s="309">
        <v>10.7456</v>
      </c>
      <c r="BF1001" s="309">
        <v>9.6423000000000005</v>
      </c>
      <c r="BG1001" s="309">
        <v>9.4604999999999997</v>
      </c>
      <c r="BH1001" s="309">
        <v>11.073399999999999</v>
      </c>
      <c r="BI1001" s="309">
        <v>12.836</v>
      </c>
      <c r="BJ1001" s="309">
        <v>10.117699999999999</v>
      </c>
      <c r="BK1001" s="309">
        <v>9.5343</v>
      </c>
    </row>
    <row r="1002" spans="1:63" x14ac:dyDescent="0.25">
      <c r="A1002" s="306" t="s">
        <v>727</v>
      </c>
      <c r="B1002" s="309" t="s">
        <v>165</v>
      </c>
      <c r="C1002" s="309">
        <v>18.033000000000001</v>
      </c>
      <c r="D1002" s="309">
        <v>12.200100000000001</v>
      </c>
      <c r="E1002" s="309">
        <v>14.814</v>
      </c>
      <c r="F1002" s="309">
        <v>13.5771</v>
      </c>
      <c r="G1002" s="309">
        <v>12.2791</v>
      </c>
      <c r="H1002" s="309">
        <v>13.0031</v>
      </c>
      <c r="I1002" s="309">
        <v>14.884499999999999</v>
      </c>
      <c r="J1002" s="309">
        <v>10.549200000000001</v>
      </c>
      <c r="K1002" s="309">
        <v>0</v>
      </c>
      <c r="L1002" s="309">
        <v>9.0776000000000003</v>
      </c>
      <c r="M1002" s="309">
        <v>12.529299999999999</v>
      </c>
      <c r="N1002" s="309">
        <v>13.477399999999999</v>
      </c>
      <c r="O1002" s="309">
        <v>0</v>
      </c>
      <c r="P1002" s="309">
        <v>11.550800000000001</v>
      </c>
      <c r="Q1002" s="309">
        <v>12.165900000000001</v>
      </c>
      <c r="R1002" s="309">
        <v>13.1013</v>
      </c>
      <c r="S1002" s="309">
        <v>12.838800000000001</v>
      </c>
      <c r="T1002" s="309">
        <v>11.037800000000001</v>
      </c>
      <c r="U1002" s="309">
        <v>13.822800000000001</v>
      </c>
      <c r="V1002" s="309">
        <v>14.129200000000001</v>
      </c>
      <c r="W1002" s="309">
        <v>10.129</v>
      </c>
      <c r="X1002" s="309">
        <v>11.942299999999999</v>
      </c>
      <c r="Y1002" s="309">
        <v>13.9184</v>
      </c>
      <c r="Z1002" s="309">
        <v>13.367000000000001</v>
      </c>
      <c r="AA1002" s="309">
        <v>12.138999999999999</v>
      </c>
      <c r="AB1002" s="309">
        <v>14.101100000000001</v>
      </c>
      <c r="AC1002" s="309">
        <v>14.078799999999999</v>
      </c>
      <c r="AD1002" s="309">
        <v>12.777200000000001</v>
      </c>
      <c r="AE1002" s="309">
        <v>12.6632</v>
      </c>
      <c r="AF1002" s="309">
        <v>10.973699999999999</v>
      </c>
      <c r="AG1002" s="309">
        <v>10.817</v>
      </c>
      <c r="AH1002" s="309">
        <v>11.8714</v>
      </c>
      <c r="AI1002" s="309">
        <v>11.247299999999999</v>
      </c>
      <c r="AJ1002" s="309">
        <v>13.7567</v>
      </c>
      <c r="AK1002" s="309">
        <v>10.4953</v>
      </c>
      <c r="AL1002" s="309">
        <v>10.9201</v>
      </c>
      <c r="AM1002" s="309">
        <v>14.712899999999999</v>
      </c>
      <c r="AN1002" s="309">
        <v>16.0791</v>
      </c>
      <c r="AO1002" s="309">
        <v>12.6663</v>
      </c>
      <c r="AP1002" s="309">
        <v>14.2881</v>
      </c>
      <c r="AQ1002" s="309">
        <v>10.1431</v>
      </c>
      <c r="AR1002" s="309">
        <v>14.266400000000001</v>
      </c>
      <c r="AS1002" s="309">
        <v>9.6446000000000005</v>
      </c>
      <c r="AT1002" s="309">
        <v>14.3804</v>
      </c>
      <c r="AU1002" s="309">
        <v>14.6226</v>
      </c>
      <c r="AV1002" s="309">
        <v>16.9758</v>
      </c>
      <c r="AW1002" s="309">
        <v>12.853899999999999</v>
      </c>
      <c r="AX1002" s="309">
        <v>11.015599999999999</v>
      </c>
      <c r="AY1002" s="309">
        <v>12.7948</v>
      </c>
      <c r="AZ1002" s="309">
        <v>12.472300000000001</v>
      </c>
      <c r="BA1002" s="309">
        <v>13.0206</v>
      </c>
      <c r="BB1002" s="309">
        <v>12.2971</v>
      </c>
      <c r="BC1002" s="309">
        <v>12.1889</v>
      </c>
      <c r="BD1002" s="309">
        <v>13.756</v>
      </c>
      <c r="BE1002" s="309">
        <v>14.8375</v>
      </c>
      <c r="BF1002" s="309">
        <v>13.069699999999999</v>
      </c>
      <c r="BG1002" s="309">
        <v>14.333299999999999</v>
      </c>
      <c r="BH1002" s="309">
        <v>15.4278</v>
      </c>
      <c r="BI1002" s="309">
        <v>15.704599999999999</v>
      </c>
      <c r="BJ1002" s="309">
        <v>14.5807</v>
      </c>
      <c r="BK1002" s="309">
        <v>13.208</v>
      </c>
    </row>
    <row r="1003" spans="1:63" x14ac:dyDescent="0.25">
      <c r="A1003" s="306">
        <v>332310</v>
      </c>
      <c r="B1003" s="309" t="s">
        <v>166</v>
      </c>
      <c r="C1003" s="309">
        <v>18.591100000000001</v>
      </c>
      <c r="D1003" s="309">
        <v>9.5352999999999994</v>
      </c>
      <c r="E1003" s="309">
        <v>14.504200000000001</v>
      </c>
      <c r="F1003" s="309">
        <v>12.1755</v>
      </c>
      <c r="G1003" s="309">
        <v>12.3843</v>
      </c>
      <c r="H1003" s="309">
        <v>12.226699999999999</v>
      </c>
      <c r="I1003" s="309">
        <v>13.143800000000001</v>
      </c>
      <c r="J1003" s="309">
        <v>10.295500000000001</v>
      </c>
      <c r="K1003" s="309">
        <v>1.2999000000000001</v>
      </c>
      <c r="L1003" s="309">
        <v>8.7286000000000001</v>
      </c>
      <c r="M1003" s="309">
        <v>13.099299999999999</v>
      </c>
      <c r="N1003" s="309">
        <v>13.734999999999999</v>
      </c>
      <c r="O1003" s="309">
        <v>11.2087</v>
      </c>
      <c r="P1003" s="309">
        <v>10.726599999999999</v>
      </c>
      <c r="Q1003" s="309">
        <v>10.7959</v>
      </c>
      <c r="R1003" s="309">
        <v>14.3893</v>
      </c>
      <c r="S1003" s="309">
        <v>13.5128</v>
      </c>
      <c r="T1003" s="309">
        <v>10.5443</v>
      </c>
      <c r="U1003" s="309">
        <v>13.8659</v>
      </c>
      <c r="V1003" s="309">
        <v>12.0327</v>
      </c>
      <c r="W1003" s="309">
        <v>10.011200000000001</v>
      </c>
      <c r="X1003" s="309">
        <v>11.086600000000001</v>
      </c>
      <c r="Y1003" s="309">
        <v>11.6599</v>
      </c>
      <c r="Z1003" s="309">
        <v>14.6502</v>
      </c>
      <c r="AA1003" s="309">
        <v>11.922700000000001</v>
      </c>
      <c r="AB1003" s="309">
        <v>12.5251</v>
      </c>
      <c r="AC1003" s="309">
        <v>12.392200000000001</v>
      </c>
      <c r="AD1003" s="309">
        <v>11.312200000000001</v>
      </c>
      <c r="AE1003" s="309">
        <v>13.071300000000001</v>
      </c>
      <c r="AF1003" s="309">
        <v>8.0988000000000007</v>
      </c>
      <c r="AG1003" s="309">
        <v>9.7622999999999998</v>
      </c>
      <c r="AH1003" s="309">
        <v>10.854699999999999</v>
      </c>
      <c r="AI1003" s="309">
        <v>10.514900000000001</v>
      </c>
      <c r="AJ1003" s="309">
        <v>11.363899999999999</v>
      </c>
      <c r="AK1003" s="309">
        <v>10.4161</v>
      </c>
      <c r="AL1003" s="309">
        <v>9.1148000000000007</v>
      </c>
      <c r="AM1003" s="309">
        <v>15.125299999999999</v>
      </c>
      <c r="AN1003" s="309">
        <v>13.803000000000001</v>
      </c>
      <c r="AO1003" s="309">
        <v>13.557499999999999</v>
      </c>
      <c r="AP1003" s="309">
        <v>14.526400000000001</v>
      </c>
      <c r="AQ1003" s="309">
        <v>10.477499999999999</v>
      </c>
      <c r="AR1003" s="309">
        <v>14.3573</v>
      </c>
      <c r="AS1003" s="309">
        <v>9.1617999999999995</v>
      </c>
      <c r="AT1003" s="309">
        <v>13.146000000000001</v>
      </c>
      <c r="AU1003" s="309">
        <v>14.0413</v>
      </c>
      <c r="AV1003" s="309">
        <v>15.838800000000001</v>
      </c>
      <c r="AW1003" s="309">
        <v>11.078200000000001</v>
      </c>
      <c r="AX1003" s="309">
        <v>10.6652</v>
      </c>
      <c r="AY1003" s="309">
        <v>11.6393</v>
      </c>
      <c r="AZ1003" s="309">
        <v>13.185600000000001</v>
      </c>
      <c r="BA1003" s="309">
        <v>11.3233</v>
      </c>
      <c r="BB1003" s="309">
        <v>9.6522000000000006</v>
      </c>
      <c r="BC1003" s="309">
        <v>12.1107</v>
      </c>
      <c r="BD1003" s="309">
        <v>13.3179</v>
      </c>
      <c r="BE1003" s="309">
        <v>15.821</v>
      </c>
      <c r="BF1003" s="309">
        <v>12.6363</v>
      </c>
      <c r="BG1003" s="309">
        <v>14.3573</v>
      </c>
      <c r="BH1003" s="309">
        <v>14.973000000000001</v>
      </c>
      <c r="BI1003" s="309">
        <v>14.928699999999999</v>
      </c>
      <c r="BJ1003" s="309">
        <v>13.489000000000001</v>
      </c>
      <c r="BK1003" s="309">
        <v>12.7812</v>
      </c>
    </row>
    <row r="1004" spans="1:63" x14ac:dyDescent="0.25">
      <c r="A1004" s="306">
        <v>332320</v>
      </c>
      <c r="B1004" s="309" t="s">
        <v>167</v>
      </c>
      <c r="C1004" s="309">
        <v>19.9161</v>
      </c>
      <c r="D1004" s="309">
        <v>10.282500000000001</v>
      </c>
      <c r="E1004" s="309">
        <v>15.932499999999999</v>
      </c>
      <c r="F1004" s="309">
        <v>13.5319</v>
      </c>
      <c r="G1004" s="309">
        <v>13.425599999999999</v>
      </c>
      <c r="H1004" s="309">
        <v>13.504899999999999</v>
      </c>
      <c r="I1004" s="309">
        <v>14.7563</v>
      </c>
      <c r="J1004" s="309">
        <v>11.144299999999999</v>
      </c>
      <c r="K1004" s="309">
        <v>1.7367999999999999</v>
      </c>
      <c r="L1004" s="309">
        <v>9.5132999999999992</v>
      </c>
      <c r="M1004" s="309">
        <v>14.3552</v>
      </c>
      <c r="N1004" s="309">
        <v>14.880100000000001</v>
      </c>
      <c r="O1004" s="309">
        <v>13.0959</v>
      </c>
      <c r="P1004" s="309">
        <v>12.293799999999999</v>
      </c>
      <c r="Q1004" s="309">
        <v>12.5799</v>
      </c>
      <c r="R1004" s="309">
        <v>14.4389</v>
      </c>
      <c r="S1004" s="309">
        <v>15.431800000000001</v>
      </c>
      <c r="T1004" s="309">
        <v>12.001099999999999</v>
      </c>
      <c r="U1004" s="309">
        <v>14.475300000000001</v>
      </c>
      <c r="V1004" s="309">
        <v>13.7813</v>
      </c>
      <c r="W1004" s="309">
        <v>10.8704</v>
      </c>
      <c r="X1004" s="309">
        <v>11.4292</v>
      </c>
      <c r="Y1004" s="309">
        <v>12.3301</v>
      </c>
      <c r="Z1004" s="309">
        <v>15.3132</v>
      </c>
      <c r="AA1004" s="309">
        <v>12.5204</v>
      </c>
      <c r="AB1004" s="309">
        <v>13.4879</v>
      </c>
      <c r="AC1004" s="309">
        <v>14.053000000000001</v>
      </c>
      <c r="AD1004" s="309">
        <v>13.035</v>
      </c>
      <c r="AE1004" s="309">
        <v>14.652799999999999</v>
      </c>
      <c r="AF1004" s="309">
        <v>9.7468000000000004</v>
      </c>
      <c r="AG1004" s="309">
        <v>11.2339</v>
      </c>
      <c r="AH1004" s="309">
        <v>11.616099999999999</v>
      </c>
      <c r="AI1004" s="309">
        <v>11.757400000000001</v>
      </c>
      <c r="AJ1004" s="309">
        <v>13.1012</v>
      </c>
      <c r="AK1004" s="309">
        <v>11.6432</v>
      </c>
      <c r="AL1004" s="309">
        <v>10.0633</v>
      </c>
      <c r="AM1004" s="309">
        <v>16.069299999999998</v>
      </c>
      <c r="AN1004" s="309">
        <v>15.380100000000001</v>
      </c>
      <c r="AO1004" s="309">
        <v>14.320600000000001</v>
      </c>
      <c r="AP1004" s="309">
        <v>15.693899999999999</v>
      </c>
      <c r="AQ1004" s="309">
        <v>11.316000000000001</v>
      </c>
      <c r="AR1004" s="309">
        <v>16.1525</v>
      </c>
      <c r="AS1004" s="309">
        <v>11.883100000000001</v>
      </c>
      <c r="AT1004" s="309">
        <v>14.867800000000001</v>
      </c>
      <c r="AU1004" s="309">
        <v>15.923500000000001</v>
      </c>
      <c r="AV1004" s="309">
        <v>16.7745</v>
      </c>
      <c r="AW1004" s="309">
        <v>12.4541</v>
      </c>
      <c r="AX1004" s="309">
        <v>12.2036</v>
      </c>
      <c r="AY1004" s="309">
        <v>13.079800000000001</v>
      </c>
      <c r="AZ1004" s="309">
        <v>13.908899999999999</v>
      </c>
      <c r="BA1004" s="309">
        <v>12.9611</v>
      </c>
      <c r="BB1004" s="309">
        <v>11.5318</v>
      </c>
      <c r="BC1004" s="309">
        <v>12.973800000000001</v>
      </c>
      <c r="BD1004" s="309">
        <v>14.309900000000001</v>
      </c>
      <c r="BE1004" s="309">
        <v>16.734200000000001</v>
      </c>
      <c r="BF1004" s="309">
        <v>13.8171</v>
      </c>
      <c r="BG1004" s="309">
        <v>15.9247</v>
      </c>
      <c r="BH1004" s="309">
        <v>16.480699999999999</v>
      </c>
      <c r="BI1004" s="309">
        <v>16.728000000000002</v>
      </c>
      <c r="BJ1004" s="309">
        <v>14.657500000000001</v>
      </c>
      <c r="BK1004" s="309">
        <v>14.0868</v>
      </c>
    </row>
    <row r="1005" spans="1:63" x14ac:dyDescent="0.25">
      <c r="A1005" s="306">
        <v>332410</v>
      </c>
      <c r="B1005" s="309" t="s">
        <v>168</v>
      </c>
      <c r="C1005" s="309">
        <v>17.851900000000001</v>
      </c>
      <c r="D1005" s="309">
        <v>0</v>
      </c>
      <c r="E1005" s="309">
        <v>13.634499999999999</v>
      </c>
      <c r="F1005" s="309">
        <v>0</v>
      </c>
      <c r="G1005" s="309">
        <v>0</v>
      </c>
      <c r="H1005" s="309">
        <v>12.2301</v>
      </c>
      <c r="I1005" s="309">
        <v>13.467000000000001</v>
      </c>
      <c r="J1005" s="309">
        <v>9.5235000000000003</v>
      </c>
      <c r="K1005" s="309">
        <v>0</v>
      </c>
      <c r="L1005" s="309">
        <v>7.6582999999999997</v>
      </c>
      <c r="M1005" s="309">
        <v>12.033099999999999</v>
      </c>
      <c r="N1005" s="309">
        <v>12.8751</v>
      </c>
      <c r="O1005" s="309">
        <v>0</v>
      </c>
      <c r="P1005" s="309">
        <v>11.563800000000001</v>
      </c>
      <c r="Q1005" s="309">
        <v>0</v>
      </c>
      <c r="R1005" s="309">
        <v>14.0084</v>
      </c>
      <c r="S1005" s="309">
        <v>14.3156</v>
      </c>
      <c r="T1005" s="309">
        <v>11.217700000000001</v>
      </c>
      <c r="U1005" s="309">
        <v>11.527100000000001</v>
      </c>
      <c r="V1005" s="309">
        <v>12.1168</v>
      </c>
      <c r="W1005" s="309">
        <v>9.4359999999999999</v>
      </c>
      <c r="X1005" s="309">
        <v>0</v>
      </c>
      <c r="Y1005" s="309">
        <v>0</v>
      </c>
      <c r="Z1005" s="309">
        <v>14.383599999999999</v>
      </c>
      <c r="AA1005" s="309">
        <v>11.1881</v>
      </c>
      <c r="AB1005" s="309">
        <v>12.149800000000001</v>
      </c>
      <c r="AC1005" s="309">
        <v>11.743600000000001</v>
      </c>
      <c r="AD1005" s="309">
        <v>0</v>
      </c>
      <c r="AE1005" s="309">
        <v>13.5961</v>
      </c>
      <c r="AF1005" s="309">
        <v>0</v>
      </c>
      <c r="AG1005" s="309">
        <v>0</v>
      </c>
      <c r="AH1005" s="309">
        <v>10.0692</v>
      </c>
      <c r="AI1005" s="309">
        <v>9.5922999999999998</v>
      </c>
      <c r="AJ1005" s="309">
        <v>11.8878</v>
      </c>
      <c r="AK1005" s="309">
        <v>10.002700000000001</v>
      </c>
      <c r="AL1005" s="309">
        <v>8.9760000000000009</v>
      </c>
      <c r="AM1005" s="309">
        <v>13.660399999999999</v>
      </c>
      <c r="AN1005" s="309">
        <v>12.7532</v>
      </c>
      <c r="AO1005" s="309">
        <v>12.825799999999999</v>
      </c>
      <c r="AP1005" s="309">
        <v>14.418200000000001</v>
      </c>
      <c r="AQ1005" s="309">
        <v>11.8081</v>
      </c>
      <c r="AR1005" s="309">
        <v>14.234</v>
      </c>
      <c r="AS1005" s="309">
        <v>10.651300000000001</v>
      </c>
      <c r="AT1005" s="309">
        <v>14.897600000000001</v>
      </c>
      <c r="AU1005" s="309">
        <v>13.3865</v>
      </c>
      <c r="AV1005" s="309">
        <v>0</v>
      </c>
      <c r="AW1005" s="309">
        <v>11.118</v>
      </c>
      <c r="AX1005" s="309">
        <v>0</v>
      </c>
      <c r="AY1005" s="309">
        <v>12.954700000000001</v>
      </c>
      <c r="AZ1005" s="309">
        <v>13.0258</v>
      </c>
      <c r="BA1005" s="309">
        <v>11.443300000000001</v>
      </c>
      <c r="BB1005" s="309">
        <v>0</v>
      </c>
      <c r="BC1005" s="309">
        <v>11.269399999999999</v>
      </c>
      <c r="BD1005" s="309">
        <v>12.804399999999999</v>
      </c>
      <c r="BE1005" s="309">
        <v>14.771100000000001</v>
      </c>
      <c r="BF1005" s="309">
        <v>12.6167</v>
      </c>
      <c r="BG1005" s="309">
        <v>13.843500000000001</v>
      </c>
      <c r="BH1005" s="309">
        <v>14.949199999999999</v>
      </c>
      <c r="BI1005" s="309">
        <v>14.1937</v>
      </c>
      <c r="BJ1005" s="309">
        <v>13.5974</v>
      </c>
      <c r="BK1005" s="309">
        <v>13.0082</v>
      </c>
    </row>
    <row r="1006" spans="1:63" x14ac:dyDescent="0.25">
      <c r="A1006" s="306">
        <v>332420</v>
      </c>
      <c r="B1006" s="309" t="s">
        <v>169</v>
      </c>
      <c r="C1006" s="309">
        <v>19.058399999999999</v>
      </c>
      <c r="D1006" s="309">
        <v>0</v>
      </c>
      <c r="E1006" s="309">
        <v>14.7818</v>
      </c>
      <c r="F1006" s="309">
        <v>13.6938</v>
      </c>
      <c r="G1006" s="309">
        <v>12.029400000000001</v>
      </c>
      <c r="H1006" s="309">
        <v>12.1706</v>
      </c>
      <c r="I1006" s="309">
        <v>13.3848</v>
      </c>
      <c r="J1006" s="309">
        <v>9.0442999999999998</v>
      </c>
      <c r="K1006" s="309">
        <v>0</v>
      </c>
      <c r="L1006" s="309">
        <v>11.3535</v>
      </c>
      <c r="M1006" s="309">
        <v>13.2624</v>
      </c>
      <c r="N1006" s="309">
        <v>13.5542</v>
      </c>
      <c r="O1006" s="309">
        <v>0</v>
      </c>
      <c r="P1006" s="309">
        <v>10.9956</v>
      </c>
      <c r="Q1006" s="309">
        <v>12.4785</v>
      </c>
      <c r="R1006" s="309">
        <v>14.729699999999999</v>
      </c>
      <c r="S1006" s="309">
        <v>13.770200000000001</v>
      </c>
      <c r="T1006" s="309">
        <v>10.7257</v>
      </c>
      <c r="U1006" s="309">
        <v>13.471500000000001</v>
      </c>
      <c r="V1006" s="309">
        <v>12.101900000000001</v>
      </c>
      <c r="W1006" s="309">
        <v>10.748200000000001</v>
      </c>
      <c r="X1006" s="309">
        <v>11.547499999999999</v>
      </c>
      <c r="Y1006" s="309">
        <v>9.5062999999999995</v>
      </c>
      <c r="Z1006" s="309">
        <v>14.946099999999999</v>
      </c>
      <c r="AA1006" s="309">
        <v>11.8932</v>
      </c>
      <c r="AB1006" s="309">
        <v>12.2135</v>
      </c>
      <c r="AC1006" s="309">
        <v>12.546099999999999</v>
      </c>
      <c r="AD1006" s="309">
        <v>0</v>
      </c>
      <c r="AE1006" s="309">
        <v>13.347200000000001</v>
      </c>
      <c r="AF1006" s="309">
        <v>8.9762000000000004</v>
      </c>
      <c r="AG1006" s="309">
        <v>11.2639</v>
      </c>
      <c r="AH1006" s="309">
        <v>0</v>
      </c>
      <c r="AI1006" s="309">
        <v>9.4811999999999994</v>
      </c>
      <c r="AJ1006" s="309">
        <v>12.8634</v>
      </c>
      <c r="AK1006" s="309">
        <v>11.125500000000001</v>
      </c>
      <c r="AL1006" s="309">
        <v>7.9242999999999997</v>
      </c>
      <c r="AM1006" s="309">
        <v>14.819699999999999</v>
      </c>
      <c r="AN1006" s="309">
        <v>14.9231</v>
      </c>
      <c r="AO1006" s="309">
        <v>13.4537</v>
      </c>
      <c r="AP1006" s="309">
        <v>15.23</v>
      </c>
      <c r="AQ1006" s="309">
        <v>11.555400000000001</v>
      </c>
      <c r="AR1006" s="309">
        <v>14.3635</v>
      </c>
      <c r="AS1006" s="309">
        <v>9.1309000000000005</v>
      </c>
      <c r="AT1006" s="309">
        <v>15.2392</v>
      </c>
      <c r="AU1006" s="309">
        <v>15.226699999999999</v>
      </c>
      <c r="AV1006" s="309">
        <v>16.808900000000001</v>
      </c>
      <c r="AW1006" s="309">
        <v>14.581200000000001</v>
      </c>
      <c r="AX1006" s="309">
        <v>0</v>
      </c>
      <c r="AY1006" s="309">
        <v>12.114599999999999</v>
      </c>
      <c r="AZ1006" s="309">
        <v>14.5966</v>
      </c>
      <c r="BA1006" s="309">
        <v>12.9351</v>
      </c>
      <c r="BB1006" s="309">
        <v>9.3056999999999999</v>
      </c>
      <c r="BC1006" s="309">
        <v>12.411899999999999</v>
      </c>
      <c r="BD1006" s="309">
        <v>13.2226</v>
      </c>
      <c r="BE1006" s="309">
        <v>15.9808</v>
      </c>
      <c r="BF1006" s="309">
        <v>12.656700000000001</v>
      </c>
      <c r="BG1006" s="309">
        <v>14.7767</v>
      </c>
      <c r="BH1006" s="309">
        <v>15.820600000000001</v>
      </c>
      <c r="BI1006" s="309">
        <v>15.890700000000001</v>
      </c>
      <c r="BJ1006" s="309">
        <v>14.217599999999999</v>
      </c>
      <c r="BK1006" s="309">
        <v>12.7774</v>
      </c>
    </row>
    <row r="1007" spans="1:63" x14ac:dyDescent="0.25">
      <c r="A1007" s="306">
        <v>332430</v>
      </c>
      <c r="B1007" s="309" t="s">
        <v>170</v>
      </c>
      <c r="C1007" s="309">
        <v>14.2766</v>
      </c>
      <c r="D1007" s="309">
        <v>0</v>
      </c>
      <c r="E1007" s="309">
        <v>10.9064</v>
      </c>
      <c r="F1007" s="309">
        <v>9.3423999999999996</v>
      </c>
      <c r="G1007" s="309">
        <v>8.1961999999999993</v>
      </c>
      <c r="H1007" s="309">
        <v>8.1082000000000001</v>
      </c>
      <c r="I1007" s="309">
        <v>7.7746000000000004</v>
      </c>
      <c r="J1007" s="309">
        <v>6.9255000000000004</v>
      </c>
      <c r="K1007" s="309">
        <v>0</v>
      </c>
      <c r="L1007" s="309">
        <v>5.5452000000000004</v>
      </c>
      <c r="M1007" s="309">
        <v>7.9778000000000002</v>
      </c>
      <c r="N1007" s="309">
        <v>9.4431999999999992</v>
      </c>
      <c r="O1007" s="309">
        <v>5.6532999999999998</v>
      </c>
      <c r="P1007" s="309">
        <v>7.4600999999999997</v>
      </c>
      <c r="Q1007" s="309">
        <v>6.3341000000000003</v>
      </c>
      <c r="R1007" s="309">
        <v>9.5481999999999996</v>
      </c>
      <c r="S1007" s="309">
        <v>10.134399999999999</v>
      </c>
      <c r="T1007" s="309">
        <v>7.2042999999999999</v>
      </c>
      <c r="U1007" s="309">
        <v>10.1089</v>
      </c>
      <c r="V1007" s="309">
        <v>7.6787000000000001</v>
      </c>
      <c r="W1007" s="309">
        <v>6.2344999999999997</v>
      </c>
      <c r="X1007" s="309">
        <v>6.5784000000000002</v>
      </c>
      <c r="Y1007" s="309">
        <v>7.0260999999999996</v>
      </c>
      <c r="Z1007" s="309">
        <v>9.8643000000000001</v>
      </c>
      <c r="AA1007" s="309">
        <v>8.2498000000000005</v>
      </c>
      <c r="AB1007" s="309">
        <v>8.7257999999999996</v>
      </c>
      <c r="AC1007" s="309">
        <v>8.5767000000000007</v>
      </c>
      <c r="AD1007" s="309">
        <v>0</v>
      </c>
      <c r="AE1007" s="309">
        <v>7.8834999999999997</v>
      </c>
      <c r="AF1007" s="309">
        <v>5.2321</v>
      </c>
      <c r="AG1007" s="309">
        <v>5.1510999999999996</v>
      </c>
      <c r="AH1007" s="309">
        <v>7.6670999999999996</v>
      </c>
      <c r="AI1007" s="309">
        <v>6.9612999999999996</v>
      </c>
      <c r="AJ1007" s="309">
        <v>6.6666999999999996</v>
      </c>
      <c r="AK1007" s="309">
        <v>6.7995999999999999</v>
      </c>
      <c r="AL1007" s="309">
        <v>5.3857999999999997</v>
      </c>
      <c r="AM1007" s="309">
        <v>11.287000000000001</v>
      </c>
      <c r="AN1007" s="309">
        <v>8.7295999999999996</v>
      </c>
      <c r="AO1007" s="309">
        <v>9.6175999999999995</v>
      </c>
      <c r="AP1007" s="309">
        <v>10.767099999999999</v>
      </c>
      <c r="AQ1007" s="309">
        <v>7.2527999999999997</v>
      </c>
      <c r="AR1007" s="309">
        <v>10.4756</v>
      </c>
      <c r="AS1007" s="309">
        <v>6.8606999999999996</v>
      </c>
      <c r="AT1007" s="309">
        <v>10.0753</v>
      </c>
      <c r="AU1007" s="309">
        <v>10.1098</v>
      </c>
      <c r="AV1007" s="309">
        <v>10.738300000000001</v>
      </c>
      <c r="AW1007" s="309">
        <v>7.4862000000000002</v>
      </c>
      <c r="AX1007" s="309">
        <v>6.8312999999999997</v>
      </c>
      <c r="AY1007" s="309">
        <v>7.8583999999999996</v>
      </c>
      <c r="AZ1007" s="309">
        <v>8.9648000000000003</v>
      </c>
      <c r="BA1007" s="309">
        <v>7.7489999999999997</v>
      </c>
      <c r="BB1007" s="309">
        <v>5.4189999999999996</v>
      </c>
      <c r="BC1007" s="309">
        <v>7.92</v>
      </c>
      <c r="BD1007" s="309">
        <v>9.0752000000000006</v>
      </c>
      <c r="BE1007" s="309">
        <v>11.8024</v>
      </c>
      <c r="BF1007" s="309">
        <v>9.1734000000000009</v>
      </c>
      <c r="BG1007" s="309">
        <v>9.7942999999999998</v>
      </c>
      <c r="BH1007" s="309">
        <v>11.4382</v>
      </c>
      <c r="BI1007" s="309">
        <v>11.0382</v>
      </c>
      <c r="BJ1007" s="309">
        <v>8.4300999999999995</v>
      </c>
      <c r="BK1007" s="309">
        <v>8.5615000000000006</v>
      </c>
    </row>
    <row r="1008" spans="1:63" x14ac:dyDescent="0.25">
      <c r="A1008" s="306">
        <v>332500</v>
      </c>
      <c r="B1008" s="309" t="s">
        <v>173</v>
      </c>
      <c r="C1008" s="309">
        <v>16.7988</v>
      </c>
      <c r="D1008" s="309">
        <v>0</v>
      </c>
      <c r="E1008" s="309">
        <v>14.5158</v>
      </c>
      <c r="F1008" s="309">
        <v>13.2874</v>
      </c>
      <c r="G1008" s="309">
        <v>9.7393999999999998</v>
      </c>
      <c r="H1008" s="309">
        <v>10.978400000000001</v>
      </c>
      <c r="I1008" s="309">
        <v>11.622199999999999</v>
      </c>
      <c r="J1008" s="309">
        <v>8.8351000000000006</v>
      </c>
      <c r="K1008" s="309">
        <v>0</v>
      </c>
      <c r="L1008" s="309">
        <v>8.4977</v>
      </c>
      <c r="M1008" s="309">
        <v>11.308999999999999</v>
      </c>
      <c r="N1008" s="309">
        <v>12.115399999999999</v>
      </c>
      <c r="O1008" s="309">
        <v>8.6464999999999996</v>
      </c>
      <c r="P1008" s="309">
        <v>10.177899999999999</v>
      </c>
      <c r="Q1008" s="309">
        <v>10.7646</v>
      </c>
      <c r="R1008" s="309">
        <v>12.9777</v>
      </c>
      <c r="S1008" s="309">
        <v>11.7119</v>
      </c>
      <c r="T1008" s="309">
        <v>11.454800000000001</v>
      </c>
      <c r="U1008" s="309">
        <v>12.2713</v>
      </c>
      <c r="V1008" s="309">
        <v>8.9777000000000005</v>
      </c>
      <c r="W1008" s="309">
        <v>10.1435</v>
      </c>
      <c r="X1008" s="309">
        <v>9.8878000000000004</v>
      </c>
      <c r="Y1008" s="309">
        <v>11.8118</v>
      </c>
      <c r="Z1008" s="309">
        <v>12.624700000000001</v>
      </c>
      <c r="AA1008" s="309">
        <v>11.6159</v>
      </c>
      <c r="AB1008" s="309">
        <v>11.394299999999999</v>
      </c>
      <c r="AC1008" s="309">
        <v>12.699299999999999</v>
      </c>
      <c r="AD1008" s="309">
        <v>12.3552</v>
      </c>
      <c r="AE1008" s="309">
        <v>12.8689</v>
      </c>
      <c r="AF1008" s="309">
        <v>0</v>
      </c>
      <c r="AG1008" s="309">
        <v>11.535500000000001</v>
      </c>
      <c r="AH1008" s="309">
        <v>10.4086</v>
      </c>
      <c r="AI1008" s="309">
        <v>10.567500000000001</v>
      </c>
      <c r="AJ1008" s="309">
        <v>0</v>
      </c>
      <c r="AK1008" s="309">
        <v>10.107100000000001</v>
      </c>
      <c r="AL1008" s="309">
        <v>8.4166000000000007</v>
      </c>
      <c r="AM1008" s="309">
        <v>14.3903</v>
      </c>
      <c r="AN1008" s="309">
        <v>13.1295</v>
      </c>
      <c r="AO1008" s="309">
        <v>12.4779</v>
      </c>
      <c r="AP1008" s="309">
        <v>13.3047</v>
      </c>
      <c r="AQ1008" s="309">
        <v>11.659000000000001</v>
      </c>
      <c r="AR1008" s="309">
        <v>13.2775</v>
      </c>
      <c r="AS1008" s="309">
        <v>10.019</v>
      </c>
      <c r="AT1008" s="309">
        <v>13.494300000000001</v>
      </c>
      <c r="AU1008" s="309">
        <v>12.861000000000001</v>
      </c>
      <c r="AV1008" s="309">
        <v>15.707599999999999</v>
      </c>
      <c r="AW1008" s="309">
        <v>10.439</v>
      </c>
      <c r="AX1008" s="309">
        <v>0</v>
      </c>
      <c r="AY1008" s="309">
        <v>10.0337</v>
      </c>
      <c r="AZ1008" s="309">
        <v>12.004799999999999</v>
      </c>
      <c r="BA1008" s="309">
        <v>11.917999999999999</v>
      </c>
      <c r="BB1008" s="309">
        <v>0</v>
      </c>
      <c r="BC1008" s="309">
        <v>10.7279</v>
      </c>
      <c r="BD1008" s="309">
        <v>11.9603</v>
      </c>
      <c r="BE1008" s="309">
        <v>13.9154</v>
      </c>
      <c r="BF1008" s="309">
        <v>12.2059</v>
      </c>
      <c r="BG1008" s="309">
        <v>13.451000000000001</v>
      </c>
      <c r="BH1008" s="309">
        <v>14.474500000000001</v>
      </c>
      <c r="BI1008" s="309">
        <v>13.7408</v>
      </c>
      <c r="BJ1008" s="309">
        <v>11.9826</v>
      </c>
      <c r="BK1008" s="309">
        <v>11.2956</v>
      </c>
    </row>
    <row r="1009" spans="1:63" x14ac:dyDescent="0.25">
      <c r="A1009" s="306">
        <v>332600</v>
      </c>
      <c r="B1009" s="309" t="s">
        <v>174</v>
      </c>
      <c r="C1009" s="309">
        <v>18.306699999999999</v>
      </c>
      <c r="D1009" s="309">
        <v>0</v>
      </c>
      <c r="E1009" s="309">
        <v>14.284700000000001</v>
      </c>
      <c r="F1009" s="309">
        <v>14.381600000000001</v>
      </c>
      <c r="G1009" s="309">
        <v>12.0779</v>
      </c>
      <c r="H1009" s="309">
        <v>11.9542</v>
      </c>
      <c r="I1009" s="309">
        <v>13.545400000000001</v>
      </c>
      <c r="J1009" s="309">
        <v>10.2925</v>
      </c>
      <c r="K1009" s="309">
        <v>0</v>
      </c>
      <c r="L1009" s="309">
        <v>10.279</v>
      </c>
      <c r="M1009" s="309">
        <v>12.376899999999999</v>
      </c>
      <c r="N1009" s="309">
        <v>12.824199999999999</v>
      </c>
      <c r="O1009" s="309">
        <v>0</v>
      </c>
      <c r="P1009" s="309">
        <v>12.597099999999999</v>
      </c>
      <c r="Q1009" s="309">
        <v>11.977</v>
      </c>
      <c r="R1009" s="309">
        <v>14.0701</v>
      </c>
      <c r="S1009" s="309">
        <v>13.3064</v>
      </c>
      <c r="T1009" s="309">
        <v>10.9055</v>
      </c>
      <c r="U1009" s="309">
        <v>13.7349</v>
      </c>
      <c r="V1009" s="309">
        <v>12.7705</v>
      </c>
      <c r="W1009" s="309">
        <v>10.301</v>
      </c>
      <c r="X1009" s="309">
        <v>11.318</v>
      </c>
      <c r="Y1009" s="309">
        <v>13.3291</v>
      </c>
      <c r="Z1009" s="309">
        <v>14.628</v>
      </c>
      <c r="AA1009" s="309">
        <v>12.3863</v>
      </c>
      <c r="AB1009" s="309">
        <v>13.2928</v>
      </c>
      <c r="AC1009" s="309">
        <v>12.934699999999999</v>
      </c>
      <c r="AD1009" s="309">
        <v>0</v>
      </c>
      <c r="AE1009" s="309">
        <v>13.410399999999999</v>
      </c>
      <c r="AF1009" s="309">
        <v>10.0608</v>
      </c>
      <c r="AG1009" s="309">
        <v>11.094799999999999</v>
      </c>
      <c r="AH1009" s="309">
        <v>11.583299999999999</v>
      </c>
      <c r="AI1009" s="309">
        <v>10.7156</v>
      </c>
      <c r="AJ1009" s="309">
        <v>12.6564</v>
      </c>
      <c r="AK1009" s="309">
        <v>9.5639000000000003</v>
      </c>
      <c r="AL1009" s="309">
        <v>10.056100000000001</v>
      </c>
      <c r="AM1009" s="309">
        <v>14.803699999999999</v>
      </c>
      <c r="AN1009" s="309">
        <v>15.464</v>
      </c>
      <c r="AO1009" s="309">
        <v>13.0557</v>
      </c>
      <c r="AP1009" s="309">
        <v>14.6225</v>
      </c>
      <c r="AQ1009" s="309">
        <v>11.0875</v>
      </c>
      <c r="AR1009" s="309">
        <v>14.2186</v>
      </c>
      <c r="AS1009" s="309">
        <v>11.3088</v>
      </c>
      <c r="AT1009" s="309">
        <v>14.5184</v>
      </c>
      <c r="AU1009" s="309">
        <v>14.5124</v>
      </c>
      <c r="AV1009" s="309">
        <v>15.34</v>
      </c>
      <c r="AW1009" s="309">
        <v>11.9831</v>
      </c>
      <c r="AX1009" s="309">
        <v>10.0062</v>
      </c>
      <c r="AY1009" s="309">
        <v>11.5411</v>
      </c>
      <c r="AZ1009" s="309">
        <v>13.3841</v>
      </c>
      <c r="BA1009" s="309">
        <v>12.1485</v>
      </c>
      <c r="BB1009" s="309">
        <v>0</v>
      </c>
      <c r="BC1009" s="309">
        <v>12.304</v>
      </c>
      <c r="BD1009" s="309">
        <v>13.4499</v>
      </c>
      <c r="BE1009" s="309">
        <v>15.444000000000001</v>
      </c>
      <c r="BF1009" s="309">
        <v>13.3323</v>
      </c>
      <c r="BG1009" s="309">
        <v>14.0784</v>
      </c>
      <c r="BH1009" s="309">
        <v>15.2982</v>
      </c>
      <c r="BI1009" s="309">
        <v>15.598800000000001</v>
      </c>
      <c r="BJ1009" s="309">
        <v>13.1897</v>
      </c>
      <c r="BK1009" s="309">
        <v>12.405099999999999</v>
      </c>
    </row>
    <row r="1010" spans="1:63" x14ac:dyDescent="0.25">
      <c r="A1010" s="306">
        <v>332710</v>
      </c>
      <c r="B1010" s="309" t="s">
        <v>175</v>
      </c>
      <c r="C1010" s="309">
        <v>22.470800000000001</v>
      </c>
      <c r="D1010" s="309">
        <v>12.0671</v>
      </c>
      <c r="E1010" s="309">
        <v>18.522600000000001</v>
      </c>
      <c r="F1010" s="309">
        <v>17.243600000000001</v>
      </c>
      <c r="G1010" s="309">
        <v>15.852600000000001</v>
      </c>
      <c r="H1010" s="309">
        <v>16.006599999999999</v>
      </c>
      <c r="I1010" s="309">
        <v>17.536300000000001</v>
      </c>
      <c r="J1010" s="309">
        <v>13.5215</v>
      </c>
      <c r="K1010" s="309">
        <v>0</v>
      </c>
      <c r="L1010" s="309">
        <v>11.767200000000001</v>
      </c>
      <c r="M1010" s="309">
        <v>17.375499999999999</v>
      </c>
      <c r="N1010" s="309">
        <v>17.662199999999999</v>
      </c>
      <c r="O1010" s="309">
        <v>16.682400000000001</v>
      </c>
      <c r="P1010" s="309">
        <v>15.080299999999999</v>
      </c>
      <c r="Q1010" s="309">
        <v>15.8155</v>
      </c>
      <c r="R1010" s="309">
        <v>17.465699999999998</v>
      </c>
      <c r="S1010" s="309">
        <v>17.316400000000002</v>
      </c>
      <c r="T1010" s="309">
        <v>14.8436</v>
      </c>
      <c r="U1010" s="309">
        <v>17.075299999999999</v>
      </c>
      <c r="V1010" s="309">
        <v>14.911300000000001</v>
      </c>
      <c r="W1010" s="309">
        <v>13.334899999999999</v>
      </c>
      <c r="X1010" s="309">
        <v>13.5916</v>
      </c>
      <c r="Y1010" s="309">
        <v>15.2811</v>
      </c>
      <c r="Z1010" s="309">
        <v>18.043299999999999</v>
      </c>
      <c r="AA1010" s="309">
        <v>15.904500000000001</v>
      </c>
      <c r="AB1010" s="309">
        <v>17.438199999999998</v>
      </c>
      <c r="AC1010" s="309">
        <v>15.6892</v>
      </c>
      <c r="AD1010" s="309">
        <v>16.872199999999999</v>
      </c>
      <c r="AE1010" s="309">
        <v>17.854600000000001</v>
      </c>
      <c r="AF1010" s="309">
        <v>13.0436</v>
      </c>
      <c r="AG1010" s="309">
        <v>15.282400000000001</v>
      </c>
      <c r="AH1010" s="309">
        <v>14.158200000000001</v>
      </c>
      <c r="AI1010" s="309">
        <v>13.795500000000001</v>
      </c>
      <c r="AJ1010" s="309">
        <v>16.702200000000001</v>
      </c>
      <c r="AK1010" s="309">
        <v>15.736499999999999</v>
      </c>
      <c r="AL1010" s="309">
        <v>13.1469</v>
      </c>
      <c r="AM1010" s="309">
        <v>18.542899999999999</v>
      </c>
      <c r="AN1010" s="309">
        <v>18.337599999999998</v>
      </c>
      <c r="AO1010" s="309">
        <v>17.679600000000001</v>
      </c>
      <c r="AP1010" s="309">
        <v>18.492699999999999</v>
      </c>
      <c r="AQ1010" s="309">
        <v>14.7463</v>
      </c>
      <c r="AR1010" s="309">
        <v>19.204799999999999</v>
      </c>
      <c r="AS1010" s="309">
        <v>14.999700000000001</v>
      </c>
      <c r="AT1010" s="309">
        <v>17.645700000000001</v>
      </c>
      <c r="AU1010" s="309">
        <v>17.215399999999999</v>
      </c>
      <c r="AV1010" s="309">
        <v>20.837900000000001</v>
      </c>
      <c r="AW1010" s="309">
        <v>16.141999999999999</v>
      </c>
      <c r="AX1010" s="309">
        <v>16.163399999999999</v>
      </c>
      <c r="AY1010" s="309">
        <v>16.506399999999999</v>
      </c>
      <c r="AZ1010" s="309">
        <v>18.012799999999999</v>
      </c>
      <c r="BA1010" s="309">
        <v>14.6106</v>
      </c>
      <c r="BB1010" s="309">
        <v>12.082700000000001</v>
      </c>
      <c r="BC1010" s="309">
        <v>15.859400000000001</v>
      </c>
      <c r="BD1010" s="309">
        <v>17.006</v>
      </c>
      <c r="BE1010" s="309">
        <v>19.392700000000001</v>
      </c>
      <c r="BF1010" s="309">
        <v>17.162400000000002</v>
      </c>
      <c r="BG1010" s="309">
        <v>18.9541</v>
      </c>
      <c r="BH1010" s="309">
        <v>19.0517</v>
      </c>
      <c r="BI1010" s="309">
        <v>18.109300000000001</v>
      </c>
      <c r="BJ1010" s="309">
        <v>17.932700000000001</v>
      </c>
      <c r="BK1010" s="309">
        <v>16.775500000000001</v>
      </c>
    </row>
    <row r="1011" spans="1:63" x14ac:dyDescent="0.25">
      <c r="A1011" s="306">
        <v>332720</v>
      </c>
      <c r="B1011" s="309" t="s">
        <v>176</v>
      </c>
      <c r="C1011" s="309">
        <v>19.337599999999998</v>
      </c>
      <c r="D1011" s="309">
        <v>0</v>
      </c>
      <c r="E1011" s="309">
        <v>15.207800000000001</v>
      </c>
      <c r="F1011" s="309">
        <v>15.046799999999999</v>
      </c>
      <c r="G1011" s="309">
        <v>13.364800000000001</v>
      </c>
      <c r="H1011" s="309">
        <v>12.998900000000001</v>
      </c>
      <c r="I1011" s="309">
        <v>15.4673</v>
      </c>
      <c r="J1011" s="309">
        <v>11.787000000000001</v>
      </c>
      <c r="K1011" s="309">
        <v>0</v>
      </c>
      <c r="L1011" s="309">
        <v>10.766299999999999</v>
      </c>
      <c r="M1011" s="309">
        <v>13.943300000000001</v>
      </c>
      <c r="N1011" s="309">
        <v>14.2339</v>
      </c>
      <c r="O1011" s="309">
        <v>0</v>
      </c>
      <c r="P1011" s="309">
        <v>13.0718</v>
      </c>
      <c r="Q1011" s="309">
        <v>13.172800000000001</v>
      </c>
      <c r="R1011" s="309">
        <v>14.8367</v>
      </c>
      <c r="S1011" s="309">
        <v>14.9452</v>
      </c>
      <c r="T1011" s="309">
        <v>11.574400000000001</v>
      </c>
      <c r="U1011" s="309">
        <v>15.3169</v>
      </c>
      <c r="V1011" s="309">
        <v>14.847799999999999</v>
      </c>
      <c r="W1011" s="309">
        <v>11.129799999999999</v>
      </c>
      <c r="X1011" s="309">
        <v>12.2234</v>
      </c>
      <c r="Y1011" s="309">
        <v>14.1905</v>
      </c>
      <c r="Z1011" s="309">
        <v>15.376200000000001</v>
      </c>
      <c r="AA1011" s="309">
        <v>13.9984</v>
      </c>
      <c r="AB1011" s="309">
        <v>15.020200000000001</v>
      </c>
      <c r="AC1011" s="309">
        <v>14.345800000000001</v>
      </c>
      <c r="AD1011" s="309">
        <v>12.8306</v>
      </c>
      <c r="AE1011" s="309">
        <v>14.146599999999999</v>
      </c>
      <c r="AF1011" s="309">
        <v>0</v>
      </c>
      <c r="AG1011" s="309">
        <v>12.895799999999999</v>
      </c>
      <c r="AH1011" s="309">
        <v>12.3071</v>
      </c>
      <c r="AI1011" s="309">
        <v>11.861599999999999</v>
      </c>
      <c r="AJ1011" s="309">
        <v>12.2918</v>
      </c>
      <c r="AK1011" s="309">
        <v>12.987</v>
      </c>
      <c r="AL1011" s="309">
        <v>11.520200000000001</v>
      </c>
      <c r="AM1011" s="309">
        <v>16.088200000000001</v>
      </c>
      <c r="AN1011" s="309">
        <v>16.380500000000001</v>
      </c>
      <c r="AO1011" s="309">
        <v>14.1349</v>
      </c>
      <c r="AP1011" s="309">
        <v>15.0997</v>
      </c>
      <c r="AQ1011" s="309">
        <v>12.866400000000001</v>
      </c>
      <c r="AR1011" s="309">
        <v>15.5579</v>
      </c>
      <c r="AS1011" s="309">
        <v>12.509399999999999</v>
      </c>
      <c r="AT1011" s="309">
        <v>14.804500000000001</v>
      </c>
      <c r="AU1011" s="309">
        <v>14.6853</v>
      </c>
      <c r="AV1011" s="309">
        <v>18.036300000000001</v>
      </c>
      <c r="AW1011" s="309">
        <v>13.8645</v>
      </c>
      <c r="AX1011" s="309">
        <v>10.850899999999999</v>
      </c>
      <c r="AY1011" s="309">
        <v>12.5291</v>
      </c>
      <c r="AZ1011" s="309">
        <v>15.4056</v>
      </c>
      <c r="BA1011" s="309">
        <v>11.765700000000001</v>
      </c>
      <c r="BB1011" s="309">
        <v>0</v>
      </c>
      <c r="BC1011" s="309">
        <v>13.652699999999999</v>
      </c>
      <c r="BD1011" s="309">
        <v>14.407</v>
      </c>
      <c r="BE1011" s="309">
        <v>16.6021</v>
      </c>
      <c r="BF1011" s="309">
        <v>14.748900000000001</v>
      </c>
      <c r="BG1011" s="309">
        <v>15.485799999999999</v>
      </c>
      <c r="BH1011" s="309">
        <v>16.275700000000001</v>
      </c>
      <c r="BI1011" s="309">
        <v>15.7056</v>
      </c>
      <c r="BJ1011" s="309">
        <v>15.34</v>
      </c>
      <c r="BK1011" s="309">
        <v>13.4269</v>
      </c>
    </row>
    <row r="1012" spans="1:63" x14ac:dyDescent="0.25">
      <c r="A1012" s="306">
        <v>332800</v>
      </c>
      <c r="B1012" s="309" t="s">
        <v>177</v>
      </c>
      <c r="C1012" s="309">
        <v>19.1294</v>
      </c>
      <c r="D1012" s="309">
        <v>12.3157</v>
      </c>
      <c r="E1012" s="309">
        <v>14.8666</v>
      </c>
      <c r="F1012" s="309">
        <v>14.6759</v>
      </c>
      <c r="G1012" s="309">
        <v>12.7026</v>
      </c>
      <c r="H1012" s="309">
        <v>13.7095</v>
      </c>
      <c r="I1012" s="309">
        <v>15.4785</v>
      </c>
      <c r="J1012" s="309">
        <v>11.1821</v>
      </c>
      <c r="K1012" s="309">
        <v>0</v>
      </c>
      <c r="L1012" s="309">
        <v>9.9021000000000008</v>
      </c>
      <c r="M1012" s="309">
        <v>13.418200000000001</v>
      </c>
      <c r="N1012" s="309">
        <v>14.097799999999999</v>
      </c>
      <c r="O1012" s="309">
        <v>12.5366</v>
      </c>
      <c r="P1012" s="309">
        <v>12.367699999999999</v>
      </c>
      <c r="Q1012" s="309">
        <v>12.958</v>
      </c>
      <c r="R1012" s="309">
        <v>14.8453</v>
      </c>
      <c r="S1012" s="309">
        <v>13.9293</v>
      </c>
      <c r="T1012" s="309">
        <v>11.4886</v>
      </c>
      <c r="U1012" s="309">
        <v>13.2514</v>
      </c>
      <c r="V1012" s="309">
        <v>12.5884</v>
      </c>
      <c r="W1012" s="309">
        <v>11.0588</v>
      </c>
      <c r="X1012" s="309">
        <v>11.373799999999999</v>
      </c>
      <c r="Y1012" s="309">
        <v>12.4567</v>
      </c>
      <c r="Z1012" s="309">
        <v>15.0547</v>
      </c>
      <c r="AA1012" s="309">
        <v>13.78</v>
      </c>
      <c r="AB1012" s="309">
        <v>13.533099999999999</v>
      </c>
      <c r="AC1012" s="309">
        <v>12.100899999999999</v>
      </c>
      <c r="AD1012" s="309">
        <v>13.7988</v>
      </c>
      <c r="AE1012" s="309">
        <v>13.9367</v>
      </c>
      <c r="AF1012" s="309">
        <v>9.9159000000000006</v>
      </c>
      <c r="AG1012" s="309">
        <v>10.4094</v>
      </c>
      <c r="AH1012" s="309">
        <v>12.5474</v>
      </c>
      <c r="AI1012" s="309">
        <v>11.4322</v>
      </c>
      <c r="AJ1012" s="309">
        <v>13.8993</v>
      </c>
      <c r="AK1012" s="309">
        <v>13.1716</v>
      </c>
      <c r="AL1012" s="309">
        <v>10.3459</v>
      </c>
      <c r="AM1012" s="309">
        <v>15.3954</v>
      </c>
      <c r="AN1012" s="309">
        <v>15.1317</v>
      </c>
      <c r="AO1012" s="309">
        <v>14.501799999999999</v>
      </c>
      <c r="AP1012" s="309">
        <v>14.679</v>
      </c>
      <c r="AQ1012" s="309">
        <v>12.600099999999999</v>
      </c>
      <c r="AR1012" s="309">
        <v>14.6411</v>
      </c>
      <c r="AS1012" s="309">
        <v>12.250299999999999</v>
      </c>
      <c r="AT1012" s="309">
        <v>15.0663</v>
      </c>
      <c r="AU1012" s="309">
        <v>14.449</v>
      </c>
      <c r="AV1012" s="309">
        <v>17.4617</v>
      </c>
      <c r="AW1012" s="309">
        <v>12.595599999999999</v>
      </c>
      <c r="AX1012" s="309">
        <v>13.211499999999999</v>
      </c>
      <c r="AY1012" s="309">
        <v>13.6143</v>
      </c>
      <c r="AZ1012" s="309">
        <v>14.569800000000001</v>
      </c>
      <c r="BA1012" s="309">
        <v>11.308299999999999</v>
      </c>
      <c r="BB1012" s="309">
        <v>10.428900000000001</v>
      </c>
      <c r="BC1012" s="309">
        <v>13.189299999999999</v>
      </c>
      <c r="BD1012" s="309">
        <v>13.7582</v>
      </c>
      <c r="BE1012" s="309">
        <v>16.1922</v>
      </c>
      <c r="BF1012" s="309">
        <v>13.8668</v>
      </c>
      <c r="BG1012" s="309">
        <v>15.0246</v>
      </c>
      <c r="BH1012" s="309">
        <v>15.349500000000001</v>
      </c>
      <c r="BI1012" s="309">
        <v>15.3452</v>
      </c>
      <c r="BJ1012" s="309">
        <v>14.825100000000001</v>
      </c>
      <c r="BK1012" s="309">
        <v>14.1829</v>
      </c>
    </row>
    <row r="1013" spans="1:63" x14ac:dyDescent="0.25">
      <c r="A1013" s="306">
        <v>332913</v>
      </c>
      <c r="B1013" s="309" t="s">
        <v>8</v>
      </c>
      <c r="C1013" s="309">
        <v>14.9489</v>
      </c>
      <c r="D1013" s="309">
        <v>0</v>
      </c>
      <c r="E1013" s="309">
        <v>0</v>
      </c>
      <c r="F1013" s="309">
        <v>10.934799999999999</v>
      </c>
      <c r="G1013" s="309">
        <v>10.604699999999999</v>
      </c>
      <c r="H1013" s="309">
        <v>9.4690999999999992</v>
      </c>
      <c r="I1013" s="309">
        <v>9.0330999999999992</v>
      </c>
      <c r="J1013" s="309">
        <v>8.1821000000000002</v>
      </c>
      <c r="K1013" s="309">
        <v>0</v>
      </c>
      <c r="L1013" s="309">
        <v>5.9874000000000001</v>
      </c>
      <c r="M1013" s="309">
        <v>8.6207999999999991</v>
      </c>
      <c r="N1013" s="309">
        <v>11.5464</v>
      </c>
      <c r="O1013" s="309">
        <v>0</v>
      </c>
      <c r="P1013" s="309">
        <v>0</v>
      </c>
      <c r="Q1013" s="309">
        <v>7.6158000000000001</v>
      </c>
      <c r="R1013" s="309">
        <v>10.248799999999999</v>
      </c>
      <c r="S1013" s="309">
        <v>10.240600000000001</v>
      </c>
      <c r="T1013" s="309">
        <v>8.2249999999999996</v>
      </c>
      <c r="U1013" s="309">
        <v>10.2202</v>
      </c>
      <c r="V1013" s="309">
        <v>0</v>
      </c>
      <c r="W1013" s="309">
        <v>7.9485000000000001</v>
      </c>
      <c r="X1013" s="309">
        <v>0</v>
      </c>
      <c r="Y1013" s="309">
        <v>0</v>
      </c>
      <c r="Z1013" s="309">
        <v>10.858599999999999</v>
      </c>
      <c r="AA1013" s="309">
        <v>10.282500000000001</v>
      </c>
      <c r="AB1013" s="309">
        <v>10.366400000000001</v>
      </c>
      <c r="AC1013" s="309">
        <v>0</v>
      </c>
      <c r="AD1013" s="309">
        <v>0</v>
      </c>
      <c r="AE1013" s="309">
        <v>10.655200000000001</v>
      </c>
      <c r="AF1013" s="309">
        <v>0</v>
      </c>
      <c r="AG1013" s="309">
        <v>0</v>
      </c>
      <c r="AH1013" s="309">
        <v>10.6425</v>
      </c>
      <c r="AI1013" s="309">
        <v>7.9911000000000003</v>
      </c>
      <c r="AJ1013" s="309">
        <v>0</v>
      </c>
      <c r="AK1013" s="309">
        <v>6.7020999999999997</v>
      </c>
      <c r="AL1013" s="309">
        <v>8.3147000000000002</v>
      </c>
      <c r="AM1013" s="309">
        <v>10.8407</v>
      </c>
      <c r="AN1013" s="309">
        <v>9.1675000000000004</v>
      </c>
      <c r="AO1013" s="309">
        <v>10.1304</v>
      </c>
      <c r="AP1013" s="309">
        <v>10.720800000000001</v>
      </c>
      <c r="AQ1013" s="309">
        <v>9.1865000000000006</v>
      </c>
      <c r="AR1013" s="309">
        <v>11.006</v>
      </c>
      <c r="AS1013" s="309">
        <v>0</v>
      </c>
      <c r="AT1013" s="309">
        <v>11.728899999999999</v>
      </c>
      <c r="AU1013" s="309">
        <v>11.333500000000001</v>
      </c>
      <c r="AV1013" s="309">
        <v>0</v>
      </c>
      <c r="AW1013" s="309">
        <v>9.5298999999999996</v>
      </c>
      <c r="AX1013" s="309">
        <v>0</v>
      </c>
      <c r="AY1013" s="309">
        <v>10.0001</v>
      </c>
      <c r="AZ1013" s="309">
        <v>10.583</v>
      </c>
      <c r="BA1013" s="309">
        <v>0</v>
      </c>
      <c r="BB1013" s="309">
        <v>0</v>
      </c>
      <c r="BC1013" s="309">
        <v>10.1861</v>
      </c>
      <c r="BD1013" s="309">
        <v>9.7524999999999995</v>
      </c>
      <c r="BE1013" s="309">
        <v>11.56</v>
      </c>
      <c r="BF1013" s="309">
        <v>10.4595</v>
      </c>
      <c r="BG1013" s="309">
        <v>11.2864</v>
      </c>
      <c r="BH1013" s="309">
        <v>12.538600000000001</v>
      </c>
      <c r="BI1013" s="309">
        <v>12.1273</v>
      </c>
      <c r="BJ1013" s="309">
        <v>9.3420000000000005</v>
      </c>
      <c r="BK1013" s="309">
        <v>9.7761999999999993</v>
      </c>
    </row>
    <row r="1014" spans="1:63" x14ac:dyDescent="0.25">
      <c r="A1014" s="306" t="s">
        <v>601</v>
      </c>
      <c r="B1014" s="309" t="s">
        <v>612</v>
      </c>
      <c r="C1014" s="309">
        <v>16.411799999999999</v>
      </c>
      <c r="D1014" s="309">
        <v>0</v>
      </c>
      <c r="E1014" s="309">
        <v>12.587</v>
      </c>
      <c r="F1014" s="309">
        <v>11.262600000000001</v>
      </c>
      <c r="G1014" s="309">
        <v>9.6583000000000006</v>
      </c>
      <c r="H1014" s="309">
        <v>10.3339</v>
      </c>
      <c r="I1014" s="309">
        <v>9.8535000000000004</v>
      </c>
      <c r="J1014" s="309">
        <v>9.4123000000000001</v>
      </c>
      <c r="K1014" s="309">
        <v>0.87880000000000003</v>
      </c>
      <c r="L1014" s="309">
        <v>0</v>
      </c>
      <c r="M1014" s="309">
        <v>10.6439</v>
      </c>
      <c r="N1014" s="309">
        <v>11.491199999999999</v>
      </c>
      <c r="O1014" s="309">
        <v>0</v>
      </c>
      <c r="P1014" s="309">
        <v>9.8093000000000004</v>
      </c>
      <c r="Q1014" s="309">
        <v>7.7855999999999996</v>
      </c>
      <c r="R1014" s="309">
        <v>12.7399</v>
      </c>
      <c r="S1014" s="309">
        <v>13.279500000000001</v>
      </c>
      <c r="T1014" s="309">
        <v>10.1731</v>
      </c>
      <c r="U1014" s="309">
        <v>12.1412</v>
      </c>
      <c r="V1014" s="309">
        <v>10.472799999999999</v>
      </c>
      <c r="W1014" s="309">
        <v>8.4413999999999998</v>
      </c>
      <c r="X1014" s="309">
        <v>8.3129000000000008</v>
      </c>
      <c r="Y1014" s="309">
        <v>10.569800000000001</v>
      </c>
      <c r="Z1014" s="309">
        <v>12.736700000000001</v>
      </c>
      <c r="AA1014" s="309">
        <v>10.694800000000001</v>
      </c>
      <c r="AB1014" s="309">
        <v>11.6972</v>
      </c>
      <c r="AC1014" s="309">
        <v>10.163600000000001</v>
      </c>
      <c r="AD1014" s="309">
        <v>9.6047999999999991</v>
      </c>
      <c r="AE1014" s="309">
        <v>11.851100000000001</v>
      </c>
      <c r="AF1014" s="309">
        <v>8.4830000000000005</v>
      </c>
      <c r="AG1014" s="309">
        <v>9.5695999999999994</v>
      </c>
      <c r="AH1014" s="309">
        <v>11.1319</v>
      </c>
      <c r="AI1014" s="309">
        <v>9.3985000000000003</v>
      </c>
      <c r="AJ1014" s="309">
        <v>10.670400000000001</v>
      </c>
      <c r="AK1014" s="309">
        <v>9.8980999999999995</v>
      </c>
      <c r="AL1014" s="309">
        <v>7.8289999999999997</v>
      </c>
      <c r="AM1014" s="309">
        <v>13.232900000000001</v>
      </c>
      <c r="AN1014" s="309">
        <v>12.934900000000001</v>
      </c>
      <c r="AO1014" s="309">
        <v>12.735300000000001</v>
      </c>
      <c r="AP1014" s="309">
        <v>13.5267</v>
      </c>
      <c r="AQ1014" s="309">
        <v>9.5813000000000006</v>
      </c>
      <c r="AR1014" s="309">
        <v>14.0212</v>
      </c>
      <c r="AS1014" s="309">
        <v>9.7730999999999995</v>
      </c>
      <c r="AT1014" s="309">
        <v>12.2377</v>
      </c>
      <c r="AU1014" s="309">
        <v>11.697699999999999</v>
      </c>
      <c r="AV1014" s="309">
        <v>13.327199999999999</v>
      </c>
      <c r="AW1014" s="309">
        <v>10.965199999999999</v>
      </c>
      <c r="AX1014" s="309">
        <v>9.9468999999999994</v>
      </c>
      <c r="AY1014" s="309">
        <v>10.4541</v>
      </c>
      <c r="AZ1014" s="309">
        <v>13.0519</v>
      </c>
      <c r="BA1014" s="309">
        <v>10.400600000000001</v>
      </c>
      <c r="BB1014" s="309">
        <v>7.2187999999999999</v>
      </c>
      <c r="BC1014" s="309">
        <v>11.026199999999999</v>
      </c>
      <c r="BD1014" s="309">
        <v>11.655200000000001</v>
      </c>
      <c r="BE1014" s="309">
        <v>14.061999999999999</v>
      </c>
      <c r="BF1014" s="309">
        <v>11.831799999999999</v>
      </c>
      <c r="BG1014" s="309">
        <v>12.5021</v>
      </c>
      <c r="BH1014" s="309">
        <v>13.256500000000001</v>
      </c>
      <c r="BI1014" s="309">
        <v>12.547700000000001</v>
      </c>
      <c r="BJ1014" s="309">
        <v>10.668200000000001</v>
      </c>
      <c r="BK1014" s="309">
        <v>10.968</v>
      </c>
    </row>
    <row r="1015" spans="1:63" x14ac:dyDescent="0.25">
      <c r="A1015" s="306">
        <v>332991</v>
      </c>
      <c r="B1015" s="309" t="s">
        <v>178</v>
      </c>
      <c r="C1015" s="309">
        <v>15.672800000000001</v>
      </c>
      <c r="D1015" s="309">
        <v>0</v>
      </c>
      <c r="E1015" s="309">
        <v>12.2782</v>
      </c>
      <c r="F1015" s="309">
        <v>0</v>
      </c>
      <c r="G1015" s="309">
        <v>0</v>
      </c>
      <c r="H1015" s="309">
        <v>10.43</v>
      </c>
      <c r="I1015" s="309">
        <v>0</v>
      </c>
      <c r="J1015" s="309">
        <v>9.0916999999999994</v>
      </c>
      <c r="K1015" s="309">
        <v>0</v>
      </c>
      <c r="L1015" s="309">
        <v>8.3923000000000005</v>
      </c>
      <c r="M1015" s="309">
        <v>10.3337</v>
      </c>
      <c r="N1015" s="309">
        <v>12.789099999999999</v>
      </c>
      <c r="O1015" s="309">
        <v>0</v>
      </c>
      <c r="P1015" s="309">
        <v>9.5329999999999995</v>
      </c>
      <c r="Q1015" s="309">
        <v>0</v>
      </c>
      <c r="R1015" s="309">
        <v>12.4419</v>
      </c>
      <c r="S1015" s="309">
        <v>12.0479</v>
      </c>
      <c r="T1015" s="309">
        <v>9.5474999999999994</v>
      </c>
      <c r="U1015" s="309">
        <v>12.882300000000001</v>
      </c>
      <c r="V1015" s="309">
        <v>0</v>
      </c>
      <c r="W1015" s="309">
        <v>8.7729999999999997</v>
      </c>
      <c r="X1015" s="309">
        <v>7.4527000000000001</v>
      </c>
      <c r="Y1015" s="309">
        <v>0</v>
      </c>
      <c r="Z1015" s="309">
        <v>11.1469</v>
      </c>
      <c r="AA1015" s="309">
        <v>0</v>
      </c>
      <c r="AB1015" s="309">
        <v>10.719200000000001</v>
      </c>
      <c r="AC1015" s="309">
        <v>10.9541</v>
      </c>
      <c r="AD1015" s="309">
        <v>0</v>
      </c>
      <c r="AE1015" s="309">
        <v>11.535500000000001</v>
      </c>
      <c r="AF1015" s="309">
        <v>0</v>
      </c>
      <c r="AG1015" s="309">
        <v>0</v>
      </c>
      <c r="AH1015" s="309">
        <v>9.8696999999999999</v>
      </c>
      <c r="AI1015" s="309">
        <v>8.4890000000000008</v>
      </c>
      <c r="AJ1015" s="309">
        <v>0</v>
      </c>
      <c r="AK1015" s="309">
        <v>9.4131999999999998</v>
      </c>
      <c r="AL1015" s="309">
        <v>7.7426000000000004</v>
      </c>
      <c r="AM1015" s="309">
        <v>11.7264</v>
      </c>
      <c r="AN1015" s="309">
        <v>11.807600000000001</v>
      </c>
      <c r="AO1015" s="309">
        <v>0</v>
      </c>
      <c r="AP1015" s="309">
        <v>11.4985</v>
      </c>
      <c r="AQ1015" s="309">
        <v>8.8125</v>
      </c>
      <c r="AR1015" s="309">
        <v>13.270300000000001</v>
      </c>
      <c r="AS1015" s="309">
        <v>0</v>
      </c>
      <c r="AT1015" s="309">
        <v>13.1586</v>
      </c>
      <c r="AU1015" s="309">
        <v>10.308</v>
      </c>
      <c r="AV1015" s="309">
        <v>0</v>
      </c>
      <c r="AW1015" s="309">
        <v>10.1195</v>
      </c>
      <c r="AX1015" s="309">
        <v>0</v>
      </c>
      <c r="AY1015" s="309">
        <v>0</v>
      </c>
      <c r="AZ1015" s="309">
        <v>11.051500000000001</v>
      </c>
      <c r="BA1015" s="309">
        <v>0</v>
      </c>
      <c r="BB1015" s="309">
        <v>9.2926000000000002</v>
      </c>
      <c r="BC1015" s="309">
        <v>11.098800000000001</v>
      </c>
      <c r="BD1015" s="309">
        <v>10.6914</v>
      </c>
      <c r="BE1015" s="309">
        <v>12.5985</v>
      </c>
      <c r="BF1015" s="309">
        <v>10.647600000000001</v>
      </c>
      <c r="BG1015" s="309">
        <v>13.016400000000001</v>
      </c>
      <c r="BH1015" s="309">
        <v>13.983000000000001</v>
      </c>
      <c r="BI1015" s="309">
        <v>11.033300000000001</v>
      </c>
      <c r="BJ1015" s="309">
        <v>11.506500000000001</v>
      </c>
      <c r="BK1015" s="309">
        <v>10.702500000000001</v>
      </c>
    </row>
    <row r="1016" spans="1:63" x14ac:dyDescent="0.25">
      <c r="A1016" s="306">
        <v>332996</v>
      </c>
      <c r="B1016" s="309" t="s">
        <v>179</v>
      </c>
      <c r="C1016" s="309">
        <v>18.198399999999999</v>
      </c>
      <c r="D1016" s="309">
        <v>8.2737999999999996</v>
      </c>
      <c r="E1016" s="309">
        <v>13.894600000000001</v>
      </c>
      <c r="F1016" s="309">
        <v>13.149699999999999</v>
      </c>
      <c r="G1016" s="309">
        <v>10.0198</v>
      </c>
      <c r="H1016" s="309">
        <v>12.2262</v>
      </c>
      <c r="I1016" s="309">
        <v>11.4513</v>
      </c>
      <c r="J1016" s="309">
        <v>9.5231999999999992</v>
      </c>
      <c r="K1016" s="309">
        <v>0</v>
      </c>
      <c r="L1016" s="309">
        <v>7.5621999999999998</v>
      </c>
      <c r="M1016" s="309">
        <v>12.190799999999999</v>
      </c>
      <c r="N1016" s="309">
        <v>11.179600000000001</v>
      </c>
      <c r="O1016" s="309">
        <v>0</v>
      </c>
      <c r="P1016" s="309">
        <v>12.031499999999999</v>
      </c>
      <c r="Q1016" s="309">
        <v>11.4567</v>
      </c>
      <c r="R1016" s="309">
        <v>13.4862</v>
      </c>
      <c r="S1016" s="309">
        <v>14.0525</v>
      </c>
      <c r="T1016" s="309">
        <v>10.9491</v>
      </c>
      <c r="U1016" s="309">
        <v>14.264799999999999</v>
      </c>
      <c r="V1016" s="309">
        <v>12.5932</v>
      </c>
      <c r="W1016" s="309">
        <v>8.7143999999999995</v>
      </c>
      <c r="X1016" s="309">
        <v>9.2743000000000002</v>
      </c>
      <c r="Y1016" s="309">
        <v>9.8486999999999991</v>
      </c>
      <c r="Z1016" s="309">
        <v>14.6159</v>
      </c>
      <c r="AA1016" s="309">
        <v>11.6022</v>
      </c>
      <c r="AB1016" s="309">
        <v>12.250500000000001</v>
      </c>
      <c r="AC1016" s="309">
        <v>13.205299999999999</v>
      </c>
      <c r="AD1016" s="309">
        <v>11.222300000000001</v>
      </c>
      <c r="AE1016" s="309">
        <v>12.630699999999999</v>
      </c>
      <c r="AF1016" s="309">
        <v>0</v>
      </c>
      <c r="AG1016" s="309">
        <v>11.6334</v>
      </c>
      <c r="AH1016" s="309">
        <v>9.3956999999999997</v>
      </c>
      <c r="AI1016" s="309">
        <v>10.545199999999999</v>
      </c>
      <c r="AJ1016" s="309">
        <v>12.1327</v>
      </c>
      <c r="AK1016" s="309">
        <v>11.1244</v>
      </c>
      <c r="AL1016" s="309">
        <v>8.7197999999999993</v>
      </c>
      <c r="AM1016" s="309">
        <v>14.929399999999999</v>
      </c>
      <c r="AN1016" s="309">
        <v>13.567299999999999</v>
      </c>
      <c r="AO1016" s="309">
        <v>13.3134</v>
      </c>
      <c r="AP1016" s="309">
        <v>14.675599999999999</v>
      </c>
      <c r="AQ1016" s="309">
        <v>8.6475000000000009</v>
      </c>
      <c r="AR1016" s="309">
        <v>14.7849</v>
      </c>
      <c r="AS1016" s="309">
        <v>10.701700000000001</v>
      </c>
      <c r="AT1016" s="309">
        <v>14.8155</v>
      </c>
      <c r="AU1016" s="309">
        <v>13.6495</v>
      </c>
      <c r="AV1016" s="309">
        <v>16.567900000000002</v>
      </c>
      <c r="AW1016" s="309">
        <v>11.1806</v>
      </c>
      <c r="AX1016" s="309">
        <v>0</v>
      </c>
      <c r="AY1016" s="309">
        <v>9.6608000000000001</v>
      </c>
      <c r="AZ1016" s="309">
        <v>12.9518</v>
      </c>
      <c r="BA1016" s="309">
        <v>11.7485</v>
      </c>
      <c r="BB1016" s="309">
        <v>10.250299999999999</v>
      </c>
      <c r="BC1016" s="309">
        <v>10.6999</v>
      </c>
      <c r="BD1016" s="309">
        <v>13.239800000000001</v>
      </c>
      <c r="BE1016" s="309">
        <v>15.6433</v>
      </c>
      <c r="BF1016" s="309">
        <v>12.3611</v>
      </c>
      <c r="BG1016" s="309">
        <v>13.4801</v>
      </c>
      <c r="BH1016" s="309">
        <v>15.474299999999999</v>
      </c>
      <c r="BI1016" s="309">
        <v>14.733000000000001</v>
      </c>
      <c r="BJ1016" s="309">
        <v>12.3674</v>
      </c>
      <c r="BK1016" s="309">
        <v>12.632099999999999</v>
      </c>
    </row>
    <row r="1017" spans="1:63" x14ac:dyDescent="0.25">
      <c r="A1017" s="306" t="s">
        <v>728</v>
      </c>
      <c r="B1017" s="309" t="s">
        <v>171</v>
      </c>
      <c r="C1017" s="309">
        <v>14.924300000000001</v>
      </c>
      <c r="D1017" s="309">
        <v>0</v>
      </c>
      <c r="E1017" s="309">
        <v>16.623100000000001</v>
      </c>
      <c r="F1017" s="309">
        <v>11.117800000000001</v>
      </c>
      <c r="G1017" s="309">
        <v>0</v>
      </c>
      <c r="H1017" s="309">
        <v>10.8066</v>
      </c>
      <c r="I1017" s="309">
        <v>0</v>
      </c>
      <c r="J1017" s="309">
        <v>11.3932</v>
      </c>
      <c r="K1017" s="309">
        <v>0</v>
      </c>
      <c r="L1017" s="309">
        <v>0</v>
      </c>
      <c r="M1017" s="309">
        <v>10.4381</v>
      </c>
      <c r="N1017" s="309">
        <v>15.992599999999999</v>
      </c>
      <c r="O1017" s="309">
        <v>0</v>
      </c>
      <c r="P1017" s="309">
        <v>10.2357</v>
      </c>
      <c r="Q1017" s="309">
        <v>11.264900000000001</v>
      </c>
      <c r="R1017" s="309">
        <v>12.082100000000001</v>
      </c>
      <c r="S1017" s="309">
        <v>11.458600000000001</v>
      </c>
      <c r="T1017" s="309">
        <v>9.6937999999999995</v>
      </c>
      <c r="U1017" s="309">
        <v>16.876300000000001</v>
      </c>
      <c r="V1017" s="309">
        <v>0</v>
      </c>
      <c r="W1017" s="309">
        <v>8.0601000000000003</v>
      </c>
      <c r="X1017" s="309">
        <v>9.4141999999999992</v>
      </c>
      <c r="Y1017" s="309">
        <v>0</v>
      </c>
      <c r="Z1017" s="309">
        <v>18.452200000000001</v>
      </c>
      <c r="AA1017" s="309">
        <v>10.713100000000001</v>
      </c>
      <c r="AB1017" s="309">
        <v>10.134</v>
      </c>
      <c r="AC1017" s="309">
        <v>11.264799999999999</v>
      </c>
      <c r="AD1017" s="309">
        <v>15.744199999999999</v>
      </c>
      <c r="AE1017" s="309">
        <v>10.2859</v>
      </c>
      <c r="AF1017" s="309">
        <v>0</v>
      </c>
      <c r="AG1017" s="309">
        <v>9.2811000000000003</v>
      </c>
      <c r="AH1017" s="309">
        <v>0</v>
      </c>
      <c r="AI1017" s="309">
        <v>0</v>
      </c>
      <c r="AJ1017" s="309">
        <v>8.2485999999999997</v>
      </c>
      <c r="AK1017" s="309">
        <v>12.5108</v>
      </c>
      <c r="AL1017" s="309">
        <v>0</v>
      </c>
      <c r="AM1017" s="309">
        <v>13.8719</v>
      </c>
      <c r="AN1017" s="309">
        <v>0</v>
      </c>
      <c r="AO1017" s="309">
        <v>11.797700000000001</v>
      </c>
      <c r="AP1017" s="309">
        <v>12.495699999999999</v>
      </c>
      <c r="AQ1017" s="309">
        <v>0</v>
      </c>
      <c r="AR1017" s="309">
        <v>14.5504</v>
      </c>
      <c r="AS1017" s="309">
        <v>11.777699999999999</v>
      </c>
      <c r="AT1017" s="309">
        <v>10.4605</v>
      </c>
      <c r="AU1017" s="309">
        <v>10.5991</v>
      </c>
      <c r="AV1017" s="309">
        <v>15.209199999999999</v>
      </c>
      <c r="AW1017" s="309">
        <v>16.137699999999999</v>
      </c>
      <c r="AX1017" s="309">
        <v>0</v>
      </c>
      <c r="AY1017" s="309">
        <v>14.174799999999999</v>
      </c>
      <c r="AZ1017" s="309">
        <v>11.0634</v>
      </c>
      <c r="BA1017" s="309">
        <v>11.135999999999999</v>
      </c>
      <c r="BB1017" s="309">
        <v>0</v>
      </c>
      <c r="BC1017" s="309">
        <v>10.3895</v>
      </c>
      <c r="BD1017" s="309">
        <v>11.570600000000001</v>
      </c>
      <c r="BE1017" s="309">
        <v>13.307499999999999</v>
      </c>
      <c r="BF1017" s="309">
        <v>10.616400000000001</v>
      </c>
      <c r="BG1017" s="309">
        <v>12.257300000000001</v>
      </c>
      <c r="BH1017" s="309">
        <v>11.295</v>
      </c>
      <c r="BI1017" s="309">
        <v>11.5869</v>
      </c>
      <c r="BJ1017" s="309">
        <v>13.676</v>
      </c>
      <c r="BK1017" s="309">
        <v>11.433299999999999</v>
      </c>
    </row>
    <row r="1018" spans="1:63" x14ac:dyDescent="0.25">
      <c r="A1018" s="306" t="s">
        <v>729</v>
      </c>
      <c r="B1018" s="309" t="s">
        <v>172</v>
      </c>
      <c r="C1018" s="309">
        <v>15.3636</v>
      </c>
      <c r="D1018" s="309">
        <v>0</v>
      </c>
      <c r="E1018" s="309">
        <v>13.6807</v>
      </c>
      <c r="F1018" s="309">
        <v>11.4209</v>
      </c>
      <c r="G1018" s="309">
        <v>9.6751000000000005</v>
      </c>
      <c r="H1018" s="309">
        <v>10.539899999999999</v>
      </c>
      <c r="I1018" s="309">
        <v>11.8255</v>
      </c>
      <c r="J1018" s="309">
        <v>8.8943999999999992</v>
      </c>
      <c r="K1018" s="309">
        <v>0</v>
      </c>
      <c r="L1018" s="309">
        <v>0</v>
      </c>
      <c r="M1018" s="309">
        <v>12.534599999999999</v>
      </c>
      <c r="N1018" s="309">
        <v>12.9183</v>
      </c>
      <c r="O1018" s="309">
        <v>0</v>
      </c>
      <c r="P1018" s="309">
        <v>8.7987000000000002</v>
      </c>
      <c r="Q1018" s="309">
        <v>13.580299999999999</v>
      </c>
      <c r="R1018" s="309">
        <v>10.7666</v>
      </c>
      <c r="S1018" s="309">
        <v>16.032699999999998</v>
      </c>
      <c r="T1018" s="309">
        <v>13.111800000000001</v>
      </c>
      <c r="U1018" s="309">
        <v>10.6287</v>
      </c>
      <c r="V1018" s="309">
        <v>0</v>
      </c>
      <c r="W1018" s="309">
        <v>9.9681999999999995</v>
      </c>
      <c r="X1018" s="309">
        <v>9.6114999999999995</v>
      </c>
      <c r="Y1018" s="309">
        <v>10.122999999999999</v>
      </c>
      <c r="Z1018" s="309">
        <v>12.7995</v>
      </c>
      <c r="AA1018" s="309">
        <v>9.5702999999999996</v>
      </c>
      <c r="AB1018" s="309">
        <v>12.053599999999999</v>
      </c>
      <c r="AC1018" s="309">
        <v>10.1166</v>
      </c>
      <c r="AD1018" s="309">
        <v>14.3749</v>
      </c>
      <c r="AE1018" s="309">
        <v>9.9192999999999998</v>
      </c>
      <c r="AF1018" s="309">
        <v>0</v>
      </c>
      <c r="AG1018" s="309">
        <v>13.1557</v>
      </c>
      <c r="AH1018" s="309">
        <v>10.982900000000001</v>
      </c>
      <c r="AI1018" s="309">
        <v>9.7901000000000007</v>
      </c>
      <c r="AJ1018" s="309">
        <v>0</v>
      </c>
      <c r="AK1018" s="309">
        <v>11.4842</v>
      </c>
      <c r="AL1018" s="309">
        <v>9.4933999999999994</v>
      </c>
      <c r="AM1018" s="309">
        <v>13.884</v>
      </c>
      <c r="AN1018" s="309">
        <v>13.2774</v>
      </c>
      <c r="AO1018" s="309">
        <v>15.5259</v>
      </c>
      <c r="AP1018" s="309">
        <v>13.4061</v>
      </c>
      <c r="AQ1018" s="309">
        <v>0</v>
      </c>
      <c r="AR1018" s="309">
        <v>12.792400000000001</v>
      </c>
      <c r="AS1018" s="309">
        <v>11.3979</v>
      </c>
      <c r="AT1018" s="309">
        <v>11.3185</v>
      </c>
      <c r="AU1018" s="309">
        <v>14.926500000000001</v>
      </c>
      <c r="AV1018" s="309">
        <v>16.700700000000001</v>
      </c>
      <c r="AW1018" s="309">
        <v>10.7432</v>
      </c>
      <c r="AX1018" s="309">
        <v>8.2591999999999999</v>
      </c>
      <c r="AY1018" s="309">
        <v>15.0564</v>
      </c>
      <c r="AZ1018" s="309">
        <v>13.4808</v>
      </c>
      <c r="BA1018" s="309">
        <v>13.098800000000001</v>
      </c>
      <c r="BB1018" s="309">
        <v>11.452299999999999</v>
      </c>
      <c r="BC1018" s="309">
        <v>11.261799999999999</v>
      </c>
      <c r="BD1018" s="309">
        <v>12.395099999999999</v>
      </c>
      <c r="BE1018" s="309">
        <v>12.1569</v>
      </c>
      <c r="BF1018" s="309">
        <v>10.008800000000001</v>
      </c>
      <c r="BG1018" s="309">
        <v>12.9739</v>
      </c>
      <c r="BH1018" s="309">
        <v>12.0762</v>
      </c>
      <c r="BI1018" s="309">
        <v>15.005699999999999</v>
      </c>
      <c r="BJ1018" s="309">
        <v>11.9803</v>
      </c>
      <c r="BK1018" s="309">
        <v>11.2447</v>
      </c>
    </row>
    <row r="1019" spans="1:63" x14ac:dyDescent="0.25">
      <c r="A1019" s="306" t="s">
        <v>600</v>
      </c>
      <c r="B1019" s="309" t="s">
        <v>7</v>
      </c>
      <c r="C1019" s="309">
        <v>17.7821</v>
      </c>
      <c r="D1019" s="309">
        <v>10.8962</v>
      </c>
      <c r="E1019" s="309">
        <v>14.059799999999999</v>
      </c>
      <c r="F1019" s="309">
        <v>12.5861</v>
      </c>
      <c r="G1019" s="309">
        <v>12.112500000000001</v>
      </c>
      <c r="H1019" s="309">
        <v>12.009399999999999</v>
      </c>
      <c r="I1019" s="309">
        <v>12.6205</v>
      </c>
      <c r="J1019" s="309">
        <v>9.9553999999999991</v>
      </c>
      <c r="K1019" s="309">
        <v>0</v>
      </c>
      <c r="L1019" s="309">
        <v>0</v>
      </c>
      <c r="M1019" s="309">
        <v>12.897600000000001</v>
      </c>
      <c r="N1019" s="309">
        <v>14.645200000000001</v>
      </c>
      <c r="O1019" s="309">
        <v>0</v>
      </c>
      <c r="P1019" s="309">
        <v>11.4535</v>
      </c>
      <c r="Q1019" s="309">
        <v>11.837400000000001</v>
      </c>
      <c r="R1019" s="309">
        <v>13.083500000000001</v>
      </c>
      <c r="S1019" s="309">
        <v>14.2141</v>
      </c>
      <c r="T1019" s="309">
        <v>10.580399999999999</v>
      </c>
      <c r="U1019" s="309">
        <v>13.5076</v>
      </c>
      <c r="V1019" s="309">
        <v>11.2883</v>
      </c>
      <c r="W1019" s="309">
        <v>9.6069999999999993</v>
      </c>
      <c r="X1019" s="309">
        <v>9.5296000000000003</v>
      </c>
      <c r="Y1019" s="309">
        <v>11.5871</v>
      </c>
      <c r="Z1019" s="309">
        <v>13.8027</v>
      </c>
      <c r="AA1019" s="309">
        <v>11.5847</v>
      </c>
      <c r="AB1019" s="309">
        <v>12.7996</v>
      </c>
      <c r="AC1019" s="309">
        <v>13.282299999999999</v>
      </c>
      <c r="AD1019" s="309">
        <v>11.898999999999999</v>
      </c>
      <c r="AE1019" s="309">
        <v>12.8767</v>
      </c>
      <c r="AF1019" s="309">
        <v>10.0113</v>
      </c>
      <c r="AG1019" s="309">
        <v>11.0222</v>
      </c>
      <c r="AH1019" s="309">
        <v>12.116099999999999</v>
      </c>
      <c r="AI1019" s="309">
        <v>10.137499999999999</v>
      </c>
      <c r="AJ1019" s="309">
        <v>12.0199</v>
      </c>
      <c r="AK1019" s="309">
        <v>11.1191</v>
      </c>
      <c r="AL1019" s="309">
        <v>9.4123000000000001</v>
      </c>
      <c r="AM1019" s="309">
        <v>14.2416</v>
      </c>
      <c r="AN1019" s="309">
        <v>14.4428</v>
      </c>
      <c r="AO1019" s="309">
        <v>13.635199999999999</v>
      </c>
      <c r="AP1019" s="309">
        <v>13.6921</v>
      </c>
      <c r="AQ1019" s="309">
        <v>11.448</v>
      </c>
      <c r="AR1019" s="309">
        <v>14.432700000000001</v>
      </c>
      <c r="AS1019" s="309">
        <v>11.5268</v>
      </c>
      <c r="AT1019" s="309">
        <v>14.239599999999999</v>
      </c>
      <c r="AU1019" s="309">
        <v>13.5519</v>
      </c>
      <c r="AV1019" s="309">
        <v>15.763500000000001</v>
      </c>
      <c r="AW1019" s="309">
        <v>11.017200000000001</v>
      </c>
      <c r="AX1019" s="309">
        <v>12.1083</v>
      </c>
      <c r="AY1019" s="309">
        <v>12.2981</v>
      </c>
      <c r="AZ1019" s="309">
        <v>12.709099999999999</v>
      </c>
      <c r="BA1019" s="309">
        <v>12.0785</v>
      </c>
      <c r="BB1019" s="309">
        <v>11.171900000000001</v>
      </c>
      <c r="BC1019" s="309">
        <v>11.990399999999999</v>
      </c>
      <c r="BD1019" s="309">
        <v>12.533899999999999</v>
      </c>
      <c r="BE1019" s="309">
        <v>14.834</v>
      </c>
      <c r="BF1019" s="309">
        <v>12.9474</v>
      </c>
      <c r="BG1019" s="309">
        <v>14.043699999999999</v>
      </c>
      <c r="BH1019" s="309">
        <v>15.043200000000001</v>
      </c>
      <c r="BI1019" s="309">
        <v>14.5223</v>
      </c>
      <c r="BJ1019" s="309">
        <v>13.5044</v>
      </c>
      <c r="BK1019" s="309">
        <v>12.8583</v>
      </c>
    </row>
    <row r="1020" spans="1:63" x14ac:dyDescent="0.25">
      <c r="A1020" s="306">
        <v>333111</v>
      </c>
      <c r="B1020" s="309" t="s">
        <v>180</v>
      </c>
      <c r="C1020" s="309">
        <v>15.3256</v>
      </c>
      <c r="D1020" s="309">
        <v>0</v>
      </c>
      <c r="E1020" s="309">
        <v>11.7479</v>
      </c>
      <c r="F1020" s="309">
        <v>11.920299999999999</v>
      </c>
      <c r="G1020" s="309">
        <v>7.9497999999999998</v>
      </c>
      <c r="H1020" s="309">
        <v>9.2370999999999999</v>
      </c>
      <c r="I1020" s="309">
        <v>9.9876000000000005</v>
      </c>
      <c r="J1020" s="309">
        <v>0</v>
      </c>
      <c r="K1020" s="309">
        <v>0</v>
      </c>
      <c r="L1020" s="309">
        <v>0</v>
      </c>
      <c r="M1020" s="309">
        <v>10.010999999999999</v>
      </c>
      <c r="N1020" s="309">
        <v>9.4071999999999996</v>
      </c>
      <c r="O1020" s="309">
        <v>8.4586000000000006</v>
      </c>
      <c r="P1020" s="309">
        <v>8.27</v>
      </c>
      <c r="Q1020" s="309">
        <v>8.7196999999999996</v>
      </c>
      <c r="R1020" s="309">
        <v>10.765499999999999</v>
      </c>
      <c r="S1020" s="309">
        <v>10.669499999999999</v>
      </c>
      <c r="T1020" s="309">
        <v>8.0816999999999997</v>
      </c>
      <c r="U1020" s="309">
        <v>12.6142</v>
      </c>
      <c r="V1020" s="309">
        <v>8.3973999999999993</v>
      </c>
      <c r="W1020" s="309">
        <v>9.7418999999999993</v>
      </c>
      <c r="X1020" s="309">
        <v>9.5046999999999997</v>
      </c>
      <c r="Y1020" s="309">
        <v>10.9558</v>
      </c>
      <c r="Z1020" s="309">
        <v>12.1387</v>
      </c>
      <c r="AA1020" s="309">
        <v>10.492900000000001</v>
      </c>
      <c r="AB1020" s="309">
        <v>11.805300000000001</v>
      </c>
      <c r="AC1020" s="309">
        <v>11.1492</v>
      </c>
      <c r="AD1020" s="309">
        <v>7.4573</v>
      </c>
      <c r="AE1020" s="309">
        <v>10.495100000000001</v>
      </c>
      <c r="AF1020" s="309">
        <v>6.7489999999999997</v>
      </c>
      <c r="AG1020" s="309">
        <v>7.7702999999999998</v>
      </c>
      <c r="AH1020" s="309">
        <v>8.5033999999999992</v>
      </c>
      <c r="AI1020" s="309">
        <v>9.3764000000000003</v>
      </c>
      <c r="AJ1020" s="309">
        <v>9.5305</v>
      </c>
      <c r="AK1020" s="309">
        <v>7.7659000000000002</v>
      </c>
      <c r="AL1020" s="309">
        <v>7.9687000000000001</v>
      </c>
      <c r="AM1020" s="309">
        <v>12.3034</v>
      </c>
      <c r="AN1020" s="309">
        <v>12.9687</v>
      </c>
      <c r="AO1020" s="309">
        <v>10.244</v>
      </c>
      <c r="AP1020" s="309">
        <v>11.116400000000001</v>
      </c>
      <c r="AQ1020" s="309">
        <v>0</v>
      </c>
      <c r="AR1020" s="309">
        <v>11.9544</v>
      </c>
      <c r="AS1020" s="309">
        <v>8.3283000000000005</v>
      </c>
      <c r="AT1020" s="309">
        <v>12.6313</v>
      </c>
      <c r="AU1020" s="309">
        <v>11.495100000000001</v>
      </c>
      <c r="AV1020" s="309">
        <v>14.3786</v>
      </c>
      <c r="AW1020" s="309">
        <v>8.4024000000000001</v>
      </c>
      <c r="AX1020" s="309">
        <v>0</v>
      </c>
      <c r="AY1020" s="309">
        <v>8.1821000000000002</v>
      </c>
      <c r="AZ1020" s="309">
        <v>10.7402</v>
      </c>
      <c r="BA1020" s="309">
        <v>0</v>
      </c>
      <c r="BB1020" s="309">
        <v>8.2889999999999997</v>
      </c>
      <c r="BC1020" s="309">
        <v>10.586499999999999</v>
      </c>
      <c r="BD1020" s="309">
        <v>9.9910999999999994</v>
      </c>
      <c r="BE1020" s="309">
        <v>12.3856</v>
      </c>
      <c r="BF1020" s="309">
        <v>10.5946</v>
      </c>
      <c r="BG1020" s="309">
        <v>10.4748</v>
      </c>
      <c r="BH1020" s="309">
        <v>13.4186</v>
      </c>
      <c r="BI1020" s="309">
        <v>12.1014</v>
      </c>
      <c r="BJ1020" s="309">
        <v>9.9991000000000003</v>
      </c>
      <c r="BK1020" s="309">
        <v>9.6460000000000008</v>
      </c>
    </row>
    <row r="1021" spans="1:63" x14ac:dyDescent="0.25">
      <c r="A1021" s="306">
        <v>333112</v>
      </c>
      <c r="B1021" s="309" t="s">
        <v>181</v>
      </c>
      <c r="C1021" s="309">
        <v>15.4915</v>
      </c>
      <c r="D1021" s="309">
        <v>0</v>
      </c>
      <c r="E1021" s="309">
        <v>10.8566</v>
      </c>
      <c r="F1021" s="309">
        <v>10.369899999999999</v>
      </c>
      <c r="G1021" s="309">
        <v>7.1851000000000003</v>
      </c>
      <c r="H1021" s="309">
        <v>8.9757999999999996</v>
      </c>
      <c r="I1021" s="309">
        <v>8.2624999999999993</v>
      </c>
      <c r="J1021" s="309">
        <v>7.3606999999999996</v>
      </c>
      <c r="K1021" s="309">
        <v>0</v>
      </c>
      <c r="L1021" s="309">
        <v>0</v>
      </c>
      <c r="M1021" s="309">
        <v>9.1868999999999996</v>
      </c>
      <c r="N1021" s="309">
        <v>10.4617</v>
      </c>
      <c r="O1021" s="309">
        <v>0</v>
      </c>
      <c r="P1021" s="309">
        <v>8.0821000000000005</v>
      </c>
      <c r="Q1021" s="309">
        <v>7.86</v>
      </c>
      <c r="R1021" s="309">
        <v>11.553000000000001</v>
      </c>
      <c r="S1021" s="309">
        <v>11.592599999999999</v>
      </c>
      <c r="T1021" s="309">
        <v>7.7914000000000003</v>
      </c>
      <c r="U1021" s="309">
        <v>11.485900000000001</v>
      </c>
      <c r="V1021" s="309">
        <v>8.6146999999999991</v>
      </c>
      <c r="W1021" s="309">
        <v>7.4131999999999998</v>
      </c>
      <c r="X1021" s="309">
        <v>6.5284000000000004</v>
      </c>
      <c r="Y1021" s="309">
        <v>7.6867000000000001</v>
      </c>
      <c r="Z1021" s="309">
        <v>12.8734</v>
      </c>
      <c r="AA1021" s="309">
        <v>8.2271000000000001</v>
      </c>
      <c r="AB1021" s="309">
        <v>10.413600000000001</v>
      </c>
      <c r="AC1021" s="309">
        <v>8.9799000000000007</v>
      </c>
      <c r="AD1021" s="309">
        <v>0</v>
      </c>
      <c r="AE1021" s="309">
        <v>9.7044999999999995</v>
      </c>
      <c r="AF1021" s="309">
        <v>0</v>
      </c>
      <c r="AG1021" s="309">
        <v>7.3155000000000001</v>
      </c>
      <c r="AH1021" s="309">
        <v>0</v>
      </c>
      <c r="AI1021" s="309">
        <v>6.4846000000000004</v>
      </c>
      <c r="AJ1021" s="309">
        <v>0</v>
      </c>
      <c r="AK1021" s="309">
        <v>0</v>
      </c>
      <c r="AL1021" s="309">
        <v>6.9195000000000002</v>
      </c>
      <c r="AM1021" s="309">
        <v>12.267899999999999</v>
      </c>
      <c r="AN1021" s="309">
        <v>9.6549999999999994</v>
      </c>
      <c r="AO1021" s="309">
        <v>9.5830000000000002</v>
      </c>
      <c r="AP1021" s="309">
        <v>10.2536</v>
      </c>
      <c r="AQ1021" s="309">
        <v>0</v>
      </c>
      <c r="AR1021" s="309">
        <v>12.6609</v>
      </c>
      <c r="AS1021" s="309">
        <v>6.4520999999999997</v>
      </c>
      <c r="AT1021" s="309">
        <v>11.7597</v>
      </c>
      <c r="AU1021" s="309">
        <v>9.4830000000000005</v>
      </c>
      <c r="AV1021" s="309">
        <v>12.192</v>
      </c>
      <c r="AW1021" s="309">
        <v>8.7370999999999999</v>
      </c>
      <c r="AX1021" s="309">
        <v>0</v>
      </c>
      <c r="AY1021" s="309">
        <v>7.4660000000000002</v>
      </c>
      <c r="AZ1021" s="309">
        <v>10.5761</v>
      </c>
      <c r="BA1021" s="309">
        <v>8.4271999999999991</v>
      </c>
      <c r="BB1021" s="309">
        <v>0</v>
      </c>
      <c r="BC1021" s="309">
        <v>8.8206000000000007</v>
      </c>
      <c r="BD1021" s="309">
        <v>8.8818999999999999</v>
      </c>
      <c r="BE1021" s="309">
        <v>12.576700000000001</v>
      </c>
      <c r="BF1021" s="309">
        <v>9.9010999999999996</v>
      </c>
      <c r="BG1021" s="309">
        <v>10.828900000000001</v>
      </c>
      <c r="BH1021" s="309">
        <v>12.466799999999999</v>
      </c>
      <c r="BI1021" s="309">
        <v>11.167</v>
      </c>
      <c r="BJ1021" s="309">
        <v>8.4179999999999993</v>
      </c>
      <c r="BK1021" s="309">
        <v>9.2284000000000006</v>
      </c>
    </row>
    <row r="1022" spans="1:63" x14ac:dyDescent="0.25">
      <c r="A1022" s="306">
        <v>333120</v>
      </c>
      <c r="B1022" s="309" t="s">
        <v>182</v>
      </c>
      <c r="C1022" s="309">
        <v>15.305899999999999</v>
      </c>
      <c r="D1022" s="309">
        <v>0</v>
      </c>
      <c r="E1022" s="309">
        <v>11.374499999999999</v>
      </c>
      <c r="F1022" s="309">
        <v>10.7254</v>
      </c>
      <c r="G1022" s="309">
        <v>7.9634</v>
      </c>
      <c r="H1022" s="309">
        <v>9.8768999999999991</v>
      </c>
      <c r="I1022" s="309">
        <v>10.2315</v>
      </c>
      <c r="J1022" s="309">
        <v>7.9267000000000003</v>
      </c>
      <c r="K1022" s="309">
        <v>0</v>
      </c>
      <c r="L1022" s="309">
        <v>0</v>
      </c>
      <c r="M1022" s="309">
        <v>9.2591000000000001</v>
      </c>
      <c r="N1022" s="309">
        <v>10.2569</v>
      </c>
      <c r="O1022" s="309">
        <v>0</v>
      </c>
      <c r="P1022" s="309">
        <v>8.3897999999999993</v>
      </c>
      <c r="Q1022" s="309">
        <v>8.5212000000000003</v>
      </c>
      <c r="R1022" s="309">
        <v>10.861599999999999</v>
      </c>
      <c r="S1022" s="309">
        <v>11.2469</v>
      </c>
      <c r="T1022" s="309">
        <v>7.6144999999999996</v>
      </c>
      <c r="U1022" s="309">
        <v>10.3599</v>
      </c>
      <c r="V1022" s="309">
        <v>9.0742999999999991</v>
      </c>
      <c r="W1022" s="309">
        <v>7.27</v>
      </c>
      <c r="X1022" s="309">
        <v>7.2821999999999996</v>
      </c>
      <c r="Y1022" s="309">
        <v>9.1925000000000008</v>
      </c>
      <c r="Z1022" s="309">
        <v>12.0877</v>
      </c>
      <c r="AA1022" s="309">
        <v>9.4274000000000004</v>
      </c>
      <c r="AB1022" s="309">
        <v>10.579000000000001</v>
      </c>
      <c r="AC1022" s="309">
        <v>9.7645999999999997</v>
      </c>
      <c r="AD1022" s="309">
        <v>8.1699000000000002</v>
      </c>
      <c r="AE1022" s="309">
        <v>10.2608</v>
      </c>
      <c r="AF1022" s="309">
        <v>6.1073000000000004</v>
      </c>
      <c r="AG1022" s="309">
        <v>8.6295000000000002</v>
      </c>
      <c r="AH1022" s="309">
        <v>9.4460999999999995</v>
      </c>
      <c r="AI1022" s="309">
        <v>7.7031000000000001</v>
      </c>
      <c r="AJ1022" s="309">
        <v>8.0991</v>
      </c>
      <c r="AK1022" s="309">
        <v>0</v>
      </c>
      <c r="AL1022" s="309">
        <v>7.1581000000000001</v>
      </c>
      <c r="AM1022" s="309">
        <v>13.0677</v>
      </c>
      <c r="AN1022" s="309">
        <v>11.1785</v>
      </c>
      <c r="AO1022" s="309">
        <v>10.031599999999999</v>
      </c>
      <c r="AP1022" s="309">
        <v>11.7117</v>
      </c>
      <c r="AQ1022" s="309">
        <v>7.6307</v>
      </c>
      <c r="AR1022" s="309">
        <v>11.7601</v>
      </c>
      <c r="AS1022" s="309">
        <v>7.7451999999999996</v>
      </c>
      <c r="AT1022" s="309">
        <v>11.3028</v>
      </c>
      <c r="AU1022" s="309">
        <v>10.586</v>
      </c>
      <c r="AV1022" s="309">
        <v>12.607699999999999</v>
      </c>
      <c r="AW1022" s="309">
        <v>8.3711000000000002</v>
      </c>
      <c r="AX1022" s="309">
        <v>8.3216000000000001</v>
      </c>
      <c r="AY1022" s="309">
        <v>8.8049999999999997</v>
      </c>
      <c r="AZ1022" s="309">
        <v>10.8584</v>
      </c>
      <c r="BA1022" s="309">
        <v>8.9171999999999993</v>
      </c>
      <c r="BB1022" s="309">
        <v>6.4714</v>
      </c>
      <c r="BC1022" s="309">
        <v>9.7690000000000001</v>
      </c>
      <c r="BD1022" s="309">
        <v>10.099500000000001</v>
      </c>
      <c r="BE1022" s="309">
        <v>12.567500000000001</v>
      </c>
      <c r="BF1022" s="309">
        <v>10.530799999999999</v>
      </c>
      <c r="BG1022" s="309">
        <v>10.8239</v>
      </c>
      <c r="BH1022" s="309">
        <v>12.2103</v>
      </c>
      <c r="BI1022" s="309">
        <v>11.497</v>
      </c>
      <c r="BJ1022" s="309">
        <v>10.218400000000001</v>
      </c>
      <c r="BK1022" s="309">
        <v>10.116199999999999</v>
      </c>
    </row>
    <row r="1023" spans="1:63" x14ac:dyDescent="0.25">
      <c r="A1023" s="306">
        <v>333130</v>
      </c>
      <c r="B1023" s="309" t="s">
        <v>183</v>
      </c>
      <c r="C1023" s="309">
        <v>18.615200000000002</v>
      </c>
      <c r="D1023" s="309">
        <v>8.9178999999999995</v>
      </c>
      <c r="E1023" s="309">
        <v>13.3032</v>
      </c>
      <c r="F1023" s="309">
        <v>13.010400000000001</v>
      </c>
      <c r="G1023" s="309">
        <v>12.0596</v>
      </c>
      <c r="H1023" s="309">
        <v>11.9107</v>
      </c>
      <c r="I1023" s="309">
        <v>12.6015</v>
      </c>
      <c r="J1023" s="309">
        <v>9.7132000000000005</v>
      </c>
      <c r="K1023" s="309">
        <v>0</v>
      </c>
      <c r="L1023" s="309">
        <v>0</v>
      </c>
      <c r="M1023" s="309">
        <v>12.4498</v>
      </c>
      <c r="N1023" s="309">
        <v>12.770099999999999</v>
      </c>
      <c r="O1023" s="309">
        <v>0</v>
      </c>
      <c r="P1023" s="309">
        <v>12.6014</v>
      </c>
      <c r="Q1023" s="309">
        <v>11.8607</v>
      </c>
      <c r="R1023" s="309">
        <v>14.6478</v>
      </c>
      <c r="S1023" s="309">
        <v>14.708399999999999</v>
      </c>
      <c r="T1023" s="309">
        <v>11.4107</v>
      </c>
      <c r="U1023" s="309">
        <v>13.571</v>
      </c>
      <c r="V1023" s="309">
        <v>11.754300000000001</v>
      </c>
      <c r="W1023" s="309">
        <v>12.5571</v>
      </c>
      <c r="X1023" s="309">
        <v>11.305099999999999</v>
      </c>
      <c r="Y1023" s="309">
        <v>0</v>
      </c>
      <c r="Z1023" s="309">
        <v>14.7563</v>
      </c>
      <c r="AA1023" s="309">
        <v>13.9758</v>
      </c>
      <c r="AB1023" s="309">
        <v>11.652699999999999</v>
      </c>
      <c r="AC1023" s="309">
        <v>12.145</v>
      </c>
      <c r="AD1023" s="309">
        <v>0</v>
      </c>
      <c r="AE1023" s="309">
        <v>14.9276</v>
      </c>
      <c r="AF1023" s="309">
        <v>9.2910000000000004</v>
      </c>
      <c r="AG1023" s="309">
        <v>11.803100000000001</v>
      </c>
      <c r="AH1023" s="309">
        <v>12.394600000000001</v>
      </c>
      <c r="AI1023" s="309">
        <v>12.050599999999999</v>
      </c>
      <c r="AJ1023" s="309">
        <v>11.6739</v>
      </c>
      <c r="AK1023" s="309">
        <v>11.0961</v>
      </c>
      <c r="AL1023" s="309">
        <v>9.5512999999999995</v>
      </c>
      <c r="AM1023" s="309">
        <v>15.9741</v>
      </c>
      <c r="AN1023" s="309">
        <v>14.423</v>
      </c>
      <c r="AO1023" s="309">
        <v>14.1404</v>
      </c>
      <c r="AP1023" s="309">
        <v>14.4711</v>
      </c>
      <c r="AQ1023" s="309">
        <v>0</v>
      </c>
      <c r="AR1023" s="309">
        <v>16.538499999999999</v>
      </c>
      <c r="AS1023" s="309">
        <v>0</v>
      </c>
      <c r="AT1023" s="309">
        <v>14.8529</v>
      </c>
      <c r="AU1023" s="309">
        <v>13.481400000000001</v>
      </c>
      <c r="AV1023" s="309">
        <v>15.994999999999999</v>
      </c>
      <c r="AW1023" s="309">
        <v>11.527100000000001</v>
      </c>
      <c r="AX1023" s="309">
        <v>11.8842</v>
      </c>
      <c r="AY1023" s="309">
        <v>10.9223</v>
      </c>
      <c r="AZ1023" s="309">
        <v>14.1387</v>
      </c>
      <c r="BA1023" s="309">
        <v>10.3628</v>
      </c>
      <c r="BB1023" s="309">
        <v>8.8271999999999995</v>
      </c>
      <c r="BC1023" s="309">
        <v>12.332700000000001</v>
      </c>
      <c r="BD1023" s="309">
        <v>12.9672</v>
      </c>
      <c r="BE1023" s="309">
        <v>16.5153</v>
      </c>
      <c r="BF1023" s="309">
        <v>14.0646</v>
      </c>
      <c r="BG1023" s="309">
        <v>14.188499999999999</v>
      </c>
      <c r="BH1023" s="309">
        <v>15.248799999999999</v>
      </c>
      <c r="BI1023" s="309">
        <v>14.351699999999999</v>
      </c>
      <c r="BJ1023" s="309">
        <v>13.478899999999999</v>
      </c>
      <c r="BK1023" s="309">
        <v>12.4559</v>
      </c>
    </row>
    <row r="1024" spans="1:63" x14ac:dyDescent="0.25">
      <c r="A1024" s="306">
        <v>333220</v>
      </c>
      <c r="B1024" s="309" t="s">
        <v>185</v>
      </c>
      <c r="C1024" s="309">
        <v>19.772400000000001</v>
      </c>
      <c r="D1024" s="309">
        <v>0</v>
      </c>
      <c r="E1024" s="309">
        <v>16.921500000000002</v>
      </c>
      <c r="F1024" s="309">
        <v>16.507300000000001</v>
      </c>
      <c r="G1024" s="309">
        <v>14.1416</v>
      </c>
      <c r="H1024" s="309">
        <v>14.0213</v>
      </c>
      <c r="I1024" s="309">
        <v>14.8003</v>
      </c>
      <c r="J1024" s="309">
        <v>11.035500000000001</v>
      </c>
      <c r="K1024" s="309">
        <v>0</v>
      </c>
      <c r="L1024" s="309">
        <v>0</v>
      </c>
      <c r="M1024" s="309">
        <v>14.837999999999999</v>
      </c>
      <c r="N1024" s="309">
        <v>15.522500000000001</v>
      </c>
      <c r="O1024" s="309">
        <v>0</v>
      </c>
      <c r="P1024" s="309">
        <v>13.069699999999999</v>
      </c>
      <c r="Q1024" s="309">
        <v>0</v>
      </c>
      <c r="R1024" s="309">
        <v>15.281499999999999</v>
      </c>
      <c r="S1024" s="309">
        <v>16.166799999999999</v>
      </c>
      <c r="T1024" s="309">
        <v>10.3398</v>
      </c>
      <c r="U1024" s="309">
        <v>13.110300000000001</v>
      </c>
      <c r="V1024" s="309">
        <v>16.4848</v>
      </c>
      <c r="W1024" s="309">
        <v>11.189</v>
      </c>
      <c r="X1024" s="309">
        <v>10.6434</v>
      </c>
      <c r="Y1024" s="309">
        <v>0</v>
      </c>
      <c r="Z1024" s="309">
        <v>16.159199999999998</v>
      </c>
      <c r="AA1024" s="309">
        <v>14.247</v>
      </c>
      <c r="AB1024" s="309">
        <v>13.958600000000001</v>
      </c>
      <c r="AC1024" s="309">
        <v>15.821199999999999</v>
      </c>
      <c r="AD1024" s="309">
        <v>0</v>
      </c>
      <c r="AE1024" s="309">
        <v>14.3871</v>
      </c>
      <c r="AF1024" s="309">
        <v>12.074400000000001</v>
      </c>
      <c r="AG1024" s="309">
        <v>13.912000000000001</v>
      </c>
      <c r="AH1024" s="309">
        <v>16.004300000000001</v>
      </c>
      <c r="AI1024" s="309">
        <v>10.3393</v>
      </c>
      <c r="AJ1024" s="309">
        <v>14.508900000000001</v>
      </c>
      <c r="AK1024" s="309">
        <v>0</v>
      </c>
      <c r="AL1024" s="309">
        <v>9.9367000000000001</v>
      </c>
      <c r="AM1024" s="309">
        <v>16.542300000000001</v>
      </c>
      <c r="AN1024" s="309">
        <v>13.0022</v>
      </c>
      <c r="AO1024" s="309">
        <v>12.751799999999999</v>
      </c>
      <c r="AP1024" s="309">
        <v>15.6805</v>
      </c>
      <c r="AQ1024" s="309">
        <v>9.5450999999999997</v>
      </c>
      <c r="AR1024" s="309">
        <v>16.4665</v>
      </c>
      <c r="AS1024" s="309">
        <v>0</v>
      </c>
      <c r="AT1024" s="309">
        <v>14.1312</v>
      </c>
      <c r="AU1024" s="309">
        <v>13.678800000000001</v>
      </c>
      <c r="AV1024" s="309">
        <v>20.6938</v>
      </c>
      <c r="AW1024" s="309">
        <v>13.9559</v>
      </c>
      <c r="AX1024" s="309">
        <v>10.669499999999999</v>
      </c>
      <c r="AY1024" s="309">
        <v>14.722899999999999</v>
      </c>
      <c r="AZ1024" s="309">
        <v>14.960599999999999</v>
      </c>
      <c r="BA1024" s="309">
        <v>14.292</v>
      </c>
      <c r="BB1024" s="309">
        <v>0</v>
      </c>
      <c r="BC1024" s="309">
        <v>13.490500000000001</v>
      </c>
      <c r="BD1024" s="309">
        <v>13.763199999999999</v>
      </c>
      <c r="BE1024" s="309">
        <v>17.306799999999999</v>
      </c>
      <c r="BF1024" s="309">
        <v>14.507</v>
      </c>
      <c r="BG1024" s="309">
        <v>16.276900000000001</v>
      </c>
      <c r="BH1024" s="309">
        <v>15.491</v>
      </c>
      <c r="BI1024" s="309">
        <v>14.3954</v>
      </c>
      <c r="BJ1024" s="309">
        <v>15.583299999999999</v>
      </c>
      <c r="BK1024" s="309">
        <v>14.797000000000001</v>
      </c>
    </row>
    <row r="1025" spans="1:63" x14ac:dyDescent="0.25">
      <c r="A1025" s="306">
        <v>333295</v>
      </c>
      <c r="B1025" s="309" t="s">
        <v>186</v>
      </c>
      <c r="C1025" s="309">
        <v>16.382000000000001</v>
      </c>
      <c r="D1025" s="309">
        <v>0</v>
      </c>
      <c r="E1025" s="309">
        <v>13.270099999999999</v>
      </c>
      <c r="F1025" s="309">
        <v>12.5947</v>
      </c>
      <c r="G1025" s="309">
        <v>10.814399999999999</v>
      </c>
      <c r="H1025" s="309">
        <v>10.6983</v>
      </c>
      <c r="I1025" s="309">
        <v>13.825799999999999</v>
      </c>
      <c r="J1025" s="309">
        <v>9.1656999999999993</v>
      </c>
      <c r="K1025" s="309">
        <v>0</v>
      </c>
      <c r="L1025" s="309">
        <v>0</v>
      </c>
      <c r="M1025" s="309">
        <v>11.8179</v>
      </c>
      <c r="N1025" s="309">
        <v>10.510999999999999</v>
      </c>
      <c r="O1025" s="309">
        <v>0</v>
      </c>
      <c r="P1025" s="309">
        <v>11.4091</v>
      </c>
      <c r="Q1025" s="309">
        <v>8.3003</v>
      </c>
      <c r="R1025" s="309">
        <v>11.1966</v>
      </c>
      <c r="S1025" s="309">
        <v>0</v>
      </c>
      <c r="T1025" s="309">
        <v>0</v>
      </c>
      <c r="U1025" s="309">
        <v>13.3941</v>
      </c>
      <c r="V1025" s="309">
        <v>0</v>
      </c>
      <c r="W1025" s="309">
        <v>9.4933999999999994</v>
      </c>
      <c r="X1025" s="309">
        <v>9.5313999999999997</v>
      </c>
      <c r="Y1025" s="309">
        <v>0</v>
      </c>
      <c r="Z1025" s="309">
        <v>13.214600000000001</v>
      </c>
      <c r="AA1025" s="309">
        <v>12.002000000000001</v>
      </c>
      <c r="AB1025" s="309">
        <v>0</v>
      </c>
      <c r="AC1025" s="309">
        <v>0</v>
      </c>
      <c r="AD1025" s="309">
        <v>12.074299999999999</v>
      </c>
      <c r="AE1025" s="309">
        <v>11.962999999999999</v>
      </c>
      <c r="AF1025" s="309">
        <v>0</v>
      </c>
      <c r="AG1025" s="309">
        <v>0</v>
      </c>
      <c r="AH1025" s="309">
        <v>10.7475</v>
      </c>
      <c r="AI1025" s="309">
        <v>10.1014</v>
      </c>
      <c r="AJ1025" s="309">
        <v>0</v>
      </c>
      <c r="AK1025" s="309">
        <v>0</v>
      </c>
      <c r="AL1025" s="309">
        <v>7.7901999999999996</v>
      </c>
      <c r="AM1025" s="309">
        <v>14.743499999999999</v>
      </c>
      <c r="AN1025" s="309">
        <v>0</v>
      </c>
      <c r="AO1025" s="309">
        <v>11.885199999999999</v>
      </c>
      <c r="AP1025" s="309">
        <v>12.542</v>
      </c>
      <c r="AQ1025" s="309">
        <v>0</v>
      </c>
      <c r="AR1025" s="309">
        <v>0</v>
      </c>
      <c r="AS1025" s="309">
        <v>0</v>
      </c>
      <c r="AT1025" s="309">
        <v>14.005100000000001</v>
      </c>
      <c r="AU1025" s="309">
        <v>12.4588</v>
      </c>
      <c r="AV1025" s="309">
        <v>16.415199999999999</v>
      </c>
      <c r="AW1025" s="309">
        <v>9.6462000000000003</v>
      </c>
      <c r="AX1025" s="309">
        <v>9.4963999999999995</v>
      </c>
      <c r="AY1025" s="309">
        <v>0</v>
      </c>
      <c r="AZ1025" s="309">
        <v>12.798500000000001</v>
      </c>
      <c r="BA1025" s="309">
        <v>0</v>
      </c>
      <c r="BB1025" s="309">
        <v>0</v>
      </c>
      <c r="BC1025" s="309">
        <v>11.4795</v>
      </c>
      <c r="BD1025" s="309">
        <v>11.177</v>
      </c>
      <c r="BE1025" s="309">
        <v>14.826599999999999</v>
      </c>
      <c r="BF1025" s="309">
        <v>11.8559</v>
      </c>
      <c r="BG1025" s="309">
        <v>12.6442</v>
      </c>
      <c r="BH1025" s="309">
        <v>14.6341</v>
      </c>
      <c r="BI1025" s="309">
        <v>12.86</v>
      </c>
      <c r="BJ1025" s="309">
        <v>13.1312</v>
      </c>
      <c r="BK1025" s="309">
        <v>11.2654</v>
      </c>
    </row>
    <row r="1026" spans="1:63" x14ac:dyDescent="0.25">
      <c r="A1026" s="306" t="s">
        <v>730</v>
      </c>
      <c r="B1026" s="309" t="s">
        <v>184</v>
      </c>
      <c r="C1026" s="309">
        <v>19.982199999999999</v>
      </c>
      <c r="D1026" s="309">
        <v>0</v>
      </c>
      <c r="E1026" s="309">
        <v>15.9359</v>
      </c>
      <c r="F1026" s="309">
        <v>13.712999999999999</v>
      </c>
      <c r="G1026" s="309">
        <v>14.3582</v>
      </c>
      <c r="H1026" s="309">
        <v>13.6614</v>
      </c>
      <c r="I1026" s="309">
        <v>14.606400000000001</v>
      </c>
      <c r="J1026" s="309">
        <v>11.3988</v>
      </c>
      <c r="K1026" s="309">
        <v>0</v>
      </c>
      <c r="L1026" s="309">
        <v>8.3938000000000006</v>
      </c>
      <c r="M1026" s="309">
        <v>13.611499999999999</v>
      </c>
      <c r="N1026" s="309">
        <v>14.4267</v>
      </c>
      <c r="O1026" s="309">
        <v>0</v>
      </c>
      <c r="P1026" s="309">
        <v>12.192600000000001</v>
      </c>
      <c r="Q1026" s="309">
        <v>12.5085</v>
      </c>
      <c r="R1026" s="309">
        <v>14.9535</v>
      </c>
      <c r="S1026" s="309">
        <v>15.077400000000001</v>
      </c>
      <c r="T1026" s="309">
        <v>11.47</v>
      </c>
      <c r="U1026" s="309">
        <v>13.688000000000001</v>
      </c>
      <c r="V1026" s="309">
        <v>13.5337</v>
      </c>
      <c r="W1026" s="309">
        <v>10.9117</v>
      </c>
      <c r="X1026" s="309">
        <v>10.854799999999999</v>
      </c>
      <c r="Y1026" s="309">
        <v>13.52</v>
      </c>
      <c r="Z1026" s="309">
        <v>15.334099999999999</v>
      </c>
      <c r="AA1026" s="309">
        <v>13.954800000000001</v>
      </c>
      <c r="AB1026" s="309">
        <v>13.994999999999999</v>
      </c>
      <c r="AC1026" s="309">
        <v>13.4085</v>
      </c>
      <c r="AD1026" s="309">
        <v>12.5771</v>
      </c>
      <c r="AE1026" s="309">
        <v>14.234400000000001</v>
      </c>
      <c r="AF1026" s="309">
        <v>8.25</v>
      </c>
      <c r="AG1026" s="309">
        <v>11.5878</v>
      </c>
      <c r="AH1026" s="309">
        <v>11.509499999999999</v>
      </c>
      <c r="AI1026" s="309">
        <v>11.2622</v>
      </c>
      <c r="AJ1026" s="309">
        <v>9.8542000000000005</v>
      </c>
      <c r="AK1026" s="309">
        <v>12.7011</v>
      </c>
      <c r="AL1026" s="309">
        <v>9.8567</v>
      </c>
      <c r="AM1026" s="309">
        <v>16.4617</v>
      </c>
      <c r="AN1026" s="309">
        <v>16.174199999999999</v>
      </c>
      <c r="AO1026" s="309">
        <v>15.0321</v>
      </c>
      <c r="AP1026" s="309">
        <v>16.438600000000001</v>
      </c>
      <c r="AQ1026" s="309">
        <v>11.3552</v>
      </c>
      <c r="AR1026" s="309">
        <v>15.541399999999999</v>
      </c>
      <c r="AS1026" s="309">
        <v>11.5375</v>
      </c>
      <c r="AT1026" s="309">
        <v>15.088900000000001</v>
      </c>
      <c r="AU1026" s="309">
        <v>15.091100000000001</v>
      </c>
      <c r="AV1026" s="309">
        <v>18.1938</v>
      </c>
      <c r="AW1026" s="309">
        <v>12.745100000000001</v>
      </c>
      <c r="AX1026" s="309">
        <v>11.3919</v>
      </c>
      <c r="AY1026" s="309">
        <v>13.1213</v>
      </c>
      <c r="AZ1026" s="309">
        <v>14.8163</v>
      </c>
      <c r="BA1026" s="309">
        <v>12.343299999999999</v>
      </c>
      <c r="BB1026" s="309">
        <v>8.7268000000000008</v>
      </c>
      <c r="BC1026" s="309">
        <v>13.359</v>
      </c>
      <c r="BD1026" s="309">
        <v>14.0778</v>
      </c>
      <c r="BE1026" s="309">
        <v>16.839600000000001</v>
      </c>
      <c r="BF1026" s="309">
        <v>14.558</v>
      </c>
      <c r="BG1026" s="309">
        <v>15.4758</v>
      </c>
      <c r="BH1026" s="309">
        <v>16.031099999999999</v>
      </c>
      <c r="BI1026" s="309">
        <v>16.028700000000001</v>
      </c>
      <c r="BJ1026" s="309">
        <v>15.0692</v>
      </c>
      <c r="BK1026" s="309">
        <v>14.455500000000001</v>
      </c>
    </row>
    <row r="1027" spans="1:63" x14ac:dyDescent="0.25">
      <c r="A1027" s="306">
        <v>333314</v>
      </c>
      <c r="B1027" s="309" t="s">
        <v>188</v>
      </c>
      <c r="C1027" s="309">
        <v>19.429600000000001</v>
      </c>
      <c r="D1027" s="309">
        <v>0</v>
      </c>
      <c r="E1027" s="309">
        <v>16.020399999999999</v>
      </c>
      <c r="F1027" s="309">
        <v>16.109500000000001</v>
      </c>
      <c r="G1027" s="309">
        <v>13.784599999999999</v>
      </c>
      <c r="H1027" s="309">
        <v>12.9495</v>
      </c>
      <c r="I1027" s="309">
        <v>15.7479</v>
      </c>
      <c r="J1027" s="309">
        <v>10.564500000000001</v>
      </c>
      <c r="K1027" s="309">
        <v>0</v>
      </c>
      <c r="L1027" s="309">
        <v>10.279199999999999</v>
      </c>
      <c r="M1027" s="309">
        <v>14.4642</v>
      </c>
      <c r="N1027" s="309">
        <v>19.297999999999998</v>
      </c>
      <c r="O1027" s="309">
        <v>14.6258</v>
      </c>
      <c r="P1027" s="309">
        <v>15.4695</v>
      </c>
      <c r="Q1027" s="309">
        <v>16.181999999999999</v>
      </c>
      <c r="R1027" s="309">
        <v>15.739800000000001</v>
      </c>
      <c r="S1027" s="309">
        <v>16.770700000000001</v>
      </c>
      <c r="T1027" s="309">
        <v>14.925700000000001</v>
      </c>
      <c r="U1027" s="309">
        <v>17.903199999999998</v>
      </c>
      <c r="V1027" s="309">
        <v>12.9124</v>
      </c>
      <c r="W1027" s="309">
        <v>12.219200000000001</v>
      </c>
      <c r="X1027" s="309">
        <v>11.1402</v>
      </c>
      <c r="Y1027" s="309">
        <v>13.945600000000001</v>
      </c>
      <c r="Z1027" s="309">
        <v>14.473699999999999</v>
      </c>
      <c r="AA1027" s="309">
        <v>15.326000000000001</v>
      </c>
      <c r="AB1027" s="309">
        <v>13.409700000000001</v>
      </c>
      <c r="AC1027" s="309">
        <v>15.035</v>
      </c>
      <c r="AD1027" s="309">
        <v>12.6965</v>
      </c>
      <c r="AE1027" s="309">
        <v>14.4345</v>
      </c>
      <c r="AF1027" s="309">
        <v>11.9716</v>
      </c>
      <c r="AG1027" s="309">
        <v>9.5274000000000001</v>
      </c>
      <c r="AH1027" s="309">
        <v>12.503500000000001</v>
      </c>
      <c r="AI1027" s="309">
        <v>12.482200000000001</v>
      </c>
      <c r="AJ1027" s="309">
        <v>10.965400000000001</v>
      </c>
      <c r="AK1027" s="309">
        <v>13.822800000000001</v>
      </c>
      <c r="AL1027" s="309">
        <v>11.158899999999999</v>
      </c>
      <c r="AM1027" s="309">
        <v>17.261600000000001</v>
      </c>
      <c r="AN1027" s="309">
        <v>18.7471</v>
      </c>
      <c r="AO1027" s="309">
        <v>14.8436</v>
      </c>
      <c r="AP1027" s="309">
        <v>16.301300000000001</v>
      </c>
      <c r="AQ1027" s="309">
        <v>11.7285</v>
      </c>
      <c r="AR1027" s="309">
        <v>0</v>
      </c>
      <c r="AS1027" s="309">
        <v>0</v>
      </c>
      <c r="AT1027" s="309">
        <v>17.754799999999999</v>
      </c>
      <c r="AU1027" s="309">
        <v>16.3263</v>
      </c>
      <c r="AV1027" s="309">
        <v>21.414200000000001</v>
      </c>
      <c r="AW1027" s="309">
        <v>11.598800000000001</v>
      </c>
      <c r="AX1027" s="309">
        <v>11.571400000000001</v>
      </c>
      <c r="AY1027" s="309">
        <v>12.5479</v>
      </c>
      <c r="AZ1027" s="309">
        <v>14.7415</v>
      </c>
      <c r="BA1027" s="309">
        <v>15.165900000000001</v>
      </c>
      <c r="BB1027" s="309">
        <v>0</v>
      </c>
      <c r="BC1027" s="309">
        <v>14.1546</v>
      </c>
      <c r="BD1027" s="309">
        <v>14.888199999999999</v>
      </c>
      <c r="BE1027" s="309">
        <v>16.948799999999999</v>
      </c>
      <c r="BF1027" s="309">
        <v>14.6722</v>
      </c>
      <c r="BG1027" s="309">
        <v>15.2232</v>
      </c>
      <c r="BH1027" s="309">
        <v>18.119900000000001</v>
      </c>
      <c r="BI1027" s="309">
        <v>17.000900000000001</v>
      </c>
      <c r="BJ1027" s="309">
        <v>15.324</v>
      </c>
      <c r="BK1027" s="309">
        <v>13.705399999999999</v>
      </c>
    </row>
    <row r="1028" spans="1:63" x14ac:dyDescent="0.25">
      <c r="A1028" s="306">
        <v>333315</v>
      </c>
      <c r="B1028" s="309" t="s">
        <v>189</v>
      </c>
      <c r="C1028" s="309">
        <v>13.5962</v>
      </c>
      <c r="D1028" s="309">
        <v>0</v>
      </c>
      <c r="E1028" s="309">
        <v>10.540900000000001</v>
      </c>
      <c r="F1028" s="309">
        <v>0</v>
      </c>
      <c r="G1028" s="309">
        <v>7.7053000000000003</v>
      </c>
      <c r="H1028" s="309">
        <v>10.002000000000001</v>
      </c>
      <c r="I1028" s="309">
        <v>9.4540000000000006</v>
      </c>
      <c r="J1028" s="309">
        <v>10.9467</v>
      </c>
      <c r="K1028" s="309">
        <v>0</v>
      </c>
      <c r="L1028" s="309">
        <v>0</v>
      </c>
      <c r="M1028" s="309">
        <v>8.5667000000000009</v>
      </c>
      <c r="N1028" s="309">
        <v>10.274100000000001</v>
      </c>
      <c r="O1028" s="309">
        <v>0</v>
      </c>
      <c r="P1028" s="309">
        <v>0</v>
      </c>
      <c r="Q1028" s="309">
        <v>6.6393000000000004</v>
      </c>
      <c r="R1028" s="309">
        <v>10.7842</v>
      </c>
      <c r="S1028" s="309">
        <v>11.3489</v>
      </c>
      <c r="T1028" s="309">
        <v>7.8224</v>
      </c>
      <c r="U1028" s="309">
        <v>12.389200000000001</v>
      </c>
      <c r="V1028" s="309">
        <v>0</v>
      </c>
      <c r="W1028" s="309">
        <v>7.2428999999999997</v>
      </c>
      <c r="X1028" s="309">
        <v>9.1090999999999998</v>
      </c>
      <c r="Y1028" s="309">
        <v>8.8719000000000001</v>
      </c>
      <c r="Z1028" s="309">
        <v>13.4915</v>
      </c>
      <c r="AA1028" s="309">
        <v>9.1290999999999993</v>
      </c>
      <c r="AB1028" s="309">
        <v>10.463900000000001</v>
      </c>
      <c r="AC1028" s="309">
        <v>0</v>
      </c>
      <c r="AD1028" s="309">
        <v>6.9641999999999999</v>
      </c>
      <c r="AE1028" s="309">
        <v>12.7727</v>
      </c>
      <c r="AF1028" s="309">
        <v>8.2984000000000009</v>
      </c>
      <c r="AG1028" s="309">
        <v>8.4105000000000008</v>
      </c>
      <c r="AH1028" s="309">
        <v>9.3962000000000003</v>
      </c>
      <c r="AI1028" s="309">
        <v>7.1936</v>
      </c>
      <c r="AJ1028" s="309">
        <v>8.3691999999999993</v>
      </c>
      <c r="AK1028" s="309">
        <v>0</v>
      </c>
      <c r="AL1028" s="309">
        <v>6.3650000000000002</v>
      </c>
      <c r="AM1028" s="309">
        <v>10.041700000000001</v>
      </c>
      <c r="AN1028" s="309">
        <v>11.319000000000001</v>
      </c>
      <c r="AO1028" s="309">
        <v>11.649900000000001</v>
      </c>
      <c r="AP1028" s="309">
        <v>11.095000000000001</v>
      </c>
      <c r="AQ1028" s="309">
        <v>0</v>
      </c>
      <c r="AR1028" s="309">
        <v>10.3287</v>
      </c>
      <c r="AS1028" s="309">
        <v>0</v>
      </c>
      <c r="AT1028" s="309">
        <v>8.7769999999999992</v>
      </c>
      <c r="AU1028" s="309">
        <v>13.0284</v>
      </c>
      <c r="AV1028" s="309">
        <v>12.441700000000001</v>
      </c>
      <c r="AW1028" s="309">
        <v>8.7156000000000002</v>
      </c>
      <c r="AX1028" s="309">
        <v>0</v>
      </c>
      <c r="AY1028" s="309">
        <v>10.5345</v>
      </c>
      <c r="AZ1028" s="309">
        <v>11.7658</v>
      </c>
      <c r="BA1028" s="309">
        <v>0</v>
      </c>
      <c r="BB1028" s="309">
        <v>0</v>
      </c>
      <c r="BC1028" s="309">
        <v>9.1331000000000007</v>
      </c>
      <c r="BD1028" s="309">
        <v>8.9842999999999993</v>
      </c>
      <c r="BE1028" s="309">
        <v>12.629099999999999</v>
      </c>
      <c r="BF1028" s="309">
        <v>9.7652999999999999</v>
      </c>
      <c r="BG1028" s="309">
        <v>10.726000000000001</v>
      </c>
      <c r="BH1028" s="309">
        <v>9.8641000000000005</v>
      </c>
      <c r="BI1028" s="309">
        <v>13.3512</v>
      </c>
      <c r="BJ1028" s="309">
        <v>9.3355999999999995</v>
      </c>
      <c r="BK1028" s="309">
        <v>10.3391</v>
      </c>
    </row>
    <row r="1029" spans="1:63" x14ac:dyDescent="0.25">
      <c r="A1029" s="306">
        <v>333319</v>
      </c>
      <c r="B1029" s="309" t="s">
        <v>190</v>
      </c>
      <c r="C1029" s="309">
        <v>16.495699999999999</v>
      </c>
      <c r="D1029" s="309">
        <v>0</v>
      </c>
      <c r="E1029" s="309">
        <v>12.4559</v>
      </c>
      <c r="F1029" s="309">
        <v>11.132899999999999</v>
      </c>
      <c r="G1029" s="309">
        <v>11.4267</v>
      </c>
      <c r="H1029" s="309">
        <v>10.7986</v>
      </c>
      <c r="I1029" s="309">
        <v>11.2819</v>
      </c>
      <c r="J1029" s="309">
        <v>9.5611999999999995</v>
      </c>
      <c r="K1029" s="309">
        <v>0</v>
      </c>
      <c r="L1029" s="309">
        <v>0</v>
      </c>
      <c r="M1029" s="309">
        <v>10.133599999999999</v>
      </c>
      <c r="N1029" s="309">
        <v>11.269600000000001</v>
      </c>
      <c r="O1029" s="309">
        <v>9.0707000000000004</v>
      </c>
      <c r="P1029" s="309">
        <v>10.450200000000001</v>
      </c>
      <c r="Q1029" s="309">
        <v>9.7860999999999994</v>
      </c>
      <c r="R1029" s="309">
        <v>11.716100000000001</v>
      </c>
      <c r="S1029" s="309">
        <v>12.237</v>
      </c>
      <c r="T1029" s="309">
        <v>8.4715000000000007</v>
      </c>
      <c r="U1029" s="309">
        <v>12.6746</v>
      </c>
      <c r="V1029" s="309">
        <v>10.151899999999999</v>
      </c>
      <c r="W1029" s="309">
        <v>9.6315000000000008</v>
      </c>
      <c r="X1029" s="309">
        <v>8.6640999999999995</v>
      </c>
      <c r="Y1029" s="309">
        <v>10.919600000000001</v>
      </c>
      <c r="Z1029" s="309">
        <v>12.162699999999999</v>
      </c>
      <c r="AA1029" s="309">
        <v>10.7562</v>
      </c>
      <c r="AB1029" s="309">
        <v>11.073600000000001</v>
      </c>
      <c r="AC1029" s="309">
        <v>11.0991</v>
      </c>
      <c r="AD1029" s="309">
        <v>10.1175</v>
      </c>
      <c r="AE1029" s="309">
        <v>11.658099999999999</v>
      </c>
      <c r="AF1029" s="309">
        <v>7.7164000000000001</v>
      </c>
      <c r="AG1029" s="309">
        <v>8.8971</v>
      </c>
      <c r="AH1029" s="309">
        <v>9.3153000000000006</v>
      </c>
      <c r="AI1029" s="309">
        <v>9.1804000000000006</v>
      </c>
      <c r="AJ1029" s="309">
        <v>8.9869000000000003</v>
      </c>
      <c r="AK1029" s="309">
        <v>10.526899999999999</v>
      </c>
      <c r="AL1029" s="309">
        <v>9.5079999999999991</v>
      </c>
      <c r="AM1029" s="309">
        <v>13.5969</v>
      </c>
      <c r="AN1029" s="309">
        <v>11.5867</v>
      </c>
      <c r="AO1029" s="309">
        <v>11.4811</v>
      </c>
      <c r="AP1029" s="309">
        <v>12.2751</v>
      </c>
      <c r="AQ1029" s="309">
        <v>9.1763999999999992</v>
      </c>
      <c r="AR1029" s="309">
        <v>13.569000000000001</v>
      </c>
      <c r="AS1029" s="309">
        <v>9.3874999999999993</v>
      </c>
      <c r="AT1029" s="309">
        <v>12.5006</v>
      </c>
      <c r="AU1029" s="309">
        <v>12.815099999999999</v>
      </c>
      <c r="AV1029" s="309">
        <v>13.6877</v>
      </c>
      <c r="AW1029" s="309">
        <v>9.3420000000000005</v>
      </c>
      <c r="AX1029" s="309">
        <v>8.6868999999999996</v>
      </c>
      <c r="AY1029" s="309">
        <v>10.883599999999999</v>
      </c>
      <c r="AZ1029" s="309">
        <v>12.460699999999999</v>
      </c>
      <c r="BA1029" s="309">
        <v>0</v>
      </c>
      <c r="BB1029" s="309">
        <v>8.7243999999999993</v>
      </c>
      <c r="BC1029" s="309">
        <v>11.292199999999999</v>
      </c>
      <c r="BD1029" s="309">
        <v>11.3538</v>
      </c>
      <c r="BE1029" s="309">
        <v>13.657</v>
      </c>
      <c r="BF1029" s="309">
        <v>11.453099999999999</v>
      </c>
      <c r="BG1029" s="309">
        <v>12.061199999999999</v>
      </c>
      <c r="BH1029" s="309">
        <v>13.639699999999999</v>
      </c>
      <c r="BI1029" s="309">
        <v>13.1836</v>
      </c>
      <c r="BJ1029" s="309">
        <v>12.0357</v>
      </c>
      <c r="BK1029" s="309">
        <v>11.318300000000001</v>
      </c>
    </row>
    <row r="1030" spans="1:63" x14ac:dyDescent="0.25">
      <c r="A1030" s="306" t="s">
        <v>731</v>
      </c>
      <c r="B1030" s="309" t="s">
        <v>187</v>
      </c>
      <c r="C1030" s="309">
        <v>18.510300000000001</v>
      </c>
      <c r="D1030" s="309">
        <v>0</v>
      </c>
      <c r="E1030" s="309">
        <v>11.861499999999999</v>
      </c>
      <c r="F1030" s="309">
        <v>13.9567</v>
      </c>
      <c r="G1030" s="309">
        <v>14.5876</v>
      </c>
      <c r="H1030" s="309">
        <v>11.652799999999999</v>
      </c>
      <c r="I1030" s="309">
        <v>13.5685</v>
      </c>
      <c r="J1030" s="309">
        <v>9.5763999999999996</v>
      </c>
      <c r="K1030" s="309">
        <v>0</v>
      </c>
      <c r="L1030" s="309">
        <v>0</v>
      </c>
      <c r="M1030" s="309">
        <v>12.4625</v>
      </c>
      <c r="N1030" s="309">
        <v>13.197800000000001</v>
      </c>
      <c r="O1030" s="309">
        <v>0</v>
      </c>
      <c r="P1030" s="309">
        <v>11.1145</v>
      </c>
      <c r="Q1030" s="309">
        <v>11.3758</v>
      </c>
      <c r="R1030" s="309">
        <v>13.4354</v>
      </c>
      <c r="S1030" s="309">
        <v>13.9176</v>
      </c>
      <c r="T1030" s="309">
        <v>11.820399999999999</v>
      </c>
      <c r="U1030" s="309">
        <v>14.6767</v>
      </c>
      <c r="V1030" s="309">
        <v>12.180199999999999</v>
      </c>
      <c r="W1030" s="309">
        <v>11.153499999999999</v>
      </c>
      <c r="X1030" s="309">
        <v>10.3339</v>
      </c>
      <c r="Y1030" s="309">
        <v>0</v>
      </c>
      <c r="Z1030" s="309">
        <v>15.233599999999999</v>
      </c>
      <c r="AA1030" s="309">
        <v>12.8863</v>
      </c>
      <c r="AB1030" s="309">
        <v>13.274900000000001</v>
      </c>
      <c r="AC1030" s="309">
        <v>0</v>
      </c>
      <c r="AD1030" s="309">
        <v>12.263</v>
      </c>
      <c r="AE1030" s="309">
        <v>11.9246</v>
      </c>
      <c r="AF1030" s="309">
        <v>0</v>
      </c>
      <c r="AG1030" s="309">
        <v>11.0014</v>
      </c>
      <c r="AH1030" s="309">
        <v>10.300800000000001</v>
      </c>
      <c r="AI1030" s="309">
        <v>10.4375</v>
      </c>
      <c r="AJ1030" s="309">
        <v>0</v>
      </c>
      <c r="AK1030" s="309">
        <v>0</v>
      </c>
      <c r="AL1030" s="309">
        <v>9.641</v>
      </c>
      <c r="AM1030" s="309">
        <v>15.940799999999999</v>
      </c>
      <c r="AN1030" s="309">
        <v>13.0245</v>
      </c>
      <c r="AO1030" s="309">
        <v>13.3109</v>
      </c>
      <c r="AP1030" s="309">
        <v>13.2491</v>
      </c>
      <c r="AQ1030" s="309">
        <v>0</v>
      </c>
      <c r="AR1030" s="309">
        <v>16.473500000000001</v>
      </c>
      <c r="AS1030" s="309">
        <v>0</v>
      </c>
      <c r="AT1030" s="309">
        <v>14.882099999999999</v>
      </c>
      <c r="AU1030" s="309">
        <v>12.9849</v>
      </c>
      <c r="AV1030" s="309">
        <v>17.817299999999999</v>
      </c>
      <c r="AW1030" s="309">
        <v>12.203099999999999</v>
      </c>
      <c r="AX1030" s="309">
        <v>0</v>
      </c>
      <c r="AY1030" s="309">
        <v>12.6518</v>
      </c>
      <c r="AZ1030" s="309">
        <v>14.3706</v>
      </c>
      <c r="BA1030" s="309">
        <v>12.0603</v>
      </c>
      <c r="BB1030" s="309">
        <v>7.3597000000000001</v>
      </c>
      <c r="BC1030" s="309">
        <v>11.8653</v>
      </c>
      <c r="BD1030" s="309">
        <v>12.4848</v>
      </c>
      <c r="BE1030" s="309">
        <v>15.841699999999999</v>
      </c>
      <c r="BF1030" s="309">
        <v>13.5288</v>
      </c>
      <c r="BG1030" s="309">
        <v>14.7561</v>
      </c>
      <c r="BH1030" s="309">
        <v>14.491099999999999</v>
      </c>
      <c r="BI1030" s="309">
        <v>14.147600000000001</v>
      </c>
      <c r="BJ1030" s="309">
        <v>14.6225</v>
      </c>
      <c r="BK1030" s="309">
        <v>11.9588</v>
      </c>
    </row>
    <row r="1031" spans="1:63" x14ac:dyDescent="0.25">
      <c r="A1031" s="306">
        <v>333414</v>
      </c>
      <c r="B1031" s="309" t="s">
        <v>5</v>
      </c>
      <c r="C1031" s="309">
        <v>18.463000000000001</v>
      </c>
      <c r="D1031" s="309">
        <v>11.062900000000001</v>
      </c>
      <c r="E1031" s="309">
        <v>15.2677</v>
      </c>
      <c r="F1031" s="309">
        <v>0</v>
      </c>
      <c r="G1031" s="309">
        <v>11.1114</v>
      </c>
      <c r="H1031" s="309">
        <v>11.2721</v>
      </c>
      <c r="I1031" s="309">
        <v>12.024800000000001</v>
      </c>
      <c r="J1031" s="309">
        <v>9.9169999999999998</v>
      </c>
      <c r="K1031" s="309">
        <v>0</v>
      </c>
      <c r="L1031" s="309">
        <v>9.1617999999999995</v>
      </c>
      <c r="M1031" s="309">
        <v>12.980499999999999</v>
      </c>
      <c r="N1031" s="309">
        <v>12.5626</v>
      </c>
      <c r="O1031" s="309">
        <v>11.0411</v>
      </c>
      <c r="P1031" s="309">
        <v>10.545</v>
      </c>
      <c r="Q1031" s="309">
        <v>11.161799999999999</v>
      </c>
      <c r="R1031" s="309">
        <v>13.2037</v>
      </c>
      <c r="S1031" s="309">
        <v>12.8276</v>
      </c>
      <c r="T1031" s="309">
        <v>10.5504</v>
      </c>
      <c r="U1031" s="309">
        <v>13.415100000000001</v>
      </c>
      <c r="V1031" s="309">
        <v>10.176399999999999</v>
      </c>
      <c r="W1031" s="309">
        <v>10.3895</v>
      </c>
      <c r="X1031" s="309">
        <v>8.8914000000000009</v>
      </c>
      <c r="Y1031" s="309">
        <v>11.9366</v>
      </c>
      <c r="Z1031" s="309">
        <v>14.3812</v>
      </c>
      <c r="AA1031" s="309">
        <v>12.9061</v>
      </c>
      <c r="AB1031" s="309">
        <v>11.724500000000001</v>
      </c>
      <c r="AC1031" s="309">
        <v>11.3652</v>
      </c>
      <c r="AD1031" s="309">
        <v>0</v>
      </c>
      <c r="AE1031" s="309">
        <v>13.6492</v>
      </c>
      <c r="AF1031" s="309">
        <v>7.4649999999999999</v>
      </c>
      <c r="AG1031" s="309">
        <v>11.148199999999999</v>
      </c>
      <c r="AH1031" s="309">
        <v>11.1859</v>
      </c>
      <c r="AI1031" s="309">
        <v>10.6645</v>
      </c>
      <c r="AJ1031" s="309">
        <v>12.086499999999999</v>
      </c>
      <c r="AK1031" s="309">
        <v>9.5837000000000003</v>
      </c>
      <c r="AL1031" s="309">
        <v>8.8350000000000009</v>
      </c>
      <c r="AM1031" s="309">
        <v>14.7813</v>
      </c>
      <c r="AN1031" s="309">
        <v>13.3161</v>
      </c>
      <c r="AO1031" s="309">
        <v>14.9674</v>
      </c>
      <c r="AP1031" s="309">
        <v>14.2341</v>
      </c>
      <c r="AQ1031" s="309">
        <v>9.5309000000000008</v>
      </c>
      <c r="AR1031" s="309">
        <v>13.6374</v>
      </c>
      <c r="AS1031" s="309">
        <v>11.069000000000001</v>
      </c>
      <c r="AT1031" s="309">
        <v>14.7583</v>
      </c>
      <c r="AU1031" s="309">
        <v>12.681800000000001</v>
      </c>
      <c r="AV1031" s="309">
        <v>16.454999999999998</v>
      </c>
      <c r="AW1031" s="309">
        <v>10.706300000000001</v>
      </c>
      <c r="AX1031" s="309">
        <v>10.258800000000001</v>
      </c>
      <c r="AY1031" s="309">
        <v>11.9564</v>
      </c>
      <c r="AZ1031" s="309">
        <v>13.6478</v>
      </c>
      <c r="BA1031" s="309">
        <v>0</v>
      </c>
      <c r="BB1031" s="309">
        <v>0</v>
      </c>
      <c r="BC1031" s="309">
        <v>12.380699999999999</v>
      </c>
      <c r="BD1031" s="309">
        <v>12.8094</v>
      </c>
      <c r="BE1031" s="309">
        <v>15.1243</v>
      </c>
      <c r="BF1031" s="309">
        <v>13.0457</v>
      </c>
      <c r="BG1031" s="309">
        <v>14.012700000000001</v>
      </c>
      <c r="BH1031" s="309">
        <v>15.4473</v>
      </c>
      <c r="BI1031" s="309">
        <v>13.817</v>
      </c>
      <c r="BJ1031" s="309">
        <v>13.6973</v>
      </c>
      <c r="BK1031" s="309">
        <v>12.5281</v>
      </c>
    </row>
    <row r="1032" spans="1:63" x14ac:dyDescent="0.25">
      <c r="A1032" s="306">
        <v>333415</v>
      </c>
      <c r="B1032" s="309" t="s">
        <v>192</v>
      </c>
      <c r="C1032" s="309">
        <v>15.8725</v>
      </c>
      <c r="D1032" s="309">
        <v>0</v>
      </c>
      <c r="E1032" s="309">
        <v>12.6751</v>
      </c>
      <c r="F1032" s="309">
        <v>11.6028</v>
      </c>
      <c r="G1032" s="309">
        <v>10.5154</v>
      </c>
      <c r="H1032" s="309">
        <v>9.6915999999999993</v>
      </c>
      <c r="I1032" s="309">
        <v>9.7353000000000005</v>
      </c>
      <c r="J1032" s="309">
        <v>8.7270000000000003</v>
      </c>
      <c r="K1032" s="309">
        <v>0</v>
      </c>
      <c r="L1032" s="309">
        <v>5.8144999999999998</v>
      </c>
      <c r="M1032" s="309">
        <v>10.571999999999999</v>
      </c>
      <c r="N1032" s="309">
        <v>11.1585</v>
      </c>
      <c r="O1032" s="309">
        <v>0</v>
      </c>
      <c r="P1032" s="309">
        <v>9.6661999999999999</v>
      </c>
      <c r="Q1032" s="309">
        <v>9.2296999999999993</v>
      </c>
      <c r="R1032" s="309">
        <v>11.526300000000001</v>
      </c>
      <c r="S1032" s="309">
        <v>11.5763</v>
      </c>
      <c r="T1032" s="309">
        <v>9.1015999999999995</v>
      </c>
      <c r="U1032" s="309">
        <v>11.026</v>
      </c>
      <c r="V1032" s="309">
        <v>10.6709</v>
      </c>
      <c r="W1032" s="309">
        <v>7.7121000000000004</v>
      </c>
      <c r="X1032" s="309">
        <v>7.5312000000000001</v>
      </c>
      <c r="Y1032" s="309">
        <v>9.9331999999999994</v>
      </c>
      <c r="Z1032" s="309">
        <v>11.823</v>
      </c>
      <c r="AA1032" s="309">
        <v>10.1457</v>
      </c>
      <c r="AB1032" s="309">
        <v>11.595499999999999</v>
      </c>
      <c r="AC1032" s="309">
        <v>10.873900000000001</v>
      </c>
      <c r="AD1032" s="309">
        <v>0</v>
      </c>
      <c r="AE1032" s="309">
        <v>10.4339</v>
      </c>
      <c r="AF1032" s="309">
        <v>7.2706999999999997</v>
      </c>
      <c r="AG1032" s="309">
        <v>9.0365000000000002</v>
      </c>
      <c r="AH1032" s="309">
        <v>9.6068999999999996</v>
      </c>
      <c r="AI1032" s="309">
        <v>8.5169999999999995</v>
      </c>
      <c r="AJ1032" s="309">
        <v>8.7154000000000007</v>
      </c>
      <c r="AK1032" s="309">
        <v>7.1744000000000003</v>
      </c>
      <c r="AL1032" s="309">
        <v>7.0853000000000002</v>
      </c>
      <c r="AM1032" s="309">
        <v>12.401300000000001</v>
      </c>
      <c r="AN1032" s="309">
        <v>11.654199999999999</v>
      </c>
      <c r="AO1032" s="309">
        <v>10.034599999999999</v>
      </c>
      <c r="AP1032" s="309">
        <v>11.790100000000001</v>
      </c>
      <c r="AQ1032" s="309">
        <v>7.8220000000000001</v>
      </c>
      <c r="AR1032" s="309">
        <v>13.001899999999999</v>
      </c>
      <c r="AS1032" s="309">
        <v>8.3543000000000003</v>
      </c>
      <c r="AT1032" s="309">
        <v>11.805099999999999</v>
      </c>
      <c r="AU1032" s="309">
        <v>11.3005</v>
      </c>
      <c r="AV1032" s="309">
        <v>11.116300000000001</v>
      </c>
      <c r="AW1032" s="309">
        <v>9.7477999999999998</v>
      </c>
      <c r="AX1032" s="309">
        <v>8.8638999999999992</v>
      </c>
      <c r="AY1032" s="309">
        <v>9.7332999999999998</v>
      </c>
      <c r="AZ1032" s="309">
        <v>11.1355</v>
      </c>
      <c r="BA1032" s="309">
        <v>0</v>
      </c>
      <c r="BB1032" s="309">
        <v>0</v>
      </c>
      <c r="BC1032" s="309">
        <v>9.8591999999999995</v>
      </c>
      <c r="BD1032" s="309">
        <v>10.284000000000001</v>
      </c>
      <c r="BE1032" s="309">
        <v>13.062200000000001</v>
      </c>
      <c r="BF1032" s="309">
        <v>11.7165</v>
      </c>
      <c r="BG1032" s="309">
        <v>11.930199999999999</v>
      </c>
      <c r="BH1032" s="309">
        <v>12.880100000000001</v>
      </c>
      <c r="BI1032" s="309">
        <v>12.463200000000001</v>
      </c>
      <c r="BJ1032" s="309">
        <v>10.290100000000001</v>
      </c>
      <c r="BK1032" s="309">
        <v>10.1243</v>
      </c>
    </row>
    <row r="1033" spans="1:63" x14ac:dyDescent="0.25">
      <c r="A1033" s="306" t="s">
        <v>599</v>
      </c>
      <c r="B1033" s="309" t="s">
        <v>191</v>
      </c>
      <c r="C1033" s="309">
        <v>19.263200000000001</v>
      </c>
      <c r="D1033" s="309">
        <v>0</v>
      </c>
      <c r="E1033" s="309">
        <v>14.458</v>
      </c>
      <c r="F1033" s="309">
        <v>14.0137</v>
      </c>
      <c r="G1033" s="309">
        <v>11.5015</v>
      </c>
      <c r="H1033" s="309">
        <v>13.106400000000001</v>
      </c>
      <c r="I1033" s="309">
        <v>13.652900000000001</v>
      </c>
      <c r="J1033" s="309">
        <v>10.0123</v>
      </c>
      <c r="K1033" s="309">
        <v>0</v>
      </c>
      <c r="L1033" s="309">
        <v>0</v>
      </c>
      <c r="M1033" s="309">
        <v>13.7319</v>
      </c>
      <c r="N1033" s="309">
        <v>12.731199999999999</v>
      </c>
      <c r="O1033" s="309">
        <v>11.0914</v>
      </c>
      <c r="P1033" s="309">
        <v>12.932</v>
      </c>
      <c r="Q1033" s="309">
        <v>10.9763</v>
      </c>
      <c r="R1033" s="309">
        <v>14.260999999999999</v>
      </c>
      <c r="S1033" s="309">
        <v>14.5183</v>
      </c>
      <c r="T1033" s="309">
        <v>11.8169</v>
      </c>
      <c r="U1033" s="309">
        <v>14.1065</v>
      </c>
      <c r="V1033" s="309">
        <v>10.7704</v>
      </c>
      <c r="W1033" s="309">
        <v>10.710599999999999</v>
      </c>
      <c r="X1033" s="309">
        <v>10.4757</v>
      </c>
      <c r="Y1033" s="309">
        <v>0</v>
      </c>
      <c r="Z1033" s="309">
        <v>13.7719</v>
      </c>
      <c r="AA1033" s="309">
        <v>12.618600000000001</v>
      </c>
      <c r="AB1033" s="309">
        <v>13.6511</v>
      </c>
      <c r="AC1033" s="309">
        <v>13.813499999999999</v>
      </c>
      <c r="AD1033" s="309">
        <v>0</v>
      </c>
      <c r="AE1033" s="309">
        <v>14.8703</v>
      </c>
      <c r="AF1033" s="309">
        <v>0</v>
      </c>
      <c r="AG1033" s="309">
        <v>11.9747</v>
      </c>
      <c r="AH1033" s="309">
        <v>13.0648</v>
      </c>
      <c r="AI1033" s="309">
        <v>10.271699999999999</v>
      </c>
      <c r="AJ1033" s="309">
        <v>8.8355999999999995</v>
      </c>
      <c r="AK1033" s="309">
        <v>11.023199999999999</v>
      </c>
      <c r="AL1033" s="309">
        <v>10.0052</v>
      </c>
      <c r="AM1033" s="309">
        <v>15.613899999999999</v>
      </c>
      <c r="AN1033" s="309">
        <v>13.7624</v>
      </c>
      <c r="AO1033" s="309">
        <v>11.8986</v>
      </c>
      <c r="AP1033" s="309">
        <v>13.800700000000001</v>
      </c>
      <c r="AQ1033" s="309">
        <v>0</v>
      </c>
      <c r="AR1033" s="309">
        <v>16.797599999999999</v>
      </c>
      <c r="AS1033" s="309">
        <v>11.077</v>
      </c>
      <c r="AT1033" s="309">
        <v>15.2658</v>
      </c>
      <c r="AU1033" s="309">
        <v>15.247999999999999</v>
      </c>
      <c r="AV1033" s="309">
        <v>16.764299999999999</v>
      </c>
      <c r="AW1033" s="309">
        <v>12.514200000000001</v>
      </c>
      <c r="AX1033" s="309">
        <v>12.0854</v>
      </c>
      <c r="AY1033" s="309">
        <v>11.222</v>
      </c>
      <c r="AZ1033" s="309">
        <v>13.7812</v>
      </c>
      <c r="BA1033" s="309">
        <v>0</v>
      </c>
      <c r="BB1033" s="309">
        <v>9.3978999999999999</v>
      </c>
      <c r="BC1033" s="309">
        <v>12.388400000000001</v>
      </c>
      <c r="BD1033" s="309">
        <v>12.7027</v>
      </c>
      <c r="BE1033" s="309">
        <v>15.9299</v>
      </c>
      <c r="BF1033" s="309">
        <v>14.322900000000001</v>
      </c>
      <c r="BG1033" s="309">
        <v>15.660500000000001</v>
      </c>
      <c r="BH1033" s="309">
        <v>15.799300000000001</v>
      </c>
      <c r="BI1033" s="309">
        <v>15.8444</v>
      </c>
      <c r="BJ1033" s="309">
        <v>13.5351</v>
      </c>
      <c r="BK1033" s="309">
        <v>12.987299999999999</v>
      </c>
    </row>
    <row r="1034" spans="1:63" x14ac:dyDescent="0.25">
      <c r="A1034" s="306">
        <v>333511</v>
      </c>
      <c r="B1034" s="309" t="s">
        <v>193</v>
      </c>
      <c r="C1034" s="309">
        <v>23.350100000000001</v>
      </c>
      <c r="D1034" s="309">
        <v>0</v>
      </c>
      <c r="E1034" s="309">
        <v>20.836400000000001</v>
      </c>
      <c r="F1034" s="309">
        <v>19.024899999999999</v>
      </c>
      <c r="G1034" s="309">
        <v>16.4315</v>
      </c>
      <c r="H1034" s="309">
        <v>18.476299999999998</v>
      </c>
      <c r="I1034" s="309">
        <v>19.641999999999999</v>
      </c>
      <c r="J1034" s="309">
        <v>13.588900000000001</v>
      </c>
      <c r="K1034" s="309">
        <v>0</v>
      </c>
      <c r="L1034" s="309">
        <v>0</v>
      </c>
      <c r="M1034" s="309">
        <v>19.000599999999999</v>
      </c>
      <c r="N1034" s="309">
        <v>17.1434</v>
      </c>
      <c r="O1034" s="309">
        <v>0</v>
      </c>
      <c r="P1034" s="309">
        <v>14.972899999999999</v>
      </c>
      <c r="Q1034" s="309">
        <v>17.9314</v>
      </c>
      <c r="R1034" s="309">
        <v>17.438800000000001</v>
      </c>
      <c r="S1034" s="309">
        <v>18.2761</v>
      </c>
      <c r="T1034" s="309">
        <v>14.1028</v>
      </c>
      <c r="U1034" s="309">
        <v>19.831099999999999</v>
      </c>
      <c r="V1034" s="309">
        <v>14.683199999999999</v>
      </c>
      <c r="W1034" s="309">
        <v>14.799799999999999</v>
      </c>
      <c r="X1034" s="309">
        <v>15.0145</v>
      </c>
      <c r="Y1034" s="309">
        <v>17.103400000000001</v>
      </c>
      <c r="Z1034" s="309">
        <v>17.793800000000001</v>
      </c>
      <c r="AA1034" s="309">
        <v>16.8245</v>
      </c>
      <c r="AB1034" s="309">
        <v>16.131799999999998</v>
      </c>
      <c r="AC1034" s="309">
        <v>18.1129</v>
      </c>
      <c r="AD1034" s="309">
        <v>0</v>
      </c>
      <c r="AE1034" s="309">
        <v>16.2087</v>
      </c>
      <c r="AF1034" s="309">
        <v>0</v>
      </c>
      <c r="AG1034" s="309">
        <v>15.483599999999999</v>
      </c>
      <c r="AH1034" s="309">
        <v>14.340199999999999</v>
      </c>
      <c r="AI1034" s="309">
        <v>14.0444</v>
      </c>
      <c r="AJ1034" s="309">
        <v>17.222100000000001</v>
      </c>
      <c r="AK1034" s="309">
        <v>13.488</v>
      </c>
      <c r="AL1034" s="309">
        <v>13.9878</v>
      </c>
      <c r="AM1034" s="309">
        <v>20.029499999999999</v>
      </c>
      <c r="AN1034" s="309">
        <v>20.825399999999998</v>
      </c>
      <c r="AO1034" s="309">
        <v>17.4346</v>
      </c>
      <c r="AP1034" s="309">
        <v>19.315300000000001</v>
      </c>
      <c r="AQ1034" s="309">
        <v>15.6737</v>
      </c>
      <c r="AR1034" s="309">
        <v>19.465800000000002</v>
      </c>
      <c r="AS1034" s="309">
        <v>15.082100000000001</v>
      </c>
      <c r="AT1034" s="309">
        <v>18.45</v>
      </c>
      <c r="AU1034" s="309">
        <v>20.048500000000001</v>
      </c>
      <c r="AV1034" s="309">
        <v>23.347300000000001</v>
      </c>
      <c r="AW1034" s="309">
        <v>16.497199999999999</v>
      </c>
      <c r="AX1034" s="309">
        <v>13.3477</v>
      </c>
      <c r="AY1034" s="309">
        <v>15.5724</v>
      </c>
      <c r="AZ1034" s="309">
        <v>16.8429</v>
      </c>
      <c r="BA1034" s="309">
        <v>16.697800000000001</v>
      </c>
      <c r="BB1034" s="309">
        <v>0</v>
      </c>
      <c r="BC1034" s="309">
        <v>16.904699999999998</v>
      </c>
      <c r="BD1034" s="309">
        <v>17.889700000000001</v>
      </c>
      <c r="BE1034" s="309">
        <v>19.614000000000001</v>
      </c>
      <c r="BF1034" s="309">
        <v>17.069900000000001</v>
      </c>
      <c r="BG1034" s="309">
        <v>19.2592</v>
      </c>
      <c r="BH1034" s="309">
        <v>21.121200000000002</v>
      </c>
      <c r="BI1034" s="309">
        <v>21.3124</v>
      </c>
      <c r="BJ1034" s="309">
        <v>19.363900000000001</v>
      </c>
      <c r="BK1034" s="309">
        <v>18.636800000000001</v>
      </c>
    </row>
    <row r="1035" spans="1:63" x14ac:dyDescent="0.25">
      <c r="A1035" s="306">
        <v>333514</v>
      </c>
      <c r="B1035" s="309" t="s">
        <v>195</v>
      </c>
      <c r="C1035" s="309">
        <v>23.351299999999998</v>
      </c>
      <c r="D1035" s="309">
        <v>0</v>
      </c>
      <c r="E1035" s="309">
        <v>20.375900000000001</v>
      </c>
      <c r="F1035" s="309">
        <v>18.573899999999998</v>
      </c>
      <c r="G1035" s="309">
        <v>17.106000000000002</v>
      </c>
      <c r="H1035" s="309">
        <v>16.9682</v>
      </c>
      <c r="I1035" s="309">
        <v>16.795100000000001</v>
      </c>
      <c r="J1035" s="309">
        <v>13.987399999999999</v>
      </c>
      <c r="K1035" s="309">
        <v>0</v>
      </c>
      <c r="L1035" s="309">
        <v>0</v>
      </c>
      <c r="M1035" s="309">
        <v>18.725300000000001</v>
      </c>
      <c r="N1035" s="309">
        <v>18.0063</v>
      </c>
      <c r="O1035" s="309">
        <v>0</v>
      </c>
      <c r="P1035" s="309">
        <v>15.163</v>
      </c>
      <c r="Q1035" s="309">
        <v>17.4057</v>
      </c>
      <c r="R1035" s="309">
        <v>17.9377</v>
      </c>
      <c r="S1035" s="309">
        <v>18.9162</v>
      </c>
      <c r="T1035" s="309">
        <v>14.6051</v>
      </c>
      <c r="U1035" s="309">
        <v>18.323799999999999</v>
      </c>
      <c r="V1035" s="309">
        <v>17.8476</v>
      </c>
      <c r="W1035" s="309">
        <v>13.8634</v>
      </c>
      <c r="X1035" s="309">
        <v>14.613899999999999</v>
      </c>
      <c r="Y1035" s="309">
        <v>15.868600000000001</v>
      </c>
      <c r="Z1035" s="309">
        <v>18.0532</v>
      </c>
      <c r="AA1035" s="309">
        <v>16.8017</v>
      </c>
      <c r="AB1035" s="309">
        <v>16.498200000000001</v>
      </c>
      <c r="AC1035" s="309">
        <v>17.6938</v>
      </c>
      <c r="AD1035" s="309">
        <v>0</v>
      </c>
      <c r="AE1035" s="309">
        <v>18.1233</v>
      </c>
      <c r="AF1035" s="309">
        <v>14.8673</v>
      </c>
      <c r="AG1035" s="309">
        <v>15.3598</v>
      </c>
      <c r="AH1035" s="309">
        <v>14.2094</v>
      </c>
      <c r="AI1035" s="309">
        <v>14.590199999999999</v>
      </c>
      <c r="AJ1035" s="309">
        <v>16.8672</v>
      </c>
      <c r="AK1035" s="309">
        <v>17.293800000000001</v>
      </c>
      <c r="AL1035" s="309">
        <v>14.7537</v>
      </c>
      <c r="AM1035" s="309">
        <v>19.248200000000001</v>
      </c>
      <c r="AN1035" s="309">
        <v>20.3141</v>
      </c>
      <c r="AO1035" s="309">
        <v>18.891300000000001</v>
      </c>
      <c r="AP1035" s="309">
        <v>19.282</v>
      </c>
      <c r="AQ1035" s="309">
        <v>15.630699999999999</v>
      </c>
      <c r="AR1035" s="309">
        <v>18.488099999999999</v>
      </c>
      <c r="AS1035" s="309">
        <v>14.141500000000001</v>
      </c>
      <c r="AT1035" s="309">
        <v>18.7255</v>
      </c>
      <c r="AU1035" s="309">
        <v>18.614699999999999</v>
      </c>
      <c r="AV1035" s="309">
        <v>22.7926</v>
      </c>
      <c r="AW1035" s="309">
        <v>17.558299999999999</v>
      </c>
      <c r="AX1035" s="309">
        <v>16.133400000000002</v>
      </c>
      <c r="AY1035" s="309">
        <v>16.886500000000002</v>
      </c>
      <c r="AZ1035" s="309">
        <v>17.979500000000002</v>
      </c>
      <c r="BA1035" s="309">
        <v>15.9651</v>
      </c>
      <c r="BB1035" s="309">
        <v>0</v>
      </c>
      <c r="BC1035" s="309">
        <v>16.685500000000001</v>
      </c>
      <c r="BD1035" s="309">
        <v>18.369299999999999</v>
      </c>
      <c r="BE1035" s="309">
        <v>19.779599999999999</v>
      </c>
      <c r="BF1035" s="309">
        <v>17.2986</v>
      </c>
      <c r="BG1035" s="309">
        <v>19.738</v>
      </c>
      <c r="BH1035" s="309">
        <v>20.3032</v>
      </c>
      <c r="BI1035" s="309">
        <v>19.956800000000001</v>
      </c>
      <c r="BJ1035" s="309">
        <v>18.569199999999999</v>
      </c>
      <c r="BK1035" s="309">
        <v>17.6769</v>
      </c>
    </row>
    <row r="1036" spans="1:63" x14ac:dyDescent="0.25">
      <c r="A1036" s="306">
        <v>333515</v>
      </c>
      <c r="B1036" s="309" t="s">
        <v>196</v>
      </c>
      <c r="C1036" s="309">
        <v>20.944199999999999</v>
      </c>
      <c r="D1036" s="309">
        <v>0</v>
      </c>
      <c r="E1036" s="309">
        <v>18.150600000000001</v>
      </c>
      <c r="F1036" s="309">
        <v>14.760899999999999</v>
      </c>
      <c r="G1036" s="309">
        <v>15.1973</v>
      </c>
      <c r="H1036" s="309">
        <v>16.4419</v>
      </c>
      <c r="I1036" s="309">
        <v>15.269299999999999</v>
      </c>
      <c r="J1036" s="309">
        <v>13.4344</v>
      </c>
      <c r="K1036" s="309">
        <v>0</v>
      </c>
      <c r="L1036" s="309">
        <v>0</v>
      </c>
      <c r="M1036" s="309">
        <v>17.709399999999999</v>
      </c>
      <c r="N1036" s="309">
        <v>16.335100000000001</v>
      </c>
      <c r="O1036" s="309">
        <v>0</v>
      </c>
      <c r="P1036" s="309">
        <v>13.675700000000001</v>
      </c>
      <c r="Q1036" s="309">
        <v>14.1546</v>
      </c>
      <c r="R1036" s="309">
        <v>15.8996</v>
      </c>
      <c r="S1036" s="309">
        <v>16.265999999999998</v>
      </c>
      <c r="T1036" s="309">
        <v>12.576000000000001</v>
      </c>
      <c r="U1036" s="309">
        <v>15.926500000000001</v>
      </c>
      <c r="V1036" s="309">
        <v>17.341799999999999</v>
      </c>
      <c r="W1036" s="309">
        <v>13.0227</v>
      </c>
      <c r="X1036" s="309">
        <v>11.070499999999999</v>
      </c>
      <c r="Y1036" s="309">
        <v>16.791899999999998</v>
      </c>
      <c r="Z1036" s="309">
        <v>16.175699999999999</v>
      </c>
      <c r="AA1036" s="309">
        <v>15.2882</v>
      </c>
      <c r="AB1036" s="309">
        <v>15.44</v>
      </c>
      <c r="AC1036" s="309">
        <v>15.815799999999999</v>
      </c>
      <c r="AD1036" s="309">
        <v>16.0503</v>
      </c>
      <c r="AE1036" s="309">
        <v>16.011399999999998</v>
      </c>
      <c r="AF1036" s="309">
        <v>0</v>
      </c>
      <c r="AG1036" s="309">
        <v>12.8354</v>
      </c>
      <c r="AH1036" s="309">
        <v>12.9672</v>
      </c>
      <c r="AI1036" s="309">
        <v>12.1259</v>
      </c>
      <c r="AJ1036" s="309">
        <v>15.645</v>
      </c>
      <c r="AK1036" s="309">
        <v>12.226000000000001</v>
      </c>
      <c r="AL1036" s="309">
        <v>11.877000000000001</v>
      </c>
      <c r="AM1036" s="309">
        <v>17.3569</v>
      </c>
      <c r="AN1036" s="309">
        <v>16.8094</v>
      </c>
      <c r="AO1036" s="309">
        <v>16.3096</v>
      </c>
      <c r="AP1036" s="309">
        <v>16.5611</v>
      </c>
      <c r="AQ1036" s="309">
        <v>14.3614</v>
      </c>
      <c r="AR1036" s="309">
        <v>17.159700000000001</v>
      </c>
      <c r="AS1036" s="309">
        <v>14.143800000000001</v>
      </c>
      <c r="AT1036" s="309">
        <v>15.432399999999999</v>
      </c>
      <c r="AU1036" s="309">
        <v>15.9824</v>
      </c>
      <c r="AV1036" s="309">
        <v>18.05</v>
      </c>
      <c r="AW1036" s="309">
        <v>15.0349</v>
      </c>
      <c r="AX1036" s="309">
        <v>14.5489</v>
      </c>
      <c r="AY1036" s="309">
        <v>16.8767</v>
      </c>
      <c r="AZ1036" s="309">
        <v>16.143699999999999</v>
      </c>
      <c r="BA1036" s="309">
        <v>0</v>
      </c>
      <c r="BB1036" s="309">
        <v>0</v>
      </c>
      <c r="BC1036" s="309">
        <v>16.211600000000001</v>
      </c>
      <c r="BD1036" s="309">
        <v>15.3087</v>
      </c>
      <c r="BE1036" s="309">
        <v>17.6873</v>
      </c>
      <c r="BF1036" s="309">
        <v>15.7783</v>
      </c>
      <c r="BG1036" s="309">
        <v>17.895099999999999</v>
      </c>
      <c r="BH1036" s="309">
        <v>16.771000000000001</v>
      </c>
      <c r="BI1036" s="309">
        <v>17.0365</v>
      </c>
      <c r="BJ1036" s="309">
        <v>16.589099999999998</v>
      </c>
      <c r="BK1036" s="309">
        <v>16.893999999999998</v>
      </c>
    </row>
    <row r="1037" spans="1:63" x14ac:dyDescent="0.25">
      <c r="A1037" s="306" t="s">
        <v>732</v>
      </c>
      <c r="B1037" s="309" t="s">
        <v>194</v>
      </c>
      <c r="C1037" s="309">
        <v>21.301100000000002</v>
      </c>
      <c r="D1037" s="309">
        <v>0</v>
      </c>
      <c r="E1037" s="309">
        <v>17.043800000000001</v>
      </c>
      <c r="F1037" s="309">
        <v>14.497299999999999</v>
      </c>
      <c r="G1037" s="309">
        <v>16.0687</v>
      </c>
      <c r="H1037" s="309">
        <v>15.0709</v>
      </c>
      <c r="I1037" s="309">
        <v>14.6198</v>
      </c>
      <c r="J1037" s="309">
        <v>12.3765</v>
      </c>
      <c r="K1037" s="309">
        <v>0</v>
      </c>
      <c r="L1037" s="309">
        <v>9.7597000000000005</v>
      </c>
      <c r="M1037" s="309">
        <v>16.939800000000002</v>
      </c>
      <c r="N1037" s="309">
        <v>16.448</v>
      </c>
      <c r="O1037" s="309">
        <v>0</v>
      </c>
      <c r="P1037" s="309">
        <v>12.8308</v>
      </c>
      <c r="Q1037" s="309">
        <v>14.744400000000001</v>
      </c>
      <c r="R1037" s="309">
        <v>16.3843</v>
      </c>
      <c r="S1037" s="309">
        <v>15.8245</v>
      </c>
      <c r="T1037" s="309">
        <v>12.1332</v>
      </c>
      <c r="U1037" s="309">
        <v>14.0337</v>
      </c>
      <c r="V1037" s="309">
        <v>13.8879</v>
      </c>
      <c r="W1037" s="309">
        <v>13.1691</v>
      </c>
      <c r="X1037" s="309">
        <v>10.882099999999999</v>
      </c>
      <c r="Y1037" s="309">
        <v>0</v>
      </c>
      <c r="Z1037" s="309">
        <v>16.323399999999999</v>
      </c>
      <c r="AA1037" s="309">
        <v>15.5158</v>
      </c>
      <c r="AB1037" s="309">
        <v>15.2112</v>
      </c>
      <c r="AC1037" s="309">
        <v>15.2881</v>
      </c>
      <c r="AD1037" s="309">
        <v>14.4879</v>
      </c>
      <c r="AE1037" s="309">
        <v>14.6975</v>
      </c>
      <c r="AF1037" s="309">
        <v>0</v>
      </c>
      <c r="AG1037" s="309">
        <v>13.914899999999999</v>
      </c>
      <c r="AH1037" s="309">
        <v>13.456200000000001</v>
      </c>
      <c r="AI1037" s="309">
        <v>12.2546</v>
      </c>
      <c r="AJ1037" s="309">
        <v>14.1289</v>
      </c>
      <c r="AK1037" s="309">
        <v>12.2753</v>
      </c>
      <c r="AL1037" s="309">
        <v>11.234</v>
      </c>
      <c r="AM1037" s="309">
        <v>17.581299999999999</v>
      </c>
      <c r="AN1037" s="309">
        <v>17.988499999999998</v>
      </c>
      <c r="AO1037" s="309">
        <v>15.5136</v>
      </c>
      <c r="AP1037" s="309">
        <v>17.826899999999998</v>
      </c>
      <c r="AQ1037" s="309">
        <v>12.303000000000001</v>
      </c>
      <c r="AR1037" s="309">
        <v>15.883100000000001</v>
      </c>
      <c r="AS1037" s="309">
        <v>13.4038</v>
      </c>
      <c r="AT1037" s="309">
        <v>15.610799999999999</v>
      </c>
      <c r="AU1037" s="309">
        <v>17.480899999999998</v>
      </c>
      <c r="AV1037" s="309">
        <v>19.844200000000001</v>
      </c>
      <c r="AW1037" s="309">
        <v>12.6295</v>
      </c>
      <c r="AX1037" s="309">
        <v>13.3667</v>
      </c>
      <c r="AY1037" s="309">
        <v>13.053100000000001</v>
      </c>
      <c r="AZ1037" s="309">
        <v>15.946999999999999</v>
      </c>
      <c r="BA1037" s="309">
        <v>0</v>
      </c>
      <c r="BB1037" s="309">
        <v>12.4968</v>
      </c>
      <c r="BC1037" s="309">
        <v>15.249599999999999</v>
      </c>
      <c r="BD1037" s="309">
        <v>15.6303</v>
      </c>
      <c r="BE1037" s="309">
        <v>17.981400000000001</v>
      </c>
      <c r="BF1037" s="309">
        <v>15.8385</v>
      </c>
      <c r="BG1037" s="309">
        <v>16.596</v>
      </c>
      <c r="BH1037" s="309">
        <v>16.09</v>
      </c>
      <c r="BI1037" s="309">
        <v>18.189499999999999</v>
      </c>
      <c r="BJ1037" s="309">
        <v>16.326000000000001</v>
      </c>
      <c r="BK1037" s="309">
        <v>15.463900000000001</v>
      </c>
    </row>
    <row r="1038" spans="1:63" x14ac:dyDescent="0.25">
      <c r="A1038" s="306" t="s">
        <v>733</v>
      </c>
      <c r="B1038" s="309" t="s">
        <v>197</v>
      </c>
      <c r="C1038" s="309">
        <v>19.7925</v>
      </c>
      <c r="D1038" s="309">
        <v>0</v>
      </c>
      <c r="E1038" s="309">
        <v>13.5098</v>
      </c>
      <c r="F1038" s="309">
        <v>15.356999999999999</v>
      </c>
      <c r="G1038" s="309">
        <v>14.7742</v>
      </c>
      <c r="H1038" s="309">
        <v>14.8817</v>
      </c>
      <c r="I1038" s="309">
        <v>16.0138</v>
      </c>
      <c r="J1038" s="309">
        <v>10.953099999999999</v>
      </c>
      <c r="K1038" s="309">
        <v>0</v>
      </c>
      <c r="L1038" s="309">
        <v>0</v>
      </c>
      <c r="M1038" s="309">
        <v>16.5183</v>
      </c>
      <c r="N1038" s="309">
        <v>15.021599999999999</v>
      </c>
      <c r="O1038" s="309">
        <v>0</v>
      </c>
      <c r="P1038" s="309">
        <v>13.6174</v>
      </c>
      <c r="Q1038" s="309">
        <v>13.2355</v>
      </c>
      <c r="R1038" s="309">
        <v>14.6883</v>
      </c>
      <c r="S1038" s="309">
        <v>14.459</v>
      </c>
      <c r="T1038" s="309">
        <v>11.851699999999999</v>
      </c>
      <c r="U1038" s="309">
        <v>16.1523</v>
      </c>
      <c r="V1038" s="309">
        <v>0</v>
      </c>
      <c r="W1038" s="309">
        <v>10.943899999999999</v>
      </c>
      <c r="X1038" s="309">
        <v>11.3858</v>
      </c>
      <c r="Y1038" s="309">
        <v>14.2424</v>
      </c>
      <c r="Z1038" s="309">
        <v>15.0611</v>
      </c>
      <c r="AA1038" s="309">
        <v>13.33</v>
      </c>
      <c r="AB1038" s="309">
        <v>13.4298</v>
      </c>
      <c r="AC1038" s="309">
        <v>14.7377</v>
      </c>
      <c r="AD1038" s="309">
        <v>0</v>
      </c>
      <c r="AE1038" s="309">
        <v>16.640999999999998</v>
      </c>
      <c r="AF1038" s="309">
        <v>0</v>
      </c>
      <c r="AG1038" s="309">
        <v>12.3035</v>
      </c>
      <c r="AH1038" s="309">
        <v>12.578099999999999</v>
      </c>
      <c r="AI1038" s="309">
        <v>10.7065</v>
      </c>
      <c r="AJ1038" s="309">
        <v>0</v>
      </c>
      <c r="AK1038" s="309">
        <v>0</v>
      </c>
      <c r="AL1038" s="309">
        <v>11.389099999999999</v>
      </c>
      <c r="AM1038" s="309">
        <v>16.431999999999999</v>
      </c>
      <c r="AN1038" s="309">
        <v>15.933999999999999</v>
      </c>
      <c r="AO1038" s="309">
        <v>0</v>
      </c>
      <c r="AP1038" s="309">
        <v>15.484500000000001</v>
      </c>
      <c r="AQ1038" s="309">
        <v>12.572900000000001</v>
      </c>
      <c r="AR1038" s="309">
        <v>15.112299999999999</v>
      </c>
      <c r="AS1038" s="309">
        <v>12.989699999999999</v>
      </c>
      <c r="AT1038" s="309">
        <v>14.2387</v>
      </c>
      <c r="AU1038" s="309">
        <v>14.6754</v>
      </c>
      <c r="AV1038" s="309">
        <v>19.368099999999998</v>
      </c>
      <c r="AW1038" s="309">
        <v>14.666399999999999</v>
      </c>
      <c r="AX1038" s="309">
        <v>0</v>
      </c>
      <c r="AY1038" s="309">
        <v>13.790800000000001</v>
      </c>
      <c r="AZ1038" s="309">
        <v>15.2674</v>
      </c>
      <c r="BA1038" s="309">
        <v>10.879799999999999</v>
      </c>
      <c r="BB1038" s="309">
        <v>0</v>
      </c>
      <c r="BC1038" s="309">
        <v>13.5404</v>
      </c>
      <c r="BD1038" s="309">
        <v>14.525499999999999</v>
      </c>
      <c r="BE1038" s="309">
        <v>16.609300000000001</v>
      </c>
      <c r="BF1038" s="309">
        <v>14.7277</v>
      </c>
      <c r="BG1038" s="309">
        <v>17.4771</v>
      </c>
      <c r="BH1038" s="309">
        <v>15.069800000000001</v>
      </c>
      <c r="BI1038" s="309">
        <v>15.5867</v>
      </c>
      <c r="BJ1038" s="309">
        <v>15.9214</v>
      </c>
      <c r="BK1038" s="309">
        <v>15.149800000000001</v>
      </c>
    </row>
    <row r="1039" spans="1:63" x14ac:dyDescent="0.25">
      <c r="A1039" s="306">
        <v>333611</v>
      </c>
      <c r="B1039" s="309" t="s">
        <v>198</v>
      </c>
      <c r="C1039" s="309">
        <v>10.4962</v>
      </c>
      <c r="D1039" s="309">
        <v>0</v>
      </c>
      <c r="E1039" s="309">
        <v>7.5313999999999997</v>
      </c>
      <c r="F1039" s="309">
        <v>6.5049999999999999</v>
      </c>
      <c r="G1039" s="309">
        <v>6.7689000000000004</v>
      </c>
      <c r="H1039" s="309">
        <v>6.2739000000000003</v>
      </c>
      <c r="I1039" s="309">
        <v>7.0709999999999997</v>
      </c>
      <c r="J1039" s="309">
        <v>5.0937999999999999</v>
      </c>
      <c r="K1039" s="309">
        <v>0.65839999999999999</v>
      </c>
      <c r="L1039" s="309">
        <v>0</v>
      </c>
      <c r="M1039" s="309">
        <v>6.4344999999999999</v>
      </c>
      <c r="N1039" s="309">
        <v>7.4131999999999998</v>
      </c>
      <c r="O1039" s="309">
        <v>0</v>
      </c>
      <c r="P1039" s="309">
        <v>5.9593999999999996</v>
      </c>
      <c r="Q1039" s="309">
        <v>5.8815</v>
      </c>
      <c r="R1039" s="309">
        <v>7.9846000000000004</v>
      </c>
      <c r="S1039" s="309">
        <v>7.3731</v>
      </c>
      <c r="T1039" s="309">
        <v>5.6791</v>
      </c>
      <c r="U1039" s="309">
        <v>7.2386999999999997</v>
      </c>
      <c r="V1039" s="309">
        <v>6.7171000000000003</v>
      </c>
      <c r="W1039" s="309">
        <v>5.1520999999999999</v>
      </c>
      <c r="X1039" s="309">
        <v>0</v>
      </c>
      <c r="Y1039" s="309">
        <v>5.9002999999999997</v>
      </c>
      <c r="Z1039" s="309">
        <v>8.423</v>
      </c>
      <c r="AA1039" s="309">
        <v>6.4081999999999999</v>
      </c>
      <c r="AB1039" s="309">
        <v>6.0617999999999999</v>
      </c>
      <c r="AC1039" s="309">
        <v>6.8875000000000002</v>
      </c>
      <c r="AD1039" s="309">
        <v>0</v>
      </c>
      <c r="AE1039" s="309">
        <v>6.6077000000000004</v>
      </c>
      <c r="AF1039" s="309">
        <v>4.2984999999999998</v>
      </c>
      <c r="AG1039" s="309">
        <v>0</v>
      </c>
      <c r="AH1039" s="309">
        <v>5.4522000000000004</v>
      </c>
      <c r="AI1039" s="309">
        <v>5.2172999999999998</v>
      </c>
      <c r="AJ1039" s="309">
        <v>0</v>
      </c>
      <c r="AK1039" s="309">
        <v>6.0126999999999997</v>
      </c>
      <c r="AL1039" s="309">
        <v>4.3878000000000004</v>
      </c>
      <c r="AM1039" s="309">
        <v>8.4832999999999998</v>
      </c>
      <c r="AN1039" s="309">
        <v>7.2282000000000002</v>
      </c>
      <c r="AO1039" s="309">
        <v>0</v>
      </c>
      <c r="AP1039" s="309">
        <v>8.1242999999999999</v>
      </c>
      <c r="AQ1039" s="309">
        <v>0</v>
      </c>
      <c r="AR1039" s="309">
        <v>7.6738999999999997</v>
      </c>
      <c r="AS1039" s="309">
        <v>4.726</v>
      </c>
      <c r="AT1039" s="309">
        <v>7.907</v>
      </c>
      <c r="AU1039" s="309">
        <v>7.7495000000000003</v>
      </c>
      <c r="AV1039" s="309">
        <v>8.8889999999999993</v>
      </c>
      <c r="AW1039" s="309">
        <v>6.7626999999999997</v>
      </c>
      <c r="AX1039" s="309">
        <v>4.8399000000000001</v>
      </c>
      <c r="AY1039" s="309">
        <v>6.5079000000000002</v>
      </c>
      <c r="AZ1039" s="309">
        <v>7.5240999999999998</v>
      </c>
      <c r="BA1039" s="309">
        <v>0</v>
      </c>
      <c r="BB1039" s="309">
        <v>4.6458000000000004</v>
      </c>
      <c r="BC1039" s="309">
        <v>6.3364000000000003</v>
      </c>
      <c r="BD1039" s="309">
        <v>6.9992000000000001</v>
      </c>
      <c r="BE1039" s="309">
        <v>8.8698999999999995</v>
      </c>
      <c r="BF1039" s="309">
        <v>7.2805</v>
      </c>
      <c r="BG1039" s="309">
        <v>7.1692</v>
      </c>
      <c r="BH1039" s="309">
        <v>8.5372000000000003</v>
      </c>
      <c r="BI1039" s="309">
        <v>8.2294</v>
      </c>
      <c r="BJ1039" s="309">
        <v>7.4786999999999999</v>
      </c>
      <c r="BK1039" s="309">
        <v>6.6532</v>
      </c>
    </row>
    <row r="1040" spans="1:63" x14ac:dyDescent="0.25">
      <c r="A1040" s="306">
        <v>333612</v>
      </c>
      <c r="B1040" s="309" t="s">
        <v>199</v>
      </c>
      <c r="C1040" s="309">
        <v>19.0596</v>
      </c>
      <c r="D1040" s="309">
        <v>0</v>
      </c>
      <c r="E1040" s="309">
        <v>16.979199999999999</v>
      </c>
      <c r="F1040" s="309">
        <v>0</v>
      </c>
      <c r="G1040" s="309">
        <v>13.5299</v>
      </c>
      <c r="H1040" s="309">
        <v>11.4078</v>
      </c>
      <c r="I1040" s="309">
        <v>0</v>
      </c>
      <c r="J1040" s="309">
        <v>10.3489</v>
      </c>
      <c r="K1040" s="309">
        <v>0</v>
      </c>
      <c r="L1040" s="309">
        <v>0</v>
      </c>
      <c r="M1040" s="309">
        <v>14.792</v>
      </c>
      <c r="N1040" s="309">
        <v>15.1281</v>
      </c>
      <c r="O1040" s="309">
        <v>0</v>
      </c>
      <c r="P1040" s="309">
        <v>11.2822</v>
      </c>
      <c r="Q1040" s="309">
        <v>9.7484000000000002</v>
      </c>
      <c r="R1040" s="309">
        <v>14.499599999999999</v>
      </c>
      <c r="S1040" s="309">
        <v>15.3041</v>
      </c>
      <c r="T1040" s="309">
        <v>13.1861</v>
      </c>
      <c r="U1040" s="309">
        <v>15.2507</v>
      </c>
      <c r="V1040" s="309">
        <v>15.4613</v>
      </c>
      <c r="W1040" s="309">
        <v>11.1028</v>
      </c>
      <c r="X1040" s="309">
        <v>9.1207999999999991</v>
      </c>
      <c r="Y1040" s="309">
        <v>11.8996</v>
      </c>
      <c r="Z1040" s="309">
        <v>15.8164</v>
      </c>
      <c r="AA1040" s="309">
        <v>14.0329</v>
      </c>
      <c r="AB1040" s="309">
        <v>14.283300000000001</v>
      </c>
      <c r="AC1040" s="309">
        <v>14.260999999999999</v>
      </c>
      <c r="AD1040" s="309">
        <v>0</v>
      </c>
      <c r="AE1040" s="309">
        <v>13.199199999999999</v>
      </c>
      <c r="AF1040" s="309">
        <v>0</v>
      </c>
      <c r="AG1040" s="309">
        <v>10.607699999999999</v>
      </c>
      <c r="AH1040" s="309">
        <v>11.778499999999999</v>
      </c>
      <c r="AI1040" s="309">
        <v>11.867000000000001</v>
      </c>
      <c r="AJ1040" s="309">
        <v>12.1927</v>
      </c>
      <c r="AK1040" s="309">
        <v>0</v>
      </c>
      <c r="AL1040" s="309">
        <v>10.8468</v>
      </c>
      <c r="AM1040" s="309">
        <v>15.5115</v>
      </c>
      <c r="AN1040" s="309">
        <v>14.196400000000001</v>
      </c>
      <c r="AO1040" s="309">
        <v>11.6699</v>
      </c>
      <c r="AP1040" s="309">
        <v>15.544499999999999</v>
      </c>
      <c r="AQ1040" s="309">
        <v>0</v>
      </c>
      <c r="AR1040" s="309">
        <v>14.499499999999999</v>
      </c>
      <c r="AS1040" s="309">
        <v>12.2018</v>
      </c>
      <c r="AT1040" s="309">
        <v>16.168099999999999</v>
      </c>
      <c r="AU1040" s="309">
        <v>14.2699</v>
      </c>
      <c r="AV1040" s="309">
        <v>18.604800000000001</v>
      </c>
      <c r="AW1040" s="309">
        <v>12.3782</v>
      </c>
      <c r="AX1040" s="309">
        <v>0</v>
      </c>
      <c r="AY1040" s="309">
        <v>12.075799999999999</v>
      </c>
      <c r="AZ1040" s="309">
        <v>13.7324</v>
      </c>
      <c r="BA1040" s="309">
        <v>0</v>
      </c>
      <c r="BB1040" s="309">
        <v>0</v>
      </c>
      <c r="BC1040" s="309">
        <v>13.071099999999999</v>
      </c>
      <c r="BD1040" s="309">
        <v>14.347</v>
      </c>
      <c r="BE1040" s="309">
        <v>16.183299999999999</v>
      </c>
      <c r="BF1040" s="309">
        <v>14.866</v>
      </c>
      <c r="BG1040" s="309">
        <v>14.9338</v>
      </c>
      <c r="BH1040" s="309">
        <v>17.309100000000001</v>
      </c>
      <c r="BI1040" s="309">
        <v>15.007400000000001</v>
      </c>
      <c r="BJ1040" s="309">
        <v>14.9625</v>
      </c>
      <c r="BK1040" s="309">
        <v>12.2319</v>
      </c>
    </row>
    <row r="1041" spans="1:63" x14ac:dyDescent="0.25">
      <c r="A1041" s="306">
        <v>333613</v>
      </c>
      <c r="B1041" s="309" t="s">
        <v>200</v>
      </c>
      <c r="C1041" s="309">
        <v>19.528300000000002</v>
      </c>
      <c r="D1041" s="309">
        <v>0</v>
      </c>
      <c r="E1041" s="309">
        <v>14.1218</v>
      </c>
      <c r="F1041" s="309">
        <v>14.3912</v>
      </c>
      <c r="G1041" s="309">
        <v>0</v>
      </c>
      <c r="H1041" s="309">
        <v>14.7128</v>
      </c>
      <c r="I1041" s="309">
        <v>0</v>
      </c>
      <c r="J1041" s="309">
        <v>11.1128</v>
      </c>
      <c r="K1041" s="309">
        <v>0</v>
      </c>
      <c r="L1041" s="309">
        <v>0</v>
      </c>
      <c r="M1041" s="309">
        <v>12.0679</v>
      </c>
      <c r="N1041" s="309">
        <v>14.0329</v>
      </c>
      <c r="O1041" s="309">
        <v>0</v>
      </c>
      <c r="P1041" s="309">
        <v>0</v>
      </c>
      <c r="Q1041" s="309">
        <v>0</v>
      </c>
      <c r="R1041" s="309">
        <v>14.9161</v>
      </c>
      <c r="S1041" s="309">
        <v>14.9206</v>
      </c>
      <c r="T1041" s="309">
        <v>10.5395</v>
      </c>
      <c r="U1041" s="309">
        <v>14.6435</v>
      </c>
      <c r="V1041" s="309">
        <v>14.3332</v>
      </c>
      <c r="W1041" s="309">
        <v>10.8672</v>
      </c>
      <c r="X1041" s="309">
        <v>10.298</v>
      </c>
      <c r="Y1041" s="309">
        <v>0</v>
      </c>
      <c r="Z1041" s="309">
        <v>15.979699999999999</v>
      </c>
      <c r="AA1041" s="309">
        <v>13.745900000000001</v>
      </c>
      <c r="AB1041" s="309">
        <v>14.8658</v>
      </c>
      <c r="AC1041" s="309">
        <v>13.9933</v>
      </c>
      <c r="AD1041" s="309">
        <v>0</v>
      </c>
      <c r="AE1041" s="309">
        <v>13.466699999999999</v>
      </c>
      <c r="AF1041" s="309">
        <v>0</v>
      </c>
      <c r="AG1041" s="309">
        <v>11.1304</v>
      </c>
      <c r="AH1041" s="309">
        <v>13.8728</v>
      </c>
      <c r="AI1041" s="309">
        <v>11.2111</v>
      </c>
      <c r="AJ1041" s="309">
        <v>0</v>
      </c>
      <c r="AK1041" s="309">
        <v>0</v>
      </c>
      <c r="AL1041" s="309">
        <v>11.0137</v>
      </c>
      <c r="AM1041" s="309">
        <v>15.2415</v>
      </c>
      <c r="AN1041" s="309">
        <v>16.265699999999999</v>
      </c>
      <c r="AO1041" s="309">
        <v>13.8653</v>
      </c>
      <c r="AP1041" s="309">
        <v>15.3203</v>
      </c>
      <c r="AQ1041" s="309">
        <v>12.4838</v>
      </c>
      <c r="AR1041" s="309">
        <v>15.089499999999999</v>
      </c>
      <c r="AS1041" s="309">
        <v>0</v>
      </c>
      <c r="AT1041" s="309">
        <v>16.3398</v>
      </c>
      <c r="AU1041" s="309">
        <v>14.9983</v>
      </c>
      <c r="AV1041" s="309">
        <v>0</v>
      </c>
      <c r="AW1041" s="309">
        <v>0</v>
      </c>
      <c r="AX1041" s="309">
        <v>0</v>
      </c>
      <c r="AY1041" s="309">
        <v>14.123900000000001</v>
      </c>
      <c r="AZ1041" s="309">
        <v>14.071300000000001</v>
      </c>
      <c r="BA1041" s="309">
        <v>10.9239</v>
      </c>
      <c r="BB1041" s="309">
        <v>0</v>
      </c>
      <c r="BC1041" s="309">
        <v>13.298500000000001</v>
      </c>
      <c r="BD1041" s="309">
        <v>14.309699999999999</v>
      </c>
      <c r="BE1041" s="309">
        <v>16.407299999999999</v>
      </c>
      <c r="BF1041" s="309">
        <v>13.7605</v>
      </c>
      <c r="BG1041" s="309">
        <v>14.6676</v>
      </c>
      <c r="BH1041" s="309">
        <v>16.286899999999999</v>
      </c>
      <c r="BI1041" s="309">
        <v>15.7331</v>
      </c>
      <c r="BJ1041" s="309">
        <v>0</v>
      </c>
      <c r="BK1041" s="309">
        <v>15.0246</v>
      </c>
    </row>
    <row r="1042" spans="1:63" x14ac:dyDescent="0.25">
      <c r="A1042" s="306">
        <v>333618</v>
      </c>
      <c r="B1042" s="309" t="s">
        <v>201</v>
      </c>
      <c r="C1042" s="309">
        <v>14.995699999999999</v>
      </c>
      <c r="D1042" s="309">
        <v>0</v>
      </c>
      <c r="E1042" s="309">
        <v>11.5693</v>
      </c>
      <c r="F1042" s="309">
        <v>9.8206000000000007</v>
      </c>
      <c r="G1042" s="309">
        <v>8.3341999999999992</v>
      </c>
      <c r="H1042" s="309">
        <v>8.2743000000000002</v>
      </c>
      <c r="I1042" s="309">
        <v>8.0612999999999992</v>
      </c>
      <c r="J1042" s="309">
        <v>8.0901999999999994</v>
      </c>
      <c r="K1042" s="309">
        <v>0</v>
      </c>
      <c r="L1042" s="309">
        <v>0</v>
      </c>
      <c r="M1042" s="309">
        <v>8.1928999999999998</v>
      </c>
      <c r="N1042" s="309">
        <v>9.8617000000000008</v>
      </c>
      <c r="O1042" s="309">
        <v>6.4131999999999998</v>
      </c>
      <c r="P1042" s="309">
        <v>7.4234</v>
      </c>
      <c r="Q1042" s="309">
        <v>0</v>
      </c>
      <c r="R1042" s="309">
        <v>10.305999999999999</v>
      </c>
      <c r="S1042" s="309">
        <v>10.540100000000001</v>
      </c>
      <c r="T1042" s="309">
        <v>8.1288</v>
      </c>
      <c r="U1042" s="309">
        <v>11.5837</v>
      </c>
      <c r="V1042" s="309">
        <v>7.9951999999999996</v>
      </c>
      <c r="W1042" s="309">
        <v>7.6032000000000002</v>
      </c>
      <c r="X1042" s="309">
        <v>5.8959000000000001</v>
      </c>
      <c r="Y1042" s="309">
        <v>0</v>
      </c>
      <c r="Z1042" s="309">
        <v>10.5044</v>
      </c>
      <c r="AA1042" s="309">
        <v>9.4829000000000008</v>
      </c>
      <c r="AB1042" s="309">
        <v>10.8591</v>
      </c>
      <c r="AC1042" s="309">
        <v>9.0136000000000003</v>
      </c>
      <c r="AD1042" s="309">
        <v>0</v>
      </c>
      <c r="AE1042" s="309">
        <v>10.2006</v>
      </c>
      <c r="AF1042" s="309">
        <v>5.5720000000000001</v>
      </c>
      <c r="AG1042" s="309">
        <v>0</v>
      </c>
      <c r="AH1042" s="309">
        <v>0</v>
      </c>
      <c r="AI1042" s="309">
        <v>7.4850000000000003</v>
      </c>
      <c r="AJ1042" s="309">
        <v>6.6931000000000003</v>
      </c>
      <c r="AK1042" s="309">
        <v>7.3391999999999999</v>
      </c>
      <c r="AL1042" s="309">
        <v>6.1908000000000003</v>
      </c>
      <c r="AM1042" s="309">
        <v>12.5915</v>
      </c>
      <c r="AN1042" s="309">
        <v>10.3283</v>
      </c>
      <c r="AO1042" s="309">
        <v>10.037599999999999</v>
      </c>
      <c r="AP1042" s="309">
        <v>10.860900000000001</v>
      </c>
      <c r="AQ1042" s="309">
        <v>0</v>
      </c>
      <c r="AR1042" s="309">
        <v>11.2012</v>
      </c>
      <c r="AS1042" s="309">
        <v>6.5540000000000003</v>
      </c>
      <c r="AT1042" s="309">
        <v>10.7539</v>
      </c>
      <c r="AU1042" s="309">
        <v>9.9724000000000004</v>
      </c>
      <c r="AV1042" s="309">
        <v>12.2752</v>
      </c>
      <c r="AW1042" s="309">
        <v>8.9842999999999993</v>
      </c>
      <c r="AX1042" s="309">
        <v>0</v>
      </c>
      <c r="AY1042" s="309">
        <v>8.1183999999999994</v>
      </c>
      <c r="AZ1042" s="309">
        <v>10.8507</v>
      </c>
      <c r="BA1042" s="309">
        <v>0</v>
      </c>
      <c r="BB1042" s="309">
        <v>0</v>
      </c>
      <c r="BC1042" s="309">
        <v>9.5681999999999992</v>
      </c>
      <c r="BD1042" s="309">
        <v>9.1992999999999991</v>
      </c>
      <c r="BE1042" s="309">
        <v>12.1152</v>
      </c>
      <c r="BF1042" s="309">
        <v>10.2614</v>
      </c>
      <c r="BG1042" s="309">
        <v>10.023400000000001</v>
      </c>
      <c r="BH1042" s="309">
        <v>12.440899999999999</v>
      </c>
      <c r="BI1042" s="309">
        <v>11.0275</v>
      </c>
      <c r="BJ1042" s="309">
        <v>8.8208000000000002</v>
      </c>
      <c r="BK1042" s="309">
        <v>8.9986999999999995</v>
      </c>
    </row>
    <row r="1043" spans="1:63" x14ac:dyDescent="0.25">
      <c r="A1043" s="306">
        <v>333911</v>
      </c>
      <c r="B1043" s="309" t="s">
        <v>202</v>
      </c>
      <c r="C1043" s="309">
        <v>17.0747</v>
      </c>
      <c r="D1043" s="309">
        <v>0</v>
      </c>
      <c r="E1043" s="309">
        <v>14.619199999999999</v>
      </c>
      <c r="F1043" s="309">
        <v>11.0969</v>
      </c>
      <c r="G1043" s="309">
        <v>11.9641</v>
      </c>
      <c r="H1043" s="309">
        <v>10.8832</v>
      </c>
      <c r="I1043" s="309">
        <v>13.2447</v>
      </c>
      <c r="J1043" s="309">
        <v>8.391</v>
      </c>
      <c r="K1043" s="309">
        <v>0</v>
      </c>
      <c r="L1043" s="309">
        <v>7.8297999999999996</v>
      </c>
      <c r="M1043" s="309">
        <v>11.2018</v>
      </c>
      <c r="N1043" s="309">
        <v>11.6295</v>
      </c>
      <c r="O1043" s="309">
        <v>0</v>
      </c>
      <c r="P1043" s="309">
        <v>9.7788000000000004</v>
      </c>
      <c r="Q1043" s="309">
        <v>0</v>
      </c>
      <c r="R1043" s="309">
        <v>12.319599999999999</v>
      </c>
      <c r="S1043" s="309">
        <v>13.394</v>
      </c>
      <c r="T1043" s="309">
        <v>10.1363</v>
      </c>
      <c r="U1043" s="309">
        <v>12.511699999999999</v>
      </c>
      <c r="V1043" s="309">
        <v>10.582800000000001</v>
      </c>
      <c r="W1043" s="309">
        <v>8.9285999999999994</v>
      </c>
      <c r="X1043" s="309">
        <v>7.7858000000000001</v>
      </c>
      <c r="Y1043" s="309">
        <v>9.1156000000000006</v>
      </c>
      <c r="Z1043" s="309">
        <v>13.228300000000001</v>
      </c>
      <c r="AA1043" s="309">
        <v>11.5571</v>
      </c>
      <c r="AB1043" s="309">
        <v>11.412000000000001</v>
      </c>
      <c r="AC1043" s="309">
        <v>11.5397</v>
      </c>
      <c r="AD1043" s="309">
        <v>10.7919</v>
      </c>
      <c r="AE1043" s="309">
        <v>10.9955</v>
      </c>
      <c r="AF1043" s="309">
        <v>0</v>
      </c>
      <c r="AG1043" s="309">
        <v>9.6813000000000002</v>
      </c>
      <c r="AH1043" s="309">
        <v>12.419</v>
      </c>
      <c r="AI1043" s="309">
        <v>8.2835999999999999</v>
      </c>
      <c r="AJ1043" s="309">
        <v>10.513400000000001</v>
      </c>
      <c r="AK1043" s="309">
        <v>8.6624999999999996</v>
      </c>
      <c r="AL1043" s="309">
        <v>8.0225000000000009</v>
      </c>
      <c r="AM1043" s="309">
        <v>14.061999999999999</v>
      </c>
      <c r="AN1043" s="309">
        <v>12.144600000000001</v>
      </c>
      <c r="AO1043" s="309">
        <v>11.779500000000001</v>
      </c>
      <c r="AP1043" s="309">
        <v>13.403600000000001</v>
      </c>
      <c r="AQ1043" s="309">
        <v>10.9246</v>
      </c>
      <c r="AR1043" s="309">
        <v>13.082599999999999</v>
      </c>
      <c r="AS1043" s="309">
        <v>9.9964999999999993</v>
      </c>
      <c r="AT1043" s="309">
        <v>13.738799999999999</v>
      </c>
      <c r="AU1043" s="309">
        <v>12.9186</v>
      </c>
      <c r="AV1043" s="309">
        <v>13.6076</v>
      </c>
      <c r="AW1043" s="309">
        <v>9.3051999999999992</v>
      </c>
      <c r="AX1043" s="309">
        <v>9.1349999999999998</v>
      </c>
      <c r="AY1043" s="309">
        <v>10.247299999999999</v>
      </c>
      <c r="AZ1043" s="309">
        <v>12.837300000000001</v>
      </c>
      <c r="BA1043" s="309">
        <v>10.4534</v>
      </c>
      <c r="BB1043" s="309">
        <v>9.5395000000000003</v>
      </c>
      <c r="BC1043" s="309">
        <v>10.9422</v>
      </c>
      <c r="BD1043" s="309">
        <v>11.3065</v>
      </c>
      <c r="BE1043" s="309">
        <v>14.3118</v>
      </c>
      <c r="BF1043" s="309">
        <v>12.205299999999999</v>
      </c>
      <c r="BG1043" s="309">
        <v>12.094200000000001</v>
      </c>
      <c r="BH1043" s="309">
        <v>14.5923</v>
      </c>
      <c r="BI1043" s="309">
        <v>13.2761</v>
      </c>
      <c r="BJ1043" s="309">
        <v>11.596399999999999</v>
      </c>
      <c r="BK1043" s="309">
        <v>11.5177</v>
      </c>
    </row>
    <row r="1044" spans="1:63" x14ac:dyDescent="0.25">
      <c r="A1044" s="306">
        <v>333912</v>
      </c>
      <c r="B1044" s="309" t="s">
        <v>203</v>
      </c>
      <c r="C1044" s="309">
        <v>18.261299999999999</v>
      </c>
      <c r="D1044" s="309">
        <v>0</v>
      </c>
      <c r="E1044" s="309">
        <v>13.9405</v>
      </c>
      <c r="F1044" s="309">
        <v>11.4575</v>
      </c>
      <c r="G1044" s="309">
        <v>0</v>
      </c>
      <c r="H1044" s="309">
        <v>12.275600000000001</v>
      </c>
      <c r="I1044" s="309">
        <v>11.761200000000001</v>
      </c>
      <c r="J1044" s="309">
        <v>9.4344000000000001</v>
      </c>
      <c r="K1044" s="309">
        <v>0</v>
      </c>
      <c r="L1044" s="309">
        <v>0</v>
      </c>
      <c r="M1044" s="309">
        <v>11.7989</v>
      </c>
      <c r="N1044" s="309">
        <v>12.6225</v>
      </c>
      <c r="O1044" s="309">
        <v>0</v>
      </c>
      <c r="P1044" s="309">
        <v>11.709099999999999</v>
      </c>
      <c r="Q1044" s="309">
        <v>0</v>
      </c>
      <c r="R1044" s="309">
        <v>12.959199999999999</v>
      </c>
      <c r="S1044" s="309">
        <v>13.4557</v>
      </c>
      <c r="T1044" s="309">
        <v>10.0665</v>
      </c>
      <c r="U1044" s="309">
        <v>13.3276</v>
      </c>
      <c r="V1044" s="309">
        <v>11.8629</v>
      </c>
      <c r="W1044" s="309">
        <v>9.8183000000000007</v>
      </c>
      <c r="X1044" s="309">
        <v>9.0432000000000006</v>
      </c>
      <c r="Y1044" s="309">
        <v>0</v>
      </c>
      <c r="Z1044" s="309">
        <v>13.8179</v>
      </c>
      <c r="AA1044" s="309">
        <v>12.8949</v>
      </c>
      <c r="AB1044" s="309">
        <v>12.3696</v>
      </c>
      <c r="AC1044" s="309">
        <v>10.850300000000001</v>
      </c>
      <c r="AD1044" s="309">
        <v>0</v>
      </c>
      <c r="AE1044" s="309">
        <v>11.689299999999999</v>
      </c>
      <c r="AF1044" s="309">
        <v>0</v>
      </c>
      <c r="AG1044" s="309">
        <v>8.6392000000000007</v>
      </c>
      <c r="AH1044" s="309">
        <v>11.726800000000001</v>
      </c>
      <c r="AI1044" s="309">
        <v>9.1870999999999992</v>
      </c>
      <c r="AJ1044" s="309">
        <v>9.9457000000000004</v>
      </c>
      <c r="AK1044" s="309">
        <v>11.1945</v>
      </c>
      <c r="AL1044" s="309">
        <v>8.5943000000000005</v>
      </c>
      <c r="AM1044" s="309">
        <v>14.198499999999999</v>
      </c>
      <c r="AN1044" s="309">
        <v>13.009399999999999</v>
      </c>
      <c r="AO1044" s="309">
        <v>12.5327</v>
      </c>
      <c r="AP1044" s="309">
        <v>13.7911</v>
      </c>
      <c r="AQ1044" s="309">
        <v>8.6860999999999997</v>
      </c>
      <c r="AR1044" s="309">
        <v>14.463100000000001</v>
      </c>
      <c r="AS1044" s="309">
        <v>10.090199999999999</v>
      </c>
      <c r="AT1044" s="309">
        <v>14.9558</v>
      </c>
      <c r="AU1044" s="309">
        <v>12.7704</v>
      </c>
      <c r="AV1044" s="309">
        <v>16.584599999999998</v>
      </c>
      <c r="AW1044" s="309">
        <v>12.314299999999999</v>
      </c>
      <c r="AX1044" s="309">
        <v>0</v>
      </c>
      <c r="AY1044" s="309">
        <v>11.690099999999999</v>
      </c>
      <c r="AZ1044" s="309">
        <v>13.9175</v>
      </c>
      <c r="BA1044" s="309">
        <v>10.9781</v>
      </c>
      <c r="BB1044" s="309">
        <v>0</v>
      </c>
      <c r="BC1044" s="309">
        <v>11.9977</v>
      </c>
      <c r="BD1044" s="309">
        <v>12.132099999999999</v>
      </c>
      <c r="BE1044" s="309">
        <v>15.0671</v>
      </c>
      <c r="BF1044" s="309">
        <v>13.237399999999999</v>
      </c>
      <c r="BG1044" s="309">
        <v>13.027100000000001</v>
      </c>
      <c r="BH1044" s="309">
        <v>15.4992</v>
      </c>
      <c r="BI1044" s="309">
        <v>13.5848</v>
      </c>
      <c r="BJ1044" s="309">
        <v>13.013400000000001</v>
      </c>
      <c r="BK1044" s="309">
        <v>12.8057</v>
      </c>
    </row>
    <row r="1045" spans="1:63" x14ac:dyDescent="0.25">
      <c r="A1045" s="306">
        <v>333920</v>
      </c>
      <c r="B1045" s="309" t="s">
        <v>204</v>
      </c>
      <c r="C1045" s="309">
        <v>19.147400000000001</v>
      </c>
      <c r="D1045" s="309">
        <v>9.6912000000000003</v>
      </c>
      <c r="E1045" s="309">
        <v>14.601699999999999</v>
      </c>
      <c r="F1045" s="309">
        <v>13.7044</v>
      </c>
      <c r="G1045" s="309">
        <v>13.0054</v>
      </c>
      <c r="H1045" s="309">
        <v>12.9595</v>
      </c>
      <c r="I1045" s="309">
        <v>12.036799999999999</v>
      </c>
      <c r="J1045" s="309">
        <v>9.6233000000000004</v>
      </c>
      <c r="K1045" s="309">
        <v>0.94330000000000003</v>
      </c>
      <c r="L1045" s="309">
        <v>7.5183999999999997</v>
      </c>
      <c r="M1045" s="309">
        <v>12.395099999999999</v>
      </c>
      <c r="N1045" s="309">
        <v>13.395799999999999</v>
      </c>
      <c r="O1045" s="309">
        <v>0</v>
      </c>
      <c r="P1045" s="309">
        <v>11.621</v>
      </c>
      <c r="Q1045" s="309">
        <v>11.492900000000001</v>
      </c>
      <c r="R1045" s="309">
        <v>14.2075</v>
      </c>
      <c r="S1045" s="309">
        <v>14.718400000000001</v>
      </c>
      <c r="T1045" s="309">
        <v>11.0558</v>
      </c>
      <c r="U1045" s="309">
        <v>13.500500000000001</v>
      </c>
      <c r="V1045" s="309">
        <v>11.4634</v>
      </c>
      <c r="W1045" s="309">
        <v>9.6072000000000006</v>
      </c>
      <c r="X1045" s="309">
        <v>8.5602999999999998</v>
      </c>
      <c r="Y1045" s="309">
        <v>11.9581</v>
      </c>
      <c r="Z1045" s="309">
        <v>13.864599999999999</v>
      </c>
      <c r="AA1045" s="309">
        <v>13.4983</v>
      </c>
      <c r="AB1045" s="309">
        <v>12.192299999999999</v>
      </c>
      <c r="AC1045" s="309">
        <v>12.3286</v>
      </c>
      <c r="AD1045" s="309">
        <v>0</v>
      </c>
      <c r="AE1045" s="309">
        <v>12.909800000000001</v>
      </c>
      <c r="AF1045" s="309">
        <v>9.8712</v>
      </c>
      <c r="AG1045" s="309">
        <v>11.1526</v>
      </c>
      <c r="AH1045" s="309">
        <v>10.288600000000001</v>
      </c>
      <c r="AI1045" s="309">
        <v>9.5535999999999994</v>
      </c>
      <c r="AJ1045" s="309">
        <v>10.869300000000001</v>
      </c>
      <c r="AK1045" s="309">
        <v>11.135899999999999</v>
      </c>
      <c r="AL1045" s="309">
        <v>9.3841999999999999</v>
      </c>
      <c r="AM1045" s="309">
        <v>15.5716</v>
      </c>
      <c r="AN1045" s="309">
        <v>13.8245</v>
      </c>
      <c r="AO1045" s="309">
        <v>12.662100000000001</v>
      </c>
      <c r="AP1045" s="309">
        <v>14.4415</v>
      </c>
      <c r="AQ1045" s="309">
        <v>11.091900000000001</v>
      </c>
      <c r="AR1045" s="309">
        <v>14.6805</v>
      </c>
      <c r="AS1045" s="309">
        <v>9.4459</v>
      </c>
      <c r="AT1045" s="309">
        <v>14.181800000000001</v>
      </c>
      <c r="AU1045" s="309">
        <v>13.726800000000001</v>
      </c>
      <c r="AV1045" s="309">
        <v>15.3878</v>
      </c>
      <c r="AW1045" s="309">
        <v>11.366099999999999</v>
      </c>
      <c r="AX1045" s="309">
        <v>0</v>
      </c>
      <c r="AY1045" s="309">
        <v>11.3248</v>
      </c>
      <c r="AZ1045" s="309">
        <v>13.745100000000001</v>
      </c>
      <c r="BA1045" s="309">
        <v>11.4765</v>
      </c>
      <c r="BB1045" s="309">
        <v>0</v>
      </c>
      <c r="BC1045" s="309">
        <v>11.7362</v>
      </c>
      <c r="BD1045" s="309">
        <v>12.8238</v>
      </c>
      <c r="BE1045" s="309">
        <v>16.001000000000001</v>
      </c>
      <c r="BF1045" s="309">
        <v>13.9376</v>
      </c>
      <c r="BG1045" s="309">
        <v>14.183199999999999</v>
      </c>
      <c r="BH1045" s="309">
        <v>15.479699999999999</v>
      </c>
      <c r="BI1045" s="309">
        <v>14.9762</v>
      </c>
      <c r="BJ1045" s="309">
        <v>12.638199999999999</v>
      </c>
      <c r="BK1045" s="309">
        <v>12.927199999999999</v>
      </c>
    </row>
    <row r="1046" spans="1:63" x14ac:dyDescent="0.25">
      <c r="A1046" s="306">
        <v>333991</v>
      </c>
      <c r="B1046" s="309" t="s">
        <v>205</v>
      </c>
      <c r="C1046" s="309">
        <v>13.604799999999999</v>
      </c>
      <c r="D1046" s="309">
        <v>0</v>
      </c>
      <c r="E1046" s="309">
        <v>11.0936</v>
      </c>
      <c r="F1046" s="309">
        <v>9.8320000000000007</v>
      </c>
      <c r="G1046" s="309">
        <v>6.4653999999999998</v>
      </c>
      <c r="H1046" s="309">
        <v>8.6618999999999993</v>
      </c>
      <c r="I1046" s="309">
        <v>7.8780999999999999</v>
      </c>
      <c r="J1046" s="309">
        <v>7.9615999999999998</v>
      </c>
      <c r="K1046" s="309">
        <v>0</v>
      </c>
      <c r="L1046" s="309">
        <v>0</v>
      </c>
      <c r="M1046" s="309">
        <v>8.0443999999999996</v>
      </c>
      <c r="N1046" s="309">
        <v>9.2833000000000006</v>
      </c>
      <c r="O1046" s="309">
        <v>0</v>
      </c>
      <c r="P1046" s="309">
        <v>8.8719000000000001</v>
      </c>
      <c r="Q1046" s="309">
        <v>6.1782000000000004</v>
      </c>
      <c r="R1046" s="309">
        <v>10.625299999999999</v>
      </c>
      <c r="S1046" s="309">
        <v>9.5106000000000002</v>
      </c>
      <c r="T1046" s="309">
        <v>5.7864000000000004</v>
      </c>
      <c r="U1046" s="309">
        <v>0</v>
      </c>
      <c r="V1046" s="309">
        <v>7.2685000000000004</v>
      </c>
      <c r="W1046" s="309">
        <v>6.3823999999999996</v>
      </c>
      <c r="X1046" s="309">
        <v>5.1567999999999996</v>
      </c>
      <c r="Y1046" s="309">
        <v>0</v>
      </c>
      <c r="Z1046" s="309">
        <v>9.9353999999999996</v>
      </c>
      <c r="AA1046" s="309">
        <v>9.3901000000000003</v>
      </c>
      <c r="AB1046" s="309">
        <v>8.7050000000000001</v>
      </c>
      <c r="AC1046" s="309">
        <v>8.6632999999999996</v>
      </c>
      <c r="AD1046" s="309">
        <v>0</v>
      </c>
      <c r="AE1046" s="309">
        <v>9.3262999999999998</v>
      </c>
      <c r="AF1046" s="309">
        <v>0</v>
      </c>
      <c r="AG1046" s="309">
        <v>7.4973999999999998</v>
      </c>
      <c r="AH1046" s="309">
        <v>0</v>
      </c>
      <c r="AI1046" s="309">
        <v>7.3952999999999998</v>
      </c>
      <c r="AJ1046" s="309">
        <v>0</v>
      </c>
      <c r="AK1046" s="309">
        <v>6.3795999999999999</v>
      </c>
      <c r="AL1046" s="309">
        <v>5.9340999999999999</v>
      </c>
      <c r="AM1046" s="309">
        <v>10.358499999999999</v>
      </c>
      <c r="AN1046" s="309">
        <v>10.066599999999999</v>
      </c>
      <c r="AO1046" s="309">
        <v>8.6662999999999997</v>
      </c>
      <c r="AP1046" s="309">
        <v>10.3713</v>
      </c>
      <c r="AQ1046" s="309">
        <v>8.0236999999999998</v>
      </c>
      <c r="AR1046" s="309">
        <v>9.9047000000000001</v>
      </c>
      <c r="AS1046" s="309">
        <v>0</v>
      </c>
      <c r="AT1046" s="309">
        <v>10.6343</v>
      </c>
      <c r="AU1046" s="309">
        <v>9.3596000000000004</v>
      </c>
      <c r="AV1046" s="309">
        <v>0</v>
      </c>
      <c r="AW1046" s="309">
        <v>7.8112000000000004</v>
      </c>
      <c r="AX1046" s="309">
        <v>7.8173000000000004</v>
      </c>
      <c r="AY1046" s="309">
        <v>6.4847000000000001</v>
      </c>
      <c r="AZ1046" s="309">
        <v>9.2201000000000004</v>
      </c>
      <c r="BA1046" s="309">
        <v>0</v>
      </c>
      <c r="BB1046" s="309">
        <v>0</v>
      </c>
      <c r="BC1046" s="309">
        <v>8.5330999999999992</v>
      </c>
      <c r="BD1046" s="309">
        <v>8.8851999999999993</v>
      </c>
      <c r="BE1046" s="309">
        <v>10.8955</v>
      </c>
      <c r="BF1046" s="309">
        <v>9.6347000000000005</v>
      </c>
      <c r="BG1046" s="309">
        <v>9.3863000000000003</v>
      </c>
      <c r="BH1046" s="309">
        <v>11.608499999999999</v>
      </c>
      <c r="BI1046" s="309">
        <v>10.956799999999999</v>
      </c>
      <c r="BJ1046" s="309">
        <v>7.9611000000000001</v>
      </c>
      <c r="BK1046" s="309">
        <v>8.2136999999999993</v>
      </c>
    </row>
    <row r="1047" spans="1:63" x14ac:dyDescent="0.25">
      <c r="A1047" s="306">
        <v>333993</v>
      </c>
      <c r="B1047" s="309" t="s">
        <v>207</v>
      </c>
      <c r="C1047" s="309">
        <v>20.3123</v>
      </c>
      <c r="D1047" s="309">
        <v>0</v>
      </c>
      <c r="E1047" s="309">
        <v>14.5059</v>
      </c>
      <c r="F1047" s="309">
        <v>13.366</v>
      </c>
      <c r="G1047" s="309">
        <v>15.032299999999999</v>
      </c>
      <c r="H1047" s="309">
        <v>14.6259</v>
      </c>
      <c r="I1047" s="309">
        <v>15.1975</v>
      </c>
      <c r="J1047" s="309">
        <v>11.693899999999999</v>
      </c>
      <c r="K1047" s="309">
        <v>0</v>
      </c>
      <c r="L1047" s="309">
        <v>0</v>
      </c>
      <c r="M1047" s="309">
        <v>14.2416</v>
      </c>
      <c r="N1047" s="309">
        <v>14.330500000000001</v>
      </c>
      <c r="O1047" s="309">
        <v>0</v>
      </c>
      <c r="P1047" s="309">
        <v>10.866899999999999</v>
      </c>
      <c r="Q1047" s="309">
        <v>0</v>
      </c>
      <c r="R1047" s="309">
        <v>14.3445</v>
      </c>
      <c r="S1047" s="309">
        <v>16.9634</v>
      </c>
      <c r="T1047" s="309">
        <v>12.2324</v>
      </c>
      <c r="U1047" s="309">
        <v>13.869</v>
      </c>
      <c r="V1047" s="309">
        <v>13.9155</v>
      </c>
      <c r="W1047" s="309">
        <v>12.3367</v>
      </c>
      <c r="X1047" s="309">
        <v>9.7411999999999992</v>
      </c>
      <c r="Y1047" s="309">
        <v>13.690200000000001</v>
      </c>
      <c r="Z1047" s="309">
        <v>15.5322</v>
      </c>
      <c r="AA1047" s="309">
        <v>14.7179</v>
      </c>
      <c r="AB1047" s="309">
        <v>14.075200000000001</v>
      </c>
      <c r="AC1047" s="309">
        <v>11.216100000000001</v>
      </c>
      <c r="AD1047" s="309">
        <v>13.782299999999999</v>
      </c>
      <c r="AE1047" s="309">
        <v>14.0533</v>
      </c>
      <c r="AF1047" s="309">
        <v>10.916399999999999</v>
      </c>
      <c r="AG1047" s="309">
        <v>11.1165</v>
      </c>
      <c r="AH1047" s="309">
        <v>13.422700000000001</v>
      </c>
      <c r="AI1047" s="309">
        <v>11.724500000000001</v>
      </c>
      <c r="AJ1047" s="309">
        <v>13.2158</v>
      </c>
      <c r="AK1047" s="309">
        <v>13.237500000000001</v>
      </c>
      <c r="AL1047" s="309">
        <v>11.4048</v>
      </c>
      <c r="AM1047" s="309">
        <v>16.595600000000001</v>
      </c>
      <c r="AN1047" s="309">
        <v>16.619499999999999</v>
      </c>
      <c r="AO1047" s="309">
        <v>16.113700000000001</v>
      </c>
      <c r="AP1047" s="309">
        <v>15.7567</v>
      </c>
      <c r="AQ1047" s="309">
        <v>0</v>
      </c>
      <c r="AR1047" s="309">
        <v>15.7583</v>
      </c>
      <c r="AS1047" s="309">
        <v>0</v>
      </c>
      <c r="AT1047" s="309">
        <v>16.887</v>
      </c>
      <c r="AU1047" s="309">
        <v>16.124300000000002</v>
      </c>
      <c r="AV1047" s="309">
        <v>17.598800000000001</v>
      </c>
      <c r="AW1047" s="309">
        <v>12.1211</v>
      </c>
      <c r="AX1047" s="309">
        <v>0</v>
      </c>
      <c r="AY1047" s="309">
        <v>13.349600000000001</v>
      </c>
      <c r="AZ1047" s="309">
        <v>15.2447</v>
      </c>
      <c r="BA1047" s="309">
        <v>0</v>
      </c>
      <c r="BB1047" s="309">
        <v>0</v>
      </c>
      <c r="BC1047" s="309">
        <v>14.6004</v>
      </c>
      <c r="BD1047" s="309">
        <v>14.4116</v>
      </c>
      <c r="BE1047" s="309">
        <v>16.633199999999999</v>
      </c>
      <c r="BF1047" s="309">
        <v>14.7666</v>
      </c>
      <c r="BG1047" s="309">
        <v>15.6944</v>
      </c>
      <c r="BH1047" s="309">
        <v>15.6525</v>
      </c>
      <c r="BI1047" s="309">
        <v>16.628</v>
      </c>
      <c r="BJ1047" s="309">
        <v>15.3681</v>
      </c>
      <c r="BK1047" s="309">
        <v>15.054500000000001</v>
      </c>
    </row>
    <row r="1048" spans="1:63" x14ac:dyDescent="0.25">
      <c r="A1048" s="306">
        <v>333994</v>
      </c>
      <c r="B1048" s="309" t="s">
        <v>208</v>
      </c>
      <c r="C1048" s="309">
        <v>19.601099999999999</v>
      </c>
      <c r="D1048" s="309">
        <v>0</v>
      </c>
      <c r="E1048" s="309">
        <v>15.4742</v>
      </c>
      <c r="F1048" s="309">
        <v>0</v>
      </c>
      <c r="G1048" s="309">
        <v>15.7791</v>
      </c>
      <c r="H1048" s="309">
        <v>13.8301</v>
      </c>
      <c r="I1048" s="309">
        <v>13.709</v>
      </c>
      <c r="J1048" s="309">
        <v>13.0162</v>
      </c>
      <c r="K1048" s="309">
        <v>0</v>
      </c>
      <c r="L1048" s="309">
        <v>0</v>
      </c>
      <c r="M1048" s="309">
        <v>17.054600000000001</v>
      </c>
      <c r="N1048" s="309">
        <v>14.1595</v>
      </c>
      <c r="O1048" s="309">
        <v>0</v>
      </c>
      <c r="P1048" s="309">
        <v>12.8758</v>
      </c>
      <c r="Q1048" s="309">
        <v>12.114000000000001</v>
      </c>
      <c r="R1048" s="309">
        <v>15.3691</v>
      </c>
      <c r="S1048" s="309">
        <v>15.383100000000001</v>
      </c>
      <c r="T1048" s="309">
        <v>12.5054</v>
      </c>
      <c r="U1048" s="309">
        <v>14.4688</v>
      </c>
      <c r="V1048" s="309">
        <v>16.317900000000002</v>
      </c>
      <c r="W1048" s="309">
        <v>12.8323</v>
      </c>
      <c r="X1048" s="309">
        <v>11.6975</v>
      </c>
      <c r="Y1048" s="309">
        <v>0</v>
      </c>
      <c r="Z1048" s="309">
        <v>14.742900000000001</v>
      </c>
      <c r="AA1048" s="309">
        <v>13.2517</v>
      </c>
      <c r="AB1048" s="309">
        <v>16.0305</v>
      </c>
      <c r="AC1048" s="309">
        <v>0</v>
      </c>
      <c r="AD1048" s="309">
        <v>0</v>
      </c>
      <c r="AE1048" s="309">
        <v>13.070399999999999</v>
      </c>
      <c r="AF1048" s="309">
        <v>0</v>
      </c>
      <c r="AG1048" s="309">
        <v>0</v>
      </c>
      <c r="AH1048" s="309">
        <v>10.8386</v>
      </c>
      <c r="AI1048" s="309">
        <v>10.887700000000001</v>
      </c>
      <c r="AJ1048" s="309">
        <v>0</v>
      </c>
      <c r="AK1048" s="309">
        <v>14.4419</v>
      </c>
      <c r="AL1048" s="309">
        <v>11.1638</v>
      </c>
      <c r="AM1048" s="309">
        <v>15.778499999999999</v>
      </c>
      <c r="AN1048" s="309">
        <v>13.7865</v>
      </c>
      <c r="AO1048" s="309">
        <v>12.4095</v>
      </c>
      <c r="AP1048" s="309">
        <v>16.231200000000001</v>
      </c>
      <c r="AQ1048" s="309">
        <v>13.4849</v>
      </c>
      <c r="AR1048" s="309">
        <v>17.958400000000001</v>
      </c>
      <c r="AS1048" s="309">
        <v>0</v>
      </c>
      <c r="AT1048" s="309">
        <v>17.011700000000001</v>
      </c>
      <c r="AU1048" s="309">
        <v>17.045200000000001</v>
      </c>
      <c r="AV1048" s="309">
        <v>0</v>
      </c>
      <c r="AW1048" s="309">
        <v>0</v>
      </c>
      <c r="AX1048" s="309">
        <v>0</v>
      </c>
      <c r="AY1048" s="309">
        <v>11.234400000000001</v>
      </c>
      <c r="AZ1048" s="309">
        <v>14.8474</v>
      </c>
      <c r="BA1048" s="309">
        <v>14.3744</v>
      </c>
      <c r="BB1048" s="309">
        <v>0</v>
      </c>
      <c r="BC1048" s="309">
        <v>14.777200000000001</v>
      </c>
      <c r="BD1048" s="309">
        <v>14.432700000000001</v>
      </c>
      <c r="BE1048" s="309">
        <v>16.423500000000001</v>
      </c>
      <c r="BF1048" s="309">
        <v>15.7583</v>
      </c>
      <c r="BG1048" s="309">
        <v>16.1296</v>
      </c>
      <c r="BH1048" s="309">
        <v>16.315899999999999</v>
      </c>
      <c r="BI1048" s="309">
        <v>15.7735</v>
      </c>
      <c r="BJ1048" s="309">
        <v>15.740600000000001</v>
      </c>
      <c r="BK1048" s="309">
        <v>14.042899999999999</v>
      </c>
    </row>
    <row r="1049" spans="1:63" x14ac:dyDescent="0.25">
      <c r="A1049" s="306" t="s">
        <v>734</v>
      </c>
      <c r="B1049" s="309" t="s">
        <v>206</v>
      </c>
      <c r="C1049" s="309">
        <v>18.762699999999999</v>
      </c>
      <c r="D1049" s="309">
        <v>10.5488</v>
      </c>
      <c r="E1049" s="309">
        <v>14.8026</v>
      </c>
      <c r="F1049" s="309">
        <v>13.8894</v>
      </c>
      <c r="G1049" s="309">
        <v>13.6074</v>
      </c>
      <c r="H1049" s="309">
        <v>12.7371</v>
      </c>
      <c r="I1049" s="309">
        <v>12.7903</v>
      </c>
      <c r="J1049" s="309">
        <v>10.4848</v>
      </c>
      <c r="K1049" s="309">
        <v>0</v>
      </c>
      <c r="L1049" s="309">
        <v>7.8282999999999996</v>
      </c>
      <c r="M1049" s="309">
        <v>12.543799999999999</v>
      </c>
      <c r="N1049" s="309">
        <v>14.277200000000001</v>
      </c>
      <c r="O1049" s="309">
        <v>0</v>
      </c>
      <c r="P1049" s="309">
        <v>12.5359</v>
      </c>
      <c r="Q1049" s="309">
        <v>12.2006</v>
      </c>
      <c r="R1049" s="309">
        <v>14.3977</v>
      </c>
      <c r="S1049" s="309">
        <v>14.747199999999999</v>
      </c>
      <c r="T1049" s="309">
        <v>11.824199999999999</v>
      </c>
      <c r="U1049" s="309">
        <v>12.9612</v>
      </c>
      <c r="V1049" s="309">
        <v>11.7247</v>
      </c>
      <c r="W1049" s="309">
        <v>10.418699999999999</v>
      </c>
      <c r="X1049" s="309">
        <v>10.714700000000001</v>
      </c>
      <c r="Y1049" s="309">
        <v>14.142300000000001</v>
      </c>
      <c r="Z1049" s="309">
        <v>13.689500000000001</v>
      </c>
      <c r="AA1049" s="309">
        <v>13.6379</v>
      </c>
      <c r="AB1049" s="309">
        <v>12.4101</v>
      </c>
      <c r="AC1049" s="309">
        <v>12.960599999999999</v>
      </c>
      <c r="AD1049" s="309">
        <v>12.0494</v>
      </c>
      <c r="AE1049" s="309">
        <v>13.0716</v>
      </c>
      <c r="AF1049" s="309">
        <v>0</v>
      </c>
      <c r="AG1049" s="309">
        <v>12.0688</v>
      </c>
      <c r="AH1049" s="309">
        <v>12.026199999999999</v>
      </c>
      <c r="AI1049" s="309">
        <v>10.8878</v>
      </c>
      <c r="AJ1049" s="309">
        <v>11.7515</v>
      </c>
      <c r="AK1049" s="309">
        <v>11.229900000000001</v>
      </c>
      <c r="AL1049" s="309">
        <v>9.2489000000000008</v>
      </c>
      <c r="AM1049" s="309">
        <v>14.5288</v>
      </c>
      <c r="AN1049" s="309">
        <v>15.3003</v>
      </c>
      <c r="AO1049" s="309">
        <v>13.3515</v>
      </c>
      <c r="AP1049" s="309">
        <v>14.4598</v>
      </c>
      <c r="AQ1049" s="309">
        <v>11.053000000000001</v>
      </c>
      <c r="AR1049" s="309">
        <v>15.4198</v>
      </c>
      <c r="AS1049" s="309">
        <v>11.1709</v>
      </c>
      <c r="AT1049" s="309">
        <v>13.63</v>
      </c>
      <c r="AU1049" s="309">
        <v>14.366400000000001</v>
      </c>
      <c r="AV1049" s="309">
        <v>16.640499999999999</v>
      </c>
      <c r="AW1049" s="309">
        <v>12.444800000000001</v>
      </c>
      <c r="AX1049" s="309">
        <v>11.0444</v>
      </c>
      <c r="AY1049" s="309">
        <v>12.1959</v>
      </c>
      <c r="AZ1049" s="309">
        <v>14.8842</v>
      </c>
      <c r="BA1049" s="309">
        <v>11.8818</v>
      </c>
      <c r="BB1049" s="309">
        <v>8.3310999999999993</v>
      </c>
      <c r="BC1049" s="309">
        <v>12.9232</v>
      </c>
      <c r="BD1049" s="309">
        <v>12.949299999999999</v>
      </c>
      <c r="BE1049" s="309">
        <v>15.6876</v>
      </c>
      <c r="BF1049" s="309">
        <v>13.7637</v>
      </c>
      <c r="BG1049" s="309">
        <v>14.7371</v>
      </c>
      <c r="BH1049" s="309">
        <v>14.841699999999999</v>
      </c>
      <c r="BI1049" s="309">
        <v>15.0732</v>
      </c>
      <c r="BJ1049" s="309">
        <v>13.8344</v>
      </c>
      <c r="BK1049" s="309">
        <v>13.295400000000001</v>
      </c>
    </row>
    <row r="1050" spans="1:63" x14ac:dyDescent="0.25">
      <c r="A1050" s="306" t="s">
        <v>735</v>
      </c>
      <c r="B1050" s="309" t="s">
        <v>736</v>
      </c>
      <c r="C1050" s="309">
        <v>18.616099999999999</v>
      </c>
      <c r="D1050" s="309">
        <v>0</v>
      </c>
      <c r="E1050" s="309">
        <v>14.752800000000001</v>
      </c>
      <c r="F1050" s="309">
        <v>12.7254</v>
      </c>
      <c r="G1050" s="309">
        <v>14.478999999999999</v>
      </c>
      <c r="H1050" s="309">
        <v>11.397600000000001</v>
      </c>
      <c r="I1050" s="309">
        <v>11.9421</v>
      </c>
      <c r="J1050" s="309">
        <v>11.261799999999999</v>
      </c>
      <c r="K1050" s="309">
        <v>0</v>
      </c>
      <c r="L1050" s="309">
        <v>11.771699999999999</v>
      </c>
      <c r="M1050" s="309">
        <v>13.1492</v>
      </c>
      <c r="N1050" s="309">
        <v>12.923299999999999</v>
      </c>
      <c r="O1050" s="309">
        <v>0</v>
      </c>
      <c r="P1050" s="309">
        <v>12.829499999999999</v>
      </c>
      <c r="Q1050" s="309">
        <v>14.912599999999999</v>
      </c>
      <c r="R1050" s="309">
        <v>13.2951</v>
      </c>
      <c r="S1050" s="309">
        <v>14.648899999999999</v>
      </c>
      <c r="T1050" s="309">
        <v>11.880699999999999</v>
      </c>
      <c r="U1050" s="309">
        <v>14.773400000000001</v>
      </c>
      <c r="V1050" s="309">
        <v>11.533899999999999</v>
      </c>
      <c r="W1050" s="309">
        <v>10.311500000000001</v>
      </c>
      <c r="X1050" s="309">
        <v>0</v>
      </c>
      <c r="Y1050" s="309">
        <v>13.0297</v>
      </c>
      <c r="Z1050" s="309">
        <v>14.694599999999999</v>
      </c>
      <c r="AA1050" s="309">
        <v>12.798999999999999</v>
      </c>
      <c r="AB1050" s="309">
        <v>15.2521</v>
      </c>
      <c r="AC1050" s="309">
        <v>10.9215</v>
      </c>
      <c r="AD1050" s="309">
        <v>14.369199999999999</v>
      </c>
      <c r="AE1050" s="309">
        <v>13.168100000000001</v>
      </c>
      <c r="AF1050" s="309">
        <v>0</v>
      </c>
      <c r="AG1050" s="309">
        <v>11.967599999999999</v>
      </c>
      <c r="AH1050" s="309">
        <v>9.5098000000000003</v>
      </c>
      <c r="AI1050" s="309">
        <v>8.5441000000000003</v>
      </c>
      <c r="AJ1050" s="309">
        <v>16.524100000000001</v>
      </c>
      <c r="AK1050" s="309">
        <v>13.5573</v>
      </c>
      <c r="AL1050" s="309">
        <v>9.8756000000000004</v>
      </c>
      <c r="AM1050" s="309">
        <v>15.740600000000001</v>
      </c>
      <c r="AN1050" s="309">
        <v>13.000299999999999</v>
      </c>
      <c r="AO1050" s="309">
        <v>13.3249</v>
      </c>
      <c r="AP1050" s="309">
        <v>15.1303</v>
      </c>
      <c r="AQ1050" s="309">
        <v>0</v>
      </c>
      <c r="AR1050" s="309">
        <v>14.931900000000001</v>
      </c>
      <c r="AS1050" s="309">
        <v>11.357100000000001</v>
      </c>
      <c r="AT1050" s="309">
        <v>14.149699999999999</v>
      </c>
      <c r="AU1050" s="309">
        <v>14.412699999999999</v>
      </c>
      <c r="AV1050" s="309">
        <v>15.145200000000001</v>
      </c>
      <c r="AW1050" s="309">
        <v>11.787100000000001</v>
      </c>
      <c r="AX1050" s="309">
        <v>9.9395000000000007</v>
      </c>
      <c r="AY1050" s="309">
        <v>11.6633</v>
      </c>
      <c r="AZ1050" s="309">
        <v>14.6135</v>
      </c>
      <c r="BA1050" s="309">
        <v>12.724399999999999</v>
      </c>
      <c r="BB1050" s="309">
        <v>10.9215</v>
      </c>
      <c r="BC1050" s="309">
        <v>13.2094</v>
      </c>
      <c r="BD1050" s="309">
        <v>13.4192</v>
      </c>
      <c r="BE1050" s="309">
        <v>15.595499999999999</v>
      </c>
      <c r="BF1050" s="309">
        <v>14.447900000000001</v>
      </c>
      <c r="BG1050" s="309">
        <v>14.4892</v>
      </c>
      <c r="BH1050" s="309">
        <v>15.2759</v>
      </c>
      <c r="BI1050" s="309">
        <v>14.8041</v>
      </c>
      <c r="BJ1050" s="309">
        <v>12.6991</v>
      </c>
      <c r="BK1050" s="309">
        <v>12.025600000000001</v>
      </c>
    </row>
    <row r="1051" spans="1:63" x14ac:dyDescent="0.25">
      <c r="A1051" s="306">
        <v>334111</v>
      </c>
      <c r="B1051" s="309" t="s">
        <v>209</v>
      </c>
      <c r="C1051" s="309">
        <v>10.4518</v>
      </c>
      <c r="D1051" s="309">
        <v>0</v>
      </c>
      <c r="E1051" s="309">
        <v>6.3547000000000002</v>
      </c>
      <c r="F1051" s="309">
        <v>0</v>
      </c>
      <c r="G1051" s="309">
        <v>6.3102999999999998</v>
      </c>
      <c r="H1051" s="309">
        <v>7.1692999999999998</v>
      </c>
      <c r="I1051" s="309">
        <v>7.6814</v>
      </c>
      <c r="J1051" s="309">
        <v>5.3536000000000001</v>
      </c>
      <c r="K1051" s="309">
        <v>0.37819999999999998</v>
      </c>
      <c r="L1051" s="309">
        <v>0</v>
      </c>
      <c r="M1051" s="309">
        <v>7.0170000000000003</v>
      </c>
      <c r="N1051" s="309">
        <v>7.0503</v>
      </c>
      <c r="O1051" s="309">
        <v>5.319</v>
      </c>
      <c r="P1051" s="309">
        <v>4.1712999999999996</v>
      </c>
      <c r="Q1051" s="309">
        <v>6.5217000000000001</v>
      </c>
      <c r="R1051" s="309">
        <v>6.4748000000000001</v>
      </c>
      <c r="S1051" s="309">
        <v>6.8545999999999996</v>
      </c>
      <c r="T1051" s="309">
        <v>3.9182999999999999</v>
      </c>
      <c r="U1051" s="309">
        <v>6.3525999999999998</v>
      </c>
      <c r="V1051" s="309">
        <v>5.8356000000000003</v>
      </c>
      <c r="W1051" s="309">
        <v>6.0125000000000002</v>
      </c>
      <c r="X1051" s="309">
        <v>4.2859999999999996</v>
      </c>
      <c r="Y1051" s="309">
        <v>0</v>
      </c>
      <c r="Z1051" s="309">
        <v>7.0659999999999998</v>
      </c>
      <c r="AA1051" s="309">
        <v>7.0994999999999999</v>
      </c>
      <c r="AB1051" s="309">
        <v>6.1704999999999997</v>
      </c>
      <c r="AC1051" s="309">
        <v>5.0909000000000004</v>
      </c>
      <c r="AD1051" s="309">
        <v>4.9800000000000004</v>
      </c>
      <c r="AE1051" s="309">
        <v>7.2786</v>
      </c>
      <c r="AF1051" s="309">
        <v>4.4333</v>
      </c>
      <c r="AG1051" s="309">
        <v>0</v>
      </c>
      <c r="AH1051" s="309">
        <v>5.7746000000000004</v>
      </c>
      <c r="AI1051" s="309">
        <v>5.5275999999999996</v>
      </c>
      <c r="AJ1051" s="309">
        <v>4.7690999999999999</v>
      </c>
      <c r="AK1051" s="309">
        <v>5.7119</v>
      </c>
      <c r="AL1051" s="309">
        <v>3.8574000000000002</v>
      </c>
      <c r="AM1051" s="309">
        <v>8.0748999999999995</v>
      </c>
      <c r="AN1051" s="309">
        <v>5.0305999999999997</v>
      </c>
      <c r="AO1051" s="309">
        <v>7.2110000000000003</v>
      </c>
      <c r="AP1051" s="309">
        <v>6.5034999999999998</v>
      </c>
      <c r="AQ1051" s="309">
        <v>0</v>
      </c>
      <c r="AR1051" s="309">
        <v>6.1262999999999996</v>
      </c>
      <c r="AS1051" s="309">
        <v>0</v>
      </c>
      <c r="AT1051" s="309">
        <v>6.6600999999999999</v>
      </c>
      <c r="AU1051" s="309">
        <v>6.9231999999999996</v>
      </c>
      <c r="AV1051" s="309">
        <v>8.7333999999999996</v>
      </c>
      <c r="AW1051" s="309">
        <v>5.8409000000000004</v>
      </c>
      <c r="AX1051" s="309">
        <v>0</v>
      </c>
      <c r="AY1051" s="309">
        <v>6.1999000000000004</v>
      </c>
      <c r="AZ1051" s="309">
        <v>7.4511000000000003</v>
      </c>
      <c r="BA1051" s="309">
        <v>0</v>
      </c>
      <c r="BB1051" s="309">
        <v>0</v>
      </c>
      <c r="BC1051" s="309">
        <v>7.2359</v>
      </c>
      <c r="BD1051" s="309">
        <v>5.8559000000000001</v>
      </c>
      <c r="BE1051" s="309">
        <v>7.7698</v>
      </c>
      <c r="BF1051" s="309">
        <v>6.5162000000000004</v>
      </c>
      <c r="BG1051" s="309">
        <v>7.8164999999999996</v>
      </c>
      <c r="BH1051" s="309">
        <v>6.8564999999999996</v>
      </c>
      <c r="BI1051" s="309">
        <v>6.9565999999999999</v>
      </c>
      <c r="BJ1051" s="309">
        <v>8.0797000000000008</v>
      </c>
      <c r="BK1051" s="309">
        <v>7.4931000000000001</v>
      </c>
    </row>
    <row r="1052" spans="1:63" x14ac:dyDescent="0.25">
      <c r="A1052" s="306">
        <v>334112</v>
      </c>
      <c r="B1052" s="309" t="s">
        <v>210</v>
      </c>
      <c r="C1052" s="309">
        <v>14.9428</v>
      </c>
      <c r="D1052" s="309">
        <v>0</v>
      </c>
      <c r="E1052" s="309">
        <v>10.258100000000001</v>
      </c>
      <c r="F1052" s="309">
        <v>0</v>
      </c>
      <c r="G1052" s="309">
        <v>8.8473000000000006</v>
      </c>
      <c r="H1052" s="309">
        <v>10.368600000000001</v>
      </c>
      <c r="I1052" s="309">
        <v>11.038500000000001</v>
      </c>
      <c r="J1052" s="309">
        <v>8.3345000000000002</v>
      </c>
      <c r="K1052" s="309">
        <v>0</v>
      </c>
      <c r="L1052" s="309">
        <v>0</v>
      </c>
      <c r="M1052" s="309">
        <v>11.0487</v>
      </c>
      <c r="N1052" s="309">
        <v>10.7454</v>
      </c>
      <c r="O1052" s="309">
        <v>0</v>
      </c>
      <c r="P1052" s="309">
        <v>11.046900000000001</v>
      </c>
      <c r="Q1052" s="309">
        <v>7.2803000000000004</v>
      </c>
      <c r="R1052" s="309">
        <v>9.4701000000000004</v>
      </c>
      <c r="S1052" s="309">
        <v>0</v>
      </c>
      <c r="T1052" s="309">
        <v>10.007199999999999</v>
      </c>
      <c r="U1052" s="309">
        <v>0</v>
      </c>
      <c r="V1052" s="309">
        <v>0</v>
      </c>
      <c r="W1052" s="309">
        <v>8.5076000000000001</v>
      </c>
      <c r="X1052" s="309">
        <v>8.0236000000000001</v>
      </c>
      <c r="Y1052" s="309">
        <v>0</v>
      </c>
      <c r="Z1052" s="309">
        <v>9.5848999999999993</v>
      </c>
      <c r="AA1052" s="309">
        <v>10.6317</v>
      </c>
      <c r="AB1052" s="309">
        <v>0</v>
      </c>
      <c r="AC1052" s="309">
        <v>0</v>
      </c>
      <c r="AD1052" s="309">
        <v>0</v>
      </c>
      <c r="AE1052" s="309">
        <v>0</v>
      </c>
      <c r="AF1052" s="309">
        <v>0</v>
      </c>
      <c r="AG1052" s="309">
        <v>0</v>
      </c>
      <c r="AH1052" s="309">
        <v>7.8441000000000001</v>
      </c>
      <c r="AI1052" s="309">
        <v>9.1189</v>
      </c>
      <c r="AJ1052" s="309">
        <v>0</v>
      </c>
      <c r="AK1052" s="309">
        <v>0</v>
      </c>
      <c r="AL1052" s="309">
        <v>8.0797000000000008</v>
      </c>
      <c r="AM1052" s="309">
        <v>0</v>
      </c>
      <c r="AN1052" s="309">
        <v>9.9053000000000004</v>
      </c>
      <c r="AO1052" s="309">
        <v>0</v>
      </c>
      <c r="AP1052" s="309">
        <v>10.5588</v>
      </c>
      <c r="AQ1052" s="309">
        <v>0</v>
      </c>
      <c r="AR1052" s="309">
        <v>0</v>
      </c>
      <c r="AS1052" s="309">
        <v>6.6595000000000004</v>
      </c>
      <c r="AT1052" s="309">
        <v>12.086</v>
      </c>
      <c r="AU1052" s="309">
        <v>9.5890000000000004</v>
      </c>
      <c r="AV1052" s="309">
        <v>12.138500000000001</v>
      </c>
      <c r="AW1052" s="309">
        <v>10.589399999999999</v>
      </c>
      <c r="AX1052" s="309">
        <v>0</v>
      </c>
      <c r="AY1052" s="309">
        <v>9.3344000000000005</v>
      </c>
      <c r="AZ1052" s="309">
        <v>13.152799999999999</v>
      </c>
      <c r="BA1052" s="309">
        <v>0</v>
      </c>
      <c r="BB1052" s="309">
        <v>0</v>
      </c>
      <c r="BC1052" s="309">
        <v>10.275</v>
      </c>
      <c r="BD1052" s="309">
        <v>10.743399999999999</v>
      </c>
      <c r="BE1052" s="309">
        <v>12.8873</v>
      </c>
      <c r="BF1052" s="309">
        <v>10.2324</v>
      </c>
      <c r="BG1052" s="309">
        <v>11.4686</v>
      </c>
      <c r="BH1052" s="309">
        <v>11.042999999999999</v>
      </c>
      <c r="BI1052" s="309">
        <v>11.067</v>
      </c>
      <c r="BJ1052" s="309">
        <v>10.957000000000001</v>
      </c>
      <c r="BK1052" s="309">
        <v>10.8034</v>
      </c>
    </row>
    <row r="1053" spans="1:63" x14ac:dyDescent="0.25">
      <c r="A1053" s="306" t="s">
        <v>737</v>
      </c>
      <c r="B1053" s="309" t="s">
        <v>211</v>
      </c>
      <c r="C1053" s="309">
        <v>16.464500000000001</v>
      </c>
      <c r="D1053" s="309">
        <v>0</v>
      </c>
      <c r="E1053" s="309">
        <v>10.368</v>
      </c>
      <c r="F1053" s="309">
        <v>12.011200000000001</v>
      </c>
      <c r="G1053" s="309">
        <v>9.9048999999999996</v>
      </c>
      <c r="H1053" s="309">
        <v>10.8195</v>
      </c>
      <c r="I1053" s="309">
        <v>11.8514</v>
      </c>
      <c r="J1053" s="309">
        <v>9.4060000000000006</v>
      </c>
      <c r="K1053" s="309">
        <v>1.1419999999999999</v>
      </c>
      <c r="L1053" s="309">
        <v>7.4028</v>
      </c>
      <c r="M1053" s="309">
        <v>10.9542</v>
      </c>
      <c r="N1053" s="309">
        <v>11.939500000000001</v>
      </c>
      <c r="O1053" s="309">
        <v>0</v>
      </c>
      <c r="P1053" s="309">
        <v>10.3849</v>
      </c>
      <c r="Q1053" s="309">
        <v>10.3188</v>
      </c>
      <c r="R1053" s="309">
        <v>11.4781</v>
      </c>
      <c r="S1053" s="309">
        <v>13.3101</v>
      </c>
      <c r="T1053" s="309">
        <v>8.8702000000000005</v>
      </c>
      <c r="U1053" s="309">
        <v>10.0846</v>
      </c>
      <c r="V1053" s="309">
        <v>10.314</v>
      </c>
      <c r="W1053" s="309">
        <v>9.2573000000000008</v>
      </c>
      <c r="X1053" s="309">
        <v>8.3778000000000006</v>
      </c>
      <c r="Y1053" s="309">
        <v>0</v>
      </c>
      <c r="Z1053" s="309">
        <v>12.222799999999999</v>
      </c>
      <c r="AA1053" s="309">
        <v>11.438800000000001</v>
      </c>
      <c r="AB1053" s="309">
        <v>12.5566</v>
      </c>
      <c r="AC1053" s="309">
        <v>11.202299999999999</v>
      </c>
      <c r="AD1053" s="309">
        <v>9.8765000000000001</v>
      </c>
      <c r="AE1053" s="309">
        <v>10.9702</v>
      </c>
      <c r="AF1053" s="309">
        <v>7.5365000000000002</v>
      </c>
      <c r="AG1053" s="309">
        <v>7.9653999999999998</v>
      </c>
      <c r="AH1053" s="309">
        <v>9.3686000000000007</v>
      </c>
      <c r="AI1053" s="309">
        <v>8.8343000000000007</v>
      </c>
      <c r="AJ1053" s="309">
        <v>7.9290000000000003</v>
      </c>
      <c r="AK1053" s="309">
        <v>10.2074</v>
      </c>
      <c r="AL1053" s="309">
        <v>7.1154000000000002</v>
      </c>
      <c r="AM1053" s="309">
        <v>13.4146</v>
      </c>
      <c r="AN1053" s="309">
        <v>10.5482</v>
      </c>
      <c r="AO1053" s="309">
        <v>11.838800000000001</v>
      </c>
      <c r="AP1053" s="309">
        <v>12.6107</v>
      </c>
      <c r="AQ1053" s="309">
        <v>9.0876000000000001</v>
      </c>
      <c r="AR1053" s="309">
        <v>12.536300000000001</v>
      </c>
      <c r="AS1053" s="309">
        <v>7.1712999999999996</v>
      </c>
      <c r="AT1053" s="309">
        <v>11.494300000000001</v>
      </c>
      <c r="AU1053" s="309">
        <v>12.3307</v>
      </c>
      <c r="AV1053" s="309">
        <v>14.150399999999999</v>
      </c>
      <c r="AW1053" s="309">
        <v>10.683</v>
      </c>
      <c r="AX1053" s="309">
        <v>8.8849999999999998</v>
      </c>
      <c r="AY1053" s="309">
        <v>10.4161</v>
      </c>
      <c r="AZ1053" s="309">
        <v>12.3993</v>
      </c>
      <c r="BA1053" s="309">
        <v>0</v>
      </c>
      <c r="BB1053" s="309">
        <v>9.3138000000000005</v>
      </c>
      <c r="BC1053" s="309">
        <v>11.5623</v>
      </c>
      <c r="BD1053" s="309">
        <v>10.9498</v>
      </c>
      <c r="BE1053" s="309">
        <v>13.3497</v>
      </c>
      <c r="BF1053" s="309">
        <v>11.1029</v>
      </c>
      <c r="BG1053" s="309">
        <v>12.192399999999999</v>
      </c>
      <c r="BH1053" s="309">
        <v>11.399800000000001</v>
      </c>
      <c r="BI1053" s="309">
        <v>12.7075</v>
      </c>
      <c r="BJ1053" s="309">
        <v>12.175800000000001</v>
      </c>
      <c r="BK1053" s="309">
        <v>11.4659</v>
      </c>
    </row>
    <row r="1054" spans="1:63" x14ac:dyDescent="0.25">
      <c r="A1054" s="306">
        <v>334210</v>
      </c>
      <c r="B1054" s="309" t="s">
        <v>212</v>
      </c>
      <c r="C1054" s="309">
        <v>12.3675</v>
      </c>
      <c r="D1054" s="309">
        <v>0</v>
      </c>
      <c r="E1054" s="309">
        <v>7.8254999999999999</v>
      </c>
      <c r="F1054" s="309">
        <v>7.0239000000000003</v>
      </c>
      <c r="G1054" s="309">
        <v>8.6745000000000001</v>
      </c>
      <c r="H1054" s="309">
        <v>8.2048000000000005</v>
      </c>
      <c r="I1054" s="309">
        <v>7.9623999999999997</v>
      </c>
      <c r="J1054" s="309">
        <v>6.4668000000000001</v>
      </c>
      <c r="K1054" s="309">
        <v>0.46829999999999999</v>
      </c>
      <c r="L1054" s="309">
        <v>3.8492999999999999</v>
      </c>
      <c r="M1054" s="309">
        <v>8.6465999999999994</v>
      </c>
      <c r="N1054" s="309">
        <v>8.9471000000000007</v>
      </c>
      <c r="O1054" s="309">
        <v>0</v>
      </c>
      <c r="P1054" s="309">
        <v>0</v>
      </c>
      <c r="Q1054" s="309">
        <v>6.2401</v>
      </c>
      <c r="R1054" s="309">
        <v>8.4766999999999992</v>
      </c>
      <c r="S1054" s="309">
        <v>0</v>
      </c>
      <c r="T1054" s="309">
        <v>6.1363000000000003</v>
      </c>
      <c r="U1054" s="309">
        <v>8.2835999999999999</v>
      </c>
      <c r="V1054" s="309">
        <v>7.6409000000000002</v>
      </c>
      <c r="W1054" s="309">
        <v>6.6844000000000001</v>
      </c>
      <c r="X1054" s="309">
        <v>6.1798000000000002</v>
      </c>
      <c r="Y1054" s="309">
        <v>0</v>
      </c>
      <c r="Z1054" s="309">
        <v>8.2180999999999997</v>
      </c>
      <c r="AA1054" s="309">
        <v>8.3449000000000009</v>
      </c>
      <c r="AB1054" s="309">
        <v>8.5518999999999998</v>
      </c>
      <c r="AC1054" s="309">
        <v>7.1974999999999998</v>
      </c>
      <c r="AD1054" s="309">
        <v>0</v>
      </c>
      <c r="AE1054" s="309">
        <v>8.1326000000000001</v>
      </c>
      <c r="AF1054" s="309">
        <v>0</v>
      </c>
      <c r="AG1054" s="309">
        <v>6.0872000000000002</v>
      </c>
      <c r="AH1054" s="309">
        <v>6.7424999999999997</v>
      </c>
      <c r="AI1054" s="309">
        <v>7.2102000000000004</v>
      </c>
      <c r="AJ1054" s="309">
        <v>7.8975999999999997</v>
      </c>
      <c r="AK1054" s="309">
        <v>7.2563000000000004</v>
      </c>
      <c r="AL1054" s="309">
        <v>6.4581</v>
      </c>
      <c r="AM1054" s="309">
        <v>8.5365000000000002</v>
      </c>
      <c r="AN1054" s="309">
        <v>7.7891000000000004</v>
      </c>
      <c r="AO1054" s="309">
        <v>8.3808000000000007</v>
      </c>
      <c r="AP1054" s="309">
        <v>8.9718999999999998</v>
      </c>
      <c r="AQ1054" s="309">
        <v>7.6215999999999999</v>
      </c>
      <c r="AR1054" s="309">
        <v>8.0288000000000004</v>
      </c>
      <c r="AS1054" s="309">
        <v>0</v>
      </c>
      <c r="AT1054" s="309">
        <v>7.2906000000000004</v>
      </c>
      <c r="AU1054" s="309">
        <v>8.7861999999999991</v>
      </c>
      <c r="AV1054" s="309">
        <v>11.5688</v>
      </c>
      <c r="AW1054" s="309">
        <v>7.2302999999999997</v>
      </c>
      <c r="AX1054" s="309">
        <v>0</v>
      </c>
      <c r="AY1054" s="309">
        <v>6.9316000000000004</v>
      </c>
      <c r="AZ1054" s="309">
        <v>8.2578999999999994</v>
      </c>
      <c r="BA1054" s="309">
        <v>0</v>
      </c>
      <c r="BB1054" s="309">
        <v>0</v>
      </c>
      <c r="BC1054" s="309">
        <v>8.3617000000000008</v>
      </c>
      <c r="BD1054" s="309">
        <v>8.6472999999999995</v>
      </c>
      <c r="BE1054" s="309">
        <v>9.2524999999999995</v>
      </c>
      <c r="BF1054" s="309">
        <v>8.4474</v>
      </c>
      <c r="BG1054" s="309">
        <v>9.2235999999999994</v>
      </c>
      <c r="BH1054" s="309">
        <v>8.1529000000000007</v>
      </c>
      <c r="BI1054" s="309">
        <v>9.0031999999999996</v>
      </c>
      <c r="BJ1054" s="309">
        <v>8.3731000000000009</v>
      </c>
      <c r="BK1054" s="309">
        <v>8.5559999999999992</v>
      </c>
    </row>
    <row r="1055" spans="1:63" x14ac:dyDescent="0.25">
      <c r="A1055" s="306">
        <v>334220</v>
      </c>
      <c r="B1055" s="309" t="s">
        <v>738</v>
      </c>
      <c r="C1055" s="309">
        <v>15.877700000000001</v>
      </c>
      <c r="D1055" s="309">
        <v>0</v>
      </c>
      <c r="E1055" s="309">
        <v>10.999000000000001</v>
      </c>
      <c r="F1055" s="309">
        <v>10.063000000000001</v>
      </c>
      <c r="G1055" s="309">
        <v>10.366199999999999</v>
      </c>
      <c r="H1055" s="309">
        <v>11.126300000000001</v>
      </c>
      <c r="I1055" s="309">
        <v>11.1015</v>
      </c>
      <c r="J1055" s="309">
        <v>8.3764000000000003</v>
      </c>
      <c r="K1055" s="309">
        <v>0.86219999999999997</v>
      </c>
      <c r="L1055" s="309">
        <v>0</v>
      </c>
      <c r="M1055" s="309">
        <v>10.5246</v>
      </c>
      <c r="N1055" s="309">
        <v>10.6509</v>
      </c>
      <c r="O1055" s="309">
        <v>0</v>
      </c>
      <c r="P1055" s="309">
        <v>8.8047000000000004</v>
      </c>
      <c r="Q1055" s="309">
        <v>10.2369</v>
      </c>
      <c r="R1055" s="309">
        <v>10.666399999999999</v>
      </c>
      <c r="S1055" s="309">
        <v>10.1021</v>
      </c>
      <c r="T1055" s="309">
        <v>8.1382999999999992</v>
      </c>
      <c r="U1055" s="309">
        <v>0</v>
      </c>
      <c r="V1055" s="309">
        <v>7.7667000000000002</v>
      </c>
      <c r="W1055" s="309">
        <v>9.0236999999999998</v>
      </c>
      <c r="X1055" s="309">
        <v>8.1743000000000006</v>
      </c>
      <c r="Y1055" s="309">
        <v>10.861700000000001</v>
      </c>
      <c r="Z1055" s="309">
        <v>12.1546</v>
      </c>
      <c r="AA1055" s="309">
        <v>11.752800000000001</v>
      </c>
      <c r="AB1055" s="309">
        <v>11.013</v>
      </c>
      <c r="AC1055" s="309">
        <v>9.23</v>
      </c>
      <c r="AD1055" s="309">
        <v>7.9941000000000004</v>
      </c>
      <c r="AE1055" s="309">
        <v>10.4178</v>
      </c>
      <c r="AF1055" s="309">
        <v>7.8263999999999996</v>
      </c>
      <c r="AG1055" s="309">
        <v>6.7572000000000001</v>
      </c>
      <c r="AH1055" s="309">
        <v>9.0709999999999997</v>
      </c>
      <c r="AI1055" s="309">
        <v>9.0724999999999998</v>
      </c>
      <c r="AJ1055" s="309">
        <v>8.9883000000000006</v>
      </c>
      <c r="AK1055" s="309">
        <v>8.8832000000000004</v>
      </c>
      <c r="AL1055" s="309">
        <v>7.6894999999999998</v>
      </c>
      <c r="AM1055" s="309">
        <v>11.5768</v>
      </c>
      <c r="AN1055" s="309">
        <v>10.3591</v>
      </c>
      <c r="AO1055" s="309">
        <v>12.3606</v>
      </c>
      <c r="AP1055" s="309">
        <v>11.053699999999999</v>
      </c>
      <c r="AQ1055" s="309">
        <v>8.8124000000000002</v>
      </c>
      <c r="AR1055" s="309">
        <v>10.5931</v>
      </c>
      <c r="AS1055" s="309">
        <v>6.39</v>
      </c>
      <c r="AT1055" s="309">
        <v>10.176</v>
      </c>
      <c r="AU1055" s="309">
        <v>11.5684</v>
      </c>
      <c r="AV1055" s="309">
        <v>15.3216</v>
      </c>
      <c r="AW1055" s="309">
        <v>9.2106999999999992</v>
      </c>
      <c r="AX1055" s="309">
        <v>8.2895000000000003</v>
      </c>
      <c r="AY1055" s="309">
        <v>9.9838000000000005</v>
      </c>
      <c r="AZ1055" s="309">
        <v>12.0227</v>
      </c>
      <c r="BA1055" s="309">
        <v>0</v>
      </c>
      <c r="BB1055" s="309">
        <v>0</v>
      </c>
      <c r="BC1055" s="309">
        <v>11.254200000000001</v>
      </c>
      <c r="BD1055" s="309">
        <v>10.5509</v>
      </c>
      <c r="BE1055" s="309">
        <v>12.0114</v>
      </c>
      <c r="BF1055" s="309">
        <v>11.010999999999999</v>
      </c>
      <c r="BG1055" s="309">
        <v>11.7692</v>
      </c>
      <c r="BH1055" s="309">
        <v>11.2682</v>
      </c>
      <c r="BI1055" s="309">
        <v>11.713699999999999</v>
      </c>
      <c r="BJ1055" s="309">
        <v>12.196099999999999</v>
      </c>
      <c r="BK1055" s="309">
        <v>11.597799999999999</v>
      </c>
    </row>
    <row r="1056" spans="1:63" x14ac:dyDescent="0.25">
      <c r="A1056" s="306">
        <v>334290</v>
      </c>
      <c r="B1056" s="309" t="s">
        <v>213</v>
      </c>
      <c r="C1056" s="309">
        <v>17.0533</v>
      </c>
      <c r="D1056" s="309">
        <v>6.0679999999999996</v>
      </c>
      <c r="E1056" s="309">
        <v>12.593999999999999</v>
      </c>
      <c r="F1056" s="309">
        <v>0</v>
      </c>
      <c r="G1056" s="309">
        <v>10.8949</v>
      </c>
      <c r="H1056" s="309">
        <v>11.349600000000001</v>
      </c>
      <c r="I1056" s="309">
        <v>12.9373</v>
      </c>
      <c r="J1056" s="309">
        <v>9.2294999999999998</v>
      </c>
      <c r="K1056" s="309">
        <v>0</v>
      </c>
      <c r="L1056" s="309">
        <v>0</v>
      </c>
      <c r="M1056" s="309">
        <v>10.464700000000001</v>
      </c>
      <c r="N1056" s="309">
        <v>13.386100000000001</v>
      </c>
      <c r="O1056" s="309">
        <v>0</v>
      </c>
      <c r="P1056" s="309">
        <v>10.3522</v>
      </c>
      <c r="Q1056" s="309">
        <v>11.8574</v>
      </c>
      <c r="R1056" s="309">
        <v>12.5227</v>
      </c>
      <c r="S1056" s="309">
        <v>12.263</v>
      </c>
      <c r="T1056" s="309">
        <v>7.7083000000000004</v>
      </c>
      <c r="U1056" s="309">
        <v>10.6205</v>
      </c>
      <c r="V1056" s="309">
        <v>11.414899999999999</v>
      </c>
      <c r="W1056" s="309">
        <v>10.3108</v>
      </c>
      <c r="X1056" s="309">
        <v>8.2140000000000004</v>
      </c>
      <c r="Y1056" s="309">
        <v>13.0434</v>
      </c>
      <c r="Z1056" s="309">
        <v>13.467599999999999</v>
      </c>
      <c r="AA1056" s="309">
        <v>12.215</v>
      </c>
      <c r="AB1056" s="309">
        <v>11.4407</v>
      </c>
      <c r="AC1056" s="309">
        <v>11.155099999999999</v>
      </c>
      <c r="AD1056" s="309">
        <v>10.2569</v>
      </c>
      <c r="AE1056" s="309">
        <v>13.7666</v>
      </c>
      <c r="AF1056" s="309">
        <v>0</v>
      </c>
      <c r="AG1056" s="309">
        <v>10.1166</v>
      </c>
      <c r="AH1056" s="309">
        <v>10.003</v>
      </c>
      <c r="AI1056" s="309">
        <v>9.6486999999999998</v>
      </c>
      <c r="AJ1056" s="309">
        <v>10.5944</v>
      </c>
      <c r="AK1056" s="309">
        <v>10.6892</v>
      </c>
      <c r="AL1056" s="309">
        <v>7.6475999999999997</v>
      </c>
      <c r="AM1056" s="309">
        <v>13.0413</v>
      </c>
      <c r="AN1056" s="309">
        <v>12.487</v>
      </c>
      <c r="AO1056" s="309">
        <v>13.2554</v>
      </c>
      <c r="AP1056" s="309">
        <v>11.735099999999999</v>
      </c>
      <c r="AQ1056" s="309">
        <v>8.9011999999999993</v>
      </c>
      <c r="AR1056" s="309">
        <v>12.170400000000001</v>
      </c>
      <c r="AS1056" s="309">
        <v>7.6985000000000001</v>
      </c>
      <c r="AT1056" s="309">
        <v>10.124599999999999</v>
      </c>
      <c r="AU1056" s="309">
        <v>12.2219</v>
      </c>
      <c r="AV1056" s="309">
        <v>16.1372</v>
      </c>
      <c r="AW1056" s="309">
        <v>11.885199999999999</v>
      </c>
      <c r="AX1056" s="309">
        <v>0</v>
      </c>
      <c r="AY1056" s="309">
        <v>11.6731</v>
      </c>
      <c r="AZ1056" s="309">
        <v>12.698499999999999</v>
      </c>
      <c r="BA1056" s="309">
        <v>0</v>
      </c>
      <c r="BB1056" s="309">
        <v>0</v>
      </c>
      <c r="BC1056" s="309">
        <v>12.676</v>
      </c>
      <c r="BD1056" s="309">
        <v>10.9321</v>
      </c>
      <c r="BE1056" s="309">
        <v>13.9314</v>
      </c>
      <c r="BF1056" s="309">
        <v>12.329599999999999</v>
      </c>
      <c r="BG1056" s="309">
        <v>13.117699999999999</v>
      </c>
      <c r="BH1056" s="309">
        <v>11.873200000000001</v>
      </c>
      <c r="BI1056" s="309">
        <v>12.352499999999999</v>
      </c>
      <c r="BJ1056" s="309">
        <v>13.4221</v>
      </c>
      <c r="BK1056" s="309">
        <v>12.0839</v>
      </c>
    </row>
    <row r="1057" spans="1:63" x14ac:dyDescent="0.25">
      <c r="A1057" s="306">
        <v>334300</v>
      </c>
      <c r="B1057" s="309" t="s">
        <v>214</v>
      </c>
      <c r="C1057" s="309">
        <v>14.2386</v>
      </c>
      <c r="D1057" s="309">
        <v>0</v>
      </c>
      <c r="E1057" s="309">
        <v>8.1875</v>
      </c>
      <c r="F1057" s="309">
        <v>9.1204999999999998</v>
      </c>
      <c r="G1057" s="309">
        <v>8.4639000000000006</v>
      </c>
      <c r="H1057" s="309">
        <v>9.1440999999999999</v>
      </c>
      <c r="I1057" s="309">
        <v>8.6489999999999991</v>
      </c>
      <c r="J1057" s="309">
        <v>6.8651</v>
      </c>
      <c r="K1057" s="309">
        <v>0.52</v>
      </c>
      <c r="L1057" s="309">
        <v>4.7906000000000004</v>
      </c>
      <c r="M1057" s="309">
        <v>8.9733999999999998</v>
      </c>
      <c r="N1057" s="309">
        <v>9.4754000000000005</v>
      </c>
      <c r="O1057" s="309">
        <v>0</v>
      </c>
      <c r="P1057" s="309">
        <v>6.6482000000000001</v>
      </c>
      <c r="Q1057" s="309">
        <v>8.4625000000000004</v>
      </c>
      <c r="R1057" s="309">
        <v>9.0432000000000006</v>
      </c>
      <c r="S1057" s="309">
        <v>9.3198000000000008</v>
      </c>
      <c r="T1057" s="309">
        <v>6.1387</v>
      </c>
      <c r="U1057" s="309">
        <v>9.7698</v>
      </c>
      <c r="V1057" s="309">
        <v>7.1844000000000001</v>
      </c>
      <c r="W1057" s="309">
        <v>7.7358000000000002</v>
      </c>
      <c r="X1057" s="309">
        <v>6.2836999999999996</v>
      </c>
      <c r="Y1057" s="309">
        <v>8.5665999999999993</v>
      </c>
      <c r="Z1057" s="309">
        <v>10.5215</v>
      </c>
      <c r="AA1057" s="309">
        <v>10.2652</v>
      </c>
      <c r="AB1057" s="309">
        <v>9.2665000000000006</v>
      </c>
      <c r="AC1057" s="309">
        <v>8.3788999999999998</v>
      </c>
      <c r="AD1057" s="309">
        <v>0</v>
      </c>
      <c r="AE1057" s="309">
        <v>9.5303000000000004</v>
      </c>
      <c r="AF1057" s="309">
        <v>6.7346000000000004</v>
      </c>
      <c r="AG1057" s="309">
        <v>6.6073000000000004</v>
      </c>
      <c r="AH1057" s="309">
        <v>7.617</v>
      </c>
      <c r="AI1057" s="309">
        <v>7.6317000000000004</v>
      </c>
      <c r="AJ1057" s="309">
        <v>7.3023999999999996</v>
      </c>
      <c r="AK1057" s="309">
        <v>6.3392999999999997</v>
      </c>
      <c r="AL1057" s="309">
        <v>5.7176999999999998</v>
      </c>
      <c r="AM1057" s="309">
        <v>10.6685</v>
      </c>
      <c r="AN1057" s="309">
        <v>8.2065000000000001</v>
      </c>
      <c r="AO1057" s="309">
        <v>8.6814999999999998</v>
      </c>
      <c r="AP1057" s="309">
        <v>10.046099999999999</v>
      </c>
      <c r="AQ1057" s="309">
        <v>6.5609000000000002</v>
      </c>
      <c r="AR1057" s="309">
        <v>9.4847000000000001</v>
      </c>
      <c r="AS1057" s="309">
        <v>0</v>
      </c>
      <c r="AT1057" s="309">
        <v>8.6549999999999994</v>
      </c>
      <c r="AU1057" s="309">
        <v>9.3467000000000002</v>
      </c>
      <c r="AV1057" s="309">
        <v>11.196899999999999</v>
      </c>
      <c r="AW1057" s="309">
        <v>7.2314999999999996</v>
      </c>
      <c r="AX1057" s="309">
        <v>8.3404000000000007</v>
      </c>
      <c r="AY1057" s="309">
        <v>7.7873999999999999</v>
      </c>
      <c r="AZ1057" s="309">
        <v>10.8058</v>
      </c>
      <c r="BA1057" s="309">
        <v>5.0712999999999999</v>
      </c>
      <c r="BB1057" s="309">
        <v>6.3220999999999998</v>
      </c>
      <c r="BC1057" s="309">
        <v>9.3476999999999997</v>
      </c>
      <c r="BD1057" s="309">
        <v>8.8506</v>
      </c>
      <c r="BE1057" s="309">
        <v>10.833600000000001</v>
      </c>
      <c r="BF1057" s="309">
        <v>9.6342999999999996</v>
      </c>
      <c r="BG1057" s="309">
        <v>10.344099999999999</v>
      </c>
      <c r="BH1057" s="309">
        <v>10.356</v>
      </c>
      <c r="BI1057" s="309">
        <v>10.314</v>
      </c>
      <c r="BJ1057" s="309">
        <v>9.6501000000000001</v>
      </c>
      <c r="BK1057" s="309">
        <v>9.6081000000000003</v>
      </c>
    </row>
    <row r="1058" spans="1:63" x14ac:dyDescent="0.25">
      <c r="A1058" s="306">
        <v>334411</v>
      </c>
      <c r="B1058" s="309" t="s">
        <v>215</v>
      </c>
      <c r="C1058" s="309">
        <v>15.4017</v>
      </c>
      <c r="D1058" s="309">
        <v>0</v>
      </c>
      <c r="E1058" s="309">
        <v>0</v>
      </c>
      <c r="F1058" s="309">
        <v>0</v>
      </c>
      <c r="G1058" s="309">
        <v>0</v>
      </c>
      <c r="H1058" s="309">
        <v>9.2277000000000005</v>
      </c>
      <c r="I1058" s="309">
        <v>9.2760999999999996</v>
      </c>
      <c r="J1058" s="309">
        <v>0</v>
      </c>
      <c r="K1058" s="309">
        <v>0</v>
      </c>
      <c r="L1058" s="309">
        <v>0</v>
      </c>
      <c r="M1058" s="309">
        <v>10.4793</v>
      </c>
      <c r="N1058" s="309">
        <v>0</v>
      </c>
      <c r="O1058" s="309">
        <v>0</v>
      </c>
      <c r="P1058" s="309">
        <v>0</v>
      </c>
      <c r="Q1058" s="309">
        <v>0</v>
      </c>
      <c r="R1058" s="309">
        <v>13.3186</v>
      </c>
      <c r="S1058" s="309">
        <v>0</v>
      </c>
      <c r="T1058" s="309">
        <v>0</v>
      </c>
      <c r="U1058" s="309">
        <v>12.2676</v>
      </c>
      <c r="V1058" s="309">
        <v>11.108000000000001</v>
      </c>
      <c r="W1058" s="309">
        <v>8.5425000000000004</v>
      </c>
      <c r="X1058" s="309">
        <v>8.4358000000000004</v>
      </c>
      <c r="Y1058" s="309">
        <v>0</v>
      </c>
      <c r="Z1058" s="309">
        <v>10.1059</v>
      </c>
      <c r="AA1058" s="309">
        <v>0</v>
      </c>
      <c r="AB1058" s="309">
        <v>9.0040999999999993</v>
      </c>
      <c r="AC1058" s="309">
        <v>11.131600000000001</v>
      </c>
      <c r="AD1058" s="309">
        <v>0</v>
      </c>
      <c r="AE1058" s="309">
        <v>0</v>
      </c>
      <c r="AF1058" s="309">
        <v>0</v>
      </c>
      <c r="AG1058" s="309">
        <v>0</v>
      </c>
      <c r="AH1058" s="309">
        <v>0</v>
      </c>
      <c r="AI1058" s="309">
        <v>9.7910000000000004</v>
      </c>
      <c r="AJ1058" s="309">
        <v>0</v>
      </c>
      <c r="AK1058" s="309">
        <v>0</v>
      </c>
      <c r="AL1058" s="309">
        <v>8.0729000000000006</v>
      </c>
      <c r="AM1058" s="309">
        <v>12.3668</v>
      </c>
      <c r="AN1058" s="309">
        <v>0</v>
      </c>
      <c r="AO1058" s="309">
        <v>0</v>
      </c>
      <c r="AP1058" s="309">
        <v>13.0517</v>
      </c>
      <c r="AQ1058" s="309">
        <v>0</v>
      </c>
      <c r="AR1058" s="309">
        <v>10.216200000000001</v>
      </c>
      <c r="AS1058" s="309">
        <v>0</v>
      </c>
      <c r="AT1058" s="309">
        <v>0</v>
      </c>
      <c r="AU1058" s="309">
        <v>13.6616</v>
      </c>
      <c r="AV1058" s="309">
        <v>0</v>
      </c>
      <c r="AW1058" s="309">
        <v>0</v>
      </c>
      <c r="AX1058" s="309">
        <v>0</v>
      </c>
      <c r="AY1058" s="309">
        <v>0</v>
      </c>
      <c r="AZ1058" s="309">
        <v>10.206899999999999</v>
      </c>
      <c r="BA1058" s="309">
        <v>0</v>
      </c>
      <c r="BB1058" s="309">
        <v>0</v>
      </c>
      <c r="BC1058" s="309">
        <v>10.7319</v>
      </c>
      <c r="BD1058" s="309">
        <v>11.9024</v>
      </c>
      <c r="BE1058" s="309">
        <v>12.531000000000001</v>
      </c>
      <c r="BF1058" s="309">
        <v>10.4802</v>
      </c>
      <c r="BG1058" s="309">
        <v>11.707800000000001</v>
      </c>
      <c r="BH1058" s="309">
        <v>13.722200000000001</v>
      </c>
      <c r="BI1058" s="309">
        <v>14.0303</v>
      </c>
      <c r="BJ1058" s="309">
        <v>9.6884999999999994</v>
      </c>
      <c r="BK1058" s="309">
        <v>9.8896999999999995</v>
      </c>
    </row>
    <row r="1059" spans="1:63" x14ac:dyDescent="0.25">
      <c r="A1059" s="306">
        <v>334412</v>
      </c>
      <c r="B1059" s="309" t="s">
        <v>216</v>
      </c>
      <c r="C1059" s="309">
        <v>18.973199999999999</v>
      </c>
      <c r="D1059" s="309">
        <v>0</v>
      </c>
      <c r="E1059" s="309">
        <v>15.403700000000001</v>
      </c>
      <c r="F1059" s="309">
        <v>16.4176</v>
      </c>
      <c r="G1059" s="309">
        <v>13.5741</v>
      </c>
      <c r="H1059" s="309">
        <v>13.4435</v>
      </c>
      <c r="I1059" s="309">
        <v>14.7567</v>
      </c>
      <c r="J1059" s="309">
        <v>11.773899999999999</v>
      </c>
      <c r="K1059" s="309">
        <v>0</v>
      </c>
      <c r="L1059" s="309">
        <v>0</v>
      </c>
      <c r="M1059" s="309">
        <v>12.714399999999999</v>
      </c>
      <c r="N1059" s="309">
        <v>12.7637</v>
      </c>
      <c r="O1059" s="309">
        <v>0</v>
      </c>
      <c r="P1059" s="309">
        <v>13.992100000000001</v>
      </c>
      <c r="Q1059" s="309">
        <v>16.960899999999999</v>
      </c>
      <c r="R1059" s="309">
        <v>16.247599999999998</v>
      </c>
      <c r="S1059" s="309">
        <v>14.600199999999999</v>
      </c>
      <c r="T1059" s="309">
        <v>13.7608</v>
      </c>
      <c r="U1059" s="309">
        <v>18.197399999999998</v>
      </c>
      <c r="V1059" s="309">
        <v>10.366300000000001</v>
      </c>
      <c r="W1059" s="309">
        <v>11.118</v>
      </c>
      <c r="X1059" s="309">
        <v>11.354200000000001</v>
      </c>
      <c r="Y1059" s="309">
        <v>16.966000000000001</v>
      </c>
      <c r="Z1059" s="309">
        <v>14.6762</v>
      </c>
      <c r="AA1059" s="309">
        <v>14.0586</v>
      </c>
      <c r="AB1059" s="309">
        <v>16.598199999999999</v>
      </c>
      <c r="AC1059" s="309">
        <v>14.234299999999999</v>
      </c>
      <c r="AD1059" s="309">
        <v>0</v>
      </c>
      <c r="AE1059" s="309">
        <v>12.8123</v>
      </c>
      <c r="AF1059" s="309">
        <v>10.9217</v>
      </c>
      <c r="AG1059" s="309">
        <v>16.2654</v>
      </c>
      <c r="AH1059" s="309">
        <v>11.876300000000001</v>
      </c>
      <c r="AI1059" s="309">
        <v>12.122299999999999</v>
      </c>
      <c r="AJ1059" s="309">
        <v>12.3558</v>
      </c>
      <c r="AK1059" s="309">
        <v>10.900600000000001</v>
      </c>
      <c r="AL1059" s="309">
        <v>9.6922999999999995</v>
      </c>
      <c r="AM1059" s="309">
        <v>17.799700000000001</v>
      </c>
      <c r="AN1059" s="309">
        <v>19.006900000000002</v>
      </c>
      <c r="AO1059" s="309">
        <v>15.185700000000001</v>
      </c>
      <c r="AP1059" s="309">
        <v>15.667400000000001</v>
      </c>
      <c r="AQ1059" s="309">
        <v>15.9544</v>
      </c>
      <c r="AR1059" s="309">
        <v>14.6966</v>
      </c>
      <c r="AS1059" s="309">
        <v>9.0792000000000002</v>
      </c>
      <c r="AT1059" s="309">
        <v>14.033099999999999</v>
      </c>
      <c r="AU1059" s="309">
        <v>14.265499999999999</v>
      </c>
      <c r="AV1059" s="309">
        <v>18.581</v>
      </c>
      <c r="AW1059" s="309">
        <v>11.3078</v>
      </c>
      <c r="AX1059" s="309">
        <v>14.342599999999999</v>
      </c>
      <c r="AY1059" s="309">
        <v>13.6456</v>
      </c>
      <c r="AZ1059" s="309">
        <v>16.247199999999999</v>
      </c>
      <c r="BA1059" s="309">
        <v>0</v>
      </c>
      <c r="BB1059" s="309">
        <v>0</v>
      </c>
      <c r="BC1059" s="309">
        <v>14.0945</v>
      </c>
      <c r="BD1059" s="309">
        <v>13.8202</v>
      </c>
      <c r="BE1059" s="309">
        <v>17.282900000000001</v>
      </c>
      <c r="BF1059" s="309">
        <v>14.365600000000001</v>
      </c>
      <c r="BG1059" s="309">
        <v>14.298</v>
      </c>
      <c r="BH1059" s="309">
        <v>15.7028</v>
      </c>
      <c r="BI1059" s="309">
        <v>14.661300000000001</v>
      </c>
      <c r="BJ1059" s="309">
        <v>15.4183</v>
      </c>
      <c r="BK1059" s="309">
        <v>14.021000000000001</v>
      </c>
    </row>
    <row r="1060" spans="1:63" x14ac:dyDescent="0.25">
      <c r="A1060" s="306">
        <v>334413</v>
      </c>
      <c r="B1060" s="309" t="s">
        <v>217</v>
      </c>
      <c r="C1060" s="309">
        <v>12.2211</v>
      </c>
      <c r="D1060" s="309">
        <v>0</v>
      </c>
      <c r="E1060" s="309">
        <v>8.1152999999999995</v>
      </c>
      <c r="F1060" s="309">
        <v>9.2697000000000003</v>
      </c>
      <c r="G1060" s="309">
        <v>7.6146000000000003</v>
      </c>
      <c r="H1060" s="309">
        <v>7.8044000000000002</v>
      </c>
      <c r="I1060" s="309">
        <v>9.3180999999999994</v>
      </c>
      <c r="J1060" s="309">
        <v>6.7667000000000002</v>
      </c>
      <c r="K1060" s="309">
        <v>0.56899999999999995</v>
      </c>
      <c r="L1060" s="309">
        <v>5.2092999999999998</v>
      </c>
      <c r="M1060" s="309">
        <v>8.2497000000000007</v>
      </c>
      <c r="N1060" s="309">
        <v>8.5843000000000007</v>
      </c>
      <c r="O1060" s="309">
        <v>7.8456999999999999</v>
      </c>
      <c r="P1060" s="309">
        <v>6.3254000000000001</v>
      </c>
      <c r="Q1060" s="309">
        <v>7.3209999999999997</v>
      </c>
      <c r="R1060" s="309">
        <v>9.1062999999999992</v>
      </c>
      <c r="S1060" s="309">
        <v>8.3118999999999996</v>
      </c>
      <c r="T1060" s="309">
        <v>6.1635999999999997</v>
      </c>
      <c r="U1060" s="309">
        <v>7.7023999999999999</v>
      </c>
      <c r="V1060" s="309">
        <v>0</v>
      </c>
      <c r="W1060" s="309">
        <v>6.8586</v>
      </c>
      <c r="X1060" s="309">
        <v>7.3978999999999999</v>
      </c>
      <c r="Y1060" s="309">
        <v>8.2117000000000004</v>
      </c>
      <c r="Z1060" s="309">
        <v>10.2578</v>
      </c>
      <c r="AA1060" s="309">
        <v>8.3122000000000007</v>
      </c>
      <c r="AB1060" s="309">
        <v>8.0135000000000005</v>
      </c>
      <c r="AC1060" s="309">
        <v>6.8403</v>
      </c>
      <c r="AD1060" s="309">
        <v>7.9531000000000001</v>
      </c>
      <c r="AE1060" s="309">
        <v>8.8432999999999993</v>
      </c>
      <c r="AF1060" s="309">
        <v>0</v>
      </c>
      <c r="AG1060" s="309">
        <v>7.6132</v>
      </c>
      <c r="AH1060" s="309">
        <v>7.2789999999999999</v>
      </c>
      <c r="AI1060" s="309">
        <v>7.6757999999999997</v>
      </c>
      <c r="AJ1060" s="309">
        <v>7.0286999999999997</v>
      </c>
      <c r="AK1060" s="309">
        <v>7.3056000000000001</v>
      </c>
      <c r="AL1060" s="309">
        <v>5.7670000000000003</v>
      </c>
      <c r="AM1060" s="309">
        <v>8.8720999999999997</v>
      </c>
      <c r="AN1060" s="309">
        <v>7.0445000000000002</v>
      </c>
      <c r="AO1060" s="309">
        <v>8.0495999999999999</v>
      </c>
      <c r="AP1060" s="309">
        <v>9.4822000000000006</v>
      </c>
      <c r="AQ1060" s="309">
        <v>6.0133000000000001</v>
      </c>
      <c r="AR1060" s="309">
        <v>9.1076999999999995</v>
      </c>
      <c r="AS1060" s="309">
        <v>5.3612000000000002</v>
      </c>
      <c r="AT1060" s="309">
        <v>10.147399999999999</v>
      </c>
      <c r="AU1060" s="309">
        <v>8.9481999999999999</v>
      </c>
      <c r="AV1060" s="309">
        <v>11.006500000000001</v>
      </c>
      <c r="AW1060" s="309">
        <v>7.7831999999999999</v>
      </c>
      <c r="AX1060" s="309">
        <v>6.3406000000000002</v>
      </c>
      <c r="AY1060" s="309">
        <v>8.6974999999999998</v>
      </c>
      <c r="AZ1060" s="309">
        <v>8.4522999999999993</v>
      </c>
      <c r="BA1060" s="309">
        <v>7.4508999999999999</v>
      </c>
      <c r="BB1060" s="309">
        <v>0</v>
      </c>
      <c r="BC1060" s="309">
        <v>8.4886999999999997</v>
      </c>
      <c r="BD1060" s="309">
        <v>8.6359999999999992</v>
      </c>
      <c r="BE1060" s="309">
        <v>9.6370000000000005</v>
      </c>
      <c r="BF1060" s="309">
        <v>8.3308999999999997</v>
      </c>
      <c r="BG1060" s="309">
        <v>9.9596999999999998</v>
      </c>
      <c r="BH1060" s="309">
        <v>8.8779000000000003</v>
      </c>
      <c r="BI1060" s="309">
        <v>9.2561999999999998</v>
      </c>
      <c r="BJ1060" s="309">
        <v>9.3264999999999993</v>
      </c>
      <c r="BK1060" s="309">
        <v>8.3032000000000004</v>
      </c>
    </row>
    <row r="1061" spans="1:63" x14ac:dyDescent="0.25">
      <c r="A1061" s="306">
        <v>334417</v>
      </c>
      <c r="B1061" s="309" t="s">
        <v>219</v>
      </c>
      <c r="C1061" s="309">
        <v>19.7957</v>
      </c>
      <c r="D1061" s="309">
        <v>0</v>
      </c>
      <c r="E1061" s="309">
        <v>14.0321</v>
      </c>
      <c r="F1061" s="309">
        <v>14.2036</v>
      </c>
      <c r="G1061" s="309">
        <v>13.229200000000001</v>
      </c>
      <c r="H1061" s="309">
        <v>13.8637</v>
      </c>
      <c r="I1061" s="309">
        <v>17.0078</v>
      </c>
      <c r="J1061" s="309">
        <v>11.704599999999999</v>
      </c>
      <c r="K1061" s="309">
        <v>0</v>
      </c>
      <c r="L1061" s="309">
        <v>10.0909</v>
      </c>
      <c r="M1061" s="309">
        <v>12.7852</v>
      </c>
      <c r="N1061" s="309">
        <v>13.5924</v>
      </c>
      <c r="O1061" s="309">
        <v>0</v>
      </c>
      <c r="P1061" s="309">
        <v>13.8749</v>
      </c>
      <c r="Q1061" s="309">
        <v>0</v>
      </c>
      <c r="R1061" s="309">
        <v>14.8338</v>
      </c>
      <c r="S1061" s="309">
        <v>13.240600000000001</v>
      </c>
      <c r="T1061" s="309">
        <v>9.8232999999999997</v>
      </c>
      <c r="U1061" s="309">
        <v>0</v>
      </c>
      <c r="V1061" s="309">
        <v>0</v>
      </c>
      <c r="W1061" s="309">
        <v>11.7614</v>
      </c>
      <c r="X1061" s="309">
        <v>11.894500000000001</v>
      </c>
      <c r="Y1061" s="309">
        <v>14.457700000000001</v>
      </c>
      <c r="Z1061" s="309">
        <v>14.1737</v>
      </c>
      <c r="AA1061" s="309">
        <v>14.4941</v>
      </c>
      <c r="AB1061" s="309">
        <v>14.853400000000001</v>
      </c>
      <c r="AC1061" s="309">
        <v>13.2781</v>
      </c>
      <c r="AD1061" s="309">
        <v>0</v>
      </c>
      <c r="AE1061" s="309">
        <v>13.1252</v>
      </c>
      <c r="AF1061" s="309">
        <v>0</v>
      </c>
      <c r="AG1061" s="309">
        <v>12.2189</v>
      </c>
      <c r="AH1061" s="309">
        <v>10.9758</v>
      </c>
      <c r="AI1061" s="309">
        <v>11.976000000000001</v>
      </c>
      <c r="AJ1061" s="309">
        <v>0</v>
      </c>
      <c r="AK1061" s="309">
        <v>14.158200000000001</v>
      </c>
      <c r="AL1061" s="309">
        <v>10.2933</v>
      </c>
      <c r="AM1061" s="309">
        <v>18.746500000000001</v>
      </c>
      <c r="AN1061" s="309">
        <v>16.274000000000001</v>
      </c>
      <c r="AO1061" s="309">
        <v>12.9742</v>
      </c>
      <c r="AP1061" s="309">
        <v>14.713699999999999</v>
      </c>
      <c r="AQ1061" s="309">
        <v>13.7331</v>
      </c>
      <c r="AR1061" s="309">
        <v>16.849699999999999</v>
      </c>
      <c r="AS1061" s="309">
        <v>0</v>
      </c>
      <c r="AT1061" s="309">
        <v>16.380400000000002</v>
      </c>
      <c r="AU1061" s="309">
        <v>15.9404</v>
      </c>
      <c r="AV1061" s="309">
        <v>19.454899999999999</v>
      </c>
      <c r="AW1061" s="309">
        <v>13.2959</v>
      </c>
      <c r="AX1061" s="309">
        <v>0</v>
      </c>
      <c r="AY1061" s="309">
        <v>14.28</v>
      </c>
      <c r="AZ1061" s="309">
        <v>0</v>
      </c>
      <c r="BA1061" s="309">
        <v>0</v>
      </c>
      <c r="BB1061" s="309">
        <v>0</v>
      </c>
      <c r="BC1061" s="309">
        <v>14.3466</v>
      </c>
      <c r="BD1061" s="309">
        <v>14.0701</v>
      </c>
      <c r="BE1061" s="309">
        <v>16.1358</v>
      </c>
      <c r="BF1061" s="309">
        <v>15.385999999999999</v>
      </c>
      <c r="BG1061" s="309">
        <v>15.412599999999999</v>
      </c>
      <c r="BH1061" s="309">
        <v>16.357900000000001</v>
      </c>
      <c r="BI1061" s="309">
        <v>16.7165</v>
      </c>
      <c r="BJ1061" s="309">
        <v>15.347300000000001</v>
      </c>
      <c r="BK1061" s="309">
        <v>14.3729</v>
      </c>
    </row>
    <row r="1062" spans="1:63" x14ac:dyDescent="0.25">
      <c r="A1062" s="306">
        <v>334418</v>
      </c>
      <c r="B1062" s="309" t="s">
        <v>220</v>
      </c>
      <c r="C1062" s="309">
        <v>14.626799999999999</v>
      </c>
      <c r="D1062" s="309">
        <v>0</v>
      </c>
      <c r="E1062" s="309">
        <v>9.2504000000000008</v>
      </c>
      <c r="F1062" s="309">
        <v>10.623699999999999</v>
      </c>
      <c r="G1062" s="309">
        <v>9.0251999999999999</v>
      </c>
      <c r="H1062" s="309">
        <v>10.629899999999999</v>
      </c>
      <c r="I1062" s="309">
        <v>9.8385999999999996</v>
      </c>
      <c r="J1062" s="309">
        <v>7.9714</v>
      </c>
      <c r="K1062" s="309">
        <v>0</v>
      </c>
      <c r="L1062" s="309">
        <v>0</v>
      </c>
      <c r="M1062" s="309">
        <v>9.0790000000000006</v>
      </c>
      <c r="N1062" s="309">
        <v>9.6180000000000003</v>
      </c>
      <c r="O1062" s="309">
        <v>0</v>
      </c>
      <c r="P1062" s="309">
        <v>9.0569000000000006</v>
      </c>
      <c r="Q1062" s="309">
        <v>8.9888999999999992</v>
      </c>
      <c r="R1062" s="309">
        <v>10.2226</v>
      </c>
      <c r="S1062" s="309">
        <v>10.3367</v>
      </c>
      <c r="T1062" s="309">
        <v>7.1256000000000004</v>
      </c>
      <c r="U1062" s="309">
        <v>10.643599999999999</v>
      </c>
      <c r="V1062" s="309">
        <v>7.3205</v>
      </c>
      <c r="W1062" s="309">
        <v>8.8681000000000001</v>
      </c>
      <c r="X1062" s="309">
        <v>7.6913999999999998</v>
      </c>
      <c r="Y1062" s="309">
        <v>11.8218</v>
      </c>
      <c r="Z1062" s="309">
        <v>10.479900000000001</v>
      </c>
      <c r="AA1062" s="309">
        <v>10.578099999999999</v>
      </c>
      <c r="AB1062" s="309">
        <v>10.1501</v>
      </c>
      <c r="AC1062" s="309">
        <v>9.0863999999999994</v>
      </c>
      <c r="AD1062" s="309">
        <v>8.6946999999999992</v>
      </c>
      <c r="AE1062" s="309">
        <v>9.7481000000000009</v>
      </c>
      <c r="AF1062" s="309">
        <v>8.2050999999999998</v>
      </c>
      <c r="AG1062" s="309">
        <v>7.2701000000000002</v>
      </c>
      <c r="AH1062" s="309">
        <v>8.3498000000000001</v>
      </c>
      <c r="AI1062" s="309">
        <v>8.2769999999999992</v>
      </c>
      <c r="AJ1062" s="309">
        <v>9.1846999999999994</v>
      </c>
      <c r="AK1062" s="309">
        <v>8.2247000000000003</v>
      </c>
      <c r="AL1062" s="309">
        <v>7.5773000000000001</v>
      </c>
      <c r="AM1062" s="309">
        <v>12.227600000000001</v>
      </c>
      <c r="AN1062" s="309">
        <v>7.9634999999999998</v>
      </c>
      <c r="AO1062" s="309">
        <v>11.139099999999999</v>
      </c>
      <c r="AP1062" s="309">
        <v>10.654400000000001</v>
      </c>
      <c r="AQ1062" s="309">
        <v>8.7399000000000004</v>
      </c>
      <c r="AR1062" s="309">
        <v>9.1785999999999994</v>
      </c>
      <c r="AS1062" s="309">
        <v>6.1470000000000002</v>
      </c>
      <c r="AT1062" s="309">
        <v>8.1849000000000007</v>
      </c>
      <c r="AU1062" s="309">
        <v>10.2485</v>
      </c>
      <c r="AV1062" s="309">
        <v>13.0915</v>
      </c>
      <c r="AW1062" s="309">
        <v>8.4648000000000003</v>
      </c>
      <c r="AX1062" s="309">
        <v>9.9466999999999999</v>
      </c>
      <c r="AY1062" s="309">
        <v>9.8902000000000001</v>
      </c>
      <c r="AZ1062" s="309">
        <v>10.474299999999999</v>
      </c>
      <c r="BA1062" s="309">
        <v>8.1198999999999995</v>
      </c>
      <c r="BB1062" s="309">
        <v>0</v>
      </c>
      <c r="BC1062" s="309">
        <v>10.854799999999999</v>
      </c>
      <c r="BD1062" s="309">
        <v>10.114100000000001</v>
      </c>
      <c r="BE1062" s="309">
        <v>11.6966</v>
      </c>
      <c r="BF1062" s="309">
        <v>10.5753</v>
      </c>
      <c r="BG1062" s="309">
        <v>10.154199999999999</v>
      </c>
      <c r="BH1062" s="309">
        <v>9.7715999999999994</v>
      </c>
      <c r="BI1062" s="309">
        <v>10.8718</v>
      </c>
      <c r="BJ1062" s="309">
        <v>10.665100000000001</v>
      </c>
      <c r="BK1062" s="309">
        <v>11.1378</v>
      </c>
    </row>
    <row r="1063" spans="1:63" x14ac:dyDescent="0.25">
      <c r="A1063" s="306">
        <v>334419</v>
      </c>
      <c r="B1063" s="309" t="s">
        <v>221</v>
      </c>
      <c r="C1063" s="309">
        <v>19.814599999999999</v>
      </c>
      <c r="D1063" s="309">
        <v>0</v>
      </c>
      <c r="E1063" s="309">
        <v>14.193899999999999</v>
      </c>
      <c r="F1063" s="309">
        <v>16.9268</v>
      </c>
      <c r="G1063" s="309">
        <v>14.539199999999999</v>
      </c>
      <c r="H1063" s="309">
        <v>13.5237</v>
      </c>
      <c r="I1063" s="309">
        <v>15.4689</v>
      </c>
      <c r="J1063" s="309">
        <v>12.1248</v>
      </c>
      <c r="K1063" s="309">
        <v>0</v>
      </c>
      <c r="L1063" s="309">
        <v>8.2949999999999999</v>
      </c>
      <c r="M1063" s="309">
        <v>14.8165</v>
      </c>
      <c r="N1063" s="309">
        <v>18.240200000000002</v>
      </c>
      <c r="O1063" s="309">
        <v>0</v>
      </c>
      <c r="P1063" s="309">
        <v>14.1882</v>
      </c>
      <c r="Q1063" s="309">
        <v>14.0977</v>
      </c>
      <c r="R1063" s="309">
        <v>16.284800000000001</v>
      </c>
      <c r="S1063" s="309">
        <v>15.7897</v>
      </c>
      <c r="T1063" s="309">
        <v>12.9976</v>
      </c>
      <c r="U1063" s="309">
        <v>16.3672</v>
      </c>
      <c r="V1063" s="309">
        <v>11.658300000000001</v>
      </c>
      <c r="W1063" s="309">
        <v>11.6226</v>
      </c>
      <c r="X1063" s="309">
        <v>11.548299999999999</v>
      </c>
      <c r="Y1063" s="309">
        <v>15.376099999999999</v>
      </c>
      <c r="Z1063" s="309">
        <v>16.992100000000001</v>
      </c>
      <c r="AA1063" s="309">
        <v>16.334199999999999</v>
      </c>
      <c r="AB1063" s="309">
        <v>16.221299999999999</v>
      </c>
      <c r="AC1063" s="309">
        <v>15.475199999999999</v>
      </c>
      <c r="AD1063" s="309">
        <v>11.902799999999999</v>
      </c>
      <c r="AE1063" s="309">
        <v>17.046900000000001</v>
      </c>
      <c r="AF1063" s="309">
        <v>11.928900000000001</v>
      </c>
      <c r="AG1063" s="309">
        <v>13.960699999999999</v>
      </c>
      <c r="AH1063" s="309">
        <v>11.688000000000001</v>
      </c>
      <c r="AI1063" s="309">
        <v>12.269</v>
      </c>
      <c r="AJ1063" s="309">
        <v>12.942500000000001</v>
      </c>
      <c r="AK1063" s="309">
        <v>11.6073</v>
      </c>
      <c r="AL1063" s="309">
        <v>10.778600000000001</v>
      </c>
      <c r="AM1063" s="309">
        <v>16.479199999999999</v>
      </c>
      <c r="AN1063" s="309">
        <v>17.522500000000001</v>
      </c>
      <c r="AO1063" s="309">
        <v>14.696199999999999</v>
      </c>
      <c r="AP1063" s="309">
        <v>16.243300000000001</v>
      </c>
      <c r="AQ1063" s="309">
        <v>13.4625</v>
      </c>
      <c r="AR1063" s="309">
        <v>16.034700000000001</v>
      </c>
      <c r="AS1063" s="309">
        <v>10.4124</v>
      </c>
      <c r="AT1063" s="309">
        <v>17.8935</v>
      </c>
      <c r="AU1063" s="309">
        <v>14.2372</v>
      </c>
      <c r="AV1063" s="309">
        <v>16.772200000000002</v>
      </c>
      <c r="AW1063" s="309">
        <v>12.4276</v>
      </c>
      <c r="AX1063" s="309">
        <v>12.331899999999999</v>
      </c>
      <c r="AY1063" s="309">
        <v>14.036099999999999</v>
      </c>
      <c r="AZ1063" s="309">
        <v>15.417400000000001</v>
      </c>
      <c r="BA1063" s="309">
        <v>13.4421</v>
      </c>
      <c r="BB1063" s="309">
        <v>0</v>
      </c>
      <c r="BC1063" s="309">
        <v>14.362399999999999</v>
      </c>
      <c r="BD1063" s="309">
        <v>14.680099999999999</v>
      </c>
      <c r="BE1063" s="309">
        <v>17.6663</v>
      </c>
      <c r="BF1063" s="309">
        <v>16.7379</v>
      </c>
      <c r="BG1063" s="309">
        <v>16.8047</v>
      </c>
      <c r="BH1063" s="309">
        <v>16.397600000000001</v>
      </c>
      <c r="BI1063" s="309">
        <v>15.0341</v>
      </c>
      <c r="BJ1063" s="309">
        <v>15.739100000000001</v>
      </c>
      <c r="BK1063" s="309">
        <v>14.268599999999999</v>
      </c>
    </row>
    <row r="1064" spans="1:63" x14ac:dyDescent="0.25">
      <c r="A1064" s="306" t="s">
        <v>739</v>
      </c>
      <c r="B1064" s="309" t="s">
        <v>218</v>
      </c>
      <c r="C1064" s="309">
        <v>21.104099999999999</v>
      </c>
      <c r="D1064" s="309">
        <v>0</v>
      </c>
      <c r="E1064" s="309">
        <v>16.853999999999999</v>
      </c>
      <c r="F1064" s="309">
        <v>17.890899999999998</v>
      </c>
      <c r="G1064" s="309">
        <v>14.248100000000001</v>
      </c>
      <c r="H1064" s="309">
        <v>15.0801</v>
      </c>
      <c r="I1064" s="309">
        <v>18.113199999999999</v>
      </c>
      <c r="J1064" s="309">
        <v>14.6096</v>
      </c>
      <c r="K1064" s="309">
        <v>0</v>
      </c>
      <c r="L1064" s="309">
        <v>0</v>
      </c>
      <c r="M1064" s="309">
        <v>17.444099999999999</v>
      </c>
      <c r="N1064" s="309">
        <v>16.845500000000001</v>
      </c>
      <c r="O1064" s="309">
        <v>0</v>
      </c>
      <c r="P1064" s="309">
        <v>16.049900000000001</v>
      </c>
      <c r="Q1064" s="309">
        <v>0</v>
      </c>
      <c r="R1064" s="309">
        <v>17.763100000000001</v>
      </c>
      <c r="S1064" s="309">
        <v>17.676500000000001</v>
      </c>
      <c r="T1064" s="309">
        <v>14.5275</v>
      </c>
      <c r="U1064" s="309">
        <v>14.152900000000001</v>
      </c>
      <c r="V1064" s="309">
        <v>13.039199999999999</v>
      </c>
      <c r="W1064" s="309">
        <v>11.8926</v>
      </c>
      <c r="X1064" s="309">
        <v>16.0367</v>
      </c>
      <c r="Y1064" s="309">
        <v>15.040100000000001</v>
      </c>
      <c r="Z1064" s="309">
        <v>16.963999999999999</v>
      </c>
      <c r="AA1064" s="309">
        <v>16.251799999999999</v>
      </c>
      <c r="AB1064" s="309">
        <v>16.9636</v>
      </c>
      <c r="AC1064" s="309">
        <v>16.5901</v>
      </c>
      <c r="AD1064" s="309">
        <v>0</v>
      </c>
      <c r="AE1064" s="309">
        <v>17.119599999999998</v>
      </c>
      <c r="AF1064" s="309">
        <v>0</v>
      </c>
      <c r="AG1064" s="309">
        <v>14.395300000000001</v>
      </c>
      <c r="AH1064" s="309">
        <v>12.821099999999999</v>
      </c>
      <c r="AI1064" s="309">
        <v>13.692</v>
      </c>
      <c r="AJ1064" s="309">
        <v>15.4924</v>
      </c>
      <c r="AK1064" s="309">
        <v>14.344099999999999</v>
      </c>
      <c r="AL1064" s="309">
        <v>12.118</v>
      </c>
      <c r="AM1064" s="309">
        <v>17.820900000000002</v>
      </c>
      <c r="AN1064" s="309">
        <v>0</v>
      </c>
      <c r="AO1064" s="309">
        <v>16.000900000000001</v>
      </c>
      <c r="AP1064" s="309">
        <v>15.302300000000001</v>
      </c>
      <c r="AQ1064" s="309">
        <v>12.897500000000001</v>
      </c>
      <c r="AR1064" s="309">
        <v>14.5213</v>
      </c>
      <c r="AS1064" s="309">
        <v>10.0083</v>
      </c>
      <c r="AT1064" s="309">
        <v>15.971500000000001</v>
      </c>
      <c r="AU1064" s="309">
        <v>17.905200000000001</v>
      </c>
      <c r="AV1064" s="309">
        <v>18.218299999999999</v>
      </c>
      <c r="AW1064" s="309">
        <v>15.7637</v>
      </c>
      <c r="AX1064" s="309">
        <v>15.738</v>
      </c>
      <c r="AY1064" s="309">
        <v>16.18</v>
      </c>
      <c r="AZ1064" s="309">
        <v>17.192</v>
      </c>
      <c r="BA1064" s="309">
        <v>14.340299999999999</v>
      </c>
      <c r="BB1064" s="309">
        <v>0</v>
      </c>
      <c r="BC1064" s="309">
        <v>15.589399999999999</v>
      </c>
      <c r="BD1064" s="309">
        <v>15.5595</v>
      </c>
      <c r="BE1064" s="309">
        <v>19.254999999999999</v>
      </c>
      <c r="BF1064" s="309">
        <v>17.299299999999999</v>
      </c>
      <c r="BG1064" s="309">
        <v>17.286200000000001</v>
      </c>
      <c r="BH1064" s="309">
        <v>16.447199999999999</v>
      </c>
      <c r="BI1064" s="309">
        <v>18.069900000000001</v>
      </c>
      <c r="BJ1064" s="309">
        <v>16.355</v>
      </c>
      <c r="BK1064" s="309">
        <v>15.701700000000001</v>
      </c>
    </row>
    <row r="1065" spans="1:63" x14ac:dyDescent="0.25">
      <c r="A1065" s="306">
        <v>334510</v>
      </c>
      <c r="B1065" s="309" t="s">
        <v>222</v>
      </c>
      <c r="C1065" s="309">
        <v>15.178900000000001</v>
      </c>
      <c r="D1065" s="309">
        <v>0</v>
      </c>
      <c r="E1065" s="309">
        <v>0</v>
      </c>
      <c r="F1065" s="309">
        <v>0</v>
      </c>
      <c r="G1065" s="309">
        <v>10.3186</v>
      </c>
      <c r="H1065" s="309">
        <v>9.8872999999999998</v>
      </c>
      <c r="I1065" s="309">
        <v>10.7005</v>
      </c>
      <c r="J1065" s="309">
        <v>8.6628000000000007</v>
      </c>
      <c r="K1065" s="309">
        <v>0</v>
      </c>
      <c r="L1065" s="309">
        <v>5.4497</v>
      </c>
      <c r="M1065" s="309">
        <v>10.5556</v>
      </c>
      <c r="N1065" s="309">
        <v>12.162699999999999</v>
      </c>
      <c r="O1065" s="309">
        <v>9.9817</v>
      </c>
      <c r="P1065" s="309">
        <v>10.050599999999999</v>
      </c>
      <c r="Q1065" s="309">
        <v>9.6249000000000002</v>
      </c>
      <c r="R1065" s="309">
        <v>10.6913</v>
      </c>
      <c r="S1065" s="309">
        <v>9.0908999999999995</v>
      </c>
      <c r="T1065" s="309">
        <v>6.8136000000000001</v>
      </c>
      <c r="U1065" s="309">
        <v>10.7669</v>
      </c>
      <c r="V1065" s="309">
        <v>9.8690999999999995</v>
      </c>
      <c r="W1065" s="309">
        <v>8.3884000000000007</v>
      </c>
      <c r="X1065" s="309">
        <v>8.0900999999999996</v>
      </c>
      <c r="Y1065" s="309">
        <v>11.447699999999999</v>
      </c>
      <c r="Z1065" s="309">
        <v>10.3634</v>
      </c>
      <c r="AA1065" s="309">
        <v>10.099399999999999</v>
      </c>
      <c r="AB1065" s="309">
        <v>10.5036</v>
      </c>
      <c r="AC1065" s="309">
        <v>0</v>
      </c>
      <c r="AD1065" s="309">
        <v>7.1285999999999996</v>
      </c>
      <c r="AE1065" s="309">
        <v>12.461399999999999</v>
      </c>
      <c r="AF1065" s="309">
        <v>0</v>
      </c>
      <c r="AG1065" s="309">
        <v>0</v>
      </c>
      <c r="AH1065" s="309">
        <v>8.7858999999999998</v>
      </c>
      <c r="AI1065" s="309">
        <v>8.9202999999999992</v>
      </c>
      <c r="AJ1065" s="309">
        <v>9.5521999999999991</v>
      </c>
      <c r="AK1065" s="309">
        <v>0</v>
      </c>
      <c r="AL1065" s="309">
        <v>7.5099</v>
      </c>
      <c r="AM1065" s="309">
        <v>12.603899999999999</v>
      </c>
      <c r="AN1065" s="309">
        <v>10.1203</v>
      </c>
      <c r="AO1065" s="309">
        <v>11.4321</v>
      </c>
      <c r="AP1065" s="309">
        <v>11.509</v>
      </c>
      <c r="AQ1065" s="309">
        <v>10.4537</v>
      </c>
      <c r="AR1065" s="309">
        <v>10.5938</v>
      </c>
      <c r="AS1065" s="309">
        <v>6.9782000000000002</v>
      </c>
      <c r="AT1065" s="309">
        <v>9.9138000000000002</v>
      </c>
      <c r="AU1065" s="309">
        <v>11.436</v>
      </c>
      <c r="AV1065" s="309">
        <v>13.276400000000001</v>
      </c>
      <c r="AW1065" s="309">
        <v>9.8858999999999995</v>
      </c>
      <c r="AX1065" s="309">
        <v>9.9024999999999999</v>
      </c>
      <c r="AY1065" s="309">
        <v>9.0304000000000002</v>
      </c>
      <c r="AZ1065" s="309">
        <v>10.776899999999999</v>
      </c>
      <c r="BA1065" s="309">
        <v>0</v>
      </c>
      <c r="BB1065" s="309">
        <v>0</v>
      </c>
      <c r="BC1065" s="309">
        <v>10.4476</v>
      </c>
      <c r="BD1065" s="309">
        <v>10.5442</v>
      </c>
      <c r="BE1065" s="309">
        <v>12.092599999999999</v>
      </c>
      <c r="BF1065" s="309">
        <v>9.9976000000000003</v>
      </c>
      <c r="BG1065" s="309">
        <v>12.202500000000001</v>
      </c>
      <c r="BH1065" s="309">
        <v>10.3139</v>
      </c>
      <c r="BI1065" s="309">
        <v>11.7235</v>
      </c>
      <c r="BJ1065" s="309">
        <v>11.266</v>
      </c>
      <c r="BK1065" s="309">
        <v>10.3401</v>
      </c>
    </row>
    <row r="1066" spans="1:63" x14ac:dyDescent="0.25">
      <c r="A1066" s="306">
        <v>334511</v>
      </c>
      <c r="B1066" s="309" t="s">
        <v>223</v>
      </c>
      <c r="C1066" s="309">
        <v>17.629300000000001</v>
      </c>
      <c r="D1066" s="309">
        <v>0</v>
      </c>
      <c r="E1066" s="309">
        <v>14.183299999999999</v>
      </c>
      <c r="F1066" s="309">
        <v>13.3704</v>
      </c>
      <c r="G1066" s="309">
        <v>11.5364</v>
      </c>
      <c r="H1066" s="309">
        <v>12.2189</v>
      </c>
      <c r="I1066" s="309">
        <v>12.7864</v>
      </c>
      <c r="J1066" s="309">
        <v>10.3833</v>
      </c>
      <c r="K1066" s="309">
        <v>1.2098</v>
      </c>
      <c r="L1066" s="309">
        <v>0</v>
      </c>
      <c r="M1066" s="309">
        <v>13.3085</v>
      </c>
      <c r="N1066" s="309">
        <v>13.1112</v>
      </c>
      <c r="O1066" s="309">
        <v>12.4361</v>
      </c>
      <c r="P1066" s="309">
        <v>9.4863</v>
      </c>
      <c r="Q1066" s="309">
        <v>12.992599999999999</v>
      </c>
      <c r="R1066" s="309">
        <v>12.7989</v>
      </c>
      <c r="S1066" s="309">
        <v>12.6249</v>
      </c>
      <c r="T1066" s="309">
        <v>11.0725</v>
      </c>
      <c r="U1066" s="309">
        <v>12.0723</v>
      </c>
      <c r="V1066" s="309">
        <v>11.662800000000001</v>
      </c>
      <c r="W1066" s="309">
        <v>10.101699999999999</v>
      </c>
      <c r="X1066" s="309">
        <v>9.4532000000000007</v>
      </c>
      <c r="Y1066" s="309">
        <v>14.376799999999999</v>
      </c>
      <c r="Z1066" s="309">
        <v>13.2827</v>
      </c>
      <c r="AA1066" s="309">
        <v>13.186500000000001</v>
      </c>
      <c r="AB1066" s="309">
        <v>14.180899999999999</v>
      </c>
      <c r="AC1066" s="309">
        <v>11.963800000000001</v>
      </c>
      <c r="AD1066" s="309">
        <v>11.5543</v>
      </c>
      <c r="AE1066" s="309">
        <v>15.4735</v>
      </c>
      <c r="AF1066" s="309">
        <v>0</v>
      </c>
      <c r="AG1066" s="309">
        <v>9.3810000000000002</v>
      </c>
      <c r="AH1066" s="309">
        <v>9.9960000000000004</v>
      </c>
      <c r="AI1066" s="309">
        <v>10.7951</v>
      </c>
      <c r="AJ1066" s="309">
        <v>10.6683</v>
      </c>
      <c r="AK1066" s="309">
        <v>11.5679</v>
      </c>
      <c r="AL1066" s="309">
        <v>8.8572000000000006</v>
      </c>
      <c r="AM1066" s="309">
        <v>14.732699999999999</v>
      </c>
      <c r="AN1066" s="309">
        <v>13.3523</v>
      </c>
      <c r="AO1066" s="309">
        <v>12.000999999999999</v>
      </c>
      <c r="AP1066" s="309">
        <v>13.457599999999999</v>
      </c>
      <c r="AQ1066" s="309">
        <v>9.6151999999999997</v>
      </c>
      <c r="AR1066" s="309">
        <v>11.660500000000001</v>
      </c>
      <c r="AS1066" s="309">
        <v>8.0035000000000007</v>
      </c>
      <c r="AT1066" s="309">
        <v>14.464499999999999</v>
      </c>
      <c r="AU1066" s="309">
        <v>13.0977</v>
      </c>
      <c r="AV1066" s="309">
        <v>16.972000000000001</v>
      </c>
      <c r="AW1066" s="309">
        <v>10.659800000000001</v>
      </c>
      <c r="AX1066" s="309">
        <v>11.749000000000001</v>
      </c>
      <c r="AY1066" s="309">
        <v>11.8241</v>
      </c>
      <c r="AZ1066" s="309">
        <v>14.013299999999999</v>
      </c>
      <c r="BA1066" s="309">
        <v>0</v>
      </c>
      <c r="BB1066" s="309">
        <v>10.458299999999999</v>
      </c>
      <c r="BC1066" s="309">
        <v>12.4497</v>
      </c>
      <c r="BD1066" s="309">
        <v>12.401999999999999</v>
      </c>
      <c r="BE1066" s="309">
        <v>14.714</v>
      </c>
      <c r="BF1066" s="309">
        <v>13.0303</v>
      </c>
      <c r="BG1066" s="309">
        <v>14.086499999999999</v>
      </c>
      <c r="BH1066" s="309">
        <v>14.805899999999999</v>
      </c>
      <c r="BI1066" s="309">
        <v>13.5625</v>
      </c>
      <c r="BJ1066" s="309">
        <v>13.445</v>
      </c>
      <c r="BK1066" s="309">
        <v>12.721500000000001</v>
      </c>
    </row>
    <row r="1067" spans="1:63" x14ac:dyDescent="0.25">
      <c r="A1067" s="306">
        <v>334512</v>
      </c>
      <c r="B1067" s="309" t="s">
        <v>224</v>
      </c>
      <c r="C1067" s="309">
        <v>17.0792</v>
      </c>
      <c r="D1067" s="309">
        <v>6.4116999999999997</v>
      </c>
      <c r="E1067" s="309">
        <v>13.0572</v>
      </c>
      <c r="F1067" s="309">
        <v>12.318099999999999</v>
      </c>
      <c r="G1067" s="309">
        <v>10.0829</v>
      </c>
      <c r="H1067" s="309">
        <v>11.8094</v>
      </c>
      <c r="I1067" s="309">
        <v>13.9772</v>
      </c>
      <c r="J1067" s="309">
        <v>10.7438</v>
      </c>
      <c r="K1067" s="309">
        <v>0</v>
      </c>
      <c r="L1067" s="309">
        <v>0</v>
      </c>
      <c r="M1067" s="309">
        <v>12.268800000000001</v>
      </c>
      <c r="N1067" s="309">
        <v>11.950799999999999</v>
      </c>
      <c r="O1067" s="309">
        <v>0</v>
      </c>
      <c r="P1067" s="309">
        <v>11.559100000000001</v>
      </c>
      <c r="Q1067" s="309">
        <v>0</v>
      </c>
      <c r="R1067" s="309">
        <v>12.043699999999999</v>
      </c>
      <c r="S1067" s="309">
        <v>13.2745</v>
      </c>
      <c r="T1067" s="309">
        <v>8.7394999999999996</v>
      </c>
      <c r="U1067" s="309">
        <v>13.1157</v>
      </c>
      <c r="V1067" s="309">
        <v>12.478300000000001</v>
      </c>
      <c r="W1067" s="309">
        <v>10.244199999999999</v>
      </c>
      <c r="X1067" s="309">
        <v>8.5602</v>
      </c>
      <c r="Y1067" s="309">
        <v>13.0663</v>
      </c>
      <c r="Z1067" s="309">
        <v>14.7241</v>
      </c>
      <c r="AA1067" s="309">
        <v>10.9961</v>
      </c>
      <c r="AB1067" s="309">
        <v>11.0745</v>
      </c>
      <c r="AC1067" s="309">
        <v>0</v>
      </c>
      <c r="AD1067" s="309">
        <v>0</v>
      </c>
      <c r="AE1067" s="309">
        <v>14.881600000000001</v>
      </c>
      <c r="AF1067" s="309">
        <v>0</v>
      </c>
      <c r="AG1067" s="309">
        <v>11.2087</v>
      </c>
      <c r="AH1067" s="309">
        <v>10.476100000000001</v>
      </c>
      <c r="AI1067" s="309">
        <v>10.220800000000001</v>
      </c>
      <c r="AJ1067" s="309">
        <v>8.4944000000000006</v>
      </c>
      <c r="AK1067" s="309">
        <v>11.647399999999999</v>
      </c>
      <c r="AL1067" s="309">
        <v>9.3374000000000006</v>
      </c>
      <c r="AM1067" s="309">
        <v>14.648999999999999</v>
      </c>
      <c r="AN1067" s="309">
        <v>11.9163</v>
      </c>
      <c r="AO1067" s="309">
        <v>12.364800000000001</v>
      </c>
      <c r="AP1067" s="309">
        <v>14.7037</v>
      </c>
      <c r="AQ1067" s="309">
        <v>10.708299999999999</v>
      </c>
      <c r="AR1067" s="309">
        <v>11.8101</v>
      </c>
      <c r="AS1067" s="309">
        <v>7.8384999999999998</v>
      </c>
      <c r="AT1067" s="309">
        <v>13.053699999999999</v>
      </c>
      <c r="AU1067" s="309">
        <v>12.6388</v>
      </c>
      <c r="AV1067" s="309">
        <v>14.169700000000001</v>
      </c>
      <c r="AW1067" s="309">
        <v>10.0754</v>
      </c>
      <c r="AX1067" s="309">
        <v>0</v>
      </c>
      <c r="AY1067" s="309">
        <v>10.1279</v>
      </c>
      <c r="AZ1067" s="309">
        <v>14.5482</v>
      </c>
      <c r="BA1067" s="309">
        <v>8.2544000000000004</v>
      </c>
      <c r="BB1067" s="309">
        <v>8.4568999999999992</v>
      </c>
      <c r="BC1067" s="309">
        <v>13.0434</v>
      </c>
      <c r="BD1067" s="309">
        <v>12.721</v>
      </c>
      <c r="BE1067" s="309">
        <v>14.0152</v>
      </c>
      <c r="BF1067" s="309">
        <v>11.1273</v>
      </c>
      <c r="BG1067" s="309">
        <v>13.726699999999999</v>
      </c>
      <c r="BH1067" s="309">
        <v>13.621700000000001</v>
      </c>
      <c r="BI1067" s="309">
        <v>14.0647</v>
      </c>
      <c r="BJ1067" s="309">
        <v>11.8193</v>
      </c>
      <c r="BK1067" s="309">
        <v>12.143599999999999</v>
      </c>
    </row>
    <row r="1068" spans="1:63" x14ac:dyDescent="0.25">
      <c r="A1068" s="306">
        <v>334513</v>
      </c>
      <c r="B1068" s="309" t="s">
        <v>6</v>
      </c>
      <c r="C1068" s="309">
        <v>18.860499999999998</v>
      </c>
      <c r="D1068" s="309">
        <v>8.0992999999999995</v>
      </c>
      <c r="E1068" s="309">
        <v>13.753</v>
      </c>
      <c r="F1068" s="309">
        <v>13.4277</v>
      </c>
      <c r="G1068" s="309">
        <v>13.425800000000001</v>
      </c>
      <c r="H1068" s="309">
        <v>13.2407</v>
      </c>
      <c r="I1068" s="309">
        <v>13.8994</v>
      </c>
      <c r="J1068" s="309">
        <v>10.9587</v>
      </c>
      <c r="K1068" s="309">
        <v>0</v>
      </c>
      <c r="L1068" s="309">
        <v>8.3545999999999996</v>
      </c>
      <c r="M1068" s="309">
        <v>13.824199999999999</v>
      </c>
      <c r="N1068" s="309">
        <v>15.156499999999999</v>
      </c>
      <c r="O1068" s="309">
        <v>9.3146000000000004</v>
      </c>
      <c r="P1068" s="309">
        <v>9.8953000000000007</v>
      </c>
      <c r="Q1068" s="309">
        <v>10.6213</v>
      </c>
      <c r="R1068" s="309">
        <v>13.721500000000001</v>
      </c>
      <c r="S1068" s="309">
        <v>14.7912</v>
      </c>
      <c r="T1068" s="309">
        <v>10.852</v>
      </c>
      <c r="U1068" s="309">
        <v>14.240399999999999</v>
      </c>
      <c r="V1068" s="309">
        <v>12.291499999999999</v>
      </c>
      <c r="W1068" s="309">
        <v>10.520200000000001</v>
      </c>
      <c r="X1068" s="309">
        <v>10.7026</v>
      </c>
      <c r="Y1068" s="309">
        <v>13.1669</v>
      </c>
      <c r="Z1068" s="309">
        <v>13.7837</v>
      </c>
      <c r="AA1068" s="309">
        <v>14.1076</v>
      </c>
      <c r="AB1068" s="309">
        <v>13.084300000000001</v>
      </c>
      <c r="AC1068" s="309">
        <v>10.483700000000001</v>
      </c>
      <c r="AD1068" s="309">
        <v>11.7669</v>
      </c>
      <c r="AE1068" s="309">
        <v>12.455</v>
      </c>
      <c r="AF1068" s="309">
        <v>0</v>
      </c>
      <c r="AG1068" s="309">
        <v>11.5297</v>
      </c>
      <c r="AH1068" s="309">
        <v>11.6058</v>
      </c>
      <c r="AI1068" s="309">
        <v>11.1416</v>
      </c>
      <c r="AJ1068" s="309">
        <v>10.8927</v>
      </c>
      <c r="AK1068" s="309">
        <v>10.622199999999999</v>
      </c>
      <c r="AL1068" s="309">
        <v>9.9749999999999996</v>
      </c>
      <c r="AM1068" s="309">
        <v>14.5907</v>
      </c>
      <c r="AN1068" s="309">
        <v>14.175700000000001</v>
      </c>
      <c r="AO1068" s="309">
        <v>14.3215</v>
      </c>
      <c r="AP1068" s="309">
        <v>13.8104</v>
      </c>
      <c r="AQ1068" s="309">
        <v>11.8146</v>
      </c>
      <c r="AR1068" s="309">
        <v>13.8079</v>
      </c>
      <c r="AS1068" s="309">
        <v>8.4101999999999997</v>
      </c>
      <c r="AT1068" s="309">
        <v>14.638999999999999</v>
      </c>
      <c r="AU1068" s="309">
        <v>13.7094</v>
      </c>
      <c r="AV1068" s="309">
        <v>17.408000000000001</v>
      </c>
      <c r="AW1068" s="309">
        <v>12.157299999999999</v>
      </c>
      <c r="AX1068" s="309">
        <v>11.519500000000001</v>
      </c>
      <c r="AY1068" s="309">
        <v>12.7225</v>
      </c>
      <c r="AZ1068" s="309">
        <v>14.446099999999999</v>
      </c>
      <c r="BA1068" s="309">
        <v>10.979100000000001</v>
      </c>
      <c r="BB1068" s="309">
        <v>0</v>
      </c>
      <c r="BC1068" s="309">
        <v>13.302099999999999</v>
      </c>
      <c r="BD1068" s="309">
        <v>13.085699999999999</v>
      </c>
      <c r="BE1068" s="309">
        <v>15.5481</v>
      </c>
      <c r="BF1068" s="309">
        <v>13.9057</v>
      </c>
      <c r="BG1068" s="309">
        <v>14.706200000000001</v>
      </c>
      <c r="BH1068" s="309">
        <v>14.964</v>
      </c>
      <c r="BI1068" s="309">
        <v>14.411199999999999</v>
      </c>
      <c r="BJ1068" s="309">
        <v>14.511799999999999</v>
      </c>
      <c r="BK1068" s="309">
        <v>13.8132</v>
      </c>
    </row>
    <row r="1069" spans="1:63" x14ac:dyDescent="0.25">
      <c r="A1069" s="306">
        <v>334514</v>
      </c>
      <c r="B1069" s="309" t="s">
        <v>225</v>
      </c>
      <c r="C1069" s="309">
        <v>16.826899999999998</v>
      </c>
      <c r="D1069" s="309">
        <v>0</v>
      </c>
      <c r="E1069" s="309">
        <v>10.142200000000001</v>
      </c>
      <c r="F1069" s="309">
        <v>9.7051999999999996</v>
      </c>
      <c r="G1069" s="309">
        <v>9.4228000000000005</v>
      </c>
      <c r="H1069" s="309">
        <v>11.1023</v>
      </c>
      <c r="I1069" s="309">
        <v>12.0238</v>
      </c>
      <c r="J1069" s="309">
        <v>10.1401</v>
      </c>
      <c r="K1069" s="309">
        <v>0</v>
      </c>
      <c r="L1069" s="309">
        <v>0</v>
      </c>
      <c r="M1069" s="309">
        <v>10.6852</v>
      </c>
      <c r="N1069" s="309">
        <v>13.099</v>
      </c>
      <c r="O1069" s="309">
        <v>0</v>
      </c>
      <c r="P1069" s="309">
        <v>8.3621999999999996</v>
      </c>
      <c r="Q1069" s="309">
        <v>9.8873999999999995</v>
      </c>
      <c r="R1069" s="309">
        <v>11.384</v>
      </c>
      <c r="S1069" s="309">
        <v>10.580500000000001</v>
      </c>
      <c r="T1069" s="309">
        <v>0</v>
      </c>
      <c r="U1069" s="309">
        <v>10.4634</v>
      </c>
      <c r="V1069" s="309">
        <v>8.0173000000000005</v>
      </c>
      <c r="W1069" s="309">
        <v>10.278600000000001</v>
      </c>
      <c r="X1069" s="309">
        <v>8.6587999999999994</v>
      </c>
      <c r="Y1069" s="309">
        <v>0</v>
      </c>
      <c r="Z1069" s="309">
        <v>12.202500000000001</v>
      </c>
      <c r="AA1069" s="309">
        <v>13.359</v>
      </c>
      <c r="AB1069" s="309">
        <v>11.3062</v>
      </c>
      <c r="AC1069" s="309">
        <v>0</v>
      </c>
      <c r="AD1069" s="309">
        <v>0</v>
      </c>
      <c r="AE1069" s="309">
        <v>11.684900000000001</v>
      </c>
      <c r="AF1069" s="309">
        <v>0</v>
      </c>
      <c r="AG1069" s="309">
        <v>8.3657000000000004</v>
      </c>
      <c r="AH1069" s="309">
        <v>0</v>
      </c>
      <c r="AI1069" s="309">
        <v>9.4181000000000008</v>
      </c>
      <c r="AJ1069" s="309">
        <v>8.0127000000000006</v>
      </c>
      <c r="AK1069" s="309">
        <v>8.7629999999999999</v>
      </c>
      <c r="AL1069" s="309">
        <v>6.6856</v>
      </c>
      <c r="AM1069" s="309">
        <v>11.9533</v>
      </c>
      <c r="AN1069" s="309">
        <v>8.4861000000000004</v>
      </c>
      <c r="AO1069" s="309">
        <v>13.6097</v>
      </c>
      <c r="AP1069" s="309">
        <v>11.316700000000001</v>
      </c>
      <c r="AQ1069" s="309">
        <v>0</v>
      </c>
      <c r="AR1069" s="309">
        <v>10.669600000000001</v>
      </c>
      <c r="AS1069" s="309">
        <v>0</v>
      </c>
      <c r="AT1069" s="309">
        <v>0</v>
      </c>
      <c r="AU1069" s="309">
        <v>11.586600000000001</v>
      </c>
      <c r="AV1069" s="309">
        <v>0</v>
      </c>
      <c r="AW1069" s="309">
        <v>9.4953000000000003</v>
      </c>
      <c r="AX1069" s="309">
        <v>7.7427000000000001</v>
      </c>
      <c r="AY1069" s="309">
        <v>11.081300000000001</v>
      </c>
      <c r="AZ1069" s="309">
        <v>11.426</v>
      </c>
      <c r="BA1069" s="309">
        <v>8.2873999999999999</v>
      </c>
      <c r="BB1069" s="309">
        <v>0</v>
      </c>
      <c r="BC1069" s="309">
        <v>13.2448</v>
      </c>
      <c r="BD1069" s="309">
        <v>10.1105</v>
      </c>
      <c r="BE1069" s="309">
        <v>12.621600000000001</v>
      </c>
      <c r="BF1069" s="309">
        <v>12.138</v>
      </c>
      <c r="BG1069" s="309">
        <v>12.5093</v>
      </c>
      <c r="BH1069" s="309">
        <v>10.983700000000001</v>
      </c>
      <c r="BI1069" s="309">
        <v>11.597899999999999</v>
      </c>
      <c r="BJ1069" s="309">
        <v>11.8849</v>
      </c>
      <c r="BK1069" s="309">
        <v>11.805400000000001</v>
      </c>
    </row>
    <row r="1070" spans="1:63" x14ac:dyDescent="0.25">
      <c r="A1070" s="306">
        <v>334515</v>
      </c>
      <c r="B1070" s="309" t="s">
        <v>4</v>
      </c>
      <c r="C1070" s="309">
        <v>17.726700000000001</v>
      </c>
      <c r="D1070" s="309">
        <v>0</v>
      </c>
      <c r="E1070" s="309">
        <v>12.961399999999999</v>
      </c>
      <c r="F1070" s="309">
        <v>15.776300000000001</v>
      </c>
      <c r="G1070" s="309">
        <v>13.4894</v>
      </c>
      <c r="H1070" s="309">
        <v>12.2966</v>
      </c>
      <c r="I1070" s="309">
        <v>12.7921</v>
      </c>
      <c r="J1070" s="309">
        <v>10.459199999999999</v>
      </c>
      <c r="K1070" s="309">
        <v>0.94169999999999998</v>
      </c>
      <c r="L1070" s="309">
        <v>9.1042000000000005</v>
      </c>
      <c r="M1070" s="309">
        <v>14.771699999999999</v>
      </c>
      <c r="N1070" s="309">
        <v>14.356299999999999</v>
      </c>
      <c r="O1070" s="309">
        <v>0</v>
      </c>
      <c r="P1070" s="309">
        <v>14.244999999999999</v>
      </c>
      <c r="Q1070" s="309">
        <v>12.4247</v>
      </c>
      <c r="R1070" s="309">
        <v>13.783200000000001</v>
      </c>
      <c r="S1070" s="309">
        <v>13.147500000000001</v>
      </c>
      <c r="T1070" s="309">
        <v>11.826599999999999</v>
      </c>
      <c r="U1070" s="309">
        <v>16.550999999999998</v>
      </c>
      <c r="V1070" s="309">
        <v>16.0395</v>
      </c>
      <c r="W1070" s="309">
        <v>10.222200000000001</v>
      </c>
      <c r="X1070" s="309">
        <v>9.5587</v>
      </c>
      <c r="Y1070" s="309">
        <v>0</v>
      </c>
      <c r="Z1070" s="309">
        <v>14.691599999999999</v>
      </c>
      <c r="AA1070" s="309">
        <v>14.3576</v>
      </c>
      <c r="AB1070" s="309">
        <v>13.872400000000001</v>
      </c>
      <c r="AC1070" s="309">
        <v>15.199400000000001</v>
      </c>
      <c r="AD1070" s="309">
        <v>13.491300000000001</v>
      </c>
      <c r="AE1070" s="309">
        <v>13.322900000000001</v>
      </c>
      <c r="AF1070" s="309">
        <v>0</v>
      </c>
      <c r="AG1070" s="309">
        <v>13.3809</v>
      </c>
      <c r="AH1070" s="309">
        <v>12.0206</v>
      </c>
      <c r="AI1070" s="309">
        <v>11.3413</v>
      </c>
      <c r="AJ1070" s="309">
        <v>14.3887</v>
      </c>
      <c r="AK1070" s="309">
        <v>11.8459</v>
      </c>
      <c r="AL1070" s="309">
        <v>10.0579</v>
      </c>
      <c r="AM1070" s="309">
        <v>16.329899999999999</v>
      </c>
      <c r="AN1070" s="309">
        <v>13.195</v>
      </c>
      <c r="AO1070" s="309">
        <v>12.3332</v>
      </c>
      <c r="AP1070" s="309">
        <v>13.600199999999999</v>
      </c>
      <c r="AQ1070" s="309">
        <v>12.507099999999999</v>
      </c>
      <c r="AR1070" s="309">
        <v>17.478899999999999</v>
      </c>
      <c r="AS1070" s="309">
        <v>7.9828000000000001</v>
      </c>
      <c r="AT1070" s="309">
        <v>11.0808</v>
      </c>
      <c r="AU1070" s="309">
        <v>15.2141</v>
      </c>
      <c r="AV1070" s="309">
        <v>15.8774</v>
      </c>
      <c r="AW1070" s="309">
        <v>12.2843</v>
      </c>
      <c r="AX1070" s="309">
        <v>14.8764</v>
      </c>
      <c r="AY1070" s="309">
        <v>12.0458</v>
      </c>
      <c r="AZ1070" s="309">
        <v>18.217500000000001</v>
      </c>
      <c r="BA1070" s="309">
        <v>13.0573</v>
      </c>
      <c r="BB1070" s="309">
        <v>0</v>
      </c>
      <c r="BC1070" s="309">
        <v>13.0161</v>
      </c>
      <c r="BD1070" s="309">
        <v>12.9781</v>
      </c>
      <c r="BE1070" s="309">
        <v>15.9719</v>
      </c>
      <c r="BF1070" s="309">
        <v>14.6793</v>
      </c>
      <c r="BG1070" s="309">
        <v>14.2037</v>
      </c>
      <c r="BH1070" s="309">
        <v>14.3283</v>
      </c>
      <c r="BI1070" s="309">
        <v>15.3066</v>
      </c>
      <c r="BJ1070" s="309">
        <v>14.175599999999999</v>
      </c>
      <c r="BK1070" s="309">
        <v>12.8461</v>
      </c>
    </row>
    <row r="1071" spans="1:63" x14ac:dyDescent="0.25">
      <c r="A1071" s="306">
        <v>334516</v>
      </c>
      <c r="B1071" s="309" t="s">
        <v>226</v>
      </c>
      <c r="C1071" s="309">
        <v>17.905899999999999</v>
      </c>
      <c r="D1071" s="309">
        <v>0</v>
      </c>
      <c r="E1071" s="309">
        <v>12.779500000000001</v>
      </c>
      <c r="F1071" s="309">
        <v>0</v>
      </c>
      <c r="G1071" s="309">
        <v>11.1625</v>
      </c>
      <c r="H1071" s="309">
        <v>12.2166</v>
      </c>
      <c r="I1071" s="309">
        <v>13.9123</v>
      </c>
      <c r="J1071" s="309">
        <v>9.6028000000000002</v>
      </c>
      <c r="K1071" s="309">
        <v>1.0724</v>
      </c>
      <c r="L1071" s="309">
        <v>6.3993000000000002</v>
      </c>
      <c r="M1071" s="309">
        <v>13.0853</v>
      </c>
      <c r="N1071" s="309">
        <v>15.293900000000001</v>
      </c>
      <c r="O1071" s="309">
        <v>0</v>
      </c>
      <c r="P1071" s="309">
        <v>0</v>
      </c>
      <c r="Q1071" s="309">
        <v>12.052300000000001</v>
      </c>
      <c r="R1071" s="309">
        <v>13.4016</v>
      </c>
      <c r="S1071" s="309">
        <v>12.197900000000001</v>
      </c>
      <c r="T1071" s="309">
        <v>0</v>
      </c>
      <c r="U1071" s="309">
        <v>13.0075</v>
      </c>
      <c r="V1071" s="309">
        <v>12.4033</v>
      </c>
      <c r="W1071" s="309">
        <v>10.383699999999999</v>
      </c>
      <c r="X1071" s="309">
        <v>9.6075999999999997</v>
      </c>
      <c r="Y1071" s="309">
        <v>12.455</v>
      </c>
      <c r="Z1071" s="309">
        <v>14.222799999999999</v>
      </c>
      <c r="AA1071" s="309">
        <v>13.033099999999999</v>
      </c>
      <c r="AB1071" s="309">
        <v>13.712400000000001</v>
      </c>
      <c r="AC1071" s="309">
        <v>11.5787</v>
      </c>
      <c r="AD1071" s="309">
        <v>10.586</v>
      </c>
      <c r="AE1071" s="309">
        <v>14.0402</v>
      </c>
      <c r="AF1071" s="309">
        <v>0</v>
      </c>
      <c r="AG1071" s="309">
        <v>9.7011000000000003</v>
      </c>
      <c r="AH1071" s="309">
        <v>12.630599999999999</v>
      </c>
      <c r="AI1071" s="309">
        <v>11.159599999999999</v>
      </c>
      <c r="AJ1071" s="309">
        <v>9.9283000000000001</v>
      </c>
      <c r="AK1071" s="309">
        <v>10.5716</v>
      </c>
      <c r="AL1071" s="309">
        <v>8.7348999999999997</v>
      </c>
      <c r="AM1071" s="309">
        <v>14.607100000000001</v>
      </c>
      <c r="AN1071" s="309">
        <v>11.248799999999999</v>
      </c>
      <c r="AO1071" s="309">
        <v>12.487</v>
      </c>
      <c r="AP1071" s="309">
        <v>13.8729</v>
      </c>
      <c r="AQ1071" s="309">
        <v>11.3375</v>
      </c>
      <c r="AR1071" s="309">
        <v>13.513500000000001</v>
      </c>
      <c r="AS1071" s="309">
        <v>0</v>
      </c>
      <c r="AT1071" s="309">
        <v>12.1892</v>
      </c>
      <c r="AU1071" s="309">
        <v>13.2578</v>
      </c>
      <c r="AV1071" s="309">
        <v>17.247900000000001</v>
      </c>
      <c r="AW1071" s="309">
        <v>11.722099999999999</v>
      </c>
      <c r="AX1071" s="309">
        <v>10.282999999999999</v>
      </c>
      <c r="AY1071" s="309">
        <v>11.306699999999999</v>
      </c>
      <c r="AZ1071" s="309">
        <v>13.283899999999999</v>
      </c>
      <c r="BA1071" s="309">
        <v>0</v>
      </c>
      <c r="BB1071" s="309">
        <v>8.0625999999999998</v>
      </c>
      <c r="BC1071" s="309">
        <v>12.738</v>
      </c>
      <c r="BD1071" s="309">
        <v>12.6265</v>
      </c>
      <c r="BE1071" s="309">
        <v>14.9255</v>
      </c>
      <c r="BF1071" s="309">
        <v>13.152900000000001</v>
      </c>
      <c r="BG1071" s="309">
        <v>14.227399999999999</v>
      </c>
      <c r="BH1071" s="309">
        <v>13.2736</v>
      </c>
      <c r="BI1071" s="309">
        <v>13.376799999999999</v>
      </c>
      <c r="BJ1071" s="309">
        <v>14.2376</v>
      </c>
      <c r="BK1071" s="309">
        <v>12.6907</v>
      </c>
    </row>
    <row r="1072" spans="1:63" x14ac:dyDescent="0.25">
      <c r="A1072" s="306">
        <v>334517</v>
      </c>
      <c r="B1072" s="309" t="s">
        <v>227</v>
      </c>
      <c r="C1072" s="309">
        <v>13.4255</v>
      </c>
      <c r="D1072" s="309">
        <v>4.5526999999999997</v>
      </c>
      <c r="E1072" s="309">
        <v>10.3012</v>
      </c>
      <c r="F1072" s="309">
        <v>0</v>
      </c>
      <c r="G1072" s="309">
        <v>7.5683999999999996</v>
      </c>
      <c r="H1072" s="309">
        <v>9.2472999999999992</v>
      </c>
      <c r="I1072" s="309">
        <v>9.0530000000000008</v>
      </c>
      <c r="J1072" s="309">
        <v>7.0579000000000001</v>
      </c>
      <c r="K1072" s="309">
        <v>0</v>
      </c>
      <c r="L1072" s="309">
        <v>0</v>
      </c>
      <c r="M1072" s="309">
        <v>8.4494000000000007</v>
      </c>
      <c r="N1072" s="309">
        <v>10.276400000000001</v>
      </c>
      <c r="O1072" s="309">
        <v>0</v>
      </c>
      <c r="P1072" s="309">
        <v>8.5190999999999999</v>
      </c>
      <c r="Q1072" s="309">
        <v>0</v>
      </c>
      <c r="R1072" s="309">
        <v>9.6244999999999994</v>
      </c>
      <c r="S1072" s="309">
        <v>9.1745999999999999</v>
      </c>
      <c r="T1072" s="309">
        <v>8.0446000000000009</v>
      </c>
      <c r="U1072" s="309">
        <v>10.6158</v>
      </c>
      <c r="V1072" s="309">
        <v>6.7001999999999997</v>
      </c>
      <c r="W1072" s="309">
        <v>7.4337999999999997</v>
      </c>
      <c r="X1072" s="309">
        <v>6.2019000000000002</v>
      </c>
      <c r="Y1072" s="309">
        <v>0</v>
      </c>
      <c r="Z1072" s="309">
        <v>9.3152000000000008</v>
      </c>
      <c r="AA1072" s="309">
        <v>10.075900000000001</v>
      </c>
      <c r="AB1072" s="309">
        <v>10.2043</v>
      </c>
      <c r="AC1072" s="309">
        <v>0</v>
      </c>
      <c r="AD1072" s="309">
        <v>0</v>
      </c>
      <c r="AE1072" s="309">
        <v>11.1884</v>
      </c>
      <c r="AF1072" s="309">
        <v>0</v>
      </c>
      <c r="AG1072" s="309">
        <v>0</v>
      </c>
      <c r="AH1072" s="309">
        <v>0</v>
      </c>
      <c r="AI1072" s="309">
        <v>8.6864000000000008</v>
      </c>
      <c r="AJ1072" s="309">
        <v>7.0963000000000003</v>
      </c>
      <c r="AK1072" s="309">
        <v>0</v>
      </c>
      <c r="AL1072" s="309">
        <v>5.8246000000000002</v>
      </c>
      <c r="AM1072" s="309">
        <v>10.788500000000001</v>
      </c>
      <c r="AN1072" s="309">
        <v>8.73</v>
      </c>
      <c r="AO1072" s="309">
        <v>11.147600000000001</v>
      </c>
      <c r="AP1072" s="309">
        <v>9.4763000000000002</v>
      </c>
      <c r="AQ1072" s="309">
        <v>8.4711999999999996</v>
      </c>
      <c r="AR1072" s="309">
        <v>0</v>
      </c>
      <c r="AS1072" s="309">
        <v>0</v>
      </c>
      <c r="AT1072" s="309">
        <v>9.5042000000000009</v>
      </c>
      <c r="AU1072" s="309">
        <v>9.4277999999999995</v>
      </c>
      <c r="AV1072" s="309">
        <v>10.852</v>
      </c>
      <c r="AW1072" s="309">
        <v>0</v>
      </c>
      <c r="AX1072" s="309">
        <v>7.5713999999999997</v>
      </c>
      <c r="AY1072" s="309">
        <v>8.4871999999999996</v>
      </c>
      <c r="AZ1072" s="309">
        <v>9.1640999999999995</v>
      </c>
      <c r="BA1072" s="309">
        <v>7.5042999999999997</v>
      </c>
      <c r="BB1072" s="309">
        <v>0</v>
      </c>
      <c r="BC1072" s="309">
        <v>9.4430999999999994</v>
      </c>
      <c r="BD1072" s="309">
        <v>8.9210999999999991</v>
      </c>
      <c r="BE1072" s="309">
        <v>10.3254</v>
      </c>
      <c r="BF1072" s="309">
        <v>10.5722</v>
      </c>
      <c r="BG1072" s="309">
        <v>10.855</v>
      </c>
      <c r="BH1072" s="309">
        <v>10.946899999999999</v>
      </c>
      <c r="BI1072" s="309">
        <v>9.7800999999999991</v>
      </c>
      <c r="BJ1072" s="309">
        <v>9.4886999999999997</v>
      </c>
      <c r="BK1072" s="309">
        <v>9.5440000000000005</v>
      </c>
    </row>
    <row r="1073" spans="1:63" x14ac:dyDescent="0.25">
      <c r="A1073" s="306" t="s">
        <v>740</v>
      </c>
      <c r="B1073" s="309" t="s">
        <v>228</v>
      </c>
      <c r="C1073" s="309">
        <v>19.040199999999999</v>
      </c>
      <c r="D1073" s="309">
        <v>0</v>
      </c>
      <c r="E1073" s="309">
        <v>15.3436</v>
      </c>
      <c r="F1073" s="309">
        <v>14.352</v>
      </c>
      <c r="G1073" s="309">
        <v>14.0527</v>
      </c>
      <c r="H1073" s="309">
        <v>13.3005</v>
      </c>
      <c r="I1073" s="309">
        <v>14.925800000000001</v>
      </c>
      <c r="J1073" s="309">
        <v>10.3505</v>
      </c>
      <c r="K1073" s="309">
        <v>0</v>
      </c>
      <c r="L1073" s="309">
        <v>0</v>
      </c>
      <c r="M1073" s="309">
        <v>13.579700000000001</v>
      </c>
      <c r="N1073" s="309">
        <v>15.075100000000001</v>
      </c>
      <c r="O1073" s="309">
        <v>0</v>
      </c>
      <c r="P1073" s="309">
        <v>11.195600000000001</v>
      </c>
      <c r="Q1073" s="309">
        <v>12.5616</v>
      </c>
      <c r="R1073" s="309">
        <v>13.8626</v>
      </c>
      <c r="S1073" s="309">
        <v>13.176299999999999</v>
      </c>
      <c r="T1073" s="309">
        <v>11.595800000000001</v>
      </c>
      <c r="U1073" s="309">
        <v>13.7212</v>
      </c>
      <c r="V1073" s="309">
        <v>12.752800000000001</v>
      </c>
      <c r="W1073" s="309">
        <v>10.9915</v>
      </c>
      <c r="X1073" s="309">
        <v>11.353199999999999</v>
      </c>
      <c r="Y1073" s="309">
        <v>15.1168</v>
      </c>
      <c r="Z1073" s="309">
        <v>14.580500000000001</v>
      </c>
      <c r="AA1073" s="309">
        <v>12.9224</v>
      </c>
      <c r="AB1073" s="309">
        <v>11.8224</v>
      </c>
      <c r="AC1073" s="309">
        <v>13.286799999999999</v>
      </c>
      <c r="AD1073" s="309">
        <v>12.4871</v>
      </c>
      <c r="AE1073" s="309">
        <v>15.0555</v>
      </c>
      <c r="AF1073" s="309">
        <v>11.3941</v>
      </c>
      <c r="AG1073" s="309">
        <v>12.6686</v>
      </c>
      <c r="AH1073" s="309">
        <v>11.147500000000001</v>
      </c>
      <c r="AI1073" s="309">
        <v>11.4956</v>
      </c>
      <c r="AJ1073" s="309">
        <v>11.058299999999999</v>
      </c>
      <c r="AK1073" s="309">
        <v>11.2136</v>
      </c>
      <c r="AL1073" s="309">
        <v>9.6265999999999998</v>
      </c>
      <c r="AM1073" s="309">
        <v>15.052099999999999</v>
      </c>
      <c r="AN1073" s="309">
        <v>14.799799999999999</v>
      </c>
      <c r="AO1073" s="309">
        <v>14.3001</v>
      </c>
      <c r="AP1073" s="309">
        <v>14.581300000000001</v>
      </c>
      <c r="AQ1073" s="309">
        <v>13.4754</v>
      </c>
      <c r="AR1073" s="309">
        <v>13.4588</v>
      </c>
      <c r="AS1073" s="309">
        <v>0</v>
      </c>
      <c r="AT1073" s="309">
        <v>12.9392</v>
      </c>
      <c r="AU1073" s="309">
        <v>14.4726</v>
      </c>
      <c r="AV1073" s="309">
        <v>17.261099999999999</v>
      </c>
      <c r="AW1073" s="309">
        <v>11.2934</v>
      </c>
      <c r="AX1073" s="309">
        <v>10.4404</v>
      </c>
      <c r="AY1073" s="309">
        <v>12.6699</v>
      </c>
      <c r="AZ1073" s="309">
        <v>14.4659</v>
      </c>
      <c r="BA1073" s="309">
        <v>11.459099999999999</v>
      </c>
      <c r="BB1073" s="309">
        <v>9.3125</v>
      </c>
      <c r="BC1073" s="309">
        <v>13.4253</v>
      </c>
      <c r="BD1073" s="309">
        <v>13.364000000000001</v>
      </c>
      <c r="BE1073" s="309">
        <v>15.5764</v>
      </c>
      <c r="BF1073" s="309">
        <v>12.970499999999999</v>
      </c>
      <c r="BG1073" s="309">
        <v>15.8432</v>
      </c>
      <c r="BH1073" s="309">
        <v>13.6508</v>
      </c>
      <c r="BI1073" s="309">
        <v>14.7836</v>
      </c>
      <c r="BJ1073" s="309">
        <v>15.4293</v>
      </c>
      <c r="BK1073" s="309">
        <v>13.9018</v>
      </c>
    </row>
    <row r="1074" spans="1:63" x14ac:dyDescent="0.25">
      <c r="A1074" s="306">
        <v>334613</v>
      </c>
      <c r="B1074" s="309" t="s">
        <v>229</v>
      </c>
      <c r="C1074" s="309">
        <v>12.947900000000001</v>
      </c>
      <c r="D1074" s="309">
        <v>0</v>
      </c>
      <c r="E1074" s="309">
        <v>8.2849000000000004</v>
      </c>
      <c r="F1074" s="309">
        <v>0</v>
      </c>
      <c r="G1074" s="309">
        <v>6.3490000000000002</v>
      </c>
      <c r="H1074" s="309">
        <v>7.8350999999999997</v>
      </c>
      <c r="I1074" s="309">
        <v>8.3272999999999993</v>
      </c>
      <c r="J1074" s="309">
        <v>7.1094999999999997</v>
      </c>
      <c r="K1074" s="309">
        <v>0.69020000000000004</v>
      </c>
      <c r="L1074" s="309">
        <v>0</v>
      </c>
      <c r="M1074" s="309">
        <v>6.9419000000000004</v>
      </c>
      <c r="N1074" s="309">
        <v>9.4872999999999994</v>
      </c>
      <c r="O1074" s="309">
        <v>0</v>
      </c>
      <c r="P1074" s="309">
        <v>0</v>
      </c>
      <c r="Q1074" s="309">
        <v>0</v>
      </c>
      <c r="R1074" s="309">
        <v>8.8762000000000008</v>
      </c>
      <c r="S1074" s="309">
        <v>0</v>
      </c>
      <c r="T1074" s="309">
        <v>6.4531000000000001</v>
      </c>
      <c r="U1074" s="309">
        <v>0</v>
      </c>
      <c r="V1074" s="309">
        <v>0</v>
      </c>
      <c r="W1074" s="309">
        <v>7.7685000000000004</v>
      </c>
      <c r="X1074" s="309">
        <v>7.4604999999999997</v>
      </c>
      <c r="Y1074" s="309">
        <v>8.6235999999999997</v>
      </c>
      <c r="Z1074" s="309">
        <v>0</v>
      </c>
      <c r="AA1074" s="309">
        <v>9.2818000000000005</v>
      </c>
      <c r="AB1074" s="309">
        <v>0</v>
      </c>
      <c r="AC1074" s="309">
        <v>0</v>
      </c>
      <c r="AD1074" s="309">
        <v>0</v>
      </c>
      <c r="AE1074" s="309">
        <v>9.4290000000000003</v>
      </c>
      <c r="AF1074" s="309">
        <v>4.6680000000000001</v>
      </c>
      <c r="AG1074" s="309">
        <v>0</v>
      </c>
      <c r="AH1074" s="309">
        <v>0</v>
      </c>
      <c r="AI1074" s="309">
        <v>6.75</v>
      </c>
      <c r="AJ1074" s="309">
        <v>0</v>
      </c>
      <c r="AK1074" s="309">
        <v>6.9279000000000002</v>
      </c>
      <c r="AL1074" s="309">
        <v>4.8913000000000002</v>
      </c>
      <c r="AM1074" s="309">
        <v>0</v>
      </c>
      <c r="AN1074" s="309">
        <v>7.1745999999999999</v>
      </c>
      <c r="AO1074" s="309">
        <v>0</v>
      </c>
      <c r="AP1074" s="309">
        <v>0</v>
      </c>
      <c r="AQ1074" s="309">
        <v>0</v>
      </c>
      <c r="AR1074" s="309">
        <v>0</v>
      </c>
      <c r="AS1074" s="309">
        <v>0</v>
      </c>
      <c r="AT1074" s="309">
        <v>0</v>
      </c>
      <c r="AU1074" s="309">
        <v>10.307499999999999</v>
      </c>
      <c r="AV1074" s="309">
        <v>11.0861</v>
      </c>
      <c r="AW1074" s="309">
        <v>0</v>
      </c>
      <c r="AX1074" s="309">
        <v>0</v>
      </c>
      <c r="AY1074" s="309">
        <v>9.2481000000000009</v>
      </c>
      <c r="AZ1074" s="309">
        <v>0</v>
      </c>
      <c r="BA1074" s="309">
        <v>0</v>
      </c>
      <c r="BB1074" s="309">
        <v>0</v>
      </c>
      <c r="BC1074" s="309">
        <v>9.4740000000000002</v>
      </c>
      <c r="BD1074" s="309">
        <v>7.7281000000000004</v>
      </c>
      <c r="BE1074" s="309">
        <v>10.276899999999999</v>
      </c>
      <c r="BF1074" s="309">
        <v>8.4182000000000006</v>
      </c>
      <c r="BG1074" s="309">
        <v>9.9177</v>
      </c>
      <c r="BH1074" s="309">
        <v>9.3651999999999997</v>
      </c>
      <c r="BI1074" s="309">
        <v>9.9326000000000008</v>
      </c>
      <c r="BJ1074" s="309">
        <v>8.9400999999999993</v>
      </c>
      <c r="BK1074" s="309">
        <v>8.1754999999999995</v>
      </c>
    </row>
    <row r="1075" spans="1:63" x14ac:dyDescent="0.25">
      <c r="A1075" s="306" t="s">
        <v>741</v>
      </c>
      <c r="B1075" s="309" t="s">
        <v>742</v>
      </c>
      <c r="C1075" s="309">
        <v>17.252500000000001</v>
      </c>
      <c r="D1075" s="309">
        <v>0</v>
      </c>
      <c r="E1075" s="309">
        <v>14.664099999999999</v>
      </c>
      <c r="F1075" s="309">
        <v>10.0839</v>
      </c>
      <c r="G1075" s="309">
        <v>11.493499999999999</v>
      </c>
      <c r="H1075" s="309">
        <v>11.070399999999999</v>
      </c>
      <c r="I1075" s="309">
        <v>10.876099999999999</v>
      </c>
      <c r="J1075" s="309">
        <v>11.3567</v>
      </c>
      <c r="K1075" s="309">
        <v>0.90949999999999998</v>
      </c>
      <c r="L1075" s="309">
        <v>8.0117999999999991</v>
      </c>
      <c r="M1075" s="309">
        <v>11.9519</v>
      </c>
      <c r="N1075" s="309">
        <v>12.8299</v>
      </c>
      <c r="O1075" s="309">
        <v>0</v>
      </c>
      <c r="P1075" s="309">
        <v>8.2391000000000005</v>
      </c>
      <c r="Q1075" s="309">
        <v>11.070399999999999</v>
      </c>
      <c r="R1075" s="309">
        <v>11.549300000000001</v>
      </c>
      <c r="S1075" s="309">
        <v>12.771599999999999</v>
      </c>
      <c r="T1075" s="309">
        <v>7.2670000000000003</v>
      </c>
      <c r="U1075" s="309">
        <v>13.366199999999999</v>
      </c>
      <c r="V1075" s="309">
        <v>11.2525</v>
      </c>
      <c r="W1075" s="309">
        <v>10.053900000000001</v>
      </c>
      <c r="X1075" s="309">
        <v>8.1111000000000004</v>
      </c>
      <c r="Y1075" s="309">
        <v>11.668200000000001</v>
      </c>
      <c r="Z1075" s="309">
        <v>14.4415</v>
      </c>
      <c r="AA1075" s="309">
        <v>12.7387</v>
      </c>
      <c r="AB1075" s="309">
        <v>10.4438</v>
      </c>
      <c r="AC1075" s="309">
        <v>0</v>
      </c>
      <c r="AD1075" s="309">
        <v>10.836600000000001</v>
      </c>
      <c r="AE1075" s="309">
        <v>11.151199999999999</v>
      </c>
      <c r="AF1075" s="309">
        <v>0</v>
      </c>
      <c r="AG1075" s="309">
        <v>11.3996</v>
      </c>
      <c r="AH1075" s="309">
        <v>11.5624</v>
      </c>
      <c r="AI1075" s="309">
        <v>10.957599999999999</v>
      </c>
      <c r="AJ1075" s="309">
        <v>12.069000000000001</v>
      </c>
      <c r="AK1075" s="309">
        <v>11.911</v>
      </c>
      <c r="AL1075" s="309">
        <v>7.5765000000000002</v>
      </c>
      <c r="AM1075" s="309">
        <v>11.597300000000001</v>
      </c>
      <c r="AN1075" s="309">
        <v>12.2035</v>
      </c>
      <c r="AO1075" s="309">
        <v>14.327299999999999</v>
      </c>
      <c r="AP1075" s="309">
        <v>12.242000000000001</v>
      </c>
      <c r="AQ1075" s="309">
        <v>9.6463999999999999</v>
      </c>
      <c r="AR1075" s="309">
        <v>11.811400000000001</v>
      </c>
      <c r="AS1075" s="309">
        <v>0</v>
      </c>
      <c r="AT1075" s="309">
        <v>12.6134</v>
      </c>
      <c r="AU1075" s="309">
        <v>12.0067</v>
      </c>
      <c r="AV1075" s="309">
        <v>15.968400000000001</v>
      </c>
      <c r="AW1075" s="309">
        <v>9.7708999999999993</v>
      </c>
      <c r="AX1075" s="309">
        <v>12.1813</v>
      </c>
      <c r="AY1075" s="309">
        <v>13.299799999999999</v>
      </c>
      <c r="AZ1075" s="309">
        <v>12.996700000000001</v>
      </c>
      <c r="BA1075" s="309">
        <v>7.9318999999999997</v>
      </c>
      <c r="BB1075" s="309">
        <v>0</v>
      </c>
      <c r="BC1075" s="309">
        <v>13.8261</v>
      </c>
      <c r="BD1075" s="309">
        <v>11.430400000000001</v>
      </c>
      <c r="BE1075" s="309">
        <v>14.371</v>
      </c>
      <c r="BF1075" s="309">
        <v>11.824999999999999</v>
      </c>
      <c r="BG1075" s="309">
        <v>12.623200000000001</v>
      </c>
      <c r="BH1075" s="309">
        <v>15.2493</v>
      </c>
      <c r="BI1075" s="309">
        <v>12.3978</v>
      </c>
      <c r="BJ1075" s="309">
        <v>12.452</v>
      </c>
      <c r="BK1075" s="309">
        <v>11.735799999999999</v>
      </c>
    </row>
    <row r="1076" spans="1:63" x14ac:dyDescent="0.25">
      <c r="A1076" s="306">
        <v>335110</v>
      </c>
      <c r="B1076" s="309" t="s">
        <v>230</v>
      </c>
      <c r="C1076" s="309">
        <v>13.720700000000001</v>
      </c>
      <c r="D1076" s="309">
        <v>0</v>
      </c>
      <c r="E1076" s="309">
        <v>13.553800000000001</v>
      </c>
      <c r="F1076" s="309">
        <v>9.4111999999999991</v>
      </c>
      <c r="G1076" s="309">
        <v>12.1295</v>
      </c>
      <c r="H1076" s="309">
        <v>10.6525</v>
      </c>
      <c r="I1076" s="309">
        <v>9.9174000000000007</v>
      </c>
      <c r="J1076" s="309">
        <v>9.0813000000000006</v>
      </c>
      <c r="K1076" s="309">
        <v>0</v>
      </c>
      <c r="L1076" s="309">
        <v>0</v>
      </c>
      <c r="M1076" s="309">
        <v>12.005699999999999</v>
      </c>
      <c r="N1076" s="309">
        <v>0</v>
      </c>
      <c r="O1076" s="309">
        <v>0</v>
      </c>
      <c r="P1076" s="309">
        <v>10.432700000000001</v>
      </c>
      <c r="Q1076" s="309">
        <v>0</v>
      </c>
      <c r="R1076" s="309">
        <v>10.9884</v>
      </c>
      <c r="S1076" s="309">
        <v>11.069900000000001</v>
      </c>
      <c r="T1076" s="309">
        <v>0</v>
      </c>
      <c r="U1076" s="309">
        <v>10.065</v>
      </c>
      <c r="V1076" s="309">
        <v>11.4313</v>
      </c>
      <c r="W1076" s="309">
        <v>7.0125000000000002</v>
      </c>
      <c r="X1076" s="309">
        <v>7.3764000000000003</v>
      </c>
      <c r="Y1076" s="309">
        <v>13.253500000000001</v>
      </c>
      <c r="Z1076" s="309">
        <v>0</v>
      </c>
      <c r="AA1076" s="309">
        <v>0</v>
      </c>
      <c r="AB1076" s="309">
        <v>11.5479</v>
      </c>
      <c r="AC1076" s="309">
        <v>0</v>
      </c>
      <c r="AD1076" s="309">
        <v>0</v>
      </c>
      <c r="AE1076" s="309">
        <v>10.160399999999999</v>
      </c>
      <c r="AF1076" s="309">
        <v>0</v>
      </c>
      <c r="AG1076" s="309">
        <v>0</v>
      </c>
      <c r="AH1076" s="309">
        <v>8.3092000000000006</v>
      </c>
      <c r="AI1076" s="309">
        <v>7.9950000000000001</v>
      </c>
      <c r="AJ1076" s="309">
        <v>0</v>
      </c>
      <c r="AK1076" s="309">
        <v>0</v>
      </c>
      <c r="AL1076" s="309">
        <v>7.4897</v>
      </c>
      <c r="AM1076" s="309">
        <v>10.7309</v>
      </c>
      <c r="AN1076" s="309">
        <v>0</v>
      </c>
      <c r="AO1076" s="309">
        <v>10.507899999999999</v>
      </c>
      <c r="AP1076" s="309">
        <v>12.229100000000001</v>
      </c>
      <c r="AQ1076" s="309">
        <v>0</v>
      </c>
      <c r="AR1076" s="309">
        <v>13.913600000000001</v>
      </c>
      <c r="AS1076" s="309">
        <v>0</v>
      </c>
      <c r="AT1076" s="309">
        <v>14.0397</v>
      </c>
      <c r="AU1076" s="309">
        <v>9.8539999999999992</v>
      </c>
      <c r="AV1076" s="309">
        <v>0</v>
      </c>
      <c r="AW1076" s="309">
        <v>8.4428000000000001</v>
      </c>
      <c r="AX1076" s="309">
        <v>8.6876999999999995</v>
      </c>
      <c r="AY1076" s="309">
        <v>0</v>
      </c>
      <c r="AZ1076" s="309">
        <v>0</v>
      </c>
      <c r="BA1076" s="309">
        <v>8.2888999999999999</v>
      </c>
      <c r="BB1076" s="309">
        <v>0</v>
      </c>
      <c r="BC1076" s="309">
        <v>9.5318000000000005</v>
      </c>
      <c r="BD1076" s="309">
        <v>10.2994</v>
      </c>
      <c r="BE1076" s="309">
        <v>11.5741</v>
      </c>
      <c r="BF1076" s="309">
        <v>12.020799999999999</v>
      </c>
      <c r="BG1076" s="309">
        <v>11.179600000000001</v>
      </c>
      <c r="BH1076" s="309">
        <v>11.094799999999999</v>
      </c>
      <c r="BI1076" s="309">
        <v>10.561500000000001</v>
      </c>
      <c r="BJ1076" s="309">
        <v>12.344799999999999</v>
      </c>
      <c r="BK1076" s="309">
        <v>11.0693</v>
      </c>
    </row>
    <row r="1077" spans="1:63" x14ac:dyDescent="0.25">
      <c r="A1077" s="306">
        <v>335120</v>
      </c>
      <c r="B1077" s="309" t="s">
        <v>231</v>
      </c>
      <c r="C1077" s="309">
        <v>16.201799999999999</v>
      </c>
      <c r="D1077" s="309">
        <v>0</v>
      </c>
      <c r="E1077" s="309">
        <v>13.782500000000001</v>
      </c>
      <c r="F1077" s="309">
        <v>11.1732</v>
      </c>
      <c r="G1077" s="309">
        <v>11.6508</v>
      </c>
      <c r="H1077" s="309">
        <v>11.335599999999999</v>
      </c>
      <c r="I1077" s="309">
        <v>11.9275</v>
      </c>
      <c r="J1077" s="309">
        <v>8.7622</v>
      </c>
      <c r="K1077" s="309">
        <v>0</v>
      </c>
      <c r="L1077" s="309">
        <v>9.0638000000000005</v>
      </c>
      <c r="M1077" s="309">
        <v>12.127599999999999</v>
      </c>
      <c r="N1077" s="309">
        <v>11.4915</v>
      </c>
      <c r="O1077" s="309">
        <v>11.6556</v>
      </c>
      <c r="P1077" s="309">
        <v>8.4655000000000005</v>
      </c>
      <c r="Q1077" s="309">
        <v>10.9251</v>
      </c>
      <c r="R1077" s="309">
        <v>12.561500000000001</v>
      </c>
      <c r="S1077" s="309">
        <v>12.477399999999999</v>
      </c>
      <c r="T1077" s="309">
        <v>8.2288999999999994</v>
      </c>
      <c r="U1077" s="309">
        <v>12.481400000000001</v>
      </c>
      <c r="V1077" s="309">
        <v>12.5928</v>
      </c>
      <c r="W1077" s="309">
        <v>8.5844000000000005</v>
      </c>
      <c r="X1077" s="309">
        <v>10.256399999999999</v>
      </c>
      <c r="Y1077" s="309">
        <v>13.0488</v>
      </c>
      <c r="Z1077" s="309">
        <v>13.014099999999999</v>
      </c>
      <c r="AA1077" s="309">
        <v>11.6294</v>
      </c>
      <c r="AB1077" s="309">
        <v>11.193899999999999</v>
      </c>
      <c r="AC1077" s="309">
        <v>10.9581</v>
      </c>
      <c r="AD1077" s="309">
        <v>10.873200000000001</v>
      </c>
      <c r="AE1077" s="309">
        <v>11.437799999999999</v>
      </c>
      <c r="AF1077" s="309">
        <v>0</v>
      </c>
      <c r="AG1077" s="309">
        <v>7.9134000000000002</v>
      </c>
      <c r="AH1077" s="309">
        <v>9.5879999999999992</v>
      </c>
      <c r="AI1077" s="309">
        <v>9.4015000000000004</v>
      </c>
      <c r="AJ1077" s="309">
        <v>10.921200000000001</v>
      </c>
      <c r="AK1077" s="309">
        <v>10.917</v>
      </c>
      <c r="AL1077" s="309">
        <v>8.5681999999999992</v>
      </c>
      <c r="AM1077" s="309">
        <v>12.8786</v>
      </c>
      <c r="AN1077" s="309">
        <v>12.8355</v>
      </c>
      <c r="AO1077" s="309">
        <v>11.0701</v>
      </c>
      <c r="AP1077" s="309">
        <v>12.779</v>
      </c>
      <c r="AQ1077" s="309">
        <v>9.9174000000000007</v>
      </c>
      <c r="AR1077" s="309">
        <v>11.2521</v>
      </c>
      <c r="AS1077" s="309">
        <v>9.8203999999999994</v>
      </c>
      <c r="AT1077" s="309">
        <v>11.292999999999999</v>
      </c>
      <c r="AU1077" s="309">
        <v>12.1404</v>
      </c>
      <c r="AV1077" s="309">
        <v>13.6302</v>
      </c>
      <c r="AW1077" s="309">
        <v>10.585000000000001</v>
      </c>
      <c r="AX1077" s="309">
        <v>9.6033000000000008</v>
      </c>
      <c r="AY1077" s="309">
        <v>11.514200000000001</v>
      </c>
      <c r="AZ1077" s="309">
        <v>12.1128</v>
      </c>
      <c r="BA1077" s="309">
        <v>11.188599999999999</v>
      </c>
      <c r="BB1077" s="309">
        <v>7.9843999999999999</v>
      </c>
      <c r="BC1077" s="309">
        <v>11.0367</v>
      </c>
      <c r="BD1077" s="309">
        <v>11.497999999999999</v>
      </c>
      <c r="BE1077" s="309">
        <v>13.919</v>
      </c>
      <c r="BF1077" s="309">
        <v>11.0893</v>
      </c>
      <c r="BG1077" s="309">
        <v>12.638400000000001</v>
      </c>
      <c r="BH1077" s="309">
        <v>12.7942</v>
      </c>
      <c r="BI1077" s="309">
        <v>13.016400000000001</v>
      </c>
      <c r="BJ1077" s="309">
        <v>12.3771</v>
      </c>
      <c r="BK1077" s="309">
        <v>11.7623</v>
      </c>
    </row>
    <row r="1078" spans="1:63" x14ac:dyDescent="0.25">
      <c r="A1078" s="306">
        <v>335210</v>
      </c>
      <c r="B1078" s="309" t="s">
        <v>232</v>
      </c>
      <c r="C1078" s="309">
        <v>14.5374</v>
      </c>
      <c r="D1078" s="309">
        <v>0</v>
      </c>
      <c r="E1078" s="309">
        <v>12.869400000000001</v>
      </c>
      <c r="F1078" s="309">
        <v>11.274800000000001</v>
      </c>
      <c r="G1078" s="309">
        <v>8.7292000000000005</v>
      </c>
      <c r="H1078" s="309">
        <v>10.8802</v>
      </c>
      <c r="I1078" s="309">
        <v>8.6079000000000008</v>
      </c>
      <c r="J1078" s="309">
        <v>6.9029999999999996</v>
      </c>
      <c r="K1078" s="309">
        <v>0</v>
      </c>
      <c r="L1078" s="309">
        <v>0</v>
      </c>
      <c r="M1078" s="309">
        <v>7.8845999999999998</v>
      </c>
      <c r="N1078" s="309">
        <v>0</v>
      </c>
      <c r="O1078" s="309">
        <v>0</v>
      </c>
      <c r="P1078" s="309">
        <v>8.7957999999999998</v>
      </c>
      <c r="Q1078" s="309">
        <v>9.1762999999999995</v>
      </c>
      <c r="R1078" s="309">
        <v>10.208500000000001</v>
      </c>
      <c r="S1078" s="309">
        <v>10.903700000000001</v>
      </c>
      <c r="T1078" s="309">
        <v>7.4230999999999998</v>
      </c>
      <c r="U1078" s="309">
        <v>9.5365000000000002</v>
      </c>
      <c r="V1078" s="309">
        <v>0</v>
      </c>
      <c r="W1078" s="309">
        <v>7.9122000000000003</v>
      </c>
      <c r="X1078" s="309">
        <v>6.9103000000000003</v>
      </c>
      <c r="Y1078" s="309">
        <v>0</v>
      </c>
      <c r="Z1078" s="309">
        <v>9.8826000000000001</v>
      </c>
      <c r="AA1078" s="309">
        <v>11.261699999999999</v>
      </c>
      <c r="AB1078" s="309">
        <v>12.484400000000001</v>
      </c>
      <c r="AC1078" s="309">
        <v>11.2323</v>
      </c>
      <c r="AD1078" s="309">
        <v>0</v>
      </c>
      <c r="AE1078" s="309">
        <v>11.8431</v>
      </c>
      <c r="AF1078" s="309">
        <v>0</v>
      </c>
      <c r="AG1078" s="309">
        <v>0</v>
      </c>
      <c r="AH1078" s="309">
        <v>0</v>
      </c>
      <c r="AI1078" s="309">
        <v>9.3568999999999996</v>
      </c>
      <c r="AJ1078" s="309">
        <v>0</v>
      </c>
      <c r="AK1078" s="309">
        <v>0</v>
      </c>
      <c r="AL1078" s="309">
        <v>8.8983000000000008</v>
      </c>
      <c r="AM1078" s="309">
        <v>11.6591</v>
      </c>
      <c r="AN1078" s="309">
        <v>0</v>
      </c>
      <c r="AO1078" s="309">
        <v>0</v>
      </c>
      <c r="AP1078" s="309">
        <v>10.7736</v>
      </c>
      <c r="AQ1078" s="309">
        <v>0</v>
      </c>
      <c r="AR1078" s="309">
        <v>9.6594999999999995</v>
      </c>
      <c r="AS1078" s="309">
        <v>6.5248999999999997</v>
      </c>
      <c r="AT1078" s="309">
        <v>11.758800000000001</v>
      </c>
      <c r="AU1078" s="309">
        <v>11.199299999999999</v>
      </c>
      <c r="AV1078" s="309">
        <v>11.008900000000001</v>
      </c>
      <c r="AW1078" s="309">
        <v>9.4724000000000004</v>
      </c>
      <c r="AX1078" s="309">
        <v>0</v>
      </c>
      <c r="AY1078" s="309">
        <v>7.5808</v>
      </c>
      <c r="AZ1078" s="309">
        <v>10.629099999999999</v>
      </c>
      <c r="BA1078" s="309">
        <v>0</v>
      </c>
      <c r="BB1078" s="309">
        <v>0</v>
      </c>
      <c r="BC1078" s="309">
        <v>8.8058999999999994</v>
      </c>
      <c r="BD1078" s="309">
        <v>10.770799999999999</v>
      </c>
      <c r="BE1078" s="309">
        <v>11.8126</v>
      </c>
      <c r="BF1078" s="309">
        <v>11.1576</v>
      </c>
      <c r="BG1078" s="309">
        <v>11.4552</v>
      </c>
      <c r="BH1078" s="309">
        <v>12.4055</v>
      </c>
      <c r="BI1078" s="309">
        <v>11.884</v>
      </c>
      <c r="BJ1078" s="309">
        <v>9.0908999999999995</v>
      </c>
      <c r="BK1078" s="309">
        <v>9.1138999999999992</v>
      </c>
    </row>
    <row r="1079" spans="1:63" x14ac:dyDescent="0.25">
      <c r="A1079" s="306">
        <v>335221</v>
      </c>
      <c r="B1079" s="309" t="s">
        <v>233</v>
      </c>
      <c r="C1079" s="309">
        <v>16.392499999999998</v>
      </c>
      <c r="D1079" s="309">
        <v>0</v>
      </c>
      <c r="E1079" s="309">
        <v>0</v>
      </c>
      <c r="F1079" s="309">
        <v>0</v>
      </c>
      <c r="G1079" s="309">
        <v>9.6755999999999993</v>
      </c>
      <c r="H1079" s="309">
        <v>9.5455000000000005</v>
      </c>
      <c r="I1079" s="309">
        <v>0</v>
      </c>
      <c r="J1079" s="309">
        <v>8.9010999999999996</v>
      </c>
      <c r="K1079" s="309">
        <v>0</v>
      </c>
      <c r="L1079" s="309">
        <v>0</v>
      </c>
      <c r="M1079" s="309">
        <v>9.7303999999999995</v>
      </c>
      <c r="N1079" s="309">
        <v>10.492000000000001</v>
      </c>
      <c r="O1079" s="309">
        <v>0</v>
      </c>
      <c r="P1079" s="309">
        <v>8.5869999999999997</v>
      </c>
      <c r="Q1079" s="309">
        <v>8.0815000000000001</v>
      </c>
      <c r="R1079" s="309">
        <v>11.5472</v>
      </c>
      <c r="S1079" s="309">
        <v>12.582700000000001</v>
      </c>
      <c r="T1079" s="309">
        <v>9.4448000000000008</v>
      </c>
      <c r="U1079" s="309">
        <v>12.8567</v>
      </c>
      <c r="V1079" s="309">
        <v>9.7767999999999997</v>
      </c>
      <c r="W1079" s="309">
        <v>0</v>
      </c>
      <c r="X1079" s="309">
        <v>7.3224</v>
      </c>
      <c r="Y1079" s="309">
        <v>0</v>
      </c>
      <c r="Z1079" s="309">
        <v>0</v>
      </c>
      <c r="AA1079" s="309">
        <v>0</v>
      </c>
      <c r="AB1079" s="309">
        <v>10.5603</v>
      </c>
      <c r="AC1079" s="309">
        <v>10.1866</v>
      </c>
      <c r="AD1079" s="309">
        <v>6.5956000000000001</v>
      </c>
      <c r="AE1079" s="309">
        <v>11.234500000000001</v>
      </c>
      <c r="AF1079" s="309">
        <v>0</v>
      </c>
      <c r="AG1079" s="309">
        <v>0</v>
      </c>
      <c r="AH1079" s="309">
        <v>0</v>
      </c>
      <c r="AI1079" s="309">
        <v>8.4655000000000005</v>
      </c>
      <c r="AJ1079" s="309">
        <v>0</v>
      </c>
      <c r="AK1079" s="309">
        <v>7.9759000000000002</v>
      </c>
      <c r="AL1079" s="309">
        <v>8.7446000000000002</v>
      </c>
      <c r="AM1079" s="309">
        <v>13.3658</v>
      </c>
      <c r="AN1079" s="309">
        <v>9.9473000000000003</v>
      </c>
      <c r="AO1079" s="309">
        <v>9.4480000000000004</v>
      </c>
      <c r="AP1079" s="309">
        <v>12.7971</v>
      </c>
      <c r="AQ1079" s="309">
        <v>0</v>
      </c>
      <c r="AR1079" s="309">
        <v>12.942500000000001</v>
      </c>
      <c r="AS1079" s="309">
        <v>0</v>
      </c>
      <c r="AT1079" s="309">
        <v>11.9359</v>
      </c>
      <c r="AU1079" s="309">
        <v>11.827299999999999</v>
      </c>
      <c r="AV1079" s="309">
        <v>12.7445</v>
      </c>
      <c r="AW1079" s="309">
        <v>0</v>
      </c>
      <c r="AX1079" s="309">
        <v>0</v>
      </c>
      <c r="AY1079" s="309">
        <v>0</v>
      </c>
      <c r="AZ1079" s="309">
        <v>11.0589</v>
      </c>
      <c r="BA1079" s="309">
        <v>0</v>
      </c>
      <c r="BB1079" s="309">
        <v>0</v>
      </c>
      <c r="BC1079" s="309">
        <v>11.063700000000001</v>
      </c>
      <c r="BD1079" s="309">
        <v>11.1676</v>
      </c>
      <c r="BE1079" s="309">
        <v>13.2166</v>
      </c>
      <c r="BF1079" s="309">
        <v>11.306900000000001</v>
      </c>
      <c r="BG1079" s="309">
        <v>11.0862</v>
      </c>
      <c r="BH1079" s="309">
        <v>12.8325</v>
      </c>
      <c r="BI1079" s="309">
        <v>12.0382</v>
      </c>
      <c r="BJ1079" s="309">
        <v>10.226699999999999</v>
      </c>
      <c r="BK1079" s="309">
        <v>9.8541000000000007</v>
      </c>
    </row>
    <row r="1080" spans="1:63" x14ac:dyDescent="0.25">
      <c r="A1080" s="306">
        <v>335222</v>
      </c>
      <c r="B1080" s="309" t="s">
        <v>234</v>
      </c>
      <c r="C1080" s="309">
        <v>16.008800000000001</v>
      </c>
      <c r="D1080" s="309">
        <v>0</v>
      </c>
      <c r="E1080" s="309">
        <v>11.491</v>
      </c>
      <c r="F1080" s="309">
        <v>11.1556</v>
      </c>
      <c r="G1080" s="309">
        <v>9.2987000000000002</v>
      </c>
      <c r="H1080" s="309">
        <v>9.4642999999999997</v>
      </c>
      <c r="I1080" s="309">
        <v>0</v>
      </c>
      <c r="J1080" s="309">
        <v>0</v>
      </c>
      <c r="K1080" s="309">
        <v>0</v>
      </c>
      <c r="L1080" s="309">
        <v>0</v>
      </c>
      <c r="M1080" s="309">
        <v>11.8988</v>
      </c>
      <c r="N1080" s="309">
        <v>0</v>
      </c>
      <c r="O1080" s="309">
        <v>0</v>
      </c>
      <c r="P1080" s="309">
        <v>8.6951999999999998</v>
      </c>
      <c r="Q1080" s="309">
        <v>0</v>
      </c>
      <c r="R1080" s="309">
        <v>14.368</v>
      </c>
      <c r="S1080" s="309">
        <v>11.106400000000001</v>
      </c>
      <c r="T1080" s="309">
        <v>0</v>
      </c>
      <c r="U1080" s="309">
        <v>10.6379</v>
      </c>
      <c r="V1080" s="309">
        <v>0</v>
      </c>
      <c r="W1080" s="309">
        <v>0</v>
      </c>
      <c r="X1080" s="309">
        <v>0</v>
      </c>
      <c r="Y1080" s="309">
        <v>0</v>
      </c>
      <c r="Z1080" s="309">
        <v>12.1363</v>
      </c>
      <c r="AA1080" s="309">
        <v>11.978999999999999</v>
      </c>
      <c r="AB1080" s="309">
        <v>0</v>
      </c>
      <c r="AC1080" s="309">
        <v>12.689399999999999</v>
      </c>
      <c r="AD1080" s="309">
        <v>0</v>
      </c>
      <c r="AE1080" s="309">
        <v>0</v>
      </c>
      <c r="AF1080" s="309">
        <v>0</v>
      </c>
      <c r="AG1080" s="309">
        <v>0</v>
      </c>
      <c r="AH1080" s="309">
        <v>0</v>
      </c>
      <c r="AI1080" s="309">
        <v>0</v>
      </c>
      <c r="AJ1080" s="309">
        <v>0</v>
      </c>
      <c r="AK1080" s="309">
        <v>0</v>
      </c>
      <c r="AL1080" s="309">
        <v>0</v>
      </c>
      <c r="AM1080" s="309">
        <v>13.9316</v>
      </c>
      <c r="AN1080" s="309">
        <v>0</v>
      </c>
      <c r="AO1080" s="309">
        <v>0</v>
      </c>
      <c r="AP1080" s="309">
        <v>0</v>
      </c>
      <c r="AQ1080" s="309">
        <v>0</v>
      </c>
      <c r="AR1080" s="309">
        <v>12.8332</v>
      </c>
      <c r="AS1080" s="309">
        <v>0</v>
      </c>
      <c r="AT1080" s="309">
        <v>0</v>
      </c>
      <c r="AU1080" s="309">
        <v>13.801500000000001</v>
      </c>
      <c r="AV1080" s="309">
        <v>0</v>
      </c>
      <c r="AW1080" s="309">
        <v>0</v>
      </c>
      <c r="AX1080" s="309">
        <v>0</v>
      </c>
      <c r="AY1080" s="309">
        <v>11.664300000000001</v>
      </c>
      <c r="AZ1080" s="309">
        <v>10.7408</v>
      </c>
      <c r="BA1080" s="309">
        <v>0</v>
      </c>
      <c r="BB1080" s="309">
        <v>0</v>
      </c>
      <c r="BC1080" s="309">
        <v>0</v>
      </c>
      <c r="BD1080" s="309">
        <v>0</v>
      </c>
      <c r="BE1080" s="309">
        <v>13.0868</v>
      </c>
      <c r="BF1080" s="309">
        <v>11.3186</v>
      </c>
      <c r="BG1080" s="309">
        <v>12.8658</v>
      </c>
      <c r="BH1080" s="309">
        <v>12.0746</v>
      </c>
      <c r="BI1080" s="309">
        <v>13.6067</v>
      </c>
      <c r="BJ1080" s="309">
        <v>10.174899999999999</v>
      </c>
      <c r="BK1080" s="309">
        <v>9.7775999999999996</v>
      </c>
    </row>
    <row r="1081" spans="1:63" x14ac:dyDescent="0.25">
      <c r="A1081" s="306">
        <v>335224</v>
      </c>
      <c r="B1081" s="309" t="s">
        <v>235</v>
      </c>
      <c r="C1081" s="309">
        <v>15.0504</v>
      </c>
      <c r="D1081" s="309">
        <v>0</v>
      </c>
      <c r="E1081" s="309">
        <v>0</v>
      </c>
      <c r="F1081" s="309">
        <v>0</v>
      </c>
      <c r="G1081" s="309">
        <v>0</v>
      </c>
      <c r="H1081" s="309">
        <v>20.418500000000002</v>
      </c>
      <c r="I1081" s="309">
        <v>0</v>
      </c>
      <c r="J1081" s="309">
        <v>0</v>
      </c>
      <c r="K1081" s="309">
        <v>0</v>
      </c>
      <c r="L1081" s="309">
        <v>0</v>
      </c>
      <c r="M1081" s="309">
        <v>16.196300000000001</v>
      </c>
      <c r="N1081" s="309">
        <v>0</v>
      </c>
      <c r="O1081" s="309">
        <v>0</v>
      </c>
      <c r="P1081" s="309">
        <v>9.1748999999999992</v>
      </c>
      <c r="Q1081" s="309">
        <v>0</v>
      </c>
      <c r="R1081" s="309">
        <v>19.9984</v>
      </c>
      <c r="S1081" s="309">
        <v>0</v>
      </c>
      <c r="T1081" s="309">
        <v>0</v>
      </c>
      <c r="U1081" s="309">
        <v>0</v>
      </c>
      <c r="V1081" s="309">
        <v>0</v>
      </c>
      <c r="W1081" s="309">
        <v>0</v>
      </c>
      <c r="X1081" s="309">
        <v>0</v>
      </c>
      <c r="Y1081" s="309">
        <v>0</v>
      </c>
      <c r="Z1081" s="309">
        <v>9.9009</v>
      </c>
      <c r="AA1081" s="309">
        <v>0</v>
      </c>
      <c r="AB1081" s="309">
        <v>0</v>
      </c>
      <c r="AC1081" s="309">
        <v>0</v>
      </c>
      <c r="AD1081" s="309">
        <v>0</v>
      </c>
      <c r="AE1081" s="309">
        <v>0</v>
      </c>
      <c r="AF1081" s="309">
        <v>0</v>
      </c>
      <c r="AG1081" s="309">
        <v>0</v>
      </c>
      <c r="AH1081" s="309">
        <v>0</v>
      </c>
      <c r="AI1081" s="309">
        <v>7.9878</v>
      </c>
      <c r="AJ1081" s="309">
        <v>0</v>
      </c>
      <c r="AK1081" s="309">
        <v>0</v>
      </c>
      <c r="AL1081" s="309">
        <v>11.5</v>
      </c>
      <c r="AM1081" s="309">
        <v>13.422499999999999</v>
      </c>
      <c r="AN1081" s="309">
        <v>0</v>
      </c>
      <c r="AO1081" s="309">
        <v>0</v>
      </c>
      <c r="AP1081" s="309">
        <v>0</v>
      </c>
      <c r="AQ1081" s="309">
        <v>0</v>
      </c>
      <c r="AR1081" s="309">
        <v>0</v>
      </c>
      <c r="AS1081" s="309">
        <v>0</v>
      </c>
      <c r="AT1081" s="309">
        <v>0</v>
      </c>
      <c r="AU1081" s="309">
        <v>0</v>
      </c>
      <c r="AV1081" s="309">
        <v>0</v>
      </c>
      <c r="AW1081" s="309">
        <v>16.1435</v>
      </c>
      <c r="AX1081" s="309">
        <v>0</v>
      </c>
      <c r="AY1081" s="309">
        <v>0</v>
      </c>
      <c r="AZ1081" s="309">
        <v>0</v>
      </c>
      <c r="BA1081" s="309">
        <v>0</v>
      </c>
      <c r="BB1081" s="309">
        <v>0</v>
      </c>
      <c r="BC1081" s="309">
        <v>0</v>
      </c>
      <c r="BD1081" s="309">
        <v>14.683199999999999</v>
      </c>
      <c r="BE1081" s="309">
        <v>12.5092</v>
      </c>
      <c r="BF1081" s="309">
        <v>11.370799999999999</v>
      </c>
      <c r="BG1081" s="309">
        <v>18.546600000000002</v>
      </c>
      <c r="BH1081" s="309">
        <v>0</v>
      </c>
      <c r="BI1081" s="309">
        <v>0</v>
      </c>
      <c r="BJ1081" s="309">
        <v>0</v>
      </c>
      <c r="BK1081" s="309">
        <v>20.773099999999999</v>
      </c>
    </row>
    <row r="1082" spans="1:63" x14ac:dyDescent="0.25">
      <c r="A1082" s="306">
        <v>335228</v>
      </c>
      <c r="B1082" s="309" t="s">
        <v>236</v>
      </c>
      <c r="C1082" s="309">
        <v>14.8728</v>
      </c>
      <c r="D1082" s="309">
        <v>0</v>
      </c>
      <c r="E1082" s="309">
        <v>10.272</v>
      </c>
      <c r="F1082" s="309">
        <v>0</v>
      </c>
      <c r="G1082" s="309">
        <v>0</v>
      </c>
      <c r="H1082" s="309">
        <v>8.9619</v>
      </c>
      <c r="I1082" s="309">
        <v>0</v>
      </c>
      <c r="J1082" s="309">
        <v>6.8871000000000002</v>
      </c>
      <c r="K1082" s="309">
        <v>0</v>
      </c>
      <c r="L1082" s="309">
        <v>0</v>
      </c>
      <c r="M1082" s="309">
        <v>8.9223999999999997</v>
      </c>
      <c r="N1082" s="309">
        <v>0</v>
      </c>
      <c r="O1082" s="309">
        <v>0</v>
      </c>
      <c r="P1082" s="309">
        <v>0</v>
      </c>
      <c r="Q1082" s="309">
        <v>0</v>
      </c>
      <c r="R1082" s="309">
        <v>0</v>
      </c>
      <c r="S1082" s="309">
        <v>0</v>
      </c>
      <c r="T1082" s="309">
        <v>0</v>
      </c>
      <c r="U1082" s="309">
        <v>9.0924999999999994</v>
      </c>
      <c r="V1082" s="309">
        <v>9.7469000000000001</v>
      </c>
      <c r="W1082" s="309">
        <v>7.9364999999999997</v>
      </c>
      <c r="X1082" s="309">
        <v>8.2454999999999998</v>
      </c>
      <c r="Y1082" s="309">
        <v>0</v>
      </c>
      <c r="Z1082" s="309">
        <v>10.957599999999999</v>
      </c>
      <c r="AA1082" s="309">
        <v>9.7179000000000002</v>
      </c>
      <c r="AB1082" s="309">
        <v>0</v>
      </c>
      <c r="AC1082" s="309">
        <v>9.5469000000000008</v>
      </c>
      <c r="AD1082" s="309">
        <v>0</v>
      </c>
      <c r="AE1082" s="309">
        <v>10.438599999999999</v>
      </c>
      <c r="AF1082" s="309">
        <v>0</v>
      </c>
      <c r="AG1082" s="309">
        <v>0</v>
      </c>
      <c r="AH1082" s="309">
        <v>9.9122000000000003</v>
      </c>
      <c r="AI1082" s="309">
        <v>7.5586000000000002</v>
      </c>
      <c r="AJ1082" s="309">
        <v>0</v>
      </c>
      <c r="AK1082" s="309">
        <v>0</v>
      </c>
      <c r="AL1082" s="309">
        <v>6.5027999999999997</v>
      </c>
      <c r="AM1082" s="309">
        <v>12.442299999999999</v>
      </c>
      <c r="AN1082" s="309">
        <v>0</v>
      </c>
      <c r="AO1082" s="309">
        <v>0</v>
      </c>
      <c r="AP1082" s="309">
        <v>12.500500000000001</v>
      </c>
      <c r="AQ1082" s="309">
        <v>0</v>
      </c>
      <c r="AR1082" s="309">
        <v>10.3302</v>
      </c>
      <c r="AS1082" s="309">
        <v>0</v>
      </c>
      <c r="AT1082" s="309">
        <v>10.6557</v>
      </c>
      <c r="AU1082" s="309">
        <v>11.201599999999999</v>
      </c>
      <c r="AV1082" s="309">
        <v>0</v>
      </c>
      <c r="AW1082" s="309">
        <v>0</v>
      </c>
      <c r="AX1082" s="309">
        <v>0</v>
      </c>
      <c r="AY1082" s="309">
        <v>8.2011000000000003</v>
      </c>
      <c r="AZ1082" s="309">
        <v>10.3226</v>
      </c>
      <c r="BA1082" s="309">
        <v>0</v>
      </c>
      <c r="BB1082" s="309">
        <v>0</v>
      </c>
      <c r="BC1082" s="309">
        <v>9.8988999999999994</v>
      </c>
      <c r="BD1082" s="309">
        <v>9.0473999999999997</v>
      </c>
      <c r="BE1082" s="309">
        <v>12.5055</v>
      </c>
      <c r="BF1082" s="309">
        <v>9.8478999999999992</v>
      </c>
      <c r="BG1082" s="309">
        <v>10.947900000000001</v>
      </c>
      <c r="BH1082" s="309">
        <v>11.150700000000001</v>
      </c>
      <c r="BI1082" s="309">
        <v>11.7988</v>
      </c>
      <c r="BJ1082" s="309">
        <v>0</v>
      </c>
      <c r="BK1082" s="309">
        <v>9.2161000000000008</v>
      </c>
    </row>
    <row r="1083" spans="1:63" x14ac:dyDescent="0.25">
      <c r="A1083" s="306">
        <v>335311</v>
      </c>
      <c r="B1083" s="309" t="s">
        <v>237</v>
      </c>
      <c r="C1083" s="309">
        <v>16.1966</v>
      </c>
      <c r="D1083" s="309">
        <v>8.5654000000000003</v>
      </c>
      <c r="E1083" s="309">
        <v>13.087999999999999</v>
      </c>
      <c r="F1083" s="309">
        <v>11.566800000000001</v>
      </c>
      <c r="G1083" s="309">
        <v>12.1958</v>
      </c>
      <c r="H1083" s="309">
        <v>10.269299999999999</v>
      </c>
      <c r="I1083" s="309">
        <v>12.7187</v>
      </c>
      <c r="J1083" s="309">
        <v>11.0205</v>
      </c>
      <c r="K1083" s="309">
        <v>0</v>
      </c>
      <c r="L1083" s="309">
        <v>0</v>
      </c>
      <c r="M1083" s="309">
        <v>9.9763000000000002</v>
      </c>
      <c r="N1083" s="309">
        <v>10.5571</v>
      </c>
      <c r="O1083" s="309">
        <v>0</v>
      </c>
      <c r="P1083" s="309">
        <v>11.255699999999999</v>
      </c>
      <c r="Q1083" s="309">
        <v>8.9589999999999996</v>
      </c>
      <c r="R1083" s="309">
        <v>12.0389</v>
      </c>
      <c r="S1083" s="309">
        <v>12.132</v>
      </c>
      <c r="T1083" s="309">
        <v>9.7949000000000002</v>
      </c>
      <c r="U1083" s="309">
        <v>12.420199999999999</v>
      </c>
      <c r="V1083" s="309">
        <v>9.4690999999999992</v>
      </c>
      <c r="W1083" s="309">
        <v>8.2964000000000002</v>
      </c>
      <c r="X1083" s="309">
        <v>9.3193000000000001</v>
      </c>
      <c r="Y1083" s="309">
        <v>0</v>
      </c>
      <c r="Z1083" s="309">
        <v>12.2698</v>
      </c>
      <c r="AA1083" s="309">
        <v>12.362500000000001</v>
      </c>
      <c r="AB1083" s="309">
        <v>10.827500000000001</v>
      </c>
      <c r="AC1083" s="309">
        <v>11.732100000000001</v>
      </c>
      <c r="AD1083" s="309">
        <v>0</v>
      </c>
      <c r="AE1083" s="309">
        <v>10.7506</v>
      </c>
      <c r="AF1083" s="309">
        <v>0</v>
      </c>
      <c r="AG1083" s="309">
        <v>0</v>
      </c>
      <c r="AH1083" s="309">
        <v>10.8179</v>
      </c>
      <c r="AI1083" s="309">
        <v>9.7347000000000001</v>
      </c>
      <c r="AJ1083" s="309">
        <v>8.8472000000000008</v>
      </c>
      <c r="AK1083" s="309">
        <v>0</v>
      </c>
      <c r="AL1083" s="309">
        <v>9.6354000000000006</v>
      </c>
      <c r="AM1083" s="309">
        <v>12.161099999999999</v>
      </c>
      <c r="AN1083" s="309">
        <v>13.9565</v>
      </c>
      <c r="AO1083" s="309">
        <v>12.3268</v>
      </c>
      <c r="AP1083" s="309">
        <v>13.460100000000001</v>
      </c>
      <c r="AQ1083" s="309">
        <v>0</v>
      </c>
      <c r="AR1083" s="309">
        <v>12.7949</v>
      </c>
      <c r="AS1083" s="309">
        <v>8.0022000000000002</v>
      </c>
      <c r="AT1083" s="309">
        <v>12.059100000000001</v>
      </c>
      <c r="AU1083" s="309">
        <v>12.6312</v>
      </c>
      <c r="AV1083" s="309">
        <v>13.3072</v>
      </c>
      <c r="AW1083" s="309">
        <v>9.6928000000000001</v>
      </c>
      <c r="AX1083" s="309">
        <v>8.8934999999999995</v>
      </c>
      <c r="AY1083" s="309">
        <v>9.1722999999999999</v>
      </c>
      <c r="AZ1083" s="309">
        <v>10.5375</v>
      </c>
      <c r="BA1083" s="309">
        <v>11.1967</v>
      </c>
      <c r="BB1083" s="309">
        <v>0</v>
      </c>
      <c r="BC1083" s="309">
        <v>10.5488</v>
      </c>
      <c r="BD1083" s="309">
        <v>12.4116</v>
      </c>
      <c r="BE1083" s="309">
        <v>13.1037</v>
      </c>
      <c r="BF1083" s="309">
        <v>11.3348</v>
      </c>
      <c r="BG1083" s="309">
        <v>11.7639</v>
      </c>
      <c r="BH1083" s="309">
        <v>13.563700000000001</v>
      </c>
      <c r="BI1083" s="309">
        <v>13.4313</v>
      </c>
      <c r="BJ1083" s="309">
        <v>12.4711</v>
      </c>
      <c r="BK1083" s="309">
        <v>10.685700000000001</v>
      </c>
    </row>
    <row r="1084" spans="1:63" x14ac:dyDescent="0.25">
      <c r="A1084" s="306">
        <v>335312</v>
      </c>
      <c r="B1084" s="309" t="s">
        <v>238</v>
      </c>
      <c r="C1084" s="309">
        <v>16.195</v>
      </c>
      <c r="D1084" s="309">
        <v>0</v>
      </c>
      <c r="E1084" s="309">
        <v>12.351900000000001</v>
      </c>
      <c r="F1084" s="309">
        <v>11.0886</v>
      </c>
      <c r="G1084" s="309">
        <v>8.7470999999999997</v>
      </c>
      <c r="H1084" s="309">
        <v>10.5738</v>
      </c>
      <c r="I1084" s="309">
        <v>9.4527999999999999</v>
      </c>
      <c r="J1084" s="309">
        <v>8.5960000000000001</v>
      </c>
      <c r="K1084" s="309">
        <v>0</v>
      </c>
      <c r="L1084" s="309">
        <v>6.1749999999999998</v>
      </c>
      <c r="M1084" s="309">
        <v>11.546799999999999</v>
      </c>
      <c r="N1084" s="309">
        <v>10.8642</v>
      </c>
      <c r="O1084" s="309">
        <v>0</v>
      </c>
      <c r="P1084" s="309">
        <v>11.0029</v>
      </c>
      <c r="Q1084" s="309">
        <v>8.9392999999999994</v>
      </c>
      <c r="R1084" s="309">
        <v>11.251200000000001</v>
      </c>
      <c r="S1084" s="309">
        <v>11.9062</v>
      </c>
      <c r="T1084" s="309">
        <v>9.1341000000000001</v>
      </c>
      <c r="U1084" s="309">
        <v>13.362500000000001</v>
      </c>
      <c r="V1084" s="309">
        <v>9.7278000000000002</v>
      </c>
      <c r="W1084" s="309">
        <v>8.7835000000000001</v>
      </c>
      <c r="X1084" s="309">
        <v>10.1037</v>
      </c>
      <c r="Y1084" s="309">
        <v>11.6839</v>
      </c>
      <c r="Z1084" s="309">
        <v>12.9498</v>
      </c>
      <c r="AA1084" s="309">
        <v>9.7081999999999997</v>
      </c>
      <c r="AB1084" s="309">
        <v>11.2073</v>
      </c>
      <c r="AC1084" s="309">
        <v>11.29</v>
      </c>
      <c r="AD1084" s="309">
        <v>7.1142000000000003</v>
      </c>
      <c r="AE1084" s="309">
        <v>12.3095</v>
      </c>
      <c r="AF1084" s="309">
        <v>0</v>
      </c>
      <c r="AG1084" s="309">
        <v>10.0915</v>
      </c>
      <c r="AH1084" s="309">
        <v>8.7535000000000007</v>
      </c>
      <c r="AI1084" s="309">
        <v>8.7286000000000001</v>
      </c>
      <c r="AJ1084" s="309">
        <v>10.3156</v>
      </c>
      <c r="AK1084" s="309">
        <v>10.1732</v>
      </c>
      <c r="AL1084" s="309">
        <v>9.8764000000000003</v>
      </c>
      <c r="AM1084" s="309">
        <v>12.6905</v>
      </c>
      <c r="AN1084" s="309">
        <v>12.1228</v>
      </c>
      <c r="AO1084" s="309">
        <v>9.7476000000000003</v>
      </c>
      <c r="AP1084" s="309">
        <v>12.344900000000001</v>
      </c>
      <c r="AQ1084" s="309">
        <v>0</v>
      </c>
      <c r="AR1084" s="309">
        <v>12.204800000000001</v>
      </c>
      <c r="AS1084" s="309">
        <v>0</v>
      </c>
      <c r="AT1084" s="309">
        <v>13.1754</v>
      </c>
      <c r="AU1084" s="309">
        <v>11.557499999999999</v>
      </c>
      <c r="AV1084" s="309">
        <v>11.4534</v>
      </c>
      <c r="AW1084" s="309">
        <v>10.0982</v>
      </c>
      <c r="AX1084" s="309">
        <v>0</v>
      </c>
      <c r="AY1084" s="309">
        <v>8.7278000000000002</v>
      </c>
      <c r="AZ1084" s="309">
        <v>12.5238</v>
      </c>
      <c r="BA1084" s="309">
        <v>10.117599999999999</v>
      </c>
      <c r="BB1084" s="309">
        <v>5.7393000000000001</v>
      </c>
      <c r="BC1084" s="309">
        <v>10.522500000000001</v>
      </c>
      <c r="BD1084" s="309">
        <v>11.866300000000001</v>
      </c>
      <c r="BE1084" s="309">
        <v>13.523199999999999</v>
      </c>
      <c r="BF1084" s="309">
        <v>10.868</v>
      </c>
      <c r="BG1084" s="309">
        <v>12.335100000000001</v>
      </c>
      <c r="BH1084" s="309">
        <v>13.984400000000001</v>
      </c>
      <c r="BI1084" s="309">
        <v>12.8612</v>
      </c>
      <c r="BJ1084" s="309">
        <v>10.113300000000001</v>
      </c>
      <c r="BK1084" s="309">
        <v>10.7949</v>
      </c>
    </row>
    <row r="1085" spans="1:63" x14ac:dyDescent="0.25">
      <c r="A1085" s="306">
        <v>335313</v>
      </c>
      <c r="B1085" s="309" t="s">
        <v>239</v>
      </c>
      <c r="C1085" s="309">
        <v>14.136900000000001</v>
      </c>
      <c r="D1085" s="309">
        <v>8.1509999999999998</v>
      </c>
      <c r="E1085" s="309">
        <v>11.319900000000001</v>
      </c>
      <c r="F1085" s="309">
        <v>8.7871000000000006</v>
      </c>
      <c r="G1085" s="309">
        <v>9.7794000000000008</v>
      </c>
      <c r="H1085" s="309">
        <v>10.113899999999999</v>
      </c>
      <c r="I1085" s="309">
        <v>10.6974</v>
      </c>
      <c r="J1085" s="309">
        <v>7.3502999999999998</v>
      </c>
      <c r="K1085" s="309">
        <v>0</v>
      </c>
      <c r="L1085" s="309">
        <v>6.4649999999999999</v>
      </c>
      <c r="M1085" s="309">
        <v>9.6504999999999992</v>
      </c>
      <c r="N1085" s="309">
        <v>8.859</v>
      </c>
      <c r="O1085" s="309">
        <v>0</v>
      </c>
      <c r="P1085" s="309">
        <v>7.3360000000000003</v>
      </c>
      <c r="Q1085" s="309">
        <v>0</v>
      </c>
      <c r="R1085" s="309">
        <v>10.623100000000001</v>
      </c>
      <c r="S1085" s="309">
        <v>10.486700000000001</v>
      </c>
      <c r="T1085" s="309">
        <v>8.99</v>
      </c>
      <c r="U1085" s="309">
        <v>9.8102999999999998</v>
      </c>
      <c r="V1085" s="309">
        <v>9.1417000000000002</v>
      </c>
      <c r="W1085" s="309">
        <v>8.0260999999999996</v>
      </c>
      <c r="X1085" s="309">
        <v>8.2759</v>
      </c>
      <c r="Y1085" s="309">
        <v>8.8112999999999992</v>
      </c>
      <c r="Z1085" s="309">
        <v>11.412800000000001</v>
      </c>
      <c r="AA1085" s="309">
        <v>10.063700000000001</v>
      </c>
      <c r="AB1085" s="309">
        <v>9.8590999999999998</v>
      </c>
      <c r="AC1085" s="309">
        <v>9.1438000000000006</v>
      </c>
      <c r="AD1085" s="309">
        <v>0</v>
      </c>
      <c r="AE1085" s="309">
        <v>9.7833000000000006</v>
      </c>
      <c r="AF1085" s="309">
        <v>0</v>
      </c>
      <c r="AG1085" s="309">
        <v>8.1372</v>
      </c>
      <c r="AH1085" s="309">
        <v>9.7973999999999997</v>
      </c>
      <c r="AI1085" s="309">
        <v>7.9</v>
      </c>
      <c r="AJ1085" s="309">
        <v>6.7763999999999998</v>
      </c>
      <c r="AK1085" s="309">
        <v>9.5677000000000003</v>
      </c>
      <c r="AL1085" s="309">
        <v>6.6332000000000004</v>
      </c>
      <c r="AM1085" s="309">
        <v>12.3849</v>
      </c>
      <c r="AN1085" s="309">
        <v>11.1778</v>
      </c>
      <c r="AO1085" s="309">
        <v>9.5934000000000008</v>
      </c>
      <c r="AP1085" s="309">
        <v>11.0509</v>
      </c>
      <c r="AQ1085" s="309">
        <v>0</v>
      </c>
      <c r="AR1085" s="309">
        <v>10.979900000000001</v>
      </c>
      <c r="AS1085" s="309">
        <v>8.2812000000000001</v>
      </c>
      <c r="AT1085" s="309">
        <v>9.4361999999999995</v>
      </c>
      <c r="AU1085" s="309">
        <v>11.201499999999999</v>
      </c>
      <c r="AV1085" s="309">
        <v>12.6595</v>
      </c>
      <c r="AW1085" s="309">
        <v>9.0958000000000006</v>
      </c>
      <c r="AX1085" s="309">
        <v>0</v>
      </c>
      <c r="AY1085" s="309">
        <v>9.4796999999999993</v>
      </c>
      <c r="AZ1085" s="309">
        <v>10.693099999999999</v>
      </c>
      <c r="BA1085" s="309">
        <v>8.4492999999999991</v>
      </c>
      <c r="BB1085" s="309">
        <v>6.0534999999999997</v>
      </c>
      <c r="BC1085" s="309">
        <v>9.5277999999999992</v>
      </c>
      <c r="BD1085" s="309">
        <v>9.9057999999999993</v>
      </c>
      <c r="BE1085" s="309">
        <v>12.1526</v>
      </c>
      <c r="BF1085" s="309">
        <v>10.1371</v>
      </c>
      <c r="BG1085" s="309">
        <v>10.7806</v>
      </c>
      <c r="BH1085" s="309">
        <v>10.376200000000001</v>
      </c>
      <c r="BI1085" s="309">
        <v>11.6488</v>
      </c>
      <c r="BJ1085" s="309">
        <v>10.707100000000001</v>
      </c>
      <c r="BK1085" s="309">
        <v>10.446400000000001</v>
      </c>
    </row>
    <row r="1086" spans="1:63" x14ac:dyDescent="0.25">
      <c r="A1086" s="306">
        <v>335314</v>
      </c>
      <c r="B1086" s="309" t="s">
        <v>9</v>
      </c>
      <c r="C1086" s="309">
        <v>15.192399999999999</v>
      </c>
      <c r="D1086" s="309">
        <v>11.697900000000001</v>
      </c>
      <c r="E1086" s="309">
        <v>11.0573</v>
      </c>
      <c r="F1086" s="309">
        <v>10.867000000000001</v>
      </c>
      <c r="G1086" s="309">
        <v>12.360200000000001</v>
      </c>
      <c r="H1086" s="309">
        <v>11.045</v>
      </c>
      <c r="I1086" s="309">
        <v>11.4139</v>
      </c>
      <c r="J1086" s="309">
        <v>8.0294000000000008</v>
      </c>
      <c r="K1086" s="309">
        <v>0</v>
      </c>
      <c r="L1086" s="309">
        <v>5.5900999999999996</v>
      </c>
      <c r="M1086" s="309">
        <v>11.7631</v>
      </c>
      <c r="N1086" s="309">
        <v>10.6434</v>
      </c>
      <c r="O1086" s="309">
        <v>0</v>
      </c>
      <c r="P1086" s="309">
        <v>10.825200000000001</v>
      </c>
      <c r="Q1086" s="309">
        <v>11.7241</v>
      </c>
      <c r="R1086" s="309">
        <v>12.113</v>
      </c>
      <c r="S1086" s="309">
        <v>13.108499999999999</v>
      </c>
      <c r="T1086" s="309">
        <v>9.6885999999999992</v>
      </c>
      <c r="U1086" s="309">
        <v>11.2903</v>
      </c>
      <c r="V1086" s="309">
        <v>9.5075000000000003</v>
      </c>
      <c r="W1086" s="309">
        <v>8.4331999999999994</v>
      </c>
      <c r="X1086" s="309">
        <v>10.004799999999999</v>
      </c>
      <c r="Y1086" s="309">
        <v>12.5989</v>
      </c>
      <c r="Z1086" s="309">
        <v>11.2567</v>
      </c>
      <c r="AA1086" s="309">
        <v>11.961</v>
      </c>
      <c r="AB1086" s="309">
        <v>11.270099999999999</v>
      </c>
      <c r="AC1086" s="309">
        <v>10.997199999999999</v>
      </c>
      <c r="AD1086" s="309">
        <v>0</v>
      </c>
      <c r="AE1086" s="309">
        <v>11.240600000000001</v>
      </c>
      <c r="AF1086" s="309">
        <v>6.2051999999999996</v>
      </c>
      <c r="AG1086" s="309">
        <v>9.8435000000000006</v>
      </c>
      <c r="AH1086" s="309">
        <v>10.643700000000001</v>
      </c>
      <c r="AI1086" s="309">
        <v>9.0366</v>
      </c>
      <c r="AJ1086" s="309">
        <v>8.0909999999999993</v>
      </c>
      <c r="AK1086" s="309">
        <v>12.5098</v>
      </c>
      <c r="AL1086" s="309">
        <v>8.1204999999999998</v>
      </c>
      <c r="AM1086" s="309">
        <v>12.0373</v>
      </c>
      <c r="AN1086" s="309">
        <v>12.999599999999999</v>
      </c>
      <c r="AO1086" s="309">
        <v>10.8766</v>
      </c>
      <c r="AP1086" s="309">
        <v>11.918900000000001</v>
      </c>
      <c r="AQ1086" s="309">
        <v>7.7717000000000001</v>
      </c>
      <c r="AR1086" s="309">
        <v>12.3368</v>
      </c>
      <c r="AS1086" s="309">
        <v>11.227</v>
      </c>
      <c r="AT1086" s="309">
        <v>14.0893</v>
      </c>
      <c r="AU1086" s="309">
        <v>12.492599999999999</v>
      </c>
      <c r="AV1086" s="309">
        <v>13.478899999999999</v>
      </c>
      <c r="AW1086" s="309">
        <v>9.3177000000000003</v>
      </c>
      <c r="AX1086" s="309">
        <v>10.7804</v>
      </c>
      <c r="AY1086" s="309">
        <v>11.291399999999999</v>
      </c>
      <c r="AZ1086" s="309">
        <v>11.118499999999999</v>
      </c>
      <c r="BA1086" s="309">
        <v>9.9428000000000001</v>
      </c>
      <c r="BB1086" s="309">
        <v>9.8452000000000002</v>
      </c>
      <c r="BC1086" s="309">
        <v>10.454700000000001</v>
      </c>
      <c r="BD1086" s="309">
        <v>11.008800000000001</v>
      </c>
      <c r="BE1086" s="309">
        <v>12.6082</v>
      </c>
      <c r="BF1086" s="309">
        <v>11.8916</v>
      </c>
      <c r="BG1086" s="309">
        <v>12.4534</v>
      </c>
      <c r="BH1086" s="309">
        <v>13.1745</v>
      </c>
      <c r="BI1086" s="309">
        <v>12.874700000000001</v>
      </c>
      <c r="BJ1086" s="309">
        <v>12.1</v>
      </c>
      <c r="BK1086" s="309">
        <v>11.626099999999999</v>
      </c>
    </row>
    <row r="1087" spans="1:63" x14ac:dyDescent="0.25">
      <c r="A1087" s="306">
        <v>335911</v>
      </c>
      <c r="B1087" s="309" t="s">
        <v>240</v>
      </c>
      <c r="C1087" s="309">
        <v>16.332799999999999</v>
      </c>
      <c r="D1087" s="309">
        <v>0</v>
      </c>
      <c r="E1087" s="309">
        <v>0</v>
      </c>
      <c r="F1087" s="309">
        <v>9.7713000000000001</v>
      </c>
      <c r="G1087" s="309">
        <v>12.125</v>
      </c>
      <c r="H1087" s="309">
        <v>11.1153</v>
      </c>
      <c r="I1087" s="309">
        <v>12.3888</v>
      </c>
      <c r="J1087" s="309">
        <v>9.1699000000000002</v>
      </c>
      <c r="K1087" s="309">
        <v>0</v>
      </c>
      <c r="L1087" s="309">
        <v>7.0620000000000003</v>
      </c>
      <c r="M1087" s="309">
        <v>10.2285</v>
      </c>
      <c r="N1087" s="309">
        <v>10.8559</v>
      </c>
      <c r="O1087" s="309">
        <v>0</v>
      </c>
      <c r="P1087" s="309">
        <v>9.6585999999999999</v>
      </c>
      <c r="Q1087" s="309">
        <v>0</v>
      </c>
      <c r="R1087" s="309">
        <v>11.0474</v>
      </c>
      <c r="S1087" s="309">
        <v>12.168900000000001</v>
      </c>
      <c r="T1087" s="309">
        <v>9.4138000000000002</v>
      </c>
      <c r="U1087" s="309">
        <v>12.578200000000001</v>
      </c>
      <c r="V1087" s="309">
        <v>0</v>
      </c>
      <c r="W1087" s="309">
        <v>0</v>
      </c>
      <c r="X1087" s="309">
        <v>0</v>
      </c>
      <c r="Y1087" s="309">
        <v>0</v>
      </c>
      <c r="Z1087" s="309">
        <v>10.8276</v>
      </c>
      <c r="AA1087" s="309">
        <v>10.1699</v>
      </c>
      <c r="AB1087" s="309">
        <v>12.780099999999999</v>
      </c>
      <c r="AC1087" s="309">
        <v>11.0824</v>
      </c>
      <c r="AD1087" s="309">
        <v>0</v>
      </c>
      <c r="AE1087" s="309">
        <v>11.8811</v>
      </c>
      <c r="AF1087" s="309">
        <v>0</v>
      </c>
      <c r="AG1087" s="309">
        <v>0</v>
      </c>
      <c r="AH1087" s="309">
        <v>0</v>
      </c>
      <c r="AI1087" s="309">
        <v>11.063499999999999</v>
      </c>
      <c r="AJ1087" s="309">
        <v>0</v>
      </c>
      <c r="AK1087" s="309">
        <v>0</v>
      </c>
      <c r="AL1087" s="309">
        <v>0</v>
      </c>
      <c r="AM1087" s="309">
        <v>13.2342</v>
      </c>
      <c r="AN1087" s="309">
        <v>12.617599999999999</v>
      </c>
      <c r="AO1087" s="309">
        <v>10.3878</v>
      </c>
      <c r="AP1087" s="309">
        <v>13.044499999999999</v>
      </c>
      <c r="AQ1087" s="309">
        <v>11.180999999999999</v>
      </c>
      <c r="AR1087" s="309">
        <v>13.246600000000001</v>
      </c>
      <c r="AS1087" s="309">
        <v>0</v>
      </c>
      <c r="AT1087" s="309">
        <v>13.074199999999999</v>
      </c>
      <c r="AU1087" s="309">
        <v>12.2446</v>
      </c>
      <c r="AV1087" s="309">
        <v>13.7043</v>
      </c>
      <c r="AW1087" s="309">
        <v>0</v>
      </c>
      <c r="AX1087" s="309">
        <v>0</v>
      </c>
      <c r="AY1087" s="309">
        <v>12.120200000000001</v>
      </c>
      <c r="AZ1087" s="309">
        <v>11.293799999999999</v>
      </c>
      <c r="BA1087" s="309">
        <v>11.007899999999999</v>
      </c>
      <c r="BB1087" s="309">
        <v>0</v>
      </c>
      <c r="BC1087" s="309">
        <v>11.529500000000001</v>
      </c>
      <c r="BD1087" s="309">
        <v>12.1417</v>
      </c>
      <c r="BE1087" s="309">
        <v>13.335100000000001</v>
      </c>
      <c r="BF1087" s="309">
        <v>12.2852</v>
      </c>
      <c r="BG1087" s="309">
        <v>12.0565</v>
      </c>
      <c r="BH1087" s="309">
        <v>13.899800000000001</v>
      </c>
      <c r="BI1087" s="309">
        <v>12.6036</v>
      </c>
      <c r="BJ1087" s="309">
        <v>13.411899999999999</v>
      </c>
      <c r="BK1087" s="309">
        <v>11.768599999999999</v>
      </c>
    </row>
    <row r="1088" spans="1:63" x14ac:dyDescent="0.25">
      <c r="A1088" s="306">
        <v>335912</v>
      </c>
      <c r="B1088" s="309" t="s">
        <v>241</v>
      </c>
      <c r="C1088" s="309">
        <v>11.0259</v>
      </c>
      <c r="D1088" s="309">
        <v>0</v>
      </c>
      <c r="E1088" s="309">
        <v>9.6473999999999993</v>
      </c>
      <c r="F1088" s="309">
        <v>0</v>
      </c>
      <c r="G1088" s="309">
        <v>5.79</v>
      </c>
      <c r="H1088" s="309">
        <v>6.1669999999999998</v>
      </c>
      <c r="I1088" s="309">
        <v>8.2515999999999998</v>
      </c>
      <c r="J1088" s="309">
        <v>6.0628000000000002</v>
      </c>
      <c r="K1088" s="309">
        <v>0</v>
      </c>
      <c r="L1088" s="309">
        <v>0</v>
      </c>
      <c r="M1088" s="309">
        <v>5.8281000000000001</v>
      </c>
      <c r="N1088" s="309">
        <v>7.1482000000000001</v>
      </c>
      <c r="O1088" s="309">
        <v>0</v>
      </c>
      <c r="P1088" s="309">
        <v>5.7336</v>
      </c>
      <c r="Q1088" s="309">
        <v>0</v>
      </c>
      <c r="R1088" s="309">
        <v>9.5350000000000001</v>
      </c>
      <c r="S1088" s="309">
        <v>7.1227</v>
      </c>
      <c r="T1088" s="309">
        <v>0</v>
      </c>
      <c r="U1088" s="309">
        <v>9.4787999999999997</v>
      </c>
      <c r="V1088" s="309">
        <v>0</v>
      </c>
      <c r="W1088" s="309">
        <v>5.8465999999999996</v>
      </c>
      <c r="X1088" s="309">
        <v>0</v>
      </c>
      <c r="Y1088" s="309">
        <v>0</v>
      </c>
      <c r="Z1088" s="309">
        <v>0</v>
      </c>
      <c r="AA1088" s="309">
        <v>8.9126999999999992</v>
      </c>
      <c r="AB1088" s="309">
        <v>7.4105999999999996</v>
      </c>
      <c r="AC1088" s="309">
        <v>0</v>
      </c>
      <c r="AD1088" s="309">
        <v>0</v>
      </c>
      <c r="AE1088" s="309">
        <v>7.7012</v>
      </c>
      <c r="AF1088" s="309">
        <v>0</v>
      </c>
      <c r="AG1088" s="309">
        <v>0</v>
      </c>
      <c r="AH1088" s="309">
        <v>0</v>
      </c>
      <c r="AI1088" s="309">
        <v>5.5678999999999998</v>
      </c>
      <c r="AJ1088" s="309">
        <v>0</v>
      </c>
      <c r="AK1088" s="309">
        <v>6.1401000000000003</v>
      </c>
      <c r="AL1088" s="309">
        <v>5.6996000000000002</v>
      </c>
      <c r="AM1088" s="309">
        <v>0</v>
      </c>
      <c r="AN1088" s="309">
        <v>0</v>
      </c>
      <c r="AO1088" s="309">
        <v>0</v>
      </c>
      <c r="AP1088" s="309">
        <v>8.7202999999999999</v>
      </c>
      <c r="AQ1088" s="309">
        <v>0</v>
      </c>
      <c r="AR1088" s="309">
        <v>7.4095000000000004</v>
      </c>
      <c r="AS1088" s="309">
        <v>0</v>
      </c>
      <c r="AT1088" s="309">
        <v>8.3567999999999998</v>
      </c>
      <c r="AU1088" s="309">
        <v>8.9321000000000002</v>
      </c>
      <c r="AV1088" s="309">
        <v>0</v>
      </c>
      <c r="AW1088" s="309">
        <v>0</v>
      </c>
      <c r="AX1088" s="309">
        <v>6.1403999999999996</v>
      </c>
      <c r="AY1088" s="309">
        <v>0</v>
      </c>
      <c r="AZ1088" s="309">
        <v>7.2556000000000003</v>
      </c>
      <c r="BA1088" s="309">
        <v>0</v>
      </c>
      <c r="BB1088" s="309">
        <v>0</v>
      </c>
      <c r="BC1088" s="309">
        <v>7.5023</v>
      </c>
      <c r="BD1088" s="309">
        <v>7.8601999999999999</v>
      </c>
      <c r="BE1088" s="309">
        <v>8.6166</v>
      </c>
      <c r="BF1088" s="309">
        <v>7.6634000000000002</v>
      </c>
      <c r="BG1088" s="309">
        <v>7.8113999999999999</v>
      </c>
      <c r="BH1088" s="309">
        <v>9.0759000000000007</v>
      </c>
      <c r="BI1088" s="309">
        <v>9.3491999999999997</v>
      </c>
      <c r="BJ1088" s="309">
        <v>7.0566000000000004</v>
      </c>
      <c r="BK1088" s="309">
        <v>6.3152999999999997</v>
      </c>
    </row>
    <row r="1089" spans="1:63" x14ac:dyDescent="0.25">
      <c r="A1089" s="306">
        <v>335920</v>
      </c>
      <c r="B1089" s="309" t="s">
        <v>242</v>
      </c>
      <c r="C1089" s="309">
        <v>15.249499999999999</v>
      </c>
      <c r="D1089" s="309">
        <v>0</v>
      </c>
      <c r="E1089" s="309">
        <v>11.766</v>
      </c>
      <c r="F1089" s="309">
        <v>8.8160000000000007</v>
      </c>
      <c r="G1089" s="309">
        <v>8.3653999999999993</v>
      </c>
      <c r="H1089" s="309">
        <v>8.3693000000000008</v>
      </c>
      <c r="I1089" s="309">
        <v>9.9528999999999996</v>
      </c>
      <c r="J1089" s="309">
        <v>8.1952999999999996</v>
      </c>
      <c r="K1089" s="309">
        <v>0</v>
      </c>
      <c r="L1089" s="309">
        <v>4.9825999999999997</v>
      </c>
      <c r="M1089" s="309">
        <v>9.7733000000000008</v>
      </c>
      <c r="N1089" s="309">
        <v>10.979100000000001</v>
      </c>
      <c r="O1089" s="309">
        <v>0</v>
      </c>
      <c r="P1089" s="309">
        <v>10.3348</v>
      </c>
      <c r="Q1089" s="309">
        <v>7.8758999999999997</v>
      </c>
      <c r="R1089" s="309">
        <v>10.204800000000001</v>
      </c>
      <c r="S1089" s="309">
        <v>10.490600000000001</v>
      </c>
      <c r="T1089" s="309">
        <v>0</v>
      </c>
      <c r="U1089" s="309">
        <v>12.085800000000001</v>
      </c>
      <c r="V1089" s="309">
        <v>0</v>
      </c>
      <c r="W1089" s="309">
        <v>8.2185000000000006</v>
      </c>
      <c r="X1089" s="309">
        <v>6.1440000000000001</v>
      </c>
      <c r="Y1089" s="309">
        <v>7.9974999999999996</v>
      </c>
      <c r="Z1089" s="309">
        <v>10.001300000000001</v>
      </c>
      <c r="AA1089" s="309">
        <v>9.1571999999999996</v>
      </c>
      <c r="AB1089" s="309">
        <v>11.793100000000001</v>
      </c>
      <c r="AC1089" s="309">
        <v>9.3209</v>
      </c>
      <c r="AD1089" s="309">
        <v>8.8222000000000005</v>
      </c>
      <c r="AE1089" s="309">
        <v>10.702199999999999</v>
      </c>
      <c r="AF1089" s="309">
        <v>5.43</v>
      </c>
      <c r="AG1089" s="309">
        <v>6.0693000000000001</v>
      </c>
      <c r="AH1089" s="309">
        <v>9.2166999999999994</v>
      </c>
      <c r="AI1089" s="309">
        <v>8.1112000000000002</v>
      </c>
      <c r="AJ1089" s="309">
        <v>8.9760000000000009</v>
      </c>
      <c r="AK1089" s="309">
        <v>7.2645</v>
      </c>
      <c r="AL1089" s="309">
        <v>7.8354999999999997</v>
      </c>
      <c r="AM1089" s="309">
        <v>12.5395</v>
      </c>
      <c r="AN1089" s="309">
        <v>0</v>
      </c>
      <c r="AO1089" s="309">
        <v>9.7132000000000005</v>
      </c>
      <c r="AP1089" s="309">
        <v>11.848000000000001</v>
      </c>
      <c r="AQ1089" s="309">
        <v>8.593</v>
      </c>
      <c r="AR1089" s="309">
        <v>10.814399999999999</v>
      </c>
      <c r="AS1089" s="309">
        <v>0</v>
      </c>
      <c r="AT1089" s="309">
        <v>11.8132</v>
      </c>
      <c r="AU1089" s="309">
        <v>10.1189</v>
      </c>
      <c r="AV1089" s="309">
        <v>13.833500000000001</v>
      </c>
      <c r="AW1089" s="309">
        <v>8.8754000000000008</v>
      </c>
      <c r="AX1089" s="309">
        <v>8.6001999999999992</v>
      </c>
      <c r="AY1089" s="309">
        <v>9.7004000000000001</v>
      </c>
      <c r="AZ1089" s="309">
        <v>9.6107999999999993</v>
      </c>
      <c r="BA1089" s="309">
        <v>0</v>
      </c>
      <c r="BB1089" s="309">
        <v>7.6097999999999999</v>
      </c>
      <c r="BC1089" s="309">
        <v>10.315899999999999</v>
      </c>
      <c r="BD1089" s="309">
        <v>10.605399999999999</v>
      </c>
      <c r="BE1089" s="309">
        <v>12.009499999999999</v>
      </c>
      <c r="BF1089" s="309">
        <v>10.565799999999999</v>
      </c>
      <c r="BG1089" s="309">
        <v>11.0946</v>
      </c>
      <c r="BH1089" s="309">
        <v>12.734299999999999</v>
      </c>
      <c r="BI1089" s="309">
        <v>10.672499999999999</v>
      </c>
      <c r="BJ1089" s="309">
        <v>10.0535</v>
      </c>
      <c r="BK1089" s="309">
        <v>8.6721000000000004</v>
      </c>
    </row>
    <row r="1090" spans="1:63" x14ac:dyDescent="0.25">
      <c r="A1090" s="306">
        <v>335930</v>
      </c>
      <c r="B1090" s="309" t="s">
        <v>243</v>
      </c>
      <c r="C1090" s="309">
        <v>15.1006</v>
      </c>
      <c r="D1090" s="309">
        <v>10.3911</v>
      </c>
      <c r="E1090" s="309">
        <v>12.835699999999999</v>
      </c>
      <c r="F1090" s="309">
        <v>10.9055</v>
      </c>
      <c r="G1090" s="309">
        <v>10.7103</v>
      </c>
      <c r="H1090" s="309">
        <v>9.6659000000000006</v>
      </c>
      <c r="I1090" s="309">
        <v>11.813000000000001</v>
      </c>
      <c r="J1090" s="309">
        <v>8.3225999999999996</v>
      </c>
      <c r="K1090" s="309">
        <v>0</v>
      </c>
      <c r="L1090" s="309">
        <v>7.9828000000000001</v>
      </c>
      <c r="M1090" s="309">
        <v>11.2597</v>
      </c>
      <c r="N1090" s="309">
        <v>11.3582</v>
      </c>
      <c r="O1090" s="309">
        <v>0</v>
      </c>
      <c r="P1090" s="309">
        <v>9.6452000000000009</v>
      </c>
      <c r="Q1090" s="309">
        <v>10.5915</v>
      </c>
      <c r="R1090" s="309">
        <v>11.0197</v>
      </c>
      <c r="S1090" s="309">
        <v>11.3001</v>
      </c>
      <c r="T1090" s="309">
        <v>10.949</v>
      </c>
      <c r="U1090" s="309">
        <v>11.3927</v>
      </c>
      <c r="V1090" s="309">
        <v>0</v>
      </c>
      <c r="W1090" s="309">
        <v>8.2111999999999998</v>
      </c>
      <c r="X1090" s="309">
        <v>9.9716000000000005</v>
      </c>
      <c r="Y1090" s="309">
        <v>11.8673</v>
      </c>
      <c r="Z1090" s="309">
        <v>10.992100000000001</v>
      </c>
      <c r="AA1090" s="309">
        <v>10.537599999999999</v>
      </c>
      <c r="AB1090" s="309">
        <v>11.570399999999999</v>
      </c>
      <c r="AC1090" s="309">
        <v>11.4375</v>
      </c>
      <c r="AD1090" s="309">
        <v>9.2805</v>
      </c>
      <c r="AE1090" s="309">
        <v>10.9977</v>
      </c>
      <c r="AF1090" s="309">
        <v>5.9241999999999999</v>
      </c>
      <c r="AG1090" s="309">
        <v>10.898400000000001</v>
      </c>
      <c r="AH1090" s="309">
        <v>9.5808999999999997</v>
      </c>
      <c r="AI1090" s="309">
        <v>8.7133000000000003</v>
      </c>
      <c r="AJ1090" s="309">
        <v>11.4567</v>
      </c>
      <c r="AK1090" s="309">
        <v>8.42</v>
      </c>
      <c r="AL1090" s="309">
        <v>7.3617999999999997</v>
      </c>
      <c r="AM1090" s="309">
        <v>13.0497</v>
      </c>
      <c r="AN1090" s="309">
        <v>10.786099999999999</v>
      </c>
      <c r="AO1090" s="309">
        <v>9.9032</v>
      </c>
      <c r="AP1090" s="309">
        <v>11.182499999999999</v>
      </c>
      <c r="AQ1090" s="309">
        <v>8.8439999999999994</v>
      </c>
      <c r="AR1090" s="309">
        <v>11.5001</v>
      </c>
      <c r="AS1090" s="309">
        <v>0</v>
      </c>
      <c r="AT1090" s="309">
        <v>13.812200000000001</v>
      </c>
      <c r="AU1090" s="309">
        <v>11.642300000000001</v>
      </c>
      <c r="AV1090" s="309">
        <v>13.177300000000001</v>
      </c>
      <c r="AW1090" s="309">
        <v>10.5952</v>
      </c>
      <c r="AX1090" s="309">
        <v>0</v>
      </c>
      <c r="AY1090" s="309">
        <v>12.242699999999999</v>
      </c>
      <c r="AZ1090" s="309">
        <v>13.8911</v>
      </c>
      <c r="BA1090" s="309">
        <v>0</v>
      </c>
      <c r="BB1090" s="309">
        <v>0</v>
      </c>
      <c r="BC1090" s="309">
        <v>10.4133</v>
      </c>
      <c r="BD1090" s="309">
        <v>10.289</v>
      </c>
      <c r="BE1090" s="309">
        <v>12.735300000000001</v>
      </c>
      <c r="BF1090" s="309">
        <v>11.3902</v>
      </c>
      <c r="BG1090" s="309">
        <v>12.0123</v>
      </c>
      <c r="BH1090" s="309">
        <v>13.476800000000001</v>
      </c>
      <c r="BI1090" s="309">
        <v>12.431800000000001</v>
      </c>
      <c r="BJ1090" s="309">
        <v>11.5098</v>
      </c>
      <c r="BK1090" s="309">
        <v>10.134399999999999</v>
      </c>
    </row>
    <row r="1091" spans="1:63" x14ac:dyDescent="0.25">
      <c r="A1091" s="306">
        <v>335991</v>
      </c>
      <c r="B1091" s="309" t="s">
        <v>0</v>
      </c>
      <c r="C1091" s="309">
        <v>16.201499999999999</v>
      </c>
      <c r="D1091" s="309">
        <v>0</v>
      </c>
      <c r="E1091" s="309">
        <v>11.594799999999999</v>
      </c>
      <c r="F1091" s="309">
        <v>10.067600000000001</v>
      </c>
      <c r="G1091" s="309">
        <v>12.008599999999999</v>
      </c>
      <c r="H1091" s="309">
        <v>10.8123</v>
      </c>
      <c r="I1091" s="309">
        <v>12.9298</v>
      </c>
      <c r="J1091" s="309">
        <v>8.2605000000000004</v>
      </c>
      <c r="K1091" s="309">
        <v>0</v>
      </c>
      <c r="L1091" s="309">
        <v>0</v>
      </c>
      <c r="M1091" s="309">
        <v>11.3413</v>
      </c>
      <c r="N1091" s="309">
        <v>0</v>
      </c>
      <c r="O1091" s="309">
        <v>0</v>
      </c>
      <c r="P1091" s="309">
        <v>10.098599999999999</v>
      </c>
      <c r="Q1091" s="309">
        <v>0</v>
      </c>
      <c r="R1091" s="309">
        <v>10.875400000000001</v>
      </c>
      <c r="S1091" s="309">
        <v>0</v>
      </c>
      <c r="T1091" s="309">
        <v>0</v>
      </c>
      <c r="U1091" s="309">
        <v>11.702400000000001</v>
      </c>
      <c r="V1091" s="309">
        <v>0</v>
      </c>
      <c r="W1091" s="309">
        <v>7.8085000000000004</v>
      </c>
      <c r="X1091" s="309">
        <v>0</v>
      </c>
      <c r="Y1091" s="309">
        <v>12.646599999999999</v>
      </c>
      <c r="Z1091" s="309">
        <v>12.208600000000001</v>
      </c>
      <c r="AA1091" s="309">
        <v>10.946</v>
      </c>
      <c r="AB1091" s="309">
        <v>12.9414</v>
      </c>
      <c r="AC1091" s="309">
        <v>0</v>
      </c>
      <c r="AD1091" s="309">
        <v>0</v>
      </c>
      <c r="AE1091" s="309">
        <v>12.236000000000001</v>
      </c>
      <c r="AF1091" s="309">
        <v>0</v>
      </c>
      <c r="AG1091" s="309">
        <v>0</v>
      </c>
      <c r="AH1091" s="309">
        <v>8.1714000000000002</v>
      </c>
      <c r="AI1091" s="309">
        <v>11.330299999999999</v>
      </c>
      <c r="AJ1091" s="309">
        <v>0</v>
      </c>
      <c r="AK1091" s="309">
        <v>0</v>
      </c>
      <c r="AL1091" s="309">
        <v>7.6565000000000003</v>
      </c>
      <c r="AM1091" s="309">
        <v>11.486499999999999</v>
      </c>
      <c r="AN1091" s="309">
        <v>0</v>
      </c>
      <c r="AO1091" s="309">
        <v>10.1523</v>
      </c>
      <c r="AP1091" s="309">
        <v>12.6577</v>
      </c>
      <c r="AQ1091" s="309">
        <v>0</v>
      </c>
      <c r="AR1091" s="309">
        <v>11.0679</v>
      </c>
      <c r="AS1091" s="309">
        <v>0</v>
      </c>
      <c r="AT1091" s="309">
        <v>10.352</v>
      </c>
      <c r="AU1091" s="309">
        <v>13.1091</v>
      </c>
      <c r="AV1091" s="309">
        <v>12.426600000000001</v>
      </c>
      <c r="AW1091" s="309">
        <v>9.6332000000000004</v>
      </c>
      <c r="AX1091" s="309">
        <v>8.0327000000000002</v>
      </c>
      <c r="AY1091" s="309">
        <v>0</v>
      </c>
      <c r="AZ1091" s="309">
        <v>12.632099999999999</v>
      </c>
      <c r="BA1091" s="309">
        <v>9.1415000000000006</v>
      </c>
      <c r="BB1091" s="309">
        <v>8.5252999999999997</v>
      </c>
      <c r="BC1091" s="309">
        <v>9.9857999999999993</v>
      </c>
      <c r="BD1091" s="309">
        <v>11.685499999999999</v>
      </c>
      <c r="BE1091" s="309">
        <v>12.771699999999999</v>
      </c>
      <c r="BF1091" s="309">
        <v>12.5413</v>
      </c>
      <c r="BG1091" s="309">
        <v>12.3874</v>
      </c>
      <c r="BH1091" s="309">
        <v>12.099600000000001</v>
      </c>
      <c r="BI1091" s="309">
        <v>13.814500000000001</v>
      </c>
      <c r="BJ1091" s="309">
        <v>11.573</v>
      </c>
      <c r="BK1091" s="309">
        <v>11.274699999999999</v>
      </c>
    </row>
    <row r="1092" spans="1:63" x14ac:dyDescent="0.25">
      <c r="A1092" s="306">
        <v>335999</v>
      </c>
      <c r="B1092" s="309" t="s">
        <v>3</v>
      </c>
      <c r="C1092" s="309">
        <v>17.444299999999998</v>
      </c>
      <c r="D1092" s="309">
        <v>0</v>
      </c>
      <c r="E1092" s="309">
        <v>11.252700000000001</v>
      </c>
      <c r="F1092" s="309">
        <v>12.4213</v>
      </c>
      <c r="G1092" s="309">
        <v>11.922800000000001</v>
      </c>
      <c r="H1092" s="309">
        <v>12.666</v>
      </c>
      <c r="I1092" s="309">
        <v>13.882999999999999</v>
      </c>
      <c r="J1092" s="309">
        <v>9.5792999999999999</v>
      </c>
      <c r="K1092" s="309">
        <v>0</v>
      </c>
      <c r="L1092" s="309">
        <v>0</v>
      </c>
      <c r="M1092" s="309">
        <v>14.531599999999999</v>
      </c>
      <c r="N1092" s="309">
        <v>13.8127</v>
      </c>
      <c r="O1092" s="309">
        <v>0</v>
      </c>
      <c r="P1092" s="309">
        <v>11.6639</v>
      </c>
      <c r="Q1092" s="309">
        <v>10.1774</v>
      </c>
      <c r="R1092" s="309">
        <v>12.9131</v>
      </c>
      <c r="S1092" s="309">
        <v>14.253299999999999</v>
      </c>
      <c r="T1092" s="309">
        <v>10.437799999999999</v>
      </c>
      <c r="U1092" s="309">
        <v>13.4795</v>
      </c>
      <c r="V1092" s="309">
        <v>11.1073</v>
      </c>
      <c r="W1092" s="309">
        <v>9.7173999999999996</v>
      </c>
      <c r="X1092" s="309">
        <v>9.3193000000000001</v>
      </c>
      <c r="Y1092" s="309">
        <v>14.3125</v>
      </c>
      <c r="Z1092" s="309">
        <v>13.493</v>
      </c>
      <c r="AA1092" s="309">
        <v>12.829599999999999</v>
      </c>
      <c r="AB1092" s="309">
        <v>14.1784</v>
      </c>
      <c r="AC1092" s="309">
        <v>12.687900000000001</v>
      </c>
      <c r="AD1092" s="309">
        <v>11.648400000000001</v>
      </c>
      <c r="AE1092" s="309">
        <v>14.234</v>
      </c>
      <c r="AF1092" s="309">
        <v>0</v>
      </c>
      <c r="AG1092" s="309">
        <v>11.4663</v>
      </c>
      <c r="AH1092" s="309">
        <v>10.419499999999999</v>
      </c>
      <c r="AI1092" s="309">
        <v>11.969900000000001</v>
      </c>
      <c r="AJ1092" s="309">
        <v>12.0854</v>
      </c>
      <c r="AK1092" s="309">
        <v>9.6746999999999996</v>
      </c>
      <c r="AL1092" s="309">
        <v>9.3210999999999995</v>
      </c>
      <c r="AM1092" s="309">
        <v>14.860799999999999</v>
      </c>
      <c r="AN1092" s="309">
        <v>13.0884</v>
      </c>
      <c r="AO1092" s="309">
        <v>11.479100000000001</v>
      </c>
      <c r="AP1092" s="309">
        <v>13.951000000000001</v>
      </c>
      <c r="AQ1092" s="309">
        <v>9.5927000000000007</v>
      </c>
      <c r="AR1092" s="309">
        <v>13.3009</v>
      </c>
      <c r="AS1092" s="309">
        <v>0</v>
      </c>
      <c r="AT1092" s="309">
        <v>12.161899999999999</v>
      </c>
      <c r="AU1092" s="309">
        <v>13.49</v>
      </c>
      <c r="AV1092" s="309">
        <v>16.213200000000001</v>
      </c>
      <c r="AW1092" s="309">
        <v>12.408200000000001</v>
      </c>
      <c r="AX1092" s="309">
        <v>11.025600000000001</v>
      </c>
      <c r="AY1092" s="309">
        <v>11.347099999999999</v>
      </c>
      <c r="AZ1092" s="309">
        <v>13.0861</v>
      </c>
      <c r="BA1092" s="309">
        <v>10.798999999999999</v>
      </c>
      <c r="BB1092" s="309">
        <v>0</v>
      </c>
      <c r="BC1092" s="309">
        <v>12.007400000000001</v>
      </c>
      <c r="BD1092" s="309">
        <v>12.8925</v>
      </c>
      <c r="BE1092" s="309">
        <v>14.8667</v>
      </c>
      <c r="BF1092" s="309">
        <v>13.757400000000001</v>
      </c>
      <c r="BG1092" s="309">
        <v>15.1282</v>
      </c>
      <c r="BH1092" s="309">
        <v>12.5776</v>
      </c>
      <c r="BI1092" s="309">
        <v>14.147500000000001</v>
      </c>
      <c r="BJ1092" s="309">
        <v>13.237299999999999</v>
      </c>
      <c r="BK1092" s="309">
        <v>12.968299999999999</v>
      </c>
    </row>
    <row r="1093" spans="1:63" x14ac:dyDescent="0.25">
      <c r="A1093" s="306">
        <v>336111</v>
      </c>
      <c r="B1093" s="309" t="s">
        <v>244</v>
      </c>
      <c r="C1093" s="309">
        <v>13.3682</v>
      </c>
      <c r="D1093" s="309">
        <v>0</v>
      </c>
      <c r="E1093" s="309">
        <v>9.9635999999999996</v>
      </c>
      <c r="F1093" s="309">
        <v>0</v>
      </c>
      <c r="G1093" s="309">
        <v>6.4034000000000004</v>
      </c>
      <c r="H1093" s="309">
        <v>5.4828999999999999</v>
      </c>
      <c r="I1093" s="309">
        <v>7.2297000000000002</v>
      </c>
      <c r="J1093" s="309">
        <v>0</v>
      </c>
      <c r="K1093" s="309">
        <v>0</v>
      </c>
      <c r="L1093" s="309">
        <v>2.8083</v>
      </c>
      <c r="M1093" s="309">
        <v>6.7081999999999997</v>
      </c>
      <c r="N1093" s="309">
        <v>7.3297999999999996</v>
      </c>
      <c r="O1093" s="309">
        <v>0</v>
      </c>
      <c r="P1093" s="309">
        <v>9.3038000000000007</v>
      </c>
      <c r="Q1093" s="309">
        <v>0</v>
      </c>
      <c r="R1093" s="309">
        <v>8.8847000000000005</v>
      </c>
      <c r="S1093" s="309">
        <v>9.8218999999999994</v>
      </c>
      <c r="T1093" s="309">
        <v>4.7957999999999998</v>
      </c>
      <c r="U1093" s="309">
        <v>9.5221999999999998</v>
      </c>
      <c r="V1093" s="309">
        <v>5.9356999999999998</v>
      </c>
      <c r="W1093" s="309">
        <v>5.2202000000000002</v>
      </c>
      <c r="X1093" s="309">
        <v>3.7770999999999999</v>
      </c>
      <c r="Y1093" s="309">
        <v>0</v>
      </c>
      <c r="Z1093" s="309">
        <v>9.5549999999999997</v>
      </c>
      <c r="AA1093" s="309">
        <v>7.3310000000000004</v>
      </c>
      <c r="AB1093" s="309">
        <v>9.8253000000000004</v>
      </c>
      <c r="AC1093" s="309">
        <v>0</v>
      </c>
      <c r="AD1093" s="309">
        <v>0</v>
      </c>
      <c r="AE1093" s="309">
        <v>10.380800000000001</v>
      </c>
      <c r="AF1093" s="309">
        <v>5.0018000000000002</v>
      </c>
      <c r="AG1093" s="309">
        <v>0</v>
      </c>
      <c r="AH1093" s="309">
        <v>0</v>
      </c>
      <c r="AI1093" s="309">
        <v>4.1398999999999999</v>
      </c>
      <c r="AJ1093" s="309">
        <v>0</v>
      </c>
      <c r="AK1093" s="309">
        <v>5.5236999999999998</v>
      </c>
      <c r="AL1093" s="309">
        <v>4.4770000000000003</v>
      </c>
      <c r="AM1093" s="309">
        <v>10.4823</v>
      </c>
      <c r="AN1093" s="309">
        <v>8.2355999999999998</v>
      </c>
      <c r="AO1093" s="309">
        <v>7.0606999999999998</v>
      </c>
      <c r="AP1093" s="309">
        <v>8.6577999999999999</v>
      </c>
      <c r="AQ1093" s="309">
        <v>0</v>
      </c>
      <c r="AR1093" s="309">
        <v>9.9454999999999991</v>
      </c>
      <c r="AS1093" s="309">
        <v>5.7853000000000003</v>
      </c>
      <c r="AT1093" s="309">
        <v>9.8455999999999992</v>
      </c>
      <c r="AU1093" s="309">
        <v>6.7380000000000004</v>
      </c>
      <c r="AV1093" s="309">
        <v>0</v>
      </c>
      <c r="AW1093" s="309">
        <v>7.2190000000000003</v>
      </c>
      <c r="AX1093" s="309">
        <v>0</v>
      </c>
      <c r="AY1093" s="309">
        <v>6.1890000000000001</v>
      </c>
      <c r="AZ1093" s="309">
        <v>11.574</v>
      </c>
      <c r="BA1093" s="309">
        <v>0</v>
      </c>
      <c r="BB1093" s="309">
        <v>0</v>
      </c>
      <c r="BC1093" s="309">
        <v>6.8220000000000001</v>
      </c>
      <c r="BD1093" s="309">
        <v>6.1148999999999996</v>
      </c>
      <c r="BE1093" s="309">
        <v>10.853400000000001</v>
      </c>
      <c r="BF1093" s="309">
        <v>7.5258000000000003</v>
      </c>
      <c r="BG1093" s="309">
        <v>7.8308999999999997</v>
      </c>
      <c r="BH1093" s="309">
        <v>10.6767</v>
      </c>
      <c r="BI1093" s="309">
        <v>7.4061000000000003</v>
      </c>
      <c r="BJ1093" s="309">
        <v>7.2664</v>
      </c>
      <c r="BK1093" s="309">
        <v>5.6689999999999996</v>
      </c>
    </row>
    <row r="1094" spans="1:63" x14ac:dyDescent="0.25">
      <c r="A1094" s="306">
        <v>336112</v>
      </c>
      <c r="B1094" s="309" t="s">
        <v>245</v>
      </c>
      <c r="C1094" s="309">
        <v>13.9724</v>
      </c>
      <c r="D1094" s="309">
        <v>0</v>
      </c>
      <c r="E1094" s="309">
        <v>9.9977</v>
      </c>
      <c r="F1094" s="309">
        <v>0</v>
      </c>
      <c r="G1094" s="309">
        <v>7.9486999999999997</v>
      </c>
      <c r="H1094" s="309">
        <v>5.5491000000000001</v>
      </c>
      <c r="I1094" s="309">
        <v>0</v>
      </c>
      <c r="J1094" s="309">
        <v>0</v>
      </c>
      <c r="K1094" s="309">
        <v>0</v>
      </c>
      <c r="L1094" s="309">
        <v>0</v>
      </c>
      <c r="M1094" s="309">
        <v>0</v>
      </c>
      <c r="N1094" s="309">
        <v>7.9328000000000003</v>
      </c>
      <c r="O1094" s="309">
        <v>0</v>
      </c>
      <c r="P1094" s="309">
        <v>0</v>
      </c>
      <c r="Q1094" s="309">
        <v>6.8329000000000004</v>
      </c>
      <c r="R1094" s="309">
        <v>9.1536000000000008</v>
      </c>
      <c r="S1094" s="309">
        <v>9.7013999999999996</v>
      </c>
      <c r="T1094" s="309">
        <v>6.8343999999999996</v>
      </c>
      <c r="U1094" s="309">
        <v>9.6259999999999994</v>
      </c>
      <c r="V1094" s="309">
        <v>7.6637000000000004</v>
      </c>
      <c r="W1094" s="309">
        <v>4.6022999999999996</v>
      </c>
      <c r="X1094" s="309">
        <v>3.6255000000000002</v>
      </c>
      <c r="Y1094" s="309">
        <v>0</v>
      </c>
      <c r="Z1094" s="309">
        <v>10.1547</v>
      </c>
      <c r="AA1094" s="309">
        <v>5.6374000000000004</v>
      </c>
      <c r="AB1094" s="309">
        <v>8.6524999999999999</v>
      </c>
      <c r="AC1094" s="309">
        <v>8.7263000000000002</v>
      </c>
      <c r="AD1094" s="309">
        <v>0</v>
      </c>
      <c r="AE1094" s="309">
        <v>11.907299999999999</v>
      </c>
      <c r="AF1094" s="309">
        <v>0</v>
      </c>
      <c r="AG1094" s="309">
        <v>0</v>
      </c>
      <c r="AH1094" s="309">
        <v>0</v>
      </c>
      <c r="AI1094" s="309">
        <v>5.7427999999999999</v>
      </c>
      <c r="AJ1094" s="309">
        <v>0</v>
      </c>
      <c r="AK1094" s="309">
        <v>0</v>
      </c>
      <c r="AL1094" s="309">
        <v>10.239100000000001</v>
      </c>
      <c r="AM1094" s="309">
        <v>10.932499999999999</v>
      </c>
      <c r="AN1094" s="309">
        <v>8.5347000000000008</v>
      </c>
      <c r="AO1094" s="309">
        <v>7.8598999999999997</v>
      </c>
      <c r="AP1094" s="309">
        <v>7.3040000000000003</v>
      </c>
      <c r="AQ1094" s="309">
        <v>0</v>
      </c>
      <c r="AR1094" s="309">
        <v>10.065200000000001</v>
      </c>
      <c r="AS1094" s="309">
        <v>0</v>
      </c>
      <c r="AT1094" s="309">
        <v>0</v>
      </c>
      <c r="AU1094" s="309">
        <v>7.4675000000000002</v>
      </c>
      <c r="AV1094" s="309">
        <v>13.0646</v>
      </c>
      <c r="AW1094" s="309">
        <v>5.0343</v>
      </c>
      <c r="AX1094" s="309">
        <v>0</v>
      </c>
      <c r="AY1094" s="309">
        <v>6.48</v>
      </c>
      <c r="AZ1094" s="309">
        <v>10.063800000000001</v>
      </c>
      <c r="BA1094" s="309">
        <v>0</v>
      </c>
      <c r="BB1094" s="309">
        <v>0</v>
      </c>
      <c r="BC1094" s="309">
        <v>6.2043999999999997</v>
      </c>
      <c r="BD1094" s="309">
        <v>6.8723000000000001</v>
      </c>
      <c r="BE1094" s="309">
        <v>11.421900000000001</v>
      </c>
      <c r="BF1094" s="309">
        <v>7.7125000000000004</v>
      </c>
      <c r="BG1094" s="309">
        <v>7.5580999999999996</v>
      </c>
      <c r="BH1094" s="309">
        <v>11.151</v>
      </c>
      <c r="BI1094" s="309">
        <v>8.1254000000000008</v>
      </c>
      <c r="BJ1094" s="309">
        <v>8.7432999999999996</v>
      </c>
      <c r="BK1094" s="309">
        <v>5.8554000000000004</v>
      </c>
    </row>
    <row r="1095" spans="1:63" x14ac:dyDescent="0.25">
      <c r="A1095" s="306">
        <v>336120</v>
      </c>
      <c r="B1095" s="309" t="s">
        <v>246</v>
      </c>
      <c r="C1095" s="309">
        <v>15.589700000000001</v>
      </c>
      <c r="D1095" s="309">
        <v>0</v>
      </c>
      <c r="E1095" s="309">
        <v>11.473800000000001</v>
      </c>
      <c r="F1095" s="309">
        <v>9.2492000000000001</v>
      </c>
      <c r="G1095" s="309">
        <v>5.6292</v>
      </c>
      <c r="H1095" s="309">
        <v>6.5526</v>
      </c>
      <c r="I1095" s="309">
        <v>8.5986999999999991</v>
      </c>
      <c r="J1095" s="309">
        <v>5.8263999999999996</v>
      </c>
      <c r="K1095" s="309">
        <v>0</v>
      </c>
      <c r="L1095" s="309">
        <v>0</v>
      </c>
      <c r="M1095" s="309">
        <v>6.4964000000000004</v>
      </c>
      <c r="N1095" s="309">
        <v>9.5030999999999999</v>
      </c>
      <c r="O1095" s="309">
        <v>0</v>
      </c>
      <c r="P1095" s="309">
        <v>9.6622000000000003</v>
      </c>
      <c r="Q1095" s="309">
        <v>5.4435000000000002</v>
      </c>
      <c r="R1095" s="309">
        <v>10.4626</v>
      </c>
      <c r="S1095" s="309">
        <v>11.5052</v>
      </c>
      <c r="T1095" s="309">
        <v>6.9058000000000002</v>
      </c>
      <c r="U1095" s="309">
        <v>11.1686</v>
      </c>
      <c r="V1095" s="309">
        <v>5.0735999999999999</v>
      </c>
      <c r="W1095" s="309">
        <v>0</v>
      </c>
      <c r="X1095" s="309">
        <v>5.7649999999999997</v>
      </c>
      <c r="Y1095" s="309">
        <v>0</v>
      </c>
      <c r="Z1095" s="309">
        <v>12.2424</v>
      </c>
      <c r="AA1095" s="309">
        <v>7.8358999999999996</v>
      </c>
      <c r="AB1095" s="309">
        <v>11.1669</v>
      </c>
      <c r="AC1095" s="309">
        <v>10.2464</v>
      </c>
      <c r="AD1095" s="309">
        <v>6.0118999999999998</v>
      </c>
      <c r="AE1095" s="309">
        <v>10.383599999999999</v>
      </c>
      <c r="AF1095" s="309">
        <v>5.3834999999999997</v>
      </c>
      <c r="AG1095" s="309">
        <v>7.7998000000000003</v>
      </c>
      <c r="AH1095" s="309">
        <v>0</v>
      </c>
      <c r="AI1095" s="309">
        <v>6.1189999999999998</v>
      </c>
      <c r="AJ1095" s="309">
        <v>5.2504</v>
      </c>
      <c r="AK1095" s="309">
        <v>0</v>
      </c>
      <c r="AL1095" s="309">
        <v>6.3924000000000003</v>
      </c>
      <c r="AM1095" s="309">
        <v>11.887700000000001</v>
      </c>
      <c r="AN1095" s="309">
        <v>9.5942000000000007</v>
      </c>
      <c r="AO1095" s="309">
        <v>7.6971999999999996</v>
      </c>
      <c r="AP1095" s="309">
        <v>8.7463999999999995</v>
      </c>
      <c r="AQ1095" s="309">
        <v>0</v>
      </c>
      <c r="AR1095" s="309">
        <v>12.154500000000001</v>
      </c>
      <c r="AS1095" s="309">
        <v>6.05</v>
      </c>
      <c r="AT1095" s="309">
        <v>11.0573</v>
      </c>
      <c r="AU1095" s="309">
        <v>8.4695999999999998</v>
      </c>
      <c r="AV1095" s="309">
        <v>0</v>
      </c>
      <c r="AW1095" s="309">
        <v>6.2893999999999997</v>
      </c>
      <c r="AX1095" s="309">
        <v>0</v>
      </c>
      <c r="AY1095" s="309">
        <v>5.3369</v>
      </c>
      <c r="AZ1095" s="309">
        <v>11.166</v>
      </c>
      <c r="BA1095" s="309">
        <v>7.3456000000000001</v>
      </c>
      <c r="BB1095" s="309">
        <v>0</v>
      </c>
      <c r="BC1095" s="309">
        <v>6.5194999999999999</v>
      </c>
      <c r="BD1095" s="309">
        <v>7.6573000000000002</v>
      </c>
      <c r="BE1095" s="309">
        <v>12.7049</v>
      </c>
      <c r="BF1095" s="309">
        <v>10.436199999999999</v>
      </c>
      <c r="BG1095" s="309">
        <v>9.1544000000000008</v>
      </c>
      <c r="BH1095" s="309">
        <v>12.373799999999999</v>
      </c>
      <c r="BI1095" s="309">
        <v>8.7222000000000008</v>
      </c>
      <c r="BJ1095" s="309">
        <v>7.2868000000000004</v>
      </c>
      <c r="BK1095" s="309">
        <v>7.157</v>
      </c>
    </row>
    <row r="1096" spans="1:63" x14ac:dyDescent="0.25">
      <c r="A1096" s="306">
        <v>336211</v>
      </c>
      <c r="B1096" s="309" t="s">
        <v>247</v>
      </c>
      <c r="C1096" s="309">
        <v>16.014800000000001</v>
      </c>
      <c r="D1096" s="309">
        <v>7.2922000000000002</v>
      </c>
      <c r="E1096" s="309">
        <v>12.1065</v>
      </c>
      <c r="F1096" s="309">
        <v>11.0181</v>
      </c>
      <c r="G1096" s="309">
        <v>10.204599999999999</v>
      </c>
      <c r="H1096" s="309">
        <v>9.3984000000000005</v>
      </c>
      <c r="I1096" s="309">
        <v>9.9103999999999992</v>
      </c>
      <c r="J1096" s="309">
        <v>9.5920000000000005</v>
      </c>
      <c r="K1096" s="309">
        <v>0</v>
      </c>
      <c r="L1096" s="309">
        <v>5.5498000000000003</v>
      </c>
      <c r="M1096" s="309">
        <v>9.8358000000000008</v>
      </c>
      <c r="N1096" s="309">
        <v>10.214499999999999</v>
      </c>
      <c r="O1096" s="309">
        <v>6.9513999999999996</v>
      </c>
      <c r="P1096" s="309">
        <v>9.9677000000000007</v>
      </c>
      <c r="Q1096" s="309">
        <v>8.9960000000000004</v>
      </c>
      <c r="R1096" s="309">
        <v>10.5793</v>
      </c>
      <c r="S1096" s="309">
        <v>11.2524</v>
      </c>
      <c r="T1096" s="309">
        <v>8.7820999999999998</v>
      </c>
      <c r="U1096" s="309">
        <v>12.041700000000001</v>
      </c>
      <c r="V1096" s="309">
        <v>9.6762999999999995</v>
      </c>
      <c r="W1096" s="309">
        <v>8.1484000000000005</v>
      </c>
      <c r="X1096" s="309">
        <v>7.4097999999999997</v>
      </c>
      <c r="Y1096" s="309">
        <v>0</v>
      </c>
      <c r="Z1096" s="309">
        <v>11.3139</v>
      </c>
      <c r="AA1096" s="309">
        <v>10.3589</v>
      </c>
      <c r="AB1096" s="309">
        <v>11.9682</v>
      </c>
      <c r="AC1096" s="309">
        <v>10.181100000000001</v>
      </c>
      <c r="AD1096" s="309">
        <v>9.2530999999999999</v>
      </c>
      <c r="AE1096" s="309">
        <v>11.505000000000001</v>
      </c>
      <c r="AF1096" s="309">
        <v>7.9394</v>
      </c>
      <c r="AG1096" s="309">
        <v>9.6166</v>
      </c>
      <c r="AH1096" s="309">
        <v>9.5347000000000008</v>
      </c>
      <c r="AI1096" s="309">
        <v>8.0545000000000009</v>
      </c>
      <c r="AJ1096" s="309">
        <v>8.4699000000000009</v>
      </c>
      <c r="AK1096" s="309">
        <v>9.7774999999999999</v>
      </c>
      <c r="AL1096" s="309">
        <v>8.6294000000000004</v>
      </c>
      <c r="AM1096" s="309">
        <v>13.4758</v>
      </c>
      <c r="AN1096" s="309">
        <v>11.1181</v>
      </c>
      <c r="AO1096" s="309">
        <v>11.232900000000001</v>
      </c>
      <c r="AP1096" s="309">
        <v>12.6318</v>
      </c>
      <c r="AQ1096" s="309">
        <v>8.0349000000000004</v>
      </c>
      <c r="AR1096" s="309">
        <v>10.8436</v>
      </c>
      <c r="AS1096" s="309">
        <v>7.9924999999999997</v>
      </c>
      <c r="AT1096" s="309">
        <v>12.167400000000001</v>
      </c>
      <c r="AU1096" s="309">
        <v>10.9739</v>
      </c>
      <c r="AV1096" s="309">
        <v>12.4986</v>
      </c>
      <c r="AW1096" s="309">
        <v>10.1485</v>
      </c>
      <c r="AX1096" s="309">
        <v>8.0288000000000004</v>
      </c>
      <c r="AY1096" s="309">
        <v>9.9823000000000004</v>
      </c>
      <c r="AZ1096" s="309">
        <v>11.764699999999999</v>
      </c>
      <c r="BA1096" s="309">
        <v>9.3797999999999995</v>
      </c>
      <c r="BB1096" s="309">
        <v>6.0884</v>
      </c>
      <c r="BC1096" s="309">
        <v>10.1479</v>
      </c>
      <c r="BD1096" s="309">
        <v>11.4656</v>
      </c>
      <c r="BE1096" s="309">
        <v>13.1609</v>
      </c>
      <c r="BF1096" s="309">
        <v>11.9848</v>
      </c>
      <c r="BG1096" s="309">
        <v>11.5038</v>
      </c>
      <c r="BH1096" s="309">
        <v>13.1425</v>
      </c>
      <c r="BI1096" s="309">
        <v>12.202199999999999</v>
      </c>
      <c r="BJ1096" s="309">
        <v>10.683199999999999</v>
      </c>
      <c r="BK1096" s="309">
        <v>9.9792000000000005</v>
      </c>
    </row>
    <row r="1097" spans="1:63" x14ac:dyDescent="0.25">
      <c r="A1097" s="306">
        <v>336212</v>
      </c>
      <c r="B1097" s="309" t="s">
        <v>248</v>
      </c>
      <c r="C1097" s="309">
        <v>19.325199999999999</v>
      </c>
      <c r="D1097" s="309">
        <v>8.9128000000000007</v>
      </c>
      <c r="E1097" s="309">
        <v>14.233000000000001</v>
      </c>
      <c r="F1097" s="309">
        <v>14.360300000000001</v>
      </c>
      <c r="G1097" s="309">
        <v>12.551299999999999</v>
      </c>
      <c r="H1097" s="309">
        <v>11.1412</v>
      </c>
      <c r="I1097" s="309">
        <v>12.542999999999999</v>
      </c>
      <c r="J1097" s="309">
        <v>0</v>
      </c>
      <c r="K1097" s="309">
        <v>0</v>
      </c>
      <c r="L1097" s="309">
        <v>6.6204999999999998</v>
      </c>
      <c r="M1097" s="309">
        <v>11.052199999999999</v>
      </c>
      <c r="N1097" s="309">
        <v>13.789</v>
      </c>
      <c r="O1097" s="309">
        <v>0</v>
      </c>
      <c r="P1097" s="309">
        <v>11.140599999999999</v>
      </c>
      <c r="Q1097" s="309">
        <v>9.8976000000000006</v>
      </c>
      <c r="R1097" s="309">
        <v>12.690899999999999</v>
      </c>
      <c r="S1097" s="309">
        <v>14.512499999999999</v>
      </c>
      <c r="T1097" s="309">
        <v>10.3904</v>
      </c>
      <c r="U1097" s="309">
        <v>13.2098</v>
      </c>
      <c r="V1097" s="309">
        <v>10.7037</v>
      </c>
      <c r="W1097" s="309">
        <v>8.6171000000000006</v>
      </c>
      <c r="X1097" s="309">
        <v>0</v>
      </c>
      <c r="Y1097" s="309">
        <v>12.032500000000001</v>
      </c>
      <c r="Z1097" s="309">
        <v>14.1412</v>
      </c>
      <c r="AA1097" s="309">
        <v>11.5745</v>
      </c>
      <c r="AB1097" s="309">
        <v>12.1736</v>
      </c>
      <c r="AC1097" s="309">
        <v>12.5594</v>
      </c>
      <c r="AD1097" s="309">
        <v>9.0562000000000005</v>
      </c>
      <c r="AE1097" s="309">
        <v>13.832100000000001</v>
      </c>
      <c r="AF1097" s="309">
        <v>8.7368000000000006</v>
      </c>
      <c r="AG1097" s="309">
        <v>10.2935</v>
      </c>
      <c r="AH1097" s="309">
        <v>0</v>
      </c>
      <c r="AI1097" s="309">
        <v>8.9120000000000008</v>
      </c>
      <c r="AJ1097" s="309">
        <v>9.2917000000000005</v>
      </c>
      <c r="AK1097" s="309">
        <v>0</v>
      </c>
      <c r="AL1097" s="309">
        <v>8.2410999999999994</v>
      </c>
      <c r="AM1097" s="309">
        <v>15.613899999999999</v>
      </c>
      <c r="AN1097" s="309">
        <v>14.0693</v>
      </c>
      <c r="AO1097" s="309">
        <v>12.225899999999999</v>
      </c>
      <c r="AP1097" s="309">
        <v>13.955</v>
      </c>
      <c r="AQ1097" s="309">
        <v>9.0007000000000001</v>
      </c>
      <c r="AR1097" s="309">
        <v>15.7232</v>
      </c>
      <c r="AS1097" s="309">
        <v>9.298</v>
      </c>
      <c r="AT1097" s="309">
        <v>15.576499999999999</v>
      </c>
      <c r="AU1097" s="309">
        <v>13.2912</v>
      </c>
      <c r="AV1097" s="309">
        <v>15.511799999999999</v>
      </c>
      <c r="AW1097" s="309">
        <v>12.329000000000001</v>
      </c>
      <c r="AX1097" s="309">
        <v>0</v>
      </c>
      <c r="AY1097" s="309">
        <v>10.5509</v>
      </c>
      <c r="AZ1097" s="309">
        <v>14.4937</v>
      </c>
      <c r="BA1097" s="309">
        <v>11.084</v>
      </c>
      <c r="BB1097" s="309">
        <v>0</v>
      </c>
      <c r="BC1097" s="309">
        <v>11.183999999999999</v>
      </c>
      <c r="BD1097" s="309">
        <v>12.4994</v>
      </c>
      <c r="BE1097" s="309">
        <v>16.511900000000001</v>
      </c>
      <c r="BF1097" s="309">
        <v>13.281599999999999</v>
      </c>
      <c r="BG1097" s="309">
        <v>14.468999999999999</v>
      </c>
      <c r="BH1097" s="309">
        <v>15.423400000000001</v>
      </c>
      <c r="BI1097" s="309">
        <v>14.9275</v>
      </c>
      <c r="BJ1097" s="309">
        <v>12.7874</v>
      </c>
      <c r="BK1097" s="309">
        <v>12.0657</v>
      </c>
    </row>
    <row r="1098" spans="1:63" x14ac:dyDescent="0.25">
      <c r="A1098" s="306">
        <v>336213</v>
      </c>
      <c r="B1098" s="309" t="s">
        <v>249</v>
      </c>
      <c r="C1098" s="309">
        <v>16.499400000000001</v>
      </c>
      <c r="D1098" s="309">
        <v>0</v>
      </c>
      <c r="E1098" s="309">
        <v>12.888999999999999</v>
      </c>
      <c r="F1098" s="309">
        <v>0</v>
      </c>
      <c r="G1098" s="309">
        <v>12.576000000000001</v>
      </c>
      <c r="H1098" s="309">
        <v>9.6044</v>
      </c>
      <c r="I1098" s="309">
        <v>0</v>
      </c>
      <c r="J1098" s="309">
        <v>0</v>
      </c>
      <c r="K1098" s="309">
        <v>0</v>
      </c>
      <c r="L1098" s="309">
        <v>0</v>
      </c>
      <c r="M1098" s="309">
        <v>8.7219999999999995</v>
      </c>
      <c r="N1098" s="309">
        <v>0</v>
      </c>
      <c r="O1098" s="309">
        <v>0</v>
      </c>
      <c r="P1098" s="309">
        <v>8.6897000000000002</v>
      </c>
      <c r="Q1098" s="309">
        <v>0</v>
      </c>
      <c r="R1098" s="309">
        <v>0</v>
      </c>
      <c r="S1098" s="309">
        <v>11.3194</v>
      </c>
      <c r="T1098" s="309">
        <v>0</v>
      </c>
      <c r="U1098" s="309">
        <v>0</v>
      </c>
      <c r="V1098" s="309">
        <v>0</v>
      </c>
      <c r="W1098" s="309">
        <v>0</v>
      </c>
      <c r="X1098" s="309">
        <v>0</v>
      </c>
      <c r="Y1098" s="309">
        <v>0</v>
      </c>
      <c r="Z1098" s="309">
        <v>12.750400000000001</v>
      </c>
      <c r="AA1098" s="309">
        <v>11.5799</v>
      </c>
      <c r="AB1098" s="309">
        <v>12.4533</v>
      </c>
      <c r="AC1098" s="309">
        <v>10.569900000000001</v>
      </c>
      <c r="AD1098" s="309">
        <v>0</v>
      </c>
      <c r="AE1098" s="309">
        <v>0</v>
      </c>
      <c r="AF1098" s="309">
        <v>0</v>
      </c>
      <c r="AG1098" s="309">
        <v>0</v>
      </c>
      <c r="AH1098" s="309">
        <v>0</v>
      </c>
      <c r="AI1098" s="309">
        <v>0</v>
      </c>
      <c r="AJ1098" s="309">
        <v>0</v>
      </c>
      <c r="AK1098" s="309">
        <v>0</v>
      </c>
      <c r="AL1098" s="309">
        <v>6.1332000000000004</v>
      </c>
      <c r="AM1098" s="309">
        <v>13.695499999999999</v>
      </c>
      <c r="AN1098" s="309">
        <v>9.3512000000000004</v>
      </c>
      <c r="AO1098" s="309">
        <v>9.9764999999999997</v>
      </c>
      <c r="AP1098" s="309">
        <v>11.744300000000001</v>
      </c>
      <c r="AQ1098" s="309">
        <v>0</v>
      </c>
      <c r="AR1098" s="309">
        <v>13.037699999999999</v>
      </c>
      <c r="AS1098" s="309">
        <v>0</v>
      </c>
      <c r="AT1098" s="309">
        <v>0</v>
      </c>
      <c r="AU1098" s="309">
        <v>10.237500000000001</v>
      </c>
      <c r="AV1098" s="309">
        <v>9.6083999999999996</v>
      </c>
      <c r="AW1098" s="309">
        <v>9.9198000000000004</v>
      </c>
      <c r="AX1098" s="309">
        <v>0</v>
      </c>
      <c r="AY1098" s="309">
        <v>0</v>
      </c>
      <c r="AZ1098" s="309">
        <v>13.5441</v>
      </c>
      <c r="BA1098" s="309">
        <v>0</v>
      </c>
      <c r="BB1098" s="309">
        <v>0</v>
      </c>
      <c r="BC1098" s="309">
        <v>0</v>
      </c>
      <c r="BD1098" s="309">
        <v>9.8968000000000007</v>
      </c>
      <c r="BE1098" s="309">
        <v>13.341699999999999</v>
      </c>
      <c r="BF1098" s="309">
        <v>11.2538</v>
      </c>
      <c r="BG1098" s="309">
        <v>11.8444</v>
      </c>
      <c r="BH1098" s="309">
        <v>14.147</v>
      </c>
      <c r="BI1098" s="309">
        <v>11.129200000000001</v>
      </c>
      <c r="BJ1098" s="309">
        <v>10.049899999999999</v>
      </c>
      <c r="BK1098" s="309">
        <v>10.6869</v>
      </c>
    </row>
    <row r="1099" spans="1:63" x14ac:dyDescent="0.25">
      <c r="A1099" s="306">
        <v>336214</v>
      </c>
      <c r="B1099" s="309" t="s">
        <v>250</v>
      </c>
      <c r="C1099" s="309">
        <v>20.411100000000001</v>
      </c>
      <c r="D1099" s="309">
        <v>9.6420999999999992</v>
      </c>
      <c r="E1099" s="309">
        <v>17.044</v>
      </c>
      <c r="F1099" s="309">
        <v>16.0943</v>
      </c>
      <c r="G1099" s="309">
        <v>13.082000000000001</v>
      </c>
      <c r="H1099" s="309">
        <v>13.4</v>
      </c>
      <c r="I1099" s="309">
        <v>11.7965</v>
      </c>
      <c r="J1099" s="309">
        <v>10.980499999999999</v>
      </c>
      <c r="K1099" s="309">
        <v>0</v>
      </c>
      <c r="L1099" s="309">
        <v>0</v>
      </c>
      <c r="M1099" s="309">
        <v>12.343299999999999</v>
      </c>
      <c r="N1099" s="309">
        <v>15.555199999999999</v>
      </c>
      <c r="O1099" s="309">
        <v>0</v>
      </c>
      <c r="P1099" s="309">
        <v>12.2416</v>
      </c>
      <c r="Q1099" s="309">
        <v>12.0435</v>
      </c>
      <c r="R1099" s="309">
        <v>13.4352</v>
      </c>
      <c r="S1099" s="309">
        <v>14.068</v>
      </c>
      <c r="T1099" s="309">
        <v>12.430899999999999</v>
      </c>
      <c r="U1099" s="309">
        <v>16.09</v>
      </c>
      <c r="V1099" s="309">
        <v>13.683400000000001</v>
      </c>
      <c r="W1099" s="309">
        <v>9.5836000000000006</v>
      </c>
      <c r="X1099" s="309">
        <v>8.8445</v>
      </c>
      <c r="Y1099" s="309">
        <v>12.254099999999999</v>
      </c>
      <c r="Z1099" s="309">
        <v>15.2217</v>
      </c>
      <c r="AA1099" s="309">
        <v>13.3926</v>
      </c>
      <c r="AB1099" s="309">
        <v>16.059200000000001</v>
      </c>
      <c r="AC1099" s="309">
        <v>14.7349</v>
      </c>
      <c r="AD1099" s="309">
        <v>12.6518</v>
      </c>
      <c r="AE1099" s="309">
        <v>14.270200000000001</v>
      </c>
      <c r="AF1099" s="309">
        <v>10.317299999999999</v>
      </c>
      <c r="AG1099" s="309">
        <v>9.2210000000000001</v>
      </c>
      <c r="AH1099" s="309">
        <v>13.6389</v>
      </c>
      <c r="AI1099" s="309">
        <v>10.3118</v>
      </c>
      <c r="AJ1099" s="309">
        <v>13.159599999999999</v>
      </c>
      <c r="AK1099" s="309">
        <v>12.444599999999999</v>
      </c>
      <c r="AL1099" s="309">
        <v>10.7613</v>
      </c>
      <c r="AM1099" s="309">
        <v>15.814500000000001</v>
      </c>
      <c r="AN1099" s="309">
        <v>15.086399999999999</v>
      </c>
      <c r="AO1099" s="309">
        <v>13.7681</v>
      </c>
      <c r="AP1099" s="309">
        <v>15.0482</v>
      </c>
      <c r="AQ1099" s="309">
        <v>0</v>
      </c>
      <c r="AR1099" s="309">
        <v>14.5755</v>
      </c>
      <c r="AS1099" s="309">
        <v>11.5905</v>
      </c>
      <c r="AT1099" s="309">
        <v>16.485600000000002</v>
      </c>
      <c r="AU1099" s="309">
        <v>15.5489</v>
      </c>
      <c r="AV1099" s="309">
        <v>16.968900000000001</v>
      </c>
      <c r="AW1099" s="309">
        <v>12.9977</v>
      </c>
      <c r="AX1099" s="309">
        <v>13.5205</v>
      </c>
      <c r="AY1099" s="309">
        <v>13.02</v>
      </c>
      <c r="AZ1099" s="309">
        <v>15.637600000000001</v>
      </c>
      <c r="BA1099" s="309">
        <v>0</v>
      </c>
      <c r="BB1099" s="309">
        <v>9.3501999999999992</v>
      </c>
      <c r="BC1099" s="309">
        <v>12.6896</v>
      </c>
      <c r="BD1099" s="309">
        <v>13.897600000000001</v>
      </c>
      <c r="BE1099" s="309">
        <v>16.335000000000001</v>
      </c>
      <c r="BF1099" s="309">
        <v>15.2052</v>
      </c>
      <c r="BG1099" s="309">
        <v>15.180300000000001</v>
      </c>
      <c r="BH1099" s="309">
        <v>17.8872</v>
      </c>
      <c r="BI1099" s="309">
        <v>16.735299999999999</v>
      </c>
      <c r="BJ1099" s="309">
        <v>14.266999999999999</v>
      </c>
      <c r="BK1099" s="309">
        <v>14.456200000000001</v>
      </c>
    </row>
    <row r="1100" spans="1:63" x14ac:dyDescent="0.25">
      <c r="A1100" s="306">
        <v>336300</v>
      </c>
      <c r="B1100" s="309" t="s">
        <v>251</v>
      </c>
      <c r="C1100" s="309">
        <v>17.571100000000001</v>
      </c>
      <c r="D1100" s="309">
        <v>8.0236000000000001</v>
      </c>
      <c r="E1100" s="309">
        <v>12.950799999999999</v>
      </c>
      <c r="F1100" s="309">
        <v>12.680099999999999</v>
      </c>
      <c r="G1100" s="309">
        <v>10.1647</v>
      </c>
      <c r="H1100" s="309">
        <v>11.249499999999999</v>
      </c>
      <c r="I1100" s="309">
        <v>10.7529</v>
      </c>
      <c r="J1100" s="309">
        <v>8.7514000000000003</v>
      </c>
      <c r="K1100" s="309">
        <v>0</v>
      </c>
      <c r="L1100" s="309">
        <v>7.1139999999999999</v>
      </c>
      <c r="M1100" s="309">
        <v>10.1153</v>
      </c>
      <c r="N1100" s="309">
        <v>11.863300000000001</v>
      </c>
      <c r="O1100" s="309">
        <v>9.4751999999999992</v>
      </c>
      <c r="P1100" s="309">
        <v>10.3246</v>
      </c>
      <c r="Q1100" s="309">
        <v>8.4873999999999992</v>
      </c>
      <c r="R1100" s="309">
        <v>12.694599999999999</v>
      </c>
      <c r="S1100" s="309">
        <v>12.3216</v>
      </c>
      <c r="T1100" s="309">
        <v>10.166</v>
      </c>
      <c r="U1100" s="309">
        <v>12.8955</v>
      </c>
      <c r="V1100" s="309">
        <v>10.5824</v>
      </c>
      <c r="W1100" s="309">
        <v>8.6282999999999994</v>
      </c>
      <c r="X1100" s="309">
        <v>7.4977</v>
      </c>
      <c r="Y1100" s="309">
        <v>10.351699999999999</v>
      </c>
      <c r="Z1100" s="309">
        <v>12.8561</v>
      </c>
      <c r="AA1100" s="309">
        <v>11.739599999999999</v>
      </c>
      <c r="AB1100" s="309">
        <v>12.4856</v>
      </c>
      <c r="AC1100" s="309">
        <v>11.0678</v>
      </c>
      <c r="AD1100" s="309">
        <v>9.6176999999999992</v>
      </c>
      <c r="AE1100" s="309">
        <v>12.103400000000001</v>
      </c>
      <c r="AF1100" s="309">
        <v>8.0480999999999998</v>
      </c>
      <c r="AG1100" s="309">
        <v>9.5213000000000001</v>
      </c>
      <c r="AH1100" s="309">
        <v>10.981400000000001</v>
      </c>
      <c r="AI1100" s="309">
        <v>9.0266999999999999</v>
      </c>
      <c r="AJ1100" s="309">
        <v>8.7957999999999998</v>
      </c>
      <c r="AK1100" s="309">
        <v>9.1536000000000008</v>
      </c>
      <c r="AL1100" s="309">
        <v>7.4939</v>
      </c>
      <c r="AM1100" s="309">
        <v>13.658300000000001</v>
      </c>
      <c r="AN1100" s="309">
        <v>12.3247</v>
      </c>
      <c r="AO1100" s="309">
        <v>11.380100000000001</v>
      </c>
      <c r="AP1100" s="309">
        <v>12.9415</v>
      </c>
      <c r="AQ1100" s="309">
        <v>8.3298000000000005</v>
      </c>
      <c r="AR1100" s="309">
        <v>12.988099999999999</v>
      </c>
      <c r="AS1100" s="309">
        <v>9.0428999999999995</v>
      </c>
      <c r="AT1100" s="309">
        <v>13.566599999999999</v>
      </c>
      <c r="AU1100" s="309">
        <v>12.586</v>
      </c>
      <c r="AV1100" s="309">
        <v>14.070399999999999</v>
      </c>
      <c r="AW1100" s="309">
        <v>10.341699999999999</v>
      </c>
      <c r="AX1100" s="309">
        <v>9.1212999999999997</v>
      </c>
      <c r="AY1100" s="309">
        <v>10.359299999999999</v>
      </c>
      <c r="AZ1100" s="309">
        <v>12.697100000000001</v>
      </c>
      <c r="BA1100" s="309">
        <v>8.7223000000000006</v>
      </c>
      <c r="BB1100" s="309">
        <v>8.4452999999999996</v>
      </c>
      <c r="BC1100" s="309">
        <v>10.8569</v>
      </c>
      <c r="BD1100" s="309">
        <v>11.0847</v>
      </c>
      <c r="BE1100" s="309">
        <v>14.3461</v>
      </c>
      <c r="BF1100" s="309">
        <v>12.6584</v>
      </c>
      <c r="BG1100" s="309">
        <v>12.4283</v>
      </c>
      <c r="BH1100" s="309">
        <v>14.41</v>
      </c>
      <c r="BI1100" s="309">
        <v>13.4186</v>
      </c>
      <c r="BJ1100" s="309">
        <v>11.232100000000001</v>
      </c>
      <c r="BK1100" s="309">
        <v>11.779400000000001</v>
      </c>
    </row>
    <row r="1101" spans="1:63" x14ac:dyDescent="0.25">
      <c r="A1101" s="306">
        <v>336411</v>
      </c>
      <c r="B1101" s="309" t="s">
        <v>252</v>
      </c>
      <c r="C1101" s="309">
        <v>13.632099999999999</v>
      </c>
      <c r="D1101" s="309">
        <v>7.1045999999999996</v>
      </c>
      <c r="E1101" s="309">
        <v>9.2750000000000004</v>
      </c>
      <c r="F1101" s="309">
        <v>8.4209999999999994</v>
      </c>
      <c r="G1101" s="309">
        <v>8.8649000000000004</v>
      </c>
      <c r="H1101" s="309">
        <v>8.6005000000000003</v>
      </c>
      <c r="I1101" s="309">
        <v>8.8130000000000006</v>
      </c>
      <c r="J1101" s="309">
        <v>7.069</v>
      </c>
      <c r="K1101" s="309">
        <v>0</v>
      </c>
      <c r="L1101" s="309">
        <v>4.3097000000000003</v>
      </c>
      <c r="M1101" s="309">
        <v>9.5928000000000004</v>
      </c>
      <c r="N1101" s="309">
        <v>8.3248999999999995</v>
      </c>
      <c r="O1101" s="309">
        <v>0</v>
      </c>
      <c r="P1101" s="309">
        <v>8.9461999999999993</v>
      </c>
      <c r="Q1101" s="309">
        <v>7.8822999999999999</v>
      </c>
      <c r="R1101" s="309">
        <v>8.7455999999999996</v>
      </c>
      <c r="S1101" s="309">
        <v>10.381399999999999</v>
      </c>
      <c r="T1101" s="309">
        <v>7.6128</v>
      </c>
      <c r="U1101" s="309">
        <v>8.6417999999999999</v>
      </c>
      <c r="V1101" s="309">
        <v>8.1096000000000004</v>
      </c>
      <c r="W1101" s="309">
        <v>7.1106999999999996</v>
      </c>
      <c r="X1101" s="309">
        <v>7.1952999999999996</v>
      </c>
      <c r="Y1101" s="309">
        <v>9.6251999999999995</v>
      </c>
      <c r="Z1101" s="309">
        <v>9.8481000000000005</v>
      </c>
      <c r="AA1101" s="309">
        <v>8.8803000000000001</v>
      </c>
      <c r="AB1101" s="309">
        <v>7.4810999999999996</v>
      </c>
      <c r="AC1101" s="309">
        <v>7.1222000000000003</v>
      </c>
      <c r="AD1101" s="309">
        <v>8.3957999999999995</v>
      </c>
      <c r="AE1101" s="309">
        <v>8.7546999999999997</v>
      </c>
      <c r="AF1101" s="309">
        <v>0</v>
      </c>
      <c r="AG1101" s="309">
        <v>0</v>
      </c>
      <c r="AH1101" s="309">
        <v>6.8167</v>
      </c>
      <c r="AI1101" s="309">
        <v>7.0547000000000004</v>
      </c>
      <c r="AJ1101" s="309">
        <v>7.73</v>
      </c>
      <c r="AK1101" s="309">
        <v>8.8527000000000005</v>
      </c>
      <c r="AL1101" s="309">
        <v>5.8460000000000001</v>
      </c>
      <c r="AM1101" s="309">
        <v>10.2392</v>
      </c>
      <c r="AN1101" s="309">
        <v>9.1372999999999998</v>
      </c>
      <c r="AO1101" s="309">
        <v>9.5396999999999998</v>
      </c>
      <c r="AP1101" s="309">
        <v>7.9368999999999996</v>
      </c>
      <c r="AQ1101" s="309">
        <v>0</v>
      </c>
      <c r="AR1101" s="309">
        <v>7.4675000000000002</v>
      </c>
      <c r="AS1101" s="309">
        <v>6.0273000000000003</v>
      </c>
      <c r="AT1101" s="309">
        <v>9.2362000000000002</v>
      </c>
      <c r="AU1101" s="309">
        <v>9.4875000000000007</v>
      </c>
      <c r="AV1101" s="309">
        <v>12.5533</v>
      </c>
      <c r="AW1101" s="309">
        <v>7.2850999999999999</v>
      </c>
      <c r="AX1101" s="309">
        <v>0</v>
      </c>
      <c r="AY1101" s="309">
        <v>7.7060000000000004</v>
      </c>
      <c r="AZ1101" s="309">
        <v>8.0945</v>
      </c>
      <c r="BA1101" s="309">
        <v>7.8059000000000003</v>
      </c>
      <c r="BB1101" s="309">
        <v>7.1482000000000001</v>
      </c>
      <c r="BC1101" s="309">
        <v>9.2797999999999998</v>
      </c>
      <c r="BD1101" s="309">
        <v>7.9684999999999997</v>
      </c>
      <c r="BE1101" s="309">
        <v>10.668799999999999</v>
      </c>
      <c r="BF1101" s="309">
        <v>9.2965</v>
      </c>
      <c r="BG1101" s="309">
        <v>9.7832000000000008</v>
      </c>
      <c r="BH1101" s="309">
        <v>9.6476000000000006</v>
      </c>
      <c r="BI1101" s="309">
        <v>9.7591999999999999</v>
      </c>
      <c r="BJ1101" s="309">
        <v>10.2804</v>
      </c>
      <c r="BK1101" s="309">
        <v>9.0014000000000003</v>
      </c>
    </row>
    <row r="1102" spans="1:63" x14ac:dyDescent="0.25">
      <c r="A1102" s="306">
        <v>336412</v>
      </c>
      <c r="B1102" s="309" t="s">
        <v>253</v>
      </c>
      <c r="C1102" s="309">
        <v>15.1305</v>
      </c>
      <c r="D1102" s="309">
        <v>7.5408999999999997</v>
      </c>
      <c r="E1102" s="309">
        <v>9.6112000000000002</v>
      </c>
      <c r="F1102" s="309">
        <v>9.5883000000000003</v>
      </c>
      <c r="G1102" s="309">
        <v>9.8406000000000002</v>
      </c>
      <c r="H1102" s="309">
        <v>9.4908000000000001</v>
      </c>
      <c r="I1102" s="309">
        <v>11.2624</v>
      </c>
      <c r="J1102" s="309">
        <v>8.3346</v>
      </c>
      <c r="K1102" s="309">
        <v>0</v>
      </c>
      <c r="L1102" s="309">
        <v>0</v>
      </c>
      <c r="M1102" s="309">
        <v>10.7964</v>
      </c>
      <c r="N1102" s="309">
        <v>11.622</v>
      </c>
      <c r="O1102" s="309">
        <v>0</v>
      </c>
      <c r="P1102" s="309">
        <v>8.4031000000000002</v>
      </c>
      <c r="Q1102" s="309">
        <v>8.8838000000000008</v>
      </c>
      <c r="R1102" s="309">
        <v>9.8620000000000001</v>
      </c>
      <c r="S1102" s="309">
        <v>9.9474</v>
      </c>
      <c r="T1102" s="309">
        <v>8.8978000000000002</v>
      </c>
      <c r="U1102" s="309">
        <v>10.359299999999999</v>
      </c>
      <c r="V1102" s="309">
        <v>8.2798999999999996</v>
      </c>
      <c r="W1102" s="309">
        <v>8.4177</v>
      </c>
      <c r="X1102" s="309">
        <v>6.9253</v>
      </c>
      <c r="Y1102" s="309">
        <v>10.5792</v>
      </c>
      <c r="Z1102" s="309">
        <v>11.023999999999999</v>
      </c>
      <c r="AA1102" s="309">
        <v>9.5335000000000001</v>
      </c>
      <c r="AB1102" s="309">
        <v>10.051500000000001</v>
      </c>
      <c r="AC1102" s="309">
        <v>8.9831000000000003</v>
      </c>
      <c r="AD1102" s="309">
        <v>0</v>
      </c>
      <c r="AE1102" s="309">
        <v>10.2385</v>
      </c>
      <c r="AF1102" s="309">
        <v>0</v>
      </c>
      <c r="AG1102" s="309">
        <v>6.9458000000000002</v>
      </c>
      <c r="AH1102" s="309">
        <v>9.4955999999999996</v>
      </c>
      <c r="AI1102" s="309">
        <v>8.3709000000000007</v>
      </c>
      <c r="AJ1102" s="309">
        <v>8.8747000000000007</v>
      </c>
      <c r="AK1102" s="309">
        <v>8.7897999999999996</v>
      </c>
      <c r="AL1102" s="309">
        <v>8.0393000000000008</v>
      </c>
      <c r="AM1102" s="309">
        <v>11.5001</v>
      </c>
      <c r="AN1102" s="309">
        <v>11.553699999999999</v>
      </c>
      <c r="AO1102" s="309">
        <v>9.7012999999999998</v>
      </c>
      <c r="AP1102" s="309">
        <v>10.652100000000001</v>
      </c>
      <c r="AQ1102" s="309">
        <v>0</v>
      </c>
      <c r="AR1102" s="309">
        <v>9.9230999999999998</v>
      </c>
      <c r="AS1102" s="309">
        <v>7.6729000000000003</v>
      </c>
      <c r="AT1102" s="309">
        <v>11.438700000000001</v>
      </c>
      <c r="AU1102" s="309">
        <v>11.771699999999999</v>
      </c>
      <c r="AV1102" s="309">
        <v>13.4535</v>
      </c>
      <c r="AW1102" s="309">
        <v>8.5357000000000003</v>
      </c>
      <c r="AX1102" s="309">
        <v>8.4474</v>
      </c>
      <c r="AY1102" s="309">
        <v>9.1931999999999992</v>
      </c>
      <c r="AZ1102" s="309">
        <v>9.8658000000000001</v>
      </c>
      <c r="BA1102" s="309">
        <v>8.1705000000000005</v>
      </c>
      <c r="BB1102" s="309">
        <v>7.4729999999999999</v>
      </c>
      <c r="BC1102" s="309">
        <v>10.5562</v>
      </c>
      <c r="BD1102" s="309">
        <v>10.2041</v>
      </c>
      <c r="BE1102" s="309">
        <v>12.1837</v>
      </c>
      <c r="BF1102" s="309">
        <v>10.0967</v>
      </c>
      <c r="BG1102" s="309">
        <v>11.3162</v>
      </c>
      <c r="BH1102" s="309">
        <v>11.0261</v>
      </c>
      <c r="BI1102" s="309">
        <v>11.927899999999999</v>
      </c>
      <c r="BJ1102" s="309">
        <v>11.297700000000001</v>
      </c>
      <c r="BK1102" s="309">
        <v>9.7258999999999993</v>
      </c>
    </row>
    <row r="1103" spans="1:63" x14ac:dyDescent="0.25">
      <c r="A1103" s="306">
        <v>336413</v>
      </c>
      <c r="B1103" s="309" t="s">
        <v>254</v>
      </c>
      <c r="C1103" s="309">
        <v>19.355599999999999</v>
      </c>
      <c r="D1103" s="309">
        <v>11.6357</v>
      </c>
      <c r="E1103" s="309">
        <v>14.657400000000001</v>
      </c>
      <c r="F1103" s="309">
        <v>15.3779</v>
      </c>
      <c r="G1103" s="309">
        <v>13.0243</v>
      </c>
      <c r="H1103" s="309">
        <v>13.441800000000001</v>
      </c>
      <c r="I1103" s="309">
        <v>14.321999999999999</v>
      </c>
      <c r="J1103" s="309">
        <v>10.2584</v>
      </c>
      <c r="K1103" s="309">
        <v>0</v>
      </c>
      <c r="L1103" s="309">
        <v>8.4182000000000006</v>
      </c>
      <c r="M1103" s="309">
        <v>14.2293</v>
      </c>
      <c r="N1103" s="309">
        <v>15.834</v>
      </c>
      <c r="O1103" s="309">
        <v>13.7241</v>
      </c>
      <c r="P1103" s="309">
        <v>10.7098</v>
      </c>
      <c r="Q1103" s="309">
        <v>13.514200000000001</v>
      </c>
      <c r="R1103" s="309">
        <v>12.883699999999999</v>
      </c>
      <c r="S1103" s="309">
        <v>13.2372</v>
      </c>
      <c r="T1103" s="309">
        <v>12.471</v>
      </c>
      <c r="U1103" s="309">
        <v>13.9001</v>
      </c>
      <c r="V1103" s="309">
        <v>14.466900000000001</v>
      </c>
      <c r="W1103" s="309">
        <v>10.777900000000001</v>
      </c>
      <c r="X1103" s="309">
        <v>10.3842</v>
      </c>
      <c r="Y1103" s="309">
        <v>0</v>
      </c>
      <c r="Z1103" s="309">
        <v>14.6305</v>
      </c>
      <c r="AA1103" s="309">
        <v>14.340999999999999</v>
      </c>
      <c r="AB1103" s="309">
        <v>13.206899999999999</v>
      </c>
      <c r="AC1103" s="309">
        <v>11.419499999999999</v>
      </c>
      <c r="AD1103" s="309">
        <v>13.6494</v>
      </c>
      <c r="AE1103" s="309">
        <v>12.9514</v>
      </c>
      <c r="AF1103" s="309">
        <v>9.8861000000000008</v>
      </c>
      <c r="AG1103" s="309">
        <v>12.127599999999999</v>
      </c>
      <c r="AH1103" s="309">
        <v>12.7415</v>
      </c>
      <c r="AI1103" s="309">
        <v>10.7628</v>
      </c>
      <c r="AJ1103" s="309">
        <v>13.637499999999999</v>
      </c>
      <c r="AK1103" s="309">
        <v>13.4909</v>
      </c>
      <c r="AL1103" s="309">
        <v>10.3537</v>
      </c>
      <c r="AM1103" s="309">
        <v>15.007099999999999</v>
      </c>
      <c r="AN1103" s="309">
        <v>15.3927</v>
      </c>
      <c r="AO1103" s="309">
        <v>12.652799999999999</v>
      </c>
      <c r="AP1103" s="309">
        <v>14.7098</v>
      </c>
      <c r="AQ1103" s="309">
        <v>0</v>
      </c>
      <c r="AR1103" s="309">
        <v>14.9404</v>
      </c>
      <c r="AS1103" s="309">
        <v>11.5151</v>
      </c>
      <c r="AT1103" s="309">
        <v>13.8565</v>
      </c>
      <c r="AU1103" s="309">
        <v>14.0138</v>
      </c>
      <c r="AV1103" s="309">
        <v>16.797599999999999</v>
      </c>
      <c r="AW1103" s="309">
        <v>13.2204</v>
      </c>
      <c r="AX1103" s="309">
        <v>12.1974</v>
      </c>
      <c r="AY1103" s="309">
        <v>13.5875</v>
      </c>
      <c r="AZ1103" s="309">
        <v>15.7742</v>
      </c>
      <c r="BA1103" s="309">
        <v>11.7194</v>
      </c>
      <c r="BB1103" s="309">
        <v>11.808400000000001</v>
      </c>
      <c r="BC1103" s="309">
        <v>12.813000000000001</v>
      </c>
      <c r="BD1103" s="309">
        <v>13.677899999999999</v>
      </c>
      <c r="BE1103" s="309">
        <v>15.6495</v>
      </c>
      <c r="BF1103" s="309">
        <v>14.814500000000001</v>
      </c>
      <c r="BG1103" s="309">
        <v>15.762600000000001</v>
      </c>
      <c r="BH1103" s="309">
        <v>15.0213</v>
      </c>
      <c r="BI1103" s="309">
        <v>14.9072</v>
      </c>
      <c r="BJ1103" s="309">
        <v>14.885199999999999</v>
      </c>
      <c r="BK1103" s="309">
        <v>14.081799999999999</v>
      </c>
    </row>
    <row r="1104" spans="1:63" x14ac:dyDescent="0.25">
      <c r="A1104" s="306">
        <v>336414</v>
      </c>
      <c r="B1104" s="309" t="s">
        <v>255</v>
      </c>
      <c r="C1104" s="309">
        <v>19.034400000000002</v>
      </c>
      <c r="D1104" s="309">
        <v>0</v>
      </c>
      <c r="E1104" s="309">
        <v>13.0146</v>
      </c>
      <c r="F1104" s="309">
        <v>11.1897</v>
      </c>
      <c r="G1104" s="309">
        <v>13.154500000000001</v>
      </c>
      <c r="H1104" s="309">
        <v>13.137499999999999</v>
      </c>
      <c r="I1104" s="309">
        <v>13.680899999999999</v>
      </c>
      <c r="J1104" s="309">
        <v>0</v>
      </c>
      <c r="K1104" s="309">
        <v>0</v>
      </c>
      <c r="L1104" s="309">
        <v>0</v>
      </c>
      <c r="M1104" s="309">
        <v>14.5129</v>
      </c>
      <c r="N1104" s="309">
        <v>13.9161</v>
      </c>
      <c r="O1104" s="309">
        <v>0</v>
      </c>
      <c r="P1104" s="309">
        <v>0</v>
      </c>
      <c r="Q1104" s="309">
        <v>0</v>
      </c>
      <c r="R1104" s="309">
        <v>0</v>
      </c>
      <c r="S1104" s="309">
        <v>11.3453</v>
      </c>
      <c r="T1104" s="309">
        <v>0</v>
      </c>
      <c r="U1104" s="309">
        <v>0</v>
      </c>
      <c r="V1104" s="309">
        <v>0</v>
      </c>
      <c r="W1104" s="309">
        <v>10.9368</v>
      </c>
      <c r="X1104" s="309">
        <v>0</v>
      </c>
      <c r="Y1104" s="309">
        <v>0</v>
      </c>
      <c r="Z1104" s="309">
        <v>0</v>
      </c>
      <c r="AA1104" s="309">
        <v>0</v>
      </c>
      <c r="AB1104" s="309">
        <v>0</v>
      </c>
      <c r="AC1104" s="309">
        <v>0</v>
      </c>
      <c r="AD1104" s="309">
        <v>0</v>
      </c>
      <c r="AE1104" s="309">
        <v>0</v>
      </c>
      <c r="AF1104" s="309">
        <v>0</v>
      </c>
      <c r="AG1104" s="309">
        <v>0</v>
      </c>
      <c r="AH1104" s="309">
        <v>0</v>
      </c>
      <c r="AI1104" s="309">
        <v>0</v>
      </c>
      <c r="AJ1104" s="309">
        <v>11.7316</v>
      </c>
      <c r="AK1104" s="309">
        <v>10.8567</v>
      </c>
      <c r="AL1104" s="309">
        <v>0</v>
      </c>
      <c r="AM1104" s="309">
        <v>0</v>
      </c>
      <c r="AN1104" s="309">
        <v>12.9132</v>
      </c>
      <c r="AO1104" s="309">
        <v>0</v>
      </c>
      <c r="AP1104" s="309">
        <v>0</v>
      </c>
      <c r="AQ1104" s="309">
        <v>0</v>
      </c>
      <c r="AR1104" s="309">
        <v>0</v>
      </c>
      <c r="AS1104" s="309">
        <v>0</v>
      </c>
      <c r="AT1104" s="309">
        <v>0</v>
      </c>
      <c r="AU1104" s="309">
        <v>13.462199999999999</v>
      </c>
      <c r="AV1104" s="309">
        <v>15.851699999999999</v>
      </c>
      <c r="AW1104" s="309">
        <v>10.6739</v>
      </c>
      <c r="AX1104" s="309">
        <v>0</v>
      </c>
      <c r="AY1104" s="309">
        <v>0</v>
      </c>
      <c r="AZ1104" s="309">
        <v>0</v>
      </c>
      <c r="BA1104" s="309">
        <v>0</v>
      </c>
      <c r="BB1104" s="309">
        <v>0</v>
      </c>
      <c r="BC1104" s="309">
        <v>12.865399999999999</v>
      </c>
      <c r="BD1104" s="309">
        <v>0</v>
      </c>
      <c r="BE1104" s="309">
        <v>13.947800000000001</v>
      </c>
      <c r="BF1104" s="309">
        <v>0</v>
      </c>
      <c r="BG1104" s="309">
        <v>15.2699</v>
      </c>
      <c r="BH1104" s="309">
        <v>14.039400000000001</v>
      </c>
      <c r="BI1104" s="309">
        <v>14.4033</v>
      </c>
      <c r="BJ1104" s="309">
        <v>14.992699999999999</v>
      </c>
      <c r="BK1104" s="309">
        <v>13.6229</v>
      </c>
    </row>
    <row r="1105" spans="1:63" x14ac:dyDescent="0.25">
      <c r="A1105" s="306" t="s">
        <v>743</v>
      </c>
      <c r="B1105" s="309" t="s">
        <v>744</v>
      </c>
      <c r="C1105" s="309">
        <v>20.296800000000001</v>
      </c>
      <c r="D1105" s="309">
        <v>0</v>
      </c>
      <c r="E1105" s="309">
        <v>15.545199999999999</v>
      </c>
      <c r="F1105" s="309">
        <v>0</v>
      </c>
      <c r="G1105" s="309">
        <v>16.4452</v>
      </c>
      <c r="H1105" s="309">
        <v>14.755599999999999</v>
      </c>
      <c r="I1105" s="309">
        <v>14.345800000000001</v>
      </c>
      <c r="J1105" s="309">
        <v>0</v>
      </c>
      <c r="K1105" s="309">
        <v>0</v>
      </c>
      <c r="L1105" s="309">
        <v>0</v>
      </c>
      <c r="M1105" s="309">
        <v>16.140999999999998</v>
      </c>
      <c r="N1105" s="309">
        <v>14.9313</v>
      </c>
      <c r="O1105" s="309">
        <v>0</v>
      </c>
      <c r="P1105" s="309">
        <v>0</v>
      </c>
      <c r="Q1105" s="309">
        <v>0</v>
      </c>
      <c r="R1105" s="309">
        <v>0</v>
      </c>
      <c r="S1105" s="309">
        <v>0</v>
      </c>
      <c r="T1105" s="309">
        <v>0</v>
      </c>
      <c r="U1105" s="309">
        <v>0</v>
      </c>
      <c r="V1105" s="309">
        <v>12.711399999999999</v>
      </c>
      <c r="W1105" s="309">
        <v>11.7631</v>
      </c>
      <c r="X1105" s="309">
        <v>10.560700000000001</v>
      </c>
      <c r="Y1105" s="309">
        <v>16.555599999999998</v>
      </c>
      <c r="Z1105" s="309">
        <v>13.6015</v>
      </c>
      <c r="AA1105" s="309">
        <v>0</v>
      </c>
      <c r="AB1105" s="309">
        <v>0</v>
      </c>
      <c r="AC1105" s="309">
        <v>12.250500000000001</v>
      </c>
      <c r="AD1105" s="309">
        <v>0</v>
      </c>
      <c r="AE1105" s="309">
        <v>0</v>
      </c>
      <c r="AF1105" s="309">
        <v>0</v>
      </c>
      <c r="AG1105" s="309">
        <v>0</v>
      </c>
      <c r="AH1105" s="309">
        <v>0</v>
      </c>
      <c r="AI1105" s="309">
        <v>0</v>
      </c>
      <c r="AJ1105" s="309">
        <v>0</v>
      </c>
      <c r="AK1105" s="309">
        <v>0</v>
      </c>
      <c r="AL1105" s="309">
        <v>11.6981</v>
      </c>
      <c r="AM1105" s="309">
        <v>18.0534</v>
      </c>
      <c r="AN1105" s="309">
        <v>17.137</v>
      </c>
      <c r="AO1105" s="309">
        <v>0</v>
      </c>
      <c r="AP1105" s="309">
        <v>12.932700000000001</v>
      </c>
      <c r="AQ1105" s="309">
        <v>0</v>
      </c>
      <c r="AR1105" s="309">
        <v>0</v>
      </c>
      <c r="AS1105" s="309">
        <v>13.3567</v>
      </c>
      <c r="AT1105" s="309">
        <v>0</v>
      </c>
      <c r="AU1105" s="309">
        <v>17.203399999999998</v>
      </c>
      <c r="AV1105" s="309">
        <v>17.198699999999999</v>
      </c>
      <c r="AW1105" s="309">
        <v>12.4861</v>
      </c>
      <c r="AX1105" s="309">
        <v>0</v>
      </c>
      <c r="AY1105" s="309">
        <v>13.653700000000001</v>
      </c>
      <c r="AZ1105" s="309">
        <v>17.457100000000001</v>
      </c>
      <c r="BA1105" s="309">
        <v>11.850300000000001</v>
      </c>
      <c r="BB1105" s="309">
        <v>0</v>
      </c>
      <c r="BC1105" s="309">
        <v>14.337899999999999</v>
      </c>
      <c r="BD1105" s="309">
        <v>12.578200000000001</v>
      </c>
      <c r="BE1105" s="309">
        <v>14.103</v>
      </c>
      <c r="BF1105" s="309">
        <v>16.815799999999999</v>
      </c>
      <c r="BG1105" s="309">
        <v>16.492100000000001</v>
      </c>
      <c r="BH1105" s="309">
        <v>16.4635</v>
      </c>
      <c r="BI1105" s="309">
        <v>15.9148</v>
      </c>
      <c r="BJ1105" s="309">
        <v>16.495100000000001</v>
      </c>
      <c r="BK1105" s="309">
        <v>15.294700000000001</v>
      </c>
    </row>
    <row r="1106" spans="1:63" x14ac:dyDescent="0.25">
      <c r="A1106" s="306">
        <v>336500</v>
      </c>
      <c r="B1106" s="309" t="s">
        <v>256</v>
      </c>
      <c r="C1106" s="309">
        <v>14.5771</v>
      </c>
      <c r="D1106" s="309">
        <v>0</v>
      </c>
      <c r="E1106" s="309">
        <v>10.727399999999999</v>
      </c>
      <c r="F1106" s="309">
        <v>10.514900000000001</v>
      </c>
      <c r="G1106" s="309">
        <v>7.2682000000000002</v>
      </c>
      <c r="H1106" s="309">
        <v>8.8699999999999992</v>
      </c>
      <c r="I1106" s="309">
        <v>9.2118000000000002</v>
      </c>
      <c r="J1106" s="309">
        <v>9.8948</v>
      </c>
      <c r="K1106" s="309">
        <v>0</v>
      </c>
      <c r="L1106" s="309">
        <v>7.1642999999999999</v>
      </c>
      <c r="M1106" s="309">
        <v>9.3386999999999993</v>
      </c>
      <c r="N1106" s="309">
        <v>10.832599999999999</v>
      </c>
      <c r="O1106" s="309">
        <v>0</v>
      </c>
      <c r="P1106" s="309">
        <v>7.9828000000000001</v>
      </c>
      <c r="Q1106" s="309">
        <v>8.9423999999999992</v>
      </c>
      <c r="R1106" s="309">
        <v>10.4704</v>
      </c>
      <c r="S1106" s="309">
        <v>9.8758999999999997</v>
      </c>
      <c r="T1106" s="309">
        <v>8.6340000000000003</v>
      </c>
      <c r="U1106" s="309">
        <v>10.2143</v>
      </c>
      <c r="V1106" s="309">
        <v>10.222099999999999</v>
      </c>
      <c r="W1106" s="309">
        <v>0</v>
      </c>
      <c r="X1106" s="309">
        <v>6.5167999999999999</v>
      </c>
      <c r="Y1106" s="309">
        <v>9.8681000000000001</v>
      </c>
      <c r="Z1106" s="309">
        <v>11.670400000000001</v>
      </c>
      <c r="AA1106" s="309">
        <v>9.1941000000000006</v>
      </c>
      <c r="AB1106" s="309">
        <v>10.6007</v>
      </c>
      <c r="AC1106" s="309">
        <v>0</v>
      </c>
      <c r="AD1106" s="309">
        <v>0</v>
      </c>
      <c r="AE1106" s="309">
        <v>9.9095999999999993</v>
      </c>
      <c r="AF1106" s="309">
        <v>0</v>
      </c>
      <c r="AG1106" s="309">
        <v>8.7126000000000001</v>
      </c>
      <c r="AH1106" s="309">
        <v>0</v>
      </c>
      <c r="AI1106" s="309">
        <v>7.2423000000000002</v>
      </c>
      <c r="AJ1106" s="309">
        <v>0</v>
      </c>
      <c r="AK1106" s="309">
        <v>9.0321999999999996</v>
      </c>
      <c r="AL1106" s="309">
        <v>7.6170999999999998</v>
      </c>
      <c r="AM1106" s="309">
        <v>12.281599999999999</v>
      </c>
      <c r="AN1106" s="309">
        <v>10.931800000000001</v>
      </c>
      <c r="AO1106" s="309">
        <v>9.8271999999999995</v>
      </c>
      <c r="AP1106" s="309">
        <v>10.031599999999999</v>
      </c>
      <c r="AQ1106" s="309">
        <v>0</v>
      </c>
      <c r="AR1106" s="309">
        <v>11.2117</v>
      </c>
      <c r="AS1106" s="309">
        <v>0</v>
      </c>
      <c r="AT1106" s="309">
        <v>11.2805</v>
      </c>
      <c r="AU1106" s="309">
        <v>11.5594</v>
      </c>
      <c r="AV1106" s="309">
        <v>13.623699999999999</v>
      </c>
      <c r="AW1106" s="309">
        <v>10.126799999999999</v>
      </c>
      <c r="AX1106" s="309">
        <v>5.9545000000000003</v>
      </c>
      <c r="AY1106" s="309">
        <v>10.1629</v>
      </c>
      <c r="AZ1106" s="309">
        <v>9.8299000000000003</v>
      </c>
      <c r="BA1106" s="309">
        <v>8.5433000000000003</v>
      </c>
      <c r="BB1106" s="309">
        <v>0</v>
      </c>
      <c r="BC1106" s="309">
        <v>10.6944</v>
      </c>
      <c r="BD1106" s="309">
        <v>9.3375000000000004</v>
      </c>
      <c r="BE1106" s="309">
        <v>11.765000000000001</v>
      </c>
      <c r="BF1106" s="309">
        <v>10.4047</v>
      </c>
      <c r="BG1106" s="309">
        <v>11.348100000000001</v>
      </c>
      <c r="BH1106" s="309">
        <v>11.2401</v>
      </c>
      <c r="BI1106" s="309">
        <v>12.211399999999999</v>
      </c>
      <c r="BJ1106" s="309">
        <v>10.6913</v>
      </c>
      <c r="BK1106" s="309">
        <v>9.7727000000000004</v>
      </c>
    </row>
    <row r="1107" spans="1:63" x14ac:dyDescent="0.25">
      <c r="A1107" s="306">
        <v>336611</v>
      </c>
      <c r="B1107" s="309" t="s">
        <v>257</v>
      </c>
      <c r="C1107" s="309">
        <v>19.973199999999999</v>
      </c>
      <c r="D1107" s="309">
        <v>12.299799999999999</v>
      </c>
      <c r="E1107" s="309">
        <v>15.9735</v>
      </c>
      <c r="F1107" s="309">
        <v>16.6846</v>
      </c>
      <c r="G1107" s="309">
        <v>0</v>
      </c>
      <c r="H1107" s="309">
        <v>14.4626</v>
      </c>
      <c r="I1107" s="309">
        <v>0</v>
      </c>
      <c r="J1107" s="309">
        <v>10.262499999999999</v>
      </c>
      <c r="K1107" s="309">
        <v>1.2622</v>
      </c>
      <c r="L1107" s="309">
        <v>11.487399999999999</v>
      </c>
      <c r="M1107" s="309">
        <v>15.348000000000001</v>
      </c>
      <c r="N1107" s="309">
        <v>17.793500000000002</v>
      </c>
      <c r="O1107" s="309">
        <v>11.8424</v>
      </c>
      <c r="P1107" s="309">
        <v>0</v>
      </c>
      <c r="Q1107" s="309">
        <v>0</v>
      </c>
      <c r="R1107" s="309">
        <v>16.762599999999999</v>
      </c>
      <c r="S1107" s="309">
        <v>15.0829</v>
      </c>
      <c r="T1107" s="309">
        <v>0</v>
      </c>
      <c r="U1107" s="309">
        <v>17.282900000000001</v>
      </c>
      <c r="V1107" s="309">
        <v>13.3291</v>
      </c>
      <c r="W1107" s="309">
        <v>12.2379</v>
      </c>
      <c r="X1107" s="309">
        <v>12.0185</v>
      </c>
      <c r="Y1107" s="309">
        <v>12.654400000000001</v>
      </c>
      <c r="Z1107" s="309">
        <v>16.823799999999999</v>
      </c>
      <c r="AA1107" s="309">
        <v>0</v>
      </c>
      <c r="AB1107" s="309">
        <v>15.1914</v>
      </c>
      <c r="AC1107" s="309">
        <v>12.1296</v>
      </c>
      <c r="AD1107" s="309">
        <v>0</v>
      </c>
      <c r="AE1107" s="309">
        <v>18.816299999999998</v>
      </c>
      <c r="AF1107" s="309">
        <v>0</v>
      </c>
      <c r="AG1107" s="309">
        <v>0</v>
      </c>
      <c r="AH1107" s="309">
        <v>15.572800000000001</v>
      </c>
      <c r="AI1107" s="309">
        <v>12.0961</v>
      </c>
      <c r="AJ1107" s="309">
        <v>0</v>
      </c>
      <c r="AK1107" s="309">
        <v>0</v>
      </c>
      <c r="AL1107" s="309">
        <v>10.6226</v>
      </c>
      <c r="AM1107" s="309">
        <v>17.7194</v>
      </c>
      <c r="AN1107" s="309">
        <v>0</v>
      </c>
      <c r="AO1107" s="309">
        <v>12.769</v>
      </c>
      <c r="AP1107" s="309">
        <v>15.1831</v>
      </c>
      <c r="AQ1107" s="309">
        <v>11</v>
      </c>
      <c r="AR1107" s="309">
        <v>15.8927</v>
      </c>
      <c r="AS1107" s="309">
        <v>0</v>
      </c>
      <c r="AT1107" s="309">
        <v>16.472000000000001</v>
      </c>
      <c r="AU1107" s="309">
        <v>16.064</v>
      </c>
      <c r="AV1107" s="309">
        <v>19.953299999999999</v>
      </c>
      <c r="AW1107" s="309">
        <v>12.4238</v>
      </c>
      <c r="AX1107" s="309">
        <v>0</v>
      </c>
      <c r="AY1107" s="309">
        <v>12.438599999999999</v>
      </c>
      <c r="AZ1107" s="309">
        <v>15.9354</v>
      </c>
      <c r="BA1107" s="309">
        <v>0</v>
      </c>
      <c r="BB1107" s="309">
        <v>0</v>
      </c>
      <c r="BC1107" s="309">
        <v>13.5733</v>
      </c>
      <c r="BD1107" s="309">
        <v>14.444100000000001</v>
      </c>
      <c r="BE1107" s="309">
        <v>17.954999999999998</v>
      </c>
      <c r="BF1107" s="309">
        <v>15.776</v>
      </c>
      <c r="BG1107" s="309">
        <v>15.8301</v>
      </c>
      <c r="BH1107" s="309">
        <v>15.997999999999999</v>
      </c>
      <c r="BI1107" s="309">
        <v>16.582699999999999</v>
      </c>
      <c r="BJ1107" s="309">
        <v>18.224499999999999</v>
      </c>
      <c r="BK1107" s="309">
        <v>14.076499999999999</v>
      </c>
    </row>
    <row r="1108" spans="1:63" x14ac:dyDescent="0.25">
      <c r="A1108" s="306">
        <v>336612</v>
      </c>
      <c r="B1108" s="309" t="s">
        <v>258</v>
      </c>
      <c r="C1108" s="309">
        <v>19.567299999999999</v>
      </c>
      <c r="D1108" s="309">
        <v>10.4092</v>
      </c>
      <c r="E1108" s="309">
        <v>15.23</v>
      </c>
      <c r="F1108" s="309">
        <v>14.4742</v>
      </c>
      <c r="G1108" s="309">
        <v>12.8604</v>
      </c>
      <c r="H1108" s="309">
        <v>12.683999999999999</v>
      </c>
      <c r="I1108" s="309">
        <v>15.8079</v>
      </c>
      <c r="J1108" s="309">
        <v>10.042199999999999</v>
      </c>
      <c r="K1108" s="309">
        <v>0</v>
      </c>
      <c r="L1108" s="309">
        <v>7.4211999999999998</v>
      </c>
      <c r="M1108" s="309">
        <v>12.940899999999999</v>
      </c>
      <c r="N1108" s="309">
        <v>15.355399999999999</v>
      </c>
      <c r="O1108" s="309">
        <v>13.170999999999999</v>
      </c>
      <c r="P1108" s="309">
        <v>13.560700000000001</v>
      </c>
      <c r="Q1108" s="309">
        <v>11.335100000000001</v>
      </c>
      <c r="R1108" s="309">
        <v>12.697100000000001</v>
      </c>
      <c r="S1108" s="309">
        <v>13.878299999999999</v>
      </c>
      <c r="T1108" s="309">
        <v>11.689</v>
      </c>
      <c r="U1108" s="309">
        <v>16.0487</v>
      </c>
      <c r="V1108" s="309">
        <v>11.2432</v>
      </c>
      <c r="W1108" s="309">
        <v>10.545500000000001</v>
      </c>
      <c r="X1108" s="309">
        <v>10.1998</v>
      </c>
      <c r="Y1108" s="309">
        <v>12.311999999999999</v>
      </c>
      <c r="Z1108" s="309">
        <v>14.340199999999999</v>
      </c>
      <c r="AA1108" s="309">
        <v>13.4125</v>
      </c>
      <c r="AB1108" s="309">
        <v>15.553800000000001</v>
      </c>
      <c r="AC1108" s="309">
        <v>13.8752</v>
      </c>
      <c r="AD1108" s="309">
        <v>13.241199999999999</v>
      </c>
      <c r="AE1108" s="309">
        <v>14.8178</v>
      </c>
      <c r="AF1108" s="309">
        <v>10.941800000000001</v>
      </c>
      <c r="AG1108" s="309">
        <v>10.0091</v>
      </c>
      <c r="AH1108" s="309">
        <v>10.801600000000001</v>
      </c>
      <c r="AI1108" s="309">
        <v>10.6289</v>
      </c>
      <c r="AJ1108" s="309">
        <v>0</v>
      </c>
      <c r="AK1108" s="309">
        <v>10.8864</v>
      </c>
      <c r="AL1108" s="309">
        <v>11.0571</v>
      </c>
      <c r="AM1108" s="309">
        <v>15.6812</v>
      </c>
      <c r="AN1108" s="309">
        <v>15.4099</v>
      </c>
      <c r="AO1108" s="309">
        <v>13.132</v>
      </c>
      <c r="AP1108" s="309">
        <v>15.904400000000001</v>
      </c>
      <c r="AQ1108" s="309">
        <v>9.4143000000000008</v>
      </c>
      <c r="AR1108" s="309">
        <v>15.6265</v>
      </c>
      <c r="AS1108" s="309">
        <v>0</v>
      </c>
      <c r="AT1108" s="309">
        <v>14.0868</v>
      </c>
      <c r="AU1108" s="309">
        <v>14.3279</v>
      </c>
      <c r="AV1108" s="309">
        <v>18.374600000000001</v>
      </c>
      <c r="AW1108" s="309">
        <v>12.8064</v>
      </c>
      <c r="AX1108" s="309">
        <v>11.298299999999999</v>
      </c>
      <c r="AY1108" s="309">
        <v>11.92</v>
      </c>
      <c r="AZ1108" s="309">
        <v>14.7768</v>
      </c>
      <c r="BA1108" s="309">
        <v>10.8531</v>
      </c>
      <c r="BB1108" s="309">
        <v>0</v>
      </c>
      <c r="BC1108" s="309">
        <v>12.844799999999999</v>
      </c>
      <c r="BD1108" s="309">
        <v>12.7387</v>
      </c>
      <c r="BE1108" s="309">
        <v>15.8812</v>
      </c>
      <c r="BF1108" s="309">
        <v>14.93</v>
      </c>
      <c r="BG1108" s="309">
        <v>15.517200000000001</v>
      </c>
      <c r="BH1108" s="309">
        <v>15.201499999999999</v>
      </c>
      <c r="BI1108" s="309">
        <v>15.286</v>
      </c>
      <c r="BJ1108" s="309">
        <v>14.443899999999999</v>
      </c>
      <c r="BK1108" s="309">
        <v>13.0322</v>
      </c>
    </row>
    <row r="1109" spans="1:63" x14ac:dyDescent="0.25">
      <c r="A1109" s="306">
        <v>336991</v>
      </c>
      <c r="B1109" s="309" t="s">
        <v>259</v>
      </c>
      <c r="C1109" s="309">
        <v>14.675700000000001</v>
      </c>
      <c r="D1109" s="309">
        <v>0</v>
      </c>
      <c r="E1109" s="309">
        <v>10.5444</v>
      </c>
      <c r="F1109" s="309">
        <v>12.462</v>
      </c>
      <c r="G1109" s="309">
        <v>10.259499999999999</v>
      </c>
      <c r="H1109" s="309">
        <v>10.5756</v>
      </c>
      <c r="I1109" s="309">
        <v>11.091900000000001</v>
      </c>
      <c r="J1109" s="309">
        <v>7.0876999999999999</v>
      </c>
      <c r="K1109" s="309">
        <v>0</v>
      </c>
      <c r="L1109" s="309">
        <v>0</v>
      </c>
      <c r="M1109" s="309">
        <v>10.189500000000001</v>
      </c>
      <c r="N1109" s="309">
        <v>11.5708</v>
      </c>
      <c r="O1109" s="309">
        <v>0</v>
      </c>
      <c r="P1109" s="309">
        <v>11.123100000000001</v>
      </c>
      <c r="Q1109" s="309">
        <v>8.8186999999999998</v>
      </c>
      <c r="R1109" s="309">
        <v>9.2487999999999992</v>
      </c>
      <c r="S1109" s="309">
        <v>11.1629</v>
      </c>
      <c r="T1109" s="309">
        <v>8.2346000000000004</v>
      </c>
      <c r="U1109" s="309">
        <v>11.260999999999999</v>
      </c>
      <c r="V1109" s="309">
        <v>10.7478</v>
      </c>
      <c r="W1109" s="309">
        <v>8.8192000000000004</v>
      </c>
      <c r="X1109" s="309">
        <v>11.033899999999999</v>
      </c>
      <c r="Y1109" s="309">
        <v>10.447699999999999</v>
      </c>
      <c r="Z1109" s="309">
        <v>11.1663</v>
      </c>
      <c r="AA1109" s="309">
        <v>10.5304</v>
      </c>
      <c r="AB1109" s="309">
        <v>9.3813999999999993</v>
      </c>
      <c r="AC1109" s="309">
        <v>0</v>
      </c>
      <c r="AD1109" s="309">
        <v>11.800700000000001</v>
      </c>
      <c r="AE1109" s="309">
        <v>10.301399999999999</v>
      </c>
      <c r="AF1109" s="309">
        <v>0</v>
      </c>
      <c r="AG1109" s="309">
        <v>9.1587999999999994</v>
      </c>
      <c r="AH1109" s="309">
        <v>8.3635000000000002</v>
      </c>
      <c r="AI1109" s="309">
        <v>9.0711999999999993</v>
      </c>
      <c r="AJ1109" s="309">
        <v>9.0785</v>
      </c>
      <c r="AK1109" s="309">
        <v>8.7661999999999995</v>
      </c>
      <c r="AL1109" s="309">
        <v>6.9294000000000002</v>
      </c>
      <c r="AM1109" s="309">
        <v>11.0472</v>
      </c>
      <c r="AN1109" s="309">
        <v>10.491</v>
      </c>
      <c r="AO1109" s="309">
        <v>11.606400000000001</v>
      </c>
      <c r="AP1109" s="309">
        <v>10.6403</v>
      </c>
      <c r="AQ1109" s="309">
        <v>9.3705999999999996</v>
      </c>
      <c r="AR1109" s="309">
        <v>10.295500000000001</v>
      </c>
      <c r="AS1109" s="309">
        <v>8.0925999999999991</v>
      </c>
      <c r="AT1109" s="309">
        <v>11.3293</v>
      </c>
      <c r="AU1109" s="309">
        <v>12.5311</v>
      </c>
      <c r="AV1109" s="309">
        <v>14.5806</v>
      </c>
      <c r="AW1109" s="309">
        <v>9.6189999999999998</v>
      </c>
      <c r="AX1109" s="309">
        <v>0</v>
      </c>
      <c r="AY1109" s="309">
        <v>10.757</v>
      </c>
      <c r="AZ1109" s="309">
        <v>9.4216999999999995</v>
      </c>
      <c r="BA1109" s="309">
        <v>0</v>
      </c>
      <c r="BB1109" s="309">
        <v>0</v>
      </c>
      <c r="BC1109" s="309">
        <v>9.2353000000000005</v>
      </c>
      <c r="BD1109" s="309">
        <v>9.7071000000000005</v>
      </c>
      <c r="BE1109" s="309">
        <v>11.418100000000001</v>
      </c>
      <c r="BF1109" s="309">
        <v>10.346</v>
      </c>
      <c r="BG1109" s="309">
        <v>11.8835</v>
      </c>
      <c r="BH1109" s="309">
        <v>12.122999999999999</v>
      </c>
      <c r="BI1109" s="309">
        <v>12.994300000000001</v>
      </c>
      <c r="BJ1109" s="309">
        <v>11.383100000000001</v>
      </c>
      <c r="BK1109" s="309">
        <v>11.134499999999999</v>
      </c>
    </row>
    <row r="1110" spans="1:63" x14ac:dyDescent="0.25">
      <c r="A1110" s="306">
        <v>336992</v>
      </c>
      <c r="B1110" s="309" t="s">
        <v>260</v>
      </c>
      <c r="C1110" s="309">
        <v>16.510200000000001</v>
      </c>
      <c r="D1110" s="309">
        <v>0</v>
      </c>
      <c r="E1110" s="309">
        <v>13.048400000000001</v>
      </c>
      <c r="F1110" s="309">
        <v>0</v>
      </c>
      <c r="G1110" s="309">
        <v>12.590999999999999</v>
      </c>
      <c r="H1110" s="309">
        <v>10.147600000000001</v>
      </c>
      <c r="I1110" s="309">
        <v>0</v>
      </c>
      <c r="J1110" s="309">
        <v>0</v>
      </c>
      <c r="K1110" s="309">
        <v>0</v>
      </c>
      <c r="L1110" s="309">
        <v>0</v>
      </c>
      <c r="M1110" s="309">
        <v>16.6874</v>
      </c>
      <c r="N1110" s="309">
        <v>10.554600000000001</v>
      </c>
      <c r="O1110" s="309">
        <v>0</v>
      </c>
      <c r="P1110" s="309">
        <v>0</v>
      </c>
      <c r="Q1110" s="309">
        <v>0</v>
      </c>
      <c r="R1110" s="309">
        <v>12.18</v>
      </c>
      <c r="S1110" s="309">
        <v>0</v>
      </c>
      <c r="T1110" s="309">
        <v>0</v>
      </c>
      <c r="U1110" s="309">
        <v>0</v>
      </c>
      <c r="V1110" s="309">
        <v>10.242800000000001</v>
      </c>
      <c r="W1110" s="309">
        <v>0</v>
      </c>
      <c r="X1110" s="309">
        <v>6.6329000000000002</v>
      </c>
      <c r="Y1110" s="309">
        <v>0</v>
      </c>
      <c r="Z1110" s="309">
        <v>12.1134</v>
      </c>
      <c r="AA1110" s="309">
        <v>13.0303</v>
      </c>
      <c r="AB1110" s="309">
        <v>0</v>
      </c>
      <c r="AC1110" s="309">
        <v>0</v>
      </c>
      <c r="AD1110" s="309">
        <v>0</v>
      </c>
      <c r="AE1110" s="309">
        <v>12.8864</v>
      </c>
      <c r="AF1110" s="309">
        <v>0</v>
      </c>
      <c r="AG1110" s="309">
        <v>0</v>
      </c>
      <c r="AH1110" s="309">
        <v>0</v>
      </c>
      <c r="AI1110" s="309">
        <v>12.8148</v>
      </c>
      <c r="AJ1110" s="309">
        <v>0</v>
      </c>
      <c r="AK1110" s="309">
        <v>0</v>
      </c>
      <c r="AL1110" s="309">
        <v>8.6226000000000003</v>
      </c>
      <c r="AM1110" s="309">
        <v>13.427899999999999</v>
      </c>
      <c r="AN1110" s="309">
        <v>11.468999999999999</v>
      </c>
      <c r="AO1110" s="309">
        <v>0</v>
      </c>
      <c r="AP1110" s="309">
        <v>12.579599999999999</v>
      </c>
      <c r="AQ1110" s="309">
        <v>0</v>
      </c>
      <c r="AR1110" s="309">
        <v>12.6311</v>
      </c>
      <c r="AS1110" s="309">
        <v>0</v>
      </c>
      <c r="AT1110" s="309">
        <v>14.6629</v>
      </c>
      <c r="AU1110" s="309">
        <v>15.948</v>
      </c>
      <c r="AV1110" s="309">
        <v>0</v>
      </c>
      <c r="AW1110" s="309">
        <v>7.7957000000000001</v>
      </c>
      <c r="AX1110" s="309">
        <v>0</v>
      </c>
      <c r="AY1110" s="309">
        <v>0</v>
      </c>
      <c r="AZ1110" s="309">
        <v>13.2834</v>
      </c>
      <c r="BA1110" s="309">
        <v>0</v>
      </c>
      <c r="BB1110" s="309">
        <v>0</v>
      </c>
      <c r="BC1110" s="309">
        <v>0</v>
      </c>
      <c r="BD1110" s="309">
        <v>11.7744</v>
      </c>
      <c r="BE1110" s="309">
        <v>14.003299999999999</v>
      </c>
      <c r="BF1110" s="309">
        <v>13.4133</v>
      </c>
      <c r="BG1110" s="309">
        <v>11.445499999999999</v>
      </c>
      <c r="BH1110" s="309">
        <v>13.939</v>
      </c>
      <c r="BI1110" s="309">
        <v>13.7622</v>
      </c>
      <c r="BJ1110" s="309">
        <v>13.366899999999999</v>
      </c>
      <c r="BK1110" s="309">
        <v>10.629899999999999</v>
      </c>
    </row>
    <row r="1111" spans="1:63" x14ac:dyDescent="0.25">
      <c r="A1111" s="306">
        <v>336999</v>
      </c>
      <c r="B1111" s="309" t="s">
        <v>261</v>
      </c>
      <c r="C1111" s="309">
        <v>15.281599999999999</v>
      </c>
      <c r="D1111" s="309">
        <v>0</v>
      </c>
      <c r="E1111" s="309">
        <v>10.183</v>
      </c>
      <c r="F1111" s="309">
        <v>9.5022000000000002</v>
      </c>
      <c r="G1111" s="309">
        <v>8.5182000000000002</v>
      </c>
      <c r="H1111" s="309">
        <v>8.5386000000000006</v>
      </c>
      <c r="I1111" s="309">
        <v>9.4666999999999994</v>
      </c>
      <c r="J1111" s="309">
        <v>9.1456</v>
      </c>
      <c r="K1111" s="309">
        <v>0</v>
      </c>
      <c r="L1111" s="309">
        <v>6.2637</v>
      </c>
      <c r="M1111" s="309">
        <v>8.6989000000000001</v>
      </c>
      <c r="N1111" s="309">
        <v>9.4923000000000002</v>
      </c>
      <c r="O1111" s="309">
        <v>0</v>
      </c>
      <c r="P1111" s="309">
        <v>8.9730000000000008</v>
      </c>
      <c r="Q1111" s="309">
        <v>8.1088000000000005</v>
      </c>
      <c r="R1111" s="309">
        <v>11.021000000000001</v>
      </c>
      <c r="S1111" s="309">
        <v>11.551</v>
      </c>
      <c r="T1111" s="309">
        <v>6.8925999999999998</v>
      </c>
      <c r="U1111" s="309">
        <v>10.948499999999999</v>
      </c>
      <c r="V1111" s="309">
        <v>9.0632999999999999</v>
      </c>
      <c r="W1111" s="309">
        <v>0</v>
      </c>
      <c r="X1111" s="309">
        <v>7.9776999999999996</v>
      </c>
      <c r="Y1111" s="309">
        <v>0</v>
      </c>
      <c r="Z1111" s="309">
        <v>10.786199999999999</v>
      </c>
      <c r="AA1111" s="309">
        <v>9.4699000000000009</v>
      </c>
      <c r="AB1111" s="309">
        <v>10.731</v>
      </c>
      <c r="AC1111" s="309">
        <v>10.183199999999999</v>
      </c>
      <c r="AD1111" s="309">
        <v>0</v>
      </c>
      <c r="AE1111" s="309">
        <v>9.9016000000000002</v>
      </c>
      <c r="AF1111" s="309">
        <v>0</v>
      </c>
      <c r="AG1111" s="309">
        <v>7.7138999999999998</v>
      </c>
      <c r="AH1111" s="309">
        <v>7.1637000000000004</v>
      </c>
      <c r="AI1111" s="309">
        <v>7.8048999999999999</v>
      </c>
      <c r="AJ1111" s="309">
        <v>0</v>
      </c>
      <c r="AK1111" s="309">
        <v>6.7911999999999999</v>
      </c>
      <c r="AL1111" s="309">
        <v>7.7252999999999998</v>
      </c>
      <c r="AM1111" s="309">
        <v>11.4154</v>
      </c>
      <c r="AN1111" s="309">
        <v>11.6776</v>
      </c>
      <c r="AO1111" s="309">
        <v>8.5614000000000008</v>
      </c>
      <c r="AP1111" s="309">
        <v>11.0534</v>
      </c>
      <c r="AQ1111" s="309">
        <v>0</v>
      </c>
      <c r="AR1111" s="309">
        <v>11.475199999999999</v>
      </c>
      <c r="AS1111" s="309">
        <v>7.9272999999999998</v>
      </c>
      <c r="AT1111" s="309">
        <v>11.421200000000001</v>
      </c>
      <c r="AU1111" s="309">
        <v>11.391</v>
      </c>
      <c r="AV1111" s="309">
        <v>13.1448</v>
      </c>
      <c r="AW1111" s="309">
        <v>8.1965000000000003</v>
      </c>
      <c r="AX1111" s="309">
        <v>7.8861999999999997</v>
      </c>
      <c r="AY1111" s="309">
        <v>8.3549000000000007</v>
      </c>
      <c r="AZ1111" s="309">
        <v>11.2059</v>
      </c>
      <c r="BA1111" s="309">
        <v>0</v>
      </c>
      <c r="BB1111" s="309">
        <v>7.1642999999999999</v>
      </c>
      <c r="BC1111" s="309">
        <v>8.4070999999999998</v>
      </c>
      <c r="BD1111" s="309">
        <v>9.7573000000000008</v>
      </c>
      <c r="BE1111" s="309">
        <v>12.6904</v>
      </c>
      <c r="BF1111" s="309">
        <v>10.3933</v>
      </c>
      <c r="BG1111" s="309">
        <v>10.3767</v>
      </c>
      <c r="BH1111" s="309">
        <v>11.8087</v>
      </c>
      <c r="BI1111" s="309">
        <v>11.149900000000001</v>
      </c>
      <c r="BJ1111" s="309">
        <v>9.6765000000000008</v>
      </c>
      <c r="BK1111" s="309">
        <v>8.8535000000000004</v>
      </c>
    </row>
    <row r="1112" spans="1:63" x14ac:dyDescent="0.25">
      <c r="A1112" s="306">
        <v>337110</v>
      </c>
      <c r="B1112" s="309" t="s">
        <v>262</v>
      </c>
      <c r="C1112" s="309">
        <v>22.8062</v>
      </c>
      <c r="D1112" s="309">
        <v>15.049899999999999</v>
      </c>
      <c r="E1112" s="309">
        <v>18.8187</v>
      </c>
      <c r="F1112" s="309">
        <v>16.7791</v>
      </c>
      <c r="G1112" s="309">
        <v>15.760400000000001</v>
      </c>
      <c r="H1112" s="309">
        <v>15.049899999999999</v>
      </c>
      <c r="I1112" s="309">
        <v>16.5245</v>
      </c>
      <c r="J1112" s="309">
        <v>11.923999999999999</v>
      </c>
      <c r="K1112" s="309">
        <v>2.2557</v>
      </c>
      <c r="L1112" s="309">
        <v>10.757999999999999</v>
      </c>
      <c r="M1112" s="309">
        <v>16.986499999999999</v>
      </c>
      <c r="N1112" s="309">
        <v>19.446300000000001</v>
      </c>
      <c r="O1112" s="309">
        <v>14.039099999999999</v>
      </c>
      <c r="P1112" s="309">
        <v>13.3901</v>
      </c>
      <c r="Q1112" s="309">
        <v>16.740200000000002</v>
      </c>
      <c r="R1112" s="309">
        <v>15.598599999999999</v>
      </c>
      <c r="S1112" s="309">
        <v>15.989699999999999</v>
      </c>
      <c r="T1112" s="309">
        <v>13.498100000000001</v>
      </c>
      <c r="U1112" s="309">
        <v>17.514099999999999</v>
      </c>
      <c r="V1112" s="309">
        <v>17.892700000000001</v>
      </c>
      <c r="W1112" s="309">
        <v>12.4171</v>
      </c>
      <c r="X1112" s="309">
        <v>13.5906</v>
      </c>
      <c r="Y1112" s="309">
        <v>18.8919</v>
      </c>
      <c r="Z1112" s="309">
        <v>16.238099999999999</v>
      </c>
      <c r="AA1112" s="309">
        <v>16.616900000000001</v>
      </c>
      <c r="AB1112" s="309">
        <v>15.087999999999999</v>
      </c>
      <c r="AC1112" s="309">
        <v>18.0349</v>
      </c>
      <c r="AD1112" s="309">
        <v>17.8873</v>
      </c>
      <c r="AE1112" s="309">
        <v>17.9757</v>
      </c>
      <c r="AF1112" s="309">
        <v>12.7195</v>
      </c>
      <c r="AG1112" s="309">
        <v>12.374599999999999</v>
      </c>
      <c r="AH1112" s="309">
        <v>13.747999999999999</v>
      </c>
      <c r="AI1112" s="309">
        <v>13.5029</v>
      </c>
      <c r="AJ1112" s="309">
        <v>15.9338</v>
      </c>
      <c r="AK1112" s="309">
        <v>13.5191</v>
      </c>
      <c r="AL1112" s="309">
        <v>12.0679</v>
      </c>
      <c r="AM1112" s="309">
        <v>16.737200000000001</v>
      </c>
      <c r="AN1112" s="309">
        <v>17.8231</v>
      </c>
      <c r="AO1112" s="309">
        <v>17.996600000000001</v>
      </c>
      <c r="AP1112" s="309">
        <v>17.445799999999998</v>
      </c>
      <c r="AQ1112" s="309">
        <v>13.0905</v>
      </c>
      <c r="AR1112" s="309">
        <v>19.728000000000002</v>
      </c>
      <c r="AS1112" s="309">
        <v>14.8725</v>
      </c>
      <c r="AT1112" s="309">
        <v>18.207799999999999</v>
      </c>
      <c r="AU1112" s="309">
        <v>18.917899999999999</v>
      </c>
      <c r="AV1112" s="309">
        <v>19.604399999999998</v>
      </c>
      <c r="AW1112" s="309">
        <v>16.670400000000001</v>
      </c>
      <c r="AX1112" s="309">
        <v>14.3992</v>
      </c>
      <c r="AY1112" s="309">
        <v>16.534400000000002</v>
      </c>
      <c r="AZ1112" s="309">
        <v>17.4788</v>
      </c>
      <c r="BA1112" s="309">
        <v>16.322600000000001</v>
      </c>
      <c r="BB1112" s="309">
        <v>14.9345</v>
      </c>
      <c r="BC1112" s="309">
        <v>15.4802</v>
      </c>
      <c r="BD1112" s="309">
        <v>15.8736</v>
      </c>
      <c r="BE1112" s="309">
        <v>18.000800000000002</v>
      </c>
      <c r="BF1112" s="309">
        <v>16.417100000000001</v>
      </c>
      <c r="BG1112" s="309">
        <v>20.159099999999999</v>
      </c>
      <c r="BH1112" s="309">
        <v>19.8688</v>
      </c>
      <c r="BI1112" s="309">
        <v>20.113600000000002</v>
      </c>
      <c r="BJ1112" s="309">
        <v>18.344100000000001</v>
      </c>
      <c r="BK1112" s="309">
        <v>17.140899999999998</v>
      </c>
    </row>
    <row r="1113" spans="1:63" x14ac:dyDescent="0.25">
      <c r="A1113" s="306">
        <v>337121</v>
      </c>
      <c r="B1113" s="309" t="s">
        <v>263</v>
      </c>
      <c r="C1113" s="309">
        <v>20.388400000000001</v>
      </c>
      <c r="D1113" s="309">
        <v>0</v>
      </c>
      <c r="E1113" s="309">
        <v>16.6096</v>
      </c>
      <c r="F1113" s="309">
        <v>14.148999999999999</v>
      </c>
      <c r="G1113" s="309">
        <v>14.9757</v>
      </c>
      <c r="H1113" s="309">
        <v>13.7432</v>
      </c>
      <c r="I1113" s="309">
        <v>16.9284</v>
      </c>
      <c r="J1113" s="309">
        <v>11.2372</v>
      </c>
      <c r="K1113" s="309">
        <v>2.6633</v>
      </c>
      <c r="L1113" s="309">
        <v>0</v>
      </c>
      <c r="M1113" s="309">
        <v>14.777699999999999</v>
      </c>
      <c r="N1113" s="309">
        <v>17.007100000000001</v>
      </c>
      <c r="O1113" s="309">
        <v>0</v>
      </c>
      <c r="P1113" s="309">
        <v>10.7348</v>
      </c>
      <c r="Q1113" s="309">
        <v>14.516500000000001</v>
      </c>
      <c r="R1113" s="309">
        <v>12.9755</v>
      </c>
      <c r="S1113" s="309">
        <v>14.5581</v>
      </c>
      <c r="T1113" s="309">
        <v>13.7515</v>
      </c>
      <c r="U1113" s="309">
        <v>16.779900000000001</v>
      </c>
      <c r="V1113" s="309">
        <v>0</v>
      </c>
      <c r="W1113" s="309">
        <v>12.9375</v>
      </c>
      <c r="X1113" s="309">
        <v>12.1813</v>
      </c>
      <c r="Y1113" s="309">
        <v>0</v>
      </c>
      <c r="Z1113" s="309">
        <v>15.102</v>
      </c>
      <c r="AA1113" s="309">
        <v>12.463699999999999</v>
      </c>
      <c r="AB1113" s="309">
        <v>12.6753</v>
      </c>
      <c r="AC1113" s="309">
        <v>15.630100000000001</v>
      </c>
      <c r="AD1113" s="309">
        <v>15.399900000000001</v>
      </c>
      <c r="AE1113" s="309">
        <v>16.378900000000002</v>
      </c>
      <c r="AF1113" s="309">
        <v>0</v>
      </c>
      <c r="AG1113" s="309">
        <v>0</v>
      </c>
      <c r="AH1113" s="309">
        <v>0</v>
      </c>
      <c r="AI1113" s="309">
        <v>11.9657</v>
      </c>
      <c r="AJ1113" s="309">
        <v>14.812200000000001</v>
      </c>
      <c r="AK1113" s="309">
        <v>13.3614</v>
      </c>
      <c r="AL1113" s="309">
        <v>9.5969999999999995</v>
      </c>
      <c r="AM1113" s="309">
        <v>15.292899999999999</v>
      </c>
      <c r="AN1113" s="309">
        <v>14.841100000000001</v>
      </c>
      <c r="AO1113" s="309">
        <v>16.060400000000001</v>
      </c>
      <c r="AP1113" s="309">
        <v>16.149100000000001</v>
      </c>
      <c r="AQ1113" s="309">
        <v>15.321199999999999</v>
      </c>
      <c r="AR1113" s="309">
        <v>19.298400000000001</v>
      </c>
      <c r="AS1113" s="309">
        <v>13.801</v>
      </c>
      <c r="AT1113" s="309">
        <v>15.821199999999999</v>
      </c>
      <c r="AU1113" s="309">
        <v>14.5563</v>
      </c>
      <c r="AV1113" s="309">
        <v>16.185400000000001</v>
      </c>
      <c r="AW1113" s="309">
        <v>15.3436</v>
      </c>
      <c r="AX1113" s="309">
        <v>0</v>
      </c>
      <c r="AY1113" s="309">
        <v>14.518800000000001</v>
      </c>
      <c r="AZ1113" s="309">
        <v>16.101299999999998</v>
      </c>
      <c r="BA1113" s="309">
        <v>0</v>
      </c>
      <c r="BB1113" s="309">
        <v>10.7096</v>
      </c>
      <c r="BC1113" s="309">
        <v>15.2658</v>
      </c>
      <c r="BD1113" s="309">
        <v>13.957599999999999</v>
      </c>
      <c r="BE1113" s="309">
        <v>15.9221</v>
      </c>
      <c r="BF1113" s="309">
        <v>12.833399999999999</v>
      </c>
      <c r="BG1113" s="309">
        <v>17.454799999999999</v>
      </c>
      <c r="BH1113" s="309">
        <v>17.942599999999999</v>
      </c>
      <c r="BI1113" s="309">
        <v>15.790699999999999</v>
      </c>
      <c r="BJ1113" s="309">
        <v>15.7492</v>
      </c>
      <c r="BK1113" s="309">
        <v>14.5566</v>
      </c>
    </row>
    <row r="1114" spans="1:63" x14ac:dyDescent="0.25">
      <c r="A1114" s="306">
        <v>337122</v>
      </c>
      <c r="B1114" s="309" t="s">
        <v>264</v>
      </c>
      <c r="C1114" s="309">
        <v>20.0915</v>
      </c>
      <c r="D1114" s="309">
        <v>14.3629</v>
      </c>
      <c r="E1114" s="309">
        <v>18.313199999999998</v>
      </c>
      <c r="F1114" s="309">
        <v>15.975099999999999</v>
      </c>
      <c r="G1114" s="309">
        <v>14.177899999999999</v>
      </c>
      <c r="H1114" s="309">
        <v>14.206099999999999</v>
      </c>
      <c r="I1114" s="309">
        <v>14.857799999999999</v>
      </c>
      <c r="J1114" s="309">
        <v>10.672599999999999</v>
      </c>
      <c r="K1114" s="309">
        <v>0</v>
      </c>
      <c r="L1114" s="309">
        <v>8.8620000000000001</v>
      </c>
      <c r="M1114" s="309">
        <v>14.6105</v>
      </c>
      <c r="N1114" s="309">
        <v>16.825700000000001</v>
      </c>
      <c r="O1114" s="309">
        <v>12.2363</v>
      </c>
      <c r="P1114" s="309">
        <v>13.048999999999999</v>
      </c>
      <c r="Q1114" s="309">
        <v>15.002000000000001</v>
      </c>
      <c r="R1114" s="309">
        <v>13.919600000000001</v>
      </c>
      <c r="S1114" s="309">
        <v>14.5898</v>
      </c>
      <c r="T1114" s="309">
        <v>11.9002</v>
      </c>
      <c r="U1114" s="309">
        <v>16.413</v>
      </c>
      <c r="V1114" s="309">
        <v>15.401199999999999</v>
      </c>
      <c r="W1114" s="309">
        <v>11.022</v>
      </c>
      <c r="X1114" s="309">
        <v>11.9168</v>
      </c>
      <c r="Y1114" s="309">
        <v>15.7751</v>
      </c>
      <c r="Z1114" s="309">
        <v>15.7685</v>
      </c>
      <c r="AA1114" s="309">
        <v>16.369199999999999</v>
      </c>
      <c r="AB1114" s="309">
        <v>13.170199999999999</v>
      </c>
      <c r="AC1114" s="309">
        <v>16.811399999999999</v>
      </c>
      <c r="AD1114" s="309">
        <v>16.959900000000001</v>
      </c>
      <c r="AE1114" s="309">
        <v>16.4663</v>
      </c>
      <c r="AF1114" s="309">
        <v>11.742699999999999</v>
      </c>
      <c r="AG1114" s="309">
        <v>12.9488</v>
      </c>
      <c r="AH1114" s="309">
        <v>14.3323</v>
      </c>
      <c r="AI1114" s="309">
        <v>12.325200000000001</v>
      </c>
      <c r="AJ1114" s="309">
        <v>14.667</v>
      </c>
      <c r="AK1114" s="309">
        <v>11.7639</v>
      </c>
      <c r="AL1114" s="309">
        <v>11.1501</v>
      </c>
      <c r="AM1114" s="309">
        <v>14.742800000000001</v>
      </c>
      <c r="AN1114" s="309">
        <v>16.760300000000001</v>
      </c>
      <c r="AO1114" s="309">
        <v>16.284400000000002</v>
      </c>
      <c r="AP1114" s="309">
        <v>16.3325</v>
      </c>
      <c r="AQ1114" s="309">
        <v>12.9168</v>
      </c>
      <c r="AR1114" s="309">
        <v>18.7559</v>
      </c>
      <c r="AS1114" s="309">
        <v>13.560700000000001</v>
      </c>
      <c r="AT1114" s="309">
        <v>15.747400000000001</v>
      </c>
      <c r="AU1114" s="309">
        <v>16.783100000000001</v>
      </c>
      <c r="AV1114" s="309">
        <v>17.8918</v>
      </c>
      <c r="AW1114" s="309">
        <v>15.0594</v>
      </c>
      <c r="AX1114" s="309">
        <v>13.2037</v>
      </c>
      <c r="AY1114" s="309">
        <v>14.9358</v>
      </c>
      <c r="AZ1114" s="309">
        <v>15.565099999999999</v>
      </c>
      <c r="BA1114" s="309">
        <v>15.692</v>
      </c>
      <c r="BB1114" s="309">
        <v>14.3964</v>
      </c>
      <c r="BC1114" s="309">
        <v>14.649800000000001</v>
      </c>
      <c r="BD1114" s="309">
        <v>14.4015</v>
      </c>
      <c r="BE1114" s="309">
        <v>16.068200000000001</v>
      </c>
      <c r="BF1114" s="309">
        <v>15.133100000000001</v>
      </c>
      <c r="BG1114" s="309">
        <v>17.6829</v>
      </c>
      <c r="BH1114" s="309">
        <v>18.691800000000001</v>
      </c>
      <c r="BI1114" s="309">
        <v>18.130500000000001</v>
      </c>
      <c r="BJ1114" s="309">
        <v>16.469100000000001</v>
      </c>
      <c r="BK1114" s="309">
        <v>15.717700000000001</v>
      </c>
    </row>
    <row r="1115" spans="1:63" x14ac:dyDescent="0.25">
      <c r="A1115" s="306">
        <v>337127</v>
      </c>
      <c r="B1115" s="309" t="s">
        <v>266</v>
      </c>
      <c r="C1115" s="309">
        <v>19.071300000000001</v>
      </c>
      <c r="D1115" s="309">
        <v>0</v>
      </c>
      <c r="E1115" s="309">
        <v>16.450099999999999</v>
      </c>
      <c r="F1115" s="309">
        <v>13.338900000000001</v>
      </c>
      <c r="G1115" s="309">
        <v>11.7178</v>
      </c>
      <c r="H1115" s="309">
        <v>12.816800000000001</v>
      </c>
      <c r="I1115" s="309">
        <v>14.511200000000001</v>
      </c>
      <c r="J1115" s="309">
        <v>11.185600000000001</v>
      </c>
      <c r="K1115" s="309">
        <v>0</v>
      </c>
      <c r="L1115" s="309">
        <v>10.220700000000001</v>
      </c>
      <c r="M1115" s="309">
        <v>14.5197</v>
      </c>
      <c r="N1115" s="309">
        <v>16.1508</v>
      </c>
      <c r="O1115" s="309">
        <v>0</v>
      </c>
      <c r="P1115" s="309">
        <v>12.876899999999999</v>
      </c>
      <c r="Q1115" s="309">
        <v>13.691700000000001</v>
      </c>
      <c r="R1115" s="309">
        <v>13.8484</v>
      </c>
      <c r="S1115" s="309">
        <v>14.3576</v>
      </c>
      <c r="T1115" s="309">
        <v>10.976800000000001</v>
      </c>
      <c r="U1115" s="309">
        <v>13.0237</v>
      </c>
      <c r="V1115" s="309">
        <v>14.6777</v>
      </c>
      <c r="W1115" s="309">
        <v>10.4398</v>
      </c>
      <c r="X1115" s="309">
        <v>11.6021</v>
      </c>
      <c r="Y1115" s="309">
        <v>12.750400000000001</v>
      </c>
      <c r="Z1115" s="309">
        <v>13.973800000000001</v>
      </c>
      <c r="AA1115" s="309">
        <v>12.7979</v>
      </c>
      <c r="AB1115" s="309">
        <v>12.3019</v>
      </c>
      <c r="AC1115" s="309">
        <v>15.437200000000001</v>
      </c>
      <c r="AD1115" s="309">
        <v>14.353199999999999</v>
      </c>
      <c r="AE1115" s="309">
        <v>16.630299999999998</v>
      </c>
      <c r="AF1115" s="309">
        <v>10.642099999999999</v>
      </c>
      <c r="AG1115" s="309">
        <v>11.4986</v>
      </c>
      <c r="AH1115" s="309">
        <v>10.4777</v>
      </c>
      <c r="AI1115" s="309">
        <v>11.2303</v>
      </c>
      <c r="AJ1115" s="309">
        <v>9.9611999999999998</v>
      </c>
      <c r="AK1115" s="309">
        <v>10.766</v>
      </c>
      <c r="AL1115" s="309">
        <v>10.3673</v>
      </c>
      <c r="AM1115" s="309">
        <v>13.876300000000001</v>
      </c>
      <c r="AN1115" s="309">
        <v>13.4259</v>
      </c>
      <c r="AO1115" s="309">
        <v>14.816000000000001</v>
      </c>
      <c r="AP1115" s="309">
        <v>15.926600000000001</v>
      </c>
      <c r="AQ1115" s="309">
        <v>0</v>
      </c>
      <c r="AR1115" s="309">
        <v>15.2395</v>
      </c>
      <c r="AS1115" s="309">
        <v>0</v>
      </c>
      <c r="AT1115" s="309">
        <v>15.377599999999999</v>
      </c>
      <c r="AU1115" s="309">
        <v>15.5174</v>
      </c>
      <c r="AV1115" s="309">
        <v>15.7369</v>
      </c>
      <c r="AW1115" s="309">
        <v>15.2544</v>
      </c>
      <c r="AX1115" s="309">
        <v>12.836399999999999</v>
      </c>
      <c r="AY1115" s="309">
        <v>13.7887</v>
      </c>
      <c r="AZ1115" s="309">
        <v>14.1708</v>
      </c>
      <c r="BA1115" s="309">
        <v>0</v>
      </c>
      <c r="BB1115" s="309">
        <v>0</v>
      </c>
      <c r="BC1115" s="309">
        <v>12.585000000000001</v>
      </c>
      <c r="BD1115" s="309">
        <v>14.326499999999999</v>
      </c>
      <c r="BE1115" s="309">
        <v>15.360099999999999</v>
      </c>
      <c r="BF1115" s="309">
        <v>13.0001</v>
      </c>
      <c r="BG1115" s="309">
        <v>16.9556</v>
      </c>
      <c r="BH1115" s="309">
        <v>16.776399999999999</v>
      </c>
      <c r="BI1115" s="309">
        <v>16.280899999999999</v>
      </c>
      <c r="BJ1115" s="309">
        <v>14.4628</v>
      </c>
      <c r="BK1115" s="309">
        <v>13.9306</v>
      </c>
    </row>
    <row r="1116" spans="1:63" x14ac:dyDescent="0.25">
      <c r="A1116" s="306" t="s">
        <v>745</v>
      </c>
      <c r="B1116" s="309" t="s">
        <v>265</v>
      </c>
      <c r="C1116" s="309">
        <v>18.506599999999999</v>
      </c>
      <c r="D1116" s="309">
        <v>12.2933</v>
      </c>
      <c r="E1116" s="309">
        <v>14.889799999999999</v>
      </c>
      <c r="F1116" s="309">
        <v>10.983499999999999</v>
      </c>
      <c r="G1116" s="309">
        <v>14.2614</v>
      </c>
      <c r="H1116" s="309">
        <v>12.7347</v>
      </c>
      <c r="I1116" s="309">
        <v>13.1065</v>
      </c>
      <c r="J1116" s="309">
        <v>9.3635000000000002</v>
      </c>
      <c r="K1116" s="309">
        <v>1.5077</v>
      </c>
      <c r="L1116" s="309">
        <v>8.9123999999999999</v>
      </c>
      <c r="M1116" s="309">
        <v>13.882999999999999</v>
      </c>
      <c r="N1116" s="309">
        <v>13.0878</v>
      </c>
      <c r="O1116" s="309">
        <v>13.5396</v>
      </c>
      <c r="P1116" s="309">
        <v>11.7654</v>
      </c>
      <c r="Q1116" s="309">
        <v>9.6989999999999998</v>
      </c>
      <c r="R1116" s="309">
        <v>13.402200000000001</v>
      </c>
      <c r="S1116" s="309">
        <v>13.3788</v>
      </c>
      <c r="T1116" s="309">
        <v>10.892799999999999</v>
      </c>
      <c r="U1116" s="309">
        <v>16.3705</v>
      </c>
      <c r="V1116" s="309">
        <v>0</v>
      </c>
      <c r="W1116" s="309">
        <v>10.1952</v>
      </c>
      <c r="X1116" s="309">
        <v>9.9917999999999996</v>
      </c>
      <c r="Y1116" s="309">
        <v>0</v>
      </c>
      <c r="Z1116" s="309">
        <v>13.336</v>
      </c>
      <c r="AA1116" s="309">
        <v>13.1799</v>
      </c>
      <c r="AB1116" s="309">
        <v>11.8584</v>
      </c>
      <c r="AC1116" s="309">
        <v>14.539199999999999</v>
      </c>
      <c r="AD1116" s="309">
        <v>9.6790000000000003</v>
      </c>
      <c r="AE1116" s="309">
        <v>13.734500000000001</v>
      </c>
      <c r="AF1116" s="309">
        <v>0</v>
      </c>
      <c r="AG1116" s="309">
        <v>11.731999999999999</v>
      </c>
      <c r="AH1116" s="309">
        <v>13.682700000000001</v>
      </c>
      <c r="AI1116" s="309">
        <v>9.9298000000000002</v>
      </c>
      <c r="AJ1116" s="309">
        <v>12.9762</v>
      </c>
      <c r="AK1116" s="309">
        <v>13.1762</v>
      </c>
      <c r="AL1116" s="309">
        <v>8.9506999999999994</v>
      </c>
      <c r="AM1116" s="309">
        <v>13.867699999999999</v>
      </c>
      <c r="AN1116" s="309">
        <v>14.9351</v>
      </c>
      <c r="AO1116" s="309">
        <v>15.823399999999999</v>
      </c>
      <c r="AP1116" s="309">
        <v>13.160500000000001</v>
      </c>
      <c r="AQ1116" s="309">
        <v>0</v>
      </c>
      <c r="AR1116" s="309">
        <v>17.420200000000001</v>
      </c>
      <c r="AS1116" s="309">
        <v>0</v>
      </c>
      <c r="AT1116" s="309">
        <v>13.0219</v>
      </c>
      <c r="AU1116" s="309">
        <v>15.2737</v>
      </c>
      <c r="AV1116" s="309">
        <v>14.860300000000001</v>
      </c>
      <c r="AW1116" s="309">
        <v>11.4153</v>
      </c>
      <c r="AX1116" s="309">
        <v>12.4414</v>
      </c>
      <c r="AY1116" s="309">
        <v>11.6106</v>
      </c>
      <c r="AZ1116" s="309">
        <v>13.0349</v>
      </c>
      <c r="BA1116" s="309">
        <v>0</v>
      </c>
      <c r="BB1116" s="309">
        <v>12.4923</v>
      </c>
      <c r="BC1116" s="309">
        <v>11.968999999999999</v>
      </c>
      <c r="BD1116" s="309">
        <v>12.0589</v>
      </c>
      <c r="BE1116" s="309">
        <v>14.919600000000001</v>
      </c>
      <c r="BF1116" s="309">
        <v>13.395899999999999</v>
      </c>
      <c r="BG1116" s="309">
        <v>15.1708</v>
      </c>
      <c r="BH1116" s="309">
        <v>15.233599999999999</v>
      </c>
      <c r="BI1116" s="309">
        <v>15.526899999999999</v>
      </c>
      <c r="BJ1116" s="309">
        <v>14.346</v>
      </c>
      <c r="BK1116" s="309">
        <v>13.2889</v>
      </c>
    </row>
    <row r="1117" spans="1:63" x14ac:dyDescent="0.25">
      <c r="A1117" s="306">
        <v>337212</v>
      </c>
      <c r="B1117" s="309" t="s">
        <v>268</v>
      </c>
      <c r="C1117" s="309">
        <v>17.433299999999999</v>
      </c>
      <c r="D1117" s="309">
        <v>0</v>
      </c>
      <c r="E1117" s="309">
        <v>15.321099999999999</v>
      </c>
      <c r="F1117" s="309">
        <v>13.378</v>
      </c>
      <c r="G1117" s="309">
        <v>12.5806</v>
      </c>
      <c r="H1117" s="309">
        <v>11.452</v>
      </c>
      <c r="I1117" s="309">
        <v>12.9712</v>
      </c>
      <c r="J1117" s="309">
        <v>10.0588</v>
      </c>
      <c r="K1117" s="309">
        <v>1.5698000000000001</v>
      </c>
      <c r="L1117" s="309">
        <v>9.5352999999999994</v>
      </c>
      <c r="M1117" s="309">
        <v>12.195399999999999</v>
      </c>
      <c r="N1117" s="309">
        <v>14.4049</v>
      </c>
      <c r="O1117" s="309">
        <v>10.2606</v>
      </c>
      <c r="P1117" s="309">
        <v>10.1289</v>
      </c>
      <c r="Q1117" s="309">
        <v>12.62</v>
      </c>
      <c r="R1117" s="309">
        <v>11.8703</v>
      </c>
      <c r="S1117" s="309">
        <v>14.6271</v>
      </c>
      <c r="T1117" s="309">
        <v>10.5327</v>
      </c>
      <c r="U1117" s="309">
        <v>14.4572</v>
      </c>
      <c r="V1117" s="309">
        <v>13.5435</v>
      </c>
      <c r="W1117" s="309">
        <v>9.7561</v>
      </c>
      <c r="X1117" s="309">
        <v>10.3485</v>
      </c>
      <c r="Y1117" s="309">
        <v>13.3142</v>
      </c>
      <c r="Z1117" s="309">
        <v>12.6694</v>
      </c>
      <c r="AA1117" s="309">
        <v>12.307</v>
      </c>
      <c r="AB1117" s="309">
        <v>11.558</v>
      </c>
      <c r="AC1117" s="309">
        <v>14.2667</v>
      </c>
      <c r="AD1117" s="309">
        <v>13.181900000000001</v>
      </c>
      <c r="AE1117" s="309">
        <v>14.3062</v>
      </c>
      <c r="AF1117" s="309">
        <v>10.1317</v>
      </c>
      <c r="AG1117" s="309">
        <v>10.3727</v>
      </c>
      <c r="AH1117" s="309">
        <v>10.767099999999999</v>
      </c>
      <c r="AI1117" s="309">
        <v>10.617100000000001</v>
      </c>
      <c r="AJ1117" s="309">
        <v>11.9069</v>
      </c>
      <c r="AK1117" s="309">
        <v>9.7048000000000005</v>
      </c>
      <c r="AL1117" s="309">
        <v>9.2601999999999993</v>
      </c>
      <c r="AM1117" s="309">
        <v>13.755599999999999</v>
      </c>
      <c r="AN1117" s="309">
        <v>13.3185</v>
      </c>
      <c r="AO1117" s="309">
        <v>13.5206</v>
      </c>
      <c r="AP1117" s="309">
        <v>13.3969</v>
      </c>
      <c r="AQ1117" s="309">
        <v>10.83</v>
      </c>
      <c r="AR1117" s="309">
        <v>15.804500000000001</v>
      </c>
      <c r="AS1117" s="309">
        <v>11.799799999999999</v>
      </c>
      <c r="AT1117" s="309">
        <v>14.372199999999999</v>
      </c>
      <c r="AU1117" s="309">
        <v>14.4116</v>
      </c>
      <c r="AV1117" s="309">
        <v>14.308999999999999</v>
      </c>
      <c r="AW1117" s="309">
        <v>11.4992</v>
      </c>
      <c r="AX1117" s="309">
        <v>10.3276</v>
      </c>
      <c r="AY1117" s="309">
        <v>12.385</v>
      </c>
      <c r="AZ1117" s="309">
        <v>13.6479</v>
      </c>
      <c r="BA1117" s="309">
        <v>12.627000000000001</v>
      </c>
      <c r="BB1117" s="309">
        <v>0</v>
      </c>
      <c r="BC1117" s="309">
        <v>12.047800000000001</v>
      </c>
      <c r="BD1117" s="309">
        <v>12.3939</v>
      </c>
      <c r="BE1117" s="309">
        <v>14.2087</v>
      </c>
      <c r="BF1117" s="309">
        <v>12.444100000000001</v>
      </c>
      <c r="BG1117" s="309">
        <v>14.931100000000001</v>
      </c>
      <c r="BH1117" s="309">
        <v>16.043900000000001</v>
      </c>
      <c r="BI1117" s="309">
        <v>15.1424</v>
      </c>
      <c r="BJ1117" s="309">
        <v>13.568099999999999</v>
      </c>
      <c r="BK1117" s="309">
        <v>12.548500000000001</v>
      </c>
    </row>
    <row r="1118" spans="1:63" x14ac:dyDescent="0.25">
      <c r="A1118" s="306">
        <v>337215</v>
      </c>
      <c r="B1118" s="309" t="s">
        <v>269</v>
      </c>
      <c r="C1118" s="309">
        <v>20.896799999999999</v>
      </c>
      <c r="D1118" s="309">
        <v>11.9472</v>
      </c>
      <c r="E1118" s="309">
        <v>16.178100000000001</v>
      </c>
      <c r="F1118" s="309">
        <v>14.151199999999999</v>
      </c>
      <c r="G1118" s="309">
        <v>12.8832</v>
      </c>
      <c r="H1118" s="309">
        <v>13.7478</v>
      </c>
      <c r="I1118" s="309">
        <v>15.545500000000001</v>
      </c>
      <c r="J1118" s="309">
        <v>10.696300000000001</v>
      </c>
      <c r="K1118" s="309">
        <v>0</v>
      </c>
      <c r="L1118" s="309">
        <v>0</v>
      </c>
      <c r="M1118" s="309">
        <v>15.438800000000001</v>
      </c>
      <c r="N1118" s="309">
        <v>16.610199999999999</v>
      </c>
      <c r="O1118" s="309">
        <v>14.829499999999999</v>
      </c>
      <c r="P1118" s="309">
        <v>13.912800000000001</v>
      </c>
      <c r="Q1118" s="309">
        <v>14.6004</v>
      </c>
      <c r="R1118" s="309">
        <v>14.742699999999999</v>
      </c>
      <c r="S1118" s="309">
        <v>15.774800000000001</v>
      </c>
      <c r="T1118" s="309">
        <v>12.054600000000001</v>
      </c>
      <c r="U1118" s="309">
        <v>16.789400000000001</v>
      </c>
      <c r="V1118" s="309">
        <v>15.7499</v>
      </c>
      <c r="W1118" s="309">
        <v>11.687099999999999</v>
      </c>
      <c r="X1118" s="309">
        <v>11.6334</v>
      </c>
      <c r="Y1118" s="309">
        <v>16.6783</v>
      </c>
      <c r="Z1118" s="309">
        <v>16.1248</v>
      </c>
      <c r="AA1118" s="309">
        <v>13.987399999999999</v>
      </c>
      <c r="AB1118" s="309">
        <v>13.1737</v>
      </c>
      <c r="AC1118" s="309">
        <v>17.326799999999999</v>
      </c>
      <c r="AD1118" s="309">
        <v>15.4459</v>
      </c>
      <c r="AE1118" s="309">
        <v>17.5441</v>
      </c>
      <c r="AF1118" s="309">
        <v>10.5184</v>
      </c>
      <c r="AG1118" s="309">
        <v>10.297499999999999</v>
      </c>
      <c r="AH1118" s="309">
        <v>14.239800000000001</v>
      </c>
      <c r="AI1118" s="309">
        <v>11.6092</v>
      </c>
      <c r="AJ1118" s="309">
        <v>14.290100000000001</v>
      </c>
      <c r="AK1118" s="309">
        <v>12.1355</v>
      </c>
      <c r="AL1118" s="309">
        <v>11.3066</v>
      </c>
      <c r="AM1118" s="309">
        <v>15.8935</v>
      </c>
      <c r="AN1118" s="309">
        <v>14.9123</v>
      </c>
      <c r="AO1118" s="309">
        <v>14.760400000000001</v>
      </c>
      <c r="AP1118" s="309">
        <v>16.0549</v>
      </c>
      <c r="AQ1118" s="309">
        <v>12.057700000000001</v>
      </c>
      <c r="AR1118" s="309">
        <v>16.8032</v>
      </c>
      <c r="AS1118" s="309">
        <v>10.876099999999999</v>
      </c>
      <c r="AT1118" s="309">
        <v>16.474900000000002</v>
      </c>
      <c r="AU1118" s="309">
        <v>17.0152</v>
      </c>
      <c r="AV1118" s="309">
        <v>17.706700000000001</v>
      </c>
      <c r="AW1118" s="309">
        <v>14.3727</v>
      </c>
      <c r="AX1118" s="309">
        <v>11.785500000000001</v>
      </c>
      <c r="AY1118" s="309">
        <v>13.7149</v>
      </c>
      <c r="AZ1118" s="309">
        <v>15.182399999999999</v>
      </c>
      <c r="BA1118" s="309">
        <v>15.185499999999999</v>
      </c>
      <c r="BB1118" s="309">
        <v>13.4655</v>
      </c>
      <c r="BC1118" s="309">
        <v>14.297499999999999</v>
      </c>
      <c r="BD1118" s="309">
        <v>14.8621</v>
      </c>
      <c r="BE1118" s="309">
        <v>17.115300000000001</v>
      </c>
      <c r="BF1118" s="309">
        <v>13.976900000000001</v>
      </c>
      <c r="BG1118" s="309">
        <v>17.995799999999999</v>
      </c>
      <c r="BH1118" s="309">
        <v>18.042400000000001</v>
      </c>
      <c r="BI1118" s="309">
        <v>17.747800000000002</v>
      </c>
      <c r="BJ1118" s="309">
        <v>15.457599999999999</v>
      </c>
      <c r="BK1118" s="309">
        <v>14.693099999999999</v>
      </c>
    </row>
    <row r="1119" spans="1:63" x14ac:dyDescent="0.25">
      <c r="A1119" s="306" t="s">
        <v>746</v>
      </c>
      <c r="B1119" s="309" t="s">
        <v>267</v>
      </c>
      <c r="C1119" s="309">
        <v>15.678100000000001</v>
      </c>
      <c r="D1119" s="309">
        <v>0</v>
      </c>
      <c r="E1119" s="309">
        <v>0</v>
      </c>
      <c r="F1119" s="309">
        <v>12.4163</v>
      </c>
      <c r="G1119" s="309">
        <v>9.5891000000000002</v>
      </c>
      <c r="H1119" s="309">
        <v>9.6249000000000002</v>
      </c>
      <c r="I1119" s="309">
        <v>0</v>
      </c>
      <c r="J1119" s="309">
        <v>8.5707000000000004</v>
      </c>
      <c r="K1119" s="309">
        <v>0</v>
      </c>
      <c r="L1119" s="309">
        <v>0</v>
      </c>
      <c r="M1119" s="309">
        <v>11.5306</v>
      </c>
      <c r="N1119" s="309">
        <v>14.655099999999999</v>
      </c>
      <c r="O1119" s="309">
        <v>8.8879999999999999</v>
      </c>
      <c r="P1119" s="309">
        <v>12.770099999999999</v>
      </c>
      <c r="Q1119" s="309">
        <v>12.413399999999999</v>
      </c>
      <c r="R1119" s="309">
        <v>10.760899999999999</v>
      </c>
      <c r="S1119" s="309">
        <v>11.6746</v>
      </c>
      <c r="T1119" s="309">
        <v>9.8231000000000002</v>
      </c>
      <c r="U1119" s="309">
        <v>0</v>
      </c>
      <c r="V1119" s="309">
        <v>15.8376</v>
      </c>
      <c r="W1119" s="309">
        <v>9.1516999999999999</v>
      </c>
      <c r="X1119" s="309">
        <v>9.7530000000000001</v>
      </c>
      <c r="Y1119" s="309">
        <v>11.2837</v>
      </c>
      <c r="Z1119" s="309">
        <v>14.4617</v>
      </c>
      <c r="AA1119" s="309">
        <v>10.330500000000001</v>
      </c>
      <c r="AB1119" s="309">
        <v>9.6011000000000006</v>
      </c>
      <c r="AC1119" s="309">
        <v>0</v>
      </c>
      <c r="AD1119" s="309">
        <v>15.1638</v>
      </c>
      <c r="AE1119" s="309">
        <v>14.073700000000001</v>
      </c>
      <c r="AF1119" s="309">
        <v>0</v>
      </c>
      <c r="AG1119" s="309">
        <v>9.7914999999999992</v>
      </c>
      <c r="AH1119" s="309">
        <v>0</v>
      </c>
      <c r="AI1119" s="309">
        <v>8.6201000000000008</v>
      </c>
      <c r="AJ1119" s="309">
        <v>13.546900000000001</v>
      </c>
      <c r="AK1119" s="309">
        <v>14.3643</v>
      </c>
      <c r="AL1119" s="309">
        <v>12.3711</v>
      </c>
      <c r="AM1119" s="309">
        <v>13.4421</v>
      </c>
      <c r="AN1119" s="309">
        <v>15.1935</v>
      </c>
      <c r="AO1119" s="309">
        <v>14.041499999999999</v>
      </c>
      <c r="AP1119" s="309">
        <v>12.525600000000001</v>
      </c>
      <c r="AQ1119" s="309">
        <v>0</v>
      </c>
      <c r="AR1119" s="309">
        <v>17.259499999999999</v>
      </c>
      <c r="AS1119" s="309">
        <v>0</v>
      </c>
      <c r="AT1119" s="309">
        <v>13.5024</v>
      </c>
      <c r="AU1119" s="309">
        <v>13.7562</v>
      </c>
      <c r="AV1119" s="309">
        <v>16.699200000000001</v>
      </c>
      <c r="AW1119" s="309">
        <v>12.4572</v>
      </c>
      <c r="AX1119" s="309">
        <v>0</v>
      </c>
      <c r="AY1119" s="309">
        <v>13.1242</v>
      </c>
      <c r="AZ1119" s="309">
        <v>13.1972</v>
      </c>
      <c r="BA1119" s="309">
        <v>0</v>
      </c>
      <c r="BB1119" s="309">
        <v>8.4522999999999993</v>
      </c>
      <c r="BC1119" s="309">
        <v>10.9359</v>
      </c>
      <c r="BD1119" s="309">
        <v>11.3925</v>
      </c>
      <c r="BE1119" s="309">
        <v>13.6884</v>
      </c>
      <c r="BF1119" s="309">
        <v>11.5494</v>
      </c>
      <c r="BG1119" s="309">
        <v>14.8508</v>
      </c>
      <c r="BH1119" s="309">
        <v>15.527699999999999</v>
      </c>
      <c r="BI1119" s="309">
        <v>14.730600000000001</v>
      </c>
      <c r="BJ1119" s="309">
        <v>12.3003</v>
      </c>
      <c r="BK1119" s="309">
        <v>11.161</v>
      </c>
    </row>
    <row r="1120" spans="1:63" x14ac:dyDescent="0.25">
      <c r="A1120" s="306">
        <v>337910</v>
      </c>
      <c r="B1120" s="309" t="s">
        <v>270</v>
      </c>
      <c r="C1120" s="309">
        <v>17.582599999999999</v>
      </c>
      <c r="D1120" s="309">
        <v>0</v>
      </c>
      <c r="E1120" s="309">
        <v>13.1043</v>
      </c>
      <c r="F1120" s="309">
        <v>12.2379</v>
      </c>
      <c r="G1120" s="309">
        <v>10.4498</v>
      </c>
      <c r="H1120" s="309">
        <v>11.2827</v>
      </c>
      <c r="I1120" s="309">
        <v>11.085699999999999</v>
      </c>
      <c r="J1120" s="309">
        <v>10.000400000000001</v>
      </c>
      <c r="K1120" s="309">
        <v>0</v>
      </c>
      <c r="L1120" s="309">
        <v>0</v>
      </c>
      <c r="M1120" s="309">
        <v>10.848000000000001</v>
      </c>
      <c r="N1120" s="309">
        <v>12.6723</v>
      </c>
      <c r="O1120" s="309">
        <v>9.5098000000000003</v>
      </c>
      <c r="P1120" s="309">
        <v>9.9420000000000002</v>
      </c>
      <c r="Q1120" s="309">
        <v>8.7072000000000003</v>
      </c>
      <c r="R1120" s="309">
        <v>12.3414</v>
      </c>
      <c r="S1120" s="309">
        <v>12.4505</v>
      </c>
      <c r="T1120" s="309">
        <v>8.3236000000000008</v>
      </c>
      <c r="U1120" s="309">
        <v>12.9323</v>
      </c>
      <c r="V1120" s="309">
        <v>10.042199999999999</v>
      </c>
      <c r="W1120" s="309">
        <v>9.4091000000000005</v>
      </c>
      <c r="X1120" s="309">
        <v>9.8940000000000001</v>
      </c>
      <c r="Y1120" s="309">
        <v>13.4208</v>
      </c>
      <c r="Z1120" s="309">
        <v>12.1953</v>
      </c>
      <c r="AA1120" s="309">
        <v>10.7934</v>
      </c>
      <c r="AB1120" s="309">
        <v>11.1304</v>
      </c>
      <c r="AC1120" s="309">
        <v>12.6265</v>
      </c>
      <c r="AD1120" s="309">
        <v>10.2525</v>
      </c>
      <c r="AE1120" s="309">
        <v>11.972200000000001</v>
      </c>
      <c r="AF1120" s="309">
        <v>8.1267999999999994</v>
      </c>
      <c r="AG1120" s="309">
        <v>7.2080000000000002</v>
      </c>
      <c r="AH1120" s="309">
        <v>9.3498999999999999</v>
      </c>
      <c r="AI1120" s="309">
        <v>10.347</v>
      </c>
      <c r="AJ1120" s="309">
        <v>10.357699999999999</v>
      </c>
      <c r="AK1120" s="309">
        <v>10.641</v>
      </c>
      <c r="AL1120" s="309">
        <v>8.4220000000000006</v>
      </c>
      <c r="AM1120" s="309">
        <v>13.0946</v>
      </c>
      <c r="AN1120" s="309">
        <v>12.754</v>
      </c>
      <c r="AO1120" s="309">
        <v>11.7517</v>
      </c>
      <c r="AP1120" s="309">
        <v>13.308999999999999</v>
      </c>
      <c r="AQ1120" s="309">
        <v>0</v>
      </c>
      <c r="AR1120" s="309">
        <v>15.023199999999999</v>
      </c>
      <c r="AS1120" s="309">
        <v>0</v>
      </c>
      <c r="AT1120" s="309">
        <v>14.651</v>
      </c>
      <c r="AU1120" s="309">
        <v>14.283099999999999</v>
      </c>
      <c r="AV1120" s="309">
        <v>12.953099999999999</v>
      </c>
      <c r="AW1120" s="309">
        <v>10.82</v>
      </c>
      <c r="AX1120" s="309">
        <v>0</v>
      </c>
      <c r="AY1120" s="309">
        <v>11.1882</v>
      </c>
      <c r="AZ1120" s="309">
        <v>12.6153</v>
      </c>
      <c r="BA1120" s="309">
        <v>10.652799999999999</v>
      </c>
      <c r="BB1120" s="309">
        <v>0</v>
      </c>
      <c r="BC1120" s="309">
        <v>12.017099999999999</v>
      </c>
      <c r="BD1120" s="309">
        <v>12.262</v>
      </c>
      <c r="BE1120" s="309">
        <v>13.970499999999999</v>
      </c>
      <c r="BF1120" s="309">
        <v>10.9498</v>
      </c>
      <c r="BG1120" s="309">
        <v>13.494</v>
      </c>
      <c r="BH1120" s="309">
        <v>15.246</v>
      </c>
      <c r="BI1120" s="309">
        <v>14.610900000000001</v>
      </c>
      <c r="BJ1120" s="309">
        <v>11.345000000000001</v>
      </c>
      <c r="BK1120" s="309">
        <v>11.7841</v>
      </c>
    </row>
    <row r="1121" spans="1:63" x14ac:dyDescent="0.25">
      <c r="A1121" s="306">
        <v>337920</v>
      </c>
      <c r="B1121" s="309" t="s">
        <v>271</v>
      </c>
      <c r="C1121" s="309">
        <v>20.6096</v>
      </c>
      <c r="D1121" s="309">
        <v>13.907</v>
      </c>
      <c r="E1121" s="309">
        <v>17.778500000000001</v>
      </c>
      <c r="F1121" s="309">
        <v>0</v>
      </c>
      <c r="G1121" s="309">
        <v>14.922700000000001</v>
      </c>
      <c r="H1121" s="309">
        <v>14.0594</v>
      </c>
      <c r="I1121" s="309">
        <v>12.317299999999999</v>
      </c>
      <c r="J1121" s="309">
        <v>11.796200000000001</v>
      </c>
      <c r="K1121" s="309">
        <v>0</v>
      </c>
      <c r="L1121" s="309">
        <v>10.5875</v>
      </c>
      <c r="M1121" s="309">
        <v>15.587</v>
      </c>
      <c r="N1121" s="309">
        <v>15.219799999999999</v>
      </c>
      <c r="O1121" s="309">
        <v>15.278600000000001</v>
      </c>
      <c r="P1121" s="309">
        <v>14.7372</v>
      </c>
      <c r="Q1121" s="309">
        <v>0</v>
      </c>
      <c r="R1121" s="309">
        <v>13.2441</v>
      </c>
      <c r="S1121" s="309">
        <v>17.654800000000002</v>
      </c>
      <c r="T1121" s="309">
        <v>9.5396999999999998</v>
      </c>
      <c r="U1121" s="309">
        <v>17.287500000000001</v>
      </c>
      <c r="V1121" s="309">
        <v>15.9681</v>
      </c>
      <c r="W1121" s="309">
        <v>12.876799999999999</v>
      </c>
      <c r="X1121" s="309">
        <v>13.2525</v>
      </c>
      <c r="Y1121" s="309">
        <v>0</v>
      </c>
      <c r="Z1121" s="309">
        <v>17.5091</v>
      </c>
      <c r="AA1121" s="309">
        <v>14.940200000000001</v>
      </c>
      <c r="AB1121" s="309">
        <v>13.373100000000001</v>
      </c>
      <c r="AC1121" s="309">
        <v>12.4588</v>
      </c>
      <c r="AD1121" s="309">
        <v>0</v>
      </c>
      <c r="AE1121" s="309">
        <v>13.702</v>
      </c>
      <c r="AF1121" s="309">
        <v>9.8045000000000009</v>
      </c>
      <c r="AG1121" s="309">
        <v>10.6671</v>
      </c>
      <c r="AH1121" s="309">
        <v>13.032500000000001</v>
      </c>
      <c r="AI1121" s="309">
        <v>12.302300000000001</v>
      </c>
      <c r="AJ1121" s="309">
        <v>13.459199999999999</v>
      </c>
      <c r="AK1121" s="309">
        <v>14.7584</v>
      </c>
      <c r="AL1121" s="309">
        <v>11.2196</v>
      </c>
      <c r="AM1121" s="309">
        <v>16.7971</v>
      </c>
      <c r="AN1121" s="309">
        <v>13.857100000000001</v>
      </c>
      <c r="AO1121" s="309">
        <v>15.867599999999999</v>
      </c>
      <c r="AP1121" s="309">
        <v>16.267199999999999</v>
      </c>
      <c r="AQ1121" s="309">
        <v>12.7883</v>
      </c>
      <c r="AR1121" s="309">
        <v>19.1707</v>
      </c>
      <c r="AS1121" s="309">
        <v>14.984</v>
      </c>
      <c r="AT1121" s="309">
        <v>18.211500000000001</v>
      </c>
      <c r="AU1121" s="309">
        <v>18.981100000000001</v>
      </c>
      <c r="AV1121" s="309">
        <v>16.994700000000002</v>
      </c>
      <c r="AW1121" s="309">
        <v>13.9123</v>
      </c>
      <c r="AX1121" s="309">
        <v>11.8048</v>
      </c>
      <c r="AY1121" s="309">
        <v>14.269399999999999</v>
      </c>
      <c r="AZ1121" s="309">
        <v>13.6381</v>
      </c>
      <c r="BA1121" s="309">
        <v>0</v>
      </c>
      <c r="BB1121" s="309">
        <v>0</v>
      </c>
      <c r="BC1121" s="309">
        <v>14.741300000000001</v>
      </c>
      <c r="BD1121" s="309">
        <v>14.728199999999999</v>
      </c>
      <c r="BE1121" s="309">
        <v>16.893999999999998</v>
      </c>
      <c r="BF1121" s="309">
        <v>15.4297</v>
      </c>
      <c r="BG1121" s="309">
        <v>17.549499999999998</v>
      </c>
      <c r="BH1121" s="309">
        <v>17.905100000000001</v>
      </c>
      <c r="BI1121" s="309">
        <v>19.355599999999999</v>
      </c>
      <c r="BJ1121" s="309">
        <v>14.133699999999999</v>
      </c>
      <c r="BK1121" s="309">
        <v>14.608000000000001</v>
      </c>
    </row>
    <row r="1122" spans="1:63" x14ac:dyDescent="0.25">
      <c r="A1122" s="306">
        <v>339112</v>
      </c>
      <c r="B1122" s="309" t="s">
        <v>747</v>
      </c>
      <c r="C1122" s="309">
        <v>16.478899999999999</v>
      </c>
      <c r="D1122" s="309">
        <v>10.503500000000001</v>
      </c>
      <c r="E1122" s="309">
        <v>13.973000000000001</v>
      </c>
      <c r="F1122" s="309">
        <v>12.9825</v>
      </c>
      <c r="G1122" s="309">
        <v>14.6038</v>
      </c>
      <c r="H1122" s="309">
        <v>11.1648</v>
      </c>
      <c r="I1122" s="309">
        <v>13.137</v>
      </c>
      <c r="J1122" s="309">
        <v>9.0911000000000008</v>
      </c>
      <c r="K1122" s="309">
        <v>0</v>
      </c>
      <c r="L1122" s="309">
        <v>0</v>
      </c>
      <c r="M1122" s="309">
        <v>13.049799999999999</v>
      </c>
      <c r="N1122" s="309">
        <v>12.2409</v>
      </c>
      <c r="O1122" s="309">
        <v>0</v>
      </c>
      <c r="P1122" s="309">
        <v>14.107900000000001</v>
      </c>
      <c r="Q1122" s="309">
        <v>14.329499999999999</v>
      </c>
      <c r="R1122" s="309">
        <v>11.3378</v>
      </c>
      <c r="S1122" s="309">
        <v>12.3385</v>
      </c>
      <c r="T1122" s="309">
        <v>11.6942</v>
      </c>
      <c r="U1122" s="309">
        <v>11.523400000000001</v>
      </c>
      <c r="V1122" s="309">
        <v>15.8941</v>
      </c>
      <c r="W1122" s="309">
        <v>9.4719999999999995</v>
      </c>
      <c r="X1122" s="309">
        <v>10.164099999999999</v>
      </c>
      <c r="Y1122" s="309">
        <v>16.6721</v>
      </c>
      <c r="Z1122" s="309">
        <v>13.4434</v>
      </c>
      <c r="AA1122" s="309">
        <v>11.828099999999999</v>
      </c>
      <c r="AB1122" s="309">
        <v>12.5832</v>
      </c>
      <c r="AC1122" s="309">
        <v>15.1739</v>
      </c>
      <c r="AD1122" s="309">
        <v>15.1509</v>
      </c>
      <c r="AE1122" s="309">
        <v>12.675000000000001</v>
      </c>
      <c r="AF1122" s="309">
        <v>10.7239</v>
      </c>
      <c r="AG1122" s="309">
        <v>12.0471</v>
      </c>
      <c r="AH1122" s="309">
        <v>12.974600000000001</v>
      </c>
      <c r="AI1122" s="309">
        <v>9.6579999999999995</v>
      </c>
      <c r="AJ1122" s="309">
        <v>0</v>
      </c>
      <c r="AK1122" s="309">
        <v>11.9544</v>
      </c>
      <c r="AL1122" s="309">
        <v>9.8340999999999994</v>
      </c>
      <c r="AM1122" s="309">
        <v>13.9297</v>
      </c>
      <c r="AN1122" s="309">
        <v>14.3773</v>
      </c>
      <c r="AO1122" s="309">
        <v>12.4123</v>
      </c>
      <c r="AP1122" s="309">
        <v>12.440200000000001</v>
      </c>
      <c r="AQ1122" s="309">
        <v>10.952</v>
      </c>
      <c r="AR1122" s="309">
        <v>14.7121</v>
      </c>
      <c r="AS1122" s="309">
        <v>14.0381</v>
      </c>
      <c r="AT1122" s="309">
        <v>12.3279</v>
      </c>
      <c r="AU1122" s="309">
        <v>13.9663</v>
      </c>
      <c r="AV1122" s="309">
        <v>15.8932</v>
      </c>
      <c r="AW1122" s="309">
        <v>11.824400000000001</v>
      </c>
      <c r="AX1122" s="309">
        <v>14.688000000000001</v>
      </c>
      <c r="AY1122" s="309">
        <v>11.9009</v>
      </c>
      <c r="AZ1122" s="309">
        <v>12.7593</v>
      </c>
      <c r="BA1122" s="309">
        <v>0</v>
      </c>
      <c r="BB1122" s="309">
        <v>0</v>
      </c>
      <c r="BC1122" s="309">
        <v>11.631</v>
      </c>
      <c r="BD1122" s="309">
        <v>12.0421</v>
      </c>
      <c r="BE1122" s="309">
        <v>13.7896</v>
      </c>
      <c r="BF1122" s="309">
        <v>12.528</v>
      </c>
      <c r="BG1122" s="309">
        <v>14.0608</v>
      </c>
      <c r="BH1122" s="309">
        <v>13.6981</v>
      </c>
      <c r="BI1122" s="309">
        <v>14.5473</v>
      </c>
      <c r="BJ1122" s="309">
        <v>13.909000000000001</v>
      </c>
      <c r="BK1122" s="309">
        <v>11.597899999999999</v>
      </c>
    </row>
    <row r="1123" spans="1:63" x14ac:dyDescent="0.25">
      <c r="A1123" s="306">
        <v>339114</v>
      </c>
      <c r="B1123" s="309" t="s">
        <v>272</v>
      </c>
      <c r="C1123" s="309">
        <v>18.188199999999998</v>
      </c>
      <c r="D1123" s="309">
        <v>0</v>
      </c>
      <c r="E1123" s="309">
        <v>15.4785</v>
      </c>
      <c r="F1123" s="309">
        <v>17.093699999999998</v>
      </c>
      <c r="G1123" s="309">
        <v>17.034800000000001</v>
      </c>
      <c r="H1123" s="309">
        <v>13.035</v>
      </c>
      <c r="I1123" s="309">
        <v>17.046500000000002</v>
      </c>
      <c r="J1123" s="309">
        <v>9.8206000000000007</v>
      </c>
      <c r="K1123" s="309">
        <v>0</v>
      </c>
      <c r="L1123" s="309">
        <v>7.8750999999999998</v>
      </c>
      <c r="M1123" s="309">
        <v>13.5815</v>
      </c>
      <c r="N1123" s="309">
        <v>16.863099999999999</v>
      </c>
      <c r="O1123" s="309">
        <v>0</v>
      </c>
      <c r="P1123" s="309">
        <v>0</v>
      </c>
      <c r="Q1123" s="309">
        <v>16.309100000000001</v>
      </c>
      <c r="R1123" s="309">
        <v>12.894600000000001</v>
      </c>
      <c r="S1123" s="309">
        <v>13.926500000000001</v>
      </c>
      <c r="T1123" s="309">
        <v>12.3841</v>
      </c>
      <c r="U1123" s="309">
        <v>14.1204</v>
      </c>
      <c r="V1123" s="309">
        <v>0</v>
      </c>
      <c r="W1123" s="309">
        <v>10.1007</v>
      </c>
      <c r="X1123" s="309">
        <v>12.7767</v>
      </c>
      <c r="Y1123" s="309">
        <v>0</v>
      </c>
      <c r="Z1123" s="309">
        <v>14.4809</v>
      </c>
      <c r="AA1123" s="309">
        <v>11.899699999999999</v>
      </c>
      <c r="AB1123" s="309">
        <v>15.173500000000001</v>
      </c>
      <c r="AC1123" s="309">
        <v>16.430399999999999</v>
      </c>
      <c r="AD1123" s="309">
        <v>17.064599999999999</v>
      </c>
      <c r="AE1123" s="309">
        <v>13.741400000000001</v>
      </c>
      <c r="AF1123" s="309">
        <v>14.0474</v>
      </c>
      <c r="AG1123" s="309">
        <v>0</v>
      </c>
      <c r="AH1123" s="309">
        <v>0</v>
      </c>
      <c r="AI1123" s="309">
        <v>11.1145</v>
      </c>
      <c r="AJ1123" s="309">
        <v>13.3452</v>
      </c>
      <c r="AK1123" s="309">
        <v>13.193300000000001</v>
      </c>
      <c r="AL1123" s="309">
        <v>10.083600000000001</v>
      </c>
      <c r="AM1123" s="309">
        <v>15.7765</v>
      </c>
      <c r="AN1123" s="309">
        <v>16.585899999999999</v>
      </c>
      <c r="AO1123" s="309">
        <v>13.893800000000001</v>
      </c>
      <c r="AP1123" s="309">
        <v>14.3597</v>
      </c>
      <c r="AQ1123" s="309">
        <v>12.160399999999999</v>
      </c>
      <c r="AR1123" s="309">
        <v>18.915500000000002</v>
      </c>
      <c r="AS1123" s="309">
        <v>12.367599999999999</v>
      </c>
      <c r="AT1123" s="309">
        <v>15.5557</v>
      </c>
      <c r="AU1123" s="309">
        <v>15.4399</v>
      </c>
      <c r="AV1123" s="309">
        <v>17.3567</v>
      </c>
      <c r="AW1123" s="309">
        <v>0</v>
      </c>
      <c r="AX1123" s="309">
        <v>0</v>
      </c>
      <c r="AY1123" s="309">
        <v>18.142099999999999</v>
      </c>
      <c r="AZ1123" s="309">
        <v>15.286199999999999</v>
      </c>
      <c r="BA1123" s="309">
        <v>0</v>
      </c>
      <c r="BB1123" s="309">
        <v>0</v>
      </c>
      <c r="BC1123" s="309">
        <v>12.073</v>
      </c>
      <c r="BD1123" s="309">
        <v>13.4117</v>
      </c>
      <c r="BE1123" s="309">
        <v>15.2575</v>
      </c>
      <c r="BF1123" s="309">
        <v>13.405099999999999</v>
      </c>
      <c r="BG1123" s="309">
        <v>14.6012</v>
      </c>
      <c r="BH1123" s="309">
        <v>16.0518</v>
      </c>
      <c r="BI1123" s="309">
        <v>17.8948</v>
      </c>
      <c r="BJ1123" s="309">
        <v>16.544</v>
      </c>
      <c r="BK1123" s="309">
        <v>13.8703</v>
      </c>
    </row>
    <row r="1124" spans="1:63" x14ac:dyDescent="0.25">
      <c r="A1124" s="306">
        <v>339115</v>
      </c>
      <c r="B1124" s="309" t="s">
        <v>273</v>
      </c>
      <c r="C1124" s="309">
        <v>17.3279</v>
      </c>
      <c r="D1124" s="309">
        <v>0</v>
      </c>
      <c r="E1124" s="309">
        <v>16.752400000000002</v>
      </c>
      <c r="F1124" s="309">
        <v>17.3706</v>
      </c>
      <c r="G1124" s="309">
        <v>12.376799999999999</v>
      </c>
      <c r="H1124" s="309">
        <v>12.3863</v>
      </c>
      <c r="I1124" s="309">
        <v>16.804600000000001</v>
      </c>
      <c r="J1124" s="309">
        <v>11.738099999999999</v>
      </c>
      <c r="K1124" s="309">
        <v>0</v>
      </c>
      <c r="L1124" s="309">
        <v>0</v>
      </c>
      <c r="M1124" s="309">
        <v>11.9779</v>
      </c>
      <c r="N1124" s="309">
        <v>12.075100000000001</v>
      </c>
      <c r="O1124" s="309">
        <v>13.916</v>
      </c>
      <c r="P1124" s="309">
        <v>16.048100000000002</v>
      </c>
      <c r="Q1124" s="309">
        <v>9.6018000000000008</v>
      </c>
      <c r="R1124" s="309">
        <v>12.558299999999999</v>
      </c>
      <c r="S1124" s="309">
        <v>17.285499999999999</v>
      </c>
      <c r="T1124" s="309">
        <v>13.193099999999999</v>
      </c>
      <c r="U1124" s="309">
        <v>11.966200000000001</v>
      </c>
      <c r="V1124" s="309">
        <v>14.8592</v>
      </c>
      <c r="W1124" s="309">
        <v>10.5596</v>
      </c>
      <c r="X1124" s="309">
        <v>11.6486</v>
      </c>
      <c r="Y1124" s="309">
        <v>18.453199999999999</v>
      </c>
      <c r="Z1124" s="309">
        <v>15.172000000000001</v>
      </c>
      <c r="AA1124" s="309">
        <v>13.770099999999999</v>
      </c>
      <c r="AB1124" s="309">
        <v>13.337300000000001</v>
      </c>
      <c r="AC1124" s="309">
        <v>15.793200000000001</v>
      </c>
      <c r="AD1124" s="309">
        <v>17.235299999999999</v>
      </c>
      <c r="AE1124" s="309">
        <v>17.4634</v>
      </c>
      <c r="AF1124" s="309">
        <v>0</v>
      </c>
      <c r="AG1124" s="309">
        <v>14.375</v>
      </c>
      <c r="AH1124" s="309">
        <v>10.6488</v>
      </c>
      <c r="AI1124" s="309">
        <v>13.121499999999999</v>
      </c>
      <c r="AJ1124" s="309">
        <v>12.3672</v>
      </c>
      <c r="AK1124" s="309">
        <v>13.696400000000001</v>
      </c>
      <c r="AL1124" s="309">
        <v>8.7530999999999999</v>
      </c>
      <c r="AM1124" s="309">
        <v>16.6221</v>
      </c>
      <c r="AN1124" s="309">
        <v>13.2315</v>
      </c>
      <c r="AO1124" s="309">
        <v>16.370200000000001</v>
      </c>
      <c r="AP1124" s="309">
        <v>14.901899999999999</v>
      </c>
      <c r="AQ1124" s="309">
        <v>12.0031</v>
      </c>
      <c r="AR1124" s="309">
        <v>17.5243</v>
      </c>
      <c r="AS1124" s="309">
        <v>16.154299999999999</v>
      </c>
      <c r="AT1124" s="309">
        <v>14.7232</v>
      </c>
      <c r="AU1124" s="309">
        <v>14.483499999999999</v>
      </c>
      <c r="AV1124" s="309">
        <v>17.4496</v>
      </c>
      <c r="AW1124" s="309">
        <v>14.8512</v>
      </c>
      <c r="AX1124" s="309">
        <v>14.0466</v>
      </c>
      <c r="AY1124" s="309">
        <v>16.632200000000001</v>
      </c>
      <c r="AZ1124" s="309">
        <v>17.470600000000001</v>
      </c>
      <c r="BA1124" s="309">
        <v>15.6724</v>
      </c>
      <c r="BB1124" s="309">
        <v>9.2929999999999993</v>
      </c>
      <c r="BC1124" s="309">
        <v>13.0678</v>
      </c>
      <c r="BD1124" s="309">
        <v>12.5541</v>
      </c>
      <c r="BE1124" s="309">
        <v>16.862100000000002</v>
      </c>
      <c r="BF1124" s="309">
        <v>14.543200000000001</v>
      </c>
      <c r="BG1124" s="309">
        <v>13.3428</v>
      </c>
      <c r="BH1124" s="309">
        <v>15.205299999999999</v>
      </c>
      <c r="BI1124" s="309">
        <v>15.3489</v>
      </c>
      <c r="BJ1124" s="309">
        <v>14.8771</v>
      </c>
      <c r="BK1124" s="309">
        <v>13.34</v>
      </c>
    </row>
    <row r="1125" spans="1:63" x14ac:dyDescent="0.25">
      <c r="A1125" s="306">
        <v>339116</v>
      </c>
      <c r="B1125" s="309" t="s">
        <v>748</v>
      </c>
      <c r="C1125" s="309">
        <v>29.8505</v>
      </c>
      <c r="D1125" s="309">
        <v>24.294599999999999</v>
      </c>
      <c r="E1125" s="309">
        <v>25.976400000000002</v>
      </c>
      <c r="F1125" s="309">
        <v>24.025500000000001</v>
      </c>
      <c r="G1125" s="309">
        <v>26.411799999999999</v>
      </c>
      <c r="H1125" s="309">
        <v>24.029599999999999</v>
      </c>
      <c r="I1125" s="309">
        <v>28.049099999999999</v>
      </c>
      <c r="J1125" s="309">
        <v>18.074200000000001</v>
      </c>
      <c r="K1125" s="309">
        <v>6.0940000000000003</v>
      </c>
      <c r="L1125" s="309">
        <v>15.1434</v>
      </c>
      <c r="M1125" s="309">
        <v>24.784099999999999</v>
      </c>
      <c r="N1125" s="309">
        <v>23.316199999999998</v>
      </c>
      <c r="O1125" s="309">
        <v>29.090299999999999</v>
      </c>
      <c r="P1125" s="309">
        <v>24.962499999999999</v>
      </c>
      <c r="Q1125" s="309">
        <v>22.713100000000001</v>
      </c>
      <c r="R1125" s="309">
        <v>23.407599999999999</v>
      </c>
      <c r="S1125" s="309">
        <v>25.103000000000002</v>
      </c>
      <c r="T1125" s="309">
        <v>18.428899999999999</v>
      </c>
      <c r="U1125" s="309">
        <v>25.122199999999999</v>
      </c>
      <c r="V1125" s="309">
        <v>26.727799999999998</v>
      </c>
      <c r="W1125" s="309">
        <v>18.4131</v>
      </c>
      <c r="X1125" s="309">
        <v>19.3368</v>
      </c>
      <c r="Y1125" s="309">
        <v>29.834199999999999</v>
      </c>
      <c r="Z1125" s="309">
        <v>24.118600000000001</v>
      </c>
      <c r="AA1125" s="309">
        <v>24.270099999999999</v>
      </c>
      <c r="AB1125" s="309">
        <v>24.059799999999999</v>
      </c>
      <c r="AC1125" s="309">
        <v>25.6892</v>
      </c>
      <c r="AD1125" s="309">
        <v>29.836400000000001</v>
      </c>
      <c r="AE1125" s="309">
        <v>24.275400000000001</v>
      </c>
      <c r="AF1125" s="309">
        <v>22.8721</v>
      </c>
      <c r="AG1125" s="309">
        <v>21.594799999999999</v>
      </c>
      <c r="AH1125" s="309">
        <v>21.459499999999998</v>
      </c>
      <c r="AI1125" s="309">
        <v>18.929099999999998</v>
      </c>
      <c r="AJ1125" s="309">
        <v>23.218599999999999</v>
      </c>
      <c r="AK1125" s="309">
        <v>20.639099999999999</v>
      </c>
      <c r="AL1125" s="309">
        <v>19.003299999999999</v>
      </c>
      <c r="AM1125" s="309">
        <v>25.096399999999999</v>
      </c>
      <c r="AN1125" s="309">
        <v>27.662500000000001</v>
      </c>
      <c r="AO1125" s="309">
        <v>26.905999999999999</v>
      </c>
      <c r="AP1125" s="309">
        <v>23.5002</v>
      </c>
      <c r="AQ1125" s="309">
        <v>22.0366</v>
      </c>
      <c r="AR1125" s="309">
        <v>24.670100000000001</v>
      </c>
      <c r="AS1125" s="309">
        <v>23.757999999999999</v>
      </c>
      <c r="AT1125" s="309">
        <v>24.598800000000001</v>
      </c>
      <c r="AU1125" s="309">
        <v>25.925799999999999</v>
      </c>
      <c r="AV1125" s="309">
        <v>27.192499999999999</v>
      </c>
      <c r="AW1125" s="309">
        <v>23.834499999999998</v>
      </c>
      <c r="AX1125" s="309">
        <v>26.492599999999999</v>
      </c>
      <c r="AY1125" s="309">
        <v>27.859300000000001</v>
      </c>
      <c r="AZ1125" s="309">
        <v>26.5413</v>
      </c>
      <c r="BA1125" s="309">
        <v>24.671299999999999</v>
      </c>
      <c r="BB1125" s="309">
        <v>26.243400000000001</v>
      </c>
      <c r="BC1125" s="309">
        <v>22.715599999999998</v>
      </c>
      <c r="BD1125" s="309">
        <v>22.866599999999998</v>
      </c>
      <c r="BE1125" s="309">
        <v>26.410699999999999</v>
      </c>
      <c r="BF1125" s="309">
        <v>24.686399999999999</v>
      </c>
      <c r="BG1125" s="309">
        <v>25.7742</v>
      </c>
      <c r="BH1125" s="309">
        <v>26.767800000000001</v>
      </c>
      <c r="BI1125" s="309">
        <v>27.008099999999999</v>
      </c>
      <c r="BJ1125" s="309">
        <v>27.217500000000001</v>
      </c>
      <c r="BK1125" s="309">
        <v>25.677199999999999</v>
      </c>
    </row>
    <row r="1126" spans="1:63" x14ac:dyDescent="0.25">
      <c r="A1126" s="306" t="s">
        <v>749</v>
      </c>
      <c r="B1126" s="309" t="s">
        <v>750</v>
      </c>
      <c r="C1126" s="309">
        <v>16.882200000000001</v>
      </c>
      <c r="D1126" s="309">
        <v>12.116199999999999</v>
      </c>
      <c r="E1126" s="309">
        <v>14.756</v>
      </c>
      <c r="F1126" s="309">
        <v>11.6335</v>
      </c>
      <c r="G1126" s="309">
        <v>11.7751</v>
      </c>
      <c r="H1126" s="309">
        <v>11.3552</v>
      </c>
      <c r="I1126" s="309">
        <v>13.5435</v>
      </c>
      <c r="J1126" s="309">
        <v>9.5455000000000005</v>
      </c>
      <c r="K1126" s="309">
        <v>0</v>
      </c>
      <c r="L1126" s="309">
        <v>6.9744999999999999</v>
      </c>
      <c r="M1126" s="309">
        <v>13.3331</v>
      </c>
      <c r="N1126" s="309">
        <v>12.294</v>
      </c>
      <c r="O1126" s="309">
        <v>14.5829</v>
      </c>
      <c r="P1126" s="309">
        <v>11.873699999999999</v>
      </c>
      <c r="Q1126" s="309">
        <v>13.887499999999999</v>
      </c>
      <c r="R1126" s="309">
        <v>11.3063</v>
      </c>
      <c r="S1126" s="309">
        <v>11.6678</v>
      </c>
      <c r="T1126" s="309">
        <v>12.0596</v>
      </c>
      <c r="U1126" s="309">
        <v>14.3169</v>
      </c>
      <c r="V1126" s="309">
        <v>13.7232</v>
      </c>
      <c r="W1126" s="309">
        <v>9.9649000000000001</v>
      </c>
      <c r="X1126" s="309">
        <v>8.5625</v>
      </c>
      <c r="Y1126" s="309">
        <v>16.306799999999999</v>
      </c>
      <c r="Z1126" s="309">
        <v>11.863</v>
      </c>
      <c r="AA1126" s="309">
        <v>11.532999999999999</v>
      </c>
      <c r="AB1126" s="309">
        <v>13.7521</v>
      </c>
      <c r="AC1126" s="309">
        <v>12.8675</v>
      </c>
      <c r="AD1126" s="309">
        <v>14.797000000000001</v>
      </c>
      <c r="AE1126" s="309">
        <v>13.741099999999999</v>
      </c>
      <c r="AF1126" s="309">
        <v>11.473599999999999</v>
      </c>
      <c r="AG1126" s="309">
        <v>10.476599999999999</v>
      </c>
      <c r="AH1126" s="309">
        <v>11.3139</v>
      </c>
      <c r="AI1126" s="309">
        <v>9.5623000000000005</v>
      </c>
      <c r="AJ1126" s="309">
        <v>12.6486</v>
      </c>
      <c r="AK1126" s="309">
        <v>11.234</v>
      </c>
      <c r="AL1126" s="309">
        <v>9.8107000000000006</v>
      </c>
      <c r="AM1126" s="309">
        <v>14.5755</v>
      </c>
      <c r="AN1126" s="309">
        <v>14.0785</v>
      </c>
      <c r="AO1126" s="309">
        <v>13.3787</v>
      </c>
      <c r="AP1126" s="309">
        <v>13.741400000000001</v>
      </c>
      <c r="AQ1126" s="309">
        <v>10.2453</v>
      </c>
      <c r="AR1126" s="309">
        <v>15.2714</v>
      </c>
      <c r="AS1126" s="309">
        <v>9.5120000000000005</v>
      </c>
      <c r="AT1126" s="309">
        <v>11.5237</v>
      </c>
      <c r="AU1126" s="309">
        <v>12.944800000000001</v>
      </c>
      <c r="AV1126" s="309">
        <v>14.840400000000001</v>
      </c>
      <c r="AW1126" s="309">
        <v>13.0267</v>
      </c>
      <c r="AX1126" s="309">
        <v>14.5662</v>
      </c>
      <c r="AY1126" s="309">
        <v>15.700799999999999</v>
      </c>
      <c r="AZ1126" s="309">
        <v>14.470599999999999</v>
      </c>
      <c r="BA1126" s="309">
        <v>11.948600000000001</v>
      </c>
      <c r="BB1126" s="309">
        <v>13.0722</v>
      </c>
      <c r="BC1126" s="309">
        <v>12.721399999999999</v>
      </c>
      <c r="BD1126" s="309">
        <v>12.0791</v>
      </c>
      <c r="BE1126" s="309">
        <v>13.669600000000001</v>
      </c>
      <c r="BF1126" s="309">
        <v>12.3651</v>
      </c>
      <c r="BG1126" s="309">
        <v>14.490399999999999</v>
      </c>
      <c r="BH1126" s="309">
        <v>13.110300000000001</v>
      </c>
      <c r="BI1126" s="309">
        <v>13.5045</v>
      </c>
      <c r="BJ1126" s="309">
        <v>13.492000000000001</v>
      </c>
      <c r="BK1126" s="309">
        <v>12.239000000000001</v>
      </c>
    </row>
    <row r="1127" spans="1:63" x14ac:dyDescent="0.25">
      <c r="A1127" s="306">
        <v>339910</v>
      </c>
      <c r="B1127" s="309" t="s">
        <v>274</v>
      </c>
      <c r="C1127" s="309">
        <v>17.576799999999999</v>
      </c>
      <c r="D1127" s="309">
        <v>8.9619</v>
      </c>
      <c r="E1127" s="309">
        <v>13.623100000000001</v>
      </c>
      <c r="F1127" s="309">
        <v>10.047000000000001</v>
      </c>
      <c r="G1127" s="309">
        <v>15.437900000000001</v>
      </c>
      <c r="H1127" s="309">
        <v>14.3405</v>
      </c>
      <c r="I1127" s="309">
        <v>13.1448</v>
      </c>
      <c r="J1127" s="309">
        <v>9.4593000000000007</v>
      </c>
      <c r="K1127" s="309">
        <v>0</v>
      </c>
      <c r="L1127" s="309">
        <v>7.0407999999999999</v>
      </c>
      <c r="M1127" s="309">
        <v>13.1622</v>
      </c>
      <c r="N1127" s="309">
        <v>17.2684</v>
      </c>
      <c r="O1127" s="309">
        <v>17.4848</v>
      </c>
      <c r="P1127" s="309">
        <v>10.020899999999999</v>
      </c>
      <c r="Q1127" s="309">
        <v>14.119300000000001</v>
      </c>
      <c r="R1127" s="309">
        <v>13.195499999999999</v>
      </c>
      <c r="S1127" s="309">
        <v>14.290100000000001</v>
      </c>
      <c r="T1127" s="309">
        <v>14.798999999999999</v>
      </c>
      <c r="U1127" s="309">
        <v>17.304200000000002</v>
      </c>
      <c r="V1127" s="309">
        <v>14.7668</v>
      </c>
      <c r="W1127" s="309">
        <v>11.1083</v>
      </c>
      <c r="X1127" s="309">
        <v>11.055099999999999</v>
      </c>
      <c r="Y1127" s="309">
        <v>18.0123</v>
      </c>
      <c r="Z1127" s="309">
        <v>12.978400000000001</v>
      </c>
      <c r="AA1127" s="309">
        <v>11.327999999999999</v>
      </c>
      <c r="AB1127" s="309">
        <v>14.6469</v>
      </c>
      <c r="AC1127" s="309">
        <v>16.2577</v>
      </c>
      <c r="AD1127" s="309">
        <v>15.731199999999999</v>
      </c>
      <c r="AE1127" s="309">
        <v>14.377700000000001</v>
      </c>
      <c r="AF1127" s="309">
        <v>14.416499999999999</v>
      </c>
      <c r="AG1127" s="309">
        <v>15.302199999999999</v>
      </c>
      <c r="AH1127" s="309">
        <v>12.5875</v>
      </c>
      <c r="AI1127" s="309">
        <v>10.082700000000001</v>
      </c>
      <c r="AJ1127" s="309">
        <v>13.6967</v>
      </c>
      <c r="AK1127" s="309">
        <v>12.8246</v>
      </c>
      <c r="AL1127" s="309">
        <v>9.0190000000000001</v>
      </c>
      <c r="AM1127" s="309">
        <v>14.042899999999999</v>
      </c>
      <c r="AN1127" s="309">
        <v>16.161999999999999</v>
      </c>
      <c r="AO1127" s="309">
        <v>16.9727</v>
      </c>
      <c r="AP1127" s="309">
        <v>12.196899999999999</v>
      </c>
      <c r="AQ1127" s="309">
        <v>12.305899999999999</v>
      </c>
      <c r="AR1127" s="309">
        <v>14.7971</v>
      </c>
      <c r="AS1127" s="309">
        <v>12.428699999999999</v>
      </c>
      <c r="AT1127" s="309">
        <v>14.1082</v>
      </c>
      <c r="AU1127" s="309">
        <v>14.023999999999999</v>
      </c>
      <c r="AV1127" s="309">
        <v>17.556100000000001</v>
      </c>
      <c r="AW1127" s="309">
        <v>12.2951</v>
      </c>
      <c r="AX1127" s="309">
        <v>16.709199999999999</v>
      </c>
      <c r="AY1127" s="309">
        <v>13.7813</v>
      </c>
      <c r="AZ1127" s="309">
        <v>15.884600000000001</v>
      </c>
      <c r="BA1127" s="309">
        <v>10.0747</v>
      </c>
      <c r="BB1127" s="309">
        <v>9.5058000000000007</v>
      </c>
      <c r="BC1127" s="309">
        <v>13.822699999999999</v>
      </c>
      <c r="BD1127" s="309">
        <v>11.9017</v>
      </c>
      <c r="BE1127" s="309">
        <v>14.759399999999999</v>
      </c>
      <c r="BF1127" s="309">
        <v>12.8908</v>
      </c>
      <c r="BG1127" s="309">
        <v>14.7241</v>
      </c>
      <c r="BH1127" s="309">
        <v>15.8261</v>
      </c>
      <c r="BI1127" s="309">
        <v>15.212400000000001</v>
      </c>
      <c r="BJ1127" s="309">
        <v>15.907999999999999</v>
      </c>
      <c r="BK1127" s="309">
        <v>15.397600000000001</v>
      </c>
    </row>
    <row r="1128" spans="1:63" x14ac:dyDescent="0.25">
      <c r="A1128" s="306">
        <v>339920</v>
      </c>
      <c r="B1128" s="309" t="s">
        <v>275</v>
      </c>
      <c r="C1128" s="309">
        <v>19.902999999999999</v>
      </c>
      <c r="D1128" s="309">
        <v>0</v>
      </c>
      <c r="E1128" s="309">
        <v>15.503</v>
      </c>
      <c r="F1128" s="309">
        <v>15.6951</v>
      </c>
      <c r="G1128" s="309">
        <v>14.518599999999999</v>
      </c>
      <c r="H1128" s="309">
        <v>13.0733</v>
      </c>
      <c r="I1128" s="309">
        <v>15.892799999999999</v>
      </c>
      <c r="J1128" s="309">
        <v>10.7233</v>
      </c>
      <c r="K1128" s="309">
        <v>0</v>
      </c>
      <c r="L1128" s="309">
        <v>9.5778999999999996</v>
      </c>
      <c r="M1128" s="309">
        <v>14.7607</v>
      </c>
      <c r="N1128" s="309">
        <v>14.032500000000001</v>
      </c>
      <c r="O1128" s="309">
        <v>14.714499999999999</v>
      </c>
      <c r="P1128" s="309">
        <v>12.758900000000001</v>
      </c>
      <c r="Q1128" s="309">
        <v>14.5494</v>
      </c>
      <c r="R1128" s="309">
        <v>13.694000000000001</v>
      </c>
      <c r="S1128" s="309">
        <v>14.869</v>
      </c>
      <c r="T1128" s="309">
        <v>10.366899999999999</v>
      </c>
      <c r="U1128" s="309">
        <v>14.5899</v>
      </c>
      <c r="V1128" s="309">
        <v>16.296199999999999</v>
      </c>
      <c r="W1128" s="309">
        <v>10.7537</v>
      </c>
      <c r="X1128" s="309">
        <v>10.5814</v>
      </c>
      <c r="Y1128" s="309">
        <v>15.6928</v>
      </c>
      <c r="Z1128" s="309">
        <v>14.4268</v>
      </c>
      <c r="AA1128" s="309">
        <v>14.481</v>
      </c>
      <c r="AB1128" s="309">
        <v>14.8691</v>
      </c>
      <c r="AC1128" s="309">
        <v>12.988</v>
      </c>
      <c r="AD1128" s="309">
        <v>15.4237</v>
      </c>
      <c r="AE1128" s="309">
        <v>16.538</v>
      </c>
      <c r="AF1128" s="309">
        <v>11.940300000000001</v>
      </c>
      <c r="AG1128" s="309">
        <v>13.0953</v>
      </c>
      <c r="AH1128" s="309">
        <v>11.515700000000001</v>
      </c>
      <c r="AI1128" s="309">
        <v>10.923</v>
      </c>
      <c r="AJ1128" s="309">
        <v>14.2951</v>
      </c>
      <c r="AK1128" s="309">
        <v>11.417899999999999</v>
      </c>
      <c r="AL1128" s="309">
        <v>10.3552</v>
      </c>
      <c r="AM1128" s="309">
        <v>16.610299999999999</v>
      </c>
      <c r="AN1128" s="309">
        <v>15.524100000000001</v>
      </c>
      <c r="AO1128" s="309">
        <v>14.042299999999999</v>
      </c>
      <c r="AP1128" s="309">
        <v>14.409599999999999</v>
      </c>
      <c r="AQ1128" s="309">
        <v>14.6096</v>
      </c>
      <c r="AR1128" s="309">
        <v>14.326700000000001</v>
      </c>
      <c r="AS1128" s="309">
        <v>0</v>
      </c>
      <c r="AT1128" s="309">
        <v>13.635400000000001</v>
      </c>
      <c r="AU1128" s="309">
        <v>15.4146</v>
      </c>
      <c r="AV1128" s="309">
        <v>17.719000000000001</v>
      </c>
      <c r="AW1128" s="309">
        <v>13.9861</v>
      </c>
      <c r="AX1128" s="309">
        <v>10.932700000000001</v>
      </c>
      <c r="AY1128" s="309">
        <v>14.6669</v>
      </c>
      <c r="AZ1128" s="309">
        <v>15.977399999999999</v>
      </c>
      <c r="BA1128" s="309">
        <v>13.660299999999999</v>
      </c>
      <c r="BB1128" s="309">
        <v>9.8871000000000002</v>
      </c>
      <c r="BC1128" s="309">
        <v>13.0565</v>
      </c>
      <c r="BD1128" s="309">
        <v>13.5746</v>
      </c>
      <c r="BE1128" s="309">
        <v>16.267099999999999</v>
      </c>
      <c r="BF1128" s="309">
        <v>14.6823</v>
      </c>
      <c r="BG1128" s="309">
        <v>16.148900000000001</v>
      </c>
      <c r="BH1128" s="309">
        <v>15.7033</v>
      </c>
      <c r="BI1128" s="309">
        <v>16.643699999999999</v>
      </c>
      <c r="BJ1128" s="309">
        <v>15.917</v>
      </c>
      <c r="BK1128" s="309">
        <v>14.226900000000001</v>
      </c>
    </row>
    <row r="1129" spans="1:63" x14ac:dyDescent="0.25">
      <c r="A1129" s="306">
        <v>339930</v>
      </c>
      <c r="B1129" s="309" t="s">
        <v>276</v>
      </c>
      <c r="C1129" s="309">
        <v>15.2986</v>
      </c>
      <c r="D1129" s="309">
        <v>5.7824999999999998</v>
      </c>
      <c r="E1129" s="309">
        <v>0</v>
      </c>
      <c r="F1129" s="309">
        <v>13.634</v>
      </c>
      <c r="G1129" s="309">
        <v>14.1624</v>
      </c>
      <c r="H1129" s="309">
        <v>8.8817000000000004</v>
      </c>
      <c r="I1129" s="309">
        <v>12.485200000000001</v>
      </c>
      <c r="J1129" s="309">
        <v>7.51</v>
      </c>
      <c r="K1129" s="309">
        <v>0</v>
      </c>
      <c r="L1129" s="309">
        <v>6.0697999999999999</v>
      </c>
      <c r="M1129" s="309">
        <v>14.3965</v>
      </c>
      <c r="N1129" s="309">
        <v>10.6442</v>
      </c>
      <c r="O1129" s="309">
        <v>0</v>
      </c>
      <c r="P1129" s="309">
        <v>11.0829</v>
      </c>
      <c r="Q1129" s="309">
        <v>16.429500000000001</v>
      </c>
      <c r="R1129" s="309">
        <v>10.224500000000001</v>
      </c>
      <c r="S1129" s="309">
        <v>12.3696</v>
      </c>
      <c r="T1129" s="309">
        <v>13.9274</v>
      </c>
      <c r="U1129" s="309">
        <v>17.303599999999999</v>
      </c>
      <c r="V1129" s="309">
        <v>18.6524</v>
      </c>
      <c r="W1129" s="309">
        <v>10.28</v>
      </c>
      <c r="X1129" s="309">
        <v>8.3458000000000006</v>
      </c>
      <c r="Y1129" s="309">
        <v>9.1395</v>
      </c>
      <c r="Z1129" s="309">
        <v>12.002599999999999</v>
      </c>
      <c r="AA1129" s="309">
        <v>10.094200000000001</v>
      </c>
      <c r="AB1129" s="309">
        <v>14.6183</v>
      </c>
      <c r="AC1129" s="309">
        <v>14.507</v>
      </c>
      <c r="AD1129" s="309">
        <v>16.808700000000002</v>
      </c>
      <c r="AE1129" s="309">
        <v>15.512499999999999</v>
      </c>
      <c r="AF1129" s="309">
        <v>0</v>
      </c>
      <c r="AG1129" s="309">
        <v>15.704000000000001</v>
      </c>
      <c r="AH1129" s="309">
        <v>9.3330000000000002</v>
      </c>
      <c r="AI1129" s="309">
        <v>9.4776000000000007</v>
      </c>
      <c r="AJ1129" s="309">
        <v>9.2371999999999996</v>
      </c>
      <c r="AK1129" s="309">
        <v>8.5681999999999992</v>
      </c>
      <c r="AL1129" s="309">
        <v>7.7530000000000001</v>
      </c>
      <c r="AM1129" s="309">
        <v>13.5343</v>
      </c>
      <c r="AN1129" s="309">
        <v>12.4834</v>
      </c>
      <c r="AO1129" s="309">
        <v>14.9275</v>
      </c>
      <c r="AP1129" s="309">
        <v>11.4993</v>
      </c>
      <c r="AQ1129" s="309">
        <v>10.874499999999999</v>
      </c>
      <c r="AR1129" s="309">
        <v>0</v>
      </c>
      <c r="AS1129" s="309">
        <v>13.6754</v>
      </c>
      <c r="AT1129" s="309">
        <v>12.5832</v>
      </c>
      <c r="AU1129" s="309">
        <v>13.2204</v>
      </c>
      <c r="AV1129" s="309">
        <v>19.068200000000001</v>
      </c>
      <c r="AW1129" s="309">
        <v>15.062200000000001</v>
      </c>
      <c r="AX1129" s="309">
        <v>13.2881</v>
      </c>
      <c r="AY1129" s="309">
        <v>9.4549000000000003</v>
      </c>
      <c r="AZ1129" s="309">
        <v>12.089700000000001</v>
      </c>
      <c r="BA1129" s="309">
        <v>15.5526</v>
      </c>
      <c r="BB1129" s="309">
        <v>6.1860999999999997</v>
      </c>
      <c r="BC1129" s="309">
        <v>11.4732</v>
      </c>
      <c r="BD1129" s="309">
        <v>10.6393</v>
      </c>
      <c r="BE1129" s="309">
        <v>12.649100000000001</v>
      </c>
      <c r="BF1129" s="309">
        <v>14.377599999999999</v>
      </c>
      <c r="BG1129" s="309">
        <v>13.678900000000001</v>
      </c>
      <c r="BH1129" s="309">
        <v>15.9491</v>
      </c>
      <c r="BI1129" s="309">
        <v>14.9901</v>
      </c>
      <c r="BJ1129" s="309">
        <v>13.1866</v>
      </c>
      <c r="BK1129" s="309">
        <v>9.6288999999999998</v>
      </c>
    </row>
    <row r="1130" spans="1:63" x14ac:dyDescent="0.25">
      <c r="A1130" s="306">
        <v>339940</v>
      </c>
      <c r="B1130" s="309" t="s">
        <v>277</v>
      </c>
      <c r="C1130" s="309">
        <v>17.689499999999999</v>
      </c>
      <c r="D1130" s="309">
        <v>9.2530000000000001</v>
      </c>
      <c r="E1130" s="309">
        <v>16.638500000000001</v>
      </c>
      <c r="F1130" s="309">
        <v>12.852</v>
      </c>
      <c r="G1130" s="309">
        <v>15.407400000000001</v>
      </c>
      <c r="H1130" s="309">
        <v>13.3703</v>
      </c>
      <c r="I1130" s="309">
        <v>15.7277</v>
      </c>
      <c r="J1130" s="309">
        <v>8.9771000000000001</v>
      </c>
      <c r="K1130" s="309">
        <v>3.9369999999999998</v>
      </c>
      <c r="L1130" s="309">
        <v>7.4942000000000002</v>
      </c>
      <c r="M1130" s="309">
        <v>12.9322</v>
      </c>
      <c r="N1130" s="309">
        <v>15.6175</v>
      </c>
      <c r="O1130" s="309">
        <v>16.514500000000002</v>
      </c>
      <c r="P1130" s="309">
        <v>12.5802</v>
      </c>
      <c r="Q1130" s="309">
        <v>11.041</v>
      </c>
      <c r="R1130" s="309">
        <v>11.601000000000001</v>
      </c>
      <c r="S1130" s="309">
        <v>14.0373</v>
      </c>
      <c r="T1130" s="309">
        <v>13.8673</v>
      </c>
      <c r="U1130" s="309">
        <v>14.417400000000001</v>
      </c>
      <c r="V1130" s="309">
        <v>18.1281</v>
      </c>
      <c r="W1130" s="309">
        <v>11.3751</v>
      </c>
      <c r="X1130" s="309">
        <v>15.053900000000001</v>
      </c>
      <c r="Y1130" s="309">
        <v>14.5206</v>
      </c>
      <c r="Z1130" s="309">
        <v>11.839600000000001</v>
      </c>
      <c r="AA1130" s="309">
        <v>13.876200000000001</v>
      </c>
      <c r="AB1130" s="309">
        <v>12.643599999999999</v>
      </c>
      <c r="AC1130" s="309">
        <v>17.118400000000001</v>
      </c>
      <c r="AD1130" s="309">
        <v>11.6761</v>
      </c>
      <c r="AE1130" s="309">
        <v>14.8612</v>
      </c>
      <c r="AF1130" s="309">
        <v>13.6274</v>
      </c>
      <c r="AG1130" s="309">
        <v>10.873900000000001</v>
      </c>
      <c r="AH1130" s="309">
        <v>12.513</v>
      </c>
      <c r="AI1130" s="309">
        <v>10.0571</v>
      </c>
      <c r="AJ1130" s="309">
        <v>13.826000000000001</v>
      </c>
      <c r="AK1130" s="309">
        <v>12.2836</v>
      </c>
      <c r="AL1130" s="309">
        <v>9.7486999999999995</v>
      </c>
      <c r="AM1130" s="309">
        <v>15.410399999999999</v>
      </c>
      <c r="AN1130" s="309">
        <v>15.2005</v>
      </c>
      <c r="AO1130" s="309">
        <v>14.091799999999999</v>
      </c>
      <c r="AP1130" s="309">
        <v>13.232100000000001</v>
      </c>
      <c r="AQ1130" s="309">
        <v>9.5765999999999991</v>
      </c>
      <c r="AR1130" s="309">
        <v>13.652900000000001</v>
      </c>
      <c r="AS1130" s="309">
        <v>15.899699999999999</v>
      </c>
      <c r="AT1130" s="309">
        <v>13.8423</v>
      </c>
      <c r="AU1130" s="309">
        <v>16.523900000000001</v>
      </c>
      <c r="AV1130" s="309">
        <v>15.6698</v>
      </c>
      <c r="AW1130" s="309">
        <v>14.597300000000001</v>
      </c>
      <c r="AX1130" s="309">
        <v>0</v>
      </c>
      <c r="AY1130" s="309">
        <v>17.0032</v>
      </c>
      <c r="AZ1130" s="309">
        <v>14.339499999999999</v>
      </c>
      <c r="BA1130" s="309">
        <v>11.5022</v>
      </c>
      <c r="BB1130" s="309">
        <v>15.3727</v>
      </c>
      <c r="BC1130" s="309">
        <v>11.678699999999999</v>
      </c>
      <c r="BD1130" s="309">
        <v>12.41</v>
      </c>
      <c r="BE1130" s="309">
        <v>13.9838</v>
      </c>
      <c r="BF1130" s="309">
        <v>14.061400000000001</v>
      </c>
      <c r="BG1130" s="309">
        <v>15.097799999999999</v>
      </c>
      <c r="BH1130" s="309">
        <v>14.8544</v>
      </c>
      <c r="BI1130" s="309">
        <v>16.601199999999999</v>
      </c>
      <c r="BJ1130" s="309">
        <v>14.8954</v>
      </c>
      <c r="BK1130" s="309">
        <v>14.436999999999999</v>
      </c>
    </row>
    <row r="1131" spans="1:63" x14ac:dyDescent="0.25">
      <c r="A1131" s="306">
        <v>339950</v>
      </c>
      <c r="B1131" s="309" t="s">
        <v>278</v>
      </c>
      <c r="C1131" s="309">
        <v>23.2196</v>
      </c>
      <c r="D1131" s="309">
        <v>15.685700000000001</v>
      </c>
      <c r="E1131" s="309">
        <v>19.553000000000001</v>
      </c>
      <c r="F1131" s="309">
        <v>17.979099999999999</v>
      </c>
      <c r="G1131" s="309">
        <v>16.427700000000002</v>
      </c>
      <c r="H1131" s="309">
        <v>16.967099999999999</v>
      </c>
      <c r="I1131" s="309">
        <v>18.939399999999999</v>
      </c>
      <c r="J1131" s="309">
        <v>12.105700000000001</v>
      </c>
      <c r="K1131" s="309">
        <v>3.8395000000000001</v>
      </c>
      <c r="L1131" s="309">
        <v>9.6081000000000003</v>
      </c>
      <c r="M1131" s="309">
        <v>16.799399999999999</v>
      </c>
      <c r="N1131" s="309">
        <v>17.937899999999999</v>
      </c>
      <c r="O1131" s="309">
        <v>18.674399999999999</v>
      </c>
      <c r="P1131" s="309">
        <v>15.493</v>
      </c>
      <c r="Q1131" s="309">
        <v>16.912099999999999</v>
      </c>
      <c r="R1131" s="309">
        <v>15.5535</v>
      </c>
      <c r="S1131" s="309">
        <v>17.726600000000001</v>
      </c>
      <c r="T1131" s="309">
        <v>15.1549</v>
      </c>
      <c r="U1131" s="309">
        <v>17.248200000000001</v>
      </c>
      <c r="V1131" s="309">
        <v>18.061800000000002</v>
      </c>
      <c r="W1131" s="309">
        <v>12.676500000000001</v>
      </c>
      <c r="X1131" s="309">
        <v>12.176500000000001</v>
      </c>
      <c r="Y1131" s="309">
        <v>21.192599999999999</v>
      </c>
      <c r="Z1131" s="309">
        <v>17.3142</v>
      </c>
      <c r="AA1131" s="309">
        <v>16.228999999999999</v>
      </c>
      <c r="AB1131" s="309">
        <v>17.608799999999999</v>
      </c>
      <c r="AC1131" s="309">
        <v>18.975999999999999</v>
      </c>
      <c r="AD1131" s="309">
        <v>18.488600000000002</v>
      </c>
      <c r="AE1131" s="309">
        <v>18.062899999999999</v>
      </c>
      <c r="AF1131" s="309">
        <v>14.659800000000001</v>
      </c>
      <c r="AG1131" s="309">
        <v>15.195600000000001</v>
      </c>
      <c r="AH1131" s="309">
        <v>13.8248</v>
      </c>
      <c r="AI1131" s="309">
        <v>12.958</v>
      </c>
      <c r="AJ1131" s="309">
        <v>14.9016</v>
      </c>
      <c r="AK1131" s="309">
        <v>12.918100000000001</v>
      </c>
      <c r="AL1131" s="309">
        <v>12.5726</v>
      </c>
      <c r="AM1131" s="309">
        <v>18.977799999999998</v>
      </c>
      <c r="AN1131" s="309">
        <v>19.535</v>
      </c>
      <c r="AO1131" s="309">
        <v>17.945900000000002</v>
      </c>
      <c r="AP1131" s="309">
        <v>17.246300000000002</v>
      </c>
      <c r="AQ1131" s="309">
        <v>14.8973</v>
      </c>
      <c r="AR1131" s="309">
        <v>19.505700000000001</v>
      </c>
      <c r="AS1131" s="309">
        <v>15.1465</v>
      </c>
      <c r="AT1131" s="309">
        <v>17.148499999999999</v>
      </c>
      <c r="AU1131" s="309">
        <v>18.967600000000001</v>
      </c>
      <c r="AV1131" s="309">
        <v>19.877600000000001</v>
      </c>
      <c r="AW1131" s="309">
        <v>16.715499999999999</v>
      </c>
      <c r="AX1131" s="309">
        <v>18.312799999999999</v>
      </c>
      <c r="AY1131" s="309">
        <v>18.746400000000001</v>
      </c>
      <c r="AZ1131" s="309">
        <v>16.3246</v>
      </c>
      <c r="BA1131" s="309">
        <v>17.724299999999999</v>
      </c>
      <c r="BB1131" s="309">
        <v>16.888300000000001</v>
      </c>
      <c r="BC1131" s="309">
        <v>15.930999999999999</v>
      </c>
      <c r="BD1131" s="309">
        <v>16.0076</v>
      </c>
      <c r="BE1131" s="309">
        <v>18.598700000000001</v>
      </c>
      <c r="BF1131" s="309">
        <v>18.031600000000001</v>
      </c>
      <c r="BG1131" s="309">
        <v>19.1417</v>
      </c>
      <c r="BH1131" s="309">
        <v>19.615600000000001</v>
      </c>
      <c r="BI1131" s="309">
        <v>19.910399999999999</v>
      </c>
      <c r="BJ1131" s="309">
        <v>17.807400000000001</v>
      </c>
      <c r="BK1131" s="309">
        <v>18.181899999999999</v>
      </c>
    </row>
    <row r="1132" spans="1:63" x14ac:dyDescent="0.25">
      <c r="A1132" s="306">
        <v>339991</v>
      </c>
      <c r="B1132" s="309" t="s">
        <v>1</v>
      </c>
      <c r="C1132" s="309">
        <v>21.927499999999998</v>
      </c>
      <c r="D1132" s="309">
        <v>0</v>
      </c>
      <c r="E1132" s="309">
        <v>17.758500000000002</v>
      </c>
      <c r="F1132" s="309">
        <v>17.1953</v>
      </c>
      <c r="G1132" s="309">
        <v>16.2957</v>
      </c>
      <c r="H1132" s="309">
        <v>16.135100000000001</v>
      </c>
      <c r="I1132" s="309">
        <v>17.9575</v>
      </c>
      <c r="J1132" s="309">
        <v>12.3553</v>
      </c>
      <c r="K1132" s="309">
        <v>0</v>
      </c>
      <c r="L1132" s="309">
        <v>11.0312</v>
      </c>
      <c r="M1132" s="309">
        <v>17.2608</v>
      </c>
      <c r="N1132" s="309">
        <v>17.202500000000001</v>
      </c>
      <c r="O1132" s="309">
        <v>0</v>
      </c>
      <c r="P1132" s="309">
        <v>14.985200000000001</v>
      </c>
      <c r="Q1132" s="309">
        <v>0</v>
      </c>
      <c r="R1132" s="309">
        <v>15.591100000000001</v>
      </c>
      <c r="S1132" s="309">
        <v>17.566099999999999</v>
      </c>
      <c r="T1132" s="309">
        <v>15.5844</v>
      </c>
      <c r="U1132" s="309">
        <v>19.1021</v>
      </c>
      <c r="V1132" s="309">
        <v>16.353200000000001</v>
      </c>
      <c r="W1132" s="309">
        <v>12.3475</v>
      </c>
      <c r="X1132" s="309">
        <v>11.196400000000001</v>
      </c>
      <c r="Y1132" s="309">
        <v>14.5794</v>
      </c>
      <c r="Z1132" s="309">
        <v>15.572699999999999</v>
      </c>
      <c r="AA1132" s="309">
        <v>14.3995</v>
      </c>
      <c r="AB1132" s="309">
        <v>17.197399999999998</v>
      </c>
      <c r="AC1132" s="309">
        <v>17.556999999999999</v>
      </c>
      <c r="AD1132" s="309">
        <v>17.7362</v>
      </c>
      <c r="AE1132" s="309">
        <v>17.516500000000001</v>
      </c>
      <c r="AF1132" s="309">
        <v>0</v>
      </c>
      <c r="AG1132" s="309">
        <v>16.044</v>
      </c>
      <c r="AH1132" s="309">
        <v>14.5509</v>
      </c>
      <c r="AI1132" s="309">
        <v>12.0389</v>
      </c>
      <c r="AJ1132" s="309">
        <v>14.4207</v>
      </c>
      <c r="AK1132" s="309">
        <v>15.737500000000001</v>
      </c>
      <c r="AL1132" s="309">
        <v>12.418799999999999</v>
      </c>
      <c r="AM1132" s="309">
        <v>19.628</v>
      </c>
      <c r="AN1132" s="309">
        <v>19.918900000000001</v>
      </c>
      <c r="AO1132" s="309">
        <v>19.779299999999999</v>
      </c>
      <c r="AP1132" s="309">
        <v>15.4869</v>
      </c>
      <c r="AQ1132" s="309">
        <v>12.5337</v>
      </c>
      <c r="AR1132" s="309">
        <v>17.8992</v>
      </c>
      <c r="AS1132" s="309">
        <v>0</v>
      </c>
      <c r="AT1132" s="309">
        <v>16.295500000000001</v>
      </c>
      <c r="AU1132" s="309">
        <v>17.6553</v>
      </c>
      <c r="AV1132" s="309">
        <v>21.122699999999998</v>
      </c>
      <c r="AW1132" s="309">
        <v>17.385300000000001</v>
      </c>
      <c r="AX1132" s="309">
        <v>15.8239</v>
      </c>
      <c r="AY1132" s="309">
        <v>18.5671</v>
      </c>
      <c r="AZ1132" s="309">
        <v>17.047599999999999</v>
      </c>
      <c r="BA1132" s="309">
        <v>17.0428</v>
      </c>
      <c r="BB1132" s="309">
        <v>0</v>
      </c>
      <c r="BC1132" s="309">
        <v>15.3756</v>
      </c>
      <c r="BD1132" s="309">
        <v>15.2654</v>
      </c>
      <c r="BE1132" s="309">
        <v>18.389700000000001</v>
      </c>
      <c r="BF1132" s="309">
        <v>16.648800000000001</v>
      </c>
      <c r="BG1132" s="309">
        <v>18.6173</v>
      </c>
      <c r="BH1132" s="309">
        <v>19.296800000000001</v>
      </c>
      <c r="BI1132" s="309">
        <v>18.540199999999999</v>
      </c>
      <c r="BJ1132" s="309">
        <v>18.4009</v>
      </c>
      <c r="BK1132" s="309">
        <v>17.329499999999999</v>
      </c>
    </row>
    <row r="1133" spans="1:63" x14ac:dyDescent="0.25">
      <c r="A1133" s="306">
        <v>339992</v>
      </c>
      <c r="B1133" s="309" t="s">
        <v>279</v>
      </c>
      <c r="C1133" s="309">
        <v>22.74</v>
      </c>
      <c r="D1133" s="309">
        <v>0</v>
      </c>
      <c r="E1133" s="309">
        <v>0</v>
      </c>
      <c r="F1133" s="309">
        <v>19.776199999999999</v>
      </c>
      <c r="G1133" s="309">
        <v>23.947700000000001</v>
      </c>
      <c r="H1133" s="309">
        <v>17.873899999999999</v>
      </c>
      <c r="I1133" s="309">
        <v>23.2346</v>
      </c>
      <c r="J1133" s="309">
        <v>15.401899999999999</v>
      </c>
      <c r="K1133" s="309">
        <v>0</v>
      </c>
      <c r="L1133" s="309">
        <v>0</v>
      </c>
      <c r="M1133" s="309">
        <v>19.064699999999998</v>
      </c>
      <c r="N1133" s="309">
        <v>19.537700000000001</v>
      </c>
      <c r="O1133" s="309">
        <v>23.6999</v>
      </c>
      <c r="P1133" s="309">
        <v>15.896699999999999</v>
      </c>
      <c r="Q1133" s="309">
        <v>22.126100000000001</v>
      </c>
      <c r="R1133" s="309">
        <v>16.439800000000002</v>
      </c>
      <c r="S1133" s="309">
        <v>16.899000000000001</v>
      </c>
      <c r="T1133" s="309">
        <v>16.906300000000002</v>
      </c>
      <c r="U1133" s="309">
        <v>21.658999999999999</v>
      </c>
      <c r="V1133" s="309">
        <v>19.6099</v>
      </c>
      <c r="W1133" s="309">
        <v>13.742599999999999</v>
      </c>
      <c r="X1133" s="309">
        <v>13.326000000000001</v>
      </c>
      <c r="Y1133" s="309">
        <v>24.418500000000002</v>
      </c>
      <c r="Z1133" s="309">
        <v>18.468599999999999</v>
      </c>
      <c r="AA1133" s="309">
        <v>23.7743</v>
      </c>
      <c r="AB1133" s="309">
        <v>20.379799999999999</v>
      </c>
      <c r="AC1133" s="309">
        <v>18.466100000000001</v>
      </c>
      <c r="AD1133" s="309">
        <v>22.316500000000001</v>
      </c>
      <c r="AE1133" s="309">
        <v>19.087499999999999</v>
      </c>
      <c r="AF1133" s="309">
        <v>14.081799999999999</v>
      </c>
      <c r="AG1133" s="309">
        <v>16.999400000000001</v>
      </c>
      <c r="AH1133" s="309">
        <v>21.0139</v>
      </c>
      <c r="AI1133" s="309">
        <v>13.2818</v>
      </c>
      <c r="AJ1133" s="309">
        <v>22.332999999999998</v>
      </c>
      <c r="AK1133" s="309">
        <v>14.5465</v>
      </c>
      <c r="AL1133" s="309">
        <v>13.966900000000001</v>
      </c>
      <c r="AM1133" s="309">
        <v>18.6006</v>
      </c>
      <c r="AN1133" s="309">
        <v>24.049199999999999</v>
      </c>
      <c r="AO1133" s="309">
        <v>18.6233</v>
      </c>
      <c r="AP1133" s="309">
        <v>16.7575</v>
      </c>
      <c r="AQ1133" s="309">
        <v>20.911100000000001</v>
      </c>
      <c r="AR1133" s="309">
        <v>18.903500000000001</v>
      </c>
      <c r="AS1133" s="309">
        <v>15.483599999999999</v>
      </c>
      <c r="AT1133" s="309">
        <v>16.505099999999999</v>
      </c>
      <c r="AU1133" s="309">
        <v>18.138999999999999</v>
      </c>
      <c r="AV1133" s="309">
        <v>22.506599999999999</v>
      </c>
      <c r="AW1133" s="309">
        <v>18.518000000000001</v>
      </c>
      <c r="AX1133" s="309">
        <v>22.906700000000001</v>
      </c>
      <c r="AY1133" s="309">
        <v>20.300899999999999</v>
      </c>
      <c r="AZ1133" s="309">
        <v>21.536300000000001</v>
      </c>
      <c r="BA1133" s="309">
        <v>13.730600000000001</v>
      </c>
      <c r="BB1133" s="309">
        <v>0</v>
      </c>
      <c r="BC1133" s="309">
        <v>17.177099999999999</v>
      </c>
      <c r="BD1133" s="309">
        <v>16.794699999999999</v>
      </c>
      <c r="BE1133" s="309">
        <v>19.197800000000001</v>
      </c>
      <c r="BF1133" s="309">
        <v>20.6721</v>
      </c>
      <c r="BG1133" s="309">
        <v>18.723500000000001</v>
      </c>
      <c r="BH1133" s="309">
        <v>17.518899999999999</v>
      </c>
      <c r="BI1133" s="309">
        <v>19.906500000000001</v>
      </c>
      <c r="BJ1133" s="309">
        <v>23.762899999999998</v>
      </c>
      <c r="BK1133" s="309">
        <v>19.004000000000001</v>
      </c>
    </row>
    <row r="1134" spans="1:63" x14ac:dyDescent="0.25">
      <c r="A1134" s="306">
        <v>339994</v>
      </c>
      <c r="B1134" s="309" t="s">
        <v>281</v>
      </c>
      <c r="C1134" s="309">
        <v>20.092199999999998</v>
      </c>
      <c r="D1134" s="309">
        <v>0</v>
      </c>
      <c r="E1134" s="309">
        <v>20.9038</v>
      </c>
      <c r="F1134" s="309">
        <v>15.212899999999999</v>
      </c>
      <c r="G1134" s="309">
        <v>0</v>
      </c>
      <c r="H1134" s="309">
        <v>14.361800000000001</v>
      </c>
      <c r="I1134" s="309">
        <v>15.569900000000001</v>
      </c>
      <c r="J1134" s="309">
        <v>9.2224000000000004</v>
      </c>
      <c r="K1134" s="309">
        <v>0</v>
      </c>
      <c r="L1134" s="309">
        <v>8.9374000000000002</v>
      </c>
      <c r="M1134" s="309">
        <v>15.453200000000001</v>
      </c>
      <c r="N1134" s="309">
        <v>17.307700000000001</v>
      </c>
      <c r="O1134" s="309">
        <v>0</v>
      </c>
      <c r="P1134" s="309">
        <v>11.996</v>
      </c>
      <c r="Q1134" s="309">
        <v>0</v>
      </c>
      <c r="R1134" s="309">
        <v>13.791</v>
      </c>
      <c r="S1134" s="309">
        <v>17.948899999999998</v>
      </c>
      <c r="T1134" s="309">
        <v>12.438000000000001</v>
      </c>
      <c r="U1134" s="309">
        <v>14.7806</v>
      </c>
      <c r="V1134" s="309">
        <v>19.8752</v>
      </c>
      <c r="W1134" s="309">
        <v>11.7033</v>
      </c>
      <c r="X1134" s="309">
        <v>11.3241</v>
      </c>
      <c r="Y1134" s="309">
        <v>0</v>
      </c>
      <c r="Z1134" s="309">
        <v>14.3589</v>
      </c>
      <c r="AA1134" s="309">
        <v>18.593599999999999</v>
      </c>
      <c r="AB1134" s="309">
        <v>16.426500000000001</v>
      </c>
      <c r="AC1134" s="309">
        <v>19.081900000000001</v>
      </c>
      <c r="AD1134" s="309">
        <v>0</v>
      </c>
      <c r="AE1134" s="309">
        <v>13.8527</v>
      </c>
      <c r="AF1134" s="309">
        <v>0</v>
      </c>
      <c r="AG1134" s="309">
        <v>17.0046</v>
      </c>
      <c r="AH1134" s="309">
        <v>11.334</v>
      </c>
      <c r="AI1134" s="309">
        <v>10.8817</v>
      </c>
      <c r="AJ1134" s="309">
        <v>0</v>
      </c>
      <c r="AK1134" s="309">
        <v>10.137499999999999</v>
      </c>
      <c r="AL1134" s="309">
        <v>12.8262</v>
      </c>
      <c r="AM1134" s="309">
        <v>16.036999999999999</v>
      </c>
      <c r="AN1134" s="309">
        <v>18.023800000000001</v>
      </c>
      <c r="AO1134" s="309">
        <v>18.1891</v>
      </c>
      <c r="AP1134" s="309">
        <v>14.5474</v>
      </c>
      <c r="AQ1134" s="309">
        <v>17.0792</v>
      </c>
      <c r="AR1134" s="309">
        <v>18.5608</v>
      </c>
      <c r="AS1134" s="309">
        <v>13.39</v>
      </c>
      <c r="AT1134" s="309">
        <v>14.099600000000001</v>
      </c>
      <c r="AU1134" s="309">
        <v>18.448499999999999</v>
      </c>
      <c r="AV1134" s="309">
        <v>0</v>
      </c>
      <c r="AW1134" s="309">
        <v>14.509</v>
      </c>
      <c r="AX1134" s="309">
        <v>16.6647</v>
      </c>
      <c r="AY1134" s="309">
        <v>19.052900000000001</v>
      </c>
      <c r="AZ1134" s="309">
        <v>16.563199999999998</v>
      </c>
      <c r="BA1134" s="309">
        <v>0</v>
      </c>
      <c r="BB1134" s="309">
        <v>0</v>
      </c>
      <c r="BC1134" s="309">
        <v>13.575699999999999</v>
      </c>
      <c r="BD1134" s="309">
        <v>13.9611</v>
      </c>
      <c r="BE1134" s="309">
        <v>16.5671</v>
      </c>
      <c r="BF1134" s="309">
        <v>15.186400000000001</v>
      </c>
      <c r="BG1134" s="309">
        <v>16.2774</v>
      </c>
      <c r="BH1134" s="309">
        <v>17.1112</v>
      </c>
      <c r="BI1134" s="309">
        <v>18.9084</v>
      </c>
      <c r="BJ1134" s="309">
        <v>14.826599999999999</v>
      </c>
      <c r="BK1134" s="309">
        <v>15.9053</v>
      </c>
    </row>
    <row r="1135" spans="1:63" x14ac:dyDescent="0.25">
      <c r="A1135" s="306" t="s">
        <v>751</v>
      </c>
      <c r="B1135" s="309" t="s">
        <v>280</v>
      </c>
      <c r="C1135" s="309">
        <v>21.4908</v>
      </c>
      <c r="D1135" s="309">
        <v>10.526899999999999</v>
      </c>
      <c r="E1135" s="309">
        <v>18.7392</v>
      </c>
      <c r="F1135" s="309">
        <v>19.071400000000001</v>
      </c>
      <c r="G1135" s="309">
        <v>19.2178</v>
      </c>
      <c r="H1135" s="309">
        <v>14.7636</v>
      </c>
      <c r="I1135" s="309">
        <v>17.508600000000001</v>
      </c>
      <c r="J1135" s="309">
        <v>11.4216</v>
      </c>
      <c r="K1135" s="309">
        <v>0</v>
      </c>
      <c r="L1135" s="309">
        <v>0</v>
      </c>
      <c r="M1135" s="309">
        <v>15.491300000000001</v>
      </c>
      <c r="N1135" s="309">
        <v>15.67</v>
      </c>
      <c r="O1135" s="309">
        <v>19.363499999999998</v>
      </c>
      <c r="P1135" s="309">
        <v>18.698699999999999</v>
      </c>
      <c r="Q1135" s="309">
        <v>19.238600000000002</v>
      </c>
      <c r="R1135" s="309">
        <v>14.5641</v>
      </c>
      <c r="S1135" s="309">
        <v>15.2342</v>
      </c>
      <c r="T1135" s="309">
        <v>15.194000000000001</v>
      </c>
      <c r="U1135" s="309">
        <v>18.474299999999999</v>
      </c>
      <c r="V1135" s="309">
        <v>17.531300000000002</v>
      </c>
      <c r="W1135" s="309">
        <v>17.526</v>
      </c>
      <c r="X1135" s="309">
        <v>11.033200000000001</v>
      </c>
      <c r="Y1135" s="309">
        <v>21.550699999999999</v>
      </c>
      <c r="Z1135" s="309">
        <v>15.8386</v>
      </c>
      <c r="AA1135" s="309">
        <v>16.547000000000001</v>
      </c>
      <c r="AB1135" s="309">
        <v>14.9351</v>
      </c>
      <c r="AC1135" s="309">
        <v>18.033300000000001</v>
      </c>
      <c r="AD1135" s="309">
        <v>20.1189</v>
      </c>
      <c r="AE1135" s="309">
        <v>17.121600000000001</v>
      </c>
      <c r="AF1135" s="309">
        <v>16.017800000000001</v>
      </c>
      <c r="AG1135" s="309">
        <v>17.583100000000002</v>
      </c>
      <c r="AH1135" s="309">
        <v>13.1327</v>
      </c>
      <c r="AI1135" s="309">
        <v>14.144399999999999</v>
      </c>
      <c r="AJ1135" s="309">
        <v>19.132100000000001</v>
      </c>
      <c r="AK1135" s="309">
        <v>11.499499999999999</v>
      </c>
      <c r="AL1135" s="309">
        <v>12.0916</v>
      </c>
      <c r="AM1135" s="309">
        <v>18.3872</v>
      </c>
      <c r="AN1135" s="309">
        <v>19.5198</v>
      </c>
      <c r="AO1135" s="309">
        <v>19.202400000000001</v>
      </c>
      <c r="AP1135" s="309">
        <v>16.329699999999999</v>
      </c>
      <c r="AQ1135" s="309">
        <v>14.685</v>
      </c>
      <c r="AR1135" s="309">
        <v>18.737400000000001</v>
      </c>
      <c r="AS1135" s="309">
        <v>15.571199999999999</v>
      </c>
      <c r="AT1135" s="309">
        <v>16.343299999999999</v>
      </c>
      <c r="AU1135" s="309">
        <v>18.735800000000001</v>
      </c>
      <c r="AV1135" s="309">
        <v>21.3355</v>
      </c>
      <c r="AW1135" s="309">
        <v>15.392799999999999</v>
      </c>
      <c r="AX1135" s="309">
        <v>18.179300000000001</v>
      </c>
      <c r="AY1135" s="309">
        <v>17.814299999999999</v>
      </c>
      <c r="AZ1135" s="309">
        <v>17.1069</v>
      </c>
      <c r="BA1135" s="309">
        <v>18.2196</v>
      </c>
      <c r="BB1135" s="309">
        <v>11.481999999999999</v>
      </c>
      <c r="BC1135" s="309">
        <v>16.594200000000001</v>
      </c>
      <c r="BD1135" s="309">
        <v>15.7631</v>
      </c>
      <c r="BE1135" s="309">
        <v>17.502500000000001</v>
      </c>
      <c r="BF1135" s="309">
        <v>17.220500000000001</v>
      </c>
      <c r="BG1135" s="309">
        <v>17.432099999999998</v>
      </c>
      <c r="BH1135" s="309">
        <v>19.553000000000001</v>
      </c>
      <c r="BI1135" s="309">
        <v>20.111599999999999</v>
      </c>
      <c r="BJ1135" s="309">
        <v>15.508900000000001</v>
      </c>
      <c r="BK1135" s="309">
        <v>15.879099999999999</v>
      </c>
    </row>
    <row r="1136" spans="1:63" x14ac:dyDescent="0.25">
      <c r="A1136" s="306">
        <v>420000</v>
      </c>
      <c r="B1136" s="309" t="s">
        <v>425</v>
      </c>
      <c r="C1136" s="309">
        <v>15.826700000000001</v>
      </c>
      <c r="D1136" s="309">
        <v>10.347099999999999</v>
      </c>
      <c r="E1136" s="309">
        <v>12.823399999999999</v>
      </c>
      <c r="F1136" s="309">
        <v>11.9109</v>
      </c>
      <c r="G1136" s="309">
        <v>11.9704</v>
      </c>
      <c r="H1136" s="309">
        <v>11.8233</v>
      </c>
      <c r="I1136" s="309">
        <v>12.576000000000001</v>
      </c>
      <c r="J1136" s="309">
        <v>9.0943000000000005</v>
      </c>
      <c r="K1136" s="309">
        <v>1.4179999999999999</v>
      </c>
      <c r="L1136" s="309">
        <v>7.9245999999999999</v>
      </c>
      <c r="M1136" s="309">
        <v>13.075699999999999</v>
      </c>
      <c r="N1136" s="309">
        <v>12.8409</v>
      </c>
      <c r="O1136" s="309">
        <v>12.609299999999999</v>
      </c>
      <c r="P1136" s="309">
        <v>10.7255</v>
      </c>
      <c r="Q1136" s="309">
        <v>11.749599999999999</v>
      </c>
      <c r="R1136" s="309">
        <v>11.9208</v>
      </c>
      <c r="S1136" s="309">
        <v>12.740500000000001</v>
      </c>
      <c r="T1136" s="309">
        <v>9.7571999999999992</v>
      </c>
      <c r="U1136" s="309">
        <v>12.148899999999999</v>
      </c>
      <c r="V1136" s="309">
        <v>12.014900000000001</v>
      </c>
      <c r="W1136" s="309">
        <v>9.5434000000000001</v>
      </c>
      <c r="X1136" s="309">
        <v>10.3009</v>
      </c>
      <c r="Y1136" s="309">
        <v>13.512700000000001</v>
      </c>
      <c r="Z1136" s="309">
        <v>12.529299999999999</v>
      </c>
      <c r="AA1136" s="309">
        <v>11.484999999999999</v>
      </c>
      <c r="AB1136" s="309">
        <v>11.8414</v>
      </c>
      <c r="AC1136" s="309">
        <v>11.896000000000001</v>
      </c>
      <c r="AD1136" s="309">
        <v>12.146000000000001</v>
      </c>
      <c r="AE1136" s="309">
        <v>12.6753</v>
      </c>
      <c r="AF1136" s="309">
        <v>9.4487000000000005</v>
      </c>
      <c r="AG1136" s="309">
        <v>10.286099999999999</v>
      </c>
      <c r="AH1136" s="309">
        <v>9.9461999999999993</v>
      </c>
      <c r="AI1136" s="309">
        <v>10.073399999999999</v>
      </c>
      <c r="AJ1136" s="309">
        <v>12.156599999999999</v>
      </c>
      <c r="AK1136" s="309">
        <v>11.015499999999999</v>
      </c>
      <c r="AL1136" s="309">
        <v>8.5137999999999998</v>
      </c>
      <c r="AM1136" s="309">
        <v>13.353400000000001</v>
      </c>
      <c r="AN1136" s="309">
        <v>13.190099999999999</v>
      </c>
      <c r="AO1136" s="309">
        <v>11.6934</v>
      </c>
      <c r="AP1136" s="309">
        <v>12.270300000000001</v>
      </c>
      <c r="AQ1136" s="309">
        <v>9.9260000000000002</v>
      </c>
      <c r="AR1136" s="309">
        <v>13.3508</v>
      </c>
      <c r="AS1136" s="309">
        <v>10.3873</v>
      </c>
      <c r="AT1136" s="309">
        <v>12.698</v>
      </c>
      <c r="AU1136" s="309">
        <v>12.650700000000001</v>
      </c>
      <c r="AV1136" s="309">
        <v>15.472099999999999</v>
      </c>
      <c r="AW1136" s="309">
        <v>11.3293</v>
      </c>
      <c r="AX1136" s="309">
        <v>11.0451</v>
      </c>
      <c r="AY1136" s="309">
        <v>11.7278</v>
      </c>
      <c r="AZ1136" s="309">
        <v>12.864000000000001</v>
      </c>
      <c r="BA1136" s="309">
        <v>11.0144</v>
      </c>
      <c r="BB1136" s="309">
        <v>9.0746000000000002</v>
      </c>
      <c r="BC1136" s="309">
        <v>11.363099999999999</v>
      </c>
      <c r="BD1136" s="309">
        <v>11.6226</v>
      </c>
      <c r="BE1136" s="309">
        <v>13.624700000000001</v>
      </c>
      <c r="BF1136" s="309">
        <v>12.214600000000001</v>
      </c>
      <c r="BG1136" s="309">
        <v>13.898099999999999</v>
      </c>
      <c r="BH1136" s="309">
        <v>13.4009</v>
      </c>
      <c r="BI1136" s="309">
        <v>13.2303</v>
      </c>
      <c r="BJ1136" s="309">
        <v>13.282400000000001</v>
      </c>
      <c r="BK1136" s="309">
        <v>12.290900000000001</v>
      </c>
    </row>
    <row r="1137" spans="1:63" x14ac:dyDescent="0.25">
      <c r="A1137" s="306">
        <v>481000</v>
      </c>
      <c r="B1137" s="309" t="s">
        <v>752</v>
      </c>
      <c r="C1137" s="309">
        <v>19.6602</v>
      </c>
      <c r="D1137" s="309">
        <v>13.5467</v>
      </c>
      <c r="E1137" s="309">
        <v>16.509799999999998</v>
      </c>
      <c r="F1137" s="309">
        <v>14.115</v>
      </c>
      <c r="G1137" s="309">
        <v>13.6107</v>
      </c>
      <c r="H1137" s="309">
        <v>14.762499999999999</v>
      </c>
      <c r="I1137" s="309">
        <v>16.009599999999999</v>
      </c>
      <c r="J1137" s="309">
        <v>10.3041</v>
      </c>
      <c r="K1137" s="309">
        <v>1.3143</v>
      </c>
      <c r="L1137" s="309">
        <v>9.1041000000000007</v>
      </c>
      <c r="M1137" s="309">
        <v>15.7417</v>
      </c>
      <c r="N1137" s="309">
        <v>13.9918</v>
      </c>
      <c r="O1137" s="309">
        <v>15.599</v>
      </c>
      <c r="P1137" s="309">
        <v>14.942500000000001</v>
      </c>
      <c r="Q1137" s="309">
        <v>15.7186</v>
      </c>
      <c r="R1137" s="309">
        <v>12.609500000000001</v>
      </c>
      <c r="S1137" s="309">
        <v>15.944599999999999</v>
      </c>
      <c r="T1137" s="309">
        <v>12.5718</v>
      </c>
      <c r="U1137" s="309">
        <v>11.3934</v>
      </c>
      <c r="V1137" s="309">
        <v>13.1759</v>
      </c>
      <c r="W1137" s="309">
        <v>11.7325</v>
      </c>
      <c r="X1137" s="309">
        <v>11.555300000000001</v>
      </c>
      <c r="Y1137" s="309">
        <v>17.807500000000001</v>
      </c>
      <c r="Z1137" s="309">
        <v>11.898400000000001</v>
      </c>
      <c r="AA1137" s="309">
        <v>11.409800000000001</v>
      </c>
      <c r="AB1137" s="309">
        <v>12.362500000000001</v>
      </c>
      <c r="AC1137" s="309">
        <v>18.319700000000001</v>
      </c>
      <c r="AD1137" s="309">
        <v>19.349699999999999</v>
      </c>
      <c r="AE1137" s="309">
        <v>13.688000000000001</v>
      </c>
      <c r="AF1137" s="309">
        <v>12.142799999999999</v>
      </c>
      <c r="AG1137" s="309">
        <v>13.270799999999999</v>
      </c>
      <c r="AH1137" s="309">
        <v>13.206099999999999</v>
      </c>
      <c r="AI1137" s="309">
        <v>10.585699999999999</v>
      </c>
      <c r="AJ1137" s="309">
        <v>16.7836</v>
      </c>
      <c r="AK1137" s="309">
        <v>14.09</v>
      </c>
      <c r="AL1137" s="309">
        <v>9.3812999999999995</v>
      </c>
      <c r="AM1137" s="309">
        <v>13.0815</v>
      </c>
      <c r="AN1137" s="309">
        <v>16.2791</v>
      </c>
      <c r="AO1137" s="309">
        <v>11.9391</v>
      </c>
      <c r="AP1137" s="309">
        <v>12.3614</v>
      </c>
      <c r="AQ1137" s="309">
        <v>13.8043</v>
      </c>
      <c r="AR1137" s="309">
        <v>18.238399999999999</v>
      </c>
      <c r="AS1137" s="309">
        <v>15.9948</v>
      </c>
      <c r="AT1137" s="309">
        <v>14.7492</v>
      </c>
      <c r="AU1137" s="309">
        <v>15.4641</v>
      </c>
      <c r="AV1137" s="309">
        <v>16.822700000000001</v>
      </c>
      <c r="AW1137" s="309">
        <v>12.6281</v>
      </c>
      <c r="AX1137" s="309">
        <v>16.302199999999999</v>
      </c>
      <c r="AY1137" s="309">
        <v>14.8522</v>
      </c>
      <c r="AZ1137" s="309">
        <v>13.6058</v>
      </c>
      <c r="BA1137" s="309">
        <v>16.965699999999998</v>
      </c>
      <c r="BB1137" s="309">
        <v>13.7836</v>
      </c>
      <c r="BC1137" s="309">
        <v>14.526199999999999</v>
      </c>
      <c r="BD1137" s="309">
        <v>12.4984</v>
      </c>
      <c r="BE1137" s="309">
        <v>14.1838</v>
      </c>
      <c r="BF1137" s="309">
        <v>12.122999999999999</v>
      </c>
      <c r="BG1137" s="309">
        <v>16.129000000000001</v>
      </c>
      <c r="BH1137" s="309">
        <v>14.875</v>
      </c>
      <c r="BI1137" s="309">
        <v>16.039899999999999</v>
      </c>
      <c r="BJ1137" s="309">
        <v>16.286100000000001</v>
      </c>
      <c r="BK1137" s="309">
        <v>15.812200000000001</v>
      </c>
    </row>
    <row r="1138" spans="1:63" x14ac:dyDescent="0.25">
      <c r="A1138" s="306">
        <v>482000</v>
      </c>
      <c r="B1138" s="309" t="s">
        <v>753</v>
      </c>
      <c r="C1138" s="309">
        <v>14.693899999999999</v>
      </c>
      <c r="D1138" s="309">
        <v>0</v>
      </c>
      <c r="E1138" s="309">
        <v>10.348599999999999</v>
      </c>
      <c r="F1138" s="309">
        <v>8.7401</v>
      </c>
      <c r="G1138" s="309">
        <v>9.4756</v>
      </c>
      <c r="H1138" s="309">
        <v>10.039099999999999</v>
      </c>
      <c r="I1138" s="309">
        <v>10.6661</v>
      </c>
      <c r="J1138" s="309">
        <v>7.5495000000000001</v>
      </c>
      <c r="K1138" s="309">
        <v>1.0469999999999999</v>
      </c>
      <c r="L1138" s="309">
        <v>7.0147000000000004</v>
      </c>
      <c r="M1138" s="309">
        <v>10.504899999999999</v>
      </c>
      <c r="N1138" s="309">
        <v>10.577500000000001</v>
      </c>
      <c r="O1138" s="309">
        <v>0</v>
      </c>
      <c r="P1138" s="309">
        <v>6.7667999999999999</v>
      </c>
      <c r="Q1138" s="309">
        <v>8.4939</v>
      </c>
      <c r="R1138" s="309">
        <v>10.326599999999999</v>
      </c>
      <c r="S1138" s="309">
        <v>9.5096000000000007</v>
      </c>
      <c r="T1138" s="309">
        <v>6.8708</v>
      </c>
      <c r="U1138" s="309">
        <v>9.3513000000000002</v>
      </c>
      <c r="V1138" s="309">
        <v>9.2529000000000003</v>
      </c>
      <c r="W1138" s="309">
        <v>7.5780000000000003</v>
      </c>
      <c r="X1138" s="309">
        <v>8.4929000000000006</v>
      </c>
      <c r="Y1138" s="309">
        <v>10.021599999999999</v>
      </c>
      <c r="Z1138" s="309">
        <v>9.5890000000000004</v>
      </c>
      <c r="AA1138" s="309">
        <v>9.1478999999999999</v>
      </c>
      <c r="AB1138" s="309">
        <v>9.1972000000000005</v>
      </c>
      <c r="AC1138" s="309">
        <v>8.6279000000000003</v>
      </c>
      <c r="AD1138" s="309">
        <v>9.3102</v>
      </c>
      <c r="AE1138" s="309">
        <v>9.4</v>
      </c>
      <c r="AF1138" s="309">
        <v>6.7363999999999997</v>
      </c>
      <c r="AG1138" s="309">
        <v>6.7625999999999999</v>
      </c>
      <c r="AH1138" s="309">
        <v>8.4768000000000008</v>
      </c>
      <c r="AI1138" s="309">
        <v>8.3465000000000007</v>
      </c>
      <c r="AJ1138" s="309">
        <v>8.3157999999999994</v>
      </c>
      <c r="AK1138" s="309">
        <v>8.3340999999999994</v>
      </c>
      <c r="AL1138" s="309">
        <v>7.1227999999999998</v>
      </c>
      <c r="AM1138" s="309">
        <v>10.087</v>
      </c>
      <c r="AN1138" s="309">
        <v>9.9383999999999997</v>
      </c>
      <c r="AO1138" s="309">
        <v>9.6521000000000008</v>
      </c>
      <c r="AP1138" s="309">
        <v>10.3482</v>
      </c>
      <c r="AQ1138" s="309">
        <v>7.4501999999999997</v>
      </c>
      <c r="AR1138" s="309">
        <v>10.894399999999999</v>
      </c>
      <c r="AS1138" s="309">
        <v>7.0416999999999996</v>
      </c>
      <c r="AT1138" s="309">
        <v>9.5670000000000002</v>
      </c>
      <c r="AU1138" s="309">
        <v>11.2408</v>
      </c>
      <c r="AV1138" s="309">
        <v>12.586399999999999</v>
      </c>
      <c r="AW1138" s="309">
        <v>9.4990000000000006</v>
      </c>
      <c r="AX1138" s="309">
        <v>8.5055999999999994</v>
      </c>
      <c r="AY1138" s="309">
        <v>9.8327000000000009</v>
      </c>
      <c r="AZ1138" s="309">
        <v>8.8231000000000002</v>
      </c>
      <c r="BA1138" s="309">
        <v>7.5327999999999999</v>
      </c>
      <c r="BB1138" s="309">
        <v>6.4631999999999996</v>
      </c>
      <c r="BC1138" s="309">
        <v>9.5609999999999999</v>
      </c>
      <c r="BD1138" s="309">
        <v>10.0806</v>
      </c>
      <c r="BE1138" s="309">
        <v>11.012700000000001</v>
      </c>
      <c r="BF1138" s="309">
        <v>9.2074999999999996</v>
      </c>
      <c r="BG1138" s="309">
        <v>11.6203</v>
      </c>
      <c r="BH1138" s="309">
        <v>10.8088</v>
      </c>
      <c r="BI1138" s="309">
        <v>11.7037</v>
      </c>
      <c r="BJ1138" s="309">
        <v>11.1211</v>
      </c>
      <c r="BK1138" s="309">
        <v>10.729100000000001</v>
      </c>
    </row>
    <row r="1139" spans="1:63" x14ac:dyDescent="0.25">
      <c r="A1139" s="306">
        <v>483000</v>
      </c>
      <c r="B1139" s="309" t="s">
        <v>754</v>
      </c>
      <c r="C1139" s="309">
        <v>15.1021</v>
      </c>
      <c r="D1139" s="309">
        <v>7.4237000000000002</v>
      </c>
      <c r="E1139" s="309">
        <v>10.574199999999999</v>
      </c>
      <c r="F1139" s="309">
        <v>8.9626000000000001</v>
      </c>
      <c r="G1139" s="309">
        <v>12.2537</v>
      </c>
      <c r="H1139" s="309">
        <v>9.8850999999999996</v>
      </c>
      <c r="I1139" s="309">
        <v>0</v>
      </c>
      <c r="J1139" s="309">
        <v>7.6321000000000003</v>
      </c>
      <c r="K1139" s="309">
        <v>1.0585</v>
      </c>
      <c r="L1139" s="309">
        <v>9.1166</v>
      </c>
      <c r="M1139" s="309">
        <v>11.3627</v>
      </c>
      <c r="N1139" s="309">
        <v>11.717599999999999</v>
      </c>
      <c r="O1139" s="309">
        <v>9.9948999999999995</v>
      </c>
      <c r="P1139" s="309">
        <v>7.2039</v>
      </c>
      <c r="Q1139" s="309">
        <v>0</v>
      </c>
      <c r="R1139" s="309">
        <v>10.5824</v>
      </c>
      <c r="S1139" s="309">
        <v>8.6672999999999991</v>
      </c>
      <c r="T1139" s="309">
        <v>0</v>
      </c>
      <c r="U1139" s="309">
        <v>9.6442999999999994</v>
      </c>
      <c r="V1139" s="309">
        <v>9.4465000000000003</v>
      </c>
      <c r="W1139" s="309">
        <v>8.2719000000000005</v>
      </c>
      <c r="X1139" s="309">
        <v>8.7384000000000004</v>
      </c>
      <c r="Y1139" s="309">
        <v>13.293200000000001</v>
      </c>
      <c r="Z1139" s="309">
        <v>11.9071</v>
      </c>
      <c r="AA1139" s="309">
        <v>7.9633000000000003</v>
      </c>
      <c r="AB1139" s="309">
        <v>9.0692000000000004</v>
      </c>
      <c r="AC1139" s="309">
        <v>8.5221</v>
      </c>
      <c r="AD1139" s="309">
        <v>0</v>
      </c>
      <c r="AE1139" s="309">
        <v>9.2073</v>
      </c>
      <c r="AF1139" s="309">
        <v>0</v>
      </c>
      <c r="AG1139" s="309">
        <v>0</v>
      </c>
      <c r="AH1139" s="309">
        <v>0</v>
      </c>
      <c r="AI1139" s="309">
        <v>8.6425999999999998</v>
      </c>
      <c r="AJ1139" s="309">
        <v>11.104699999999999</v>
      </c>
      <c r="AK1139" s="309">
        <v>12.1371</v>
      </c>
      <c r="AL1139" s="309">
        <v>6.2309000000000001</v>
      </c>
      <c r="AM1139" s="309">
        <v>10.798500000000001</v>
      </c>
      <c r="AN1139" s="309">
        <v>0</v>
      </c>
      <c r="AO1139" s="309">
        <v>9.8839000000000006</v>
      </c>
      <c r="AP1139" s="309">
        <v>9.7140000000000004</v>
      </c>
      <c r="AQ1139" s="309">
        <v>10.837</v>
      </c>
      <c r="AR1139" s="309">
        <v>13.8538</v>
      </c>
      <c r="AS1139" s="309">
        <v>0</v>
      </c>
      <c r="AT1139" s="309">
        <v>10.4336</v>
      </c>
      <c r="AU1139" s="309">
        <v>11.5702</v>
      </c>
      <c r="AV1139" s="309">
        <v>14.3889</v>
      </c>
      <c r="AW1139" s="309">
        <v>9.6006999999999998</v>
      </c>
      <c r="AX1139" s="309">
        <v>9.5808</v>
      </c>
      <c r="AY1139" s="309">
        <v>10.339600000000001</v>
      </c>
      <c r="AZ1139" s="309">
        <v>11.1311</v>
      </c>
      <c r="BA1139" s="309">
        <v>7.4545000000000003</v>
      </c>
      <c r="BB1139" s="309">
        <v>8.5985999999999994</v>
      </c>
      <c r="BC1139" s="309">
        <v>9.9411000000000005</v>
      </c>
      <c r="BD1139" s="309">
        <v>9.5333000000000006</v>
      </c>
      <c r="BE1139" s="309">
        <v>11.335599999999999</v>
      </c>
      <c r="BF1139" s="309">
        <v>8.5355000000000008</v>
      </c>
      <c r="BG1139" s="309">
        <v>12.5307</v>
      </c>
      <c r="BH1139" s="309">
        <v>11.2174</v>
      </c>
      <c r="BI1139" s="309">
        <v>11.8718</v>
      </c>
      <c r="BJ1139" s="309">
        <v>13.2317</v>
      </c>
      <c r="BK1139" s="309">
        <v>10.9809</v>
      </c>
    </row>
    <row r="1140" spans="1:63" x14ac:dyDescent="0.25">
      <c r="A1140" s="306">
        <v>484000</v>
      </c>
      <c r="B1140" s="309" t="s">
        <v>755</v>
      </c>
      <c r="C1140" s="309">
        <v>23.120799999999999</v>
      </c>
      <c r="D1140" s="309">
        <v>13.821400000000001</v>
      </c>
      <c r="E1140" s="309">
        <v>18.194800000000001</v>
      </c>
      <c r="F1140" s="309">
        <v>15.339600000000001</v>
      </c>
      <c r="G1140" s="309">
        <v>16.441500000000001</v>
      </c>
      <c r="H1140" s="309">
        <v>17.4847</v>
      </c>
      <c r="I1140" s="309">
        <v>17.652699999999999</v>
      </c>
      <c r="J1140" s="309">
        <v>13.215</v>
      </c>
      <c r="K1140" s="309">
        <v>2.3443999999999998</v>
      </c>
      <c r="L1140" s="309">
        <v>11.54</v>
      </c>
      <c r="M1140" s="309">
        <v>18.9544</v>
      </c>
      <c r="N1140" s="309">
        <v>19.429099999999998</v>
      </c>
      <c r="O1140" s="309">
        <v>17.141500000000001</v>
      </c>
      <c r="P1140" s="309">
        <v>14.0251</v>
      </c>
      <c r="Q1140" s="309">
        <v>15.403700000000001</v>
      </c>
      <c r="R1140" s="309">
        <v>17.4405</v>
      </c>
      <c r="S1140" s="309">
        <v>17.227900000000002</v>
      </c>
      <c r="T1140" s="309">
        <v>13.020300000000001</v>
      </c>
      <c r="U1140" s="309">
        <v>17.349499999999999</v>
      </c>
      <c r="V1140" s="309">
        <v>17.759599999999999</v>
      </c>
      <c r="W1140" s="309">
        <v>13.3422</v>
      </c>
      <c r="X1140" s="309">
        <v>15.2898</v>
      </c>
      <c r="Y1140" s="309">
        <v>17.4923</v>
      </c>
      <c r="Z1140" s="309">
        <v>18.137799999999999</v>
      </c>
      <c r="AA1140" s="309">
        <v>15.6683</v>
      </c>
      <c r="AB1140" s="309">
        <v>15.819100000000001</v>
      </c>
      <c r="AC1140" s="309">
        <v>16.877800000000001</v>
      </c>
      <c r="AD1140" s="309">
        <v>15.4389</v>
      </c>
      <c r="AE1140" s="309">
        <v>18.002300000000002</v>
      </c>
      <c r="AF1140" s="309">
        <v>11.236499999999999</v>
      </c>
      <c r="AG1140" s="309">
        <v>12.6465</v>
      </c>
      <c r="AH1140" s="309">
        <v>13.800700000000001</v>
      </c>
      <c r="AI1140" s="309">
        <v>14.8416</v>
      </c>
      <c r="AJ1140" s="309">
        <v>16.3352</v>
      </c>
      <c r="AK1140" s="309">
        <v>15.494199999999999</v>
      </c>
      <c r="AL1140" s="309">
        <v>12.7818</v>
      </c>
      <c r="AM1140" s="309">
        <v>18.528400000000001</v>
      </c>
      <c r="AN1140" s="309">
        <v>18.323599999999999</v>
      </c>
      <c r="AO1140" s="309">
        <v>16.195599999999999</v>
      </c>
      <c r="AP1140" s="309">
        <v>16.5154</v>
      </c>
      <c r="AQ1140" s="309">
        <v>14.1675</v>
      </c>
      <c r="AR1140" s="309">
        <v>19.5794</v>
      </c>
      <c r="AS1140" s="309">
        <v>12.1562</v>
      </c>
      <c r="AT1140" s="309">
        <v>16.828499999999998</v>
      </c>
      <c r="AU1140" s="309">
        <v>20.1538</v>
      </c>
      <c r="AV1140" s="309">
        <v>19.684100000000001</v>
      </c>
      <c r="AW1140" s="309">
        <v>16.504899999999999</v>
      </c>
      <c r="AX1140" s="309">
        <v>13.389099999999999</v>
      </c>
      <c r="AY1140" s="309">
        <v>16.374600000000001</v>
      </c>
      <c r="AZ1140" s="309">
        <v>16.187000000000001</v>
      </c>
      <c r="BA1140" s="309">
        <v>14.7887</v>
      </c>
      <c r="BB1140" s="309">
        <v>12.1555</v>
      </c>
      <c r="BC1140" s="309">
        <v>15.799899999999999</v>
      </c>
      <c r="BD1140" s="309">
        <v>16.170500000000001</v>
      </c>
      <c r="BE1140" s="309">
        <v>19.27</v>
      </c>
      <c r="BF1140" s="309">
        <v>16.378699999999998</v>
      </c>
      <c r="BG1140" s="309">
        <v>20.1555</v>
      </c>
      <c r="BH1140" s="309">
        <v>18.894500000000001</v>
      </c>
      <c r="BI1140" s="309">
        <v>20.342099999999999</v>
      </c>
      <c r="BJ1140" s="309">
        <v>18.467300000000002</v>
      </c>
      <c r="BK1140" s="309">
        <v>17.990100000000002</v>
      </c>
    </row>
    <row r="1141" spans="1:63" x14ac:dyDescent="0.25">
      <c r="A1141" s="306" t="s">
        <v>756</v>
      </c>
      <c r="B1141" s="309" t="s">
        <v>282</v>
      </c>
      <c r="C1141" s="309">
        <v>29.587900000000001</v>
      </c>
      <c r="D1141" s="309">
        <v>20.887599999999999</v>
      </c>
      <c r="E1141" s="309">
        <v>22.652999999999999</v>
      </c>
      <c r="F1141" s="309">
        <v>22.854900000000001</v>
      </c>
      <c r="G1141" s="309">
        <v>18.9955</v>
      </c>
      <c r="H1141" s="309">
        <v>21.867100000000001</v>
      </c>
      <c r="I1141" s="309">
        <v>19.0246</v>
      </c>
      <c r="J1141" s="309">
        <v>16.613399999999999</v>
      </c>
      <c r="K1141" s="309">
        <v>3.1375999999999999</v>
      </c>
      <c r="L1141" s="309">
        <v>23.758500000000002</v>
      </c>
      <c r="M1141" s="309">
        <v>23.7333</v>
      </c>
      <c r="N1141" s="309">
        <v>24.08</v>
      </c>
      <c r="O1141" s="309">
        <v>28.478999999999999</v>
      </c>
      <c r="P1141" s="309">
        <v>22.7559</v>
      </c>
      <c r="Q1141" s="309">
        <v>24.656600000000001</v>
      </c>
      <c r="R1141" s="309">
        <v>24.084800000000001</v>
      </c>
      <c r="S1141" s="309">
        <v>29.127800000000001</v>
      </c>
      <c r="T1141" s="309">
        <v>21.945499999999999</v>
      </c>
      <c r="U1141" s="309">
        <v>21.9621</v>
      </c>
      <c r="V1141" s="309">
        <v>23.098800000000001</v>
      </c>
      <c r="W1141" s="309">
        <v>20.123000000000001</v>
      </c>
      <c r="X1141" s="309">
        <v>25.079000000000001</v>
      </c>
      <c r="Y1141" s="309">
        <v>24.770299999999999</v>
      </c>
      <c r="Z1141" s="309">
        <v>24.262699999999999</v>
      </c>
      <c r="AA1141" s="309">
        <v>24.320900000000002</v>
      </c>
      <c r="AB1141" s="309">
        <v>23.649799999999999</v>
      </c>
      <c r="AC1141" s="309">
        <v>22.655200000000001</v>
      </c>
      <c r="AD1141" s="309">
        <v>23.526399999999999</v>
      </c>
      <c r="AE1141" s="309">
        <v>19.6709</v>
      </c>
      <c r="AF1141" s="309">
        <v>16.067</v>
      </c>
      <c r="AG1141" s="309">
        <v>21.313300000000002</v>
      </c>
      <c r="AH1141" s="309">
        <v>20.590299999999999</v>
      </c>
      <c r="AI1141" s="309">
        <v>20.5824</v>
      </c>
      <c r="AJ1141" s="309">
        <v>22.018599999999999</v>
      </c>
      <c r="AK1141" s="309">
        <v>15.9153</v>
      </c>
      <c r="AL1141" s="309">
        <v>20.984500000000001</v>
      </c>
      <c r="AM1141" s="309">
        <v>28.960100000000001</v>
      </c>
      <c r="AN1141" s="309">
        <v>26.3004</v>
      </c>
      <c r="AO1141" s="309">
        <v>23.8249</v>
      </c>
      <c r="AP1141" s="309">
        <v>27.756699999999999</v>
      </c>
      <c r="AQ1141" s="309">
        <v>21.343699999999998</v>
      </c>
      <c r="AR1141" s="309">
        <v>25.375699999999998</v>
      </c>
      <c r="AS1141" s="309">
        <v>20.747800000000002</v>
      </c>
      <c r="AT1141" s="309">
        <v>21.198399999999999</v>
      </c>
      <c r="AU1141" s="309">
        <v>21.773299999999999</v>
      </c>
      <c r="AV1141" s="309">
        <v>21.837299999999999</v>
      </c>
      <c r="AW1141" s="309">
        <v>23.0808</v>
      </c>
      <c r="AX1141" s="309">
        <v>20.4331</v>
      </c>
      <c r="AY1141" s="309">
        <v>23.015599999999999</v>
      </c>
      <c r="AZ1141" s="309">
        <v>23.8185</v>
      </c>
      <c r="BA1141" s="309">
        <v>23.5915</v>
      </c>
      <c r="BB1141" s="309">
        <v>13.953799999999999</v>
      </c>
      <c r="BC1141" s="309">
        <v>21.1553</v>
      </c>
      <c r="BD1141" s="309">
        <v>24.691500000000001</v>
      </c>
      <c r="BE1141" s="309">
        <v>26.7515</v>
      </c>
      <c r="BF1141" s="309">
        <v>24.4635</v>
      </c>
      <c r="BG1141" s="309">
        <v>26.236599999999999</v>
      </c>
      <c r="BH1141" s="309">
        <v>23.269500000000001</v>
      </c>
      <c r="BI1141" s="309">
        <v>23.0214</v>
      </c>
      <c r="BJ1141" s="309">
        <v>20.573699999999999</v>
      </c>
      <c r="BK1141" s="309">
        <v>23.066600000000001</v>
      </c>
    </row>
    <row r="1142" spans="1:63" x14ac:dyDescent="0.25">
      <c r="A1142" s="306">
        <v>486000</v>
      </c>
      <c r="B1142" s="309" t="s">
        <v>757</v>
      </c>
      <c r="C1142" s="309">
        <v>18.217300000000002</v>
      </c>
      <c r="D1142" s="309">
        <v>8.5303000000000004</v>
      </c>
      <c r="E1142" s="309">
        <v>13.1869</v>
      </c>
      <c r="F1142" s="309">
        <v>11.418100000000001</v>
      </c>
      <c r="G1142" s="309">
        <v>11.8926</v>
      </c>
      <c r="H1142" s="309">
        <v>12.611700000000001</v>
      </c>
      <c r="I1142" s="309">
        <v>13.135</v>
      </c>
      <c r="J1142" s="309">
        <v>8.7805</v>
      </c>
      <c r="K1142" s="309">
        <v>1.131</v>
      </c>
      <c r="L1142" s="309">
        <v>7.6197999999999997</v>
      </c>
      <c r="M1142" s="309">
        <v>13.2898</v>
      </c>
      <c r="N1142" s="309">
        <v>13.604799999999999</v>
      </c>
      <c r="O1142" s="309">
        <v>0</v>
      </c>
      <c r="P1142" s="309">
        <v>8.9390999999999998</v>
      </c>
      <c r="Q1142" s="309">
        <v>10.489800000000001</v>
      </c>
      <c r="R1142" s="309">
        <v>12.514200000000001</v>
      </c>
      <c r="S1142" s="309">
        <v>12.9184</v>
      </c>
      <c r="T1142" s="309">
        <v>10.6335</v>
      </c>
      <c r="U1142" s="309">
        <v>12.9338</v>
      </c>
      <c r="V1142" s="309">
        <v>13.143599999999999</v>
      </c>
      <c r="W1142" s="309">
        <v>9.7449999999999992</v>
      </c>
      <c r="X1142" s="309">
        <v>10.733000000000001</v>
      </c>
      <c r="Y1142" s="309">
        <v>10.600300000000001</v>
      </c>
      <c r="Z1142" s="309">
        <v>12.866400000000001</v>
      </c>
      <c r="AA1142" s="309">
        <v>11.0304</v>
      </c>
      <c r="AB1142" s="309">
        <v>11.9954</v>
      </c>
      <c r="AC1142" s="309">
        <v>12.157500000000001</v>
      </c>
      <c r="AD1142" s="309">
        <v>12.6958</v>
      </c>
      <c r="AE1142" s="309">
        <v>12.416600000000001</v>
      </c>
      <c r="AF1142" s="309">
        <v>8.4519000000000002</v>
      </c>
      <c r="AG1142" s="309">
        <v>8.6609999999999996</v>
      </c>
      <c r="AH1142" s="309">
        <v>7.9953000000000003</v>
      </c>
      <c r="AI1142" s="309">
        <v>11.1934</v>
      </c>
      <c r="AJ1142" s="309">
        <v>12.795999999999999</v>
      </c>
      <c r="AK1142" s="309">
        <v>9.6029</v>
      </c>
      <c r="AL1142" s="309">
        <v>8.3752999999999993</v>
      </c>
      <c r="AM1142" s="309">
        <v>14.0154</v>
      </c>
      <c r="AN1142" s="309">
        <v>13.737299999999999</v>
      </c>
      <c r="AO1142" s="309">
        <v>12.1402</v>
      </c>
      <c r="AP1142" s="309">
        <v>13.3767</v>
      </c>
      <c r="AQ1142" s="309">
        <v>11.2873</v>
      </c>
      <c r="AR1142" s="309">
        <v>13.899699999999999</v>
      </c>
      <c r="AS1142" s="309">
        <v>8.1206999999999994</v>
      </c>
      <c r="AT1142" s="309">
        <v>12.333</v>
      </c>
      <c r="AU1142" s="309">
        <v>14.4087</v>
      </c>
      <c r="AV1142" s="309">
        <v>15.7537</v>
      </c>
      <c r="AW1142" s="309">
        <v>11.5146</v>
      </c>
      <c r="AX1142" s="309">
        <v>0</v>
      </c>
      <c r="AY1142" s="309">
        <v>11.2553</v>
      </c>
      <c r="AZ1142" s="309">
        <v>11.7401</v>
      </c>
      <c r="BA1142" s="309">
        <v>10.723800000000001</v>
      </c>
      <c r="BB1142" s="309">
        <v>9.2971000000000004</v>
      </c>
      <c r="BC1142" s="309">
        <v>11.045199999999999</v>
      </c>
      <c r="BD1142" s="309">
        <v>11.8123</v>
      </c>
      <c r="BE1142" s="309">
        <v>14.4031</v>
      </c>
      <c r="BF1142" s="309">
        <v>11.823700000000001</v>
      </c>
      <c r="BG1142" s="309">
        <v>14.8559</v>
      </c>
      <c r="BH1142" s="309">
        <v>14.325100000000001</v>
      </c>
      <c r="BI1142" s="309">
        <v>15.0029</v>
      </c>
      <c r="BJ1142" s="309">
        <v>14.404400000000001</v>
      </c>
      <c r="BK1142" s="309">
        <v>12.9717</v>
      </c>
    </row>
    <row r="1143" spans="1:63" x14ac:dyDescent="0.25">
      <c r="A1143" s="306" t="s">
        <v>758</v>
      </c>
      <c r="B1143" s="309" t="s">
        <v>283</v>
      </c>
      <c r="C1143" s="309">
        <v>24.544699999999999</v>
      </c>
      <c r="D1143" s="309">
        <v>16.846499999999999</v>
      </c>
      <c r="E1143" s="309">
        <v>19.903300000000002</v>
      </c>
      <c r="F1143" s="309">
        <v>17.141500000000001</v>
      </c>
      <c r="G1143" s="309">
        <v>20.7821</v>
      </c>
      <c r="H1143" s="309">
        <v>17.848299999999998</v>
      </c>
      <c r="I1143" s="309">
        <v>21.437799999999999</v>
      </c>
      <c r="J1143" s="309">
        <v>13.6462</v>
      </c>
      <c r="K1143" s="309">
        <v>2.8927999999999998</v>
      </c>
      <c r="L1143" s="309">
        <v>15.6236</v>
      </c>
      <c r="M1143" s="309">
        <v>21.770299999999999</v>
      </c>
      <c r="N1143" s="309">
        <v>21.853899999999999</v>
      </c>
      <c r="O1143" s="309">
        <v>19.5242</v>
      </c>
      <c r="P1143" s="309">
        <v>16.743200000000002</v>
      </c>
      <c r="Q1143" s="309">
        <v>20.215199999999999</v>
      </c>
      <c r="R1143" s="309">
        <v>18.924199999999999</v>
      </c>
      <c r="S1143" s="309">
        <v>20.348099999999999</v>
      </c>
      <c r="T1143" s="309">
        <v>15.8347</v>
      </c>
      <c r="U1143" s="309">
        <v>17.729199999999999</v>
      </c>
      <c r="V1143" s="309">
        <v>16.898</v>
      </c>
      <c r="W1143" s="309">
        <v>16.807400000000001</v>
      </c>
      <c r="X1143" s="309">
        <v>18.007300000000001</v>
      </c>
      <c r="Y1143" s="309">
        <v>21.515599999999999</v>
      </c>
      <c r="Z1143" s="309">
        <v>21.3826</v>
      </c>
      <c r="AA1143" s="309">
        <v>19.091100000000001</v>
      </c>
      <c r="AB1143" s="309">
        <v>18.794699999999999</v>
      </c>
      <c r="AC1143" s="309">
        <v>18.3446</v>
      </c>
      <c r="AD1143" s="309">
        <v>21.5365</v>
      </c>
      <c r="AE1143" s="309">
        <v>20.980699999999999</v>
      </c>
      <c r="AF1143" s="309">
        <v>14.6813</v>
      </c>
      <c r="AG1143" s="309">
        <v>16.330100000000002</v>
      </c>
      <c r="AH1143" s="309">
        <v>18.0931</v>
      </c>
      <c r="AI1143" s="309">
        <v>16.005199999999999</v>
      </c>
      <c r="AJ1143" s="309">
        <v>19.925000000000001</v>
      </c>
      <c r="AK1143" s="309">
        <v>20.186900000000001</v>
      </c>
      <c r="AL1143" s="309">
        <v>14.0205</v>
      </c>
      <c r="AM1143" s="309">
        <v>21.804600000000001</v>
      </c>
      <c r="AN1143" s="309">
        <v>21.662299999999998</v>
      </c>
      <c r="AO1143" s="309">
        <v>16.6432</v>
      </c>
      <c r="AP1143" s="309">
        <v>17.1343</v>
      </c>
      <c r="AQ1143" s="309">
        <v>19.056699999999999</v>
      </c>
      <c r="AR1143" s="309">
        <v>22.900099999999998</v>
      </c>
      <c r="AS1143" s="309">
        <v>17.114699999999999</v>
      </c>
      <c r="AT1143" s="309">
        <v>18.353100000000001</v>
      </c>
      <c r="AU1143" s="309">
        <v>19.904599999999999</v>
      </c>
      <c r="AV1143" s="309">
        <v>22.9009</v>
      </c>
      <c r="AW1143" s="309">
        <v>19.0044</v>
      </c>
      <c r="AX1143" s="309">
        <v>17.871600000000001</v>
      </c>
      <c r="AY1143" s="309">
        <v>17.5581</v>
      </c>
      <c r="AZ1143" s="309">
        <v>20.717700000000001</v>
      </c>
      <c r="BA1143" s="309">
        <v>16.978300000000001</v>
      </c>
      <c r="BB1143" s="309">
        <v>15.884499999999999</v>
      </c>
      <c r="BC1143" s="309">
        <v>18.941600000000001</v>
      </c>
      <c r="BD1143" s="309">
        <v>17.836400000000001</v>
      </c>
      <c r="BE1143" s="309">
        <v>21.9009</v>
      </c>
      <c r="BF1143" s="309">
        <v>19.604399999999998</v>
      </c>
      <c r="BG1143" s="309">
        <v>23.062100000000001</v>
      </c>
      <c r="BH1143" s="309">
        <v>20.488</v>
      </c>
      <c r="BI1143" s="309">
        <v>20.266999999999999</v>
      </c>
      <c r="BJ1143" s="309">
        <v>22.398599999999998</v>
      </c>
      <c r="BK1143" s="309">
        <v>18.712299999999999</v>
      </c>
    </row>
    <row r="1144" spans="1:63" x14ac:dyDescent="0.25">
      <c r="A1144" s="306">
        <v>491000</v>
      </c>
      <c r="B1144" s="309" t="s">
        <v>759</v>
      </c>
      <c r="C1144" s="309">
        <v>24.059200000000001</v>
      </c>
      <c r="D1144" s="309">
        <v>16.093599999999999</v>
      </c>
      <c r="E1144" s="309">
        <v>20.601500000000001</v>
      </c>
      <c r="F1144" s="309">
        <v>19.6279</v>
      </c>
      <c r="G1144" s="309">
        <v>19.571000000000002</v>
      </c>
      <c r="H1144" s="309">
        <v>19.1387</v>
      </c>
      <c r="I1144" s="309">
        <v>19.842099999999999</v>
      </c>
      <c r="J1144" s="309">
        <v>16.279699999999998</v>
      </c>
      <c r="K1144" s="309">
        <v>2.0911</v>
      </c>
      <c r="L1144" s="309">
        <v>16.219000000000001</v>
      </c>
      <c r="M1144" s="309">
        <v>20.029699999999998</v>
      </c>
      <c r="N1144" s="309">
        <v>20.317599999999999</v>
      </c>
      <c r="O1144" s="309">
        <v>17.821999999999999</v>
      </c>
      <c r="P1144" s="309">
        <v>17.786300000000001</v>
      </c>
      <c r="Q1144" s="309">
        <v>19.378699999999998</v>
      </c>
      <c r="R1144" s="309">
        <v>19.260100000000001</v>
      </c>
      <c r="S1144" s="309">
        <v>20.174399999999999</v>
      </c>
      <c r="T1144" s="309">
        <v>17.4909</v>
      </c>
      <c r="U1144" s="309">
        <v>19.8767</v>
      </c>
      <c r="V1144" s="309">
        <v>19.235900000000001</v>
      </c>
      <c r="W1144" s="309">
        <v>16.6172</v>
      </c>
      <c r="X1144" s="309">
        <v>17.391200000000001</v>
      </c>
      <c r="Y1144" s="309">
        <v>21.285799999999998</v>
      </c>
      <c r="Z1144" s="309">
        <v>20.349699999999999</v>
      </c>
      <c r="AA1144" s="309">
        <v>19.2498</v>
      </c>
      <c r="AB1144" s="309">
        <v>18.6983</v>
      </c>
      <c r="AC1144" s="309">
        <v>20.4207</v>
      </c>
      <c r="AD1144" s="309">
        <v>20.557400000000001</v>
      </c>
      <c r="AE1144" s="309">
        <v>19.891500000000001</v>
      </c>
      <c r="AF1144" s="309">
        <v>17.142299999999999</v>
      </c>
      <c r="AG1144" s="309">
        <v>17.0596</v>
      </c>
      <c r="AH1144" s="309">
        <v>17.3888</v>
      </c>
      <c r="AI1144" s="309">
        <v>17.777000000000001</v>
      </c>
      <c r="AJ1144" s="309">
        <v>19.5533</v>
      </c>
      <c r="AK1144" s="309">
        <v>17.613600000000002</v>
      </c>
      <c r="AL1144" s="309">
        <v>15.810600000000001</v>
      </c>
      <c r="AM1144" s="309">
        <v>20.203900000000001</v>
      </c>
      <c r="AN1144" s="309">
        <v>20.970700000000001</v>
      </c>
      <c r="AO1144" s="309">
        <v>18.997599999999998</v>
      </c>
      <c r="AP1144" s="309">
        <v>19.510899999999999</v>
      </c>
      <c r="AQ1144" s="309">
        <v>16.5794</v>
      </c>
      <c r="AR1144" s="309">
        <v>20.9848</v>
      </c>
      <c r="AS1144" s="309">
        <v>18.095500000000001</v>
      </c>
      <c r="AT1144" s="309">
        <v>19.860800000000001</v>
      </c>
      <c r="AU1144" s="309">
        <v>20.6965</v>
      </c>
      <c r="AV1144" s="309">
        <v>23.998799999999999</v>
      </c>
      <c r="AW1144" s="309">
        <v>17.200099999999999</v>
      </c>
      <c r="AX1144" s="309">
        <v>18.058499999999999</v>
      </c>
      <c r="AY1144" s="309">
        <v>19.1859</v>
      </c>
      <c r="AZ1144" s="309">
        <v>20.4206</v>
      </c>
      <c r="BA1144" s="309">
        <v>18.957100000000001</v>
      </c>
      <c r="BB1144" s="309">
        <v>17.249400000000001</v>
      </c>
      <c r="BC1144" s="309">
        <v>18.842300000000002</v>
      </c>
      <c r="BD1144" s="309">
        <v>19.0547</v>
      </c>
      <c r="BE1144" s="309">
        <v>21.1858</v>
      </c>
      <c r="BF1144" s="309">
        <v>19.872900000000001</v>
      </c>
      <c r="BG1144" s="309">
        <v>21.229800000000001</v>
      </c>
      <c r="BH1144" s="309">
        <v>21.171399999999998</v>
      </c>
      <c r="BI1144" s="309">
        <v>21.353100000000001</v>
      </c>
      <c r="BJ1144" s="309">
        <v>21.003</v>
      </c>
      <c r="BK1144" s="309">
        <v>19.659400000000002</v>
      </c>
    </row>
    <row r="1145" spans="1:63" x14ac:dyDescent="0.25">
      <c r="A1145" s="306">
        <v>492000</v>
      </c>
      <c r="B1145" s="309" t="s">
        <v>284</v>
      </c>
      <c r="C1145" s="309">
        <v>23.171600000000002</v>
      </c>
      <c r="D1145" s="309">
        <v>12.557399999999999</v>
      </c>
      <c r="E1145" s="309">
        <v>20.096499999999999</v>
      </c>
      <c r="F1145" s="309">
        <v>18.450399999999998</v>
      </c>
      <c r="G1145" s="309">
        <v>20.054600000000001</v>
      </c>
      <c r="H1145" s="309">
        <v>18.382200000000001</v>
      </c>
      <c r="I1145" s="309">
        <v>20.538599999999999</v>
      </c>
      <c r="J1145" s="309">
        <v>15.952400000000001</v>
      </c>
      <c r="K1145" s="309">
        <v>2.9874000000000001</v>
      </c>
      <c r="L1145" s="309">
        <v>14.5718</v>
      </c>
      <c r="M1145" s="309">
        <v>21.8705</v>
      </c>
      <c r="N1145" s="309">
        <v>17.846499999999999</v>
      </c>
      <c r="O1145" s="309">
        <v>17.306799999999999</v>
      </c>
      <c r="P1145" s="309">
        <v>17.702500000000001</v>
      </c>
      <c r="Q1145" s="309">
        <v>17.994299999999999</v>
      </c>
      <c r="R1145" s="309">
        <v>20.279299999999999</v>
      </c>
      <c r="S1145" s="309">
        <v>20.213899999999999</v>
      </c>
      <c r="T1145" s="309">
        <v>12.8256</v>
      </c>
      <c r="U1145" s="309">
        <v>13.9635</v>
      </c>
      <c r="V1145" s="309">
        <v>19.049700000000001</v>
      </c>
      <c r="W1145" s="309">
        <v>16.595800000000001</v>
      </c>
      <c r="X1145" s="309">
        <v>18.327400000000001</v>
      </c>
      <c r="Y1145" s="309">
        <v>19.320799999999998</v>
      </c>
      <c r="Z1145" s="309">
        <v>19.599</v>
      </c>
      <c r="AA1145" s="309">
        <v>20.5121</v>
      </c>
      <c r="AB1145" s="309">
        <v>19.259499999999999</v>
      </c>
      <c r="AC1145" s="309">
        <v>18.681100000000001</v>
      </c>
      <c r="AD1145" s="309">
        <v>18.808199999999999</v>
      </c>
      <c r="AE1145" s="309">
        <v>19.900600000000001</v>
      </c>
      <c r="AF1145" s="309">
        <v>15.3346</v>
      </c>
      <c r="AG1145" s="309">
        <v>15.994</v>
      </c>
      <c r="AH1145" s="309">
        <v>18.002099999999999</v>
      </c>
      <c r="AI1145" s="309">
        <v>16.013000000000002</v>
      </c>
      <c r="AJ1145" s="309">
        <v>17.5899</v>
      </c>
      <c r="AK1145" s="309">
        <v>17.685700000000001</v>
      </c>
      <c r="AL1145" s="309">
        <v>14.496700000000001</v>
      </c>
      <c r="AM1145" s="309">
        <v>18.3827</v>
      </c>
      <c r="AN1145" s="309">
        <v>20.9024</v>
      </c>
      <c r="AO1145" s="309">
        <v>17.546399999999998</v>
      </c>
      <c r="AP1145" s="309">
        <v>18.218900000000001</v>
      </c>
      <c r="AQ1145" s="309">
        <v>16.725000000000001</v>
      </c>
      <c r="AR1145" s="309">
        <v>21.005500000000001</v>
      </c>
      <c r="AS1145" s="309">
        <v>16.7224</v>
      </c>
      <c r="AT1145" s="309">
        <v>14.160600000000001</v>
      </c>
      <c r="AU1145" s="309">
        <v>22.185700000000001</v>
      </c>
      <c r="AV1145" s="309">
        <v>22.354900000000001</v>
      </c>
      <c r="AW1145" s="309">
        <v>18.630800000000001</v>
      </c>
      <c r="AX1145" s="309">
        <v>18.253900000000002</v>
      </c>
      <c r="AY1145" s="309">
        <v>18.4771</v>
      </c>
      <c r="AZ1145" s="309">
        <v>19.088200000000001</v>
      </c>
      <c r="BA1145" s="309">
        <v>17.41</v>
      </c>
      <c r="BB1145" s="309">
        <v>15.773099999999999</v>
      </c>
      <c r="BC1145" s="309">
        <v>18.628900000000002</v>
      </c>
      <c r="BD1145" s="309">
        <v>17.992799999999999</v>
      </c>
      <c r="BE1145" s="309">
        <v>20.420300000000001</v>
      </c>
      <c r="BF1145" s="309">
        <v>19.5212</v>
      </c>
      <c r="BG1145" s="309">
        <v>21.260200000000001</v>
      </c>
      <c r="BH1145" s="309">
        <v>15.773899999999999</v>
      </c>
      <c r="BI1145" s="309">
        <v>22.2638</v>
      </c>
      <c r="BJ1145" s="309">
        <v>20.952500000000001</v>
      </c>
      <c r="BK1145" s="309">
        <v>18.882999999999999</v>
      </c>
    </row>
    <row r="1146" spans="1:63" x14ac:dyDescent="0.25">
      <c r="A1146" s="306">
        <v>493000</v>
      </c>
      <c r="B1146" s="309" t="s">
        <v>285</v>
      </c>
      <c r="C1146" s="309">
        <v>25.8767</v>
      </c>
      <c r="D1146" s="309">
        <v>19.2913</v>
      </c>
      <c r="E1146" s="309">
        <v>23.1265</v>
      </c>
      <c r="F1146" s="309">
        <v>21.167200000000001</v>
      </c>
      <c r="G1146" s="309">
        <v>20.5379</v>
      </c>
      <c r="H1146" s="309">
        <v>19.717099999999999</v>
      </c>
      <c r="I1146" s="309">
        <v>22.061800000000002</v>
      </c>
      <c r="J1146" s="309">
        <v>15.886799999999999</v>
      </c>
      <c r="K1146" s="309">
        <v>4.3015999999999996</v>
      </c>
      <c r="L1146" s="309">
        <v>15.0357</v>
      </c>
      <c r="M1146" s="309">
        <v>22.462900000000001</v>
      </c>
      <c r="N1146" s="309">
        <v>22.289100000000001</v>
      </c>
      <c r="O1146" s="309">
        <v>20.9102</v>
      </c>
      <c r="P1146" s="309">
        <v>19.413499999999999</v>
      </c>
      <c r="Q1146" s="309">
        <v>22.193000000000001</v>
      </c>
      <c r="R1146" s="309">
        <v>20.378599999999999</v>
      </c>
      <c r="S1146" s="309">
        <v>22.386600000000001</v>
      </c>
      <c r="T1146" s="309">
        <v>18.441099999999999</v>
      </c>
      <c r="U1146" s="309">
        <v>21.109500000000001</v>
      </c>
      <c r="V1146" s="309">
        <v>19.5688</v>
      </c>
      <c r="W1146" s="309">
        <v>15.459</v>
      </c>
      <c r="X1146" s="309">
        <v>18.003499999999999</v>
      </c>
      <c r="Y1146" s="309">
        <v>22.652200000000001</v>
      </c>
      <c r="Z1146" s="309">
        <v>19.587900000000001</v>
      </c>
      <c r="AA1146" s="309">
        <v>19.795500000000001</v>
      </c>
      <c r="AB1146" s="309">
        <v>19.908999999999999</v>
      </c>
      <c r="AC1146" s="309">
        <v>21.299299999999999</v>
      </c>
      <c r="AD1146" s="309">
        <v>22.862300000000001</v>
      </c>
      <c r="AE1146" s="309">
        <v>21.813700000000001</v>
      </c>
      <c r="AF1146" s="309">
        <v>20.237500000000001</v>
      </c>
      <c r="AG1146" s="309">
        <v>20.4621</v>
      </c>
      <c r="AH1146" s="309">
        <v>20.001999999999999</v>
      </c>
      <c r="AI1146" s="309">
        <v>17.662500000000001</v>
      </c>
      <c r="AJ1146" s="309">
        <v>20.555299999999999</v>
      </c>
      <c r="AK1146" s="309">
        <v>20.4878</v>
      </c>
      <c r="AL1146" s="309">
        <v>17.0825</v>
      </c>
      <c r="AM1146" s="309">
        <v>22.302099999999999</v>
      </c>
      <c r="AN1146" s="309">
        <v>24.068000000000001</v>
      </c>
      <c r="AO1146" s="309">
        <v>19.128</v>
      </c>
      <c r="AP1146" s="309">
        <v>21.1937</v>
      </c>
      <c r="AQ1146" s="309">
        <v>20.937200000000001</v>
      </c>
      <c r="AR1146" s="309">
        <v>25.280200000000001</v>
      </c>
      <c r="AS1146" s="309">
        <v>20.5456</v>
      </c>
      <c r="AT1146" s="309">
        <v>21.780799999999999</v>
      </c>
      <c r="AU1146" s="309">
        <v>23.549399999999999</v>
      </c>
      <c r="AV1146" s="309">
        <v>24.623999999999999</v>
      </c>
      <c r="AW1146" s="309">
        <v>20.5212</v>
      </c>
      <c r="AX1146" s="309">
        <v>15.615600000000001</v>
      </c>
      <c r="AY1146" s="309">
        <v>20.543700000000001</v>
      </c>
      <c r="AZ1146" s="309">
        <v>21.9133</v>
      </c>
      <c r="BA1146" s="309">
        <v>22.343399999999999</v>
      </c>
      <c r="BB1146" s="309">
        <v>18.288499999999999</v>
      </c>
      <c r="BC1146" s="309">
        <v>19.9238</v>
      </c>
      <c r="BD1146" s="309">
        <v>20.608499999999999</v>
      </c>
      <c r="BE1146" s="309">
        <v>22.5991</v>
      </c>
      <c r="BF1146" s="309">
        <v>21.320900000000002</v>
      </c>
      <c r="BG1146" s="309">
        <v>23.748799999999999</v>
      </c>
      <c r="BH1146" s="309">
        <v>23.3322</v>
      </c>
      <c r="BI1146" s="309">
        <v>23.875299999999999</v>
      </c>
      <c r="BJ1146" s="309">
        <v>22.768699999999999</v>
      </c>
      <c r="BK1146" s="309">
        <v>20.399000000000001</v>
      </c>
    </row>
    <row r="1147" spans="1:63" x14ac:dyDescent="0.25">
      <c r="A1147" s="306" t="s">
        <v>760</v>
      </c>
      <c r="B1147" s="309" t="s">
        <v>761</v>
      </c>
      <c r="C1147" s="309">
        <v>25.4023</v>
      </c>
      <c r="D1147" s="309">
        <v>17.995699999999999</v>
      </c>
      <c r="E1147" s="309">
        <v>22.787600000000001</v>
      </c>
      <c r="F1147" s="309">
        <v>21.774899999999999</v>
      </c>
      <c r="G1147" s="309">
        <v>19.7163</v>
      </c>
      <c r="H1147" s="309">
        <v>19.7119</v>
      </c>
      <c r="I1147" s="309">
        <v>21.991700000000002</v>
      </c>
      <c r="J1147" s="309">
        <v>17.143899999999999</v>
      </c>
      <c r="K1147" s="309">
        <v>4.7125000000000004</v>
      </c>
      <c r="L1147" s="309">
        <v>16.932200000000002</v>
      </c>
      <c r="M1147" s="309">
        <v>21.793900000000001</v>
      </c>
      <c r="N1147" s="309">
        <v>22.585599999999999</v>
      </c>
      <c r="O1147" s="309">
        <v>20.9893</v>
      </c>
      <c r="P1147" s="309">
        <v>20.874500000000001</v>
      </c>
      <c r="Q1147" s="309">
        <v>20.527200000000001</v>
      </c>
      <c r="R1147" s="309">
        <v>21.450800000000001</v>
      </c>
      <c r="S1147" s="309">
        <v>23.193100000000001</v>
      </c>
      <c r="T1147" s="309">
        <v>19.960799999999999</v>
      </c>
      <c r="U1147" s="309">
        <v>22.675699999999999</v>
      </c>
      <c r="V1147" s="309">
        <v>21.020299999999999</v>
      </c>
      <c r="W1147" s="309">
        <v>18.004899999999999</v>
      </c>
      <c r="X1147" s="309">
        <v>18.816800000000001</v>
      </c>
      <c r="Y1147" s="309">
        <v>23.085599999999999</v>
      </c>
      <c r="Z1147" s="309">
        <v>23.1799</v>
      </c>
      <c r="AA1147" s="309">
        <v>22.754100000000001</v>
      </c>
      <c r="AB1147" s="309">
        <v>21.3384</v>
      </c>
      <c r="AC1147" s="309">
        <v>21.715599999999998</v>
      </c>
      <c r="AD1147" s="309">
        <v>22.449100000000001</v>
      </c>
      <c r="AE1147" s="309">
        <v>21.715900000000001</v>
      </c>
      <c r="AF1147" s="309">
        <v>19.1449</v>
      </c>
      <c r="AG1147" s="309">
        <v>20.863600000000002</v>
      </c>
      <c r="AH1147" s="309">
        <v>17.782</v>
      </c>
      <c r="AI1147" s="309">
        <v>18.077200000000001</v>
      </c>
      <c r="AJ1147" s="309">
        <v>20.808599999999998</v>
      </c>
      <c r="AK1147" s="309">
        <v>19.078399999999998</v>
      </c>
      <c r="AL1147" s="309">
        <v>16.308299999999999</v>
      </c>
      <c r="AM1147" s="309">
        <v>23.2959</v>
      </c>
      <c r="AN1147" s="309">
        <v>22.251000000000001</v>
      </c>
      <c r="AO1147" s="309">
        <v>21.435400000000001</v>
      </c>
      <c r="AP1147" s="309">
        <v>22.389800000000001</v>
      </c>
      <c r="AQ1147" s="309">
        <v>18.080300000000001</v>
      </c>
      <c r="AR1147" s="309">
        <v>23.224499999999999</v>
      </c>
      <c r="AS1147" s="309">
        <v>20.298200000000001</v>
      </c>
      <c r="AT1147" s="309">
        <v>21</v>
      </c>
      <c r="AU1147" s="309">
        <v>22.1875</v>
      </c>
      <c r="AV1147" s="309">
        <v>24.360600000000002</v>
      </c>
      <c r="AW1147" s="309">
        <v>20.428000000000001</v>
      </c>
      <c r="AX1147" s="309">
        <v>20.208100000000002</v>
      </c>
      <c r="AY1147" s="309">
        <v>19.433</v>
      </c>
      <c r="AZ1147" s="309">
        <v>23.665299999999998</v>
      </c>
      <c r="BA1147" s="309">
        <v>20.7257</v>
      </c>
      <c r="BB1147" s="309">
        <v>19.1388</v>
      </c>
      <c r="BC1147" s="309">
        <v>20.2864</v>
      </c>
      <c r="BD1147" s="309">
        <v>20.501300000000001</v>
      </c>
      <c r="BE1147" s="309">
        <v>23.922799999999999</v>
      </c>
      <c r="BF1147" s="309">
        <v>22.799499999999998</v>
      </c>
      <c r="BG1147" s="309">
        <v>23.245000000000001</v>
      </c>
      <c r="BH1147" s="309">
        <v>22.9724</v>
      </c>
      <c r="BI1147" s="309">
        <v>22.85</v>
      </c>
      <c r="BJ1147" s="309">
        <v>22.0517</v>
      </c>
      <c r="BK1147" s="309">
        <v>20.367899999999999</v>
      </c>
    </row>
    <row r="1148" spans="1:63" x14ac:dyDescent="0.25">
      <c r="A1148" s="306">
        <v>511110</v>
      </c>
      <c r="B1148" s="309" t="s">
        <v>286</v>
      </c>
      <c r="C1148" s="309">
        <v>20.306100000000001</v>
      </c>
      <c r="D1148" s="309">
        <v>16.011199999999999</v>
      </c>
      <c r="E1148" s="309">
        <v>17.122499999999999</v>
      </c>
      <c r="F1148" s="309">
        <v>18.703700000000001</v>
      </c>
      <c r="G1148" s="309">
        <v>15.690200000000001</v>
      </c>
      <c r="H1148" s="309">
        <v>15.104799999999999</v>
      </c>
      <c r="I1148" s="309">
        <v>16.156700000000001</v>
      </c>
      <c r="J1148" s="309">
        <v>13.237399999999999</v>
      </c>
      <c r="K1148" s="309">
        <v>2.4979</v>
      </c>
      <c r="L1148" s="309">
        <v>12.7637</v>
      </c>
      <c r="M1148" s="309">
        <v>16.043900000000001</v>
      </c>
      <c r="N1148" s="309">
        <v>17.308199999999999</v>
      </c>
      <c r="O1148" s="309">
        <v>13.3812</v>
      </c>
      <c r="P1148" s="309">
        <v>17.159500000000001</v>
      </c>
      <c r="Q1148" s="309">
        <v>16.7958</v>
      </c>
      <c r="R1148" s="309">
        <v>15.626300000000001</v>
      </c>
      <c r="S1148" s="309">
        <v>18.0456</v>
      </c>
      <c r="T1148" s="309">
        <v>16.490400000000001</v>
      </c>
      <c r="U1148" s="309">
        <v>18.3673</v>
      </c>
      <c r="V1148" s="309">
        <v>16.1983</v>
      </c>
      <c r="W1148" s="309">
        <v>12.632899999999999</v>
      </c>
      <c r="X1148" s="309">
        <v>14.535600000000001</v>
      </c>
      <c r="Y1148" s="309">
        <v>19.621600000000001</v>
      </c>
      <c r="Z1148" s="309">
        <v>16.6233</v>
      </c>
      <c r="AA1148" s="309">
        <v>16.6569</v>
      </c>
      <c r="AB1148" s="309">
        <v>14.7485</v>
      </c>
      <c r="AC1148" s="309">
        <v>17.7531</v>
      </c>
      <c r="AD1148" s="309">
        <v>19.465299999999999</v>
      </c>
      <c r="AE1148" s="309">
        <v>16.792899999999999</v>
      </c>
      <c r="AF1148" s="309">
        <v>15.4762</v>
      </c>
      <c r="AG1148" s="309">
        <v>17.3171</v>
      </c>
      <c r="AH1148" s="309">
        <v>15.209899999999999</v>
      </c>
      <c r="AI1148" s="309">
        <v>11.9405</v>
      </c>
      <c r="AJ1148" s="309">
        <v>17.080300000000001</v>
      </c>
      <c r="AK1148" s="309">
        <v>14.442399999999999</v>
      </c>
      <c r="AL1148" s="309">
        <v>9.9595000000000002</v>
      </c>
      <c r="AM1148" s="309">
        <v>16.607700000000001</v>
      </c>
      <c r="AN1148" s="309">
        <v>17.812899999999999</v>
      </c>
      <c r="AO1148" s="309">
        <v>16.7654</v>
      </c>
      <c r="AP1148" s="309">
        <v>16.676400000000001</v>
      </c>
      <c r="AQ1148" s="309">
        <v>13.979799999999999</v>
      </c>
      <c r="AR1148" s="309">
        <v>18.1553</v>
      </c>
      <c r="AS1148" s="309">
        <v>17.459099999999999</v>
      </c>
      <c r="AT1148" s="309">
        <v>18.620799999999999</v>
      </c>
      <c r="AU1148" s="309">
        <v>16.405799999999999</v>
      </c>
      <c r="AV1148" s="309">
        <v>20.1113</v>
      </c>
      <c r="AW1148" s="309">
        <v>13.519600000000001</v>
      </c>
      <c r="AX1148" s="309">
        <v>18.517099999999999</v>
      </c>
      <c r="AY1148" s="309">
        <v>15.588200000000001</v>
      </c>
      <c r="AZ1148" s="309">
        <v>18.57</v>
      </c>
      <c r="BA1148" s="309">
        <v>16.543199999999999</v>
      </c>
      <c r="BB1148" s="309">
        <v>16.988700000000001</v>
      </c>
      <c r="BC1148" s="309">
        <v>15.565</v>
      </c>
      <c r="BD1148" s="309">
        <v>14.4709</v>
      </c>
      <c r="BE1148" s="309">
        <v>17.895700000000001</v>
      </c>
      <c r="BF1148" s="309">
        <v>17.857700000000001</v>
      </c>
      <c r="BG1148" s="309">
        <v>17.8245</v>
      </c>
      <c r="BH1148" s="309">
        <v>19.110199999999999</v>
      </c>
      <c r="BI1148" s="309">
        <v>17.636900000000001</v>
      </c>
      <c r="BJ1148" s="309">
        <v>17.7164</v>
      </c>
      <c r="BK1148" s="309">
        <v>15.882199999999999</v>
      </c>
    </row>
    <row r="1149" spans="1:63" x14ac:dyDescent="0.25">
      <c r="A1149" s="306">
        <v>511120</v>
      </c>
      <c r="B1149" s="309" t="s">
        <v>287</v>
      </c>
      <c r="C1149" s="309">
        <v>17.8065</v>
      </c>
      <c r="D1149" s="309">
        <v>10.741400000000001</v>
      </c>
      <c r="E1149" s="309">
        <v>12.9048</v>
      </c>
      <c r="F1149" s="309">
        <v>14.0472</v>
      </c>
      <c r="G1149" s="309">
        <v>12.898899999999999</v>
      </c>
      <c r="H1149" s="309">
        <v>12.3796</v>
      </c>
      <c r="I1149" s="309">
        <v>13.927099999999999</v>
      </c>
      <c r="J1149" s="309">
        <v>10.1463</v>
      </c>
      <c r="K1149" s="309">
        <v>1.8845000000000001</v>
      </c>
      <c r="L1149" s="309">
        <v>9.4199000000000002</v>
      </c>
      <c r="M1149" s="309">
        <v>14.641500000000001</v>
      </c>
      <c r="N1149" s="309">
        <v>14.994199999999999</v>
      </c>
      <c r="O1149" s="309">
        <v>12.0159</v>
      </c>
      <c r="P1149" s="309">
        <v>10.280900000000001</v>
      </c>
      <c r="Q1149" s="309">
        <v>13.088900000000001</v>
      </c>
      <c r="R1149" s="309">
        <v>12.8901</v>
      </c>
      <c r="S1149" s="309">
        <v>14.855600000000001</v>
      </c>
      <c r="T1149" s="309">
        <v>11.2281</v>
      </c>
      <c r="U1149" s="309">
        <v>14.0969</v>
      </c>
      <c r="V1149" s="309">
        <v>14.0573</v>
      </c>
      <c r="W1149" s="309">
        <v>10.739000000000001</v>
      </c>
      <c r="X1149" s="309">
        <v>11.9664</v>
      </c>
      <c r="Y1149" s="309">
        <v>15.3233</v>
      </c>
      <c r="Z1149" s="309">
        <v>13.9697</v>
      </c>
      <c r="AA1149" s="309">
        <v>14.043900000000001</v>
      </c>
      <c r="AB1149" s="309">
        <v>13.2212</v>
      </c>
      <c r="AC1149" s="309">
        <v>12.9673</v>
      </c>
      <c r="AD1149" s="309">
        <v>14.2606</v>
      </c>
      <c r="AE1149" s="309">
        <v>13.843400000000001</v>
      </c>
      <c r="AF1149" s="309">
        <v>10.813800000000001</v>
      </c>
      <c r="AG1149" s="309">
        <v>11.6447</v>
      </c>
      <c r="AH1149" s="309">
        <v>11.354699999999999</v>
      </c>
      <c r="AI1149" s="309">
        <v>11.0715</v>
      </c>
      <c r="AJ1149" s="309">
        <v>11.9457</v>
      </c>
      <c r="AK1149" s="309">
        <v>12.4971</v>
      </c>
      <c r="AL1149" s="309">
        <v>8.5050000000000008</v>
      </c>
      <c r="AM1149" s="309">
        <v>14.931699999999999</v>
      </c>
      <c r="AN1149" s="309">
        <v>14.2151</v>
      </c>
      <c r="AO1149" s="309">
        <v>15.5518</v>
      </c>
      <c r="AP1149" s="309">
        <v>13.555</v>
      </c>
      <c r="AQ1149" s="309">
        <v>12.6759</v>
      </c>
      <c r="AR1149" s="309">
        <v>14.8446</v>
      </c>
      <c r="AS1149" s="309">
        <v>12.185499999999999</v>
      </c>
      <c r="AT1149" s="309">
        <v>14.7913</v>
      </c>
      <c r="AU1149" s="309">
        <v>14.5975</v>
      </c>
      <c r="AV1149" s="309">
        <v>19.189299999999999</v>
      </c>
      <c r="AW1149" s="309">
        <v>11.2112</v>
      </c>
      <c r="AX1149" s="309">
        <v>13.600300000000001</v>
      </c>
      <c r="AY1149" s="309">
        <v>12.0496</v>
      </c>
      <c r="AZ1149" s="309">
        <v>15.1585</v>
      </c>
      <c r="BA1149" s="309">
        <v>12.7536</v>
      </c>
      <c r="BB1149" s="309">
        <v>11.5517</v>
      </c>
      <c r="BC1149" s="309">
        <v>12.6976</v>
      </c>
      <c r="BD1149" s="309">
        <v>12.7319</v>
      </c>
      <c r="BE1149" s="309">
        <v>14.934100000000001</v>
      </c>
      <c r="BF1149" s="309">
        <v>13.7478</v>
      </c>
      <c r="BG1149" s="309">
        <v>15.4351</v>
      </c>
      <c r="BH1149" s="309">
        <v>15.0402</v>
      </c>
      <c r="BI1149" s="309">
        <v>15.202</v>
      </c>
      <c r="BJ1149" s="309">
        <v>14.619</v>
      </c>
      <c r="BK1149" s="309">
        <v>13.012700000000001</v>
      </c>
    </row>
    <row r="1150" spans="1:63" x14ac:dyDescent="0.25">
      <c r="A1150" s="306">
        <v>511130</v>
      </c>
      <c r="B1150" s="309" t="s">
        <v>288</v>
      </c>
      <c r="C1150" s="309">
        <v>15.2659</v>
      </c>
      <c r="D1150" s="309">
        <v>9.641</v>
      </c>
      <c r="E1150" s="309">
        <v>11.6835</v>
      </c>
      <c r="F1150" s="309">
        <v>10.1988</v>
      </c>
      <c r="G1150" s="309">
        <v>12.0786</v>
      </c>
      <c r="H1150" s="309">
        <v>11.0543</v>
      </c>
      <c r="I1150" s="309">
        <v>12.005000000000001</v>
      </c>
      <c r="J1150" s="309">
        <v>8.5846</v>
      </c>
      <c r="K1150" s="309">
        <v>1.6263000000000001</v>
      </c>
      <c r="L1150" s="309">
        <v>7.6448</v>
      </c>
      <c r="M1150" s="309">
        <v>12.7249</v>
      </c>
      <c r="N1150" s="309">
        <v>13.0228</v>
      </c>
      <c r="O1150" s="309">
        <v>11.514799999999999</v>
      </c>
      <c r="P1150" s="309">
        <v>9.9167000000000005</v>
      </c>
      <c r="Q1150" s="309">
        <v>11.063499999999999</v>
      </c>
      <c r="R1150" s="309">
        <v>11.4641</v>
      </c>
      <c r="S1150" s="309">
        <v>12.126799999999999</v>
      </c>
      <c r="T1150" s="309">
        <v>10.2569</v>
      </c>
      <c r="U1150" s="309">
        <v>13.0808</v>
      </c>
      <c r="V1150" s="309">
        <v>10.364000000000001</v>
      </c>
      <c r="W1150" s="309">
        <v>9.2766999999999999</v>
      </c>
      <c r="X1150" s="309">
        <v>10.8384</v>
      </c>
      <c r="Y1150" s="309">
        <v>12.8172</v>
      </c>
      <c r="Z1150" s="309">
        <v>11.404500000000001</v>
      </c>
      <c r="AA1150" s="309">
        <v>10.9238</v>
      </c>
      <c r="AB1150" s="309">
        <v>11.3597</v>
      </c>
      <c r="AC1150" s="309">
        <v>10.4323</v>
      </c>
      <c r="AD1150" s="309">
        <v>11.2591</v>
      </c>
      <c r="AE1150" s="309">
        <v>11.7517</v>
      </c>
      <c r="AF1150" s="309">
        <v>9.5050000000000008</v>
      </c>
      <c r="AG1150" s="309">
        <v>9.3221000000000007</v>
      </c>
      <c r="AH1150" s="309">
        <v>9.7542000000000009</v>
      </c>
      <c r="AI1150" s="309">
        <v>9.4292999999999996</v>
      </c>
      <c r="AJ1150" s="309">
        <v>11.093</v>
      </c>
      <c r="AK1150" s="309">
        <v>9.1435999999999993</v>
      </c>
      <c r="AL1150" s="309">
        <v>7.4413999999999998</v>
      </c>
      <c r="AM1150" s="309">
        <v>12.276199999999999</v>
      </c>
      <c r="AN1150" s="309">
        <v>11.7963</v>
      </c>
      <c r="AO1150" s="309">
        <v>13.2873</v>
      </c>
      <c r="AP1150" s="309">
        <v>11.910399999999999</v>
      </c>
      <c r="AQ1150" s="309">
        <v>10.5754</v>
      </c>
      <c r="AR1150" s="309">
        <v>11.2386</v>
      </c>
      <c r="AS1150" s="309">
        <v>10.145200000000001</v>
      </c>
      <c r="AT1150" s="309">
        <v>12.426</v>
      </c>
      <c r="AU1150" s="309">
        <v>12.614000000000001</v>
      </c>
      <c r="AV1150" s="309">
        <v>15.6736</v>
      </c>
      <c r="AW1150" s="309">
        <v>9.7462</v>
      </c>
      <c r="AX1150" s="309">
        <v>11.970599999999999</v>
      </c>
      <c r="AY1150" s="309">
        <v>10.8101</v>
      </c>
      <c r="AZ1150" s="309">
        <v>12.003</v>
      </c>
      <c r="BA1150" s="309">
        <v>10.6945</v>
      </c>
      <c r="BB1150" s="309">
        <v>8.6209000000000007</v>
      </c>
      <c r="BC1150" s="309">
        <v>10.8315</v>
      </c>
      <c r="BD1150" s="309">
        <v>10.9269</v>
      </c>
      <c r="BE1150" s="309">
        <v>12.904299999999999</v>
      </c>
      <c r="BF1150" s="309">
        <v>11.090999999999999</v>
      </c>
      <c r="BG1150" s="309">
        <v>13.3384</v>
      </c>
      <c r="BH1150" s="309">
        <v>12.9352</v>
      </c>
      <c r="BI1150" s="309">
        <v>12.8309</v>
      </c>
      <c r="BJ1150" s="309">
        <v>12.799200000000001</v>
      </c>
      <c r="BK1150" s="309">
        <v>11.533099999999999</v>
      </c>
    </row>
    <row r="1151" spans="1:63" x14ac:dyDescent="0.25">
      <c r="A1151" s="306" t="s">
        <v>762</v>
      </c>
      <c r="B1151" s="309" t="s">
        <v>289</v>
      </c>
      <c r="C1151" s="309">
        <v>15.229799999999999</v>
      </c>
      <c r="D1151" s="309">
        <v>7.8757999999999999</v>
      </c>
      <c r="E1151" s="309">
        <v>11.117900000000001</v>
      </c>
      <c r="F1151" s="309">
        <v>10.9697</v>
      </c>
      <c r="G1151" s="309">
        <v>10.936999999999999</v>
      </c>
      <c r="H1151" s="309">
        <v>10.7354</v>
      </c>
      <c r="I1151" s="309">
        <v>11.193199999999999</v>
      </c>
      <c r="J1151" s="309">
        <v>8.7353000000000005</v>
      </c>
      <c r="K1151" s="309">
        <v>1.5814999999999999</v>
      </c>
      <c r="L1151" s="309">
        <v>7.9778000000000002</v>
      </c>
      <c r="M1151" s="309">
        <v>11.8872</v>
      </c>
      <c r="N1151" s="309">
        <v>12.0832</v>
      </c>
      <c r="O1151" s="309">
        <v>8.4346999999999994</v>
      </c>
      <c r="P1151" s="309">
        <v>9.7622999999999998</v>
      </c>
      <c r="Q1151" s="309">
        <v>9.7337000000000007</v>
      </c>
      <c r="R1151" s="309">
        <v>11.5868</v>
      </c>
      <c r="S1151" s="309">
        <v>11.381399999999999</v>
      </c>
      <c r="T1151" s="309">
        <v>9.5195000000000007</v>
      </c>
      <c r="U1151" s="309">
        <v>11.9262</v>
      </c>
      <c r="V1151" s="309">
        <v>9.9094999999999995</v>
      </c>
      <c r="W1151" s="309">
        <v>9.0282</v>
      </c>
      <c r="X1151" s="309">
        <v>9.9486000000000008</v>
      </c>
      <c r="Y1151" s="309">
        <v>12.584</v>
      </c>
      <c r="Z1151" s="309">
        <v>10.9018</v>
      </c>
      <c r="AA1151" s="309">
        <v>11.667899999999999</v>
      </c>
      <c r="AB1151" s="309">
        <v>10.083399999999999</v>
      </c>
      <c r="AC1151" s="309">
        <v>9.0908999999999995</v>
      </c>
      <c r="AD1151" s="309">
        <v>9.9711999999999996</v>
      </c>
      <c r="AE1151" s="309">
        <v>11.428100000000001</v>
      </c>
      <c r="AF1151" s="309">
        <v>6.4840999999999998</v>
      </c>
      <c r="AG1151" s="309">
        <v>9.5980000000000008</v>
      </c>
      <c r="AH1151" s="309">
        <v>9.2158999999999995</v>
      </c>
      <c r="AI1151" s="309">
        <v>9.3072999999999997</v>
      </c>
      <c r="AJ1151" s="309">
        <v>8.8306000000000004</v>
      </c>
      <c r="AK1151" s="309">
        <v>8.4045000000000005</v>
      </c>
      <c r="AL1151" s="309">
        <v>7.2618</v>
      </c>
      <c r="AM1151" s="309">
        <v>12.1228</v>
      </c>
      <c r="AN1151" s="309">
        <v>11.780900000000001</v>
      </c>
      <c r="AO1151" s="309">
        <v>11.9861</v>
      </c>
      <c r="AP1151" s="309">
        <v>11.998100000000001</v>
      </c>
      <c r="AQ1151" s="309">
        <v>10.212999999999999</v>
      </c>
      <c r="AR1151" s="309">
        <v>11.1805</v>
      </c>
      <c r="AS1151" s="309">
        <v>8.5092999999999996</v>
      </c>
      <c r="AT1151" s="309">
        <v>12.5001</v>
      </c>
      <c r="AU1151" s="309">
        <v>11.392099999999999</v>
      </c>
      <c r="AV1151" s="309">
        <v>15.257199999999999</v>
      </c>
      <c r="AW1151" s="309">
        <v>9.6027000000000005</v>
      </c>
      <c r="AX1151" s="309">
        <v>11.0303</v>
      </c>
      <c r="AY1151" s="309">
        <v>10.042400000000001</v>
      </c>
      <c r="AZ1151" s="309">
        <v>11.687900000000001</v>
      </c>
      <c r="BA1151" s="309">
        <v>9.5250000000000004</v>
      </c>
      <c r="BB1151" s="309">
        <v>6.5805999999999996</v>
      </c>
      <c r="BC1151" s="309">
        <v>10.7044</v>
      </c>
      <c r="BD1151" s="309">
        <v>10.9777</v>
      </c>
      <c r="BE1151" s="309">
        <v>12.6388</v>
      </c>
      <c r="BF1151" s="309">
        <v>11.0185</v>
      </c>
      <c r="BG1151" s="309">
        <v>13.107699999999999</v>
      </c>
      <c r="BH1151" s="309">
        <v>12.762600000000001</v>
      </c>
      <c r="BI1151" s="309">
        <v>12.1591</v>
      </c>
      <c r="BJ1151" s="309">
        <v>11.523400000000001</v>
      </c>
      <c r="BK1151" s="309">
        <v>11.125500000000001</v>
      </c>
    </row>
    <row r="1152" spans="1:63" x14ac:dyDescent="0.25">
      <c r="A1152" s="306">
        <v>511200</v>
      </c>
      <c r="B1152" s="309" t="s">
        <v>290</v>
      </c>
      <c r="C1152" s="309">
        <v>16.146599999999999</v>
      </c>
      <c r="D1152" s="309">
        <v>11.520099999999999</v>
      </c>
      <c r="E1152" s="309">
        <v>14.6511</v>
      </c>
      <c r="F1152" s="309">
        <v>12.967599999999999</v>
      </c>
      <c r="G1152" s="309">
        <v>13.2563</v>
      </c>
      <c r="H1152" s="309">
        <v>11.7034</v>
      </c>
      <c r="I1152" s="309">
        <v>12.896699999999999</v>
      </c>
      <c r="J1152" s="309">
        <v>9.2966999999999995</v>
      </c>
      <c r="K1152" s="309">
        <v>1.8915</v>
      </c>
      <c r="L1152" s="309">
        <v>9.9177</v>
      </c>
      <c r="M1152" s="309">
        <v>13.8607</v>
      </c>
      <c r="N1152" s="309">
        <v>13.194599999999999</v>
      </c>
      <c r="O1152" s="309">
        <v>12.2951</v>
      </c>
      <c r="P1152" s="309">
        <v>11.075900000000001</v>
      </c>
      <c r="Q1152" s="309">
        <v>11.170400000000001</v>
      </c>
      <c r="R1152" s="309">
        <v>13.047800000000001</v>
      </c>
      <c r="S1152" s="309">
        <v>12.7469</v>
      </c>
      <c r="T1152" s="309">
        <v>10.304600000000001</v>
      </c>
      <c r="U1152" s="309">
        <v>13.6235</v>
      </c>
      <c r="V1152" s="309">
        <v>13.5236</v>
      </c>
      <c r="W1152" s="309">
        <v>10.0549</v>
      </c>
      <c r="X1152" s="309">
        <v>10.8658</v>
      </c>
      <c r="Y1152" s="309">
        <v>14.628299999999999</v>
      </c>
      <c r="Z1152" s="309">
        <v>12.9056</v>
      </c>
      <c r="AA1152" s="309">
        <v>12.4076</v>
      </c>
      <c r="AB1152" s="309">
        <v>11.3598</v>
      </c>
      <c r="AC1152" s="309">
        <v>12.6592</v>
      </c>
      <c r="AD1152" s="309">
        <v>13.3278</v>
      </c>
      <c r="AE1152" s="309">
        <v>12.734500000000001</v>
      </c>
      <c r="AF1152" s="309">
        <v>8.3417999999999992</v>
      </c>
      <c r="AG1152" s="309">
        <v>11.0509</v>
      </c>
      <c r="AH1152" s="309">
        <v>10.248699999999999</v>
      </c>
      <c r="AI1152" s="309">
        <v>10.304600000000001</v>
      </c>
      <c r="AJ1152" s="309">
        <v>12.2469</v>
      </c>
      <c r="AK1152" s="309">
        <v>11.6119</v>
      </c>
      <c r="AL1152" s="309">
        <v>7.9560000000000004</v>
      </c>
      <c r="AM1152" s="309">
        <v>14.117800000000001</v>
      </c>
      <c r="AN1152" s="309">
        <v>14.963100000000001</v>
      </c>
      <c r="AO1152" s="309">
        <v>12.8072</v>
      </c>
      <c r="AP1152" s="309">
        <v>12.1302</v>
      </c>
      <c r="AQ1152" s="309">
        <v>10.9565</v>
      </c>
      <c r="AR1152" s="309">
        <v>14.9153</v>
      </c>
      <c r="AS1152" s="309">
        <v>10.817500000000001</v>
      </c>
      <c r="AT1152" s="309">
        <v>11.7689</v>
      </c>
      <c r="AU1152" s="309">
        <v>13.321199999999999</v>
      </c>
      <c r="AV1152" s="309">
        <v>16.393899999999999</v>
      </c>
      <c r="AW1152" s="309">
        <v>10.416600000000001</v>
      </c>
      <c r="AX1152" s="309">
        <v>11.9953</v>
      </c>
      <c r="AY1152" s="309">
        <v>11.053100000000001</v>
      </c>
      <c r="AZ1152" s="309">
        <v>13.228</v>
      </c>
      <c r="BA1152" s="309">
        <v>11.2262</v>
      </c>
      <c r="BB1152" s="309">
        <v>10.1286</v>
      </c>
      <c r="BC1152" s="309">
        <v>11.447900000000001</v>
      </c>
      <c r="BD1152" s="309">
        <v>11.5967</v>
      </c>
      <c r="BE1152" s="309">
        <v>14.351699999999999</v>
      </c>
      <c r="BF1152" s="309">
        <v>12.273</v>
      </c>
      <c r="BG1152" s="309">
        <v>14.2858</v>
      </c>
      <c r="BH1152" s="309">
        <v>12.9498</v>
      </c>
      <c r="BI1152" s="309">
        <v>13.760300000000001</v>
      </c>
      <c r="BJ1152" s="309">
        <v>13.7933</v>
      </c>
      <c r="BK1152" s="309">
        <v>12.210100000000001</v>
      </c>
    </row>
    <row r="1153" spans="1:63" x14ac:dyDescent="0.25">
      <c r="A1153" s="306">
        <v>512100</v>
      </c>
      <c r="B1153" s="309" t="s">
        <v>291</v>
      </c>
      <c r="C1153" s="309">
        <v>16.0274</v>
      </c>
      <c r="D1153" s="309">
        <v>19.5213</v>
      </c>
      <c r="E1153" s="309">
        <v>22.086099999999998</v>
      </c>
      <c r="F1153" s="309">
        <v>17.610700000000001</v>
      </c>
      <c r="G1153" s="309">
        <v>18.216000000000001</v>
      </c>
      <c r="H1153" s="309">
        <v>11.2338</v>
      </c>
      <c r="I1153" s="309">
        <v>18.228899999999999</v>
      </c>
      <c r="J1153" s="309">
        <v>11.592499999999999</v>
      </c>
      <c r="K1153" s="309">
        <v>2.8117999999999999</v>
      </c>
      <c r="L1153" s="309">
        <v>14.556699999999999</v>
      </c>
      <c r="M1153" s="309">
        <v>13.111800000000001</v>
      </c>
      <c r="N1153" s="309">
        <v>14.9735</v>
      </c>
      <c r="O1153" s="309">
        <v>13.3879</v>
      </c>
      <c r="P1153" s="309">
        <v>18.763500000000001</v>
      </c>
      <c r="Q1153" s="309">
        <v>7.8311000000000002</v>
      </c>
      <c r="R1153" s="309">
        <v>13.256399999999999</v>
      </c>
      <c r="S1153" s="309">
        <v>21.840699999999998</v>
      </c>
      <c r="T1153" s="309">
        <v>18.8553</v>
      </c>
      <c r="U1153" s="309">
        <v>21.732399999999998</v>
      </c>
      <c r="V1153" s="309">
        <v>13.308</v>
      </c>
      <c r="W1153" s="309">
        <v>11.9602</v>
      </c>
      <c r="X1153" s="309">
        <v>14.883800000000001</v>
      </c>
      <c r="Y1153" s="309">
        <v>13.782500000000001</v>
      </c>
      <c r="Z1153" s="309">
        <v>16.597899999999999</v>
      </c>
      <c r="AA1153" s="309">
        <v>18.474799999999998</v>
      </c>
      <c r="AB1153" s="309">
        <v>16.707000000000001</v>
      </c>
      <c r="AC1153" s="309">
        <v>8.1590000000000007</v>
      </c>
      <c r="AD1153" s="309">
        <v>21.161000000000001</v>
      </c>
      <c r="AE1153" s="309">
        <v>18.756599999999999</v>
      </c>
      <c r="AF1153" s="309">
        <v>5.8467000000000002</v>
      </c>
      <c r="AG1153" s="309">
        <v>7.9427000000000003</v>
      </c>
      <c r="AH1153" s="309">
        <v>10.3573</v>
      </c>
      <c r="AI1153" s="309">
        <v>10.9872</v>
      </c>
      <c r="AJ1153" s="309">
        <v>12.985799999999999</v>
      </c>
      <c r="AK1153" s="309">
        <v>13.5909</v>
      </c>
      <c r="AL1153" s="309">
        <v>8.1483000000000008</v>
      </c>
      <c r="AM1153" s="309">
        <v>19.623000000000001</v>
      </c>
      <c r="AN1153" s="309">
        <v>19.724799999999998</v>
      </c>
      <c r="AO1153" s="309">
        <v>13.7219</v>
      </c>
      <c r="AP1153" s="309">
        <v>14.1547</v>
      </c>
      <c r="AQ1153" s="309">
        <v>12.9459</v>
      </c>
      <c r="AR1153" s="309">
        <v>23.009399999999999</v>
      </c>
      <c r="AS1153" s="309">
        <v>16.293099999999999</v>
      </c>
      <c r="AT1153" s="309">
        <v>13.077299999999999</v>
      </c>
      <c r="AU1153" s="309">
        <v>16.471900000000002</v>
      </c>
      <c r="AV1153" s="309">
        <v>20.672699999999999</v>
      </c>
      <c r="AW1153" s="309">
        <v>12.9842</v>
      </c>
      <c r="AX1153" s="309">
        <v>23.055099999999999</v>
      </c>
      <c r="AY1153" s="309">
        <v>17.512699999999999</v>
      </c>
      <c r="AZ1153" s="309">
        <v>18.1828</v>
      </c>
      <c r="BA1153" s="309">
        <v>8.4118999999999993</v>
      </c>
      <c r="BB1153" s="309">
        <v>22.149799999999999</v>
      </c>
      <c r="BC1153" s="309">
        <v>13.4063</v>
      </c>
      <c r="BD1153" s="309">
        <v>11.5299</v>
      </c>
      <c r="BE1153" s="309">
        <v>16.933800000000002</v>
      </c>
      <c r="BF1153" s="309">
        <v>16.7117</v>
      </c>
      <c r="BG1153" s="309">
        <v>15.281700000000001</v>
      </c>
      <c r="BH1153" s="309">
        <v>13.8521</v>
      </c>
      <c r="BI1153" s="309">
        <v>16.583400000000001</v>
      </c>
      <c r="BJ1153" s="309">
        <v>16.519300000000001</v>
      </c>
      <c r="BK1153" s="309">
        <v>11.7944</v>
      </c>
    </row>
    <row r="1154" spans="1:63" x14ac:dyDescent="0.25">
      <c r="A1154" s="306">
        <v>512200</v>
      </c>
      <c r="B1154" s="309" t="s">
        <v>292</v>
      </c>
      <c r="C1154" s="309">
        <v>18.298400000000001</v>
      </c>
      <c r="D1154" s="309">
        <v>10.9017</v>
      </c>
      <c r="E1154" s="309">
        <v>13.6881</v>
      </c>
      <c r="F1154" s="309">
        <v>11.8384</v>
      </c>
      <c r="G1154" s="309">
        <v>12.885999999999999</v>
      </c>
      <c r="H1154" s="309">
        <v>12.8506</v>
      </c>
      <c r="I1154" s="309">
        <v>14.082599999999999</v>
      </c>
      <c r="J1154" s="309">
        <v>9.4987999999999992</v>
      </c>
      <c r="K1154" s="309">
        <v>2.3772000000000002</v>
      </c>
      <c r="L1154" s="309">
        <v>10.779299999999999</v>
      </c>
      <c r="M1154" s="309">
        <v>12.9041</v>
      </c>
      <c r="N1154" s="309">
        <v>14.3413</v>
      </c>
      <c r="O1154" s="309">
        <v>13.2281</v>
      </c>
      <c r="P1154" s="309">
        <v>12.449199999999999</v>
      </c>
      <c r="Q1154" s="309">
        <v>8.1778999999999993</v>
      </c>
      <c r="R1154" s="309">
        <v>13.6008</v>
      </c>
      <c r="S1154" s="309">
        <v>11.731</v>
      </c>
      <c r="T1154" s="309">
        <v>9.8595000000000006</v>
      </c>
      <c r="U1154" s="309">
        <v>14.335100000000001</v>
      </c>
      <c r="V1154" s="309">
        <v>13.176399999999999</v>
      </c>
      <c r="W1154" s="309">
        <v>10.944800000000001</v>
      </c>
      <c r="X1154" s="309">
        <v>12.1791</v>
      </c>
      <c r="Y1154" s="309">
        <v>9.9840999999999998</v>
      </c>
      <c r="Z1154" s="309">
        <v>12.706</v>
      </c>
      <c r="AA1154" s="309">
        <v>14.925800000000001</v>
      </c>
      <c r="AB1154" s="309">
        <v>12.223699999999999</v>
      </c>
      <c r="AC1154" s="309">
        <v>10.0162</v>
      </c>
      <c r="AD1154" s="309">
        <v>14.269299999999999</v>
      </c>
      <c r="AE1154" s="309">
        <v>13.1409</v>
      </c>
      <c r="AF1154" s="309">
        <v>7.9337999999999997</v>
      </c>
      <c r="AG1154" s="309">
        <v>9.4167000000000005</v>
      </c>
      <c r="AH1154" s="309">
        <v>9.4863999999999997</v>
      </c>
      <c r="AI1154" s="309">
        <v>11.140700000000001</v>
      </c>
      <c r="AJ1154" s="309">
        <v>12.7897</v>
      </c>
      <c r="AK1154" s="309">
        <v>13.7956</v>
      </c>
      <c r="AL1154" s="309">
        <v>8.9992000000000001</v>
      </c>
      <c r="AM1154" s="309">
        <v>13.223800000000001</v>
      </c>
      <c r="AN1154" s="309">
        <v>16.035399999999999</v>
      </c>
      <c r="AO1154" s="309">
        <v>13.6724</v>
      </c>
      <c r="AP1154" s="309">
        <v>13.1043</v>
      </c>
      <c r="AQ1154" s="309">
        <v>11.2806</v>
      </c>
      <c r="AR1154" s="309">
        <v>11.6449</v>
      </c>
      <c r="AS1154" s="309">
        <v>9.4673999999999996</v>
      </c>
      <c r="AT1154" s="309">
        <v>13.2418</v>
      </c>
      <c r="AU1154" s="309">
        <v>13.281599999999999</v>
      </c>
      <c r="AV1154" s="309">
        <v>14.7494</v>
      </c>
      <c r="AW1154" s="309">
        <v>10.3788</v>
      </c>
      <c r="AX1154" s="309">
        <v>11.5898</v>
      </c>
      <c r="AY1154" s="309">
        <v>12.8066</v>
      </c>
      <c r="AZ1154" s="309">
        <v>11.85</v>
      </c>
      <c r="BA1154" s="309">
        <v>8.0359999999999996</v>
      </c>
      <c r="BB1154" s="309">
        <v>10.0557</v>
      </c>
      <c r="BC1154" s="309">
        <v>11.493</v>
      </c>
      <c r="BD1154" s="309">
        <v>12.981999999999999</v>
      </c>
      <c r="BE1154" s="309">
        <v>14.025600000000001</v>
      </c>
      <c r="BF1154" s="309">
        <v>13.4038</v>
      </c>
      <c r="BG1154" s="309">
        <v>14.1731</v>
      </c>
      <c r="BH1154" s="309">
        <v>13.6225</v>
      </c>
      <c r="BI1154" s="309">
        <v>13.616899999999999</v>
      </c>
      <c r="BJ1154" s="309">
        <v>14.365</v>
      </c>
      <c r="BK1154" s="309">
        <v>13.565200000000001</v>
      </c>
    </row>
    <row r="1155" spans="1:63" x14ac:dyDescent="0.25">
      <c r="A1155" s="306">
        <v>515100</v>
      </c>
      <c r="B1155" s="309" t="s">
        <v>293</v>
      </c>
      <c r="C1155" s="309">
        <v>21.517199999999999</v>
      </c>
      <c r="D1155" s="309">
        <v>12.238300000000001</v>
      </c>
      <c r="E1155" s="309">
        <v>15.4626</v>
      </c>
      <c r="F1155" s="309">
        <v>11.939299999999999</v>
      </c>
      <c r="G1155" s="309">
        <v>13.400399999999999</v>
      </c>
      <c r="H1155" s="309">
        <v>15.5532</v>
      </c>
      <c r="I1155" s="309">
        <v>15.394500000000001</v>
      </c>
      <c r="J1155" s="309">
        <v>11.0428</v>
      </c>
      <c r="K1155" s="309">
        <v>2.2905000000000002</v>
      </c>
      <c r="L1155" s="309">
        <v>7.9029999999999996</v>
      </c>
      <c r="M1155" s="309">
        <v>14.5534</v>
      </c>
      <c r="N1155" s="309">
        <v>14.808299999999999</v>
      </c>
      <c r="O1155" s="309">
        <v>15.106299999999999</v>
      </c>
      <c r="P1155" s="309">
        <v>12.297499999999999</v>
      </c>
      <c r="Q1155" s="309">
        <v>13.5093</v>
      </c>
      <c r="R1155" s="309">
        <v>13.695399999999999</v>
      </c>
      <c r="S1155" s="309">
        <v>16.1022</v>
      </c>
      <c r="T1155" s="309">
        <v>9.8129000000000008</v>
      </c>
      <c r="U1155" s="309">
        <v>15.4137</v>
      </c>
      <c r="V1155" s="309">
        <v>16.192599999999999</v>
      </c>
      <c r="W1155" s="309">
        <v>11.9001</v>
      </c>
      <c r="X1155" s="309">
        <v>11.4231</v>
      </c>
      <c r="Y1155" s="309">
        <v>15.453799999999999</v>
      </c>
      <c r="Z1155" s="309">
        <v>15.3445</v>
      </c>
      <c r="AA1155" s="309">
        <v>14.479699999999999</v>
      </c>
      <c r="AB1155" s="309">
        <v>13.001099999999999</v>
      </c>
      <c r="AC1155" s="309">
        <v>11.503399999999999</v>
      </c>
      <c r="AD1155" s="309">
        <v>14.9854</v>
      </c>
      <c r="AE1155" s="309">
        <v>15.4613</v>
      </c>
      <c r="AF1155" s="309">
        <v>10.887</v>
      </c>
      <c r="AG1155" s="309">
        <v>12.921900000000001</v>
      </c>
      <c r="AH1155" s="309">
        <v>10.5647</v>
      </c>
      <c r="AI1155" s="309">
        <v>11.0876</v>
      </c>
      <c r="AJ1155" s="309">
        <v>14.3432</v>
      </c>
      <c r="AK1155" s="309">
        <v>11.285600000000001</v>
      </c>
      <c r="AL1155" s="309">
        <v>10.4693</v>
      </c>
      <c r="AM1155" s="309">
        <v>16.113499999999998</v>
      </c>
      <c r="AN1155" s="309">
        <v>14.2662</v>
      </c>
      <c r="AO1155" s="309">
        <v>15.895300000000001</v>
      </c>
      <c r="AP1155" s="309">
        <v>13.2996</v>
      </c>
      <c r="AQ1155" s="309">
        <v>10.885899999999999</v>
      </c>
      <c r="AR1155" s="309">
        <v>12.712300000000001</v>
      </c>
      <c r="AS1155" s="309">
        <v>12.032299999999999</v>
      </c>
      <c r="AT1155" s="309">
        <v>17.3933</v>
      </c>
      <c r="AU1155" s="309">
        <v>15.3324</v>
      </c>
      <c r="AV1155" s="309">
        <v>20.885000000000002</v>
      </c>
      <c r="AW1155" s="309">
        <v>12.620100000000001</v>
      </c>
      <c r="AX1155" s="309">
        <v>13.957000000000001</v>
      </c>
      <c r="AY1155" s="309">
        <v>13.0221</v>
      </c>
      <c r="AZ1155" s="309">
        <v>14.835000000000001</v>
      </c>
      <c r="BA1155" s="309">
        <v>12.4922</v>
      </c>
      <c r="BB1155" s="309">
        <v>11.837300000000001</v>
      </c>
      <c r="BC1155" s="309">
        <v>14.195499999999999</v>
      </c>
      <c r="BD1155" s="309">
        <v>15.2014</v>
      </c>
      <c r="BE1155" s="309">
        <v>15.963699999999999</v>
      </c>
      <c r="BF1155" s="309">
        <v>14.4786</v>
      </c>
      <c r="BG1155" s="309">
        <v>16.511600000000001</v>
      </c>
      <c r="BH1155" s="309">
        <v>16.2913</v>
      </c>
      <c r="BI1155" s="309">
        <v>16.0045</v>
      </c>
      <c r="BJ1155" s="309">
        <v>16.135999999999999</v>
      </c>
      <c r="BK1155" s="309">
        <v>16.402799999999999</v>
      </c>
    </row>
    <row r="1156" spans="1:63" x14ac:dyDescent="0.25">
      <c r="A1156" s="306">
        <v>515200</v>
      </c>
      <c r="B1156" s="309" t="s">
        <v>294</v>
      </c>
      <c r="C1156" s="309">
        <v>19.870999999999999</v>
      </c>
      <c r="D1156" s="309">
        <v>12.703200000000001</v>
      </c>
      <c r="E1156" s="309">
        <v>15.338800000000001</v>
      </c>
      <c r="F1156" s="309">
        <v>12.128</v>
      </c>
      <c r="G1156" s="309">
        <v>13.618600000000001</v>
      </c>
      <c r="H1156" s="309">
        <v>14.785500000000001</v>
      </c>
      <c r="I1156" s="309">
        <v>14.682499999999999</v>
      </c>
      <c r="J1156" s="309">
        <v>10.1714</v>
      </c>
      <c r="K1156" s="309">
        <v>1.9878</v>
      </c>
      <c r="L1156" s="309">
        <v>7.9870000000000001</v>
      </c>
      <c r="M1156" s="309">
        <v>12.768599999999999</v>
      </c>
      <c r="N1156" s="309">
        <v>13.947900000000001</v>
      </c>
      <c r="O1156" s="309">
        <v>14.716900000000001</v>
      </c>
      <c r="P1156" s="309">
        <v>12.282400000000001</v>
      </c>
      <c r="Q1156" s="309">
        <v>13.598599999999999</v>
      </c>
      <c r="R1156" s="309">
        <v>13.1622</v>
      </c>
      <c r="S1156" s="309">
        <v>10.8606</v>
      </c>
      <c r="T1156" s="309">
        <v>9.6163000000000007</v>
      </c>
      <c r="U1156" s="309">
        <v>14.1145</v>
      </c>
      <c r="V1156" s="309">
        <v>14.446099999999999</v>
      </c>
      <c r="W1156" s="309">
        <v>11.5405</v>
      </c>
      <c r="X1156" s="309">
        <v>10.272</v>
      </c>
      <c r="Y1156" s="309">
        <v>14.3218</v>
      </c>
      <c r="Z1156" s="309">
        <v>14.4445</v>
      </c>
      <c r="AA1156" s="309">
        <v>15.2707</v>
      </c>
      <c r="AB1156" s="309">
        <v>12.1092</v>
      </c>
      <c r="AC1156" s="309">
        <v>13.0616</v>
      </c>
      <c r="AD1156" s="309">
        <v>11.888</v>
      </c>
      <c r="AE1156" s="309">
        <v>14.311299999999999</v>
      </c>
      <c r="AF1156" s="309">
        <v>0</v>
      </c>
      <c r="AG1156" s="309">
        <v>11.9498</v>
      </c>
      <c r="AH1156" s="309">
        <v>11.0678</v>
      </c>
      <c r="AI1156" s="309">
        <v>10.5253</v>
      </c>
      <c r="AJ1156" s="309">
        <v>12.3325</v>
      </c>
      <c r="AK1156" s="309">
        <v>11.037000000000001</v>
      </c>
      <c r="AL1156" s="309">
        <v>9.5230999999999995</v>
      </c>
      <c r="AM1156" s="309">
        <v>15.809799999999999</v>
      </c>
      <c r="AN1156" s="309">
        <v>13.771800000000001</v>
      </c>
      <c r="AO1156" s="309">
        <v>13.299300000000001</v>
      </c>
      <c r="AP1156" s="309">
        <v>12.0008</v>
      </c>
      <c r="AQ1156" s="309">
        <v>9.6334</v>
      </c>
      <c r="AR1156" s="309">
        <v>12.2234</v>
      </c>
      <c r="AS1156" s="309">
        <v>9.7434999999999992</v>
      </c>
      <c r="AT1156" s="309">
        <v>13.7715</v>
      </c>
      <c r="AU1156" s="309">
        <v>15.2623</v>
      </c>
      <c r="AV1156" s="309">
        <v>20.150400000000001</v>
      </c>
      <c r="AW1156" s="309">
        <v>11.486800000000001</v>
      </c>
      <c r="AX1156" s="309">
        <v>14.1456</v>
      </c>
      <c r="AY1156" s="309">
        <v>11.4679</v>
      </c>
      <c r="AZ1156" s="309">
        <v>12.6495</v>
      </c>
      <c r="BA1156" s="309">
        <v>12.0227</v>
      </c>
      <c r="BB1156" s="309">
        <v>10.9282</v>
      </c>
      <c r="BC1156" s="309">
        <v>12.986599999999999</v>
      </c>
      <c r="BD1156" s="309">
        <v>13.794700000000001</v>
      </c>
      <c r="BE1156" s="309">
        <v>14.307399999999999</v>
      </c>
      <c r="BF1156" s="309">
        <v>13.6159</v>
      </c>
      <c r="BG1156" s="309">
        <v>15.2721</v>
      </c>
      <c r="BH1156" s="309">
        <v>13.167899999999999</v>
      </c>
      <c r="BI1156" s="309">
        <v>15.505100000000001</v>
      </c>
      <c r="BJ1156" s="309">
        <v>15.042299999999999</v>
      </c>
      <c r="BK1156" s="309">
        <v>15.294600000000001</v>
      </c>
    </row>
    <row r="1157" spans="1:63" x14ac:dyDescent="0.25">
      <c r="A1157" s="306">
        <v>517000</v>
      </c>
      <c r="B1157" s="309" t="s">
        <v>295</v>
      </c>
      <c r="C1157" s="309">
        <v>12.351699999999999</v>
      </c>
      <c r="D1157" s="309">
        <v>6.9870000000000001</v>
      </c>
      <c r="E1157" s="309">
        <v>9.2672000000000008</v>
      </c>
      <c r="F1157" s="309">
        <v>7.3903999999999996</v>
      </c>
      <c r="G1157" s="309">
        <v>8.9582999999999995</v>
      </c>
      <c r="H1157" s="309">
        <v>8.7364999999999995</v>
      </c>
      <c r="I1157" s="309">
        <v>9.0988000000000007</v>
      </c>
      <c r="J1157" s="309">
        <v>6.8323999999999998</v>
      </c>
      <c r="K1157" s="309">
        <v>0.9728</v>
      </c>
      <c r="L1157" s="309">
        <v>6.2332000000000001</v>
      </c>
      <c r="M1157" s="309">
        <v>10.139099999999999</v>
      </c>
      <c r="N1157" s="309">
        <v>9.3843999999999994</v>
      </c>
      <c r="O1157" s="309">
        <v>8.5549999999999997</v>
      </c>
      <c r="P1157" s="309">
        <v>7.4402999999999997</v>
      </c>
      <c r="Q1157" s="309">
        <v>8.4025999999999996</v>
      </c>
      <c r="R1157" s="309">
        <v>8.8691999999999993</v>
      </c>
      <c r="S1157" s="309">
        <v>8.5792999999999999</v>
      </c>
      <c r="T1157" s="309">
        <v>5.8003999999999998</v>
      </c>
      <c r="U1157" s="309">
        <v>8.9651999999999994</v>
      </c>
      <c r="V1157" s="309">
        <v>9.2314000000000007</v>
      </c>
      <c r="W1157" s="309">
        <v>7.1288999999999998</v>
      </c>
      <c r="X1157" s="309">
        <v>8.0327000000000002</v>
      </c>
      <c r="Y1157" s="309">
        <v>8.8620999999999999</v>
      </c>
      <c r="Z1157" s="309">
        <v>9.1798000000000002</v>
      </c>
      <c r="AA1157" s="309">
        <v>8.4514999999999993</v>
      </c>
      <c r="AB1157" s="309">
        <v>7.9862000000000002</v>
      </c>
      <c r="AC1157" s="309">
        <v>8.4991000000000003</v>
      </c>
      <c r="AD1157" s="309">
        <v>8.8871000000000002</v>
      </c>
      <c r="AE1157" s="309">
        <v>8.9251000000000005</v>
      </c>
      <c r="AF1157" s="309">
        <v>6.1124000000000001</v>
      </c>
      <c r="AG1157" s="309">
        <v>6.9042000000000003</v>
      </c>
      <c r="AH1157" s="309">
        <v>7.8</v>
      </c>
      <c r="AI1157" s="309">
        <v>7.577</v>
      </c>
      <c r="AJ1157" s="309">
        <v>9.5589999999999993</v>
      </c>
      <c r="AK1157" s="309">
        <v>7.8868</v>
      </c>
      <c r="AL1157" s="309">
        <v>6.0162000000000004</v>
      </c>
      <c r="AM1157" s="309">
        <v>9.2423000000000002</v>
      </c>
      <c r="AN1157" s="309">
        <v>9.8764000000000003</v>
      </c>
      <c r="AO1157" s="309">
        <v>8.6306999999999992</v>
      </c>
      <c r="AP1157" s="309">
        <v>8.7970000000000006</v>
      </c>
      <c r="AQ1157" s="309">
        <v>6.6012000000000004</v>
      </c>
      <c r="AR1157" s="309">
        <v>9.9154</v>
      </c>
      <c r="AS1157" s="309">
        <v>7.0598999999999998</v>
      </c>
      <c r="AT1157" s="309">
        <v>9.8461999999999996</v>
      </c>
      <c r="AU1157" s="309">
        <v>10.0221</v>
      </c>
      <c r="AV1157" s="309">
        <v>11.631399999999999</v>
      </c>
      <c r="AW1157" s="309">
        <v>7.4461000000000004</v>
      </c>
      <c r="AX1157" s="309">
        <v>7.9118000000000004</v>
      </c>
      <c r="AY1157" s="309">
        <v>8.1301000000000005</v>
      </c>
      <c r="AZ1157" s="309">
        <v>8.8267000000000007</v>
      </c>
      <c r="BA1157" s="309">
        <v>7.5448000000000004</v>
      </c>
      <c r="BB1157" s="309">
        <v>6.8689999999999998</v>
      </c>
      <c r="BC1157" s="309">
        <v>8.5036000000000005</v>
      </c>
      <c r="BD1157" s="309">
        <v>8.6773000000000007</v>
      </c>
      <c r="BE1157" s="309">
        <v>9.6607000000000003</v>
      </c>
      <c r="BF1157" s="309">
        <v>8.4856999999999996</v>
      </c>
      <c r="BG1157" s="309">
        <v>10.4617</v>
      </c>
      <c r="BH1157" s="309">
        <v>9.9564000000000004</v>
      </c>
      <c r="BI1157" s="309">
        <v>10.3124</v>
      </c>
      <c r="BJ1157" s="309">
        <v>9.9595000000000002</v>
      </c>
      <c r="BK1157" s="309">
        <v>9.1869999999999994</v>
      </c>
    </row>
    <row r="1158" spans="1:63" x14ac:dyDescent="0.25">
      <c r="A1158" s="306" t="s">
        <v>763</v>
      </c>
      <c r="B1158" s="309" t="s">
        <v>764</v>
      </c>
      <c r="C1158" s="309">
        <v>16.107700000000001</v>
      </c>
      <c r="D1158" s="309">
        <v>13.2126</v>
      </c>
      <c r="E1158" s="309">
        <v>15.605399999999999</v>
      </c>
      <c r="F1158" s="309">
        <v>13.202299999999999</v>
      </c>
      <c r="G1158" s="309">
        <v>13.1997</v>
      </c>
      <c r="H1158" s="309">
        <v>11.437799999999999</v>
      </c>
      <c r="I1158" s="309">
        <v>12.3637</v>
      </c>
      <c r="J1158" s="309">
        <v>9.7398000000000007</v>
      </c>
      <c r="K1158" s="309">
        <v>1.7924</v>
      </c>
      <c r="L1158" s="309">
        <v>8.3550000000000004</v>
      </c>
      <c r="M1158" s="309">
        <v>13.869300000000001</v>
      </c>
      <c r="N1158" s="309">
        <v>12.736499999999999</v>
      </c>
      <c r="O1158" s="309">
        <v>13.083500000000001</v>
      </c>
      <c r="P1158" s="309">
        <v>11.956</v>
      </c>
      <c r="Q1158" s="309">
        <v>12.134399999999999</v>
      </c>
      <c r="R1158" s="309">
        <v>11.6883</v>
      </c>
      <c r="S1158" s="309">
        <v>14.265000000000001</v>
      </c>
      <c r="T1158" s="309">
        <v>9.7296999999999993</v>
      </c>
      <c r="U1158" s="309">
        <v>13.821300000000001</v>
      </c>
      <c r="V1158" s="309">
        <v>13.5487</v>
      </c>
      <c r="W1158" s="309">
        <v>9.5398999999999994</v>
      </c>
      <c r="X1158" s="309">
        <v>11.082700000000001</v>
      </c>
      <c r="Y1158" s="309">
        <v>13.817399999999999</v>
      </c>
      <c r="Z1158" s="309">
        <v>14.438499999999999</v>
      </c>
      <c r="AA1158" s="309">
        <v>12.3012</v>
      </c>
      <c r="AB1158" s="309">
        <v>11.189</v>
      </c>
      <c r="AC1158" s="309">
        <v>13.535399999999999</v>
      </c>
      <c r="AD1158" s="309">
        <v>14.3057</v>
      </c>
      <c r="AE1158" s="309">
        <v>11.804600000000001</v>
      </c>
      <c r="AF1158" s="309">
        <v>11.476100000000001</v>
      </c>
      <c r="AG1158" s="309">
        <v>8.8938000000000006</v>
      </c>
      <c r="AH1158" s="309">
        <v>11.801399999999999</v>
      </c>
      <c r="AI1158" s="309">
        <v>10.0205</v>
      </c>
      <c r="AJ1158" s="309">
        <v>14.898999999999999</v>
      </c>
      <c r="AK1158" s="309">
        <v>12.619300000000001</v>
      </c>
      <c r="AL1158" s="309">
        <v>8.0001999999999995</v>
      </c>
      <c r="AM1158" s="309">
        <v>14.4138</v>
      </c>
      <c r="AN1158" s="309">
        <v>15.7354</v>
      </c>
      <c r="AO1158" s="309">
        <v>11.764200000000001</v>
      </c>
      <c r="AP1158" s="309">
        <v>13.177</v>
      </c>
      <c r="AQ1158" s="309">
        <v>10.1425</v>
      </c>
      <c r="AR1158" s="309">
        <v>13.5381</v>
      </c>
      <c r="AS1158" s="309">
        <v>11.2423</v>
      </c>
      <c r="AT1158" s="309">
        <v>13.147500000000001</v>
      </c>
      <c r="AU1158" s="309">
        <v>12.946199999999999</v>
      </c>
      <c r="AV1158" s="309">
        <v>16.546099999999999</v>
      </c>
      <c r="AW1158" s="309">
        <v>10.3972</v>
      </c>
      <c r="AX1158" s="309">
        <v>12.976599999999999</v>
      </c>
      <c r="AY1158" s="309">
        <v>11.4849</v>
      </c>
      <c r="AZ1158" s="309">
        <v>12.1839</v>
      </c>
      <c r="BA1158" s="309">
        <v>12.189</v>
      </c>
      <c r="BB1158" s="309">
        <v>11.8431</v>
      </c>
      <c r="BC1158" s="309">
        <v>11.6434</v>
      </c>
      <c r="BD1158" s="309">
        <v>11.6</v>
      </c>
      <c r="BE1158" s="309">
        <v>13.7462</v>
      </c>
      <c r="BF1158" s="309">
        <v>12.2995</v>
      </c>
      <c r="BG1158" s="309">
        <v>14.107799999999999</v>
      </c>
      <c r="BH1158" s="309">
        <v>14.539400000000001</v>
      </c>
      <c r="BI1158" s="309">
        <v>13.472</v>
      </c>
      <c r="BJ1158" s="309">
        <v>14.0749</v>
      </c>
      <c r="BK1158" s="309">
        <v>12.024100000000001</v>
      </c>
    </row>
    <row r="1159" spans="1:63" x14ac:dyDescent="0.25">
      <c r="A1159" s="306" t="s">
        <v>765</v>
      </c>
      <c r="B1159" s="309" t="s">
        <v>296</v>
      </c>
      <c r="C1159" s="309">
        <v>13.695399999999999</v>
      </c>
      <c r="D1159" s="309">
        <v>8.0451999999999995</v>
      </c>
      <c r="E1159" s="309">
        <v>12.0501</v>
      </c>
      <c r="F1159" s="309">
        <v>10.1279</v>
      </c>
      <c r="G1159" s="309">
        <v>10.8477</v>
      </c>
      <c r="H1159" s="309">
        <v>9.6176999999999992</v>
      </c>
      <c r="I1159" s="309">
        <v>10.934200000000001</v>
      </c>
      <c r="J1159" s="309">
        <v>7.0102000000000002</v>
      </c>
      <c r="K1159" s="309">
        <v>1.1055999999999999</v>
      </c>
      <c r="L1159" s="309">
        <v>7.0442</v>
      </c>
      <c r="M1159" s="309">
        <v>12.1412</v>
      </c>
      <c r="N1159" s="309">
        <v>10.48</v>
      </c>
      <c r="O1159" s="309">
        <v>10.853</v>
      </c>
      <c r="P1159" s="309">
        <v>8.4842999999999993</v>
      </c>
      <c r="Q1159" s="309">
        <v>9.6046999999999993</v>
      </c>
      <c r="R1159" s="309">
        <v>10.2189</v>
      </c>
      <c r="S1159" s="309">
        <v>10.5014</v>
      </c>
      <c r="T1159" s="309">
        <v>8.7088999999999999</v>
      </c>
      <c r="U1159" s="309">
        <v>11.4558</v>
      </c>
      <c r="V1159" s="309">
        <v>11.846</v>
      </c>
      <c r="W1159" s="309">
        <v>7.9497999999999998</v>
      </c>
      <c r="X1159" s="309">
        <v>9.4772999999999996</v>
      </c>
      <c r="Y1159" s="309">
        <v>12.046200000000001</v>
      </c>
      <c r="Z1159" s="309">
        <v>9.8899000000000008</v>
      </c>
      <c r="AA1159" s="309">
        <v>10.2959</v>
      </c>
      <c r="AB1159" s="309">
        <v>10.8552</v>
      </c>
      <c r="AC1159" s="309">
        <v>11.794</v>
      </c>
      <c r="AD1159" s="309">
        <v>11.9718</v>
      </c>
      <c r="AE1159" s="309">
        <v>9.9414999999999996</v>
      </c>
      <c r="AF1159" s="309">
        <v>9.4009999999999998</v>
      </c>
      <c r="AG1159" s="309">
        <v>8.8675999999999995</v>
      </c>
      <c r="AH1159" s="309">
        <v>8.8709000000000007</v>
      </c>
      <c r="AI1159" s="309">
        <v>8.7916000000000007</v>
      </c>
      <c r="AJ1159" s="309">
        <v>11.1531</v>
      </c>
      <c r="AK1159" s="309">
        <v>8.7853999999999992</v>
      </c>
      <c r="AL1159" s="309">
        <v>6.2584999999999997</v>
      </c>
      <c r="AM1159" s="309">
        <v>11.77</v>
      </c>
      <c r="AN1159" s="309">
        <v>12.878399999999999</v>
      </c>
      <c r="AO1159" s="309">
        <v>10.148</v>
      </c>
      <c r="AP1159" s="309">
        <v>10.175700000000001</v>
      </c>
      <c r="AQ1159" s="309">
        <v>8.2378999999999998</v>
      </c>
      <c r="AR1159" s="309">
        <v>12.6028</v>
      </c>
      <c r="AS1159" s="309">
        <v>10.8582</v>
      </c>
      <c r="AT1159" s="309">
        <v>10.603199999999999</v>
      </c>
      <c r="AU1159" s="309">
        <v>11.3832</v>
      </c>
      <c r="AV1159" s="309">
        <v>14.899800000000001</v>
      </c>
      <c r="AW1159" s="309">
        <v>8.3625000000000007</v>
      </c>
      <c r="AX1159" s="309">
        <v>9.1159999999999997</v>
      </c>
      <c r="AY1159" s="309">
        <v>8.9091000000000005</v>
      </c>
      <c r="AZ1159" s="309">
        <v>11.3688</v>
      </c>
      <c r="BA1159" s="309">
        <v>9.7981999999999996</v>
      </c>
      <c r="BB1159" s="309">
        <v>9.5091000000000001</v>
      </c>
      <c r="BC1159" s="309">
        <v>9.2719000000000005</v>
      </c>
      <c r="BD1159" s="309">
        <v>9.3760999999999992</v>
      </c>
      <c r="BE1159" s="309">
        <v>11.4359</v>
      </c>
      <c r="BF1159" s="309">
        <v>10.939500000000001</v>
      </c>
      <c r="BG1159" s="309">
        <v>11.7592</v>
      </c>
      <c r="BH1159" s="309">
        <v>11.7171</v>
      </c>
      <c r="BI1159" s="309">
        <v>11.829599999999999</v>
      </c>
      <c r="BJ1159" s="309">
        <v>11.624000000000001</v>
      </c>
      <c r="BK1159" s="309">
        <v>9.9268999999999998</v>
      </c>
    </row>
    <row r="1160" spans="1:63" x14ac:dyDescent="0.25">
      <c r="A1160" s="306">
        <v>523000</v>
      </c>
      <c r="B1160" s="309" t="s">
        <v>297</v>
      </c>
      <c r="C1160" s="309">
        <v>24.728200000000001</v>
      </c>
      <c r="D1160" s="309">
        <v>29.313099999999999</v>
      </c>
      <c r="E1160" s="309">
        <v>30.624199999999998</v>
      </c>
      <c r="F1160" s="309">
        <v>24.2485</v>
      </c>
      <c r="G1160" s="309">
        <v>30.845199999999998</v>
      </c>
      <c r="H1160" s="309">
        <v>18.0959</v>
      </c>
      <c r="I1160" s="309">
        <v>23.7958</v>
      </c>
      <c r="J1160" s="309">
        <v>11.4338</v>
      </c>
      <c r="K1160" s="309">
        <v>2.4824000000000002</v>
      </c>
      <c r="L1160" s="309">
        <v>13.5563</v>
      </c>
      <c r="M1160" s="309">
        <v>25.629000000000001</v>
      </c>
      <c r="N1160" s="309">
        <v>23.096900000000002</v>
      </c>
      <c r="O1160" s="309">
        <v>37.864800000000002</v>
      </c>
      <c r="P1160" s="309">
        <v>29.982800000000001</v>
      </c>
      <c r="Q1160" s="309">
        <v>34.488100000000003</v>
      </c>
      <c r="R1160" s="309">
        <v>17.521899999999999</v>
      </c>
      <c r="S1160" s="309">
        <v>26.604800000000001</v>
      </c>
      <c r="T1160" s="309">
        <v>23.146100000000001</v>
      </c>
      <c r="U1160" s="309">
        <v>20.889099999999999</v>
      </c>
      <c r="V1160" s="309">
        <v>28.709</v>
      </c>
      <c r="W1160" s="309">
        <v>13.5106</v>
      </c>
      <c r="X1160" s="309">
        <v>17.684100000000001</v>
      </c>
      <c r="Y1160" s="309">
        <v>26.865200000000002</v>
      </c>
      <c r="Z1160" s="309">
        <v>28.932200000000002</v>
      </c>
      <c r="AA1160" s="309">
        <v>19.6523</v>
      </c>
      <c r="AB1160" s="309">
        <v>20.2881</v>
      </c>
      <c r="AC1160" s="309">
        <v>37.7286</v>
      </c>
      <c r="AD1160" s="309">
        <v>31.535</v>
      </c>
      <c r="AE1160" s="309">
        <v>21.7563</v>
      </c>
      <c r="AF1160" s="309">
        <v>35.677</v>
      </c>
      <c r="AG1160" s="309">
        <v>27.1889</v>
      </c>
      <c r="AH1160" s="309">
        <v>15.6724</v>
      </c>
      <c r="AI1160" s="309">
        <v>14.0922</v>
      </c>
      <c r="AJ1160" s="309">
        <v>24.172499999999999</v>
      </c>
      <c r="AK1160" s="309">
        <v>44.725999999999999</v>
      </c>
      <c r="AL1160" s="309">
        <v>10.003299999999999</v>
      </c>
      <c r="AM1160" s="309">
        <v>25.590499999999999</v>
      </c>
      <c r="AN1160" s="309">
        <v>35.652799999999999</v>
      </c>
      <c r="AO1160" s="309">
        <v>27.235900000000001</v>
      </c>
      <c r="AP1160" s="309">
        <v>20.395399999999999</v>
      </c>
      <c r="AQ1160" s="309">
        <v>13.9214</v>
      </c>
      <c r="AR1160" s="309">
        <v>33.206299999999999</v>
      </c>
      <c r="AS1160" s="309">
        <v>44.275399999999998</v>
      </c>
      <c r="AT1160" s="309">
        <v>20.811699999999998</v>
      </c>
      <c r="AU1160" s="309">
        <v>25.9725</v>
      </c>
      <c r="AV1160" s="309">
        <v>51.844200000000001</v>
      </c>
      <c r="AW1160" s="309">
        <v>20.189699999999998</v>
      </c>
      <c r="AX1160" s="309">
        <v>20.966100000000001</v>
      </c>
      <c r="AY1160" s="309">
        <v>23.198399999999999</v>
      </c>
      <c r="AZ1160" s="309">
        <v>21.187000000000001</v>
      </c>
      <c r="BA1160" s="309">
        <v>25.5047</v>
      </c>
      <c r="BB1160" s="309">
        <v>38.924999999999997</v>
      </c>
      <c r="BC1160" s="309">
        <v>15.232699999999999</v>
      </c>
      <c r="BD1160" s="309">
        <v>15.8498</v>
      </c>
      <c r="BE1160" s="309">
        <v>21.326499999999999</v>
      </c>
      <c r="BF1160" s="309">
        <v>23.1492</v>
      </c>
      <c r="BG1160" s="309">
        <v>24.4194</v>
      </c>
      <c r="BH1160" s="309">
        <v>23.9649</v>
      </c>
      <c r="BI1160" s="309">
        <v>27.022400000000001</v>
      </c>
      <c r="BJ1160" s="309">
        <v>30.970600000000001</v>
      </c>
      <c r="BK1160" s="309">
        <v>19.337299999999999</v>
      </c>
    </row>
    <row r="1161" spans="1:63" x14ac:dyDescent="0.25">
      <c r="A1161" s="306">
        <v>524100</v>
      </c>
      <c r="B1161" s="309" t="s">
        <v>298</v>
      </c>
      <c r="C1161" s="309">
        <v>17.486999999999998</v>
      </c>
      <c r="D1161" s="309">
        <v>9.3673999999999999</v>
      </c>
      <c r="E1161" s="309">
        <v>13.7295</v>
      </c>
      <c r="F1161" s="309">
        <v>12.3865</v>
      </c>
      <c r="G1161" s="309">
        <v>14.019299999999999</v>
      </c>
      <c r="H1161" s="309">
        <v>13.0276</v>
      </c>
      <c r="I1161" s="309">
        <v>14.33</v>
      </c>
      <c r="J1161" s="309">
        <v>10.3225</v>
      </c>
      <c r="K1161" s="309">
        <v>1.0438000000000001</v>
      </c>
      <c r="L1161" s="309">
        <v>8.5103000000000009</v>
      </c>
      <c r="M1161" s="309">
        <v>15.225899999999999</v>
      </c>
      <c r="N1161" s="309">
        <v>14.6328</v>
      </c>
      <c r="O1161" s="309">
        <v>12.815899999999999</v>
      </c>
      <c r="P1161" s="309">
        <v>11.9748</v>
      </c>
      <c r="Q1161" s="309">
        <v>12.1707</v>
      </c>
      <c r="R1161" s="309">
        <v>13.4198</v>
      </c>
      <c r="S1161" s="309">
        <v>13.7431</v>
      </c>
      <c r="T1161" s="309">
        <v>11.4838</v>
      </c>
      <c r="U1161" s="309">
        <v>13.136200000000001</v>
      </c>
      <c r="V1161" s="309">
        <v>13.7652</v>
      </c>
      <c r="W1161" s="309">
        <v>10.8919</v>
      </c>
      <c r="X1161" s="309">
        <v>11.877000000000001</v>
      </c>
      <c r="Y1161" s="309">
        <v>14.1244</v>
      </c>
      <c r="Z1161" s="309">
        <v>13.4285</v>
      </c>
      <c r="AA1161" s="309">
        <v>12.728</v>
      </c>
      <c r="AB1161" s="309">
        <v>13.440300000000001</v>
      </c>
      <c r="AC1161" s="309">
        <v>13.5146</v>
      </c>
      <c r="AD1161" s="309">
        <v>15.027699999999999</v>
      </c>
      <c r="AE1161" s="309">
        <v>12.419700000000001</v>
      </c>
      <c r="AF1161" s="309">
        <v>10.032400000000001</v>
      </c>
      <c r="AG1161" s="309">
        <v>11.776999999999999</v>
      </c>
      <c r="AH1161" s="309">
        <v>11.6496</v>
      </c>
      <c r="AI1161" s="309">
        <v>11.130699999999999</v>
      </c>
      <c r="AJ1161" s="309">
        <v>12.345700000000001</v>
      </c>
      <c r="AK1161" s="309">
        <v>11.766</v>
      </c>
      <c r="AL1161" s="309">
        <v>8.8437000000000001</v>
      </c>
      <c r="AM1161" s="309">
        <v>14.2675</v>
      </c>
      <c r="AN1161" s="309">
        <v>14.9488</v>
      </c>
      <c r="AO1161" s="309">
        <v>13.161199999999999</v>
      </c>
      <c r="AP1161" s="309">
        <v>13.243399999999999</v>
      </c>
      <c r="AQ1161" s="309">
        <v>11.533899999999999</v>
      </c>
      <c r="AR1161" s="309">
        <v>15.5792</v>
      </c>
      <c r="AS1161" s="309">
        <v>12.567600000000001</v>
      </c>
      <c r="AT1161" s="309">
        <v>14.499000000000001</v>
      </c>
      <c r="AU1161" s="309">
        <v>15.213699999999999</v>
      </c>
      <c r="AV1161" s="309">
        <v>18.2685</v>
      </c>
      <c r="AW1161" s="309">
        <v>11.6844</v>
      </c>
      <c r="AX1161" s="309">
        <v>12.0832</v>
      </c>
      <c r="AY1161" s="309">
        <v>12.180400000000001</v>
      </c>
      <c r="AZ1161" s="309">
        <v>13.974299999999999</v>
      </c>
      <c r="BA1161" s="309">
        <v>12.744899999999999</v>
      </c>
      <c r="BB1161" s="309">
        <v>10.3725</v>
      </c>
      <c r="BC1161" s="309">
        <v>12.587199999999999</v>
      </c>
      <c r="BD1161" s="309">
        <v>12.707800000000001</v>
      </c>
      <c r="BE1161" s="309">
        <v>14.866199999999999</v>
      </c>
      <c r="BF1161" s="309">
        <v>13.8056</v>
      </c>
      <c r="BG1161" s="309">
        <v>15.443099999999999</v>
      </c>
      <c r="BH1161" s="309">
        <v>14.801600000000001</v>
      </c>
      <c r="BI1161" s="309">
        <v>15.618600000000001</v>
      </c>
      <c r="BJ1161" s="309">
        <v>14.7448</v>
      </c>
      <c r="BK1161" s="309">
        <v>13.331799999999999</v>
      </c>
    </row>
    <row r="1162" spans="1:63" x14ac:dyDescent="0.25">
      <c r="A1162" s="306">
        <v>524200</v>
      </c>
      <c r="B1162" s="309" t="s">
        <v>299</v>
      </c>
      <c r="C1162" s="309">
        <v>20.868099999999998</v>
      </c>
      <c r="D1162" s="309">
        <v>12.4596</v>
      </c>
      <c r="E1162" s="309">
        <v>16.924900000000001</v>
      </c>
      <c r="F1162" s="309">
        <v>16.8109</v>
      </c>
      <c r="G1162" s="309">
        <v>17.511500000000002</v>
      </c>
      <c r="H1162" s="309">
        <v>15.7254</v>
      </c>
      <c r="I1162" s="309">
        <v>17.737200000000001</v>
      </c>
      <c r="J1162" s="309">
        <v>12.1831</v>
      </c>
      <c r="K1162" s="309">
        <v>1.7491000000000001</v>
      </c>
      <c r="L1162" s="309">
        <v>10.347300000000001</v>
      </c>
      <c r="M1162" s="309">
        <v>18.406500000000001</v>
      </c>
      <c r="N1162" s="309">
        <v>17.087199999999999</v>
      </c>
      <c r="O1162" s="309">
        <v>15.755699999999999</v>
      </c>
      <c r="P1162" s="309">
        <v>14.869</v>
      </c>
      <c r="Q1162" s="309">
        <v>16.636099999999999</v>
      </c>
      <c r="R1162" s="309">
        <v>16.367799999999999</v>
      </c>
      <c r="S1162" s="309">
        <v>17.775700000000001</v>
      </c>
      <c r="T1162" s="309">
        <v>14.0336</v>
      </c>
      <c r="U1162" s="309">
        <v>17.184000000000001</v>
      </c>
      <c r="V1162" s="309">
        <v>16.704699999999999</v>
      </c>
      <c r="W1162" s="309">
        <v>13.002800000000001</v>
      </c>
      <c r="X1162" s="309">
        <v>14.6267</v>
      </c>
      <c r="Y1162" s="309">
        <v>16.9602</v>
      </c>
      <c r="Z1162" s="309">
        <v>17.340599999999998</v>
      </c>
      <c r="AA1162" s="309">
        <v>15.9199</v>
      </c>
      <c r="AB1162" s="309">
        <v>15.586499999999999</v>
      </c>
      <c r="AC1162" s="309">
        <v>17.470500000000001</v>
      </c>
      <c r="AD1162" s="309">
        <v>18.568000000000001</v>
      </c>
      <c r="AE1162" s="309">
        <v>16.681699999999999</v>
      </c>
      <c r="AF1162" s="309">
        <v>12.845700000000001</v>
      </c>
      <c r="AG1162" s="309">
        <v>14.565</v>
      </c>
      <c r="AH1162" s="309">
        <v>14.107699999999999</v>
      </c>
      <c r="AI1162" s="309">
        <v>13.4344</v>
      </c>
      <c r="AJ1162" s="309">
        <v>17.4405</v>
      </c>
      <c r="AK1162" s="309">
        <v>15.877700000000001</v>
      </c>
      <c r="AL1162" s="309">
        <v>10.4597</v>
      </c>
      <c r="AM1162" s="309">
        <v>18.094899999999999</v>
      </c>
      <c r="AN1162" s="309">
        <v>19.598099999999999</v>
      </c>
      <c r="AO1162" s="309">
        <v>16.63</v>
      </c>
      <c r="AP1162" s="309">
        <v>15.5343</v>
      </c>
      <c r="AQ1162" s="309">
        <v>13.6272</v>
      </c>
      <c r="AR1162" s="309">
        <v>19.447399999999998</v>
      </c>
      <c r="AS1162" s="309">
        <v>15.2171</v>
      </c>
      <c r="AT1162" s="309">
        <v>17.1159</v>
      </c>
      <c r="AU1162" s="309">
        <v>18.622900000000001</v>
      </c>
      <c r="AV1162" s="309">
        <v>21.571400000000001</v>
      </c>
      <c r="AW1162" s="309">
        <v>14.993399999999999</v>
      </c>
      <c r="AX1162" s="309">
        <v>15.088800000000001</v>
      </c>
      <c r="AY1162" s="309">
        <v>15.522</v>
      </c>
      <c r="AZ1162" s="309">
        <v>17.1233</v>
      </c>
      <c r="BA1162" s="309">
        <v>16.309200000000001</v>
      </c>
      <c r="BB1162" s="309">
        <v>14.231</v>
      </c>
      <c r="BC1162" s="309">
        <v>14.964399999999999</v>
      </c>
      <c r="BD1162" s="309">
        <v>14.8</v>
      </c>
      <c r="BE1162" s="309">
        <v>18.337499999999999</v>
      </c>
      <c r="BF1162" s="309">
        <v>16.799499999999998</v>
      </c>
      <c r="BG1162" s="309">
        <v>18.782699999999998</v>
      </c>
      <c r="BH1162" s="309">
        <v>18.2044</v>
      </c>
      <c r="BI1162" s="309">
        <v>19.3126</v>
      </c>
      <c r="BJ1162" s="309">
        <v>18.961600000000001</v>
      </c>
      <c r="BK1162" s="309">
        <v>16.2776</v>
      </c>
    </row>
    <row r="1163" spans="1:63" x14ac:dyDescent="0.25">
      <c r="A1163" s="306">
        <v>525000</v>
      </c>
      <c r="B1163" s="309" t="s">
        <v>300</v>
      </c>
      <c r="C1163" s="309">
        <v>23.144400000000001</v>
      </c>
      <c r="D1163" s="309">
        <v>7.7929000000000004</v>
      </c>
      <c r="E1163" s="309">
        <v>17.1477</v>
      </c>
      <c r="F1163" s="309">
        <v>15.6617</v>
      </c>
      <c r="G1163" s="309">
        <v>15.013999999999999</v>
      </c>
      <c r="H1163" s="309">
        <v>14.139099999999999</v>
      </c>
      <c r="I1163" s="309">
        <v>18.8566</v>
      </c>
      <c r="J1163" s="309">
        <v>11.2735</v>
      </c>
      <c r="K1163" s="309">
        <v>1.5769</v>
      </c>
      <c r="L1163" s="309">
        <v>10.7934</v>
      </c>
      <c r="M1163" s="309">
        <v>18.248000000000001</v>
      </c>
      <c r="N1163" s="309">
        <v>15.869899999999999</v>
      </c>
      <c r="O1163" s="309">
        <v>10.133699999999999</v>
      </c>
      <c r="P1163" s="309">
        <v>7.9237000000000002</v>
      </c>
      <c r="Q1163" s="309">
        <v>8.7172000000000001</v>
      </c>
      <c r="R1163" s="309">
        <v>17.795000000000002</v>
      </c>
      <c r="S1163" s="309">
        <v>9.8257999999999992</v>
      </c>
      <c r="T1163" s="309">
        <v>15.785500000000001</v>
      </c>
      <c r="U1163" s="309">
        <v>15.2021</v>
      </c>
      <c r="V1163" s="309">
        <v>10.0496</v>
      </c>
      <c r="W1163" s="309">
        <v>12.8169</v>
      </c>
      <c r="X1163" s="309">
        <v>19.265999999999998</v>
      </c>
      <c r="Y1163" s="309">
        <v>9.4499999999999993</v>
      </c>
      <c r="Z1163" s="309">
        <v>10.862399999999999</v>
      </c>
      <c r="AA1163" s="309">
        <v>14.731400000000001</v>
      </c>
      <c r="AB1163" s="309">
        <v>12.698399999999999</v>
      </c>
      <c r="AC1163" s="309">
        <v>8.2655999999999992</v>
      </c>
      <c r="AD1163" s="309">
        <v>10.454499999999999</v>
      </c>
      <c r="AE1163" s="309">
        <v>14.2173</v>
      </c>
      <c r="AF1163" s="309">
        <v>7.0548000000000002</v>
      </c>
      <c r="AG1163" s="309">
        <v>15.6943</v>
      </c>
      <c r="AH1163" s="309">
        <v>17.852699999999999</v>
      </c>
      <c r="AI1163" s="309">
        <v>13.110200000000001</v>
      </c>
      <c r="AJ1163" s="309">
        <v>15.4666</v>
      </c>
      <c r="AK1163" s="309">
        <v>13.338800000000001</v>
      </c>
      <c r="AL1163" s="309">
        <v>9.5681999999999992</v>
      </c>
      <c r="AM1163" s="309">
        <v>13.715999999999999</v>
      </c>
      <c r="AN1163" s="309">
        <v>11.1121</v>
      </c>
      <c r="AO1163" s="309">
        <v>17.234400000000001</v>
      </c>
      <c r="AP1163" s="309">
        <v>12.6348</v>
      </c>
      <c r="AQ1163" s="309">
        <v>13.048299999999999</v>
      </c>
      <c r="AR1163" s="309">
        <v>16.4816</v>
      </c>
      <c r="AS1163" s="309">
        <v>8.2060999999999993</v>
      </c>
      <c r="AT1163" s="309">
        <v>11.5839</v>
      </c>
      <c r="AU1163" s="309">
        <v>15.161</v>
      </c>
      <c r="AV1163" s="309">
        <v>23.75</v>
      </c>
      <c r="AW1163" s="309">
        <v>9.7063000000000006</v>
      </c>
      <c r="AX1163" s="309">
        <v>10.6328</v>
      </c>
      <c r="AY1163" s="309">
        <v>11.5184</v>
      </c>
      <c r="AZ1163" s="309">
        <v>17.026700000000002</v>
      </c>
      <c r="BA1163" s="309">
        <v>6.9489999999999998</v>
      </c>
      <c r="BB1163" s="309">
        <v>15.084099999999999</v>
      </c>
      <c r="BC1163" s="309">
        <v>14.7089</v>
      </c>
      <c r="BD1163" s="309">
        <v>14.9796</v>
      </c>
      <c r="BE1163" s="309">
        <v>15.725199999999999</v>
      </c>
      <c r="BF1163" s="309">
        <v>12.6669</v>
      </c>
      <c r="BG1163" s="309">
        <v>15.547800000000001</v>
      </c>
      <c r="BH1163" s="309">
        <v>11.144500000000001</v>
      </c>
      <c r="BI1163" s="309">
        <v>14.1203</v>
      </c>
      <c r="BJ1163" s="309">
        <v>16.342600000000001</v>
      </c>
      <c r="BK1163" s="309">
        <v>13.694000000000001</v>
      </c>
    </row>
    <row r="1164" spans="1:63" x14ac:dyDescent="0.25">
      <c r="A1164" s="306" t="s">
        <v>766</v>
      </c>
      <c r="B1164" s="309" t="s">
        <v>767</v>
      </c>
      <c r="C1164" s="309">
        <v>13.8696</v>
      </c>
      <c r="D1164" s="309">
        <v>8.9071999999999996</v>
      </c>
      <c r="E1164" s="309">
        <v>10.4299</v>
      </c>
      <c r="F1164" s="309">
        <v>10.689399999999999</v>
      </c>
      <c r="G1164" s="309">
        <v>10.8154</v>
      </c>
      <c r="H1164" s="309">
        <v>9.5672999999999995</v>
      </c>
      <c r="I1164" s="309">
        <v>11.4017</v>
      </c>
      <c r="J1164" s="309">
        <v>7.8108000000000004</v>
      </c>
      <c r="K1164" s="309">
        <v>1.3507</v>
      </c>
      <c r="L1164" s="309">
        <v>7.5624000000000002</v>
      </c>
      <c r="M1164" s="309">
        <v>11.868499999999999</v>
      </c>
      <c r="N1164" s="309">
        <v>10.1203</v>
      </c>
      <c r="O1164" s="309">
        <v>11.378299999999999</v>
      </c>
      <c r="P1164" s="309">
        <v>8.7060999999999993</v>
      </c>
      <c r="Q1164" s="309">
        <v>9.7205999999999992</v>
      </c>
      <c r="R1164" s="309">
        <v>10.405200000000001</v>
      </c>
      <c r="S1164" s="309">
        <v>11.157</v>
      </c>
      <c r="T1164" s="309">
        <v>9.4125999999999994</v>
      </c>
      <c r="U1164" s="309">
        <v>10.924200000000001</v>
      </c>
      <c r="V1164" s="309">
        <v>10.680400000000001</v>
      </c>
      <c r="W1164" s="309">
        <v>8.4003999999999994</v>
      </c>
      <c r="X1164" s="309">
        <v>9.9634</v>
      </c>
      <c r="Y1164" s="309">
        <v>11.7873</v>
      </c>
      <c r="Z1164" s="309">
        <v>10.4353</v>
      </c>
      <c r="AA1164" s="309">
        <v>10.5656</v>
      </c>
      <c r="AB1164" s="309">
        <v>10.856299999999999</v>
      </c>
      <c r="AC1164" s="309">
        <v>11.040800000000001</v>
      </c>
      <c r="AD1164" s="309">
        <v>11.569599999999999</v>
      </c>
      <c r="AE1164" s="309">
        <v>9.4222999999999999</v>
      </c>
      <c r="AF1164" s="309">
        <v>9.1992999999999991</v>
      </c>
      <c r="AG1164" s="309">
        <v>9.2378999999999998</v>
      </c>
      <c r="AH1164" s="309">
        <v>10.4451</v>
      </c>
      <c r="AI1164" s="309">
        <v>9.3376999999999999</v>
      </c>
      <c r="AJ1164" s="309">
        <v>10.81</v>
      </c>
      <c r="AK1164" s="309">
        <v>7.9996</v>
      </c>
      <c r="AL1164" s="309">
        <v>6.6585000000000001</v>
      </c>
      <c r="AM1164" s="309">
        <v>10.9816</v>
      </c>
      <c r="AN1164" s="309">
        <v>11.8788</v>
      </c>
      <c r="AO1164" s="309">
        <v>10.5092</v>
      </c>
      <c r="AP1164" s="309">
        <v>10.534000000000001</v>
      </c>
      <c r="AQ1164" s="309">
        <v>8.8111999999999995</v>
      </c>
      <c r="AR1164" s="309">
        <v>11.190799999999999</v>
      </c>
      <c r="AS1164" s="309">
        <v>9.6852</v>
      </c>
      <c r="AT1164" s="309">
        <v>10.531499999999999</v>
      </c>
      <c r="AU1164" s="309">
        <v>11.2818</v>
      </c>
      <c r="AV1164" s="309">
        <v>14.247999999999999</v>
      </c>
      <c r="AW1164" s="309">
        <v>9.0277999999999992</v>
      </c>
      <c r="AX1164" s="309">
        <v>9.5836000000000006</v>
      </c>
      <c r="AY1164" s="309">
        <v>8.9337999999999997</v>
      </c>
      <c r="AZ1164" s="309">
        <v>11.634399999999999</v>
      </c>
      <c r="BA1164" s="309">
        <v>9.9247999999999994</v>
      </c>
      <c r="BB1164" s="309">
        <v>8.7913999999999994</v>
      </c>
      <c r="BC1164" s="309">
        <v>9.8623999999999992</v>
      </c>
      <c r="BD1164" s="309">
        <v>10.0649</v>
      </c>
      <c r="BE1164" s="309">
        <v>11.496499999999999</v>
      </c>
      <c r="BF1164" s="309">
        <v>10.857799999999999</v>
      </c>
      <c r="BG1164" s="309">
        <v>11.4681</v>
      </c>
      <c r="BH1164" s="309">
        <v>11.2258</v>
      </c>
      <c r="BI1164" s="309">
        <v>11.6852</v>
      </c>
      <c r="BJ1164" s="309">
        <v>11.501200000000001</v>
      </c>
      <c r="BK1164" s="309">
        <v>9.8962000000000003</v>
      </c>
    </row>
    <row r="1165" spans="1:63" x14ac:dyDescent="0.25">
      <c r="A1165" s="306">
        <v>531000</v>
      </c>
      <c r="B1165" s="309" t="s">
        <v>416</v>
      </c>
      <c r="C1165" s="309">
        <v>16.252500000000001</v>
      </c>
      <c r="D1165" s="309">
        <v>13.422700000000001</v>
      </c>
      <c r="E1165" s="309">
        <v>19.342400000000001</v>
      </c>
      <c r="F1165" s="309">
        <v>20.435199999999998</v>
      </c>
      <c r="G1165" s="309">
        <v>13.694599999999999</v>
      </c>
      <c r="H1165" s="309">
        <v>12.073700000000001</v>
      </c>
      <c r="I1165" s="309">
        <v>14.0159</v>
      </c>
      <c r="J1165" s="309">
        <v>14.2707</v>
      </c>
      <c r="K1165" s="309">
        <v>3.0169000000000001</v>
      </c>
      <c r="L1165" s="309">
        <v>15.427</v>
      </c>
      <c r="M1165" s="309">
        <v>14.974600000000001</v>
      </c>
      <c r="N1165" s="309">
        <v>14.812900000000001</v>
      </c>
      <c r="O1165" s="309">
        <v>12.9322</v>
      </c>
      <c r="P1165" s="309">
        <v>21.470199999999998</v>
      </c>
      <c r="Q1165" s="309">
        <v>13.275700000000001</v>
      </c>
      <c r="R1165" s="309">
        <v>12.332599999999999</v>
      </c>
      <c r="S1165" s="309">
        <v>18.091799999999999</v>
      </c>
      <c r="T1165" s="309">
        <v>16.933399999999999</v>
      </c>
      <c r="U1165" s="309">
        <v>21.5869</v>
      </c>
      <c r="V1165" s="309">
        <v>19.8644</v>
      </c>
      <c r="W1165" s="309">
        <v>10.4566</v>
      </c>
      <c r="X1165" s="309">
        <v>12.4488</v>
      </c>
      <c r="Y1165" s="309">
        <v>21.110499999999998</v>
      </c>
      <c r="Z1165" s="309">
        <v>14.230499999999999</v>
      </c>
      <c r="AA1165" s="309">
        <v>14.6472</v>
      </c>
      <c r="AB1165" s="309">
        <v>18.282800000000002</v>
      </c>
      <c r="AC1165" s="309">
        <v>21.836600000000001</v>
      </c>
      <c r="AD1165" s="309">
        <v>16.723500000000001</v>
      </c>
      <c r="AE1165" s="309">
        <v>17.9407</v>
      </c>
      <c r="AF1165" s="309">
        <v>11.8529</v>
      </c>
      <c r="AG1165" s="309">
        <v>19.9026</v>
      </c>
      <c r="AH1165" s="309">
        <v>14.6866</v>
      </c>
      <c r="AI1165" s="309">
        <v>15.1652</v>
      </c>
      <c r="AJ1165" s="309">
        <v>19.860099999999999</v>
      </c>
      <c r="AK1165" s="309">
        <v>15.6286</v>
      </c>
      <c r="AL1165" s="309">
        <v>9.4322999999999997</v>
      </c>
      <c r="AM1165" s="309">
        <v>18.357199999999999</v>
      </c>
      <c r="AN1165" s="309">
        <v>21.649000000000001</v>
      </c>
      <c r="AO1165" s="309">
        <v>17.968299999999999</v>
      </c>
      <c r="AP1165" s="309">
        <v>16.1251</v>
      </c>
      <c r="AQ1165" s="309">
        <v>16.0032</v>
      </c>
      <c r="AR1165" s="309">
        <v>19.3339</v>
      </c>
      <c r="AS1165" s="309">
        <v>17.7639</v>
      </c>
      <c r="AT1165" s="309">
        <v>16.217600000000001</v>
      </c>
      <c r="AU1165" s="309">
        <v>13.4366</v>
      </c>
      <c r="AV1165" s="309">
        <v>23.672499999999999</v>
      </c>
      <c r="AW1165" s="309">
        <v>12.562200000000001</v>
      </c>
      <c r="AX1165" s="309">
        <v>20.045100000000001</v>
      </c>
      <c r="AY1165" s="309">
        <v>15.2064</v>
      </c>
      <c r="AZ1165" s="309">
        <v>20.4483</v>
      </c>
      <c r="BA1165" s="309">
        <v>19.6509</v>
      </c>
      <c r="BB1165" s="309">
        <v>17.6877</v>
      </c>
      <c r="BC1165" s="309">
        <v>13.528499999999999</v>
      </c>
      <c r="BD1165" s="309">
        <v>13.066800000000001</v>
      </c>
      <c r="BE1165" s="309">
        <v>15.650600000000001</v>
      </c>
      <c r="BF1165" s="309">
        <v>17.588699999999999</v>
      </c>
      <c r="BG1165" s="309">
        <v>15.7834</v>
      </c>
      <c r="BH1165" s="309">
        <v>18.842600000000001</v>
      </c>
      <c r="BI1165" s="309">
        <v>14.8902</v>
      </c>
      <c r="BJ1165" s="309">
        <v>15.867699999999999</v>
      </c>
      <c r="BK1165" s="309">
        <v>12.972</v>
      </c>
    </row>
    <row r="1166" spans="1:63" x14ac:dyDescent="0.25">
      <c r="A1166" s="306">
        <v>532100</v>
      </c>
      <c r="B1166" s="309" t="s">
        <v>301</v>
      </c>
      <c r="C1166" s="309">
        <v>15.649800000000001</v>
      </c>
      <c r="D1166" s="309">
        <v>10.4467</v>
      </c>
      <c r="E1166" s="309">
        <v>14.2822</v>
      </c>
      <c r="F1166" s="309">
        <v>10.442399999999999</v>
      </c>
      <c r="G1166" s="309">
        <v>11.3323</v>
      </c>
      <c r="H1166" s="309">
        <v>11.5907</v>
      </c>
      <c r="I1166" s="309">
        <v>11.791499999999999</v>
      </c>
      <c r="J1166" s="309">
        <v>8.2379999999999995</v>
      </c>
      <c r="K1166" s="309">
        <v>1.5658000000000001</v>
      </c>
      <c r="L1166" s="309">
        <v>7.282</v>
      </c>
      <c r="M1166" s="309">
        <v>14.0219</v>
      </c>
      <c r="N1166" s="309">
        <v>11.8268</v>
      </c>
      <c r="O1166" s="309">
        <v>13.003399999999999</v>
      </c>
      <c r="P1166" s="309">
        <v>10.95</v>
      </c>
      <c r="Q1166" s="309">
        <v>12.9015</v>
      </c>
      <c r="R1166" s="309">
        <v>11.8338</v>
      </c>
      <c r="S1166" s="309">
        <v>12.343</v>
      </c>
      <c r="T1166" s="309">
        <v>9.1902000000000008</v>
      </c>
      <c r="U1166" s="309">
        <v>12.704700000000001</v>
      </c>
      <c r="V1166" s="309">
        <v>12.9452</v>
      </c>
      <c r="W1166" s="309">
        <v>10.545199999999999</v>
      </c>
      <c r="X1166" s="309">
        <v>10.0527</v>
      </c>
      <c r="Y1166" s="309">
        <v>12.9328</v>
      </c>
      <c r="Z1166" s="309">
        <v>13.5082</v>
      </c>
      <c r="AA1166" s="309">
        <v>10.420400000000001</v>
      </c>
      <c r="AB1166" s="309">
        <v>11.213900000000001</v>
      </c>
      <c r="AC1166" s="309">
        <v>11.9397</v>
      </c>
      <c r="AD1166" s="309">
        <v>13.174200000000001</v>
      </c>
      <c r="AE1166" s="309">
        <v>12.941800000000001</v>
      </c>
      <c r="AF1166" s="309">
        <v>8.6082999999999998</v>
      </c>
      <c r="AG1166" s="309">
        <v>9.6941000000000006</v>
      </c>
      <c r="AH1166" s="309">
        <v>10.8819</v>
      </c>
      <c r="AI1166" s="309">
        <v>9.3249999999999993</v>
      </c>
      <c r="AJ1166" s="309">
        <v>12.780099999999999</v>
      </c>
      <c r="AK1166" s="309">
        <v>10.576599999999999</v>
      </c>
      <c r="AL1166" s="309">
        <v>8.4872999999999994</v>
      </c>
      <c r="AM1166" s="309">
        <v>12.356</v>
      </c>
      <c r="AN1166" s="309">
        <v>11.8733</v>
      </c>
      <c r="AO1166" s="309">
        <v>12.5726</v>
      </c>
      <c r="AP1166" s="309">
        <v>10.9138</v>
      </c>
      <c r="AQ1166" s="309">
        <v>10.8117</v>
      </c>
      <c r="AR1166" s="309">
        <v>14.754300000000001</v>
      </c>
      <c r="AS1166" s="309">
        <v>11.709899999999999</v>
      </c>
      <c r="AT1166" s="309">
        <v>12.1142</v>
      </c>
      <c r="AU1166" s="309">
        <v>12.741</v>
      </c>
      <c r="AV1166" s="309">
        <v>15.446300000000001</v>
      </c>
      <c r="AW1166" s="309">
        <v>12.5969</v>
      </c>
      <c r="AX1166" s="309">
        <v>11.6677</v>
      </c>
      <c r="AY1166" s="309">
        <v>12.5692</v>
      </c>
      <c r="AZ1166" s="309">
        <v>14.0968</v>
      </c>
      <c r="BA1166" s="309">
        <v>11.702400000000001</v>
      </c>
      <c r="BB1166" s="309">
        <v>10.2462</v>
      </c>
      <c r="BC1166" s="309">
        <v>11.5061</v>
      </c>
      <c r="BD1166" s="309">
        <v>10.715400000000001</v>
      </c>
      <c r="BE1166" s="309">
        <v>13.42</v>
      </c>
      <c r="BF1166" s="309">
        <v>11.2781</v>
      </c>
      <c r="BG1166" s="309">
        <v>14.100199999999999</v>
      </c>
      <c r="BH1166" s="309">
        <v>13.3833</v>
      </c>
      <c r="BI1166" s="309">
        <v>13.1447</v>
      </c>
      <c r="BJ1166" s="309">
        <v>12.6974</v>
      </c>
      <c r="BK1166" s="309">
        <v>12.293900000000001</v>
      </c>
    </row>
    <row r="1167" spans="1:63" x14ac:dyDescent="0.25">
      <c r="A1167" s="306">
        <v>532230</v>
      </c>
      <c r="B1167" s="309" t="s">
        <v>303</v>
      </c>
      <c r="C1167" s="309">
        <v>30.8477</v>
      </c>
      <c r="D1167" s="309">
        <v>24.734000000000002</v>
      </c>
      <c r="E1167" s="309">
        <v>34.521000000000001</v>
      </c>
      <c r="F1167" s="309">
        <v>25.140799999999999</v>
      </c>
      <c r="G1167" s="309">
        <v>23.230899999999998</v>
      </c>
      <c r="H1167" s="309">
        <v>21.659800000000001</v>
      </c>
      <c r="I1167" s="309">
        <v>22.950800000000001</v>
      </c>
      <c r="J1167" s="309">
        <v>17.626300000000001</v>
      </c>
      <c r="K1167" s="309">
        <v>3.3875000000000002</v>
      </c>
      <c r="L1167" s="309">
        <v>15.388500000000001</v>
      </c>
      <c r="M1167" s="309">
        <v>31.3066</v>
      </c>
      <c r="N1167" s="309">
        <v>26.721</v>
      </c>
      <c r="O1167" s="309">
        <v>27.5032</v>
      </c>
      <c r="P1167" s="309">
        <v>31.263100000000001</v>
      </c>
      <c r="Q1167" s="309">
        <v>33.182600000000001</v>
      </c>
      <c r="R1167" s="309">
        <v>24.764700000000001</v>
      </c>
      <c r="S1167" s="309">
        <v>30.145800000000001</v>
      </c>
      <c r="T1167" s="309">
        <v>24.287099999999999</v>
      </c>
      <c r="U1167" s="309">
        <v>32.075600000000001</v>
      </c>
      <c r="V1167" s="309">
        <v>32.013599999999997</v>
      </c>
      <c r="W1167" s="309">
        <v>25.144300000000001</v>
      </c>
      <c r="X1167" s="309">
        <v>25.810300000000002</v>
      </c>
      <c r="Y1167" s="309">
        <v>34.380200000000002</v>
      </c>
      <c r="Z1167" s="309">
        <v>32.3277</v>
      </c>
      <c r="AA1167" s="309">
        <v>26.767900000000001</v>
      </c>
      <c r="AB1167" s="309">
        <v>26.719100000000001</v>
      </c>
      <c r="AC1167" s="309">
        <v>32.251899999999999</v>
      </c>
      <c r="AD1167" s="309">
        <v>33.652299999999997</v>
      </c>
      <c r="AE1167" s="309">
        <v>30.612100000000002</v>
      </c>
      <c r="AF1167" s="309">
        <v>19.256900000000002</v>
      </c>
      <c r="AG1167" s="309">
        <v>24.418500000000002</v>
      </c>
      <c r="AH1167" s="309">
        <v>27.9466</v>
      </c>
      <c r="AI1167" s="309">
        <v>18.954899999999999</v>
      </c>
      <c r="AJ1167" s="309">
        <v>31.816299999999998</v>
      </c>
      <c r="AK1167" s="309">
        <v>23.3691</v>
      </c>
      <c r="AL1167" s="309">
        <v>19.837199999999999</v>
      </c>
      <c r="AM1167" s="309">
        <v>26.59</v>
      </c>
      <c r="AN1167" s="309">
        <v>34.216900000000003</v>
      </c>
      <c r="AO1167" s="309">
        <v>24.252099999999999</v>
      </c>
      <c r="AP1167" s="309">
        <v>22.3965</v>
      </c>
      <c r="AQ1167" s="309">
        <v>21.573499999999999</v>
      </c>
      <c r="AR1167" s="309">
        <v>32.018999999999998</v>
      </c>
      <c r="AS1167" s="309">
        <v>31.831700000000001</v>
      </c>
      <c r="AT1167" s="309">
        <v>25.4391</v>
      </c>
      <c r="AU1167" s="309">
        <v>24.664200000000001</v>
      </c>
      <c r="AV1167" s="309">
        <v>31.047899999999998</v>
      </c>
      <c r="AW1167" s="309">
        <v>28.6859</v>
      </c>
      <c r="AX1167" s="309">
        <v>28.372699999999998</v>
      </c>
      <c r="AY1167" s="309">
        <v>28.613099999999999</v>
      </c>
      <c r="AZ1167" s="309">
        <v>33.381300000000003</v>
      </c>
      <c r="BA1167" s="309">
        <v>28.618099999999998</v>
      </c>
      <c r="BB1167" s="309">
        <v>20.355499999999999</v>
      </c>
      <c r="BC1167" s="309">
        <v>26.554099999999998</v>
      </c>
      <c r="BD1167" s="309">
        <v>22.688600000000001</v>
      </c>
      <c r="BE1167" s="309">
        <v>29.838999999999999</v>
      </c>
      <c r="BF1167" s="309">
        <v>28.1097</v>
      </c>
      <c r="BG1167" s="309">
        <v>31.306699999999999</v>
      </c>
      <c r="BH1167" s="309">
        <v>30.579799999999999</v>
      </c>
      <c r="BI1167" s="309">
        <v>26.9788</v>
      </c>
      <c r="BJ1167" s="309">
        <v>26.7835</v>
      </c>
      <c r="BK1167" s="309">
        <v>23.739699999999999</v>
      </c>
    </row>
    <row r="1168" spans="1:63" x14ac:dyDescent="0.25">
      <c r="A1168" s="306">
        <v>532400</v>
      </c>
      <c r="B1168" s="309" t="s">
        <v>304</v>
      </c>
      <c r="C1168" s="309">
        <v>15.998699999999999</v>
      </c>
      <c r="D1168" s="309">
        <v>8.3972999999999995</v>
      </c>
      <c r="E1168" s="309">
        <v>12.9634</v>
      </c>
      <c r="F1168" s="309">
        <v>9.9517000000000007</v>
      </c>
      <c r="G1168" s="309">
        <v>11.592599999999999</v>
      </c>
      <c r="H1168" s="309">
        <v>11.69</v>
      </c>
      <c r="I1168" s="309">
        <v>11.9276</v>
      </c>
      <c r="J1168" s="309">
        <v>8.2970000000000006</v>
      </c>
      <c r="K1168" s="309">
        <v>1.5922000000000001</v>
      </c>
      <c r="L1168" s="309">
        <v>7.2710999999999997</v>
      </c>
      <c r="M1168" s="309">
        <v>14.052099999999999</v>
      </c>
      <c r="N1168" s="309">
        <v>12.574199999999999</v>
      </c>
      <c r="O1168" s="309">
        <v>12.32</v>
      </c>
      <c r="P1168" s="309">
        <v>9.7698</v>
      </c>
      <c r="Q1168" s="309">
        <v>11.395200000000001</v>
      </c>
      <c r="R1168" s="309">
        <v>11.654999999999999</v>
      </c>
      <c r="S1168" s="309">
        <v>12.103300000000001</v>
      </c>
      <c r="T1168" s="309">
        <v>8.9329999999999998</v>
      </c>
      <c r="U1168" s="309">
        <v>11.881</v>
      </c>
      <c r="V1168" s="309">
        <v>11.605</v>
      </c>
      <c r="W1168" s="309">
        <v>9.8169000000000004</v>
      </c>
      <c r="X1168" s="309">
        <v>10.8933</v>
      </c>
      <c r="Y1168" s="309">
        <v>12.480499999999999</v>
      </c>
      <c r="Z1168" s="309">
        <v>13.1014</v>
      </c>
      <c r="AA1168" s="309">
        <v>10.759</v>
      </c>
      <c r="AB1168" s="309">
        <v>11.8789</v>
      </c>
      <c r="AC1168" s="309">
        <v>10.8505</v>
      </c>
      <c r="AD1168" s="309">
        <v>11.5291</v>
      </c>
      <c r="AE1168" s="309">
        <v>12.8385</v>
      </c>
      <c r="AF1168" s="309">
        <v>7.3338999999999999</v>
      </c>
      <c r="AG1168" s="309">
        <v>8.7027000000000001</v>
      </c>
      <c r="AH1168" s="309">
        <v>11.0596</v>
      </c>
      <c r="AI1168" s="309">
        <v>9.7726000000000006</v>
      </c>
      <c r="AJ1168" s="309">
        <v>10.6394</v>
      </c>
      <c r="AK1168" s="309">
        <v>10.010300000000001</v>
      </c>
      <c r="AL1168" s="309">
        <v>8.1842000000000006</v>
      </c>
      <c r="AM1168" s="309">
        <v>12.898199999999999</v>
      </c>
      <c r="AN1168" s="309">
        <v>12.7294</v>
      </c>
      <c r="AO1168" s="309">
        <v>11.792999999999999</v>
      </c>
      <c r="AP1168" s="309">
        <v>11.3399</v>
      </c>
      <c r="AQ1168" s="309">
        <v>10.1037</v>
      </c>
      <c r="AR1168" s="309">
        <v>13.449299999999999</v>
      </c>
      <c r="AS1168" s="309">
        <v>9.6079000000000008</v>
      </c>
      <c r="AT1168" s="309">
        <v>11.843500000000001</v>
      </c>
      <c r="AU1168" s="309">
        <v>12.387</v>
      </c>
      <c r="AV1168" s="309">
        <v>14.8559</v>
      </c>
      <c r="AW1168" s="309">
        <v>11.094200000000001</v>
      </c>
      <c r="AX1168" s="309">
        <v>10.1744</v>
      </c>
      <c r="AY1168" s="309">
        <v>11.8834</v>
      </c>
      <c r="AZ1168" s="309">
        <v>12.951599999999999</v>
      </c>
      <c r="BA1168" s="309">
        <v>9.6037999999999997</v>
      </c>
      <c r="BB1168" s="309">
        <v>7.4012000000000002</v>
      </c>
      <c r="BC1168" s="309">
        <v>11.2384</v>
      </c>
      <c r="BD1168" s="309">
        <v>11.0166</v>
      </c>
      <c r="BE1168" s="309">
        <v>13.401999999999999</v>
      </c>
      <c r="BF1168" s="309">
        <v>11.454700000000001</v>
      </c>
      <c r="BG1168" s="309">
        <v>14.3711</v>
      </c>
      <c r="BH1168" s="309">
        <v>12.9902</v>
      </c>
      <c r="BI1168" s="309">
        <v>13.1168</v>
      </c>
      <c r="BJ1168" s="309">
        <v>12.712300000000001</v>
      </c>
      <c r="BK1168" s="309">
        <v>12.265499999999999</v>
      </c>
    </row>
    <row r="1169" spans="1:63" x14ac:dyDescent="0.25">
      <c r="A1169" s="306" t="s">
        <v>768</v>
      </c>
      <c r="B1169" s="309" t="s">
        <v>302</v>
      </c>
      <c r="C1169" s="309">
        <v>22.290800000000001</v>
      </c>
      <c r="D1169" s="309">
        <v>14.4802</v>
      </c>
      <c r="E1169" s="309">
        <v>20.505700000000001</v>
      </c>
      <c r="F1169" s="309">
        <v>15.3809</v>
      </c>
      <c r="G1169" s="309">
        <v>15.947900000000001</v>
      </c>
      <c r="H1169" s="309">
        <v>17.2151</v>
      </c>
      <c r="I1169" s="309">
        <v>16.369800000000001</v>
      </c>
      <c r="J1169" s="309">
        <v>11.8355</v>
      </c>
      <c r="K1169" s="309">
        <v>2.2021999999999999</v>
      </c>
      <c r="L1169" s="309">
        <v>10.215299999999999</v>
      </c>
      <c r="M1169" s="309">
        <v>20.166399999999999</v>
      </c>
      <c r="N1169" s="309">
        <v>16.973600000000001</v>
      </c>
      <c r="O1169" s="309">
        <v>19.683900000000001</v>
      </c>
      <c r="P1169" s="309">
        <v>16.178000000000001</v>
      </c>
      <c r="Q1169" s="309">
        <v>18.9407</v>
      </c>
      <c r="R1169" s="309">
        <v>16.534400000000002</v>
      </c>
      <c r="S1169" s="309">
        <v>18.5749</v>
      </c>
      <c r="T1169" s="309">
        <v>12.8805</v>
      </c>
      <c r="U1169" s="309">
        <v>18.710699999999999</v>
      </c>
      <c r="V1169" s="309">
        <v>17.577200000000001</v>
      </c>
      <c r="W1169" s="309">
        <v>15.2303</v>
      </c>
      <c r="X1169" s="309">
        <v>15.3263</v>
      </c>
      <c r="Y1169" s="309">
        <v>19.781500000000001</v>
      </c>
      <c r="Z1169" s="309">
        <v>21.4253</v>
      </c>
      <c r="AA1169" s="309">
        <v>16.9679</v>
      </c>
      <c r="AB1169" s="309">
        <v>17.470300000000002</v>
      </c>
      <c r="AC1169" s="309">
        <v>17.680099999999999</v>
      </c>
      <c r="AD1169" s="309">
        <v>19.1327</v>
      </c>
      <c r="AE1169" s="309">
        <v>19.1249</v>
      </c>
      <c r="AF1169" s="309">
        <v>12.2118</v>
      </c>
      <c r="AG1169" s="309">
        <v>13.592700000000001</v>
      </c>
      <c r="AH1169" s="309">
        <v>17.346499999999999</v>
      </c>
      <c r="AI1169" s="309">
        <v>13.297599999999999</v>
      </c>
      <c r="AJ1169" s="309">
        <v>19.0398</v>
      </c>
      <c r="AK1169" s="309">
        <v>14.6312</v>
      </c>
      <c r="AL1169" s="309">
        <v>12.1555</v>
      </c>
      <c r="AM1169" s="309">
        <v>18.508400000000002</v>
      </c>
      <c r="AN1169" s="309">
        <v>20.178699999999999</v>
      </c>
      <c r="AO1169" s="309">
        <v>17.278199999999998</v>
      </c>
      <c r="AP1169" s="309">
        <v>16.125599999999999</v>
      </c>
      <c r="AQ1169" s="309">
        <v>14.2294</v>
      </c>
      <c r="AR1169" s="309">
        <v>20.3368</v>
      </c>
      <c r="AS1169" s="309">
        <v>16.474900000000002</v>
      </c>
      <c r="AT1169" s="309">
        <v>16.790800000000001</v>
      </c>
      <c r="AU1169" s="309">
        <v>17.412800000000001</v>
      </c>
      <c r="AV1169" s="309">
        <v>21.484100000000002</v>
      </c>
      <c r="AW1169" s="309">
        <v>18.001300000000001</v>
      </c>
      <c r="AX1169" s="309">
        <v>17.173400000000001</v>
      </c>
      <c r="AY1169" s="309">
        <v>18.697700000000001</v>
      </c>
      <c r="AZ1169" s="309">
        <v>21.279399999999999</v>
      </c>
      <c r="BA1169" s="309">
        <v>15.1935</v>
      </c>
      <c r="BB1169" s="309">
        <v>13.383900000000001</v>
      </c>
      <c r="BC1169" s="309">
        <v>16.780200000000001</v>
      </c>
      <c r="BD1169" s="309">
        <v>15.5915</v>
      </c>
      <c r="BE1169" s="309">
        <v>19.805499999999999</v>
      </c>
      <c r="BF1169" s="309">
        <v>17.463899999999999</v>
      </c>
      <c r="BG1169" s="309">
        <v>20.302099999999999</v>
      </c>
      <c r="BH1169" s="309">
        <v>19.170000000000002</v>
      </c>
      <c r="BI1169" s="309">
        <v>18.365100000000002</v>
      </c>
      <c r="BJ1169" s="309">
        <v>17.797000000000001</v>
      </c>
      <c r="BK1169" s="309">
        <v>18.138400000000001</v>
      </c>
    </row>
    <row r="1170" spans="1:63" x14ac:dyDescent="0.25">
      <c r="A1170" s="306">
        <v>533000</v>
      </c>
      <c r="B1170" s="309" t="s">
        <v>305</v>
      </c>
      <c r="C1170" s="309">
        <v>6.5788000000000002</v>
      </c>
      <c r="D1170" s="309">
        <v>4.5232999999999999</v>
      </c>
      <c r="E1170" s="309">
        <v>5.1939000000000002</v>
      </c>
      <c r="F1170" s="309">
        <v>4.9573999999999998</v>
      </c>
      <c r="G1170" s="309">
        <v>4.9810999999999996</v>
      </c>
      <c r="H1170" s="309">
        <v>4.5631000000000004</v>
      </c>
      <c r="I1170" s="309">
        <v>5.4067999999999996</v>
      </c>
      <c r="J1170" s="309">
        <v>4.2157999999999998</v>
      </c>
      <c r="K1170" s="309">
        <v>0</v>
      </c>
      <c r="L1170" s="309">
        <v>3.6394000000000002</v>
      </c>
      <c r="M1170" s="309">
        <v>5.5797999999999996</v>
      </c>
      <c r="N1170" s="309">
        <v>5.3952</v>
      </c>
      <c r="O1170" s="309">
        <v>5.8992000000000004</v>
      </c>
      <c r="P1170" s="309">
        <v>4.6943999999999999</v>
      </c>
      <c r="Q1170" s="309">
        <v>5.1123000000000003</v>
      </c>
      <c r="R1170" s="309">
        <v>5.1070000000000002</v>
      </c>
      <c r="S1170" s="309">
        <v>4.7987000000000002</v>
      </c>
      <c r="T1170" s="309">
        <v>4.3846999999999996</v>
      </c>
      <c r="U1170" s="309">
        <v>4.8803000000000001</v>
      </c>
      <c r="V1170" s="309">
        <v>5.2564000000000002</v>
      </c>
      <c r="W1170" s="309">
        <v>4.0362999999999998</v>
      </c>
      <c r="X1170" s="309">
        <v>4.6532999999999998</v>
      </c>
      <c r="Y1170" s="309">
        <v>5.0010000000000003</v>
      </c>
      <c r="Z1170" s="309">
        <v>5.2934000000000001</v>
      </c>
      <c r="AA1170" s="309">
        <v>4.9766000000000004</v>
      </c>
      <c r="AB1170" s="309">
        <v>5.0724</v>
      </c>
      <c r="AC1170" s="309">
        <v>5.5094000000000003</v>
      </c>
      <c r="AD1170" s="309">
        <v>5.6135000000000002</v>
      </c>
      <c r="AE1170" s="309">
        <v>5.4158999999999997</v>
      </c>
      <c r="AF1170" s="309">
        <v>4.7324000000000002</v>
      </c>
      <c r="AG1170" s="309">
        <v>4.0465</v>
      </c>
      <c r="AH1170" s="309">
        <v>4.9353999999999996</v>
      </c>
      <c r="AI1170" s="309">
        <v>4.1717000000000004</v>
      </c>
      <c r="AJ1170" s="309">
        <v>5.8764000000000003</v>
      </c>
      <c r="AK1170" s="309">
        <v>5.0397999999999996</v>
      </c>
      <c r="AL1170" s="309">
        <v>3.3994</v>
      </c>
      <c r="AM1170" s="309">
        <v>5.7496999999999998</v>
      </c>
      <c r="AN1170" s="309">
        <v>5.8319000000000001</v>
      </c>
      <c r="AO1170" s="309">
        <v>5.1056999999999997</v>
      </c>
      <c r="AP1170" s="309">
        <v>4.9242999999999997</v>
      </c>
      <c r="AQ1170" s="309">
        <v>4.1965000000000003</v>
      </c>
      <c r="AR1170" s="309">
        <v>6.4202000000000004</v>
      </c>
      <c r="AS1170" s="309">
        <v>4.9842000000000004</v>
      </c>
      <c r="AT1170" s="309">
        <v>5.4119999999999999</v>
      </c>
      <c r="AU1170" s="309">
        <v>5.2436999999999996</v>
      </c>
      <c r="AV1170" s="309">
        <v>7.4398</v>
      </c>
      <c r="AW1170" s="309">
        <v>5.0667</v>
      </c>
      <c r="AX1170" s="309">
        <v>5.4596999999999998</v>
      </c>
      <c r="AY1170" s="309">
        <v>5.3357999999999999</v>
      </c>
      <c r="AZ1170" s="309">
        <v>5.5376000000000003</v>
      </c>
      <c r="BA1170" s="309">
        <v>5.1277999999999997</v>
      </c>
      <c r="BB1170" s="309">
        <v>3.4087999999999998</v>
      </c>
      <c r="BC1170" s="309">
        <v>4.9029999999999996</v>
      </c>
      <c r="BD1170" s="309">
        <v>4.6452999999999998</v>
      </c>
      <c r="BE1170" s="309">
        <v>5.7557</v>
      </c>
      <c r="BF1170" s="309">
        <v>4.9955999999999996</v>
      </c>
      <c r="BG1170" s="309">
        <v>5.9562999999999997</v>
      </c>
      <c r="BH1170" s="309">
        <v>5.5442999999999998</v>
      </c>
      <c r="BI1170" s="309">
        <v>5.5597000000000003</v>
      </c>
      <c r="BJ1170" s="309">
        <v>5.5853999999999999</v>
      </c>
      <c r="BK1170" s="309">
        <v>4.8886000000000003</v>
      </c>
    </row>
    <row r="1171" spans="1:63" x14ac:dyDescent="0.25">
      <c r="A1171" s="306">
        <v>541100</v>
      </c>
      <c r="B1171" s="309" t="s">
        <v>306</v>
      </c>
      <c r="C1171" s="309">
        <v>19.539000000000001</v>
      </c>
      <c r="D1171" s="309">
        <v>15.393000000000001</v>
      </c>
      <c r="E1171" s="309">
        <v>17.0091</v>
      </c>
      <c r="F1171" s="309">
        <v>17.544699999999999</v>
      </c>
      <c r="G1171" s="309">
        <v>15.7121</v>
      </c>
      <c r="H1171" s="309">
        <v>13.8537</v>
      </c>
      <c r="I1171" s="309">
        <v>16.788699999999999</v>
      </c>
      <c r="J1171" s="309">
        <v>12.708600000000001</v>
      </c>
      <c r="K1171" s="309">
        <v>2.0023</v>
      </c>
      <c r="L1171" s="309">
        <v>10.215299999999999</v>
      </c>
      <c r="M1171" s="309">
        <v>17.5016</v>
      </c>
      <c r="N1171" s="309">
        <v>16.082599999999999</v>
      </c>
      <c r="O1171" s="309">
        <v>14.8034</v>
      </c>
      <c r="P1171" s="309">
        <v>15.2752</v>
      </c>
      <c r="Q1171" s="309">
        <v>17.143599999999999</v>
      </c>
      <c r="R1171" s="309">
        <v>14.228400000000001</v>
      </c>
      <c r="S1171" s="309">
        <v>17.033999999999999</v>
      </c>
      <c r="T1171" s="309">
        <v>15.723000000000001</v>
      </c>
      <c r="U1171" s="309">
        <v>16.862300000000001</v>
      </c>
      <c r="V1171" s="309">
        <v>15.501300000000001</v>
      </c>
      <c r="W1171" s="309">
        <v>12.1744</v>
      </c>
      <c r="X1171" s="309">
        <v>14.185</v>
      </c>
      <c r="Y1171" s="309">
        <v>18.0885</v>
      </c>
      <c r="Z1171" s="309">
        <v>17.065100000000001</v>
      </c>
      <c r="AA1171" s="309">
        <v>15.0481</v>
      </c>
      <c r="AB1171" s="309">
        <v>13.6751</v>
      </c>
      <c r="AC1171" s="309">
        <v>14.9222</v>
      </c>
      <c r="AD1171" s="309">
        <v>18.097899999999999</v>
      </c>
      <c r="AE1171" s="309">
        <v>16.620699999999999</v>
      </c>
      <c r="AF1171" s="309">
        <v>14.5893</v>
      </c>
      <c r="AG1171" s="309">
        <v>14.2021</v>
      </c>
      <c r="AH1171" s="309">
        <v>15.824400000000001</v>
      </c>
      <c r="AI1171" s="309">
        <v>14.7433</v>
      </c>
      <c r="AJ1171" s="309">
        <v>17.8399</v>
      </c>
      <c r="AK1171" s="309">
        <v>15.0389</v>
      </c>
      <c r="AL1171" s="309">
        <v>10.1455</v>
      </c>
      <c r="AM1171" s="309">
        <v>17.8232</v>
      </c>
      <c r="AN1171" s="309">
        <v>19.1266</v>
      </c>
      <c r="AO1171" s="309">
        <v>16.504999999999999</v>
      </c>
      <c r="AP1171" s="309">
        <v>14.571</v>
      </c>
      <c r="AQ1171" s="309">
        <v>14.1046</v>
      </c>
      <c r="AR1171" s="309">
        <v>18.510200000000001</v>
      </c>
      <c r="AS1171" s="309">
        <v>15.755000000000001</v>
      </c>
      <c r="AT1171" s="309">
        <v>16.773900000000001</v>
      </c>
      <c r="AU1171" s="309">
        <v>16.097799999999999</v>
      </c>
      <c r="AV1171" s="309">
        <v>20.802099999999999</v>
      </c>
      <c r="AW1171" s="309">
        <v>14.206799999999999</v>
      </c>
      <c r="AX1171" s="309">
        <v>16.9511</v>
      </c>
      <c r="AY1171" s="309">
        <v>15.471</v>
      </c>
      <c r="AZ1171" s="309">
        <v>16.1557</v>
      </c>
      <c r="BA1171" s="309">
        <v>15.2347</v>
      </c>
      <c r="BB1171" s="309">
        <v>14.716200000000001</v>
      </c>
      <c r="BC1171" s="309">
        <v>14.529299999999999</v>
      </c>
      <c r="BD1171" s="309">
        <v>14.242900000000001</v>
      </c>
      <c r="BE1171" s="309">
        <v>16.9373</v>
      </c>
      <c r="BF1171" s="309">
        <v>15.850300000000001</v>
      </c>
      <c r="BG1171" s="309">
        <v>17.652699999999999</v>
      </c>
      <c r="BH1171" s="309">
        <v>17.578600000000002</v>
      </c>
      <c r="BI1171" s="309">
        <v>17.071999999999999</v>
      </c>
      <c r="BJ1171" s="309">
        <v>17.8584</v>
      </c>
      <c r="BK1171" s="309">
        <v>14.6846</v>
      </c>
    </row>
    <row r="1172" spans="1:63" x14ac:dyDescent="0.25">
      <c r="A1172" s="306">
        <v>541200</v>
      </c>
      <c r="B1172" s="309" t="s">
        <v>307</v>
      </c>
      <c r="C1172" s="309">
        <v>21.8308</v>
      </c>
      <c r="D1172" s="309">
        <v>20.563199999999998</v>
      </c>
      <c r="E1172" s="309">
        <v>19.861699999999999</v>
      </c>
      <c r="F1172" s="309">
        <v>21.522600000000001</v>
      </c>
      <c r="G1172" s="309">
        <v>20.886500000000002</v>
      </c>
      <c r="H1172" s="309">
        <v>16.979500000000002</v>
      </c>
      <c r="I1172" s="309">
        <v>19.745799999999999</v>
      </c>
      <c r="J1172" s="309">
        <v>13.0253</v>
      </c>
      <c r="K1172" s="309">
        <v>2.0289999999999999</v>
      </c>
      <c r="L1172" s="309">
        <v>13.163399999999999</v>
      </c>
      <c r="M1172" s="309">
        <v>19.702999999999999</v>
      </c>
      <c r="N1172" s="309">
        <v>18.5288</v>
      </c>
      <c r="O1172" s="309">
        <v>20.052600000000002</v>
      </c>
      <c r="P1172" s="309">
        <v>16.759599999999999</v>
      </c>
      <c r="Q1172" s="309">
        <v>21.0275</v>
      </c>
      <c r="R1172" s="309">
        <v>16.533799999999999</v>
      </c>
      <c r="S1172" s="309">
        <v>20.538</v>
      </c>
      <c r="T1172" s="309">
        <v>17.982600000000001</v>
      </c>
      <c r="U1172" s="309">
        <v>19.279800000000002</v>
      </c>
      <c r="V1172" s="309">
        <v>20.2028</v>
      </c>
      <c r="W1172" s="309">
        <v>14.2028</v>
      </c>
      <c r="X1172" s="309">
        <v>15.364699999999999</v>
      </c>
      <c r="Y1172" s="309">
        <v>20.981999999999999</v>
      </c>
      <c r="Z1172" s="309">
        <v>19.267099999999999</v>
      </c>
      <c r="AA1172" s="309">
        <v>17.583400000000001</v>
      </c>
      <c r="AB1172" s="309">
        <v>16.5731</v>
      </c>
      <c r="AC1172" s="309">
        <v>22.055800000000001</v>
      </c>
      <c r="AD1172" s="309">
        <v>22.2455</v>
      </c>
      <c r="AE1172" s="309">
        <v>20.081299999999999</v>
      </c>
      <c r="AF1172" s="309">
        <v>18.183599999999998</v>
      </c>
      <c r="AG1172" s="309">
        <v>18.180599999999998</v>
      </c>
      <c r="AH1172" s="309">
        <v>14.7036</v>
      </c>
      <c r="AI1172" s="309">
        <v>14.2742</v>
      </c>
      <c r="AJ1172" s="309">
        <v>21.536200000000001</v>
      </c>
      <c r="AK1172" s="309">
        <v>17.978100000000001</v>
      </c>
      <c r="AL1172" s="309">
        <v>11.6814</v>
      </c>
      <c r="AM1172" s="309">
        <v>19.640599999999999</v>
      </c>
      <c r="AN1172" s="309">
        <v>21.835000000000001</v>
      </c>
      <c r="AO1172" s="309">
        <v>20.1526</v>
      </c>
      <c r="AP1172" s="309">
        <v>17.496099999999998</v>
      </c>
      <c r="AQ1172" s="309">
        <v>16.145499999999998</v>
      </c>
      <c r="AR1172" s="309">
        <v>23.121300000000002</v>
      </c>
      <c r="AS1172" s="309">
        <v>19.2912</v>
      </c>
      <c r="AT1172" s="309">
        <v>17.134499999999999</v>
      </c>
      <c r="AU1172" s="309">
        <v>19.677299999999999</v>
      </c>
      <c r="AV1172" s="309">
        <v>25.328800000000001</v>
      </c>
      <c r="AW1172" s="309">
        <v>14.649100000000001</v>
      </c>
      <c r="AX1172" s="309">
        <v>20.095300000000002</v>
      </c>
      <c r="AY1172" s="309">
        <v>18.5486</v>
      </c>
      <c r="AZ1172" s="309">
        <v>18.759399999999999</v>
      </c>
      <c r="BA1172" s="309">
        <v>19.402000000000001</v>
      </c>
      <c r="BB1172" s="309">
        <v>18.489599999999999</v>
      </c>
      <c r="BC1172" s="309">
        <v>16.3141</v>
      </c>
      <c r="BD1172" s="309">
        <v>16.040700000000001</v>
      </c>
      <c r="BE1172" s="309">
        <v>19.3978</v>
      </c>
      <c r="BF1172" s="309">
        <v>19.014199999999999</v>
      </c>
      <c r="BG1172" s="309">
        <v>19.883299999999998</v>
      </c>
      <c r="BH1172" s="309">
        <v>19.447299999999998</v>
      </c>
      <c r="BI1172" s="309">
        <v>20.675599999999999</v>
      </c>
      <c r="BJ1172" s="309">
        <v>21.666</v>
      </c>
      <c r="BK1172" s="309">
        <v>17.872399999999999</v>
      </c>
    </row>
    <row r="1173" spans="1:63" x14ac:dyDescent="0.25">
      <c r="A1173" s="306">
        <v>541300</v>
      </c>
      <c r="B1173" s="309" t="s">
        <v>308</v>
      </c>
      <c r="C1173" s="309">
        <v>19.286899999999999</v>
      </c>
      <c r="D1173" s="309">
        <v>10.8323</v>
      </c>
      <c r="E1173" s="309">
        <v>14.833500000000001</v>
      </c>
      <c r="F1173" s="309">
        <v>14.3322</v>
      </c>
      <c r="G1173" s="309">
        <v>14.8873</v>
      </c>
      <c r="H1173" s="309">
        <v>14.3226</v>
      </c>
      <c r="I1173" s="309">
        <v>15.3085</v>
      </c>
      <c r="J1173" s="309">
        <v>11.1022</v>
      </c>
      <c r="K1173" s="309">
        <v>1.9439</v>
      </c>
      <c r="L1173" s="309">
        <v>9.0077999999999996</v>
      </c>
      <c r="M1173" s="309">
        <v>17.223199999999999</v>
      </c>
      <c r="N1173" s="309">
        <v>16.356400000000001</v>
      </c>
      <c r="O1173" s="309">
        <v>13.979799999999999</v>
      </c>
      <c r="P1173" s="309">
        <v>12.325900000000001</v>
      </c>
      <c r="Q1173" s="309">
        <v>14.5374</v>
      </c>
      <c r="R1173" s="309">
        <v>15.2178</v>
      </c>
      <c r="S1173" s="309">
        <v>15.744999999999999</v>
      </c>
      <c r="T1173" s="309">
        <v>11.4411</v>
      </c>
      <c r="U1173" s="309">
        <v>15.255599999999999</v>
      </c>
      <c r="V1173" s="309">
        <v>14.2408</v>
      </c>
      <c r="W1173" s="309">
        <v>12.190799999999999</v>
      </c>
      <c r="X1173" s="309">
        <v>12.6714</v>
      </c>
      <c r="Y1173" s="309">
        <v>15.5411</v>
      </c>
      <c r="Z1173" s="309">
        <v>14.615</v>
      </c>
      <c r="AA1173" s="309">
        <v>14.9198</v>
      </c>
      <c r="AB1173" s="309">
        <v>13.0274</v>
      </c>
      <c r="AC1173" s="309">
        <v>14.026999999999999</v>
      </c>
      <c r="AD1173" s="309">
        <v>15.0589</v>
      </c>
      <c r="AE1173" s="309">
        <v>15.6197</v>
      </c>
      <c r="AF1173" s="309">
        <v>10.9564</v>
      </c>
      <c r="AG1173" s="309">
        <v>11.855</v>
      </c>
      <c r="AH1173" s="309">
        <v>13.1435</v>
      </c>
      <c r="AI1173" s="309">
        <v>12.7593</v>
      </c>
      <c r="AJ1173" s="309">
        <v>14.7415</v>
      </c>
      <c r="AK1173" s="309">
        <v>13.625299999999999</v>
      </c>
      <c r="AL1173" s="309">
        <v>10.7044</v>
      </c>
      <c r="AM1173" s="309">
        <v>16.2014</v>
      </c>
      <c r="AN1173" s="309">
        <v>16.4908</v>
      </c>
      <c r="AO1173" s="309">
        <v>15.254300000000001</v>
      </c>
      <c r="AP1173" s="309">
        <v>14.9648</v>
      </c>
      <c r="AQ1173" s="309">
        <v>12.2387</v>
      </c>
      <c r="AR1173" s="309">
        <v>15.888999999999999</v>
      </c>
      <c r="AS1173" s="309">
        <v>12.2761</v>
      </c>
      <c r="AT1173" s="309">
        <v>15.265700000000001</v>
      </c>
      <c r="AU1173" s="309">
        <v>15.866199999999999</v>
      </c>
      <c r="AV1173" s="309">
        <v>19.133800000000001</v>
      </c>
      <c r="AW1173" s="309">
        <v>12.640599999999999</v>
      </c>
      <c r="AX1173" s="309">
        <v>14.136900000000001</v>
      </c>
      <c r="AY1173" s="309">
        <v>14.423</v>
      </c>
      <c r="AZ1173" s="309">
        <v>16.065999999999999</v>
      </c>
      <c r="BA1173" s="309">
        <v>13.8048</v>
      </c>
      <c r="BB1173" s="309">
        <v>11.335699999999999</v>
      </c>
      <c r="BC1173" s="309">
        <v>14.200699999999999</v>
      </c>
      <c r="BD1173" s="309">
        <v>14.3652</v>
      </c>
      <c r="BE1173" s="309">
        <v>16.5943</v>
      </c>
      <c r="BF1173" s="309">
        <v>14.5299</v>
      </c>
      <c r="BG1173" s="309">
        <v>17.197900000000001</v>
      </c>
      <c r="BH1173" s="309">
        <v>16.018699999999999</v>
      </c>
      <c r="BI1173" s="309">
        <v>16.3781</v>
      </c>
      <c r="BJ1173" s="309">
        <v>16.299600000000002</v>
      </c>
      <c r="BK1173" s="309">
        <v>14.9323</v>
      </c>
    </row>
    <row r="1174" spans="1:63" x14ac:dyDescent="0.25">
      <c r="A1174" s="306">
        <v>541400</v>
      </c>
      <c r="B1174" s="309" t="s">
        <v>309</v>
      </c>
      <c r="C1174" s="309">
        <v>22.316400000000002</v>
      </c>
      <c r="D1174" s="309">
        <v>20.634</v>
      </c>
      <c r="E1174" s="309">
        <v>23.7789</v>
      </c>
      <c r="F1174" s="309">
        <v>24.220400000000001</v>
      </c>
      <c r="G1174" s="309">
        <v>20.235299999999999</v>
      </c>
      <c r="H1174" s="309">
        <v>16.611499999999999</v>
      </c>
      <c r="I1174" s="309">
        <v>20.151299999999999</v>
      </c>
      <c r="J1174" s="309">
        <v>13.374599999999999</v>
      </c>
      <c r="K1174" s="309">
        <v>4.5259999999999998</v>
      </c>
      <c r="L1174" s="309">
        <v>19.765899999999998</v>
      </c>
      <c r="M1174" s="309">
        <v>21.850100000000001</v>
      </c>
      <c r="N1174" s="309">
        <v>22.184699999999999</v>
      </c>
      <c r="O1174" s="309">
        <v>21.622699999999998</v>
      </c>
      <c r="P1174" s="309">
        <v>21.836200000000002</v>
      </c>
      <c r="Q1174" s="309">
        <v>24.2697</v>
      </c>
      <c r="R1174" s="309">
        <v>18.133299999999998</v>
      </c>
      <c r="S1174" s="309">
        <v>22.655899999999999</v>
      </c>
      <c r="T1174" s="309">
        <v>18.567299999999999</v>
      </c>
      <c r="U1174" s="309">
        <v>20.5442</v>
      </c>
      <c r="V1174" s="309">
        <v>23.928100000000001</v>
      </c>
      <c r="W1174" s="309">
        <v>14.992800000000001</v>
      </c>
      <c r="X1174" s="309">
        <v>16.275200000000002</v>
      </c>
      <c r="Y1174" s="309">
        <v>24.4633</v>
      </c>
      <c r="Z1174" s="309">
        <v>17.226900000000001</v>
      </c>
      <c r="AA1174" s="309">
        <v>20.8767</v>
      </c>
      <c r="AB1174" s="309">
        <v>19.031400000000001</v>
      </c>
      <c r="AC1174" s="309">
        <v>24.8581</v>
      </c>
      <c r="AD1174" s="309">
        <v>24.959499999999998</v>
      </c>
      <c r="AE1174" s="309">
        <v>20.652799999999999</v>
      </c>
      <c r="AF1174" s="309">
        <v>21.585799999999999</v>
      </c>
      <c r="AG1174" s="309">
        <v>22.408799999999999</v>
      </c>
      <c r="AH1174" s="309">
        <v>14.7216</v>
      </c>
      <c r="AI1174" s="309">
        <v>15.2622</v>
      </c>
      <c r="AJ1174" s="309">
        <v>24.146599999999999</v>
      </c>
      <c r="AK1174" s="309">
        <v>17.104099999999999</v>
      </c>
      <c r="AL1174" s="309">
        <v>12.780900000000001</v>
      </c>
      <c r="AM1174" s="309">
        <v>17.3918</v>
      </c>
      <c r="AN1174" s="309">
        <v>26.1401</v>
      </c>
      <c r="AO1174" s="309">
        <v>23.123999999999999</v>
      </c>
      <c r="AP1174" s="309">
        <v>19.404499999999999</v>
      </c>
      <c r="AQ1174" s="309">
        <v>14.407400000000001</v>
      </c>
      <c r="AR1174" s="309">
        <v>24.122</v>
      </c>
      <c r="AS1174" s="309">
        <v>15.085900000000001</v>
      </c>
      <c r="AT1174" s="309">
        <v>20.186900000000001</v>
      </c>
      <c r="AU1174" s="309">
        <v>20.603000000000002</v>
      </c>
      <c r="AV1174" s="309">
        <v>25.997499999999999</v>
      </c>
      <c r="AW1174" s="309">
        <v>18.3033</v>
      </c>
      <c r="AX1174" s="309">
        <v>18.115200000000002</v>
      </c>
      <c r="AY1174" s="309">
        <v>20.814599999999999</v>
      </c>
      <c r="AZ1174" s="309">
        <v>21.129000000000001</v>
      </c>
      <c r="BA1174" s="309">
        <v>21.553000000000001</v>
      </c>
      <c r="BB1174" s="309">
        <v>15.043200000000001</v>
      </c>
      <c r="BC1174" s="309">
        <v>16.678999999999998</v>
      </c>
      <c r="BD1174" s="309">
        <v>17.052299999999999</v>
      </c>
      <c r="BE1174" s="309">
        <v>19.249400000000001</v>
      </c>
      <c r="BF1174" s="309">
        <v>21.3141</v>
      </c>
      <c r="BG1174" s="309">
        <v>22.293099999999999</v>
      </c>
      <c r="BH1174" s="309">
        <v>22.047799999999999</v>
      </c>
      <c r="BI1174" s="309">
        <v>21.808299999999999</v>
      </c>
      <c r="BJ1174" s="309">
        <v>21.823399999999999</v>
      </c>
      <c r="BK1174" s="309">
        <v>17.7682</v>
      </c>
    </row>
    <row r="1175" spans="1:63" x14ac:dyDescent="0.25">
      <c r="A1175" s="306">
        <v>541511</v>
      </c>
      <c r="B1175" s="309" t="s">
        <v>310</v>
      </c>
      <c r="C1175" s="309">
        <v>21.979800000000001</v>
      </c>
      <c r="D1175" s="309">
        <v>14.712999999999999</v>
      </c>
      <c r="E1175" s="309">
        <v>18.554200000000002</v>
      </c>
      <c r="F1175" s="309">
        <v>18.030899999999999</v>
      </c>
      <c r="G1175" s="309">
        <v>18.3795</v>
      </c>
      <c r="H1175" s="309">
        <v>16.363900000000001</v>
      </c>
      <c r="I1175" s="309">
        <v>17.6145</v>
      </c>
      <c r="J1175" s="309">
        <v>12.575100000000001</v>
      </c>
      <c r="K1175" s="309">
        <v>2.1423000000000001</v>
      </c>
      <c r="L1175" s="309">
        <v>11.4011</v>
      </c>
      <c r="M1175" s="309">
        <v>20.779199999999999</v>
      </c>
      <c r="N1175" s="309">
        <v>19.036899999999999</v>
      </c>
      <c r="O1175" s="309">
        <v>17.616800000000001</v>
      </c>
      <c r="P1175" s="309">
        <v>15.933299999999999</v>
      </c>
      <c r="Q1175" s="309">
        <v>17.990300000000001</v>
      </c>
      <c r="R1175" s="309">
        <v>17.083200000000001</v>
      </c>
      <c r="S1175" s="309">
        <v>18.9529</v>
      </c>
      <c r="T1175" s="309">
        <v>12.489599999999999</v>
      </c>
      <c r="U1175" s="309">
        <v>16.6067</v>
      </c>
      <c r="V1175" s="309">
        <v>19.084800000000001</v>
      </c>
      <c r="W1175" s="309">
        <v>13.6523</v>
      </c>
      <c r="X1175" s="309">
        <v>13.8132</v>
      </c>
      <c r="Y1175" s="309">
        <v>19.396699999999999</v>
      </c>
      <c r="Z1175" s="309">
        <v>18.087800000000001</v>
      </c>
      <c r="AA1175" s="309">
        <v>16.816800000000001</v>
      </c>
      <c r="AB1175" s="309">
        <v>15.8185</v>
      </c>
      <c r="AC1175" s="309">
        <v>17.314399999999999</v>
      </c>
      <c r="AD1175" s="309">
        <v>18.3962</v>
      </c>
      <c r="AE1175" s="309">
        <v>18.576599999999999</v>
      </c>
      <c r="AF1175" s="309">
        <v>12.032299999999999</v>
      </c>
      <c r="AG1175" s="309">
        <v>14.8103</v>
      </c>
      <c r="AH1175" s="309">
        <v>13.9762</v>
      </c>
      <c r="AI1175" s="309">
        <v>14.668100000000001</v>
      </c>
      <c r="AJ1175" s="309">
        <v>16.360199999999999</v>
      </c>
      <c r="AK1175" s="309">
        <v>15.977600000000001</v>
      </c>
      <c r="AL1175" s="309">
        <v>11.1172</v>
      </c>
      <c r="AM1175" s="309">
        <v>18.2958</v>
      </c>
      <c r="AN1175" s="309">
        <v>20.340800000000002</v>
      </c>
      <c r="AO1175" s="309">
        <v>19.403400000000001</v>
      </c>
      <c r="AP1175" s="309">
        <v>16.8613</v>
      </c>
      <c r="AQ1175" s="309">
        <v>14.5472</v>
      </c>
      <c r="AR1175" s="309">
        <v>19.770700000000001</v>
      </c>
      <c r="AS1175" s="309">
        <v>13.740399999999999</v>
      </c>
      <c r="AT1175" s="309">
        <v>18.584800000000001</v>
      </c>
      <c r="AU1175" s="309">
        <v>18.502099999999999</v>
      </c>
      <c r="AV1175" s="309">
        <v>21.997</v>
      </c>
      <c r="AW1175" s="309">
        <v>14.2958</v>
      </c>
      <c r="AX1175" s="309">
        <v>16.180700000000002</v>
      </c>
      <c r="AY1175" s="309">
        <v>16.631599999999999</v>
      </c>
      <c r="AZ1175" s="309">
        <v>18.951000000000001</v>
      </c>
      <c r="BA1175" s="309">
        <v>15.2264</v>
      </c>
      <c r="BB1175" s="309">
        <v>15.051</v>
      </c>
      <c r="BC1175" s="309">
        <v>16.034600000000001</v>
      </c>
      <c r="BD1175" s="309">
        <v>16.060199999999998</v>
      </c>
      <c r="BE1175" s="309">
        <v>19.1447</v>
      </c>
      <c r="BF1175" s="309">
        <v>17.0505</v>
      </c>
      <c r="BG1175" s="309">
        <v>19.773299999999999</v>
      </c>
      <c r="BH1175" s="309">
        <v>19.136700000000001</v>
      </c>
      <c r="BI1175" s="309">
        <v>19.2517</v>
      </c>
      <c r="BJ1175" s="309">
        <v>19.297000000000001</v>
      </c>
      <c r="BK1175" s="309">
        <v>17.031099999999999</v>
      </c>
    </row>
    <row r="1176" spans="1:63" x14ac:dyDescent="0.25">
      <c r="A1176" s="306">
        <v>541512</v>
      </c>
      <c r="B1176" s="309" t="s">
        <v>311</v>
      </c>
      <c r="C1176" s="309">
        <v>21.7408</v>
      </c>
      <c r="D1176" s="309">
        <v>12.9955</v>
      </c>
      <c r="E1176" s="309">
        <v>17.134</v>
      </c>
      <c r="F1176" s="309">
        <v>15.9602</v>
      </c>
      <c r="G1176" s="309">
        <v>17.146999999999998</v>
      </c>
      <c r="H1176" s="309">
        <v>16.4984</v>
      </c>
      <c r="I1176" s="309">
        <v>17.2835</v>
      </c>
      <c r="J1176" s="309">
        <v>11.636699999999999</v>
      </c>
      <c r="K1176" s="309">
        <v>2.0436000000000001</v>
      </c>
      <c r="L1176" s="309">
        <v>10.666399999999999</v>
      </c>
      <c r="M1176" s="309">
        <v>19.042100000000001</v>
      </c>
      <c r="N1176" s="309">
        <v>17.985499999999998</v>
      </c>
      <c r="O1176" s="309">
        <v>17.025200000000002</v>
      </c>
      <c r="P1176" s="309">
        <v>14.991199999999999</v>
      </c>
      <c r="Q1176" s="309">
        <v>17.128299999999999</v>
      </c>
      <c r="R1176" s="309">
        <v>16.3322</v>
      </c>
      <c r="S1176" s="309">
        <v>17.3964</v>
      </c>
      <c r="T1176" s="309">
        <v>12.2758</v>
      </c>
      <c r="U1176" s="309">
        <v>16.604299999999999</v>
      </c>
      <c r="V1176" s="309">
        <v>16.723400000000002</v>
      </c>
      <c r="W1176" s="309">
        <v>13.267799999999999</v>
      </c>
      <c r="X1176" s="309">
        <v>13.6541</v>
      </c>
      <c r="Y1176" s="309">
        <v>18.231400000000001</v>
      </c>
      <c r="Z1176" s="309">
        <v>17.386299999999999</v>
      </c>
      <c r="AA1176" s="309">
        <v>15.9945</v>
      </c>
      <c r="AB1176" s="309">
        <v>15.3805</v>
      </c>
      <c r="AC1176" s="309">
        <v>17.270199999999999</v>
      </c>
      <c r="AD1176" s="309">
        <v>17.88</v>
      </c>
      <c r="AE1176" s="309">
        <v>17.696400000000001</v>
      </c>
      <c r="AF1176" s="309">
        <v>12.765499999999999</v>
      </c>
      <c r="AG1176" s="309">
        <v>14.4308</v>
      </c>
      <c r="AH1176" s="309">
        <v>12.9489</v>
      </c>
      <c r="AI1176" s="309">
        <v>14.3188</v>
      </c>
      <c r="AJ1176" s="309">
        <v>17.965399999999999</v>
      </c>
      <c r="AK1176" s="309">
        <v>15.559900000000001</v>
      </c>
      <c r="AL1176" s="309">
        <v>11.082000000000001</v>
      </c>
      <c r="AM1176" s="309">
        <v>18.078900000000001</v>
      </c>
      <c r="AN1176" s="309">
        <v>19.404499999999999</v>
      </c>
      <c r="AO1176" s="309">
        <v>17.520499999999998</v>
      </c>
      <c r="AP1176" s="309">
        <v>16.3644</v>
      </c>
      <c r="AQ1176" s="309">
        <v>13.351599999999999</v>
      </c>
      <c r="AR1176" s="309">
        <v>18.8004</v>
      </c>
      <c r="AS1176" s="309">
        <v>13.2967</v>
      </c>
      <c r="AT1176" s="309">
        <v>16.9514</v>
      </c>
      <c r="AU1176" s="309">
        <v>17.950700000000001</v>
      </c>
      <c r="AV1176" s="309">
        <v>19.730599999999999</v>
      </c>
      <c r="AW1176" s="309">
        <v>13.8408</v>
      </c>
      <c r="AX1176" s="309">
        <v>16.022600000000001</v>
      </c>
      <c r="AY1176" s="309">
        <v>16.4329</v>
      </c>
      <c r="AZ1176" s="309">
        <v>18.2361</v>
      </c>
      <c r="BA1176" s="309">
        <v>15.0342</v>
      </c>
      <c r="BB1176" s="309">
        <v>14.5754</v>
      </c>
      <c r="BC1176" s="309">
        <v>15.4602</v>
      </c>
      <c r="BD1176" s="309">
        <v>15.8896</v>
      </c>
      <c r="BE1176" s="309">
        <v>18.506799999999998</v>
      </c>
      <c r="BF1176" s="309">
        <v>16.379300000000001</v>
      </c>
      <c r="BG1176" s="309">
        <v>18.760400000000001</v>
      </c>
      <c r="BH1176" s="309">
        <v>18.061699999999998</v>
      </c>
      <c r="BI1176" s="309">
        <v>18.498200000000001</v>
      </c>
      <c r="BJ1176" s="309">
        <v>18.2392</v>
      </c>
      <c r="BK1176" s="309">
        <v>17.251300000000001</v>
      </c>
    </row>
    <row r="1177" spans="1:63" x14ac:dyDescent="0.25">
      <c r="A1177" s="306" t="s">
        <v>769</v>
      </c>
      <c r="B1177" s="309" t="s">
        <v>312</v>
      </c>
      <c r="C1177" s="309">
        <v>19.1067</v>
      </c>
      <c r="D1177" s="309">
        <v>13.042999999999999</v>
      </c>
      <c r="E1177" s="309">
        <v>15.3728</v>
      </c>
      <c r="F1177" s="309">
        <v>13.4122</v>
      </c>
      <c r="G1177" s="309">
        <v>16.870200000000001</v>
      </c>
      <c r="H1177" s="309">
        <v>14.6279</v>
      </c>
      <c r="I1177" s="309">
        <v>15.386900000000001</v>
      </c>
      <c r="J1177" s="309">
        <v>10.648099999999999</v>
      </c>
      <c r="K1177" s="309">
        <v>1.7107000000000001</v>
      </c>
      <c r="L1177" s="309">
        <v>9.1079000000000008</v>
      </c>
      <c r="M1177" s="309">
        <v>16.874099999999999</v>
      </c>
      <c r="N1177" s="309">
        <v>16.2484</v>
      </c>
      <c r="O1177" s="309">
        <v>17.4482</v>
      </c>
      <c r="P1177" s="309">
        <v>14.7608</v>
      </c>
      <c r="Q1177" s="309">
        <v>16.286899999999999</v>
      </c>
      <c r="R1177" s="309">
        <v>14.199400000000001</v>
      </c>
      <c r="S1177" s="309">
        <v>15.4414</v>
      </c>
      <c r="T1177" s="309">
        <v>9.6883999999999997</v>
      </c>
      <c r="U1177" s="309">
        <v>15.520799999999999</v>
      </c>
      <c r="V1177" s="309">
        <v>17.035299999999999</v>
      </c>
      <c r="W1177" s="309">
        <v>11.477600000000001</v>
      </c>
      <c r="X1177" s="309">
        <v>12.027799999999999</v>
      </c>
      <c r="Y1177" s="309">
        <v>18.205200000000001</v>
      </c>
      <c r="Z1177" s="309">
        <v>14.815</v>
      </c>
      <c r="AA1177" s="309">
        <v>13.7133</v>
      </c>
      <c r="AB1177" s="309">
        <v>13.712300000000001</v>
      </c>
      <c r="AC1177" s="309">
        <v>16.5687</v>
      </c>
      <c r="AD1177" s="309">
        <v>16.991</v>
      </c>
      <c r="AE1177" s="309">
        <v>15.895200000000001</v>
      </c>
      <c r="AF1177" s="309">
        <v>12.567299999999999</v>
      </c>
      <c r="AG1177" s="309">
        <v>12.6675</v>
      </c>
      <c r="AH1177" s="309">
        <v>12.0982</v>
      </c>
      <c r="AI1177" s="309">
        <v>12.518700000000001</v>
      </c>
      <c r="AJ1177" s="309">
        <v>14.850899999999999</v>
      </c>
      <c r="AK1177" s="309">
        <v>13.5845</v>
      </c>
      <c r="AL1177" s="309">
        <v>9.5020000000000007</v>
      </c>
      <c r="AM1177" s="309">
        <v>16.279299999999999</v>
      </c>
      <c r="AN1177" s="309">
        <v>17.996099999999998</v>
      </c>
      <c r="AO1177" s="309">
        <v>14.374499999999999</v>
      </c>
      <c r="AP1177" s="309">
        <v>13.7921</v>
      </c>
      <c r="AQ1177" s="309">
        <v>11.9687</v>
      </c>
      <c r="AR1177" s="309">
        <v>18.670200000000001</v>
      </c>
      <c r="AS1177" s="309">
        <v>11.4762</v>
      </c>
      <c r="AT1177" s="309">
        <v>15.8962</v>
      </c>
      <c r="AU1177" s="309">
        <v>15.9315</v>
      </c>
      <c r="AV1177" s="309">
        <v>18.404399999999999</v>
      </c>
      <c r="AW1177" s="309">
        <v>12.2585</v>
      </c>
      <c r="AX1177" s="309">
        <v>14.6867</v>
      </c>
      <c r="AY1177" s="309">
        <v>14.964499999999999</v>
      </c>
      <c r="AZ1177" s="309">
        <v>16.271599999999999</v>
      </c>
      <c r="BA1177" s="309">
        <v>12.842599999999999</v>
      </c>
      <c r="BB1177" s="309">
        <v>14.2614</v>
      </c>
      <c r="BC1177" s="309">
        <v>13.934200000000001</v>
      </c>
      <c r="BD1177" s="309">
        <v>13.6791</v>
      </c>
      <c r="BE1177" s="309">
        <v>16.236999999999998</v>
      </c>
      <c r="BF1177" s="309">
        <v>14.1608</v>
      </c>
      <c r="BG1177" s="309">
        <v>16.880600000000001</v>
      </c>
      <c r="BH1177" s="309">
        <v>17.293500000000002</v>
      </c>
      <c r="BI1177" s="309">
        <v>17.022400000000001</v>
      </c>
      <c r="BJ1177" s="309">
        <v>16.888200000000001</v>
      </c>
      <c r="BK1177" s="309">
        <v>15.485300000000001</v>
      </c>
    </row>
    <row r="1178" spans="1:63" x14ac:dyDescent="0.25">
      <c r="A1178" s="306">
        <v>541610</v>
      </c>
      <c r="B1178" s="309" t="s">
        <v>313</v>
      </c>
      <c r="C1178" s="309">
        <v>22.238199999999999</v>
      </c>
      <c r="D1178" s="309">
        <v>15.7393</v>
      </c>
      <c r="E1178" s="309">
        <v>20.9328</v>
      </c>
      <c r="F1178" s="309">
        <v>20.312899999999999</v>
      </c>
      <c r="G1178" s="309">
        <v>19.305700000000002</v>
      </c>
      <c r="H1178" s="309">
        <v>16.3307</v>
      </c>
      <c r="I1178" s="309">
        <v>19.227799999999998</v>
      </c>
      <c r="J1178" s="309">
        <v>12.635999999999999</v>
      </c>
      <c r="K1178" s="309">
        <v>2.9782999999999999</v>
      </c>
      <c r="L1178" s="309">
        <v>12.148300000000001</v>
      </c>
      <c r="M1178" s="309">
        <v>20.282599999999999</v>
      </c>
      <c r="N1178" s="309">
        <v>18.786300000000001</v>
      </c>
      <c r="O1178" s="309">
        <v>20.8203</v>
      </c>
      <c r="P1178" s="309">
        <v>19.1936</v>
      </c>
      <c r="Q1178" s="309">
        <v>19.994800000000001</v>
      </c>
      <c r="R1178" s="309">
        <v>16.0121</v>
      </c>
      <c r="S1178" s="309">
        <v>19.8399</v>
      </c>
      <c r="T1178" s="309">
        <v>16.7361</v>
      </c>
      <c r="U1178" s="309">
        <v>19.235900000000001</v>
      </c>
      <c r="V1178" s="309">
        <v>19.5566</v>
      </c>
      <c r="W1178" s="309">
        <v>13.805899999999999</v>
      </c>
      <c r="X1178" s="309">
        <v>15.3429</v>
      </c>
      <c r="Y1178" s="309">
        <v>18.248799999999999</v>
      </c>
      <c r="Z1178" s="309">
        <v>18.6434</v>
      </c>
      <c r="AA1178" s="309">
        <v>18.231100000000001</v>
      </c>
      <c r="AB1178" s="309">
        <v>17.121500000000001</v>
      </c>
      <c r="AC1178" s="309">
        <v>20.221900000000002</v>
      </c>
      <c r="AD1178" s="309">
        <v>21.798400000000001</v>
      </c>
      <c r="AE1178" s="309">
        <v>18.7135</v>
      </c>
      <c r="AF1178" s="309">
        <v>17.912500000000001</v>
      </c>
      <c r="AG1178" s="309">
        <v>16.057200000000002</v>
      </c>
      <c r="AH1178" s="309">
        <v>16.1935</v>
      </c>
      <c r="AI1178" s="309">
        <v>14.1897</v>
      </c>
      <c r="AJ1178" s="309">
        <v>21.867899999999999</v>
      </c>
      <c r="AK1178" s="309">
        <v>15.3817</v>
      </c>
      <c r="AL1178" s="309">
        <v>10.940300000000001</v>
      </c>
      <c r="AM1178" s="309">
        <v>19.564900000000002</v>
      </c>
      <c r="AN1178" s="309">
        <v>21.481100000000001</v>
      </c>
      <c r="AO1178" s="309">
        <v>20.270900000000001</v>
      </c>
      <c r="AP1178" s="309">
        <v>16.513100000000001</v>
      </c>
      <c r="AQ1178" s="309">
        <v>18.761500000000002</v>
      </c>
      <c r="AR1178" s="309">
        <v>21.9011</v>
      </c>
      <c r="AS1178" s="309">
        <v>16.264399999999998</v>
      </c>
      <c r="AT1178" s="309">
        <v>16.9422</v>
      </c>
      <c r="AU1178" s="309">
        <v>18.361599999999999</v>
      </c>
      <c r="AV1178" s="309">
        <v>24.807700000000001</v>
      </c>
      <c r="AW1178" s="309">
        <v>13.839600000000001</v>
      </c>
      <c r="AX1178" s="309">
        <v>19.852399999999999</v>
      </c>
      <c r="AY1178" s="309">
        <v>18.0046</v>
      </c>
      <c r="AZ1178" s="309">
        <v>19.9453</v>
      </c>
      <c r="BA1178" s="309">
        <v>18.7257</v>
      </c>
      <c r="BB1178" s="309">
        <v>17.564299999999999</v>
      </c>
      <c r="BC1178" s="309">
        <v>15.8995</v>
      </c>
      <c r="BD1178" s="309">
        <v>15.7415</v>
      </c>
      <c r="BE1178" s="309">
        <v>18.870799999999999</v>
      </c>
      <c r="BF1178" s="309">
        <v>18.992000000000001</v>
      </c>
      <c r="BG1178" s="309">
        <v>19.900300000000001</v>
      </c>
      <c r="BH1178" s="309">
        <v>19.242899999999999</v>
      </c>
      <c r="BI1178" s="309">
        <v>19.202100000000002</v>
      </c>
      <c r="BJ1178" s="309">
        <v>20.718800000000002</v>
      </c>
      <c r="BK1178" s="309">
        <v>17.288799999999998</v>
      </c>
    </row>
    <row r="1179" spans="1:63" x14ac:dyDescent="0.25">
      <c r="A1179" s="306" t="s">
        <v>770</v>
      </c>
      <c r="B1179" s="309" t="s">
        <v>314</v>
      </c>
      <c r="C1179" s="309">
        <v>23.255099999999999</v>
      </c>
      <c r="D1179" s="309">
        <v>18.013300000000001</v>
      </c>
      <c r="E1179" s="309">
        <v>18.750299999999999</v>
      </c>
      <c r="F1179" s="309">
        <v>19.776399999999999</v>
      </c>
      <c r="G1179" s="309">
        <v>20.0121</v>
      </c>
      <c r="H1179" s="309">
        <v>18.537600000000001</v>
      </c>
      <c r="I1179" s="309">
        <v>21.5305</v>
      </c>
      <c r="J1179" s="309">
        <v>14.0589</v>
      </c>
      <c r="K1179" s="309">
        <v>3.1164999999999998</v>
      </c>
      <c r="L1179" s="309">
        <v>10.344900000000001</v>
      </c>
      <c r="M1179" s="309">
        <v>20.4621</v>
      </c>
      <c r="N1179" s="309">
        <v>19.8889</v>
      </c>
      <c r="O1179" s="309">
        <v>24.6144</v>
      </c>
      <c r="P1179" s="309">
        <v>21.827500000000001</v>
      </c>
      <c r="Q1179" s="309">
        <v>19.906400000000001</v>
      </c>
      <c r="R1179" s="309">
        <v>15.975899999999999</v>
      </c>
      <c r="S1179" s="309">
        <v>21.075600000000001</v>
      </c>
      <c r="T1179" s="309">
        <v>14.8057</v>
      </c>
      <c r="U1179" s="309">
        <v>20.998699999999999</v>
      </c>
      <c r="V1179" s="309">
        <v>18.479700000000001</v>
      </c>
      <c r="W1179" s="309">
        <v>13.907400000000001</v>
      </c>
      <c r="X1179" s="309">
        <v>14.989599999999999</v>
      </c>
      <c r="Y1179" s="309">
        <v>22.692699999999999</v>
      </c>
      <c r="Z1179" s="309">
        <v>21.912700000000001</v>
      </c>
      <c r="AA1179" s="309">
        <v>21.302399999999999</v>
      </c>
      <c r="AB1179" s="309">
        <v>19.185500000000001</v>
      </c>
      <c r="AC1179" s="309">
        <v>22.184699999999999</v>
      </c>
      <c r="AD1179" s="309">
        <v>23.680599999999998</v>
      </c>
      <c r="AE1179" s="309">
        <v>18.868500000000001</v>
      </c>
      <c r="AF1179" s="309">
        <v>15.734500000000001</v>
      </c>
      <c r="AG1179" s="309">
        <v>19.020399999999999</v>
      </c>
      <c r="AH1179" s="309">
        <v>18.427099999999999</v>
      </c>
      <c r="AI1179" s="309">
        <v>14.5526</v>
      </c>
      <c r="AJ1179" s="309">
        <v>20.415299999999998</v>
      </c>
      <c r="AK1179" s="309">
        <v>18.0779</v>
      </c>
      <c r="AL1179" s="309">
        <v>12.583399999999999</v>
      </c>
      <c r="AM1179" s="309">
        <v>21.849399999999999</v>
      </c>
      <c r="AN1179" s="309">
        <v>21.3416</v>
      </c>
      <c r="AO1179" s="309">
        <v>22.8521</v>
      </c>
      <c r="AP1179" s="309">
        <v>17.218699999999998</v>
      </c>
      <c r="AQ1179" s="309">
        <v>18.8949</v>
      </c>
      <c r="AR1179" s="309">
        <v>20.355</v>
      </c>
      <c r="AS1179" s="309">
        <v>15.6191</v>
      </c>
      <c r="AT1179" s="309">
        <v>17.692499999999999</v>
      </c>
      <c r="AU1179" s="309">
        <v>17.331</v>
      </c>
      <c r="AV1179" s="309">
        <v>23.885200000000001</v>
      </c>
      <c r="AW1179" s="309">
        <v>13.8733</v>
      </c>
      <c r="AX1179" s="309">
        <v>18.6494</v>
      </c>
      <c r="AY1179" s="309">
        <v>22.4389</v>
      </c>
      <c r="AZ1179" s="309">
        <v>20.655799999999999</v>
      </c>
      <c r="BA1179" s="309">
        <v>20.0139</v>
      </c>
      <c r="BB1179" s="309">
        <v>17.0107</v>
      </c>
      <c r="BC1179" s="309">
        <v>16.899100000000001</v>
      </c>
      <c r="BD1179" s="309">
        <v>16.877800000000001</v>
      </c>
      <c r="BE1179" s="309">
        <v>21.078600000000002</v>
      </c>
      <c r="BF1179" s="309">
        <v>20.654299999999999</v>
      </c>
      <c r="BG1179" s="309">
        <v>20.055800000000001</v>
      </c>
      <c r="BH1179" s="309">
        <v>20.2163</v>
      </c>
      <c r="BI1179" s="309">
        <v>18.524699999999999</v>
      </c>
      <c r="BJ1179" s="309">
        <v>22.41</v>
      </c>
      <c r="BK1179" s="309">
        <v>19.504999999999999</v>
      </c>
    </row>
    <row r="1180" spans="1:63" x14ac:dyDescent="0.25">
      <c r="A1180" s="306">
        <v>541700</v>
      </c>
      <c r="B1180" s="309" t="s">
        <v>315</v>
      </c>
      <c r="C1180" s="309">
        <v>19.740500000000001</v>
      </c>
      <c r="D1180" s="309">
        <v>15.420999999999999</v>
      </c>
      <c r="E1180" s="309">
        <v>15.6128</v>
      </c>
      <c r="F1180" s="309">
        <v>16.650600000000001</v>
      </c>
      <c r="G1180" s="309">
        <v>15.718999999999999</v>
      </c>
      <c r="H1180" s="309">
        <v>13.9102</v>
      </c>
      <c r="I1180" s="309">
        <v>15.1477</v>
      </c>
      <c r="J1180" s="309">
        <v>10.786</v>
      </c>
      <c r="K1180" s="309">
        <v>2.1128999999999998</v>
      </c>
      <c r="L1180" s="309">
        <v>8.9274000000000004</v>
      </c>
      <c r="M1180" s="309">
        <v>17.375599999999999</v>
      </c>
      <c r="N1180" s="309">
        <v>17.9514</v>
      </c>
      <c r="O1180" s="309">
        <v>15.714600000000001</v>
      </c>
      <c r="P1180" s="309">
        <v>15.309900000000001</v>
      </c>
      <c r="Q1180" s="309">
        <v>13.795999999999999</v>
      </c>
      <c r="R1180" s="309">
        <v>14.8118</v>
      </c>
      <c r="S1180" s="309">
        <v>15.4854</v>
      </c>
      <c r="T1180" s="309">
        <v>12.7315</v>
      </c>
      <c r="U1180" s="309">
        <v>17.5684</v>
      </c>
      <c r="V1180" s="309">
        <v>17.308299999999999</v>
      </c>
      <c r="W1180" s="309">
        <v>11.895300000000001</v>
      </c>
      <c r="X1180" s="309">
        <v>13.170999999999999</v>
      </c>
      <c r="Y1180" s="309">
        <v>18.7514</v>
      </c>
      <c r="Z1180" s="309">
        <v>14.465199999999999</v>
      </c>
      <c r="AA1180" s="309">
        <v>14.741899999999999</v>
      </c>
      <c r="AB1180" s="309">
        <v>12.417299999999999</v>
      </c>
      <c r="AC1180" s="309">
        <v>15.882999999999999</v>
      </c>
      <c r="AD1180" s="309">
        <v>16.3049</v>
      </c>
      <c r="AE1180" s="309">
        <v>15.4443</v>
      </c>
      <c r="AF1180" s="309">
        <v>13.0685</v>
      </c>
      <c r="AG1180" s="309">
        <v>14.1188</v>
      </c>
      <c r="AH1180" s="309">
        <v>12.0007</v>
      </c>
      <c r="AI1180" s="309">
        <v>12.4504</v>
      </c>
      <c r="AJ1180" s="309">
        <v>14.074299999999999</v>
      </c>
      <c r="AK1180" s="309">
        <v>13.06</v>
      </c>
      <c r="AL1180" s="309">
        <v>12.504300000000001</v>
      </c>
      <c r="AM1180" s="309">
        <v>16.64</v>
      </c>
      <c r="AN1180" s="309">
        <v>18.4941</v>
      </c>
      <c r="AO1180" s="309">
        <v>16.422999999999998</v>
      </c>
      <c r="AP1180" s="309">
        <v>14.5908</v>
      </c>
      <c r="AQ1180" s="309">
        <v>13.854900000000001</v>
      </c>
      <c r="AR1180" s="309">
        <v>17.4129</v>
      </c>
      <c r="AS1180" s="309">
        <v>9.9591999999999992</v>
      </c>
      <c r="AT1180" s="309">
        <v>16.0685</v>
      </c>
      <c r="AU1180" s="309">
        <v>17.367599999999999</v>
      </c>
      <c r="AV1180" s="309">
        <v>18.706900000000001</v>
      </c>
      <c r="AW1180" s="309">
        <v>12.869400000000001</v>
      </c>
      <c r="AX1180" s="309">
        <v>16.723299999999998</v>
      </c>
      <c r="AY1180" s="309">
        <v>14.715400000000001</v>
      </c>
      <c r="AZ1180" s="309">
        <v>16.197600000000001</v>
      </c>
      <c r="BA1180" s="309">
        <v>15.691700000000001</v>
      </c>
      <c r="BB1180" s="309">
        <v>14.882999999999999</v>
      </c>
      <c r="BC1180" s="309">
        <v>13.8589</v>
      </c>
      <c r="BD1180" s="309">
        <v>14.6813</v>
      </c>
      <c r="BE1180" s="309">
        <v>16.4955</v>
      </c>
      <c r="BF1180" s="309">
        <v>14.2407</v>
      </c>
      <c r="BG1180" s="309">
        <v>17.354600000000001</v>
      </c>
      <c r="BH1180" s="309">
        <v>16.783000000000001</v>
      </c>
      <c r="BI1180" s="309">
        <v>17.906099999999999</v>
      </c>
      <c r="BJ1180" s="309">
        <v>16.285499999999999</v>
      </c>
      <c r="BK1180" s="309">
        <v>14.718500000000001</v>
      </c>
    </row>
    <row r="1181" spans="1:63" x14ac:dyDescent="0.25">
      <c r="A1181" s="306">
        <v>541800</v>
      </c>
      <c r="B1181" s="309" t="s">
        <v>316</v>
      </c>
      <c r="C1181" s="309">
        <v>20.163900000000002</v>
      </c>
      <c r="D1181" s="309">
        <v>16.834700000000002</v>
      </c>
      <c r="E1181" s="309">
        <v>18.301200000000001</v>
      </c>
      <c r="F1181" s="309">
        <v>17.543500000000002</v>
      </c>
      <c r="G1181" s="309">
        <v>17.734300000000001</v>
      </c>
      <c r="H1181" s="309">
        <v>15.083600000000001</v>
      </c>
      <c r="I1181" s="309">
        <v>17.181899999999999</v>
      </c>
      <c r="J1181" s="309">
        <v>11.427199999999999</v>
      </c>
      <c r="K1181" s="309">
        <v>2.7128000000000001</v>
      </c>
      <c r="L1181" s="309">
        <v>13.863</v>
      </c>
      <c r="M1181" s="309">
        <v>19.026399999999999</v>
      </c>
      <c r="N1181" s="309">
        <v>15.5527</v>
      </c>
      <c r="O1181" s="309">
        <v>19.825800000000001</v>
      </c>
      <c r="P1181" s="309">
        <v>17.319099999999999</v>
      </c>
      <c r="Q1181" s="309">
        <v>20.1722</v>
      </c>
      <c r="R1181" s="309">
        <v>14.2796</v>
      </c>
      <c r="S1181" s="309">
        <v>18.286300000000001</v>
      </c>
      <c r="T1181" s="309">
        <v>13.978199999999999</v>
      </c>
      <c r="U1181" s="309">
        <v>18.463000000000001</v>
      </c>
      <c r="V1181" s="309">
        <v>17.526199999999999</v>
      </c>
      <c r="W1181" s="309">
        <v>11.961399999999999</v>
      </c>
      <c r="X1181" s="309">
        <v>14.705399999999999</v>
      </c>
      <c r="Y1181" s="309">
        <v>20.573399999999999</v>
      </c>
      <c r="Z1181" s="309">
        <v>14.9589</v>
      </c>
      <c r="AA1181" s="309">
        <v>16.457599999999999</v>
      </c>
      <c r="AB1181" s="309">
        <v>14.419600000000001</v>
      </c>
      <c r="AC1181" s="309">
        <v>18.893999999999998</v>
      </c>
      <c r="AD1181" s="309">
        <v>22.2895</v>
      </c>
      <c r="AE1181" s="309">
        <v>17.260200000000001</v>
      </c>
      <c r="AF1181" s="309">
        <v>16.092700000000001</v>
      </c>
      <c r="AG1181" s="309">
        <v>15.333600000000001</v>
      </c>
      <c r="AH1181" s="309">
        <v>16.611899999999999</v>
      </c>
      <c r="AI1181" s="309">
        <v>13.826700000000001</v>
      </c>
      <c r="AJ1181" s="309">
        <v>21.7986</v>
      </c>
      <c r="AK1181" s="309">
        <v>16.686699999999998</v>
      </c>
      <c r="AL1181" s="309">
        <v>10.036</v>
      </c>
      <c r="AM1181" s="309">
        <v>17.933599999999998</v>
      </c>
      <c r="AN1181" s="309">
        <v>19.2974</v>
      </c>
      <c r="AO1181" s="309">
        <v>17.4877</v>
      </c>
      <c r="AP1181" s="309">
        <v>16.480399999999999</v>
      </c>
      <c r="AQ1181" s="309">
        <v>14.406599999999999</v>
      </c>
      <c r="AR1181" s="309">
        <v>21.316299999999998</v>
      </c>
      <c r="AS1181" s="309">
        <v>18.082799999999999</v>
      </c>
      <c r="AT1181" s="309">
        <v>17.364799999999999</v>
      </c>
      <c r="AU1181" s="309">
        <v>17.385400000000001</v>
      </c>
      <c r="AV1181" s="309">
        <v>21.729700000000001</v>
      </c>
      <c r="AW1181" s="309">
        <v>14.748900000000001</v>
      </c>
      <c r="AX1181" s="309">
        <v>16.992000000000001</v>
      </c>
      <c r="AY1181" s="309">
        <v>16.619</v>
      </c>
      <c r="AZ1181" s="309">
        <v>18.0547</v>
      </c>
      <c r="BA1181" s="309">
        <v>19.421800000000001</v>
      </c>
      <c r="BB1181" s="309">
        <v>16.554400000000001</v>
      </c>
      <c r="BC1181" s="309">
        <v>14.045</v>
      </c>
      <c r="BD1181" s="309">
        <v>14.4528</v>
      </c>
      <c r="BE1181" s="309">
        <v>16.634599999999999</v>
      </c>
      <c r="BF1181" s="309">
        <v>16.933900000000001</v>
      </c>
      <c r="BG1181" s="309">
        <v>18.209099999999999</v>
      </c>
      <c r="BH1181" s="309">
        <v>18.790800000000001</v>
      </c>
      <c r="BI1181" s="309">
        <v>18.064499999999999</v>
      </c>
      <c r="BJ1181" s="309">
        <v>18.961400000000001</v>
      </c>
      <c r="BK1181" s="309">
        <v>15.959099999999999</v>
      </c>
    </row>
    <row r="1182" spans="1:63" x14ac:dyDescent="0.25">
      <c r="A1182" s="306">
        <v>541920</v>
      </c>
      <c r="B1182" s="309" t="s">
        <v>317</v>
      </c>
      <c r="C1182" s="309">
        <v>33.398699999999998</v>
      </c>
      <c r="D1182" s="309">
        <v>26.537299999999998</v>
      </c>
      <c r="E1182" s="309">
        <v>31.064</v>
      </c>
      <c r="F1182" s="309">
        <v>23.776800000000001</v>
      </c>
      <c r="G1182" s="309">
        <v>28.619900000000001</v>
      </c>
      <c r="H1182" s="309">
        <v>25.877600000000001</v>
      </c>
      <c r="I1182" s="309">
        <v>33.9026</v>
      </c>
      <c r="J1182" s="309">
        <v>21.8401</v>
      </c>
      <c r="K1182" s="309">
        <v>4.7756999999999996</v>
      </c>
      <c r="L1182" s="309">
        <v>17.724</v>
      </c>
      <c r="M1182" s="309">
        <v>33.948999999999998</v>
      </c>
      <c r="N1182" s="309">
        <v>32.4499</v>
      </c>
      <c r="O1182" s="309">
        <v>38.408999999999999</v>
      </c>
      <c r="P1182" s="309">
        <v>25.442900000000002</v>
      </c>
      <c r="Q1182" s="309">
        <v>20.493600000000001</v>
      </c>
      <c r="R1182" s="309">
        <v>25.747599999999998</v>
      </c>
      <c r="S1182" s="309">
        <v>33.315600000000003</v>
      </c>
      <c r="T1182" s="309">
        <v>19.6784</v>
      </c>
      <c r="U1182" s="309">
        <v>32.7271</v>
      </c>
      <c r="V1182" s="309">
        <v>31.453399999999998</v>
      </c>
      <c r="W1182" s="309">
        <v>26.474799999999998</v>
      </c>
      <c r="X1182" s="309">
        <v>26.7437</v>
      </c>
      <c r="Y1182" s="309">
        <v>38.998699999999999</v>
      </c>
      <c r="Z1182" s="309">
        <v>25.5319</v>
      </c>
      <c r="AA1182" s="309">
        <v>26.015899999999998</v>
      </c>
      <c r="AB1182" s="309">
        <v>30.6691</v>
      </c>
      <c r="AC1182" s="309">
        <v>37.009500000000003</v>
      </c>
      <c r="AD1182" s="309">
        <v>29.2986</v>
      </c>
      <c r="AE1182" s="309">
        <v>29.0684</v>
      </c>
      <c r="AF1182" s="309">
        <v>32.893500000000003</v>
      </c>
      <c r="AG1182" s="309">
        <v>32.976999999999997</v>
      </c>
      <c r="AH1182" s="309">
        <v>26.0733</v>
      </c>
      <c r="AI1182" s="309">
        <v>27.6313</v>
      </c>
      <c r="AJ1182" s="309">
        <v>31.049499999999998</v>
      </c>
      <c r="AK1182" s="309">
        <v>24.659300000000002</v>
      </c>
      <c r="AL1182" s="309">
        <v>17.627600000000001</v>
      </c>
      <c r="AM1182" s="309">
        <v>27.535499999999999</v>
      </c>
      <c r="AN1182" s="309">
        <v>32.795200000000001</v>
      </c>
      <c r="AO1182" s="309">
        <v>32.858400000000003</v>
      </c>
      <c r="AP1182" s="309">
        <v>35.391100000000002</v>
      </c>
      <c r="AQ1182" s="309">
        <v>30.994299999999999</v>
      </c>
      <c r="AR1182" s="309">
        <v>32.268799999999999</v>
      </c>
      <c r="AS1182" s="309">
        <v>32.396999999999998</v>
      </c>
      <c r="AT1182" s="309">
        <v>22.883600000000001</v>
      </c>
      <c r="AU1182" s="309">
        <v>31.4147</v>
      </c>
      <c r="AV1182" s="309">
        <v>27.928699999999999</v>
      </c>
      <c r="AW1182" s="309">
        <v>29.401700000000002</v>
      </c>
      <c r="AX1182" s="309">
        <v>34.966099999999997</v>
      </c>
      <c r="AY1182" s="309">
        <v>34.936300000000003</v>
      </c>
      <c r="AZ1182" s="309">
        <v>32.706800000000001</v>
      </c>
      <c r="BA1182" s="309">
        <v>30.278600000000001</v>
      </c>
      <c r="BB1182" s="309">
        <v>34.492899999999999</v>
      </c>
      <c r="BC1182" s="309">
        <v>28.828600000000002</v>
      </c>
      <c r="BD1182" s="309">
        <v>25.832100000000001</v>
      </c>
      <c r="BE1182" s="309">
        <v>29.1343</v>
      </c>
      <c r="BF1182" s="309">
        <v>28.301300000000001</v>
      </c>
      <c r="BG1182" s="309">
        <v>33.526000000000003</v>
      </c>
      <c r="BH1182" s="309">
        <v>26.719000000000001</v>
      </c>
      <c r="BI1182" s="309">
        <v>32.043500000000002</v>
      </c>
      <c r="BJ1182" s="309">
        <v>29.785900000000002</v>
      </c>
      <c r="BK1182" s="309">
        <v>28.1675</v>
      </c>
    </row>
    <row r="1183" spans="1:63" x14ac:dyDescent="0.25">
      <c r="A1183" s="306">
        <v>541940</v>
      </c>
      <c r="B1183" s="309" t="s">
        <v>318</v>
      </c>
      <c r="C1183" s="309">
        <v>25.974599999999999</v>
      </c>
      <c r="D1183" s="309">
        <v>20.328800000000001</v>
      </c>
      <c r="E1183" s="309">
        <v>22.959900000000001</v>
      </c>
      <c r="F1183" s="309">
        <v>17.0412</v>
      </c>
      <c r="G1183" s="309">
        <v>19.984200000000001</v>
      </c>
      <c r="H1183" s="309">
        <v>18.908000000000001</v>
      </c>
      <c r="I1183" s="309">
        <v>23.247</v>
      </c>
      <c r="J1183" s="309">
        <v>15.0389</v>
      </c>
      <c r="K1183" s="309">
        <v>3.4651000000000001</v>
      </c>
      <c r="L1183" s="309">
        <v>13.2811</v>
      </c>
      <c r="M1183" s="309">
        <v>23.455300000000001</v>
      </c>
      <c r="N1183" s="309">
        <v>24.8598</v>
      </c>
      <c r="O1183" s="309">
        <v>24.2165</v>
      </c>
      <c r="P1183" s="309">
        <v>17.939900000000002</v>
      </c>
      <c r="Q1183" s="309">
        <v>15.0694</v>
      </c>
      <c r="R1183" s="309">
        <v>20.0794</v>
      </c>
      <c r="S1183" s="309">
        <v>23.5594</v>
      </c>
      <c r="T1183" s="309">
        <v>15.710100000000001</v>
      </c>
      <c r="U1183" s="309">
        <v>19.894300000000001</v>
      </c>
      <c r="V1183" s="309">
        <v>23.3462</v>
      </c>
      <c r="W1183" s="309">
        <v>18.127300000000002</v>
      </c>
      <c r="X1183" s="309">
        <v>19.088699999999999</v>
      </c>
      <c r="Y1183" s="309">
        <v>27.251200000000001</v>
      </c>
      <c r="Z1183" s="309">
        <v>18.5884</v>
      </c>
      <c r="AA1183" s="309">
        <v>25.682400000000001</v>
      </c>
      <c r="AB1183" s="309">
        <v>22.6815</v>
      </c>
      <c r="AC1183" s="309">
        <v>25.173200000000001</v>
      </c>
      <c r="AD1183" s="309">
        <v>24.067</v>
      </c>
      <c r="AE1183" s="309">
        <v>23.070799999999998</v>
      </c>
      <c r="AF1183" s="309">
        <v>19.149799999999999</v>
      </c>
      <c r="AG1183" s="309">
        <v>22.744</v>
      </c>
      <c r="AH1183" s="309">
        <v>16.934799999999999</v>
      </c>
      <c r="AI1183" s="309">
        <v>18.580300000000001</v>
      </c>
      <c r="AJ1183" s="309">
        <v>21.580100000000002</v>
      </c>
      <c r="AK1183" s="309">
        <v>17.7958</v>
      </c>
      <c r="AL1183" s="309">
        <v>14.6244</v>
      </c>
      <c r="AM1183" s="309">
        <v>20.3508</v>
      </c>
      <c r="AN1183" s="309">
        <v>24.290400000000002</v>
      </c>
      <c r="AO1183" s="309">
        <v>22.8611</v>
      </c>
      <c r="AP1183" s="309">
        <v>22.1494</v>
      </c>
      <c r="AQ1183" s="309">
        <v>21.229500000000002</v>
      </c>
      <c r="AR1183" s="309">
        <v>22.134899999999998</v>
      </c>
      <c r="AS1183" s="309">
        <v>23.146899999999999</v>
      </c>
      <c r="AT1183" s="309">
        <v>19.097899999999999</v>
      </c>
      <c r="AU1183" s="309">
        <v>22.0855</v>
      </c>
      <c r="AV1183" s="309">
        <v>20.684999999999999</v>
      </c>
      <c r="AW1183" s="309">
        <v>19.869399999999999</v>
      </c>
      <c r="AX1183" s="309">
        <v>23.561199999999999</v>
      </c>
      <c r="AY1183" s="309">
        <v>23.0245</v>
      </c>
      <c r="AZ1183" s="309">
        <v>22.9465</v>
      </c>
      <c r="BA1183" s="309">
        <v>20.473800000000001</v>
      </c>
      <c r="BB1183" s="309">
        <v>22.906199999999998</v>
      </c>
      <c r="BC1183" s="309">
        <v>20.191299999999998</v>
      </c>
      <c r="BD1183" s="309">
        <v>20.059100000000001</v>
      </c>
      <c r="BE1183" s="309">
        <v>22.036799999999999</v>
      </c>
      <c r="BF1183" s="309">
        <v>22.598700000000001</v>
      </c>
      <c r="BG1183" s="309">
        <v>24.531400000000001</v>
      </c>
      <c r="BH1183" s="309">
        <v>21.656600000000001</v>
      </c>
      <c r="BI1183" s="309">
        <v>22.926300000000001</v>
      </c>
      <c r="BJ1183" s="309">
        <v>21.797000000000001</v>
      </c>
      <c r="BK1183" s="309">
        <v>20.426300000000001</v>
      </c>
    </row>
    <row r="1184" spans="1:63" x14ac:dyDescent="0.25">
      <c r="A1184" s="306" t="s">
        <v>771</v>
      </c>
      <c r="B1184" s="309" t="s">
        <v>319</v>
      </c>
      <c r="C1184" s="309">
        <v>24.197299999999998</v>
      </c>
      <c r="D1184" s="309">
        <v>14.742900000000001</v>
      </c>
      <c r="E1184" s="309">
        <v>26.3156</v>
      </c>
      <c r="F1184" s="309">
        <v>20.056899999999999</v>
      </c>
      <c r="G1184" s="309">
        <v>22.223500000000001</v>
      </c>
      <c r="H1184" s="309">
        <v>17.9803</v>
      </c>
      <c r="I1184" s="309">
        <v>20.754200000000001</v>
      </c>
      <c r="J1184" s="309">
        <v>13.1845</v>
      </c>
      <c r="K1184" s="309">
        <v>2.9051</v>
      </c>
      <c r="L1184" s="309">
        <v>12.568099999999999</v>
      </c>
      <c r="M1184" s="309">
        <v>24.618300000000001</v>
      </c>
      <c r="N1184" s="309">
        <v>22.5166</v>
      </c>
      <c r="O1184" s="309">
        <v>25.779599999999999</v>
      </c>
      <c r="P1184" s="309">
        <v>22.847200000000001</v>
      </c>
      <c r="Q1184" s="309">
        <v>17.610600000000002</v>
      </c>
      <c r="R1184" s="309">
        <v>17.492100000000001</v>
      </c>
      <c r="S1184" s="309">
        <v>18.016200000000001</v>
      </c>
      <c r="T1184" s="309">
        <v>15.8904</v>
      </c>
      <c r="U1184" s="309">
        <v>23.4191</v>
      </c>
      <c r="V1184" s="309">
        <v>18.996200000000002</v>
      </c>
      <c r="W1184" s="309">
        <v>14.7003</v>
      </c>
      <c r="X1184" s="309">
        <v>17.527200000000001</v>
      </c>
      <c r="Y1184" s="309">
        <v>25.904499999999999</v>
      </c>
      <c r="Z1184" s="309">
        <v>17.904</v>
      </c>
      <c r="AA1184" s="309">
        <v>20.648499999999999</v>
      </c>
      <c r="AB1184" s="309">
        <v>19.100999999999999</v>
      </c>
      <c r="AC1184" s="309">
        <v>19.521999999999998</v>
      </c>
      <c r="AD1184" s="309">
        <v>21.847899999999999</v>
      </c>
      <c r="AE1184" s="309">
        <v>22.159800000000001</v>
      </c>
      <c r="AF1184" s="309">
        <v>21.265899999999998</v>
      </c>
      <c r="AG1184" s="309">
        <v>22.7257</v>
      </c>
      <c r="AH1184" s="309">
        <v>15.616300000000001</v>
      </c>
      <c r="AI1184" s="309">
        <v>15.3345</v>
      </c>
      <c r="AJ1184" s="309">
        <v>21.471599999999999</v>
      </c>
      <c r="AK1184" s="309">
        <v>19.783799999999999</v>
      </c>
      <c r="AL1184" s="309">
        <v>12.238</v>
      </c>
      <c r="AM1184" s="309">
        <v>21.478999999999999</v>
      </c>
      <c r="AN1184" s="309">
        <v>21.077500000000001</v>
      </c>
      <c r="AO1184" s="309">
        <v>22.303799999999999</v>
      </c>
      <c r="AP1184" s="309">
        <v>20.663599999999999</v>
      </c>
      <c r="AQ1184" s="309">
        <v>24.171600000000002</v>
      </c>
      <c r="AR1184" s="309">
        <v>19.843699999999998</v>
      </c>
      <c r="AS1184" s="309">
        <v>22.351099999999999</v>
      </c>
      <c r="AT1184" s="309">
        <v>19.032399999999999</v>
      </c>
      <c r="AU1184" s="309">
        <v>21.305800000000001</v>
      </c>
      <c r="AV1184" s="309">
        <v>24.101900000000001</v>
      </c>
      <c r="AW1184" s="309">
        <v>17.261600000000001</v>
      </c>
      <c r="AX1184" s="309">
        <v>24.024999999999999</v>
      </c>
      <c r="AY1184" s="309">
        <v>23.9331</v>
      </c>
      <c r="AZ1184" s="309">
        <v>25.163399999999999</v>
      </c>
      <c r="BA1184" s="309">
        <v>22.563500000000001</v>
      </c>
      <c r="BB1184" s="309">
        <v>19.3384</v>
      </c>
      <c r="BC1184" s="309">
        <v>17.1465</v>
      </c>
      <c r="BD1184" s="309">
        <v>17.1523</v>
      </c>
      <c r="BE1184" s="309">
        <v>20.335599999999999</v>
      </c>
      <c r="BF1184" s="309">
        <v>21.1053</v>
      </c>
      <c r="BG1184" s="309">
        <v>23.265499999999999</v>
      </c>
      <c r="BH1184" s="309">
        <v>23.517299999999999</v>
      </c>
      <c r="BI1184" s="309">
        <v>21.782800000000002</v>
      </c>
      <c r="BJ1184" s="309">
        <v>22.286899999999999</v>
      </c>
      <c r="BK1184" s="309">
        <v>19.241399999999999</v>
      </c>
    </row>
    <row r="1185" spans="1:63" x14ac:dyDescent="0.25">
      <c r="A1185" s="306">
        <v>550000</v>
      </c>
      <c r="B1185" s="309" t="s">
        <v>320</v>
      </c>
      <c r="C1185" s="309">
        <v>17.557099999999998</v>
      </c>
      <c r="D1185" s="309">
        <v>11.9909</v>
      </c>
      <c r="E1185" s="309">
        <v>14.3622</v>
      </c>
      <c r="F1185" s="309">
        <v>11.7316</v>
      </c>
      <c r="G1185" s="309">
        <v>14.311400000000001</v>
      </c>
      <c r="H1185" s="309">
        <v>13.3354</v>
      </c>
      <c r="I1185" s="309">
        <v>13.747199999999999</v>
      </c>
      <c r="J1185" s="309">
        <v>9.7299000000000007</v>
      </c>
      <c r="K1185" s="309">
        <v>1.3644000000000001</v>
      </c>
      <c r="L1185" s="309">
        <v>8.7236999999999991</v>
      </c>
      <c r="M1185" s="309">
        <v>14.8087</v>
      </c>
      <c r="N1185" s="309">
        <v>14.556100000000001</v>
      </c>
      <c r="O1185" s="309">
        <v>13.608499999999999</v>
      </c>
      <c r="P1185" s="309">
        <v>11.677099999999999</v>
      </c>
      <c r="Q1185" s="309">
        <v>11.887</v>
      </c>
      <c r="R1185" s="309">
        <v>12.781000000000001</v>
      </c>
      <c r="S1185" s="309">
        <v>12.9428</v>
      </c>
      <c r="T1185" s="309">
        <v>10.895300000000001</v>
      </c>
      <c r="U1185" s="309">
        <v>12.698700000000001</v>
      </c>
      <c r="V1185" s="309">
        <v>14.1111</v>
      </c>
      <c r="W1185" s="309">
        <v>10.9626</v>
      </c>
      <c r="X1185" s="309">
        <v>11.725300000000001</v>
      </c>
      <c r="Y1185" s="309">
        <v>14.3725</v>
      </c>
      <c r="Z1185" s="309">
        <v>12.6449</v>
      </c>
      <c r="AA1185" s="309">
        <v>11.9961</v>
      </c>
      <c r="AB1185" s="309">
        <v>11.916499999999999</v>
      </c>
      <c r="AC1185" s="309">
        <v>12.937200000000001</v>
      </c>
      <c r="AD1185" s="309">
        <v>14.5701</v>
      </c>
      <c r="AE1185" s="309">
        <v>12.821199999999999</v>
      </c>
      <c r="AF1185" s="309">
        <v>11.8551</v>
      </c>
      <c r="AG1185" s="309">
        <v>10.635300000000001</v>
      </c>
      <c r="AH1185" s="309">
        <v>11.193300000000001</v>
      </c>
      <c r="AI1185" s="309">
        <v>10.503399999999999</v>
      </c>
      <c r="AJ1185" s="309">
        <v>14.5311</v>
      </c>
      <c r="AK1185" s="309">
        <v>10.8498</v>
      </c>
      <c r="AL1185" s="309">
        <v>7.6048</v>
      </c>
      <c r="AM1185" s="309">
        <v>13.6516</v>
      </c>
      <c r="AN1185" s="309">
        <v>14.5002</v>
      </c>
      <c r="AO1185" s="309">
        <v>13.360099999999999</v>
      </c>
      <c r="AP1185" s="309">
        <v>13.2005</v>
      </c>
      <c r="AQ1185" s="309">
        <v>10.180400000000001</v>
      </c>
      <c r="AR1185" s="309">
        <v>15.5898</v>
      </c>
      <c r="AS1185" s="309">
        <v>9.6545000000000005</v>
      </c>
      <c r="AT1185" s="309">
        <v>13.8992</v>
      </c>
      <c r="AU1185" s="309">
        <v>15.1309</v>
      </c>
      <c r="AV1185" s="309">
        <v>18.495999999999999</v>
      </c>
      <c r="AW1185" s="309">
        <v>11.487299999999999</v>
      </c>
      <c r="AX1185" s="309">
        <v>14.773999999999999</v>
      </c>
      <c r="AY1185" s="309">
        <v>12.2186</v>
      </c>
      <c r="AZ1185" s="309">
        <v>13.158099999999999</v>
      </c>
      <c r="BA1185" s="309">
        <v>13.1532</v>
      </c>
      <c r="BB1185" s="309">
        <v>10.101100000000001</v>
      </c>
      <c r="BC1185" s="309">
        <v>12.51</v>
      </c>
      <c r="BD1185" s="309">
        <v>11.9375</v>
      </c>
      <c r="BE1185" s="309">
        <v>14.3041</v>
      </c>
      <c r="BF1185" s="309">
        <v>12.3004</v>
      </c>
      <c r="BG1185" s="309">
        <v>15.392799999999999</v>
      </c>
      <c r="BH1185" s="309">
        <v>14.3626</v>
      </c>
      <c r="BI1185" s="309">
        <v>15.4945</v>
      </c>
      <c r="BJ1185" s="309">
        <v>14.734999999999999</v>
      </c>
      <c r="BK1185" s="309">
        <v>13.848100000000001</v>
      </c>
    </row>
    <row r="1186" spans="1:63" x14ac:dyDescent="0.25">
      <c r="A1186" s="306">
        <v>561100</v>
      </c>
      <c r="B1186" s="309" t="s">
        <v>323</v>
      </c>
      <c r="C1186" s="309">
        <v>24.735099999999999</v>
      </c>
      <c r="D1186" s="309">
        <v>17.007200000000001</v>
      </c>
      <c r="E1186" s="309">
        <v>22.150200000000002</v>
      </c>
      <c r="F1186" s="309">
        <v>19.778199999999998</v>
      </c>
      <c r="G1186" s="309">
        <v>20.143899999999999</v>
      </c>
      <c r="H1186" s="309">
        <v>18.596599999999999</v>
      </c>
      <c r="I1186" s="309">
        <v>19.3918</v>
      </c>
      <c r="J1186" s="309">
        <v>15.2828</v>
      </c>
      <c r="K1186" s="309">
        <v>4.2953000000000001</v>
      </c>
      <c r="L1186" s="309">
        <v>14.040100000000001</v>
      </c>
      <c r="M1186" s="309">
        <v>23.516500000000001</v>
      </c>
      <c r="N1186" s="309">
        <v>22.2578</v>
      </c>
      <c r="O1186" s="309">
        <v>19.778700000000001</v>
      </c>
      <c r="P1186" s="309">
        <v>15.996600000000001</v>
      </c>
      <c r="Q1186" s="309">
        <v>18.804300000000001</v>
      </c>
      <c r="R1186" s="309">
        <v>20.757300000000001</v>
      </c>
      <c r="S1186" s="309">
        <v>21.369199999999999</v>
      </c>
      <c r="T1186" s="309">
        <v>16.471</v>
      </c>
      <c r="U1186" s="309">
        <v>17.688400000000001</v>
      </c>
      <c r="V1186" s="309">
        <v>17.980899999999998</v>
      </c>
      <c r="W1186" s="309">
        <v>17.1798</v>
      </c>
      <c r="X1186" s="309">
        <v>18.924600000000002</v>
      </c>
      <c r="Y1186" s="309">
        <v>22.3324</v>
      </c>
      <c r="Z1186" s="309">
        <v>20.766999999999999</v>
      </c>
      <c r="AA1186" s="309">
        <v>19.523499999999999</v>
      </c>
      <c r="AB1186" s="309">
        <v>18.7531</v>
      </c>
      <c r="AC1186" s="309">
        <v>18.940300000000001</v>
      </c>
      <c r="AD1186" s="309">
        <v>20.876100000000001</v>
      </c>
      <c r="AE1186" s="309">
        <v>21.069099999999999</v>
      </c>
      <c r="AF1186" s="309">
        <v>15.7507</v>
      </c>
      <c r="AG1186" s="309">
        <v>18.172999999999998</v>
      </c>
      <c r="AH1186" s="309">
        <v>16.3932</v>
      </c>
      <c r="AI1186" s="309">
        <v>16.583100000000002</v>
      </c>
      <c r="AJ1186" s="309">
        <v>18.444900000000001</v>
      </c>
      <c r="AK1186" s="309">
        <v>17.260999999999999</v>
      </c>
      <c r="AL1186" s="309">
        <v>14.0589</v>
      </c>
      <c r="AM1186" s="309">
        <v>21.4099</v>
      </c>
      <c r="AN1186" s="309">
        <v>22.5547</v>
      </c>
      <c r="AO1186" s="309">
        <v>20.0274</v>
      </c>
      <c r="AP1186" s="309">
        <v>19.842600000000001</v>
      </c>
      <c r="AQ1186" s="309">
        <v>19.671900000000001</v>
      </c>
      <c r="AR1186" s="309">
        <v>21.574999999999999</v>
      </c>
      <c r="AS1186" s="309">
        <v>16.171199999999999</v>
      </c>
      <c r="AT1186" s="309">
        <v>18.174299999999999</v>
      </c>
      <c r="AU1186" s="309">
        <v>20.4345</v>
      </c>
      <c r="AV1186" s="309">
        <v>24.851900000000001</v>
      </c>
      <c r="AW1186" s="309">
        <v>19.5853</v>
      </c>
      <c r="AX1186" s="309">
        <v>19.9421</v>
      </c>
      <c r="AY1186" s="309">
        <v>20.9161</v>
      </c>
      <c r="AZ1186" s="309">
        <v>20.444099999999999</v>
      </c>
      <c r="BA1186" s="309">
        <v>16.416699999999999</v>
      </c>
      <c r="BB1186" s="309">
        <v>17.184100000000001</v>
      </c>
      <c r="BC1186" s="309">
        <v>19.134899999999998</v>
      </c>
      <c r="BD1186" s="309">
        <v>18.332799999999999</v>
      </c>
      <c r="BE1186" s="309">
        <v>22.3187</v>
      </c>
      <c r="BF1186" s="309">
        <v>19.728400000000001</v>
      </c>
      <c r="BG1186" s="309">
        <v>23.7989</v>
      </c>
      <c r="BH1186" s="309">
        <v>19.774999999999999</v>
      </c>
      <c r="BI1186" s="309">
        <v>21.0246</v>
      </c>
      <c r="BJ1186" s="309">
        <v>21.401900000000001</v>
      </c>
      <c r="BK1186" s="309">
        <v>19.308700000000002</v>
      </c>
    </row>
    <row r="1187" spans="1:63" x14ac:dyDescent="0.25">
      <c r="A1187" s="306">
        <v>561200</v>
      </c>
      <c r="B1187" s="309" t="s">
        <v>324</v>
      </c>
      <c r="C1187" s="309">
        <v>25.8201</v>
      </c>
      <c r="D1187" s="309">
        <v>17.138999999999999</v>
      </c>
      <c r="E1187" s="309">
        <v>23.206299999999999</v>
      </c>
      <c r="F1187" s="309">
        <v>28.4435</v>
      </c>
      <c r="G1187" s="309">
        <v>19.649100000000001</v>
      </c>
      <c r="H1187" s="309">
        <v>19.776700000000002</v>
      </c>
      <c r="I1187" s="309">
        <v>21.425000000000001</v>
      </c>
      <c r="J1187" s="309">
        <v>12.193199999999999</v>
      </c>
      <c r="K1187" s="309">
        <v>5.3421000000000003</v>
      </c>
      <c r="L1187" s="309">
        <v>10.677300000000001</v>
      </c>
      <c r="M1187" s="309">
        <v>19.764500000000002</v>
      </c>
      <c r="N1187" s="309">
        <v>25.897200000000002</v>
      </c>
      <c r="O1187" s="309">
        <v>17.3642</v>
      </c>
      <c r="P1187" s="309">
        <v>35.406300000000002</v>
      </c>
      <c r="Q1187" s="309">
        <v>20.630099999999999</v>
      </c>
      <c r="R1187" s="309">
        <v>23.918700000000001</v>
      </c>
      <c r="S1187" s="309">
        <v>23.150600000000001</v>
      </c>
      <c r="T1187" s="309">
        <v>16.756799999999998</v>
      </c>
      <c r="U1187" s="309">
        <v>23.0899</v>
      </c>
      <c r="V1187" s="309">
        <v>25.954899999999999</v>
      </c>
      <c r="W1187" s="309">
        <v>17.083300000000001</v>
      </c>
      <c r="X1187" s="309">
        <v>17.253599999999999</v>
      </c>
      <c r="Y1187" s="309">
        <v>19.0381</v>
      </c>
      <c r="Z1187" s="309">
        <v>23.928699999999999</v>
      </c>
      <c r="AA1187" s="309">
        <v>24.073599999999999</v>
      </c>
      <c r="AB1187" s="309">
        <v>28.0197</v>
      </c>
      <c r="AC1187" s="309">
        <v>23.3536</v>
      </c>
      <c r="AD1187" s="309">
        <v>24.52</v>
      </c>
      <c r="AE1187" s="309">
        <v>23.42</v>
      </c>
      <c r="AF1187" s="309">
        <v>23.887599999999999</v>
      </c>
      <c r="AG1187" s="309">
        <v>21.449300000000001</v>
      </c>
      <c r="AH1187" s="309">
        <v>15.967000000000001</v>
      </c>
      <c r="AI1187" s="309">
        <v>19.9161</v>
      </c>
      <c r="AJ1187" s="309">
        <v>18.318899999999999</v>
      </c>
      <c r="AK1187" s="309">
        <v>17.3613</v>
      </c>
      <c r="AL1187" s="309">
        <v>17.909500000000001</v>
      </c>
      <c r="AM1187" s="309">
        <v>22.371400000000001</v>
      </c>
      <c r="AN1187" s="309">
        <v>21.246600000000001</v>
      </c>
      <c r="AO1187" s="309">
        <v>20.0806</v>
      </c>
      <c r="AP1187" s="309">
        <v>20.500800000000002</v>
      </c>
      <c r="AQ1187" s="309">
        <v>18.739999999999998</v>
      </c>
      <c r="AR1187" s="309">
        <v>31.0337</v>
      </c>
      <c r="AS1187" s="309">
        <v>20.491199999999999</v>
      </c>
      <c r="AT1187" s="309">
        <v>17.416899999999998</v>
      </c>
      <c r="AU1187" s="309">
        <v>25.0535</v>
      </c>
      <c r="AV1187" s="309">
        <v>24.8004</v>
      </c>
      <c r="AW1187" s="309">
        <v>19.652000000000001</v>
      </c>
      <c r="AX1187" s="309">
        <v>27.5411</v>
      </c>
      <c r="AY1187" s="309">
        <v>20.4803</v>
      </c>
      <c r="AZ1187" s="309">
        <v>16.924800000000001</v>
      </c>
      <c r="BA1187" s="309">
        <v>29.872800000000002</v>
      </c>
      <c r="BB1187" s="309">
        <v>18.707000000000001</v>
      </c>
      <c r="BC1187" s="309">
        <v>18.092400000000001</v>
      </c>
      <c r="BD1187" s="309">
        <v>21.215699999999998</v>
      </c>
      <c r="BE1187" s="309">
        <v>23.6447</v>
      </c>
      <c r="BF1187" s="309">
        <v>24.849399999999999</v>
      </c>
      <c r="BG1187" s="309">
        <v>22.928100000000001</v>
      </c>
      <c r="BH1187" s="309">
        <v>22.212599999999998</v>
      </c>
      <c r="BI1187" s="309">
        <v>25.323</v>
      </c>
      <c r="BJ1187" s="309">
        <v>21.395499999999998</v>
      </c>
      <c r="BK1187" s="309">
        <v>20.536000000000001</v>
      </c>
    </row>
    <row r="1188" spans="1:63" x14ac:dyDescent="0.25">
      <c r="A1188" s="306">
        <v>561300</v>
      </c>
      <c r="B1188" s="309" t="s">
        <v>321</v>
      </c>
      <c r="C1188" s="309">
        <v>42.938899999999997</v>
      </c>
      <c r="D1188" s="309">
        <v>28.8292</v>
      </c>
      <c r="E1188" s="309">
        <v>45.855899999999998</v>
      </c>
      <c r="F1188" s="309">
        <v>43.563899999999997</v>
      </c>
      <c r="G1188" s="309">
        <v>33.628</v>
      </c>
      <c r="H1188" s="309">
        <v>35.0398</v>
      </c>
      <c r="I1188" s="309">
        <v>36.901699999999998</v>
      </c>
      <c r="J1188" s="309">
        <v>33.5732</v>
      </c>
      <c r="K1188" s="309">
        <v>8.6348000000000003</v>
      </c>
      <c r="L1188" s="309">
        <v>27.2</v>
      </c>
      <c r="M1188" s="309">
        <v>42.931899999999999</v>
      </c>
      <c r="N1188" s="309">
        <v>42.693100000000001</v>
      </c>
      <c r="O1188" s="309">
        <v>34.317399999999999</v>
      </c>
      <c r="P1188" s="309">
        <v>39.687399999999997</v>
      </c>
      <c r="Q1188" s="309">
        <v>40.104500000000002</v>
      </c>
      <c r="R1188" s="309">
        <v>41.121299999999998</v>
      </c>
      <c r="S1188" s="309">
        <v>38.580399999999997</v>
      </c>
      <c r="T1188" s="309">
        <v>32.114400000000003</v>
      </c>
      <c r="U1188" s="309">
        <v>43.216200000000001</v>
      </c>
      <c r="V1188" s="309">
        <v>38.332299999999996</v>
      </c>
      <c r="W1188" s="309">
        <v>32.177300000000002</v>
      </c>
      <c r="X1188" s="309">
        <v>30.996700000000001</v>
      </c>
      <c r="Y1188" s="309">
        <v>45.959000000000003</v>
      </c>
      <c r="Z1188" s="309">
        <v>37.1113</v>
      </c>
      <c r="AA1188" s="309">
        <v>41.682299999999998</v>
      </c>
      <c r="AB1188" s="309">
        <v>32.769100000000002</v>
      </c>
      <c r="AC1188" s="309">
        <v>43.668599999999998</v>
      </c>
      <c r="AD1188" s="309">
        <v>44.935600000000001</v>
      </c>
      <c r="AE1188" s="309">
        <v>40.93</v>
      </c>
      <c r="AF1188" s="309">
        <v>37.334400000000002</v>
      </c>
      <c r="AG1188" s="309">
        <v>38.109000000000002</v>
      </c>
      <c r="AH1188" s="309">
        <v>31.520900000000001</v>
      </c>
      <c r="AI1188" s="309">
        <v>32.107399999999998</v>
      </c>
      <c r="AJ1188" s="309">
        <v>36.197800000000001</v>
      </c>
      <c r="AK1188" s="309">
        <v>41.436</v>
      </c>
      <c r="AL1188" s="309">
        <v>26.973700000000001</v>
      </c>
      <c r="AM1188" s="309">
        <v>40.722000000000001</v>
      </c>
      <c r="AN1188" s="309">
        <v>38.988900000000001</v>
      </c>
      <c r="AO1188" s="309">
        <v>36.657499999999999</v>
      </c>
      <c r="AP1188" s="309">
        <v>37.810499999999998</v>
      </c>
      <c r="AQ1188" s="309">
        <v>33.661499999999997</v>
      </c>
      <c r="AR1188" s="309">
        <v>40.784300000000002</v>
      </c>
      <c r="AS1188" s="309">
        <v>41.650599999999997</v>
      </c>
      <c r="AT1188" s="309">
        <v>37.959600000000002</v>
      </c>
      <c r="AU1188" s="309">
        <v>40.865600000000001</v>
      </c>
      <c r="AV1188" s="309">
        <v>44.533700000000003</v>
      </c>
      <c r="AW1188" s="309">
        <v>39.950899999999997</v>
      </c>
      <c r="AX1188" s="309">
        <v>42.9069</v>
      </c>
      <c r="AY1188" s="309">
        <v>31.6052</v>
      </c>
      <c r="AZ1188" s="309">
        <v>43.109200000000001</v>
      </c>
      <c r="BA1188" s="309">
        <v>33.341999999999999</v>
      </c>
      <c r="BB1188" s="309">
        <v>32.274299999999997</v>
      </c>
      <c r="BC1188" s="309">
        <v>36.298099999999998</v>
      </c>
      <c r="BD1188" s="309">
        <v>34.256300000000003</v>
      </c>
      <c r="BE1188" s="309">
        <v>41.210999999999999</v>
      </c>
      <c r="BF1188" s="309">
        <v>38.894799999999996</v>
      </c>
      <c r="BG1188" s="309">
        <v>42.9786</v>
      </c>
      <c r="BH1188" s="309">
        <v>42.920200000000001</v>
      </c>
      <c r="BI1188" s="309">
        <v>41.423400000000001</v>
      </c>
      <c r="BJ1188" s="309">
        <v>37.876399999999997</v>
      </c>
      <c r="BK1188" s="309">
        <v>35.373100000000001</v>
      </c>
    </row>
    <row r="1189" spans="1:63" x14ac:dyDescent="0.25">
      <c r="A1189" s="306">
        <v>561400</v>
      </c>
      <c r="B1189" s="309" t="s">
        <v>325</v>
      </c>
      <c r="C1189" s="309">
        <v>27.197099999999999</v>
      </c>
      <c r="D1189" s="309">
        <v>23.159300000000002</v>
      </c>
      <c r="E1189" s="309">
        <v>27.920100000000001</v>
      </c>
      <c r="F1189" s="309">
        <v>25.8644</v>
      </c>
      <c r="G1189" s="309">
        <v>22.375</v>
      </c>
      <c r="H1189" s="309">
        <v>20.5869</v>
      </c>
      <c r="I1189" s="309">
        <v>24.3553</v>
      </c>
      <c r="J1189" s="309">
        <v>17.775600000000001</v>
      </c>
      <c r="K1189" s="309">
        <v>4.8144</v>
      </c>
      <c r="L1189" s="309">
        <v>14.761900000000001</v>
      </c>
      <c r="M1189" s="309">
        <v>24.892900000000001</v>
      </c>
      <c r="N1189" s="309">
        <v>22.788799999999998</v>
      </c>
      <c r="O1189" s="309">
        <v>23.562999999999999</v>
      </c>
      <c r="P1189" s="309">
        <v>24.104800000000001</v>
      </c>
      <c r="Q1189" s="309">
        <v>23.9148</v>
      </c>
      <c r="R1189" s="309">
        <v>21.32</v>
      </c>
      <c r="S1189" s="309">
        <v>24.9359</v>
      </c>
      <c r="T1189" s="309">
        <v>20.260300000000001</v>
      </c>
      <c r="U1189" s="309">
        <v>24.9056</v>
      </c>
      <c r="V1189" s="309">
        <v>26.3276</v>
      </c>
      <c r="W1189" s="309">
        <v>18.623799999999999</v>
      </c>
      <c r="X1189" s="309">
        <v>22.107299999999999</v>
      </c>
      <c r="Y1189" s="309">
        <v>24.996300000000002</v>
      </c>
      <c r="Z1189" s="309">
        <v>21.211600000000001</v>
      </c>
      <c r="AA1189" s="309">
        <v>22.000699999999998</v>
      </c>
      <c r="AB1189" s="309">
        <v>19.835000000000001</v>
      </c>
      <c r="AC1189" s="309">
        <v>25.904699999999998</v>
      </c>
      <c r="AD1189" s="309">
        <v>26.670200000000001</v>
      </c>
      <c r="AE1189" s="309">
        <v>26.632000000000001</v>
      </c>
      <c r="AF1189" s="309">
        <v>22.482700000000001</v>
      </c>
      <c r="AG1189" s="309">
        <v>21.4572</v>
      </c>
      <c r="AH1189" s="309">
        <v>20.171600000000002</v>
      </c>
      <c r="AI1189" s="309">
        <v>18.314399999999999</v>
      </c>
      <c r="AJ1189" s="309">
        <v>25.4939</v>
      </c>
      <c r="AK1189" s="309">
        <v>21.0915</v>
      </c>
      <c r="AL1189" s="309">
        <v>16.0366</v>
      </c>
      <c r="AM1189" s="309">
        <v>23.1463</v>
      </c>
      <c r="AN1189" s="309">
        <v>23.968299999999999</v>
      </c>
      <c r="AO1189" s="309">
        <v>23.704699999999999</v>
      </c>
      <c r="AP1189" s="309">
        <v>22.470700000000001</v>
      </c>
      <c r="AQ1189" s="309">
        <v>17.452300000000001</v>
      </c>
      <c r="AR1189" s="309">
        <v>24.417300000000001</v>
      </c>
      <c r="AS1189" s="309">
        <v>23.599</v>
      </c>
      <c r="AT1189" s="309">
        <v>20.2727</v>
      </c>
      <c r="AU1189" s="309">
        <v>23.690100000000001</v>
      </c>
      <c r="AV1189" s="309">
        <v>26.951699999999999</v>
      </c>
      <c r="AW1189" s="309">
        <v>24.647099999999998</v>
      </c>
      <c r="AX1189" s="309">
        <v>24.890799999999999</v>
      </c>
      <c r="AY1189" s="309">
        <v>24.625900000000001</v>
      </c>
      <c r="AZ1189" s="309">
        <v>25.004899999999999</v>
      </c>
      <c r="BA1189" s="309">
        <v>24.177199999999999</v>
      </c>
      <c r="BB1189" s="309">
        <v>23.407800000000002</v>
      </c>
      <c r="BC1189" s="309">
        <v>21.649000000000001</v>
      </c>
      <c r="BD1189" s="309">
        <v>20.610600000000002</v>
      </c>
      <c r="BE1189" s="309">
        <v>23.8933</v>
      </c>
      <c r="BF1189" s="309">
        <v>23.014399999999998</v>
      </c>
      <c r="BG1189" s="309">
        <v>26.194800000000001</v>
      </c>
      <c r="BH1189" s="309">
        <v>24.209700000000002</v>
      </c>
      <c r="BI1189" s="309">
        <v>24.639600000000002</v>
      </c>
      <c r="BJ1189" s="309">
        <v>25.137799999999999</v>
      </c>
      <c r="BK1189" s="309">
        <v>22.364000000000001</v>
      </c>
    </row>
    <row r="1190" spans="1:63" x14ac:dyDescent="0.25">
      <c r="A1190" s="306">
        <v>561500</v>
      </c>
      <c r="B1190" s="309" t="s">
        <v>322</v>
      </c>
      <c r="C1190" s="309">
        <v>24.438700000000001</v>
      </c>
      <c r="D1190" s="309">
        <v>20.297699999999999</v>
      </c>
      <c r="E1190" s="309">
        <v>21.154499999999999</v>
      </c>
      <c r="F1190" s="309">
        <v>21.848600000000001</v>
      </c>
      <c r="G1190" s="309">
        <v>20.4329</v>
      </c>
      <c r="H1190" s="309">
        <v>19.0564</v>
      </c>
      <c r="I1190" s="309">
        <v>19.749600000000001</v>
      </c>
      <c r="J1190" s="309">
        <v>14.9948</v>
      </c>
      <c r="K1190" s="309">
        <v>4.3788999999999998</v>
      </c>
      <c r="L1190" s="309">
        <v>12.773999999999999</v>
      </c>
      <c r="M1190" s="309">
        <v>22.1661</v>
      </c>
      <c r="N1190" s="309">
        <v>19.395199999999999</v>
      </c>
      <c r="O1190" s="309">
        <v>21.703800000000001</v>
      </c>
      <c r="P1190" s="309">
        <v>19.821000000000002</v>
      </c>
      <c r="Q1190" s="309">
        <v>20.281700000000001</v>
      </c>
      <c r="R1190" s="309">
        <v>19.4619</v>
      </c>
      <c r="S1190" s="309">
        <v>18.811299999999999</v>
      </c>
      <c r="T1190" s="309">
        <v>17.3795</v>
      </c>
      <c r="U1190" s="309">
        <v>20.129899999999999</v>
      </c>
      <c r="V1190" s="309">
        <v>23.044699999999999</v>
      </c>
      <c r="W1190" s="309">
        <v>15.7136</v>
      </c>
      <c r="X1190" s="309">
        <v>16.91</v>
      </c>
      <c r="Y1190" s="309">
        <v>24.3415</v>
      </c>
      <c r="Z1190" s="309">
        <v>20.6525</v>
      </c>
      <c r="AA1190" s="309">
        <v>20.133400000000002</v>
      </c>
      <c r="AB1190" s="309">
        <v>17.870200000000001</v>
      </c>
      <c r="AC1190" s="309">
        <v>22.0138</v>
      </c>
      <c r="AD1190" s="309">
        <v>23.0578</v>
      </c>
      <c r="AE1190" s="309">
        <v>21.828099999999999</v>
      </c>
      <c r="AF1190" s="309">
        <v>19.434699999999999</v>
      </c>
      <c r="AG1190" s="309">
        <v>20.806000000000001</v>
      </c>
      <c r="AH1190" s="309">
        <v>17.368300000000001</v>
      </c>
      <c r="AI1190" s="309">
        <v>16.207100000000001</v>
      </c>
      <c r="AJ1190" s="309">
        <v>19.2684</v>
      </c>
      <c r="AK1190" s="309">
        <v>18.081800000000001</v>
      </c>
      <c r="AL1190" s="309">
        <v>15.0328</v>
      </c>
      <c r="AM1190" s="309">
        <v>21.6951</v>
      </c>
      <c r="AN1190" s="309">
        <v>21.779599999999999</v>
      </c>
      <c r="AO1190" s="309">
        <v>20.9817</v>
      </c>
      <c r="AP1190" s="309">
        <v>21.102499999999999</v>
      </c>
      <c r="AQ1190" s="309">
        <v>18.264399999999998</v>
      </c>
      <c r="AR1190" s="309">
        <v>21.504200000000001</v>
      </c>
      <c r="AS1190" s="309">
        <v>20.4589</v>
      </c>
      <c r="AT1190" s="309">
        <v>18.040700000000001</v>
      </c>
      <c r="AU1190" s="309">
        <v>20.853200000000001</v>
      </c>
      <c r="AV1190" s="309">
        <v>27.226299999999998</v>
      </c>
      <c r="AW1190" s="309">
        <v>19.9206</v>
      </c>
      <c r="AX1190" s="309">
        <v>20.467300000000002</v>
      </c>
      <c r="AY1190" s="309">
        <v>17.268599999999999</v>
      </c>
      <c r="AZ1190" s="309">
        <v>19.8004</v>
      </c>
      <c r="BA1190" s="309">
        <v>20.881399999999999</v>
      </c>
      <c r="BB1190" s="309">
        <v>19.281199999999998</v>
      </c>
      <c r="BC1190" s="309">
        <v>18.3367</v>
      </c>
      <c r="BD1190" s="309">
        <v>19.1157</v>
      </c>
      <c r="BE1190" s="309">
        <v>21.259699999999999</v>
      </c>
      <c r="BF1190" s="309">
        <v>20.643999999999998</v>
      </c>
      <c r="BG1190" s="309">
        <v>22.7653</v>
      </c>
      <c r="BH1190" s="309">
        <v>19.940999999999999</v>
      </c>
      <c r="BI1190" s="309">
        <v>21.659500000000001</v>
      </c>
      <c r="BJ1190" s="309">
        <v>22.194400000000002</v>
      </c>
      <c r="BK1190" s="309">
        <v>19.828600000000002</v>
      </c>
    </row>
    <row r="1191" spans="1:63" x14ac:dyDescent="0.25">
      <c r="A1191" s="306">
        <v>561600</v>
      </c>
      <c r="B1191" s="309" t="s">
        <v>326</v>
      </c>
      <c r="C1191" s="309">
        <v>39.025199999999998</v>
      </c>
      <c r="D1191" s="309">
        <v>26.451699999999999</v>
      </c>
      <c r="E1191" s="309">
        <v>38.4724</v>
      </c>
      <c r="F1191" s="309">
        <v>34.447600000000001</v>
      </c>
      <c r="G1191" s="309">
        <v>31.5976</v>
      </c>
      <c r="H1191" s="309">
        <v>33.932200000000002</v>
      </c>
      <c r="I1191" s="309">
        <v>33.493200000000002</v>
      </c>
      <c r="J1191" s="309">
        <v>27.094799999999999</v>
      </c>
      <c r="K1191" s="309">
        <v>7.8996000000000004</v>
      </c>
      <c r="L1191" s="309">
        <v>24.983599999999999</v>
      </c>
      <c r="M1191" s="309">
        <v>35.091500000000003</v>
      </c>
      <c r="N1191" s="309">
        <v>38.430799999999998</v>
      </c>
      <c r="O1191" s="309">
        <v>34.261099999999999</v>
      </c>
      <c r="P1191" s="309">
        <v>34.204099999999997</v>
      </c>
      <c r="Q1191" s="309">
        <v>34.723999999999997</v>
      </c>
      <c r="R1191" s="309">
        <v>34.451300000000003</v>
      </c>
      <c r="S1191" s="309">
        <v>35.474499999999999</v>
      </c>
      <c r="T1191" s="309">
        <v>27.813800000000001</v>
      </c>
      <c r="U1191" s="309">
        <v>36.307299999999998</v>
      </c>
      <c r="V1191" s="309">
        <v>36.997100000000003</v>
      </c>
      <c r="W1191" s="309">
        <v>33.980800000000002</v>
      </c>
      <c r="X1191" s="309">
        <v>30.090499999999999</v>
      </c>
      <c r="Y1191" s="309">
        <v>36.850099999999998</v>
      </c>
      <c r="Z1191" s="309">
        <v>36.498800000000003</v>
      </c>
      <c r="AA1191" s="309">
        <v>35.056699999999999</v>
      </c>
      <c r="AB1191" s="309">
        <v>29.0242</v>
      </c>
      <c r="AC1191" s="309">
        <v>36.191600000000001</v>
      </c>
      <c r="AD1191" s="309">
        <v>32.566299999999998</v>
      </c>
      <c r="AE1191" s="309">
        <v>38.135100000000001</v>
      </c>
      <c r="AF1191" s="309">
        <v>32.3949</v>
      </c>
      <c r="AG1191" s="309">
        <v>34.314799999999998</v>
      </c>
      <c r="AH1191" s="309">
        <v>26.6099</v>
      </c>
      <c r="AI1191" s="309">
        <v>28.421099999999999</v>
      </c>
      <c r="AJ1191" s="309">
        <v>31.735600000000002</v>
      </c>
      <c r="AK1191" s="309">
        <v>28.7606</v>
      </c>
      <c r="AL1191" s="309">
        <v>28.626100000000001</v>
      </c>
      <c r="AM1191" s="309">
        <v>35.795000000000002</v>
      </c>
      <c r="AN1191" s="309">
        <v>33.073799999999999</v>
      </c>
      <c r="AO1191" s="309">
        <v>31.918700000000001</v>
      </c>
      <c r="AP1191" s="309">
        <v>34.2742</v>
      </c>
      <c r="AQ1191" s="309">
        <v>30.0518</v>
      </c>
      <c r="AR1191" s="309">
        <v>32.031300000000002</v>
      </c>
      <c r="AS1191" s="309">
        <v>33.4861</v>
      </c>
      <c r="AT1191" s="309">
        <v>29.1965</v>
      </c>
      <c r="AU1191" s="309">
        <v>36.964799999999997</v>
      </c>
      <c r="AV1191" s="309">
        <v>34.675400000000003</v>
      </c>
      <c r="AW1191" s="309">
        <v>28.6538</v>
      </c>
      <c r="AX1191" s="309">
        <v>30.604600000000001</v>
      </c>
      <c r="AY1191" s="309">
        <v>31.861599999999999</v>
      </c>
      <c r="AZ1191" s="309">
        <v>37.673000000000002</v>
      </c>
      <c r="BA1191" s="309">
        <v>33.9649</v>
      </c>
      <c r="BB1191" s="309">
        <v>30.9404</v>
      </c>
      <c r="BC1191" s="309">
        <v>33.698300000000003</v>
      </c>
      <c r="BD1191" s="309">
        <v>33.241900000000001</v>
      </c>
      <c r="BE1191" s="309">
        <v>37.097200000000001</v>
      </c>
      <c r="BF1191" s="309">
        <v>33.689900000000002</v>
      </c>
      <c r="BG1191" s="309">
        <v>36.418300000000002</v>
      </c>
      <c r="BH1191" s="309">
        <v>34.765999999999998</v>
      </c>
      <c r="BI1191" s="309">
        <v>37.480400000000003</v>
      </c>
      <c r="BJ1191" s="309">
        <v>33.333100000000002</v>
      </c>
      <c r="BK1191" s="309">
        <v>34.258099999999999</v>
      </c>
    </row>
    <row r="1192" spans="1:63" x14ac:dyDescent="0.25">
      <c r="A1192" s="306">
        <v>561700</v>
      </c>
      <c r="B1192" s="309" t="s">
        <v>327</v>
      </c>
      <c r="C1192" s="309">
        <v>33.897300000000001</v>
      </c>
      <c r="D1192" s="309">
        <v>27.1234</v>
      </c>
      <c r="E1192" s="309">
        <v>32.578600000000002</v>
      </c>
      <c r="F1192" s="309">
        <v>30.810500000000001</v>
      </c>
      <c r="G1192" s="309">
        <v>26.384</v>
      </c>
      <c r="H1192" s="309">
        <v>26.6646</v>
      </c>
      <c r="I1192" s="309">
        <v>29.619499999999999</v>
      </c>
      <c r="J1192" s="309">
        <v>24.8904</v>
      </c>
      <c r="K1192" s="309">
        <v>9.3368000000000002</v>
      </c>
      <c r="L1192" s="309">
        <v>23.628</v>
      </c>
      <c r="M1192" s="309">
        <v>30.008800000000001</v>
      </c>
      <c r="N1192" s="309">
        <v>30.905799999999999</v>
      </c>
      <c r="O1192" s="309">
        <v>25.9724</v>
      </c>
      <c r="P1192" s="309">
        <v>27.3752</v>
      </c>
      <c r="Q1192" s="309">
        <v>27.8536</v>
      </c>
      <c r="R1192" s="309">
        <v>27.985600000000002</v>
      </c>
      <c r="S1192" s="309">
        <v>28.5382</v>
      </c>
      <c r="T1192" s="309">
        <v>24.160599999999999</v>
      </c>
      <c r="U1192" s="309">
        <v>29.974299999999999</v>
      </c>
      <c r="V1192" s="309">
        <v>31.640799999999999</v>
      </c>
      <c r="W1192" s="309">
        <v>25.771000000000001</v>
      </c>
      <c r="X1192" s="309">
        <v>27.124300000000002</v>
      </c>
      <c r="Y1192" s="309">
        <v>31.297599999999999</v>
      </c>
      <c r="Z1192" s="309">
        <v>29.705400000000001</v>
      </c>
      <c r="AA1192" s="309">
        <v>29.542999999999999</v>
      </c>
      <c r="AB1192" s="309">
        <v>25.506499999999999</v>
      </c>
      <c r="AC1192" s="309">
        <v>31.269300000000001</v>
      </c>
      <c r="AD1192" s="309">
        <v>32.082500000000003</v>
      </c>
      <c r="AE1192" s="309">
        <v>31.878499999999999</v>
      </c>
      <c r="AF1192" s="309">
        <v>27.789400000000001</v>
      </c>
      <c r="AG1192" s="309">
        <v>29.009399999999999</v>
      </c>
      <c r="AH1192" s="309">
        <v>25.915299999999998</v>
      </c>
      <c r="AI1192" s="309">
        <v>24.733599999999999</v>
      </c>
      <c r="AJ1192" s="309">
        <v>27.836300000000001</v>
      </c>
      <c r="AK1192" s="309">
        <v>25.3249</v>
      </c>
      <c r="AL1192" s="309">
        <v>21.821100000000001</v>
      </c>
      <c r="AM1192" s="309">
        <v>28.983699999999999</v>
      </c>
      <c r="AN1192" s="309">
        <v>30.9879</v>
      </c>
      <c r="AO1192" s="309">
        <v>26.802700000000002</v>
      </c>
      <c r="AP1192" s="309">
        <v>28.643599999999999</v>
      </c>
      <c r="AQ1192" s="309">
        <v>23.613900000000001</v>
      </c>
      <c r="AR1192" s="309">
        <v>31.122199999999999</v>
      </c>
      <c r="AS1192" s="309">
        <v>28.781600000000001</v>
      </c>
      <c r="AT1192" s="309">
        <v>25.842500000000001</v>
      </c>
      <c r="AU1192" s="309">
        <v>33.255400000000002</v>
      </c>
      <c r="AV1192" s="309">
        <v>33.661700000000003</v>
      </c>
      <c r="AW1192" s="309">
        <v>30.248899999999999</v>
      </c>
      <c r="AX1192" s="309">
        <v>30.547599999999999</v>
      </c>
      <c r="AY1192" s="309">
        <v>28.081600000000002</v>
      </c>
      <c r="AZ1192" s="309">
        <v>29.581600000000002</v>
      </c>
      <c r="BA1192" s="309">
        <v>26.893899999999999</v>
      </c>
      <c r="BB1192" s="309">
        <v>28.996600000000001</v>
      </c>
      <c r="BC1192" s="309">
        <v>28.2072</v>
      </c>
      <c r="BD1192" s="309">
        <v>27.001000000000001</v>
      </c>
      <c r="BE1192" s="309">
        <v>30.185099999999998</v>
      </c>
      <c r="BF1192" s="309">
        <v>28.872299999999999</v>
      </c>
      <c r="BG1192" s="309">
        <v>32.425199999999997</v>
      </c>
      <c r="BH1192" s="309">
        <v>30.319400000000002</v>
      </c>
      <c r="BI1192" s="309">
        <v>33.682099999999998</v>
      </c>
      <c r="BJ1192" s="309">
        <v>29.771799999999999</v>
      </c>
      <c r="BK1192" s="309">
        <v>27.523599999999998</v>
      </c>
    </row>
    <row r="1193" spans="1:63" x14ac:dyDescent="0.25">
      <c r="A1193" s="306">
        <v>561900</v>
      </c>
      <c r="B1193" s="309" t="s">
        <v>328</v>
      </c>
      <c r="C1193" s="309">
        <v>21.396699999999999</v>
      </c>
      <c r="D1193" s="309">
        <v>14.6692</v>
      </c>
      <c r="E1193" s="309">
        <v>22.732600000000001</v>
      </c>
      <c r="F1193" s="309">
        <v>16.675999999999998</v>
      </c>
      <c r="G1193" s="309">
        <v>15.9337</v>
      </c>
      <c r="H1193" s="309">
        <v>16.704499999999999</v>
      </c>
      <c r="I1193" s="309">
        <v>16.825099999999999</v>
      </c>
      <c r="J1193" s="309">
        <v>12.6897</v>
      </c>
      <c r="K1193" s="309">
        <v>4.7153999999999998</v>
      </c>
      <c r="L1193" s="309">
        <v>16.600300000000001</v>
      </c>
      <c r="M1193" s="309">
        <v>18.134899999999998</v>
      </c>
      <c r="N1193" s="309">
        <v>20.5581</v>
      </c>
      <c r="O1193" s="309">
        <v>19.2014</v>
      </c>
      <c r="P1193" s="309">
        <v>19.506</v>
      </c>
      <c r="Q1193" s="309">
        <v>19.8247</v>
      </c>
      <c r="R1193" s="309">
        <v>18.100899999999999</v>
      </c>
      <c r="S1193" s="309">
        <v>18.103899999999999</v>
      </c>
      <c r="T1193" s="309">
        <v>15.6557</v>
      </c>
      <c r="U1193" s="309">
        <v>21.244499999999999</v>
      </c>
      <c r="V1193" s="309">
        <v>14.9458</v>
      </c>
      <c r="W1193" s="309">
        <v>13.975099999999999</v>
      </c>
      <c r="X1193" s="309">
        <v>15.224500000000001</v>
      </c>
      <c r="Y1193" s="309">
        <v>21.100200000000001</v>
      </c>
      <c r="Z1193" s="309">
        <v>17.542000000000002</v>
      </c>
      <c r="AA1193" s="309">
        <v>17.409199999999998</v>
      </c>
      <c r="AB1193" s="309">
        <v>16.230599999999999</v>
      </c>
      <c r="AC1193" s="309">
        <v>20.8931</v>
      </c>
      <c r="AD1193" s="309">
        <v>19.389900000000001</v>
      </c>
      <c r="AE1193" s="309">
        <v>19.8277</v>
      </c>
      <c r="AF1193" s="309">
        <v>13.1122</v>
      </c>
      <c r="AG1193" s="309">
        <v>16.698699999999999</v>
      </c>
      <c r="AH1193" s="309">
        <v>19.052199999999999</v>
      </c>
      <c r="AI1193" s="309">
        <v>13.9367</v>
      </c>
      <c r="AJ1193" s="309">
        <v>18.499300000000002</v>
      </c>
      <c r="AK1193" s="309">
        <v>15.107900000000001</v>
      </c>
      <c r="AL1193" s="309">
        <v>12.4703</v>
      </c>
      <c r="AM1193" s="309">
        <v>17.278099999999998</v>
      </c>
      <c r="AN1193" s="309">
        <v>18.7849</v>
      </c>
      <c r="AO1193" s="309">
        <v>16.575700000000001</v>
      </c>
      <c r="AP1193" s="309">
        <v>19.663</v>
      </c>
      <c r="AQ1193" s="309">
        <v>20.454499999999999</v>
      </c>
      <c r="AR1193" s="309">
        <v>19.849699999999999</v>
      </c>
      <c r="AS1193" s="309">
        <v>19.113099999999999</v>
      </c>
      <c r="AT1193" s="309">
        <v>15.1913</v>
      </c>
      <c r="AU1193" s="309">
        <v>19.341100000000001</v>
      </c>
      <c r="AV1193" s="309">
        <v>21.206199999999999</v>
      </c>
      <c r="AW1193" s="309">
        <v>20.899699999999999</v>
      </c>
      <c r="AX1193" s="309">
        <v>20.8551</v>
      </c>
      <c r="AY1193" s="309">
        <v>16.288699999999999</v>
      </c>
      <c r="AZ1193" s="309">
        <v>20.005299999999998</v>
      </c>
      <c r="BA1193" s="309">
        <v>19.587199999999999</v>
      </c>
      <c r="BB1193" s="309">
        <v>17.6828</v>
      </c>
      <c r="BC1193" s="309">
        <v>16.983899999999998</v>
      </c>
      <c r="BD1193" s="309">
        <v>16.329499999999999</v>
      </c>
      <c r="BE1193" s="309">
        <v>19.177</v>
      </c>
      <c r="BF1193" s="309">
        <v>17.706099999999999</v>
      </c>
      <c r="BG1193" s="309">
        <v>20.680399999999999</v>
      </c>
      <c r="BH1193" s="309">
        <v>17.890899999999998</v>
      </c>
      <c r="BI1193" s="309">
        <v>18.991700000000002</v>
      </c>
      <c r="BJ1193" s="309">
        <v>17.816700000000001</v>
      </c>
      <c r="BK1193" s="309">
        <v>17.2239</v>
      </c>
    </row>
    <row r="1194" spans="1:63" x14ac:dyDescent="0.25">
      <c r="A1194" s="306">
        <v>562000</v>
      </c>
      <c r="B1194" s="309" t="s">
        <v>329</v>
      </c>
      <c r="C1194" s="309">
        <v>16.070799999999998</v>
      </c>
      <c r="D1194" s="309">
        <v>8.8187999999999995</v>
      </c>
      <c r="E1194" s="309">
        <v>13.471500000000001</v>
      </c>
      <c r="F1194" s="309">
        <v>12.8605</v>
      </c>
      <c r="G1194" s="309">
        <v>11.0403</v>
      </c>
      <c r="H1194" s="309">
        <v>11.848000000000001</v>
      </c>
      <c r="I1194" s="309">
        <v>11.929500000000001</v>
      </c>
      <c r="J1194" s="309">
        <v>9.8124000000000002</v>
      </c>
      <c r="K1194" s="309">
        <v>2.9904999999999999</v>
      </c>
      <c r="L1194" s="309">
        <v>9.6631</v>
      </c>
      <c r="M1194" s="309">
        <v>13.3947</v>
      </c>
      <c r="N1194" s="309">
        <v>13.9437</v>
      </c>
      <c r="O1194" s="309">
        <v>11.8033</v>
      </c>
      <c r="P1194" s="309">
        <v>11.6867</v>
      </c>
      <c r="Q1194" s="309">
        <v>12.623699999999999</v>
      </c>
      <c r="R1194" s="309">
        <v>11.6883</v>
      </c>
      <c r="S1194" s="309">
        <v>12.53</v>
      </c>
      <c r="T1194" s="309">
        <v>11.792999999999999</v>
      </c>
      <c r="U1194" s="309">
        <v>13.3034</v>
      </c>
      <c r="V1194" s="309">
        <v>11.8659</v>
      </c>
      <c r="W1194" s="309">
        <v>10.063599999999999</v>
      </c>
      <c r="X1194" s="309">
        <v>12.150700000000001</v>
      </c>
      <c r="Y1194" s="309">
        <v>14.524800000000001</v>
      </c>
      <c r="Z1194" s="309">
        <v>12.9521</v>
      </c>
      <c r="AA1194" s="309">
        <v>12.264099999999999</v>
      </c>
      <c r="AB1194" s="309">
        <v>12.9231</v>
      </c>
      <c r="AC1194" s="309">
        <v>13.4391</v>
      </c>
      <c r="AD1194" s="309">
        <v>12.5092</v>
      </c>
      <c r="AE1194" s="309">
        <v>13.514699999999999</v>
      </c>
      <c r="AF1194" s="309">
        <v>10.222</v>
      </c>
      <c r="AG1194" s="309">
        <v>11.349299999999999</v>
      </c>
      <c r="AH1194" s="309">
        <v>11.6198</v>
      </c>
      <c r="AI1194" s="309">
        <v>11.411799999999999</v>
      </c>
      <c r="AJ1194" s="309">
        <v>11.741199999999999</v>
      </c>
      <c r="AK1194" s="309">
        <v>10.956899999999999</v>
      </c>
      <c r="AL1194" s="309">
        <v>9.1928000000000001</v>
      </c>
      <c r="AM1194" s="309">
        <v>13.6668</v>
      </c>
      <c r="AN1194" s="309">
        <v>14.4902</v>
      </c>
      <c r="AO1194" s="309">
        <v>12.219099999999999</v>
      </c>
      <c r="AP1194" s="309">
        <v>13.3881</v>
      </c>
      <c r="AQ1194" s="309">
        <v>12.089399999999999</v>
      </c>
      <c r="AR1194" s="309">
        <v>12.444800000000001</v>
      </c>
      <c r="AS1194" s="309">
        <v>10.7677</v>
      </c>
      <c r="AT1194" s="309">
        <v>12.731400000000001</v>
      </c>
      <c r="AU1194" s="309">
        <v>13.045500000000001</v>
      </c>
      <c r="AV1194" s="309">
        <v>14.5101</v>
      </c>
      <c r="AW1194" s="309">
        <v>12.8851</v>
      </c>
      <c r="AX1194" s="309">
        <v>11.5122</v>
      </c>
      <c r="AY1194" s="309">
        <v>10.8605</v>
      </c>
      <c r="AZ1194" s="309">
        <v>13.1213</v>
      </c>
      <c r="BA1194" s="309">
        <v>12.9619</v>
      </c>
      <c r="BB1194" s="309">
        <v>10.130800000000001</v>
      </c>
      <c r="BC1194" s="309">
        <v>11.6394</v>
      </c>
      <c r="BD1194" s="309">
        <v>12.0724</v>
      </c>
      <c r="BE1194" s="309">
        <v>13.6052</v>
      </c>
      <c r="BF1194" s="309">
        <v>12.905900000000001</v>
      </c>
      <c r="BG1194" s="309">
        <v>14.224299999999999</v>
      </c>
      <c r="BH1194" s="309">
        <v>13.9444</v>
      </c>
      <c r="BI1194" s="309">
        <v>13.616199999999999</v>
      </c>
      <c r="BJ1194" s="309">
        <v>12.767799999999999</v>
      </c>
      <c r="BK1194" s="309">
        <v>12.150700000000001</v>
      </c>
    </row>
    <row r="1195" spans="1:63" x14ac:dyDescent="0.25">
      <c r="A1195" s="306">
        <v>611100</v>
      </c>
      <c r="B1195" s="309" t="s">
        <v>772</v>
      </c>
      <c r="C1195" s="309">
        <v>32.928199999999997</v>
      </c>
      <c r="D1195" s="309">
        <v>34.436999999999998</v>
      </c>
      <c r="E1195" s="309">
        <v>36.6554</v>
      </c>
      <c r="F1195" s="309">
        <v>34.965299999999999</v>
      </c>
      <c r="G1195" s="309">
        <v>29.127500000000001</v>
      </c>
      <c r="H1195" s="309">
        <v>26.0943</v>
      </c>
      <c r="I1195" s="309">
        <v>34.272500000000001</v>
      </c>
      <c r="J1195" s="309">
        <v>21.037199999999999</v>
      </c>
      <c r="K1195" s="309">
        <v>5.7316000000000003</v>
      </c>
      <c r="L1195" s="309">
        <v>22.227799999999998</v>
      </c>
      <c r="M1195" s="309">
        <v>30.62</v>
      </c>
      <c r="N1195" s="309">
        <v>28.958200000000001</v>
      </c>
      <c r="O1195" s="309">
        <v>23.263500000000001</v>
      </c>
      <c r="P1195" s="309">
        <v>32.503500000000003</v>
      </c>
      <c r="Q1195" s="309">
        <v>34.538400000000003</v>
      </c>
      <c r="R1195" s="309">
        <v>28.3703</v>
      </c>
      <c r="S1195" s="309">
        <v>30.331600000000002</v>
      </c>
      <c r="T1195" s="309">
        <v>32.4146</v>
      </c>
      <c r="U1195" s="309">
        <v>32.653700000000001</v>
      </c>
      <c r="V1195" s="309">
        <v>28.491900000000001</v>
      </c>
      <c r="W1195" s="309">
        <v>21.5566</v>
      </c>
      <c r="X1195" s="309">
        <v>23.248799999999999</v>
      </c>
      <c r="Y1195" s="309">
        <v>29.220700000000001</v>
      </c>
      <c r="Z1195" s="309">
        <v>31.4239</v>
      </c>
      <c r="AA1195" s="309">
        <v>30.632899999999999</v>
      </c>
      <c r="AB1195" s="309">
        <v>27.48</v>
      </c>
      <c r="AC1195" s="309">
        <v>33.503900000000002</v>
      </c>
      <c r="AD1195" s="309">
        <v>35.907600000000002</v>
      </c>
      <c r="AE1195" s="309">
        <v>30.6707</v>
      </c>
      <c r="AF1195" s="309">
        <v>31.735800000000001</v>
      </c>
      <c r="AG1195" s="309">
        <v>29.307600000000001</v>
      </c>
      <c r="AH1195" s="309">
        <v>22.127400000000002</v>
      </c>
      <c r="AI1195" s="309">
        <v>24.776</v>
      </c>
      <c r="AJ1195" s="309">
        <v>29.650300000000001</v>
      </c>
      <c r="AK1195" s="309">
        <v>32.033700000000003</v>
      </c>
      <c r="AL1195" s="309">
        <v>20.2224</v>
      </c>
      <c r="AM1195" s="309">
        <v>31.066199999999998</v>
      </c>
      <c r="AN1195" s="309">
        <v>35.466099999999997</v>
      </c>
      <c r="AO1195" s="309">
        <v>32.201700000000002</v>
      </c>
      <c r="AP1195" s="309">
        <v>25.5246</v>
      </c>
      <c r="AQ1195" s="309">
        <v>20.6433</v>
      </c>
      <c r="AR1195" s="309">
        <v>34.6999</v>
      </c>
      <c r="AS1195" s="309">
        <v>28.020900000000001</v>
      </c>
      <c r="AT1195" s="309">
        <v>27.9511</v>
      </c>
      <c r="AU1195" s="309">
        <v>32.823500000000003</v>
      </c>
      <c r="AV1195" s="309">
        <v>36.721299999999999</v>
      </c>
      <c r="AW1195" s="309">
        <v>26.931100000000001</v>
      </c>
      <c r="AX1195" s="309">
        <v>26.477499999999999</v>
      </c>
      <c r="AY1195" s="309">
        <v>32.492600000000003</v>
      </c>
      <c r="AZ1195" s="309">
        <v>30.7498</v>
      </c>
      <c r="BA1195" s="309">
        <v>33.5107</v>
      </c>
      <c r="BB1195" s="309">
        <v>33.762500000000003</v>
      </c>
      <c r="BC1195" s="309">
        <v>24.1449</v>
      </c>
      <c r="BD1195" s="309">
        <v>24.907699999999998</v>
      </c>
      <c r="BE1195" s="309">
        <v>31.403199999999998</v>
      </c>
      <c r="BF1195" s="309">
        <v>30.923999999999999</v>
      </c>
      <c r="BG1195" s="309">
        <v>30.466799999999999</v>
      </c>
      <c r="BH1195" s="309">
        <v>32.935099999999998</v>
      </c>
      <c r="BI1195" s="309">
        <v>33.571300000000001</v>
      </c>
      <c r="BJ1195" s="309">
        <v>33.460500000000003</v>
      </c>
      <c r="BK1195" s="309">
        <v>27.67</v>
      </c>
    </row>
    <row r="1196" spans="1:63" x14ac:dyDescent="0.25">
      <c r="A1196" s="306" t="s">
        <v>773</v>
      </c>
      <c r="B1196" s="309" t="s">
        <v>774</v>
      </c>
      <c r="C1196" s="309">
        <v>27.440200000000001</v>
      </c>
      <c r="D1196" s="309">
        <v>22.832000000000001</v>
      </c>
      <c r="E1196" s="309">
        <v>28.7561</v>
      </c>
      <c r="F1196" s="309">
        <v>27.176200000000001</v>
      </c>
      <c r="G1196" s="309">
        <v>21.727799999999998</v>
      </c>
      <c r="H1196" s="309">
        <v>21.848400000000002</v>
      </c>
      <c r="I1196" s="309">
        <v>25.2486</v>
      </c>
      <c r="J1196" s="309">
        <v>17.5685</v>
      </c>
      <c r="K1196" s="309">
        <v>4.5191999999999997</v>
      </c>
      <c r="L1196" s="309">
        <v>17.149899999999999</v>
      </c>
      <c r="M1196" s="309">
        <v>22.917899999999999</v>
      </c>
      <c r="N1196" s="309">
        <v>21.538599999999999</v>
      </c>
      <c r="O1196" s="309">
        <v>24.826799999999999</v>
      </c>
      <c r="P1196" s="309">
        <v>25.5045</v>
      </c>
      <c r="Q1196" s="309">
        <v>26.51</v>
      </c>
      <c r="R1196" s="309">
        <v>20.908300000000001</v>
      </c>
      <c r="S1196" s="309">
        <v>25.6708</v>
      </c>
      <c r="T1196" s="309">
        <v>23.051200000000001</v>
      </c>
      <c r="U1196" s="309">
        <v>27.599799999999998</v>
      </c>
      <c r="V1196" s="309">
        <v>23.022500000000001</v>
      </c>
      <c r="W1196" s="309">
        <v>18.162400000000002</v>
      </c>
      <c r="X1196" s="309">
        <v>18.390699999999999</v>
      </c>
      <c r="Y1196" s="309">
        <v>24.6663</v>
      </c>
      <c r="Z1196" s="309">
        <v>26.6539</v>
      </c>
      <c r="AA1196" s="309">
        <v>25.067499999999999</v>
      </c>
      <c r="AB1196" s="309">
        <v>21.974799999999998</v>
      </c>
      <c r="AC1196" s="309">
        <v>27.373100000000001</v>
      </c>
      <c r="AD1196" s="309">
        <v>27.824400000000001</v>
      </c>
      <c r="AE1196" s="309">
        <v>23.062899999999999</v>
      </c>
      <c r="AF1196" s="309">
        <v>24.1694</v>
      </c>
      <c r="AG1196" s="309">
        <v>20.938400000000001</v>
      </c>
      <c r="AH1196" s="309">
        <v>17.3721</v>
      </c>
      <c r="AI1196" s="309">
        <v>20.941199999999998</v>
      </c>
      <c r="AJ1196" s="309">
        <v>27.6861</v>
      </c>
      <c r="AK1196" s="309">
        <v>21.661799999999999</v>
      </c>
      <c r="AL1196" s="309">
        <v>17.1586</v>
      </c>
      <c r="AM1196" s="309">
        <v>26.6675</v>
      </c>
      <c r="AN1196" s="309">
        <v>27.4894</v>
      </c>
      <c r="AO1196" s="309">
        <v>28.583600000000001</v>
      </c>
      <c r="AP1196" s="309">
        <v>21.7317</v>
      </c>
      <c r="AQ1196" s="309">
        <v>17.925000000000001</v>
      </c>
      <c r="AR1196" s="309">
        <v>27.648800000000001</v>
      </c>
      <c r="AS1196" s="309">
        <v>24.961500000000001</v>
      </c>
      <c r="AT1196" s="309">
        <v>23.175000000000001</v>
      </c>
      <c r="AU1196" s="309">
        <v>24.322299999999998</v>
      </c>
      <c r="AV1196" s="309">
        <v>30.303699999999999</v>
      </c>
      <c r="AW1196" s="309">
        <v>20.5397</v>
      </c>
      <c r="AX1196" s="309">
        <v>23.678899999999999</v>
      </c>
      <c r="AY1196" s="309">
        <v>27.246700000000001</v>
      </c>
      <c r="AZ1196" s="309">
        <v>23.041399999999999</v>
      </c>
      <c r="BA1196" s="309">
        <v>25.900400000000001</v>
      </c>
      <c r="BB1196" s="309">
        <v>25.380199999999999</v>
      </c>
      <c r="BC1196" s="309">
        <v>20.422499999999999</v>
      </c>
      <c r="BD1196" s="309">
        <v>21.173400000000001</v>
      </c>
      <c r="BE1196" s="309">
        <v>24.930399999999999</v>
      </c>
      <c r="BF1196" s="309">
        <v>24.3203</v>
      </c>
      <c r="BG1196" s="309">
        <v>23.836400000000001</v>
      </c>
      <c r="BH1196" s="309">
        <v>26.527899999999999</v>
      </c>
      <c r="BI1196" s="309">
        <v>25.5336</v>
      </c>
      <c r="BJ1196" s="309">
        <v>26.238700000000001</v>
      </c>
      <c r="BK1196" s="309">
        <v>23.5533</v>
      </c>
    </row>
    <row r="1197" spans="1:63" x14ac:dyDescent="0.25">
      <c r="A1197" s="306" t="s">
        <v>775</v>
      </c>
      <c r="B1197" s="309" t="s">
        <v>776</v>
      </c>
      <c r="C1197" s="309">
        <v>25.321300000000001</v>
      </c>
      <c r="D1197" s="309">
        <v>20.534800000000001</v>
      </c>
      <c r="E1197" s="309">
        <v>26.793600000000001</v>
      </c>
      <c r="F1197" s="309">
        <v>22.238299999999999</v>
      </c>
      <c r="G1197" s="309">
        <v>18.263100000000001</v>
      </c>
      <c r="H1197" s="309">
        <v>22.872499999999999</v>
      </c>
      <c r="I1197" s="309">
        <v>22.280899999999999</v>
      </c>
      <c r="J1197" s="309">
        <v>19.7121</v>
      </c>
      <c r="K1197" s="309">
        <v>4.2706999999999997</v>
      </c>
      <c r="L1197" s="309">
        <v>18.213999999999999</v>
      </c>
      <c r="M1197" s="309">
        <v>20.323399999999999</v>
      </c>
      <c r="N1197" s="309">
        <v>20.198</v>
      </c>
      <c r="O1197" s="309">
        <v>26.322399999999998</v>
      </c>
      <c r="P1197" s="309">
        <v>21.503299999999999</v>
      </c>
      <c r="Q1197" s="309">
        <v>24.712299999999999</v>
      </c>
      <c r="R1197" s="309">
        <v>19.447800000000001</v>
      </c>
      <c r="S1197" s="309">
        <v>24.828399999999998</v>
      </c>
      <c r="T1197" s="309">
        <v>20.2895</v>
      </c>
      <c r="U1197" s="309">
        <v>25.607700000000001</v>
      </c>
      <c r="V1197" s="309">
        <v>22.049499999999998</v>
      </c>
      <c r="W1197" s="309">
        <v>19.344899999999999</v>
      </c>
      <c r="X1197" s="309">
        <v>17.998000000000001</v>
      </c>
      <c r="Y1197" s="309">
        <v>23.8904</v>
      </c>
      <c r="Z1197" s="309">
        <v>22.5838</v>
      </c>
      <c r="AA1197" s="309">
        <v>26.726600000000001</v>
      </c>
      <c r="AB1197" s="309">
        <v>18.689299999999999</v>
      </c>
      <c r="AC1197" s="309">
        <v>23.328399999999998</v>
      </c>
      <c r="AD1197" s="309">
        <v>19.462199999999999</v>
      </c>
      <c r="AE1197" s="309">
        <v>21.480399999999999</v>
      </c>
      <c r="AF1197" s="309">
        <v>16.490400000000001</v>
      </c>
      <c r="AG1197" s="309">
        <v>22.847100000000001</v>
      </c>
      <c r="AH1197" s="309">
        <v>17.765899999999998</v>
      </c>
      <c r="AI1197" s="309">
        <v>20.012599999999999</v>
      </c>
      <c r="AJ1197" s="309">
        <v>24.595099999999999</v>
      </c>
      <c r="AK1197" s="309">
        <v>18.664300000000001</v>
      </c>
      <c r="AL1197" s="309">
        <v>16.267700000000001</v>
      </c>
      <c r="AM1197" s="309">
        <v>25.254100000000001</v>
      </c>
      <c r="AN1197" s="309">
        <v>19.238399999999999</v>
      </c>
      <c r="AO1197" s="309">
        <v>26.518000000000001</v>
      </c>
      <c r="AP1197" s="309">
        <v>21.223800000000001</v>
      </c>
      <c r="AQ1197" s="309">
        <v>18.11</v>
      </c>
      <c r="AR1197" s="309">
        <v>24.858699999999999</v>
      </c>
      <c r="AS1197" s="309">
        <v>17.0457</v>
      </c>
      <c r="AT1197" s="309">
        <v>21.5869</v>
      </c>
      <c r="AU1197" s="309">
        <v>20.533200000000001</v>
      </c>
      <c r="AV1197" s="309">
        <v>28.1297</v>
      </c>
      <c r="AW1197" s="309">
        <v>17.1951</v>
      </c>
      <c r="AX1197" s="309">
        <v>22.336200000000002</v>
      </c>
      <c r="AY1197" s="309">
        <v>26.394600000000001</v>
      </c>
      <c r="AZ1197" s="309">
        <v>24.748200000000001</v>
      </c>
      <c r="BA1197" s="309">
        <v>23.788499999999999</v>
      </c>
      <c r="BB1197" s="309">
        <v>23.431899999999999</v>
      </c>
      <c r="BC1197" s="309">
        <v>21.357800000000001</v>
      </c>
      <c r="BD1197" s="309">
        <v>20.337700000000002</v>
      </c>
      <c r="BE1197" s="309">
        <v>23.0611</v>
      </c>
      <c r="BF1197" s="309">
        <v>22.793600000000001</v>
      </c>
      <c r="BG1197" s="309">
        <v>21.386800000000001</v>
      </c>
      <c r="BH1197" s="309">
        <v>24.4253</v>
      </c>
      <c r="BI1197" s="309">
        <v>21.3476</v>
      </c>
      <c r="BJ1197" s="309">
        <v>22.679400000000001</v>
      </c>
      <c r="BK1197" s="309">
        <v>24.077500000000001</v>
      </c>
    </row>
    <row r="1198" spans="1:63" x14ac:dyDescent="0.25">
      <c r="A1198" s="306">
        <v>621600</v>
      </c>
      <c r="B1198" s="309" t="s">
        <v>331</v>
      </c>
      <c r="C1198" s="309">
        <v>35.666400000000003</v>
      </c>
      <c r="D1198" s="309">
        <v>30.234200000000001</v>
      </c>
      <c r="E1198" s="309">
        <v>27.464700000000001</v>
      </c>
      <c r="F1198" s="309">
        <v>33.608800000000002</v>
      </c>
      <c r="G1198" s="309">
        <v>30.148399999999999</v>
      </c>
      <c r="H1198" s="309">
        <v>27.5503</v>
      </c>
      <c r="I1198" s="309">
        <v>33.634900000000002</v>
      </c>
      <c r="J1198" s="309">
        <v>23.1693</v>
      </c>
      <c r="K1198" s="309">
        <v>7.0781000000000001</v>
      </c>
      <c r="L1198" s="309">
        <v>21.222200000000001</v>
      </c>
      <c r="M1198" s="309">
        <v>29.517099999999999</v>
      </c>
      <c r="N1198" s="309">
        <v>29.0943</v>
      </c>
      <c r="O1198" s="309">
        <v>34.691499999999998</v>
      </c>
      <c r="P1198" s="309">
        <v>27.953499999999998</v>
      </c>
      <c r="Q1198" s="309">
        <v>32.927900000000001</v>
      </c>
      <c r="R1198" s="309">
        <v>29.509899999999998</v>
      </c>
      <c r="S1198" s="309">
        <v>29.636399999999998</v>
      </c>
      <c r="T1198" s="309">
        <v>29.676300000000001</v>
      </c>
      <c r="U1198" s="309">
        <v>24.9315</v>
      </c>
      <c r="V1198" s="309">
        <v>27.706600000000002</v>
      </c>
      <c r="W1198" s="309">
        <v>24.7027</v>
      </c>
      <c r="X1198" s="309">
        <v>24.811800000000002</v>
      </c>
      <c r="Y1198" s="309">
        <v>30.785</v>
      </c>
      <c r="Z1198" s="309">
        <v>31.465699999999998</v>
      </c>
      <c r="AA1198" s="309">
        <v>34.831400000000002</v>
      </c>
      <c r="AB1198" s="309">
        <v>29.3292</v>
      </c>
      <c r="AC1198" s="309">
        <v>24.432300000000001</v>
      </c>
      <c r="AD1198" s="309">
        <v>34.260800000000003</v>
      </c>
      <c r="AE1198" s="309">
        <v>35.606099999999998</v>
      </c>
      <c r="AF1198" s="309">
        <v>28.0837</v>
      </c>
      <c r="AG1198" s="309">
        <v>26.149899999999999</v>
      </c>
      <c r="AH1198" s="309">
        <v>27.5886</v>
      </c>
      <c r="AI1198" s="309">
        <v>28.417999999999999</v>
      </c>
      <c r="AJ1198" s="309">
        <v>34.236400000000003</v>
      </c>
      <c r="AK1198" s="309">
        <v>24.098199999999999</v>
      </c>
      <c r="AL1198" s="309">
        <v>25.228400000000001</v>
      </c>
      <c r="AM1198" s="309">
        <v>35.465400000000002</v>
      </c>
      <c r="AN1198" s="309">
        <v>34.467500000000001</v>
      </c>
      <c r="AO1198" s="309">
        <v>28.587599999999998</v>
      </c>
      <c r="AP1198" s="309">
        <v>27.4663</v>
      </c>
      <c r="AQ1198" s="309">
        <v>27.858000000000001</v>
      </c>
      <c r="AR1198" s="309">
        <v>33.974299999999999</v>
      </c>
      <c r="AS1198" s="309">
        <v>27.474599999999999</v>
      </c>
      <c r="AT1198" s="309">
        <v>26.065999999999999</v>
      </c>
      <c r="AU1198" s="309">
        <v>36.910899999999998</v>
      </c>
      <c r="AV1198" s="309">
        <v>30.875599999999999</v>
      </c>
      <c r="AW1198" s="309">
        <v>32.328600000000002</v>
      </c>
      <c r="AX1198" s="309">
        <v>28.4207</v>
      </c>
      <c r="AY1198" s="309">
        <v>27.997699999999998</v>
      </c>
      <c r="AZ1198" s="309">
        <v>32.5732</v>
      </c>
      <c r="BA1198" s="309">
        <v>28.7959</v>
      </c>
      <c r="BB1198" s="309">
        <v>28.496500000000001</v>
      </c>
      <c r="BC1198" s="309">
        <v>27.4148</v>
      </c>
      <c r="BD1198" s="309">
        <v>29.084800000000001</v>
      </c>
      <c r="BE1198" s="309">
        <v>33.386299999999999</v>
      </c>
      <c r="BF1198" s="309">
        <v>32.347900000000003</v>
      </c>
      <c r="BG1198" s="309">
        <v>32.800899999999999</v>
      </c>
      <c r="BH1198" s="309">
        <v>27.132200000000001</v>
      </c>
      <c r="BI1198" s="309">
        <v>36.449599999999997</v>
      </c>
      <c r="BJ1198" s="309">
        <v>32.7438</v>
      </c>
      <c r="BK1198" s="309">
        <v>28.520800000000001</v>
      </c>
    </row>
    <row r="1199" spans="1:63" x14ac:dyDescent="0.25">
      <c r="A1199" s="306" t="s">
        <v>777</v>
      </c>
      <c r="B1199" s="309" t="s">
        <v>330</v>
      </c>
      <c r="C1199" s="309">
        <v>22.942499999999999</v>
      </c>
      <c r="D1199" s="309">
        <v>16.0259</v>
      </c>
      <c r="E1199" s="309">
        <v>17.9404</v>
      </c>
      <c r="F1199" s="309">
        <v>16.937999999999999</v>
      </c>
      <c r="G1199" s="309">
        <v>17.753399999999999</v>
      </c>
      <c r="H1199" s="309">
        <v>17.986499999999999</v>
      </c>
      <c r="I1199" s="309">
        <v>19.627300000000002</v>
      </c>
      <c r="J1199" s="309">
        <v>14.667999999999999</v>
      </c>
      <c r="K1199" s="309">
        <v>2.6162000000000001</v>
      </c>
      <c r="L1199" s="309">
        <v>13.1183</v>
      </c>
      <c r="M1199" s="309">
        <v>20.139600000000002</v>
      </c>
      <c r="N1199" s="309">
        <v>19.226500000000001</v>
      </c>
      <c r="O1199" s="309">
        <v>18.066099999999999</v>
      </c>
      <c r="P1199" s="309">
        <v>14.9732</v>
      </c>
      <c r="Q1199" s="309">
        <v>16.830500000000001</v>
      </c>
      <c r="R1199" s="309">
        <v>18.4849</v>
      </c>
      <c r="S1199" s="309">
        <v>17.7089</v>
      </c>
      <c r="T1199" s="309">
        <v>15.146100000000001</v>
      </c>
      <c r="U1199" s="309">
        <v>17.8871</v>
      </c>
      <c r="V1199" s="309">
        <v>17.707999999999998</v>
      </c>
      <c r="W1199" s="309">
        <v>15.377599999999999</v>
      </c>
      <c r="X1199" s="309">
        <v>16.7501</v>
      </c>
      <c r="Y1199" s="309">
        <v>19.478100000000001</v>
      </c>
      <c r="Z1199" s="309">
        <v>19.591899999999999</v>
      </c>
      <c r="AA1199" s="309">
        <v>17.305399999999999</v>
      </c>
      <c r="AB1199" s="309">
        <v>16.883800000000001</v>
      </c>
      <c r="AC1199" s="309">
        <v>16.499300000000002</v>
      </c>
      <c r="AD1199" s="309">
        <v>18.017700000000001</v>
      </c>
      <c r="AE1199" s="309">
        <v>18.281300000000002</v>
      </c>
      <c r="AF1199" s="309">
        <v>14.037800000000001</v>
      </c>
      <c r="AG1199" s="309">
        <v>15.474299999999999</v>
      </c>
      <c r="AH1199" s="309">
        <v>15.3908</v>
      </c>
      <c r="AI1199" s="309">
        <v>16.3171</v>
      </c>
      <c r="AJ1199" s="309">
        <v>18.0745</v>
      </c>
      <c r="AK1199" s="309">
        <v>15.964700000000001</v>
      </c>
      <c r="AL1199" s="309">
        <v>14.4612</v>
      </c>
      <c r="AM1199" s="309">
        <v>19.521999999999998</v>
      </c>
      <c r="AN1199" s="309">
        <v>18.730899999999998</v>
      </c>
      <c r="AO1199" s="309">
        <v>18.558399999999999</v>
      </c>
      <c r="AP1199" s="309">
        <v>18.4086</v>
      </c>
      <c r="AQ1199" s="309">
        <v>16.4785</v>
      </c>
      <c r="AR1199" s="309">
        <v>19.748000000000001</v>
      </c>
      <c r="AS1199" s="309">
        <v>13.6058</v>
      </c>
      <c r="AT1199" s="309">
        <v>17.4497</v>
      </c>
      <c r="AU1199" s="309">
        <v>18.755500000000001</v>
      </c>
      <c r="AV1199" s="309">
        <v>22.159500000000001</v>
      </c>
      <c r="AW1199" s="309">
        <v>16.577500000000001</v>
      </c>
      <c r="AX1199" s="309">
        <v>17.245799999999999</v>
      </c>
      <c r="AY1199" s="309">
        <v>18.360600000000002</v>
      </c>
      <c r="AZ1199" s="309">
        <v>17.4589</v>
      </c>
      <c r="BA1199" s="309">
        <v>16.440000000000001</v>
      </c>
      <c r="BB1199" s="309">
        <v>14.5831</v>
      </c>
      <c r="BC1199" s="309">
        <v>17.500900000000001</v>
      </c>
      <c r="BD1199" s="309">
        <v>18.006699999999999</v>
      </c>
      <c r="BE1199" s="309">
        <v>20.094899999999999</v>
      </c>
      <c r="BF1199" s="309">
        <v>17.646699999999999</v>
      </c>
      <c r="BG1199" s="309">
        <v>20.633700000000001</v>
      </c>
      <c r="BH1199" s="309">
        <v>18.6005</v>
      </c>
      <c r="BI1199" s="309">
        <v>19.404399999999999</v>
      </c>
      <c r="BJ1199" s="309">
        <v>19.671399999999998</v>
      </c>
      <c r="BK1199" s="309">
        <v>18.735700000000001</v>
      </c>
    </row>
    <row r="1200" spans="1:63" x14ac:dyDescent="0.25">
      <c r="A1200" s="306" t="s">
        <v>778</v>
      </c>
      <c r="B1200" s="309" t="s">
        <v>332</v>
      </c>
      <c r="C1200" s="309">
        <v>25.033000000000001</v>
      </c>
      <c r="D1200" s="309">
        <v>14.9756</v>
      </c>
      <c r="E1200" s="309">
        <v>20.109100000000002</v>
      </c>
      <c r="F1200" s="309">
        <v>20.1053</v>
      </c>
      <c r="G1200" s="309">
        <v>19.255199999999999</v>
      </c>
      <c r="H1200" s="309">
        <v>18.537600000000001</v>
      </c>
      <c r="I1200" s="309">
        <v>20.631699999999999</v>
      </c>
      <c r="J1200" s="309">
        <v>16.1996</v>
      </c>
      <c r="K1200" s="309">
        <v>2.9750999999999999</v>
      </c>
      <c r="L1200" s="309">
        <v>16.6052</v>
      </c>
      <c r="M1200" s="309">
        <v>22.9603</v>
      </c>
      <c r="N1200" s="309">
        <v>22.571999999999999</v>
      </c>
      <c r="O1200" s="309">
        <v>18.6831</v>
      </c>
      <c r="P1200" s="309">
        <v>18.119499999999999</v>
      </c>
      <c r="Q1200" s="309">
        <v>17.908200000000001</v>
      </c>
      <c r="R1200" s="309">
        <v>21.249500000000001</v>
      </c>
      <c r="S1200" s="309">
        <v>19.8537</v>
      </c>
      <c r="T1200" s="309">
        <v>17.606400000000001</v>
      </c>
      <c r="U1200" s="309">
        <v>21.184200000000001</v>
      </c>
      <c r="V1200" s="309">
        <v>19.628499999999999</v>
      </c>
      <c r="W1200" s="309">
        <v>17.360299999999999</v>
      </c>
      <c r="X1200" s="309">
        <v>17.461500000000001</v>
      </c>
      <c r="Y1200" s="309">
        <v>22.798999999999999</v>
      </c>
      <c r="Z1200" s="309">
        <v>21.218499999999999</v>
      </c>
      <c r="AA1200" s="309">
        <v>19.023299999999999</v>
      </c>
      <c r="AB1200" s="309">
        <v>19.9618</v>
      </c>
      <c r="AC1200" s="309">
        <v>20.540500000000002</v>
      </c>
      <c r="AD1200" s="309">
        <v>20.1768</v>
      </c>
      <c r="AE1200" s="309">
        <v>22.085799999999999</v>
      </c>
      <c r="AF1200" s="309">
        <v>16.812200000000001</v>
      </c>
      <c r="AG1200" s="309">
        <v>16.9453</v>
      </c>
      <c r="AH1200" s="309">
        <v>20.348600000000001</v>
      </c>
      <c r="AI1200" s="309">
        <v>17.2821</v>
      </c>
      <c r="AJ1200" s="309">
        <v>19.225300000000001</v>
      </c>
      <c r="AK1200" s="309">
        <v>17.0989</v>
      </c>
      <c r="AL1200" s="309">
        <v>15.688000000000001</v>
      </c>
      <c r="AM1200" s="309">
        <v>22.865200000000002</v>
      </c>
      <c r="AN1200" s="309">
        <v>21.194700000000001</v>
      </c>
      <c r="AO1200" s="309">
        <v>18.092700000000001</v>
      </c>
      <c r="AP1200" s="309">
        <v>21.205200000000001</v>
      </c>
      <c r="AQ1200" s="309">
        <v>18.818300000000001</v>
      </c>
      <c r="AR1200" s="309">
        <v>23.186699999999998</v>
      </c>
      <c r="AS1200" s="309">
        <v>16.7393</v>
      </c>
      <c r="AT1200" s="309">
        <v>19.2121</v>
      </c>
      <c r="AU1200" s="309">
        <v>21.267299999999999</v>
      </c>
      <c r="AV1200" s="309">
        <v>24.94</v>
      </c>
      <c r="AW1200" s="309">
        <v>18.876799999999999</v>
      </c>
      <c r="AX1200" s="309">
        <v>20.147099999999998</v>
      </c>
      <c r="AY1200" s="309">
        <v>18.491399999999999</v>
      </c>
      <c r="AZ1200" s="309">
        <v>19.664999999999999</v>
      </c>
      <c r="BA1200" s="309">
        <v>19.378499999999999</v>
      </c>
      <c r="BB1200" s="309">
        <v>16.165900000000001</v>
      </c>
      <c r="BC1200" s="309">
        <v>19.827500000000001</v>
      </c>
      <c r="BD1200" s="309">
        <v>19.755700000000001</v>
      </c>
      <c r="BE1200" s="309">
        <v>22.678100000000001</v>
      </c>
      <c r="BF1200" s="309">
        <v>20.197500000000002</v>
      </c>
      <c r="BG1200" s="309">
        <v>23.398499999999999</v>
      </c>
      <c r="BH1200" s="309">
        <v>21.015899999999998</v>
      </c>
      <c r="BI1200" s="309">
        <v>21.979800000000001</v>
      </c>
      <c r="BJ1200" s="309">
        <v>21.095500000000001</v>
      </c>
      <c r="BK1200" s="309">
        <v>19.162099999999999</v>
      </c>
    </row>
    <row r="1201" spans="1:63" x14ac:dyDescent="0.25">
      <c r="A1201" s="306">
        <v>622000</v>
      </c>
      <c r="B1201" s="309" t="s">
        <v>779</v>
      </c>
      <c r="C1201" s="309">
        <v>22.684699999999999</v>
      </c>
      <c r="D1201" s="309">
        <v>13.8201</v>
      </c>
      <c r="E1201" s="309">
        <v>19.3718</v>
      </c>
      <c r="F1201" s="309">
        <v>17.592300000000002</v>
      </c>
      <c r="G1201" s="309">
        <v>16.650700000000001</v>
      </c>
      <c r="H1201" s="309">
        <v>16.566400000000002</v>
      </c>
      <c r="I1201" s="309">
        <v>18.678999999999998</v>
      </c>
      <c r="J1201" s="309">
        <v>14.2653</v>
      </c>
      <c r="K1201" s="309">
        <v>2.2652999999999999</v>
      </c>
      <c r="L1201" s="309">
        <v>12.5641</v>
      </c>
      <c r="M1201" s="309">
        <v>19.418800000000001</v>
      </c>
      <c r="N1201" s="309">
        <v>19.564499999999999</v>
      </c>
      <c r="O1201" s="309">
        <v>16.139099999999999</v>
      </c>
      <c r="P1201" s="309">
        <v>15.7402</v>
      </c>
      <c r="Q1201" s="309">
        <v>16.419799999999999</v>
      </c>
      <c r="R1201" s="309">
        <v>18.0901</v>
      </c>
      <c r="S1201" s="309">
        <v>18.818300000000001</v>
      </c>
      <c r="T1201" s="309">
        <v>15.7704</v>
      </c>
      <c r="U1201" s="309">
        <v>18.428000000000001</v>
      </c>
      <c r="V1201" s="309">
        <v>17.9754</v>
      </c>
      <c r="W1201" s="309">
        <v>14.772399999999999</v>
      </c>
      <c r="X1201" s="309">
        <v>15.67</v>
      </c>
      <c r="Y1201" s="309">
        <v>18.175999999999998</v>
      </c>
      <c r="Z1201" s="309">
        <v>18.666699999999999</v>
      </c>
      <c r="AA1201" s="309">
        <v>17.659600000000001</v>
      </c>
      <c r="AB1201" s="309">
        <v>17.548400000000001</v>
      </c>
      <c r="AC1201" s="309">
        <v>17.692</v>
      </c>
      <c r="AD1201" s="309">
        <v>17.149000000000001</v>
      </c>
      <c r="AE1201" s="309">
        <v>18.728999999999999</v>
      </c>
      <c r="AF1201" s="309">
        <v>14.0878</v>
      </c>
      <c r="AG1201" s="309">
        <v>15.9693</v>
      </c>
      <c r="AH1201" s="309">
        <v>15.7293</v>
      </c>
      <c r="AI1201" s="309">
        <v>16.245200000000001</v>
      </c>
      <c r="AJ1201" s="309">
        <v>16.1173</v>
      </c>
      <c r="AK1201" s="309">
        <v>14.9368</v>
      </c>
      <c r="AL1201" s="309">
        <v>13.101699999999999</v>
      </c>
      <c r="AM1201" s="309">
        <v>19.3809</v>
      </c>
      <c r="AN1201" s="309">
        <v>19.165299999999998</v>
      </c>
      <c r="AO1201" s="309">
        <v>17.1113</v>
      </c>
      <c r="AP1201" s="309">
        <v>18.4786</v>
      </c>
      <c r="AQ1201" s="309">
        <v>16.0428</v>
      </c>
      <c r="AR1201" s="309">
        <v>20.3872</v>
      </c>
      <c r="AS1201" s="309">
        <v>14.9825</v>
      </c>
      <c r="AT1201" s="309">
        <v>18.389700000000001</v>
      </c>
      <c r="AU1201" s="309">
        <v>19.027000000000001</v>
      </c>
      <c r="AV1201" s="309">
        <v>22.564900000000002</v>
      </c>
      <c r="AW1201" s="309">
        <v>17.421500000000002</v>
      </c>
      <c r="AX1201" s="309">
        <v>15.1113</v>
      </c>
      <c r="AY1201" s="309">
        <v>16.235700000000001</v>
      </c>
      <c r="AZ1201" s="309">
        <v>18.95</v>
      </c>
      <c r="BA1201" s="309">
        <v>15.3757</v>
      </c>
      <c r="BB1201" s="309">
        <v>14.029</v>
      </c>
      <c r="BC1201" s="309">
        <v>16.9467</v>
      </c>
      <c r="BD1201" s="309">
        <v>17.412800000000001</v>
      </c>
      <c r="BE1201" s="309">
        <v>20.0244</v>
      </c>
      <c r="BF1201" s="309">
        <v>18.22</v>
      </c>
      <c r="BG1201" s="309">
        <v>20.3384</v>
      </c>
      <c r="BH1201" s="309">
        <v>19.5518</v>
      </c>
      <c r="BI1201" s="309">
        <v>19.895099999999999</v>
      </c>
      <c r="BJ1201" s="309">
        <v>18.896899999999999</v>
      </c>
      <c r="BK1201" s="309">
        <v>17.204000000000001</v>
      </c>
    </row>
    <row r="1202" spans="1:63" x14ac:dyDescent="0.25">
      <c r="A1202" s="306">
        <v>623000</v>
      </c>
      <c r="B1202" s="309" t="s">
        <v>333</v>
      </c>
      <c r="C1202" s="309">
        <v>31.742899999999999</v>
      </c>
      <c r="D1202" s="309">
        <v>21.720800000000001</v>
      </c>
      <c r="E1202" s="309">
        <v>29.552399999999999</v>
      </c>
      <c r="F1202" s="309">
        <v>27.930499999999999</v>
      </c>
      <c r="G1202" s="309">
        <v>26.794799999999999</v>
      </c>
      <c r="H1202" s="309">
        <v>25.850100000000001</v>
      </c>
      <c r="I1202" s="309">
        <v>26.839700000000001</v>
      </c>
      <c r="J1202" s="309">
        <v>21.577200000000001</v>
      </c>
      <c r="K1202" s="309">
        <v>6.0369000000000002</v>
      </c>
      <c r="L1202" s="309">
        <v>20.532399999999999</v>
      </c>
      <c r="M1202" s="309">
        <v>27.790400000000002</v>
      </c>
      <c r="N1202" s="309">
        <v>29.238600000000002</v>
      </c>
      <c r="O1202" s="309">
        <v>25.091899999999999</v>
      </c>
      <c r="P1202" s="309">
        <v>26.955100000000002</v>
      </c>
      <c r="Q1202" s="309">
        <v>27.590800000000002</v>
      </c>
      <c r="R1202" s="309">
        <v>27.396799999999999</v>
      </c>
      <c r="S1202" s="309">
        <v>27.4557</v>
      </c>
      <c r="T1202" s="309">
        <v>26.990600000000001</v>
      </c>
      <c r="U1202" s="309">
        <v>26.018699999999999</v>
      </c>
      <c r="V1202" s="309">
        <v>29.613099999999999</v>
      </c>
      <c r="W1202" s="309">
        <v>21.876100000000001</v>
      </c>
      <c r="X1202" s="309">
        <v>22.6556</v>
      </c>
      <c r="Y1202" s="309">
        <v>28.729800000000001</v>
      </c>
      <c r="Z1202" s="309">
        <v>29.3291</v>
      </c>
      <c r="AA1202" s="309">
        <v>29.628</v>
      </c>
      <c r="AB1202" s="309">
        <v>29.598500000000001</v>
      </c>
      <c r="AC1202" s="309">
        <v>27.971599999999999</v>
      </c>
      <c r="AD1202" s="309">
        <v>28.921800000000001</v>
      </c>
      <c r="AE1202" s="309">
        <v>29.818100000000001</v>
      </c>
      <c r="AF1202" s="309">
        <v>25.482500000000002</v>
      </c>
      <c r="AG1202" s="309">
        <v>25.647400000000001</v>
      </c>
      <c r="AH1202" s="309">
        <v>23.373699999999999</v>
      </c>
      <c r="AI1202" s="309">
        <v>22.924700000000001</v>
      </c>
      <c r="AJ1202" s="309">
        <v>26.6691</v>
      </c>
      <c r="AK1202" s="309">
        <v>23.357500000000002</v>
      </c>
      <c r="AL1202" s="309">
        <v>20.936299999999999</v>
      </c>
      <c r="AM1202" s="309">
        <v>28.960999999999999</v>
      </c>
      <c r="AN1202" s="309">
        <v>30.395399999999999</v>
      </c>
      <c r="AO1202" s="309">
        <v>26.945599999999999</v>
      </c>
      <c r="AP1202" s="309">
        <v>26.471800000000002</v>
      </c>
      <c r="AQ1202" s="309">
        <v>23.844999999999999</v>
      </c>
      <c r="AR1202" s="309">
        <v>30.2531</v>
      </c>
      <c r="AS1202" s="309">
        <v>26.0519</v>
      </c>
      <c r="AT1202" s="309">
        <v>25.008800000000001</v>
      </c>
      <c r="AU1202" s="309">
        <v>29.606200000000001</v>
      </c>
      <c r="AV1202" s="309">
        <v>32.999699999999997</v>
      </c>
      <c r="AW1202" s="309">
        <v>24.4801</v>
      </c>
      <c r="AX1202" s="309">
        <v>24.003699999999998</v>
      </c>
      <c r="AY1202" s="309">
        <v>26.107900000000001</v>
      </c>
      <c r="AZ1202" s="309">
        <v>29.622299999999999</v>
      </c>
      <c r="BA1202" s="309">
        <v>26.3934</v>
      </c>
      <c r="BB1202" s="309">
        <v>21.478000000000002</v>
      </c>
      <c r="BC1202" s="309">
        <v>24.6736</v>
      </c>
      <c r="BD1202" s="309">
        <v>24.857800000000001</v>
      </c>
      <c r="BE1202" s="309">
        <v>29.786899999999999</v>
      </c>
      <c r="BF1202" s="309">
        <v>29.729399999999998</v>
      </c>
      <c r="BG1202" s="309">
        <v>29.202999999999999</v>
      </c>
      <c r="BH1202" s="309">
        <v>27.790700000000001</v>
      </c>
      <c r="BI1202" s="309">
        <v>30.775200000000002</v>
      </c>
      <c r="BJ1202" s="309">
        <v>28.5443</v>
      </c>
      <c r="BK1202" s="309">
        <v>26.6069</v>
      </c>
    </row>
    <row r="1203" spans="1:63" x14ac:dyDescent="0.25">
      <c r="A1203" s="306">
        <v>624200</v>
      </c>
      <c r="B1203" s="309" t="s">
        <v>336</v>
      </c>
      <c r="C1203" s="309">
        <v>32.564700000000002</v>
      </c>
      <c r="D1203" s="309">
        <v>21.868600000000001</v>
      </c>
      <c r="E1203" s="309">
        <v>27.0321</v>
      </c>
      <c r="F1203" s="309">
        <v>28.513200000000001</v>
      </c>
      <c r="G1203" s="309">
        <v>27.262599999999999</v>
      </c>
      <c r="H1203" s="309">
        <v>28.950700000000001</v>
      </c>
      <c r="I1203" s="309">
        <v>25.694400000000002</v>
      </c>
      <c r="J1203" s="309">
        <v>23.0749</v>
      </c>
      <c r="K1203" s="309">
        <v>6.2183000000000002</v>
      </c>
      <c r="L1203" s="309">
        <v>29.8263</v>
      </c>
      <c r="M1203" s="309">
        <v>26.801100000000002</v>
      </c>
      <c r="N1203" s="309">
        <v>29.154299999999999</v>
      </c>
      <c r="O1203" s="309">
        <v>23.365400000000001</v>
      </c>
      <c r="P1203" s="309">
        <v>27.582100000000001</v>
      </c>
      <c r="Q1203" s="309">
        <v>28.857700000000001</v>
      </c>
      <c r="R1203" s="309">
        <v>26.5246</v>
      </c>
      <c r="S1203" s="309">
        <v>28.270600000000002</v>
      </c>
      <c r="T1203" s="309">
        <v>25.816800000000001</v>
      </c>
      <c r="U1203" s="309">
        <v>28.424499999999998</v>
      </c>
      <c r="V1203" s="309">
        <v>28.9513</v>
      </c>
      <c r="W1203" s="309">
        <v>21.626100000000001</v>
      </c>
      <c r="X1203" s="309">
        <v>24.0671</v>
      </c>
      <c r="Y1203" s="309">
        <v>27.161799999999999</v>
      </c>
      <c r="Z1203" s="309">
        <v>33.6907</v>
      </c>
      <c r="AA1203" s="309">
        <v>27.693100000000001</v>
      </c>
      <c r="AB1203" s="309">
        <v>27.2789</v>
      </c>
      <c r="AC1203" s="309">
        <v>25.779599999999999</v>
      </c>
      <c r="AD1203" s="309">
        <v>29.909800000000001</v>
      </c>
      <c r="AE1203" s="309">
        <v>26.831299999999999</v>
      </c>
      <c r="AF1203" s="309">
        <v>28.000699999999998</v>
      </c>
      <c r="AG1203" s="309">
        <v>28.568899999999999</v>
      </c>
      <c r="AH1203" s="309">
        <v>27.1569</v>
      </c>
      <c r="AI1203" s="309">
        <v>25.219799999999999</v>
      </c>
      <c r="AJ1203" s="309">
        <v>27.465399999999999</v>
      </c>
      <c r="AK1203" s="309">
        <v>28.3187</v>
      </c>
      <c r="AL1203" s="309">
        <v>20.174099999999999</v>
      </c>
      <c r="AM1203" s="309">
        <v>32.8262</v>
      </c>
      <c r="AN1203" s="309">
        <v>32.576999999999998</v>
      </c>
      <c r="AO1203" s="309">
        <v>29.522300000000001</v>
      </c>
      <c r="AP1203" s="309">
        <v>25.995999999999999</v>
      </c>
      <c r="AQ1203" s="309">
        <v>27.1648</v>
      </c>
      <c r="AR1203" s="309">
        <v>28.6934</v>
      </c>
      <c r="AS1203" s="309">
        <v>25.730399999999999</v>
      </c>
      <c r="AT1203" s="309">
        <v>28.1143</v>
      </c>
      <c r="AU1203" s="309">
        <v>31.291</v>
      </c>
      <c r="AV1203" s="309">
        <v>35.846899999999998</v>
      </c>
      <c r="AW1203" s="309">
        <v>25.011800000000001</v>
      </c>
      <c r="AX1203" s="309">
        <v>21.625900000000001</v>
      </c>
      <c r="AY1203" s="309">
        <v>25.663499999999999</v>
      </c>
      <c r="AZ1203" s="309">
        <v>28.431000000000001</v>
      </c>
      <c r="BA1203" s="309">
        <v>30.2865</v>
      </c>
      <c r="BB1203" s="309">
        <v>24.037800000000001</v>
      </c>
      <c r="BC1203" s="309">
        <v>25.010100000000001</v>
      </c>
      <c r="BD1203" s="309">
        <v>24.509699999999999</v>
      </c>
      <c r="BE1203" s="309">
        <v>30.507200000000001</v>
      </c>
      <c r="BF1203" s="309">
        <v>28.815899999999999</v>
      </c>
      <c r="BG1203" s="309">
        <v>28.547599999999999</v>
      </c>
      <c r="BH1203" s="309">
        <v>28.611000000000001</v>
      </c>
      <c r="BI1203" s="309">
        <v>32.149700000000003</v>
      </c>
      <c r="BJ1203" s="309">
        <v>29.418399999999998</v>
      </c>
      <c r="BK1203" s="309">
        <v>28.9039</v>
      </c>
    </row>
    <row r="1204" spans="1:63" x14ac:dyDescent="0.25">
      <c r="A1204" s="306">
        <v>624400</v>
      </c>
      <c r="B1204" s="309" t="s">
        <v>334</v>
      </c>
      <c r="C1204" s="309">
        <v>34.432600000000001</v>
      </c>
      <c r="D1204" s="309">
        <v>25.657</v>
      </c>
      <c r="E1204" s="309">
        <v>36.001199999999997</v>
      </c>
      <c r="F1204" s="309">
        <v>30.372</v>
      </c>
      <c r="G1204" s="309">
        <v>29.950500000000002</v>
      </c>
      <c r="H1204" s="309">
        <v>26.177399999999999</v>
      </c>
      <c r="I1204" s="309">
        <v>28.5166</v>
      </c>
      <c r="J1204" s="309">
        <v>26.690200000000001</v>
      </c>
      <c r="K1204" s="309">
        <v>7.4142000000000001</v>
      </c>
      <c r="L1204" s="309">
        <v>27.965399999999999</v>
      </c>
      <c r="M1204" s="309">
        <v>28.377600000000001</v>
      </c>
      <c r="N1204" s="309">
        <v>34.358699999999999</v>
      </c>
      <c r="O1204" s="309">
        <v>25.7685</v>
      </c>
      <c r="P1204" s="309">
        <v>33.327399999999997</v>
      </c>
      <c r="Q1204" s="309">
        <v>34.650599999999997</v>
      </c>
      <c r="R1204" s="309">
        <v>29.1663</v>
      </c>
      <c r="S1204" s="309">
        <v>30.0001</v>
      </c>
      <c r="T1204" s="309">
        <v>27.527899999999999</v>
      </c>
      <c r="U1204" s="309">
        <v>35.520600000000002</v>
      </c>
      <c r="V1204" s="309">
        <v>35.587800000000001</v>
      </c>
      <c r="W1204" s="309">
        <v>23.195599999999999</v>
      </c>
      <c r="X1204" s="309">
        <v>26.2239</v>
      </c>
      <c r="Y1204" s="309">
        <v>27.626200000000001</v>
      </c>
      <c r="Z1204" s="309">
        <v>36.8294</v>
      </c>
      <c r="AA1204" s="309">
        <v>26.836600000000001</v>
      </c>
      <c r="AB1204" s="309">
        <v>30.419899999999998</v>
      </c>
      <c r="AC1204" s="309">
        <v>34.200099999999999</v>
      </c>
      <c r="AD1204" s="309">
        <v>35.9741</v>
      </c>
      <c r="AE1204" s="309">
        <v>28.727499999999999</v>
      </c>
      <c r="AF1204" s="309">
        <v>32.154800000000002</v>
      </c>
      <c r="AG1204" s="309">
        <v>33.1599</v>
      </c>
      <c r="AH1204" s="309">
        <v>25.8979</v>
      </c>
      <c r="AI1204" s="309">
        <v>26.045200000000001</v>
      </c>
      <c r="AJ1204" s="309">
        <v>29.039200000000001</v>
      </c>
      <c r="AK1204" s="309">
        <v>29.259399999999999</v>
      </c>
      <c r="AL1204" s="309">
        <v>22.049199999999999</v>
      </c>
      <c r="AM1204" s="309">
        <v>34.764800000000001</v>
      </c>
      <c r="AN1204" s="309">
        <v>34.022100000000002</v>
      </c>
      <c r="AO1204" s="309">
        <v>32.553800000000003</v>
      </c>
      <c r="AP1204" s="309">
        <v>29.730399999999999</v>
      </c>
      <c r="AQ1204" s="309">
        <v>24.053899999999999</v>
      </c>
      <c r="AR1204" s="309">
        <v>33.3202</v>
      </c>
      <c r="AS1204" s="309">
        <v>33.2166</v>
      </c>
      <c r="AT1204" s="309">
        <v>31.939900000000002</v>
      </c>
      <c r="AU1204" s="309">
        <v>37.489100000000001</v>
      </c>
      <c r="AV1204" s="309">
        <v>40.1524</v>
      </c>
      <c r="AW1204" s="309">
        <v>27.626799999999999</v>
      </c>
      <c r="AX1204" s="309">
        <v>28.220400000000001</v>
      </c>
      <c r="AY1204" s="309">
        <v>29.9147</v>
      </c>
      <c r="AZ1204" s="309">
        <v>28.652799999999999</v>
      </c>
      <c r="BA1204" s="309">
        <v>33.799399999999999</v>
      </c>
      <c r="BB1204" s="309">
        <v>22.865100000000002</v>
      </c>
      <c r="BC1204" s="309">
        <v>26.4529</v>
      </c>
      <c r="BD1204" s="309">
        <v>26.846299999999999</v>
      </c>
      <c r="BE1204" s="309">
        <v>32.593499999999999</v>
      </c>
      <c r="BF1204" s="309">
        <v>31.589700000000001</v>
      </c>
      <c r="BG1204" s="309">
        <v>31.004999999999999</v>
      </c>
      <c r="BH1204" s="309">
        <v>35.074300000000001</v>
      </c>
      <c r="BI1204" s="309">
        <v>37.155200000000001</v>
      </c>
      <c r="BJ1204" s="309">
        <v>31.429600000000001</v>
      </c>
      <c r="BK1204" s="309">
        <v>27.569600000000001</v>
      </c>
    </row>
    <row r="1205" spans="1:63" x14ac:dyDescent="0.25">
      <c r="A1205" s="306" t="s">
        <v>780</v>
      </c>
      <c r="B1205" s="309" t="s">
        <v>335</v>
      </c>
      <c r="C1205" s="309">
        <v>35.212299999999999</v>
      </c>
      <c r="D1205" s="309">
        <v>23.356999999999999</v>
      </c>
      <c r="E1205" s="309">
        <v>33.475900000000003</v>
      </c>
      <c r="F1205" s="309">
        <v>31.869</v>
      </c>
      <c r="G1205" s="309">
        <v>29.941600000000001</v>
      </c>
      <c r="H1205" s="309">
        <v>27.836300000000001</v>
      </c>
      <c r="I1205" s="309">
        <v>32.117400000000004</v>
      </c>
      <c r="J1205" s="309">
        <v>23.207699999999999</v>
      </c>
      <c r="K1205" s="309">
        <v>7.3501000000000003</v>
      </c>
      <c r="L1205" s="309">
        <v>23.866700000000002</v>
      </c>
      <c r="M1205" s="309">
        <v>27.704599999999999</v>
      </c>
      <c r="N1205" s="309">
        <v>31.610900000000001</v>
      </c>
      <c r="O1205" s="309">
        <v>28.675599999999999</v>
      </c>
      <c r="P1205" s="309">
        <v>32.242800000000003</v>
      </c>
      <c r="Q1205" s="309">
        <v>33.673200000000001</v>
      </c>
      <c r="R1205" s="309">
        <v>33.215899999999998</v>
      </c>
      <c r="S1205" s="309">
        <v>29.365500000000001</v>
      </c>
      <c r="T1205" s="309">
        <v>31.543600000000001</v>
      </c>
      <c r="U1205" s="309">
        <v>29.7591</v>
      </c>
      <c r="V1205" s="309">
        <v>32.739100000000001</v>
      </c>
      <c r="W1205" s="309">
        <v>23.6751</v>
      </c>
      <c r="X1205" s="309">
        <v>24.901</v>
      </c>
      <c r="Y1205" s="309">
        <v>30.027899999999999</v>
      </c>
      <c r="Z1205" s="309">
        <v>31.8169</v>
      </c>
      <c r="AA1205" s="309">
        <v>31.5977</v>
      </c>
      <c r="AB1205" s="309">
        <v>32.395699999999998</v>
      </c>
      <c r="AC1205" s="309">
        <v>34.520400000000002</v>
      </c>
      <c r="AD1205" s="309">
        <v>34.680999999999997</v>
      </c>
      <c r="AE1205" s="309">
        <v>30.7181</v>
      </c>
      <c r="AF1205" s="309">
        <v>26.3965</v>
      </c>
      <c r="AG1205" s="309">
        <v>30.521000000000001</v>
      </c>
      <c r="AH1205" s="309">
        <v>29.363600000000002</v>
      </c>
      <c r="AI1205" s="309">
        <v>24.666899999999998</v>
      </c>
      <c r="AJ1205" s="309">
        <v>32.538200000000003</v>
      </c>
      <c r="AK1205" s="309">
        <v>31.929500000000001</v>
      </c>
      <c r="AL1205" s="309">
        <v>24.9406</v>
      </c>
      <c r="AM1205" s="309">
        <v>31.5078</v>
      </c>
      <c r="AN1205" s="309">
        <v>31.308399999999999</v>
      </c>
      <c r="AO1205" s="309">
        <v>35.151600000000002</v>
      </c>
      <c r="AP1205" s="309">
        <v>31.1828</v>
      </c>
      <c r="AQ1205" s="309">
        <v>23.176400000000001</v>
      </c>
      <c r="AR1205" s="309">
        <v>37.286700000000003</v>
      </c>
      <c r="AS1205" s="309">
        <v>27.2879</v>
      </c>
      <c r="AT1205" s="309">
        <v>32.520000000000003</v>
      </c>
      <c r="AU1205" s="309">
        <v>31.924399999999999</v>
      </c>
      <c r="AV1205" s="309">
        <v>34.843299999999999</v>
      </c>
      <c r="AW1205" s="309">
        <v>27.795200000000001</v>
      </c>
      <c r="AX1205" s="309">
        <v>33.7761</v>
      </c>
      <c r="AY1205" s="309">
        <v>29.3337</v>
      </c>
      <c r="AZ1205" s="309">
        <v>32.061199999999999</v>
      </c>
      <c r="BA1205" s="309">
        <v>32.7652</v>
      </c>
      <c r="BB1205" s="309">
        <v>31.094899999999999</v>
      </c>
      <c r="BC1205" s="309">
        <v>27.142399999999999</v>
      </c>
      <c r="BD1205" s="309">
        <v>28.8992</v>
      </c>
      <c r="BE1205" s="309">
        <v>33.236499999999999</v>
      </c>
      <c r="BF1205" s="309">
        <v>32.849400000000003</v>
      </c>
      <c r="BG1205" s="309">
        <v>31.3231</v>
      </c>
      <c r="BH1205" s="309">
        <v>33.396299999999997</v>
      </c>
      <c r="BI1205" s="309">
        <v>33.353200000000001</v>
      </c>
      <c r="BJ1205" s="309">
        <v>33.592700000000001</v>
      </c>
      <c r="BK1205" s="309">
        <v>29.473099999999999</v>
      </c>
    </row>
    <row r="1206" spans="1:63" x14ac:dyDescent="0.25">
      <c r="A1206" s="306">
        <v>711100</v>
      </c>
      <c r="B1206" s="309" t="s">
        <v>337</v>
      </c>
      <c r="C1206" s="309">
        <v>37.537500000000001</v>
      </c>
      <c r="D1206" s="309">
        <v>21.174600000000002</v>
      </c>
      <c r="E1206" s="309">
        <v>40.371499999999997</v>
      </c>
      <c r="F1206" s="309">
        <v>39.5794</v>
      </c>
      <c r="G1206" s="309">
        <v>42.079799999999999</v>
      </c>
      <c r="H1206" s="309">
        <v>25.205400000000001</v>
      </c>
      <c r="I1206" s="309">
        <v>48.584400000000002</v>
      </c>
      <c r="J1206" s="309">
        <v>38.594700000000003</v>
      </c>
      <c r="K1206" s="309">
        <v>9.5411999999999999</v>
      </c>
      <c r="L1206" s="309">
        <v>33.599600000000002</v>
      </c>
      <c r="M1206" s="309">
        <v>28.297000000000001</v>
      </c>
      <c r="N1206" s="309">
        <v>45.642400000000002</v>
      </c>
      <c r="O1206" s="309">
        <v>30.8462</v>
      </c>
      <c r="P1206" s="309">
        <v>38.275500000000001</v>
      </c>
      <c r="Q1206" s="309">
        <v>21.116499999999998</v>
      </c>
      <c r="R1206" s="309">
        <v>42.743899999999996</v>
      </c>
      <c r="S1206" s="309">
        <v>46.937600000000003</v>
      </c>
      <c r="T1206" s="309">
        <v>24.5641</v>
      </c>
      <c r="U1206" s="309">
        <v>31.670500000000001</v>
      </c>
      <c r="V1206" s="309">
        <v>42.456400000000002</v>
      </c>
      <c r="W1206" s="309">
        <v>30.483799999999999</v>
      </c>
      <c r="X1206" s="309">
        <v>41.001100000000001</v>
      </c>
      <c r="Y1206" s="309">
        <v>32.758699999999997</v>
      </c>
      <c r="Z1206" s="309">
        <v>44.610500000000002</v>
      </c>
      <c r="AA1206" s="309">
        <v>42.1798</v>
      </c>
      <c r="AB1206" s="309">
        <v>33.2562</v>
      </c>
      <c r="AC1206" s="309">
        <v>35.872700000000002</v>
      </c>
      <c r="AD1206" s="309">
        <v>29.966200000000001</v>
      </c>
      <c r="AE1206" s="309">
        <v>50.227499999999999</v>
      </c>
      <c r="AF1206" s="309">
        <v>42.480699999999999</v>
      </c>
      <c r="AG1206" s="309">
        <v>42.112499999999997</v>
      </c>
      <c r="AH1206" s="309">
        <v>33.8384</v>
      </c>
      <c r="AI1206" s="309">
        <v>27.991900000000001</v>
      </c>
      <c r="AJ1206" s="309">
        <v>39.478499999999997</v>
      </c>
      <c r="AK1206" s="309">
        <v>22.639299999999999</v>
      </c>
      <c r="AL1206" s="309">
        <v>19.775400000000001</v>
      </c>
      <c r="AM1206" s="309">
        <v>46.749899999999997</v>
      </c>
      <c r="AN1206" s="309">
        <v>44.674900000000001</v>
      </c>
      <c r="AO1206" s="309">
        <v>30.0715</v>
      </c>
      <c r="AP1206" s="309">
        <v>32.638800000000003</v>
      </c>
      <c r="AQ1206" s="309">
        <v>43.197600000000001</v>
      </c>
      <c r="AR1206" s="309">
        <v>36.203499999999998</v>
      </c>
      <c r="AS1206" s="309">
        <v>18.5154</v>
      </c>
      <c r="AT1206" s="309">
        <v>25.470199999999998</v>
      </c>
      <c r="AU1206" s="309">
        <v>39.118699999999997</v>
      </c>
      <c r="AV1206" s="309">
        <v>53.814900000000002</v>
      </c>
      <c r="AW1206" s="309">
        <v>40.157200000000003</v>
      </c>
      <c r="AX1206" s="309">
        <v>30.458100000000002</v>
      </c>
      <c r="AY1206" s="309">
        <v>41.980600000000003</v>
      </c>
      <c r="AZ1206" s="309">
        <v>30.0107</v>
      </c>
      <c r="BA1206" s="309">
        <v>24.581299999999999</v>
      </c>
      <c r="BB1206" s="309">
        <v>15.4368</v>
      </c>
      <c r="BC1206" s="309">
        <v>35.829300000000003</v>
      </c>
      <c r="BD1206" s="309">
        <v>26.456</v>
      </c>
      <c r="BE1206" s="309">
        <v>43.167200000000001</v>
      </c>
      <c r="BF1206" s="309">
        <v>37.244700000000002</v>
      </c>
      <c r="BG1206" s="309">
        <v>36.9056</v>
      </c>
      <c r="BH1206" s="309">
        <v>26.598500000000001</v>
      </c>
      <c r="BI1206" s="309">
        <v>40.863</v>
      </c>
      <c r="BJ1206" s="309">
        <v>32.598799999999997</v>
      </c>
      <c r="BK1206" s="309">
        <v>28.2883</v>
      </c>
    </row>
    <row r="1207" spans="1:63" x14ac:dyDescent="0.25">
      <c r="A1207" s="306">
        <v>711200</v>
      </c>
      <c r="B1207" s="309" t="s">
        <v>781</v>
      </c>
      <c r="C1207" s="309">
        <v>27.501300000000001</v>
      </c>
      <c r="D1207" s="309">
        <v>23.4711</v>
      </c>
      <c r="E1207" s="309">
        <v>19.741599999999998</v>
      </c>
      <c r="F1207" s="309">
        <v>32.165500000000002</v>
      </c>
      <c r="G1207" s="309">
        <v>16.833100000000002</v>
      </c>
      <c r="H1207" s="309">
        <v>23.0806</v>
      </c>
      <c r="I1207" s="309">
        <v>18.998899999999999</v>
      </c>
      <c r="J1207" s="309">
        <v>22.6629</v>
      </c>
      <c r="K1207" s="309">
        <v>4.4238999999999997</v>
      </c>
      <c r="L1207" s="309">
        <v>17.290400000000002</v>
      </c>
      <c r="M1207" s="309">
        <v>20.435700000000001</v>
      </c>
      <c r="N1207" s="309">
        <v>21.8416</v>
      </c>
      <c r="O1207" s="309">
        <v>30.848299999999998</v>
      </c>
      <c r="P1207" s="309">
        <v>31.597200000000001</v>
      </c>
      <c r="Q1207" s="309">
        <v>29.5198</v>
      </c>
      <c r="R1207" s="309">
        <v>20.796399999999998</v>
      </c>
      <c r="S1207" s="309">
        <v>26.3781</v>
      </c>
      <c r="T1207" s="309">
        <v>15.493499999999999</v>
      </c>
      <c r="U1207" s="309">
        <v>33.251199999999997</v>
      </c>
      <c r="V1207" s="309">
        <v>19.549099999999999</v>
      </c>
      <c r="W1207" s="309">
        <v>14.0032</v>
      </c>
      <c r="X1207" s="309">
        <v>21.1602</v>
      </c>
      <c r="Y1207" s="309">
        <v>34.627299999999998</v>
      </c>
      <c r="Z1207" s="309">
        <v>22.639800000000001</v>
      </c>
      <c r="AA1207" s="309">
        <v>16.956700000000001</v>
      </c>
      <c r="AB1207" s="309">
        <v>15.6281</v>
      </c>
      <c r="AC1207" s="309">
        <v>16.956800000000001</v>
      </c>
      <c r="AD1207" s="309">
        <v>19.1206</v>
      </c>
      <c r="AE1207" s="309">
        <v>25.404599999999999</v>
      </c>
      <c r="AF1207" s="309">
        <v>15.8644</v>
      </c>
      <c r="AG1207" s="309">
        <v>32.016599999999997</v>
      </c>
      <c r="AH1207" s="309">
        <v>31.247199999999999</v>
      </c>
      <c r="AI1207" s="309">
        <v>19.449100000000001</v>
      </c>
      <c r="AJ1207" s="309">
        <v>19.363800000000001</v>
      </c>
      <c r="AK1207" s="309">
        <v>26.253799999999998</v>
      </c>
      <c r="AL1207" s="309">
        <v>15.8629</v>
      </c>
      <c r="AM1207" s="309">
        <v>22.9</v>
      </c>
      <c r="AN1207" s="309">
        <v>36.750399999999999</v>
      </c>
      <c r="AO1207" s="309">
        <v>24.272400000000001</v>
      </c>
      <c r="AP1207" s="309">
        <v>18.520600000000002</v>
      </c>
      <c r="AQ1207" s="309">
        <v>31.886800000000001</v>
      </c>
      <c r="AR1207" s="309">
        <v>33.1845</v>
      </c>
      <c r="AS1207" s="309">
        <v>24.482099999999999</v>
      </c>
      <c r="AT1207" s="309">
        <v>18.3202</v>
      </c>
      <c r="AU1207" s="309">
        <v>21.026900000000001</v>
      </c>
      <c r="AV1207" s="309">
        <v>27.3766</v>
      </c>
      <c r="AW1207" s="309">
        <v>24.301300000000001</v>
      </c>
      <c r="AX1207" s="309">
        <v>18.959700000000002</v>
      </c>
      <c r="AY1207" s="309">
        <v>19.9481</v>
      </c>
      <c r="AZ1207" s="309">
        <v>21.1205</v>
      </c>
      <c r="BA1207" s="309">
        <v>23.433499999999999</v>
      </c>
      <c r="BB1207" s="309">
        <v>12.077</v>
      </c>
      <c r="BC1207" s="309">
        <v>20.2485</v>
      </c>
      <c r="BD1207" s="309">
        <v>20.509899999999998</v>
      </c>
      <c r="BE1207" s="309">
        <v>23.903099999999998</v>
      </c>
      <c r="BF1207" s="309">
        <v>18.4754</v>
      </c>
      <c r="BG1207" s="309">
        <v>24.4162</v>
      </c>
      <c r="BH1207" s="309">
        <v>22.906500000000001</v>
      </c>
      <c r="BI1207" s="309">
        <v>23.258099999999999</v>
      </c>
      <c r="BJ1207" s="309">
        <v>20.3979</v>
      </c>
      <c r="BK1207" s="309">
        <v>23.473800000000001</v>
      </c>
    </row>
    <row r="1208" spans="1:63" x14ac:dyDescent="0.25">
      <c r="A1208" s="306">
        <v>711500</v>
      </c>
      <c r="B1208" s="309" t="s">
        <v>339</v>
      </c>
      <c r="C1208" s="309">
        <v>18.927199999999999</v>
      </c>
      <c r="D1208" s="309">
        <v>12.8927</v>
      </c>
      <c r="E1208" s="309">
        <v>23.273800000000001</v>
      </c>
      <c r="F1208" s="309">
        <v>12.983499999999999</v>
      </c>
      <c r="G1208" s="309">
        <v>18.633700000000001</v>
      </c>
      <c r="H1208" s="309">
        <v>12.947800000000001</v>
      </c>
      <c r="I1208" s="309">
        <v>30.387499999999999</v>
      </c>
      <c r="J1208" s="309">
        <v>11.518800000000001</v>
      </c>
      <c r="K1208" s="309">
        <v>4.3261000000000003</v>
      </c>
      <c r="L1208" s="309">
        <v>16.5181</v>
      </c>
      <c r="M1208" s="309">
        <v>18.013400000000001</v>
      </c>
      <c r="N1208" s="309">
        <v>14.819900000000001</v>
      </c>
      <c r="O1208" s="309">
        <v>13.508900000000001</v>
      </c>
      <c r="P1208" s="309">
        <v>19.574400000000001</v>
      </c>
      <c r="Q1208" s="309">
        <v>15.3514</v>
      </c>
      <c r="R1208" s="309">
        <v>24.703399999999998</v>
      </c>
      <c r="S1208" s="309">
        <v>26.772300000000001</v>
      </c>
      <c r="T1208" s="309">
        <v>9.359</v>
      </c>
      <c r="U1208" s="309">
        <v>21.215800000000002</v>
      </c>
      <c r="V1208" s="309">
        <v>26.75</v>
      </c>
      <c r="W1208" s="309">
        <v>13.208500000000001</v>
      </c>
      <c r="X1208" s="309">
        <v>20.875</v>
      </c>
      <c r="Y1208" s="309">
        <v>12.5562</v>
      </c>
      <c r="Z1208" s="309">
        <v>31.583500000000001</v>
      </c>
      <c r="AA1208" s="309">
        <v>26.319900000000001</v>
      </c>
      <c r="AB1208" s="309">
        <v>25.506599999999999</v>
      </c>
      <c r="AC1208" s="309">
        <v>10.232900000000001</v>
      </c>
      <c r="AD1208" s="309">
        <v>27.994599999999998</v>
      </c>
      <c r="AE1208" s="309">
        <v>25.694700000000001</v>
      </c>
      <c r="AF1208" s="309">
        <v>9.1937999999999995</v>
      </c>
      <c r="AG1208" s="309">
        <v>27.297599999999999</v>
      </c>
      <c r="AH1208" s="309">
        <v>9.6103000000000005</v>
      </c>
      <c r="AI1208" s="309">
        <v>19.381799999999998</v>
      </c>
      <c r="AJ1208" s="309">
        <v>16.750399999999999</v>
      </c>
      <c r="AK1208" s="309">
        <v>14.8346</v>
      </c>
      <c r="AL1208" s="309">
        <v>9.5670000000000002</v>
      </c>
      <c r="AM1208" s="309">
        <v>14.6935</v>
      </c>
      <c r="AN1208" s="309">
        <v>13.0396</v>
      </c>
      <c r="AO1208" s="309">
        <v>12.621</v>
      </c>
      <c r="AP1208" s="309">
        <v>23.691700000000001</v>
      </c>
      <c r="AQ1208" s="309">
        <v>16.875599999999999</v>
      </c>
      <c r="AR1208" s="309">
        <v>20.609500000000001</v>
      </c>
      <c r="AS1208" s="309">
        <v>9.6416000000000004</v>
      </c>
      <c r="AT1208" s="309">
        <v>23.177299999999999</v>
      </c>
      <c r="AU1208" s="309">
        <v>25.861499999999999</v>
      </c>
      <c r="AV1208" s="309">
        <v>33.855600000000003</v>
      </c>
      <c r="AW1208" s="309">
        <v>12.248699999999999</v>
      </c>
      <c r="AX1208" s="309">
        <v>21.6113</v>
      </c>
      <c r="AY1208" s="309">
        <v>21.2682</v>
      </c>
      <c r="AZ1208" s="309">
        <v>12.5634</v>
      </c>
      <c r="BA1208" s="309">
        <v>22.807500000000001</v>
      </c>
      <c r="BB1208" s="309">
        <v>6.2958999999999996</v>
      </c>
      <c r="BC1208" s="309">
        <v>14.228</v>
      </c>
      <c r="BD1208" s="309">
        <v>14.281599999999999</v>
      </c>
      <c r="BE1208" s="309">
        <v>20.075199999999999</v>
      </c>
      <c r="BF1208" s="309">
        <v>19.538699999999999</v>
      </c>
      <c r="BG1208" s="309">
        <v>17.5581</v>
      </c>
      <c r="BH1208" s="309">
        <v>22.1462</v>
      </c>
      <c r="BI1208" s="309">
        <v>23.781199999999998</v>
      </c>
      <c r="BJ1208" s="309">
        <v>20.747299999999999</v>
      </c>
      <c r="BK1208" s="309">
        <v>13.5328</v>
      </c>
    </row>
    <row r="1209" spans="1:63" x14ac:dyDescent="0.25">
      <c r="A1209" s="306" t="s">
        <v>782</v>
      </c>
      <c r="B1209" s="309" t="s">
        <v>338</v>
      </c>
      <c r="C1209" s="309">
        <v>30.7988</v>
      </c>
      <c r="D1209" s="309">
        <v>16.464200000000002</v>
      </c>
      <c r="E1209" s="309">
        <v>29.7834</v>
      </c>
      <c r="F1209" s="309">
        <v>24.79</v>
      </c>
      <c r="G1209" s="309">
        <v>28.7958</v>
      </c>
      <c r="H1209" s="309">
        <v>22.658000000000001</v>
      </c>
      <c r="I1209" s="309">
        <v>35.7943</v>
      </c>
      <c r="J1209" s="309">
        <v>25.542300000000001</v>
      </c>
      <c r="K1209" s="309">
        <v>9.1140000000000008</v>
      </c>
      <c r="L1209" s="309">
        <v>16.3674</v>
      </c>
      <c r="M1209" s="309">
        <v>25.320699999999999</v>
      </c>
      <c r="N1209" s="309">
        <v>23.358000000000001</v>
      </c>
      <c r="O1209" s="309">
        <v>31.973400000000002</v>
      </c>
      <c r="P1209" s="309">
        <v>27.210899999999999</v>
      </c>
      <c r="Q1209" s="309">
        <v>15.824</v>
      </c>
      <c r="R1209" s="309">
        <v>28.616700000000002</v>
      </c>
      <c r="S1209" s="309">
        <v>29.645199999999999</v>
      </c>
      <c r="T1209" s="309">
        <v>19.0047</v>
      </c>
      <c r="U1209" s="309">
        <v>24.078800000000001</v>
      </c>
      <c r="V1209" s="309">
        <v>23.747599999999998</v>
      </c>
      <c r="W1209" s="309">
        <v>22.250599999999999</v>
      </c>
      <c r="X1209" s="309">
        <v>29.329699999999999</v>
      </c>
      <c r="Y1209" s="309">
        <v>31.881499999999999</v>
      </c>
      <c r="Z1209" s="309">
        <v>25.188600000000001</v>
      </c>
      <c r="AA1209" s="309">
        <v>25.524699999999999</v>
      </c>
      <c r="AB1209" s="309">
        <v>30.8353</v>
      </c>
      <c r="AC1209" s="309">
        <v>20.011199999999999</v>
      </c>
      <c r="AD1209" s="309">
        <v>23.340299999999999</v>
      </c>
      <c r="AE1209" s="309">
        <v>32.997900000000001</v>
      </c>
      <c r="AF1209" s="309">
        <v>18.982199999999999</v>
      </c>
      <c r="AG1209" s="309">
        <v>21.6816</v>
      </c>
      <c r="AH1209" s="309">
        <v>23.181699999999999</v>
      </c>
      <c r="AI1209" s="309">
        <v>20.0288</v>
      </c>
      <c r="AJ1209" s="309">
        <v>23.339400000000001</v>
      </c>
      <c r="AK1209" s="309">
        <v>19.236599999999999</v>
      </c>
      <c r="AL1209" s="309">
        <v>16.383099999999999</v>
      </c>
      <c r="AM1209" s="309">
        <v>28.649899999999999</v>
      </c>
      <c r="AN1209" s="309">
        <v>33.771500000000003</v>
      </c>
      <c r="AO1209" s="309">
        <v>24.335999999999999</v>
      </c>
      <c r="AP1209" s="309">
        <v>32.461599999999997</v>
      </c>
      <c r="AQ1209" s="309">
        <v>21.654900000000001</v>
      </c>
      <c r="AR1209" s="309">
        <v>28.184699999999999</v>
      </c>
      <c r="AS1209" s="309">
        <v>14.2675</v>
      </c>
      <c r="AT1209" s="309">
        <v>21.0913</v>
      </c>
      <c r="AU1209" s="309">
        <v>24.888300000000001</v>
      </c>
      <c r="AV1209" s="309">
        <v>29.049099999999999</v>
      </c>
      <c r="AW1209" s="309">
        <v>30.570900000000002</v>
      </c>
      <c r="AX1209" s="309">
        <v>24.1782</v>
      </c>
      <c r="AY1209" s="309">
        <v>33.588299999999997</v>
      </c>
      <c r="AZ1209" s="309">
        <v>24.056999999999999</v>
      </c>
      <c r="BA1209" s="309">
        <v>14.6882</v>
      </c>
      <c r="BB1209" s="309">
        <v>13.327199999999999</v>
      </c>
      <c r="BC1209" s="309">
        <v>25.400200000000002</v>
      </c>
      <c r="BD1209" s="309">
        <v>22.5749</v>
      </c>
      <c r="BE1209" s="309">
        <v>28.3383</v>
      </c>
      <c r="BF1209" s="309">
        <v>25.685199999999998</v>
      </c>
      <c r="BG1209" s="309">
        <v>27.921900000000001</v>
      </c>
      <c r="BH1209" s="309">
        <v>22.9101</v>
      </c>
      <c r="BI1209" s="309">
        <v>25.886500000000002</v>
      </c>
      <c r="BJ1209" s="309">
        <v>26.890799999999999</v>
      </c>
      <c r="BK1209" s="309">
        <v>24.4011</v>
      </c>
    </row>
    <row r="1210" spans="1:63" x14ac:dyDescent="0.25">
      <c r="A1210" s="306">
        <v>712000</v>
      </c>
      <c r="B1210" s="309" t="s">
        <v>340</v>
      </c>
      <c r="C1210" s="309">
        <v>31.082699999999999</v>
      </c>
      <c r="D1210" s="309">
        <v>21.396899999999999</v>
      </c>
      <c r="E1210" s="309">
        <v>31.783899999999999</v>
      </c>
      <c r="F1210" s="309">
        <v>23.7773</v>
      </c>
      <c r="G1210" s="309">
        <v>26.669499999999999</v>
      </c>
      <c r="H1210" s="309">
        <v>23.8688</v>
      </c>
      <c r="I1210" s="309">
        <v>27.991900000000001</v>
      </c>
      <c r="J1210" s="309">
        <v>23.09</v>
      </c>
      <c r="K1210" s="309">
        <v>4.6543999999999999</v>
      </c>
      <c r="L1210" s="309">
        <v>20.5885</v>
      </c>
      <c r="M1210" s="309">
        <v>28.234200000000001</v>
      </c>
      <c r="N1210" s="309">
        <v>27.4087</v>
      </c>
      <c r="O1210" s="309">
        <v>26.594000000000001</v>
      </c>
      <c r="P1210" s="309">
        <v>28.782499999999999</v>
      </c>
      <c r="Q1210" s="309">
        <v>27.6203</v>
      </c>
      <c r="R1210" s="309">
        <v>24.618400000000001</v>
      </c>
      <c r="S1210" s="309">
        <v>27.157399999999999</v>
      </c>
      <c r="T1210" s="309">
        <v>28.375900000000001</v>
      </c>
      <c r="U1210" s="309">
        <v>28.770900000000001</v>
      </c>
      <c r="V1210" s="309">
        <v>26.358899999999998</v>
      </c>
      <c r="W1210" s="309">
        <v>22.3004</v>
      </c>
      <c r="X1210" s="309">
        <v>25.431000000000001</v>
      </c>
      <c r="Y1210" s="309">
        <v>27.239899999999999</v>
      </c>
      <c r="Z1210" s="309">
        <v>30.524799999999999</v>
      </c>
      <c r="AA1210" s="309">
        <v>26.4955</v>
      </c>
      <c r="AB1210" s="309">
        <v>23.838000000000001</v>
      </c>
      <c r="AC1210" s="309">
        <v>29.549199999999999</v>
      </c>
      <c r="AD1210" s="309">
        <v>30.3154</v>
      </c>
      <c r="AE1210" s="309">
        <v>29.690100000000001</v>
      </c>
      <c r="AF1210" s="309">
        <v>25.745200000000001</v>
      </c>
      <c r="AG1210" s="309">
        <v>27.511099999999999</v>
      </c>
      <c r="AH1210" s="309">
        <v>28.235499999999998</v>
      </c>
      <c r="AI1210" s="309">
        <v>24.209</v>
      </c>
      <c r="AJ1210" s="309">
        <v>25.034700000000001</v>
      </c>
      <c r="AK1210" s="309">
        <v>24.6614</v>
      </c>
      <c r="AL1210" s="309">
        <v>19.518000000000001</v>
      </c>
      <c r="AM1210" s="309">
        <v>27.579599999999999</v>
      </c>
      <c r="AN1210" s="309">
        <v>30.016500000000001</v>
      </c>
      <c r="AO1210" s="309">
        <v>28.266200000000001</v>
      </c>
      <c r="AP1210" s="309">
        <v>26.363199999999999</v>
      </c>
      <c r="AQ1210" s="309">
        <v>24.9635</v>
      </c>
      <c r="AR1210" s="309">
        <v>31.2883</v>
      </c>
      <c r="AS1210" s="309">
        <v>27.6249</v>
      </c>
      <c r="AT1210" s="309">
        <v>29.4069</v>
      </c>
      <c r="AU1210" s="309">
        <v>28.5792</v>
      </c>
      <c r="AV1210" s="309">
        <v>35.003799999999998</v>
      </c>
      <c r="AW1210" s="309">
        <v>25.715599999999998</v>
      </c>
      <c r="AX1210" s="309">
        <v>26.094899999999999</v>
      </c>
      <c r="AY1210" s="309">
        <v>26.252800000000001</v>
      </c>
      <c r="AZ1210" s="309">
        <v>30.661799999999999</v>
      </c>
      <c r="BA1210" s="309">
        <v>20.486899999999999</v>
      </c>
      <c r="BB1210" s="309">
        <v>20.146000000000001</v>
      </c>
      <c r="BC1210" s="309">
        <v>25.674099999999999</v>
      </c>
      <c r="BD1210" s="309">
        <v>24.759899999999998</v>
      </c>
      <c r="BE1210" s="309">
        <v>28.259899999999998</v>
      </c>
      <c r="BF1210" s="309">
        <v>27.720099999999999</v>
      </c>
      <c r="BG1210" s="309">
        <v>29.6219</v>
      </c>
      <c r="BH1210" s="309">
        <v>30.609200000000001</v>
      </c>
      <c r="BI1210" s="309">
        <v>29.179600000000001</v>
      </c>
      <c r="BJ1210" s="309">
        <v>28.933199999999999</v>
      </c>
      <c r="BK1210" s="309">
        <v>25.136399999999998</v>
      </c>
    </row>
    <row r="1211" spans="1:63" x14ac:dyDescent="0.25">
      <c r="A1211" s="306">
        <v>713940</v>
      </c>
      <c r="B1211" s="309" t="s">
        <v>341</v>
      </c>
      <c r="C1211" s="309">
        <v>37.133800000000001</v>
      </c>
      <c r="D1211" s="309">
        <v>40.094700000000003</v>
      </c>
      <c r="E1211" s="309">
        <v>41.798499999999997</v>
      </c>
      <c r="F1211" s="309">
        <v>34.397100000000002</v>
      </c>
      <c r="G1211" s="309">
        <v>33.709600000000002</v>
      </c>
      <c r="H1211" s="309">
        <v>30.0122</v>
      </c>
      <c r="I1211" s="309">
        <v>34.123199999999997</v>
      </c>
      <c r="J1211" s="309">
        <v>28.510400000000001</v>
      </c>
      <c r="K1211" s="309">
        <v>6.4219999999999997</v>
      </c>
      <c r="L1211" s="309">
        <v>25.144100000000002</v>
      </c>
      <c r="M1211" s="309">
        <v>29.5381</v>
      </c>
      <c r="N1211" s="309">
        <v>34.530799999999999</v>
      </c>
      <c r="O1211" s="309">
        <v>33.836199999999998</v>
      </c>
      <c r="P1211" s="309">
        <v>33.755800000000001</v>
      </c>
      <c r="Q1211" s="309">
        <v>36.863300000000002</v>
      </c>
      <c r="R1211" s="309">
        <v>28.670300000000001</v>
      </c>
      <c r="S1211" s="309">
        <v>32.2517</v>
      </c>
      <c r="T1211" s="309">
        <v>36.4709</v>
      </c>
      <c r="U1211" s="309">
        <v>38.216099999999997</v>
      </c>
      <c r="V1211" s="309">
        <v>31.066500000000001</v>
      </c>
      <c r="W1211" s="309">
        <v>27.6112</v>
      </c>
      <c r="X1211" s="309">
        <v>29.754799999999999</v>
      </c>
      <c r="Y1211" s="309">
        <v>39.683500000000002</v>
      </c>
      <c r="Z1211" s="309">
        <v>33.881999999999998</v>
      </c>
      <c r="AA1211" s="309">
        <v>37.564700000000002</v>
      </c>
      <c r="AB1211" s="309">
        <v>29.782</v>
      </c>
      <c r="AC1211" s="309">
        <v>29.816600000000001</v>
      </c>
      <c r="AD1211" s="309">
        <v>41.738900000000001</v>
      </c>
      <c r="AE1211" s="309">
        <v>35.496200000000002</v>
      </c>
      <c r="AF1211" s="309">
        <v>35.116999999999997</v>
      </c>
      <c r="AG1211" s="309">
        <v>38.936700000000002</v>
      </c>
      <c r="AH1211" s="309">
        <v>34.317100000000003</v>
      </c>
      <c r="AI1211" s="309">
        <v>29.261800000000001</v>
      </c>
      <c r="AJ1211" s="309">
        <v>41.235199999999999</v>
      </c>
      <c r="AK1211" s="309">
        <v>28.707999999999998</v>
      </c>
      <c r="AL1211" s="309">
        <v>24.419499999999999</v>
      </c>
      <c r="AM1211" s="309">
        <v>35.081600000000002</v>
      </c>
      <c r="AN1211" s="309">
        <v>35.441800000000001</v>
      </c>
      <c r="AO1211" s="309">
        <v>35.859299999999998</v>
      </c>
      <c r="AP1211" s="309">
        <v>37.344000000000001</v>
      </c>
      <c r="AQ1211" s="309">
        <v>30.198699999999999</v>
      </c>
      <c r="AR1211" s="309">
        <v>37.2408</v>
      </c>
      <c r="AS1211" s="309">
        <v>38.155099999999997</v>
      </c>
      <c r="AT1211" s="309">
        <v>33.285499999999999</v>
      </c>
      <c r="AU1211" s="309">
        <v>32.433599999999998</v>
      </c>
      <c r="AV1211" s="309">
        <v>42.282800000000002</v>
      </c>
      <c r="AW1211" s="309">
        <v>31.790199999999999</v>
      </c>
      <c r="AX1211" s="309">
        <v>39.914099999999998</v>
      </c>
      <c r="AY1211" s="309">
        <v>38.9009</v>
      </c>
      <c r="AZ1211" s="309">
        <v>42.318199999999997</v>
      </c>
      <c r="BA1211" s="309">
        <v>37.147399999999998</v>
      </c>
      <c r="BB1211" s="309">
        <v>27.048500000000001</v>
      </c>
      <c r="BC1211" s="309">
        <v>32.2684</v>
      </c>
      <c r="BD1211" s="309">
        <v>30.665099999999999</v>
      </c>
      <c r="BE1211" s="309">
        <v>33.845100000000002</v>
      </c>
      <c r="BF1211" s="309">
        <v>35.791899999999998</v>
      </c>
      <c r="BG1211" s="309">
        <v>34.265500000000003</v>
      </c>
      <c r="BH1211" s="309">
        <v>37.191800000000001</v>
      </c>
      <c r="BI1211" s="309">
        <v>33.499299999999998</v>
      </c>
      <c r="BJ1211" s="309">
        <v>36.19</v>
      </c>
      <c r="BK1211" s="309">
        <v>32.394799999999996</v>
      </c>
    </row>
    <row r="1212" spans="1:63" x14ac:dyDescent="0.25">
      <c r="A1212" s="306">
        <v>713950</v>
      </c>
      <c r="B1212" s="309" t="s">
        <v>342</v>
      </c>
      <c r="C1212" s="309">
        <v>36.146000000000001</v>
      </c>
      <c r="D1212" s="309">
        <v>32.645000000000003</v>
      </c>
      <c r="E1212" s="309">
        <v>33.733899999999998</v>
      </c>
      <c r="F1212" s="309">
        <v>32.549900000000001</v>
      </c>
      <c r="G1212" s="309">
        <v>34.445099999999996</v>
      </c>
      <c r="H1212" s="309">
        <v>28.897200000000002</v>
      </c>
      <c r="I1212" s="309">
        <v>27.871400000000001</v>
      </c>
      <c r="J1212" s="309">
        <v>31.985399999999998</v>
      </c>
      <c r="K1212" s="309">
        <v>5.9153000000000002</v>
      </c>
      <c r="L1212" s="309">
        <v>24.848500000000001</v>
      </c>
      <c r="M1212" s="309">
        <v>28.674900000000001</v>
      </c>
      <c r="N1212" s="309">
        <v>33.029600000000002</v>
      </c>
      <c r="O1212" s="309">
        <v>27.6096</v>
      </c>
      <c r="P1212" s="309">
        <v>31.660499999999999</v>
      </c>
      <c r="Q1212" s="309">
        <v>36.950099999999999</v>
      </c>
      <c r="R1212" s="309">
        <v>27.904</v>
      </c>
      <c r="S1212" s="309">
        <v>29.635200000000001</v>
      </c>
      <c r="T1212" s="309">
        <v>34.945099999999996</v>
      </c>
      <c r="U1212" s="309">
        <v>33.886099999999999</v>
      </c>
      <c r="V1212" s="309">
        <v>28.154299999999999</v>
      </c>
      <c r="W1212" s="309">
        <v>25.087399999999999</v>
      </c>
      <c r="X1212" s="309">
        <v>28.066199999999998</v>
      </c>
      <c r="Y1212" s="309">
        <v>31.1753</v>
      </c>
      <c r="Z1212" s="309">
        <v>32.875399999999999</v>
      </c>
      <c r="AA1212" s="309">
        <v>38.777900000000002</v>
      </c>
      <c r="AB1212" s="309">
        <v>30.755400000000002</v>
      </c>
      <c r="AC1212" s="309">
        <v>30.565100000000001</v>
      </c>
      <c r="AD1212" s="309">
        <v>35.7971</v>
      </c>
      <c r="AE1212" s="309">
        <v>32.6541</v>
      </c>
      <c r="AF1212" s="309">
        <v>32.865299999999998</v>
      </c>
      <c r="AG1212" s="309">
        <v>33.2378</v>
      </c>
      <c r="AH1212" s="309">
        <v>23.963699999999999</v>
      </c>
      <c r="AI1212" s="309">
        <v>25.421500000000002</v>
      </c>
      <c r="AJ1212" s="309">
        <v>38.032699999999998</v>
      </c>
      <c r="AK1212" s="309">
        <v>24.520099999999999</v>
      </c>
      <c r="AL1212" s="309">
        <v>24.755400000000002</v>
      </c>
      <c r="AM1212" s="309">
        <v>34.479700000000001</v>
      </c>
      <c r="AN1212" s="309">
        <v>39.324800000000003</v>
      </c>
      <c r="AO1212" s="309">
        <v>30.419699999999999</v>
      </c>
      <c r="AP1212" s="309">
        <v>31.308399999999999</v>
      </c>
      <c r="AQ1212" s="309">
        <v>23.662099999999999</v>
      </c>
      <c r="AR1212" s="309">
        <v>31.371099999999998</v>
      </c>
      <c r="AS1212" s="309">
        <v>35.2988</v>
      </c>
      <c r="AT1212" s="309">
        <v>34.156199999999998</v>
      </c>
      <c r="AU1212" s="309">
        <v>32.632800000000003</v>
      </c>
      <c r="AV1212" s="309">
        <v>36.099499999999999</v>
      </c>
      <c r="AW1212" s="309">
        <v>29.003900000000002</v>
      </c>
      <c r="AX1212" s="309">
        <v>26.1188</v>
      </c>
      <c r="AY1212" s="309">
        <v>31.4496</v>
      </c>
      <c r="AZ1212" s="309">
        <v>39.552599999999998</v>
      </c>
      <c r="BA1212" s="309">
        <v>30.652699999999999</v>
      </c>
      <c r="BB1212" s="309">
        <v>34.1083</v>
      </c>
      <c r="BC1212" s="309">
        <v>28.343299999999999</v>
      </c>
      <c r="BD1212" s="309">
        <v>29.1586</v>
      </c>
      <c r="BE1212" s="309">
        <v>34.3005</v>
      </c>
      <c r="BF1212" s="309">
        <v>36.442700000000002</v>
      </c>
      <c r="BG1212" s="309">
        <v>32.217399999999998</v>
      </c>
      <c r="BH1212" s="309">
        <v>35.169199999999996</v>
      </c>
      <c r="BI1212" s="309">
        <v>33.420999999999999</v>
      </c>
      <c r="BJ1212" s="309">
        <v>33.113799999999998</v>
      </c>
      <c r="BK1212" s="309">
        <v>30.3033</v>
      </c>
    </row>
    <row r="1213" spans="1:63" x14ac:dyDescent="0.25">
      <c r="A1213" s="306" t="s">
        <v>783</v>
      </c>
      <c r="B1213" s="309" t="s">
        <v>343</v>
      </c>
      <c r="C1213" s="309">
        <v>26.982800000000001</v>
      </c>
      <c r="D1213" s="309">
        <v>20.3733</v>
      </c>
      <c r="E1213" s="309">
        <v>33.401800000000001</v>
      </c>
      <c r="F1213" s="309">
        <v>21.148099999999999</v>
      </c>
      <c r="G1213" s="309">
        <v>22.488499999999998</v>
      </c>
      <c r="H1213" s="309">
        <v>22.151499999999999</v>
      </c>
      <c r="I1213" s="309">
        <v>23.0565</v>
      </c>
      <c r="J1213" s="309">
        <v>19.494800000000001</v>
      </c>
      <c r="K1213" s="309">
        <v>4.0354999999999999</v>
      </c>
      <c r="L1213" s="309">
        <v>15.9253</v>
      </c>
      <c r="M1213" s="309">
        <v>20.331199999999999</v>
      </c>
      <c r="N1213" s="309">
        <v>34.310600000000001</v>
      </c>
      <c r="O1213" s="309">
        <v>33.182699999999997</v>
      </c>
      <c r="P1213" s="309">
        <v>17.279399999999999</v>
      </c>
      <c r="Q1213" s="309">
        <v>31.663</v>
      </c>
      <c r="R1213" s="309">
        <v>19.636399999999998</v>
      </c>
      <c r="S1213" s="309">
        <v>17.5227</v>
      </c>
      <c r="T1213" s="309">
        <v>24.066600000000001</v>
      </c>
      <c r="U1213" s="309">
        <v>32.323700000000002</v>
      </c>
      <c r="V1213" s="309">
        <v>20.104900000000001</v>
      </c>
      <c r="W1213" s="309">
        <v>30.376100000000001</v>
      </c>
      <c r="X1213" s="309">
        <v>30.0106</v>
      </c>
      <c r="Y1213" s="309">
        <v>28.321400000000001</v>
      </c>
      <c r="Z1213" s="309">
        <v>20.062799999999999</v>
      </c>
      <c r="AA1213" s="309">
        <v>27.4955</v>
      </c>
      <c r="AB1213" s="309">
        <v>21.037400000000002</v>
      </c>
      <c r="AC1213" s="309">
        <v>18.4877</v>
      </c>
      <c r="AD1213" s="309">
        <v>32.084200000000003</v>
      </c>
      <c r="AE1213" s="309">
        <v>27.293800000000001</v>
      </c>
      <c r="AF1213" s="309">
        <v>26.190999999999999</v>
      </c>
      <c r="AG1213" s="309">
        <v>27.974399999999999</v>
      </c>
      <c r="AH1213" s="309">
        <v>27.453399999999998</v>
      </c>
      <c r="AI1213" s="309">
        <v>27.603999999999999</v>
      </c>
      <c r="AJ1213" s="309">
        <v>27.6861</v>
      </c>
      <c r="AK1213" s="309">
        <v>20.723500000000001</v>
      </c>
      <c r="AL1213" s="309">
        <v>20.861000000000001</v>
      </c>
      <c r="AM1213" s="309">
        <v>27.485900000000001</v>
      </c>
      <c r="AN1213" s="309">
        <v>24.5946</v>
      </c>
      <c r="AO1213" s="309">
        <v>25.320399999999999</v>
      </c>
      <c r="AP1213" s="309">
        <v>26.7303</v>
      </c>
      <c r="AQ1213" s="309">
        <v>18.236799999999999</v>
      </c>
      <c r="AR1213" s="309">
        <v>28.7517</v>
      </c>
      <c r="AS1213" s="309">
        <v>26.522500000000001</v>
      </c>
      <c r="AT1213" s="309">
        <v>32.404000000000003</v>
      </c>
      <c r="AU1213" s="309">
        <v>34.961599999999997</v>
      </c>
      <c r="AV1213" s="309">
        <v>34.965400000000002</v>
      </c>
      <c r="AW1213" s="309">
        <v>32.006999999999998</v>
      </c>
      <c r="AX1213" s="309">
        <v>23.920100000000001</v>
      </c>
      <c r="AY1213" s="309">
        <v>23.741</v>
      </c>
      <c r="AZ1213" s="309">
        <v>25.452200000000001</v>
      </c>
      <c r="BA1213" s="309">
        <v>23.936699999999998</v>
      </c>
      <c r="BB1213" s="309">
        <v>23.898700000000002</v>
      </c>
      <c r="BC1213" s="309">
        <v>24.019100000000002</v>
      </c>
      <c r="BD1213" s="309">
        <v>26.200900000000001</v>
      </c>
      <c r="BE1213" s="309">
        <v>21.929400000000001</v>
      </c>
      <c r="BF1213" s="309">
        <v>24.056799999999999</v>
      </c>
      <c r="BG1213" s="309">
        <v>22.974399999999999</v>
      </c>
      <c r="BH1213" s="309">
        <v>25.860499999999998</v>
      </c>
      <c r="BI1213" s="309">
        <v>25.779199999999999</v>
      </c>
      <c r="BJ1213" s="309">
        <v>25.432300000000001</v>
      </c>
      <c r="BK1213" s="309">
        <v>23.0229</v>
      </c>
    </row>
    <row r="1214" spans="1:63" x14ac:dyDescent="0.25">
      <c r="A1214" s="306" t="s">
        <v>784</v>
      </c>
      <c r="B1214" s="309" t="s">
        <v>344</v>
      </c>
      <c r="C1214" s="309">
        <v>30.132100000000001</v>
      </c>
      <c r="D1214" s="309">
        <v>29.254000000000001</v>
      </c>
      <c r="E1214" s="309">
        <v>29.2257</v>
      </c>
      <c r="F1214" s="309">
        <v>27.1965</v>
      </c>
      <c r="G1214" s="309">
        <v>28.628900000000002</v>
      </c>
      <c r="H1214" s="309">
        <v>23.972899999999999</v>
      </c>
      <c r="I1214" s="309">
        <v>23.536300000000001</v>
      </c>
      <c r="J1214" s="309">
        <v>21.8491</v>
      </c>
      <c r="K1214" s="309">
        <v>4.6567999999999996</v>
      </c>
      <c r="L1214" s="309">
        <v>18.654699999999998</v>
      </c>
      <c r="M1214" s="309">
        <v>22.753499999999999</v>
      </c>
      <c r="N1214" s="309">
        <v>27.0229</v>
      </c>
      <c r="O1214" s="309">
        <v>21.377500000000001</v>
      </c>
      <c r="P1214" s="309">
        <v>26.176600000000001</v>
      </c>
      <c r="Q1214" s="309">
        <v>25.405999999999999</v>
      </c>
      <c r="R1214" s="309">
        <v>24.367999999999999</v>
      </c>
      <c r="S1214" s="309">
        <v>26.013400000000001</v>
      </c>
      <c r="T1214" s="309">
        <v>28.960799999999999</v>
      </c>
      <c r="U1214" s="309">
        <v>29.5077</v>
      </c>
      <c r="V1214" s="309">
        <v>25.790099999999999</v>
      </c>
      <c r="W1214" s="309">
        <v>21.152999999999999</v>
      </c>
      <c r="X1214" s="309">
        <v>22.037199999999999</v>
      </c>
      <c r="Y1214" s="309">
        <v>26.1403</v>
      </c>
      <c r="Z1214" s="309">
        <v>29.287700000000001</v>
      </c>
      <c r="AA1214" s="309">
        <v>32.642800000000001</v>
      </c>
      <c r="AB1214" s="309">
        <v>26.221699999999998</v>
      </c>
      <c r="AC1214" s="309">
        <v>24.033000000000001</v>
      </c>
      <c r="AD1214" s="309">
        <v>25.883900000000001</v>
      </c>
      <c r="AE1214" s="309">
        <v>27.290700000000001</v>
      </c>
      <c r="AF1214" s="309">
        <v>26.8322</v>
      </c>
      <c r="AG1214" s="309">
        <v>28.604199999999999</v>
      </c>
      <c r="AH1214" s="309">
        <v>24.648599999999998</v>
      </c>
      <c r="AI1214" s="309">
        <v>21.133700000000001</v>
      </c>
      <c r="AJ1214" s="309">
        <v>31.887699999999999</v>
      </c>
      <c r="AK1214" s="309">
        <v>20.200800000000001</v>
      </c>
      <c r="AL1214" s="309">
        <v>18.962900000000001</v>
      </c>
      <c r="AM1214" s="309">
        <v>31.138300000000001</v>
      </c>
      <c r="AN1214" s="309">
        <v>29.869399999999999</v>
      </c>
      <c r="AO1214" s="309">
        <v>28.944299999999998</v>
      </c>
      <c r="AP1214" s="309">
        <v>27.7163</v>
      </c>
      <c r="AQ1214" s="309">
        <v>20.291599999999999</v>
      </c>
      <c r="AR1214" s="309">
        <v>26.625699999999998</v>
      </c>
      <c r="AS1214" s="309">
        <v>29.018000000000001</v>
      </c>
      <c r="AT1214" s="309">
        <v>29.620799999999999</v>
      </c>
      <c r="AU1214" s="309">
        <v>27.467600000000001</v>
      </c>
      <c r="AV1214" s="309">
        <v>27.322900000000001</v>
      </c>
      <c r="AW1214" s="309">
        <v>25.9651</v>
      </c>
      <c r="AX1214" s="309">
        <v>25.021599999999999</v>
      </c>
      <c r="AY1214" s="309">
        <v>31.293900000000001</v>
      </c>
      <c r="AZ1214" s="309">
        <v>33.155000000000001</v>
      </c>
      <c r="BA1214" s="309">
        <v>27.541799999999999</v>
      </c>
      <c r="BB1214" s="309">
        <v>26.3613</v>
      </c>
      <c r="BC1214" s="309">
        <v>24.4038</v>
      </c>
      <c r="BD1214" s="309">
        <v>24.1629</v>
      </c>
      <c r="BE1214" s="309">
        <v>29.581700000000001</v>
      </c>
      <c r="BF1214" s="309">
        <v>30.587700000000002</v>
      </c>
      <c r="BG1214" s="309">
        <v>26.2865</v>
      </c>
      <c r="BH1214" s="309">
        <v>30.241900000000001</v>
      </c>
      <c r="BI1214" s="309">
        <v>28.287299999999998</v>
      </c>
      <c r="BJ1214" s="309">
        <v>25.932500000000001</v>
      </c>
      <c r="BK1214" s="309">
        <v>25.367699999999999</v>
      </c>
    </row>
    <row r="1215" spans="1:63" x14ac:dyDescent="0.25">
      <c r="A1215" s="306" t="s">
        <v>785</v>
      </c>
      <c r="B1215" s="309" t="s">
        <v>345</v>
      </c>
      <c r="C1215" s="309">
        <v>21.728999999999999</v>
      </c>
      <c r="D1215" s="309">
        <v>18.592400000000001</v>
      </c>
      <c r="E1215" s="309">
        <v>22.812100000000001</v>
      </c>
      <c r="F1215" s="309">
        <v>22.376899999999999</v>
      </c>
      <c r="G1215" s="309">
        <v>17.326799999999999</v>
      </c>
      <c r="H1215" s="309">
        <v>16.5867</v>
      </c>
      <c r="I1215" s="309">
        <v>18.729800000000001</v>
      </c>
      <c r="J1215" s="309">
        <v>14.4399</v>
      </c>
      <c r="K1215" s="309">
        <v>3.2772999999999999</v>
      </c>
      <c r="L1215" s="309">
        <v>17.165500000000002</v>
      </c>
      <c r="M1215" s="309">
        <v>18.162299999999998</v>
      </c>
      <c r="N1215" s="309">
        <v>19.494199999999999</v>
      </c>
      <c r="O1215" s="309">
        <v>15.080299999999999</v>
      </c>
      <c r="P1215" s="309">
        <v>19.428999999999998</v>
      </c>
      <c r="Q1215" s="309">
        <v>22.1844</v>
      </c>
      <c r="R1215" s="309">
        <v>16.715900000000001</v>
      </c>
      <c r="S1215" s="309">
        <v>21.011600000000001</v>
      </c>
      <c r="T1215" s="309">
        <v>19.939399999999999</v>
      </c>
      <c r="U1215" s="309">
        <v>19.884899999999998</v>
      </c>
      <c r="V1215" s="309">
        <v>17.431899999999999</v>
      </c>
      <c r="W1215" s="309">
        <v>14.297000000000001</v>
      </c>
      <c r="X1215" s="309">
        <v>13.3802</v>
      </c>
      <c r="Y1215" s="309">
        <v>22.604900000000001</v>
      </c>
      <c r="Z1215" s="309">
        <v>22.274999999999999</v>
      </c>
      <c r="AA1215" s="309">
        <v>21.107700000000001</v>
      </c>
      <c r="AB1215" s="309">
        <v>19.411200000000001</v>
      </c>
      <c r="AC1215" s="309">
        <v>16.3428</v>
      </c>
      <c r="AD1215" s="309">
        <v>22.769300000000001</v>
      </c>
      <c r="AE1215" s="309">
        <v>21.443100000000001</v>
      </c>
      <c r="AF1215" s="309">
        <v>19.5883</v>
      </c>
      <c r="AG1215" s="309">
        <v>21.233799999999999</v>
      </c>
      <c r="AH1215" s="309">
        <v>17.910699999999999</v>
      </c>
      <c r="AI1215" s="309">
        <v>14.2453</v>
      </c>
      <c r="AJ1215" s="309">
        <v>20.555399999999999</v>
      </c>
      <c r="AK1215" s="309">
        <v>13.900700000000001</v>
      </c>
      <c r="AL1215" s="309">
        <v>12.319900000000001</v>
      </c>
      <c r="AM1215" s="309">
        <v>21.457999999999998</v>
      </c>
      <c r="AN1215" s="309">
        <v>24.159700000000001</v>
      </c>
      <c r="AO1215" s="309">
        <v>21.0412</v>
      </c>
      <c r="AP1215" s="309">
        <v>19.810700000000001</v>
      </c>
      <c r="AQ1215" s="309">
        <v>16.336200000000002</v>
      </c>
      <c r="AR1215" s="309">
        <v>20.6297</v>
      </c>
      <c r="AS1215" s="309">
        <v>20.874400000000001</v>
      </c>
      <c r="AT1215" s="309">
        <v>18.2972</v>
      </c>
      <c r="AU1215" s="309">
        <v>19.2849</v>
      </c>
      <c r="AV1215" s="309">
        <v>22.596599999999999</v>
      </c>
      <c r="AW1215" s="309">
        <v>17.904199999999999</v>
      </c>
      <c r="AX1215" s="309">
        <v>18.650200000000002</v>
      </c>
      <c r="AY1215" s="309">
        <v>17.889700000000001</v>
      </c>
      <c r="AZ1215" s="309">
        <v>23.844899999999999</v>
      </c>
      <c r="BA1215" s="309">
        <v>17.3888</v>
      </c>
      <c r="BB1215" s="309">
        <v>16.741299999999999</v>
      </c>
      <c r="BC1215" s="309">
        <v>17.3809</v>
      </c>
      <c r="BD1215" s="309">
        <v>16.2849</v>
      </c>
      <c r="BE1215" s="309">
        <v>21.0288</v>
      </c>
      <c r="BF1215" s="309">
        <v>21.488600000000002</v>
      </c>
      <c r="BG1215" s="309">
        <v>19.912500000000001</v>
      </c>
      <c r="BH1215" s="309">
        <v>19.602399999999999</v>
      </c>
      <c r="BI1215" s="309">
        <v>20.102399999999999</v>
      </c>
      <c r="BJ1215" s="309">
        <v>17.653400000000001</v>
      </c>
      <c r="BK1215" s="309">
        <v>17.357900000000001</v>
      </c>
    </row>
    <row r="1216" spans="1:63" x14ac:dyDescent="0.25">
      <c r="A1216" s="306" t="s">
        <v>786</v>
      </c>
      <c r="B1216" s="309" t="s">
        <v>346</v>
      </c>
      <c r="C1216" s="309">
        <v>21.258500000000002</v>
      </c>
      <c r="D1216" s="309">
        <v>12.86</v>
      </c>
      <c r="E1216" s="309">
        <v>18.2652</v>
      </c>
      <c r="F1216" s="309">
        <v>19.3109</v>
      </c>
      <c r="G1216" s="309">
        <v>17.337299999999999</v>
      </c>
      <c r="H1216" s="309">
        <v>16.425000000000001</v>
      </c>
      <c r="I1216" s="309">
        <v>17.917000000000002</v>
      </c>
      <c r="J1216" s="309">
        <v>12.628399999999999</v>
      </c>
      <c r="K1216" s="309">
        <v>3.1819000000000002</v>
      </c>
      <c r="L1216" s="309">
        <v>12.6609</v>
      </c>
      <c r="M1216" s="309">
        <v>17.488700000000001</v>
      </c>
      <c r="N1216" s="309">
        <v>18.5945</v>
      </c>
      <c r="O1216" s="309">
        <v>16.090499999999999</v>
      </c>
      <c r="P1216" s="309">
        <v>17.828499999999998</v>
      </c>
      <c r="Q1216" s="309">
        <v>19.061800000000002</v>
      </c>
      <c r="R1216" s="309">
        <v>18.4817</v>
      </c>
      <c r="S1216" s="309">
        <v>20.127700000000001</v>
      </c>
      <c r="T1216" s="309">
        <v>17.8491</v>
      </c>
      <c r="U1216" s="309">
        <v>17.415500000000002</v>
      </c>
      <c r="V1216" s="309">
        <v>17.568000000000001</v>
      </c>
      <c r="W1216" s="309">
        <v>13.902900000000001</v>
      </c>
      <c r="X1216" s="309">
        <v>13.0113</v>
      </c>
      <c r="Y1216" s="309">
        <v>18.2593</v>
      </c>
      <c r="Z1216" s="309">
        <v>20.410799999999998</v>
      </c>
      <c r="AA1216" s="309">
        <v>20.2225</v>
      </c>
      <c r="AB1216" s="309">
        <v>17.5426</v>
      </c>
      <c r="AC1216" s="309">
        <v>16.2104</v>
      </c>
      <c r="AD1216" s="309">
        <v>16.308800000000002</v>
      </c>
      <c r="AE1216" s="309">
        <v>17.5395</v>
      </c>
      <c r="AF1216" s="309">
        <v>16.480499999999999</v>
      </c>
      <c r="AG1216" s="309">
        <v>17.988900000000001</v>
      </c>
      <c r="AH1216" s="309">
        <v>15.7182</v>
      </c>
      <c r="AI1216" s="309">
        <v>14.5328</v>
      </c>
      <c r="AJ1216" s="309">
        <v>17.9054</v>
      </c>
      <c r="AK1216" s="309">
        <v>15.125299999999999</v>
      </c>
      <c r="AL1216" s="309">
        <v>12.197900000000001</v>
      </c>
      <c r="AM1216" s="309">
        <v>18.514700000000001</v>
      </c>
      <c r="AN1216" s="309">
        <v>20.8019</v>
      </c>
      <c r="AO1216" s="309">
        <v>20.485800000000001</v>
      </c>
      <c r="AP1216" s="309">
        <v>17.805199999999999</v>
      </c>
      <c r="AQ1216" s="309">
        <v>14.958399999999999</v>
      </c>
      <c r="AR1216" s="309">
        <v>17.868099999999998</v>
      </c>
      <c r="AS1216" s="309">
        <v>14.9848</v>
      </c>
      <c r="AT1216" s="309">
        <v>16.754799999999999</v>
      </c>
      <c r="AU1216" s="309">
        <v>18.118099999999998</v>
      </c>
      <c r="AV1216" s="309">
        <v>22.215</v>
      </c>
      <c r="AW1216" s="309">
        <v>17.099799999999998</v>
      </c>
      <c r="AX1216" s="309">
        <v>17.0534</v>
      </c>
      <c r="AY1216" s="309">
        <v>18.048999999999999</v>
      </c>
      <c r="AZ1216" s="309">
        <v>20.745000000000001</v>
      </c>
      <c r="BA1216" s="309">
        <v>17.752300000000002</v>
      </c>
      <c r="BB1216" s="309">
        <v>12.2738</v>
      </c>
      <c r="BC1216" s="309">
        <v>16.668199999999999</v>
      </c>
      <c r="BD1216" s="309">
        <v>16.0304</v>
      </c>
      <c r="BE1216" s="309">
        <v>20.735800000000001</v>
      </c>
      <c r="BF1216" s="309">
        <v>19.1281</v>
      </c>
      <c r="BG1216" s="309">
        <v>18.811</v>
      </c>
      <c r="BH1216" s="309">
        <v>17.768699999999999</v>
      </c>
      <c r="BI1216" s="309">
        <v>19.053699999999999</v>
      </c>
      <c r="BJ1216" s="309">
        <v>18.499099999999999</v>
      </c>
      <c r="BK1216" s="309">
        <v>17.326499999999999</v>
      </c>
    </row>
    <row r="1217" spans="1:63" x14ac:dyDescent="0.25">
      <c r="A1217" s="306">
        <v>722000</v>
      </c>
      <c r="B1217" s="309" t="s">
        <v>347</v>
      </c>
      <c r="C1217" s="309">
        <v>31.9236</v>
      </c>
      <c r="D1217" s="309">
        <v>20.781300000000002</v>
      </c>
      <c r="E1217" s="309">
        <v>30.879899999999999</v>
      </c>
      <c r="F1217" s="309">
        <v>30.614799999999999</v>
      </c>
      <c r="G1217" s="309">
        <v>24.870999999999999</v>
      </c>
      <c r="H1217" s="309">
        <v>24.0764</v>
      </c>
      <c r="I1217" s="309">
        <v>26.782499999999999</v>
      </c>
      <c r="J1217" s="309">
        <v>21.617599999999999</v>
      </c>
      <c r="K1217" s="309">
        <v>6.9907000000000004</v>
      </c>
      <c r="L1217" s="309">
        <v>21.271699999999999</v>
      </c>
      <c r="M1217" s="309">
        <v>25.245799999999999</v>
      </c>
      <c r="N1217" s="309">
        <v>28.317</v>
      </c>
      <c r="O1217" s="309">
        <v>23.350999999999999</v>
      </c>
      <c r="P1217" s="309">
        <v>28.566700000000001</v>
      </c>
      <c r="Q1217" s="309">
        <v>29.4297</v>
      </c>
      <c r="R1217" s="309">
        <v>26.5289</v>
      </c>
      <c r="S1217" s="309">
        <v>30.9176</v>
      </c>
      <c r="T1217" s="309">
        <v>24.5291</v>
      </c>
      <c r="U1217" s="309">
        <v>28.880800000000001</v>
      </c>
      <c r="V1217" s="309">
        <v>27.084499999999998</v>
      </c>
      <c r="W1217" s="309">
        <v>22.43</v>
      </c>
      <c r="X1217" s="309">
        <v>22.987500000000001</v>
      </c>
      <c r="Y1217" s="309">
        <v>27.790700000000001</v>
      </c>
      <c r="Z1217" s="309">
        <v>30.9724</v>
      </c>
      <c r="AA1217" s="309">
        <v>29.845300000000002</v>
      </c>
      <c r="AB1217" s="309">
        <v>28.652799999999999</v>
      </c>
      <c r="AC1217" s="309">
        <v>30.053699999999999</v>
      </c>
      <c r="AD1217" s="309">
        <v>30.142700000000001</v>
      </c>
      <c r="AE1217" s="309">
        <v>29.401499999999999</v>
      </c>
      <c r="AF1217" s="309">
        <v>26.842300000000002</v>
      </c>
      <c r="AG1217" s="309">
        <v>28.7211</v>
      </c>
      <c r="AH1217" s="309">
        <v>22.787600000000001</v>
      </c>
      <c r="AI1217" s="309">
        <v>23.484300000000001</v>
      </c>
      <c r="AJ1217" s="309">
        <v>26.0366</v>
      </c>
      <c r="AK1217" s="309">
        <v>21.821300000000001</v>
      </c>
      <c r="AL1217" s="309">
        <v>20.3508</v>
      </c>
      <c r="AM1217" s="309">
        <v>30.7315</v>
      </c>
      <c r="AN1217" s="309">
        <v>29.5426</v>
      </c>
      <c r="AO1217" s="309">
        <v>27.0336</v>
      </c>
      <c r="AP1217" s="309">
        <v>29.288599999999999</v>
      </c>
      <c r="AQ1217" s="309">
        <v>25.077999999999999</v>
      </c>
      <c r="AR1217" s="309">
        <v>29.8081</v>
      </c>
      <c r="AS1217" s="309">
        <v>28.024000000000001</v>
      </c>
      <c r="AT1217" s="309">
        <v>27.840499999999999</v>
      </c>
      <c r="AU1217" s="309">
        <v>28.193999999999999</v>
      </c>
      <c r="AV1217" s="309">
        <v>31.482500000000002</v>
      </c>
      <c r="AW1217" s="309">
        <v>25.828099999999999</v>
      </c>
      <c r="AX1217" s="309">
        <v>25.6877</v>
      </c>
      <c r="AY1217" s="309">
        <v>26.090699999999998</v>
      </c>
      <c r="AZ1217" s="309">
        <v>31.988099999999999</v>
      </c>
      <c r="BA1217" s="309">
        <v>28.196100000000001</v>
      </c>
      <c r="BB1217" s="309">
        <v>24.450600000000001</v>
      </c>
      <c r="BC1217" s="309">
        <v>25.035499999999999</v>
      </c>
      <c r="BD1217" s="309">
        <v>25.559699999999999</v>
      </c>
      <c r="BE1217" s="309">
        <v>31.043900000000001</v>
      </c>
      <c r="BF1217" s="309">
        <v>29.9786</v>
      </c>
      <c r="BG1217" s="309">
        <v>28.4879</v>
      </c>
      <c r="BH1217" s="309">
        <v>30.327400000000001</v>
      </c>
      <c r="BI1217" s="309">
        <v>29.328199999999999</v>
      </c>
      <c r="BJ1217" s="309">
        <v>27.468399999999999</v>
      </c>
      <c r="BK1217" s="309">
        <v>25.139099999999999</v>
      </c>
    </row>
    <row r="1218" spans="1:63" x14ac:dyDescent="0.25">
      <c r="A1218" s="306">
        <v>811192</v>
      </c>
      <c r="B1218" s="309" t="s">
        <v>349</v>
      </c>
      <c r="C1218" s="309">
        <v>30.9252</v>
      </c>
      <c r="D1218" s="309">
        <v>19.3963</v>
      </c>
      <c r="E1218" s="309">
        <v>32.319299999999998</v>
      </c>
      <c r="F1218" s="309">
        <v>28.950399999999998</v>
      </c>
      <c r="G1218" s="309">
        <v>25.345099999999999</v>
      </c>
      <c r="H1218" s="309">
        <v>22.5014</v>
      </c>
      <c r="I1218" s="309">
        <v>27.3703</v>
      </c>
      <c r="J1218" s="309">
        <v>19.4803</v>
      </c>
      <c r="K1218" s="309">
        <v>5.2107999999999999</v>
      </c>
      <c r="L1218" s="309">
        <v>19.5077</v>
      </c>
      <c r="M1218" s="309">
        <v>29.005700000000001</v>
      </c>
      <c r="N1218" s="309">
        <v>32.96</v>
      </c>
      <c r="O1218" s="309">
        <v>21.168399999999998</v>
      </c>
      <c r="P1218" s="309">
        <v>27.680399999999999</v>
      </c>
      <c r="Q1218" s="309">
        <v>25.3828</v>
      </c>
      <c r="R1218" s="309">
        <v>28.4693</v>
      </c>
      <c r="S1218" s="309">
        <v>29.181100000000001</v>
      </c>
      <c r="T1218" s="309">
        <v>25.342099999999999</v>
      </c>
      <c r="U1218" s="309">
        <v>31.2041</v>
      </c>
      <c r="V1218" s="309">
        <v>28.248699999999999</v>
      </c>
      <c r="W1218" s="309">
        <v>19.3917</v>
      </c>
      <c r="X1218" s="309">
        <v>24.260999999999999</v>
      </c>
      <c r="Y1218" s="309">
        <v>24.110399999999998</v>
      </c>
      <c r="Z1218" s="309">
        <v>31.229099999999999</v>
      </c>
      <c r="AA1218" s="309">
        <v>28.535699999999999</v>
      </c>
      <c r="AB1218" s="309">
        <v>29.352499999999999</v>
      </c>
      <c r="AC1218" s="309">
        <v>25.004899999999999</v>
      </c>
      <c r="AD1218" s="309">
        <v>22.324999999999999</v>
      </c>
      <c r="AE1218" s="309">
        <v>31.774100000000001</v>
      </c>
      <c r="AF1218" s="309">
        <v>22.1525</v>
      </c>
      <c r="AG1218" s="309">
        <v>27.226299999999998</v>
      </c>
      <c r="AH1218" s="309">
        <v>19.6981</v>
      </c>
      <c r="AI1218" s="309">
        <v>22.3689</v>
      </c>
      <c r="AJ1218" s="309">
        <v>22.779499999999999</v>
      </c>
      <c r="AK1218" s="309">
        <v>27.5642</v>
      </c>
      <c r="AL1218" s="309">
        <v>23.7469</v>
      </c>
      <c r="AM1218" s="309">
        <v>31.054099999999998</v>
      </c>
      <c r="AN1218" s="309">
        <v>32.6858</v>
      </c>
      <c r="AO1218" s="309">
        <v>24.182200000000002</v>
      </c>
      <c r="AP1218" s="309">
        <v>24.494299999999999</v>
      </c>
      <c r="AQ1218" s="309">
        <v>24.880700000000001</v>
      </c>
      <c r="AR1218" s="309">
        <v>32.0518</v>
      </c>
      <c r="AS1218" s="309">
        <v>27.229800000000001</v>
      </c>
      <c r="AT1218" s="309">
        <v>26.859200000000001</v>
      </c>
      <c r="AU1218" s="309">
        <v>28.241800000000001</v>
      </c>
      <c r="AV1218" s="309">
        <v>34.937899999999999</v>
      </c>
      <c r="AW1218" s="309">
        <v>26.680399999999999</v>
      </c>
      <c r="AX1218" s="309">
        <v>21.497599999999998</v>
      </c>
      <c r="AY1218" s="309">
        <v>24.0608</v>
      </c>
      <c r="AZ1218" s="309">
        <v>27.1067</v>
      </c>
      <c r="BA1218" s="309">
        <v>22.668099999999999</v>
      </c>
      <c r="BB1218" s="309">
        <v>28.302099999999999</v>
      </c>
      <c r="BC1218" s="309">
        <v>21.939699999999998</v>
      </c>
      <c r="BD1218" s="309">
        <v>25.2821</v>
      </c>
      <c r="BE1218" s="309">
        <v>30.905000000000001</v>
      </c>
      <c r="BF1218" s="309">
        <v>29.5398</v>
      </c>
      <c r="BG1218" s="309">
        <v>31.1172</v>
      </c>
      <c r="BH1218" s="309">
        <v>30.320699999999999</v>
      </c>
      <c r="BI1218" s="309">
        <v>29.172599999999999</v>
      </c>
      <c r="BJ1218" s="309">
        <v>27.9011</v>
      </c>
      <c r="BK1218" s="309">
        <v>23.0854</v>
      </c>
    </row>
    <row r="1219" spans="1:63" x14ac:dyDescent="0.25">
      <c r="A1219" s="306" t="s">
        <v>787</v>
      </c>
      <c r="B1219" s="309" t="s">
        <v>348</v>
      </c>
      <c r="C1219" s="309">
        <v>21.427900000000001</v>
      </c>
      <c r="D1219" s="309">
        <v>12.504899999999999</v>
      </c>
      <c r="E1219" s="309">
        <v>19.271899999999999</v>
      </c>
      <c r="F1219" s="309">
        <v>17.5778</v>
      </c>
      <c r="G1219" s="309">
        <v>16.0563</v>
      </c>
      <c r="H1219" s="309">
        <v>15.010300000000001</v>
      </c>
      <c r="I1219" s="309">
        <v>16.327300000000001</v>
      </c>
      <c r="J1219" s="309">
        <v>13.2446</v>
      </c>
      <c r="K1219" s="309">
        <v>2.7734000000000001</v>
      </c>
      <c r="L1219" s="309">
        <v>11.1685</v>
      </c>
      <c r="M1219" s="309">
        <v>19.0077</v>
      </c>
      <c r="N1219" s="309">
        <v>19.502800000000001</v>
      </c>
      <c r="O1219" s="309">
        <v>15.914899999999999</v>
      </c>
      <c r="P1219" s="309">
        <v>15.941599999999999</v>
      </c>
      <c r="Q1219" s="309">
        <v>15.291499999999999</v>
      </c>
      <c r="R1219" s="309">
        <v>17.4955</v>
      </c>
      <c r="S1219" s="309">
        <v>18.127400000000002</v>
      </c>
      <c r="T1219" s="309">
        <v>14.036</v>
      </c>
      <c r="U1219" s="309">
        <v>18.664100000000001</v>
      </c>
      <c r="V1219" s="309">
        <v>17.470600000000001</v>
      </c>
      <c r="W1219" s="309">
        <v>13.1736</v>
      </c>
      <c r="X1219" s="309">
        <v>15.0617</v>
      </c>
      <c r="Y1219" s="309">
        <v>17.308399999999999</v>
      </c>
      <c r="Z1219" s="309">
        <v>18.826000000000001</v>
      </c>
      <c r="AA1219" s="309">
        <v>16.656400000000001</v>
      </c>
      <c r="AB1219" s="309">
        <v>17.3843</v>
      </c>
      <c r="AC1219" s="309">
        <v>17.3873</v>
      </c>
      <c r="AD1219" s="309">
        <v>14.8231</v>
      </c>
      <c r="AE1219" s="309">
        <v>18.5015</v>
      </c>
      <c r="AF1219" s="309">
        <v>12.6418</v>
      </c>
      <c r="AG1219" s="309">
        <v>15.202299999999999</v>
      </c>
      <c r="AH1219" s="309">
        <v>13.9055</v>
      </c>
      <c r="AI1219" s="309">
        <v>13.9785</v>
      </c>
      <c r="AJ1219" s="309">
        <v>15.654999999999999</v>
      </c>
      <c r="AK1219" s="309">
        <v>14.7723</v>
      </c>
      <c r="AL1219" s="309">
        <v>14.398300000000001</v>
      </c>
      <c r="AM1219" s="309">
        <v>18.796399999999998</v>
      </c>
      <c r="AN1219" s="309">
        <v>19.0014</v>
      </c>
      <c r="AO1219" s="309">
        <v>16.530200000000001</v>
      </c>
      <c r="AP1219" s="309">
        <v>16.1694</v>
      </c>
      <c r="AQ1219" s="309">
        <v>13.9962</v>
      </c>
      <c r="AR1219" s="309">
        <v>19.5016</v>
      </c>
      <c r="AS1219" s="309">
        <v>13.5015</v>
      </c>
      <c r="AT1219" s="309">
        <v>16.981999999999999</v>
      </c>
      <c r="AU1219" s="309">
        <v>18.129300000000001</v>
      </c>
      <c r="AV1219" s="309">
        <v>21.346399999999999</v>
      </c>
      <c r="AW1219" s="309">
        <v>15.388500000000001</v>
      </c>
      <c r="AX1219" s="309">
        <v>16.126000000000001</v>
      </c>
      <c r="AY1219" s="309">
        <v>15.4057</v>
      </c>
      <c r="AZ1219" s="309">
        <v>17.616499999999998</v>
      </c>
      <c r="BA1219" s="309">
        <v>16.5457</v>
      </c>
      <c r="BB1219" s="309">
        <v>14.948600000000001</v>
      </c>
      <c r="BC1219" s="309">
        <v>15.4825</v>
      </c>
      <c r="BD1219" s="309">
        <v>16.1082</v>
      </c>
      <c r="BE1219" s="309">
        <v>19.373799999999999</v>
      </c>
      <c r="BF1219" s="309">
        <v>17.338999999999999</v>
      </c>
      <c r="BG1219" s="309">
        <v>19.455500000000001</v>
      </c>
      <c r="BH1219" s="309">
        <v>19.0944</v>
      </c>
      <c r="BI1219" s="309">
        <v>18.905100000000001</v>
      </c>
      <c r="BJ1219" s="309">
        <v>17.354099999999999</v>
      </c>
      <c r="BK1219" s="309">
        <v>15.664899999999999</v>
      </c>
    </row>
    <row r="1220" spans="1:63" x14ac:dyDescent="0.25">
      <c r="A1220" s="306">
        <v>811200</v>
      </c>
      <c r="B1220" s="309" t="s">
        <v>350</v>
      </c>
      <c r="C1220" s="309">
        <v>19.767299999999999</v>
      </c>
      <c r="D1220" s="309">
        <v>11.4537</v>
      </c>
      <c r="E1220" s="309">
        <v>15.4732</v>
      </c>
      <c r="F1220" s="309">
        <v>15.2279</v>
      </c>
      <c r="G1220" s="309">
        <v>14.791399999999999</v>
      </c>
      <c r="H1220" s="309">
        <v>14.2506</v>
      </c>
      <c r="I1220" s="309">
        <v>15.5724</v>
      </c>
      <c r="J1220" s="309">
        <v>11.423</v>
      </c>
      <c r="K1220" s="309">
        <v>1.6539999999999999</v>
      </c>
      <c r="L1220" s="309">
        <v>10.894</v>
      </c>
      <c r="M1220" s="309">
        <v>17.546600000000002</v>
      </c>
      <c r="N1220" s="309">
        <v>18.252600000000001</v>
      </c>
      <c r="O1220" s="309">
        <v>15.7182</v>
      </c>
      <c r="P1220" s="309">
        <v>12.1089</v>
      </c>
      <c r="Q1220" s="309">
        <v>13.4872</v>
      </c>
      <c r="R1220" s="309">
        <v>16.007200000000001</v>
      </c>
      <c r="S1220" s="309">
        <v>17.538399999999999</v>
      </c>
      <c r="T1220" s="309">
        <v>11.9267</v>
      </c>
      <c r="U1220" s="309">
        <v>16.609400000000001</v>
      </c>
      <c r="V1220" s="309">
        <v>16.516400000000001</v>
      </c>
      <c r="W1220" s="309">
        <v>11.6235</v>
      </c>
      <c r="X1220" s="309">
        <v>13.132300000000001</v>
      </c>
      <c r="Y1220" s="309">
        <v>16.255299999999998</v>
      </c>
      <c r="Z1220" s="309">
        <v>17.645199999999999</v>
      </c>
      <c r="AA1220" s="309">
        <v>15.030099999999999</v>
      </c>
      <c r="AB1220" s="309">
        <v>13.5715</v>
      </c>
      <c r="AC1220" s="309">
        <v>15.7117</v>
      </c>
      <c r="AD1220" s="309">
        <v>14.3941</v>
      </c>
      <c r="AE1220" s="309">
        <v>17.394400000000001</v>
      </c>
      <c r="AF1220" s="309">
        <v>8.5218000000000007</v>
      </c>
      <c r="AG1220" s="309">
        <v>13.178800000000001</v>
      </c>
      <c r="AH1220" s="309">
        <v>10.4412</v>
      </c>
      <c r="AI1220" s="309">
        <v>12.7142</v>
      </c>
      <c r="AJ1220" s="309">
        <v>14.057600000000001</v>
      </c>
      <c r="AK1220" s="309">
        <v>15.1715</v>
      </c>
      <c r="AL1220" s="309">
        <v>11.4483</v>
      </c>
      <c r="AM1220" s="309">
        <v>17.0062</v>
      </c>
      <c r="AN1220" s="309">
        <v>17.725899999999999</v>
      </c>
      <c r="AO1220" s="309">
        <v>15.4049</v>
      </c>
      <c r="AP1220" s="309">
        <v>14.1496</v>
      </c>
      <c r="AQ1220" s="309">
        <v>12.7822</v>
      </c>
      <c r="AR1220" s="309">
        <v>18.237500000000001</v>
      </c>
      <c r="AS1220" s="309">
        <v>10.702199999999999</v>
      </c>
      <c r="AT1220" s="309">
        <v>15.582100000000001</v>
      </c>
      <c r="AU1220" s="309">
        <v>17.598600000000001</v>
      </c>
      <c r="AV1220" s="309">
        <v>18.995100000000001</v>
      </c>
      <c r="AW1220" s="309">
        <v>12.3866</v>
      </c>
      <c r="AX1220" s="309">
        <v>13.285399999999999</v>
      </c>
      <c r="AY1220" s="309">
        <v>14.543900000000001</v>
      </c>
      <c r="AZ1220" s="309">
        <v>15.894399999999999</v>
      </c>
      <c r="BA1220" s="309">
        <v>14.1791</v>
      </c>
      <c r="BB1220" s="309">
        <v>11.5722</v>
      </c>
      <c r="BC1220" s="309">
        <v>13.8992</v>
      </c>
      <c r="BD1220" s="309">
        <v>14.3765</v>
      </c>
      <c r="BE1220" s="309">
        <v>17.916899999999998</v>
      </c>
      <c r="BF1220" s="309">
        <v>14.9411</v>
      </c>
      <c r="BG1220" s="309">
        <v>17.8903</v>
      </c>
      <c r="BH1220" s="309">
        <v>16.840499999999999</v>
      </c>
      <c r="BI1220" s="309">
        <v>18.2026</v>
      </c>
      <c r="BJ1220" s="309">
        <v>16.405899999999999</v>
      </c>
      <c r="BK1220" s="309">
        <v>14.896699999999999</v>
      </c>
    </row>
    <row r="1221" spans="1:63" x14ac:dyDescent="0.25">
      <c r="A1221" s="306">
        <v>811300</v>
      </c>
      <c r="B1221" s="309" t="s">
        <v>351</v>
      </c>
      <c r="C1221" s="309">
        <v>17.364000000000001</v>
      </c>
      <c r="D1221" s="309">
        <v>9.6202000000000005</v>
      </c>
      <c r="E1221" s="309">
        <v>13.9811</v>
      </c>
      <c r="F1221" s="309">
        <v>13.2646</v>
      </c>
      <c r="G1221" s="309">
        <v>12.74</v>
      </c>
      <c r="H1221" s="309">
        <v>12.089399999999999</v>
      </c>
      <c r="I1221" s="309">
        <v>14.074299999999999</v>
      </c>
      <c r="J1221" s="309">
        <v>9.8068000000000008</v>
      </c>
      <c r="K1221" s="309">
        <v>1.8804000000000001</v>
      </c>
      <c r="L1221" s="309">
        <v>9.3469999999999995</v>
      </c>
      <c r="M1221" s="309">
        <v>15.3559</v>
      </c>
      <c r="N1221" s="309">
        <v>15.351100000000001</v>
      </c>
      <c r="O1221" s="309">
        <v>12.515000000000001</v>
      </c>
      <c r="P1221" s="309">
        <v>12.401999999999999</v>
      </c>
      <c r="Q1221" s="309">
        <v>12.9735</v>
      </c>
      <c r="R1221" s="309">
        <v>13.531700000000001</v>
      </c>
      <c r="S1221" s="309">
        <v>14.661199999999999</v>
      </c>
      <c r="T1221" s="309">
        <v>11.088800000000001</v>
      </c>
      <c r="U1221" s="309">
        <v>14.8682</v>
      </c>
      <c r="V1221" s="309">
        <v>12.823</v>
      </c>
      <c r="W1221" s="309">
        <v>10.260300000000001</v>
      </c>
      <c r="X1221" s="309">
        <v>12.352499999999999</v>
      </c>
      <c r="Y1221" s="309">
        <v>12.087999999999999</v>
      </c>
      <c r="Z1221" s="309">
        <v>14.1572</v>
      </c>
      <c r="AA1221" s="309">
        <v>14.486499999999999</v>
      </c>
      <c r="AB1221" s="309">
        <v>14.4015</v>
      </c>
      <c r="AC1221" s="309">
        <v>12.2728</v>
      </c>
      <c r="AD1221" s="309">
        <v>12.7235</v>
      </c>
      <c r="AE1221" s="309">
        <v>14.555300000000001</v>
      </c>
      <c r="AF1221" s="309">
        <v>10.454499999999999</v>
      </c>
      <c r="AG1221" s="309">
        <v>12.431100000000001</v>
      </c>
      <c r="AH1221" s="309">
        <v>11.343999999999999</v>
      </c>
      <c r="AI1221" s="309">
        <v>10.7524</v>
      </c>
      <c r="AJ1221" s="309">
        <v>11.8223</v>
      </c>
      <c r="AK1221" s="309">
        <v>10.881399999999999</v>
      </c>
      <c r="AL1221" s="309">
        <v>10.686199999999999</v>
      </c>
      <c r="AM1221" s="309">
        <v>15.2026</v>
      </c>
      <c r="AN1221" s="309">
        <v>15.3378</v>
      </c>
      <c r="AO1221" s="309">
        <v>11.049099999999999</v>
      </c>
      <c r="AP1221" s="309">
        <v>12.941000000000001</v>
      </c>
      <c r="AQ1221" s="309">
        <v>12.214399999999999</v>
      </c>
      <c r="AR1221" s="309">
        <v>15.9253</v>
      </c>
      <c r="AS1221" s="309">
        <v>11.226699999999999</v>
      </c>
      <c r="AT1221" s="309">
        <v>12.7761</v>
      </c>
      <c r="AU1221" s="309">
        <v>14.257099999999999</v>
      </c>
      <c r="AV1221" s="309">
        <v>15.624000000000001</v>
      </c>
      <c r="AW1221" s="309">
        <v>12.5085</v>
      </c>
      <c r="AX1221" s="309">
        <v>12.5825</v>
      </c>
      <c r="AY1221" s="309">
        <v>11.900700000000001</v>
      </c>
      <c r="AZ1221" s="309">
        <v>13.7735</v>
      </c>
      <c r="BA1221" s="309">
        <v>12.647399999999999</v>
      </c>
      <c r="BB1221" s="309">
        <v>10.251899999999999</v>
      </c>
      <c r="BC1221" s="309">
        <v>12.2227</v>
      </c>
      <c r="BD1221" s="309">
        <v>12.688700000000001</v>
      </c>
      <c r="BE1221" s="309">
        <v>15.3903</v>
      </c>
      <c r="BF1221" s="309">
        <v>14.357200000000001</v>
      </c>
      <c r="BG1221" s="309">
        <v>15.9587</v>
      </c>
      <c r="BH1221" s="309">
        <v>14.588900000000001</v>
      </c>
      <c r="BI1221" s="309">
        <v>14.9208</v>
      </c>
      <c r="BJ1221" s="309">
        <v>13.9909</v>
      </c>
      <c r="BK1221" s="309">
        <v>12.4594</v>
      </c>
    </row>
    <row r="1222" spans="1:63" x14ac:dyDescent="0.25">
      <c r="A1222" s="306">
        <v>811400</v>
      </c>
      <c r="B1222" s="309" t="s">
        <v>352</v>
      </c>
      <c r="C1222" s="309">
        <v>17.223500000000001</v>
      </c>
      <c r="D1222" s="309">
        <v>9.8339999999999996</v>
      </c>
      <c r="E1222" s="309">
        <v>15.8789</v>
      </c>
      <c r="F1222" s="309">
        <v>13.696300000000001</v>
      </c>
      <c r="G1222" s="309">
        <v>13.266400000000001</v>
      </c>
      <c r="H1222" s="309">
        <v>12.268800000000001</v>
      </c>
      <c r="I1222" s="309">
        <v>13.8942</v>
      </c>
      <c r="J1222" s="309">
        <v>10.476800000000001</v>
      </c>
      <c r="K1222" s="309">
        <v>2.6194000000000002</v>
      </c>
      <c r="L1222" s="309">
        <v>7.9139999999999997</v>
      </c>
      <c r="M1222" s="309">
        <v>14.665699999999999</v>
      </c>
      <c r="N1222" s="309">
        <v>16.558</v>
      </c>
      <c r="O1222" s="309">
        <v>12.6028</v>
      </c>
      <c r="P1222" s="309">
        <v>12.8377</v>
      </c>
      <c r="Q1222" s="309">
        <v>12.7912</v>
      </c>
      <c r="R1222" s="309">
        <v>14.210900000000001</v>
      </c>
      <c r="S1222" s="309">
        <v>14.1663</v>
      </c>
      <c r="T1222" s="309">
        <v>10.9161</v>
      </c>
      <c r="U1222" s="309">
        <v>14.907299999999999</v>
      </c>
      <c r="V1222" s="309">
        <v>14.1434</v>
      </c>
      <c r="W1222" s="309">
        <v>10.851800000000001</v>
      </c>
      <c r="X1222" s="309">
        <v>12.060700000000001</v>
      </c>
      <c r="Y1222" s="309">
        <v>13.4777</v>
      </c>
      <c r="Z1222" s="309">
        <v>14.2469</v>
      </c>
      <c r="AA1222" s="309">
        <v>14.847899999999999</v>
      </c>
      <c r="AB1222" s="309">
        <v>14.2986</v>
      </c>
      <c r="AC1222" s="309">
        <v>12.757999999999999</v>
      </c>
      <c r="AD1222" s="309">
        <v>12.517200000000001</v>
      </c>
      <c r="AE1222" s="309">
        <v>14.9633</v>
      </c>
      <c r="AF1222" s="309">
        <v>11.5161</v>
      </c>
      <c r="AG1222" s="309">
        <v>11.968299999999999</v>
      </c>
      <c r="AH1222" s="309">
        <v>11.0444</v>
      </c>
      <c r="AI1222" s="309">
        <v>11.617000000000001</v>
      </c>
      <c r="AJ1222" s="309">
        <v>13.0206</v>
      </c>
      <c r="AK1222" s="309">
        <v>12.4255</v>
      </c>
      <c r="AL1222" s="309">
        <v>9.6830999999999996</v>
      </c>
      <c r="AM1222" s="309">
        <v>15.1715</v>
      </c>
      <c r="AN1222" s="309">
        <v>15.837</v>
      </c>
      <c r="AO1222" s="309">
        <v>13.9194</v>
      </c>
      <c r="AP1222" s="309">
        <v>12.8322</v>
      </c>
      <c r="AQ1222" s="309">
        <v>12.585699999999999</v>
      </c>
      <c r="AR1222" s="309">
        <v>16.020299999999999</v>
      </c>
      <c r="AS1222" s="309">
        <v>10.702400000000001</v>
      </c>
      <c r="AT1222" s="309">
        <v>15.1234</v>
      </c>
      <c r="AU1222" s="309">
        <v>14.393800000000001</v>
      </c>
      <c r="AV1222" s="309">
        <v>17.166499999999999</v>
      </c>
      <c r="AW1222" s="309">
        <v>13.4861</v>
      </c>
      <c r="AX1222" s="309">
        <v>12.720800000000001</v>
      </c>
      <c r="AY1222" s="309">
        <v>11.8484</v>
      </c>
      <c r="AZ1222" s="309">
        <v>14.404299999999999</v>
      </c>
      <c r="BA1222" s="309">
        <v>13.765599999999999</v>
      </c>
      <c r="BB1222" s="309">
        <v>12.6972</v>
      </c>
      <c r="BC1222" s="309">
        <v>12.4429</v>
      </c>
      <c r="BD1222" s="309">
        <v>12.4251</v>
      </c>
      <c r="BE1222" s="309">
        <v>15.4777</v>
      </c>
      <c r="BF1222" s="309">
        <v>14.508699999999999</v>
      </c>
      <c r="BG1222" s="309">
        <v>15.8811</v>
      </c>
      <c r="BH1222" s="309">
        <v>15.777900000000001</v>
      </c>
      <c r="BI1222" s="309">
        <v>15.1638</v>
      </c>
      <c r="BJ1222" s="309">
        <v>14.4955</v>
      </c>
      <c r="BK1222" s="309">
        <v>12.758800000000001</v>
      </c>
    </row>
    <row r="1223" spans="1:63" x14ac:dyDescent="0.25">
      <c r="A1223" s="306">
        <v>812100</v>
      </c>
      <c r="B1223" s="309" t="s">
        <v>353</v>
      </c>
      <c r="C1223" s="309">
        <v>22.325800000000001</v>
      </c>
      <c r="D1223" s="309">
        <v>14.2995</v>
      </c>
      <c r="E1223" s="309">
        <v>18.6965</v>
      </c>
      <c r="F1223" s="309">
        <v>17.6798</v>
      </c>
      <c r="G1223" s="309">
        <v>17.537099999999999</v>
      </c>
      <c r="H1223" s="309">
        <v>17.313500000000001</v>
      </c>
      <c r="I1223" s="309">
        <v>18.4773</v>
      </c>
      <c r="J1223" s="309">
        <v>14.534800000000001</v>
      </c>
      <c r="K1223" s="309">
        <v>4.2752999999999997</v>
      </c>
      <c r="L1223" s="309">
        <v>15.979699999999999</v>
      </c>
      <c r="M1223" s="309">
        <v>20.353899999999999</v>
      </c>
      <c r="N1223" s="309">
        <v>19.764900000000001</v>
      </c>
      <c r="O1223" s="309">
        <v>17.1568</v>
      </c>
      <c r="P1223" s="309">
        <v>17.700399999999998</v>
      </c>
      <c r="Q1223" s="309">
        <v>18.528600000000001</v>
      </c>
      <c r="R1223" s="309">
        <v>18.470099999999999</v>
      </c>
      <c r="S1223" s="309">
        <v>20.143799999999999</v>
      </c>
      <c r="T1223" s="309">
        <v>15.6433</v>
      </c>
      <c r="U1223" s="309">
        <v>19.363700000000001</v>
      </c>
      <c r="V1223" s="309">
        <v>19.3246</v>
      </c>
      <c r="W1223" s="309">
        <v>15.205399999999999</v>
      </c>
      <c r="X1223" s="309">
        <v>17.590499999999999</v>
      </c>
      <c r="Y1223" s="309">
        <v>18.435600000000001</v>
      </c>
      <c r="Z1223" s="309">
        <v>19.4254</v>
      </c>
      <c r="AA1223" s="309">
        <v>18.2714</v>
      </c>
      <c r="AB1223" s="309">
        <v>19.7423</v>
      </c>
      <c r="AC1223" s="309">
        <v>18.256499999999999</v>
      </c>
      <c r="AD1223" s="309">
        <v>17.073799999999999</v>
      </c>
      <c r="AE1223" s="309">
        <v>18.3156</v>
      </c>
      <c r="AF1223" s="309">
        <v>16.109200000000001</v>
      </c>
      <c r="AG1223" s="309">
        <v>16.307099999999998</v>
      </c>
      <c r="AH1223" s="309">
        <v>15.0983</v>
      </c>
      <c r="AI1223" s="309">
        <v>19.6113</v>
      </c>
      <c r="AJ1223" s="309">
        <v>18.084800000000001</v>
      </c>
      <c r="AK1223" s="309">
        <v>15.4642</v>
      </c>
      <c r="AL1223" s="309">
        <v>14.581099999999999</v>
      </c>
      <c r="AM1223" s="309">
        <v>21.28</v>
      </c>
      <c r="AN1223" s="309">
        <v>20.196400000000001</v>
      </c>
      <c r="AO1223" s="309">
        <v>17.9343</v>
      </c>
      <c r="AP1223" s="309">
        <v>18.618600000000001</v>
      </c>
      <c r="AQ1223" s="309">
        <v>17.456700000000001</v>
      </c>
      <c r="AR1223" s="309">
        <v>18.926300000000001</v>
      </c>
      <c r="AS1223" s="309">
        <v>15.810700000000001</v>
      </c>
      <c r="AT1223" s="309">
        <v>17.641300000000001</v>
      </c>
      <c r="AU1223" s="309">
        <v>18.954000000000001</v>
      </c>
      <c r="AV1223" s="309">
        <v>23.1157</v>
      </c>
      <c r="AW1223" s="309">
        <v>17.509899999999998</v>
      </c>
      <c r="AX1223" s="309">
        <v>15.5966</v>
      </c>
      <c r="AY1223" s="309">
        <v>16.588200000000001</v>
      </c>
      <c r="AZ1223" s="309">
        <v>19.7409</v>
      </c>
      <c r="BA1223" s="309">
        <v>17.381799999999998</v>
      </c>
      <c r="BB1223" s="309">
        <v>16.5077</v>
      </c>
      <c r="BC1223" s="309">
        <v>16.921500000000002</v>
      </c>
      <c r="BD1223" s="309">
        <v>18.395399999999999</v>
      </c>
      <c r="BE1223" s="309">
        <v>20.785499999999999</v>
      </c>
      <c r="BF1223" s="309">
        <v>18.930599999999998</v>
      </c>
      <c r="BG1223" s="309">
        <v>20.678699999999999</v>
      </c>
      <c r="BH1223" s="309">
        <v>19.055199999999999</v>
      </c>
      <c r="BI1223" s="309">
        <v>19.7012</v>
      </c>
      <c r="BJ1223" s="309">
        <v>19.189499999999999</v>
      </c>
      <c r="BK1223" s="309">
        <v>17.697800000000001</v>
      </c>
    </row>
    <row r="1224" spans="1:63" x14ac:dyDescent="0.25">
      <c r="A1224" s="306">
        <v>812200</v>
      </c>
      <c r="B1224" s="309" t="s">
        <v>354</v>
      </c>
      <c r="C1224" s="309">
        <v>21.156400000000001</v>
      </c>
      <c r="D1224" s="309">
        <v>10.9534</v>
      </c>
      <c r="E1224" s="309">
        <v>17.424800000000001</v>
      </c>
      <c r="F1224" s="309">
        <v>15.561299999999999</v>
      </c>
      <c r="G1224" s="309">
        <v>15.801500000000001</v>
      </c>
      <c r="H1224" s="309">
        <v>14.6089</v>
      </c>
      <c r="I1224" s="309">
        <v>16.138200000000001</v>
      </c>
      <c r="J1224" s="309">
        <v>12.306699999999999</v>
      </c>
      <c r="K1224" s="309">
        <v>4.5911999999999997</v>
      </c>
      <c r="L1224" s="309">
        <v>11.671200000000001</v>
      </c>
      <c r="M1224" s="309">
        <v>17.215800000000002</v>
      </c>
      <c r="N1224" s="309">
        <v>18.4419</v>
      </c>
      <c r="O1224" s="309">
        <v>14.0608</v>
      </c>
      <c r="P1224" s="309">
        <v>13.9099</v>
      </c>
      <c r="Q1224" s="309">
        <v>14.9773</v>
      </c>
      <c r="R1224" s="309">
        <v>15.8</v>
      </c>
      <c r="S1224" s="309">
        <v>17.0732</v>
      </c>
      <c r="T1224" s="309">
        <v>14.376300000000001</v>
      </c>
      <c r="U1224" s="309">
        <v>16.973600000000001</v>
      </c>
      <c r="V1224" s="309">
        <v>15.309100000000001</v>
      </c>
      <c r="W1224" s="309">
        <v>12.1098</v>
      </c>
      <c r="X1224" s="309">
        <v>13.8247</v>
      </c>
      <c r="Y1224" s="309">
        <v>16.8203</v>
      </c>
      <c r="Z1224" s="309">
        <v>16.103400000000001</v>
      </c>
      <c r="AA1224" s="309">
        <v>16.860800000000001</v>
      </c>
      <c r="AB1224" s="309">
        <v>16.121200000000002</v>
      </c>
      <c r="AC1224" s="309">
        <v>16.395700000000001</v>
      </c>
      <c r="AD1224" s="309">
        <v>14.4993</v>
      </c>
      <c r="AE1224" s="309">
        <v>17.265599999999999</v>
      </c>
      <c r="AF1224" s="309">
        <v>11.9306</v>
      </c>
      <c r="AG1224" s="309">
        <v>12.5616</v>
      </c>
      <c r="AH1224" s="309">
        <v>13.706099999999999</v>
      </c>
      <c r="AI1224" s="309">
        <v>13.4801</v>
      </c>
      <c r="AJ1224" s="309">
        <v>14.017099999999999</v>
      </c>
      <c r="AK1224" s="309">
        <v>12.923400000000001</v>
      </c>
      <c r="AL1224" s="309">
        <v>10.9095</v>
      </c>
      <c r="AM1224" s="309">
        <v>18.3644</v>
      </c>
      <c r="AN1224" s="309">
        <v>18.461400000000001</v>
      </c>
      <c r="AO1224" s="309">
        <v>15.526999999999999</v>
      </c>
      <c r="AP1224" s="309">
        <v>16.476299999999998</v>
      </c>
      <c r="AQ1224" s="309">
        <v>13.4199</v>
      </c>
      <c r="AR1224" s="309">
        <v>17.759399999999999</v>
      </c>
      <c r="AS1224" s="309">
        <v>12.787599999999999</v>
      </c>
      <c r="AT1224" s="309">
        <v>16.149699999999999</v>
      </c>
      <c r="AU1224" s="309">
        <v>17.135200000000001</v>
      </c>
      <c r="AV1224" s="309">
        <v>19.0764</v>
      </c>
      <c r="AW1224" s="309">
        <v>15.6083</v>
      </c>
      <c r="AX1224" s="309">
        <v>14.3832</v>
      </c>
      <c r="AY1224" s="309">
        <v>14.577400000000001</v>
      </c>
      <c r="AZ1224" s="309">
        <v>15.991300000000001</v>
      </c>
      <c r="BA1224" s="309">
        <v>13.8187</v>
      </c>
      <c r="BB1224" s="309">
        <v>11.847899999999999</v>
      </c>
      <c r="BC1224" s="309">
        <v>14.755599999999999</v>
      </c>
      <c r="BD1224" s="309">
        <v>14.8497</v>
      </c>
      <c r="BE1224" s="309">
        <v>18.242999999999999</v>
      </c>
      <c r="BF1224" s="309">
        <v>16.624099999999999</v>
      </c>
      <c r="BG1224" s="309">
        <v>18.509499999999999</v>
      </c>
      <c r="BH1224" s="309">
        <v>18.045100000000001</v>
      </c>
      <c r="BI1224" s="309">
        <v>17.9587</v>
      </c>
      <c r="BJ1224" s="309">
        <v>17.3232</v>
      </c>
      <c r="BK1224" s="309">
        <v>15.3833</v>
      </c>
    </row>
    <row r="1225" spans="1:63" x14ac:dyDescent="0.25">
      <c r="A1225" s="306">
        <v>812300</v>
      </c>
      <c r="B1225" s="309" t="s">
        <v>355</v>
      </c>
      <c r="C1225" s="309">
        <v>17.489000000000001</v>
      </c>
      <c r="D1225" s="309">
        <v>10.9472</v>
      </c>
      <c r="E1225" s="309">
        <v>15.042400000000001</v>
      </c>
      <c r="F1225" s="309">
        <v>13.753500000000001</v>
      </c>
      <c r="G1225" s="309">
        <v>14.1241</v>
      </c>
      <c r="H1225" s="309">
        <v>12.7873</v>
      </c>
      <c r="I1225" s="309">
        <v>14.4718</v>
      </c>
      <c r="J1225" s="309">
        <v>11.2003</v>
      </c>
      <c r="K1225" s="309">
        <v>3.1023000000000001</v>
      </c>
      <c r="L1225" s="309">
        <v>10.940300000000001</v>
      </c>
      <c r="M1225" s="309">
        <v>16.214600000000001</v>
      </c>
      <c r="N1225" s="309">
        <v>15.737500000000001</v>
      </c>
      <c r="O1225" s="309">
        <v>14.8718</v>
      </c>
      <c r="P1225" s="309">
        <v>12.6531</v>
      </c>
      <c r="Q1225" s="309">
        <v>13.2822</v>
      </c>
      <c r="R1225" s="309">
        <v>13.7784</v>
      </c>
      <c r="S1225" s="309">
        <v>14.5647</v>
      </c>
      <c r="T1225" s="309">
        <v>12.585599999999999</v>
      </c>
      <c r="U1225" s="309">
        <v>14.775600000000001</v>
      </c>
      <c r="V1225" s="309">
        <v>15.5427</v>
      </c>
      <c r="W1225" s="309">
        <v>11.589700000000001</v>
      </c>
      <c r="X1225" s="309">
        <v>13.343299999999999</v>
      </c>
      <c r="Y1225" s="309">
        <v>14.741099999999999</v>
      </c>
      <c r="Z1225" s="309">
        <v>14.8629</v>
      </c>
      <c r="AA1225" s="309">
        <v>12.669</v>
      </c>
      <c r="AB1225" s="309">
        <v>13.6205</v>
      </c>
      <c r="AC1225" s="309">
        <v>15.229900000000001</v>
      </c>
      <c r="AD1225" s="309">
        <v>13.5062</v>
      </c>
      <c r="AE1225" s="309">
        <v>15.4869</v>
      </c>
      <c r="AF1225" s="309">
        <v>9.3937000000000008</v>
      </c>
      <c r="AG1225" s="309">
        <v>11.724399999999999</v>
      </c>
      <c r="AH1225" s="309">
        <v>11.6569</v>
      </c>
      <c r="AI1225" s="309">
        <v>14.2494</v>
      </c>
      <c r="AJ1225" s="309">
        <v>14.483000000000001</v>
      </c>
      <c r="AK1225" s="309">
        <v>11.6211</v>
      </c>
      <c r="AL1225" s="309">
        <v>11.880599999999999</v>
      </c>
      <c r="AM1225" s="309">
        <v>15.3079</v>
      </c>
      <c r="AN1225" s="309">
        <v>16.093599999999999</v>
      </c>
      <c r="AO1225" s="309">
        <v>12.113799999999999</v>
      </c>
      <c r="AP1225" s="309">
        <v>13.654299999999999</v>
      </c>
      <c r="AQ1225" s="309">
        <v>11.7271</v>
      </c>
      <c r="AR1225" s="309">
        <v>15.942600000000001</v>
      </c>
      <c r="AS1225" s="309">
        <v>10.985300000000001</v>
      </c>
      <c r="AT1225" s="309">
        <v>13.3041</v>
      </c>
      <c r="AU1225" s="309">
        <v>16.54</v>
      </c>
      <c r="AV1225" s="309">
        <v>17.652200000000001</v>
      </c>
      <c r="AW1225" s="309">
        <v>14.491199999999999</v>
      </c>
      <c r="AX1225" s="309">
        <v>13.1111</v>
      </c>
      <c r="AY1225" s="309">
        <v>12.864599999999999</v>
      </c>
      <c r="AZ1225" s="309">
        <v>14.0641</v>
      </c>
      <c r="BA1225" s="309">
        <v>12.3164</v>
      </c>
      <c r="BB1225" s="309">
        <v>12.8802</v>
      </c>
      <c r="BC1225" s="309">
        <v>13.0685</v>
      </c>
      <c r="BD1225" s="309">
        <v>14.140499999999999</v>
      </c>
      <c r="BE1225" s="309">
        <v>15.334300000000001</v>
      </c>
      <c r="BF1225" s="309">
        <v>13.817</v>
      </c>
      <c r="BG1225" s="309">
        <v>16.687799999999999</v>
      </c>
      <c r="BH1225" s="309">
        <v>15.307600000000001</v>
      </c>
      <c r="BI1225" s="309">
        <v>16.779900000000001</v>
      </c>
      <c r="BJ1225" s="309">
        <v>14.8429</v>
      </c>
      <c r="BK1225" s="309">
        <v>13.192</v>
      </c>
    </row>
    <row r="1226" spans="1:63" x14ac:dyDescent="0.25">
      <c r="A1226" s="306">
        <v>812900</v>
      </c>
      <c r="B1226" s="309" t="s">
        <v>356</v>
      </c>
      <c r="C1226" s="309">
        <v>13.948</v>
      </c>
      <c r="D1226" s="309">
        <v>6.8643999999999998</v>
      </c>
      <c r="E1226" s="309">
        <v>10.1999</v>
      </c>
      <c r="F1226" s="309">
        <v>8.7745999999999995</v>
      </c>
      <c r="G1226" s="309">
        <v>10.1213</v>
      </c>
      <c r="H1226" s="309">
        <v>10.0466</v>
      </c>
      <c r="I1226" s="309">
        <v>10.9536</v>
      </c>
      <c r="J1226" s="309">
        <v>7.9927999999999999</v>
      </c>
      <c r="K1226" s="309">
        <v>2.0489999999999999</v>
      </c>
      <c r="L1226" s="309">
        <v>7.67</v>
      </c>
      <c r="M1226" s="309">
        <v>12.344900000000001</v>
      </c>
      <c r="N1226" s="309">
        <v>12.0745</v>
      </c>
      <c r="O1226" s="309">
        <v>10.464399999999999</v>
      </c>
      <c r="P1226" s="309">
        <v>8.5747</v>
      </c>
      <c r="Q1226" s="309">
        <v>8.3524999999999991</v>
      </c>
      <c r="R1226" s="309">
        <v>10.611499999999999</v>
      </c>
      <c r="S1226" s="309">
        <v>10.793699999999999</v>
      </c>
      <c r="T1226" s="309">
        <v>8.1301000000000005</v>
      </c>
      <c r="U1226" s="309">
        <v>10.3133</v>
      </c>
      <c r="V1226" s="309">
        <v>10.4162</v>
      </c>
      <c r="W1226" s="309">
        <v>8.9240999999999993</v>
      </c>
      <c r="X1226" s="309">
        <v>9.6341000000000001</v>
      </c>
      <c r="Y1226" s="309">
        <v>10.8186</v>
      </c>
      <c r="Z1226" s="309">
        <v>10.9091</v>
      </c>
      <c r="AA1226" s="309">
        <v>10.3996</v>
      </c>
      <c r="AB1226" s="309">
        <v>9.7421000000000006</v>
      </c>
      <c r="AC1226" s="309">
        <v>9.7276000000000007</v>
      </c>
      <c r="AD1226" s="309">
        <v>9.7751000000000001</v>
      </c>
      <c r="AE1226" s="309">
        <v>11.0116</v>
      </c>
      <c r="AF1226" s="309">
        <v>7.22</v>
      </c>
      <c r="AG1226" s="309">
        <v>8.3788</v>
      </c>
      <c r="AH1226" s="309">
        <v>9.5934000000000008</v>
      </c>
      <c r="AI1226" s="309">
        <v>10.464600000000001</v>
      </c>
      <c r="AJ1226" s="309">
        <v>9.8051999999999992</v>
      </c>
      <c r="AK1226" s="309">
        <v>8.5218000000000007</v>
      </c>
      <c r="AL1226" s="309">
        <v>7.4021999999999997</v>
      </c>
      <c r="AM1226" s="309">
        <v>11.8848</v>
      </c>
      <c r="AN1226" s="309">
        <v>10.590199999999999</v>
      </c>
      <c r="AO1226" s="309">
        <v>10.086499999999999</v>
      </c>
      <c r="AP1226" s="309">
        <v>10.049799999999999</v>
      </c>
      <c r="AQ1226" s="309">
        <v>9.4171999999999993</v>
      </c>
      <c r="AR1226" s="309">
        <v>11.6732</v>
      </c>
      <c r="AS1226" s="309">
        <v>7.3055000000000003</v>
      </c>
      <c r="AT1226" s="309">
        <v>10.434100000000001</v>
      </c>
      <c r="AU1226" s="309">
        <v>11.483000000000001</v>
      </c>
      <c r="AV1226" s="309">
        <v>13.328099999999999</v>
      </c>
      <c r="AW1226" s="309">
        <v>10.391400000000001</v>
      </c>
      <c r="AX1226" s="309">
        <v>9.7705000000000002</v>
      </c>
      <c r="AY1226" s="309">
        <v>9.3148999999999997</v>
      </c>
      <c r="AZ1226" s="309">
        <v>10.9923</v>
      </c>
      <c r="BA1226" s="309">
        <v>8.9248999999999992</v>
      </c>
      <c r="BB1226" s="309">
        <v>7.6631999999999998</v>
      </c>
      <c r="BC1226" s="309">
        <v>9.9693000000000005</v>
      </c>
      <c r="BD1226" s="309">
        <v>10.251899999999999</v>
      </c>
      <c r="BE1226" s="309">
        <v>11.769299999999999</v>
      </c>
      <c r="BF1226" s="309">
        <v>9.9308999999999994</v>
      </c>
      <c r="BG1226" s="309">
        <v>12.745799999999999</v>
      </c>
      <c r="BH1226" s="309">
        <v>10.83</v>
      </c>
      <c r="BI1226" s="309">
        <v>11.776899999999999</v>
      </c>
      <c r="BJ1226" s="309">
        <v>11.3415</v>
      </c>
      <c r="BK1226" s="309">
        <v>10.404299999999999</v>
      </c>
    </row>
    <row r="1227" spans="1:63" x14ac:dyDescent="0.25">
      <c r="A1227" s="306">
        <v>813100</v>
      </c>
      <c r="B1227" s="309" t="s">
        <v>357</v>
      </c>
      <c r="C1227" s="309">
        <v>31.455100000000002</v>
      </c>
      <c r="D1227" s="309">
        <v>19.422000000000001</v>
      </c>
      <c r="E1227" s="309">
        <v>27.592700000000001</v>
      </c>
      <c r="F1227" s="309">
        <v>25.466999999999999</v>
      </c>
      <c r="G1227" s="309">
        <v>24.437999999999999</v>
      </c>
      <c r="H1227" s="309">
        <v>23.4238</v>
      </c>
      <c r="I1227" s="309">
        <v>24.815799999999999</v>
      </c>
      <c r="J1227" s="309">
        <v>20.421299999999999</v>
      </c>
      <c r="K1227" s="309">
        <v>3.9925000000000002</v>
      </c>
      <c r="L1227" s="309">
        <v>19.407800000000002</v>
      </c>
      <c r="M1227" s="309">
        <v>24.890499999999999</v>
      </c>
      <c r="N1227" s="309">
        <v>25.9971</v>
      </c>
      <c r="O1227" s="309">
        <v>20.433</v>
      </c>
      <c r="P1227" s="309">
        <v>24.7668</v>
      </c>
      <c r="Q1227" s="309">
        <v>23.4559</v>
      </c>
      <c r="R1227" s="309">
        <v>24.5717</v>
      </c>
      <c r="S1227" s="309">
        <v>24.110199999999999</v>
      </c>
      <c r="T1227" s="309">
        <v>23.009599999999999</v>
      </c>
      <c r="U1227" s="309">
        <v>26.2852</v>
      </c>
      <c r="V1227" s="309">
        <v>24.881</v>
      </c>
      <c r="W1227" s="309">
        <v>20.662299999999998</v>
      </c>
      <c r="X1227" s="309">
        <v>20.493200000000002</v>
      </c>
      <c r="Y1227" s="309">
        <v>26.832799999999999</v>
      </c>
      <c r="Z1227" s="309">
        <v>23.927</v>
      </c>
      <c r="AA1227" s="309">
        <v>25.6737</v>
      </c>
      <c r="AB1227" s="309">
        <v>24.244399999999999</v>
      </c>
      <c r="AC1227" s="309">
        <v>26.241399999999999</v>
      </c>
      <c r="AD1227" s="309">
        <v>27.148800000000001</v>
      </c>
      <c r="AE1227" s="309">
        <v>25.699400000000001</v>
      </c>
      <c r="AF1227" s="309">
        <v>23.2182</v>
      </c>
      <c r="AG1227" s="309">
        <v>23.620999999999999</v>
      </c>
      <c r="AH1227" s="309">
        <v>24.132200000000001</v>
      </c>
      <c r="AI1227" s="309">
        <v>21.800899999999999</v>
      </c>
      <c r="AJ1227" s="309">
        <v>24.451499999999999</v>
      </c>
      <c r="AK1227" s="309">
        <v>20.2362</v>
      </c>
      <c r="AL1227" s="309">
        <v>18.603100000000001</v>
      </c>
      <c r="AM1227" s="309">
        <v>25.866599999999998</v>
      </c>
      <c r="AN1227" s="309">
        <v>28.3414</v>
      </c>
      <c r="AO1227" s="309">
        <v>24.258099999999999</v>
      </c>
      <c r="AP1227" s="309">
        <v>25.435700000000001</v>
      </c>
      <c r="AQ1227" s="309">
        <v>21.994499999999999</v>
      </c>
      <c r="AR1227" s="309">
        <v>27.723099999999999</v>
      </c>
      <c r="AS1227" s="309">
        <v>24.613900000000001</v>
      </c>
      <c r="AT1227" s="309">
        <v>25.923999999999999</v>
      </c>
      <c r="AU1227" s="309">
        <v>28.011800000000001</v>
      </c>
      <c r="AV1227" s="309">
        <v>26.1142</v>
      </c>
      <c r="AW1227" s="309">
        <v>21.236899999999999</v>
      </c>
      <c r="AX1227" s="309">
        <v>26.436299999999999</v>
      </c>
      <c r="AY1227" s="309">
        <v>22.960599999999999</v>
      </c>
      <c r="AZ1227" s="309">
        <v>24.943000000000001</v>
      </c>
      <c r="BA1227" s="309">
        <v>24.145199999999999</v>
      </c>
      <c r="BB1227" s="309">
        <v>24.507100000000001</v>
      </c>
      <c r="BC1227" s="309">
        <v>23.744299999999999</v>
      </c>
      <c r="BD1227" s="309">
        <v>24.284400000000002</v>
      </c>
      <c r="BE1227" s="309">
        <v>26.292000000000002</v>
      </c>
      <c r="BF1227" s="309">
        <v>25.8034</v>
      </c>
      <c r="BG1227" s="309">
        <v>26.563600000000001</v>
      </c>
      <c r="BH1227" s="309">
        <v>27.526199999999999</v>
      </c>
      <c r="BI1227" s="309">
        <v>28.629300000000001</v>
      </c>
      <c r="BJ1227" s="309">
        <v>24.9818</v>
      </c>
      <c r="BK1227" s="309">
        <v>23.9892</v>
      </c>
    </row>
    <row r="1228" spans="1:63" x14ac:dyDescent="0.25">
      <c r="A1228" s="306" t="s">
        <v>788</v>
      </c>
      <c r="B1228" s="309" t="s">
        <v>358</v>
      </c>
      <c r="C1228" s="309">
        <v>24.9695</v>
      </c>
      <c r="D1228" s="309">
        <v>15.841799999999999</v>
      </c>
      <c r="E1228" s="309">
        <v>21.031600000000001</v>
      </c>
      <c r="F1228" s="309">
        <v>19.731300000000001</v>
      </c>
      <c r="G1228" s="309">
        <v>18.822399999999998</v>
      </c>
      <c r="H1228" s="309">
        <v>19.150400000000001</v>
      </c>
      <c r="I1228" s="309">
        <v>19.6051</v>
      </c>
      <c r="J1228" s="309">
        <v>14.9129</v>
      </c>
      <c r="K1228" s="309">
        <v>3.1936</v>
      </c>
      <c r="L1228" s="309">
        <v>16.777699999999999</v>
      </c>
      <c r="M1228" s="309">
        <v>21.305399999999999</v>
      </c>
      <c r="N1228" s="309">
        <v>21.381</v>
      </c>
      <c r="O1228" s="309">
        <v>16.139600000000002</v>
      </c>
      <c r="P1228" s="309">
        <v>18.648199999999999</v>
      </c>
      <c r="Q1228" s="309">
        <v>18.841200000000001</v>
      </c>
      <c r="R1228" s="309">
        <v>20.290400000000002</v>
      </c>
      <c r="S1228" s="309">
        <v>18.820499999999999</v>
      </c>
      <c r="T1228" s="309">
        <v>18.768899999999999</v>
      </c>
      <c r="U1228" s="309">
        <v>20.253399999999999</v>
      </c>
      <c r="V1228" s="309">
        <v>19.2822</v>
      </c>
      <c r="W1228" s="309">
        <v>16.658100000000001</v>
      </c>
      <c r="X1228" s="309">
        <v>17.0351</v>
      </c>
      <c r="Y1228" s="309">
        <v>20.298200000000001</v>
      </c>
      <c r="Z1228" s="309">
        <v>20.287099999999999</v>
      </c>
      <c r="AA1228" s="309">
        <v>20.3127</v>
      </c>
      <c r="AB1228" s="309">
        <v>18.696000000000002</v>
      </c>
      <c r="AC1228" s="309">
        <v>18.2742</v>
      </c>
      <c r="AD1228" s="309">
        <v>20.484200000000001</v>
      </c>
      <c r="AE1228" s="309">
        <v>20.776700000000002</v>
      </c>
      <c r="AF1228" s="309">
        <v>16.5989</v>
      </c>
      <c r="AG1228" s="309">
        <v>16.733499999999999</v>
      </c>
      <c r="AH1228" s="309">
        <v>21.0609</v>
      </c>
      <c r="AI1228" s="309">
        <v>18.424900000000001</v>
      </c>
      <c r="AJ1228" s="309">
        <v>19.27</v>
      </c>
      <c r="AK1228" s="309">
        <v>17.290199999999999</v>
      </c>
      <c r="AL1228" s="309">
        <v>13.827400000000001</v>
      </c>
      <c r="AM1228" s="309">
        <v>20.8049</v>
      </c>
      <c r="AN1228" s="309">
        <v>21.969000000000001</v>
      </c>
      <c r="AO1228" s="309">
        <v>18.9268</v>
      </c>
      <c r="AP1228" s="309">
        <v>18.691400000000002</v>
      </c>
      <c r="AQ1228" s="309">
        <v>18.082000000000001</v>
      </c>
      <c r="AR1228" s="309">
        <v>22.041899999999998</v>
      </c>
      <c r="AS1228" s="309">
        <v>15.072699999999999</v>
      </c>
      <c r="AT1228" s="309">
        <v>20.152200000000001</v>
      </c>
      <c r="AU1228" s="309">
        <v>21.482500000000002</v>
      </c>
      <c r="AV1228" s="309">
        <v>22.7944</v>
      </c>
      <c r="AW1228" s="309">
        <v>15.753399999999999</v>
      </c>
      <c r="AX1228" s="309">
        <v>17.924099999999999</v>
      </c>
      <c r="AY1228" s="309">
        <v>17.056000000000001</v>
      </c>
      <c r="AZ1228" s="309">
        <v>20.631699999999999</v>
      </c>
      <c r="BA1228" s="309">
        <v>18.586400000000001</v>
      </c>
      <c r="BB1228" s="309">
        <v>14.839399999999999</v>
      </c>
      <c r="BC1228" s="309">
        <v>19.006799999999998</v>
      </c>
      <c r="BD1228" s="309">
        <v>18.354900000000001</v>
      </c>
      <c r="BE1228" s="309">
        <v>21.750399999999999</v>
      </c>
      <c r="BF1228" s="309">
        <v>20.153500000000001</v>
      </c>
      <c r="BG1228" s="309">
        <v>21.348299999999998</v>
      </c>
      <c r="BH1228" s="309">
        <v>21.111599999999999</v>
      </c>
      <c r="BI1228" s="309">
        <v>22.563500000000001</v>
      </c>
      <c r="BJ1228" s="309">
        <v>20.7986</v>
      </c>
      <c r="BK1228" s="309">
        <v>19.432500000000001</v>
      </c>
    </row>
    <row r="1229" spans="1:63" x14ac:dyDescent="0.25">
      <c r="A1229" s="306" t="s">
        <v>789</v>
      </c>
      <c r="B1229" s="309" t="s">
        <v>359</v>
      </c>
      <c r="C1229" s="309">
        <v>26.569400000000002</v>
      </c>
      <c r="D1229" s="309">
        <v>16.352900000000002</v>
      </c>
      <c r="E1229" s="309">
        <v>22.378499999999999</v>
      </c>
      <c r="F1229" s="309">
        <v>21.056100000000001</v>
      </c>
      <c r="G1229" s="309">
        <v>22.6313</v>
      </c>
      <c r="H1229" s="309">
        <v>19.714400000000001</v>
      </c>
      <c r="I1229" s="309">
        <v>19.426400000000001</v>
      </c>
      <c r="J1229" s="309">
        <v>19.110099999999999</v>
      </c>
      <c r="K1229" s="309">
        <v>3.0417999999999998</v>
      </c>
      <c r="L1229" s="309">
        <v>20.9069</v>
      </c>
      <c r="M1229" s="309">
        <v>21.6828</v>
      </c>
      <c r="N1229" s="309">
        <v>22.7974</v>
      </c>
      <c r="O1229" s="309">
        <v>20.043900000000001</v>
      </c>
      <c r="P1229" s="309">
        <v>22.020700000000001</v>
      </c>
      <c r="Q1229" s="309">
        <v>22.750299999999999</v>
      </c>
      <c r="R1229" s="309">
        <v>18.241700000000002</v>
      </c>
      <c r="S1229" s="309">
        <v>24.200299999999999</v>
      </c>
      <c r="T1229" s="309">
        <v>18.6098</v>
      </c>
      <c r="U1229" s="309">
        <v>22.265999999999998</v>
      </c>
      <c r="V1229" s="309">
        <v>20.282399999999999</v>
      </c>
      <c r="W1229" s="309">
        <v>19.850000000000001</v>
      </c>
      <c r="X1229" s="309">
        <v>16.372800000000002</v>
      </c>
      <c r="Y1229" s="309">
        <v>25.617699999999999</v>
      </c>
      <c r="Z1229" s="309">
        <v>21.875599999999999</v>
      </c>
      <c r="AA1229" s="309">
        <v>25.391300000000001</v>
      </c>
      <c r="AB1229" s="309">
        <v>22.1129</v>
      </c>
      <c r="AC1229" s="309">
        <v>20.792000000000002</v>
      </c>
      <c r="AD1229" s="309">
        <v>23.0929</v>
      </c>
      <c r="AE1229" s="309">
        <v>25.023299999999999</v>
      </c>
      <c r="AF1229" s="309">
        <v>24.1006</v>
      </c>
      <c r="AG1229" s="309">
        <v>22.321400000000001</v>
      </c>
      <c r="AH1229" s="309">
        <v>20.471599999999999</v>
      </c>
      <c r="AI1229" s="309">
        <v>17.9316</v>
      </c>
      <c r="AJ1229" s="309">
        <v>21.233499999999999</v>
      </c>
      <c r="AK1229" s="309">
        <v>16.299199999999999</v>
      </c>
      <c r="AL1229" s="309">
        <v>14.492000000000001</v>
      </c>
      <c r="AM1229" s="309">
        <v>26.926400000000001</v>
      </c>
      <c r="AN1229" s="309">
        <v>22.499700000000001</v>
      </c>
      <c r="AO1229" s="309">
        <v>20.9375</v>
      </c>
      <c r="AP1229" s="309">
        <v>24.472999999999999</v>
      </c>
      <c r="AQ1229" s="309">
        <v>20.838899999999999</v>
      </c>
      <c r="AR1229" s="309">
        <v>22.257400000000001</v>
      </c>
      <c r="AS1229" s="309">
        <v>23.379000000000001</v>
      </c>
      <c r="AT1229" s="309">
        <v>24.0961</v>
      </c>
      <c r="AU1229" s="309">
        <v>23.101199999999999</v>
      </c>
      <c r="AV1229" s="309">
        <v>24.0959</v>
      </c>
      <c r="AW1229" s="309">
        <v>15.0618</v>
      </c>
      <c r="AX1229" s="309">
        <v>21.7026</v>
      </c>
      <c r="AY1229" s="309">
        <v>20.595600000000001</v>
      </c>
      <c r="AZ1229" s="309">
        <v>26.414200000000001</v>
      </c>
      <c r="BA1229" s="309">
        <v>23.838200000000001</v>
      </c>
      <c r="BB1229" s="309">
        <v>22.056899999999999</v>
      </c>
      <c r="BC1229" s="309">
        <v>22.285</v>
      </c>
      <c r="BD1229" s="309">
        <v>20.453900000000001</v>
      </c>
      <c r="BE1229" s="309">
        <v>22.921800000000001</v>
      </c>
      <c r="BF1229" s="309">
        <v>24.047499999999999</v>
      </c>
      <c r="BG1229" s="309">
        <v>21.571400000000001</v>
      </c>
      <c r="BH1229" s="309">
        <v>24.126799999999999</v>
      </c>
      <c r="BI1229" s="309">
        <v>23.5762</v>
      </c>
      <c r="BJ1229" s="309">
        <v>21.883900000000001</v>
      </c>
      <c r="BK1229" s="309">
        <v>20.703800000000001</v>
      </c>
    </row>
    <row r="1230" spans="1:63" x14ac:dyDescent="0.25">
      <c r="A1230" s="306" t="s">
        <v>790</v>
      </c>
      <c r="B1230" s="309" t="s">
        <v>791</v>
      </c>
      <c r="C1230" s="309">
        <v>14.812900000000001</v>
      </c>
      <c r="D1230" s="309">
        <v>7.6882000000000001</v>
      </c>
      <c r="E1230" s="309">
        <v>10.8408</v>
      </c>
      <c r="F1230" s="309">
        <v>9.2279</v>
      </c>
      <c r="G1230" s="309">
        <v>9.8670000000000009</v>
      </c>
      <c r="H1230" s="309">
        <v>9.7188999999999997</v>
      </c>
      <c r="I1230" s="309">
        <v>10.9184</v>
      </c>
      <c r="J1230" s="309">
        <v>7.3925999999999998</v>
      </c>
      <c r="K1230" s="309">
        <v>1.05</v>
      </c>
      <c r="L1230" s="309">
        <v>7.6300999999999997</v>
      </c>
      <c r="M1230" s="309">
        <v>10.9237</v>
      </c>
      <c r="N1230" s="309">
        <v>11.079599999999999</v>
      </c>
      <c r="O1230" s="309">
        <v>9.6547000000000001</v>
      </c>
      <c r="P1230" s="309">
        <v>7.6441999999999997</v>
      </c>
      <c r="Q1230" s="309">
        <v>8.4853000000000005</v>
      </c>
      <c r="R1230" s="309">
        <v>10.2668</v>
      </c>
      <c r="S1230" s="309">
        <v>10.729799999999999</v>
      </c>
      <c r="T1230" s="309">
        <v>7.7266000000000004</v>
      </c>
      <c r="U1230" s="309">
        <v>10.782500000000001</v>
      </c>
      <c r="V1230" s="309">
        <v>10.003299999999999</v>
      </c>
      <c r="W1230" s="309">
        <v>8.0190000000000001</v>
      </c>
      <c r="X1230" s="309">
        <v>8.8391000000000002</v>
      </c>
      <c r="Y1230" s="309">
        <v>10.865500000000001</v>
      </c>
      <c r="Z1230" s="309">
        <v>10.9498</v>
      </c>
      <c r="AA1230" s="309">
        <v>10.042299999999999</v>
      </c>
      <c r="AB1230" s="309">
        <v>10.769600000000001</v>
      </c>
      <c r="AC1230" s="309">
        <v>9.8704999999999998</v>
      </c>
      <c r="AD1230" s="309">
        <v>9.7470999999999997</v>
      </c>
      <c r="AE1230" s="309">
        <v>10.315099999999999</v>
      </c>
      <c r="AF1230" s="309">
        <v>7.0155000000000003</v>
      </c>
      <c r="AG1230" s="309">
        <v>7.1547000000000001</v>
      </c>
      <c r="AH1230" s="309">
        <v>8.9532000000000007</v>
      </c>
      <c r="AI1230" s="309">
        <v>9.0265000000000004</v>
      </c>
      <c r="AJ1230" s="309">
        <v>9.7043999999999997</v>
      </c>
      <c r="AK1230" s="309">
        <v>8.1531000000000002</v>
      </c>
      <c r="AL1230" s="309">
        <v>6.6660000000000004</v>
      </c>
      <c r="AM1230" s="309">
        <v>11.6776</v>
      </c>
      <c r="AN1230" s="309">
        <v>10.9209</v>
      </c>
      <c r="AO1230" s="309">
        <v>10.289099999999999</v>
      </c>
      <c r="AP1230" s="309">
        <v>10.9129</v>
      </c>
      <c r="AQ1230" s="309">
        <v>8.9672999999999998</v>
      </c>
      <c r="AR1230" s="309">
        <v>11.696300000000001</v>
      </c>
      <c r="AS1230" s="309">
        <v>7.3284000000000002</v>
      </c>
      <c r="AT1230" s="309">
        <v>11.0404</v>
      </c>
      <c r="AU1230" s="309">
        <v>11.5587</v>
      </c>
      <c r="AV1230" s="309">
        <v>12.9856</v>
      </c>
      <c r="AW1230" s="309">
        <v>9.4626999999999999</v>
      </c>
      <c r="AX1230" s="309">
        <v>9.3690999999999995</v>
      </c>
      <c r="AY1230" s="309">
        <v>9.9573999999999998</v>
      </c>
      <c r="AZ1230" s="309">
        <v>10.7936</v>
      </c>
      <c r="BA1230" s="309">
        <v>9.2545999999999999</v>
      </c>
      <c r="BB1230" s="309">
        <v>6.7991000000000001</v>
      </c>
      <c r="BC1230" s="309">
        <v>9.6763999999999992</v>
      </c>
      <c r="BD1230" s="309">
        <v>9.7393000000000001</v>
      </c>
      <c r="BE1230" s="309">
        <v>11.9975</v>
      </c>
      <c r="BF1230" s="309">
        <v>10.1958</v>
      </c>
      <c r="BG1230" s="309">
        <v>12.027900000000001</v>
      </c>
      <c r="BH1230" s="309">
        <v>11.7517</v>
      </c>
      <c r="BI1230" s="309">
        <v>12.041600000000001</v>
      </c>
      <c r="BJ1230" s="309">
        <v>11.281700000000001</v>
      </c>
      <c r="BK1230" s="309">
        <v>10.321400000000001</v>
      </c>
    </row>
    <row r="1231" spans="1:63" x14ac:dyDescent="0.25">
      <c r="A1231" s="306" t="s">
        <v>792</v>
      </c>
      <c r="B1231" s="309" t="s">
        <v>793</v>
      </c>
      <c r="C1231" s="309">
        <v>5.1703999999999999</v>
      </c>
      <c r="D1231" s="309">
        <v>1.9639</v>
      </c>
      <c r="E1231" s="309">
        <v>3.5449000000000002</v>
      </c>
      <c r="F1231" s="309">
        <v>2.5446</v>
      </c>
      <c r="G1231" s="309">
        <v>3.5756999999999999</v>
      </c>
      <c r="H1231" s="309">
        <v>3.2097000000000002</v>
      </c>
      <c r="I1231" s="309">
        <v>3.9436</v>
      </c>
      <c r="J1231" s="309">
        <v>2.6244999999999998</v>
      </c>
      <c r="K1231" s="309">
        <v>0.37680000000000002</v>
      </c>
      <c r="L1231" s="309">
        <v>2.7589999999999999</v>
      </c>
      <c r="M1231" s="309">
        <v>4.0843999999999996</v>
      </c>
      <c r="N1231" s="309">
        <v>4.0384000000000002</v>
      </c>
      <c r="O1231" s="309">
        <v>2.7846000000000002</v>
      </c>
      <c r="P1231" s="309">
        <v>2.7248000000000001</v>
      </c>
      <c r="Q1231" s="309">
        <v>2.6646000000000001</v>
      </c>
      <c r="R1231" s="309">
        <v>3.6208999999999998</v>
      </c>
      <c r="S1231" s="309">
        <v>3.3161999999999998</v>
      </c>
      <c r="T1231" s="309">
        <v>2.2875999999999999</v>
      </c>
      <c r="U1231" s="309">
        <v>3.4828999999999999</v>
      </c>
      <c r="V1231" s="309">
        <v>2.8426999999999998</v>
      </c>
      <c r="W1231" s="309">
        <v>2.5375999999999999</v>
      </c>
      <c r="X1231" s="309">
        <v>3.169</v>
      </c>
      <c r="Y1231" s="309">
        <v>3.7214999999999998</v>
      </c>
      <c r="Z1231" s="309">
        <v>3.1023999999999998</v>
      </c>
      <c r="AA1231" s="309">
        <v>3.2924000000000002</v>
      </c>
      <c r="AB1231" s="309">
        <v>3.6617000000000002</v>
      </c>
      <c r="AC1231" s="309">
        <v>3.0015999999999998</v>
      </c>
      <c r="AD1231" s="309">
        <v>2.8864999999999998</v>
      </c>
      <c r="AE1231" s="309">
        <v>3.4782999999999999</v>
      </c>
      <c r="AF1231" s="309">
        <v>1.9995000000000001</v>
      </c>
      <c r="AG1231" s="309">
        <v>2.4802</v>
      </c>
      <c r="AH1231" s="309">
        <v>2.9921000000000002</v>
      </c>
      <c r="AI1231" s="309">
        <v>3.1606999999999998</v>
      </c>
      <c r="AJ1231" s="309">
        <v>2.7077</v>
      </c>
      <c r="AK1231" s="309">
        <v>3.0059</v>
      </c>
      <c r="AL1231" s="309">
        <v>2.2829999999999999</v>
      </c>
      <c r="AM1231" s="309">
        <v>3.7408999999999999</v>
      </c>
      <c r="AN1231" s="309">
        <v>3.1716000000000002</v>
      </c>
      <c r="AO1231" s="309">
        <v>3.5339</v>
      </c>
      <c r="AP1231" s="309">
        <v>3.5771000000000002</v>
      </c>
      <c r="AQ1231" s="309">
        <v>2.9087999999999998</v>
      </c>
      <c r="AR1231" s="309">
        <v>4.3495999999999997</v>
      </c>
      <c r="AS1231" s="309">
        <v>2.6076999999999999</v>
      </c>
      <c r="AT1231" s="309">
        <v>3.7856000000000001</v>
      </c>
      <c r="AU1231" s="309">
        <v>4.0888999999999998</v>
      </c>
      <c r="AV1231" s="309">
        <v>4.8871000000000002</v>
      </c>
      <c r="AW1231" s="309">
        <v>3.2932000000000001</v>
      </c>
      <c r="AX1231" s="309">
        <v>2.8986999999999998</v>
      </c>
      <c r="AY1231" s="309">
        <v>3.2429999999999999</v>
      </c>
      <c r="AZ1231" s="309">
        <v>3.3931</v>
      </c>
      <c r="BA1231" s="309">
        <v>2.4533999999999998</v>
      </c>
      <c r="BB1231" s="309">
        <v>1.913</v>
      </c>
      <c r="BC1231" s="309">
        <v>3.226</v>
      </c>
      <c r="BD1231" s="309">
        <v>3.4361999999999999</v>
      </c>
      <c r="BE1231" s="309">
        <v>3.8906000000000001</v>
      </c>
      <c r="BF1231" s="309">
        <v>3.4226000000000001</v>
      </c>
      <c r="BG1231" s="309">
        <v>4.3787000000000003</v>
      </c>
      <c r="BH1231" s="309">
        <v>3.8894000000000002</v>
      </c>
      <c r="BI1231" s="309">
        <v>4.2138999999999998</v>
      </c>
      <c r="BJ1231" s="309">
        <v>4.0126999999999997</v>
      </c>
      <c r="BK1231" s="309">
        <v>3.4580000000000002</v>
      </c>
    </row>
    <row r="1232" spans="1:63" x14ac:dyDescent="0.25">
      <c r="A1232" s="306" t="s">
        <v>794</v>
      </c>
      <c r="B1232" s="309" t="s">
        <v>795</v>
      </c>
      <c r="C1232" s="309">
        <v>19.040099999999999</v>
      </c>
      <c r="D1232" s="309">
        <v>11.331099999999999</v>
      </c>
      <c r="E1232" s="309">
        <v>15.842000000000001</v>
      </c>
      <c r="F1232" s="309">
        <v>14.1044</v>
      </c>
      <c r="G1232" s="309">
        <v>13.7957</v>
      </c>
      <c r="H1232" s="309">
        <v>12.8184</v>
      </c>
      <c r="I1232" s="309">
        <v>15.117000000000001</v>
      </c>
      <c r="J1232" s="309">
        <v>10.0372</v>
      </c>
      <c r="K1232" s="309">
        <v>1.3327</v>
      </c>
      <c r="L1232" s="309">
        <v>10.464600000000001</v>
      </c>
      <c r="M1232" s="309">
        <v>15.38</v>
      </c>
      <c r="N1232" s="309">
        <v>16.354399999999998</v>
      </c>
      <c r="O1232" s="309">
        <v>13.4489</v>
      </c>
      <c r="P1232" s="309">
        <v>10.651999999999999</v>
      </c>
      <c r="Q1232" s="309">
        <v>14.229699999999999</v>
      </c>
      <c r="R1232" s="309">
        <v>13.0304</v>
      </c>
      <c r="S1232" s="309">
        <v>14.146800000000001</v>
      </c>
      <c r="T1232" s="309">
        <v>12.540699999999999</v>
      </c>
      <c r="U1232" s="309">
        <v>14.373799999999999</v>
      </c>
      <c r="V1232" s="309">
        <v>15.1615</v>
      </c>
      <c r="W1232" s="309">
        <v>10.686</v>
      </c>
      <c r="X1232" s="309">
        <v>13.4315</v>
      </c>
      <c r="Y1232" s="309">
        <v>14.748100000000001</v>
      </c>
      <c r="Z1232" s="309">
        <v>14.2287</v>
      </c>
      <c r="AA1232" s="309">
        <v>12.6158</v>
      </c>
      <c r="AB1232" s="309">
        <v>13.792299999999999</v>
      </c>
      <c r="AC1232" s="309">
        <v>14.672599999999999</v>
      </c>
      <c r="AD1232" s="309">
        <v>15.3086</v>
      </c>
      <c r="AE1232" s="309">
        <v>15.851800000000001</v>
      </c>
      <c r="AF1232" s="309">
        <v>11.9352</v>
      </c>
      <c r="AG1232" s="309">
        <v>10.7285</v>
      </c>
      <c r="AH1232" s="309">
        <v>14.148300000000001</v>
      </c>
      <c r="AI1232" s="309">
        <v>11.692299999999999</v>
      </c>
      <c r="AJ1232" s="309">
        <v>14.8522</v>
      </c>
      <c r="AK1232" s="309">
        <v>11.554500000000001</v>
      </c>
      <c r="AL1232" s="309">
        <v>10.009399999999999</v>
      </c>
      <c r="AM1232" s="309">
        <v>14.5526</v>
      </c>
      <c r="AN1232" s="309">
        <v>16.827400000000001</v>
      </c>
      <c r="AO1232" s="309">
        <v>13.400700000000001</v>
      </c>
      <c r="AP1232" s="309">
        <v>14.6355</v>
      </c>
      <c r="AQ1232" s="309">
        <v>11.937900000000001</v>
      </c>
      <c r="AR1232" s="309">
        <v>16.0608</v>
      </c>
      <c r="AS1232" s="309">
        <v>12.386200000000001</v>
      </c>
      <c r="AT1232" s="309">
        <v>15.125299999999999</v>
      </c>
      <c r="AU1232" s="309">
        <v>16.3171</v>
      </c>
      <c r="AV1232" s="309">
        <v>17.821899999999999</v>
      </c>
      <c r="AW1232" s="309">
        <v>13.0076</v>
      </c>
      <c r="AX1232" s="309">
        <v>12.223800000000001</v>
      </c>
      <c r="AY1232" s="309">
        <v>13.331</v>
      </c>
      <c r="AZ1232" s="309">
        <v>14.3177</v>
      </c>
      <c r="BA1232" s="309">
        <v>14.2508</v>
      </c>
      <c r="BB1232" s="309">
        <v>12.6302</v>
      </c>
      <c r="BC1232" s="309">
        <v>12.918100000000001</v>
      </c>
      <c r="BD1232" s="309">
        <v>13.2409</v>
      </c>
      <c r="BE1232" s="309">
        <v>15.032299999999999</v>
      </c>
      <c r="BF1232" s="309">
        <v>13.7415</v>
      </c>
      <c r="BG1232" s="309">
        <v>16.795100000000001</v>
      </c>
      <c r="BH1232" s="309">
        <v>16.392600000000002</v>
      </c>
      <c r="BI1232" s="309">
        <v>17.194099999999999</v>
      </c>
      <c r="BJ1232" s="309">
        <v>15.849</v>
      </c>
      <c r="BK1232" s="309">
        <v>13.6638</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BM1232"/>
  <sheetViews>
    <sheetView workbookViewId="0">
      <pane xSplit="2" ySplit="2" topLeftCell="C3" activePane="bottomRight" state="frozen"/>
      <selection pane="topRight" activeCell="C1" sqref="C1"/>
      <selection pane="bottomLeft" activeCell="A3" sqref="A3"/>
      <selection pane="bottomRight" activeCell="BG399" sqref="BG399"/>
    </sheetView>
  </sheetViews>
  <sheetFormatPr defaultRowHeight="15" x14ac:dyDescent="0.25"/>
  <cols>
    <col min="1" max="1" width="7.28515625" style="132" bestFit="1" customWidth="1"/>
    <col min="2" max="2" width="23.42578125" bestFit="1" customWidth="1"/>
    <col min="3" max="3" width="24.28515625" bestFit="1" customWidth="1"/>
    <col min="4" max="4" width="14.28515625" bestFit="1" customWidth="1"/>
    <col min="5" max="5" width="14" bestFit="1" customWidth="1"/>
    <col min="6" max="6" width="14.28515625" bestFit="1" customWidth="1"/>
    <col min="7" max="7" width="14.140625" bestFit="1" customWidth="1"/>
    <col min="8" max="8" width="14.28515625" bestFit="1" customWidth="1"/>
    <col min="9" max="9" width="14.42578125" bestFit="1" customWidth="1"/>
    <col min="10" max="10" width="14" bestFit="1" customWidth="1"/>
    <col min="11" max="11" width="14.28515625" bestFit="1" customWidth="1"/>
    <col min="12" max="12" width="14.140625" bestFit="1" customWidth="1"/>
    <col min="13" max="13" width="13.7109375" bestFit="1" customWidth="1"/>
    <col min="14" max="14" width="14.42578125" bestFit="1" customWidth="1"/>
    <col min="15" max="17" width="13.7109375" bestFit="1" customWidth="1"/>
    <col min="18" max="18" width="13.28515625" bestFit="1" customWidth="1"/>
    <col min="19" max="19" width="13.85546875" bestFit="1" customWidth="1"/>
    <col min="20" max="22" width="14" bestFit="1" customWidth="1"/>
    <col min="23" max="24" width="14.85546875" bestFit="1" customWidth="1"/>
    <col min="25" max="25" width="14.5703125" bestFit="1" customWidth="1"/>
    <col min="26" max="26" width="14.140625" bestFit="1" customWidth="1"/>
    <col min="27" max="28" width="15" bestFit="1" customWidth="1"/>
    <col min="29" max="30" width="14.5703125" bestFit="1" customWidth="1"/>
    <col min="31" max="31" width="14.42578125" bestFit="1" customWidth="1"/>
    <col min="32" max="32" width="14.5703125" bestFit="1" customWidth="1"/>
    <col min="33" max="33" width="14.28515625" bestFit="1" customWidth="1"/>
    <col min="34" max="34" width="14.5703125" bestFit="1" customWidth="1"/>
    <col min="35" max="35" width="14" bestFit="1" customWidth="1"/>
    <col min="36" max="36" width="15" bestFit="1" customWidth="1"/>
    <col min="37" max="37" width="14.5703125" bestFit="1" customWidth="1"/>
    <col min="38" max="38" width="14.28515625" bestFit="1" customWidth="1"/>
    <col min="39" max="39" width="14.5703125" bestFit="1" customWidth="1"/>
    <col min="40" max="41" width="14.42578125" bestFit="1" customWidth="1"/>
    <col min="42" max="42" width="14.28515625" bestFit="1" customWidth="1"/>
    <col min="43" max="43" width="13.5703125" bestFit="1" customWidth="1"/>
    <col min="44" max="44" width="14" bestFit="1" customWidth="1"/>
    <col min="45" max="45" width="14.140625" bestFit="1" customWidth="1"/>
    <col min="46" max="46" width="14.28515625" bestFit="1" customWidth="1"/>
    <col min="47" max="47" width="14" bestFit="1" customWidth="1"/>
    <col min="48" max="48" width="14.140625" bestFit="1" customWidth="1"/>
    <col min="49" max="49" width="14.42578125" bestFit="1" customWidth="1"/>
    <col min="50" max="50" width="14.140625" bestFit="1" customWidth="1"/>
    <col min="51" max="51" width="15" bestFit="1" customWidth="1"/>
    <col min="52" max="52" width="14.28515625" bestFit="1" customWidth="1"/>
    <col min="53" max="53" width="15" bestFit="1" customWidth="1"/>
    <col min="54" max="54" width="14.7109375" bestFit="1" customWidth="1"/>
    <col min="55" max="55" width="30" bestFit="1" customWidth="1"/>
    <col min="56" max="56" width="29" bestFit="1" customWidth="1"/>
    <col min="57" max="57" width="28.5703125" bestFit="1" customWidth="1"/>
    <col min="58" max="58" width="29.42578125" bestFit="1" customWidth="1"/>
    <col min="59" max="59" width="26.5703125" bestFit="1" customWidth="1"/>
    <col min="60" max="60" width="28.140625" bestFit="1" customWidth="1"/>
    <col min="61" max="61" width="29" bestFit="1" customWidth="1"/>
    <col min="62" max="62" width="26.28515625" bestFit="1" customWidth="1"/>
    <col min="63" max="63" width="23.28515625" bestFit="1" customWidth="1"/>
  </cols>
  <sheetData>
    <row r="2" spans="1:63" s="134" customFormat="1" ht="64.5" customHeight="1" x14ac:dyDescent="0.25">
      <c r="A2" s="134" t="s">
        <v>582</v>
      </c>
      <c r="B2" s="134" t="s">
        <v>412</v>
      </c>
      <c r="C2" s="134" t="str">
        <f>RIMS_lists!C1</f>
        <v>USA-National</v>
      </c>
      <c r="D2" s="134" t="str">
        <f>RIMS_lists!D1</f>
        <v>AK</v>
      </c>
      <c r="E2" s="134" t="str">
        <f>RIMS_lists!E1</f>
        <v>AL</v>
      </c>
      <c r="F2" s="134" t="str">
        <f>RIMS_lists!F1</f>
        <v>AR</v>
      </c>
      <c r="G2" s="134" t="str">
        <f>RIMS_lists!G1</f>
        <v>AZ</v>
      </c>
      <c r="H2" s="134" t="str">
        <f>RIMS_lists!H1</f>
        <v>CA</v>
      </c>
      <c r="I2" s="134" t="str">
        <f>RIMS_lists!I1</f>
        <v>CO</v>
      </c>
      <c r="J2" s="134" t="str">
        <f>RIMS_lists!J1</f>
        <v>CT</v>
      </c>
      <c r="K2" s="134" t="e">
        <f>RIMS_lists!#REF!</f>
        <v>#REF!</v>
      </c>
      <c r="L2" s="134" t="str">
        <f>RIMS_lists!K1</f>
        <v>DE</v>
      </c>
      <c r="M2" s="134" t="str">
        <f>RIMS_lists!L1</f>
        <v>FL</v>
      </c>
      <c r="N2" s="134" t="str">
        <f>RIMS_lists!M1</f>
        <v>GA</v>
      </c>
      <c r="O2" s="134" t="str">
        <f>RIMS_lists!N1</f>
        <v>HI</v>
      </c>
      <c r="P2" s="134" t="str">
        <f>RIMS_lists!O1</f>
        <v>IA</v>
      </c>
      <c r="Q2" s="134" t="str">
        <f>RIMS_lists!P1</f>
        <v>ID</v>
      </c>
      <c r="R2" s="134" t="str">
        <f>RIMS_lists!Q1</f>
        <v>IL</v>
      </c>
      <c r="S2" s="134" t="str">
        <f>RIMS_lists!R1</f>
        <v>IN</v>
      </c>
      <c r="T2" s="134" t="str">
        <f>RIMS_lists!S1</f>
        <v>KS</v>
      </c>
      <c r="U2" s="134" t="str">
        <f>RIMS_lists!T1</f>
        <v>KY</v>
      </c>
      <c r="V2" s="134" t="str">
        <f>RIMS_lists!U1</f>
        <v>LA</v>
      </c>
      <c r="W2" s="134" t="str">
        <f>RIMS_lists!V1</f>
        <v>MA</v>
      </c>
      <c r="X2" s="134" t="str">
        <f>RIMS_lists!W1</f>
        <v>MD</v>
      </c>
      <c r="Y2" s="134" t="str">
        <f>RIMS_lists!X1</f>
        <v>ME</v>
      </c>
      <c r="Z2" s="134" t="str">
        <f>RIMS_lists!Y1</f>
        <v>MI</v>
      </c>
      <c r="AA2" s="134" t="str">
        <f>RIMS_lists!Z1</f>
        <v>MN</v>
      </c>
      <c r="AB2" s="134" t="str">
        <f>RIMS_lists!AA1</f>
        <v>MO</v>
      </c>
      <c r="AC2" s="134" t="str">
        <f>RIMS_lists!AB1</f>
        <v>MS</v>
      </c>
      <c r="AD2" s="134" t="str">
        <f>RIMS_lists!AC1</f>
        <v>MT</v>
      </c>
      <c r="AE2" s="134" t="str">
        <f>RIMS_lists!AD1</f>
        <v>NC</v>
      </c>
      <c r="AF2" s="134" t="str">
        <f>RIMS_lists!AE1</f>
        <v>ND</v>
      </c>
      <c r="AG2" s="134" t="str">
        <f>RIMS_lists!AF1</f>
        <v>NE</v>
      </c>
      <c r="AH2" s="134" t="str">
        <f>RIMS_lists!AG1</f>
        <v>NH</v>
      </c>
      <c r="AI2" s="134" t="str">
        <f>RIMS_lists!AH1</f>
        <v>NJ</v>
      </c>
      <c r="AJ2" s="134" t="str">
        <f>RIMS_lists!AI1</f>
        <v>NM</v>
      </c>
      <c r="AK2" s="134" t="str">
        <f>RIMS_lists!AJ1</f>
        <v>NV</v>
      </c>
      <c r="AL2" s="134" t="str">
        <f>RIMS_lists!AK1</f>
        <v>NY</v>
      </c>
      <c r="AM2" s="134" t="str">
        <f>RIMS_lists!AL1</f>
        <v>OH</v>
      </c>
      <c r="AN2" s="134" t="str">
        <f>RIMS_lists!AM1</f>
        <v>OK</v>
      </c>
      <c r="AO2" s="134" t="str">
        <f>RIMS_lists!AN1</f>
        <v>OR</v>
      </c>
      <c r="AP2" s="134" t="str">
        <f>RIMS_lists!AO1</f>
        <v>PA</v>
      </c>
      <c r="AQ2" s="134" t="str">
        <f>RIMS_lists!AP1</f>
        <v>RI</v>
      </c>
      <c r="AR2" s="134" t="str">
        <f>RIMS_lists!AQ1</f>
        <v>SC</v>
      </c>
      <c r="AS2" s="134" t="str">
        <f>RIMS_lists!AR1</f>
        <v>SD</v>
      </c>
      <c r="AT2" s="134" t="str">
        <f>RIMS_lists!AS1</f>
        <v>TN</v>
      </c>
      <c r="AU2" s="134" t="str">
        <f>RIMS_lists!AT1</f>
        <v>TX</v>
      </c>
      <c r="AV2" s="134" t="str">
        <f>RIMS_lists!AU1</f>
        <v>UT</v>
      </c>
      <c r="AW2" s="134" t="str">
        <f>RIMS_lists!AV1</f>
        <v>VA</v>
      </c>
      <c r="AX2" s="134" t="str">
        <f>RIMS_lists!AW1</f>
        <v>VT</v>
      </c>
      <c r="AY2" s="134" t="str">
        <f>RIMS_lists!AX1</f>
        <v>WA</v>
      </c>
      <c r="AZ2" s="134" t="str">
        <f>RIMS_lists!AY1</f>
        <v>WI</v>
      </c>
      <c r="BA2" s="134" t="str">
        <f>RIMS_lists!AZ1</f>
        <v>WV</v>
      </c>
      <c r="BB2" s="134" t="str">
        <f>RIMS_lists!BA1</f>
        <v>WY</v>
      </c>
      <c r="BC2" s="134" t="str">
        <f>RIMS_lists!BB1</f>
        <v>Census Division 1-New England</v>
      </c>
      <c r="BD2" s="134" t="str">
        <f>RIMS_lists!BC1</f>
        <v>Census Division 2-Middle Atlantic</v>
      </c>
      <c r="BE2" s="134" t="str">
        <f>RIMS_lists!BD1</f>
        <v>Census Division 3-East North Central</v>
      </c>
      <c r="BF2" s="134" t="str">
        <f>RIMS_lists!BE1</f>
        <v>Census Division 4-West North Central</v>
      </c>
      <c r="BG2" s="134" t="str">
        <f>RIMS_lists!BF1</f>
        <v>Census Division 5-South Atlantic</v>
      </c>
      <c r="BH2" s="134" t="str">
        <f>RIMS_lists!BG1</f>
        <v>Census Division 6-East South Central</v>
      </c>
      <c r="BI2" s="134" t="str">
        <f>RIMS_lists!BH1</f>
        <v>Census Division 7-West South Central</v>
      </c>
      <c r="BJ2" s="134" t="str">
        <f>RIMS_lists!BI1</f>
        <v>Census Division 8-Mountain</v>
      </c>
      <c r="BK2" s="134" t="str">
        <f>RIMS_lists!BJ1</f>
        <v>Census Division 9-Pacific</v>
      </c>
    </row>
    <row r="3" spans="1:63" x14ac:dyDescent="0.25">
      <c r="B3" s="133" t="s">
        <v>1061</v>
      </c>
    </row>
    <row r="4" spans="1:63" x14ac:dyDescent="0.25">
      <c r="A4" s="306" t="s">
        <v>617</v>
      </c>
      <c r="B4" s="310" t="s">
        <v>618</v>
      </c>
      <c r="C4" s="310" t="s">
        <v>1076</v>
      </c>
      <c r="D4" s="310" t="s">
        <v>1077</v>
      </c>
      <c r="E4" s="310" t="s">
        <v>1078</v>
      </c>
      <c r="F4" s="310" t="s">
        <v>1079</v>
      </c>
      <c r="G4" s="310" t="s">
        <v>1080</v>
      </c>
      <c r="H4" s="310" t="s">
        <v>1081</v>
      </c>
      <c r="I4" s="310" t="s">
        <v>1082</v>
      </c>
      <c r="J4" s="310" t="s">
        <v>1083</v>
      </c>
      <c r="K4" s="310" t="s">
        <v>1084</v>
      </c>
      <c r="L4" s="310" t="s">
        <v>1085</v>
      </c>
      <c r="M4" s="310" t="s">
        <v>1086</v>
      </c>
      <c r="N4" s="310" t="s">
        <v>1087</v>
      </c>
      <c r="O4" s="310" t="s">
        <v>1088</v>
      </c>
      <c r="P4" s="310" t="s">
        <v>1089</v>
      </c>
      <c r="Q4" s="310" t="s">
        <v>1090</v>
      </c>
      <c r="R4" s="310" t="s">
        <v>1091</v>
      </c>
      <c r="S4" s="310" t="s">
        <v>1092</v>
      </c>
      <c r="T4" s="310" t="s">
        <v>1093</v>
      </c>
      <c r="U4" s="310" t="s">
        <v>1094</v>
      </c>
      <c r="V4" s="310" t="s">
        <v>1095</v>
      </c>
      <c r="W4" s="310" t="s">
        <v>1096</v>
      </c>
      <c r="X4" s="310" t="s">
        <v>1097</v>
      </c>
      <c r="Y4" s="310" t="s">
        <v>1098</v>
      </c>
      <c r="Z4" s="310" t="s">
        <v>1099</v>
      </c>
      <c r="AA4" s="310" t="s">
        <v>1100</v>
      </c>
      <c r="AB4" s="310" t="s">
        <v>1101</v>
      </c>
      <c r="AC4" s="310" t="s">
        <v>1102</v>
      </c>
      <c r="AD4" s="310" t="s">
        <v>1103</v>
      </c>
      <c r="AE4" s="310" t="s">
        <v>1104</v>
      </c>
      <c r="AF4" s="310" t="s">
        <v>1105</v>
      </c>
      <c r="AG4" s="310" t="s">
        <v>1106</v>
      </c>
      <c r="AH4" s="310" t="s">
        <v>1107</v>
      </c>
      <c r="AI4" s="310" t="s">
        <v>1108</v>
      </c>
      <c r="AJ4" s="310" t="s">
        <v>1109</v>
      </c>
      <c r="AK4" s="310" t="s">
        <v>1110</v>
      </c>
      <c r="AL4" s="310" t="s">
        <v>1111</v>
      </c>
      <c r="AM4" s="310" t="s">
        <v>1112</v>
      </c>
      <c r="AN4" s="310" t="s">
        <v>1113</v>
      </c>
      <c r="AO4" s="310" t="s">
        <v>1114</v>
      </c>
      <c r="AP4" s="310" t="s">
        <v>1115</v>
      </c>
      <c r="AQ4" s="310" t="s">
        <v>1116</v>
      </c>
      <c r="AR4" s="310" t="s">
        <v>1117</v>
      </c>
      <c r="AS4" s="310" t="s">
        <v>1118</v>
      </c>
      <c r="AT4" s="310" t="s">
        <v>1119</v>
      </c>
      <c r="AU4" s="310" t="s">
        <v>1120</v>
      </c>
      <c r="AV4" s="310" t="s">
        <v>1121</v>
      </c>
      <c r="AW4" s="310" t="s">
        <v>1122</v>
      </c>
      <c r="AX4" s="310" t="s">
        <v>1123</v>
      </c>
      <c r="AY4" s="310" t="s">
        <v>1124</v>
      </c>
      <c r="AZ4" s="310" t="s">
        <v>1125</v>
      </c>
      <c r="BA4" s="310" t="s">
        <v>1126</v>
      </c>
      <c r="BB4" s="310" t="s">
        <v>1127</v>
      </c>
      <c r="BC4" s="310" t="s">
        <v>1128</v>
      </c>
      <c r="BD4" s="310" t="s">
        <v>1129</v>
      </c>
      <c r="BE4" s="310" t="s">
        <v>1130</v>
      </c>
      <c r="BF4" s="310" t="s">
        <v>1131</v>
      </c>
      <c r="BG4" s="310" t="s">
        <v>1132</v>
      </c>
      <c r="BH4" s="310" t="s">
        <v>1133</v>
      </c>
      <c r="BI4" s="310" t="s">
        <v>1134</v>
      </c>
      <c r="BJ4" s="310" t="s">
        <v>1135</v>
      </c>
      <c r="BK4" s="310" t="s">
        <v>1136</v>
      </c>
    </row>
    <row r="5" spans="1:63" x14ac:dyDescent="0.25">
      <c r="A5" s="306" t="s">
        <v>680</v>
      </c>
      <c r="B5" s="310" t="s">
        <v>681</v>
      </c>
      <c r="C5" s="310">
        <v>0.1184708</v>
      </c>
      <c r="D5" s="310">
        <v>9.9674600000000002E-2</v>
      </c>
      <c r="E5" s="310">
        <v>0.117003</v>
      </c>
      <c r="F5" s="310">
        <v>0.1158608</v>
      </c>
      <c r="G5" s="310">
        <v>0.1163092</v>
      </c>
      <c r="H5" s="310">
        <v>0.1178926</v>
      </c>
      <c r="I5" s="310">
        <v>0.11777219999999999</v>
      </c>
      <c r="J5" s="310">
        <v>0.1151064</v>
      </c>
      <c r="K5" s="310">
        <v>0</v>
      </c>
      <c r="L5" s="310">
        <v>0.108932</v>
      </c>
      <c r="M5" s="310">
        <v>0.1169864</v>
      </c>
      <c r="N5" s="310">
        <v>0.1165717</v>
      </c>
      <c r="O5" s="310">
        <v>0.117729</v>
      </c>
      <c r="P5" s="310">
        <v>0.1172021</v>
      </c>
      <c r="Q5" s="310">
        <v>0.1167661</v>
      </c>
      <c r="R5" s="310">
        <v>0.1168328</v>
      </c>
      <c r="S5" s="310">
        <v>0.1163545</v>
      </c>
      <c r="T5" s="310">
        <v>0.1166674</v>
      </c>
      <c r="U5" s="310">
        <v>0.1169092</v>
      </c>
      <c r="V5" s="310">
        <v>0.11691840000000001</v>
      </c>
      <c r="W5" s="310">
        <v>0.11369369999999999</v>
      </c>
      <c r="X5" s="310">
        <v>0.1142204</v>
      </c>
      <c r="Y5" s="310">
        <v>0.11816740000000001</v>
      </c>
      <c r="Z5" s="310">
        <v>0.11757629999999999</v>
      </c>
      <c r="AA5" s="310">
        <v>0.11645659999999999</v>
      </c>
      <c r="AB5" s="310">
        <v>0.1148894</v>
      </c>
      <c r="AC5" s="310">
        <v>0.11679730000000001</v>
      </c>
      <c r="AD5" s="310">
        <v>0.1174661</v>
      </c>
      <c r="AE5" s="310">
        <v>0.1172885</v>
      </c>
      <c r="AF5" s="310">
        <v>0.11626010000000001</v>
      </c>
      <c r="AG5" s="310">
        <v>0.1169264</v>
      </c>
      <c r="AH5" s="310">
        <v>0.11139880000000001</v>
      </c>
      <c r="AI5" s="310">
        <v>0.11374339999999999</v>
      </c>
      <c r="AJ5" s="310">
        <v>0.1146847</v>
      </c>
      <c r="AK5" s="310">
        <v>0.1142247</v>
      </c>
      <c r="AL5" s="310">
        <v>0.1169178</v>
      </c>
      <c r="AM5" s="310">
        <v>0.1173939</v>
      </c>
      <c r="AN5" s="310">
        <v>0.11507050000000001</v>
      </c>
      <c r="AO5" s="310">
        <v>0.1158238</v>
      </c>
      <c r="AP5" s="310">
        <v>0.11615159999999999</v>
      </c>
      <c r="AQ5" s="310">
        <v>0.1158786</v>
      </c>
      <c r="AR5" s="310">
        <v>0.11576450000000001</v>
      </c>
      <c r="AS5" s="310">
        <v>0.11711390000000001</v>
      </c>
      <c r="AT5" s="310">
        <v>0.1158206</v>
      </c>
      <c r="AU5" s="310">
        <v>0.11753769999999999</v>
      </c>
      <c r="AV5" s="310">
        <v>0.1172364</v>
      </c>
      <c r="AW5" s="310">
        <v>0.1150991</v>
      </c>
      <c r="AX5" s="310">
        <v>0.11605119999999999</v>
      </c>
      <c r="AY5" s="310">
        <v>0.11606610000000001</v>
      </c>
      <c r="AZ5" s="310">
        <v>0.11808009999999999</v>
      </c>
      <c r="BA5" s="310">
        <v>0.11592230000000001</v>
      </c>
      <c r="BB5" s="310">
        <v>0.1091626</v>
      </c>
      <c r="BC5" s="310">
        <v>0.1178897</v>
      </c>
      <c r="BD5" s="310">
        <v>0.117163</v>
      </c>
      <c r="BE5" s="310">
        <v>0.1179666</v>
      </c>
      <c r="BF5" s="310">
        <v>0.1178321</v>
      </c>
      <c r="BG5" s="310">
        <v>0.1174497</v>
      </c>
      <c r="BH5" s="310">
        <v>0.1174782</v>
      </c>
      <c r="BI5" s="310">
        <v>0.11756229999999999</v>
      </c>
      <c r="BJ5" s="310">
        <v>0.1173329</v>
      </c>
      <c r="BK5" s="310">
        <v>0.1178887</v>
      </c>
    </row>
    <row r="6" spans="1:63" x14ac:dyDescent="0.25">
      <c r="A6" s="306">
        <v>111200</v>
      </c>
      <c r="B6" s="310" t="s">
        <v>11</v>
      </c>
      <c r="C6" s="310">
        <v>0.1742253</v>
      </c>
      <c r="D6" s="310">
        <v>0.1465727</v>
      </c>
      <c r="E6" s="310">
        <v>0.17207990000000001</v>
      </c>
      <c r="F6" s="310">
        <v>0.17038929999999999</v>
      </c>
      <c r="G6" s="310">
        <v>0.17105770000000001</v>
      </c>
      <c r="H6" s="310">
        <v>0.1733509</v>
      </c>
      <c r="I6" s="310">
        <v>0.17325090000000001</v>
      </c>
      <c r="J6" s="310">
        <v>0.16924639999999999</v>
      </c>
      <c r="K6" s="310">
        <v>0</v>
      </c>
      <c r="L6" s="310">
        <v>0.1601929</v>
      </c>
      <c r="M6" s="310">
        <v>0.17207720000000001</v>
      </c>
      <c r="N6" s="310">
        <v>0.17144409999999999</v>
      </c>
      <c r="O6" s="310">
        <v>0.17312630000000001</v>
      </c>
      <c r="P6" s="310">
        <v>0.17236679999999999</v>
      </c>
      <c r="Q6" s="310">
        <v>0.1717322</v>
      </c>
      <c r="R6" s="310">
        <v>0.17183370000000001</v>
      </c>
      <c r="S6" s="310">
        <v>0.1711549</v>
      </c>
      <c r="T6" s="310">
        <v>0.17159530000000001</v>
      </c>
      <c r="U6" s="310">
        <v>0.1719493</v>
      </c>
      <c r="V6" s="310">
        <v>0.17194960000000001</v>
      </c>
      <c r="W6" s="310">
        <v>0.16719059999999999</v>
      </c>
      <c r="X6" s="310">
        <v>0.16800470000000001</v>
      </c>
      <c r="Y6" s="310">
        <v>0.17380950000000001</v>
      </c>
      <c r="Z6" s="310">
        <v>0.17291119999999999</v>
      </c>
      <c r="AA6" s="310">
        <v>0.17128660000000001</v>
      </c>
      <c r="AB6" s="310">
        <v>0.16897019999999999</v>
      </c>
      <c r="AC6" s="310">
        <v>0.17177500000000001</v>
      </c>
      <c r="AD6" s="310">
        <v>0.1727659</v>
      </c>
      <c r="AE6" s="310">
        <v>0.17249700000000001</v>
      </c>
      <c r="AF6" s="310">
        <v>0.1709743</v>
      </c>
      <c r="AG6" s="310">
        <v>0.1719348</v>
      </c>
      <c r="AH6" s="310">
        <v>0.16384850000000001</v>
      </c>
      <c r="AI6" s="310">
        <v>0.16731860000000001</v>
      </c>
      <c r="AJ6" s="310">
        <v>0.16864750000000001</v>
      </c>
      <c r="AK6" s="310">
        <v>0.1680536</v>
      </c>
      <c r="AL6" s="310">
        <v>0.17195369999999999</v>
      </c>
      <c r="AM6" s="310">
        <v>0.1726482</v>
      </c>
      <c r="AN6" s="310">
        <v>0.16925709999999999</v>
      </c>
      <c r="AO6" s="310">
        <v>0.17037559999999999</v>
      </c>
      <c r="AP6" s="310">
        <v>0.1708336</v>
      </c>
      <c r="AQ6" s="310">
        <v>0.1704505</v>
      </c>
      <c r="AR6" s="310">
        <v>0.17028270000000001</v>
      </c>
      <c r="AS6" s="310">
        <v>0.17225470000000001</v>
      </c>
      <c r="AT6" s="310">
        <v>0.1703982</v>
      </c>
      <c r="AU6" s="310">
        <v>0.17291280000000001</v>
      </c>
      <c r="AV6" s="310">
        <v>0.17244019999999999</v>
      </c>
      <c r="AW6" s="310">
        <v>0.16932849999999999</v>
      </c>
      <c r="AX6" s="310">
        <v>0.17065269999999999</v>
      </c>
      <c r="AY6" s="310">
        <v>0.17067660000000001</v>
      </c>
      <c r="AZ6" s="310">
        <v>0.17365510000000001</v>
      </c>
      <c r="BA6" s="310">
        <v>0.1704783</v>
      </c>
      <c r="BB6" s="310">
        <v>0.16055929999999999</v>
      </c>
      <c r="BC6" s="310">
        <v>0.17337900000000001</v>
      </c>
      <c r="BD6" s="310">
        <v>0.1723112</v>
      </c>
      <c r="BE6" s="310">
        <v>0.17348659999999999</v>
      </c>
      <c r="BF6" s="310">
        <v>0.17331679999999999</v>
      </c>
      <c r="BG6" s="310">
        <v>0.1727844</v>
      </c>
      <c r="BH6" s="310">
        <v>0.17278389999999999</v>
      </c>
      <c r="BI6" s="310">
        <v>0.1729483</v>
      </c>
      <c r="BJ6" s="310">
        <v>0.17258200000000001</v>
      </c>
      <c r="BK6" s="310">
        <v>0.1733835</v>
      </c>
    </row>
    <row r="7" spans="1:63" x14ac:dyDescent="0.25">
      <c r="A7" s="306" t="s">
        <v>682</v>
      </c>
      <c r="B7" s="310" t="s">
        <v>683</v>
      </c>
      <c r="C7" s="310">
        <v>0.2178321</v>
      </c>
      <c r="D7" s="310">
        <v>0.18322179999999999</v>
      </c>
      <c r="E7" s="310">
        <v>0.21515790000000001</v>
      </c>
      <c r="F7" s="310">
        <v>0.21308050000000001</v>
      </c>
      <c r="G7" s="310">
        <v>0.213866</v>
      </c>
      <c r="H7" s="310">
        <v>0.21674760000000001</v>
      </c>
      <c r="I7" s="310">
        <v>0.2166168</v>
      </c>
      <c r="J7" s="310">
        <v>0.21166560000000001</v>
      </c>
      <c r="K7" s="310">
        <v>0</v>
      </c>
      <c r="L7" s="310">
        <v>0.20030870000000001</v>
      </c>
      <c r="M7" s="310">
        <v>0.21515100000000001</v>
      </c>
      <c r="N7" s="310">
        <v>0.21435009999999999</v>
      </c>
      <c r="O7" s="310">
        <v>0.21643870000000001</v>
      </c>
      <c r="P7" s="310">
        <v>0.2155434</v>
      </c>
      <c r="Q7" s="310">
        <v>0.21468709999999999</v>
      </c>
      <c r="R7" s="310">
        <v>0.2148833</v>
      </c>
      <c r="S7" s="310">
        <v>0.21396760000000001</v>
      </c>
      <c r="T7" s="310">
        <v>0.21452280000000001</v>
      </c>
      <c r="U7" s="310">
        <v>0.2150069</v>
      </c>
      <c r="V7" s="310">
        <v>0.2150166</v>
      </c>
      <c r="W7" s="310">
        <v>0.20900650000000001</v>
      </c>
      <c r="X7" s="310">
        <v>0.21004790000000001</v>
      </c>
      <c r="Y7" s="310">
        <v>0.21728910000000001</v>
      </c>
      <c r="Z7" s="310">
        <v>0.2162</v>
      </c>
      <c r="AA7" s="310">
        <v>0.21419679999999999</v>
      </c>
      <c r="AB7" s="310">
        <v>0.21130009999999999</v>
      </c>
      <c r="AC7" s="310">
        <v>0.21477399999999999</v>
      </c>
      <c r="AD7" s="310">
        <v>0.2159664</v>
      </c>
      <c r="AE7" s="310">
        <v>0.21569369999999999</v>
      </c>
      <c r="AF7" s="310">
        <v>0.21379709999999999</v>
      </c>
      <c r="AG7" s="310">
        <v>0.21496589999999999</v>
      </c>
      <c r="AH7" s="310">
        <v>0.20480380000000001</v>
      </c>
      <c r="AI7" s="310">
        <v>0.2092165</v>
      </c>
      <c r="AJ7" s="310">
        <v>0.21091389999999999</v>
      </c>
      <c r="AK7" s="310">
        <v>0.2100783</v>
      </c>
      <c r="AL7" s="310">
        <v>0.2149952</v>
      </c>
      <c r="AM7" s="310">
        <v>0.21588570000000001</v>
      </c>
      <c r="AN7" s="310">
        <v>0.21166170000000001</v>
      </c>
      <c r="AO7" s="310">
        <v>0.21301429999999999</v>
      </c>
      <c r="AP7" s="310">
        <v>0.2136217</v>
      </c>
      <c r="AQ7" s="310">
        <v>0.21307100000000001</v>
      </c>
      <c r="AR7" s="310">
        <v>0.2129084</v>
      </c>
      <c r="AS7" s="310">
        <v>0.2153545</v>
      </c>
      <c r="AT7" s="310">
        <v>0.21301149999999999</v>
      </c>
      <c r="AU7" s="310">
        <v>0.21619260000000001</v>
      </c>
      <c r="AV7" s="310">
        <v>0.2156151</v>
      </c>
      <c r="AW7" s="310">
        <v>0.2116577</v>
      </c>
      <c r="AX7" s="310">
        <v>0.21342259999999999</v>
      </c>
      <c r="AY7" s="310">
        <v>0.21344659999999999</v>
      </c>
      <c r="AZ7" s="310">
        <v>0.2171516</v>
      </c>
      <c r="BA7" s="310">
        <v>0.2131605</v>
      </c>
      <c r="BB7" s="310">
        <v>0.20080799999999999</v>
      </c>
      <c r="BC7" s="310">
        <v>0.2167799</v>
      </c>
      <c r="BD7" s="310">
        <v>0.21547479999999999</v>
      </c>
      <c r="BE7" s="310">
        <v>0.21692929999999999</v>
      </c>
      <c r="BF7" s="310">
        <v>0.21670800000000001</v>
      </c>
      <c r="BG7" s="310">
        <v>0.21601970000000001</v>
      </c>
      <c r="BH7" s="310">
        <v>0.21602250000000001</v>
      </c>
      <c r="BI7" s="310">
        <v>0.2161932</v>
      </c>
      <c r="BJ7" s="310">
        <v>0.2157868</v>
      </c>
      <c r="BK7" s="310">
        <v>0.2167916</v>
      </c>
    </row>
    <row r="8" spans="1:63" x14ac:dyDescent="0.25">
      <c r="A8" s="306">
        <v>111400</v>
      </c>
      <c r="B8" s="310" t="s">
        <v>12</v>
      </c>
      <c r="C8" s="310">
        <v>0.27222360000000001</v>
      </c>
      <c r="D8" s="310">
        <v>0.2289986</v>
      </c>
      <c r="E8" s="310">
        <v>0.2688798</v>
      </c>
      <c r="F8" s="310">
        <v>0.2662235</v>
      </c>
      <c r="G8" s="310">
        <v>0.26722170000000001</v>
      </c>
      <c r="H8" s="310">
        <v>0.27091169999999998</v>
      </c>
      <c r="I8" s="310">
        <v>0.27063860000000001</v>
      </c>
      <c r="J8" s="310">
        <v>0.26449159999999999</v>
      </c>
      <c r="K8" s="310">
        <v>0</v>
      </c>
      <c r="L8" s="310">
        <v>0.25030760000000002</v>
      </c>
      <c r="M8" s="310">
        <v>0.26881949999999999</v>
      </c>
      <c r="N8" s="310">
        <v>0.26788889999999999</v>
      </c>
      <c r="O8" s="310">
        <v>0.27052130000000002</v>
      </c>
      <c r="P8" s="310">
        <v>0.26931430000000001</v>
      </c>
      <c r="Q8" s="310">
        <v>0.26828360000000001</v>
      </c>
      <c r="R8" s="310">
        <v>0.26850550000000001</v>
      </c>
      <c r="S8" s="310">
        <v>0.26736300000000002</v>
      </c>
      <c r="T8" s="310">
        <v>0.26809440000000001</v>
      </c>
      <c r="U8" s="310">
        <v>0.26862560000000002</v>
      </c>
      <c r="V8" s="310">
        <v>0.26866780000000001</v>
      </c>
      <c r="W8" s="310">
        <v>0.26122390000000001</v>
      </c>
      <c r="X8" s="310">
        <v>0.26245049999999998</v>
      </c>
      <c r="Y8" s="310">
        <v>0.27151039999999999</v>
      </c>
      <c r="Z8" s="310">
        <v>0.2701672</v>
      </c>
      <c r="AA8" s="310">
        <v>0.26763730000000002</v>
      </c>
      <c r="AB8" s="310">
        <v>0.2639994</v>
      </c>
      <c r="AC8" s="310">
        <v>0.26838319999999999</v>
      </c>
      <c r="AD8" s="310">
        <v>0.26994089999999998</v>
      </c>
      <c r="AE8" s="310">
        <v>0.26952619999999999</v>
      </c>
      <c r="AF8" s="310">
        <v>0.26715729999999999</v>
      </c>
      <c r="AG8" s="310">
        <v>0.26860400000000001</v>
      </c>
      <c r="AH8" s="310">
        <v>0.2559245</v>
      </c>
      <c r="AI8" s="310">
        <v>0.26137440000000001</v>
      </c>
      <c r="AJ8" s="310">
        <v>0.2635596</v>
      </c>
      <c r="AK8" s="310">
        <v>0.26251360000000001</v>
      </c>
      <c r="AL8" s="310">
        <v>0.2686518</v>
      </c>
      <c r="AM8" s="310">
        <v>0.26977259999999997</v>
      </c>
      <c r="AN8" s="310">
        <v>0.26444440000000002</v>
      </c>
      <c r="AO8" s="310">
        <v>0.26621499999999998</v>
      </c>
      <c r="AP8" s="310">
        <v>0.26692320000000003</v>
      </c>
      <c r="AQ8" s="310">
        <v>0.26633829999999997</v>
      </c>
      <c r="AR8" s="310">
        <v>0.26602930000000002</v>
      </c>
      <c r="AS8" s="310">
        <v>0.269069</v>
      </c>
      <c r="AT8" s="310">
        <v>0.26617439999999998</v>
      </c>
      <c r="AU8" s="310">
        <v>0.27011010000000002</v>
      </c>
      <c r="AV8" s="310">
        <v>0.26940510000000001</v>
      </c>
      <c r="AW8" s="310">
        <v>0.26449440000000002</v>
      </c>
      <c r="AX8" s="310">
        <v>0.26665169999999999</v>
      </c>
      <c r="AY8" s="310">
        <v>0.2667273</v>
      </c>
      <c r="AZ8" s="310">
        <v>0.2713564</v>
      </c>
      <c r="BA8" s="310">
        <v>0.2664164</v>
      </c>
      <c r="BB8" s="310">
        <v>0.25086580000000003</v>
      </c>
      <c r="BC8" s="310">
        <v>0.270951</v>
      </c>
      <c r="BD8" s="310">
        <v>0.26928200000000002</v>
      </c>
      <c r="BE8" s="310">
        <v>0.27109090000000002</v>
      </c>
      <c r="BF8" s="310">
        <v>0.2708084</v>
      </c>
      <c r="BG8" s="310">
        <v>0.2699493</v>
      </c>
      <c r="BH8" s="310">
        <v>0.2699124</v>
      </c>
      <c r="BI8" s="310">
        <v>0.27020690000000003</v>
      </c>
      <c r="BJ8" s="310">
        <v>0.2696614</v>
      </c>
      <c r="BK8" s="310">
        <v>0.27088869999999998</v>
      </c>
    </row>
    <row r="9" spans="1:63" x14ac:dyDescent="0.25">
      <c r="A9" s="306">
        <v>111910</v>
      </c>
      <c r="B9" s="310" t="s">
        <v>13</v>
      </c>
      <c r="C9" s="310">
        <v>0.12655640000000001</v>
      </c>
      <c r="D9" s="310">
        <v>0</v>
      </c>
      <c r="E9" s="310">
        <v>0</v>
      </c>
      <c r="F9" s="310">
        <v>0</v>
      </c>
      <c r="G9" s="310">
        <v>0</v>
      </c>
      <c r="H9" s="310">
        <v>0</v>
      </c>
      <c r="I9" s="310">
        <v>0</v>
      </c>
      <c r="J9" s="310">
        <v>0.1229561</v>
      </c>
      <c r="K9" s="310">
        <v>0</v>
      </c>
      <c r="L9" s="310">
        <v>0</v>
      </c>
      <c r="M9" s="310">
        <v>0.125</v>
      </c>
      <c r="N9" s="310">
        <v>0.1245516</v>
      </c>
      <c r="O9" s="310">
        <v>0</v>
      </c>
      <c r="P9" s="310">
        <v>0</v>
      </c>
      <c r="Q9" s="310">
        <v>0</v>
      </c>
      <c r="R9" s="310">
        <v>0.124823</v>
      </c>
      <c r="S9" s="310">
        <v>0.1243234</v>
      </c>
      <c r="T9" s="310">
        <v>0</v>
      </c>
      <c r="U9" s="310">
        <v>0.1248967</v>
      </c>
      <c r="V9" s="310">
        <v>0</v>
      </c>
      <c r="W9" s="310">
        <v>0.12143859999999999</v>
      </c>
      <c r="X9" s="310">
        <v>0.12204189999999999</v>
      </c>
      <c r="Y9" s="310">
        <v>0</v>
      </c>
      <c r="Z9" s="310">
        <v>0</v>
      </c>
      <c r="AA9" s="310">
        <v>0</v>
      </c>
      <c r="AB9" s="310">
        <v>0.12274160000000001</v>
      </c>
      <c r="AC9" s="310">
        <v>0</v>
      </c>
      <c r="AD9" s="310">
        <v>0</v>
      </c>
      <c r="AE9" s="310">
        <v>0.1252945</v>
      </c>
      <c r="AF9" s="310">
        <v>0</v>
      </c>
      <c r="AG9" s="310">
        <v>0</v>
      </c>
      <c r="AH9" s="310">
        <v>0</v>
      </c>
      <c r="AI9" s="310">
        <v>0</v>
      </c>
      <c r="AJ9" s="310">
        <v>0</v>
      </c>
      <c r="AK9" s="310">
        <v>0</v>
      </c>
      <c r="AL9" s="310">
        <v>0</v>
      </c>
      <c r="AM9" s="310">
        <v>0.12543950000000001</v>
      </c>
      <c r="AN9" s="310">
        <v>0</v>
      </c>
      <c r="AO9" s="310">
        <v>0</v>
      </c>
      <c r="AP9" s="310">
        <v>0.12410019999999999</v>
      </c>
      <c r="AQ9" s="310">
        <v>0</v>
      </c>
      <c r="AR9" s="310">
        <v>0.1237056</v>
      </c>
      <c r="AS9" s="310">
        <v>0</v>
      </c>
      <c r="AT9" s="310">
        <v>0.1237727</v>
      </c>
      <c r="AU9" s="310">
        <v>0</v>
      </c>
      <c r="AV9" s="310">
        <v>0</v>
      </c>
      <c r="AW9" s="310">
        <v>0.122957</v>
      </c>
      <c r="AX9" s="310">
        <v>0</v>
      </c>
      <c r="AY9" s="310">
        <v>0</v>
      </c>
      <c r="AZ9" s="310">
        <v>0.12618299999999999</v>
      </c>
      <c r="BA9" s="310">
        <v>0.123833</v>
      </c>
      <c r="BB9" s="310">
        <v>0</v>
      </c>
      <c r="BC9" s="310">
        <v>0.12595400000000001</v>
      </c>
      <c r="BD9" s="310">
        <v>0.1251989</v>
      </c>
      <c r="BE9" s="310">
        <v>0.12601419999999999</v>
      </c>
      <c r="BF9" s="310">
        <v>0.1259035</v>
      </c>
      <c r="BG9" s="310">
        <v>0.1255009</v>
      </c>
      <c r="BH9" s="310">
        <v>0.1255154</v>
      </c>
      <c r="BI9" s="310">
        <v>0</v>
      </c>
      <c r="BJ9" s="310">
        <v>0</v>
      </c>
      <c r="BK9" s="310">
        <v>0</v>
      </c>
    </row>
    <row r="10" spans="1:63" x14ac:dyDescent="0.25">
      <c r="A10" s="306">
        <v>111920</v>
      </c>
      <c r="B10" s="310" t="s">
        <v>14</v>
      </c>
      <c r="C10" s="310">
        <v>0.139294</v>
      </c>
      <c r="D10" s="310">
        <v>0</v>
      </c>
      <c r="E10" s="310">
        <v>0.1375885</v>
      </c>
      <c r="F10" s="310">
        <v>0.13623189999999999</v>
      </c>
      <c r="G10" s="310">
        <v>0.13674149999999999</v>
      </c>
      <c r="H10" s="310">
        <v>0.13863329999999999</v>
      </c>
      <c r="I10" s="310">
        <v>0</v>
      </c>
      <c r="J10" s="310">
        <v>0</v>
      </c>
      <c r="K10" s="310">
        <v>0</v>
      </c>
      <c r="L10" s="310">
        <v>0</v>
      </c>
      <c r="M10" s="310">
        <v>0.13759080000000001</v>
      </c>
      <c r="N10" s="310">
        <v>0.1370729</v>
      </c>
      <c r="O10" s="310">
        <v>0</v>
      </c>
      <c r="P10" s="310">
        <v>0</v>
      </c>
      <c r="Q10" s="310">
        <v>0</v>
      </c>
      <c r="R10" s="310">
        <v>0</v>
      </c>
      <c r="S10" s="310">
        <v>0</v>
      </c>
      <c r="T10" s="310">
        <v>0.1371841</v>
      </c>
      <c r="U10" s="310">
        <v>0</v>
      </c>
      <c r="V10" s="310">
        <v>0.1374766</v>
      </c>
      <c r="W10" s="310">
        <v>0</v>
      </c>
      <c r="X10" s="310">
        <v>0</v>
      </c>
      <c r="Y10" s="310">
        <v>0</v>
      </c>
      <c r="Z10" s="310">
        <v>0</v>
      </c>
      <c r="AA10" s="310">
        <v>0</v>
      </c>
      <c r="AB10" s="310">
        <v>0.13508339999999999</v>
      </c>
      <c r="AC10" s="310">
        <v>0.1373076</v>
      </c>
      <c r="AD10" s="310">
        <v>0</v>
      </c>
      <c r="AE10" s="310">
        <v>0.1379475</v>
      </c>
      <c r="AF10" s="310">
        <v>0</v>
      </c>
      <c r="AG10" s="310">
        <v>0</v>
      </c>
      <c r="AH10" s="310">
        <v>0</v>
      </c>
      <c r="AI10" s="310">
        <v>0</v>
      </c>
      <c r="AJ10" s="310">
        <v>0.1348808</v>
      </c>
      <c r="AK10" s="310">
        <v>0</v>
      </c>
      <c r="AL10" s="310">
        <v>0</v>
      </c>
      <c r="AM10" s="310">
        <v>0</v>
      </c>
      <c r="AN10" s="310">
        <v>0.13534869999999999</v>
      </c>
      <c r="AO10" s="310">
        <v>0</v>
      </c>
      <c r="AP10" s="310">
        <v>0</v>
      </c>
      <c r="AQ10" s="310">
        <v>0</v>
      </c>
      <c r="AR10" s="310">
        <v>0.13616739999999999</v>
      </c>
      <c r="AS10" s="310">
        <v>0</v>
      </c>
      <c r="AT10" s="310">
        <v>0.13622880000000001</v>
      </c>
      <c r="AU10" s="310">
        <v>0.13824349999999999</v>
      </c>
      <c r="AV10" s="310">
        <v>0</v>
      </c>
      <c r="AW10" s="310">
        <v>0.1353627</v>
      </c>
      <c r="AX10" s="310">
        <v>0</v>
      </c>
      <c r="AY10" s="310">
        <v>0</v>
      </c>
      <c r="AZ10" s="310">
        <v>0</v>
      </c>
      <c r="BA10" s="310">
        <v>0</v>
      </c>
      <c r="BB10" s="310">
        <v>0</v>
      </c>
      <c r="BC10" s="310">
        <v>0</v>
      </c>
      <c r="BD10" s="310">
        <v>0</v>
      </c>
      <c r="BE10" s="310">
        <v>0</v>
      </c>
      <c r="BF10" s="310">
        <v>0.1385873</v>
      </c>
      <c r="BG10" s="310">
        <v>0.13812769999999999</v>
      </c>
      <c r="BH10" s="310">
        <v>0.1381521</v>
      </c>
      <c r="BI10" s="310">
        <v>0.13824919999999999</v>
      </c>
      <c r="BJ10" s="310">
        <v>0.13795550000000001</v>
      </c>
      <c r="BK10" s="310">
        <v>0.13860690000000001</v>
      </c>
    </row>
    <row r="11" spans="1:63" x14ac:dyDescent="0.25">
      <c r="A11" s="306" t="s">
        <v>684</v>
      </c>
      <c r="B11" s="310" t="s">
        <v>685</v>
      </c>
      <c r="C11" s="310">
        <v>0.14033019999999999</v>
      </c>
      <c r="D11" s="310">
        <v>0.1180319</v>
      </c>
      <c r="E11" s="310">
        <v>0.1385999</v>
      </c>
      <c r="F11" s="310">
        <v>0.13728489999999999</v>
      </c>
      <c r="G11" s="310">
        <v>0.13779440000000001</v>
      </c>
      <c r="H11" s="310">
        <v>0.1396683</v>
      </c>
      <c r="I11" s="310">
        <v>0.13953180000000001</v>
      </c>
      <c r="J11" s="310">
        <v>0.13636110000000001</v>
      </c>
      <c r="K11" s="310">
        <v>0</v>
      </c>
      <c r="L11" s="310">
        <v>0.12906609999999999</v>
      </c>
      <c r="M11" s="310">
        <v>0.1386068</v>
      </c>
      <c r="N11" s="310">
        <v>0.1381329</v>
      </c>
      <c r="O11" s="310">
        <v>0.13946449999999999</v>
      </c>
      <c r="P11" s="310">
        <v>0.13884540000000001</v>
      </c>
      <c r="Q11" s="310">
        <v>0.1383277</v>
      </c>
      <c r="R11" s="310">
        <v>0.1384348</v>
      </c>
      <c r="S11" s="310">
        <v>0.13782659999999999</v>
      </c>
      <c r="T11" s="310">
        <v>0.13823589999999999</v>
      </c>
      <c r="U11" s="310">
        <v>0.13851649999999999</v>
      </c>
      <c r="V11" s="310">
        <v>0.1385178</v>
      </c>
      <c r="W11" s="310">
        <v>0.1346646</v>
      </c>
      <c r="X11" s="310">
        <v>0.13530619999999999</v>
      </c>
      <c r="Y11" s="310">
        <v>0.13996420000000001</v>
      </c>
      <c r="Z11" s="310">
        <v>0.1392931</v>
      </c>
      <c r="AA11" s="310">
        <v>0.137984</v>
      </c>
      <c r="AB11" s="310">
        <v>0.13609280000000001</v>
      </c>
      <c r="AC11" s="310">
        <v>0.13835539999999999</v>
      </c>
      <c r="AD11" s="310">
        <v>0.13915060000000001</v>
      </c>
      <c r="AE11" s="310">
        <v>0.13897409999999999</v>
      </c>
      <c r="AF11" s="310">
        <v>0.13773669999999999</v>
      </c>
      <c r="AG11" s="310">
        <v>0.13849220000000001</v>
      </c>
      <c r="AH11" s="310">
        <v>0.13198779999999999</v>
      </c>
      <c r="AI11" s="310">
        <v>0.13479140000000001</v>
      </c>
      <c r="AJ11" s="310">
        <v>0.13589509999999999</v>
      </c>
      <c r="AK11" s="310">
        <v>0.13533709999999999</v>
      </c>
      <c r="AL11" s="310">
        <v>0.13851369999999999</v>
      </c>
      <c r="AM11" s="310">
        <v>0.13906540000000001</v>
      </c>
      <c r="AN11" s="310">
        <v>0.13632649999999999</v>
      </c>
      <c r="AO11" s="310">
        <v>0.1372323</v>
      </c>
      <c r="AP11" s="310">
        <v>0.1375826</v>
      </c>
      <c r="AQ11" s="310">
        <v>0.13729150000000001</v>
      </c>
      <c r="AR11" s="310">
        <v>0.13717960000000001</v>
      </c>
      <c r="AS11" s="310">
        <v>0.1387552</v>
      </c>
      <c r="AT11" s="310">
        <v>0.1372139</v>
      </c>
      <c r="AU11" s="310">
        <v>0.13927039999999999</v>
      </c>
      <c r="AV11" s="310">
        <v>0.13886879999999999</v>
      </c>
      <c r="AW11" s="310">
        <v>0.136378</v>
      </c>
      <c r="AX11" s="310">
        <v>0.1375064</v>
      </c>
      <c r="AY11" s="310">
        <v>0.13748940000000001</v>
      </c>
      <c r="AZ11" s="310">
        <v>0.13988590000000001</v>
      </c>
      <c r="BA11" s="310">
        <v>0.13734589999999999</v>
      </c>
      <c r="BB11" s="310">
        <v>0.12934689999999999</v>
      </c>
      <c r="BC11" s="310">
        <v>0.13966590000000001</v>
      </c>
      <c r="BD11" s="310">
        <v>0.13881160000000001</v>
      </c>
      <c r="BE11" s="310">
        <v>0.1397524</v>
      </c>
      <c r="BF11" s="310">
        <v>0.139598</v>
      </c>
      <c r="BG11" s="310">
        <v>0.13916729999999999</v>
      </c>
      <c r="BH11" s="310">
        <v>0.13916919999999999</v>
      </c>
      <c r="BI11" s="310">
        <v>0.13929520000000001</v>
      </c>
      <c r="BJ11" s="310">
        <v>0.13899210000000001</v>
      </c>
      <c r="BK11" s="310">
        <v>0.1396463</v>
      </c>
    </row>
    <row r="12" spans="1:63" x14ac:dyDescent="0.25">
      <c r="A12" s="306">
        <v>112120</v>
      </c>
      <c r="B12" s="310" t="s">
        <v>16</v>
      </c>
      <c r="C12" s="310">
        <v>0.13641500000000001</v>
      </c>
      <c r="D12" s="310">
        <v>0.114742</v>
      </c>
      <c r="E12" s="310">
        <v>0.1347479</v>
      </c>
      <c r="F12" s="310">
        <v>0.1334563</v>
      </c>
      <c r="G12" s="310">
        <v>0.13394980000000001</v>
      </c>
      <c r="H12" s="310">
        <v>0.13576630000000001</v>
      </c>
      <c r="I12" s="310">
        <v>0.135656</v>
      </c>
      <c r="J12" s="310">
        <v>0.1325616</v>
      </c>
      <c r="K12" s="310">
        <v>0</v>
      </c>
      <c r="L12" s="310">
        <v>0.12547169999999999</v>
      </c>
      <c r="M12" s="310">
        <v>0.1347728</v>
      </c>
      <c r="N12" s="310">
        <v>0.1342689</v>
      </c>
      <c r="O12" s="310">
        <v>0.1355664</v>
      </c>
      <c r="P12" s="310">
        <v>0.1349939</v>
      </c>
      <c r="Q12" s="310">
        <v>0.13445570000000001</v>
      </c>
      <c r="R12" s="310">
        <v>0.13459760000000001</v>
      </c>
      <c r="S12" s="310">
        <v>0.1340037</v>
      </c>
      <c r="T12" s="310">
        <v>0.1343724</v>
      </c>
      <c r="U12" s="310">
        <v>0.13465460000000001</v>
      </c>
      <c r="V12" s="310">
        <v>0.13467560000000001</v>
      </c>
      <c r="W12" s="310">
        <v>0.13091810000000001</v>
      </c>
      <c r="X12" s="310">
        <v>0.13154350000000001</v>
      </c>
      <c r="Y12" s="310">
        <v>0.13609309999999999</v>
      </c>
      <c r="Z12" s="310">
        <v>0.13542109999999999</v>
      </c>
      <c r="AA12" s="310">
        <v>0.13414690000000001</v>
      </c>
      <c r="AB12" s="310">
        <v>0.13232340000000001</v>
      </c>
      <c r="AC12" s="310">
        <v>0.1345114</v>
      </c>
      <c r="AD12" s="310">
        <v>0.13529939999999999</v>
      </c>
      <c r="AE12" s="310">
        <v>0.13508899999999999</v>
      </c>
      <c r="AF12" s="310">
        <v>0.1338781</v>
      </c>
      <c r="AG12" s="310">
        <v>0.13465959999999999</v>
      </c>
      <c r="AH12" s="310">
        <v>0.12829750000000001</v>
      </c>
      <c r="AI12" s="310">
        <v>0.1309959</v>
      </c>
      <c r="AJ12" s="310">
        <v>0.13207830000000001</v>
      </c>
      <c r="AK12" s="310">
        <v>0.131606</v>
      </c>
      <c r="AL12" s="310">
        <v>0.13465079999999999</v>
      </c>
      <c r="AM12" s="310">
        <v>0.13523279999999999</v>
      </c>
      <c r="AN12" s="310">
        <v>0.13254959999999999</v>
      </c>
      <c r="AO12" s="310">
        <v>0.1334496</v>
      </c>
      <c r="AP12" s="310">
        <v>0.1337894</v>
      </c>
      <c r="AQ12" s="310">
        <v>0.13348879999999999</v>
      </c>
      <c r="AR12" s="310">
        <v>0.1333551</v>
      </c>
      <c r="AS12" s="310">
        <v>0.13488140000000001</v>
      </c>
      <c r="AT12" s="310">
        <v>0.13341130000000001</v>
      </c>
      <c r="AU12" s="310">
        <v>0.13540650000000001</v>
      </c>
      <c r="AV12" s="310">
        <v>0.1350363</v>
      </c>
      <c r="AW12" s="310">
        <v>0.13258020000000001</v>
      </c>
      <c r="AX12" s="310">
        <v>0.1336794</v>
      </c>
      <c r="AY12" s="310">
        <v>0.1336714</v>
      </c>
      <c r="AZ12" s="310">
        <v>0.13601669999999999</v>
      </c>
      <c r="BA12" s="310">
        <v>0.13351789999999999</v>
      </c>
      <c r="BB12" s="310">
        <v>0.12572649999999999</v>
      </c>
      <c r="BC12" s="310">
        <v>0.13576299999999999</v>
      </c>
      <c r="BD12" s="310">
        <v>0.13494329999999999</v>
      </c>
      <c r="BE12" s="310">
        <v>0.13583629999999999</v>
      </c>
      <c r="BF12" s="310">
        <v>0.13573940000000001</v>
      </c>
      <c r="BG12" s="310">
        <v>0.1353085</v>
      </c>
      <c r="BH12" s="310">
        <v>0.1352998</v>
      </c>
      <c r="BI12" s="310">
        <v>0.1354223</v>
      </c>
      <c r="BJ12" s="310">
        <v>0.1351386</v>
      </c>
      <c r="BK12" s="310">
        <v>0.1357902</v>
      </c>
    </row>
    <row r="13" spans="1:63" x14ac:dyDescent="0.25">
      <c r="A13" s="306" t="s">
        <v>686</v>
      </c>
      <c r="B13" s="310" t="s">
        <v>15</v>
      </c>
      <c r="C13" s="310">
        <v>0.11844979999999999</v>
      </c>
      <c r="D13" s="310">
        <v>9.9662899999999999E-2</v>
      </c>
      <c r="E13" s="310">
        <v>0.1169934</v>
      </c>
      <c r="F13" s="310">
        <v>0.1158554</v>
      </c>
      <c r="G13" s="310">
        <v>0.1163023</v>
      </c>
      <c r="H13" s="310">
        <v>0.1178949</v>
      </c>
      <c r="I13" s="310">
        <v>0.1177699</v>
      </c>
      <c r="J13" s="310">
        <v>0.1150801</v>
      </c>
      <c r="K13" s="310">
        <v>0</v>
      </c>
      <c r="L13" s="310">
        <v>0.1089065</v>
      </c>
      <c r="M13" s="310">
        <v>0.11698890000000001</v>
      </c>
      <c r="N13" s="310">
        <v>0.1165919</v>
      </c>
      <c r="O13" s="310">
        <v>0.1177382</v>
      </c>
      <c r="P13" s="310">
        <v>0.1171861</v>
      </c>
      <c r="Q13" s="310">
        <v>0.1167528</v>
      </c>
      <c r="R13" s="310">
        <v>0.11682439999999999</v>
      </c>
      <c r="S13" s="310">
        <v>0.1163767</v>
      </c>
      <c r="T13" s="310">
        <v>0.1166755</v>
      </c>
      <c r="U13" s="310">
        <v>0.1168983</v>
      </c>
      <c r="V13" s="310">
        <v>0.1169077</v>
      </c>
      <c r="W13" s="310">
        <v>0.1136885</v>
      </c>
      <c r="X13" s="310">
        <v>0.114242</v>
      </c>
      <c r="Y13" s="310">
        <v>0.11817419999999999</v>
      </c>
      <c r="Z13" s="310">
        <v>0.11757479999999999</v>
      </c>
      <c r="AA13" s="310">
        <v>0.1164834</v>
      </c>
      <c r="AB13" s="310">
        <v>0.1148815</v>
      </c>
      <c r="AC13" s="310">
        <v>0.1167827</v>
      </c>
      <c r="AD13" s="310">
        <v>0.11744250000000001</v>
      </c>
      <c r="AE13" s="310">
        <v>0.11729439999999999</v>
      </c>
      <c r="AF13" s="310">
        <v>0.1162497</v>
      </c>
      <c r="AG13" s="310">
        <v>0.11691989999999999</v>
      </c>
      <c r="AH13" s="310">
        <v>0.1113759</v>
      </c>
      <c r="AI13" s="310">
        <v>0.1137401</v>
      </c>
      <c r="AJ13" s="310">
        <v>0.11470180000000001</v>
      </c>
      <c r="AK13" s="310">
        <v>0.1142311</v>
      </c>
      <c r="AL13" s="310">
        <v>0.1169125</v>
      </c>
      <c r="AM13" s="310">
        <v>0.1174077</v>
      </c>
      <c r="AN13" s="310">
        <v>0.11509129999999999</v>
      </c>
      <c r="AO13" s="310">
        <v>0.1158449</v>
      </c>
      <c r="AP13" s="310">
        <v>0.11614439999999999</v>
      </c>
      <c r="AQ13" s="310">
        <v>0.1158578</v>
      </c>
      <c r="AR13" s="310">
        <v>0.1157662</v>
      </c>
      <c r="AS13" s="310">
        <v>0.11711870000000001</v>
      </c>
      <c r="AT13" s="310">
        <v>0.1158165</v>
      </c>
      <c r="AU13" s="310">
        <v>0.11756079999999999</v>
      </c>
      <c r="AV13" s="310">
        <v>0.1172315</v>
      </c>
      <c r="AW13" s="310">
        <v>0.11510910000000001</v>
      </c>
      <c r="AX13" s="310">
        <v>0.1160394</v>
      </c>
      <c r="AY13" s="310">
        <v>0.1160655</v>
      </c>
      <c r="AZ13" s="310">
        <v>0.11808639999999999</v>
      </c>
      <c r="BA13" s="310">
        <v>0.1159384</v>
      </c>
      <c r="BB13" s="310">
        <v>0.10917159999999999</v>
      </c>
      <c r="BC13" s="310">
        <v>0.1179259</v>
      </c>
      <c r="BD13" s="310">
        <v>0.11716799999999999</v>
      </c>
      <c r="BE13" s="310">
        <v>0.1179427</v>
      </c>
      <c r="BF13" s="310">
        <v>0.11786050000000001</v>
      </c>
      <c r="BG13" s="310">
        <v>0.117448</v>
      </c>
      <c r="BH13" s="310">
        <v>0.11748740000000001</v>
      </c>
      <c r="BI13" s="310">
        <v>0.1175824</v>
      </c>
      <c r="BJ13" s="310">
        <v>0.1173203</v>
      </c>
      <c r="BK13" s="310">
        <v>0.1178987</v>
      </c>
    </row>
    <row r="14" spans="1:63" x14ac:dyDescent="0.25">
      <c r="A14" s="306">
        <v>112300</v>
      </c>
      <c r="B14" s="310" t="s">
        <v>17</v>
      </c>
      <c r="C14" s="310">
        <v>0.1184649</v>
      </c>
      <c r="D14" s="310">
        <v>9.96166E-2</v>
      </c>
      <c r="E14" s="310">
        <v>0.1169955</v>
      </c>
      <c r="F14" s="310">
        <v>0.11587409999999999</v>
      </c>
      <c r="G14" s="310">
        <v>0.1162765</v>
      </c>
      <c r="H14" s="310">
        <v>0.1178752</v>
      </c>
      <c r="I14" s="310">
        <v>0.1177638</v>
      </c>
      <c r="J14" s="310">
        <v>0.115103</v>
      </c>
      <c r="K14" s="310">
        <v>0</v>
      </c>
      <c r="L14" s="310">
        <v>0.10892780000000001</v>
      </c>
      <c r="M14" s="310">
        <v>0.1169765</v>
      </c>
      <c r="N14" s="310">
        <v>0.1165731</v>
      </c>
      <c r="O14" s="310">
        <v>0.11774370000000001</v>
      </c>
      <c r="P14" s="310">
        <v>0.11720129999999999</v>
      </c>
      <c r="Q14" s="310">
        <v>0.1167545</v>
      </c>
      <c r="R14" s="310">
        <v>0.116855</v>
      </c>
      <c r="S14" s="310">
        <v>0.11636779999999999</v>
      </c>
      <c r="T14" s="310">
        <v>0.1166914</v>
      </c>
      <c r="U14" s="310">
        <v>0.1169</v>
      </c>
      <c r="V14" s="310">
        <v>0.1168947</v>
      </c>
      <c r="W14" s="310">
        <v>0.1136726</v>
      </c>
      <c r="X14" s="310">
        <v>0.1141993</v>
      </c>
      <c r="Y14" s="310">
        <v>0.1181386</v>
      </c>
      <c r="Z14" s="310">
        <v>0.1175578</v>
      </c>
      <c r="AA14" s="310">
        <v>0.1164849</v>
      </c>
      <c r="AB14" s="310">
        <v>0.114886</v>
      </c>
      <c r="AC14" s="310">
        <v>0.1167941</v>
      </c>
      <c r="AD14" s="310">
        <v>0.1174767</v>
      </c>
      <c r="AE14" s="310">
        <v>0.1172883</v>
      </c>
      <c r="AF14" s="310">
        <v>0.1162547</v>
      </c>
      <c r="AG14" s="310">
        <v>0.1168873</v>
      </c>
      <c r="AH14" s="310">
        <v>0.111398</v>
      </c>
      <c r="AI14" s="310">
        <v>0.11373519999999999</v>
      </c>
      <c r="AJ14" s="310">
        <v>0.11469409999999999</v>
      </c>
      <c r="AK14" s="310">
        <v>0.11422939999999999</v>
      </c>
      <c r="AL14" s="310">
        <v>0.1169143</v>
      </c>
      <c r="AM14" s="310">
        <v>0.1174017</v>
      </c>
      <c r="AN14" s="310">
        <v>0.11509320000000001</v>
      </c>
      <c r="AO14" s="310">
        <v>0.1158526</v>
      </c>
      <c r="AP14" s="310">
        <v>0.11616369999999999</v>
      </c>
      <c r="AQ14" s="310">
        <v>0.11587210000000001</v>
      </c>
      <c r="AR14" s="310">
        <v>0.11577</v>
      </c>
      <c r="AS14" s="310">
        <v>0.1171171</v>
      </c>
      <c r="AT14" s="310">
        <v>0.1158448</v>
      </c>
      <c r="AU14" s="310">
        <v>0.1175689</v>
      </c>
      <c r="AV14" s="310">
        <v>0.1172487</v>
      </c>
      <c r="AW14" s="310">
        <v>0.1151291</v>
      </c>
      <c r="AX14" s="310">
        <v>0.1160615</v>
      </c>
      <c r="AY14" s="310">
        <v>0.1160804</v>
      </c>
      <c r="AZ14" s="310">
        <v>0.1180823</v>
      </c>
      <c r="BA14" s="310">
        <v>0.1159187</v>
      </c>
      <c r="BB14" s="310">
        <v>0.1091876</v>
      </c>
      <c r="BC14" s="310">
        <v>0.1178734</v>
      </c>
      <c r="BD14" s="310">
        <v>0.1171571</v>
      </c>
      <c r="BE14" s="310">
        <v>0.11794350000000001</v>
      </c>
      <c r="BF14" s="310">
        <v>0.1178439</v>
      </c>
      <c r="BG14" s="310">
        <v>0.1174476</v>
      </c>
      <c r="BH14" s="310">
        <v>0.1174645</v>
      </c>
      <c r="BI14" s="310">
        <v>0.1175789</v>
      </c>
      <c r="BJ14" s="310">
        <v>0.1173415</v>
      </c>
      <c r="BK14" s="310">
        <v>0.117884</v>
      </c>
    </row>
    <row r="15" spans="1:63" x14ac:dyDescent="0.25">
      <c r="A15" s="306" t="s">
        <v>687</v>
      </c>
      <c r="B15" s="310" t="s">
        <v>18</v>
      </c>
      <c r="C15" s="310">
        <v>0.1312133</v>
      </c>
      <c r="D15" s="310">
        <v>0.1104165</v>
      </c>
      <c r="E15" s="310">
        <v>0.1295898</v>
      </c>
      <c r="F15" s="310">
        <v>0.1283378</v>
      </c>
      <c r="G15" s="310">
        <v>0.12884109999999999</v>
      </c>
      <c r="H15" s="310">
        <v>0.13055739999999999</v>
      </c>
      <c r="I15" s="310">
        <v>0.13045229999999999</v>
      </c>
      <c r="J15" s="310">
        <v>0.12751680000000001</v>
      </c>
      <c r="K15" s="310">
        <v>0</v>
      </c>
      <c r="L15" s="310">
        <v>0.1206718</v>
      </c>
      <c r="M15" s="310">
        <v>0.12957450000000001</v>
      </c>
      <c r="N15" s="310">
        <v>0.12915499999999999</v>
      </c>
      <c r="O15" s="310">
        <v>0.13041539999999999</v>
      </c>
      <c r="P15" s="310">
        <v>0.1298154</v>
      </c>
      <c r="Q15" s="310">
        <v>0.12931429999999999</v>
      </c>
      <c r="R15" s="310">
        <v>0.12944710000000001</v>
      </c>
      <c r="S15" s="310">
        <v>0.12888769999999999</v>
      </c>
      <c r="T15" s="310">
        <v>0.1292586</v>
      </c>
      <c r="U15" s="310">
        <v>0.12951940000000001</v>
      </c>
      <c r="V15" s="310">
        <v>0.12951099999999999</v>
      </c>
      <c r="W15" s="310">
        <v>0.1258901</v>
      </c>
      <c r="X15" s="310">
        <v>0.1265413</v>
      </c>
      <c r="Y15" s="310">
        <v>0.13088520000000001</v>
      </c>
      <c r="Z15" s="310">
        <v>0.1302296</v>
      </c>
      <c r="AA15" s="310">
        <v>0.12900610000000001</v>
      </c>
      <c r="AB15" s="310">
        <v>0.12728829999999999</v>
      </c>
      <c r="AC15" s="310">
        <v>0.1293705</v>
      </c>
      <c r="AD15" s="310">
        <v>0.130111</v>
      </c>
      <c r="AE15" s="310">
        <v>0.129942</v>
      </c>
      <c r="AF15" s="310">
        <v>0.12875800000000001</v>
      </c>
      <c r="AG15" s="310">
        <v>0.1295084</v>
      </c>
      <c r="AH15" s="310">
        <v>0.1234074</v>
      </c>
      <c r="AI15" s="310">
        <v>0.12600729999999999</v>
      </c>
      <c r="AJ15" s="310">
        <v>0.12703059999999999</v>
      </c>
      <c r="AK15" s="310">
        <v>0.12655520000000001</v>
      </c>
      <c r="AL15" s="310">
        <v>0.12953700000000001</v>
      </c>
      <c r="AM15" s="310">
        <v>0.13004959999999999</v>
      </c>
      <c r="AN15" s="310">
        <v>0.12750590000000001</v>
      </c>
      <c r="AO15" s="310">
        <v>0.1283282</v>
      </c>
      <c r="AP15" s="310">
        <v>0.12867439999999999</v>
      </c>
      <c r="AQ15" s="310">
        <v>0.12833420000000001</v>
      </c>
      <c r="AR15" s="310">
        <v>0.12822500000000001</v>
      </c>
      <c r="AS15" s="310">
        <v>0.1297383</v>
      </c>
      <c r="AT15" s="310">
        <v>0.12832930000000001</v>
      </c>
      <c r="AU15" s="310">
        <v>0.13022110000000001</v>
      </c>
      <c r="AV15" s="310">
        <v>0.12988630000000001</v>
      </c>
      <c r="AW15" s="310">
        <v>0.1274991</v>
      </c>
      <c r="AX15" s="310">
        <v>0.12851360000000001</v>
      </c>
      <c r="AY15" s="310">
        <v>0.12854679999999999</v>
      </c>
      <c r="AZ15" s="310">
        <v>0.13080369999999999</v>
      </c>
      <c r="BA15" s="310">
        <v>0.12841659999999999</v>
      </c>
      <c r="BB15" s="310">
        <v>0.1209399</v>
      </c>
      <c r="BC15" s="310">
        <v>0.13057240000000001</v>
      </c>
      <c r="BD15" s="310">
        <v>0.12982050000000001</v>
      </c>
      <c r="BE15" s="310">
        <v>0.1306708</v>
      </c>
      <c r="BF15" s="310">
        <v>0.1305365</v>
      </c>
      <c r="BG15" s="310">
        <v>0.13011829999999999</v>
      </c>
      <c r="BH15" s="310">
        <v>0.1301175</v>
      </c>
      <c r="BI15" s="310">
        <v>0.13025249999999999</v>
      </c>
      <c r="BJ15" s="310">
        <v>0.12995180000000001</v>
      </c>
      <c r="BK15" s="310">
        <v>0.1305646</v>
      </c>
    </row>
    <row r="16" spans="1:63" x14ac:dyDescent="0.25">
      <c r="A16" s="306">
        <v>113300</v>
      </c>
      <c r="B16" s="310" t="s">
        <v>688</v>
      </c>
      <c r="C16" s="310">
        <v>0.22740199999999999</v>
      </c>
      <c r="D16" s="310">
        <v>0.2135669</v>
      </c>
      <c r="E16" s="310">
        <v>0.21628339999999999</v>
      </c>
      <c r="F16" s="310">
        <v>0.2142483</v>
      </c>
      <c r="G16" s="310">
        <v>0.22081770000000001</v>
      </c>
      <c r="H16" s="310">
        <v>0.2247567</v>
      </c>
      <c r="I16" s="310">
        <v>0.2267748</v>
      </c>
      <c r="J16" s="310">
        <v>0.21275520000000001</v>
      </c>
      <c r="K16" s="310">
        <v>0</v>
      </c>
      <c r="L16" s="310">
        <v>0.17905489999999999</v>
      </c>
      <c r="M16" s="310">
        <v>0.2226407</v>
      </c>
      <c r="N16" s="310">
        <v>0.22242229999999999</v>
      </c>
      <c r="O16" s="310">
        <v>0.2270095</v>
      </c>
      <c r="P16" s="310">
        <v>0.22211549999999999</v>
      </c>
      <c r="Q16" s="310">
        <v>0.2197616</v>
      </c>
      <c r="R16" s="310">
        <v>0.21381349999999999</v>
      </c>
      <c r="S16" s="310">
        <v>0.22082180000000001</v>
      </c>
      <c r="T16" s="310">
        <v>0.22741359999999999</v>
      </c>
      <c r="U16" s="310">
        <v>0.2229584</v>
      </c>
      <c r="V16" s="310">
        <v>0.21215890000000001</v>
      </c>
      <c r="W16" s="310">
        <v>0.1657903</v>
      </c>
      <c r="X16" s="310">
        <v>0.1981773</v>
      </c>
      <c r="Y16" s="310">
        <v>0.22697249999999999</v>
      </c>
      <c r="Z16" s="310">
        <v>0.22017239999999999</v>
      </c>
      <c r="AA16" s="310">
        <v>0.22622890000000001</v>
      </c>
      <c r="AB16" s="310">
        <v>0.22009429999999999</v>
      </c>
      <c r="AC16" s="310">
        <v>0.2190636</v>
      </c>
      <c r="AD16" s="310">
        <v>0.2201786</v>
      </c>
      <c r="AE16" s="310">
        <v>0.22399160000000001</v>
      </c>
      <c r="AF16" s="310">
        <v>0</v>
      </c>
      <c r="AG16" s="310">
        <v>0.16864390000000001</v>
      </c>
      <c r="AH16" s="310">
        <v>0.21073220000000001</v>
      </c>
      <c r="AI16" s="310">
        <v>0.15243719999999999</v>
      </c>
      <c r="AJ16" s="310">
        <v>0.2232943</v>
      </c>
      <c r="AK16" s="310">
        <v>0.1989591</v>
      </c>
      <c r="AL16" s="310">
        <v>0.22112760000000001</v>
      </c>
      <c r="AM16" s="310">
        <v>0.2149924</v>
      </c>
      <c r="AN16" s="310">
        <v>0.21237059999999999</v>
      </c>
      <c r="AO16" s="310">
        <v>0.21833079999999999</v>
      </c>
      <c r="AP16" s="310">
        <v>0.21633949999999999</v>
      </c>
      <c r="AQ16" s="310">
        <v>0.2244033</v>
      </c>
      <c r="AR16" s="310">
        <v>0.21904580000000001</v>
      </c>
      <c r="AS16" s="310">
        <v>0.22400809999999999</v>
      </c>
      <c r="AT16" s="310">
        <v>0.21175350000000001</v>
      </c>
      <c r="AU16" s="310">
        <v>0.22083059999999999</v>
      </c>
      <c r="AV16" s="310">
        <v>0.2145649</v>
      </c>
      <c r="AW16" s="310">
        <v>0.2040623</v>
      </c>
      <c r="AX16" s="310">
        <v>0.18974279999999999</v>
      </c>
      <c r="AY16" s="310">
        <v>0.22274620000000001</v>
      </c>
      <c r="AZ16" s="310">
        <v>0.2231379</v>
      </c>
      <c r="BA16" s="310">
        <v>0.21794640000000001</v>
      </c>
      <c r="BB16" s="310">
        <v>0.21612609999999999</v>
      </c>
      <c r="BC16" s="310">
        <v>0.22508549999999999</v>
      </c>
      <c r="BD16" s="310">
        <v>0.2228337</v>
      </c>
      <c r="BE16" s="310">
        <v>0.22208079999999999</v>
      </c>
      <c r="BF16" s="310">
        <v>0.2247353</v>
      </c>
      <c r="BG16" s="310">
        <v>0.22538810000000001</v>
      </c>
      <c r="BH16" s="310">
        <v>0.22220129999999999</v>
      </c>
      <c r="BI16" s="310">
        <v>0.22397829999999999</v>
      </c>
      <c r="BJ16" s="310">
        <v>0.22485140000000001</v>
      </c>
      <c r="BK16" s="310">
        <v>0.22609889999999999</v>
      </c>
    </row>
    <row r="17" spans="1:63" x14ac:dyDescent="0.25">
      <c r="A17" s="306" t="s">
        <v>689</v>
      </c>
      <c r="B17" s="310" t="s">
        <v>690</v>
      </c>
      <c r="C17" s="310">
        <v>0.1184326</v>
      </c>
      <c r="D17" s="310">
        <v>0.1112358</v>
      </c>
      <c r="E17" s="310">
        <v>0.11263869999999999</v>
      </c>
      <c r="F17" s="310">
        <v>0.1115797</v>
      </c>
      <c r="G17" s="310">
        <v>0.115013</v>
      </c>
      <c r="H17" s="310">
        <v>0.1170556</v>
      </c>
      <c r="I17" s="310">
        <v>0.1180818</v>
      </c>
      <c r="J17" s="310">
        <v>0</v>
      </c>
      <c r="K17" s="310">
        <v>0</v>
      </c>
      <c r="L17" s="310">
        <v>0</v>
      </c>
      <c r="M17" s="310">
        <v>0.11594649999999999</v>
      </c>
      <c r="N17" s="310">
        <v>0.1158513</v>
      </c>
      <c r="O17" s="310">
        <v>0.1182165</v>
      </c>
      <c r="P17" s="310">
        <v>0</v>
      </c>
      <c r="Q17" s="310">
        <v>0.114465</v>
      </c>
      <c r="R17" s="310">
        <v>0.1113291</v>
      </c>
      <c r="S17" s="310">
        <v>0.1150123</v>
      </c>
      <c r="T17" s="310">
        <v>0</v>
      </c>
      <c r="U17" s="310">
        <v>0.1161127</v>
      </c>
      <c r="V17" s="310">
        <v>0.11049829999999999</v>
      </c>
      <c r="W17" s="310">
        <v>8.6352600000000002E-2</v>
      </c>
      <c r="X17" s="310">
        <v>0.1032067</v>
      </c>
      <c r="Y17" s="310">
        <v>0.118216</v>
      </c>
      <c r="Z17" s="310">
        <v>0.1146945</v>
      </c>
      <c r="AA17" s="310">
        <v>0.1178226</v>
      </c>
      <c r="AB17" s="310">
        <v>0.1146142</v>
      </c>
      <c r="AC17" s="310">
        <v>0.11409370000000001</v>
      </c>
      <c r="AD17" s="310">
        <v>0.11466320000000001</v>
      </c>
      <c r="AE17" s="310">
        <v>0.1166568</v>
      </c>
      <c r="AF17" s="310">
        <v>9.9135200000000007E-2</v>
      </c>
      <c r="AG17" s="310">
        <v>8.7851200000000004E-2</v>
      </c>
      <c r="AH17" s="310">
        <v>0.1097313</v>
      </c>
      <c r="AI17" s="310">
        <v>7.93793E-2</v>
      </c>
      <c r="AJ17" s="310">
        <v>0.1163006</v>
      </c>
      <c r="AK17" s="310">
        <v>0</v>
      </c>
      <c r="AL17" s="310">
        <v>0.11512509999999999</v>
      </c>
      <c r="AM17" s="310">
        <v>0.1120004</v>
      </c>
      <c r="AN17" s="310">
        <v>0.11061989999999999</v>
      </c>
      <c r="AO17" s="310">
        <v>0.1137025</v>
      </c>
      <c r="AP17" s="310">
        <v>0.1126799</v>
      </c>
      <c r="AQ17" s="310">
        <v>0</v>
      </c>
      <c r="AR17" s="310">
        <v>0.1140818</v>
      </c>
      <c r="AS17" s="310">
        <v>0.11666890000000001</v>
      </c>
      <c r="AT17" s="310">
        <v>0.11027670000000001</v>
      </c>
      <c r="AU17" s="310">
        <v>0.1150133</v>
      </c>
      <c r="AV17" s="310">
        <v>0</v>
      </c>
      <c r="AW17" s="310">
        <v>0.1062891</v>
      </c>
      <c r="AX17" s="310">
        <v>9.8822699999999999E-2</v>
      </c>
      <c r="AY17" s="310">
        <v>0.1159959</v>
      </c>
      <c r="AZ17" s="310">
        <v>0.11620279999999999</v>
      </c>
      <c r="BA17" s="310">
        <v>0.11351849999999999</v>
      </c>
      <c r="BB17" s="310">
        <v>0</v>
      </c>
      <c r="BC17" s="310">
        <v>0.11721769999999999</v>
      </c>
      <c r="BD17" s="310">
        <v>0.1160537</v>
      </c>
      <c r="BE17" s="310">
        <v>0.1156254</v>
      </c>
      <c r="BF17" s="310">
        <v>0.1170633</v>
      </c>
      <c r="BG17" s="310">
        <v>0.1173838</v>
      </c>
      <c r="BH17" s="310">
        <v>0.115712</v>
      </c>
      <c r="BI17" s="310">
        <v>0.1166522</v>
      </c>
      <c r="BJ17" s="310">
        <v>0.1171006</v>
      </c>
      <c r="BK17" s="310">
        <v>0.11775040000000001</v>
      </c>
    </row>
    <row r="18" spans="1:63" x14ac:dyDescent="0.25">
      <c r="A18" s="306">
        <v>114100</v>
      </c>
      <c r="B18" s="310" t="s">
        <v>691</v>
      </c>
      <c r="C18" s="310">
        <v>0.42187269999999999</v>
      </c>
      <c r="D18" s="310">
        <v>0.2320053</v>
      </c>
      <c r="E18" s="310">
        <v>0.38286690000000001</v>
      </c>
      <c r="F18" s="310">
        <v>0.39179039999999998</v>
      </c>
      <c r="G18" s="310">
        <v>0</v>
      </c>
      <c r="H18" s="310">
        <v>0.4189927</v>
      </c>
      <c r="I18" s="310">
        <v>0</v>
      </c>
      <c r="J18" s="310">
        <v>0.42442289999999999</v>
      </c>
      <c r="K18" s="310">
        <v>0</v>
      </c>
      <c r="L18" s="310">
        <v>0.29627550000000002</v>
      </c>
      <c r="M18" s="310">
        <v>0.4205584</v>
      </c>
      <c r="N18" s="310">
        <v>0.39205139999999999</v>
      </c>
      <c r="O18" s="310">
        <v>0.41820089999999999</v>
      </c>
      <c r="P18" s="310">
        <v>0</v>
      </c>
      <c r="Q18" s="310">
        <v>0.42450189999999999</v>
      </c>
      <c r="R18" s="310">
        <v>0.39973170000000002</v>
      </c>
      <c r="S18" s="310">
        <v>0</v>
      </c>
      <c r="T18" s="310">
        <v>0</v>
      </c>
      <c r="U18" s="310">
        <v>0.42445110000000003</v>
      </c>
      <c r="V18" s="310">
        <v>0.40568320000000002</v>
      </c>
      <c r="W18" s="310">
        <v>0.40495039999999999</v>
      </c>
      <c r="X18" s="310">
        <v>0.40811199999999997</v>
      </c>
      <c r="Y18" s="310">
        <v>0.4167553</v>
      </c>
      <c r="Z18" s="310">
        <v>0.40250550000000002</v>
      </c>
      <c r="AA18" s="310">
        <v>0.41279640000000001</v>
      </c>
      <c r="AB18" s="310">
        <v>0</v>
      </c>
      <c r="AC18" s="310">
        <v>0.38442860000000001</v>
      </c>
      <c r="AD18" s="310">
        <v>0.32047170000000003</v>
      </c>
      <c r="AE18" s="310">
        <v>0.40857919999999998</v>
      </c>
      <c r="AF18" s="310">
        <v>0</v>
      </c>
      <c r="AG18" s="310">
        <v>0</v>
      </c>
      <c r="AH18" s="310">
        <v>0.38363150000000001</v>
      </c>
      <c r="AI18" s="310">
        <v>0.39895049999999999</v>
      </c>
      <c r="AJ18" s="310">
        <v>0</v>
      </c>
      <c r="AK18" s="310">
        <v>0.42211670000000001</v>
      </c>
      <c r="AL18" s="310">
        <v>0.3998642</v>
      </c>
      <c r="AM18" s="310">
        <v>0.41488150000000001</v>
      </c>
      <c r="AN18" s="310">
        <v>0</v>
      </c>
      <c r="AO18" s="310">
        <v>0.40038439999999997</v>
      </c>
      <c r="AP18" s="310">
        <v>0.35074739999999999</v>
      </c>
      <c r="AQ18" s="310">
        <v>0.40299869999999999</v>
      </c>
      <c r="AR18" s="310">
        <v>0.40600059999999999</v>
      </c>
      <c r="AS18" s="310">
        <v>0</v>
      </c>
      <c r="AT18" s="310">
        <v>0.42445329999999998</v>
      </c>
      <c r="AU18" s="310">
        <v>0.42033559999999998</v>
      </c>
      <c r="AV18" s="310">
        <v>0.36860359999999998</v>
      </c>
      <c r="AW18" s="310">
        <v>0.40722560000000002</v>
      </c>
      <c r="AX18" s="310">
        <v>0</v>
      </c>
      <c r="AY18" s="310">
        <v>0.39808250000000001</v>
      </c>
      <c r="AZ18" s="310">
        <v>0.39967859999999999</v>
      </c>
      <c r="BA18" s="310">
        <v>0</v>
      </c>
      <c r="BB18" s="310">
        <v>0</v>
      </c>
      <c r="BC18" s="310">
        <v>0.42222219999999999</v>
      </c>
      <c r="BD18" s="310">
        <v>0.40828969999999998</v>
      </c>
      <c r="BE18" s="310">
        <v>0.41039369999999997</v>
      </c>
      <c r="BF18" s="310">
        <v>0.39268550000000002</v>
      </c>
      <c r="BG18" s="310">
        <v>0.41605950000000003</v>
      </c>
      <c r="BH18" s="310">
        <v>0.39503539999999998</v>
      </c>
      <c r="BI18" s="310">
        <v>0.41701969999999999</v>
      </c>
      <c r="BJ18" s="310">
        <v>0.4060416</v>
      </c>
      <c r="BK18" s="310">
        <v>0.41678690000000002</v>
      </c>
    </row>
    <row r="19" spans="1:63" x14ac:dyDescent="0.25">
      <c r="A19" s="306">
        <v>114200</v>
      </c>
      <c r="B19" s="310" t="s">
        <v>692</v>
      </c>
      <c r="C19" s="310">
        <v>0.1177364</v>
      </c>
      <c r="D19" s="310">
        <v>0</v>
      </c>
      <c r="E19" s="310">
        <v>0.10685360000000001</v>
      </c>
      <c r="F19" s="310">
        <v>0.1093476</v>
      </c>
      <c r="G19" s="310">
        <v>0.11761870000000001</v>
      </c>
      <c r="H19" s="310">
        <v>0.1169343</v>
      </c>
      <c r="I19" s="310">
        <v>0.11791550000000001</v>
      </c>
      <c r="J19" s="310">
        <v>0.118451</v>
      </c>
      <c r="K19" s="310">
        <v>0</v>
      </c>
      <c r="L19" s="310">
        <v>0</v>
      </c>
      <c r="M19" s="310">
        <v>0.11733780000000001</v>
      </c>
      <c r="N19" s="310">
        <v>0.1093976</v>
      </c>
      <c r="O19" s="310">
        <v>0.1167228</v>
      </c>
      <c r="P19" s="310">
        <v>0.1101014</v>
      </c>
      <c r="Q19" s="310">
        <v>0.1184814</v>
      </c>
      <c r="R19" s="310">
        <v>0.1115611</v>
      </c>
      <c r="S19" s="310">
        <v>0.11659899999999999</v>
      </c>
      <c r="T19" s="310">
        <v>0.1184764</v>
      </c>
      <c r="U19" s="310">
        <v>0.11844</v>
      </c>
      <c r="V19" s="310">
        <v>0.11319120000000001</v>
      </c>
      <c r="W19" s="310">
        <v>0.1130077</v>
      </c>
      <c r="X19" s="310">
        <v>0.11388570000000001</v>
      </c>
      <c r="Y19" s="310">
        <v>0</v>
      </c>
      <c r="Z19" s="310">
        <v>0.11234420000000001</v>
      </c>
      <c r="AA19" s="310">
        <v>0.1152097</v>
      </c>
      <c r="AB19" s="310">
        <v>8.9459999999999998E-2</v>
      </c>
      <c r="AC19" s="310">
        <v>0.1072689</v>
      </c>
      <c r="AD19" s="310">
        <v>8.9417800000000006E-2</v>
      </c>
      <c r="AE19" s="310">
        <v>0.1140417</v>
      </c>
      <c r="AF19" s="310">
        <v>0.1184422</v>
      </c>
      <c r="AG19" s="310">
        <v>0.1184537</v>
      </c>
      <c r="AH19" s="310">
        <v>0</v>
      </c>
      <c r="AI19" s="310">
        <v>0.1113449</v>
      </c>
      <c r="AJ19" s="310">
        <v>0</v>
      </c>
      <c r="AK19" s="310">
        <v>0.11780939999999999</v>
      </c>
      <c r="AL19" s="310">
        <v>0.1115657</v>
      </c>
      <c r="AM19" s="310">
        <v>0.1157966</v>
      </c>
      <c r="AN19" s="310">
        <v>0.1184504</v>
      </c>
      <c r="AO19" s="310">
        <v>0.1117182</v>
      </c>
      <c r="AP19" s="310">
        <v>9.7878000000000007E-2</v>
      </c>
      <c r="AQ19" s="310">
        <v>0</v>
      </c>
      <c r="AR19" s="310">
        <v>0.11330179999999999</v>
      </c>
      <c r="AS19" s="310">
        <v>0.1028485</v>
      </c>
      <c r="AT19" s="310">
        <v>0.11844880000000001</v>
      </c>
      <c r="AU19" s="310">
        <v>0.117317</v>
      </c>
      <c r="AV19" s="310">
        <v>0.1028825</v>
      </c>
      <c r="AW19" s="310">
        <v>0.1136563</v>
      </c>
      <c r="AX19" s="310">
        <v>0.10623920000000001</v>
      </c>
      <c r="AY19" s="310">
        <v>0.1110651</v>
      </c>
      <c r="AZ19" s="310">
        <v>0.1115462</v>
      </c>
      <c r="BA19" s="310">
        <v>0.11845079999999999</v>
      </c>
      <c r="BB19" s="310">
        <v>0.11290409999999999</v>
      </c>
      <c r="BC19" s="310">
        <v>0.1177999</v>
      </c>
      <c r="BD19" s="310">
        <v>0.11393060000000001</v>
      </c>
      <c r="BE19" s="310">
        <v>0.1145196</v>
      </c>
      <c r="BF19" s="310">
        <v>0.10958610000000001</v>
      </c>
      <c r="BG19" s="310">
        <v>0.11612459999999999</v>
      </c>
      <c r="BH19" s="310">
        <v>0.11023040000000001</v>
      </c>
      <c r="BI19" s="310">
        <v>0.11637450000000001</v>
      </c>
      <c r="BJ19" s="310">
        <v>0.11331960000000001</v>
      </c>
      <c r="BK19" s="310">
        <v>0.116288</v>
      </c>
    </row>
    <row r="20" spans="1:63" x14ac:dyDescent="0.25">
      <c r="A20" s="306">
        <v>115000</v>
      </c>
      <c r="B20" s="310" t="s">
        <v>19</v>
      </c>
      <c r="C20" s="310">
        <v>0.46158250000000001</v>
      </c>
      <c r="D20" s="310">
        <v>0.44800420000000002</v>
      </c>
      <c r="E20" s="310">
        <v>0.43619829999999998</v>
      </c>
      <c r="F20" s="310">
        <v>0.44587500000000002</v>
      </c>
      <c r="G20" s="310">
        <v>0.44912249999999998</v>
      </c>
      <c r="H20" s="310">
        <v>0.45863019999999999</v>
      </c>
      <c r="I20" s="310">
        <v>0.45310220000000001</v>
      </c>
      <c r="J20" s="310">
        <v>0.41452489999999997</v>
      </c>
      <c r="K20" s="310">
        <v>0</v>
      </c>
      <c r="L20" s="310">
        <v>0.4105453</v>
      </c>
      <c r="M20" s="310">
        <v>0.4516155</v>
      </c>
      <c r="N20" s="310">
        <v>0.44654240000000001</v>
      </c>
      <c r="O20" s="310">
        <v>0.46164539999999998</v>
      </c>
      <c r="P20" s="310">
        <v>0.45782319999999999</v>
      </c>
      <c r="Q20" s="310">
        <v>0.44593579999999999</v>
      </c>
      <c r="R20" s="310">
        <v>0.44113200000000002</v>
      </c>
      <c r="S20" s="310">
        <v>0.45086749999999998</v>
      </c>
      <c r="T20" s="310">
        <v>0.44867010000000002</v>
      </c>
      <c r="U20" s="310">
        <v>0.44387749999999998</v>
      </c>
      <c r="V20" s="310">
        <v>0.44138369999999999</v>
      </c>
      <c r="W20" s="310">
        <v>0.45511800000000002</v>
      </c>
      <c r="X20" s="310">
        <v>0.442077</v>
      </c>
      <c r="Y20" s="310">
        <v>0.46119369999999998</v>
      </c>
      <c r="Z20" s="310">
        <v>0.45067889999999999</v>
      </c>
      <c r="AA20" s="310">
        <v>0.44107380000000002</v>
      </c>
      <c r="AB20" s="310">
        <v>0.43495840000000002</v>
      </c>
      <c r="AC20" s="310">
        <v>0.43422759999999999</v>
      </c>
      <c r="AD20" s="310">
        <v>0.46078930000000001</v>
      </c>
      <c r="AE20" s="310">
        <v>0.44828119999999999</v>
      </c>
      <c r="AF20" s="310">
        <v>0.43833680000000003</v>
      </c>
      <c r="AG20" s="310">
        <v>0.45594509999999999</v>
      </c>
      <c r="AH20" s="310">
        <v>0.42131249999999998</v>
      </c>
      <c r="AI20" s="310">
        <v>0.44652969999999997</v>
      </c>
      <c r="AJ20" s="310">
        <v>0.44996520000000001</v>
      </c>
      <c r="AK20" s="310">
        <v>0.44341019999999998</v>
      </c>
      <c r="AL20" s="310">
        <v>0.3671895</v>
      </c>
      <c r="AM20" s="310">
        <v>0.45584740000000001</v>
      </c>
      <c r="AN20" s="310">
        <v>0.44920169999999998</v>
      </c>
      <c r="AO20" s="310">
        <v>0.45352520000000002</v>
      </c>
      <c r="AP20" s="310">
        <v>0.44793749999999999</v>
      </c>
      <c r="AQ20" s="310">
        <v>0.46164670000000002</v>
      </c>
      <c r="AR20" s="310">
        <v>0.41915439999999998</v>
      </c>
      <c r="AS20" s="310">
        <v>0.4453628</v>
      </c>
      <c r="AT20" s="310">
        <v>0.44149240000000001</v>
      </c>
      <c r="AU20" s="310">
        <v>0.45138840000000002</v>
      </c>
      <c r="AV20" s="310">
        <v>0.46166210000000002</v>
      </c>
      <c r="AW20" s="310">
        <v>0.44786930000000003</v>
      </c>
      <c r="AX20" s="310">
        <v>0.44804739999999998</v>
      </c>
      <c r="AY20" s="310">
        <v>0.43714140000000001</v>
      </c>
      <c r="AZ20" s="310">
        <v>0.45490599999999998</v>
      </c>
      <c r="BA20" s="310">
        <v>0.46160600000000002</v>
      </c>
      <c r="BB20" s="310">
        <v>0.40888210000000003</v>
      </c>
      <c r="BC20" s="310">
        <v>0.45879829999999999</v>
      </c>
      <c r="BD20" s="310">
        <v>0.41077550000000002</v>
      </c>
      <c r="BE20" s="310">
        <v>0.45736139999999997</v>
      </c>
      <c r="BF20" s="310">
        <v>0.45658840000000001</v>
      </c>
      <c r="BG20" s="310">
        <v>0.45607389999999998</v>
      </c>
      <c r="BH20" s="310">
        <v>0.450988</v>
      </c>
      <c r="BI20" s="310">
        <v>0.45479429999999998</v>
      </c>
      <c r="BJ20" s="310">
        <v>0.45559660000000002</v>
      </c>
      <c r="BK20" s="310">
        <v>0.45794020000000002</v>
      </c>
    </row>
    <row r="21" spans="1:63" x14ac:dyDescent="0.25">
      <c r="A21" s="306">
        <v>211000</v>
      </c>
      <c r="B21" s="310" t="s">
        <v>693</v>
      </c>
      <c r="C21" s="310">
        <v>0.20410700000000001</v>
      </c>
      <c r="D21" s="310">
        <v>0.18361959999999999</v>
      </c>
      <c r="E21" s="310">
        <v>0.15994430000000001</v>
      </c>
      <c r="F21" s="310">
        <v>0.17314470000000001</v>
      </c>
      <c r="G21" s="310">
        <v>0.1522385</v>
      </c>
      <c r="H21" s="310">
        <v>0.2027707</v>
      </c>
      <c r="I21" s="310">
        <v>0.19329830000000001</v>
      </c>
      <c r="J21" s="310">
        <v>0.20410030000000001</v>
      </c>
      <c r="K21" s="310">
        <v>0</v>
      </c>
      <c r="L21" s="310">
        <v>0</v>
      </c>
      <c r="M21" s="310">
        <v>0.18541530000000001</v>
      </c>
      <c r="N21" s="310">
        <v>0</v>
      </c>
      <c r="O21" s="310">
        <v>0.20411190000000001</v>
      </c>
      <c r="P21" s="310">
        <v>0</v>
      </c>
      <c r="Q21" s="310">
        <v>0.20410970000000001</v>
      </c>
      <c r="R21" s="310">
        <v>0.1836459</v>
      </c>
      <c r="S21" s="310">
        <v>0.1800602</v>
      </c>
      <c r="T21" s="310">
        <v>0.19492139999999999</v>
      </c>
      <c r="U21" s="310">
        <v>0.1986897</v>
      </c>
      <c r="V21" s="310">
        <v>0.17770440000000001</v>
      </c>
      <c r="W21" s="310">
        <v>0.16838980000000001</v>
      </c>
      <c r="X21" s="310">
        <v>0.19074260000000001</v>
      </c>
      <c r="Y21" s="310">
        <v>0.19171669999999999</v>
      </c>
      <c r="Z21" s="310">
        <v>0.20414669999999999</v>
      </c>
      <c r="AA21" s="310">
        <v>0.2041376</v>
      </c>
      <c r="AB21" s="310">
        <v>0.12672639999999999</v>
      </c>
      <c r="AC21" s="310">
        <v>0.16635330000000001</v>
      </c>
      <c r="AD21" s="310">
        <v>0.17809610000000001</v>
      </c>
      <c r="AE21" s="310">
        <v>0.17296230000000001</v>
      </c>
      <c r="AF21" s="310">
        <v>0.19789470000000001</v>
      </c>
      <c r="AG21" s="310">
        <v>0.17448</v>
      </c>
      <c r="AH21" s="310">
        <v>0</v>
      </c>
      <c r="AI21" s="310">
        <v>0.17117869999999999</v>
      </c>
      <c r="AJ21" s="310">
        <v>0.19383049999999999</v>
      </c>
      <c r="AK21" s="310">
        <v>0.1955586</v>
      </c>
      <c r="AL21" s="310">
        <v>0.1370286</v>
      </c>
      <c r="AM21" s="310">
        <v>0.191993</v>
      </c>
      <c r="AN21" s="310">
        <v>0.2000604</v>
      </c>
      <c r="AO21" s="310">
        <v>0.18528839999999999</v>
      </c>
      <c r="AP21" s="310">
        <v>0.1965171</v>
      </c>
      <c r="AQ21" s="310">
        <v>0.20259550000000001</v>
      </c>
      <c r="AR21" s="310">
        <v>0.2041422</v>
      </c>
      <c r="AS21" s="310">
        <v>4.59824E-2</v>
      </c>
      <c r="AT21" s="310">
        <v>0.19143959999999999</v>
      </c>
      <c r="AU21" s="310">
        <v>0.1983317</v>
      </c>
      <c r="AV21" s="310">
        <v>0.1864952</v>
      </c>
      <c r="AW21" s="310">
        <v>0.18295040000000001</v>
      </c>
      <c r="AX21" s="310">
        <v>0</v>
      </c>
      <c r="AY21" s="310">
        <v>0</v>
      </c>
      <c r="AZ21" s="310">
        <v>0.2041539</v>
      </c>
      <c r="BA21" s="310">
        <v>0.20411779999999999</v>
      </c>
      <c r="BB21" s="310">
        <v>0.19339780000000001</v>
      </c>
      <c r="BC21" s="310">
        <v>0.19966610000000001</v>
      </c>
      <c r="BD21" s="310">
        <v>0.17255999999999999</v>
      </c>
      <c r="BE21" s="310">
        <v>0.1981793</v>
      </c>
      <c r="BF21" s="310">
        <v>0.1972023</v>
      </c>
      <c r="BG21" s="310">
        <v>0.19232289999999999</v>
      </c>
      <c r="BH21" s="310">
        <v>0.17593349999999999</v>
      </c>
      <c r="BI21" s="310">
        <v>0.1995828</v>
      </c>
      <c r="BJ21" s="310">
        <v>0.19903609999999999</v>
      </c>
      <c r="BK21" s="310">
        <v>0.1995779</v>
      </c>
    </row>
    <row r="22" spans="1:63" x14ac:dyDescent="0.25">
      <c r="A22" s="306">
        <v>212100</v>
      </c>
      <c r="B22" s="310" t="s">
        <v>694</v>
      </c>
      <c r="C22" s="310">
        <v>0.2405833</v>
      </c>
      <c r="D22" s="310">
        <v>0.2266822</v>
      </c>
      <c r="E22" s="310">
        <v>0.240121</v>
      </c>
      <c r="F22" s="310">
        <v>7.9277200000000006E-2</v>
      </c>
      <c r="G22" s="310">
        <v>0.22566430000000001</v>
      </c>
      <c r="H22" s="310">
        <v>0.121805</v>
      </c>
      <c r="I22" s="310">
        <v>0.23300299999999999</v>
      </c>
      <c r="J22" s="310">
        <v>0</v>
      </c>
      <c r="K22" s="310">
        <v>0</v>
      </c>
      <c r="L22" s="310">
        <v>0</v>
      </c>
      <c r="M22" s="310">
        <v>0</v>
      </c>
      <c r="N22" s="310">
        <v>0.14677999999999999</v>
      </c>
      <c r="O22" s="310">
        <v>0</v>
      </c>
      <c r="P22" s="310">
        <v>0</v>
      </c>
      <c r="Q22" s="310">
        <v>0</v>
      </c>
      <c r="R22" s="310">
        <v>0.2119308</v>
      </c>
      <c r="S22" s="310">
        <v>0.2317321</v>
      </c>
      <c r="T22" s="310">
        <v>0.23731089999999999</v>
      </c>
      <c r="U22" s="310">
        <v>0.2212141</v>
      </c>
      <c r="V22" s="310">
        <v>0.182918</v>
      </c>
      <c r="W22" s="310">
        <v>0</v>
      </c>
      <c r="X22" s="310">
        <v>0.1697824</v>
      </c>
      <c r="Y22" s="310">
        <v>0</v>
      </c>
      <c r="Z22" s="310">
        <v>0</v>
      </c>
      <c r="AA22" s="310">
        <v>0</v>
      </c>
      <c r="AB22" s="310">
        <v>0.16824749999999999</v>
      </c>
      <c r="AC22" s="310">
        <v>0.2234043</v>
      </c>
      <c r="AD22" s="310">
        <v>0.1681695</v>
      </c>
      <c r="AE22" s="310">
        <v>0.22508339999999999</v>
      </c>
      <c r="AF22" s="310">
        <v>0.23834420000000001</v>
      </c>
      <c r="AG22" s="310">
        <v>0</v>
      </c>
      <c r="AH22" s="310">
        <v>0</v>
      </c>
      <c r="AI22" s="310">
        <v>0</v>
      </c>
      <c r="AJ22" s="310">
        <v>0.2184807</v>
      </c>
      <c r="AK22" s="310">
        <v>0</v>
      </c>
      <c r="AL22" s="310">
        <v>0.24065520000000001</v>
      </c>
      <c r="AM22" s="310">
        <v>0.22131670000000001</v>
      </c>
      <c r="AN22" s="310">
        <v>0.2302729</v>
      </c>
      <c r="AO22" s="310">
        <v>0</v>
      </c>
      <c r="AP22" s="310">
        <v>0.2113111</v>
      </c>
      <c r="AQ22" s="310">
        <v>0</v>
      </c>
      <c r="AR22" s="310">
        <v>0.24062310000000001</v>
      </c>
      <c r="AS22" s="310">
        <v>0</v>
      </c>
      <c r="AT22" s="310">
        <v>0.21056849999999999</v>
      </c>
      <c r="AU22" s="310">
        <v>0.23781160000000001</v>
      </c>
      <c r="AV22" s="310">
        <v>0.23874899999999999</v>
      </c>
      <c r="AW22" s="310">
        <v>0.21341389999999999</v>
      </c>
      <c r="AX22" s="310">
        <v>0</v>
      </c>
      <c r="AY22" s="310">
        <v>0.24060200000000001</v>
      </c>
      <c r="AZ22" s="310">
        <v>0</v>
      </c>
      <c r="BA22" s="310">
        <v>0.21855520000000001</v>
      </c>
      <c r="BB22" s="310">
        <v>0.23646400000000001</v>
      </c>
      <c r="BC22" s="310">
        <v>0</v>
      </c>
      <c r="BD22" s="310">
        <v>0.2113892</v>
      </c>
      <c r="BE22" s="310">
        <v>0.22705400000000001</v>
      </c>
      <c r="BF22" s="310">
        <v>0.20337150000000001</v>
      </c>
      <c r="BG22" s="310">
        <v>0.2248368</v>
      </c>
      <c r="BH22" s="310">
        <v>0.22833110000000001</v>
      </c>
      <c r="BI22" s="310">
        <v>0.23854719999999999</v>
      </c>
      <c r="BJ22" s="310">
        <v>0.2388469</v>
      </c>
      <c r="BK22" s="310">
        <v>0.23354720000000001</v>
      </c>
    </row>
    <row r="23" spans="1:63" x14ac:dyDescent="0.25">
      <c r="A23" s="306">
        <v>212210</v>
      </c>
      <c r="B23" s="310" t="s">
        <v>695</v>
      </c>
      <c r="C23" s="310">
        <v>0.21147199999999999</v>
      </c>
      <c r="D23" s="310">
        <v>0</v>
      </c>
      <c r="E23" s="310">
        <v>0.21147630000000001</v>
      </c>
      <c r="F23" s="310">
        <v>0</v>
      </c>
      <c r="G23" s="310">
        <v>0.20950340000000001</v>
      </c>
      <c r="H23" s="310">
        <v>0.1642846</v>
      </c>
      <c r="I23" s="310">
        <v>0.2105235</v>
      </c>
      <c r="J23" s="310">
        <v>0</v>
      </c>
      <c r="K23" s="310">
        <v>0</v>
      </c>
      <c r="L23" s="310">
        <v>0</v>
      </c>
      <c r="M23" s="310">
        <v>0.21147679999999999</v>
      </c>
      <c r="N23" s="310">
        <v>0</v>
      </c>
      <c r="O23" s="310">
        <v>0</v>
      </c>
      <c r="P23" s="310">
        <v>0</v>
      </c>
      <c r="Q23" s="310">
        <v>0</v>
      </c>
      <c r="R23" s="310">
        <v>0</v>
      </c>
      <c r="S23" s="310">
        <v>0</v>
      </c>
      <c r="T23" s="310">
        <v>0</v>
      </c>
      <c r="U23" s="310">
        <v>0</v>
      </c>
      <c r="V23" s="310">
        <v>0.18555630000000001</v>
      </c>
      <c r="W23" s="310">
        <v>0</v>
      </c>
      <c r="X23" s="310">
        <v>0</v>
      </c>
      <c r="Y23" s="310">
        <v>0</v>
      </c>
      <c r="Z23" s="310">
        <v>0.2110379</v>
      </c>
      <c r="AA23" s="310">
        <v>0.2110437</v>
      </c>
      <c r="AB23" s="310">
        <v>0</v>
      </c>
      <c r="AC23" s="310">
        <v>0</v>
      </c>
      <c r="AD23" s="310">
        <v>0.19636629999999999</v>
      </c>
      <c r="AE23" s="310">
        <v>0</v>
      </c>
      <c r="AF23" s="310">
        <v>0</v>
      </c>
      <c r="AG23" s="310">
        <v>0</v>
      </c>
      <c r="AH23" s="310">
        <v>0</v>
      </c>
      <c r="AI23" s="310">
        <v>0</v>
      </c>
      <c r="AJ23" s="310">
        <v>0</v>
      </c>
      <c r="AK23" s="310">
        <v>0.20772679999999999</v>
      </c>
      <c r="AL23" s="310">
        <v>0</v>
      </c>
      <c r="AM23" s="310">
        <v>0</v>
      </c>
      <c r="AN23" s="310">
        <v>0</v>
      </c>
      <c r="AO23" s="310">
        <v>0</v>
      </c>
      <c r="AP23" s="310">
        <v>0.2036762</v>
      </c>
      <c r="AQ23" s="310">
        <v>0</v>
      </c>
      <c r="AR23" s="310">
        <v>0.19122439999999999</v>
      </c>
      <c r="AS23" s="310">
        <v>0</v>
      </c>
      <c r="AT23" s="310">
        <v>0</v>
      </c>
      <c r="AU23" s="310">
        <v>0.20771500000000001</v>
      </c>
      <c r="AV23" s="310">
        <v>0</v>
      </c>
      <c r="AW23" s="310">
        <v>0.21151790000000001</v>
      </c>
      <c r="AX23" s="310">
        <v>0</v>
      </c>
      <c r="AY23" s="310">
        <v>0.21148610000000001</v>
      </c>
      <c r="AZ23" s="310">
        <v>0</v>
      </c>
      <c r="BA23" s="310">
        <v>0.14532390000000001</v>
      </c>
      <c r="BB23" s="310">
        <v>0</v>
      </c>
      <c r="BC23" s="310">
        <v>0</v>
      </c>
      <c r="BD23" s="310">
        <v>0.20686479999999999</v>
      </c>
      <c r="BE23" s="310">
        <v>0.20751530000000001</v>
      </c>
      <c r="BF23" s="310">
        <v>0.2106439</v>
      </c>
      <c r="BG23" s="310">
        <v>0.2028596</v>
      </c>
      <c r="BH23" s="310">
        <v>0.19980120000000001</v>
      </c>
      <c r="BI23" s="310">
        <v>0.2013085</v>
      </c>
      <c r="BJ23" s="310">
        <v>0.21032770000000001</v>
      </c>
      <c r="BK23" s="310">
        <v>0.1785302</v>
      </c>
    </row>
    <row r="24" spans="1:63" x14ac:dyDescent="0.25">
      <c r="A24" s="306">
        <v>212230</v>
      </c>
      <c r="B24" s="310" t="s">
        <v>696</v>
      </c>
      <c r="C24" s="310">
        <v>0.2098489</v>
      </c>
      <c r="D24" s="310">
        <v>0.1845772</v>
      </c>
      <c r="E24" s="310">
        <v>0</v>
      </c>
      <c r="F24" s="310">
        <v>0</v>
      </c>
      <c r="G24" s="310">
        <v>0.2079047</v>
      </c>
      <c r="H24" s="310">
        <v>0</v>
      </c>
      <c r="I24" s="310">
        <v>0.2088911</v>
      </c>
      <c r="J24" s="310">
        <v>0</v>
      </c>
      <c r="K24" s="310">
        <v>0</v>
      </c>
      <c r="L24" s="310">
        <v>0</v>
      </c>
      <c r="M24" s="310">
        <v>0</v>
      </c>
      <c r="N24" s="310">
        <v>0</v>
      </c>
      <c r="O24" s="310">
        <v>0</v>
      </c>
      <c r="P24" s="310">
        <v>0</v>
      </c>
      <c r="Q24" s="310">
        <v>0.18723899999999999</v>
      </c>
      <c r="R24" s="310">
        <v>0</v>
      </c>
      <c r="S24" s="310">
        <v>0</v>
      </c>
      <c r="T24" s="310">
        <v>0</v>
      </c>
      <c r="U24" s="310">
        <v>0</v>
      </c>
      <c r="V24" s="310">
        <v>0.18413930000000001</v>
      </c>
      <c r="W24" s="310">
        <v>0</v>
      </c>
      <c r="X24" s="310">
        <v>0</v>
      </c>
      <c r="Y24" s="310">
        <v>0</v>
      </c>
      <c r="Z24" s="310">
        <v>0.20947080000000001</v>
      </c>
      <c r="AA24" s="310">
        <v>0.20939749999999999</v>
      </c>
      <c r="AB24" s="310">
        <v>0.20989530000000001</v>
      </c>
      <c r="AC24" s="310">
        <v>0</v>
      </c>
      <c r="AD24" s="310">
        <v>0.19488330000000001</v>
      </c>
      <c r="AE24" s="310">
        <v>0</v>
      </c>
      <c r="AF24" s="310">
        <v>0</v>
      </c>
      <c r="AG24" s="310">
        <v>0</v>
      </c>
      <c r="AH24" s="310">
        <v>0</v>
      </c>
      <c r="AI24" s="310">
        <v>0</v>
      </c>
      <c r="AJ24" s="310">
        <v>0.20368249999999999</v>
      </c>
      <c r="AK24" s="310">
        <v>0.2061588</v>
      </c>
      <c r="AL24" s="310">
        <v>0.1214716</v>
      </c>
      <c r="AM24" s="310">
        <v>0</v>
      </c>
      <c r="AN24" s="310">
        <v>0.2098932</v>
      </c>
      <c r="AO24" s="310">
        <v>0</v>
      </c>
      <c r="AP24" s="310">
        <v>0</v>
      </c>
      <c r="AQ24" s="310">
        <v>0</v>
      </c>
      <c r="AR24" s="310">
        <v>0</v>
      </c>
      <c r="AS24" s="310">
        <v>0.2099047</v>
      </c>
      <c r="AT24" s="310">
        <v>0.20103950000000001</v>
      </c>
      <c r="AU24" s="310">
        <v>0</v>
      </c>
      <c r="AV24" s="310">
        <v>0.20415829999999999</v>
      </c>
      <c r="AW24" s="310">
        <v>0</v>
      </c>
      <c r="AX24" s="310">
        <v>0.2023181</v>
      </c>
      <c r="AY24" s="310">
        <v>0.20984929999999999</v>
      </c>
      <c r="AZ24" s="310">
        <v>0</v>
      </c>
      <c r="BA24" s="310">
        <v>0</v>
      </c>
      <c r="BB24" s="310">
        <v>0</v>
      </c>
      <c r="BC24" s="310">
        <v>0.2098758</v>
      </c>
      <c r="BD24" s="310">
        <v>0.20529230000000001</v>
      </c>
      <c r="BE24" s="310">
        <v>0.20593819999999999</v>
      </c>
      <c r="BF24" s="310">
        <v>0.20904249999999999</v>
      </c>
      <c r="BG24" s="310">
        <v>0</v>
      </c>
      <c r="BH24" s="310">
        <v>0.1982681</v>
      </c>
      <c r="BI24" s="310">
        <v>0.1997709</v>
      </c>
      <c r="BJ24" s="310">
        <v>0.2087193</v>
      </c>
      <c r="BK24" s="310">
        <v>0.17714160000000001</v>
      </c>
    </row>
    <row r="25" spans="1:63" x14ac:dyDescent="0.25">
      <c r="A25" s="306" t="s">
        <v>697</v>
      </c>
      <c r="B25" s="310" t="s">
        <v>698</v>
      </c>
      <c r="C25" s="310">
        <v>0.32547140000000002</v>
      </c>
      <c r="D25" s="310">
        <v>0.2862613</v>
      </c>
      <c r="E25" s="310">
        <v>0.32542320000000002</v>
      </c>
      <c r="F25" s="310">
        <v>0.32546069999999999</v>
      </c>
      <c r="G25" s="310">
        <v>0.32240649999999998</v>
      </c>
      <c r="H25" s="310">
        <v>0.25286449999999999</v>
      </c>
      <c r="I25" s="310">
        <v>0.32392919999999997</v>
      </c>
      <c r="J25" s="310">
        <v>0</v>
      </c>
      <c r="K25" s="310">
        <v>0</v>
      </c>
      <c r="L25" s="310">
        <v>0</v>
      </c>
      <c r="M25" s="310">
        <v>0.32542690000000002</v>
      </c>
      <c r="N25" s="310">
        <v>0</v>
      </c>
      <c r="O25" s="310">
        <v>0</v>
      </c>
      <c r="P25" s="310">
        <v>0</v>
      </c>
      <c r="Q25" s="310">
        <v>0.29035450000000002</v>
      </c>
      <c r="R25" s="310">
        <v>0.22455030000000001</v>
      </c>
      <c r="S25" s="310">
        <v>0</v>
      </c>
      <c r="T25" s="310">
        <v>0</v>
      </c>
      <c r="U25" s="310">
        <v>0</v>
      </c>
      <c r="V25" s="310">
        <v>0.28557709999999997</v>
      </c>
      <c r="W25" s="310">
        <v>0</v>
      </c>
      <c r="X25" s="310">
        <v>0</v>
      </c>
      <c r="Y25" s="310">
        <v>0</v>
      </c>
      <c r="Z25" s="310">
        <v>0</v>
      </c>
      <c r="AA25" s="310">
        <v>0</v>
      </c>
      <c r="AB25" s="310">
        <v>0.32542320000000002</v>
      </c>
      <c r="AC25" s="310">
        <v>0</v>
      </c>
      <c r="AD25" s="310">
        <v>0.30221209999999998</v>
      </c>
      <c r="AE25" s="310">
        <v>0.3254396</v>
      </c>
      <c r="AF25" s="310">
        <v>0</v>
      </c>
      <c r="AG25" s="310">
        <v>0.2954406</v>
      </c>
      <c r="AH25" s="310">
        <v>0</v>
      </c>
      <c r="AI25" s="310">
        <v>0</v>
      </c>
      <c r="AJ25" s="310">
        <v>0.31584499999999999</v>
      </c>
      <c r="AK25" s="310">
        <v>0.31972099999999998</v>
      </c>
      <c r="AL25" s="310">
        <v>0.18836410000000001</v>
      </c>
      <c r="AM25" s="310">
        <v>0</v>
      </c>
      <c r="AN25" s="310">
        <v>0.32546229999999998</v>
      </c>
      <c r="AO25" s="310">
        <v>0.30426360000000002</v>
      </c>
      <c r="AP25" s="310">
        <v>0.31344660000000002</v>
      </c>
      <c r="AQ25" s="310">
        <v>0</v>
      </c>
      <c r="AR25" s="310">
        <v>0.29427560000000003</v>
      </c>
      <c r="AS25" s="310">
        <v>0.32546009999999997</v>
      </c>
      <c r="AT25" s="310">
        <v>0</v>
      </c>
      <c r="AU25" s="310">
        <v>0.31966319999999998</v>
      </c>
      <c r="AV25" s="310">
        <v>0.3166254</v>
      </c>
      <c r="AW25" s="310">
        <v>0.32548199999999999</v>
      </c>
      <c r="AX25" s="310">
        <v>0</v>
      </c>
      <c r="AY25" s="310">
        <v>0.32545990000000002</v>
      </c>
      <c r="AZ25" s="310">
        <v>0</v>
      </c>
      <c r="BA25" s="310">
        <v>0.2236765</v>
      </c>
      <c r="BB25" s="310">
        <v>0.31827640000000001</v>
      </c>
      <c r="BC25" s="310">
        <v>0</v>
      </c>
      <c r="BD25" s="310">
        <v>0.31836550000000002</v>
      </c>
      <c r="BE25" s="310">
        <v>0.31933129999999998</v>
      </c>
      <c r="BF25" s="310">
        <v>0.3241945</v>
      </c>
      <c r="BG25" s="310">
        <v>0.3122162</v>
      </c>
      <c r="BH25" s="310">
        <v>0.30750179999999999</v>
      </c>
      <c r="BI25" s="310">
        <v>0.30980730000000001</v>
      </c>
      <c r="BJ25" s="310">
        <v>0.3236329</v>
      </c>
      <c r="BK25" s="310">
        <v>0.27474120000000002</v>
      </c>
    </row>
    <row r="26" spans="1:63" x14ac:dyDescent="0.25">
      <c r="A26" s="306">
        <v>212310</v>
      </c>
      <c r="B26" s="310" t="s">
        <v>699</v>
      </c>
      <c r="C26" s="310">
        <v>0.2609398</v>
      </c>
      <c r="D26" s="310">
        <v>0.24404890000000001</v>
      </c>
      <c r="E26" s="310">
        <v>0.25546049999999998</v>
      </c>
      <c r="F26" s="310">
        <v>0.2531389</v>
      </c>
      <c r="G26" s="310">
        <v>0.25671319999999997</v>
      </c>
      <c r="H26" s="310">
        <v>0.25439440000000002</v>
      </c>
      <c r="I26" s="310">
        <v>0.25716020000000001</v>
      </c>
      <c r="J26" s="310">
        <v>0.23448369999999999</v>
      </c>
      <c r="K26" s="310">
        <v>0</v>
      </c>
      <c r="L26" s="310">
        <v>0</v>
      </c>
      <c r="M26" s="310">
        <v>0.25781939999999998</v>
      </c>
      <c r="N26" s="310">
        <v>0.2521661</v>
      </c>
      <c r="O26" s="310">
        <v>0.23321600000000001</v>
      </c>
      <c r="P26" s="310">
        <v>0.25208390000000003</v>
      </c>
      <c r="Q26" s="310">
        <v>0.24955569999999999</v>
      </c>
      <c r="R26" s="310">
        <v>0.24144760000000001</v>
      </c>
      <c r="S26" s="310">
        <v>0.2472985</v>
      </c>
      <c r="T26" s="310">
        <v>0.2420168</v>
      </c>
      <c r="U26" s="310">
        <v>0.24816070000000001</v>
      </c>
      <c r="V26" s="310">
        <v>0.23900830000000001</v>
      </c>
      <c r="W26" s="310">
        <v>0.21995799999999999</v>
      </c>
      <c r="X26" s="310">
        <v>0.20937810000000001</v>
      </c>
      <c r="Y26" s="310">
        <v>0.1903012</v>
      </c>
      <c r="Z26" s="310">
        <v>0.25688070000000002</v>
      </c>
      <c r="AA26" s="310">
        <v>0.25557740000000001</v>
      </c>
      <c r="AB26" s="310">
        <v>0.24556069999999999</v>
      </c>
      <c r="AC26" s="310">
        <v>0.23509140000000001</v>
      </c>
      <c r="AD26" s="310">
        <v>0.22434779999999999</v>
      </c>
      <c r="AE26" s="310">
        <v>0.25165219999999999</v>
      </c>
      <c r="AF26" s="310">
        <v>0</v>
      </c>
      <c r="AG26" s="310">
        <v>0.25640849999999998</v>
      </c>
      <c r="AH26" s="310">
        <v>0.25414819999999999</v>
      </c>
      <c r="AI26" s="310">
        <v>0.2160475</v>
      </c>
      <c r="AJ26" s="310">
        <v>0.25507269999999999</v>
      </c>
      <c r="AK26" s="310">
        <v>0.25785449999999999</v>
      </c>
      <c r="AL26" s="310">
        <v>0.2492357</v>
      </c>
      <c r="AM26" s="310">
        <v>0.25261319999999998</v>
      </c>
      <c r="AN26" s="310">
        <v>0.25211889999999998</v>
      </c>
      <c r="AO26" s="310">
        <v>0.24278649999999999</v>
      </c>
      <c r="AP26" s="310">
        <v>0.25066509999999997</v>
      </c>
      <c r="AQ26" s="310">
        <v>0.2268577</v>
      </c>
      <c r="AR26" s="310">
        <v>0.24691279999999999</v>
      </c>
      <c r="AS26" s="310">
        <v>0.24086840000000001</v>
      </c>
      <c r="AT26" s="310">
        <v>0.25062479999999998</v>
      </c>
      <c r="AU26" s="310">
        <v>0.25180520000000001</v>
      </c>
      <c r="AV26" s="310">
        <v>0.25981330000000002</v>
      </c>
      <c r="AW26" s="310">
        <v>0.2408826</v>
      </c>
      <c r="AX26" s="310">
        <v>0.23033629999999999</v>
      </c>
      <c r="AY26" s="310">
        <v>0.25485279999999999</v>
      </c>
      <c r="AZ26" s="310">
        <v>0.2485579</v>
      </c>
      <c r="BA26" s="310">
        <v>0.2209941</v>
      </c>
      <c r="BB26" s="310">
        <v>0.24922230000000001</v>
      </c>
      <c r="BC26" s="310">
        <v>0.25282359999999998</v>
      </c>
      <c r="BD26" s="310">
        <v>0.25511689999999998</v>
      </c>
      <c r="BE26" s="310">
        <v>0.25428990000000001</v>
      </c>
      <c r="BF26" s="310">
        <v>0.25286049999999999</v>
      </c>
      <c r="BG26" s="310">
        <v>0.25643759999999999</v>
      </c>
      <c r="BH26" s="310">
        <v>0.25384469999999998</v>
      </c>
      <c r="BI26" s="310">
        <v>0.25247320000000001</v>
      </c>
      <c r="BJ26" s="310">
        <v>0.25898670000000001</v>
      </c>
      <c r="BK26" s="310">
        <v>0.25438260000000001</v>
      </c>
    </row>
    <row r="27" spans="1:63" x14ac:dyDescent="0.25">
      <c r="A27" s="306">
        <v>212320</v>
      </c>
      <c r="B27" s="310" t="s">
        <v>700</v>
      </c>
      <c r="C27" s="310">
        <v>0.27781040000000001</v>
      </c>
      <c r="D27" s="310">
        <v>0.2598376</v>
      </c>
      <c r="E27" s="310">
        <v>0.2719471</v>
      </c>
      <c r="F27" s="310">
        <v>0.26953919999999998</v>
      </c>
      <c r="G27" s="310">
        <v>0.27333550000000001</v>
      </c>
      <c r="H27" s="310">
        <v>0.27087109999999998</v>
      </c>
      <c r="I27" s="310">
        <v>0.27376879999999998</v>
      </c>
      <c r="J27" s="310">
        <v>0.24965290000000001</v>
      </c>
      <c r="K27" s="310">
        <v>0</v>
      </c>
      <c r="L27" s="310">
        <v>0.20476059999999999</v>
      </c>
      <c r="M27" s="310">
        <v>0.27449889999999999</v>
      </c>
      <c r="N27" s="310">
        <v>0.26847480000000001</v>
      </c>
      <c r="O27" s="310">
        <v>0.2483291</v>
      </c>
      <c r="P27" s="310">
        <v>0.2684454</v>
      </c>
      <c r="Q27" s="310">
        <v>0.26568819999999999</v>
      </c>
      <c r="R27" s="310">
        <v>0.25702419999999998</v>
      </c>
      <c r="S27" s="310">
        <v>0.26334020000000002</v>
      </c>
      <c r="T27" s="310">
        <v>0.25764680000000001</v>
      </c>
      <c r="U27" s="310">
        <v>0.26422210000000002</v>
      </c>
      <c r="V27" s="310">
        <v>0.25453150000000002</v>
      </c>
      <c r="W27" s="310">
        <v>0.234178</v>
      </c>
      <c r="X27" s="310">
        <v>0.22292319999999999</v>
      </c>
      <c r="Y27" s="310">
        <v>0.20262859999999999</v>
      </c>
      <c r="Z27" s="310">
        <v>0.27350859999999999</v>
      </c>
      <c r="AA27" s="310">
        <v>0.2721151</v>
      </c>
      <c r="AB27" s="310">
        <v>0.2614552</v>
      </c>
      <c r="AC27" s="310">
        <v>0.25028070000000002</v>
      </c>
      <c r="AD27" s="310">
        <v>0.2389049</v>
      </c>
      <c r="AE27" s="310">
        <v>0.26795659999999999</v>
      </c>
      <c r="AF27" s="310">
        <v>0.26375080000000001</v>
      </c>
      <c r="AG27" s="310">
        <v>0.27303240000000001</v>
      </c>
      <c r="AH27" s="310">
        <v>0.2705843</v>
      </c>
      <c r="AI27" s="310">
        <v>0.23008190000000001</v>
      </c>
      <c r="AJ27" s="310">
        <v>0.27157599999999998</v>
      </c>
      <c r="AK27" s="310">
        <v>0.27454079999999997</v>
      </c>
      <c r="AL27" s="310">
        <v>0.26535799999999998</v>
      </c>
      <c r="AM27" s="310">
        <v>0.26894600000000002</v>
      </c>
      <c r="AN27" s="310">
        <v>0.26839160000000001</v>
      </c>
      <c r="AO27" s="310">
        <v>0.25847819999999999</v>
      </c>
      <c r="AP27" s="310">
        <v>0.26688250000000002</v>
      </c>
      <c r="AQ27" s="310">
        <v>0.24151</v>
      </c>
      <c r="AR27" s="310">
        <v>0.26287300000000002</v>
      </c>
      <c r="AS27" s="310">
        <v>0.25648219999999999</v>
      </c>
      <c r="AT27" s="310">
        <v>0.2668857</v>
      </c>
      <c r="AU27" s="310">
        <v>0.2680767</v>
      </c>
      <c r="AV27" s="310">
        <v>0.27666790000000002</v>
      </c>
      <c r="AW27" s="310">
        <v>0.25645970000000001</v>
      </c>
      <c r="AX27" s="310">
        <v>0.24524899999999999</v>
      </c>
      <c r="AY27" s="310">
        <v>0.2713622</v>
      </c>
      <c r="AZ27" s="310">
        <v>0.26462560000000002</v>
      </c>
      <c r="BA27" s="310">
        <v>0.2353133</v>
      </c>
      <c r="BB27" s="310">
        <v>0.26529160000000002</v>
      </c>
      <c r="BC27" s="310">
        <v>0.26917140000000001</v>
      </c>
      <c r="BD27" s="310">
        <v>0.27161950000000001</v>
      </c>
      <c r="BE27" s="310">
        <v>0.2707483</v>
      </c>
      <c r="BF27" s="310">
        <v>0.26921099999999998</v>
      </c>
      <c r="BG27" s="310">
        <v>0.27302140000000003</v>
      </c>
      <c r="BH27" s="310">
        <v>0.27029029999999998</v>
      </c>
      <c r="BI27" s="310">
        <v>0.26880929999999997</v>
      </c>
      <c r="BJ27" s="310">
        <v>0.27576820000000002</v>
      </c>
      <c r="BK27" s="310">
        <v>0.27084780000000003</v>
      </c>
    </row>
    <row r="28" spans="1:63" x14ac:dyDescent="0.25">
      <c r="A28" s="306">
        <v>212390</v>
      </c>
      <c r="B28" s="310" t="s">
        <v>701</v>
      </c>
      <c r="C28" s="310">
        <v>0.23254759999999999</v>
      </c>
      <c r="D28" s="310">
        <v>0.21750459999999999</v>
      </c>
      <c r="E28" s="310">
        <v>0.22767209999999999</v>
      </c>
      <c r="F28" s="310">
        <v>0.22560620000000001</v>
      </c>
      <c r="G28" s="310">
        <v>0.2287643</v>
      </c>
      <c r="H28" s="310">
        <v>0.2267699</v>
      </c>
      <c r="I28" s="310">
        <v>0.22920389999999999</v>
      </c>
      <c r="J28" s="310">
        <v>0.20895130000000001</v>
      </c>
      <c r="K28" s="310">
        <v>0</v>
      </c>
      <c r="L28" s="310">
        <v>0</v>
      </c>
      <c r="M28" s="310">
        <v>0.22977520000000001</v>
      </c>
      <c r="N28" s="310">
        <v>0.22474189999999999</v>
      </c>
      <c r="O28" s="310">
        <v>0.20785419999999999</v>
      </c>
      <c r="P28" s="310">
        <v>0.22469720000000001</v>
      </c>
      <c r="Q28" s="310">
        <v>0.22237599999999999</v>
      </c>
      <c r="R28" s="310">
        <v>0.21517939999999999</v>
      </c>
      <c r="S28" s="310">
        <v>0.22039349999999999</v>
      </c>
      <c r="T28" s="310">
        <v>0.21566569999999999</v>
      </c>
      <c r="U28" s="310">
        <v>0</v>
      </c>
      <c r="V28" s="310">
        <v>0.21304010000000001</v>
      </c>
      <c r="W28" s="310">
        <v>0</v>
      </c>
      <c r="X28" s="310">
        <v>0.18656539999999999</v>
      </c>
      <c r="Y28" s="310">
        <v>0.16957439999999999</v>
      </c>
      <c r="Z28" s="310">
        <v>0.22894980000000001</v>
      </c>
      <c r="AA28" s="310">
        <v>0.22775529999999999</v>
      </c>
      <c r="AB28" s="310">
        <v>0.21885170000000001</v>
      </c>
      <c r="AC28" s="310">
        <v>0.20952380000000001</v>
      </c>
      <c r="AD28" s="310">
        <v>0.1999379</v>
      </c>
      <c r="AE28" s="310">
        <v>0.22428409999999999</v>
      </c>
      <c r="AF28" s="310">
        <v>0</v>
      </c>
      <c r="AG28" s="310">
        <v>0.2285141</v>
      </c>
      <c r="AH28" s="310">
        <v>0.2265095</v>
      </c>
      <c r="AI28" s="310">
        <v>0.1925569</v>
      </c>
      <c r="AJ28" s="310">
        <v>0.2273365</v>
      </c>
      <c r="AK28" s="310">
        <v>0.2297872</v>
      </c>
      <c r="AL28" s="310">
        <v>0.2221244</v>
      </c>
      <c r="AM28" s="310">
        <v>0.2251213</v>
      </c>
      <c r="AN28" s="310">
        <v>0.22469610000000001</v>
      </c>
      <c r="AO28" s="310">
        <v>0.21637899999999999</v>
      </c>
      <c r="AP28" s="310">
        <v>0.22341030000000001</v>
      </c>
      <c r="AQ28" s="310">
        <v>0</v>
      </c>
      <c r="AR28" s="310">
        <v>0.22004370000000001</v>
      </c>
      <c r="AS28" s="310">
        <v>0.21469170000000001</v>
      </c>
      <c r="AT28" s="310">
        <v>0.22340360000000001</v>
      </c>
      <c r="AU28" s="310">
        <v>0.22441259999999999</v>
      </c>
      <c r="AV28" s="310">
        <v>0.2316008</v>
      </c>
      <c r="AW28" s="310">
        <v>0.2146971</v>
      </c>
      <c r="AX28" s="310">
        <v>0.2053275</v>
      </c>
      <c r="AY28" s="310">
        <v>0.22716529999999999</v>
      </c>
      <c r="AZ28" s="310">
        <v>0.22152949999999999</v>
      </c>
      <c r="BA28" s="310">
        <v>0.1969844</v>
      </c>
      <c r="BB28" s="310">
        <v>0.22205369999999999</v>
      </c>
      <c r="BC28" s="310">
        <v>0.22532389999999999</v>
      </c>
      <c r="BD28" s="310">
        <v>0.2273297</v>
      </c>
      <c r="BE28" s="310">
        <v>0.22666140000000001</v>
      </c>
      <c r="BF28" s="310">
        <v>0.2253609</v>
      </c>
      <c r="BG28" s="310">
        <v>0.2285403</v>
      </c>
      <c r="BH28" s="310">
        <v>0.2262634</v>
      </c>
      <c r="BI28" s="310">
        <v>0.22502269999999999</v>
      </c>
      <c r="BJ28" s="310">
        <v>0.2307911</v>
      </c>
      <c r="BK28" s="310">
        <v>0.22670599999999999</v>
      </c>
    </row>
    <row r="29" spans="1:63" x14ac:dyDescent="0.25">
      <c r="A29" s="306">
        <v>213111</v>
      </c>
      <c r="B29" s="310" t="s">
        <v>20</v>
      </c>
      <c r="C29" s="310">
        <v>0.23965120000000001</v>
      </c>
      <c r="D29" s="310">
        <v>0.20702599999999999</v>
      </c>
      <c r="E29" s="310">
        <v>0.1860309</v>
      </c>
      <c r="F29" s="310">
        <v>0.19952310000000001</v>
      </c>
      <c r="G29" s="310">
        <v>0.21273729999999999</v>
      </c>
      <c r="H29" s="310">
        <v>0.2366123</v>
      </c>
      <c r="I29" s="310">
        <v>0.2313229</v>
      </c>
      <c r="J29" s="310">
        <v>0.23969889999999999</v>
      </c>
      <c r="K29" s="310">
        <v>0</v>
      </c>
      <c r="L29" s="310">
        <v>0.21716859999999999</v>
      </c>
      <c r="M29" s="310">
        <v>0.21655769999999999</v>
      </c>
      <c r="N29" s="310">
        <v>0.18830459999999999</v>
      </c>
      <c r="O29" s="310">
        <v>0</v>
      </c>
      <c r="P29" s="310">
        <v>0.23057859999999999</v>
      </c>
      <c r="Q29" s="310">
        <v>0.22969919999999999</v>
      </c>
      <c r="R29" s="310">
        <v>0.2297305</v>
      </c>
      <c r="S29" s="310">
        <v>0.21450369999999999</v>
      </c>
      <c r="T29" s="310">
        <v>0.22589219999999999</v>
      </c>
      <c r="U29" s="310">
        <v>0.22481290000000001</v>
      </c>
      <c r="V29" s="310">
        <v>0.21086389999999999</v>
      </c>
      <c r="W29" s="310">
        <v>0.1910732</v>
      </c>
      <c r="X29" s="310">
        <v>0.2397088</v>
      </c>
      <c r="Y29" s="310">
        <v>0.2257932</v>
      </c>
      <c r="Z29" s="310">
        <v>0.2389732</v>
      </c>
      <c r="AA29" s="310">
        <v>0.21817420000000001</v>
      </c>
      <c r="AB29" s="310">
        <v>0.19171669999999999</v>
      </c>
      <c r="AC29" s="310">
        <v>0.2185298</v>
      </c>
      <c r="AD29" s="310">
        <v>0.2226582</v>
      </c>
      <c r="AE29" s="310">
        <v>0.20347789999999999</v>
      </c>
      <c r="AF29" s="310">
        <v>0.2281165</v>
      </c>
      <c r="AG29" s="310">
        <v>0.18459739999999999</v>
      </c>
      <c r="AH29" s="310">
        <v>0.1407535</v>
      </c>
      <c r="AI29" s="310">
        <v>0.217358</v>
      </c>
      <c r="AJ29" s="310">
        <v>0.22253800000000001</v>
      </c>
      <c r="AK29" s="310">
        <v>0.2236669</v>
      </c>
      <c r="AL29" s="310">
        <v>0.19629650000000001</v>
      </c>
      <c r="AM29" s="310">
        <v>0.2283839</v>
      </c>
      <c r="AN29" s="310">
        <v>0.23227349999999999</v>
      </c>
      <c r="AO29" s="310">
        <v>0.2347041</v>
      </c>
      <c r="AP29" s="310">
        <v>0.21890809999999999</v>
      </c>
      <c r="AQ29" s="310">
        <v>0.1472367</v>
      </c>
      <c r="AR29" s="310">
        <v>0.1412699</v>
      </c>
      <c r="AS29" s="310">
        <v>0.20780860000000001</v>
      </c>
      <c r="AT29" s="310">
        <v>0.13438929999999999</v>
      </c>
      <c r="AU29" s="310">
        <v>0.22834119999999999</v>
      </c>
      <c r="AV29" s="310">
        <v>0.2273569</v>
      </c>
      <c r="AW29" s="310">
        <v>0.20219980000000001</v>
      </c>
      <c r="AX29" s="310">
        <v>0</v>
      </c>
      <c r="AY29" s="310">
        <v>0.20738780000000001</v>
      </c>
      <c r="AZ29" s="310">
        <v>0.2256744</v>
      </c>
      <c r="BA29" s="310">
        <v>0.2350535</v>
      </c>
      <c r="BB29" s="310">
        <v>0.22796620000000001</v>
      </c>
      <c r="BC29" s="310">
        <v>0.2340296</v>
      </c>
      <c r="BD29" s="310">
        <v>0.22425539999999999</v>
      </c>
      <c r="BE29" s="310">
        <v>0.23386570000000001</v>
      </c>
      <c r="BF29" s="310">
        <v>0.22723979999999999</v>
      </c>
      <c r="BG29" s="310">
        <v>0.22348660000000001</v>
      </c>
      <c r="BH29" s="310">
        <v>0.2217789</v>
      </c>
      <c r="BI29" s="310">
        <v>0.23054520000000001</v>
      </c>
      <c r="BJ29" s="310">
        <v>0.2325653</v>
      </c>
      <c r="BK29" s="310">
        <v>0.2302438</v>
      </c>
    </row>
    <row r="30" spans="1:63" x14ac:dyDescent="0.25">
      <c r="A30" s="306">
        <v>213112</v>
      </c>
      <c r="B30" s="310" t="s">
        <v>21</v>
      </c>
      <c r="C30" s="310">
        <v>0.30065259999999999</v>
      </c>
      <c r="D30" s="310">
        <v>0.25972590000000001</v>
      </c>
      <c r="E30" s="310">
        <v>0.23336970000000001</v>
      </c>
      <c r="F30" s="310">
        <v>0.25025760000000002</v>
      </c>
      <c r="G30" s="310">
        <v>0.26690639999999999</v>
      </c>
      <c r="H30" s="310">
        <v>0.29682019999999998</v>
      </c>
      <c r="I30" s="310">
        <v>0.29020030000000002</v>
      </c>
      <c r="J30" s="310">
        <v>0.30069750000000001</v>
      </c>
      <c r="K30" s="310">
        <v>0</v>
      </c>
      <c r="L30" s="310">
        <v>0</v>
      </c>
      <c r="M30" s="310">
        <v>0.27169330000000003</v>
      </c>
      <c r="N30" s="310">
        <v>0.23620759999999999</v>
      </c>
      <c r="O30" s="310">
        <v>0.30066799999999999</v>
      </c>
      <c r="P30" s="310">
        <v>0.28922009999999998</v>
      </c>
      <c r="Q30" s="310">
        <v>0.28810999999999998</v>
      </c>
      <c r="R30" s="310">
        <v>0.28818749999999999</v>
      </c>
      <c r="S30" s="310">
        <v>0.26905509999999999</v>
      </c>
      <c r="T30" s="310">
        <v>0.28340389999999999</v>
      </c>
      <c r="U30" s="310">
        <v>0.28201219999999999</v>
      </c>
      <c r="V30" s="310">
        <v>0.26451819999999998</v>
      </c>
      <c r="W30" s="310">
        <v>0.23968010000000001</v>
      </c>
      <c r="X30" s="310">
        <v>0.3006759</v>
      </c>
      <c r="Y30" s="310">
        <v>0</v>
      </c>
      <c r="Z30" s="310">
        <v>0.29978359999999998</v>
      </c>
      <c r="AA30" s="310">
        <v>0.2736459</v>
      </c>
      <c r="AB30" s="310">
        <v>0.2405033</v>
      </c>
      <c r="AC30" s="310">
        <v>0.2741442</v>
      </c>
      <c r="AD30" s="310">
        <v>0.27936250000000001</v>
      </c>
      <c r="AE30" s="310">
        <v>0.25529659999999998</v>
      </c>
      <c r="AF30" s="310">
        <v>0.28619840000000002</v>
      </c>
      <c r="AG30" s="310">
        <v>0.23154340000000001</v>
      </c>
      <c r="AH30" s="310">
        <v>0</v>
      </c>
      <c r="AI30" s="310">
        <v>0.27268959999999998</v>
      </c>
      <c r="AJ30" s="310">
        <v>0.2791245</v>
      </c>
      <c r="AK30" s="310">
        <v>0.28051530000000002</v>
      </c>
      <c r="AL30" s="310">
        <v>0.24624380000000001</v>
      </c>
      <c r="AM30" s="310">
        <v>0.28654439999999998</v>
      </c>
      <c r="AN30" s="310">
        <v>0.2914157</v>
      </c>
      <c r="AO30" s="310">
        <v>0.29437540000000001</v>
      </c>
      <c r="AP30" s="310">
        <v>0.27455560000000001</v>
      </c>
      <c r="AQ30" s="310">
        <v>0</v>
      </c>
      <c r="AR30" s="310">
        <v>0.17717540000000001</v>
      </c>
      <c r="AS30" s="310">
        <v>0.26066790000000001</v>
      </c>
      <c r="AT30" s="310">
        <v>0.16860320000000001</v>
      </c>
      <c r="AU30" s="310">
        <v>0.28643689999999999</v>
      </c>
      <c r="AV30" s="310">
        <v>0.28524090000000002</v>
      </c>
      <c r="AW30" s="310">
        <v>0.25364569999999997</v>
      </c>
      <c r="AX30" s="310">
        <v>0</v>
      </c>
      <c r="AY30" s="310">
        <v>0.260098</v>
      </c>
      <c r="AZ30" s="310">
        <v>0.28307890000000002</v>
      </c>
      <c r="BA30" s="310">
        <v>0.2948597</v>
      </c>
      <c r="BB30" s="310">
        <v>0.28600999999999999</v>
      </c>
      <c r="BC30" s="310">
        <v>0.29355930000000002</v>
      </c>
      <c r="BD30" s="310">
        <v>0.28133049999999998</v>
      </c>
      <c r="BE30" s="310">
        <v>0.29343130000000001</v>
      </c>
      <c r="BF30" s="310">
        <v>0.28499679999999999</v>
      </c>
      <c r="BG30" s="310">
        <v>0.28040720000000002</v>
      </c>
      <c r="BH30" s="310">
        <v>0.27825</v>
      </c>
      <c r="BI30" s="310">
        <v>0.2891744</v>
      </c>
      <c r="BJ30" s="310">
        <v>0.29175210000000001</v>
      </c>
      <c r="BK30" s="310">
        <v>0.28884100000000001</v>
      </c>
    </row>
    <row r="31" spans="1:63" x14ac:dyDescent="0.25">
      <c r="A31" s="306" t="s">
        <v>702</v>
      </c>
      <c r="B31" s="310" t="s">
        <v>22</v>
      </c>
      <c r="C31" s="310">
        <v>0.2590769</v>
      </c>
      <c r="D31" s="310">
        <v>0.2238087</v>
      </c>
      <c r="E31" s="310">
        <v>0.20106789999999999</v>
      </c>
      <c r="F31" s="310">
        <v>0.21566060000000001</v>
      </c>
      <c r="G31" s="310">
        <v>0.23000780000000001</v>
      </c>
      <c r="H31" s="310">
        <v>0.2557664</v>
      </c>
      <c r="I31" s="310">
        <v>0.25008590000000003</v>
      </c>
      <c r="J31" s="310">
        <v>0.25913160000000002</v>
      </c>
      <c r="K31" s="310">
        <v>0</v>
      </c>
      <c r="L31" s="310">
        <v>0</v>
      </c>
      <c r="M31" s="310">
        <v>0.2341145</v>
      </c>
      <c r="N31" s="310">
        <v>0.20356840000000001</v>
      </c>
      <c r="O31" s="310">
        <v>0</v>
      </c>
      <c r="P31" s="310">
        <v>0.24925939999999999</v>
      </c>
      <c r="Q31" s="310">
        <v>0.24831729999999999</v>
      </c>
      <c r="R31" s="310">
        <v>0.24833230000000001</v>
      </c>
      <c r="S31" s="310">
        <v>0.2318692</v>
      </c>
      <c r="T31" s="310">
        <v>0.24424309999999999</v>
      </c>
      <c r="U31" s="310">
        <v>0.24303379999999999</v>
      </c>
      <c r="V31" s="310">
        <v>0.2279438</v>
      </c>
      <c r="W31" s="310">
        <v>0.20654210000000001</v>
      </c>
      <c r="X31" s="310">
        <v>0.25912489999999999</v>
      </c>
      <c r="Y31" s="310">
        <v>0</v>
      </c>
      <c r="Z31" s="310">
        <v>0.25835530000000001</v>
      </c>
      <c r="AA31" s="310">
        <v>0.23581050000000001</v>
      </c>
      <c r="AB31" s="310">
        <v>0.20723820000000001</v>
      </c>
      <c r="AC31" s="310">
        <v>0.23624629999999999</v>
      </c>
      <c r="AD31" s="310">
        <v>0.24075530000000001</v>
      </c>
      <c r="AE31" s="310">
        <v>0.21999659999999999</v>
      </c>
      <c r="AF31" s="310">
        <v>0.24660789999999999</v>
      </c>
      <c r="AG31" s="310">
        <v>0.19955129999999999</v>
      </c>
      <c r="AH31" s="310">
        <v>0.152169</v>
      </c>
      <c r="AI31" s="310">
        <v>0.2350042</v>
      </c>
      <c r="AJ31" s="310">
        <v>0.24054510000000001</v>
      </c>
      <c r="AK31" s="310">
        <v>0.2417763</v>
      </c>
      <c r="AL31" s="310">
        <v>0.212196</v>
      </c>
      <c r="AM31" s="310">
        <v>0.24688299999999999</v>
      </c>
      <c r="AN31" s="310">
        <v>0.25115169999999998</v>
      </c>
      <c r="AO31" s="310">
        <v>0.25369760000000002</v>
      </c>
      <c r="AP31" s="310">
        <v>0.2366297</v>
      </c>
      <c r="AQ31" s="310">
        <v>0</v>
      </c>
      <c r="AR31" s="310">
        <v>0.152701</v>
      </c>
      <c r="AS31" s="310">
        <v>0.2246602</v>
      </c>
      <c r="AT31" s="310">
        <v>0.14528379999999999</v>
      </c>
      <c r="AU31" s="310">
        <v>0.24681819999999999</v>
      </c>
      <c r="AV31" s="310">
        <v>0.24578459999999999</v>
      </c>
      <c r="AW31" s="310">
        <v>0.21857180000000001</v>
      </c>
      <c r="AX31" s="310">
        <v>0.25908940000000003</v>
      </c>
      <c r="AY31" s="310">
        <v>0.22415350000000001</v>
      </c>
      <c r="AZ31" s="310">
        <v>0.24395530000000001</v>
      </c>
      <c r="BA31" s="310">
        <v>0.25414029999999999</v>
      </c>
      <c r="BB31" s="310">
        <v>0.2464644</v>
      </c>
      <c r="BC31" s="310">
        <v>0.25297979999999998</v>
      </c>
      <c r="BD31" s="310">
        <v>0.2424258</v>
      </c>
      <c r="BE31" s="310">
        <v>0.25284060000000003</v>
      </c>
      <c r="BF31" s="310">
        <v>0.2456412</v>
      </c>
      <c r="BG31" s="310">
        <v>0.2416104</v>
      </c>
      <c r="BH31" s="310">
        <v>0.2397793</v>
      </c>
      <c r="BI31" s="310">
        <v>0.24920059999999999</v>
      </c>
      <c r="BJ31" s="310">
        <v>0.25140319999999999</v>
      </c>
      <c r="BK31" s="310">
        <v>0.24895500000000001</v>
      </c>
    </row>
    <row r="32" spans="1:63" x14ac:dyDescent="0.25">
      <c r="A32" s="306" t="s">
        <v>602</v>
      </c>
      <c r="B32" s="310" t="s">
        <v>23</v>
      </c>
      <c r="C32" s="310">
        <v>0.23702280000000001</v>
      </c>
      <c r="D32" s="310">
        <v>0.2324377</v>
      </c>
      <c r="E32" s="310">
        <v>0.22902120000000001</v>
      </c>
      <c r="F32" s="310">
        <v>0.22940659999999999</v>
      </c>
      <c r="G32" s="310">
        <v>0.23428879999999999</v>
      </c>
      <c r="H32" s="310">
        <v>0.23562169999999999</v>
      </c>
      <c r="I32" s="310">
        <v>0.23208809999999999</v>
      </c>
      <c r="J32" s="310">
        <v>0.22584560000000001</v>
      </c>
      <c r="K32" s="310">
        <v>4.1054599999999997E-2</v>
      </c>
      <c r="L32" s="310">
        <v>0.1876091</v>
      </c>
      <c r="M32" s="310">
        <v>0.2346259</v>
      </c>
      <c r="N32" s="310">
        <v>0.22884009999999999</v>
      </c>
      <c r="O32" s="310">
        <v>0.2359135</v>
      </c>
      <c r="P32" s="310">
        <v>0.21932840000000001</v>
      </c>
      <c r="Q32" s="310">
        <v>0.23188520000000001</v>
      </c>
      <c r="R32" s="310">
        <v>0.2249845</v>
      </c>
      <c r="S32" s="310">
        <v>0.22575909999999999</v>
      </c>
      <c r="T32" s="310">
        <v>0.22451380000000001</v>
      </c>
      <c r="U32" s="310">
        <v>0.21747230000000001</v>
      </c>
      <c r="V32" s="310">
        <v>0.22972000000000001</v>
      </c>
      <c r="W32" s="310">
        <v>0.21960299999999999</v>
      </c>
      <c r="X32" s="310">
        <v>0.21683630000000001</v>
      </c>
      <c r="Y32" s="310">
        <v>0.23254520000000001</v>
      </c>
      <c r="Z32" s="310">
        <v>0.2275025</v>
      </c>
      <c r="AA32" s="310">
        <v>0.22737189999999999</v>
      </c>
      <c r="AB32" s="310">
        <v>0.20645630000000001</v>
      </c>
      <c r="AC32" s="310">
        <v>0.23067480000000001</v>
      </c>
      <c r="AD32" s="310">
        <v>0.23650099999999999</v>
      </c>
      <c r="AE32" s="310">
        <v>0.22333359999999999</v>
      </c>
      <c r="AF32" s="310">
        <v>0.22942019999999999</v>
      </c>
      <c r="AG32" s="310">
        <v>0.2151325</v>
      </c>
      <c r="AH32" s="310">
        <v>0.21223990000000001</v>
      </c>
      <c r="AI32" s="310">
        <v>0.2173745</v>
      </c>
      <c r="AJ32" s="310">
        <v>0.23068810000000001</v>
      </c>
      <c r="AK32" s="310">
        <v>0.21858269999999999</v>
      </c>
      <c r="AL32" s="310">
        <v>0.22123680000000001</v>
      </c>
      <c r="AM32" s="310">
        <v>0.22046350000000001</v>
      </c>
      <c r="AN32" s="310">
        <v>0.23173730000000001</v>
      </c>
      <c r="AO32" s="310">
        <v>0.21475159999999999</v>
      </c>
      <c r="AP32" s="310">
        <v>0.22433539999999999</v>
      </c>
      <c r="AQ32" s="310">
        <v>0.192852</v>
      </c>
      <c r="AR32" s="310">
        <v>0.20327790000000001</v>
      </c>
      <c r="AS32" s="310">
        <v>0.23192380000000001</v>
      </c>
      <c r="AT32" s="310">
        <v>0.21981400000000001</v>
      </c>
      <c r="AU32" s="310">
        <v>0.2336423</v>
      </c>
      <c r="AV32" s="310">
        <v>0.23257829999999999</v>
      </c>
      <c r="AW32" s="310">
        <v>0.21936810000000001</v>
      </c>
      <c r="AX32" s="310">
        <v>0.1904458</v>
      </c>
      <c r="AY32" s="310">
        <v>0.2215385</v>
      </c>
      <c r="AZ32" s="310">
        <v>0.2304435</v>
      </c>
      <c r="BA32" s="310">
        <v>0.21493329999999999</v>
      </c>
      <c r="BB32" s="310">
        <v>0.23057900000000001</v>
      </c>
      <c r="BC32" s="310">
        <v>0.23493649999999999</v>
      </c>
      <c r="BD32" s="310">
        <v>0.23153280000000001</v>
      </c>
      <c r="BE32" s="310">
        <v>0.23004759999999999</v>
      </c>
      <c r="BF32" s="310">
        <v>0.2282344</v>
      </c>
      <c r="BG32" s="310">
        <v>0.2330874</v>
      </c>
      <c r="BH32" s="310">
        <v>0.22813069999999999</v>
      </c>
      <c r="BI32" s="310">
        <v>0.2344465</v>
      </c>
      <c r="BJ32" s="310">
        <v>0.2347619</v>
      </c>
      <c r="BK32" s="310">
        <v>0.2351618</v>
      </c>
    </row>
    <row r="33" spans="1:63" x14ac:dyDescent="0.25">
      <c r="A33" s="306">
        <v>221200</v>
      </c>
      <c r="B33" s="310" t="s">
        <v>24</v>
      </c>
      <c r="C33" s="310">
        <v>0.1184644</v>
      </c>
      <c r="D33" s="310">
        <v>0.1161604</v>
      </c>
      <c r="E33" s="310">
        <v>0.1144347</v>
      </c>
      <c r="F33" s="310">
        <v>0.1146235</v>
      </c>
      <c r="G33" s="310">
        <v>0.11709700000000001</v>
      </c>
      <c r="H33" s="310">
        <v>0.1177975</v>
      </c>
      <c r="I33" s="310">
        <v>0.1159883</v>
      </c>
      <c r="J33" s="310">
        <v>0.1128522</v>
      </c>
      <c r="K33" s="310">
        <v>2.0535399999999999E-2</v>
      </c>
      <c r="L33" s="310">
        <v>9.3815399999999993E-2</v>
      </c>
      <c r="M33" s="310">
        <v>0.11723840000000001</v>
      </c>
      <c r="N33" s="310">
        <v>0.1143969</v>
      </c>
      <c r="O33" s="310">
        <v>0.1179428</v>
      </c>
      <c r="P33" s="310">
        <v>0.1096087</v>
      </c>
      <c r="Q33" s="310">
        <v>0.1158855</v>
      </c>
      <c r="R33" s="310">
        <v>0.11242770000000001</v>
      </c>
      <c r="S33" s="310">
        <v>0.1128493</v>
      </c>
      <c r="T33" s="310">
        <v>0.11220140000000001</v>
      </c>
      <c r="U33" s="310">
        <v>0.1086825</v>
      </c>
      <c r="V33" s="310">
        <v>0.1148001</v>
      </c>
      <c r="W33" s="310">
        <v>0.1097332</v>
      </c>
      <c r="X33" s="310">
        <v>0.10840089999999999</v>
      </c>
      <c r="Y33" s="310">
        <v>0.1161983</v>
      </c>
      <c r="Z33" s="310">
        <v>0.1137143</v>
      </c>
      <c r="AA33" s="310">
        <v>0.1136229</v>
      </c>
      <c r="AB33" s="310">
        <v>0.1031546</v>
      </c>
      <c r="AC33" s="310">
        <v>0.11528330000000001</v>
      </c>
      <c r="AD33" s="310">
        <v>0.1182116</v>
      </c>
      <c r="AE33" s="310">
        <v>0.1115892</v>
      </c>
      <c r="AF33" s="310">
        <v>0.1146669</v>
      </c>
      <c r="AG33" s="310">
        <v>0.1075559</v>
      </c>
      <c r="AH33" s="310">
        <v>0.1060562</v>
      </c>
      <c r="AI33" s="310">
        <v>0.1086642</v>
      </c>
      <c r="AJ33" s="310">
        <v>0.1152749</v>
      </c>
      <c r="AK33" s="310">
        <v>0.1092876</v>
      </c>
      <c r="AL33" s="310">
        <v>0.11055669999999999</v>
      </c>
      <c r="AM33" s="310">
        <v>0.1101877</v>
      </c>
      <c r="AN33" s="310">
        <v>0.1158037</v>
      </c>
      <c r="AO33" s="310">
        <v>0.1073606</v>
      </c>
      <c r="AP33" s="310">
        <v>0.11213529999999999</v>
      </c>
      <c r="AQ33" s="310">
        <v>9.6354499999999996E-2</v>
      </c>
      <c r="AR33" s="310">
        <v>0.10162210000000001</v>
      </c>
      <c r="AS33" s="310">
        <v>0.11592</v>
      </c>
      <c r="AT33" s="310">
        <v>0.1098363</v>
      </c>
      <c r="AU33" s="310">
        <v>0.1167841</v>
      </c>
      <c r="AV33" s="310">
        <v>0.1162477</v>
      </c>
      <c r="AW33" s="310">
        <v>0.1096414</v>
      </c>
      <c r="AX33" s="310">
        <v>9.5144099999999995E-2</v>
      </c>
      <c r="AY33" s="310">
        <v>0.1107461</v>
      </c>
      <c r="AZ33" s="310">
        <v>0.1151822</v>
      </c>
      <c r="BA33" s="310">
        <v>0.1074534</v>
      </c>
      <c r="BB33" s="310">
        <v>0.1152521</v>
      </c>
      <c r="BC33" s="310">
        <v>0.1174028</v>
      </c>
      <c r="BD33" s="310">
        <v>0.1157025</v>
      </c>
      <c r="BE33" s="310">
        <v>0.11498800000000001</v>
      </c>
      <c r="BF33" s="310">
        <v>0.11405990000000001</v>
      </c>
      <c r="BG33" s="310">
        <v>0.1164941</v>
      </c>
      <c r="BH33" s="310">
        <v>0.1140145</v>
      </c>
      <c r="BI33" s="310">
        <v>0.1171705</v>
      </c>
      <c r="BJ33" s="310">
        <v>0.1173216</v>
      </c>
      <c r="BK33" s="310">
        <v>0.1175226</v>
      </c>
    </row>
    <row r="34" spans="1:63" x14ac:dyDescent="0.25">
      <c r="A34" s="306">
        <v>221300</v>
      </c>
      <c r="B34" s="310" t="s">
        <v>703</v>
      </c>
      <c r="C34" s="310">
        <v>0.29190660000000002</v>
      </c>
      <c r="D34" s="310">
        <v>0.28628019999999998</v>
      </c>
      <c r="E34" s="310">
        <v>0.2820705</v>
      </c>
      <c r="F34" s="310">
        <v>0.28251090000000001</v>
      </c>
      <c r="G34" s="310">
        <v>0.2885162</v>
      </c>
      <c r="H34" s="310">
        <v>0.29025099999999998</v>
      </c>
      <c r="I34" s="310">
        <v>0.28588010000000003</v>
      </c>
      <c r="J34" s="310">
        <v>0.278165</v>
      </c>
      <c r="K34" s="310">
        <v>5.05783E-2</v>
      </c>
      <c r="L34" s="310">
        <v>0.23111419999999999</v>
      </c>
      <c r="M34" s="310">
        <v>0.28893950000000002</v>
      </c>
      <c r="N34" s="310">
        <v>0.28187119999999999</v>
      </c>
      <c r="O34" s="310">
        <v>0.29057630000000001</v>
      </c>
      <c r="P34" s="310">
        <v>0.27014959999999999</v>
      </c>
      <c r="Q34" s="310">
        <v>0.28563169999999999</v>
      </c>
      <c r="R34" s="310">
        <v>0.27708480000000002</v>
      </c>
      <c r="S34" s="310">
        <v>0.27813359999999998</v>
      </c>
      <c r="T34" s="310">
        <v>0.27660849999999998</v>
      </c>
      <c r="U34" s="310">
        <v>0.2678355</v>
      </c>
      <c r="V34" s="310">
        <v>0.28291909999999998</v>
      </c>
      <c r="W34" s="310">
        <v>0.27049889999999999</v>
      </c>
      <c r="X34" s="310">
        <v>0.26714900000000003</v>
      </c>
      <c r="Y34" s="310">
        <v>0.28648230000000002</v>
      </c>
      <c r="Z34" s="310">
        <v>0.28023179999999998</v>
      </c>
      <c r="AA34" s="310">
        <v>0.2800281</v>
      </c>
      <c r="AB34" s="310">
        <v>0.25428610000000001</v>
      </c>
      <c r="AC34" s="310">
        <v>0.28417690000000001</v>
      </c>
      <c r="AD34" s="310">
        <v>0.2913193</v>
      </c>
      <c r="AE34" s="310">
        <v>0.27507700000000002</v>
      </c>
      <c r="AF34" s="310">
        <v>0.282607</v>
      </c>
      <c r="AG34" s="310">
        <v>0.2650419</v>
      </c>
      <c r="AH34" s="310">
        <v>0.26141940000000002</v>
      </c>
      <c r="AI34" s="310">
        <v>0.26775700000000002</v>
      </c>
      <c r="AJ34" s="310">
        <v>0.28408369999999999</v>
      </c>
      <c r="AK34" s="310">
        <v>0.26928849999999999</v>
      </c>
      <c r="AL34" s="310">
        <v>0.27245920000000001</v>
      </c>
      <c r="AM34" s="310">
        <v>0.27154489999999998</v>
      </c>
      <c r="AN34" s="310">
        <v>0.28535769999999999</v>
      </c>
      <c r="AO34" s="310">
        <v>0.26453330000000003</v>
      </c>
      <c r="AP34" s="310">
        <v>0.27630460000000001</v>
      </c>
      <c r="AQ34" s="310">
        <v>0.23750859999999999</v>
      </c>
      <c r="AR34" s="310">
        <v>0.25041099999999999</v>
      </c>
      <c r="AS34" s="310">
        <v>0.28573710000000002</v>
      </c>
      <c r="AT34" s="310">
        <v>0.27074559999999998</v>
      </c>
      <c r="AU34" s="310">
        <v>0.2878058</v>
      </c>
      <c r="AV34" s="310">
        <v>0.28645039999999999</v>
      </c>
      <c r="AW34" s="310">
        <v>0.27020709999999998</v>
      </c>
      <c r="AX34" s="310">
        <v>0.23450570000000001</v>
      </c>
      <c r="AY34" s="310">
        <v>0.27283590000000002</v>
      </c>
      <c r="AZ34" s="310">
        <v>0.2838193</v>
      </c>
      <c r="BA34" s="310">
        <v>0.26475470000000001</v>
      </c>
      <c r="BB34" s="310">
        <v>0.28407909999999997</v>
      </c>
      <c r="BC34" s="310">
        <v>0.28939419999999999</v>
      </c>
      <c r="BD34" s="310">
        <v>0.28518789999999999</v>
      </c>
      <c r="BE34" s="310">
        <v>0.28334989999999999</v>
      </c>
      <c r="BF34" s="310">
        <v>0.28111910000000001</v>
      </c>
      <c r="BG34" s="310">
        <v>0.28711340000000002</v>
      </c>
      <c r="BH34" s="310">
        <v>0.280999</v>
      </c>
      <c r="BI34" s="310">
        <v>0.28872920000000002</v>
      </c>
      <c r="BJ34" s="310">
        <v>0.289136</v>
      </c>
      <c r="BK34" s="310">
        <v>0.289661</v>
      </c>
    </row>
    <row r="35" spans="1:63" x14ac:dyDescent="0.25">
      <c r="A35" s="306">
        <v>230000</v>
      </c>
      <c r="B35" s="310" t="s">
        <v>426</v>
      </c>
      <c r="C35" s="310">
        <v>0.39194889999999999</v>
      </c>
      <c r="D35" s="310">
        <v>0.37771290000000002</v>
      </c>
      <c r="E35" s="310">
        <v>0.37439879999999998</v>
      </c>
      <c r="F35" s="310">
        <v>0.36134640000000001</v>
      </c>
      <c r="G35" s="310">
        <v>0.38574920000000001</v>
      </c>
      <c r="H35" s="310">
        <v>0.38911780000000001</v>
      </c>
      <c r="I35" s="310">
        <v>0.38535429999999998</v>
      </c>
      <c r="J35" s="310">
        <v>0.3678749</v>
      </c>
      <c r="K35" s="310">
        <v>6.7128300000000002E-2</v>
      </c>
      <c r="L35" s="310">
        <v>0.30801149999999999</v>
      </c>
      <c r="M35" s="310">
        <v>0.3878569</v>
      </c>
      <c r="N35" s="310">
        <v>0.37493300000000002</v>
      </c>
      <c r="O35" s="310">
        <v>0.38531399999999999</v>
      </c>
      <c r="P35" s="310">
        <v>0.368867</v>
      </c>
      <c r="Q35" s="310">
        <v>0.37858930000000002</v>
      </c>
      <c r="R35" s="310">
        <v>0.37220609999999998</v>
      </c>
      <c r="S35" s="310">
        <v>0.37007269999999998</v>
      </c>
      <c r="T35" s="310">
        <v>0.3361228</v>
      </c>
      <c r="U35" s="310">
        <v>0.3519428</v>
      </c>
      <c r="V35" s="310">
        <v>0.37405729999999998</v>
      </c>
      <c r="W35" s="310">
        <v>0.35804510000000001</v>
      </c>
      <c r="X35" s="310">
        <v>0.34490270000000001</v>
      </c>
      <c r="Y35" s="310">
        <v>0.38293929999999998</v>
      </c>
      <c r="Z35" s="310">
        <v>0.38492530000000003</v>
      </c>
      <c r="AA35" s="310">
        <v>0.37676609999999999</v>
      </c>
      <c r="AB35" s="310">
        <v>0.35360720000000001</v>
      </c>
      <c r="AC35" s="310">
        <v>0.36122520000000002</v>
      </c>
      <c r="AD35" s="310">
        <v>0.38322529999999999</v>
      </c>
      <c r="AE35" s="310">
        <v>0.37235309999999999</v>
      </c>
      <c r="AF35" s="310">
        <v>0.3418736</v>
      </c>
      <c r="AG35" s="310">
        <v>0.3609985</v>
      </c>
      <c r="AH35" s="310">
        <v>0.3496533</v>
      </c>
      <c r="AI35" s="310">
        <v>0.36078320000000003</v>
      </c>
      <c r="AJ35" s="310">
        <v>0.37327149999999998</v>
      </c>
      <c r="AK35" s="310">
        <v>0.37723580000000001</v>
      </c>
      <c r="AL35" s="310">
        <v>0.35781370000000001</v>
      </c>
      <c r="AM35" s="310">
        <v>0.37154599999999999</v>
      </c>
      <c r="AN35" s="310">
        <v>0.38194149999999999</v>
      </c>
      <c r="AO35" s="310">
        <v>0.3577747</v>
      </c>
      <c r="AP35" s="310">
        <v>0.3684733</v>
      </c>
      <c r="AQ35" s="310">
        <v>0.33732489999999998</v>
      </c>
      <c r="AR35" s="310">
        <v>0.3670137</v>
      </c>
      <c r="AS35" s="310">
        <v>0.37197799999999998</v>
      </c>
      <c r="AT35" s="310">
        <v>0.35627370000000003</v>
      </c>
      <c r="AU35" s="310">
        <v>0.38559290000000002</v>
      </c>
      <c r="AV35" s="310">
        <v>0.38506889999999999</v>
      </c>
      <c r="AW35" s="310">
        <v>0.35046310000000003</v>
      </c>
      <c r="AX35" s="310">
        <v>0.36755979999999999</v>
      </c>
      <c r="AY35" s="310">
        <v>0.37996629999999998</v>
      </c>
      <c r="AZ35" s="310">
        <v>0.3794883</v>
      </c>
      <c r="BA35" s="310">
        <v>0.34520279999999998</v>
      </c>
      <c r="BB35" s="310">
        <v>0.36573420000000001</v>
      </c>
      <c r="BC35" s="310">
        <v>0.38645499999999999</v>
      </c>
      <c r="BD35" s="310">
        <v>0.3856562</v>
      </c>
      <c r="BE35" s="310">
        <v>0.38444780000000001</v>
      </c>
      <c r="BF35" s="310">
        <v>0.37961719999999999</v>
      </c>
      <c r="BG35" s="310">
        <v>0.3850034</v>
      </c>
      <c r="BH35" s="310">
        <v>0.37273149999999999</v>
      </c>
      <c r="BI35" s="310">
        <v>0.38704959999999999</v>
      </c>
      <c r="BJ35" s="310">
        <v>0.3870229</v>
      </c>
      <c r="BK35" s="310">
        <v>0.3889802</v>
      </c>
    </row>
    <row r="36" spans="1:63" x14ac:dyDescent="0.25">
      <c r="A36" s="306">
        <v>311111</v>
      </c>
      <c r="B36" s="310" t="s">
        <v>25</v>
      </c>
      <c r="C36" s="310">
        <v>0.11843969999999999</v>
      </c>
      <c r="D36" s="310">
        <v>0.1041263</v>
      </c>
      <c r="E36" s="310">
        <v>0.1149662</v>
      </c>
      <c r="F36" s="310">
        <v>0.111876</v>
      </c>
      <c r="G36" s="310">
        <v>0.1173284</v>
      </c>
      <c r="H36" s="310">
        <v>0.11785760000000001</v>
      </c>
      <c r="I36" s="310">
        <v>0.11759319999999999</v>
      </c>
      <c r="J36" s="310">
        <v>0</v>
      </c>
      <c r="K36" s="310">
        <v>0</v>
      </c>
      <c r="L36" s="310">
        <v>8.6300600000000005E-2</v>
      </c>
      <c r="M36" s="310">
        <v>0.117704</v>
      </c>
      <c r="N36" s="310">
        <v>0.1141848</v>
      </c>
      <c r="O36" s="310">
        <v>0.1169736</v>
      </c>
      <c r="P36" s="310">
        <v>0.1105961</v>
      </c>
      <c r="Q36" s="310">
        <v>0</v>
      </c>
      <c r="R36" s="310">
        <v>0.1138728</v>
      </c>
      <c r="S36" s="310">
        <v>0.1135335</v>
      </c>
      <c r="T36" s="310">
        <v>0.1118282</v>
      </c>
      <c r="U36" s="310">
        <v>0.1057447</v>
      </c>
      <c r="V36" s="310">
        <v>0</v>
      </c>
      <c r="W36" s="310">
        <v>0.1101497</v>
      </c>
      <c r="X36" s="310">
        <v>0.1037598</v>
      </c>
      <c r="Y36" s="310">
        <v>0</v>
      </c>
      <c r="Z36" s="310">
        <v>0.11742470000000001</v>
      </c>
      <c r="AA36" s="310">
        <v>0.1140969</v>
      </c>
      <c r="AB36" s="310">
        <v>0.10482130000000001</v>
      </c>
      <c r="AC36" s="310">
        <v>0.1132919</v>
      </c>
      <c r="AD36" s="310">
        <v>0.1173101</v>
      </c>
      <c r="AE36" s="310">
        <v>0.1136059</v>
      </c>
      <c r="AF36" s="310">
        <v>0</v>
      </c>
      <c r="AG36" s="310">
        <v>0.10468280000000001</v>
      </c>
      <c r="AH36" s="310">
        <v>0.1104618</v>
      </c>
      <c r="AI36" s="310">
        <v>0.1016883</v>
      </c>
      <c r="AJ36" s="310">
        <v>0.1127292</v>
      </c>
      <c r="AK36" s="310">
        <v>0.11427279999999999</v>
      </c>
      <c r="AL36" s="310">
        <v>0.11008469999999999</v>
      </c>
      <c r="AM36" s="310">
        <v>0.11442720000000001</v>
      </c>
      <c r="AN36" s="310">
        <v>0.1140748</v>
      </c>
      <c r="AO36" s="310">
        <v>0.10937089999999999</v>
      </c>
      <c r="AP36" s="310">
        <v>0.1143797</v>
      </c>
      <c r="AQ36" s="310">
        <v>0</v>
      </c>
      <c r="AR36" s="310">
        <v>0.1138285</v>
      </c>
      <c r="AS36" s="310">
        <v>9.5227699999999998E-2</v>
      </c>
      <c r="AT36" s="310">
        <v>0.1096979</v>
      </c>
      <c r="AU36" s="310">
        <v>0.1159876</v>
      </c>
      <c r="AV36" s="310">
        <v>0.11535910000000001</v>
      </c>
      <c r="AW36" s="310">
        <v>0.1107363</v>
      </c>
      <c r="AX36" s="310">
        <v>0.114803</v>
      </c>
      <c r="AY36" s="310">
        <v>0.11638900000000001</v>
      </c>
      <c r="AZ36" s="310">
        <v>0.116179</v>
      </c>
      <c r="BA36" s="310">
        <v>0.1061489</v>
      </c>
      <c r="BB36" s="310">
        <v>0</v>
      </c>
      <c r="BC36" s="310">
        <v>0.1155659</v>
      </c>
      <c r="BD36" s="310">
        <v>0.11616609999999999</v>
      </c>
      <c r="BE36" s="310">
        <v>0.11692039999999999</v>
      </c>
      <c r="BF36" s="310">
        <v>0.1149014</v>
      </c>
      <c r="BG36" s="310">
        <v>0.11635040000000001</v>
      </c>
      <c r="BH36" s="310">
        <v>0.1138699</v>
      </c>
      <c r="BI36" s="310">
        <v>0.1167209</v>
      </c>
      <c r="BJ36" s="310">
        <v>0.1172035</v>
      </c>
      <c r="BK36" s="310">
        <v>0.1175605</v>
      </c>
    </row>
    <row r="37" spans="1:63" x14ac:dyDescent="0.25">
      <c r="A37" s="306">
        <v>311119</v>
      </c>
      <c r="B37" s="310" t="s">
        <v>26</v>
      </c>
      <c r="C37" s="310">
        <v>0.11844590000000001</v>
      </c>
      <c r="D37" s="310">
        <v>0</v>
      </c>
      <c r="E37" s="310">
        <v>0.11495610000000001</v>
      </c>
      <c r="F37" s="310">
        <v>0.1118769</v>
      </c>
      <c r="G37" s="310">
        <v>0.1173384</v>
      </c>
      <c r="H37" s="310">
        <v>0.1178584</v>
      </c>
      <c r="I37" s="310">
        <v>0.1176088</v>
      </c>
      <c r="J37" s="310">
        <v>0.1042835</v>
      </c>
      <c r="K37" s="310">
        <v>0</v>
      </c>
      <c r="L37" s="310">
        <v>8.6304000000000006E-2</v>
      </c>
      <c r="M37" s="310">
        <v>0.11765630000000001</v>
      </c>
      <c r="N37" s="310">
        <v>0.1142098</v>
      </c>
      <c r="O37" s="310">
        <v>0</v>
      </c>
      <c r="P37" s="310">
        <v>0.11060639999999999</v>
      </c>
      <c r="Q37" s="310">
        <v>0.11712409999999999</v>
      </c>
      <c r="R37" s="310">
        <v>0.1138826</v>
      </c>
      <c r="S37" s="310">
        <v>0.113537</v>
      </c>
      <c r="T37" s="310">
        <v>0.1118347</v>
      </c>
      <c r="U37" s="310">
        <v>0.105756</v>
      </c>
      <c r="V37" s="310">
        <v>0.1154863</v>
      </c>
      <c r="W37" s="310">
        <v>0.1101519</v>
      </c>
      <c r="X37" s="310">
        <v>0.1037568</v>
      </c>
      <c r="Y37" s="310">
        <v>0.1159442</v>
      </c>
      <c r="Z37" s="310">
        <v>0.11745269999999999</v>
      </c>
      <c r="AA37" s="310">
        <v>0.1140856</v>
      </c>
      <c r="AB37" s="310">
        <v>0.1048135</v>
      </c>
      <c r="AC37" s="310">
        <v>0.1132662</v>
      </c>
      <c r="AD37" s="310">
        <v>0.11732330000000001</v>
      </c>
      <c r="AE37" s="310">
        <v>0.1135829</v>
      </c>
      <c r="AF37" s="310">
        <v>0.1001614</v>
      </c>
      <c r="AG37" s="310">
        <v>0.1046743</v>
      </c>
      <c r="AH37" s="310">
        <v>0.11046839999999999</v>
      </c>
      <c r="AI37" s="310">
        <v>0.10171379999999999</v>
      </c>
      <c r="AJ37" s="310">
        <v>0.1126875</v>
      </c>
      <c r="AK37" s="310">
        <v>0.1143111</v>
      </c>
      <c r="AL37" s="310">
        <v>0.1100792</v>
      </c>
      <c r="AM37" s="310">
        <v>0.11440640000000001</v>
      </c>
      <c r="AN37" s="310">
        <v>0.11408210000000001</v>
      </c>
      <c r="AO37" s="310">
        <v>0.1093775</v>
      </c>
      <c r="AP37" s="310">
        <v>0.1143513</v>
      </c>
      <c r="AQ37" s="310">
        <v>0</v>
      </c>
      <c r="AR37" s="310">
        <v>0.113813</v>
      </c>
      <c r="AS37" s="310">
        <v>9.52649E-2</v>
      </c>
      <c r="AT37" s="310">
        <v>0.1097292</v>
      </c>
      <c r="AU37" s="310">
        <v>0.1159712</v>
      </c>
      <c r="AV37" s="310">
        <v>0.1153666</v>
      </c>
      <c r="AW37" s="310">
        <v>0.1107303</v>
      </c>
      <c r="AX37" s="310">
        <v>0.11479</v>
      </c>
      <c r="AY37" s="310">
        <v>0.11640490000000001</v>
      </c>
      <c r="AZ37" s="310">
        <v>0.1161684</v>
      </c>
      <c r="BA37" s="310">
        <v>0</v>
      </c>
      <c r="BB37" s="310">
        <v>0.11500059999999999</v>
      </c>
      <c r="BC37" s="310">
        <v>0.1155518</v>
      </c>
      <c r="BD37" s="310">
        <v>0.1162073</v>
      </c>
      <c r="BE37" s="310">
        <v>0.1169076</v>
      </c>
      <c r="BF37" s="310">
        <v>0.1149099</v>
      </c>
      <c r="BG37" s="310">
        <v>0.1163607</v>
      </c>
      <c r="BH37" s="310">
        <v>0.1138502</v>
      </c>
      <c r="BI37" s="310">
        <v>0.116718</v>
      </c>
      <c r="BJ37" s="310">
        <v>0.11722100000000001</v>
      </c>
      <c r="BK37" s="310">
        <v>0.1175591</v>
      </c>
    </row>
    <row r="38" spans="1:63" x14ac:dyDescent="0.25">
      <c r="A38" s="306">
        <v>311210</v>
      </c>
      <c r="B38" s="310" t="s">
        <v>27</v>
      </c>
      <c r="C38" s="310">
        <v>0.11846279999999999</v>
      </c>
      <c r="D38" s="310">
        <v>0</v>
      </c>
      <c r="E38" s="310">
        <v>0.1149318</v>
      </c>
      <c r="F38" s="310">
        <v>0.11186790000000001</v>
      </c>
      <c r="G38" s="310">
        <v>0.1173193</v>
      </c>
      <c r="H38" s="310">
        <v>0.1178878</v>
      </c>
      <c r="I38" s="310">
        <v>0.1175954</v>
      </c>
      <c r="J38" s="310">
        <v>0</v>
      </c>
      <c r="K38" s="310">
        <v>0</v>
      </c>
      <c r="L38" s="310">
        <v>0</v>
      </c>
      <c r="M38" s="310">
        <v>0.1176907</v>
      </c>
      <c r="N38" s="310">
        <v>0.1141884</v>
      </c>
      <c r="O38" s="310">
        <v>0.1170081</v>
      </c>
      <c r="P38" s="310">
        <v>0.110613</v>
      </c>
      <c r="Q38" s="310">
        <v>0.117148</v>
      </c>
      <c r="R38" s="310">
        <v>0.11389539999999999</v>
      </c>
      <c r="S38" s="310">
        <v>0.11352520000000001</v>
      </c>
      <c r="T38" s="310">
        <v>0.1118325</v>
      </c>
      <c r="U38" s="310">
        <v>0.1057486</v>
      </c>
      <c r="V38" s="310">
        <v>0.1154572</v>
      </c>
      <c r="W38" s="310">
        <v>0.11014839999999999</v>
      </c>
      <c r="X38" s="310">
        <v>0.10374360000000001</v>
      </c>
      <c r="Y38" s="310">
        <v>0.1159838</v>
      </c>
      <c r="Z38" s="310">
        <v>0.1174386</v>
      </c>
      <c r="AA38" s="310">
        <v>0.1140994</v>
      </c>
      <c r="AB38" s="310">
        <v>0.1048002</v>
      </c>
      <c r="AC38" s="310">
        <v>0.11327</v>
      </c>
      <c r="AD38" s="310">
        <v>0.117342</v>
      </c>
      <c r="AE38" s="310">
        <v>0.1135695</v>
      </c>
      <c r="AF38" s="310">
        <v>0.1001602</v>
      </c>
      <c r="AG38" s="310">
        <v>0.1046726</v>
      </c>
      <c r="AH38" s="310">
        <v>0</v>
      </c>
      <c r="AI38" s="310">
        <v>0.1016867</v>
      </c>
      <c r="AJ38" s="310">
        <v>0</v>
      </c>
      <c r="AK38" s="310">
        <v>0</v>
      </c>
      <c r="AL38" s="310">
        <v>0.1100893</v>
      </c>
      <c r="AM38" s="310">
        <v>0.1144058</v>
      </c>
      <c r="AN38" s="310">
        <v>0.1140737</v>
      </c>
      <c r="AO38" s="310">
        <v>0.1093968</v>
      </c>
      <c r="AP38" s="310">
        <v>0.1143573</v>
      </c>
      <c r="AQ38" s="310">
        <v>0.1108156</v>
      </c>
      <c r="AR38" s="310">
        <v>0.1138227</v>
      </c>
      <c r="AS38" s="310">
        <v>0</v>
      </c>
      <c r="AT38" s="310">
        <v>0.1097326</v>
      </c>
      <c r="AU38" s="310">
        <v>0.1159852</v>
      </c>
      <c r="AV38" s="310">
        <v>0.1153748</v>
      </c>
      <c r="AW38" s="310">
        <v>0.11072</v>
      </c>
      <c r="AX38" s="310">
        <v>0</v>
      </c>
      <c r="AY38" s="310">
        <v>0.11639380000000001</v>
      </c>
      <c r="AZ38" s="310">
        <v>0.1161814</v>
      </c>
      <c r="BA38" s="310">
        <v>0</v>
      </c>
      <c r="BB38" s="310">
        <v>0</v>
      </c>
      <c r="BC38" s="310">
        <v>0.1155789</v>
      </c>
      <c r="BD38" s="310">
        <v>0.1161898</v>
      </c>
      <c r="BE38" s="310">
        <v>0.11690929999999999</v>
      </c>
      <c r="BF38" s="310">
        <v>0.1149063</v>
      </c>
      <c r="BG38" s="310">
        <v>0.11635669999999999</v>
      </c>
      <c r="BH38" s="310">
        <v>0.11384270000000001</v>
      </c>
      <c r="BI38" s="310">
        <v>0.1167159</v>
      </c>
      <c r="BJ38" s="310">
        <v>0.11721040000000001</v>
      </c>
      <c r="BK38" s="310">
        <v>0.11755</v>
      </c>
    </row>
    <row r="39" spans="1:63" x14ac:dyDescent="0.25">
      <c r="A39" s="306">
        <v>311221</v>
      </c>
      <c r="B39" s="310" t="s">
        <v>28</v>
      </c>
      <c r="C39" s="310">
        <v>0.1184447</v>
      </c>
      <c r="D39" s="310">
        <v>0</v>
      </c>
      <c r="E39" s="310">
        <v>0.1149621</v>
      </c>
      <c r="F39" s="310">
        <v>0.1118836</v>
      </c>
      <c r="G39" s="310">
        <v>0</v>
      </c>
      <c r="H39" s="310">
        <v>0.1178886</v>
      </c>
      <c r="I39" s="310">
        <v>0.1175958</v>
      </c>
      <c r="J39" s="310">
        <v>0</v>
      </c>
      <c r="K39" s="310">
        <v>0</v>
      </c>
      <c r="L39" s="310">
        <v>0</v>
      </c>
      <c r="M39" s="310">
        <v>0.1176977</v>
      </c>
      <c r="N39" s="310">
        <v>0</v>
      </c>
      <c r="O39" s="310">
        <v>0</v>
      </c>
      <c r="P39" s="310">
        <v>0.11060209999999999</v>
      </c>
      <c r="Q39" s="310">
        <v>0.1171263</v>
      </c>
      <c r="R39" s="310">
        <v>0.11388139999999999</v>
      </c>
      <c r="S39" s="310">
        <v>0.1135221</v>
      </c>
      <c r="T39" s="310">
        <v>0.1118484</v>
      </c>
      <c r="U39" s="310">
        <v>0</v>
      </c>
      <c r="V39" s="310">
        <v>0</v>
      </c>
      <c r="W39" s="310">
        <v>0</v>
      </c>
      <c r="X39" s="310">
        <v>0</v>
      </c>
      <c r="Y39" s="310">
        <v>0.11594930000000001</v>
      </c>
      <c r="Z39" s="310">
        <v>0</v>
      </c>
      <c r="AA39" s="310">
        <v>0.1140776</v>
      </c>
      <c r="AB39" s="310">
        <v>0.1048042</v>
      </c>
      <c r="AC39" s="310">
        <v>0</v>
      </c>
      <c r="AD39" s="310">
        <v>0</v>
      </c>
      <c r="AE39" s="310">
        <v>0.11358070000000001</v>
      </c>
      <c r="AF39" s="310">
        <v>0.10014670000000001</v>
      </c>
      <c r="AG39" s="310">
        <v>0</v>
      </c>
      <c r="AH39" s="310">
        <v>0</v>
      </c>
      <c r="AI39" s="310">
        <v>0.1017131</v>
      </c>
      <c r="AJ39" s="310">
        <v>0</v>
      </c>
      <c r="AK39" s="310">
        <v>0</v>
      </c>
      <c r="AL39" s="310">
        <v>0</v>
      </c>
      <c r="AM39" s="310">
        <v>0.1144269</v>
      </c>
      <c r="AN39" s="310">
        <v>0</v>
      </c>
      <c r="AO39" s="310">
        <v>0.1093836</v>
      </c>
      <c r="AP39" s="310">
        <v>0.1143844</v>
      </c>
      <c r="AQ39" s="310">
        <v>0</v>
      </c>
      <c r="AR39" s="310">
        <v>0.1138102</v>
      </c>
      <c r="AS39" s="310">
        <v>0</v>
      </c>
      <c r="AT39" s="310">
        <v>0.1097231</v>
      </c>
      <c r="AU39" s="310">
        <v>0.115999</v>
      </c>
      <c r="AV39" s="310">
        <v>0</v>
      </c>
      <c r="AW39" s="310">
        <v>0</v>
      </c>
      <c r="AX39" s="310">
        <v>0</v>
      </c>
      <c r="AY39" s="310">
        <v>0.116392</v>
      </c>
      <c r="AZ39" s="310">
        <v>0</v>
      </c>
      <c r="BA39" s="310">
        <v>0</v>
      </c>
      <c r="BB39" s="310">
        <v>0</v>
      </c>
      <c r="BC39" s="310">
        <v>0.1155634</v>
      </c>
      <c r="BD39" s="310">
        <v>0.1161976</v>
      </c>
      <c r="BE39" s="310">
        <v>0.11692379999999999</v>
      </c>
      <c r="BF39" s="310">
        <v>0.1149105</v>
      </c>
      <c r="BG39" s="310">
        <v>0.11635230000000001</v>
      </c>
      <c r="BH39" s="310">
        <v>0.113857</v>
      </c>
      <c r="BI39" s="310">
        <v>0.11673500000000001</v>
      </c>
      <c r="BJ39" s="310">
        <v>0.1172284</v>
      </c>
      <c r="BK39" s="310">
        <v>0.11757090000000001</v>
      </c>
    </row>
    <row r="40" spans="1:63" x14ac:dyDescent="0.25">
      <c r="A40" s="306">
        <v>311225</v>
      </c>
      <c r="B40" s="310" t="s">
        <v>30</v>
      </c>
      <c r="C40" s="310">
        <v>0.11845169999999999</v>
      </c>
      <c r="D40" s="310">
        <v>0</v>
      </c>
      <c r="E40" s="310">
        <v>0.1149506</v>
      </c>
      <c r="F40" s="310">
        <v>0.1118691</v>
      </c>
      <c r="G40" s="310">
        <v>0.11734509999999999</v>
      </c>
      <c r="H40" s="310">
        <v>0.1178565</v>
      </c>
      <c r="I40" s="310">
        <v>0.1175829</v>
      </c>
      <c r="J40" s="310">
        <v>0.10428949999999999</v>
      </c>
      <c r="K40" s="310">
        <v>0</v>
      </c>
      <c r="L40" s="310">
        <v>8.6284700000000006E-2</v>
      </c>
      <c r="M40" s="310">
        <v>0.1176614</v>
      </c>
      <c r="N40" s="310">
        <v>0.1142111</v>
      </c>
      <c r="O40" s="310">
        <v>0</v>
      </c>
      <c r="P40" s="310">
        <v>0.1105994</v>
      </c>
      <c r="Q40" s="310">
        <v>0</v>
      </c>
      <c r="R40" s="310">
        <v>0.1138806</v>
      </c>
      <c r="S40" s="310">
        <v>0.1135145</v>
      </c>
      <c r="T40" s="310">
        <v>0.111843</v>
      </c>
      <c r="U40" s="310">
        <v>0.1057654</v>
      </c>
      <c r="V40" s="310">
        <v>0.115454</v>
      </c>
      <c r="W40" s="310">
        <v>0.1101375</v>
      </c>
      <c r="X40" s="310">
        <v>0.103765</v>
      </c>
      <c r="Y40" s="310">
        <v>0</v>
      </c>
      <c r="Z40" s="310">
        <v>0.1174272</v>
      </c>
      <c r="AA40" s="310">
        <v>0.1140811</v>
      </c>
      <c r="AB40" s="310">
        <v>0.1047959</v>
      </c>
      <c r="AC40" s="310">
        <v>0</v>
      </c>
      <c r="AD40" s="310">
        <v>0.1173298</v>
      </c>
      <c r="AE40" s="310">
        <v>0</v>
      </c>
      <c r="AF40" s="310">
        <v>0.1001513</v>
      </c>
      <c r="AG40" s="310">
        <v>0.10467600000000001</v>
      </c>
      <c r="AH40" s="310">
        <v>0</v>
      </c>
      <c r="AI40" s="310">
        <v>0.1016942</v>
      </c>
      <c r="AJ40" s="310">
        <v>0</v>
      </c>
      <c r="AK40" s="310">
        <v>0</v>
      </c>
      <c r="AL40" s="310">
        <v>0.1100906</v>
      </c>
      <c r="AM40" s="310">
        <v>0.11443150000000001</v>
      </c>
      <c r="AN40" s="310">
        <v>0.1140568</v>
      </c>
      <c r="AO40" s="310">
        <v>0.1093784</v>
      </c>
      <c r="AP40" s="310">
        <v>0.1143586</v>
      </c>
      <c r="AQ40" s="310">
        <v>0</v>
      </c>
      <c r="AR40" s="310">
        <v>0.11381810000000001</v>
      </c>
      <c r="AS40" s="310">
        <v>9.5247100000000001E-2</v>
      </c>
      <c r="AT40" s="310">
        <v>0.1097098</v>
      </c>
      <c r="AU40" s="310">
        <v>0.11597929999999999</v>
      </c>
      <c r="AV40" s="310">
        <v>0</v>
      </c>
      <c r="AW40" s="310">
        <v>0.1107163</v>
      </c>
      <c r="AX40" s="310">
        <v>0</v>
      </c>
      <c r="AY40" s="310">
        <v>0.11639289999999999</v>
      </c>
      <c r="AZ40" s="310">
        <v>0</v>
      </c>
      <c r="BA40" s="310">
        <v>0</v>
      </c>
      <c r="BB40" s="310">
        <v>0</v>
      </c>
      <c r="BC40" s="310">
        <v>0.1155639</v>
      </c>
      <c r="BD40" s="310">
        <v>0.1161995</v>
      </c>
      <c r="BE40" s="310">
        <v>0.11691500000000001</v>
      </c>
      <c r="BF40" s="310">
        <v>0.11489770000000001</v>
      </c>
      <c r="BG40" s="310">
        <v>0.1163703</v>
      </c>
      <c r="BH40" s="310">
        <v>0.113843</v>
      </c>
      <c r="BI40" s="310">
        <v>0.1167376</v>
      </c>
      <c r="BJ40" s="310">
        <v>0.117232</v>
      </c>
      <c r="BK40" s="310">
        <v>0.1175373</v>
      </c>
    </row>
    <row r="41" spans="1:63" x14ac:dyDescent="0.25">
      <c r="A41" s="306" t="s">
        <v>704</v>
      </c>
      <c r="B41" s="310" t="s">
        <v>29</v>
      </c>
      <c r="C41" s="310">
        <v>0.1184506</v>
      </c>
      <c r="D41" s="310">
        <v>0</v>
      </c>
      <c r="E41" s="310">
        <v>0.1149322</v>
      </c>
      <c r="F41" s="310">
        <v>0.11187039999999999</v>
      </c>
      <c r="G41" s="310">
        <v>0.1173594</v>
      </c>
      <c r="H41" s="310">
        <v>0.1178564</v>
      </c>
      <c r="I41" s="310">
        <v>0.1176053</v>
      </c>
      <c r="J41" s="310">
        <v>0</v>
      </c>
      <c r="K41" s="310">
        <v>0</v>
      </c>
      <c r="L41" s="310">
        <v>0</v>
      </c>
      <c r="M41" s="310">
        <v>0</v>
      </c>
      <c r="N41" s="310">
        <v>0.1141983</v>
      </c>
      <c r="O41" s="310">
        <v>0.1170094</v>
      </c>
      <c r="P41" s="310">
        <v>0.1106082</v>
      </c>
      <c r="Q41" s="310">
        <v>0.1171339</v>
      </c>
      <c r="R41" s="310">
        <v>0.1138914</v>
      </c>
      <c r="S41" s="310">
        <v>0.1135299</v>
      </c>
      <c r="T41" s="310">
        <v>0.1118286</v>
      </c>
      <c r="U41" s="310">
        <v>0.1057529</v>
      </c>
      <c r="V41" s="310">
        <v>0.1154604</v>
      </c>
      <c r="W41" s="310">
        <v>0.11015270000000001</v>
      </c>
      <c r="X41" s="310">
        <v>0</v>
      </c>
      <c r="Y41" s="310">
        <v>0</v>
      </c>
      <c r="Z41" s="310">
        <v>0.11742470000000001</v>
      </c>
      <c r="AA41" s="310">
        <v>0.1140887</v>
      </c>
      <c r="AB41" s="310">
        <v>0.1048104</v>
      </c>
      <c r="AC41" s="310">
        <v>0.11326600000000001</v>
      </c>
      <c r="AD41" s="310">
        <v>0.1173317</v>
      </c>
      <c r="AE41" s="310">
        <v>0.11360000000000001</v>
      </c>
      <c r="AF41" s="310">
        <v>0.1001484</v>
      </c>
      <c r="AG41" s="310">
        <v>0.10465439999999999</v>
      </c>
      <c r="AH41" s="310">
        <v>0</v>
      </c>
      <c r="AI41" s="310">
        <v>0</v>
      </c>
      <c r="AJ41" s="310">
        <v>0</v>
      </c>
      <c r="AK41" s="310">
        <v>0.11430750000000001</v>
      </c>
      <c r="AL41" s="310">
        <v>0.11008370000000001</v>
      </c>
      <c r="AM41" s="310">
        <v>0.1144213</v>
      </c>
      <c r="AN41" s="310">
        <v>0.1140611</v>
      </c>
      <c r="AO41" s="310">
        <v>0</v>
      </c>
      <c r="AP41" s="310">
        <v>0.1143735</v>
      </c>
      <c r="AQ41" s="310">
        <v>0</v>
      </c>
      <c r="AR41" s="310">
        <v>0.1138367</v>
      </c>
      <c r="AS41" s="310">
        <v>9.5261799999999994E-2</v>
      </c>
      <c r="AT41" s="310">
        <v>0.1097004</v>
      </c>
      <c r="AU41" s="310">
        <v>0.1160003</v>
      </c>
      <c r="AV41" s="310">
        <v>0.1153846</v>
      </c>
      <c r="AW41" s="310">
        <v>0</v>
      </c>
      <c r="AX41" s="310">
        <v>0.1147915</v>
      </c>
      <c r="AY41" s="310">
        <v>0.1164019</v>
      </c>
      <c r="AZ41" s="310">
        <v>0.1161764</v>
      </c>
      <c r="BA41" s="310">
        <v>0</v>
      </c>
      <c r="BB41" s="310">
        <v>0</v>
      </c>
      <c r="BC41" s="310">
        <v>0.1155447</v>
      </c>
      <c r="BD41" s="310">
        <v>0.1161657</v>
      </c>
      <c r="BE41" s="310">
        <v>0.11690680000000001</v>
      </c>
      <c r="BF41" s="310">
        <v>0.1149169</v>
      </c>
      <c r="BG41" s="310">
        <v>0.1163848</v>
      </c>
      <c r="BH41" s="310">
        <v>0.1138503</v>
      </c>
      <c r="BI41" s="310">
        <v>0.11672150000000001</v>
      </c>
      <c r="BJ41" s="310">
        <v>0.1172103</v>
      </c>
      <c r="BK41" s="310">
        <v>0.1175365</v>
      </c>
    </row>
    <row r="42" spans="1:63" x14ac:dyDescent="0.25">
      <c r="A42" s="306">
        <v>311230</v>
      </c>
      <c r="B42" s="310" t="s">
        <v>31</v>
      </c>
      <c r="C42" s="310">
        <v>0.1184509</v>
      </c>
      <c r="D42" s="310">
        <v>0</v>
      </c>
      <c r="E42" s="310">
        <v>0</v>
      </c>
      <c r="F42" s="310">
        <v>0.1118596</v>
      </c>
      <c r="G42" s="310">
        <v>0</v>
      </c>
      <c r="H42" s="310">
        <v>0.1178814</v>
      </c>
      <c r="I42" s="310">
        <v>0.1175794</v>
      </c>
      <c r="J42" s="310">
        <v>0.1043198</v>
      </c>
      <c r="K42" s="310">
        <v>0</v>
      </c>
      <c r="L42" s="310">
        <v>0</v>
      </c>
      <c r="M42" s="310">
        <v>0</v>
      </c>
      <c r="N42" s="310">
        <v>0.11417620000000001</v>
      </c>
      <c r="O42" s="310">
        <v>0</v>
      </c>
      <c r="P42" s="310">
        <v>0.1106177</v>
      </c>
      <c r="Q42" s="310">
        <v>0</v>
      </c>
      <c r="R42" s="310">
        <v>0.11388860000000001</v>
      </c>
      <c r="S42" s="310">
        <v>0</v>
      </c>
      <c r="T42" s="310">
        <v>0.1118345</v>
      </c>
      <c r="U42" s="310">
        <v>0</v>
      </c>
      <c r="V42" s="310">
        <v>0</v>
      </c>
      <c r="W42" s="310">
        <v>0.11016869999999999</v>
      </c>
      <c r="X42" s="310">
        <v>0.1037624</v>
      </c>
      <c r="Y42" s="310">
        <v>0</v>
      </c>
      <c r="Z42" s="310">
        <v>0.1174477</v>
      </c>
      <c r="AA42" s="310">
        <v>0.1140666</v>
      </c>
      <c r="AB42" s="310">
        <v>0.1048008</v>
      </c>
      <c r="AC42" s="310">
        <v>0</v>
      </c>
      <c r="AD42" s="310">
        <v>0.11731510000000001</v>
      </c>
      <c r="AE42" s="310">
        <v>0.1135996</v>
      </c>
      <c r="AF42" s="310">
        <v>0</v>
      </c>
      <c r="AG42" s="310">
        <v>0.1046658</v>
      </c>
      <c r="AH42" s="310">
        <v>0</v>
      </c>
      <c r="AI42" s="310">
        <v>0.1017116</v>
      </c>
      <c r="AJ42" s="310">
        <v>0.11268060000000001</v>
      </c>
      <c r="AK42" s="310">
        <v>0.1142992</v>
      </c>
      <c r="AL42" s="310">
        <v>0</v>
      </c>
      <c r="AM42" s="310">
        <v>0.1144047</v>
      </c>
      <c r="AN42" s="310">
        <v>0</v>
      </c>
      <c r="AO42" s="310">
        <v>0.109375</v>
      </c>
      <c r="AP42" s="310">
        <v>0.114368</v>
      </c>
      <c r="AQ42" s="310">
        <v>0</v>
      </c>
      <c r="AR42" s="310">
        <v>0</v>
      </c>
      <c r="AS42" s="310">
        <v>0</v>
      </c>
      <c r="AT42" s="310">
        <v>0.1097074</v>
      </c>
      <c r="AU42" s="310">
        <v>0.1160065</v>
      </c>
      <c r="AV42" s="310">
        <v>0.1153827</v>
      </c>
      <c r="AW42" s="310">
        <v>0</v>
      </c>
      <c r="AX42" s="310">
        <v>0</v>
      </c>
      <c r="AY42" s="310">
        <v>0.11638510000000001</v>
      </c>
      <c r="AZ42" s="310">
        <v>0.1161798</v>
      </c>
      <c r="BA42" s="310">
        <v>0</v>
      </c>
      <c r="BB42" s="310">
        <v>0.1149685</v>
      </c>
      <c r="BC42" s="310">
        <v>0.11557439999999999</v>
      </c>
      <c r="BD42" s="310">
        <v>0.11618240000000001</v>
      </c>
      <c r="BE42" s="310">
        <v>0.1169166</v>
      </c>
      <c r="BF42" s="310">
        <v>0.1149082</v>
      </c>
      <c r="BG42" s="310">
        <v>0.1163854</v>
      </c>
      <c r="BH42" s="310">
        <v>0.1138473</v>
      </c>
      <c r="BI42" s="310">
        <v>0.1167247</v>
      </c>
      <c r="BJ42" s="310">
        <v>0.1172216</v>
      </c>
      <c r="BK42" s="310">
        <v>0.1175382</v>
      </c>
    </row>
    <row r="43" spans="1:63" x14ac:dyDescent="0.25">
      <c r="A43" s="306">
        <v>311313</v>
      </c>
      <c r="B43" s="310" t="s">
        <v>33</v>
      </c>
      <c r="C43" s="310">
        <v>0.1184535</v>
      </c>
      <c r="D43" s="310">
        <v>0</v>
      </c>
      <c r="E43" s="310">
        <v>0</v>
      </c>
      <c r="F43" s="310">
        <v>0</v>
      </c>
      <c r="G43" s="310">
        <v>0</v>
      </c>
      <c r="H43" s="310">
        <v>0.11786870000000001</v>
      </c>
      <c r="I43" s="310">
        <v>0.11759890000000001</v>
      </c>
      <c r="J43" s="310">
        <v>0</v>
      </c>
      <c r="K43" s="310">
        <v>0</v>
      </c>
      <c r="L43" s="310">
        <v>0</v>
      </c>
      <c r="M43" s="310">
        <v>0</v>
      </c>
      <c r="N43" s="310">
        <v>0</v>
      </c>
      <c r="O43" s="310">
        <v>0</v>
      </c>
      <c r="P43" s="310">
        <v>0</v>
      </c>
      <c r="Q43" s="310">
        <v>0.1171283</v>
      </c>
      <c r="R43" s="310">
        <v>0</v>
      </c>
      <c r="S43" s="310">
        <v>0</v>
      </c>
      <c r="T43" s="310">
        <v>0</v>
      </c>
      <c r="U43" s="310">
        <v>0.1057593</v>
      </c>
      <c r="V43" s="310">
        <v>0.115484</v>
      </c>
      <c r="W43" s="310">
        <v>0</v>
      </c>
      <c r="X43" s="310">
        <v>0</v>
      </c>
      <c r="Y43" s="310">
        <v>0</v>
      </c>
      <c r="Z43" s="310">
        <v>0.1174531</v>
      </c>
      <c r="AA43" s="310">
        <v>0.1140827</v>
      </c>
      <c r="AB43" s="310">
        <v>0</v>
      </c>
      <c r="AC43" s="310">
        <v>0</v>
      </c>
      <c r="AD43" s="310">
        <v>0.1173435</v>
      </c>
      <c r="AE43" s="310">
        <v>0</v>
      </c>
      <c r="AF43" s="310">
        <v>0.1001556</v>
      </c>
      <c r="AG43" s="310">
        <v>0.1046697</v>
      </c>
      <c r="AH43" s="310">
        <v>0</v>
      </c>
      <c r="AI43" s="310">
        <v>0.1017089</v>
      </c>
      <c r="AJ43" s="310">
        <v>0</v>
      </c>
      <c r="AK43" s="310">
        <v>0</v>
      </c>
      <c r="AL43" s="310">
        <v>0.110083</v>
      </c>
      <c r="AM43" s="310">
        <v>0.1143989</v>
      </c>
      <c r="AN43" s="310">
        <v>0</v>
      </c>
      <c r="AO43" s="310">
        <v>0.1093867</v>
      </c>
      <c r="AP43" s="310">
        <v>0</v>
      </c>
      <c r="AQ43" s="310">
        <v>0</v>
      </c>
      <c r="AR43" s="310">
        <v>0</v>
      </c>
      <c r="AS43" s="310">
        <v>9.5257999999999995E-2</v>
      </c>
      <c r="AT43" s="310">
        <v>0</v>
      </c>
      <c r="AU43" s="310">
        <v>0</v>
      </c>
      <c r="AV43" s="310">
        <v>0</v>
      </c>
      <c r="AW43" s="310">
        <v>0</v>
      </c>
      <c r="AX43" s="310">
        <v>0</v>
      </c>
      <c r="AY43" s="310">
        <v>0</v>
      </c>
      <c r="AZ43" s="310">
        <v>0</v>
      </c>
      <c r="BA43" s="310">
        <v>0</v>
      </c>
      <c r="BB43" s="310">
        <v>0.1149664</v>
      </c>
      <c r="BC43" s="310">
        <v>0</v>
      </c>
      <c r="BD43" s="310">
        <v>0.1161966</v>
      </c>
      <c r="BE43" s="310">
        <v>0.11692710000000001</v>
      </c>
      <c r="BF43" s="310">
        <v>0.1149182</v>
      </c>
      <c r="BG43" s="310">
        <v>0</v>
      </c>
      <c r="BH43" s="310">
        <v>0.113841</v>
      </c>
      <c r="BI43" s="310">
        <v>0.11673310000000001</v>
      </c>
      <c r="BJ43" s="310">
        <v>0.11720949999999999</v>
      </c>
      <c r="BK43" s="310">
        <v>0.1175576</v>
      </c>
    </row>
    <row r="44" spans="1:63" x14ac:dyDescent="0.25">
      <c r="A44" s="306" t="s">
        <v>705</v>
      </c>
      <c r="B44" s="310" t="s">
        <v>32</v>
      </c>
      <c r="C44" s="310">
        <v>0.1184608</v>
      </c>
      <c r="D44" s="310">
        <v>0</v>
      </c>
      <c r="E44" s="310">
        <v>0.11493920000000001</v>
      </c>
      <c r="F44" s="310">
        <v>0</v>
      </c>
      <c r="G44" s="310">
        <v>0</v>
      </c>
      <c r="H44" s="310">
        <v>0.117878</v>
      </c>
      <c r="I44" s="310">
        <v>0</v>
      </c>
      <c r="J44" s="310">
        <v>0</v>
      </c>
      <c r="K44" s="310">
        <v>0</v>
      </c>
      <c r="L44" s="310">
        <v>0</v>
      </c>
      <c r="M44" s="310">
        <v>0.1176816</v>
      </c>
      <c r="N44" s="310">
        <v>0.1142021</v>
      </c>
      <c r="O44" s="310">
        <v>0.1169818</v>
      </c>
      <c r="P44" s="310">
        <v>0</v>
      </c>
      <c r="Q44" s="310">
        <v>0</v>
      </c>
      <c r="R44" s="310">
        <v>0.1139028</v>
      </c>
      <c r="S44" s="310">
        <v>0</v>
      </c>
      <c r="T44" s="310">
        <v>0</v>
      </c>
      <c r="U44" s="310">
        <v>0</v>
      </c>
      <c r="V44" s="310">
        <v>0.115462</v>
      </c>
      <c r="W44" s="310">
        <v>0</v>
      </c>
      <c r="X44" s="310">
        <v>0.1037704</v>
      </c>
      <c r="Y44" s="310">
        <v>0</v>
      </c>
      <c r="Z44" s="310">
        <v>0.11744110000000001</v>
      </c>
      <c r="AA44" s="310">
        <v>0</v>
      </c>
      <c r="AB44" s="310">
        <v>0</v>
      </c>
      <c r="AC44" s="310">
        <v>0</v>
      </c>
      <c r="AD44" s="310">
        <v>0</v>
      </c>
      <c r="AE44" s="310">
        <v>0</v>
      </c>
      <c r="AF44" s="310">
        <v>0</v>
      </c>
      <c r="AG44" s="310">
        <v>0.1046743</v>
      </c>
      <c r="AH44" s="310">
        <v>0.1104724</v>
      </c>
      <c r="AI44" s="310">
        <v>0</v>
      </c>
      <c r="AJ44" s="310">
        <v>0</v>
      </c>
      <c r="AK44" s="310">
        <v>0</v>
      </c>
      <c r="AL44" s="310">
        <v>0.110087</v>
      </c>
      <c r="AM44" s="310">
        <v>0.1144155</v>
      </c>
      <c r="AN44" s="310">
        <v>0</v>
      </c>
      <c r="AO44" s="310">
        <v>0</v>
      </c>
      <c r="AP44" s="310">
        <v>0</v>
      </c>
      <c r="AQ44" s="310">
        <v>0</v>
      </c>
      <c r="AR44" s="310">
        <v>0</v>
      </c>
      <c r="AS44" s="310">
        <v>0</v>
      </c>
      <c r="AT44" s="310">
        <v>0.1097144</v>
      </c>
      <c r="AU44" s="310">
        <v>0.1159811</v>
      </c>
      <c r="AV44" s="310">
        <v>0</v>
      </c>
      <c r="AW44" s="310">
        <v>0</v>
      </c>
      <c r="AX44" s="310">
        <v>0</v>
      </c>
      <c r="AY44" s="310">
        <v>0</v>
      </c>
      <c r="AZ44" s="310">
        <v>0</v>
      </c>
      <c r="BA44" s="310">
        <v>0</v>
      </c>
      <c r="BB44" s="310">
        <v>0</v>
      </c>
      <c r="BC44" s="310">
        <v>0.1155808</v>
      </c>
      <c r="BD44" s="310">
        <v>0.116193</v>
      </c>
      <c r="BE44" s="310">
        <v>0.11693389999999999</v>
      </c>
      <c r="BF44" s="310">
        <v>0.1149009</v>
      </c>
      <c r="BG44" s="310">
        <v>0.11636150000000001</v>
      </c>
      <c r="BH44" s="310">
        <v>0.1138728</v>
      </c>
      <c r="BI44" s="310">
        <v>0.1167392</v>
      </c>
      <c r="BJ44" s="310">
        <v>0</v>
      </c>
      <c r="BK44" s="310">
        <v>0.1175558</v>
      </c>
    </row>
    <row r="45" spans="1:63" x14ac:dyDescent="0.25">
      <c r="A45" s="306">
        <v>311320</v>
      </c>
      <c r="B45" s="310" t="s">
        <v>34</v>
      </c>
      <c r="C45" s="310">
        <v>0.1184484</v>
      </c>
      <c r="D45" s="310">
        <v>0</v>
      </c>
      <c r="E45" s="310">
        <v>0</v>
      </c>
      <c r="F45" s="310">
        <v>0.11187850000000001</v>
      </c>
      <c r="G45" s="310">
        <v>0</v>
      </c>
      <c r="H45" s="310">
        <v>0.1178686</v>
      </c>
      <c r="I45" s="310">
        <v>0.1176072</v>
      </c>
      <c r="J45" s="310">
        <v>0.1043023</v>
      </c>
      <c r="K45" s="310">
        <v>0</v>
      </c>
      <c r="L45" s="310">
        <v>0</v>
      </c>
      <c r="M45" s="310">
        <v>0.117696</v>
      </c>
      <c r="N45" s="310">
        <v>0.1141947</v>
      </c>
      <c r="O45" s="310">
        <v>0</v>
      </c>
      <c r="P45" s="310">
        <v>0</v>
      </c>
      <c r="Q45" s="310">
        <v>0</v>
      </c>
      <c r="R45" s="310">
        <v>0.1138726</v>
      </c>
      <c r="S45" s="310">
        <v>0</v>
      </c>
      <c r="T45" s="310">
        <v>0</v>
      </c>
      <c r="U45" s="310">
        <v>0</v>
      </c>
      <c r="V45" s="310">
        <v>0</v>
      </c>
      <c r="W45" s="310">
        <v>0.1101332</v>
      </c>
      <c r="X45" s="310">
        <v>0.1037342</v>
      </c>
      <c r="Y45" s="310">
        <v>0</v>
      </c>
      <c r="Z45" s="310">
        <v>0.11744930000000001</v>
      </c>
      <c r="AA45" s="310">
        <v>0.1140832</v>
      </c>
      <c r="AB45" s="310">
        <v>0.1048101</v>
      </c>
      <c r="AC45" s="310">
        <v>0</v>
      </c>
      <c r="AD45" s="310">
        <v>0</v>
      </c>
      <c r="AE45" s="310">
        <v>0</v>
      </c>
      <c r="AF45" s="310">
        <v>0</v>
      </c>
      <c r="AG45" s="310">
        <v>0</v>
      </c>
      <c r="AH45" s="310">
        <v>0.1104644</v>
      </c>
      <c r="AI45" s="310">
        <v>0.10170269999999999</v>
      </c>
      <c r="AJ45" s="310">
        <v>0.1127175</v>
      </c>
      <c r="AK45" s="310">
        <v>0.11429250000000001</v>
      </c>
      <c r="AL45" s="310">
        <v>0.11008999999999999</v>
      </c>
      <c r="AM45" s="310">
        <v>0.1144245</v>
      </c>
      <c r="AN45" s="310">
        <v>0.11406280000000001</v>
      </c>
      <c r="AO45" s="310">
        <v>0.10938580000000001</v>
      </c>
      <c r="AP45" s="310">
        <v>0.1143772</v>
      </c>
      <c r="AQ45" s="310">
        <v>0</v>
      </c>
      <c r="AR45" s="310">
        <v>0</v>
      </c>
      <c r="AS45" s="310">
        <v>0</v>
      </c>
      <c r="AT45" s="310">
        <v>0.1097036</v>
      </c>
      <c r="AU45" s="310">
        <v>0.1159857</v>
      </c>
      <c r="AV45" s="310">
        <v>0.1153623</v>
      </c>
      <c r="AW45" s="310">
        <v>0</v>
      </c>
      <c r="AX45" s="310">
        <v>0</v>
      </c>
      <c r="AY45" s="310">
        <v>0.1163912</v>
      </c>
      <c r="AZ45" s="310">
        <v>0.11616990000000001</v>
      </c>
      <c r="BA45" s="310">
        <v>0</v>
      </c>
      <c r="BB45" s="310">
        <v>0</v>
      </c>
      <c r="BC45" s="310">
        <v>0.11555609999999999</v>
      </c>
      <c r="BD45" s="310">
        <v>0.1161691</v>
      </c>
      <c r="BE45" s="310">
        <v>0.1169164</v>
      </c>
      <c r="BF45" s="310">
        <v>0.11491410000000001</v>
      </c>
      <c r="BG45" s="310">
        <v>0.1163738</v>
      </c>
      <c r="BH45" s="310">
        <v>0.11384420000000001</v>
      </c>
      <c r="BI45" s="310">
        <v>0.1167267</v>
      </c>
      <c r="BJ45" s="310">
        <v>0.1172135</v>
      </c>
      <c r="BK45" s="310">
        <v>0.1175457</v>
      </c>
    </row>
    <row r="46" spans="1:63" x14ac:dyDescent="0.25">
      <c r="A46" s="306">
        <v>311330</v>
      </c>
      <c r="B46" s="310" t="s">
        <v>35</v>
      </c>
      <c r="C46" s="310">
        <v>0.1340759</v>
      </c>
      <c r="D46" s="310">
        <v>0.1178949</v>
      </c>
      <c r="E46" s="310">
        <v>0.13013530000000001</v>
      </c>
      <c r="F46" s="310">
        <v>0.12661349999999999</v>
      </c>
      <c r="G46" s="310">
        <v>0.1328241</v>
      </c>
      <c r="H46" s="310">
        <v>0.13344790000000001</v>
      </c>
      <c r="I46" s="310">
        <v>0.13311509999999999</v>
      </c>
      <c r="J46" s="310">
        <v>0.11808200000000001</v>
      </c>
      <c r="K46" s="310">
        <v>2.0253199999999999E-2</v>
      </c>
      <c r="L46" s="310">
        <v>9.7681100000000007E-2</v>
      </c>
      <c r="M46" s="310">
        <v>0.13319520000000001</v>
      </c>
      <c r="N46" s="310">
        <v>0.12925310000000001</v>
      </c>
      <c r="O46" s="310">
        <v>0.13242979999999999</v>
      </c>
      <c r="P46" s="310">
        <v>0.125218</v>
      </c>
      <c r="Q46" s="310">
        <v>0.13260069999999999</v>
      </c>
      <c r="R46" s="310">
        <v>0.1289167</v>
      </c>
      <c r="S46" s="310">
        <v>0.12849759999999999</v>
      </c>
      <c r="T46" s="310">
        <v>0.12659290000000001</v>
      </c>
      <c r="U46" s="310">
        <v>0.1197246</v>
      </c>
      <c r="V46" s="310">
        <v>0.1307045</v>
      </c>
      <c r="W46" s="310">
        <v>0.1246815</v>
      </c>
      <c r="X46" s="310">
        <v>0.1174292</v>
      </c>
      <c r="Y46" s="310">
        <v>0.13128889999999999</v>
      </c>
      <c r="Z46" s="310">
        <v>0.13295670000000001</v>
      </c>
      <c r="AA46" s="310">
        <v>0.12914129999999999</v>
      </c>
      <c r="AB46" s="310">
        <v>0.11864039999999999</v>
      </c>
      <c r="AC46" s="310">
        <v>0.1282191</v>
      </c>
      <c r="AD46" s="310">
        <v>0.13283880000000001</v>
      </c>
      <c r="AE46" s="310">
        <v>0.1285607</v>
      </c>
      <c r="AF46" s="310">
        <v>0.1133754</v>
      </c>
      <c r="AG46" s="310">
        <v>0.1184563</v>
      </c>
      <c r="AH46" s="310">
        <v>0.1250541</v>
      </c>
      <c r="AI46" s="310">
        <v>0.115132</v>
      </c>
      <c r="AJ46" s="310">
        <v>0.12759719999999999</v>
      </c>
      <c r="AK46" s="310">
        <v>0.1293619</v>
      </c>
      <c r="AL46" s="310">
        <v>0.1246321</v>
      </c>
      <c r="AM46" s="310">
        <v>0.12950510000000001</v>
      </c>
      <c r="AN46" s="310">
        <v>0</v>
      </c>
      <c r="AO46" s="310">
        <v>0.1238344</v>
      </c>
      <c r="AP46" s="310">
        <v>0.1294506</v>
      </c>
      <c r="AQ46" s="310">
        <v>0.12542339999999999</v>
      </c>
      <c r="AR46" s="310">
        <v>0.12885550000000001</v>
      </c>
      <c r="AS46" s="310">
        <v>0.1078369</v>
      </c>
      <c r="AT46" s="310">
        <v>0.12421359999999999</v>
      </c>
      <c r="AU46" s="310">
        <v>0.1313059</v>
      </c>
      <c r="AV46" s="310">
        <v>0.13057959999999999</v>
      </c>
      <c r="AW46" s="310">
        <v>0.1253321</v>
      </c>
      <c r="AX46" s="310">
        <v>0.12994919999999999</v>
      </c>
      <c r="AY46" s="310">
        <v>0.13178799999999999</v>
      </c>
      <c r="AZ46" s="310">
        <v>0.1315046</v>
      </c>
      <c r="BA46" s="310">
        <v>0.1201327</v>
      </c>
      <c r="BB46" s="310">
        <v>0.13017110000000001</v>
      </c>
      <c r="BC46" s="310">
        <v>0.13082289999999999</v>
      </c>
      <c r="BD46" s="310">
        <v>0.1315288</v>
      </c>
      <c r="BE46" s="310">
        <v>0.1323589</v>
      </c>
      <c r="BF46" s="310">
        <v>0.1300779</v>
      </c>
      <c r="BG46" s="310">
        <v>0.13173950000000001</v>
      </c>
      <c r="BH46" s="310">
        <v>0.1288996</v>
      </c>
      <c r="BI46" s="310">
        <v>0.13214020000000001</v>
      </c>
      <c r="BJ46" s="310">
        <v>0.13267380000000001</v>
      </c>
      <c r="BK46" s="310">
        <v>0.1330723</v>
      </c>
    </row>
    <row r="47" spans="1:63" x14ac:dyDescent="0.25">
      <c r="A47" s="306">
        <v>311340</v>
      </c>
      <c r="B47" s="310" t="s">
        <v>36</v>
      </c>
      <c r="C47" s="310">
        <v>0.15363299999999999</v>
      </c>
      <c r="D47" s="310">
        <v>0.13512930000000001</v>
      </c>
      <c r="E47" s="310">
        <v>0.1490851</v>
      </c>
      <c r="F47" s="310">
        <v>0.1451054</v>
      </c>
      <c r="G47" s="310">
        <v>0.15219959999999999</v>
      </c>
      <c r="H47" s="310">
        <v>0.15290329999999999</v>
      </c>
      <c r="I47" s="310">
        <v>0.1525359</v>
      </c>
      <c r="J47" s="310">
        <v>0.13529089999999999</v>
      </c>
      <c r="K47" s="310">
        <v>0</v>
      </c>
      <c r="L47" s="310">
        <v>0.1118923</v>
      </c>
      <c r="M47" s="310">
        <v>0.15264</v>
      </c>
      <c r="N47" s="310">
        <v>0.1481053</v>
      </c>
      <c r="O47" s="310">
        <v>0.15172649999999999</v>
      </c>
      <c r="P47" s="310">
        <v>0.14347979999999999</v>
      </c>
      <c r="Q47" s="310">
        <v>0.15193200000000001</v>
      </c>
      <c r="R47" s="310">
        <v>0.1477038</v>
      </c>
      <c r="S47" s="310">
        <v>0.1472638</v>
      </c>
      <c r="T47" s="310">
        <v>0.14504790000000001</v>
      </c>
      <c r="U47" s="310">
        <v>0.13719319999999999</v>
      </c>
      <c r="V47" s="310">
        <v>0.1497481</v>
      </c>
      <c r="W47" s="310">
        <v>0.1428767</v>
      </c>
      <c r="X47" s="310">
        <v>0.1345615</v>
      </c>
      <c r="Y47" s="310">
        <v>0.15042539999999999</v>
      </c>
      <c r="Z47" s="310">
        <v>0.1523446</v>
      </c>
      <c r="AA47" s="310">
        <v>0.147981</v>
      </c>
      <c r="AB47" s="310">
        <v>0.13592580000000001</v>
      </c>
      <c r="AC47" s="310">
        <v>0.14693880000000001</v>
      </c>
      <c r="AD47" s="310">
        <v>0.15218519999999999</v>
      </c>
      <c r="AE47" s="310">
        <v>0.1473322</v>
      </c>
      <c r="AF47" s="310">
        <v>0</v>
      </c>
      <c r="AG47" s="310">
        <v>0.13575509999999999</v>
      </c>
      <c r="AH47" s="310">
        <v>0.1432947</v>
      </c>
      <c r="AI47" s="310">
        <v>0.1318908</v>
      </c>
      <c r="AJ47" s="310">
        <v>0.14620269999999999</v>
      </c>
      <c r="AK47" s="310">
        <v>0.14822779999999999</v>
      </c>
      <c r="AL47" s="310">
        <v>0.14277419999999999</v>
      </c>
      <c r="AM47" s="310">
        <v>0.14838660000000001</v>
      </c>
      <c r="AN47" s="310">
        <v>0.14793580000000001</v>
      </c>
      <c r="AO47" s="310">
        <v>0.14187759999999999</v>
      </c>
      <c r="AP47" s="310">
        <v>0.14834700000000001</v>
      </c>
      <c r="AQ47" s="310">
        <v>0</v>
      </c>
      <c r="AR47" s="310">
        <v>0.1476084</v>
      </c>
      <c r="AS47" s="310">
        <v>0.1235217</v>
      </c>
      <c r="AT47" s="310">
        <v>0.14230899999999999</v>
      </c>
      <c r="AU47" s="310">
        <v>0.15044370000000001</v>
      </c>
      <c r="AV47" s="310">
        <v>0.14965319999999999</v>
      </c>
      <c r="AW47" s="310">
        <v>0.14362069999999999</v>
      </c>
      <c r="AX47" s="310">
        <v>0.14892269999999999</v>
      </c>
      <c r="AY47" s="310">
        <v>0.1509692</v>
      </c>
      <c r="AZ47" s="310">
        <v>0.1506807</v>
      </c>
      <c r="BA47" s="310">
        <v>0.13767989999999999</v>
      </c>
      <c r="BB47" s="310">
        <v>0.1491537</v>
      </c>
      <c r="BC47" s="310">
        <v>0.1498978</v>
      </c>
      <c r="BD47" s="310">
        <v>0.15068319999999999</v>
      </c>
      <c r="BE47" s="310">
        <v>0.15163979999999999</v>
      </c>
      <c r="BF47" s="310">
        <v>0.1490273</v>
      </c>
      <c r="BG47" s="310">
        <v>0.15092469999999999</v>
      </c>
      <c r="BH47" s="310">
        <v>0.14768909999999999</v>
      </c>
      <c r="BI47" s="310">
        <v>0.15138389999999999</v>
      </c>
      <c r="BJ47" s="310">
        <v>0.15203059999999999</v>
      </c>
      <c r="BK47" s="310">
        <v>0.1524703</v>
      </c>
    </row>
    <row r="48" spans="1:63" x14ac:dyDescent="0.25">
      <c r="A48" s="306">
        <v>311410</v>
      </c>
      <c r="B48" s="310" t="s">
        <v>37</v>
      </c>
      <c r="C48" s="310">
        <v>0.13112460000000001</v>
      </c>
      <c r="D48" s="310">
        <v>0</v>
      </c>
      <c r="E48" s="310">
        <v>0</v>
      </c>
      <c r="F48" s="310">
        <v>0.1238389</v>
      </c>
      <c r="G48" s="310">
        <v>0.12987080000000001</v>
      </c>
      <c r="H48" s="310">
        <v>0.13048969999999999</v>
      </c>
      <c r="I48" s="310">
        <v>0.13018450000000001</v>
      </c>
      <c r="J48" s="310">
        <v>0.1154594</v>
      </c>
      <c r="K48" s="310">
        <v>0</v>
      </c>
      <c r="L48" s="310">
        <v>9.5526899999999998E-2</v>
      </c>
      <c r="M48" s="310">
        <v>0.1302854</v>
      </c>
      <c r="N48" s="310">
        <v>0.1264265</v>
      </c>
      <c r="O48" s="310">
        <v>0.12951260000000001</v>
      </c>
      <c r="P48" s="310">
        <v>0.1224667</v>
      </c>
      <c r="Q48" s="310">
        <v>0.1296872</v>
      </c>
      <c r="R48" s="310">
        <v>0.126087</v>
      </c>
      <c r="S48" s="310">
        <v>0.1256948</v>
      </c>
      <c r="T48" s="310">
        <v>0.1238242</v>
      </c>
      <c r="U48" s="310">
        <v>0.1170865</v>
      </c>
      <c r="V48" s="310">
        <v>0.12781580000000001</v>
      </c>
      <c r="W48" s="310">
        <v>0.1219256</v>
      </c>
      <c r="X48" s="310">
        <v>0.1148655</v>
      </c>
      <c r="Y48" s="310">
        <v>0.1283852</v>
      </c>
      <c r="Z48" s="310">
        <v>0.1300084</v>
      </c>
      <c r="AA48" s="310">
        <v>0.12629470000000001</v>
      </c>
      <c r="AB48" s="310">
        <v>0.1160221</v>
      </c>
      <c r="AC48" s="310">
        <v>0.12539069999999999</v>
      </c>
      <c r="AD48" s="310">
        <v>0</v>
      </c>
      <c r="AE48" s="310">
        <v>0.12573670000000001</v>
      </c>
      <c r="AF48" s="310">
        <v>0.11087279999999999</v>
      </c>
      <c r="AG48" s="310">
        <v>0.1158762</v>
      </c>
      <c r="AH48" s="310">
        <v>0.1222956</v>
      </c>
      <c r="AI48" s="310">
        <v>0.1125958</v>
      </c>
      <c r="AJ48" s="310">
        <v>0.1247641</v>
      </c>
      <c r="AK48" s="310">
        <v>0.1265347</v>
      </c>
      <c r="AL48" s="310">
        <v>0.12186139999999999</v>
      </c>
      <c r="AM48" s="310">
        <v>0.12664700000000001</v>
      </c>
      <c r="AN48" s="310">
        <v>0.12628500000000001</v>
      </c>
      <c r="AO48" s="310">
        <v>0.1211069</v>
      </c>
      <c r="AP48" s="310">
        <v>0.12661639999999999</v>
      </c>
      <c r="AQ48" s="310">
        <v>0.1226661</v>
      </c>
      <c r="AR48" s="310">
        <v>0.12599469999999999</v>
      </c>
      <c r="AS48" s="310">
        <v>0.1054442</v>
      </c>
      <c r="AT48" s="310">
        <v>0.12146609999999999</v>
      </c>
      <c r="AU48" s="310">
        <v>0.12840299999999999</v>
      </c>
      <c r="AV48" s="310">
        <v>0.1277074</v>
      </c>
      <c r="AW48" s="310">
        <v>0.12255489999999999</v>
      </c>
      <c r="AX48" s="310">
        <v>0.1271099</v>
      </c>
      <c r="AY48" s="310">
        <v>0.1288734</v>
      </c>
      <c r="AZ48" s="310">
        <v>0.12859699999999999</v>
      </c>
      <c r="BA48" s="310">
        <v>0.1175084</v>
      </c>
      <c r="BB48" s="310">
        <v>0</v>
      </c>
      <c r="BC48" s="310">
        <v>0.12793660000000001</v>
      </c>
      <c r="BD48" s="310">
        <v>0.1286388</v>
      </c>
      <c r="BE48" s="310">
        <v>0.12942020000000001</v>
      </c>
      <c r="BF48" s="310">
        <v>0.12720890000000001</v>
      </c>
      <c r="BG48" s="310">
        <v>0.12882399999999999</v>
      </c>
      <c r="BH48" s="310">
        <v>0.1260532</v>
      </c>
      <c r="BI48" s="310">
        <v>0.129218</v>
      </c>
      <c r="BJ48" s="310">
        <v>0.12974840000000001</v>
      </c>
      <c r="BK48" s="310">
        <v>0.13013920000000001</v>
      </c>
    </row>
    <row r="49" spans="1:63" x14ac:dyDescent="0.25">
      <c r="A49" s="306">
        <v>311420</v>
      </c>
      <c r="B49" s="310" t="s">
        <v>38</v>
      </c>
      <c r="C49" s="310">
        <v>0.11846230000000001</v>
      </c>
      <c r="D49" s="310">
        <v>0</v>
      </c>
      <c r="E49" s="310">
        <v>0.11493349999999999</v>
      </c>
      <c r="F49" s="310">
        <v>0.111873</v>
      </c>
      <c r="G49" s="310">
        <v>0.1173386</v>
      </c>
      <c r="H49" s="310">
        <v>0.1178868</v>
      </c>
      <c r="I49" s="310">
        <v>0.1176063</v>
      </c>
      <c r="J49" s="310">
        <v>0.10432</v>
      </c>
      <c r="K49" s="310">
        <v>0</v>
      </c>
      <c r="L49" s="310">
        <v>8.6274500000000004E-2</v>
      </c>
      <c r="M49" s="310">
        <v>0.1176936</v>
      </c>
      <c r="N49" s="310">
        <v>0.1141827</v>
      </c>
      <c r="O49" s="310">
        <v>0.11698939999999999</v>
      </c>
      <c r="P49" s="310">
        <v>0.11062230000000001</v>
      </c>
      <c r="Q49" s="310">
        <v>0.1171184</v>
      </c>
      <c r="R49" s="310">
        <v>0.1138991</v>
      </c>
      <c r="S49" s="310">
        <v>0.1135343</v>
      </c>
      <c r="T49" s="310">
        <v>0.1118421</v>
      </c>
      <c r="U49" s="310">
        <v>0.1057463</v>
      </c>
      <c r="V49" s="310">
        <v>0.1154589</v>
      </c>
      <c r="W49" s="310">
        <v>0.1101398</v>
      </c>
      <c r="X49" s="310">
        <v>0.1037397</v>
      </c>
      <c r="Y49" s="310">
        <v>0.1159905</v>
      </c>
      <c r="Z49" s="310">
        <v>0.1174485</v>
      </c>
      <c r="AA49" s="310">
        <v>0.11409229999999999</v>
      </c>
      <c r="AB49" s="310">
        <v>0.10482039999999999</v>
      </c>
      <c r="AC49" s="310">
        <v>0.11328199999999999</v>
      </c>
      <c r="AD49" s="310">
        <v>0.1173418</v>
      </c>
      <c r="AE49" s="310">
        <v>0.11359030000000001</v>
      </c>
      <c r="AF49" s="310">
        <v>0.10017</v>
      </c>
      <c r="AG49" s="310">
        <v>0.1046879</v>
      </c>
      <c r="AH49" s="310">
        <v>0.11046309999999999</v>
      </c>
      <c r="AI49" s="310">
        <v>0.1016831</v>
      </c>
      <c r="AJ49" s="310">
        <v>0.1126977</v>
      </c>
      <c r="AK49" s="310">
        <v>0.114305</v>
      </c>
      <c r="AL49" s="310">
        <v>0.11010780000000001</v>
      </c>
      <c r="AM49" s="310">
        <v>0.1144014</v>
      </c>
      <c r="AN49" s="310">
        <v>0.1140782</v>
      </c>
      <c r="AO49" s="310">
        <v>0.1093789</v>
      </c>
      <c r="AP49" s="310">
        <v>0.1143652</v>
      </c>
      <c r="AQ49" s="310">
        <v>0.11082500000000001</v>
      </c>
      <c r="AR49" s="310">
        <v>0.1138401</v>
      </c>
      <c r="AS49" s="310">
        <v>0</v>
      </c>
      <c r="AT49" s="310">
        <v>0.109719</v>
      </c>
      <c r="AU49" s="310">
        <v>0.11596960000000001</v>
      </c>
      <c r="AV49" s="310">
        <v>0.1153632</v>
      </c>
      <c r="AW49" s="310">
        <v>0.1107153</v>
      </c>
      <c r="AX49" s="310">
        <v>0.11479979999999999</v>
      </c>
      <c r="AY49" s="310">
        <v>0.1163882</v>
      </c>
      <c r="AZ49" s="310">
        <v>0.1161669</v>
      </c>
      <c r="BA49" s="310">
        <v>0.1061473</v>
      </c>
      <c r="BB49" s="310">
        <v>0</v>
      </c>
      <c r="BC49" s="310">
        <v>0.11555890000000001</v>
      </c>
      <c r="BD49" s="310">
        <v>0.1161968</v>
      </c>
      <c r="BE49" s="310">
        <v>0.1169034</v>
      </c>
      <c r="BF49" s="310">
        <v>0.1149261</v>
      </c>
      <c r="BG49" s="310">
        <v>0.116373</v>
      </c>
      <c r="BH49" s="310">
        <v>0.1138483</v>
      </c>
      <c r="BI49" s="310">
        <v>0.1167333</v>
      </c>
      <c r="BJ49" s="310">
        <v>0.1172089</v>
      </c>
      <c r="BK49" s="310">
        <v>0.11754680000000001</v>
      </c>
    </row>
    <row r="50" spans="1:63" x14ac:dyDescent="0.25">
      <c r="A50" s="306">
        <v>311513</v>
      </c>
      <c r="B50" s="310" t="s">
        <v>40</v>
      </c>
      <c r="C50" s="310">
        <v>0.11845</v>
      </c>
      <c r="D50" s="310">
        <v>0</v>
      </c>
      <c r="E50" s="310">
        <v>0.1149657</v>
      </c>
      <c r="F50" s="310">
        <v>0.1118739</v>
      </c>
      <c r="G50" s="310">
        <v>0</v>
      </c>
      <c r="H50" s="310">
        <v>0.1178887</v>
      </c>
      <c r="I50" s="310">
        <v>0.1176002</v>
      </c>
      <c r="J50" s="310">
        <v>0.1042849</v>
      </c>
      <c r="K50" s="310">
        <v>0</v>
      </c>
      <c r="L50" s="310">
        <v>0</v>
      </c>
      <c r="M50" s="310">
        <v>0.1176627</v>
      </c>
      <c r="N50" s="310">
        <v>0.1142029</v>
      </c>
      <c r="O50" s="310">
        <v>0.1169602</v>
      </c>
      <c r="P50" s="310">
        <v>0.110609</v>
      </c>
      <c r="Q50" s="310">
        <v>0.1171339</v>
      </c>
      <c r="R50" s="310">
        <v>0.1138913</v>
      </c>
      <c r="S50" s="310">
        <v>0.11352660000000001</v>
      </c>
      <c r="T50" s="310">
        <v>0</v>
      </c>
      <c r="U50" s="310">
        <v>0.1057715</v>
      </c>
      <c r="V50" s="310">
        <v>0.1154647</v>
      </c>
      <c r="W50" s="310">
        <v>0.11012429999999999</v>
      </c>
      <c r="X50" s="310">
        <v>0.1037627</v>
      </c>
      <c r="Y50" s="310">
        <v>0.1159813</v>
      </c>
      <c r="Z50" s="310">
        <v>0.11742950000000001</v>
      </c>
      <c r="AA50" s="310">
        <v>0.11408210000000001</v>
      </c>
      <c r="AB50" s="310">
        <v>0.10480979999999999</v>
      </c>
      <c r="AC50" s="310">
        <v>0</v>
      </c>
      <c r="AD50" s="310">
        <v>0</v>
      </c>
      <c r="AE50" s="310">
        <v>0.1135989</v>
      </c>
      <c r="AF50" s="310">
        <v>0.1001503</v>
      </c>
      <c r="AG50" s="310">
        <v>0.1046807</v>
      </c>
      <c r="AH50" s="310">
        <v>0</v>
      </c>
      <c r="AI50" s="310">
        <v>0.10171810000000001</v>
      </c>
      <c r="AJ50" s="310">
        <v>0.1127099</v>
      </c>
      <c r="AK50" s="310">
        <v>0</v>
      </c>
      <c r="AL50" s="310">
        <v>0.1101116</v>
      </c>
      <c r="AM50" s="310">
        <v>0.1144165</v>
      </c>
      <c r="AN50" s="310">
        <v>0.1140753</v>
      </c>
      <c r="AO50" s="310">
        <v>0.1093983</v>
      </c>
      <c r="AP50" s="310">
        <v>0.11435919999999999</v>
      </c>
      <c r="AQ50" s="310">
        <v>0.1108495</v>
      </c>
      <c r="AR50" s="310">
        <v>0.1138194</v>
      </c>
      <c r="AS50" s="310">
        <v>9.5252299999999998E-2</v>
      </c>
      <c r="AT50" s="310">
        <v>0.1097214</v>
      </c>
      <c r="AU50" s="310">
        <v>0.115992</v>
      </c>
      <c r="AV50" s="310">
        <v>0.11536680000000001</v>
      </c>
      <c r="AW50" s="310">
        <v>0</v>
      </c>
      <c r="AX50" s="310">
        <v>0.1148121</v>
      </c>
      <c r="AY50" s="310">
        <v>0.11639679999999999</v>
      </c>
      <c r="AZ50" s="310">
        <v>0.1161684</v>
      </c>
      <c r="BA50" s="310">
        <v>0</v>
      </c>
      <c r="BB50" s="310">
        <v>0</v>
      </c>
      <c r="BC50" s="310">
        <v>0.11557190000000001</v>
      </c>
      <c r="BD50" s="310">
        <v>0.1161775</v>
      </c>
      <c r="BE50" s="310">
        <v>0.1169294</v>
      </c>
      <c r="BF50" s="310">
        <v>0.11490839999999999</v>
      </c>
      <c r="BG50" s="310">
        <v>0.11636639999999999</v>
      </c>
      <c r="BH50" s="310">
        <v>0.1138706</v>
      </c>
      <c r="BI50" s="310">
        <v>0.116732</v>
      </c>
      <c r="BJ50" s="310">
        <v>0.11720650000000001</v>
      </c>
      <c r="BK50" s="310">
        <v>0.1175672</v>
      </c>
    </row>
    <row r="51" spans="1:63" x14ac:dyDescent="0.25">
      <c r="A51" s="306">
        <v>311514</v>
      </c>
      <c r="B51" s="310" t="s">
        <v>41</v>
      </c>
      <c r="C51" s="310">
        <v>0.1184434</v>
      </c>
      <c r="D51" s="310">
        <v>0</v>
      </c>
      <c r="E51" s="310">
        <v>0</v>
      </c>
      <c r="F51" s="310">
        <v>0.1118746</v>
      </c>
      <c r="G51" s="310">
        <v>0.1173336</v>
      </c>
      <c r="H51" s="310">
        <v>0.1178889</v>
      </c>
      <c r="I51" s="310">
        <v>0.11758150000000001</v>
      </c>
      <c r="J51" s="310">
        <v>0</v>
      </c>
      <c r="K51" s="310">
        <v>0</v>
      </c>
      <c r="L51" s="310">
        <v>0</v>
      </c>
      <c r="M51" s="310">
        <v>0.1176707</v>
      </c>
      <c r="N51" s="310">
        <v>0.1141962</v>
      </c>
      <c r="O51" s="310">
        <v>0</v>
      </c>
      <c r="P51" s="310">
        <v>0.1105999</v>
      </c>
      <c r="Q51" s="310">
        <v>0.1171572</v>
      </c>
      <c r="R51" s="310">
        <v>0.1138781</v>
      </c>
      <c r="S51" s="310">
        <v>0.11351410000000001</v>
      </c>
      <c r="T51" s="310">
        <v>0.1118353</v>
      </c>
      <c r="U51" s="310">
        <v>0.1057787</v>
      </c>
      <c r="V51" s="310">
        <v>0.115471</v>
      </c>
      <c r="W51" s="310">
        <v>0.11014119999999999</v>
      </c>
      <c r="X51" s="310">
        <v>0.1037333</v>
      </c>
      <c r="Y51" s="310">
        <v>0</v>
      </c>
      <c r="Z51" s="310">
        <v>0.11744309999999999</v>
      </c>
      <c r="AA51" s="310">
        <v>0.11409660000000001</v>
      </c>
      <c r="AB51" s="310">
        <v>0.10478990000000001</v>
      </c>
      <c r="AC51" s="310">
        <v>0</v>
      </c>
      <c r="AD51" s="310">
        <v>0</v>
      </c>
      <c r="AE51" s="310">
        <v>0</v>
      </c>
      <c r="AF51" s="310">
        <v>0</v>
      </c>
      <c r="AG51" s="310">
        <v>0.1046873</v>
      </c>
      <c r="AH51" s="310">
        <v>0</v>
      </c>
      <c r="AI51" s="310">
        <v>0.1016956</v>
      </c>
      <c r="AJ51" s="310">
        <v>0.1126953</v>
      </c>
      <c r="AK51" s="310">
        <v>0</v>
      </c>
      <c r="AL51" s="310">
        <v>0.1101139</v>
      </c>
      <c r="AM51" s="310">
        <v>0.1144268</v>
      </c>
      <c r="AN51" s="310">
        <v>0.1140563</v>
      </c>
      <c r="AO51" s="310">
        <v>0.10938929999999999</v>
      </c>
      <c r="AP51" s="310">
        <v>0.114372</v>
      </c>
      <c r="AQ51" s="310">
        <v>0</v>
      </c>
      <c r="AR51" s="310">
        <v>0</v>
      </c>
      <c r="AS51" s="310">
        <v>9.5232999999999998E-2</v>
      </c>
      <c r="AT51" s="310">
        <v>0.1096977</v>
      </c>
      <c r="AU51" s="310">
        <v>0.1160021</v>
      </c>
      <c r="AV51" s="310">
        <v>0.1153787</v>
      </c>
      <c r="AW51" s="310">
        <v>0.11073330000000001</v>
      </c>
      <c r="AX51" s="310">
        <v>0.1148067</v>
      </c>
      <c r="AY51" s="310">
        <v>0.1163966</v>
      </c>
      <c r="AZ51" s="310">
        <v>0.1161688</v>
      </c>
      <c r="BA51" s="310">
        <v>0</v>
      </c>
      <c r="BB51" s="310">
        <v>0</v>
      </c>
      <c r="BC51" s="310">
        <v>0.1155771</v>
      </c>
      <c r="BD51" s="310">
        <v>0.11617669999999999</v>
      </c>
      <c r="BE51" s="310">
        <v>0.1169138</v>
      </c>
      <c r="BF51" s="310">
        <v>0.1149198</v>
      </c>
      <c r="BG51" s="310">
        <v>0.1163819</v>
      </c>
      <c r="BH51" s="310">
        <v>0.11386060000000001</v>
      </c>
      <c r="BI51" s="310">
        <v>0.116711</v>
      </c>
      <c r="BJ51" s="310">
        <v>0.1172223</v>
      </c>
      <c r="BK51" s="310">
        <v>0.1175677</v>
      </c>
    </row>
    <row r="52" spans="1:63" x14ac:dyDescent="0.25">
      <c r="A52" s="306" t="s">
        <v>706</v>
      </c>
      <c r="B52" s="310" t="s">
        <v>39</v>
      </c>
      <c r="C52" s="310">
        <v>0.1184521</v>
      </c>
      <c r="D52" s="310">
        <v>0</v>
      </c>
      <c r="E52" s="310">
        <v>0.1149492</v>
      </c>
      <c r="F52" s="310">
        <v>0.1118774</v>
      </c>
      <c r="G52" s="310">
        <v>0.11733209999999999</v>
      </c>
      <c r="H52" s="310">
        <v>0.11787259999999999</v>
      </c>
      <c r="I52" s="310">
        <v>0.1175973</v>
      </c>
      <c r="J52" s="310">
        <v>0.1042979</v>
      </c>
      <c r="K52" s="310">
        <v>0</v>
      </c>
      <c r="L52" s="310">
        <v>8.6277300000000001E-2</v>
      </c>
      <c r="M52" s="310">
        <v>0.117685</v>
      </c>
      <c r="N52" s="310">
        <v>0.11420089999999999</v>
      </c>
      <c r="O52" s="310">
        <v>0.1169722</v>
      </c>
      <c r="P52" s="310">
        <v>0.1105981</v>
      </c>
      <c r="Q52" s="310">
        <v>0.1171299</v>
      </c>
      <c r="R52" s="310">
        <v>0.11389489999999999</v>
      </c>
      <c r="S52" s="310">
        <v>0.1135405</v>
      </c>
      <c r="T52" s="310">
        <v>0.11184230000000001</v>
      </c>
      <c r="U52" s="310">
        <v>0.10577499999999999</v>
      </c>
      <c r="V52" s="310">
        <v>0.1154734</v>
      </c>
      <c r="W52" s="310">
        <v>0.1101679</v>
      </c>
      <c r="X52" s="310">
        <v>0.1037589</v>
      </c>
      <c r="Y52" s="310">
        <v>0.1159795</v>
      </c>
      <c r="Z52" s="310">
        <v>0.11744979999999999</v>
      </c>
      <c r="AA52" s="310">
        <v>0.1140703</v>
      </c>
      <c r="AB52" s="310">
        <v>0.1048186</v>
      </c>
      <c r="AC52" s="310">
        <v>0.1132831</v>
      </c>
      <c r="AD52" s="310">
        <v>0.11735569999999999</v>
      </c>
      <c r="AE52" s="310">
        <v>0.1135787</v>
      </c>
      <c r="AF52" s="310">
        <v>0.1001311</v>
      </c>
      <c r="AG52" s="310">
        <v>0.1046498</v>
      </c>
      <c r="AH52" s="310">
        <v>0.110495</v>
      </c>
      <c r="AI52" s="310">
        <v>0.1016972</v>
      </c>
      <c r="AJ52" s="310">
        <v>0.112722</v>
      </c>
      <c r="AK52" s="310">
        <v>0.11429250000000001</v>
      </c>
      <c r="AL52" s="310">
        <v>0.11011070000000001</v>
      </c>
      <c r="AM52" s="310">
        <v>0.1144092</v>
      </c>
      <c r="AN52" s="310">
        <v>0.114053</v>
      </c>
      <c r="AO52" s="310">
        <v>0.10936999999999999</v>
      </c>
      <c r="AP52" s="310">
        <v>0.1143863</v>
      </c>
      <c r="AQ52" s="310">
        <v>0.11083419999999999</v>
      </c>
      <c r="AR52" s="310">
        <v>0.1138113</v>
      </c>
      <c r="AS52" s="310">
        <v>9.5242999999999994E-2</v>
      </c>
      <c r="AT52" s="310">
        <v>0.10972519999999999</v>
      </c>
      <c r="AU52" s="310">
        <v>0.1159695</v>
      </c>
      <c r="AV52" s="310">
        <v>0.1153612</v>
      </c>
      <c r="AW52" s="310">
        <v>0.11070000000000001</v>
      </c>
      <c r="AX52" s="310">
        <v>0.11479</v>
      </c>
      <c r="AY52" s="310">
        <v>0.1164128</v>
      </c>
      <c r="AZ52" s="310">
        <v>0.1161808</v>
      </c>
      <c r="BA52" s="310">
        <v>0.1061718</v>
      </c>
      <c r="BB52" s="310">
        <v>0.1149734</v>
      </c>
      <c r="BC52" s="310">
        <v>0.1155817</v>
      </c>
      <c r="BD52" s="310">
        <v>0.11618290000000001</v>
      </c>
      <c r="BE52" s="310">
        <v>0.1169128</v>
      </c>
      <c r="BF52" s="310">
        <v>0.1148951</v>
      </c>
      <c r="BG52" s="310">
        <v>0.1163479</v>
      </c>
      <c r="BH52" s="310">
        <v>0.113842</v>
      </c>
      <c r="BI52" s="310">
        <v>0.11672250000000001</v>
      </c>
      <c r="BJ52" s="310">
        <v>0.11720469999999999</v>
      </c>
      <c r="BK52" s="310">
        <v>0.11755309999999999</v>
      </c>
    </row>
    <row r="53" spans="1:63" x14ac:dyDescent="0.25">
      <c r="A53" s="306">
        <v>311520</v>
      </c>
      <c r="B53" s="310" t="s">
        <v>42</v>
      </c>
      <c r="C53" s="310">
        <v>0.1184543</v>
      </c>
      <c r="D53" s="310">
        <v>0.10416259999999999</v>
      </c>
      <c r="E53" s="310">
        <v>0.114949</v>
      </c>
      <c r="F53" s="310">
        <v>0.1118755</v>
      </c>
      <c r="G53" s="310">
        <v>0.11734459999999999</v>
      </c>
      <c r="H53" s="310">
        <v>0.1178613</v>
      </c>
      <c r="I53" s="310">
        <v>0.1176166</v>
      </c>
      <c r="J53" s="310">
        <v>0.1043065</v>
      </c>
      <c r="K53" s="310">
        <v>0</v>
      </c>
      <c r="L53" s="310">
        <v>0</v>
      </c>
      <c r="M53" s="310">
        <v>0.1176914</v>
      </c>
      <c r="N53" s="310">
        <v>0.1141997</v>
      </c>
      <c r="O53" s="310">
        <v>0.11696520000000001</v>
      </c>
      <c r="P53" s="310">
        <v>0.1106219</v>
      </c>
      <c r="Q53" s="310">
        <v>0</v>
      </c>
      <c r="R53" s="310">
        <v>0.113901</v>
      </c>
      <c r="S53" s="310">
        <v>0.11353729999999999</v>
      </c>
      <c r="T53" s="310">
        <v>0</v>
      </c>
      <c r="U53" s="310">
        <v>0.1057583</v>
      </c>
      <c r="V53" s="310">
        <v>0</v>
      </c>
      <c r="W53" s="310">
        <v>0.1101533</v>
      </c>
      <c r="X53" s="310">
        <v>0.1037651</v>
      </c>
      <c r="Y53" s="310">
        <v>0.1159637</v>
      </c>
      <c r="Z53" s="310">
        <v>0.1174371</v>
      </c>
      <c r="AA53" s="310">
        <v>0.1140998</v>
      </c>
      <c r="AB53" s="310">
        <v>0.1048077</v>
      </c>
      <c r="AC53" s="310">
        <v>0.1132676</v>
      </c>
      <c r="AD53" s="310">
        <v>0.1173129</v>
      </c>
      <c r="AE53" s="310">
        <v>0.11357490000000001</v>
      </c>
      <c r="AF53" s="310">
        <v>0</v>
      </c>
      <c r="AG53" s="310">
        <v>0.104685</v>
      </c>
      <c r="AH53" s="310">
        <v>0.1104859</v>
      </c>
      <c r="AI53" s="310">
        <v>0.1016826</v>
      </c>
      <c r="AJ53" s="310">
        <v>0</v>
      </c>
      <c r="AK53" s="310">
        <v>0.1142634</v>
      </c>
      <c r="AL53" s="310">
        <v>0.11011369999999999</v>
      </c>
      <c r="AM53" s="310">
        <v>0.1144163</v>
      </c>
      <c r="AN53" s="310">
        <v>0.114054</v>
      </c>
      <c r="AO53" s="310">
        <v>0.10938630000000001</v>
      </c>
      <c r="AP53" s="310">
        <v>0.11438</v>
      </c>
      <c r="AQ53" s="310">
        <v>0.1108435</v>
      </c>
      <c r="AR53" s="310">
        <v>0.1138198</v>
      </c>
      <c r="AS53" s="310">
        <v>9.5238100000000006E-2</v>
      </c>
      <c r="AT53" s="310">
        <v>0.1097059</v>
      </c>
      <c r="AU53" s="310">
        <v>0.11600100000000001</v>
      </c>
      <c r="AV53" s="310">
        <v>0.11535670000000001</v>
      </c>
      <c r="AW53" s="310">
        <v>0.11072799999999999</v>
      </c>
      <c r="AX53" s="310">
        <v>0.11482009999999999</v>
      </c>
      <c r="AY53" s="310">
        <v>0.1163985</v>
      </c>
      <c r="AZ53" s="310">
        <v>0.1161739</v>
      </c>
      <c r="BA53" s="310">
        <v>0.10615769999999999</v>
      </c>
      <c r="BB53" s="310">
        <v>0</v>
      </c>
      <c r="BC53" s="310">
        <v>0.1155537</v>
      </c>
      <c r="BD53" s="310">
        <v>0.1161924</v>
      </c>
      <c r="BE53" s="310">
        <v>0.116919</v>
      </c>
      <c r="BF53" s="310">
        <v>0.1149179</v>
      </c>
      <c r="BG53" s="310">
        <v>0.1163735</v>
      </c>
      <c r="BH53" s="310">
        <v>0.1138378</v>
      </c>
      <c r="BI53" s="310">
        <v>0.11672730000000001</v>
      </c>
      <c r="BJ53" s="310">
        <v>0.11722009999999999</v>
      </c>
      <c r="BK53" s="310">
        <v>0.11754969999999999</v>
      </c>
    </row>
    <row r="54" spans="1:63" x14ac:dyDescent="0.25">
      <c r="A54" s="306">
        <v>311615</v>
      </c>
      <c r="B54" s="310" t="s">
        <v>44</v>
      </c>
      <c r="C54" s="310">
        <v>0.15592410000000001</v>
      </c>
      <c r="D54" s="310">
        <v>0.13709560000000001</v>
      </c>
      <c r="E54" s="310">
        <v>0.15130830000000001</v>
      </c>
      <c r="F54" s="310">
        <v>0.14726529999999999</v>
      </c>
      <c r="G54" s="310">
        <v>0.15445120000000001</v>
      </c>
      <c r="H54" s="310">
        <v>0.1551766</v>
      </c>
      <c r="I54" s="310">
        <v>0.15478629999999999</v>
      </c>
      <c r="J54" s="310">
        <v>0.1373219</v>
      </c>
      <c r="K54" s="310">
        <v>0</v>
      </c>
      <c r="L54" s="310">
        <v>0.11357929999999999</v>
      </c>
      <c r="M54" s="310">
        <v>0.1549085</v>
      </c>
      <c r="N54" s="310">
        <v>0.1503437</v>
      </c>
      <c r="O54" s="310">
        <v>0.15402460000000001</v>
      </c>
      <c r="P54" s="310">
        <v>0.1456239</v>
      </c>
      <c r="Q54" s="310">
        <v>0.15419150000000001</v>
      </c>
      <c r="R54" s="310">
        <v>0.14991209999999999</v>
      </c>
      <c r="S54" s="310">
        <v>0.1494337</v>
      </c>
      <c r="T54" s="310">
        <v>0.147204</v>
      </c>
      <c r="U54" s="310">
        <v>0.13921449999999999</v>
      </c>
      <c r="V54" s="310">
        <v>0.15199409999999999</v>
      </c>
      <c r="W54" s="310">
        <v>0.14499699999999999</v>
      </c>
      <c r="X54" s="310">
        <v>0.13657820000000001</v>
      </c>
      <c r="Y54" s="310">
        <v>0.15266879999999999</v>
      </c>
      <c r="Z54" s="310">
        <v>0.15458669999999999</v>
      </c>
      <c r="AA54" s="310">
        <v>0.15017359999999999</v>
      </c>
      <c r="AB54" s="310">
        <v>0.13795370000000001</v>
      </c>
      <c r="AC54" s="310">
        <v>0.14912310000000001</v>
      </c>
      <c r="AD54" s="310">
        <v>0.15448719999999999</v>
      </c>
      <c r="AE54" s="310">
        <v>0.1495244</v>
      </c>
      <c r="AF54" s="310">
        <v>0</v>
      </c>
      <c r="AG54" s="310">
        <v>0.1377882</v>
      </c>
      <c r="AH54" s="310">
        <v>0</v>
      </c>
      <c r="AI54" s="310">
        <v>0.13385320000000001</v>
      </c>
      <c r="AJ54" s="310">
        <v>0.14837929999999999</v>
      </c>
      <c r="AK54" s="310">
        <v>0</v>
      </c>
      <c r="AL54" s="310">
        <v>0.14491299999999999</v>
      </c>
      <c r="AM54" s="310">
        <v>0.15060419999999999</v>
      </c>
      <c r="AN54" s="310">
        <v>0.1501509</v>
      </c>
      <c r="AO54" s="310">
        <v>0.1439928</v>
      </c>
      <c r="AP54" s="310">
        <v>0.15055479999999999</v>
      </c>
      <c r="AQ54" s="310">
        <v>0.14589859999999999</v>
      </c>
      <c r="AR54" s="310">
        <v>0.1498263</v>
      </c>
      <c r="AS54" s="310">
        <v>0.12538489999999999</v>
      </c>
      <c r="AT54" s="310">
        <v>0.14443800000000001</v>
      </c>
      <c r="AU54" s="310">
        <v>0.15269450000000001</v>
      </c>
      <c r="AV54" s="310">
        <v>0.15188960000000001</v>
      </c>
      <c r="AW54" s="310">
        <v>0.1457533</v>
      </c>
      <c r="AX54" s="310">
        <v>0</v>
      </c>
      <c r="AY54" s="310">
        <v>0.15322620000000001</v>
      </c>
      <c r="AZ54" s="310">
        <v>0.1529431</v>
      </c>
      <c r="BA54" s="310">
        <v>0.1397477</v>
      </c>
      <c r="BB54" s="310">
        <v>0</v>
      </c>
      <c r="BC54" s="310">
        <v>0.15215020000000001</v>
      </c>
      <c r="BD54" s="310">
        <v>0.15293599999999999</v>
      </c>
      <c r="BE54" s="310">
        <v>0.15390419999999999</v>
      </c>
      <c r="BF54" s="310">
        <v>0.1512616</v>
      </c>
      <c r="BG54" s="310">
        <v>0.1531788</v>
      </c>
      <c r="BH54" s="310">
        <v>0.1498775</v>
      </c>
      <c r="BI54" s="310">
        <v>0.15367320000000001</v>
      </c>
      <c r="BJ54" s="310">
        <v>0.15431030000000001</v>
      </c>
      <c r="BK54" s="310">
        <v>0.15477769999999999</v>
      </c>
    </row>
    <row r="55" spans="1:63" x14ac:dyDescent="0.25">
      <c r="A55" s="306" t="s">
        <v>707</v>
      </c>
      <c r="B55" s="310" t="s">
        <v>43</v>
      </c>
      <c r="C55" s="310">
        <v>0.11844830000000001</v>
      </c>
      <c r="D55" s="310">
        <v>0.1041541</v>
      </c>
      <c r="E55" s="310">
        <v>0.1149559</v>
      </c>
      <c r="F55" s="310">
        <v>0.11186790000000001</v>
      </c>
      <c r="G55" s="310">
        <v>0.1173222</v>
      </c>
      <c r="H55" s="310">
        <v>0.1178761</v>
      </c>
      <c r="I55" s="310">
        <v>0.1176114</v>
      </c>
      <c r="J55" s="310">
        <v>0.10432</v>
      </c>
      <c r="K55" s="310">
        <v>0</v>
      </c>
      <c r="L55" s="310">
        <v>8.6309399999999994E-2</v>
      </c>
      <c r="M55" s="310">
        <v>0.117657</v>
      </c>
      <c r="N55" s="310">
        <v>0.1141894</v>
      </c>
      <c r="O55" s="310">
        <v>0.116991</v>
      </c>
      <c r="P55" s="310">
        <v>0.11060059999999999</v>
      </c>
      <c r="Q55" s="310">
        <v>0.11713899999999999</v>
      </c>
      <c r="R55" s="310">
        <v>0.1138875</v>
      </c>
      <c r="S55" s="310">
        <v>0.1135424</v>
      </c>
      <c r="T55" s="310">
        <v>0.1118305</v>
      </c>
      <c r="U55" s="310">
        <v>0.1057511</v>
      </c>
      <c r="V55" s="310">
        <v>0.1154804</v>
      </c>
      <c r="W55" s="310">
        <v>0.1101732</v>
      </c>
      <c r="X55" s="310">
        <v>0.10375189999999999</v>
      </c>
      <c r="Y55" s="310">
        <v>0.1159968</v>
      </c>
      <c r="Z55" s="310">
        <v>0.1174337</v>
      </c>
      <c r="AA55" s="310">
        <v>0.1140869</v>
      </c>
      <c r="AB55" s="310">
        <v>0.104811</v>
      </c>
      <c r="AC55" s="310">
        <v>0.1132687</v>
      </c>
      <c r="AD55" s="310">
        <v>0.1173188</v>
      </c>
      <c r="AE55" s="310">
        <v>0.113592</v>
      </c>
      <c r="AF55" s="310">
        <v>0.1001343</v>
      </c>
      <c r="AG55" s="310">
        <v>0.10467269999999999</v>
      </c>
      <c r="AH55" s="310">
        <v>0.11047899999999999</v>
      </c>
      <c r="AI55" s="310">
        <v>0.1016975</v>
      </c>
      <c r="AJ55" s="310">
        <v>0.11269560000000001</v>
      </c>
      <c r="AK55" s="310">
        <v>0.1142719</v>
      </c>
      <c r="AL55" s="310">
        <v>0.11008179999999999</v>
      </c>
      <c r="AM55" s="310">
        <v>0.1144326</v>
      </c>
      <c r="AN55" s="310">
        <v>0.1140775</v>
      </c>
      <c r="AO55" s="310">
        <v>0.10937760000000001</v>
      </c>
      <c r="AP55" s="310">
        <v>0.1143747</v>
      </c>
      <c r="AQ55" s="310">
        <v>0.1108478</v>
      </c>
      <c r="AR55" s="310">
        <v>0.11380510000000001</v>
      </c>
      <c r="AS55" s="310">
        <v>9.5255800000000002E-2</v>
      </c>
      <c r="AT55" s="310">
        <v>0.10969429999999999</v>
      </c>
      <c r="AU55" s="310">
        <v>0.115999</v>
      </c>
      <c r="AV55" s="310">
        <v>0.1153593</v>
      </c>
      <c r="AW55" s="310">
        <v>0.11073330000000001</v>
      </c>
      <c r="AX55" s="310">
        <v>0.1148092</v>
      </c>
      <c r="AY55" s="310">
        <v>0.116426</v>
      </c>
      <c r="AZ55" s="310">
        <v>0.1161795</v>
      </c>
      <c r="BA55" s="310">
        <v>0.1061416</v>
      </c>
      <c r="BB55" s="310">
        <v>0.1149905</v>
      </c>
      <c r="BC55" s="310">
        <v>0.1155456</v>
      </c>
      <c r="BD55" s="310">
        <v>0.116191</v>
      </c>
      <c r="BE55" s="310">
        <v>0.1169308</v>
      </c>
      <c r="BF55" s="310">
        <v>0.114911</v>
      </c>
      <c r="BG55" s="310">
        <v>0.1163521</v>
      </c>
      <c r="BH55" s="310">
        <v>0.113853</v>
      </c>
      <c r="BI55" s="310">
        <v>0.1167252</v>
      </c>
      <c r="BJ55" s="310">
        <v>0.11720990000000001</v>
      </c>
      <c r="BK55" s="310">
        <v>0.1175643</v>
      </c>
    </row>
    <row r="56" spans="1:63" x14ac:dyDescent="0.25">
      <c r="A56" s="306">
        <v>311700</v>
      </c>
      <c r="B56" s="310" t="s">
        <v>45</v>
      </c>
      <c r="C56" s="310">
        <v>0.14376249999999999</v>
      </c>
      <c r="D56" s="310">
        <v>0.12640199999999999</v>
      </c>
      <c r="E56" s="310">
        <v>0.13949780000000001</v>
      </c>
      <c r="F56" s="310">
        <v>0.13577829999999999</v>
      </c>
      <c r="G56" s="310">
        <v>0</v>
      </c>
      <c r="H56" s="310">
        <v>0.1430709</v>
      </c>
      <c r="I56" s="310">
        <v>0.1427455</v>
      </c>
      <c r="J56" s="310">
        <v>0.1266159</v>
      </c>
      <c r="K56" s="310">
        <v>0</v>
      </c>
      <c r="L56" s="310">
        <v>0.1047454</v>
      </c>
      <c r="M56" s="310">
        <v>0.1428422</v>
      </c>
      <c r="N56" s="310">
        <v>0.13861860000000001</v>
      </c>
      <c r="O56" s="310">
        <v>0.1420168</v>
      </c>
      <c r="P56" s="310">
        <v>0.1342576</v>
      </c>
      <c r="Q56" s="310">
        <v>0.1421954</v>
      </c>
      <c r="R56" s="310">
        <v>0.13824310000000001</v>
      </c>
      <c r="S56" s="310">
        <v>0.13777610000000001</v>
      </c>
      <c r="T56" s="310">
        <v>0</v>
      </c>
      <c r="U56" s="310">
        <v>0.1283647</v>
      </c>
      <c r="V56" s="310">
        <v>0.1401328</v>
      </c>
      <c r="W56" s="310">
        <v>0.13369729999999999</v>
      </c>
      <c r="X56" s="310">
        <v>0.12593589999999999</v>
      </c>
      <c r="Y56" s="310">
        <v>0.1407475</v>
      </c>
      <c r="Z56" s="310">
        <v>0.142542</v>
      </c>
      <c r="AA56" s="310">
        <v>0.13846530000000001</v>
      </c>
      <c r="AB56" s="310">
        <v>0</v>
      </c>
      <c r="AC56" s="310">
        <v>0.1375082</v>
      </c>
      <c r="AD56" s="310">
        <v>0.14238329999999999</v>
      </c>
      <c r="AE56" s="310">
        <v>0.1378597</v>
      </c>
      <c r="AF56" s="310">
        <v>0.121544</v>
      </c>
      <c r="AG56" s="310">
        <v>0.12704650000000001</v>
      </c>
      <c r="AH56" s="310">
        <v>0.13409460000000001</v>
      </c>
      <c r="AI56" s="310">
        <v>0.1234557</v>
      </c>
      <c r="AJ56" s="310">
        <v>0</v>
      </c>
      <c r="AK56" s="310">
        <v>0.1386935</v>
      </c>
      <c r="AL56" s="310">
        <v>0.13360320000000001</v>
      </c>
      <c r="AM56" s="310">
        <v>0.1388944</v>
      </c>
      <c r="AN56" s="310">
        <v>0</v>
      </c>
      <c r="AO56" s="310">
        <v>0.1327516</v>
      </c>
      <c r="AP56" s="310">
        <v>0.13883180000000001</v>
      </c>
      <c r="AQ56" s="310">
        <v>0.13448869999999999</v>
      </c>
      <c r="AR56" s="310">
        <v>0.138159</v>
      </c>
      <c r="AS56" s="310">
        <v>0</v>
      </c>
      <c r="AT56" s="310">
        <v>0</v>
      </c>
      <c r="AU56" s="310">
        <v>0.14079700000000001</v>
      </c>
      <c r="AV56" s="310">
        <v>0</v>
      </c>
      <c r="AW56" s="310">
        <v>0.13435630000000001</v>
      </c>
      <c r="AX56" s="310">
        <v>0</v>
      </c>
      <c r="AY56" s="310">
        <v>0.14125850000000001</v>
      </c>
      <c r="AZ56" s="310">
        <v>0.1410177</v>
      </c>
      <c r="BA56" s="310">
        <v>0</v>
      </c>
      <c r="BB56" s="310">
        <v>0</v>
      </c>
      <c r="BC56" s="310">
        <v>0.14027249999999999</v>
      </c>
      <c r="BD56" s="310">
        <v>0.14102000000000001</v>
      </c>
      <c r="BE56" s="310">
        <v>0.14188490000000001</v>
      </c>
      <c r="BF56" s="310">
        <v>0.13945560000000001</v>
      </c>
      <c r="BG56" s="310">
        <v>0.14124970000000001</v>
      </c>
      <c r="BH56" s="310">
        <v>0.13820209999999999</v>
      </c>
      <c r="BI56" s="310">
        <v>0.1416509</v>
      </c>
      <c r="BJ56" s="310">
        <v>0.14226340000000001</v>
      </c>
      <c r="BK56" s="310">
        <v>0.1427051</v>
      </c>
    </row>
    <row r="57" spans="1:63" x14ac:dyDescent="0.25">
      <c r="A57" s="306">
        <v>311810</v>
      </c>
      <c r="B57" s="310" t="s">
        <v>46</v>
      </c>
      <c r="C57" s="310">
        <v>0.26444079999999998</v>
      </c>
      <c r="D57" s="310">
        <v>0.23247909999999999</v>
      </c>
      <c r="E57" s="310">
        <v>0.25656869999999998</v>
      </c>
      <c r="F57" s="310">
        <v>0.24975729999999999</v>
      </c>
      <c r="G57" s="310">
        <v>0.26193850000000002</v>
      </c>
      <c r="H57" s="310">
        <v>0.26315499999999997</v>
      </c>
      <c r="I57" s="310">
        <v>0.26253149999999997</v>
      </c>
      <c r="J57" s="310">
        <v>0.23285800000000001</v>
      </c>
      <c r="K57" s="310">
        <v>3.9973599999999998E-2</v>
      </c>
      <c r="L57" s="310">
        <v>0.19260440000000001</v>
      </c>
      <c r="M57" s="310">
        <v>0.26273730000000001</v>
      </c>
      <c r="N57" s="310">
        <v>0.25491209999999997</v>
      </c>
      <c r="O57" s="310">
        <v>0.26116129999999999</v>
      </c>
      <c r="P57" s="310">
        <v>0.2469498</v>
      </c>
      <c r="Q57" s="310">
        <v>0.2615191</v>
      </c>
      <c r="R57" s="310">
        <v>0.25424809999999998</v>
      </c>
      <c r="S57" s="310">
        <v>0.25346669999999999</v>
      </c>
      <c r="T57" s="310">
        <v>0.24966140000000001</v>
      </c>
      <c r="U57" s="310">
        <v>0.2360923</v>
      </c>
      <c r="V57" s="310">
        <v>0.25776070000000001</v>
      </c>
      <c r="W57" s="310">
        <v>0.24589620000000001</v>
      </c>
      <c r="X57" s="310">
        <v>0.2316183</v>
      </c>
      <c r="Y57" s="310">
        <v>0.2589013</v>
      </c>
      <c r="Z57" s="310">
        <v>0.26218239999999998</v>
      </c>
      <c r="AA57" s="310">
        <v>0.25470720000000002</v>
      </c>
      <c r="AB57" s="310">
        <v>0.2339494</v>
      </c>
      <c r="AC57" s="310">
        <v>0.25287140000000002</v>
      </c>
      <c r="AD57" s="310">
        <v>0.26196629999999999</v>
      </c>
      <c r="AE57" s="310">
        <v>0.2535655</v>
      </c>
      <c r="AF57" s="310">
        <v>0.223553</v>
      </c>
      <c r="AG57" s="310">
        <v>0.2336454</v>
      </c>
      <c r="AH57" s="310">
        <v>0.2466382</v>
      </c>
      <c r="AI57" s="310">
        <v>0.22702700000000001</v>
      </c>
      <c r="AJ57" s="310">
        <v>0.25158999999999998</v>
      </c>
      <c r="AK57" s="310">
        <v>0.25513960000000002</v>
      </c>
      <c r="AL57" s="310">
        <v>0.24578829999999999</v>
      </c>
      <c r="AM57" s="310">
        <v>0.25544040000000001</v>
      </c>
      <c r="AN57" s="310">
        <v>0.2546368</v>
      </c>
      <c r="AO57" s="310">
        <v>0.24419660000000001</v>
      </c>
      <c r="AP57" s="310">
        <v>0.25530890000000001</v>
      </c>
      <c r="AQ57" s="310">
        <v>0.2474055</v>
      </c>
      <c r="AR57" s="310">
        <v>0.25411080000000003</v>
      </c>
      <c r="AS57" s="310">
        <v>0.2126441</v>
      </c>
      <c r="AT57" s="310">
        <v>0.24493809999999999</v>
      </c>
      <c r="AU57" s="310">
        <v>0.25896019999999997</v>
      </c>
      <c r="AV57" s="310">
        <v>0.25753789999999999</v>
      </c>
      <c r="AW57" s="310">
        <v>0.2471979</v>
      </c>
      <c r="AX57" s="310">
        <v>0.25624580000000002</v>
      </c>
      <c r="AY57" s="310">
        <v>0.25986769999999998</v>
      </c>
      <c r="AZ57" s="310">
        <v>0.25935750000000002</v>
      </c>
      <c r="BA57" s="310">
        <v>0.23698810000000001</v>
      </c>
      <c r="BB57" s="310">
        <v>0.2566331</v>
      </c>
      <c r="BC57" s="310">
        <v>0.25800190000000001</v>
      </c>
      <c r="BD57" s="310">
        <v>0.25935940000000002</v>
      </c>
      <c r="BE57" s="310">
        <v>0.26102130000000001</v>
      </c>
      <c r="BF57" s="310">
        <v>0.25652930000000002</v>
      </c>
      <c r="BG57" s="310">
        <v>0.25977169999999999</v>
      </c>
      <c r="BH57" s="310">
        <v>0.25414520000000002</v>
      </c>
      <c r="BI57" s="310">
        <v>0.26056560000000001</v>
      </c>
      <c r="BJ57" s="310">
        <v>0.26164969999999999</v>
      </c>
      <c r="BK57" s="310">
        <v>0.2624437</v>
      </c>
    </row>
    <row r="58" spans="1:63" x14ac:dyDescent="0.25">
      <c r="A58" s="306">
        <v>311820</v>
      </c>
      <c r="B58" s="310" t="s">
        <v>47</v>
      </c>
      <c r="C58" s="310">
        <v>0.1403816</v>
      </c>
      <c r="D58" s="310">
        <v>0</v>
      </c>
      <c r="E58" s="310">
        <v>0.13624749999999999</v>
      </c>
      <c r="F58" s="310">
        <v>0.13258780000000001</v>
      </c>
      <c r="G58" s="310">
        <v>0.1390786</v>
      </c>
      <c r="H58" s="310">
        <v>0.13970759999999999</v>
      </c>
      <c r="I58" s="310">
        <v>0.13935919999999999</v>
      </c>
      <c r="J58" s="310">
        <v>0.1236107</v>
      </c>
      <c r="K58" s="310">
        <v>2.12258E-2</v>
      </c>
      <c r="L58" s="310">
        <v>0</v>
      </c>
      <c r="M58" s="310">
        <v>0.1394734</v>
      </c>
      <c r="N58" s="310">
        <v>0.13532949999999999</v>
      </c>
      <c r="O58" s="310">
        <v>0.138652</v>
      </c>
      <c r="P58" s="310">
        <v>0.13109129999999999</v>
      </c>
      <c r="Q58" s="310">
        <v>0.13881599999999999</v>
      </c>
      <c r="R58" s="310">
        <v>0.13497609999999999</v>
      </c>
      <c r="S58" s="310">
        <v>0.134546</v>
      </c>
      <c r="T58" s="310">
        <v>0.1325423</v>
      </c>
      <c r="U58" s="310">
        <v>0.1253512</v>
      </c>
      <c r="V58" s="310">
        <v>0.13685539999999999</v>
      </c>
      <c r="W58" s="310">
        <v>0.13056180000000001</v>
      </c>
      <c r="X58" s="310">
        <v>0.12297329999999999</v>
      </c>
      <c r="Y58" s="310">
        <v>0.13744709999999999</v>
      </c>
      <c r="Z58" s="310">
        <v>0.1391926</v>
      </c>
      <c r="AA58" s="310">
        <v>0.13521569999999999</v>
      </c>
      <c r="AB58" s="310">
        <v>0.1242249</v>
      </c>
      <c r="AC58" s="310">
        <v>0.13426569999999999</v>
      </c>
      <c r="AD58" s="310">
        <v>0.13908029999999999</v>
      </c>
      <c r="AE58" s="310">
        <v>0.13461999999999999</v>
      </c>
      <c r="AF58" s="310">
        <v>0.1187</v>
      </c>
      <c r="AG58" s="310">
        <v>0.1240477</v>
      </c>
      <c r="AH58" s="310">
        <v>0.13093270000000001</v>
      </c>
      <c r="AI58" s="310">
        <v>0.120527</v>
      </c>
      <c r="AJ58" s="310">
        <v>0.13356789999999999</v>
      </c>
      <c r="AK58" s="310">
        <v>0.13546130000000001</v>
      </c>
      <c r="AL58" s="310">
        <v>0.1304631</v>
      </c>
      <c r="AM58" s="310">
        <v>0.13559889999999999</v>
      </c>
      <c r="AN58" s="310">
        <v>0.1352034</v>
      </c>
      <c r="AO58" s="310">
        <v>0.12964819999999999</v>
      </c>
      <c r="AP58" s="310">
        <v>0.13556029999999999</v>
      </c>
      <c r="AQ58" s="310">
        <v>0.13132070000000001</v>
      </c>
      <c r="AR58" s="310">
        <v>0.13488559999999999</v>
      </c>
      <c r="AS58" s="310">
        <v>0.11286409999999999</v>
      </c>
      <c r="AT58" s="310">
        <v>0.13003310000000001</v>
      </c>
      <c r="AU58" s="310">
        <v>0.13745750000000001</v>
      </c>
      <c r="AV58" s="310">
        <v>0.1367158</v>
      </c>
      <c r="AW58" s="310">
        <v>0.13122619999999999</v>
      </c>
      <c r="AX58" s="310">
        <v>0.136078</v>
      </c>
      <c r="AY58" s="310">
        <v>0.13794919999999999</v>
      </c>
      <c r="AZ58" s="310">
        <v>0.13768900000000001</v>
      </c>
      <c r="BA58" s="310">
        <v>0.1257982</v>
      </c>
      <c r="BB58" s="310">
        <v>0</v>
      </c>
      <c r="BC58" s="310">
        <v>0.13695740000000001</v>
      </c>
      <c r="BD58" s="310">
        <v>0.137709</v>
      </c>
      <c r="BE58" s="310">
        <v>0.13857439999999999</v>
      </c>
      <c r="BF58" s="310">
        <v>0.13620080000000001</v>
      </c>
      <c r="BG58" s="310">
        <v>0.13789969999999999</v>
      </c>
      <c r="BH58" s="310">
        <v>0.13492370000000001</v>
      </c>
      <c r="BI58" s="310">
        <v>0.13834479999999999</v>
      </c>
      <c r="BJ58" s="310">
        <v>0.1389312</v>
      </c>
      <c r="BK58" s="310">
        <v>0.13932820000000001</v>
      </c>
    </row>
    <row r="59" spans="1:63" x14ac:dyDescent="0.25">
      <c r="A59" s="306">
        <v>311830</v>
      </c>
      <c r="B59" s="310" t="s">
        <v>48</v>
      </c>
      <c r="C59" s="310">
        <v>0.238318</v>
      </c>
      <c r="D59" s="310">
        <v>0.2095872</v>
      </c>
      <c r="E59" s="310">
        <v>0</v>
      </c>
      <c r="F59" s="310">
        <v>0.2251003</v>
      </c>
      <c r="G59" s="310">
        <v>0.23605280000000001</v>
      </c>
      <c r="H59" s="310">
        <v>0.23714070000000001</v>
      </c>
      <c r="I59" s="310">
        <v>0.2365805</v>
      </c>
      <c r="J59" s="310">
        <v>0</v>
      </c>
      <c r="K59" s="310">
        <v>0</v>
      </c>
      <c r="L59" s="310">
        <v>0</v>
      </c>
      <c r="M59" s="310">
        <v>0.23678370000000001</v>
      </c>
      <c r="N59" s="310">
        <v>0.2297264</v>
      </c>
      <c r="O59" s="310">
        <v>0.23537530000000001</v>
      </c>
      <c r="P59" s="310">
        <v>0</v>
      </c>
      <c r="Q59" s="310">
        <v>0.23568829999999999</v>
      </c>
      <c r="R59" s="310">
        <v>0.2291232</v>
      </c>
      <c r="S59" s="310">
        <v>0.22843579999999999</v>
      </c>
      <c r="T59" s="310">
        <v>0.2249874</v>
      </c>
      <c r="U59" s="310">
        <v>0</v>
      </c>
      <c r="V59" s="310">
        <v>0</v>
      </c>
      <c r="W59" s="310">
        <v>0.221613</v>
      </c>
      <c r="X59" s="310">
        <v>0.2087455</v>
      </c>
      <c r="Y59" s="310">
        <v>0</v>
      </c>
      <c r="Z59" s="310">
        <v>0.23627129999999999</v>
      </c>
      <c r="AA59" s="310">
        <v>0.22955200000000001</v>
      </c>
      <c r="AB59" s="310">
        <v>0.2108564</v>
      </c>
      <c r="AC59" s="310">
        <v>0</v>
      </c>
      <c r="AD59" s="310">
        <v>0.23608270000000001</v>
      </c>
      <c r="AE59" s="310">
        <v>0.2285295</v>
      </c>
      <c r="AF59" s="310">
        <v>0</v>
      </c>
      <c r="AG59" s="310">
        <v>0.21060019999999999</v>
      </c>
      <c r="AH59" s="310">
        <v>0</v>
      </c>
      <c r="AI59" s="310">
        <v>0.2045999</v>
      </c>
      <c r="AJ59" s="310">
        <v>0.2267391</v>
      </c>
      <c r="AK59" s="310">
        <v>0.22995170000000001</v>
      </c>
      <c r="AL59" s="310">
        <v>0.22152669999999999</v>
      </c>
      <c r="AM59" s="310">
        <v>0.23018910000000001</v>
      </c>
      <c r="AN59" s="310">
        <v>0.2295171</v>
      </c>
      <c r="AO59" s="310">
        <v>0.2200811</v>
      </c>
      <c r="AP59" s="310">
        <v>0.2300894</v>
      </c>
      <c r="AQ59" s="310">
        <v>0.22294700000000001</v>
      </c>
      <c r="AR59" s="310">
        <v>0</v>
      </c>
      <c r="AS59" s="310">
        <v>0.1916223</v>
      </c>
      <c r="AT59" s="310">
        <v>0.22074079999999999</v>
      </c>
      <c r="AU59" s="310">
        <v>0.2333722</v>
      </c>
      <c r="AV59" s="310">
        <v>0.23209689999999999</v>
      </c>
      <c r="AW59" s="310">
        <v>0.2227816</v>
      </c>
      <c r="AX59" s="310">
        <v>0</v>
      </c>
      <c r="AY59" s="310">
        <v>0.23421169999999999</v>
      </c>
      <c r="AZ59" s="310">
        <v>0.23374220000000001</v>
      </c>
      <c r="BA59" s="310">
        <v>0</v>
      </c>
      <c r="BB59" s="310">
        <v>0</v>
      </c>
      <c r="BC59" s="310">
        <v>0.232544</v>
      </c>
      <c r="BD59" s="310">
        <v>0.23374110000000001</v>
      </c>
      <c r="BE59" s="310">
        <v>0.23524220000000001</v>
      </c>
      <c r="BF59" s="310">
        <v>0.2312071</v>
      </c>
      <c r="BG59" s="310">
        <v>0.2341183</v>
      </c>
      <c r="BH59" s="310">
        <v>0.22908600000000001</v>
      </c>
      <c r="BI59" s="310">
        <v>0.23485110000000001</v>
      </c>
      <c r="BJ59" s="310">
        <v>0.2358006</v>
      </c>
      <c r="BK59" s="310">
        <v>0.2364957</v>
      </c>
    </row>
    <row r="60" spans="1:63" x14ac:dyDescent="0.25">
      <c r="A60" s="306">
        <v>311910</v>
      </c>
      <c r="B60" s="310" t="s">
        <v>49</v>
      </c>
      <c r="C60" s="310">
        <v>0.1184634</v>
      </c>
      <c r="D60" s="310">
        <v>0.10413500000000001</v>
      </c>
      <c r="E60" s="310">
        <v>0.11495619999999999</v>
      </c>
      <c r="F60" s="310">
        <v>0.11188339999999999</v>
      </c>
      <c r="G60" s="310">
        <v>0.1173194</v>
      </c>
      <c r="H60" s="310">
        <v>0.11788659999999999</v>
      </c>
      <c r="I60" s="310">
        <v>0.11761389999999999</v>
      </c>
      <c r="J60" s="310">
        <v>0.1043201</v>
      </c>
      <c r="K60" s="310">
        <v>0</v>
      </c>
      <c r="L60" s="310">
        <v>0</v>
      </c>
      <c r="M60" s="310">
        <v>0.1176623</v>
      </c>
      <c r="N60" s="310">
        <v>0.1142092</v>
      </c>
      <c r="O60" s="310">
        <v>0.11698790000000001</v>
      </c>
      <c r="P60" s="310">
        <v>0.1106137</v>
      </c>
      <c r="Q60" s="310">
        <v>0.117155</v>
      </c>
      <c r="R60" s="310">
        <v>0.1138942</v>
      </c>
      <c r="S60" s="310">
        <v>0.1135376</v>
      </c>
      <c r="T60" s="310">
        <v>0.11182549999999999</v>
      </c>
      <c r="U60" s="310">
        <v>0.10574649999999999</v>
      </c>
      <c r="V60" s="310">
        <v>0.11547979999999999</v>
      </c>
      <c r="W60" s="310">
        <v>0.1101274</v>
      </c>
      <c r="X60" s="310">
        <v>0.103744</v>
      </c>
      <c r="Y60" s="310">
        <v>0</v>
      </c>
      <c r="Z60" s="310">
        <v>0.11742660000000001</v>
      </c>
      <c r="AA60" s="310">
        <v>0.114092</v>
      </c>
      <c r="AB60" s="310">
        <v>0.1048029</v>
      </c>
      <c r="AC60" s="310">
        <v>0.1132841</v>
      </c>
      <c r="AD60" s="310">
        <v>0.11731759999999999</v>
      </c>
      <c r="AE60" s="310">
        <v>0.11358650000000001</v>
      </c>
      <c r="AF60" s="310">
        <v>0.1001263</v>
      </c>
      <c r="AG60" s="310">
        <v>0.10466880000000001</v>
      </c>
      <c r="AH60" s="310">
        <v>0.1104527</v>
      </c>
      <c r="AI60" s="310">
        <v>0.1016956</v>
      </c>
      <c r="AJ60" s="310">
        <v>0.1126886</v>
      </c>
      <c r="AK60" s="310">
        <v>0.11429250000000001</v>
      </c>
      <c r="AL60" s="310">
        <v>0.1101139</v>
      </c>
      <c r="AM60" s="310">
        <v>0.1143977</v>
      </c>
      <c r="AN60" s="310">
        <v>0.11408649999999999</v>
      </c>
      <c r="AO60" s="310">
        <v>0.1093697</v>
      </c>
      <c r="AP60" s="310">
        <v>0.1143879</v>
      </c>
      <c r="AQ60" s="310">
        <v>0.1108138</v>
      </c>
      <c r="AR60" s="310">
        <v>0.11382340000000001</v>
      </c>
      <c r="AS60" s="310">
        <v>9.5247299999999993E-2</v>
      </c>
      <c r="AT60" s="310">
        <v>0.1097175</v>
      </c>
      <c r="AU60" s="310">
        <v>0.1159736</v>
      </c>
      <c r="AV60" s="310">
        <v>0.11537849999999999</v>
      </c>
      <c r="AW60" s="310">
        <v>0.11072559999999999</v>
      </c>
      <c r="AX60" s="310">
        <v>0.1147948</v>
      </c>
      <c r="AY60" s="310">
        <v>0.1164036</v>
      </c>
      <c r="AZ60" s="310">
        <v>0.1161729</v>
      </c>
      <c r="BA60" s="310">
        <v>0.10617</v>
      </c>
      <c r="BB60" s="310">
        <v>0</v>
      </c>
      <c r="BC60" s="310">
        <v>0.1155791</v>
      </c>
      <c r="BD60" s="310">
        <v>0.1161751</v>
      </c>
      <c r="BE60" s="310">
        <v>0.1169048</v>
      </c>
      <c r="BF60" s="310">
        <v>0.1149073</v>
      </c>
      <c r="BG60" s="310">
        <v>0.11636970000000001</v>
      </c>
      <c r="BH60" s="310">
        <v>0.1138424</v>
      </c>
      <c r="BI60" s="310">
        <v>0.1167176</v>
      </c>
      <c r="BJ60" s="310">
        <v>0.1172002</v>
      </c>
      <c r="BK60" s="310">
        <v>0.1175392</v>
      </c>
    </row>
    <row r="61" spans="1:63" x14ac:dyDescent="0.25">
      <c r="A61" s="306">
        <v>311920</v>
      </c>
      <c r="B61" s="310" t="s">
        <v>50</v>
      </c>
      <c r="C61" s="310">
        <v>0.11845269999999999</v>
      </c>
      <c r="D61" s="310">
        <v>0.1041691</v>
      </c>
      <c r="E61" s="310">
        <v>0.11492819999999999</v>
      </c>
      <c r="F61" s="310">
        <v>0.1118736</v>
      </c>
      <c r="G61" s="310">
        <v>0.1173278</v>
      </c>
      <c r="H61" s="310">
        <v>0.1178852</v>
      </c>
      <c r="I61" s="310">
        <v>0.1175877</v>
      </c>
      <c r="J61" s="310">
        <v>0.1043275</v>
      </c>
      <c r="K61" s="310">
        <v>0</v>
      </c>
      <c r="L61" s="310">
        <v>0</v>
      </c>
      <c r="M61" s="310">
        <v>0.1176995</v>
      </c>
      <c r="N61" s="310">
        <v>0.114193</v>
      </c>
      <c r="O61" s="310">
        <v>0.1169958</v>
      </c>
      <c r="P61" s="310">
        <v>0.1106099</v>
      </c>
      <c r="Q61" s="310">
        <v>0.1171176</v>
      </c>
      <c r="R61" s="310">
        <v>0.1138892</v>
      </c>
      <c r="S61" s="310">
        <v>0.1135461</v>
      </c>
      <c r="T61" s="310">
        <v>0.1118388</v>
      </c>
      <c r="U61" s="310">
        <v>0.10576729999999999</v>
      </c>
      <c r="V61" s="310">
        <v>0.1154819</v>
      </c>
      <c r="W61" s="310">
        <v>0.1101318</v>
      </c>
      <c r="X61" s="310">
        <v>0.103745</v>
      </c>
      <c r="Y61" s="310">
        <v>0.1159538</v>
      </c>
      <c r="Z61" s="310">
        <v>0.11744300000000001</v>
      </c>
      <c r="AA61" s="310">
        <v>0.1140871</v>
      </c>
      <c r="AB61" s="310">
        <v>0.1048104</v>
      </c>
      <c r="AC61" s="310">
        <v>0</v>
      </c>
      <c r="AD61" s="310">
        <v>0.1173188</v>
      </c>
      <c r="AE61" s="310">
        <v>0.11360339999999999</v>
      </c>
      <c r="AF61" s="310">
        <v>0</v>
      </c>
      <c r="AG61" s="310">
        <v>0.1046705</v>
      </c>
      <c r="AH61" s="310">
        <v>0.1104547</v>
      </c>
      <c r="AI61" s="310">
        <v>0.1016821</v>
      </c>
      <c r="AJ61" s="310">
        <v>0</v>
      </c>
      <c r="AK61" s="310">
        <v>0.1142792</v>
      </c>
      <c r="AL61" s="310">
        <v>0.11010499999999999</v>
      </c>
      <c r="AM61" s="310">
        <v>0.1144259</v>
      </c>
      <c r="AN61" s="310">
        <v>0.1140745</v>
      </c>
      <c r="AO61" s="310">
        <v>0.1093803</v>
      </c>
      <c r="AP61" s="310">
        <v>0.11438570000000001</v>
      </c>
      <c r="AQ61" s="310">
        <v>0.1108238</v>
      </c>
      <c r="AR61" s="310">
        <v>0.1138315</v>
      </c>
      <c r="AS61" s="310">
        <v>0</v>
      </c>
      <c r="AT61" s="310">
        <v>0.1097122</v>
      </c>
      <c r="AU61" s="310">
        <v>0.1159816</v>
      </c>
      <c r="AV61" s="310">
        <v>0.11536689999999999</v>
      </c>
      <c r="AW61" s="310">
        <v>0.11071880000000001</v>
      </c>
      <c r="AX61" s="310">
        <v>0.1147702</v>
      </c>
      <c r="AY61" s="310">
        <v>0.11641609999999999</v>
      </c>
      <c r="AZ61" s="310">
        <v>0.1161826</v>
      </c>
      <c r="BA61" s="310">
        <v>0</v>
      </c>
      <c r="BB61" s="310">
        <v>0.1149688</v>
      </c>
      <c r="BC61" s="310">
        <v>0.115559</v>
      </c>
      <c r="BD61" s="310">
        <v>0.11617420000000001</v>
      </c>
      <c r="BE61" s="310">
        <v>0.116908</v>
      </c>
      <c r="BF61" s="310">
        <v>0.1149044</v>
      </c>
      <c r="BG61" s="310">
        <v>0.11634709999999999</v>
      </c>
      <c r="BH61" s="310">
        <v>0.1138411</v>
      </c>
      <c r="BI61" s="310">
        <v>0.1167414</v>
      </c>
      <c r="BJ61" s="310">
        <v>0.1172122</v>
      </c>
      <c r="BK61" s="310">
        <v>0.1175519</v>
      </c>
    </row>
    <row r="62" spans="1:63" x14ac:dyDescent="0.25">
      <c r="A62" s="306">
        <v>311930</v>
      </c>
      <c r="B62" s="310" t="s">
        <v>51</v>
      </c>
      <c r="C62" s="310">
        <v>0.1184361</v>
      </c>
      <c r="D62" s="310">
        <v>0</v>
      </c>
      <c r="E62" s="310">
        <v>0.114963</v>
      </c>
      <c r="F62" s="310">
        <v>0.1118594</v>
      </c>
      <c r="G62" s="310">
        <v>0.1173588</v>
      </c>
      <c r="H62" s="310">
        <v>0.1178564</v>
      </c>
      <c r="I62" s="310">
        <v>0</v>
      </c>
      <c r="J62" s="310">
        <v>0.1042722</v>
      </c>
      <c r="K62" s="310">
        <v>0</v>
      </c>
      <c r="L62" s="310">
        <v>0</v>
      </c>
      <c r="M62" s="310">
        <v>0.11766</v>
      </c>
      <c r="N62" s="310">
        <v>0.1141891</v>
      </c>
      <c r="O62" s="310">
        <v>0.116952</v>
      </c>
      <c r="P62" s="310">
        <v>0</v>
      </c>
      <c r="Q62" s="310">
        <v>0</v>
      </c>
      <c r="R62" s="310">
        <v>0.1139182</v>
      </c>
      <c r="S62" s="310">
        <v>0.113549</v>
      </c>
      <c r="T62" s="310">
        <v>0.1118092</v>
      </c>
      <c r="U62" s="310">
        <v>0.1057516</v>
      </c>
      <c r="V62" s="310">
        <v>0.11547789999999999</v>
      </c>
      <c r="W62" s="310">
        <v>0</v>
      </c>
      <c r="X62" s="310">
        <v>0.1037807</v>
      </c>
      <c r="Y62" s="310">
        <v>0</v>
      </c>
      <c r="Z62" s="310">
        <v>0.1174399</v>
      </c>
      <c r="AA62" s="310">
        <v>0</v>
      </c>
      <c r="AB62" s="310">
        <v>0.1048198</v>
      </c>
      <c r="AC62" s="310">
        <v>0.1132369</v>
      </c>
      <c r="AD62" s="310">
        <v>0</v>
      </c>
      <c r="AE62" s="310">
        <v>0.11359180000000001</v>
      </c>
      <c r="AF62" s="310">
        <v>0</v>
      </c>
      <c r="AG62" s="310">
        <v>0</v>
      </c>
      <c r="AH62" s="310">
        <v>0.11044470000000001</v>
      </c>
      <c r="AI62" s="310">
        <v>0.10167859999999999</v>
      </c>
      <c r="AJ62" s="310">
        <v>0</v>
      </c>
      <c r="AK62" s="310">
        <v>0.1142614</v>
      </c>
      <c r="AL62" s="310">
        <v>0.11006340000000001</v>
      </c>
      <c r="AM62" s="310">
        <v>0.11443200000000001</v>
      </c>
      <c r="AN62" s="310">
        <v>0.1140834</v>
      </c>
      <c r="AO62" s="310">
        <v>0.1094099</v>
      </c>
      <c r="AP62" s="310">
        <v>0.1143689</v>
      </c>
      <c r="AQ62" s="310">
        <v>0.1108208</v>
      </c>
      <c r="AR62" s="310">
        <v>0</v>
      </c>
      <c r="AS62" s="310">
        <v>0</v>
      </c>
      <c r="AT62" s="310">
        <v>0.1096858</v>
      </c>
      <c r="AU62" s="310">
        <v>0.1159582</v>
      </c>
      <c r="AV62" s="310">
        <v>0</v>
      </c>
      <c r="AW62" s="310">
        <v>0</v>
      </c>
      <c r="AX62" s="310">
        <v>0</v>
      </c>
      <c r="AY62" s="310">
        <v>0.11639869999999999</v>
      </c>
      <c r="AZ62" s="310">
        <v>0.11619889999999999</v>
      </c>
      <c r="BA62" s="310">
        <v>0</v>
      </c>
      <c r="BB62" s="310">
        <v>0</v>
      </c>
      <c r="BC62" s="310">
        <v>0.11559750000000001</v>
      </c>
      <c r="BD62" s="310">
        <v>0.11617139999999999</v>
      </c>
      <c r="BE62" s="310">
        <v>0.11690979999999999</v>
      </c>
      <c r="BF62" s="310">
        <v>0.114898</v>
      </c>
      <c r="BG62" s="310">
        <v>0.1163385</v>
      </c>
      <c r="BH62" s="310">
        <v>0.1138333</v>
      </c>
      <c r="BI62" s="310">
        <v>0.11670800000000001</v>
      </c>
      <c r="BJ62" s="310">
        <v>0.1172419</v>
      </c>
      <c r="BK62" s="310">
        <v>0.117531</v>
      </c>
    </row>
    <row r="63" spans="1:63" x14ac:dyDescent="0.25">
      <c r="A63" s="306">
        <v>311940</v>
      </c>
      <c r="B63" s="310" t="s">
        <v>52</v>
      </c>
      <c r="C63" s="310">
        <v>0.1236555</v>
      </c>
      <c r="D63" s="310">
        <v>0</v>
      </c>
      <c r="E63" s="310">
        <v>0.1199807</v>
      </c>
      <c r="F63" s="310">
        <v>0.1167695</v>
      </c>
      <c r="G63" s="310">
        <v>0.1224572</v>
      </c>
      <c r="H63" s="310">
        <v>0.1230554</v>
      </c>
      <c r="I63" s="310">
        <v>0.12275270000000001</v>
      </c>
      <c r="J63" s="310">
        <v>0.1088633</v>
      </c>
      <c r="K63" s="310">
        <v>0</v>
      </c>
      <c r="L63" s="310">
        <v>9.0056399999999995E-2</v>
      </c>
      <c r="M63" s="310">
        <v>0.12286130000000001</v>
      </c>
      <c r="N63" s="310">
        <v>0.1191919</v>
      </c>
      <c r="O63" s="310">
        <v>0.1221165</v>
      </c>
      <c r="P63" s="310">
        <v>0.11548029999999999</v>
      </c>
      <c r="Q63" s="310">
        <v>0.12226380000000001</v>
      </c>
      <c r="R63" s="310">
        <v>0.11889180000000001</v>
      </c>
      <c r="S63" s="310">
        <v>0.1185021</v>
      </c>
      <c r="T63" s="310">
        <v>0.1167366</v>
      </c>
      <c r="U63" s="310">
        <v>0.11040510000000001</v>
      </c>
      <c r="V63" s="310">
        <v>0.1205203</v>
      </c>
      <c r="W63" s="310">
        <v>0.11498410000000001</v>
      </c>
      <c r="X63" s="310">
        <v>0.1083234</v>
      </c>
      <c r="Y63" s="310">
        <v>0.1210464</v>
      </c>
      <c r="Z63" s="310">
        <v>0.12259680000000001</v>
      </c>
      <c r="AA63" s="310">
        <v>0.1190875</v>
      </c>
      <c r="AB63" s="310">
        <v>0.1094062</v>
      </c>
      <c r="AC63" s="310">
        <v>0.11823409999999999</v>
      </c>
      <c r="AD63" s="310">
        <v>0.1224988</v>
      </c>
      <c r="AE63" s="310">
        <v>0.118549</v>
      </c>
      <c r="AF63" s="310">
        <v>0.1045421</v>
      </c>
      <c r="AG63" s="310">
        <v>0.10924159999999999</v>
      </c>
      <c r="AH63" s="310">
        <v>0.1153264</v>
      </c>
      <c r="AI63" s="310">
        <v>0.1061667</v>
      </c>
      <c r="AJ63" s="310">
        <v>0.1176471</v>
      </c>
      <c r="AK63" s="310">
        <v>0.11931319999999999</v>
      </c>
      <c r="AL63" s="310">
        <v>0.11491270000000001</v>
      </c>
      <c r="AM63" s="310">
        <v>0.1194325</v>
      </c>
      <c r="AN63" s="310">
        <v>0.1190736</v>
      </c>
      <c r="AO63" s="310">
        <v>0.1141711</v>
      </c>
      <c r="AP63" s="310">
        <v>0.1193823</v>
      </c>
      <c r="AQ63" s="310">
        <v>0.1156727</v>
      </c>
      <c r="AR63" s="310">
        <v>0.11880540000000001</v>
      </c>
      <c r="AS63" s="310">
        <v>9.9436800000000006E-2</v>
      </c>
      <c r="AT63" s="310">
        <v>0.1145182</v>
      </c>
      <c r="AU63" s="310">
        <v>0.12108670000000001</v>
      </c>
      <c r="AV63" s="310">
        <v>0.1204252</v>
      </c>
      <c r="AW63" s="310">
        <v>0.11558740000000001</v>
      </c>
      <c r="AX63" s="310">
        <v>0.1198303</v>
      </c>
      <c r="AY63" s="310">
        <v>0.1215164</v>
      </c>
      <c r="AZ63" s="310">
        <v>0.1212618</v>
      </c>
      <c r="BA63" s="310">
        <v>0.1108273</v>
      </c>
      <c r="BB63" s="310">
        <v>0.1199954</v>
      </c>
      <c r="BC63" s="310">
        <v>0.12062639999999999</v>
      </c>
      <c r="BD63" s="310">
        <v>0.1212825</v>
      </c>
      <c r="BE63" s="310">
        <v>0.1220547</v>
      </c>
      <c r="BF63" s="310">
        <v>0.11996080000000001</v>
      </c>
      <c r="BG63" s="310">
        <v>0.1214568</v>
      </c>
      <c r="BH63" s="310">
        <v>0.11885469999999999</v>
      </c>
      <c r="BI63" s="310">
        <v>0.121848</v>
      </c>
      <c r="BJ63" s="310">
        <v>0.12234829999999999</v>
      </c>
      <c r="BK63" s="310">
        <v>0.1226955</v>
      </c>
    </row>
    <row r="64" spans="1:63" x14ac:dyDescent="0.25">
      <c r="A64" s="306">
        <v>311990</v>
      </c>
      <c r="B64" s="310" t="s">
        <v>53</v>
      </c>
      <c r="C64" s="310">
        <v>0.1599129</v>
      </c>
      <c r="D64" s="310">
        <v>0.14061689999999999</v>
      </c>
      <c r="E64" s="310">
        <v>0.1551855</v>
      </c>
      <c r="F64" s="310">
        <v>0.15101049999999999</v>
      </c>
      <c r="G64" s="310">
        <v>0.15840570000000001</v>
      </c>
      <c r="H64" s="310">
        <v>0.1591128</v>
      </c>
      <c r="I64" s="310">
        <v>0.15876399999999999</v>
      </c>
      <c r="J64" s="310">
        <v>0.140822</v>
      </c>
      <c r="K64" s="310">
        <v>2.4170500000000001E-2</v>
      </c>
      <c r="L64" s="310">
        <v>0.11647109999999999</v>
      </c>
      <c r="M64" s="310">
        <v>0.15887299999999999</v>
      </c>
      <c r="N64" s="310">
        <v>0.15415770000000001</v>
      </c>
      <c r="O64" s="310">
        <v>0.15790599999999999</v>
      </c>
      <c r="P64" s="310">
        <v>0.14932870000000001</v>
      </c>
      <c r="Q64" s="310">
        <v>0.15810189999999999</v>
      </c>
      <c r="R64" s="310">
        <v>0.15373439999999999</v>
      </c>
      <c r="S64" s="310">
        <v>0.1532674</v>
      </c>
      <c r="T64" s="310">
        <v>0.1509453</v>
      </c>
      <c r="U64" s="310">
        <v>0.14277339999999999</v>
      </c>
      <c r="V64" s="310">
        <v>0.1558669</v>
      </c>
      <c r="W64" s="310">
        <v>0.14867269999999999</v>
      </c>
      <c r="X64" s="310">
        <v>0.14003879999999999</v>
      </c>
      <c r="Y64" s="310">
        <v>0.15652949999999999</v>
      </c>
      <c r="Z64" s="310">
        <v>0.15854679999999999</v>
      </c>
      <c r="AA64" s="310">
        <v>0.1540144</v>
      </c>
      <c r="AB64" s="310">
        <v>0.1414784</v>
      </c>
      <c r="AC64" s="310">
        <v>0.1528822</v>
      </c>
      <c r="AD64" s="310">
        <v>0.15840470000000001</v>
      </c>
      <c r="AE64" s="310">
        <v>0.15332419999999999</v>
      </c>
      <c r="AF64" s="310">
        <v>0.13518640000000001</v>
      </c>
      <c r="AG64" s="310">
        <v>0.14130490000000001</v>
      </c>
      <c r="AH64" s="310">
        <v>0.14912839999999999</v>
      </c>
      <c r="AI64" s="310">
        <v>0.13729089999999999</v>
      </c>
      <c r="AJ64" s="310">
        <v>0.15212600000000001</v>
      </c>
      <c r="AK64" s="310">
        <v>0.15428939999999999</v>
      </c>
      <c r="AL64" s="310">
        <v>0.1486132</v>
      </c>
      <c r="AM64" s="310">
        <v>0.1544344</v>
      </c>
      <c r="AN64" s="310">
        <v>0.15399409999999999</v>
      </c>
      <c r="AO64" s="310">
        <v>0.14765130000000001</v>
      </c>
      <c r="AP64" s="310">
        <v>0.1543746</v>
      </c>
      <c r="AQ64" s="310">
        <v>0.14957699999999999</v>
      </c>
      <c r="AR64" s="310">
        <v>0.15362020000000001</v>
      </c>
      <c r="AS64" s="310">
        <v>0.1285722</v>
      </c>
      <c r="AT64" s="310">
        <v>0.1481179</v>
      </c>
      <c r="AU64" s="310">
        <v>0.15658150000000001</v>
      </c>
      <c r="AV64" s="310">
        <v>0.15574560000000001</v>
      </c>
      <c r="AW64" s="310">
        <v>0.1494682</v>
      </c>
      <c r="AX64" s="310">
        <v>0.1549671</v>
      </c>
      <c r="AY64" s="310">
        <v>0.15714549999999999</v>
      </c>
      <c r="AZ64" s="310">
        <v>0.15681390000000001</v>
      </c>
      <c r="BA64" s="310">
        <v>0.1432803</v>
      </c>
      <c r="BB64" s="310">
        <v>0</v>
      </c>
      <c r="BC64" s="310">
        <v>0.15601619999999999</v>
      </c>
      <c r="BD64" s="310">
        <v>0.15682660000000001</v>
      </c>
      <c r="BE64" s="310">
        <v>0.15783420000000001</v>
      </c>
      <c r="BF64" s="310">
        <v>0.15513460000000001</v>
      </c>
      <c r="BG64" s="310">
        <v>0.15708</v>
      </c>
      <c r="BH64" s="310">
        <v>0.15366669999999999</v>
      </c>
      <c r="BI64" s="310">
        <v>0.1575811</v>
      </c>
      <c r="BJ64" s="310">
        <v>0.1582336</v>
      </c>
      <c r="BK64" s="310">
        <v>0.15867800000000001</v>
      </c>
    </row>
    <row r="65" spans="1:63" x14ac:dyDescent="0.25">
      <c r="A65" s="306">
        <v>312110</v>
      </c>
      <c r="B65" s="310" t="s">
        <v>54</v>
      </c>
      <c r="C65" s="310">
        <v>0.11845559999999999</v>
      </c>
      <c r="D65" s="310">
        <v>0.1184838</v>
      </c>
      <c r="E65" s="310">
        <v>0.1171083</v>
      </c>
      <c r="F65" s="310">
        <v>0.1145067</v>
      </c>
      <c r="G65" s="310">
        <v>0.1184591</v>
      </c>
      <c r="H65" s="310">
        <v>0.1181396</v>
      </c>
      <c r="I65" s="310">
        <v>0.1164343</v>
      </c>
      <c r="J65" s="310">
        <v>9.96224E-2</v>
      </c>
      <c r="K65" s="310">
        <v>0</v>
      </c>
      <c r="L65" s="310">
        <v>8.17576E-2</v>
      </c>
      <c r="M65" s="310">
        <v>0.11518100000000001</v>
      </c>
      <c r="N65" s="310">
        <v>0.116981</v>
      </c>
      <c r="O65" s="310">
        <v>0.11848210000000001</v>
      </c>
      <c r="P65" s="310">
        <v>0.1140022</v>
      </c>
      <c r="Q65" s="310">
        <v>0.1099088</v>
      </c>
      <c r="R65" s="310">
        <v>0.10946350000000001</v>
      </c>
      <c r="S65" s="310">
        <v>0.1069266</v>
      </c>
      <c r="T65" s="310">
        <v>9.9363499999999993E-2</v>
      </c>
      <c r="U65" s="310">
        <v>0.1076865</v>
      </c>
      <c r="V65" s="310">
        <v>0.1167141</v>
      </c>
      <c r="W65" s="310">
        <v>0.11141280000000001</v>
      </c>
      <c r="X65" s="310">
        <v>0.1125727</v>
      </c>
      <c r="Y65" s="310">
        <v>0.1184747</v>
      </c>
      <c r="Z65" s="310">
        <v>0.1180127</v>
      </c>
      <c r="AA65" s="310">
        <v>0.1167511</v>
      </c>
      <c r="AB65" s="310">
        <v>0.10597760000000001</v>
      </c>
      <c r="AC65" s="310">
        <v>0.1098813</v>
      </c>
      <c r="AD65" s="310">
        <v>0.1184837</v>
      </c>
      <c r="AE65" s="310">
        <v>0.11566750000000001</v>
      </c>
      <c r="AF65" s="310">
        <v>0.1166287</v>
      </c>
      <c r="AG65" s="310">
        <v>0.1114465</v>
      </c>
      <c r="AH65" s="310">
        <v>0.1131789</v>
      </c>
      <c r="AI65" s="310">
        <v>0.1077872</v>
      </c>
      <c r="AJ65" s="310">
        <v>0.11644110000000001</v>
      </c>
      <c r="AK65" s="310">
        <v>0.11580550000000001</v>
      </c>
      <c r="AL65" s="310">
        <v>9.1821399999999997E-2</v>
      </c>
      <c r="AM65" s="310">
        <v>0.1130178</v>
      </c>
      <c r="AN65" s="310">
        <v>0.11696289999999999</v>
      </c>
      <c r="AO65" s="310">
        <v>0.11342820000000001</v>
      </c>
      <c r="AP65" s="310">
        <v>0.1097515</v>
      </c>
      <c r="AQ65" s="310">
        <v>0.104611</v>
      </c>
      <c r="AR65" s="310">
        <v>0.1170107</v>
      </c>
      <c r="AS65" s="310">
        <v>0.1155381</v>
      </c>
      <c r="AT65" s="310">
        <v>0.1098696</v>
      </c>
      <c r="AU65" s="310">
        <v>0.11655260000000001</v>
      </c>
      <c r="AV65" s="310">
        <v>0.1173367</v>
      </c>
      <c r="AW65" s="310">
        <v>0.1163613</v>
      </c>
      <c r="AX65" s="310">
        <v>0.10870539999999999</v>
      </c>
      <c r="AY65" s="310">
        <v>0.1158962</v>
      </c>
      <c r="AZ65" s="310">
        <v>0.116664</v>
      </c>
      <c r="BA65" s="310">
        <v>9.4347399999999998E-2</v>
      </c>
      <c r="BB65" s="310">
        <v>0.1184294</v>
      </c>
      <c r="BC65" s="310">
        <v>0.1128885</v>
      </c>
      <c r="BD65" s="310">
        <v>0.1052763</v>
      </c>
      <c r="BE65" s="310">
        <v>0.11533110000000001</v>
      </c>
      <c r="BF65" s="310">
        <v>0.1101616</v>
      </c>
      <c r="BG65" s="310">
        <v>0.11761290000000001</v>
      </c>
      <c r="BH65" s="310">
        <v>0.11228929999999999</v>
      </c>
      <c r="BI65" s="310">
        <v>0.11734319999999999</v>
      </c>
      <c r="BJ65" s="310">
        <v>0.1168115</v>
      </c>
      <c r="BK65" s="310">
        <v>0.1181854</v>
      </c>
    </row>
    <row r="66" spans="1:63" x14ac:dyDescent="0.25">
      <c r="A66" s="306">
        <v>312120</v>
      </c>
      <c r="B66" s="310" t="s">
        <v>55</v>
      </c>
      <c r="C66" s="310">
        <v>0.11845</v>
      </c>
      <c r="D66" s="310">
        <v>0.1184211</v>
      </c>
      <c r="E66" s="310">
        <v>0</v>
      </c>
      <c r="F66" s="310">
        <v>0.1145038</v>
      </c>
      <c r="G66" s="310">
        <v>0.1184485</v>
      </c>
      <c r="H66" s="310">
        <v>0.1181242</v>
      </c>
      <c r="I66" s="310">
        <v>0.1164466</v>
      </c>
      <c r="J66" s="310">
        <v>9.9647100000000002E-2</v>
      </c>
      <c r="K66" s="310">
        <v>2.5948700000000002E-2</v>
      </c>
      <c r="L66" s="310">
        <v>8.1728499999999996E-2</v>
      </c>
      <c r="M66" s="310">
        <v>0.11519020000000001</v>
      </c>
      <c r="N66" s="310">
        <v>0.116962</v>
      </c>
      <c r="O66" s="310">
        <v>0.11842949999999999</v>
      </c>
      <c r="P66" s="310">
        <v>0.1140063</v>
      </c>
      <c r="Q66" s="310">
        <v>0.1099231</v>
      </c>
      <c r="R66" s="310">
        <v>0.1094675</v>
      </c>
      <c r="S66" s="310">
        <v>0.1069384</v>
      </c>
      <c r="T66" s="310">
        <v>9.9357100000000004E-2</v>
      </c>
      <c r="U66" s="310">
        <v>0.1076688</v>
      </c>
      <c r="V66" s="310">
        <v>0.1167238</v>
      </c>
      <c r="W66" s="310">
        <v>0.111398</v>
      </c>
      <c r="X66" s="310">
        <v>0.1125534</v>
      </c>
      <c r="Y66" s="310">
        <v>0.1184848</v>
      </c>
      <c r="Z66" s="310">
        <v>0.11799279999999999</v>
      </c>
      <c r="AA66" s="310">
        <v>0.116759</v>
      </c>
      <c r="AB66" s="310">
        <v>0.10599889999999999</v>
      </c>
      <c r="AC66" s="310">
        <v>0.1098609</v>
      </c>
      <c r="AD66" s="310">
        <v>0.1184824</v>
      </c>
      <c r="AE66" s="310">
        <v>0.115636</v>
      </c>
      <c r="AF66" s="310">
        <v>0</v>
      </c>
      <c r="AG66" s="310">
        <v>0.11146449999999999</v>
      </c>
      <c r="AH66" s="310">
        <v>0.1131902</v>
      </c>
      <c r="AI66" s="310">
        <v>0.107789</v>
      </c>
      <c r="AJ66" s="310">
        <v>0.11649139999999999</v>
      </c>
      <c r="AK66" s="310">
        <v>0.11579449999999999</v>
      </c>
      <c r="AL66" s="310">
        <v>9.1813699999999998E-2</v>
      </c>
      <c r="AM66" s="310">
        <v>0.1130335</v>
      </c>
      <c r="AN66" s="310">
        <v>0.1169531</v>
      </c>
      <c r="AO66" s="310">
        <v>0.1134554</v>
      </c>
      <c r="AP66" s="310">
        <v>0.1097499</v>
      </c>
      <c r="AQ66" s="310">
        <v>0.10465000000000001</v>
      </c>
      <c r="AR66" s="310">
        <v>0.117008</v>
      </c>
      <c r="AS66" s="310">
        <v>0.1154829</v>
      </c>
      <c r="AT66" s="310">
        <v>0.10986700000000001</v>
      </c>
      <c r="AU66" s="310">
        <v>0.11654689999999999</v>
      </c>
      <c r="AV66" s="310">
        <v>0.1173333</v>
      </c>
      <c r="AW66" s="310">
        <v>0.1163797</v>
      </c>
      <c r="AX66" s="310">
        <v>0.1086971</v>
      </c>
      <c r="AY66" s="310">
        <v>0.11587459999999999</v>
      </c>
      <c r="AZ66" s="310">
        <v>0.1166346</v>
      </c>
      <c r="BA66" s="310">
        <v>9.4335600000000006E-2</v>
      </c>
      <c r="BB66" s="310">
        <v>0</v>
      </c>
      <c r="BC66" s="310">
        <v>0.11288810000000001</v>
      </c>
      <c r="BD66" s="310">
        <v>0.10526720000000001</v>
      </c>
      <c r="BE66" s="310">
        <v>0.1153232</v>
      </c>
      <c r="BF66" s="310">
        <v>0.11015800000000001</v>
      </c>
      <c r="BG66" s="310">
        <v>0.1176089</v>
      </c>
      <c r="BH66" s="310">
        <v>0.11227090000000001</v>
      </c>
      <c r="BI66" s="310">
        <v>0.11733929999999999</v>
      </c>
      <c r="BJ66" s="310">
        <v>0.116787</v>
      </c>
      <c r="BK66" s="310">
        <v>0.11815059999999999</v>
      </c>
    </row>
    <row r="67" spans="1:63" x14ac:dyDescent="0.25">
      <c r="A67" s="306">
        <v>312130</v>
      </c>
      <c r="B67" s="310" t="s">
        <v>56</v>
      </c>
      <c r="C67" s="310">
        <v>0.13838790000000001</v>
      </c>
      <c r="D67" s="310">
        <v>0.1383617</v>
      </c>
      <c r="E67" s="310">
        <v>0.13678870000000001</v>
      </c>
      <c r="F67" s="310">
        <v>0.133773</v>
      </c>
      <c r="G67" s="310">
        <v>0.13837640000000001</v>
      </c>
      <c r="H67" s="310">
        <v>0.13799819999999999</v>
      </c>
      <c r="I67" s="310">
        <v>0.13602439999999999</v>
      </c>
      <c r="J67" s="310">
        <v>0.11638859999999999</v>
      </c>
      <c r="K67" s="310">
        <v>0</v>
      </c>
      <c r="L67" s="310">
        <v>0</v>
      </c>
      <c r="M67" s="310">
        <v>0.13455819999999999</v>
      </c>
      <c r="N67" s="310">
        <v>0.13666300000000001</v>
      </c>
      <c r="O67" s="310">
        <v>0.1383712</v>
      </c>
      <c r="P67" s="310">
        <v>0.13317190000000001</v>
      </c>
      <c r="Q67" s="310">
        <v>0.12839229999999999</v>
      </c>
      <c r="R67" s="310">
        <v>0.12787309999999999</v>
      </c>
      <c r="S67" s="310">
        <v>0.1248889</v>
      </c>
      <c r="T67" s="310">
        <v>0.1160452</v>
      </c>
      <c r="U67" s="310">
        <v>0.1257952</v>
      </c>
      <c r="V67" s="310">
        <v>0.13635910000000001</v>
      </c>
      <c r="W67" s="310">
        <v>0.130139</v>
      </c>
      <c r="X67" s="310">
        <v>0.13149959999999999</v>
      </c>
      <c r="Y67" s="310">
        <v>0.13837669999999999</v>
      </c>
      <c r="Z67" s="310">
        <v>0.13785249999999999</v>
      </c>
      <c r="AA67" s="310">
        <v>0.13637930000000001</v>
      </c>
      <c r="AB67" s="310">
        <v>0.1238363</v>
      </c>
      <c r="AC67" s="310">
        <v>0</v>
      </c>
      <c r="AD67" s="310">
        <v>0.13835810000000001</v>
      </c>
      <c r="AE67" s="310">
        <v>0.13510849999999999</v>
      </c>
      <c r="AF67" s="310">
        <v>0.1362408</v>
      </c>
      <c r="AG67" s="310">
        <v>0.13020889999999999</v>
      </c>
      <c r="AH67" s="310">
        <v>0.1322644</v>
      </c>
      <c r="AI67" s="310">
        <v>0.12590409999999999</v>
      </c>
      <c r="AJ67" s="310">
        <v>0.1360664</v>
      </c>
      <c r="AK67" s="310">
        <v>0</v>
      </c>
      <c r="AL67" s="310">
        <v>0.1072555</v>
      </c>
      <c r="AM67" s="310">
        <v>0.13203909999999999</v>
      </c>
      <c r="AN67" s="310">
        <v>0.13665079999999999</v>
      </c>
      <c r="AO67" s="310">
        <v>0.13255910000000001</v>
      </c>
      <c r="AP67" s="310">
        <v>0.12820909999999999</v>
      </c>
      <c r="AQ67" s="310">
        <v>0.12224599999999999</v>
      </c>
      <c r="AR67" s="310">
        <v>0.13674790000000001</v>
      </c>
      <c r="AS67" s="310">
        <v>0.13497580000000001</v>
      </c>
      <c r="AT67" s="310">
        <v>0.1283581</v>
      </c>
      <c r="AU67" s="310">
        <v>0.13614609999999999</v>
      </c>
      <c r="AV67" s="310">
        <v>0</v>
      </c>
      <c r="AW67" s="310">
        <v>0.13594539999999999</v>
      </c>
      <c r="AX67" s="310">
        <v>0.12698870000000001</v>
      </c>
      <c r="AY67" s="310">
        <v>0.13537679999999999</v>
      </c>
      <c r="AZ67" s="310">
        <v>0.13625870000000001</v>
      </c>
      <c r="BA67" s="310">
        <v>0.11023670000000001</v>
      </c>
      <c r="BB67" s="310">
        <v>0</v>
      </c>
      <c r="BC67" s="310">
        <v>0.1318918</v>
      </c>
      <c r="BD67" s="310">
        <v>0.1229859</v>
      </c>
      <c r="BE67" s="310">
        <v>0.13473560000000001</v>
      </c>
      <c r="BF67" s="310">
        <v>0.1286948</v>
      </c>
      <c r="BG67" s="310">
        <v>0.137376</v>
      </c>
      <c r="BH67" s="310">
        <v>0.13116369999999999</v>
      </c>
      <c r="BI67" s="310">
        <v>0.1370943</v>
      </c>
      <c r="BJ67" s="310">
        <v>0.1364204</v>
      </c>
      <c r="BK67" s="310">
        <v>0.138043</v>
      </c>
    </row>
    <row r="68" spans="1:63" x14ac:dyDescent="0.25">
      <c r="A68" s="306">
        <v>312140</v>
      </c>
      <c r="B68" s="310" t="s">
        <v>57</v>
      </c>
      <c r="C68" s="310">
        <v>0.11846420000000001</v>
      </c>
      <c r="D68" s="310">
        <v>0</v>
      </c>
      <c r="E68" s="310">
        <v>0</v>
      </c>
      <c r="F68" s="310">
        <v>0.1145119</v>
      </c>
      <c r="G68" s="310">
        <v>0</v>
      </c>
      <c r="H68" s="310">
        <v>0.11815630000000001</v>
      </c>
      <c r="I68" s="310">
        <v>0.1164732</v>
      </c>
      <c r="J68" s="310">
        <v>9.9612599999999996E-2</v>
      </c>
      <c r="K68" s="310">
        <v>0</v>
      </c>
      <c r="L68" s="310">
        <v>0</v>
      </c>
      <c r="M68" s="310">
        <v>0.1151862</v>
      </c>
      <c r="N68" s="310">
        <v>0.1170079</v>
      </c>
      <c r="O68" s="310">
        <v>0.1184347</v>
      </c>
      <c r="P68" s="310">
        <v>0.11398179999999999</v>
      </c>
      <c r="Q68" s="310">
        <v>0.109926</v>
      </c>
      <c r="R68" s="310">
        <v>0.1094343</v>
      </c>
      <c r="S68" s="310">
        <v>0.1068931</v>
      </c>
      <c r="T68" s="310">
        <v>0</v>
      </c>
      <c r="U68" s="310">
        <v>0.10768270000000001</v>
      </c>
      <c r="V68" s="310">
        <v>0</v>
      </c>
      <c r="W68" s="310">
        <v>0</v>
      </c>
      <c r="X68" s="310">
        <v>0.11253000000000001</v>
      </c>
      <c r="Y68" s="310">
        <v>0.1184573</v>
      </c>
      <c r="Z68" s="310">
        <v>0.1179868</v>
      </c>
      <c r="AA68" s="310">
        <v>0.11673070000000001</v>
      </c>
      <c r="AB68" s="310">
        <v>0.1059674</v>
      </c>
      <c r="AC68" s="310">
        <v>0</v>
      </c>
      <c r="AD68" s="310">
        <v>0</v>
      </c>
      <c r="AE68" s="310">
        <v>0</v>
      </c>
      <c r="AF68" s="310">
        <v>0</v>
      </c>
      <c r="AG68" s="310">
        <v>0</v>
      </c>
      <c r="AH68" s="310">
        <v>0.113175</v>
      </c>
      <c r="AI68" s="310">
        <v>0.1077883</v>
      </c>
      <c r="AJ68" s="310">
        <v>0</v>
      </c>
      <c r="AK68" s="310">
        <v>0</v>
      </c>
      <c r="AL68" s="310">
        <v>9.1825900000000002E-2</v>
      </c>
      <c r="AM68" s="310">
        <v>0.1130366</v>
      </c>
      <c r="AN68" s="310">
        <v>0</v>
      </c>
      <c r="AO68" s="310">
        <v>0.11345959999999999</v>
      </c>
      <c r="AP68" s="310">
        <v>0.10974739999999999</v>
      </c>
      <c r="AQ68" s="310">
        <v>0</v>
      </c>
      <c r="AR68" s="310">
        <v>0</v>
      </c>
      <c r="AS68" s="310">
        <v>0</v>
      </c>
      <c r="AT68" s="310">
        <v>0.1098647</v>
      </c>
      <c r="AU68" s="310">
        <v>0.11652999999999999</v>
      </c>
      <c r="AV68" s="310">
        <v>0.1173236</v>
      </c>
      <c r="AW68" s="310">
        <v>0</v>
      </c>
      <c r="AX68" s="310">
        <v>0</v>
      </c>
      <c r="AY68" s="310">
        <v>0.1158918</v>
      </c>
      <c r="AZ68" s="310">
        <v>0.1166599</v>
      </c>
      <c r="BA68" s="310">
        <v>0</v>
      </c>
      <c r="BB68" s="310">
        <v>0.11849709999999999</v>
      </c>
      <c r="BC68" s="310">
        <v>0.1129114</v>
      </c>
      <c r="BD68" s="310">
        <v>0.1052632</v>
      </c>
      <c r="BE68" s="310">
        <v>0.1153305</v>
      </c>
      <c r="BF68" s="310">
        <v>0.1101574</v>
      </c>
      <c r="BG68" s="310">
        <v>0.1176237</v>
      </c>
      <c r="BH68" s="310">
        <v>0.11227289999999999</v>
      </c>
      <c r="BI68" s="310">
        <v>0.1173637</v>
      </c>
      <c r="BJ68" s="310">
        <v>0.11676590000000001</v>
      </c>
      <c r="BK68" s="310">
        <v>0.1181697</v>
      </c>
    </row>
    <row r="69" spans="1:63" x14ac:dyDescent="0.25">
      <c r="A69" s="306" t="s">
        <v>708</v>
      </c>
      <c r="B69" s="310" t="s">
        <v>58</v>
      </c>
      <c r="C69" s="310">
        <v>0.11846710000000001</v>
      </c>
      <c r="D69" s="310">
        <v>0</v>
      </c>
      <c r="E69" s="310">
        <v>0.11713030000000001</v>
      </c>
      <c r="F69" s="310">
        <v>0</v>
      </c>
      <c r="G69" s="310">
        <v>0</v>
      </c>
      <c r="H69" s="310">
        <v>0.11809260000000001</v>
      </c>
      <c r="I69" s="310">
        <v>0</v>
      </c>
      <c r="J69" s="310">
        <v>9.9609100000000006E-2</v>
      </c>
      <c r="K69" s="310">
        <v>2.59466E-2</v>
      </c>
      <c r="L69" s="310">
        <v>0</v>
      </c>
      <c r="M69" s="310">
        <v>0.11515640000000001</v>
      </c>
      <c r="N69" s="310">
        <v>0.1169616</v>
      </c>
      <c r="O69" s="310">
        <v>0</v>
      </c>
      <c r="P69" s="310">
        <v>0</v>
      </c>
      <c r="Q69" s="310">
        <v>0</v>
      </c>
      <c r="R69" s="310">
        <v>0.10946649999999999</v>
      </c>
      <c r="S69" s="310">
        <v>0.1069451</v>
      </c>
      <c r="T69" s="310">
        <v>0</v>
      </c>
      <c r="U69" s="310">
        <v>0.1076636</v>
      </c>
      <c r="V69" s="310">
        <v>0</v>
      </c>
      <c r="W69" s="310">
        <v>0</v>
      </c>
      <c r="X69" s="310">
        <v>0</v>
      </c>
      <c r="Y69" s="310">
        <v>0</v>
      </c>
      <c r="Z69" s="310">
        <v>0</v>
      </c>
      <c r="AA69" s="310">
        <v>0</v>
      </c>
      <c r="AB69" s="310">
        <v>0.1059822</v>
      </c>
      <c r="AC69" s="310">
        <v>0</v>
      </c>
      <c r="AD69" s="310">
        <v>0</v>
      </c>
      <c r="AE69" s="310">
        <v>0.11562749999999999</v>
      </c>
      <c r="AF69" s="310">
        <v>0</v>
      </c>
      <c r="AG69" s="310">
        <v>0</v>
      </c>
      <c r="AH69" s="310">
        <v>0</v>
      </c>
      <c r="AI69" s="310">
        <v>0.10774980000000001</v>
      </c>
      <c r="AJ69" s="310">
        <v>0.11647680000000001</v>
      </c>
      <c r="AK69" s="310">
        <v>0</v>
      </c>
      <c r="AL69" s="310">
        <v>9.1814400000000004E-2</v>
      </c>
      <c r="AM69" s="310">
        <v>0</v>
      </c>
      <c r="AN69" s="310">
        <v>0.1169568</v>
      </c>
      <c r="AO69" s="310">
        <v>0</v>
      </c>
      <c r="AP69" s="310">
        <v>0.10975310000000001</v>
      </c>
      <c r="AQ69" s="310">
        <v>0</v>
      </c>
      <c r="AR69" s="310">
        <v>0.11702269999999999</v>
      </c>
      <c r="AS69" s="310">
        <v>0</v>
      </c>
      <c r="AT69" s="310">
        <v>0.10988530000000001</v>
      </c>
      <c r="AU69" s="310">
        <v>0.1165339</v>
      </c>
      <c r="AV69" s="310">
        <v>0.11731560000000001</v>
      </c>
      <c r="AW69" s="310">
        <v>0.1163771</v>
      </c>
      <c r="AX69" s="310">
        <v>0</v>
      </c>
      <c r="AY69" s="310">
        <v>0.1159172</v>
      </c>
      <c r="AZ69" s="310">
        <v>0.1166586</v>
      </c>
      <c r="BA69" s="310">
        <v>9.4353800000000002E-2</v>
      </c>
      <c r="BB69" s="310">
        <v>0.11845</v>
      </c>
      <c r="BC69" s="310">
        <v>0.1128638</v>
      </c>
      <c r="BD69" s="310">
        <v>0.1052699</v>
      </c>
      <c r="BE69" s="310">
        <v>0.1153468</v>
      </c>
      <c r="BF69" s="310">
        <v>0.1101683</v>
      </c>
      <c r="BG69" s="310">
        <v>0.1175833</v>
      </c>
      <c r="BH69" s="310">
        <v>0.1123067</v>
      </c>
      <c r="BI69" s="310">
        <v>0.1173582</v>
      </c>
      <c r="BJ69" s="310">
        <v>0.11680889999999999</v>
      </c>
      <c r="BK69" s="310">
        <v>0.1181773</v>
      </c>
    </row>
    <row r="70" spans="1:63" x14ac:dyDescent="0.25">
      <c r="A70" s="306">
        <v>313100</v>
      </c>
      <c r="B70" s="310" t="s">
        <v>59</v>
      </c>
      <c r="C70" s="310">
        <v>0.1653367</v>
      </c>
      <c r="D70" s="310">
        <v>0</v>
      </c>
      <c r="E70" s="310">
        <v>0.15677920000000001</v>
      </c>
      <c r="F70" s="310">
        <v>0</v>
      </c>
      <c r="G70" s="310">
        <v>0.165103</v>
      </c>
      <c r="H70" s="310">
        <v>0.1641783</v>
      </c>
      <c r="I70" s="310">
        <v>0</v>
      </c>
      <c r="J70" s="310">
        <v>0.15323110000000001</v>
      </c>
      <c r="K70" s="310">
        <v>0</v>
      </c>
      <c r="L70" s="310">
        <v>0</v>
      </c>
      <c r="M70" s="310">
        <v>0.16207630000000001</v>
      </c>
      <c r="N70" s="310">
        <v>0.14900260000000001</v>
      </c>
      <c r="O70" s="310">
        <v>0</v>
      </c>
      <c r="P70" s="310">
        <v>0</v>
      </c>
      <c r="Q70" s="310">
        <v>0.1653278</v>
      </c>
      <c r="R70" s="310">
        <v>0.15926380000000001</v>
      </c>
      <c r="S70" s="310">
        <v>0.16096630000000001</v>
      </c>
      <c r="T70" s="310">
        <v>0.137243</v>
      </c>
      <c r="U70" s="310">
        <v>0</v>
      </c>
      <c r="V70" s="310">
        <v>0.15935740000000001</v>
      </c>
      <c r="W70" s="310">
        <v>0.14811350000000001</v>
      </c>
      <c r="X70" s="310">
        <v>0.13863919999999999</v>
      </c>
      <c r="Y70" s="310">
        <v>0.16388820000000001</v>
      </c>
      <c r="Z70" s="310">
        <v>0.15657389999999999</v>
      </c>
      <c r="AA70" s="310">
        <v>0</v>
      </c>
      <c r="AB70" s="310">
        <v>0</v>
      </c>
      <c r="AC70" s="310">
        <v>0.15362120000000001</v>
      </c>
      <c r="AD70" s="310">
        <v>0</v>
      </c>
      <c r="AE70" s="310">
        <v>0.15780739999999999</v>
      </c>
      <c r="AF70" s="310">
        <v>0</v>
      </c>
      <c r="AG70" s="310">
        <v>0.1538253</v>
      </c>
      <c r="AH70" s="310">
        <v>0.1496005</v>
      </c>
      <c r="AI70" s="310">
        <v>0.15134249999999999</v>
      </c>
      <c r="AJ70" s="310">
        <v>0.163712</v>
      </c>
      <c r="AK70" s="310">
        <v>0</v>
      </c>
      <c r="AL70" s="310">
        <v>0.1339909</v>
      </c>
      <c r="AM70" s="310">
        <v>0.15764690000000001</v>
      </c>
      <c r="AN70" s="310">
        <v>0.1653087</v>
      </c>
      <c r="AO70" s="310">
        <v>0.15603600000000001</v>
      </c>
      <c r="AP70" s="310">
        <v>0.16246089999999999</v>
      </c>
      <c r="AQ70" s="310">
        <v>0.15018719999999999</v>
      </c>
      <c r="AR70" s="310">
        <v>0.15829309999999999</v>
      </c>
      <c r="AS70" s="310">
        <v>0</v>
      </c>
      <c r="AT70" s="310">
        <v>0.15516079999999999</v>
      </c>
      <c r="AU70" s="310">
        <v>0.16230259999999999</v>
      </c>
      <c r="AV70" s="310">
        <v>0.16445689999999999</v>
      </c>
      <c r="AW70" s="310">
        <v>0.15669359999999999</v>
      </c>
      <c r="AX70" s="310">
        <v>0.16116240000000001</v>
      </c>
      <c r="AY70" s="310">
        <v>0.16529920000000001</v>
      </c>
      <c r="AZ70" s="310">
        <v>0.16450509999999999</v>
      </c>
      <c r="BA70" s="310">
        <v>0.13011880000000001</v>
      </c>
      <c r="BB70" s="310">
        <v>0.165301</v>
      </c>
      <c r="BC70" s="310">
        <v>0.16394420000000001</v>
      </c>
      <c r="BD70" s="310">
        <v>0.16170190000000001</v>
      </c>
      <c r="BE70" s="310">
        <v>0.16124859999999999</v>
      </c>
      <c r="BF70" s="310">
        <v>0.1601764</v>
      </c>
      <c r="BG70" s="310">
        <v>0.1623193</v>
      </c>
      <c r="BH70" s="310">
        <v>0.1582877</v>
      </c>
      <c r="BI70" s="310">
        <v>0.16203799999999999</v>
      </c>
      <c r="BJ70" s="310">
        <v>0.16120960000000001</v>
      </c>
      <c r="BK70" s="310">
        <v>0.1645163</v>
      </c>
    </row>
    <row r="71" spans="1:63" x14ac:dyDescent="0.25">
      <c r="A71" s="306">
        <v>313210</v>
      </c>
      <c r="B71" s="310" t="s">
        <v>60</v>
      </c>
      <c r="C71" s="310">
        <v>0.21613389999999999</v>
      </c>
      <c r="D71" s="310">
        <v>0</v>
      </c>
      <c r="E71" s="310">
        <v>0.2049348</v>
      </c>
      <c r="F71" s="310">
        <v>0.20629130000000001</v>
      </c>
      <c r="G71" s="310">
        <v>0.2158783</v>
      </c>
      <c r="H71" s="310">
        <v>0.21463499999999999</v>
      </c>
      <c r="I71" s="310">
        <v>0</v>
      </c>
      <c r="J71" s="310">
        <v>0.20030780000000001</v>
      </c>
      <c r="K71" s="310">
        <v>8.6898799999999998E-2</v>
      </c>
      <c r="L71" s="310">
        <v>0.1674139</v>
      </c>
      <c r="M71" s="310">
        <v>0.2119067</v>
      </c>
      <c r="N71" s="310">
        <v>0.19480810000000001</v>
      </c>
      <c r="O71" s="310">
        <v>0</v>
      </c>
      <c r="P71" s="310">
        <v>0</v>
      </c>
      <c r="Q71" s="310">
        <v>0.2161449</v>
      </c>
      <c r="R71" s="310">
        <v>0.2081549</v>
      </c>
      <c r="S71" s="310">
        <v>0.2103756</v>
      </c>
      <c r="T71" s="310">
        <v>0</v>
      </c>
      <c r="U71" s="310">
        <v>0.1973985</v>
      </c>
      <c r="V71" s="310">
        <v>0.2082745</v>
      </c>
      <c r="W71" s="310">
        <v>0.19359789999999999</v>
      </c>
      <c r="X71" s="310">
        <v>0.18128330000000001</v>
      </c>
      <c r="Y71" s="310">
        <v>0.21428120000000001</v>
      </c>
      <c r="Z71" s="310">
        <v>0.20469329999999999</v>
      </c>
      <c r="AA71" s="310">
        <v>0.20824400000000001</v>
      </c>
      <c r="AB71" s="310">
        <v>0.1888022</v>
      </c>
      <c r="AC71" s="310">
        <v>0.20085169999999999</v>
      </c>
      <c r="AD71" s="310">
        <v>0.21615570000000001</v>
      </c>
      <c r="AE71" s="310">
        <v>0.20628289999999999</v>
      </c>
      <c r="AF71" s="310">
        <v>0.20620579999999999</v>
      </c>
      <c r="AG71" s="310">
        <v>0</v>
      </c>
      <c r="AH71" s="310">
        <v>0.1955692</v>
      </c>
      <c r="AI71" s="310">
        <v>0.1978297</v>
      </c>
      <c r="AJ71" s="310">
        <v>0.2139943</v>
      </c>
      <c r="AK71" s="310">
        <v>0.1935656</v>
      </c>
      <c r="AL71" s="310">
        <v>0.1751209</v>
      </c>
      <c r="AM71" s="310">
        <v>0.20609649999999999</v>
      </c>
      <c r="AN71" s="310">
        <v>0.2161025</v>
      </c>
      <c r="AO71" s="310">
        <v>0.2040188</v>
      </c>
      <c r="AP71" s="310">
        <v>0.21240510000000001</v>
      </c>
      <c r="AQ71" s="310">
        <v>0.19633600000000001</v>
      </c>
      <c r="AR71" s="310">
        <v>0.2069136</v>
      </c>
      <c r="AS71" s="310">
        <v>0</v>
      </c>
      <c r="AT71" s="310">
        <v>0.20282459999999999</v>
      </c>
      <c r="AU71" s="310">
        <v>0.2121865</v>
      </c>
      <c r="AV71" s="310">
        <v>0.21496560000000001</v>
      </c>
      <c r="AW71" s="310">
        <v>0.20485149999999999</v>
      </c>
      <c r="AX71" s="310">
        <v>0.21062510000000001</v>
      </c>
      <c r="AY71" s="310">
        <v>0.21608810000000001</v>
      </c>
      <c r="AZ71" s="310">
        <v>0.21509200000000001</v>
      </c>
      <c r="BA71" s="310">
        <v>0</v>
      </c>
      <c r="BB71" s="310">
        <v>0</v>
      </c>
      <c r="BC71" s="310">
        <v>0.21429339999999999</v>
      </c>
      <c r="BD71" s="310">
        <v>0.21138699999999999</v>
      </c>
      <c r="BE71" s="310">
        <v>0.2107464</v>
      </c>
      <c r="BF71" s="310">
        <v>0.20936689999999999</v>
      </c>
      <c r="BG71" s="310">
        <v>0.21218010000000001</v>
      </c>
      <c r="BH71" s="310">
        <v>0.20689660000000001</v>
      </c>
      <c r="BI71" s="310">
        <v>0.21181469999999999</v>
      </c>
      <c r="BJ71" s="310">
        <v>0.2107716</v>
      </c>
      <c r="BK71" s="310">
        <v>0.21506829999999999</v>
      </c>
    </row>
    <row r="72" spans="1:63" x14ac:dyDescent="0.25">
      <c r="A72" s="306">
        <v>313220</v>
      </c>
      <c r="B72" s="310" t="s">
        <v>61</v>
      </c>
      <c r="C72" s="310">
        <v>0.28977579999999997</v>
      </c>
      <c r="D72" s="310">
        <v>0</v>
      </c>
      <c r="E72" s="310">
        <v>0.27479340000000002</v>
      </c>
      <c r="F72" s="310">
        <v>0</v>
      </c>
      <c r="G72" s="310">
        <v>0.28946620000000001</v>
      </c>
      <c r="H72" s="310">
        <v>0.28778320000000002</v>
      </c>
      <c r="I72" s="310">
        <v>0.26629809999999998</v>
      </c>
      <c r="J72" s="310">
        <v>0.2685707</v>
      </c>
      <c r="K72" s="310">
        <v>0</v>
      </c>
      <c r="L72" s="310">
        <v>0</v>
      </c>
      <c r="M72" s="310">
        <v>0.28412019999999999</v>
      </c>
      <c r="N72" s="310">
        <v>0.26118590000000003</v>
      </c>
      <c r="O72" s="310">
        <v>0</v>
      </c>
      <c r="P72" s="310">
        <v>0</v>
      </c>
      <c r="Q72" s="310">
        <v>0.28980840000000002</v>
      </c>
      <c r="R72" s="310">
        <v>0.27911750000000002</v>
      </c>
      <c r="S72" s="310">
        <v>0</v>
      </c>
      <c r="T72" s="310">
        <v>0.24057909999999999</v>
      </c>
      <c r="U72" s="310">
        <v>0.26473720000000001</v>
      </c>
      <c r="V72" s="310">
        <v>0.27929989999999999</v>
      </c>
      <c r="W72" s="310">
        <v>0.25960919999999998</v>
      </c>
      <c r="X72" s="310">
        <v>0.24306069999999999</v>
      </c>
      <c r="Y72" s="310">
        <v>0.28728320000000002</v>
      </c>
      <c r="Z72" s="310">
        <v>0.2744625</v>
      </c>
      <c r="AA72" s="310">
        <v>0.27924159999999998</v>
      </c>
      <c r="AB72" s="310">
        <v>0</v>
      </c>
      <c r="AC72" s="310">
        <v>0</v>
      </c>
      <c r="AD72" s="310">
        <v>0.28974529999999998</v>
      </c>
      <c r="AE72" s="310">
        <v>0.27659099999999998</v>
      </c>
      <c r="AF72" s="310">
        <v>0</v>
      </c>
      <c r="AG72" s="310">
        <v>0</v>
      </c>
      <c r="AH72" s="310">
        <v>0.26222839999999997</v>
      </c>
      <c r="AI72" s="310">
        <v>0.26521850000000002</v>
      </c>
      <c r="AJ72" s="310">
        <v>0.28691820000000001</v>
      </c>
      <c r="AK72" s="310">
        <v>0</v>
      </c>
      <c r="AL72" s="310">
        <v>0.23481360000000001</v>
      </c>
      <c r="AM72" s="310">
        <v>0.27633550000000001</v>
      </c>
      <c r="AN72" s="310">
        <v>0.28978660000000001</v>
      </c>
      <c r="AO72" s="310">
        <v>0</v>
      </c>
      <c r="AP72" s="310">
        <v>0.28483130000000001</v>
      </c>
      <c r="AQ72" s="310">
        <v>0.26327739999999999</v>
      </c>
      <c r="AR72" s="310">
        <v>0.27745799999999998</v>
      </c>
      <c r="AS72" s="310">
        <v>0</v>
      </c>
      <c r="AT72" s="310">
        <v>0.27196880000000001</v>
      </c>
      <c r="AU72" s="310">
        <v>0.28452460000000002</v>
      </c>
      <c r="AV72" s="310">
        <v>0.28822389999999998</v>
      </c>
      <c r="AW72" s="310">
        <v>0.27467049999999998</v>
      </c>
      <c r="AX72" s="310">
        <v>0</v>
      </c>
      <c r="AY72" s="310">
        <v>0</v>
      </c>
      <c r="AZ72" s="310">
        <v>0</v>
      </c>
      <c r="BA72" s="310">
        <v>0</v>
      </c>
      <c r="BB72" s="310">
        <v>0</v>
      </c>
      <c r="BC72" s="310">
        <v>0.28736</v>
      </c>
      <c r="BD72" s="310">
        <v>0.28337050000000003</v>
      </c>
      <c r="BE72" s="310">
        <v>0.28259719999999999</v>
      </c>
      <c r="BF72" s="310">
        <v>0.28076220000000002</v>
      </c>
      <c r="BG72" s="310">
        <v>0.28446779999999999</v>
      </c>
      <c r="BH72" s="310">
        <v>0.27744869999999999</v>
      </c>
      <c r="BI72" s="310">
        <v>0.28403220000000001</v>
      </c>
      <c r="BJ72" s="310">
        <v>0.28260109999999999</v>
      </c>
      <c r="BK72" s="310">
        <v>0.28835169999999999</v>
      </c>
    </row>
    <row r="73" spans="1:63" x14ac:dyDescent="0.25">
      <c r="A73" s="306">
        <v>313230</v>
      </c>
      <c r="B73" s="310" t="s">
        <v>62</v>
      </c>
      <c r="C73" s="310">
        <v>0.15850500000000001</v>
      </c>
      <c r="D73" s="310">
        <v>0</v>
      </c>
      <c r="E73" s="310">
        <v>0.1503013</v>
      </c>
      <c r="F73" s="310">
        <v>0.1513409</v>
      </c>
      <c r="G73" s="310">
        <v>0.15834529999999999</v>
      </c>
      <c r="H73" s="310">
        <v>0.1574313</v>
      </c>
      <c r="I73" s="310">
        <v>0</v>
      </c>
      <c r="J73" s="310">
        <v>0.14690690000000001</v>
      </c>
      <c r="K73" s="310">
        <v>0</v>
      </c>
      <c r="L73" s="310">
        <v>0.1228089</v>
      </c>
      <c r="M73" s="310">
        <v>0.1553843</v>
      </c>
      <c r="N73" s="310">
        <v>0.14286889999999999</v>
      </c>
      <c r="O73" s="310">
        <v>0</v>
      </c>
      <c r="P73" s="310">
        <v>0</v>
      </c>
      <c r="Q73" s="310">
        <v>0.1584776</v>
      </c>
      <c r="R73" s="310">
        <v>0.15266759999999999</v>
      </c>
      <c r="S73" s="310">
        <v>0.15431339999999999</v>
      </c>
      <c r="T73" s="310">
        <v>0.1315973</v>
      </c>
      <c r="U73" s="310">
        <v>0.14479300000000001</v>
      </c>
      <c r="V73" s="310">
        <v>0</v>
      </c>
      <c r="W73" s="310">
        <v>0.1420015</v>
      </c>
      <c r="X73" s="310">
        <v>0.13292999999999999</v>
      </c>
      <c r="Y73" s="310">
        <v>0.1571477</v>
      </c>
      <c r="Z73" s="310">
        <v>0</v>
      </c>
      <c r="AA73" s="310">
        <v>0</v>
      </c>
      <c r="AB73" s="310">
        <v>0.13847309999999999</v>
      </c>
      <c r="AC73" s="310">
        <v>0.14727280000000001</v>
      </c>
      <c r="AD73" s="310">
        <v>0</v>
      </c>
      <c r="AE73" s="310">
        <v>0.15129709999999999</v>
      </c>
      <c r="AF73" s="310">
        <v>0</v>
      </c>
      <c r="AG73" s="310">
        <v>0.14748249999999999</v>
      </c>
      <c r="AH73" s="310">
        <v>0.14341200000000001</v>
      </c>
      <c r="AI73" s="310">
        <v>0.14506189999999999</v>
      </c>
      <c r="AJ73" s="310">
        <v>0</v>
      </c>
      <c r="AK73" s="310">
        <v>0.14194499999999999</v>
      </c>
      <c r="AL73" s="310">
        <v>0.12842909999999999</v>
      </c>
      <c r="AM73" s="310">
        <v>0.1511506</v>
      </c>
      <c r="AN73" s="310">
        <v>0.15851889999999999</v>
      </c>
      <c r="AO73" s="310">
        <v>0</v>
      </c>
      <c r="AP73" s="310">
        <v>0.155774</v>
      </c>
      <c r="AQ73" s="310">
        <v>0.1440208</v>
      </c>
      <c r="AR73" s="310">
        <v>0.15178059999999999</v>
      </c>
      <c r="AS73" s="310">
        <v>0</v>
      </c>
      <c r="AT73" s="310">
        <v>0.14875849999999999</v>
      </c>
      <c r="AU73" s="310">
        <v>0.15562100000000001</v>
      </c>
      <c r="AV73" s="310">
        <v>0</v>
      </c>
      <c r="AW73" s="310">
        <v>0.15024699999999999</v>
      </c>
      <c r="AX73" s="310">
        <v>0</v>
      </c>
      <c r="AY73" s="310">
        <v>0.15849540000000001</v>
      </c>
      <c r="AZ73" s="310">
        <v>0.1577395</v>
      </c>
      <c r="BA73" s="310">
        <v>0.1247653</v>
      </c>
      <c r="BB73" s="310">
        <v>0</v>
      </c>
      <c r="BC73" s="310">
        <v>0.15717600000000001</v>
      </c>
      <c r="BD73" s="310">
        <v>0.15499360000000001</v>
      </c>
      <c r="BE73" s="310">
        <v>0.15460479999999999</v>
      </c>
      <c r="BF73" s="310">
        <v>0.1535735</v>
      </c>
      <c r="BG73" s="310">
        <v>0.15559870000000001</v>
      </c>
      <c r="BH73" s="310">
        <v>0.15177589999999999</v>
      </c>
      <c r="BI73" s="310">
        <v>0.15536469999999999</v>
      </c>
      <c r="BJ73" s="310">
        <v>0.15456780000000001</v>
      </c>
      <c r="BK73" s="310">
        <v>0.15771660000000001</v>
      </c>
    </row>
    <row r="74" spans="1:63" x14ac:dyDescent="0.25">
      <c r="A74" s="306">
        <v>313240</v>
      </c>
      <c r="B74" s="310" t="s">
        <v>63</v>
      </c>
      <c r="C74" s="310">
        <v>0.19862199999999999</v>
      </c>
      <c r="D74" s="310">
        <v>0</v>
      </c>
      <c r="E74" s="310">
        <v>0.1883428</v>
      </c>
      <c r="F74" s="310">
        <v>0</v>
      </c>
      <c r="G74" s="310">
        <v>0.1983982</v>
      </c>
      <c r="H74" s="310">
        <v>0.1972498</v>
      </c>
      <c r="I74" s="310">
        <v>0</v>
      </c>
      <c r="J74" s="310">
        <v>0</v>
      </c>
      <c r="K74" s="310">
        <v>0</v>
      </c>
      <c r="L74" s="310">
        <v>0</v>
      </c>
      <c r="M74" s="310">
        <v>0.1947325</v>
      </c>
      <c r="N74" s="310">
        <v>0.17902209999999999</v>
      </c>
      <c r="O74" s="310">
        <v>0</v>
      </c>
      <c r="P74" s="310">
        <v>0.19860369999999999</v>
      </c>
      <c r="Q74" s="310">
        <v>0</v>
      </c>
      <c r="R74" s="310">
        <v>0.19128029999999999</v>
      </c>
      <c r="S74" s="310">
        <v>0.19334970000000001</v>
      </c>
      <c r="T74" s="310">
        <v>0.16488079999999999</v>
      </c>
      <c r="U74" s="310">
        <v>0.18141170000000001</v>
      </c>
      <c r="V74" s="310">
        <v>0</v>
      </c>
      <c r="W74" s="310">
        <v>0.17794579999999999</v>
      </c>
      <c r="X74" s="310">
        <v>0.1665758</v>
      </c>
      <c r="Y74" s="310">
        <v>0.19687250000000001</v>
      </c>
      <c r="Z74" s="310">
        <v>0.18810589999999999</v>
      </c>
      <c r="AA74" s="310">
        <v>0.19136139999999999</v>
      </c>
      <c r="AB74" s="310">
        <v>0.17353150000000001</v>
      </c>
      <c r="AC74" s="310">
        <v>0.18458150000000001</v>
      </c>
      <c r="AD74" s="310">
        <v>0</v>
      </c>
      <c r="AE74" s="310">
        <v>0.18959980000000001</v>
      </c>
      <c r="AF74" s="310">
        <v>0</v>
      </c>
      <c r="AG74" s="310">
        <v>0</v>
      </c>
      <c r="AH74" s="310">
        <v>0.17971480000000001</v>
      </c>
      <c r="AI74" s="310">
        <v>0.18178369999999999</v>
      </c>
      <c r="AJ74" s="310">
        <v>0</v>
      </c>
      <c r="AK74" s="310">
        <v>0</v>
      </c>
      <c r="AL74" s="310">
        <v>0.1609235</v>
      </c>
      <c r="AM74" s="310">
        <v>0</v>
      </c>
      <c r="AN74" s="310">
        <v>0</v>
      </c>
      <c r="AO74" s="310">
        <v>0</v>
      </c>
      <c r="AP74" s="310">
        <v>0.19521450000000001</v>
      </c>
      <c r="AQ74" s="310">
        <v>0.18046519999999999</v>
      </c>
      <c r="AR74" s="310">
        <v>0.1901436</v>
      </c>
      <c r="AS74" s="310">
        <v>0</v>
      </c>
      <c r="AT74" s="310">
        <v>0.18636820000000001</v>
      </c>
      <c r="AU74" s="310">
        <v>0</v>
      </c>
      <c r="AV74" s="310">
        <v>0</v>
      </c>
      <c r="AW74" s="310">
        <v>0</v>
      </c>
      <c r="AX74" s="310">
        <v>0</v>
      </c>
      <c r="AY74" s="310">
        <v>0</v>
      </c>
      <c r="AZ74" s="310">
        <v>0.19764960000000001</v>
      </c>
      <c r="BA74" s="310">
        <v>0</v>
      </c>
      <c r="BB74" s="310">
        <v>0</v>
      </c>
      <c r="BC74" s="310">
        <v>0.1969505</v>
      </c>
      <c r="BD74" s="310">
        <v>0.1942392</v>
      </c>
      <c r="BE74" s="310">
        <v>0.19369040000000001</v>
      </c>
      <c r="BF74" s="310">
        <v>0.19242590000000001</v>
      </c>
      <c r="BG74" s="310">
        <v>0.19499900000000001</v>
      </c>
      <c r="BH74" s="310">
        <v>0.190166</v>
      </c>
      <c r="BI74" s="310">
        <v>0</v>
      </c>
      <c r="BJ74" s="310">
        <v>0.1936447</v>
      </c>
      <c r="BK74" s="310">
        <v>0.1976088</v>
      </c>
    </row>
    <row r="75" spans="1:63" x14ac:dyDescent="0.25">
      <c r="A75" s="306">
        <v>313310</v>
      </c>
      <c r="B75" s="310" t="s">
        <v>64</v>
      </c>
      <c r="C75" s="310">
        <v>0.1633878</v>
      </c>
      <c r="D75" s="310">
        <v>0.16340109999999999</v>
      </c>
      <c r="E75" s="310">
        <v>0.15489449999999999</v>
      </c>
      <c r="F75" s="310">
        <v>0.15598680000000001</v>
      </c>
      <c r="G75" s="310">
        <v>0.1631706</v>
      </c>
      <c r="H75" s="310">
        <v>0.16223080000000001</v>
      </c>
      <c r="I75" s="310">
        <v>0.15017720000000001</v>
      </c>
      <c r="J75" s="310">
        <v>0.15141589999999999</v>
      </c>
      <c r="K75" s="310">
        <v>6.5712300000000001E-2</v>
      </c>
      <c r="L75" s="310">
        <v>0.1265346</v>
      </c>
      <c r="M75" s="310">
        <v>0.160167</v>
      </c>
      <c r="N75" s="310">
        <v>0.1472656</v>
      </c>
      <c r="O75" s="310">
        <v>0.16340180000000001</v>
      </c>
      <c r="P75" s="310">
        <v>0.1633801</v>
      </c>
      <c r="Q75" s="310">
        <v>0.16337969999999999</v>
      </c>
      <c r="R75" s="310">
        <v>0.1573618</v>
      </c>
      <c r="S75" s="310">
        <v>0.1590413</v>
      </c>
      <c r="T75" s="310">
        <v>0.1356397</v>
      </c>
      <c r="U75" s="310">
        <v>0.14924699999999999</v>
      </c>
      <c r="V75" s="310">
        <v>0.15746830000000001</v>
      </c>
      <c r="W75" s="310">
        <v>0.1463594</v>
      </c>
      <c r="X75" s="310">
        <v>0.13701840000000001</v>
      </c>
      <c r="Y75" s="310">
        <v>0.16197220000000001</v>
      </c>
      <c r="Z75" s="310">
        <v>0.15470519999999999</v>
      </c>
      <c r="AA75" s="310">
        <v>0.15742990000000001</v>
      </c>
      <c r="AB75" s="310">
        <v>0.14274120000000001</v>
      </c>
      <c r="AC75" s="310">
        <v>0.1518322</v>
      </c>
      <c r="AD75" s="310">
        <v>0.16338839999999999</v>
      </c>
      <c r="AE75" s="310">
        <v>0.15594469999999999</v>
      </c>
      <c r="AF75" s="310">
        <v>0.1558696</v>
      </c>
      <c r="AG75" s="310">
        <v>0.1520252</v>
      </c>
      <c r="AH75" s="310">
        <v>0.14784240000000001</v>
      </c>
      <c r="AI75" s="310">
        <v>0.14954219999999999</v>
      </c>
      <c r="AJ75" s="310">
        <v>0.16178609999999999</v>
      </c>
      <c r="AK75" s="310">
        <v>0</v>
      </c>
      <c r="AL75" s="310">
        <v>0.1323763</v>
      </c>
      <c r="AM75" s="310">
        <v>0.1557992</v>
      </c>
      <c r="AN75" s="310">
        <v>0.16336510000000001</v>
      </c>
      <c r="AO75" s="310">
        <v>0.1542415</v>
      </c>
      <c r="AP75" s="310">
        <v>0.16057279999999999</v>
      </c>
      <c r="AQ75" s="310">
        <v>0.14843339999999999</v>
      </c>
      <c r="AR75" s="310">
        <v>0.156415</v>
      </c>
      <c r="AS75" s="310">
        <v>0.1633358</v>
      </c>
      <c r="AT75" s="310">
        <v>0.1533061</v>
      </c>
      <c r="AU75" s="310">
        <v>0.1604189</v>
      </c>
      <c r="AV75" s="310">
        <v>0.16249520000000001</v>
      </c>
      <c r="AW75" s="310">
        <v>0.15483649999999999</v>
      </c>
      <c r="AX75" s="310">
        <v>0.1592238</v>
      </c>
      <c r="AY75" s="310">
        <v>0.16337930000000001</v>
      </c>
      <c r="AZ75" s="310">
        <v>0.16258449999999999</v>
      </c>
      <c r="BA75" s="310">
        <v>0</v>
      </c>
      <c r="BB75" s="310">
        <v>0.16335839999999999</v>
      </c>
      <c r="BC75" s="310">
        <v>0.16198299999999999</v>
      </c>
      <c r="BD75" s="310">
        <v>0.15977089999999999</v>
      </c>
      <c r="BE75" s="310">
        <v>0.1593367</v>
      </c>
      <c r="BF75" s="310">
        <v>0.15827169999999999</v>
      </c>
      <c r="BG75" s="310">
        <v>0.16039800000000001</v>
      </c>
      <c r="BH75" s="310">
        <v>0.15640470000000001</v>
      </c>
      <c r="BI75" s="310">
        <v>0.1601243</v>
      </c>
      <c r="BJ75" s="310">
        <v>0.15928020000000001</v>
      </c>
      <c r="BK75" s="310">
        <v>0.16255140000000001</v>
      </c>
    </row>
    <row r="76" spans="1:63" x14ac:dyDescent="0.25">
      <c r="A76" s="306">
        <v>313320</v>
      </c>
      <c r="B76" s="310" t="s">
        <v>65</v>
      </c>
      <c r="C76" s="310">
        <v>0.19849720000000001</v>
      </c>
      <c r="D76" s="310">
        <v>0</v>
      </c>
      <c r="E76" s="310">
        <v>0</v>
      </c>
      <c r="F76" s="310">
        <v>0.18947890000000001</v>
      </c>
      <c r="G76" s="310">
        <v>0.19828419999999999</v>
      </c>
      <c r="H76" s="310">
        <v>0.1971514</v>
      </c>
      <c r="I76" s="310">
        <v>0.18241270000000001</v>
      </c>
      <c r="J76" s="310">
        <v>0.18397720000000001</v>
      </c>
      <c r="K76" s="310">
        <v>0</v>
      </c>
      <c r="L76" s="310">
        <v>0.15376799999999999</v>
      </c>
      <c r="M76" s="310">
        <v>0.19464329999999999</v>
      </c>
      <c r="N76" s="310">
        <v>0.17892130000000001</v>
      </c>
      <c r="O76" s="310">
        <v>0</v>
      </c>
      <c r="P76" s="310">
        <v>0</v>
      </c>
      <c r="Q76" s="310">
        <v>0</v>
      </c>
      <c r="R76" s="310">
        <v>0.19118250000000001</v>
      </c>
      <c r="S76" s="310">
        <v>0.19323879999999999</v>
      </c>
      <c r="T76" s="310">
        <v>0</v>
      </c>
      <c r="U76" s="310">
        <v>0</v>
      </c>
      <c r="V76" s="310">
        <v>0</v>
      </c>
      <c r="W76" s="310">
        <v>0.1778536</v>
      </c>
      <c r="X76" s="310">
        <v>0.16648450000000001</v>
      </c>
      <c r="Y76" s="310">
        <v>0.19679079999999999</v>
      </c>
      <c r="Z76" s="310">
        <v>0.18800239999999999</v>
      </c>
      <c r="AA76" s="310">
        <v>0.19128110000000001</v>
      </c>
      <c r="AB76" s="310">
        <v>0.17340549999999999</v>
      </c>
      <c r="AC76" s="310">
        <v>0</v>
      </c>
      <c r="AD76" s="310">
        <v>0</v>
      </c>
      <c r="AE76" s="310">
        <v>0.1894747</v>
      </c>
      <c r="AF76" s="310">
        <v>0</v>
      </c>
      <c r="AG76" s="310">
        <v>0</v>
      </c>
      <c r="AH76" s="310">
        <v>0.17961840000000001</v>
      </c>
      <c r="AI76" s="310">
        <v>0.18166640000000001</v>
      </c>
      <c r="AJ76" s="310">
        <v>0.19657549999999999</v>
      </c>
      <c r="AK76" s="310">
        <v>0.1777677</v>
      </c>
      <c r="AL76" s="310">
        <v>0.16082669999999999</v>
      </c>
      <c r="AM76" s="310">
        <v>0.18929080000000001</v>
      </c>
      <c r="AN76" s="310">
        <v>0.1985092</v>
      </c>
      <c r="AO76" s="310">
        <v>0</v>
      </c>
      <c r="AP76" s="310">
        <v>0.19508829999999999</v>
      </c>
      <c r="AQ76" s="310">
        <v>0.18031939999999999</v>
      </c>
      <c r="AR76" s="310">
        <v>0.1900616</v>
      </c>
      <c r="AS76" s="310">
        <v>0</v>
      </c>
      <c r="AT76" s="310">
        <v>0.18628890000000001</v>
      </c>
      <c r="AU76" s="310">
        <v>0.1948772</v>
      </c>
      <c r="AV76" s="310">
        <v>0.1973992</v>
      </c>
      <c r="AW76" s="310">
        <v>0.1881457</v>
      </c>
      <c r="AX76" s="310">
        <v>0</v>
      </c>
      <c r="AY76" s="310">
        <v>0.19846420000000001</v>
      </c>
      <c r="AZ76" s="310">
        <v>0.1975131</v>
      </c>
      <c r="BA76" s="310">
        <v>0</v>
      </c>
      <c r="BB76" s="310">
        <v>0</v>
      </c>
      <c r="BC76" s="310">
        <v>0.1968511</v>
      </c>
      <c r="BD76" s="310">
        <v>0.19412769999999999</v>
      </c>
      <c r="BE76" s="310">
        <v>0.1935953</v>
      </c>
      <c r="BF76" s="310">
        <v>0.1923098</v>
      </c>
      <c r="BG76" s="310">
        <v>0.19488520000000001</v>
      </c>
      <c r="BH76" s="310">
        <v>0.19005420000000001</v>
      </c>
      <c r="BI76" s="310">
        <v>0.19456709999999999</v>
      </c>
      <c r="BJ76" s="310">
        <v>0.19356809999999999</v>
      </c>
      <c r="BK76" s="310">
        <v>0.1975364</v>
      </c>
    </row>
    <row r="77" spans="1:63" x14ac:dyDescent="0.25">
      <c r="A77" s="306">
        <v>314110</v>
      </c>
      <c r="B77" s="310" t="s">
        <v>66</v>
      </c>
      <c r="C77" s="310">
        <v>0.1184506</v>
      </c>
      <c r="D77" s="310">
        <v>0</v>
      </c>
      <c r="E77" s="310">
        <v>0.113371</v>
      </c>
      <c r="F77" s="310">
        <v>0.1137681</v>
      </c>
      <c r="G77" s="310">
        <v>0.1167899</v>
      </c>
      <c r="H77" s="310">
        <v>0.1181676</v>
      </c>
      <c r="I77" s="310">
        <v>0.1176203</v>
      </c>
      <c r="J77" s="310">
        <v>0.107085</v>
      </c>
      <c r="K77" s="310">
        <v>4.75924E-2</v>
      </c>
      <c r="L77" s="310">
        <v>0</v>
      </c>
      <c r="M77" s="310">
        <v>0.115685</v>
      </c>
      <c r="N77" s="310">
        <v>0.1091709</v>
      </c>
      <c r="O77" s="310">
        <v>0</v>
      </c>
      <c r="P77" s="310">
        <v>0.11709849999999999</v>
      </c>
      <c r="Q77" s="310">
        <v>0</v>
      </c>
      <c r="R77" s="310">
        <v>0.115827</v>
      </c>
      <c r="S77" s="310">
        <v>0.1143125</v>
      </c>
      <c r="T77" s="310">
        <v>0.1148222</v>
      </c>
      <c r="U77" s="310">
        <v>0.11679050000000001</v>
      </c>
      <c r="V77" s="310">
        <v>0</v>
      </c>
      <c r="W77" s="310">
        <v>0.1002227</v>
      </c>
      <c r="X77" s="310">
        <v>0.1116605</v>
      </c>
      <c r="Y77" s="310">
        <v>0.1164142</v>
      </c>
      <c r="Z77" s="310">
        <v>0.1155475</v>
      </c>
      <c r="AA77" s="310">
        <v>0.1155564</v>
      </c>
      <c r="AB77" s="310">
        <v>0.1132876</v>
      </c>
      <c r="AC77" s="310">
        <v>0</v>
      </c>
      <c r="AD77" s="310">
        <v>0</v>
      </c>
      <c r="AE77" s="310">
        <v>0.1148426</v>
      </c>
      <c r="AF77" s="310">
        <v>0</v>
      </c>
      <c r="AG77" s="310">
        <v>0.1112747</v>
      </c>
      <c r="AH77" s="310">
        <v>0.10226010000000001</v>
      </c>
      <c r="AI77" s="310">
        <v>0.1040681</v>
      </c>
      <c r="AJ77" s="310">
        <v>0.1140327</v>
      </c>
      <c r="AK77" s="310">
        <v>0</v>
      </c>
      <c r="AL77" s="310">
        <v>0.1083267</v>
      </c>
      <c r="AM77" s="310">
        <v>0.1145004</v>
      </c>
      <c r="AN77" s="310">
        <v>0.11846859999999999</v>
      </c>
      <c r="AO77" s="310">
        <v>0</v>
      </c>
      <c r="AP77" s="310">
        <v>0.11619</v>
      </c>
      <c r="AQ77" s="310">
        <v>0.10467410000000001</v>
      </c>
      <c r="AR77" s="310">
        <v>0.1121052</v>
      </c>
      <c r="AS77" s="310">
        <v>0</v>
      </c>
      <c r="AT77" s="310">
        <v>0.1030697</v>
      </c>
      <c r="AU77" s="310">
        <v>0.1171884</v>
      </c>
      <c r="AV77" s="310">
        <v>0</v>
      </c>
      <c r="AW77" s="310">
        <v>0.11206380000000001</v>
      </c>
      <c r="AX77" s="310">
        <v>0.1049274</v>
      </c>
      <c r="AY77" s="310">
        <v>0.1152664</v>
      </c>
      <c r="AZ77" s="310">
        <v>0.1145712</v>
      </c>
      <c r="BA77" s="310">
        <v>0</v>
      </c>
      <c r="BB77" s="310">
        <v>0</v>
      </c>
      <c r="BC77" s="310">
        <v>0.1168428</v>
      </c>
      <c r="BD77" s="310">
        <v>0.116873</v>
      </c>
      <c r="BE77" s="310">
        <v>0.116602</v>
      </c>
      <c r="BF77" s="310">
        <v>0.1167937</v>
      </c>
      <c r="BG77" s="310">
        <v>0.1143541</v>
      </c>
      <c r="BH77" s="310">
        <v>0.11383409999999999</v>
      </c>
      <c r="BI77" s="310">
        <v>0.1172547</v>
      </c>
      <c r="BJ77" s="310">
        <v>0.1175718</v>
      </c>
      <c r="BK77" s="310">
        <v>0.11803710000000001</v>
      </c>
    </row>
    <row r="78" spans="1:63" x14ac:dyDescent="0.25">
      <c r="A78" s="306">
        <v>314120</v>
      </c>
      <c r="B78" s="310" t="s">
        <v>67</v>
      </c>
      <c r="C78" s="310">
        <v>0.1857645</v>
      </c>
      <c r="D78" s="310">
        <v>0</v>
      </c>
      <c r="E78" s="310">
        <v>0.1778043</v>
      </c>
      <c r="F78" s="310">
        <v>0.17842379999999999</v>
      </c>
      <c r="G78" s="310">
        <v>0.18317040000000001</v>
      </c>
      <c r="H78" s="310">
        <v>0.18531990000000001</v>
      </c>
      <c r="I78" s="310">
        <v>0.1844257</v>
      </c>
      <c r="J78" s="310">
        <v>0.16799559999999999</v>
      </c>
      <c r="K78" s="310">
        <v>7.4705800000000003E-2</v>
      </c>
      <c r="L78" s="310">
        <v>0.12271990000000001</v>
      </c>
      <c r="M78" s="310">
        <v>0.18140110000000001</v>
      </c>
      <c r="N78" s="310">
        <v>0.17117199999999999</v>
      </c>
      <c r="O78" s="310">
        <v>0.18576580000000001</v>
      </c>
      <c r="P78" s="310">
        <v>0.1836575</v>
      </c>
      <c r="Q78" s="310">
        <v>0.18578729999999999</v>
      </c>
      <c r="R78" s="310">
        <v>0.1816403</v>
      </c>
      <c r="S78" s="310">
        <v>0.17926980000000001</v>
      </c>
      <c r="T78" s="310">
        <v>0.18002489999999999</v>
      </c>
      <c r="U78" s="310">
        <v>0.1831024</v>
      </c>
      <c r="V78" s="310">
        <v>0.1819848</v>
      </c>
      <c r="W78" s="310">
        <v>0.1571814</v>
      </c>
      <c r="X78" s="310">
        <v>0.17512549999999999</v>
      </c>
      <c r="Y78" s="310">
        <v>0.18257119999999999</v>
      </c>
      <c r="Z78" s="310">
        <v>0.18127289999999999</v>
      </c>
      <c r="AA78" s="310">
        <v>0.1812375</v>
      </c>
      <c r="AB78" s="310">
        <v>0.17766460000000001</v>
      </c>
      <c r="AC78" s="310">
        <v>0.17525289999999999</v>
      </c>
      <c r="AD78" s="310">
        <v>0.1858137</v>
      </c>
      <c r="AE78" s="310">
        <v>0.18012819999999999</v>
      </c>
      <c r="AF78" s="310">
        <v>0.16805229999999999</v>
      </c>
      <c r="AG78" s="310">
        <v>0.17449719999999999</v>
      </c>
      <c r="AH78" s="310">
        <v>0.16037209999999999</v>
      </c>
      <c r="AI78" s="310">
        <v>0.1632403</v>
      </c>
      <c r="AJ78" s="310">
        <v>0.17889840000000001</v>
      </c>
      <c r="AK78" s="310">
        <v>0.17835100000000001</v>
      </c>
      <c r="AL78" s="310">
        <v>0.1698335</v>
      </c>
      <c r="AM78" s="310">
        <v>0.1795901</v>
      </c>
      <c r="AN78" s="310">
        <v>0.18579000000000001</v>
      </c>
      <c r="AO78" s="310">
        <v>0.17562990000000001</v>
      </c>
      <c r="AP78" s="310">
        <v>0.1822182</v>
      </c>
      <c r="AQ78" s="310">
        <v>0.1641077</v>
      </c>
      <c r="AR78" s="310">
        <v>0.17581359999999999</v>
      </c>
      <c r="AS78" s="310">
        <v>0.18226680000000001</v>
      </c>
      <c r="AT78" s="310">
        <v>0.1615974</v>
      </c>
      <c r="AU78" s="310">
        <v>0.18382039999999999</v>
      </c>
      <c r="AV78" s="310">
        <v>0.1857878</v>
      </c>
      <c r="AW78" s="310">
        <v>0.1757754</v>
      </c>
      <c r="AX78" s="310">
        <v>0.16451750000000001</v>
      </c>
      <c r="AY78" s="310">
        <v>0.1808179</v>
      </c>
      <c r="AZ78" s="310">
        <v>0.17967269999999999</v>
      </c>
      <c r="BA78" s="310">
        <v>0.1603308</v>
      </c>
      <c r="BB78" s="310">
        <v>8.863E-2</v>
      </c>
      <c r="BC78" s="310">
        <v>0.18324940000000001</v>
      </c>
      <c r="BD78" s="310">
        <v>0.1832733</v>
      </c>
      <c r="BE78" s="310">
        <v>0.1828668</v>
      </c>
      <c r="BF78" s="310">
        <v>0.18318100000000001</v>
      </c>
      <c r="BG78" s="310">
        <v>0.1793342</v>
      </c>
      <c r="BH78" s="310">
        <v>0.178531</v>
      </c>
      <c r="BI78" s="310">
        <v>0.18392559999999999</v>
      </c>
      <c r="BJ78" s="310">
        <v>0.1844172</v>
      </c>
      <c r="BK78" s="310">
        <v>0.1850975</v>
      </c>
    </row>
    <row r="79" spans="1:63" x14ac:dyDescent="0.25">
      <c r="A79" s="306">
        <v>314910</v>
      </c>
      <c r="B79" s="310" t="s">
        <v>68</v>
      </c>
      <c r="C79" s="310">
        <v>0.31633169999999999</v>
      </c>
      <c r="D79" s="310">
        <v>0.3042493</v>
      </c>
      <c r="E79" s="310">
        <v>0.30266959999999998</v>
      </c>
      <c r="F79" s="310">
        <v>0.303817</v>
      </c>
      <c r="G79" s="310">
        <v>0.31190669999999998</v>
      </c>
      <c r="H79" s="310">
        <v>0.31553330000000002</v>
      </c>
      <c r="I79" s="310">
        <v>0.31399569999999999</v>
      </c>
      <c r="J79" s="310">
        <v>0.28600449999999999</v>
      </c>
      <c r="K79" s="310">
        <v>0</v>
      </c>
      <c r="L79" s="310">
        <v>0.20892359999999999</v>
      </c>
      <c r="M79" s="310">
        <v>0.3088572</v>
      </c>
      <c r="N79" s="310">
        <v>0.29147899999999999</v>
      </c>
      <c r="O79" s="310">
        <v>0.31633899999999998</v>
      </c>
      <c r="P79" s="310">
        <v>0.3126698</v>
      </c>
      <c r="Q79" s="310">
        <v>0.31633739999999999</v>
      </c>
      <c r="R79" s="310">
        <v>0.30923309999999998</v>
      </c>
      <c r="S79" s="310">
        <v>0.30528040000000001</v>
      </c>
      <c r="T79" s="310">
        <v>0.30655139999999997</v>
      </c>
      <c r="U79" s="310">
        <v>0.31182549999999998</v>
      </c>
      <c r="V79" s="310">
        <v>0.30981120000000001</v>
      </c>
      <c r="W79" s="310">
        <v>0.26765450000000002</v>
      </c>
      <c r="X79" s="310">
        <v>0.29824030000000001</v>
      </c>
      <c r="Y79" s="310">
        <v>0.31084840000000002</v>
      </c>
      <c r="Z79" s="310">
        <v>0.30857780000000001</v>
      </c>
      <c r="AA79" s="310">
        <v>0.30859520000000001</v>
      </c>
      <c r="AB79" s="310">
        <v>0.30245480000000002</v>
      </c>
      <c r="AC79" s="310">
        <v>0.29837619999999998</v>
      </c>
      <c r="AD79" s="310">
        <v>0.31631710000000002</v>
      </c>
      <c r="AE79" s="310">
        <v>0.30664209999999997</v>
      </c>
      <c r="AF79" s="310">
        <v>0.28612949999999998</v>
      </c>
      <c r="AG79" s="310">
        <v>0.29712509999999998</v>
      </c>
      <c r="AH79" s="310">
        <v>0.27305289999999999</v>
      </c>
      <c r="AI79" s="310">
        <v>0.27790510000000002</v>
      </c>
      <c r="AJ79" s="310">
        <v>0.30456440000000001</v>
      </c>
      <c r="AK79" s="310">
        <v>0.30362050000000002</v>
      </c>
      <c r="AL79" s="310">
        <v>0.2892014</v>
      </c>
      <c r="AM79" s="310">
        <v>0.30575229999999998</v>
      </c>
      <c r="AN79" s="310">
        <v>0.31633509999999998</v>
      </c>
      <c r="AO79" s="310">
        <v>0.29905169999999998</v>
      </c>
      <c r="AP79" s="310">
        <v>0.310193</v>
      </c>
      <c r="AQ79" s="310">
        <v>0.27943820000000003</v>
      </c>
      <c r="AR79" s="310">
        <v>0.2993249</v>
      </c>
      <c r="AS79" s="310">
        <v>0.31035940000000001</v>
      </c>
      <c r="AT79" s="310">
        <v>0.27521820000000002</v>
      </c>
      <c r="AU79" s="310">
        <v>0.31293300000000002</v>
      </c>
      <c r="AV79" s="310">
        <v>0.31629800000000002</v>
      </c>
      <c r="AW79" s="310">
        <v>0.29925760000000001</v>
      </c>
      <c r="AX79" s="310">
        <v>0.28017310000000001</v>
      </c>
      <c r="AY79" s="310">
        <v>0.30782759999999998</v>
      </c>
      <c r="AZ79" s="310">
        <v>0.30592510000000001</v>
      </c>
      <c r="BA79" s="310">
        <v>0.27301940000000002</v>
      </c>
      <c r="BB79" s="310">
        <v>0.15083350000000001</v>
      </c>
      <c r="BC79" s="310">
        <v>0.31198740000000003</v>
      </c>
      <c r="BD79" s="310">
        <v>0.3120483</v>
      </c>
      <c r="BE79" s="310">
        <v>0.31130160000000001</v>
      </c>
      <c r="BF79" s="310">
        <v>0.31190370000000001</v>
      </c>
      <c r="BG79" s="310">
        <v>0.30537399999999998</v>
      </c>
      <c r="BH79" s="310">
        <v>0.30397439999999998</v>
      </c>
      <c r="BI79" s="310">
        <v>0.31314649999999999</v>
      </c>
      <c r="BJ79" s="310">
        <v>0.31393850000000001</v>
      </c>
      <c r="BK79" s="310">
        <v>0.3151486</v>
      </c>
    </row>
    <row r="80" spans="1:63" x14ac:dyDescent="0.25">
      <c r="A80" s="306">
        <v>314990</v>
      </c>
      <c r="B80" s="310" t="s">
        <v>69</v>
      </c>
      <c r="C80" s="310">
        <v>0.2366692</v>
      </c>
      <c r="D80" s="310">
        <v>0.22765260000000001</v>
      </c>
      <c r="E80" s="310">
        <v>0.2265103</v>
      </c>
      <c r="F80" s="310">
        <v>0.2273443</v>
      </c>
      <c r="G80" s="310">
        <v>0.23340340000000001</v>
      </c>
      <c r="H80" s="310">
        <v>0.2360698</v>
      </c>
      <c r="I80" s="310">
        <v>0.2349841</v>
      </c>
      <c r="J80" s="310">
        <v>0.21398220000000001</v>
      </c>
      <c r="K80" s="310">
        <v>0</v>
      </c>
      <c r="L80" s="310">
        <v>0.1563187</v>
      </c>
      <c r="M80" s="310">
        <v>0.2311096</v>
      </c>
      <c r="N80" s="310">
        <v>0.21811120000000001</v>
      </c>
      <c r="O80" s="310">
        <v>0.23669589999999999</v>
      </c>
      <c r="P80" s="310">
        <v>0.23401150000000001</v>
      </c>
      <c r="Q80" s="310">
        <v>0.23671719999999999</v>
      </c>
      <c r="R80" s="310">
        <v>0.23141809999999999</v>
      </c>
      <c r="S80" s="310">
        <v>0.22839590000000001</v>
      </c>
      <c r="T80" s="310">
        <v>0.22941429999999999</v>
      </c>
      <c r="U80" s="310">
        <v>0.23333329999999999</v>
      </c>
      <c r="V80" s="310">
        <v>0.2318279</v>
      </c>
      <c r="W80" s="310">
        <v>0.20026360000000001</v>
      </c>
      <c r="X80" s="310">
        <v>0.22314609999999999</v>
      </c>
      <c r="Y80" s="310">
        <v>0.23262340000000001</v>
      </c>
      <c r="Z80" s="310">
        <v>0.23093839999999999</v>
      </c>
      <c r="AA80" s="310">
        <v>0.23091159999999999</v>
      </c>
      <c r="AB80" s="310">
        <v>0.22631509999999999</v>
      </c>
      <c r="AC80" s="310">
        <v>0.22330749999999999</v>
      </c>
      <c r="AD80" s="310">
        <v>0.23672290000000001</v>
      </c>
      <c r="AE80" s="310">
        <v>0.22946250000000001</v>
      </c>
      <c r="AF80" s="310">
        <v>0.21410779999999999</v>
      </c>
      <c r="AG80" s="310">
        <v>0.22233040000000001</v>
      </c>
      <c r="AH80" s="310">
        <v>0.20432520000000001</v>
      </c>
      <c r="AI80" s="310">
        <v>0.20795330000000001</v>
      </c>
      <c r="AJ80" s="310">
        <v>0.22787760000000001</v>
      </c>
      <c r="AK80" s="310">
        <v>0.2271715</v>
      </c>
      <c r="AL80" s="310">
        <v>0.2163783</v>
      </c>
      <c r="AM80" s="310">
        <v>0.2287496</v>
      </c>
      <c r="AN80" s="310">
        <v>0.23668339999999999</v>
      </c>
      <c r="AO80" s="310">
        <v>0.2237478</v>
      </c>
      <c r="AP80" s="310">
        <v>0.23214399999999999</v>
      </c>
      <c r="AQ80" s="310">
        <v>0.20913280000000001</v>
      </c>
      <c r="AR80" s="310">
        <v>0.22402050000000001</v>
      </c>
      <c r="AS80" s="310">
        <v>0.23223930000000001</v>
      </c>
      <c r="AT80" s="310">
        <v>0.20591419999999999</v>
      </c>
      <c r="AU80" s="310">
        <v>0.23415920000000001</v>
      </c>
      <c r="AV80" s="310">
        <v>0.23666599999999999</v>
      </c>
      <c r="AW80" s="310">
        <v>0.22395889999999999</v>
      </c>
      <c r="AX80" s="310">
        <v>0.20965600000000001</v>
      </c>
      <c r="AY80" s="310">
        <v>0.2303801</v>
      </c>
      <c r="AZ80" s="310">
        <v>0.22893359999999999</v>
      </c>
      <c r="BA80" s="310">
        <v>0.20427190000000001</v>
      </c>
      <c r="BB80" s="310">
        <v>0.1128557</v>
      </c>
      <c r="BC80" s="310">
        <v>0.2334463</v>
      </c>
      <c r="BD80" s="310">
        <v>0.23350280000000001</v>
      </c>
      <c r="BE80" s="310">
        <v>0.23293169999999999</v>
      </c>
      <c r="BF80" s="310">
        <v>0.23342940000000001</v>
      </c>
      <c r="BG80" s="310">
        <v>0.2284668</v>
      </c>
      <c r="BH80" s="310">
        <v>0.2274525</v>
      </c>
      <c r="BI80" s="310">
        <v>0.23430690000000001</v>
      </c>
      <c r="BJ80" s="310">
        <v>0.2349434</v>
      </c>
      <c r="BK80" s="310">
        <v>0.2358527</v>
      </c>
    </row>
    <row r="81" spans="1:63" x14ac:dyDescent="0.25">
      <c r="A81" s="306">
        <v>315100</v>
      </c>
      <c r="B81" s="310" t="s">
        <v>70</v>
      </c>
      <c r="C81" s="310">
        <v>0.24149039999999999</v>
      </c>
      <c r="D81" s="310">
        <v>0</v>
      </c>
      <c r="E81" s="310">
        <v>0.2350226</v>
      </c>
      <c r="F81" s="310">
        <v>0.22729930000000001</v>
      </c>
      <c r="G81" s="310">
        <v>0.24</v>
      </c>
      <c r="H81" s="310">
        <v>0.24103069999999999</v>
      </c>
      <c r="I81" s="310">
        <v>0.23918719999999999</v>
      </c>
      <c r="J81" s="310">
        <v>0</v>
      </c>
      <c r="K81" s="310">
        <v>0</v>
      </c>
      <c r="L81" s="310">
        <v>0</v>
      </c>
      <c r="M81" s="310">
        <v>0.24006849999999999</v>
      </c>
      <c r="N81" s="310">
        <v>0.23094100000000001</v>
      </c>
      <c r="O81" s="310">
        <v>0</v>
      </c>
      <c r="P81" s="310">
        <v>0.23027520000000001</v>
      </c>
      <c r="Q81" s="310">
        <v>0</v>
      </c>
      <c r="R81" s="310">
        <v>0.23267640000000001</v>
      </c>
      <c r="S81" s="310">
        <v>0.23304939999999999</v>
      </c>
      <c r="T81" s="310">
        <v>0.20022119999999999</v>
      </c>
      <c r="U81" s="310">
        <v>0.2314039</v>
      </c>
      <c r="V81" s="310">
        <v>0.2356104</v>
      </c>
      <c r="W81" s="310">
        <v>0.2171748</v>
      </c>
      <c r="X81" s="310">
        <v>0</v>
      </c>
      <c r="Y81" s="310">
        <v>0</v>
      </c>
      <c r="Z81" s="310">
        <v>0.24080679999999999</v>
      </c>
      <c r="AA81" s="310">
        <v>0.2169787</v>
      </c>
      <c r="AB81" s="310">
        <v>0.22741510000000001</v>
      </c>
      <c r="AC81" s="310">
        <v>0.2318682</v>
      </c>
      <c r="AD81" s="310">
        <v>0</v>
      </c>
      <c r="AE81" s="310">
        <v>0.2354772</v>
      </c>
      <c r="AF81" s="310">
        <v>0</v>
      </c>
      <c r="AG81" s="310">
        <v>0</v>
      </c>
      <c r="AH81" s="310">
        <v>0</v>
      </c>
      <c r="AI81" s="310">
        <v>0.19914889999999999</v>
      </c>
      <c r="AJ81" s="310">
        <v>0.1249676</v>
      </c>
      <c r="AK81" s="310">
        <v>0</v>
      </c>
      <c r="AL81" s="310">
        <v>0.20050219999999999</v>
      </c>
      <c r="AM81" s="310">
        <v>0.23581150000000001</v>
      </c>
      <c r="AN81" s="310">
        <v>0</v>
      </c>
      <c r="AO81" s="310">
        <v>0.22293540000000001</v>
      </c>
      <c r="AP81" s="310">
        <v>0.23244090000000001</v>
      </c>
      <c r="AQ81" s="310">
        <v>0.23413539999999999</v>
      </c>
      <c r="AR81" s="310">
        <v>0.23139489999999999</v>
      </c>
      <c r="AS81" s="310">
        <v>0</v>
      </c>
      <c r="AT81" s="310">
        <v>0.2271831</v>
      </c>
      <c r="AU81" s="310">
        <v>0.2380765</v>
      </c>
      <c r="AV81" s="310">
        <v>0.237765</v>
      </c>
      <c r="AW81" s="310">
        <v>0.23189560000000001</v>
      </c>
      <c r="AX81" s="310">
        <v>0.22682330000000001</v>
      </c>
      <c r="AY81" s="310">
        <v>0</v>
      </c>
      <c r="AZ81" s="310">
        <v>0.23639309999999999</v>
      </c>
      <c r="BA81" s="310">
        <v>0</v>
      </c>
      <c r="BB81" s="310">
        <v>0</v>
      </c>
      <c r="BC81" s="310">
        <v>0.2346462</v>
      </c>
      <c r="BD81" s="310">
        <v>0.23467560000000001</v>
      </c>
      <c r="BE81" s="310">
        <v>0.23716519999999999</v>
      </c>
      <c r="BF81" s="310">
        <v>0.23217019999999999</v>
      </c>
      <c r="BG81" s="310">
        <v>0.2390554</v>
      </c>
      <c r="BH81" s="310">
        <v>0.23699219999999999</v>
      </c>
      <c r="BI81" s="310">
        <v>0.2382938</v>
      </c>
      <c r="BJ81" s="310">
        <v>0.2370023</v>
      </c>
      <c r="BK81" s="310">
        <v>0.2409731</v>
      </c>
    </row>
    <row r="82" spans="1:63" x14ac:dyDescent="0.25">
      <c r="A82" s="306">
        <v>315210</v>
      </c>
      <c r="B82" s="310" t="s">
        <v>71</v>
      </c>
      <c r="C82" s="310">
        <v>0.48292079999999998</v>
      </c>
      <c r="D82" s="310">
        <v>0</v>
      </c>
      <c r="E82" s="310">
        <v>0.46995150000000002</v>
      </c>
      <c r="F82" s="310">
        <v>0.45453070000000001</v>
      </c>
      <c r="G82" s="310">
        <v>0.47990559999999999</v>
      </c>
      <c r="H82" s="310">
        <v>0.48200359999999998</v>
      </c>
      <c r="I82" s="310">
        <v>0.47823450000000001</v>
      </c>
      <c r="J82" s="310">
        <v>0.43990360000000001</v>
      </c>
      <c r="K82" s="310">
        <v>8.3661299999999994E-2</v>
      </c>
      <c r="L82" s="310">
        <v>0.41949360000000002</v>
      </c>
      <c r="M82" s="310">
        <v>0.48005779999999998</v>
      </c>
      <c r="N82" s="310">
        <v>0.46181080000000002</v>
      </c>
      <c r="O82" s="310">
        <v>0.47639629999999999</v>
      </c>
      <c r="P82" s="310">
        <v>0.46054129999999999</v>
      </c>
      <c r="Q82" s="310">
        <v>0.473636</v>
      </c>
      <c r="R82" s="310">
        <v>0.46534130000000001</v>
      </c>
      <c r="S82" s="310">
        <v>0.46593059999999997</v>
      </c>
      <c r="T82" s="310">
        <v>0.40040179999999997</v>
      </c>
      <c r="U82" s="310">
        <v>0.46273900000000001</v>
      </c>
      <c r="V82" s="310">
        <v>0.47120200000000001</v>
      </c>
      <c r="W82" s="310">
        <v>0.43422719999999998</v>
      </c>
      <c r="X82" s="310">
        <v>0.4239252</v>
      </c>
      <c r="Y82" s="310">
        <v>0.48293750000000002</v>
      </c>
      <c r="Z82" s="310">
        <v>0.4815682</v>
      </c>
      <c r="AA82" s="310">
        <v>0.43384329999999999</v>
      </c>
      <c r="AB82" s="310">
        <v>0.45478229999999997</v>
      </c>
      <c r="AC82" s="310">
        <v>0.46362500000000001</v>
      </c>
      <c r="AD82" s="310">
        <v>0</v>
      </c>
      <c r="AE82" s="310">
        <v>0.47085949999999999</v>
      </c>
      <c r="AF82" s="310">
        <v>0.20670089999999999</v>
      </c>
      <c r="AG82" s="310">
        <v>0.39980260000000001</v>
      </c>
      <c r="AH82" s="310">
        <v>0.42796210000000001</v>
      </c>
      <c r="AI82" s="310">
        <v>0.39824470000000001</v>
      </c>
      <c r="AJ82" s="310">
        <v>0.24988340000000001</v>
      </c>
      <c r="AK82" s="310">
        <v>0.47450039999999999</v>
      </c>
      <c r="AL82" s="310">
        <v>0.40096870000000001</v>
      </c>
      <c r="AM82" s="310">
        <v>0.47162209999999999</v>
      </c>
      <c r="AN82" s="310">
        <v>0.48084369999999999</v>
      </c>
      <c r="AO82" s="310">
        <v>0.44584800000000002</v>
      </c>
      <c r="AP82" s="310">
        <v>0.46480650000000001</v>
      </c>
      <c r="AQ82" s="310">
        <v>0.46825460000000002</v>
      </c>
      <c r="AR82" s="310">
        <v>0.46265210000000001</v>
      </c>
      <c r="AS82" s="310">
        <v>0.47010069999999998</v>
      </c>
      <c r="AT82" s="310">
        <v>0.45423370000000002</v>
      </c>
      <c r="AU82" s="310">
        <v>0.47600979999999998</v>
      </c>
      <c r="AV82" s="310">
        <v>0.4755008</v>
      </c>
      <c r="AW82" s="310">
        <v>0.4637503</v>
      </c>
      <c r="AX82" s="310">
        <v>0.4536211</v>
      </c>
      <c r="AY82" s="310">
        <v>0.47673120000000002</v>
      </c>
      <c r="AZ82" s="310">
        <v>0.4727748</v>
      </c>
      <c r="BA82" s="310">
        <v>0.4413068</v>
      </c>
      <c r="BB82" s="310">
        <v>0</v>
      </c>
      <c r="BC82" s="310">
        <v>0.46916530000000001</v>
      </c>
      <c r="BD82" s="310">
        <v>0.46929539999999997</v>
      </c>
      <c r="BE82" s="310">
        <v>0.47433550000000002</v>
      </c>
      <c r="BF82" s="310">
        <v>0.46429130000000002</v>
      </c>
      <c r="BG82" s="310">
        <v>0.47805880000000001</v>
      </c>
      <c r="BH82" s="310">
        <v>0.4739853</v>
      </c>
      <c r="BI82" s="310">
        <v>0.47655019999999998</v>
      </c>
      <c r="BJ82" s="310">
        <v>0.47396640000000001</v>
      </c>
      <c r="BK82" s="310">
        <v>0.48192049999999997</v>
      </c>
    </row>
    <row r="83" spans="1:63" x14ac:dyDescent="0.25">
      <c r="A83" s="306">
        <v>315220</v>
      </c>
      <c r="B83" s="310" t="s">
        <v>72</v>
      </c>
      <c r="C83" s="310">
        <v>0.1595858</v>
      </c>
      <c r="D83" s="310">
        <v>0</v>
      </c>
      <c r="E83" s="310">
        <v>0.15531200000000001</v>
      </c>
      <c r="F83" s="310">
        <v>0.15021080000000001</v>
      </c>
      <c r="G83" s="310">
        <v>0.15858430000000001</v>
      </c>
      <c r="H83" s="310">
        <v>0.15926070000000001</v>
      </c>
      <c r="I83" s="310">
        <v>0.15803120000000001</v>
      </c>
      <c r="J83" s="310">
        <v>0.14535999999999999</v>
      </c>
      <c r="K83" s="310">
        <v>2.7653799999999999E-2</v>
      </c>
      <c r="L83" s="310">
        <v>0</v>
      </c>
      <c r="M83" s="310">
        <v>0.15863769999999999</v>
      </c>
      <c r="N83" s="310">
        <v>0.152617</v>
      </c>
      <c r="O83" s="310">
        <v>0.15743779999999999</v>
      </c>
      <c r="P83" s="310">
        <v>0.15219769999999999</v>
      </c>
      <c r="Q83" s="310">
        <v>0.1565154</v>
      </c>
      <c r="R83" s="310">
        <v>0.1537935</v>
      </c>
      <c r="S83" s="310">
        <v>0.15398020000000001</v>
      </c>
      <c r="T83" s="310">
        <v>0.13228409999999999</v>
      </c>
      <c r="U83" s="310">
        <v>0.15293190000000001</v>
      </c>
      <c r="V83" s="310">
        <v>0.15569910000000001</v>
      </c>
      <c r="W83" s="310">
        <v>0.14350009999999999</v>
      </c>
      <c r="X83" s="310">
        <v>0.14012279999999999</v>
      </c>
      <c r="Y83" s="310">
        <v>0.1595936</v>
      </c>
      <c r="Z83" s="310">
        <v>0.15915260000000001</v>
      </c>
      <c r="AA83" s="310">
        <v>0.14333770000000001</v>
      </c>
      <c r="AB83" s="310">
        <v>0.15026320000000001</v>
      </c>
      <c r="AC83" s="310">
        <v>0.15319730000000001</v>
      </c>
      <c r="AD83" s="310">
        <v>0</v>
      </c>
      <c r="AE83" s="310">
        <v>0.15558240000000001</v>
      </c>
      <c r="AF83" s="310">
        <v>0</v>
      </c>
      <c r="AG83" s="310">
        <v>0.1320868</v>
      </c>
      <c r="AH83" s="310">
        <v>0.14139370000000001</v>
      </c>
      <c r="AI83" s="310">
        <v>0.13159489999999999</v>
      </c>
      <c r="AJ83" s="310">
        <v>8.2541900000000001E-2</v>
      </c>
      <c r="AK83" s="310">
        <v>0.15678400000000001</v>
      </c>
      <c r="AL83" s="310">
        <v>0.1324813</v>
      </c>
      <c r="AM83" s="310">
        <v>0.15582209999999999</v>
      </c>
      <c r="AN83" s="310">
        <v>0.15887100000000001</v>
      </c>
      <c r="AO83" s="310">
        <v>0.1473004</v>
      </c>
      <c r="AP83" s="310">
        <v>0.153583</v>
      </c>
      <c r="AQ83" s="310">
        <v>0.1547048</v>
      </c>
      <c r="AR83" s="310">
        <v>0.1528843</v>
      </c>
      <c r="AS83" s="310">
        <v>0</v>
      </c>
      <c r="AT83" s="310">
        <v>0.15012800000000001</v>
      </c>
      <c r="AU83" s="310">
        <v>0.15728629999999999</v>
      </c>
      <c r="AV83" s="310">
        <v>0.15714900000000001</v>
      </c>
      <c r="AW83" s="310">
        <v>0.1532502</v>
      </c>
      <c r="AX83" s="310">
        <v>0.14986140000000001</v>
      </c>
      <c r="AY83" s="310">
        <v>0.15756719999999999</v>
      </c>
      <c r="AZ83" s="310">
        <v>0.156219</v>
      </c>
      <c r="BA83" s="310">
        <v>0.14583930000000001</v>
      </c>
      <c r="BB83" s="310">
        <v>0.15959899999999999</v>
      </c>
      <c r="BC83" s="310">
        <v>0.15505279999999999</v>
      </c>
      <c r="BD83" s="310">
        <v>0.1550511</v>
      </c>
      <c r="BE83" s="310">
        <v>0.15674350000000001</v>
      </c>
      <c r="BF83" s="310">
        <v>0.15340880000000001</v>
      </c>
      <c r="BG83" s="310">
        <v>0.15795319999999999</v>
      </c>
      <c r="BH83" s="310">
        <v>0.156614</v>
      </c>
      <c r="BI83" s="310">
        <v>0.15746959999999999</v>
      </c>
      <c r="BJ83" s="310">
        <v>0.15661810000000001</v>
      </c>
      <c r="BK83" s="310">
        <v>0.1592672</v>
      </c>
    </row>
    <row r="84" spans="1:63" x14ac:dyDescent="0.25">
      <c r="A84" s="306">
        <v>315230</v>
      </c>
      <c r="B84" s="310" t="s">
        <v>73</v>
      </c>
      <c r="C84" s="310">
        <v>0.15811459999999999</v>
      </c>
      <c r="D84" s="310">
        <v>0</v>
      </c>
      <c r="E84" s="310">
        <v>0.15389439999999999</v>
      </c>
      <c r="F84" s="310">
        <v>0.14882090000000001</v>
      </c>
      <c r="G84" s="310">
        <v>0.15713350000000001</v>
      </c>
      <c r="H84" s="310">
        <v>0.15782089999999999</v>
      </c>
      <c r="I84" s="310">
        <v>0.15660540000000001</v>
      </c>
      <c r="J84" s="310">
        <v>0.144007</v>
      </c>
      <c r="K84" s="310">
        <v>2.7380999999999999E-2</v>
      </c>
      <c r="L84" s="310">
        <v>0</v>
      </c>
      <c r="M84" s="310">
        <v>0.15715209999999999</v>
      </c>
      <c r="N84" s="310">
        <v>0.1512193</v>
      </c>
      <c r="O84" s="310">
        <v>0.15597800000000001</v>
      </c>
      <c r="P84" s="310">
        <v>0.1507849</v>
      </c>
      <c r="Q84" s="310">
        <v>0.15507989999999999</v>
      </c>
      <c r="R84" s="310">
        <v>0.15234210000000001</v>
      </c>
      <c r="S84" s="310">
        <v>0.15258279999999999</v>
      </c>
      <c r="T84" s="310">
        <v>0.13111049999999999</v>
      </c>
      <c r="U84" s="310">
        <v>0.1515117</v>
      </c>
      <c r="V84" s="310">
        <v>0.15425939999999999</v>
      </c>
      <c r="W84" s="310">
        <v>0.1421644</v>
      </c>
      <c r="X84" s="310">
        <v>0.13881080000000001</v>
      </c>
      <c r="Y84" s="310">
        <v>0.1581002</v>
      </c>
      <c r="Z84" s="310">
        <v>0.1576708</v>
      </c>
      <c r="AA84" s="310">
        <v>0.14204339999999999</v>
      </c>
      <c r="AB84" s="310">
        <v>0.14886440000000001</v>
      </c>
      <c r="AC84" s="310">
        <v>0.15179139999999999</v>
      </c>
      <c r="AD84" s="310">
        <v>0</v>
      </c>
      <c r="AE84" s="310">
        <v>0.15416550000000001</v>
      </c>
      <c r="AF84" s="310">
        <v>6.7660399999999996E-2</v>
      </c>
      <c r="AG84" s="310">
        <v>0.13090060000000001</v>
      </c>
      <c r="AH84" s="310">
        <v>0.1400959</v>
      </c>
      <c r="AI84" s="310">
        <v>0.13039429999999999</v>
      </c>
      <c r="AJ84" s="310">
        <v>8.1816899999999998E-2</v>
      </c>
      <c r="AK84" s="310">
        <v>0.15533330000000001</v>
      </c>
      <c r="AL84" s="310">
        <v>0.1312885</v>
      </c>
      <c r="AM84" s="310">
        <v>0.15440380000000001</v>
      </c>
      <c r="AN84" s="310">
        <v>0.15739439999999999</v>
      </c>
      <c r="AO84" s="310">
        <v>0.1459907</v>
      </c>
      <c r="AP84" s="310">
        <v>0.15220020000000001</v>
      </c>
      <c r="AQ84" s="310">
        <v>0</v>
      </c>
      <c r="AR84" s="310">
        <v>0.151478</v>
      </c>
      <c r="AS84" s="310">
        <v>0</v>
      </c>
      <c r="AT84" s="310">
        <v>0.148728</v>
      </c>
      <c r="AU84" s="310">
        <v>0.15585650000000001</v>
      </c>
      <c r="AV84" s="310">
        <v>0.15568370000000001</v>
      </c>
      <c r="AW84" s="310">
        <v>0.15183369999999999</v>
      </c>
      <c r="AX84" s="310">
        <v>0.1485195</v>
      </c>
      <c r="AY84" s="310">
        <v>0.1561256</v>
      </c>
      <c r="AZ84" s="310">
        <v>0.1548033</v>
      </c>
      <c r="BA84" s="310">
        <v>0</v>
      </c>
      <c r="BB84" s="310">
        <v>0.15814149999999999</v>
      </c>
      <c r="BC84" s="310">
        <v>0.15361620000000001</v>
      </c>
      <c r="BD84" s="310">
        <v>0.15366969999999999</v>
      </c>
      <c r="BE84" s="310">
        <v>0.1552885</v>
      </c>
      <c r="BF84" s="310">
        <v>0.1520408</v>
      </c>
      <c r="BG84" s="310">
        <v>0.1565098</v>
      </c>
      <c r="BH84" s="310">
        <v>0.15518470000000001</v>
      </c>
      <c r="BI84" s="310">
        <v>0.1560436</v>
      </c>
      <c r="BJ84" s="310">
        <v>0.15515229999999999</v>
      </c>
      <c r="BK84" s="310">
        <v>0.1578069</v>
      </c>
    </row>
    <row r="85" spans="1:63" x14ac:dyDescent="0.25">
      <c r="A85" s="306">
        <v>315290</v>
      </c>
      <c r="B85" s="310" t="s">
        <v>74</v>
      </c>
      <c r="C85" s="310">
        <v>0.30594529999999998</v>
      </c>
      <c r="D85" s="310">
        <v>0</v>
      </c>
      <c r="E85" s="310">
        <v>0.29772500000000002</v>
      </c>
      <c r="F85" s="310">
        <v>0</v>
      </c>
      <c r="G85" s="310">
        <v>0.30401850000000002</v>
      </c>
      <c r="H85" s="310">
        <v>0.30537239999999999</v>
      </c>
      <c r="I85" s="310">
        <v>0.30301400000000001</v>
      </c>
      <c r="J85" s="310">
        <v>0.27862880000000001</v>
      </c>
      <c r="K85" s="310">
        <v>0</v>
      </c>
      <c r="L85" s="310">
        <v>0</v>
      </c>
      <c r="M85" s="310">
        <v>0.30407459999999997</v>
      </c>
      <c r="N85" s="310">
        <v>0.29257319999999998</v>
      </c>
      <c r="O85" s="310">
        <v>0.30180859999999998</v>
      </c>
      <c r="P85" s="310">
        <v>0.29173169999999998</v>
      </c>
      <c r="Q85" s="310">
        <v>0.30006880000000002</v>
      </c>
      <c r="R85" s="310">
        <v>0.29480590000000001</v>
      </c>
      <c r="S85" s="310">
        <v>0.29515130000000001</v>
      </c>
      <c r="T85" s="310">
        <v>0.25365569999999998</v>
      </c>
      <c r="U85" s="310">
        <v>0.29317530000000003</v>
      </c>
      <c r="V85" s="310">
        <v>0.29848229999999998</v>
      </c>
      <c r="W85" s="310">
        <v>0.27510489999999999</v>
      </c>
      <c r="X85" s="310">
        <v>0.26857700000000001</v>
      </c>
      <c r="Y85" s="310">
        <v>0.30597069999999998</v>
      </c>
      <c r="Z85" s="310">
        <v>0.30507060000000003</v>
      </c>
      <c r="AA85" s="310">
        <v>0.2748389</v>
      </c>
      <c r="AB85" s="310">
        <v>0.28810180000000002</v>
      </c>
      <c r="AC85" s="310">
        <v>0.2937303</v>
      </c>
      <c r="AD85" s="310">
        <v>0</v>
      </c>
      <c r="AE85" s="310">
        <v>0.2983053</v>
      </c>
      <c r="AF85" s="310">
        <v>0</v>
      </c>
      <c r="AG85" s="310">
        <v>0.25330609999999998</v>
      </c>
      <c r="AH85" s="310">
        <v>0.27113480000000001</v>
      </c>
      <c r="AI85" s="310">
        <v>0.25226349999999997</v>
      </c>
      <c r="AJ85" s="310">
        <v>0.15830710000000001</v>
      </c>
      <c r="AK85" s="310">
        <v>0.30054839999999999</v>
      </c>
      <c r="AL85" s="310">
        <v>0.25398789999999999</v>
      </c>
      <c r="AM85" s="310">
        <v>0.29874980000000001</v>
      </c>
      <c r="AN85" s="310">
        <v>0.30455149999999998</v>
      </c>
      <c r="AO85" s="310">
        <v>0.28239429999999999</v>
      </c>
      <c r="AP85" s="310">
        <v>0.29445260000000001</v>
      </c>
      <c r="AQ85" s="310">
        <v>0.29663689999999998</v>
      </c>
      <c r="AR85" s="310">
        <v>0.29313220000000001</v>
      </c>
      <c r="AS85" s="310">
        <v>0.29784179999999999</v>
      </c>
      <c r="AT85" s="310">
        <v>0.28779009999999999</v>
      </c>
      <c r="AU85" s="310">
        <v>0.30158079999999998</v>
      </c>
      <c r="AV85" s="310">
        <v>0.30123559999999999</v>
      </c>
      <c r="AW85" s="310">
        <v>0.29374119999999998</v>
      </c>
      <c r="AX85" s="310">
        <v>0.28734169999999998</v>
      </c>
      <c r="AY85" s="310">
        <v>0.30202109999999999</v>
      </c>
      <c r="AZ85" s="310">
        <v>0.29949619999999999</v>
      </c>
      <c r="BA85" s="310">
        <v>0</v>
      </c>
      <c r="BB85" s="310">
        <v>0</v>
      </c>
      <c r="BC85" s="310">
        <v>0.29726449999999999</v>
      </c>
      <c r="BD85" s="310">
        <v>0.29728569999999999</v>
      </c>
      <c r="BE85" s="310">
        <v>0.30050100000000002</v>
      </c>
      <c r="BF85" s="310">
        <v>0.29414200000000001</v>
      </c>
      <c r="BG85" s="310">
        <v>0.30286649999999998</v>
      </c>
      <c r="BH85" s="310">
        <v>0.30024990000000001</v>
      </c>
      <c r="BI85" s="310">
        <v>0.30185830000000002</v>
      </c>
      <c r="BJ85" s="310">
        <v>0.3002532</v>
      </c>
      <c r="BK85" s="310">
        <v>0.30529780000000001</v>
      </c>
    </row>
    <row r="86" spans="1:63" x14ac:dyDescent="0.25">
      <c r="A86" s="306">
        <v>315900</v>
      </c>
      <c r="B86" s="310" t="s">
        <v>75</v>
      </c>
      <c r="C86" s="310">
        <v>0.2948944</v>
      </c>
      <c r="D86" s="310">
        <v>0.29492420000000003</v>
      </c>
      <c r="E86" s="310">
        <v>0.28699140000000001</v>
      </c>
      <c r="F86" s="310">
        <v>0.27762100000000001</v>
      </c>
      <c r="G86" s="310">
        <v>0.29307109999999997</v>
      </c>
      <c r="H86" s="310">
        <v>0.29433939999999997</v>
      </c>
      <c r="I86" s="310">
        <v>0.29206530000000003</v>
      </c>
      <c r="J86" s="310">
        <v>0.26861629999999997</v>
      </c>
      <c r="K86" s="310">
        <v>0</v>
      </c>
      <c r="L86" s="310">
        <v>0.2561542</v>
      </c>
      <c r="M86" s="310">
        <v>0.29311369999999998</v>
      </c>
      <c r="N86" s="310">
        <v>0.28204829999999997</v>
      </c>
      <c r="O86" s="310">
        <v>0.2909117</v>
      </c>
      <c r="P86" s="310">
        <v>0.2812172</v>
      </c>
      <c r="Q86" s="310">
        <v>0.28923589999999999</v>
      </c>
      <c r="R86" s="310">
        <v>0.28417419999999999</v>
      </c>
      <c r="S86" s="310">
        <v>0.28456150000000002</v>
      </c>
      <c r="T86" s="310">
        <v>0.24454090000000001</v>
      </c>
      <c r="U86" s="310">
        <v>0.28259529999999999</v>
      </c>
      <c r="V86" s="310">
        <v>0.2877479</v>
      </c>
      <c r="W86" s="310">
        <v>0.2651966</v>
      </c>
      <c r="X86" s="310">
        <v>0.25889430000000002</v>
      </c>
      <c r="Y86" s="310">
        <v>0.29492109999999999</v>
      </c>
      <c r="Z86" s="310">
        <v>0.29408659999999998</v>
      </c>
      <c r="AA86" s="310">
        <v>0.2649687</v>
      </c>
      <c r="AB86" s="310">
        <v>0.27773150000000002</v>
      </c>
      <c r="AC86" s="310">
        <v>0.28309869999999998</v>
      </c>
      <c r="AD86" s="310">
        <v>0.29494609999999999</v>
      </c>
      <c r="AE86" s="310">
        <v>0.28753250000000002</v>
      </c>
      <c r="AF86" s="310">
        <v>0.12621660000000001</v>
      </c>
      <c r="AG86" s="310">
        <v>0.24419179999999999</v>
      </c>
      <c r="AH86" s="310">
        <v>0.26133729999999999</v>
      </c>
      <c r="AI86" s="310">
        <v>0.2431652</v>
      </c>
      <c r="AJ86" s="310">
        <v>0.1525733</v>
      </c>
      <c r="AK86" s="310">
        <v>0.28972959999999998</v>
      </c>
      <c r="AL86" s="310">
        <v>0.24483579999999999</v>
      </c>
      <c r="AM86" s="310">
        <v>0.28805560000000002</v>
      </c>
      <c r="AN86" s="310">
        <v>0.29364129999999999</v>
      </c>
      <c r="AO86" s="310">
        <v>0.27228609999999998</v>
      </c>
      <c r="AP86" s="310">
        <v>0.2838561</v>
      </c>
      <c r="AQ86" s="310">
        <v>0.28597</v>
      </c>
      <c r="AR86" s="310">
        <v>0.28254829999999997</v>
      </c>
      <c r="AS86" s="310">
        <v>0.2871263</v>
      </c>
      <c r="AT86" s="310">
        <v>0.2774374</v>
      </c>
      <c r="AU86" s="310">
        <v>0.29068739999999998</v>
      </c>
      <c r="AV86" s="310">
        <v>0.29039140000000002</v>
      </c>
      <c r="AW86" s="310">
        <v>0.28321420000000003</v>
      </c>
      <c r="AX86" s="310">
        <v>0.27703820000000001</v>
      </c>
      <c r="AY86" s="310">
        <v>0.29118850000000002</v>
      </c>
      <c r="AZ86" s="310">
        <v>0.28870400000000002</v>
      </c>
      <c r="BA86" s="310">
        <v>0.26955459999999998</v>
      </c>
      <c r="BB86" s="310">
        <v>0.29492689999999999</v>
      </c>
      <c r="BC86" s="310">
        <v>0.28653859999999998</v>
      </c>
      <c r="BD86" s="310">
        <v>0.28656870000000001</v>
      </c>
      <c r="BE86" s="310">
        <v>0.2896611</v>
      </c>
      <c r="BF86" s="310">
        <v>0.28352139999999998</v>
      </c>
      <c r="BG86" s="310">
        <v>0.29194120000000001</v>
      </c>
      <c r="BH86" s="310">
        <v>0.28942059999999997</v>
      </c>
      <c r="BI86" s="310">
        <v>0.29100559999999998</v>
      </c>
      <c r="BJ86" s="310">
        <v>0.28941879999999998</v>
      </c>
      <c r="BK86" s="310">
        <v>0.29432580000000003</v>
      </c>
    </row>
    <row r="87" spans="1:63" x14ac:dyDescent="0.25">
      <c r="A87" s="306">
        <v>316100</v>
      </c>
      <c r="B87" s="310" t="s">
        <v>76</v>
      </c>
      <c r="C87" s="310">
        <v>0.1399804</v>
      </c>
      <c r="D87" s="310">
        <v>0.14000570000000001</v>
      </c>
      <c r="E87" s="310">
        <v>0.13569510000000001</v>
      </c>
      <c r="F87" s="310">
        <v>0</v>
      </c>
      <c r="G87" s="310">
        <v>0.13998910000000001</v>
      </c>
      <c r="H87" s="310">
        <v>0.13986460000000001</v>
      </c>
      <c r="I87" s="310">
        <v>0.13996249999999999</v>
      </c>
      <c r="J87" s="310">
        <v>0</v>
      </c>
      <c r="K87" s="310">
        <v>0</v>
      </c>
      <c r="L87" s="310">
        <v>0</v>
      </c>
      <c r="M87" s="310">
        <v>0.13918050000000001</v>
      </c>
      <c r="N87" s="310">
        <v>0.13456309999999999</v>
      </c>
      <c r="O87" s="310">
        <v>0</v>
      </c>
      <c r="P87" s="310">
        <v>0.13491110000000001</v>
      </c>
      <c r="Q87" s="310">
        <v>0.1390643</v>
      </c>
      <c r="R87" s="310">
        <v>0.13630220000000001</v>
      </c>
      <c r="S87" s="310">
        <v>0.1248948</v>
      </c>
      <c r="T87" s="310">
        <v>0</v>
      </c>
      <c r="U87" s="310">
        <v>0.134823</v>
      </c>
      <c r="V87" s="310">
        <v>0.13975000000000001</v>
      </c>
      <c r="W87" s="310">
        <v>0.1311203</v>
      </c>
      <c r="X87" s="310">
        <v>0.1024137</v>
      </c>
      <c r="Y87" s="310">
        <v>0.13492680000000001</v>
      </c>
      <c r="Z87" s="310">
        <v>0.13992769999999999</v>
      </c>
      <c r="AA87" s="310">
        <v>9.5165799999999995E-2</v>
      </c>
      <c r="AB87" s="310">
        <v>0.13609750000000001</v>
      </c>
      <c r="AC87" s="310">
        <v>0.1282624</v>
      </c>
      <c r="AD87" s="310">
        <v>0.13996149999999999</v>
      </c>
      <c r="AE87" s="310">
        <v>0.13278100000000001</v>
      </c>
      <c r="AF87" s="310">
        <v>0</v>
      </c>
      <c r="AG87" s="310">
        <v>9.0307600000000002E-2</v>
      </c>
      <c r="AH87" s="310">
        <v>0.101925</v>
      </c>
      <c r="AI87" s="310">
        <v>0.1288434</v>
      </c>
      <c r="AJ87" s="310">
        <v>0</v>
      </c>
      <c r="AK87" s="310">
        <v>0</v>
      </c>
      <c r="AL87" s="310">
        <v>0.1174065</v>
      </c>
      <c r="AM87" s="310">
        <v>0.13838800000000001</v>
      </c>
      <c r="AN87" s="310">
        <v>0.13559860000000001</v>
      </c>
      <c r="AO87" s="310">
        <v>0.13336290000000001</v>
      </c>
      <c r="AP87" s="310">
        <v>0.13023799999999999</v>
      </c>
      <c r="AQ87" s="310">
        <v>0</v>
      </c>
      <c r="AR87" s="310">
        <v>0.13996</v>
      </c>
      <c r="AS87" s="310">
        <v>0</v>
      </c>
      <c r="AT87" s="310">
        <v>0.1350604</v>
      </c>
      <c r="AU87" s="310">
        <v>0.13840169999999999</v>
      </c>
      <c r="AV87" s="310">
        <v>0.13998530000000001</v>
      </c>
      <c r="AW87" s="310">
        <v>0</v>
      </c>
      <c r="AX87" s="310">
        <v>0</v>
      </c>
      <c r="AY87" s="310">
        <v>0.12577099999999999</v>
      </c>
      <c r="AZ87" s="310">
        <v>0.13457040000000001</v>
      </c>
      <c r="BA87" s="310">
        <v>0.1348154</v>
      </c>
      <c r="BB87" s="310">
        <v>0.1399812</v>
      </c>
      <c r="BC87" s="310">
        <v>0.13868430000000001</v>
      </c>
      <c r="BD87" s="310">
        <v>0.1338182</v>
      </c>
      <c r="BE87" s="310">
        <v>0.13825489999999999</v>
      </c>
      <c r="BF87" s="310">
        <v>0.1238098</v>
      </c>
      <c r="BG87" s="310">
        <v>0.13744219999999999</v>
      </c>
      <c r="BH87" s="310">
        <v>0.13797490000000001</v>
      </c>
      <c r="BI87" s="310">
        <v>0.13884550000000001</v>
      </c>
      <c r="BJ87" s="310">
        <v>0.1399022</v>
      </c>
      <c r="BK87" s="310">
        <v>0.13920399999999999</v>
      </c>
    </row>
    <row r="88" spans="1:63" x14ac:dyDescent="0.25">
      <c r="A88" s="306">
        <v>316200</v>
      </c>
      <c r="B88" s="310" t="s">
        <v>77</v>
      </c>
      <c r="C88" s="310">
        <v>0.27307969999999998</v>
      </c>
      <c r="D88" s="310">
        <v>0</v>
      </c>
      <c r="E88" s="310">
        <v>0</v>
      </c>
      <c r="F88" s="310">
        <v>0.26831919999999998</v>
      </c>
      <c r="G88" s="310">
        <v>0.27304260000000002</v>
      </c>
      <c r="H88" s="310">
        <v>0.27287830000000002</v>
      </c>
      <c r="I88" s="310">
        <v>0.27310839999999997</v>
      </c>
      <c r="J88" s="310">
        <v>0</v>
      </c>
      <c r="K88" s="310">
        <v>0</v>
      </c>
      <c r="L88" s="310">
        <v>0</v>
      </c>
      <c r="M88" s="310">
        <v>0.27150649999999998</v>
      </c>
      <c r="N88" s="310">
        <v>0.26248569999999999</v>
      </c>
      <c r="O88" s="310">
        <v>0.27309169999999999</v>
      </c>
      <c r="P88" s="310">
        <v>0</v>
      </c>
      <c r="Q88" s="310">
        <v>0.2713064</v>
      </c>
      <c r="R88" s="310">
        <v>0.26591969999999998</v>
      </c>
      <c r="S88" s="310">
        <v>0.2436586</v>
      </c>
      <c r="T88" s="310">
        <v>0</v>
      </c>
      <c r="U88" s="310">
        <v>0.26298009999999999</v>
      </c>
      <c r="V88" s="310">
        <v>0</v>
      </c>
      <c r="W88" s="310">
        <v>0.25577689999999997</v>
      </c>
      <c r="X88" s="310">
        <v>0.1998414</v>
      </c>
      <c r="Y88" s="310">
        <v>0.26317590000000002</v>
      </c>
      <c r="Z88" s="310">
        <v>0.27297890000000002</v>
      </c>
      <c r="AA88" s="310">
        <v>0.18564020000000001</v>
      </c>
      <c r="AB88" s="310">
        <v>0.26550099999999999</v>
      </c>
      <c r="AC88" s="310">
        <v>0</v>
      </c>
      <c r="AD88" s="310">
        <v>0.27306150000000001</v>
      </c>
      <c r="AE88" s="310">
        <v>0.25906699999999999</v>
      </c>
      <c r="AF88" s="310">
        <v>0.27304260000000002</v>
      </c>
      <c r="AG88" s="310">
        <v>0.1761644</v>
      </c>
      <c r="AH88" s="310">
        <v>0.1988626</v>
      </c>
      <c r="AI88" s="310">
        <v>0.2513803</v>
      </c>
      <c r="AJ88" s="310">
        <v>0</v>
      </c>
      <c r="AK88" s="310">
        <v>0</v>
      </c>
      <c r="AL88" s="310">
        <v>0.22907069999999999</v>
      </c>
      <c r="AM88" s="310">
        <v>0.26997120000000002</v>
      </c>
      <c r="AN88" s="310">
        <v>0.2645248</v>
      </c>
      <c r="AO88" s="310">
        <v>0.26016600000000001</v>
      </c>
      <c r="AP88" s="310">
        <v>0.25402979999999997</v>
      </c>
      <c r="AQ88" s="310">
        <v>0</v>
      </c>
      <c r="AR88" s="310">
        <v>0.27309070000000002</v>
      </c>
      <c r="AS88" s="310">
        <v>0</v>
      </c>
      <c r="AT88" s="310">
        <v>0.2634436</v>
      </c>
      <c r="AU88" s="310">
        <v>0.2699879</v>
      </c>
      <c r="AV88" s="310">
        <v>0</v>
      </c>
      <c r="AW88" s="310">
        <v>0.25987719999999997</v>
      </c>
      <c r="AX88" s="310">
        <v>0</v>
      </c>
      <c r="AY88" s="310">
        <v>0.24533430000000001</v>
      </c>
      <c r="AZ88" s="310">
        <v>0.26253720000000003</v>
      </c>
      <c r="BA88" s="310">
        <v>0</v>
      </c>
      <c r="BB88" s="310">
        <v>0</v>
      </c>
      <c r="BC88" s="310">
        <v>0.270594</v>
      </c>
      <c r="BD88" s="310">
        <v>0.26109919999999998</v>
      </c>
      <c r="BE88" s="310">
        <v>0.26968609999999998</v>
      </c>
      <c r="BF88" s="310">
        <v>0.2415716</v>
      </c>
      <c r="BG88" s="310">
        <v>0.26817869999999999</v>
      </c>
      <c r="BH88" s="310">
        <v>0.26921840000000002</v>
      </c>
      <c r="BI88" s="310">
        <v>0.27088899999999999</v>
      </c>
      <c r="BJ88" s="310">
        <v>0.27292480000000002</v>
      </c>
      <c r="BK88" s="310">
        <v>0.27149319999999999</v>
      </c>
    </row>
    <row r="89" spans="1:63" x14ac:dyDescent="0.25">
      <c r="A89" s="306">
        <v>316900</v>
      </c>
      <c r="B89" s="310" t="s">
        <v>78</v>
      </c>
      <c r="C89" s="310">
        <v>0.26387890000000003</v>
      </c>
      <c r="D89" s="310">
        <v>0</v>
      </c>
      <c r="E89" s="310">
        <v>0.25577030000000001</v>
      </c>
      <c r="F89" s="310">
        <v>0.25928830000000003</v>
      </c>
      <c r="G89" s="310">
        <v>0.26385069999999999</v>
      </c>
      <c r="H89" s="310">
        <v>0.26364579999999999</v>
      </c>
      <c r="I89" s="310">
        <v>0.26384099999999999</v>
      </c>
      <c r="J89" s="310">
        <v>0.24302070000000001</v>
      </c>
      <c r="K89" s="310">
        <v>0</v>
      </c>
      <c r="L89" s="310">
        <v>0.24874650000000001</v>
      </c>
      <c r="M89" s="310">
        <v>0.26237890000000003</v>
      </c>
      <c r="N89" s="310">
        <v>0.25362760000000001</v>
      </c>
      <c r="O89" s="310">
        <v>0</v>
      </c>
      <c r="P89" s="310">
        <v>0.25431989999999999</v>
      </c>
      <c r="Q89" s="310">
        <v>0.26210889999999998</v>
      </c>
      <c r="R89" s="310">
        <v>0.25690560000000001</v>
      </c>
      <c r="S89" s="310">
        <v>0.2354415</v>
      </c>
      <c r="T89" s="310">
        <v>0.24561530000000001</v>
      </c>
      <c r="U89" s="310">
        <v>0.25414369999999997</v>
      </c>
      <c r="V89" s="310">
        <v>0.26347429999999999</v>
      </c>
      <c r="W89" s="310">
        <v>0.24716070000000001</v>
      </c>
      <c r="X89" s="310">
        <v>0.1930559</v>
      </c>
      <c r="Y89" s="310">
        <v>0.25432500000000002</v>
      </c>
      <c r="Z89" s="310">
        <v>0.26372060000000003</v>
      </c>
      <c r="AA89" s="310">
        <v>0.17936650000000001</v>
      </c>
      <c r="AB89" s="310">
        <v>0.25648900000000002</v>
      </c>
      <c r="AC89" s="310">
        <v>0.24179980000000001</v>
      </c>
      <c r="AD89" s="310">
        <v>0.26381870000000002</v>
      </c>
      <c r="AE89" s="310">
        <v>0.25031550000000002</v>
      </c>
      <c r="AF89" s="310">
        <v>0.26387529999999998</v>
      </c>
      <c r="AG89" s="310">
        <v>0.17024349999999999</v>
      </c>
      <c r="AH89" s="310">
        <v>0.19216759999999999</v>
      </c>
      <c r="AI89" s="310">
        <v>0.24288960000000001</v>
      </c>
      <c r="AJ89" s="310">
        <v>0.25783859999999997</v>
      </c>
      <c r="AK89" s="310">
        <v>0.26382040000000001</v>
      </c>
      <c r="AL89" s="310">
        <v>0.22131200000000001</v>
      </c>
      <c r="AM89" s="310">
        <v>0.26087769999999999</v>
      </c>
      <c r="AN89" s="310">
        <v>0.25563029999999998</v>
      </c>
      <c r="AO89" s="310">
        <v>0.25138369999999999</v>
      </c>
      <c r="AP89" s="310">
        <v>0.24549940000000001</v>
      </c>
      <c r="AQ89" s="310">
        <v>0.23273940000000001</v>
      </c>
      <c r="AR89" s="310">
        <v>0.26385930000000002</v>
      </c>
      <c r="AS89" s="310">
        <v>0.1946667</v>
      </c>
      <c r="AT89" s="310">
        <v>0.25455</v>
      </c>
      <c r="AU89" s="310">
        <v>0.26084839999999998</v>
      </c>
      <c r="AV89" s="310">
        <v>0.26385130000000001</v>
      </c>
      <c r="AW89" s="310">
        <v>0.25108589999999997</v>
      </c>
      <c r="AX89" s="310">
        <v>0.20450199999999999</v>
      </c>
      <c r="AY89" s="310">
        <v>0.2370913</v>
      </c>
      <c r="AZ89" s="310">
        <v>0.25368400000000002</v>
      </c>
      <c r="BA89" s="310">
        <v>0</v>
      </c>
      <c r="BB89" s="310">
        <v>0.263826</v>
      </c>
      <c r="BC89" s="310">
        <v>0.26146900000000001</v>
      </c>
      <c r="BD89" s="310">
        <v>0.25227650000000001</v>
      </c>
      <c r="BE89" s="310">
        <v>0.26058179999999997</v>
      </c>
      <c r="BF89" s="310">
        <v>0.2333875</v>
      </c>
      <c r="BG89" s="310">
        <v>0.25908039999999999</v>
      </c>
      <c r="BH89" s="310">
        <v>0.260104</v>
      </c>
      <c r="BI89" s="310">
        <v>0.26175110000000001</v>
      </c>
      <c r="BJ89" s="310">
        <v>0.26372630000000002</v>
      </c>
      <c r="BK89" s="310">
        <v>0.26233030000000002</v>
      </c>
    </row>
    <row r="90" spans="1:63" x14ac:dyDescent="0.25">
      <c r="A90" s="306">
        <v>321100</v>
      </c>
      <c r="B90" s="310" t="s">
        <v>79</v>
      </c>
      <c r="C90" s="310">
        <v>0.14707790000000001</v>
      </c>
      <c r="D90" s="310">
        <v>0.142149</v>
      </c>
      <c r="E90" s="310">
        <v>0.1428432</v>
      </c>
      <c r="F90" s="310">
        <v>0.14081869999999999</v>
      </c>
      <c r="G90" s="310">
        <v>0.14587559999999999</v>
      </c>
      <c r="H90" s="310">
        <v>0.1462156</v>
      </c>
      <c r="I90" s="310">
        <v>0.1461237</v>
      </c>
      <c r="J90" s="310">
        <v>0.13998650000000001</v>
      </c>
      <c r="K90" s="310">
        <v>0</v>
      </c>
      <c r="L90" s="310">
        <v>0.1254046</v>
      </c>
      <c r="M90" s="310">
        <v>0.14456830000000001</v>
      </c>
      <c r="N90" s="310">
        <v>0.14250579999999999</v>
      </c>
      <c r="O90" s="310">
        <v>0.14110020000000001</v>
      </c>
      <c r="P90" s="310">
        <v>0.14067199999999999</v>
      </c>
      <c r="Q90" s="310">
        <v>0.13867599999999999</v>
      </c>
      <c r="R90" s="310">
        <v>0.14149590000000001</v>
      </c>
      <c r="S90" s="310">
        <v>0.1366079</v>
      </c>
      <c r="T90" s="310">
        <v>0.1380451</v>
      </c>
      <c r="U90" s="310">
        <v>0.14064180000000001</v>
      </c>
      <c r="V90" s="310">
        <v>0.14358650000000001</v>
      </c>
      <c r="W90" s="310">
        <v>0.13458059999999999</v>
      </c>
      <c r="X90" s="310">
        <v>0.1246922</v>
      </c>
      <c r="Y90" s="310">
        <v>0.14444969999999999</v>
      </c>
      <c r="Z90" s="310">
        <v>0.1415604</v>
      </c>
      <c r="AA90" s="310">
        <v>0.12886619999999999</v>
      </c>
      <c r="AB90" s="310">
        <v>0.13917209999999999</v>
      </c>
      <c r="AC90" s="310">
        <v>0.1405151</v>
      </c>
      <c r="AD90" s="310">
        <v>0.1454589</v>
      </c>
      <c r="AE90" s="310">
        <v>0.1413392</v>
      </c>
      <c r="AF90" s="310">
        <v>0.1168492</v>
      </c>
      <c r="AG90" s="310">
        <v>0.1418054</v>
      </c>
      <c r="AH90" s="310">
        <v>0.131661</v>
      </c>
      <c r="AI90" s="310">
        <v>0.1220763</v>
      </c>
      <c r="AJ90" s="310">
        <v>0.14322029999999999</v>
      </c>
      <c r="AK90" s="310">
        <v>0.13814090000000001</v>
      </c>
      <c r="AL90" s="310">
        <v>0.1350673</v>
      </c>
      <c r="AM90" s="310">
        <v>0.1444637</v>
      </c>
      <c r="AN90" s="310">
        <v>0.14504259999999999</v>
      </c>
      <c r="AO90" s="310">
        <v>0.14509620000000001</v>
      </c>
      <c r="AP90" s="310">
        <v>0.14225589999999999</v>
      </c>
      <c r="AQ90" s="310">
        <v>0.13731860000000001</v>
      </c>
      <c r="AR90" s="310">
        <v>0.14261950000000001</v>
      </c>
      <c r="AS90" s="310">
        <v>0.1457956</v>
      </c>
      <c r="AT90" s="310">
        <v>0.13980049999999999</v>
      </c>
      <c r="AU90" s="310">
        <v>0.14534859999999999</v>
      </c>
      <c r="AV90" s="310">
        <v>0.143621</v>
      </c>
      <c r="AW90" s="310">
        <v>0.13865340000000001</v>
      </c>
      <c r="AX90" s="310">
        <v>0.13544700000000001</v>
      </c>
      <c r="AY90" s="310">
        <v>0.1442802</v>
      </c>
      <c r="AZ90" s="310">
        <v>0.14444299999999999</v>
      </c>
      <c r="BA90" s="310">
        <v>0.13907030000000001</v>
      </c>
      <c r="BB90" s="310">
        <v>0.14272670000000001</v>
      </c>
      <c r="BC90" s="310">
        <v>0.14567759999999999</v>
      </c>
      <c r="BD90" s="310">
        <v>0.14386860000000001</v>
      </c>
      <c r="BE90" s="310">
        <v>0.14571190000000001</v>
      </c>
      <c r="BF90" s="310">
        <v>0.1388653</v>
      </c>
      <c r="BG90" s="310">
        <v>0.1453171</v>
      </c>
      <c r="BH90" s="310">
        <v>0.14476120000000001</v>
      </c>
      <c r="BI90" s="310">
        <v>0.1462292</v>
      </c>
      <c r="BJ90" s="310">
        <v>0.1437532</v>
      </c>
      <c r="BK90" s="310">
        <v>0.14656430000000001</v>
      </c>
    </row>
    <row r="91" spans="1:63" x14ac:dyDescent="0.25">
      <c r="A91" s="306">
        <v>321219</v>
      </c>
      <c r="B91" s="310" t="s">
        <v>82</v>
      </c>
      <c r="C91" s="310">
        <v>0.15670439999999999</v>
      </c>
      <c r="D91" s="310">
        <v>0</v>
      </c>
      <c r="E91" s="310">
        <v>0.15221989999999999</v>
      </c>
      <c r="F91" s="310">
        <v>0.1500785</v>
      </c>
      <c r="G91" s="310">
        <v>0.1554932</v>
      </c>
      <c r="H91" s="310">
        <v>0.15582019999999999</v>
      </c>
      <c r="I91" s="310">
        <v>0.15570310000000001</v>
      </c>
      <c r="J91" s="310">
        <v>0</v>
      </c>
      <c r="K91" s="310">
        <v>0</v>
      </c>
      <c r="L91" s="310">
        <v>0.13363610000000001</v>
      </c>
      <c r="M91" s="310">
        <v>0.1540715</v>
      </c>
      <c r="N91" s="310">
        <v>0.1518649</v>
      </c>
      <c r="O91" s="310">
        <v>0</v>
      </c>
      <c r="P91" s="310">
        <v>0</v>
      </c>
      <c r="Q91" s="310">
        <v>0.14775340000000001</v>
      </c>
      <c r="R91" s="310">
        <v>0.1507609</v>
      </c>
      <c r="S91" s="310">
        <v>0.1455861</v>
      </c>
      <c r="T91" s="310">
        <v>0</v>
      </c>
      <c r="U91" s="310">
        <v>0.1498544</v>
      </c>
      <c r="V91" s="310">
        <v>0.1529829</v>
      </c>
      <c r="W91" s="310">
        <v>0.14346329999999999</v>
      </c>
      <c r="X91" s="310">
        <v>0.13289319999999999</v>
      </c>
      <c r="Y91" s="310">
        <v>0.15391340000000001</v>
      </c>
      <c r="Z91" s="310">
        <v>0.1508555</v>
      </c>
      <c r="AA91" s="310">
        <v>0.13731889999999999</v>
      </c>
      <c r="AB91" s="310">
        <v>0.14833089999999999</v>
      </c>
      <c r="AC91" s="310">
        <v>0.1497317</v>
      </c>
      <c r="AD91" s="310">
        <v>0.1550224</v>
      </c>
      <c r="AE91" s="310">
        <v>0.1506198</v>
      </c>
      <c r="AF91" s="310">
        <v>0.1245342</v>
      </c>
      <c r="AG91" s="310">
        <v>0</v>
      </c>
      <c r="AH91" s="310">
        <v>0.14029510000000001</v>
      </c>
      <c r="AI91" s="310">
        <v>0.1301293</v>
      </c>
      <c r="AJ91" s="310">
        <v>0.15262029999999999</v>
      </c>
      <c r="AK91" s="310">
        <v>0.14721919999999999</v>
      </c>
      <c r="AL91" s="310">
        <v>0.14389399999999999</v>
      </c>
      <c r="AM91" s="310">
        <v>0.1539729</v>
      </c>
      <c r="AN91" s="310">
        <v>0.15458910000000001</v>
      </c>
      <c r="AO91" s="310">
        <v>0.15461130000000001</v>
      </c>
      <c r="AP91" s="310">
        <v>0.1515716</v>
      </c>
      <c r="AQ91" s="310">
        <v>0</v>
      </c>
      <c r="AR91" s="310">
        <v>0.1519712</v>
      </c>
      <c r="AS91" s="310">
        <v>0.15538080000000001</v>
      </c>
      <c r="AT91" s="310">
        <v>0.1489627</v>
      </c>
      <c r="AU91" s="310">
        <v>0.1548736</v>
      </c>
      <c r="AV91" s="310">
        <v>0</v>
      </c>
      <c r="AW91" s="310">
        <v>0.14774000000000001</v>
      </c>
      <c r="AX91" s="310">
        <v>0</v>
      </c>
      <c r="AY91" s="310">
        <v>0.15374599999999999</v>
      </c>
      <c r="AZ91" s="310">
        <v>0.15392719999999999</v>
      </c>
      <c r="BA91" s="310">
        <v>0.14819740000000001</v>
      </c>
      <c r="BB91" s="310">
        <v>0</v>
      </c>
      <c r="BC91" s="310">
        <v>0.1552684</v>
      </c>
      <c r="BD91" s="310">
        <v>0.15332950000000001</v>
      </c>
      <c r="BE91" s="310">
        <v>0.1552789</v>
      </c>
      <c r="BF91" s="310">
        <v>0.1479994</v>
      </c>
      <c r="BG91" s="310">
        <v>0.15486179999999999</v>
      </c>
      <c r="BH91" s="310">
        <v>0.15427270000000001</v>
      </c>
      <c r="BI91" s="310">
        <v>0.1558243</v>
      </c>
      <c r="BJ91" s="310">
        <v>0.15320010000000001</v>
      </c>
      <c r="BK91" s="310">
        <v>0.15616910000000001</v>
      </c>
    </row>
    <row r="92" spans="1:63" x14ac:dyDescent="0.25">
      <c r="A92" s="306" t="s">
        <v>709</v>
      </c>
      <c r="B92" s="310" t="s">
        <v>80</v>
      </c>
      <c r="C92" s="310">
        <v>0.1982835</v>
      </c>
      <c r="D92" s="310">
        <v>0.19166069999999999</v>
      </c>
      <c r="E92" s="310">
        <v>0.19261039999999999</v>
      </c>
      <c r="F92" s="310">
        <v>0.18988340000000001</v>
      </c>
      <c r="G92" s="310">
        <v>0.1967119</v>
      </c>
      <c r="H92" s="310">
        <v>0.19712299999999999</v>
      </c>
      <c r="I92" s="310">
        <v>0.19704869999999999</v>
      </c>
      <c r="J92" s="310">
        <v>0</v>
      </c>
      <c r="K92" s="310">
        <v>0</v>
      </c>
      <c r="L92" s="310">
        <v>0.1691193</v>
      </c>
      <c r="M92" s="310">
        <v>0.1948946</v>
      </c>
      <c r="N92" s="310">
        <v>0.1921525</v>
      </c>
      <c r="O92" s="310">
        <v>0.19030279999999999</v>
      </c>
      <c r="P92" s="310">
        <v>0.18970590000000001</v>
      </c>
      <c r="Q92" s="310">
        <v>0.1869806</v>
      </c>
      <c r="R92" s="310">
        <v>0.1908088</v>
      </c>
      <c r="S92" s="310">
        <v>0.1842009</v>
      </c>
      <c r="T92" s="310">
        <v>0</v>
      </c>
      <c r="U92" s="310">
        <v>0.18963769999999999</v>
      </c>
      <c r="V92" s="310">
        <v>0.1935885</v>
      </c>
      <c r="W92" s="310">
        <v>0.18147050000000001</v>
      </c>
      <c r="X92" s="310">
        <v>0.16814100000000001</v>
      </c>
      <c r="Y92" s="310">
        <v>0.1947557</v>
      </c>
      <c r="Z92" s="310">
        <v>0.19088289999999999</v>
      </c>
      <c r="AA92" s="310">
        <v>0.17372309999999999</v>
      </c>
      <c r="AB92" s="310">
        <v>0.1877115</v>
      </c>
      <c r="AC92" s="310">
        <v>0.18944900000000001</v>
      </c>
      <c r="AD92" s="310">
        <v>0.1961126</v>
      </c>
      <c r="AE92" s="310">
        <v>0.19058259999999999</v>
      </c>
      <c r="AF92" s="310">
        <v>0</v>
      </c>
      <c r="AG92" s="310">
        <v>0.19114039999999999</v>
      </c>
      <c r="AH92" s="310">
        <v>0.17753720000000001</v>
      </c>
      <c r="AI92" s="310">
        <v>0.1646581</v>
      </c>
      <c r="AJ92" s="310">
        <v>0</v>
      </c>
      <c r="AK92" s="310">
        <v>0</v>
      </c>
      <c r="AL92" s="310">
        <v>0.18206059999999999</v>
      </c>
      <c r="AM92" s="310">
        <v>0.19478670000000001</v>
      </c>
      <c r="AN92" s="310">
        <v>0.19559029999999999</v>
      </c>
      <c r="AO92" s="310">
        <v>0.1956271</v>
      </c>
      <c r="AP92" s="310">
        <v>0.19179170000000001</v>
      </c>
      <c r="AQ92" s="310">
        <v>0.1851681</v>
      </c>
      <c r="AR92" s="310">
        <v>0.1922923</v>
      </c>
      <c r="AS92" s="310">
        <v>0</v>
      </c>
      <c r="AT92" s="310">
        <v>0.18844369999999999</v>
      </c>
      <c r="AU92" s="310">
        <v>0.19597149999999999</v>
      </c>
      <c r="AV92" s="310">
        <v>0.19366659999999999</v>
      </c>
      <c r="AW92" s="310">
        <v>0.1869565</v>
      </c>
      <c r="AX92" s="310">
        <v>0.18260299999999999</v>
      </c>
      <c r="AY92" s="310">
        <v>0.1945259</v>
      </c>
      <c r="AZ92" s="310">
        <v>0.1947826</v>
      </c>
      <c r="BA92" s="310">
        <v>0.1875154</v>
      </c>
      <c r="BB92" s="310">
        <v>0</v>
      </c>
      <c r="BC92" s="310">
        <v>0.19645789999999999</v>
      </c>
      <c r="BD92" s="310">
        <v>0.1939768</v>
      </c>
      <c r="BE92" s="310">
        <v>0.19645219999999999</v>
      </c>
      <c r="BF92" s="310">
        <v>0.18724160000000001</v>
      </c>
      <c r="BG92" s="310">
        <v>0.19591220000000001</v>
      </c>
      <c r="BH92" s="310">
        <v>0.19518550000000001</v>
      </c>
      <c r="BI92" s="310">
        <v>0.19718369999999999</v>
      </c>
      <c r="BJ92" s="310">
        <v>0.19383439999999999</v>
      </c>
      <c r="BK92" s="310">
        <v>0.1976174</v>
      </c>
    </row>
    <row r="93" spans="1:63" x14ac:dyDescent="0.25">
      <c r="A93" s="306" t="s">
        <v>710</v>
      </c>
      <c r="B93" s="310" t="s">
        <v>81</v>
      </c>
      <c r="C93" s="310">
        <v>0.2463215</v>
      </c>
      <c r="D93" s="310">
        <v>0.2381056</v>
      </c>
      <c r="E93" s="310">
        <v>0.2392917</v>
      </c>
      <c r="F93" s="310">
        <v>0.2358558</v>
      </c>
      <c r="G93" s="310">
        <v>0.24438109999999999</v>
      </c>
      <c r="H93" s="310">
        <v>0.2448929</v>
      </c>
      <c r="I93" s="310">
        <v>0.2447675</v>
      </c>
      <c r="J93" s="310">
        <v>0.23442360000000001</v>
      </c>
      <c r="K93" s="310">
        <v>0</v>
      </c>
      <c r="L93" s="310">
        <v>0.21005570000000001</v>
      </c>
      <c r="M93" s="310">
        <v>0.2421566</v>
      </c>
      <c r="N93" s="310">
        <v>0.23868590000000001</v>
      </c>
      <c r="O93" s="310">
        <v>0.23642769999999999</v>
      </c>
      <c r="P93" s="310">
        <v>0.23561070000000001</v>
      </c>
      <c r="Q93" s="310">
        <v>0.23225589999999999</v>
      </c>
      <c r="R93" s="310">
        <v>0.23700950000000001</v>
      </c>
      <c r="S93" s="310">
        <v>0.22882279999999999</v>
      </c>
      <c r="T93" s="310">
        <v>0.23125680000000001</v>
      </c>
      <c r="U93" s="310">
        <v>0.23559649999999999</v>
      </c>
      <c r="V93" s="310">
        <v>0.24049010000000001</v>
      </c>
      <c r="W93" s="310">
        <v>0.22547239999999999</v>
      </c>
      <c r="X93" s="310">
        <v>0.20888470000000001</v>
      </c>
      <c r="Y93" s="310">
        <v>0.2419694</v>
      </c>
      <c r="Z93" s="310">
        <v>0.2371462</v>
      </c>
      <c r="AA93" s="310">
        <v>0.2157953</v>
      </c>
      <c r="AB93" s="310">
        <v>0.2331686</v>
      </c>
      <c r="AC93" s="310">
        <v>0.23537759999999999</v>
      </c>
      <c r="AD93" s="310">
        <v>0.2436683</v>
      </c>
      <c r="AE93" s="310">
        <v>0.23678450000000001</v>
      </c>
      <c r="AF93" s="310">
        <v>0.1957768</v>
      </c>
      <c r="AG93" s="310">
        <v>0.23748530000000001</v>
      </c>
      <c r="AH93" s="310">
        <v>0.22051660000000001</v>
      </c>
      <c r="AI93" s="310">
        <v>0.2045351</v>
      </c>
      <c r="AJ93" s="310">
        <v>0.23991199999999999</v>
      </c>
      <c r="AK93" s="310">
        <v>0.23140959999999999</v>
      </c>
      <c r="AL93" s="310">
        <v>0.22617519999999999</v>
      </c>
      <c r="AM93" s="310">
        <v>0.24198410000000001</v>
      </c>
      <c r="AN93" s="310">
        <v>0.24293780000000001</v>
      </c>
      <c r="AO93" s="310">
        <v>0.24302119999999999</v>
      </c>
      <c r="AP93" s="310">
        <v>0.2382929</v>
      </c>
      <c r="AQ93" s="310">
        <v>0.23006199999999999</v>
      </c>
      <c r="AR93" s="310">
        <v>0.23887559999999999</v>
      </c>
      <c r="AS93" s="310">
        <v>0.24420420000000001</v>
      </c>
      <c r="AT93" s="310">
        <v>0.23415349999999999</v>
      </c>
      <c r="AU93" s="310">
        <v>0.2434839</v>
      </c>
      <c r="AV93" s="310">
        <v>0.24060480000000001</v>
      </c>
      <c r="AW93" s="310">
        <v>0.23225489999999999</v>
      </c>
      <c r="AX93" s="310">
        <v>0.22686490000000001</v>
      </c>
      <c r="AY93" s="310">
        <v>0.24168919999999999</v>
      </c>
      <c r="AZ93" s="310">
        <v>0.2419905</v>
      </c>
      <c r="BA93" s="310">
        <v>0.23292959999999999</v>
      </c>
      <c r="BB93" s="310">
        <v>0.23906050000000001</v>
      </c>
      <c r="BC93" s="310">
        <v>0.24405109999999999</v>
      </c>
      <c r="BD93" s="310">
        <v>0.24100089999999999</v>
      </c>
      <c r="BE93" s="310">
        <v>0.24409910000000001</v>
      </c>
      <c r="BF93" s="310">
        <v>0.23261270000000001</v>
      </c>
      <c r="BG93" s="310">
        <v>0.243392</v>
      </c>
      <c r="BH93" s="310">
        <v>0.24251880000000001</v>
      </c>
      <c r="BI93" s="310">
        <v>0.2449741</v>
      </c>
      <c r="BJ93" s="310">
        <v>0.24079100000000001</v>
      </c>
      <c r="BK93" s="310">
        <v>0.24551619999999999</v>
      </c>
    </row>
    <row r="94" spans="1:63" x14ac:dyDescent="0.25">
      <c r="A94" s="306">
        <v>321910</v>
      </c>
      <c r="B94" s="310" t="s">
        <v>711</v>
      </c>
      <c r="C94" s="310">
        <v>0.2202133</v>
      </c>
      <c r="D94" s="310">
        <v>0.2128109</v>
      </c>
      <c r="E94" s="310">
        <v>0.2138931</v>
      </c>
      <c r="F94" s="310">
        <v>0.21087220000000001</v>
      </c>
      <c r="G94" s="310">
        <v>0.218474</v>
      </c>
      <c r="H94" s="310">
        <v>0.21892690000000001</v>
      </c>
      <c r="I94" s="310">
        <v>0.218833</v>
      </c>
      <c r="J94" s="310">
        <v>0.2095553</v>
      </c>
      <c r="K94" s="310">
        <v>0</v>
      </c>
      <c r="L94" s="310">
        <v>0.1877634</v>
      </c>
      <c r="M94" s="310">
        <v>0.21645310000000001</v>
      </c>
      <c r="N94" s="310">
        <v>0.2133893</v>
      </c>
      <c r="O94" s="310">
        <v>0.21133689999999999</v>
      </c>
      <c r="P94" s="310">
        <v>0.21063109999999999</v>
      </c>
      <c r="Q94" s="310">
        <v>0.2076163</v>
      </c>
      <c r="R94" s="310">
        <v>0.21184230000000001</v>
      </c>
      <c r="S94" s="310">
        <v>0.20457810000000001</v>
      </c>
      <c r="T94" s="310">
        <v>0.2067513</v>
      </c>
      <c r="U94" s="310">
        <v>0.21058560000000001</v>
      </c>
      <c r="V94" s="310">
        <v>0.2150125</v>
      </c>
      <c r="W94" s="310">
        <v>0.20155999999999999</v>
      </c>
      <c r="X94" s="310">
        <v>0.18671489999999999</v>
      </c>
      <c r="Y94" s="310">
        <v>0.21628600000000001</v>
      </c>
      <c r="Z94" s="310">
        <v>0.21199680000000001</v>
      </c>
      <c r="AA94" s="310">
        <v>0.19294919999999999</v>
      </c>
      <c r="AB94" s="310">
        <v>0.2084327</v>
      </c>
      <c r="AC94" s="310">
        <v>0.2104019</v>
      </c>
      <c r="AD94" s="310">
        <v>0.2177895</v>
      </c>
      <c r="AE94" s="310">
        <v>0.21163689999999999</v>
      </c>
      <c r="AF94" s="310">
        <v>0.17497280000000001</v>
      </c>
      <c r="AG94" s="310">
        <v>0.21227860000000001</v>
      </c>
      <c r="AH94" s="310">
        <v>0.1971601</v>
      </c>
      <c r="AI94" s="310">
        <v>0.18285650000000001</v>
      </c>
      <c r="AJ94" s="310">
        <v>0.2144712</v>
      </c>
      <c r="AK94" s="310">
        <v>0.2068943</v>
      </c>
      <c r="AL94" s="310">
        <v>0.202233</v>
      </c>
      <c r="AM94" s="310">
        <v>0.21633769999999999</v>
      </c>
      <c r="AN94" s="310">
        <v>0.2172248</v>
      </c>
      <c r="AO94" s="310">
        <v>0.2172452</v>
      </c>
      <c r="AP94" s="310">
        <v>0.21301349999999999</v>
      </c>
      <c r="AQ94" s="310">
        <v>0.20569460000000001</v>
      </c>
      <c r="AR94" s="310">
        <v>0.21356749999999999</v>
      </c>
      <c r="AS94" s="310">
        <v>0.21829889999999999</v>
      </c>
      <c r="AT94" s="310">
        <v>0.20930589999999999</v>
      </c>
      <c r="AU94" s="310">
        <v>0.21764800000000001</v>
      </c>
      <c r="AV94" s="310">
        <v>0.21504699999999999</v>
      </c>
      <c r="AW94" s="310">
        <v>0.2076239</v>
      </c>
      <c r="AX94" s="310">
        <v>0.20282449999999999</v>
      </c>
      <c r="AY94" s="310">
        <v>0.21605769999999999</v>
      </c>
      <c r="AZ94" s="310">
        <v>0.21632280000000001</v>
      </c>
      <c r="BA94" s="310">
        <v>0.20821780000000001</v>
      </c>
      <c r="BB94" s="310">
        <v>0.21375520000000001</v>
      </c>
      <c r="BC94" s="310">
        <v>0.2181506</v>
      </c>
      <c r="BD94" s="310">
        <v>0.21547150000000001</v>
      </c>
      <c r="BE94" s="310">
        <v>0.21818090000000001</v>
      </c>
      <c r="BF94" s="310">
        <v>0.20797669999999999</v>
      </c>
      <c r="BG94" s="310">
        <v>0.217583</v>
      </c>
      <c r="BH94" s="310">
        <v>0.21677650000000001</v>
      </c>
      <c r="BI94" s="310">
        <v>0.21900249999999999</v>
      </c>
      <c r="BJ94" s="310">
        <v>0.2152847</v>
      </c>
      <c r="BK94" s="310">
        <v>0.21946460000000001</v>
      </c>
    </row>
    <row r="95" spans="1:63" x14ac:dyDescent="0.25">
      <c r="A95" s="306">
        <v>321920</v>
      </c>
      <c r="B95" s="310" t="s">
        <v>83</v>
      </c>
      <c r="C95" s="310">
        <v>0.25084010000000001</v>
      </c>
      <c r="D95" s="310">
        <v>0.24243780000000001</v>
      </c>
      <c r="E95" s="310">
        <v>0.24366199999999999</v>
      </c>
      <c r="F95" s="310">
        <v>0.24020520000000001</v>
      </c>
      <c r="G95" s="310">
        <v>0.24883710000000001</v>
      </c>
      <c r="H95" s="310">
        <v>0.24940200000000001</v>
      </c>
      <c r="I95" s="310">
        <v>0.2492288</v>
      </c>
      <c r="J95" s="310">
        <v>0.2387562</v>
      </c>
      <c r="K95" s="310">
        <v>0</v>
      </c>
      <c r="L95" s="310">
        <v>0.21387790000000001</v>
      </c>
      <c r="M95" s="310">
        <v>0.2465629</v>
      </c>
      <c r="N95" s="310">
        <v>0.2430446</v>
      </c>
      <c r="O95" s="310">
        <v>0</v>
      </c>
      <c r="P95" s="310">
        <v>0.23999419999999999</v>
      </c>
      <c r="Q95" s="310">
        <v>0.2365148</v>
      </c>
      <c r="R95" s="310">
        <v>0.24130740000000001</v>
      </c>
      <c r="S95" s="310">
        <v>0.23301920000000001</v>
      </c>
      <c r="T95" s="310">
        <v>0.2354832</v>
      </c>
      <c r="U95" s="310">
        <v>0.23987620000000001</v>
      </c>
      <c r="V95" s="310">
        <v>0.24490519999999999</v>
      </c>
      <c r="W95" s="310">
        <v>0.22962150000000001</v>
      </c>
      <c r="X95" s="310">
        <v>0.212725</v>
      </c>
      <c r="Y95" s="310">
        <v>0.24637590000000001</v>
      </c>
      <c r="Z95" s="310">
        <v>0.2414763</v>
      </c>
      <c r="AA95" s="310">
        <v>0.21980250000000001</v>
      </c>
      <c r="AB95" s="310">
        <v>0.23741100000000001</v>
      </c>
      <c r="AC95" s="310">
        <v>0.2396826</v>
      </c>
      <c r="AD95" s="310">
        <v>0.24808649999999999</v>
      </c>
      <c r="AE95" s="310">
        <v>0.24105170000000001</v>
      </c>
      <c r="AF95" s="310">
        <v>0.19934370000000001</v>
      </c>
      <c r="AG95" s="310">
        <v>0.2418305</v>
      </c>
      <c r="AH95" s="310">
        <v>0.2245973</v>
      </c>
      <c r="AI95" s="310">
        <v>0.20827709999999999</v>
      </c>
      <c r="AJ95" s="310">
        <v>0.24434139999999999</v>
      </c>
      <c r="AK95" s="310">
        <v>0.2356326</v>
      </c>
      <c r="AL95" s="310">
        <v>0.23035600000000001</v>
      </c>
      <c r="AM95" s="310">
        <v>0.24640999999999999</v>
      </c>
      <c r="AN95" s="310">
        <v>0.24742</v>
      </c>
      <c r="AO95" s="310">
        <v>0.24746499999999999</v>
      </c>
      <c r="AP95" s="310">
        <v>0.2426103</v>
      </c>
      <c r="AQ95" s="310">
        <v>0.23424639999999999</v>
      </c>
      <c r="AR95" s="310">
        <v>0.2432732</v>
      </c>
      <c r="AS95" s="310">
        <v>0.24869240000000001</v>
      </c>
      <c r="AT95" s="310">
        <v>0.23842169999999999</v>
      </c>
      <c r="AU95" s="310">
        <v>0.24795739999999999</v>
      </c>
      <c r="AV95" s="310">
        <v>0.2450058</v>
      </c>
      <c r="AW95" s="310">
        <v>0.23647029999999999</v>
      </c>
      <c r="AX95" s="310">
        <v>0.23100860000000001</v>
      </c>
      <c r="AY95" s="310">
        <v>0.24608659999999999</v>
      </c>
      <c r="AZ95" s="310">
        <v>0.2463996</v>
      </c>
      <c r="BA95" s="310">
        <v>0.23720040000000001</v>
      </c>
      <c r="BB95" s="310">
        <v>0.2434801</v>
      </c>
      <c r="BC95" s="310">
        <v>0.2484894</v>
      </c>
      <c r="BD95" s="310">
        <v>0.2454286</v>
      </c>
      <c r="BE95" s="310">
        <v>0.24854989999999999</v>
      </c>
      <c r="BF95" s="310">
        <v>0.23686199999999999</v>
      </c>
      <c r="BG95" s="310">
        <v>0.24784039999999999</v>
      </c>
      <c r="BH95" s="310">
        <v>0.24692549999999999</v>
      </c>
      <c r="BI95" s="310">
        <v>0.24942690000000001</v>
      </c>
      <c r="BJ95" s="310">
        <v>0.24518999999999999</v>
      </c>
      <c r="BK95" s="310">
        <v>0.249973</v>
      </c>
    </row>
    <row r="96" spans="1:63" x14ac:dyDescent="0.25">
      <c r="A96" s="306">
        <v>321991</v>
      </c>
      <c r="B96" s="310" t="s">
        <v>84</v>
      </c>
      <c r="C96" s="310">
        <v>0.23066400000000001</v>
      </c>
      <c r="D96" s="310">
        <v>0</v>
      </c>
      <c r="E96" s="310">
        <v>0.2240434</v>
      </c>
      <c r="F96" s="310">
        <v>0.22089020000000001</v>
      </c>
      <c r="G96" s="310">
        <v>0.22886799999999999</v>
      </c>
      <c r="H96" s="310">
        <v>0.22930010000000001</v>
      </c>
      <c r="I96" s="310">
        <v>0.22917750000000001</v>
      </c>
      <c r="J96" s="310">
        <v>0</v>
      </c>
      <c r="K96" s="310">
        <v>0</v>
      </c>
      <c r="L96" s="310">
        <v>0</v>
      </c>
      <c r="M96" s="310">
        <v>0.2267151</v>
      </c>
      <c r="N96" s="310">
        <v>0.2235057</v>
      </c>
      <c r="O96" s="310">
        <v>0</v>
      </c>
      <c r="P96" s="310">
        <v>0.2206555</v>
      </c>
      <c r="Q96" s="310">
        <v>0.21752930000000001</v>
      </c>
      <c r="R96" s="310">
        <v>0.2218948</v>
      </c>
      <c r="S96" s="310">
        <v>0.2143159</v>
      </c>
      <c r="T96" s="310">
        <v>0.21655569999999999</v>
      </c>
      <c r="U96" s="310">
        <v>0.2205771</v>
      </c>
      <c r="V96" s="310">
        <v>0.2251987</v>
      </c>
      <c r="W96" s="310">
        <v>0</v>
      </c>
      <c r="X96" s="310">
        <v>0.19564029999999999</v>
      </c>
      <c r="Y96" s="310">
        <v>0.22654299999999999</v>
      </c>
      <c r="Z96" s="310">
        <v>0.22201679999999999</v>
      </c>
      <c r="AA96" s="310">
        <v>0.2020912</v>
      </c>
      <c r="AB96" s="310">
        <v>0.21832219999999999</v>
      </c>
      <c r="AC96" s="310">
        <v>0.22040789999999999</v>
      </c>
      <c r="AD96" s="310">
        <v>0.22812969999999999</v>
      </c>
      <c r="AE96" s="310">
        <v>0.22168930000000001</v>
      </c>
      <c r="AF96" s="310">
        <v>0.18328949999999999</v>
      </c>
      <c r="AG96" s="310">
        <v>0.22237499999999999</v>
      </c>
      <c r="AH96" s="310">
        <v>0</v>
      </c>
      <c r="AI96" s="310">
        <v>0.19150600000000001</v>
      </c>
      <c r="AJ96" s="310">
        <v>0.2246814</v>
      </c>
      <c r="AK96" s="310">
        <v>0</v>
      </c>
      <c r="AL96" s="310">
        <v>0.21181849999999999</v>
      </c>
      <c r="AM96" s="310">
        <v>0.22658909999999999</v>
      </c>
      <c r="AN96" s="310">
        <v>0.22748679999999999</v>
      </c>
      <c r="AO96" s="310">
        <v>0.22758030000000001</v>
      </c>
      <c r="AP96" s="310">
        <v>0.2231359</v>
      </c>
      <c r="AQ96" s="310">
        <v>0</v>
      </c>
      <c r="AR96" s="310">
        <v>0.22368150000000001</v>
      </c>
      <c r="AS96" s="310">
        <v>0.228683</v>
      </c>
      <c r="AT96" s="310">
        <v>0.21923980000000001</v>
      </c>
      <c r="AU96" s="310">
        <v>0.22796420000000001</v>
      </c>
      <c r="AV96" s="310">
        <v>0.22529469999999999</v>
      </c>
      <c r="AW96" s="310">
        <v>0.21746650000000001</v>
      </c>
      <c r="AX96" s="310">
        <v>0.21244109999999999</v>
      </c>
      <c r="AY96" s="310">
        <v>0.22630690000000001</v>
      </c>
      <c r="AZ96" s="310">
        <v>0.22658639999999999</v>
      </c>
      <c r="BA96" s="310">
        <v>0.21811</v>
      </c>
      <c r="BB96" s="310">
        <v>0.22386900000000001</v>
      </c>
      <c r="BC96" s="310">
        <v>0.22853789999999999</v>
      </c>
      <c r="BD96" s="310">
        <v>0.22568740000000001</v>
      </c>
      <c r="BE96" s="310">
        <v>0.2285392</v>
      </c>
      <c r="BF96" s="310">
        <v>0.21780579999999999</v>
      </c>
      <c r="BG96" s="310">
        <v>0.2278953</v>
      </c>
      <c r="BH96" s="310">
        <v>0.22705829999999999</v>
      </c>
      <c r="BI96" s="310">
        <v>0.2293772</v>
      </c>
      <c r="BJ96" s="310">
        <v>0.2254988</v>
      </c>
      <c r="BK96" s="310">
        <v>0.22985700000000001</v>
      </c>
    </row>
    <row r="97" spans="1:63" x14ac:dyDescent="0.25">
      <c r="A97" s="306">
        <v>321992</v>
      </c>
      <c r="B97" s="310" t="s">
        <v>85</v>
      </c>
      <c r="C97" s="310">
        <v>0.23511099999999999</v>
      </c>
      <c r="D97" s="310">
        <v>0.22727610000000001</v>
      </c>
      <c r="E97" s="310">
        <v>0.22839670000000001</v>
      </c>
      <c r="F97" s="310">
        <v>0.22517010000000001</v>
      </c>
      <c r="G97" s="310">
        <v>0.2332592</v>
      </c>
      <c r="H97" s="310">
        <v>0.23374010000000001</v>
      </c>
      <c r="I97" s="310">
        <v>0.23365079999999999</v>
      </c>
      <c r="J97" s="310">
        <v>0.22375919999999999</v>
      </c>
      <c r="K97" s="310">
        <v>0</v>
      </c>
      <c r="L97" s="310">
        <v>0.20051830000000001</v>
      </c>
      <c r="M97" s="310">
        <v>0.23111429999999999</v>
      </c>
      <c r="N97" s="310">
        <v>0.22781589999999999</v>
      </c>
      <c r="O97" s="310">
        <v>0.22567390000000001</v>
      </c>
      <c r="P97" s="310">
        <v>0.2249169</v>
      </c>
      <c r="Q97" s="310">
        <v>0.22172649999999999</v>
      </c>
      <c r="R97" s="310">
        <v>0.22622020000000001</v>
      </c>
      <c r="S97" s="310">
        <v>0.21846099999999999</v>
      </c>
      <c r="T97" s="310">
        <v>0.22076209999999999</v>
      </c>
      <c r="U97" s="310">
        <v>0.2248956</v>
      </c>
      <c r="V97" s="310">
        <v>0.22957640000000001</v>
      </c>
      <c r="W97" s="310">
        <v>0.2152242</v>
      </c>
      <c r="X97" s="310">
        <v>0.19939809999999999</v>
      </c>
      <c r="Y97" s="310">
        <v>0.23097909999999999</v>
      </c>
      <c r="Z97" s="310">
        <v>0.22634989999999999</v>
      </c>
      <c r="AA97" s="310">
        <v>0.20599210000000001</v>
      </c>
      <c r="AB97" s="310">
        <v>0.22254979999999999</v>
      </c>
      <c r="AC97" s="310">
        <v>0.22464970000000001</v>
      </c>
      <c r="AD97" s="310">
        <v>0.2325623</v>
      </c>
      <c r="AE97" s="310">
        <v>0.2259786</v>
      </c>
      <c r="AF97" s="310">
        <v>0.18687280000000001</v>
      </c>
      <c r="AG97" s="310">
        <v>0.22670019999999999</v>
      </c>
      <c r="AH97" s="310">
        <v>0.2105149</v>
      </c>
      <c r="AI97" s="310">
        <v>0.19521749999999999</v>
      </c>
      <c r="AJ97" s="310">
        <v>0.22898679999999999</v>
      </c>
      <c r="AK97" s="310">
        <v>0.22092580000000001</v>
      </c>
      <c r="AL97" s="310">
        <v>0.21588950000000001</v>
      </c>
      <c r="AM97" s="310">
        <v>0.23103370000000001</v>
      </c>
      <c r="AN97" s="310">
        <v>0.23194619999999999</v>
      </c>
      <c r="AO97" s="310">
        <v>0.23197019999999999</v>
      </c>
      <c r="AP97" s="310">
        <v>0.22742609999999999</v>
      </c>
      <c r="AQ97" s="310">
        <v>0.2196119</v>
      </c>
      <c r="AR97" s="310">
        <v>0.228023</v>
      </c>
      <c r="AS97" s="310">
        <v>0.23307839999999999</v>
      </c>
      <c r="AT97" s="310">
        <v>0.22349769999999999</v>
      </c>
      <c r="AU97" s="310">
        <v>0.23239090000000001</v>
      </c>
      <c r="AV97" s="310">
        <v>0.22961029999999999</v>
      </c>
      <c r="AW97" s="310">
        <v>0.2216919</v>
      </c>
      <c r="AX97" s="310">
        <v>0.21656890000000001</v>
      </c>
      <c r="AY97" s="310">
        <v>0.23070070000000001</v>
      </c>
      <c r="AZ97" s="310">
        <v>0.23096220000000001</v>
      </c>
      <c r="BA97" s="310">
        <v>0.22233169999999999</v>
      </c>
      <c r="BB97" s="310">
        <v>0.22822819999999999</v>
      </c>
      <c r="BC97" s="310">
        <v>0.2329357</v>
      </c>
      <c r="BD97" s="310">
        <v>0.2300323</v>
      </c>
      <c r="BE97" s="310">
        <v>0.23296600000000001</v>
      </c>
      <c r="BF97" s="310">
        <v>0.22204940000000001</v>
      </c>
      <c r="BG97" s="310">
        <v>0.23231779999999999</v>
      </c>
      <c r="BH97" s="310">
        <v>0.23146910000000001</v>
      </c>
      <c r="BI97" s="310">
        <v>0.23383809999999999</v>
      </c>
      <c r="BJ97" s="310">
        <v>0.2298549</v>
      </c>
      <c r="BK97" s="310">
        <v>0.2343334</v>
      </c>
    </row>
    <row r="98" spans="1:63" x14ac:dyDescent="0.25">
      <c r="A98" s="306">
        <v>321999</v>
      </c>
      <c r="B98" s="310" t="s">
        <v>86</v>
      </c>
      <c r="C98" s="310">
        <v>0.25531229999999999</v>
      </c>
      <c r="D98" s="310">
        <v>0.24677080000000001</v>
      </c>
      <c r="E98" s="310">
        <v>0.24800430000000001</v>
      </c>
      <c r="F98" s="310">
        <v>0.2444993</v>
      </c>
      <c r="G98" s="310">
        <v>0.25332209999999999</v>
      </c>
      <c r="H98" s="310">
        <v>0.25380380000000002</v>
      </c>
      <c r="I98" s="310">
        <v>0.25368269999999998</v>
      </c>
      <c r="J98" s="310">
        <v>0.24297369999999999</v>
      </c>
      <c r="K98" s="310">
        <v>0</v>
      </c>
      <c r="L98" s="310">
        <v>0</v>
      </c>
      <c r="M98" s="310">
        <v>0.25097520000000001</v>
      </c>
      <c r="N98" s="310">
        <v>0.2473776</v>
      </c>
      <c r="O98" s="310">
        <v>0.2450667</v>
      </c>
      <c r="P98" s="310">
        <v>0.24426929999999999</v>
      </c>
      <c r="Q98" s="310">
        <v>0.24073240000000001</v>
      </c>
      <c r="R98" s="310">
        <v>0.24563789999999999</v>
      </c>
      <c r="S98" s="310">
        <v>0.23721990000000001</v>
      </c>
      <c r="T98" s="310">
        <v>0.23968800000000001</v>
      </c>
      <c r="U98" s="310">
        <v>0.2441642</v>
      </c>
      <c r="V98" s="310">
        <v>0.24928729999999999</v>
      </c>
      <c r="W98" s="310">
        <v>0.23371620000000001</v>
      </c>
      <c r="X98" s="310">
        <v>0.21653049999999999</v>
      </c>
      <c r="Y98" s="310">
        <v>0.25082339999999997</v>
      </c>
      <c r="Z98" s="310">
        <v>0.2457589</v>
      </c>
      <c r="AA98" s="310">
        <v>0.22368650000000001</v>
      </c>
      <c r="AB98" s="310">
        <v>0.24165980000000001</v>
      </c>
      <c r="AC98" s="310">
        <v>0.24399190000000001</v>
      </c>
      <c r="AD98" s="310">
        <v>0.25253300000000001</v>
      </c>
      <c r="AE98" s="310">
        <v>0.2454027</v>
      </c>
      <c r="AF98" s="310">
        <v>0.2029184</v>
      </c>
      <c r="AG98" s="310">
        <v>0.2460997</v>
      </c>
      <c r="AH98" s="310">
        <v>0.228573</v>
      </c>
      <c r="AI98" s="310">
        <v>0.21197750000000001</v>
      </c>
      <c r="AJ98" s="310">
        <v>0.24867800000000001</v>
      </c>
      <c r="AK98" s="310">
        <v>0.23985680000000001</v>
      </c>
      <c r="AL98" s="310">
        <v>0.23442080000000001</v>
      </c>
      <c r="AM98" s="310">
        <v>0.25081700000000001</v>
      </c>
      <c r="AN98" s="310">
        <v>0.2518088</v>
      </c>
      <c r="AO98" s="310">
        <v>0.25189450000000002</v>
      </c>
      <c r="AP98" s="310">
        <v>0.24700510000000001</v>
      </c>
      <c r="AQ98" s="310">
        <v>0.2384415</v>
      </c>
      <c r="AR98" s="310">
        <v>0.2476093</v>
      </c>
      <c r="AS98" s="310">
        <v>0.25314320000000001</v>
      </c>
      <c r="AT98" s="310">
        <v>0.2426961</v>
      </c>
      <c r="AU98" s="310">
        <v>0.25237769999999998</v>
      </c>
      <c r="AV98" s="310">
        <v>0.24934899999999999</v>
      </c>
      <c r="AW98" s="310">
        <v>0.2407437</v>
      </c>
      <c r="AX98" s="310">
        <v>0.23515430000000001</v>
      </c>
      <c r="AY98" s="310">
        <v>0.25051610000000002</v>
      </c>
      <c r="AZ98" s="310">
        <v>0.25080439999999998</v>
      </c>
      <c r="BA98" s="310">
        <v>0.2414549</v>
      </c>
      <c r="BB98" s="310">
        <v>0.247836</v>
      </c>
      <c r="BC98" s="310">
        <v>0.25293339999999997</v>
      </c>
      <c r="BD98" s="310">
        <v>0.24980830000000001</v>
      </c>
      <c r="BE98" s="310">
        <v>0.25297530000000001</v>
      </c>
      <c r="BF98" s="310">
        <v>0.24113299999999999</v>
      </c>
      <c r="BG98" s="310">
        <v>0.2522684</v>
      </c>
      <c r="BH98" s="310">
        <v>0.25134000000000001</v>
      </c>
      <c r="BI98" s="310">
        <v>0.25390800000000002</v>
      </c>
      <c r="BJ98" s="310">
        <v>0.24959980000000001</v>
      </c>
      <c r="BK98" s="310">
        <v>0.25447829999999999</v>
      </c>
    </row>
    <row r="99" spans="1:63" x14ac:dyDescent="0.25">
      <c r="A99" s="306">
        <v>322110</v>
      </c>
      <c r="B99" s="310" t="s">
        <v>87</v>
      </c>
      <c r="C99" s="310">
        <v>0.16940640000000001</v>
      </c>
      <c r="D99" s="310">
        <v>0</v>
      </c>
      <c r="E99" s="310">
        <v>0.16119900000000001</v>
      </c>
      <c r="F99" s="310">
        <v>0</v>
      </c>
      <c r="G99" s="310">
        <v>0.16655719999999999</v>
      </c>
      <c r="H99" s="310">
        <v>0.1677003</v>
      </c>
      <c r="I99" s="310">
        <v>0</v>
      </c>
      <c r="J99" s="310">
        <v>0</v>
      </c>
      <c r="K99" s="310">
        <v>0</v>
      </c>
      <c r="L99" s="310">
        <v>0</v>
      </c>
      <c r="M99" s="310">
        <v>0.16489870000000001</v>
      </c>
      <c r="N99" s="310">
        <v>0.16004070000000001</v>
      </c>
      <c r="O99" s="310">
        <v>0</v>
      </c>
      <c r="P99" s="310">
        <v>0.1560694</v>
      </c>
      <c r="Q99" s="310">
        <v>0</v>
      </c>
      <c r="R99" s="310">
        <v>0</v>
      </c>
      <c r="S99" s="310">
        <v>0</v>
      </c>
      <c r="T99" s="310">
        <v>0</v>
      </c>
      <c r="U99" s="310">
        <v>0</v>
      </c>
      <c r="V99" s="310">
        <v>0</v>
      </c>
      <c r="W99" s="310">
        <v>0</v>
      </c>
      <c r="X99" s="310">
        <v>0.13860939999999999</v>
      </c>
      <c r="Y99" s="310">
        <v>0.16909250000000001</v>
      </c>
      <c r="Z99" s="310">
        <v>0.1647014</v>
      </c>
      <c r="AA99" s="310">
        <v>0</v>
      </c>
      <c r="AB99" s="310">
        <v>0</v>
      </c>
      <c r="AC99" s="310">
        <v>0.15547910000000001</v>
      </c>
      <c r="AD99" s="310">
        <v>0</v>
      </c>
      <c r="AE99" s="310">
        <v>0.16391539999999999</v>
      </c>
      <c r="AF99" s="310">
        <v>0</v>
      </c>
      <c r="AG99" s="310">
        <v>0</v>
      </c>
      <c r="AH99" s="310">
        <v>0</v>
      </c>
      <c r="AI99" s="310">
        <v>0</v>
      </c>
      <c r="AJ99" s="310">
        <v>0</v>
      </c>
      <c r="AK99" s="310">
        <v>0</v>
      </c>
      <c r="AL99" s="310">
        <v>0.15783920000000001</v>
      </c>
      <c r="AM99" s="310">
        <v>0.16466049999999999</v>
      </c>
      <c r="AN99" s="310">
        <v>0.16589019999999999</v>
      </c>
      <c r="AO99" s="310">
        <v>0.15342939999999999</v>
      </c>
      <c r="AP99" s="310">
        <v>0</v>
      </c>
      <c r="AQ99" s="310">
        <v>0</v>
      </c>
      <c r="AR99" s="310">
        <v>0.15945889999999999</v>
      </c>
      <c r="AS99" s="310">
        <v>0</v>
      </c>
      <c r="AT99" s="310">
        <v>0.15840580000000001</v>
      </c>
      <c r="AU99" s="310">
        <v>0.1652121</v>
      </c>
      <c r="AV99" s="310">
        <v>0</v>
      </c>
      <c r="AW99" s="310">
        <v>0</v>
      </c>
      <c r="AX99" s="310">
        <v>0</v>
      </c>
      <c r="AY99" s="310">
        <v>0.16498270000000001</v>
      </c>
      <c r="AZ99" s="310">
        <v>0.1675246</v>
      </c>
      <c r="BA99" s="310">
        <v>0.1546468</v>
      </c>
      <c r="BB99" s="310">
        <v>0</v>
      </c>
      <c r="BC99" s="310">
        <v>0.167295</v>
      </c>
      <c r="BD99" s="310">
        <v>0.16535349999999999</v>
      </c>
      <c r="BE99" s="310">
        <v>0.16816320000000001</v>
      </c>
      <c r="BF99" s="310">
        <v>0.16103729999999999</v>
      </c>
      <c r="BG99" s="310">
        <v>0.1661649</v>
      </c>
      <c r="BH99" s="310">
        <v>0.16378490000000001</v>
      </c>
      <c r="BI99" s="310">
        <v>0.16717979999999999</v>
      </c>
      <c r="BJ99" s="310">
        <v>0.15998019999999999</v>
      </c>
      <c r="BK99" s="310">
        <v>0.16828180000000001</v>
      </c>
    </row>
    <row r="100" spans="1:63" x14ac:dyDescent="0.25">
      <c r="A100" s="306">
        <v>322120</v>
      </c>
      <c r="B100" s="310" t="s">
        <v>88</v>
      </c>
      <c r="C100" s="310">
        <v>0.15327959999999999</v>
      </c>
      <c r="D100" s="310">
        <v>0</v>
      </c>
      <c r="E100" s="310">
        <v>0.1458777</v>
      </c>
      <c r="F100" s="310">
        <v>0.14319390000000001</v>
      </c>
      <c r="G100" s="310">
        <v>0.15072340000000001</v>
      </c>
      <c r="H100" s="310">
        <v>0.1517752</v>
      </c>
      <c r="I100" s="310">
        <v>0.1530165</v>
      </c>
      <c r="J100" s="310">
        <v>0.14106250000000001</v>
      </c>
      <c r="K100" s="310">
        <v>0</v>
      </c>
      <c r="L100" s="310">
        <v>0</v>
      </c>
      <c r="M100" s="310">
        <v>0.14918149999999999</v>
      </c>
      <c r="N100" s="310">
        <v>0.1448613</v>
      </c>
      <c r="O100" s="310">
        <v>0.1493255</v>
      </c>
      <c r="P100" s="310">
        <v>0.1412553</v>
      </c>
      <c r="Q100" s="310">
        <v>0.1244027</v>
      </c>
      <c r="R100" s="310">
        <v>0.14944869999999999</v>
      </c>
      <c r="S100" s="310">
        <v>0.14791180000000001</v>
      </c>
      <c r="T100" s="310">
        <v>0.1331146</v>
      </c>
      <c r="U100" s="310">
        <v>0.13848369999999999</v>
      </c>
      <c r="V100" s="310">
        <v>0.14738090000000001</v>
      </c>
      <c r="W100" s="310">
        <v>0.14084050000000001</v>
      </c>
      <c r="X100" s="310">
        <v>0.12542410000000001</v>
      </c>
      <c r="Y100" s="310">
        <v>0.1530396</v>
      </c>
      <c r="Z100" s="310">
        <v>0.14902090000000001</v>
      </c>
      <c r="AA100" s="310">
        <v>0.14331579999999999</v>
      </c>
      <c r="AB100" s="310">
        <v>0.13687640000000001</v>
      </c>
      <c r="AC100" s="310">
        <v>0.14073089999999999</v>
      </c>
      <c r="AD100" s="310">
        <v>0</v>
      </c>
      <c r="AE100" s="310">
        <v>0.14831050000000001</v>
      </c>
      <c r="AF100" s="310">
        <v>0</v>
      </c>
      <c r="AG100" s="310">
        <v>0.13461770000000001</v>
      </c>
      <c r="AH100" s="310">
        <v>0.13824880000000001</v>
      </c>
      <c r="AI100" s="310">
        <v>0.13217409999999999</v>
      </c>
      <c r="AJ100" s="310">
        <v>0.14291200000000001</v>
      </c>
      <c r="AK100" s="310">
        <v>0</v>
      </c>
      <c r="AL100" s="310">
        <v>0.14282239999999999</v>
      </c>
      <c r="AM100" s="310">
        <v>0.14901349999999999</v>
      </c>
      <c r="AN100" s="310">
        <v>0.15013080000000001</v>
      </c>
      <c r="AO100" s="310">
        <v>0.1388152</v>
      </c>
      <c r="AP100" s="310">
        <v>0.14531820000000001</v>
      </c>
      <c r="AQ100" s="310">
        <v>0</v>
      </c>
      <c r="AR100" s="310">
        <v>0.1443014</v>
      </c>
      <c r="AS100" s="310">
        <v>0</v>
      </c>
      <c r="AT100" s="310">
        <v>0.14333170000000001</v>
      </c>
      <c r="AU100" s="310">
        <v>0.14949170000000001</v>
      </c>
      <c r="AV100" s="310">
        <v>0.14868729999999999</v>
      </c>
      <c r="AW100" s="310">
        <v>0.1454944</v>
      </c>
      <c r="AX100" s="310">
        <v>0.1077634</v>
      </c>
      <c r="AY100" s="310">
        <v>0.1492937</v>
      </c>
      <c r="AZ100" s="310">
        <v>0.1515986</v>
      </c>
      <c r="BA100" s="310">
        <v>0</v>
      </c>
      <c r="BB100" s="310">
        <v>0</v>
      </c>
      <c r="BC100" s="310">
        <v>0.15141569999999999</v>
      </c>
      <c r="BD100" s="310">
        <v>0.1496403</v>
      </c>
      <c r="BE100" s="310">
        <v>0.15215339999999999</v>
      </c>
      <c r="BF100" s="310">
        <v>0.14574860000000001</v>
      </c>
      <c r="BG100" s="310">
        <v>0.1503651</v>
      </c>
      <c r="BH100" s="310">
        <v>0.14821319999999999</v>
      </c>
      <c r="BI100" s="310">
        <v>0.1512945</v>
      </c>
      <c r="BJ100" s="310">
        <v>0.14479800000000001</v>
      </c>
      <c r="BK100" s="310">
        <v>0.15230260000000001</v>
      </c>
    </row>
    <row r="101" spans="1:63" x14ac:dyDescent="0.25">
      <c r="A101" s="306">
        <v>322130</v>
      </c>
      <c r="B101" s="310" t="s">
        <v>712</v>
      </c>
      <c r="C101" s="310">
        <v>0.1540301</v>
      </c>
      <c r="D101" s="310">
        <v>0</v>
      </c>
      <c r="E101" s="310">
        <v>0.1465843</v>
      </c>
      <c r="F101" s="310">
        <v>0.14392070000000001</v>
      </c>
      <c r="G101" s="310">
        <v>0.1514654</v>
      </c>
      <c r="H101" s="310">
        <v>0.15249989999999999</v>
      </c>
      <c r="I101" s="310">
        <v>0</v>
      </c>
      <c r="J101" s="310">
        <v>0.14180280000000001</v>
      </c>
      <c r="K101" s="310">
        <v>0</v>
      </c>
      <c r="L101" s="310">
        <v>0</v>
      </c>
      <c r="M101" s="310">
        <v>0.1499259</v>
      </c>
      <c r="N101" s="310">
        <v>0.1455497</v>
      </c>
      <c r="O101" s="310">
        <v>0</v>
      </c>
      <c r="P101" s="310">
        <v>0.14192340000000001</v>
      </c>
      <c r="Q101" s="310">
        <v>0.1250058</v>
      </c>
      <c r="R101" s="310">
        <v>0.15017249999999999</v>
      </c>
      <c r="S101" s="310">
        <v>0.14861260000000001</v>
      </c>
      <c r="T101" s="310">
        <v>0.13376179999999999</v>
      </c>
      <c r="U101" s="310">
        <v>0.13917199999999999</v>
      </c>
      <c r="V101" s="310">
        <v>0.14807919999999999</v>
      </c>
      <c r="W101" s="310">
        <v>0.1415043</v>
      </c>
      <c r="X101" s="310">
        <v>0.1260307</v>
      </c>
      <c r="Y101" s="310">
        <v>0.15379300000000001</v>
      </c>
      <c r="Z101" s="310">
        <v>0.14974599999999999</v>
      </c>
      <c r="AA101" s="310">
        <v>0.14400669999999999</v>
      </c>
      <c r="AB101" s="310">
        <v>0.13756460000000001</v>
      </c>
      <c r="AC101" s="310">
        <v>0.1413905</v>
      </c>
      <c r="AD101" s="310">
        <v>0.15402560000000001</v>
      </c>
      <c r="AE101" s="310">
        <v>0.1490689</v>
      </c>
      <c r="AF101" s="310">
        <v>0</v>
      </c>
      <c r="AG101" s="310">
        <v>0</v>
      </c>
      <c r="AH101" s="310">
        <v>0</v>
      </c>
      <c r="AI101" s="310">
        <v>0.1327952</v>
      </c>
      <c r="AJ101" s="310">
        <v>0</v>
      </c>
      <c r="AK101" s="310">
        <v>0</v>
      </c>
      <c r="AL101" s="310">
        <v>0.14351230000000001</v>
      </c>
      <c r="AM101" s="310">
        <v>0.1497175</v>
      </c>
      <c r="AN101" s="310">
        <v>0.1508632</v>
      </c>
      <c r="AO101" s="310">
        <v>0.1395161</v>
      </c>
      <c r="AP101" s="310">
        <v>0.14606479999999999</v>
      </c>
      <c r="AQ101" s="310">
        <v>0.129162</v>
      </c>
      <c r="AR101" s="310">
        <v>0.1450167</v>
      </c>
      <c r="AS101" s="310">
        <v>0</v>
      </c>
      <c r="AT101" s="310">
        <v>0.14403079999999999</v>
      </c>
      <c r="AU101" s="310">
        <v>0.1502493</v>
      </c>
      <c r="AV101" s="310">
        <v>0</v>
      </c>
      <c r="AW101" s="310">
        <v>0.1461991</v>
      </c>
      <c r="AX101" s="310">
        <v>0.1082835</v>
      </c>
      <c r="AY101" s="310">
        <v>0.15002950000000001</v>
      </c>
      <c r="AZ101" s="310">
        <v>0.15231169999999999</v>
      </c>
      <c r="BA101" s="310">
        <v>0.1406183</v>
      </c>
      <c r="BB101" s="310">
        <v>0</v>
      </c>
      <c r="BC101" s="310">
        <v>0.15216579999999999</v>
      </c>
      <c r="BD101" s="310">
        <v>0.1503891</v>
      </c>
      <c r="BE101" s="310">
        <v>0.15293080000000001</v>
      </c>
      <c r="BF101" s="310">
        <v>0.14645830000000001</v>
      </c>
      <c r="BG101" s="310">
        <v>0.15112049999999999</v>
      </c>
      <c r="BH101" s="310">
        <v>0.1489452</v>
      </c>
      <c r="BI101" s="310">
        <v>0.1520446</v>
      </c>
      <c r="BJ101" s="310">
        <v>0.14550479999999999</v>
      </c>
      <c r="BK101" s="310">
        <v>0.15304139999999999</v>
      </c>
    </row>
    <row r="102" spans="1:63" x14ac:dyDescent="0.25">
      <c r="A102" s="306">
        <v>322210</v>
      </c>
      <c r="B102" s="310" t="s">
        <v>89</v>
      </c>
      <c r="C102" s="310">
        <v>0.20289389999999999</v>
      </c>
      <c r="D102" s="310">
        <v>0</v>
      </c>
      <c r="E102" s="310">
        <v>0.1931263</v>
      </c>
      <c r="F102" s="310">
        <v>0.18959090000000001</v>
      </c>
      <c r="G102" s="310">
        <v>0.19952629999999999</v>
      </c>
      <c r="H102" s="310">
        <v>0.20090040000000001</v>
      </c>
      <c r="I102" s="310">
        <v>0.2025873</v>
      </c>
      <c r="J102" s="310">
        <v>0.18677060000000001</v>
      </c>
      <c r="K102" s="310">
        <v>0</v>
      </c>
      <c r="L102" s="310">
        <v>0.1732966</v>
      </c>
      <c r="M102" s="310">
        <v>0.19747529999999999</v>
      </c>
      <c r="N102" s="310">
        <v>0.19174189999999999</v>
      </c>
      <c r="O102" s="310">
        <v>0.19763049999999999</v>
      </c>
      <c r="P102" s="310">
        <v>0.18697759999999999</v>
      </c>
      <c r="Q102" s="310">
        <v>0.16467290000000001</v>
      </c>
      <c r="R102" s="310">
        <v>0.19779659999999999</v>
      </c>
      <c r="S102" s="310">
        <v>0.19575809999999999</v>
      </c>
      <c r="T102" s="310">
        <v>0.17621600000000001</v>
      </c>
      <c r="U102" s="310">
        <v>0.18336630000000001</v>
      </c>
      <c r="V102" s="310">
        <v>0.1951039</v>
      </c>
      <c r="W102" s="310">
        <v>0.1864199</v>
      </c>
      <c r="X102" s="310">
        <v>0.16603570000000001</v>
      </c>
      <c r="Y102" s="310">
        <v>0.20258670000000001</v>
      </c>
      <c r="Z102" s="310">
        <v>0.19729189999999999</v>
      </c>
      <c r="AA102" s="310">
        <v>0.18969330000000001</v>
      </c>
      <c r="AB102" s="310">
        <v>0.18120720000000001</v>
      </c>
      <c r="AC102" s="310">
        <v>0.18628069999999999</v>
      </c>
      <c r="AD102" s="310">
        <v>0.2028884</v>
      </c>
      <c r="AE102" s="310">
        <v>0.1963464</v>
      </c>
      <c r="AF102" s="310">
        <v>0.1867055</v>
      </c>
      <c r="AG102" s="310">
        <v>0.1781874</v>
      </c>
      <c r="AH102" s="310">
        <v>0.1830137</v>
      </c>
      <c r="AI102" s="310">
        <v>0.1749626</v>
      </c>
      <c r="AJ102" s="310">
        <v>0.1891989</v>
      </c>
      <c r="AK102" s="310">
        <v>0.2023596</v>
      </c>
      <c r="AL102" s="310">
        <v>0.18905040000000001</v>
      </c>
      <c r="AM102" s="310">
        <v>0.19722310000000001</v>
      </c>
      <c r="AN102" s="310">
        <v>0.19873979999999999</v>
      </c>
      <c r="AO102" s="310">
        <v>0.18377959999999999</v>
      </c>
      <c r="AP102" s="310">
        <v>0.1923696</v>
      </c>
      <c r="AQ102" s="310">
        <v>0.1701616</v>
      </c>
      <c r="AR102" s="310">
        <v>0.1909797</v>
      </c>
      <c r="AS102" s="310">
        <v>0.19686200000000001</v>
      </c>
      <c r="AT102" s="310">
        <v>0.1897548</v>
      </c>
      <c r="AU102" s="310">
        <v>0.19789399999999999</v>
      </c>
      <c r="AV102" s="310">
        <v>0.1968451</v>
      </c>
      <c r="AW102" s="310">
        <v>0.19261500000000001</v>
      </c>
      <c r="AX102" s="310">
        <v>0.14261160000000001</v>
      </c>
      <c r="AY102" s="310">
        <v>0.19764280000000001</v>
      </c>
      <c r="AZ102" s="310">
        <v>0.2006724</v>
      </c>
      <c r="BA102" s="310">
        <v>0.18523729999999999</v>
      </c>
      <c r="BB102" s="310">
        <v>0</v>
      </c>
      <c r="BC102" s="310">
        <v>0.20043540000000001</v>
      </c>
      <c r="BD102" s="310">
        <v>0.1980912</v>
      </c>
      <c r="BE102" s="310">
        <v>0.20144590000000001</v>
      </c>
      <c r="BF102" s="310">
        <v>0.19287609999999999</v>
      </c>
      <c r="BG102" s="310">
        <v>0.1990488</v>
      </c>
      <c r="BH102" s="310">
        <v>0.1962093</v>
      </c>
      <c r="BI102" s="310">
        <v>0.20028409999999999</v>
      </c>
      <c r="BJ102" s="310">
        <v>0.19168080000000001</v>
      </c>
      <c r="BK102" s="310">
        <v>0.20161589999999999</v>
      </c>
    </row>
    <row r="103" spans="1:63" x14ac:dyDescent="0.25">
      <c r="A103" s="306" t="s">
        <v>713</v>
      </c>
      <c r="B103" s="310" t="s">
        <v>90</v>
      </c>
      <c r="C103" s="310">
        <v>0.17227329999999999</v>
      </c>
      <c r="D103" s="310">
        <v>0</v>
      </c>
      <c r="E103" s="310">
        <v>0.16396939999999999</v>
      </c>
      <c r="F103" s="310">
        <v>0.1609642</v>
      </c>
      <c r="G103" s="310">
        <v>0.1694021</v>
      </c>
      <c r="H103" s="310">
        <v>0.170567</v>
      </c>
      <c r="I103" s="310">
        <v>0.17196429999999999</v>
      </c>
      <c r="J103" s="310">
        <v>0.15858169999999999</v>
      </c>
      <c r="K103" s="310">
        <v>0</v>
      </c>
      <c r="L103" s="310">
        <v>0.1471614</v>
      </c>
      <c r="M103" s="310">
        <v>0.16770679999999999</v>
      </c>
      <c r="N103" s="310">
        <v>0.16276199999999999</v>
      </c>
      <c r="O103" s="310">
        <v>0</v>
      </c>
      <c r="P103" s="310">
        <v>0.15873229999999999</v>
      </c>
      <c r="Q103" s="310">
        <v>0</v>
      </c>
      <c r="R103" s="310">
        <v>0.16796469999999999</v>
      </c>
      <c r="S103" s="310">
        <v>0.1661947</v>
      </c>
      <c r="T103" s="310">
        <v>0.1496229</v>
      </c>
      <c r="U103" s="310">
        <v>0.15566569999999999</v>
      </c>
      <c r="V103" s="310">
        <v>0.1656098</v>
      </c>
      <c r="W103" s="310">
        <v>0.1582771</v>
      </c>
      <c r="X103" s="310">
        <v>0.14092879999999999</v>
      </c>
      <c r="Y103" s="310">
        <v>0</v>
      </c>
      <c r="Z103" s="310">
        <v>0.16746249999999999</v>
      </c>
      <c r="AA103" s="310">
        <v>0.1610306</v>
      </c>
      <c r="AB103" s="310">
        <v>0.1538843</v>
      </c>
      <c r="AC103" s="310">
        <v>0.1581573</v>
      </c>
      <c r="AD103" s="310">
        <v>0</v>
      </c>
      <c r="AE103" s="310">
        <v>0.1667159</v>
      </c>
      <c r="AF103" s="310">
        <v>0</v>
      </c>
      <c r="AG103" s="310">
        <v>0.15127360000000001</v>
      </c>
      <c r="AH103" s="310">
        <v>0.1553872</v>
      </c>
      <c r="AI103" s="310">
        <v>0.1485505</v>
      </c>
      <c r="AJ103" s="310">
        <v>0.16059880000000001</v>
      </c>
      <c r="AK103" s="310">
        <v>0.1718124</v>
      </c>
      <c r="AL103" s="310">
        <v>0.1605055</v>
      </c>
      <c r="AM103" s="310">
        <v>0.16746030000000001</v>
      </c>
      <c r="AN103" s="310">
        <v>0.16873740000000001</v>
      </c>
      <c r="AO103" s="310">
        <v>0.15605189999999999</v>
      </c>
      <c r="AP103" s="310">
        <v>0.16334090000000001</v>
      </c>
      <c r="AQ103" s="310">
        <v>0.14446310000000001</v>
      </c>
      <c r="AR103" s="310">
        <v>0.16214600000000001</v>
      </c>
      <c r="AS103" s="310">
        <v>0</v>
      </c>
      <c r="AT103" s="310">
        <v>0.16107579999999999</v>
      </c>
      <c r="AU103" s="310">
        <v>0.16799710000000001</v>
      </c>
      <c r="AV103" s="310">
        <v>0.16714019999999999</v>
      </c>
      <c r="AW103" s="310">
        <v>0.163521</v>
      </c>
      <c r="AX103" s="310">
        <v>0.1211058</v>
      </c>
      <c r="AY103" s="310">
        <v>0.16782469999999999</v>
      </c>
      <c r="AZ103" s="310">
        <v>0.17035069999999999</v>
      </c>
      <c r="BA103" s="310">
        <v>0</v>
      </c>
      <c r="BB103" s="310">
        <v>0</v>
      </c>
      <c r="BC103" s="310">
        <v>0.17018359999999999</v>
      </c>
      <c r="BD103" s="310">
        <v>0.16817989999999999</v>
      </c>
      <c r="BE103" s="310">
        <v>0.17100290000000001</v>
      </c>
      <c r="BF103" s="310">
        <v>0.16378180000000001</v>
      </c>
      <c r="BG103" s="310">
        <v>0.16900270000000001</v>
      </c>
      <c r="BH103" s="310">
        <v>0.16655729999999999</v>
      </c>
      <c r="BI103" s="310">
        <v>0.17003660000000001</v>
      </c>
      <c r="BJ103" s="310">
        <v>0.16274839999999999</v>
      </c>
      <c r="BK103" s="310">
        <v>0.1711712</v>
      </c>
    </row>
    <row r="104" spans="1:63" x14ac:dyDescent="0.25">
      <c r="A104" s="306" t="s">
        <v>714</v>
      </c>
      <c r="B104" s="310" t="s">
        <v>91</v>
      </c>
      <c r="C104" s="310">
        <v>0.20271990000000001</v>
      </c>
      <c r="D104" s="310">
        <v>0</v>
      </c>
      <c r="E104" s="310">
        <v>0.19293250000000001</v>
      </c>
      <c r="F104" s="310">
        <v>0.18942210000000001</v>
      </c>
      <c r="G104" s="310">
        <v>0.1993663</v>
      </c>
      <c r="H104" s="310">
        <v>0.2007034</v>
      </c>
      <c r="I104" s="310">
        <v>0</v>
      </c>
      <c r="J104" s="310">
        <v>0.1866121</v>
      </c>
      <c r="K104" s="310">
        <v>0</v>
      </c>
      <c r="L104" s="310">
        <v>0</v>
      </c>
      <c r="M104" s="310">
        <v>0.19733020000000001</v>
      </c>
      <c r="N104" s="310">
        <v>0.1915454</v>
      </c>
      <c r="O104" s="310">
        <v>0.1974252</v>
      </c>
      <c r="P104" s="310">
        <v>0.18674740000000001</v>
      </c>
      <c r="Q104" s="310">
        <v>0</v>
      </c>
      <c r="R104" s="310">
        <v>0.1975874</v>
      </c>
      <c r="S104" s="310">
        <v>0.19557069999999999</v>
      </c>
      <c r="T104" s="310">
        <v>0.17605770000000001</v>
      </c>
      <c r="U104" s="310">
        <v>0.1831748</v>
      </c>
      <c r="V104" s="310">
        <v>0.1949091</v>
      </c>
      <c r="W104" s="310">
        <v>0.1862076</v>
      </c>
      <c r="X104" s="310">
        <v>0</v>
      </c>
      <c r="Y104" s="310">
        <v>0.20237959999999999</v>
      </c>
      <c r="Z104" s="310">
        <v>0.19707849999999999</v>
      </c>
      <c r="AA104" s="310">
        <v>0.18949859999999999</v>
      </c>
      <c r="AB104" s="310">
        <v>0.1810331</v>
      </c>
      <c r="AC104" s="310">
        <v>0.18607599999999999</v>
      </c>
      <c r="AD104" s="310">
        <v>0</v>
      </c>
      <c r="AE104" s="310">
        <v>0.19615640000000001</v>
      </c>
      <c r="AF104" s="310">
        <v>0</v>
      </c>
      <c r="AG104" s="310">
        <v>0.1779944</v>
      </c>
      <c r="AH104" s="310">
        <v>0.18281990000000001</v>
      </c>
      <c r="AI104" s="310">
        <v>0.17477760000000001</v>
      </c>
      <c r="AJ104" s="310">
        <v>0</v>
      </c>
      <c r="AK104" s="310">
        <v>0.20215900000000001</v>
      </c>
      <c r="AL104" s="310">
        <v>0.1888629</v>
      </c>
      <c r="AM104" s="310">
        <v>0.19701589999999999</v>
      </c>
      <c r="AN104" s="310">
        <v>0.1985555</v>
      </c>
      <c r="AO104" s="310">
        <v>0.1835803</v>
      </c>
      <c r="AP104" s="310">
        <v>0.1922093</v>
      </c>
      <c r="AQ104" s="310">
        <v>0.17000950000000001</v>
      </c>
      <c r="AR104" s="310">
        <v>0.19082389999999999</v>
      </c>
      <c r="AS104" s="310">
        <v>0</v>
      </c>
      <c r="AT104" s="310">
        <v>0.18955459999999999</v>
      </c>
      <c r="AU104" s="310">
        <v>0.19771079999999999</v>
      </c>
      <c r="AV104" s="310">
        <v>0.1966677</v>
      </c>
      <c r="AW104" s="310">
        <v>0.19240959999999999</v>
      </c>
      <c r="AX104" s="310">
        <v>0</v>
      </c>
      <c r="AY104" s="310">
        <v>0.1974301</v>
      </c>
      <c r="AZ104" s="310">
        <v>0.2004753</v>
      </c>
      <c r="BA104" s="310">
        <v>0.18503040000000001</v>
      </c>
      <c r="BB104" s="310">
        <v>0</v>
      </c>
      <c r="BC104" s="310">
        <v>0.200209</v>
      </c>
      <c r="BD104" s="310">
        <v>0.19790389999999999</v>
      </c>
      <c r="BE104" s="310">
        <v>0.2012486</v>
      </c>
      <c r="BF104" s="310">
        <v>0.19273680000000001</v>
      </c>
      <c r="BG104" s="310">
        <v>0.19887679999999999</v>
      </c>
      <c r="BH104" s="310">
        <v>0.19599469999999999</v>
      </c>
      <c r="BI104" s="310">
        <v>0.2000943</v>
      </c>
      <c r="BJ104" s="310">
        <v>0.19148680000000001</v>
      </c>
      <c r="BK104" s="310">
        <v>0.20140279999999999</v>
      </c>
    </row>
    <row r="105" spans="1:63" x14ac:dyDescent="0.25">
      <c r="A105" s="306">
        <v>322230</v>
      </c>
      <c r="B105" s="310" t="s">
        <v>92</v>
      </c>
      <c r="C105" s="310">
        <v>0.2117086</v>
      </c>
      <c r="D105" s="310">
        <v>0</v>
      </c>
      <c r="E105" s="310">
        <v>0.20145830000000001</v>
      </c>
      <c r="F105" s="310">
        <v>0.19778609999999999</v>
      </c>
      <c r="G105" s="310">
        <v>0.2081498</v>
      </c>
      <c r="H105" s="310">
        <v>0.2095841</v>
      </c>
      <c r="I105" s="310">
        <v>0.21130879999999999</v>
      </c>
      <c r="J105" s="310">
        <v>0.1948484</v>
      </c>
      <c r="K105" s="310">
        <v>0</v>
      </c>
      <c r="L105" s="310">
        <v>0</v>
      </c>
      <c r="M105" s="310">
        <v>0.20607529999999999</v>
      </c>
      <c r="N105" s="310">
        <v>0.20002809999999999</v>
      </c>
      <c r="O105" s="310">
        <v>0.20619680000000001</v>
      </c>
      <c r="P105" s="310">
        <v>0.1950239</v>
      </c>
      <c r="Q105" s="310">
        <v>0.17181340000000001</v>
      </c>
      <c r="R105" s="310">
        <v>0.20638200000000001</v>
      </c>
      <c r="S105" s="310">
        <v>0.20425080000000001</v>
      </c>
      <c r="T105" s="310">
        <v>0.18385969999999999</v>
      </c>
      <c r="U105" s="310">
        <v>0.191271</v>
      </c>
      <c r="V105" s="310">
        <v>0.20351710000000001</v>
      </c>
      <c r="W105" s="310">
        <v>0.19450010000000001</v>
      </c>
      <c r="X105" s="310">
        <v>0.173238</v>
      </c>
      <c r="Y105" s="310">
        <v>0.21136199999999999</v>
      </c>
      <c r="Z105" s="310">
        <v>0.20583750000000001</v>
      </c>
      <c r="AA105" s="310">
        <v>0.1979312</v>
      </c>
      <c r="AB105" s="310">
        <v>0.18904550000000001</v>
      </c>
      <c r="AC105" s="310">
        <v>0.1943338</v>
      </c>
      <c r="AD105" s="310">
        <v>0</v>
      </c>
      <c r="AE105" s="310">
        <v>0.20482539999999999</v>
      </c>
      <c r="AF105" s="310">
        <v>0</v>
      </c>
      <c r="AG105" s="310">
        <v>0.18588769999999999</v>
      </c>
      <c r="AH105" s="310">
        <v>0.19090579999999999</v>
      </c>
      <c r="AI105" s="310">
        <v>0.18250710000000001</v>
      </c>
      <c r="AJ105" s="310">
        <v>0.19733490000000001</v>
      </c>
      <c r="AK105" s="310">
        <v>0.21114649999999999</v>
      </c>
      <c r="AL105" s="310">
        <v>0.19726869999999999</v>
      </c>
      <c r="AM105" s="310">
        <v>0.20573949999999999</v>
      </c>
      <c r="AN105" s="310">
        <v>0.20735290000000001</v>
      </c>
      <c r="AO105" s="310">
        <v>0.1917566</v>
      </c>
      <c r="AP105" s="310">
        <v>0.2006897</v>
      </c>
      <c r="AQ105" s="310">
        <v>0.1775137</v>
      </c>
      <c r="AR105" s="310">
        <v>0.19925609999999999</v>
      </c>
      <c r="AS105" s="310">
        <v>0.20539479999999999</v>
      </c>
      <c r="AT105" s="310">
        <v>0.19795869999999999</v>
      </c>
      <c r="AU105" s="310">
        <v>0.20642279999999999</v>
      </c>
      <c r="AV105" s="310">
        <v>0.2053982</v>
      </c>
      <c r="AW105" s="310">
        <v>0.20095769999999999</v>
      </c>
      <c r="AX105" s="310">
        <v>0</v>
      </c>
      <c r="AY105" s="310">
        <v>0.2061936</v>
      </c>
      <c r="AZ105" s="310">
        <v>0.2093631</v>
      </c>
      <c r="BA105" s="310">
        <v>0.19325200000000001</v>
      </c>
      <c r="BB105" s="310">
        <v>0</v>
      </c>
      <c r="BC105" s="310">
        <v>0.20911469999999999</v>
      </c>
      <c r="BD105" s="310">
        <v>0.2066751</v>
      </c>
      <c r="BE105" s="310">
        <v>0.21016299999999999</v>
      </c>
      <c r="BF105" s="310">
        <v>0.201235</v>
      </c>
      <c r="BG105" s="310">
        <v>0.207708</v>
      </c>
      <c r="BH105" s="310">
        <v>0.20469619999999999</v>
      </c>
      <c r="BI105" s="310">
        <v>0.20893629999999999</v>
      </c>
      <c r="BJ105" s="310">
        <v>0.19993</v>
      </c>
      <c r="BK105" s="310">
        <v>0.21031549999999999</v>
      </c>
    </row>
    <row r="106" spans="1:63" x14ac:dyDescent="0.25">
      <c r="A106" s="306">
        <v>322291</v>
      </c>
      <c r="B106" s="310" t="s">
        <v>93</v>
      </c>
      <c r="C106" s="310">
        <v>0.11846470000000001</v>
      </c>
      <c r="D106" s="310">
        <v>0</v>
      </c>
      <c r="E106" s="310">
        <v>0</v>
      </c>
      <c r="F106" s="310">
        <v>0.1106462</v>
      </c>
      <c r="G106" s="310">
        <v>0.1164492</v>
      </c>
      <c r="H106" s="310">
        <v>0.11727310000000001</v>
      </c>
      <c r="I106" s="310">
        <v>0</v>
      </c>
      <c r="J106" s="310">
        <v>0</v>
      </c>
      <c r="K106" s="310">
        <v>0</v>
      </c>
      <c r="L106" s="310">
        <v>0.10117660000000001</v>
      </c>
      <c r="M106" s="310">
        <v>0.1153169</v>
      </c>
      <c r="N106" s="310">
        <v>0.1119337</v>
      </c>
      <c r="O106" s="310">
        <v>0</v>
      </c>
      <c r="P106" s="310">
        <v>0</v>
      </c>
      <c r="Q106" s="310">
        <v>9.6096500000000001E-2</v>
      </c>
      <c r="R106" s="310">
        <v>0.1154565</v>
      </c>
      <c r="S106" s="310">
        <v>0.1142707</v>
      </c>
      <c r="T106" s="310">
        <v>0</v>
      </c>
      <c r="U106" s="310">
        <v>0.1070154</v>
      </c>
      <c r="V106" s="310">
        <v>0</v>
      </c>
      <c r="W106" s="310">
        <v>0.10880049999999999</v>
      </c>
      <c r="X106" s="310">
        <v>9.6908900000000006E-2</v>
      </c>
      <c r="Y106" s="310">
        <v>0.1182344</v>
      </c>
      <c r="Z106" s="310">
        <v>0.11513619999999999</v>
      </c>
      <c r="AA106" s="310">
        <v>0.1107192</v>
      </c>
      <c r="AB106" s="310">
        <v>0.1057921</v>
      </c>
      <c r="AC106" s="310">
        <v>0.10870779999999999</v>
      </c>
      <c r="AD106" s="310">
        <v>0</v>
      </c>
      <c r="AE106" s="310">
        <v>0.1146047</v>
      </c>
      <c r="AF106" s="310">
        <v>0</v>
      </c>
      <c r="AG106" s="310">
        <v>0.1040232</v>
      </c>
      <c r="AH106" s="310">
        <v>0</v>
      </c>
      <c r="AI106" s="310">
        <v>0.1021541</v>
      </c>
      <c r="AJ106" s="310">
        <v>0.1104122</v>
      </c>
      <c r="AK106" s="310">
        <v>0.1181369</v>
      </c>
      <c r="AL106" s="310">
        <v>0.11034040000000001</v>
      </c>
      <c r="AM106" s="310">
        <v>0.1151524</v>
      </c>
      <c r="AN106" s="310">
        <v>0</v>
      </c>
      <c r="AO106" s="310">
        <v>0.1072655</v>
      </c>
      <c r="AP106" s="310">
        <v>0.11230809999999999</v>
      </c>
      <c r="AQ106" s="310">
        <v>0</v>
      </c>
      <c r="AR106" s="310">
        <v>0.1114776</v>
      </c>
      <c r="AS106" s="310">
        <v>0</v>
      </c>
      <c r="AT106" s="310">
        <v>0.110764</v>
      </c>
      <c r="AU106" s="310">
        <v>0.115513</v>
      </c>
      <c r="AV106" s="310">
        <v>0.1149299</v>
      </c>
      <c r="AW106" s="310">
        <v>0</v>
      </c>
      <c r="AX106" s="310">
        <v>0</v>
      </c>
      <c r="AY106" s="310">
        <v>0.11534999999999999</v>
      </c>
      <c r="AZ106" s="310">
        <v>0.1171403</v>
      </c>
      <c r="BA106" s="310">
        <v>0</v>
      </c>
      <c r="BB106" s="310">
        <v>0</v>
      </c>
      <c r="BC106" s="310">
        <v>0.1170191</v>
      </c>
      <c r="BD106" s="310">
        <v>0.1156016</v>
      </c>
      <c r="BE106" s="310">
        <v>0.1175861</v>
      </c>
      <c r="BF106" s="310">
        <v>0.1126209</v>
      </c>
      <c r="BG106" s="310">
        <v>0.11618340000000001</v>
      </c>
      <c r="BH106" s="310">
        <v>0.1145234</v>
      </c>
      <c r="BI106" s="310">
        <v>0.1169321</v>
      </c>
      <c r="BJ106" s="310">
        <v>0.1118899</v>
      </c>
      <c r="BK106" s="310">
        <v>0.11768729999999999</v>
      </c>
    </row>
    <row r="107" spans="1:63" x14ac:dyDescent="0.25">
      <c r="A107" s="306">
        <v>322299</v>
      </c>
      <c r="B107" s="310" t="s">
        <v>94</v>
      </c>
      <c r="C107" s="310">
        <v>0.21653510000000001</v>
      </c>
      <c r="D107" s="310">
        <v>0.21654180000000001</v>
      </c>
      <c r="E107" s="310">
        <v>0.2060746</v>
      </c>
      <c r="F107" s="310">
        <v>0.20233660000000001</v>
      </c>
      <c r="G107" s="310">
        <v>0.21293680000000001</v>
      </c>
      <c r="H107" s="310">
        <v>0.21438850000000001</v>
      </c>
      <c r="I107" s="310">
        <v>0.21619759999999999</v>
      </c>
      <c r="J107" s="310">
        <v>0.19930539999999999</v>
      </c>
      <c r="K107" s="310">
        <v>0</v>
      </c>
      <c r="L107" s="310">
        <v>0.18494269999999999</v>
      </c>
      <c r="M107" s="310">
        <v>0.21079290000000001</v>
      </c>
      <c r="N107" s="310">
        <v>0.2045969</v>
      </c>
      <c r="O107" s="310">
        <v>0.2109347</v>
      </c>
      <c r="P107" s="310">
        <v>0.19954179999999999</v>
      </c>
      <c r="Q107" s="310">
        <v>0.1757174</v>
      </c>
      <c r="R107" s="310">
        <v>0.2111181</v>
      </c>
      <c r="S107" s="310">
        <v>0.2089607</v>
      </c>
      <c r="T107" s="310">
        <v>0.18806490000000001</v>
      </c>
      <c r="U107" s="310">
        <v>0.1956743</v>
      </c>
      <c r="V107" s="310">
        <v>0.20818400000000001</v>
      </c>
      <c r="W107" s="310">
        <v>0.19893669999999999</v>
      </c>
      <c r="X107" s="310">
        <v>0.17720820000000001</v>
      </c>
      <c r="Y107" s="310">
        <v>0.21619650000000001</v>
      </c>
      <c r="Z107" s="310">
        <v>0.2105263</v>
      </c>
      <c r="AA107" s="310">
        <v>0.20241000000000001</v>
      </c>
      <c r="AB107" s="310">
        <v>0.19342770000000001</v>
      </c>
      <c r="AC107" s="310">
        <v>0.198772</v>
      </c>
      <c r="AD107" s="310">
        <v>0.2165627</v>
      </c>
      <c r="AE107" s="310">
        <v>0.20955219999999999</v>
      </c>
      <c r="AF107" s="310">
        <v>0.1992767</v>
      </c>
      <c r="AG107" s="310">
        <v>0.1901658</v>
      </c>
      <c r="AH107" s="310">
        <v>0.195299</v>
      </c>
      <c r="AI107" s="310">
        <v>0.18672610000000001</v>
      </c>
      <c r="AJ107" s="310">
        <v>0</v>
      </c>
      <c r="AK107" s="310">
        <v>0.21600430000000001</v>
      </c>
      <c r="AL107" s="310">
        <v>0.20174310000000001</v>
      </c>
      <c r="AM107" s="310">
        <v>0.21049039999999999</v>
      </c>
      <c r="AN107" s="310">
        <v>0.2120976</v>
      </c>
      <c r="AO107" s="310">
        <v>0.19614590000000001</v>
      </c>
      <c r="AP107" s="310">
        <v>0.20529149999999999</v>
      </c>
      <c r="AQ107" s="310">
        <v>0.18156820000000001</v>
      </c>
      <c r="AR107" s="310">
        <v>0.203821</v>
      </c>
      <c r="AS107" s="310">
        <v>0</v>
      </c>
      <c r="AT107" s="310">
        <v>0.20249420000000001</v>
      </c>
      <c r="AU107" s="310">
        <v>0.21120810000000001</v>
      </c>
      <c r="AV107" s="310">
        <v>0.2100957</v>
      </c>
      <c r="AW107" s="310">
        <v>0.2055293</v>
      </c>
      <c r="AX107" s="310">
        <v>0</v>
      </c>
      <c r="AY107" s="310">
        <v>0.21095</v>
      </c>
      <c r="AZ107" s="310">
        <v>0.2141622</v>
      </c>
      <c r="BA107" s="310">
        <v>0</v>
      </c>
      <c r="BB107" s="310">
        <v>0</v>
      </c>
      <c r="BC107" s="310">
        <v>0.21391769999999999</v>
      </c>
      <c r="BD107" s="310">
        <v>0.21137059999999999</v>
      </c>
      <c r="BE107" s="310">
        <v>0.21498519999999999</v>
      </c>
      <c r="BF107" s="310">
        <v>0.20585580000000001</v>
      </c>
      <c r="BG107" s="310">
        <v>0.21246329999999999</v>
      </c>
      <c r="BH107" s="310">
        <v>0.2093728</v>
      </c>
      <c r="BI107" s="310">
        <v>0.21372150000000001</v>
      </c>
      <c r="BJ107" s="310">
        <v>0.2045535</v>
      </c>
      <c r="BK107" s="310">
        <v>0.2151353</v>
      </c>
    </row>
    <row r="108" spans="1:63" x14ac:dyDescent="0.25">
      <c r="A108" s="306">
        <v>323110</v>
      </c>
      <c r="B108" s="310" t="s">
        <v>95</v>
      </c>
      <c r="C108" s="310">
        <v>0.30504920000000002</v>
      </c>
      <c r="D108" s="310">
        <v>0.3006877</v>
      </c>
      <c r="E108" s="310">
        <v>0.30109390000000003</v>
      </c>
      <c r="F108" s="310">
        <v>0.29248849999999998</v>
      </c>
      <c r="G108" s="310">
        <v>0.3043787</v>
      </c>
      <c r="H108" s="310">
        <v>0.30457299999999998</v>
      </c>
      <c r="I108" s="310">
        <v>0.30369560000000001</v>
      </c>
      <c r="J108" s="310">
        <v>0.28400189999999997</v>
      </c>
      <c r="K108" s="310">
        <v>5.2869399999999997E-2</v>
      </c>
      <c r="L108" s="310">
        <v>0.24158289999999999</v>
      </c>
      <c r="M108" s="310">
        <v>0.30253570000000002</v>
      </c>
      <c r="N108" s="310">
        <v>0.29469509999999999</v>
      </c>
      <c r="O108" s="310">
        <v>0.3025216</v>
      </c>
      <c r="P108" s="310">
        <v>0.29263610000000001</v>
      </c>
      <c r="Q108" s="310">
        <v>0.29327490000000001</v>
      </c>
      <c r="R108" s="310">
        <v>0.29527179999999997</v>
      </c>
      <c r="S108" s="310">
        <v>0.2920874</v>
      </c>
      <c r="T108" s="310">
        <v>0.27555649999999998</v>
      </c>
      <c r="U108" s="310">
        <v>0.26928800000000003</v>
      </c>
      <c r="V108" s="310">
        <v>0.30262790000000001</v>
      </c>
      <c r="W108" s="310">
        <v>0.27990609999999999</v>
      </c>
      <c r="X108" s="310">
        <v>0.27972419999999998</v>
      </c>
      <c r="Y108" s="310">
        <v>0.2875721</v>
      </c>
      <c r="Z108" s="310">
        <v>0.30391590000000002</v>
      </c>
      <c r="AA108" s="310">
        <v>0.29973640000000001</v>
      </c>
      <c r="AB108" s="310">
        <v>0.25974449999999999</v>
      </c>
      <c r="AC108" s="310">
        <v>0.27766740000000001</v>
      </c>
      <c r="AD108" s="310">
        <v>0.30502970000000001</v>
      </c>
      <c r="AE108" s="310">
        <v>0.29145080000000001</v>
      </c>
      <c r="AF108" s="310">
        <v>0.2448784</v>
      </c>
      <c r="AG108" s="310">
        <v>0.28666360000000002</v>
      </c>
      <c r="AH108" s="310">
        <v>0.26836660000000001</v>
      </c>
      <c r="AI108" s="310">
        <v>0.26457819999999999</v>
      </c>
      <c r="AJ108" s="310">
        <v>0.30420049999999998</v>
      </c>
      <c r="AK108" s="310">
        <v>0.2983556</v>
      </c>
      <c r="AL108" s="310">
        <v>0.2763951</v>
      </c>
      <c r="AM108" s="310">
        <v>0.29594819999999999</v>
      </c>
      <c r="AN108" s="310">
        <v>0.3047377</v>
      </c>
      <c r="AO108" s="310">
        <v>0.28254489999999999</v>
      </c>
      <c r="AP108" s="310">
        <v>0.29022039999999999</v>
      </c>
      <c r="AQ108" s="310">
        <v>0.2713991</v>
      </c>
      <c r="AR108" s="310">
        <v>0.29699320000000001</v>
      </c>
      <c r="AS108" s="310">
        <v>0.29720540000000001</v>
      </c>
      <c r="AT108" s="310">
        <v>0.28228059999999999</v>
      </c>
      <c r="AU108" s="310">
        <v>0.30378379999999999</v>
      </c>
      <c r="AV108" s="310">
        <v>0.3009309</v>
      </c>
      <c r="AW108" s="310">
        <v>0.28125810000000001</v>
      </c>
      <c r="AX108" s="310">
        <v>0.2751865</v>
      </c>
      <c r="AY108" s="310">
        <v>0.30157869999999998</v>
      </c>
      <c r="AZ108" s="310">
        <v>0.30018230000000001</v>
      </c>
      <c r="BA108" s="310">
        <v>0.27622570000000002</v>
      </c>
      <c r="BB108" s="310">
        <v>0.2872093</v>
      </c>
      <c r="BC108" s="310">
        <v>0.30127520000000002</v>
      </c>
      <c r="BD108" s="310">
        <v>0.30150339999999998</v>
      </c>
      <c r="BE108" s="310">
        <v>0.30143569999999997</v>
      </c>
      <c r="BF108" s="310">
        <v>0.29881059999999998</v>
      </c>
      <c r="BG108" s="310">
        <v>0.29989349999999998</v>
      </c>
      <c r="BH108" s="310">
        <v>0.28825800000000001</v>
      </c>
      <c r="BI108" s="310">
        <v>0.3037975</v>
      </c>
      <c r="BJ108" s="310">
        <v>0.30314360000000001</v>
      </c>
      <c r="BK108" s="310">
        <v>0.30462630000000002</v>
      </c>
    </row>
    <row r="109" spans="1:63" x14ac:dyDescent="0.25">
      <c r="A109" s="306">
        <v>323120</v>
      </c>
      <c r="B109" s="310" t="s">
        <v>96</v>
      </c>
      <c r="C109" s="310">
        <v>0.45300170000000001</v>
      </c>
      <c r="D109" s="310">
        <v>0.4465594</v>
      </c>
      <c r="E109" s="310">
        <v>0.44718829999999998</v>
      </c>
      <c r="F109" s="310">
        <v>0.4344054</v>
      </c>
      <c r="G109" s="310">
        <v>0.45203100000000002</v>
      </c>
      <c r="H109" s="310">
        <v>0.45232129999999998</v>
      </c>
      <c r="I109" s="310">
        <v>0.45101809999999998</v>
      </c>
      <c r="J109" s="310">
        <v>0.42169230000000002</v>
      </c>
      <c r="K109" s="310">
        <v>7.8543299999999996E-2</v>
      </c>
      <c r="L109" s="310">
        <v>0.3586666</v>
      </c>
      <c r="M109" s="310">
        <v>0.44931100000000002</v>
      </c>
      <c r="N109" s="310">
        <v>0.43765710000000002</v>
      </c>
      <c r="O109" s="310">
        <v>0.4493009</v>
      </c>
      <c r="P109" s="310">
        <v>0.43457820000000003</v>
      </c>
      <c r="Q109" s="310">
        <v>0.4354596</v>
      </c>
      <c r="R109" s="310">
        <v>0.4385173</v>
      </c>
      <c r="S109" s="310">
        <v>0.4336332</v>
      </c>
      <c r="T109" s="310">
        <v>0.4091688</v>
      </c>
      <c r="U109" s="310">
        <v>0.39987529999999999</v>
      </c>
      <c r="V109" s="310">
        <v>0.44944000000000001</v>
      </c>
      <c r="W109" s="310">
        <v>0.4156649</v>
      </c>
      <c r="X109" s="310">
        <v>0.41533599999999998</v>
      </c>
      <c r="Y109" s="310">
        <v>0.42702839999999997</v>
      </c>
      <c r="Z109" s="310">
        <v>0.45131939999999998</v>
      </c>
      <c r="AA109" s="310">
        <v>0.44510699999999997</v>
      </c>
      <c r="AB109" s="310">
        <v>0.38575330000000002</v>
      </c>
      <c r="AC109" s="310">
        <v>0.41231790000000001</v>
      </c>
      <c r="AD109" s="310">
        <v>0.4529937</v>
      </c>
      <c r="AE109" s="310">
        <v>0.43279220000000002</v>
      </c>
      <c r="AF109" s="310">
        <v>0.36362850000000002</v>
      </c>
      <c r="AG109" s="310">
        <v>0.42572680000000002</v>
      </c>
      <c r="AH109" s="310">
        <v>0.39849620000000002</v>
      </c>
      <c r="AI109" s="310">
        <v>0.39293889999999998</v>
      </c>
      <c r="AJ109" s="310">
        <v>0.45173580000000002</v>
      </c>
      <c r="AK109" s="310">
        <v>0.44301740000000001</v>
      </c>
      <c r="AL109" s="310">
        <v>0.41045599999999999</v>
      </c>
      <c r="AM109" s="310">
        <v>0.4394923</v>
      </c>
      <c r="AN109" s="310">
        <v>0.45248899999999997</v>
      </c>
      <c r="AO109" s="310">
        <v>0.41953940000000001</v>
      </c>
      <c r="AP109" s="310">
        <v>0.43101529999999999</v>
      </c>
      <c r="AQ109" s="310">
        <v>0.40298630000000002</v>
      </c>
      <c r="AR109" s="310">
        <v>0.44097829999999999</v>
      </c>
      <c r="AS109" s="310">
        <v>0</v>
      </c>
      <c r="AT109" s="310">
        <v>0.41918840000000002</v>
      </c>
      <c r="AU109" s="310">
        <v>0.45113130000000001</v>
      </c>
      <c r="AV109" s="310">
        <v>0.44686540000000002</v>
      </c>
      <c r="AW109" s="310">
        <v>0.41765020000000003</v>
      </c>
      <c r="AX109" s="310">
        <v>0.40861029999999998</v>
      </c>
      <c r="AY109" s="310">
        <v>0.44785570000000002</v>
      </c>
      <c r="AZ109" s="310">
        <v>0.44573819999999997</v>
      </c>
      <c r="BA109" s="310">
        <v>0</v>
      </c>
      <c r="BB109" s="310">
        <v>0</v>
      </c>
      <c r="BC109" s="310">
        <v>0.44739780000000001</v>
      </c>
      <c r="BD109" s="310">
        <v>0.44773449999999998</v>
      </c>
      <c r="BE109" s="310">
        <v>0.44759019999999999</v>
      </c>
      <c r="BF109" s="310">
        <v>0.44381320000000002</v>
      </c>
      <c r="BG109" s="310">
        <v>0.44536500000000001</v>
      </c>
      <c r="BH109" s="310">
        <v>0.42804969999999998</v>
      </c>
      <c r="BI109" s="310">
        <v>0.45109900000000003</v>
      </c>
      <c r="BJ109" s="310">
        <v>0.45018649999999999</v>
      </c>
      <c r="BK109" s="310">
        <v>0.45230890000000001</v>
      </c>
    </row>
    <row r="110" spans="1:63" x14ac:dyDescent="0.25">
      <c r="A110" s="306">
        <v>324110</v>
      </c>
      <c r="B110" s="310" t="s">
        <v>97</v>
      </c>
      <c r="C110" s="310">
        <v>0.11843389999999999</v>
      </c>
      <c r="D110" s="310">
        <v>0.1135148</v>
      </c>
      <c r="E110" s="310">
        <v>0.1137721</v>
      </c>
      <c r="F110" s="310">
        <v>0.1119927</v>
      </c>
      <c r="G110" s="310">
        <v>0.1184515</v>
      </c>
      <c r="H110" s="310">
        <v>0.1178761</v>
      </c>
      <c r="I110" s="310">
        <v>0.1164128</v>
      </c>
      <c r="J110" s="310">
        <v>0</v>
      </c>
      <c r="K110" s="310">
        <v>4.7602100000000001E-2</v>
      </c>
      <c r="L110" s="310">
        <v>9.2345200000000002E-2</v>
      </c>
      <c r="M110" s="310">
        <v>0.1130844</v>
      </c>
      <c r="N110" s="310">
        <v>0.11684509999999999</v>
      </c>
      <c r="O110" s="310">
        <v>0.1177404</v>
      </c>
      <c r="P110" s="310">
        <v>8.9573600000000003E-2</v>
      </c>
      <c r="Q110" s="310">
        <v>9.1379299999999997E-2</v>
      </c>
      <c r="R110" s="310">
        <v>0.109139</v>
      </c>
      <c r="S110" s="310">
        <v>9.4036400000000006E-2</v>
      </c>
      <c r="T110" s="310">
        <v>0.1122765</v>
      </c>
      <c r="U110" s="310">
        <v>9.2107400000000006E-2</v>
      </c>
      <c r="V110" s="310">
        <v>0.1153928</v>
      </c>
      <c r="W110" s="310">
        <v>0.10875079999999999</v>
      </c>
      <c r="X110" s="310">
        <v>0.10620209999999999</v>
      </c>
      <c r="Y110" s="310">
        <v>0.1062829</v>
      </c>
      <c r="Z110" s="310">
        <v>0.1125434</v>
      </c>
      <c r="AA110" s="310">
        <v>0.11157789999999999</v>
      </c>
      <c r="AB110" s="310">
        <v>9.8749799999999999E-2</v>
      </c>
      <c r="AC110" s="310">
        <v>9.1193499999999997E-2</v>
      </c>
      <c r="AD110" s="310">
        <v>0.1177861</v>
      </c>
      <c r="AE110" s="310">
        <v>0.1077391</v>
      </c>
      <c r="AF110" s="310">
        <v>0.1164892</v>
      </c>
      <c r="AG110" s="310">
        <v>0.1095732</v>
      </c>
      <c r="AH110" s="310">
        <v>0.1114858</v>
      </c>
      <c r="AI110" s="310">
        <v>0.1045823</v>
      </c>
      <c r="AJ110" s="310">
        <v>0.1160216</v>
      </c>
      <c r="AK110" s="310">
        <v>0.10949970000000001</v>
      </c>
      <c r="AL110" s="310">
        <v>9.9868499999999999E-2</v>
      </c>
      <c r="AM110" s="310">
        <v>0.11365</v>
      </c>
      <c r="AN110" s="310">
        <v>0.117102</v>
      </c>
      <c r="AO110" s="310">
        <v>0.1039766</v>
      </c>
      <c r="AP110" s="310">
        <v>0.1003685</v>
      </c>
      <c r="AQ110" s="310">
        <v>0</v>
      </c>
      <c r="AR110" s="310">
        <v>0.1136766</v>
      </c>
      <c r="AS110" s="310">
        <v>0.1184755</v>
      </c>
      <c r="AT110" s="310">
        <v>9.2274700000000001E-2</v>
      </c>
      <c r="AU110" s="310">
        <v>0.11679779999999999</v>
      </c>
      <c r="AV110" s="310">
        <v>0.11652120000000001</v>
      </c>
      <c r="AW110" s="310">
        <v>9.3817399999999995E-2</v>
      </c>
      <c r="AX110" s="310">
        <v>0</v>
      </c>
      <c r="AY110" s="310">
        <v>0.1149529</v>
      </c>
      <c r="AZ110" s="310">
        <v>0.10389089999999999</v>
      </c>
      <c r="BA110" s="310">
        <v>8.7129899999999996E-2</v>
      </c>
      <c r="BB110" s="310">
        <v>0.1141959</v>
      </c>
      <c r="BC110" s="310">
        <v>0.1169272</v>
      </c>
      <c r="BD110" s="310">
        <v>0.1128239</v>
      </c>
      <c r="BE110" s="310">
        <v>0.1149872</v>
      </c>
      <c r="BF110" s="310">
        <v>0.11232350000000001</v>
      </c>
      <c r="BG110" s="310">
        <v>0.1083226</v>
      </c>
      <c r="BH110" s="310">
        <v>0.1070382</v>
      </c>
      <c r="BI110" s="310">
        <v>0.1174457</v>
      </c>
      <c r="BJ110" s="310">
        <v>0.11699909999999999</v>
      </c>
      <c r="BK110" s="310">
        <v>0.1178633</v>
      </c>
    </row>
    <row r="111" spans="1:63" x14ac:dyDescent="0.25">
      <c r="A111" s="306">
        <v>324121</v>
      </c>
      <c r="B111" s="310" t="s">
        <v>98</v>
      </c>
      <c r="C111" s="310">
        <v>0.20511109999999999</v>
      </c>
      <c r="D111" s="310">
        <v>0.1965982</v>
      </c>
      <c r="E111" s="310">
        <v>0.1970856</v>
      </c>
      <c r="F111" s="310">
        <v>0.19393869999999999</v>
      </c>
      <c r="G111" s="310">
        <v>0.2051917</v>
      </c>
      <c r="H111" s="310">
        <v>0.2041346</v>
      </c>
      <c r="I111" s="310">
        <v>0.2015885</v>
      </c>
      <c r="J111" s="310">
        <v>0.18006240000000001</v>
      </c>
      <c r="K111" s="310">
        <v>0</v>
      </c>
      <c r="L111" s="310">
        <v>0.1600116</v>
      </c>
      <c r="M111" s="310">
        <v>0.19586210000000001</v>
      </c>
      <c r="N111" s="310">
        <v>0.2023441</v>
      </c>
      <c r="O111" s="310">
        <v>0.2039368</v>
      </c>
      <c r="P111" s="310">
        <v>0.15513350000000001</v>
      </c>
      <c r="Q111" s="310">
        <v>0.1582324</v>
      </c>
      <c r="R111" s="310">
        <v>0.1890106</v>
      </c>
      <c r="S111" s="310">
        <v>0.16290180000000001</v>
      </c>
      <c r="T111" s="310">
        <v>0.19442889999999999</v>
      </c>
      <c r="U111" s="310">
        <v>0.15956799999999999</v>
      </c>
      <c r="V111" s="310">
        <v>0.19988320000000001</v>
      </c>
      <c r="W111" s="310">
        <v>0.18837950000000001</v>
      </c>
      <c r="X111" s="310">
        <v>0.18389749999999999</v>
      </c>
      <c r="Y111" s="310">
        <v>0.18409239999999999</v>
      </c>
      <c r="Z111" s="310">
        <v>0.19495960000000001</v>
      </c>
      <c r="AA111" s="310">
        <v>0.19329840000000001</v>
      </c>
      <c r="AB111" s="310">
        <v>0.17103109999999999</v>
      </c>
      <c r="AC111" s="310">
        <v>0.15790309999999999</v>
      </c>
      <c r="AD111" s="310">
        <v>0.20396619999999999</v>
      </c>
      <c r="AE111" s="310">
        <v>0.18664349999999999</v>
      </c>
      <c r="AF111" s="310">
        <v>0</v>
      </c>
      <c r="AG111" s="310">
        <v>0</v>
      </c>
      <c r="AH111" s="310">
        <v>0.1931147</v>
      </c>
      <c r="AI111" s="310">
        <v>0.18116579999999999</v>
      </c>
      <c r="AJ111" s="310">
        <v>0.20094790000000001</v>
      </c>
      <c r="AK111" s="310">
        <v>0.1895879</v>
      </c>
      <c r="AL111" s="310">
        <v>0.17294090000000001</v>
      </c>
      <c r="AM111" s="310">
        <v>0.19688050000000001</v>
      </c>
      <c r="AN111" s="310">
        <v>0.2028211</v>
      </c>
      <c r="AO111" s="310">
        <v>0.1800697</v>
      </c>
      <c r="AP111" s="310">
        <v>0.17378669999999999</v>
      </c>
      <c r="AQ111" s="310">
        <v>0.1848505</v>
      </c>
      <c r="AR111" s="310">
        <v>0.196884</v>
      </c>
      <c r="AS111" s="310">
        <v>0.20518980000000001</v>
      </c>
      <c r="AT111" s="310">
        <v>0.15977479999999999</v>
      </c>
      <c r="AU111" s="310">
        <v>0.20229140000000001</v>
      </c>
      <c r="AV111" s="310">
        <v>0.20176549999999999</v>
      </c>
      <c r="AW111" s="310">
        <v>0.16254199999999999</v>
      </c>
      <c r="AX111" s="310">
        <v>0.20514769999999999</v>
      </c>
      <c r="AY111" s="310">
        <v>0.1990123</v>
      </c>
      <c r="AZ111" s="310">
        <v>0.1799412</v>
      </c>
      <c r="BA111" s="310">
        <v>0.1508784</v>
      </c>
      <c r="BB111" s="310">
        <v>0.19779060000000001</v>
      </c>
      <c r="BC111" s="310">
        <v>0.2025189</v>
      </c>
      <c r="BD111" s="310">
        <v>0.19541410000000001</v>
      </c>
      <c r="BE111" s="310">
        <v>0.19918759999999999</v>
      </c>
      <c r="BF111" s="310">
        <v>0.19458429999999999</v>
      </c>
      <c r="BG111" s="310">
        <v>0.1876313</v>
      </c>
      <c r="BH111" s="310">
        <v>0.18536939999999999</v>
      </c>
      <c r="BI111" s="310">
        <v>0.20344209999999999</v>
      </c>
      <c r="BJ111" s="310">
        <v>0.20264389999999999</v>
      </c>
      <c r="BK111" s="310">
        <v>0.20417660000000001</v>
      </c>
    </row>
    <row r="112" spans="1:63" x14ac:dyDescent="0.25">
      <c r="A112" s="306">
        <v>324122</v>
      </c>
      <c r="B112" s="310" t="s">
        <v>99</v>
      </c>
      <c r="C112" s="310">
        <v>0.2232518</v>
      </c>
      <c r="D112" s="310">
        <v>0</v>
      </c>
      <c r="E112" s="310">
        <v>0.21451010000000001</v>
      </c>
      <c r="F112" s="310">
        <v>0.21105930000000001</v>
      </c>
      <c r="G112" s="310">
        <v>0.22325919999999999</v>
      </c>
      <c r="H112" s="310">
        <v>0.22214929999999999</v>
      </c>
      <c r="I112" s="310">
        <v>0.21941350000000001</v>
      </c>
      <c r="J112" s="310">
        <v>0.1959621</v>
      </c>
      <c r="K112" s="310">
        <v>0</v>
      </c>
      <c r="L112" s="310">
        <v>0.1741597</v>
      </c>
      <c r="M112" s="310">
        <v>0.2131179</v>
      </c>
      <c r="N112" s="310">
        <v>0.22021830000000001</v>
      </c>
      <c r="O112" s="310">
        <v>0</v>
      </c>
      <c r="P112" s="310">
        <v>0.16887630000000001</v>
      </c>
      <c r="Q112" s="310">
        <v>0.17218049999999999</v>
      </c>
      <c r="R112" s="310">
        <v>0.20570749999999999</v>
      </c>
      <c r="S112" s="310">
        <v>0.1772889</v>
      </c>
      <c r="T112" s="310">
        <v>0.21161540000000001</v>
      </c>
      <c r="U112" s="310">
        <v>0</v>
      </c>
      <c r="V112" s="310">
        <v>0.21750369999999999</v>
      </c>
      <c r="W112" s="310">
        <v>0.20507839999999999</v>
      </c>
      <c r="X112" s="310">
        <v>0.20016010000000001</v>
      </c>
      <c r="Y112" s="310">
        <v>0</v>
      </c>
      <c r="Z112" s="310">
        <v>0.2122095</v>
      </c>
      <c r="AA112" s="310">
        <v>0.21037690000000001</v>
      </c>
      <c r="AB112" s="310">
        <v>0.1861767</v>
      </c>
      <c r="AC112" s="310">
        <v>0.17190549999999999</v>
      </c>
      <c r="AD112" s="310">
        <v>0</v>
      </c>
      <c r="AE112" s="310">
        <v>0.2031124</v>
      </c>
      <c r="AF112" s="310">
        <v>0</v>
      </c>
      <c r="AG112" s="310">
        <v>0.20656450000000001</v>
      </c>
      <c r="AH112" s="310">
        <v>0.21018909999999999</v>
      </c>
      <c r="AI112" s="310">
        <v>0.1972015</v>
      </c>
      <c r="AJ112" s="310">
        <v>0</v>
      </c>
      <c r="AK112" s="310">
        <v>0.2063411</v>
      </c>
      <c r="AL112" s="310">
        <v>0.18823380000000001</v>
      </c>
      <c r="AM112" s="310">
        <v>0.21428949999999999</v>
      </c>
      <c r="AN112" s="310">
        <v>0.22076889999999999</v>
      </c>
      <c r="AO112" s="310">
        <v>0.19596379999999999</v>
      </c>
      <c r="AP112" s="310">
        <v>0.18916540000000001</v>
      </c>
      <c r="AQ112" s="310">
        <v>0</v>
      </c>
      <c r="AR112" s="310">
        <v>0.2142722</v>
      </c>
      <c r="AS112" s="310">
        <v>0</v>
      </c>
      <c r="AT112" s="310">
        <v>0.17388020000000001</v>
      </c>
      <c r="AU112" s="310">
        <v>0.2201931</v>
      </c>
      <c r="AV112" s="310">
        <v>0.2196369</v>
      </c>
      <c r="AW112" s="310">
        <v>0.17689089999999999</v>
      </c>
      <c r="AX112" s="310">
        <v>0</v>
      </c>
      <c r="AY112" s="310">
        <v>0.21663579999999999</v>
      </c>
      <c r="AZ112" s="310">
        <v>0.19586029999999999</v>
      </c>
      <c r="BA112" s="310">
        <v>0</v>
      </c>
      <c r="BB112" s="310">
        <v>0.21529300000000001</v>
      </c>
      <c r="BC112" s="310">
        <v>0.22040309999999999</v>
      </c>
      <c r="BD112" s="310">
        <v>0.21269350000000001</v>
      </c>
      <c r="BE112" s="310">
        <v>0.21679799999999999</v>
      </c>
      <c r="BF112" s="310">
        <v>0.2117907</v>
      </c>
      <c r="BG112" s="310">
        <v>0.20423340000000001</v>
      </c>
      <c r="BH112" s="310">
        <v>0.2017487</v>
      </c>
      <c r="BI112" s="310">
        <v>0.2214062</v>
      </c>
      <c r="BJ112" s="310">
        <v>0.22053590000000001</v>
      </c>
      <c r="BK112" s="310">
        <v>0.22218660000000001</v>
      </c>
    </row>
    <row r="113" spans="1:63" x14ac:dyDescent="0.25">
      <c r="A113" s="306">
        <v>324191</v>
      </c>
      <c r="B113" s="310" t="s">
        <v>100</v>
      </c>
      <c r="C113" s="310">
        <v>0.21407080000000001</v>
      </c>
      <c r="D113" s="310">
        <v>0</v>
      </c>
      <c r="E113" s="310">
        <v>0.20563790000000001</v>
      </c>
      <c r="F113" s="310">
        <v>0.2023703</v>
      </c>
      <c r="G113" s="310">
        <v>0.21410009999999999</v>
      </c>
      <c r="H113" s="310">
        <v>0.21301139999999999</v>
      </c>
      <c r="I113" s="310">
        <v>0.21037400000000001</v>
      </c>
      <c r="J113" s="310">
        <v>0.18791820000000001</v>
      </c>
      <c r="K113" s="310">
        <v>0</v>
      </c>
      <c r="L113" s="310">
        <v>0.16695740000000001</v>
      </c>
      <c r="M113" s="310">
        <v>0.20434479999999999</v>
      </c>
      <c r="N113" s="310">
        <v>0.21114079999999999</v>
      </c>
      <c r="O113" s="310">
        <v>0</v>
      </c>
      <c r="P113" s="310">
        <v>0.16187000000000001</v>
      </c>
      <c r="Q113" s="310">
        <v>0</v>
      </c>
      <c r="R113" s="310">
        <v>0.19724630000000001</v>
      </c>
      <c r="S113" s="310">
        <v>0.16998369999999999</v>
      </c>
      <c r="T113" s="310">
        <v>0.20291790000000001</v>
      </c>
      <c r="U113" s="310">
        <v>0.16651679999999999</v>
      </c>
      <c r="V113" s="310">
        <v>0.2085668</v>
      </c>
      <c r="W113" s="310">
        <v>0.196631</v>
      </c>
      <c r="X113" s="310">
        <v>0.1919401</v>
      </c>
      <c r="Y113" s="310">
        <v>0</v>
      </c>
      <c r="Z113" s="310">
        <v>0.20345240000000001</v>
      </c>
      <c r="AA113" s="310">
        <v>0.2017061</v>
      </c>
      <c r="AB113" s="310">
        <v>0.17848710000000001</v>
      </c>
      <c r="AC113" s="310">
        <v>0.1647709</v>
      </c>
      <c r="AD113" s="310">
        <v>0</v>
      </c>
      <c r="AE113" s="310">
        <v>0.19477169999999999</v>
      </c>
      <c r="AF113" s="310">
        <v>0</v>
      </c>
      <c r="AG113" s="310">
        <v>0.19804160000000001</v>
      </c>
      <c r="AH113" s="310">
        <v>0.2014879</v>
      </c>
      <c r="AI113" s="310">
        <v>0.18908059999999999</v>
      </c>
      <c r="AJ113" s="310">
        <v>0.20967830000000001</v>
      </c>
      <c r="AK113" s="310">
        <v>0.19785059999999999</v>
      </c>
      <c r="AL113" s="310">
        <v>0.18046719999999999</v>
      </c>
      <c r="AM113" s="310">
        <v>0.20541090000000001</v>
      </c>
      <c r="AN113" s="310">
        <v>0.21166979999999999</v>
      </c>
      <c r="AO113" s="310">
        <v>0.18789610000000001</v>
      </c>
      <c r="AP113" s="310">
        <v>0.18136440000000001</v>
      </c>
      <c r="AQ113" s="310">
        <v>0</v>
      </c>
      <c r="AR113" s="310">
        <v>0.20545749999999999</v>
      </c>
      <c r="AS113" s="310">
        <v>0</v>
      </c>
      <c r="AT113" s="310">
        <v>0.1667438</v>
      </c>
      <c r="AU113" s="310">
        <v>0.2111333</v>
      </c>
      <c r="AV113" s="310">
        <v>0.2105784</v>
      </c>
      <c r="AW113" s="310">
        <v>0</v>
      </c>
      <c r="AX113" s="310">
        <v>0</v>
      </c>
      <c r="AY113" s="310">
        <v>0.20766499999999999</v>
      </c>
      <c r="AZ113" s="310">
        <v>0.1878282</v>
      </c>
      <c r="BA113" s="310">
        <v>0.157472</v>
      </c>
      <c r="BB113" s="310">
        <v>0</v>
      </c>
      <c r="BC113" s="310">
        <v>0.21135019999999999</v>
      </c>
      <c r="BD113" s="310">
        <v>0.20389930000000001</v>
      </c>
      <c r="BE113" s="310">
        <v>0.20783860000000001</v>
      </c>
      <c r="BF113" s="310">
        <v>0.20302729999999999</v>
      </c>
      <c r="BG113" s="310">
        <v>0.1957826</v>
      </c>
      <c r="BH113" s="310">
        <v>0.1934218</v>
      </c>
      <c r="BI113" s="310">
        <v>0.21227960000000001</v>
      </c>
      <c r="BJ113" s="310">
        <v>0.2114414</v>
      </c>
      <c r="BK113" s="310">
        <v>0.21305089999999999</v>
      </c>
    </row>
    <row r="114" spans="1:63" x14ac:dyDescent="0.25">
      <c r="A114" s="306">
        <v>324199</v>
      </c>
      <c r="B114" s="310" t="s">
        <v>101</v>
      </c>
      <c r="C114" s="310">
        <v>0.20797089999999999</v>
      </c>
      <c r="D114" s="310">
        <v>0</v>
      </c>
      <c r="E114" s="310">
        <v>0.1998318</v>
      </c>
      <c r="F114" s="310">
        <v>0</v>
      </c>
      <c r="G114" s="310">
        <v>0</v>
      </c>
      <c r="H114" s="310">
        <v>0.2069368</v>
      </c>
      <c r="I114" s="310">
        <v>0.20437920000000001</v>
      </c>
      <c r="J114" s="310">
        <v>0</v>
      </c>
      <c r="K114" s="310">
        <v>0</v>
      </c>
      <c r="L114" s="310">
        <v>0</v>
      </c>
      <c r="M114" s="310">
        <v>0.1985238</v>
      </c>
      <c r="N114" s="310">
        <v>0.2051248</v>
      </c>
      <c r="O114" s="310">
        <v>0</v>
      </c>
      <c r="P114" s="310">
        <v>0</v>
      </c>
      <c r="Q114" s="310">
        <v>0</v>
      </c>
      <c r="R114" s="310">
        <v>0.1916563</v>
      </c>
      <c r="S114" s="310">
        <v>0.1651493</v>
      </c>
      <c r="T114" s="310">
        <v>0</v>
      </c>
      <c r="U114" s="310">
        <v>0.1617671</v>
      </c>
      <c r="V114" s="310">
        <v>0.20261170000000001</v>
      </c>
      <c r="W114" s="310">
        <v>0</v>
      </c>
      <c r="X114" s="310">
        <v>0</v>
      </c>
      <c r="Y114" s="310">
        <v>0</v>
      </c>
      <c r="Z114" s="310">
        <v>0.1976715</v>
      </c>
      <c r="AA114" s="310">
        <v>0.19598019999999999</v>
      </c>
      <c r="AB114" s="310">
        <v>0</v>
      </c>
      <c r="AC114" s="310">
        <v>0.16012779999999999</v>
      </c>
      <c r="AD114" s="310">
        <v>0</v>
      </c>
      <c r="AE114" s="310">
        <v>0</v>
      </c>
      <c r="AF114" s="310">
        <v>0</v>
      </c>
      <c r="AG114" s="310">
        <v>0.19238849999999999</v>
      </c>
      <c r="AH114" s="310">
        <v>0</v>
      </c>
      <c r="AI114" s="310">
        <v>0.1836835</v>
      </c>
      <c r="AJ114" s="310">
        <v>0</v>
      </c>
      <c r="AK114" s="310">
        <v>0</v>
      </c>
      <c r="AL114" s="310">
        <v>0.17529500000000001</v>
      </c>
      <c r="AM114" s="310">
        <v>0.19959150000000001</v>
      </c>
      <c r="AN114" s="310">
        <v>0.20566010000000001</v>
      </c>
      <c r="AO114" s="310">
        <v>0</v>
      </c>
      <c r="AP114" s="310">
        <v>0.1762166</v>
      </c>
      <c r="AQ114" s="310">
        <v>0</v>
      </c>
      <c r="AR114" s="310">
        <v>0.19957730000000001</v>
      </c>
      <c r="AS114" s="310">
        <v>0</v>
      </c>
      <c r="AT114" s="310">
        <v>0.1619941</v>
      </c>
      <c r="AU114" s="310">
        <v>0.2051221</v>
      </c>
      <c r="AV114" s="310">
        <v>0.2045746</v>
      </c>
      <c r="AW114" s="310">
        <v>0.16479830000000001</v>
      </c>
      <c r="AX114" s="310">
        <v>0</v>
      </c>
      <c r="AY114" s="310">
        <v>0</v>
      </c>
      <c r="AZ114" s="310">
        <v>0.18246809999999999</v>
      </c>
      <c r="BA114" s="310">
        <v>0.15302450000000001</v>
      </c>
      <c r="BB114" s="310">
        <v>0.20055400000000001</v>
      </c>
      <c r="BC114" s="310">
        <v>0</v>
      </c>
      <c r="BD114" s="310">
        <v>0.19812840000000001</v>
      </c>
      <c r="BE114" s="310">
        <v>0.20195370000000001</v>
      </c>
      <c r="BF114" s="310">
        <v>0.197293</v>
      </c>
      <c r="BG114" s="310">
        <v>0.1902538</v>
      </c>
      <c r="BH114" s="310">
        <v>0.18792210000000001</v>
      </c>
      <c r="BI114" s="310">
        <v>0.20624290000000001</v>
      </c>
      <c r="BJ114" s="310">
        <v>0.2054164</v>
      </c>
      <c r="BK114" s="310">
        <v>0.20700250000000001</v>
      </c>
    </row>
    <row r="115" spans="1:63" x14ac:dyDescent="0.25">
      <c r="A115" s="306">
        <v>325110</v>
      </c>
      <c r="B115" s="310" t="s">
        <v>102</v>
      </c>
      <c r="C115" s="310">
        <v>0.1184588</v>
      </c>
      <c r="D115" s="310">
        <v>0</v>
      </c>
      <c r="E115" s="310">
        <v>0.11529490000000001</v>
      </c>
      <c r="F115" s="310">
        <v>0.110995</v>
      </c>
      <c r="G115" s="310">
        <v>0</v>
      </c>
      <c r="H115" s="310">
        <v>0.11727310000000001</v>
      </c>
      <c r="I115" s="310">
        <v>0</v>
      </c>
      <c r="J115" s="310">
        <v>0.10789890000000001</v>
      </c>
      <c r="K115" s="310">
        <v>0</v>
      </c>
      <c r="L115" s="310">
        <v>8.0269800000000002E-2</v>
      </c>
      <c r="M115" s="310">
        <v>0.1163457</v>
      </c>
      <c r="N115" s="310">
        <v>0.1115106</v>
      </c>
      <c r="O115" s="310">
        <v>0</v>
      </c>
      <c r="P115" s="310">
        <v>0</v>
      </c>
      <c r="Q115" s="310">
        <v>0</v>
      </c>
      <c r="R115" s="310">
        <v>0.10777150000000001</v>
      </c>
      <c r="S115" s="310">
        <v>0</v>
      </c>
      <c r="T115" s="310">
        <v>0</v>
      </c>
      <c r="U115" s="310">
        <v>0</v>
      </c>
      <c r="V115" s="310">
        <v>0.116896</v>
      </c>
      <c r="W115" s="310">
        <v>0.10799309999999999</v>
      </c>
      <c r="X115" s="310">
        <v>0</v>
      </c>
      <c r="Y115" s="310">
        <v>0.1163773</v>
      </c>
      <c r="Z115" s="310">
        <v>0.1170942</v>
      </c>
      <c r="AA115" s="310">
        <v>0</v>
      </c>
      <c r="AB115" s="310">
        <v>0.10247009999999999</v>
      </c>
      <c r="AC115" s="310">
        <v>0.10910599999999999</v>
      </c>
      <c r="AD115" s="310">
        <v>0</v>
      </c>
      <c r="AE115" s="310">
        <v>0.1145838</v>
      </c>
      <c r="AF115" s="310">
        <v>0</v>
      </c>
      <c r="AG115" s="310">
        <v>0</v>
      </c>
      <c r="AH115" s="310">
        <v>0</v>
      </c>
      <c r="AI115" s="310">
        <v>0.103835</v>
      </c>
      <c r="AJ115" s="310">
        <v>0</v>
      </c>
      <c r="AK115" s="310">
        <v>0</v>
      </c>
      <c r="AL115" s="310">
        <v>9.9839300000000006E-2</v>
      </c>
      <c r="AM115" s="310">
        <v>0.111165</v>
      </c>
      <c r="AN115" s="310">
        <v>0</v>
      </c>
      <c r="AO115" s="310">
        <v>0</v>
      </c>
      <c r="AP115" s="310">
        <v>0.1094772</v>
      </c>
      <c r="AQ115" s="310">
        <v>0</v>
      </c>
      <c r="AR115" s="310">
        <v>0.1116545</v>
      </c>
      <c r="AS115" s="310">
        <v>0</v>
      </c>
      <c r="AT115" s="310">
        <v>0.1093157</v>
      </c>
      <c r="AU115" s="310">
        <v>0.117368</v>
      </c>
      <c r="AV115" s="310">
        <v>0</v>
      </c>
      <c r="AW115" s="310">
        <v>0</v>
      </c>
      <c r="AX115" s="310">
        <v>0</v>
      </c>
      <c r="AY115" s="310">
        <v>0.11358989999999999</v>
      </c>
      <c r="AZ115" s="310">
        <v>0</v>
      </c>
      <c r="BA115" s="310">
        <v>0.1055446</v>
      </c>
      <c r="BB115" s="310">
        <v>0</v>
      </c>
      <c r="BC115" s="310">
        <v>0.1140328</v>
      </c>
      <c r="BD115" s="310">
        <v>0.11490789999999999</v>
      </c>
      <c r="BE115" s="310">
        <v>0.1154559</v>
      </c>
      <c r="BF115" s="310">
        <v>0.1124902</v>
      </c>
      <c r="BG115" s="310">
        <v>0.11221159999999999</v>
      </c>
      <c r="BH115" s="310">
        <v>0.11125060000000001</v>
      </c>
      <c r="BI115" s="310">
        <v>0.11761099999999999</v>
      </c>
      <c r="BJ115" s="310">
        <v>0</v>
      </c>
      <c r="BK115" s="310">
        <v>0.1172187</v>
      </c>
    </row>
    <row r="116" spans="1:63" x14ac:dyDescent="0.25">
      <c r="A116" s="306">
        <v>325120</v>
      </c>
      <c r="B116" s="310" t="s">
        <v>103</v>
      </c>
      <c r="C116" s="310">
        <v>0.13804540000000001</v>
      </c>
      <c r="D116" s="310">
        <v>0</v>
      </c>
      <c r="E116" s="310">
        <v>0.13433329999999999</v>
      </c>
      <c r="F116" s="310">
        <v>0.1293695</v>
      </c>
      <c r="G116" s="310">
        <v>0.136048</v>
      </c>
      <c r="H116" s="310">
        <v>0.1366366</v>
      </c>
      <c r="I116" s="310">
        <v>0.13668259999999999</v>
      </c>
      <c r="J116" s="310">
        <v>0.12575359999999999</v>
      </c>
      <c r="K116" s="310">
        <v>0</v>
      </c>
      <c r="L116" s="310">
        <v>9.3516500000000002E-2</v>
      </c>
      <c r="M116" s="310">
        <v>0.13558100000000001</v>
      </c>
      <c r="N116" s="310">
        <v>0.1299438</v>
      </c>
      <c r="O116" s="310">
        <v>0.13524079999999999</v>
      </c>
      <c r="P116" s="310">
        <v>0.1304545</v>
      </c>
      <c r="Q116" s="310">
        <v>0.1368241</v>
      </c>
      <c r="R116" s="310">
        <v>0.1256111</v>
      </c>
      <c r="S116" s="310">
        <v>0.1328675</v>
      </c>
      <c r="T116" s="310">
        <v>0.1188414</v>
      </c>
      <c r="U116" s="310">
        <v>0.1200451</v>
      </c>
      <c r="V116" s="310">
        <v>0.13622600000000001</v>
      </c>
      <c r="W116" s="310">
        <v>0.12585080000000001</v>
      </c>
      <c r="X116" s="310">
        <v>0.1253003</v>
      </c>
      <c r="Y116" s="310">
        <v>0.13561909999999999</v>
      </c>
      <c r="Z116" s="310">
        <v>0.1364561</v>
      </c>
      <c r="AA116" s="310">
        <v>0.13092770000000001</v>
      </c>
      <c r="AB116" s="310">
        <v>0.11941300000000001</v>
      </c>
      <c r="AC116" s="310">
        <v>0.1271467</v>
      </c>
      <c r="AD116" s="310">
        <v>0.1346154</v>
      </c>
      <c r="AE116" s="310">
        <v>0.13353909999999999</v>
      </c>
      <c r="AF116" s="310">
        <v>0</v>
      </c>
      <c r="AG116" s="310">
        <v>0.1321167</v>
      </c>
      <c r="AH116" s="310">
        <v>0</v>
      </c>
      <c r="AI116" s="310">
        <v>0.1210367</v>
      </c>
      <c r="AJ116" s="310">
        <v>0.13539989999999999</v>
      </c>
      <c r="AK116" s="310">
        <v>0.12807579999999999</v>
      </c>
      <c r="AL116" s="310">
        <v>0.11639090000000001</v>
      </c>
      <c r="AM116" s="310">
        <v>0.12957640000000001</v>
      </c>
      <c r="AN116" s="310">
        <v>0.13484740000000001</v>
      </c>
      <c r="AO116" s="310">
        <v>0.12726290000000001</v>
      </c>
      <c r="AP116" s="310">
        <v>0.12757930000000001</v>
      </c>
      <c r="AQ116" s="310">
        <v>0.1154661</v>
      </c>
      <c r="AR116" s="310">
        <v>0.13011829999999999</v>
      </c>
      <c r="AS116" s="310">
        <v>0</v>
      </c>
      <c r="AT116" s="310">
        <v>0.12740889999999999</v>
      </c>
      <c r="AU116" s="310">
        <v>0.1367525</v>
      </c>
      <c r="AV116" s="310">
        <v>0.1358087</v>
      </c>
      <c r="AW116" s="310">
        <v>0.1304786</v>
      </c>
      <c r="AX116" s="310">
        <v>0</v>
      </c>
      <c r="AY116" s="310">
        <v>0.1323763</v>
      </c>
      <c r="AZ116" s="310">
        <v>0.1320067</v>
      </c>
      <c r="BA116" s="310">
        <v>0.1230055</v>
      </c>
      <c r="BB116" s="310">
        <v>0.13644590000000001</v>
      </c>
      <c r="BC116" s="310">
        <v>0.13287499999999999</v>
      </c>
      <c r="BD116" s="310">
        <v>0.13392380000000001</v>
      </c>
      <c r="BE116" s="310">
        <v>0.13457939999999999</v>
      </c>
      <c r="BF116" s="310">
        <v>0.13109489999999999</v>
      </c>
      <c r="BG116" s="310">
        <v>0.1307818</v>
      </c>
      <c r="BH116" s="310">
        <v>0.1296369</v>
      </c>
      <c r="BI116" s="310">
        <v>0.1370586</v>
      </c>
      <c r="BJ116" s="310">
        <v>0.1361985</v>
      </c>
      <c r="BK116" s="310">
        <v>0.136632</v>
      </c>
    </row>
    <row r="117" spans="1:63" x14ac:dyDescent="0.25">
      <c r="A117" s="306">
        <v>325130</v>
      </c>
      <c r="B117" s="310" t="s">
        <v>104</v>
      </c>
      <c r="C117" s="310">
        <v>0.16840060000000001</v>
      </c>
      <c r="D117" s="310">
        <v>0</v>
      </c>
      <c r="E117" s="310">
        <v>0.1639005</v>
      </c>
      <c r="F117" s="310">
        <v>0.1578426</v>
      </c>
      <c r="G117" s="310">
        <v>0.16597310000000001</v>
      </c>
      <c r="H117" s="310">
        <v>0.16669580000000001</v>
      </c>
      <c r="I117" s="310">
        <v>0.16676659999999999</v>
      </c>
      <c r="J117" s="310">
        <v>0.15340290000000001</v>
      </c>
      <c r="K117" s="310">
        <v>0</v>
      </c>
      <c r="L117" s="310">
        <v>0.1141057</v>
      </c>
      <c r="M117" s="310">
        <v>0.16537360000000001</v>
      </c>
      <c r="N117" s="310">
        <v>0.1585056</v>
      </c>
      <c r="O117" s="310">
        <v>0</v>
      </c>
      <c r="P117" s="310">
        <v>0.15916649999999999</v>
      </c>
      <c r="Q117" s="310">
        <v>0.16694110000000001</v>
      </c>
      <c r="R117" s="310">
        <v>0.1532471</v>
      </c>
      <c r="S117" s="310">
        <v>0.16211790000000001</v>
      </c>
      <c r="T117" s="310">
        <v>0.14494380000000001</v>
      </c>
      <c r="U117" s="310">
        <v>0.14642350000000001</v>
      </c>
      <c r="V117" s="310">
        <v>0.16622580000000001</v>
      </c>
      <c r="W117" s="310">
        <v>0.153528</v>
      </c>
      <c r="X117" s="310">
        <v>0.15286240000000001</v>
      </c>
      <c r="Y117" s="310">
        <v>0</v>
      </c>
      <c r="Z117" s="310">
        <v>0.1664583</v>
      </c>
      <c r="AA117" s="310">
        <v>0.1597064</v>
      </c>
      <c r="AB117" s="310">
        <v>0.14569180000000001</v>
      </c>
      <c r="AC117" s="310">
        <v>0.1551226</v>
      </c>
      <c r="AD117" s="310">
        <v>0</v>
      </c>
      <c r="AE117" s="310">
        <v>0.1629121</v>
      </c>
      <c r="AF117" s="310">
        <v>0</v>
      </c>
      <c r="AG117" s="310">
        <v>0</v>
      </c>
      <c r="AH117" s="310">
        <v>0.14495749999999999</v>
      </c>
      <c r="AI117" s="310">
        <v>0.1476325</v>
      </c>
      <c r="AJ117" s="310">
        <v>0</v>
      </c>
      <c r="AK117" s="310">
        <v>0</v>
      </c>
      <c r="AL117" s="310">
        <v>0.1419947</v>
      </c>
      <c r="AM117" s="310">
        <v>0.15807940000000001</v>
      </c>
      <c r="AN117" s="310">
        <v>0.16452459999999999</v>
      </c>
      <c r="AO117" s="310">
        <v>0.15526899999999999</v>
      </c>
      <c r="AP117" s="310">
        <v>0.15562229999999999</v>
      </c>
      <c r="AQ117" s="310">
        <v>0.1408768</v>
      </c>
      <c r="AR117" s="310">
        <v>0.15874250000000001</v>
      </c>
      <c r="AS117" s="310">
        <v>0</v>
      </c>
      <c r="AT117" s="310">
        <v>0.15544520000000001</v>
      </c>
      <c r="AU117" s="310">
        <v>0.1668482</v>
      </c>
      <c r="AV117" s="310">
        <v>0</v>
      </c>
      <c r="AW117" s="310">
        <v>0.1591833</v>
      </c>
      <c r="AX117" s="310">
        <v>0</v>
      </c>
      <c r="AY117" s="310">
        <v>0.1614669</v>
      </c>
      <c r="AZ117" s="310">
        <v>0.16103010000000001</v>
      </c>
      <c r="BA117" s="310">
        <v>0.1500754</v>
      </c>
      <c r="BB117" s="310">
        <v>0</v>
      </c>
      <c r="BC117" s="310">
        <v>0.16214509999999999</v>
      </c>
      <c r="BD117" s="310">
        <v>0.1633695</v>
      </c>
      <c r="BE117" s="310">
        <v>0.16417039999999999</v>
      </c>
      <c r="BF117" s="310">
        <v>0.15992990000000001</v>
      </c>
      <c r="BG117" s="310">
        <v>0.15953629999999999</v>
      </c>
      <c r="BH117" s="310">
        <v>0.15814020000000001</v>
      </c>
      <c r="BI117" s="310">
        <v>0.16724159999999999</v>
      </c>
      <c r="BJ117" s="310">
        <v>0.16611970000000001</v>
      </c>
      <c r="BK117" s="310">
        <v>0.1666667</v>
      </c>
    </row>
    <row r="118" spans="1:63" x14ac:dyDescent="0.25">
      <c r="A118" s="306">
        <v>325181</v>
      </c>
      <c r="B118" s="310" t="s">
        <v>105</v>
      </c>
      <c r="C118" s="310">
        <v>0.17273569999999999</v>
      </c>
      <c r="D118" s="310">
        <v>0</v>
      </c>
      <c r="E118" s="310">
        <v>0.1681416</v>
      </c>
      <c r="F118" s="310">
        <v>0</v>
      </c>
      <c r="G118" s="310">
        <v>0</v>
      </c>
      <c r="H118" s="310">
        <v>0.17102300000000001</v>
      </c>
      <c r="I118" s="310">
        <v>0.17106399999999999</v>
      </c>
      <c r="J118" s="310">
        <v>0</v>
      </c>
      <c r="K118" s="310">
        <v>0</v>
      </c>
      <c r="L118" s="310">
        <v>0.11703520000000001</v>
      </c>
      <c r="M118" s="310">
        <v>0.1696637</v>
      </c>
      <c r="N118" s="310">
        <v>0.16258059999999999</v>
      </c>
      <c r="O118" s="310">
        <v>0</v>
      </c>
      <c r="P118" s="310">
        <v>0.16322819999999999</v>
      </c>
      <c r="Q118" s="310">
        <v>0</v>
      </c>
      <c r="R118" s="310">
        <v>0.1571815</v>
      </c>
      <c r="S118" s="310">
        <v>0</v>
      </c>
      <c r="T118" s="310">
        <v>0.14868010000000001</v>
      </c>
      <c r="U118" s="310">
        <v>0</v>
      </c>
      <c r="V118" s="310">
        <v>0.1705014</v>
      </c>
      <c r="W118" s="310">
        <v>0</v>
      </c>
      <c r="X118" s="310">
        <v>0.1568194</v>
      </c>
      <c r="Y118" s="310">
        <v>0</v>
      </c>
      <c r="Z118" s="310">
        <v>0.17073949999999999</v>
      </c>
      <c r="AA118" s="310">
        <v>0</v>
      </c>
      <c r="AB118" s="310">
        <v>0</v>
      </c>
      <c r="AC118" s="310">
        <v>0.1591495</v>
      </c>
      <c r="AD118" s="310">
        <v>0</v>
      </c>
      <c r="AE118" s="310">
        <v>0</v>
      </c>
      <c r="AF118" s="310">
        <v>0</v>
      </c>
      <c r="AG118" s="310">
        <v>0</v>
      </c>
      <c r="AH118" s="310">
        <v>0</v>
      </c>
      <c r="AI118" s="310">
        <v>0.1514452</v>
      </c>
      <c r="AJ118" s="310">
        <v>0</v>
      </c>
      <c r="AK118" s="310">
        <v>0.1602867</v>
      </c>
      <c r="AL118" s="310">
        <v>0.1456269</v>
      </c>
      <c r="AM118" s="310">
        <v>0.16212489999999999</v>
      </c>
      <c r="AN118" s="310">
        <v>0.1687787</v>
      </c>
      <c r="AO118" s="310">
        <v>0</v>
      </c>
      <c r="AP118" s="310">
        <v>0.15964420000000001</v>
      </c>
      <c r="AQ118" s="310">
        <v>0</v>
      </c>
      <c r="AR118" s="310">
        <v>0</v>
      </c>
      <c r="AS118" s="310">
        <v>0</v>
      </c>
      <c r="AT118" s="310">
        <v>0.15943860000000001</v>
      </c>
      <c r="AU118" s="310">
        <v>0.1711403</v>
      </c>
      <c r="AV118" s="310">
        <v>0.16992769999999999</v>
      </c>
      <c r="AW118" s="310">
        <v>0.163275</v>
      </c>
      <c r="AX118" s="310">
        <v>0</v>
      </c>
      <c r="AY118" s="310">
        <v>0.16561020000000001</v>
      </c>
      <c r="AZ118" s="310">
        <v>0.1651794</v>
      </c>
      <c r="BA118" s="310">
        <v>0.153918</v>
      </c>
      <c r="BB118" s="310">
        <v>0.17075599999999999</v>
      </c>
      <c r="BC118" s="310">
        <v>0</v>
      </c>
      <c r="BD118" s="310">
        <v>0.16758129999999999</v>
      </c>
      <c r="BE118" s="310">
        <v>0.16839870000000001</v>
      </c>
      <c r="BF118" s="310">
        <v>0.16406699999999999</v>
      </c>
      <c r="BG118" s="310">
        <v>0.16366600000000001</v>
      </c>
      <c r="BH118" s="310">
        <v>0.16224740000000001</v>
      </c>
      <c r="BI118" s="310">
        <v>0.17153750000000001</v>
      </c>
      <c r="BJ118" s="310">
        <v>0.17043710000000001</v>
      </c>
      <c r="BK118" s="310">
        <v>0.1709447</v>
      </c>
    </row>
    <row r="119" spans="1:63" x14ac:dyDescent="0.25">
      <c r="A119" s="306">
        <v>325182</v>
      </c>
      <c r="B119" s="310" t="s">
        <v>106</v>
      </c>
      <c r="C119" s="310">
        <v>0.12840170000000001</v>
      </c>
      <c r="D119" s="310">
        <v>0</v>
      </c>
      <c r="E119" s="310">
        <v>0.1249562</v>
      </c>
      <c r="F119" s="310">
        <v>0</v>
      </c>
      <c r="G119" s="310">
        <v>0</v>
      </c>
      <c r="H119" s="310">
        <v>0</v>
      </c>
      <c r="I119" s="310">
        <v>0</v>
      </c>
      <c r="J119" s="310">
        <v>0</v>
      </c>
      <c r="K119" s="310">
        <v>0</v>
      </c>
      <c r="L119" s="310">
        <v>0</v>
      </c>
      <c r="M119" s="310">
        <v>0</v>
      </c>
      <c r="N119" s="310">
        <v>0.1208188</v>
      </c>
      <c r="O119" s="310">
        <v>0</v>
      </c>
      <c r="P119" s="310">
        <v>0</v>
      </c>
      <c r="Q119" s="310">
        <v>0</v>
      </c>
      <c r="R119" s="310">
        <v>0</v>
      </c>
      <c r="S119" s="310">
        <v>0</v>
      </c>
      <c r="T119" s="310">
        <v>0.1105149</v>
      </c>
      <c r="U119" s="310">
        <v>0.1116393</v>
      </c>
      <c r="V119" s="310">
        <v>0.12671479999999999</v>
      </c>
      <c r="W119" s="310">
        <v>0</v>
      </c>
      <c r="X119" s="310">
        <v>0</v>
      </c>
      <c r="Y119" s="310">
        <v>0</v>
      </c>
      <c r="Z119" s="310">
        <v>0</v>
      </c>
      <c r="AA119" s="310">
        <v>0</v>
      </c>
      <c r="AB119" s="310">
        <v>0</v>
      </c>
      <c r="AC119" s="310">
        <v>0</v>
      </c>
      <c r="AD119" s="310">
        <v>0</v>
      </c>
      <c r="AE119" s="310">
        <v>0.1241833</v>
      </c>
      <c r="AF119" s="310">
        <v>0</v>
      </c>
      <c r="AG119" s="310">
        <v>0</v>
      </c>
      <c r="AH119" s="310">
        <v>0</v>
      </c>
      <c r="AI119" s="310">
        <v>0</v>
      </c>
      <c r="AJ119" s="310">
        <v>0</v>
      </c>
      <c r="AK119" s="310">
        <v>0</v>
      </c>
      <c r="AL119" s="310">
        <v>0</v>
      </c>
      <c r="AM119" s="310">
        <v>0.12051249999999999</v>
      </c>
      <c r="AN119" s="310">
        <v>0.1254479</v>
      </c>
      <c r="AO119" s="310">
        <v>0</v>
      </c>
      <c r="AP119" s="310">
        <v>0</v>
      </c>
      <c r="AQ119" s="310">
        <v>0</v>
      </c>
      <c r="AR119" s="310">
        <v>0</v>
      </c>
      <c r="AS119" s="310">
        <v>0</v>
      </c>
      <c r="AT119" s="310">
        <v>0</v>
      </c>
      <c r="AU119" s="310">
        <v>0.127193</v>
      </c>
      <c r="AV119" s="310">
        <v>0</v>
      </c>
      <c r="AW119" s="310">
        <v>0</v>
      </c>
      <c r="AX119" s="310">
        <v>0</v>
      </c>
      <c r="AY119" s="310">
        <v>0</v>
      </c>
      <c r="AZ119" s="310">
        <v>0</v>
      </c>
      <c r="BA119" s="310">
        <v>0.1143975</v>
      </c>
      <c r="BB119" s="310">
        <v>0</v>
      </c>
      <c r="BC119" s="310">
        <v>0</v>
      </c>
      <c r="BD119" s="310">
        <v>0</v>
      </c>
      <c r="BE119" s="310">
        <v>0.1251669</v>
      </c>
      <c r="BF119" s="310">
        <v>0.1219108</v>
      </c>
      <c r="BG119" s="310">
        <v>0.1216523</v>
      </c>
      <c r="BH119" s="310">
        <v>0.12058149999999999</v>
      </c>
      <c r="BI119" s="310">
        <v>0.12750439999999999</v>
      </c>
      <c r="BJ119" s="310">
        <v>0</v>
      </c>
      <c r="BK119" s="310">
        <v>0</v>
      </c>
    </row>
    <row r="120" spans="1:63" x14ac:dyDescent="0.25">
      <c r="A120" s="306">
        <v>325188</v>
      </c>
      <c r="B120" s="310" t="s">
        <v>107</v>
      </c>
      <c r="C120" s="310">
        <v>0.25939810000000002</v>
      </c>
      <c r="D120" s="310">
        <v>0</v>
      </c>
      <c r="E120" s="310">
        <v>0.2524711</v>
      </c>
      <c r="F120" s="310">
        <v>0.2430744</v>
      </c>
      <c r="G120" s="310">
        <v>0.25560129999999998</v>
      </c>
      <c r="H120" s="310">
        <v>0.25676850000000001</v>
      </c>
      <c r="I120" s="310">
        <v>0.25686829999999999</v>
      </c>
      <c r="J120" s="310">
        <v>0.2362937</v>
      </c>
      <c r="K120" s="310">
        <v>0</v>
      </c>
      <c r="L120" s="310">
        <v>0.1757406</v>
      </c>
      <c r="M120" s="310">
        <v>0.25475599999999998</v>
      </c>
      <c r="N120" s="310">
        <v>0.2441123</v>
      </c>
      <c r="O120" s="310">
        <v>0.25408130000000001</v>
      </c>
      <c r="P120" s="310">
        <v>0.24511930000000001</v>
      </c>
      <c r="Q120" s="310">
        <v>0.25704510000000003</v>
      </c>
      <c r="R120" s="310">
        <v>0.23600989999999999</v>
      </c>
      <c r="S120" s="310">
        <v>0.2496331</v>
      </c>
      <c r="T120" s="310">
        <v>0.2232933</v>
      </c>
      <c r="U120" s="310">
        <v>0.22553619999999999</v>
      </c>
      <c r="V120" s="310">
        <v>0.25599040000000001</v>
      </c>
      <c r="W120" s="310">
        <v>0.23645169999999999</v>
      </c>
      <c r="X120" s="310">
        <v>0.23543239999999999</v>
      </c>
      <c r="Y120" s="310">
        <v>0.25485649999999999</v>
      </c>
      <c r="Z120" s="310">
        <v>0.25637840000000001</v>
      </c>
      <c r="AA120" s="310">
        <v>0</v>
      </c>
      <c r="AB120" s="310">
        <v>0.22437579999999999</v>
      </c>
      <c r="AC120" s="310">
        <v>0.23896039999999999</v>
      </c>
      <c r="AD120" s="310">
        <v>0.25290980000000002</v>
      </c>
      <c r="AE120" s="310">
        <v>0.25085829999999998</v>
      </c>
      <c r="AF120" s="310">
        <v>0</v>
      </c>
      <c r="AG120" s="310">
        <v>0.2482684</v>
      </c>
      <c r="AH120" s="310">
        <v>0</v>
      </c>
      <c r="AI120" s="310">
        <v>0.22736000000000001</v>
      </c>
      <c r="AJ120" s="310">
        <v>0.25446540000000001</v>
      </c>
      <c r="AK120" s="310">
        <v>0.24064430000000001</v>
      </c>
      <c r="AL120" s="310">
        <v>0.21864929999999999</v>
      </c>
      <c r="AM120" s="310">
        <v>0.2434829</v>
      </c>
      <c r="AN120" s="310">
        <v>0.25340499999999999</v>
      </c>
      <c r="AO120" s="310">
        <v>0.239097</v>
      </c>
      <c r="AP120" s="310">
        <v>0.2396808</v>
      </c>
      <c r="AQ120" s="310">
        <v>0.21693460000000001</v>
      </c>
      <c r="AR120" s="310">
        <v>0.2445039</v>
      </c>
      <c r="AS120" s="310">
        <v>0</v>
      </c>
      <c r="AT120" s="310">
        <v>0.23944299999999999</v>
      </c>
      <c r="AU120" s="310">
        <v>0.25699929999999999</v>
      </c>
      <c r="AV120" s="310">
        <v>0.25515749999999998</v>
      </c>
      <c r="AW120" s="310">
        <v>0.2451585</v>
      </c>
      <c r="AX120" s="310">
        <v>0</v>
      </c>
      <c r="AY120" s="310">
        <v>0.2487183</v>
      </c>
      <c r="AZ120" s="310">
        <v>0.2480108</v>
      </c>
      <c r="BA120" s="310">
        <v>0.231127</v>
      </c>
      <c r="BB120" s="310">
        <v>0.25641380000000003</v>
      </c>
      <c r="BC120" s="310">
        <v>0.24969839999999999</v>
      </c>
      <c r="BD120" s="310">
        <v>0.25162830000000003</v>
      </c>
      <c r="BE120" s="310">
        <v>0.25285229999999997</v>
      </c>
      <c r="BF120" s="310">
        <v>0.24634809999999999</v>
      </c>
      <c r="BG120" s="310">
        <v>0.24573449999999999</v>
      </c>
      <c r="BH120" s="310">
        <v>0.243589</v>
      </c>
      <c r="BI120" s="310">
        <v>0.25752619999999998</v>
      </c>
      <c r="BJ120" s="310">
        <v>0.25585780000000002</v>
      </c>
      <c r="BK120" s="310">
        <v>0.25669150000000002</v>
      </c>
    </row>
    <row r="121" spans="1:63" x14ac:dyDescent="0.25">
      <c r="A121" s="306">
        <v>325190</v>
      </c>
      <c r="B121" s="310" t="s">
        <v>108</v>
      </c>
      <c r="C121" s="310">
        <v>0.1335894</v>
      </c>
      <c r="D121" s="310">
        <v>0</v>
      </c>
      <c r="E121" s="310">
        <v>0.13001670000000001</v>
      </c>
      <c r="F121" s="310">
        <v>0.12519040000000001</v>
      </c>
      <c r="G121" s="310">
        <v>0.13165760000000001</v>
      </c>
      <c r="H121" s="310">
        <v>0.13224330000000001</v>
      </c>
      <c r="I121" s="310">
        <v>0.13230720000000001</v>
      </c>
      <c r="J121" s="310">
        <v>0.12170830000000001</v>
      </c>
      <c r="K121" s="310">
        <v>0</v>
      </c>
      <c r="L121" s="310">
        <v>9.0509999999999993E-2</v>
      </c>
      <c r="M121" s="310">
        <v>0.1311851</v>
      </c>
      <c r="N121" s="310">
        <v>0.12575790000000001</v>
      </c>
      <c r="O121" s="310">
        <v>0</v>
      </c>
      <c r="P121" s="310">
        <v>0.12624479999999999</v>
      </c>
      <c r="Q121" s="310">
        <v>0.1323809</v>
      </c>
      <c r="R121" s="310">
        <v>0.1215773</v>
      </c>
      <c r="S121" s="310">
        <v>0.12859760000000001</v>
      </c>
      <c r="T121" s="310">
        <v>0.1149778</v>
      </c>
      <c r="U121" s="310">
        <v>0.11616650000000001</v>
      </c>
      <c r="V121" s="310">
        <v>0.13184750000000001</v>
      </c>
      <c r="W121" s="310">
        <v>0.1217739</v>
      </c>
      <c r="X121" s="310">
        <v>0.1212801</v>
      </c>
      <c r="Y121" s="310">
        <v>0.13125500000000001</v>
      </c>
      <c r="Z121" s="310">
        <v>0.13204160000000001</v>
      </c>
      <c r="AA121" s="310">
        <v>0.1267045</v>
      </c>
      <c r="AB121" s="310">
        <v>0.1155636</v>
      </c>
      <c r="AC121" s="310">
        <v>0.1230762</v>
      </c>
      <c r="AD121" s="310">
        <v>0.13025790000000001</v>
      </c>
      <c r="AE121" s="310">
        <v>0.12922910000000001</v>
      </c>
      <c r="AF121" s="310">
        <v>0.1059454</v>
      </c>
      <c r="AG121" s="310">
        <v>0.1278736</v>
      </c>
      <c r="AH121" s="310">
        <v>0</v>
      </c>
      <c r="AI121" s="310">
        <v>0.1171271</v>
      </c>
      <c r="AJ121" s="310">
        <v>0.13105800000000001</v>
      </c>
      <c r="AK121" s="310">
        <v>0.12393460000000001</v>
      </c>
      <c r="AL121" s="310">
        <v>0.1126291</v>
      </c>
      <c r="AM121" s="310">
        <v>0.1254004</v>
      </c>
      <c r="AN121" s="310">
        <v>0.13049720000000001</v>
      </c>
      <c r="AO121" s="310">
        <v>0.1231704</v>
      </c>
      <c r="AP121" s="310">
        <v>0.123459</v>
      </c>
      <c r="AQ121" s="310">
        <v>0.1117324</v>
      </c>
      <c r="AR121" s="310">
        <v>0.1259477</v>
      </c>
      <c r="AS121" s="310">
        <v>0.12491439999999999</v>
      </c>
      <c r="AT121" s="310">
        <v>0.1233134</v>
      </c>
      <c r="AU121" s="310">
        <v>0.13237160000000001</v>
      </c>
      <c r="AV121" s="310">
        <v>0</v>
      </c>
      <c r="AW121" s="310">
        <v>0.12626960000000001</v>
      </c>
      <c r="AX121" s="310">
        <v>0</v>
      </c>
      <c r="AY121" s="310">
        <v>0.12811400000000001</v>
      </c>
      <c r="AZ121" s="310">
        <v>0.1277315</v>
      </c>
      <c r="BA121" s="310">
        <v>0.11905739999999999</v>
      </c>
      <c r="BB121" s="310">
        <v>0.13205800000000001</v>
      </c>
      <c r="BC121" s="310">
        <v>0.12863289999999999</v>
      </c>
      <c r="BD121" s="310">
        <v>0.12959270000000001</v>
      </c>
      <c r="BE121" s="310">
        <v>0.13022710000000001</v>
      </c>
      <c r="BF121" s="310">
        <v>0.1268801</v>
      </c>
      <c r="BG121" s="310">
        <v>0.12656680000000001</v>
      </c>
      <c r="BH121" s="310">
        <v>0.12548200000000001</v>
      </c>
      <c r="BI121" s="310">
        <v>0.13266919999999999</v>
      </c>
      <c r="BJ121" s="310">
        <v>0.13178580000000001</v>
      </c>
      <c r="BK121" s="310">
        <v>0.13221759999999999</v>
      </c>
    </row>
    <row r="122" spans="1:63" x14ac:dyDescent="0.25">
      <c r="A122" s="306">
        <v>325211</v>
      </c>
      <c r="B122" s="310" t="s">
        <v>2</v>
      </c>
      <c r="C122" s="310">
        <v>0.1184576</v>
      </c>
      <c r="D122" s="310">
        <v>0.11794689999999999</v>
      </c>
      <c r="E122" s="310">
        <v>0.1152799</v>
      </c>
      <c r="F122" s="310">
        <v>0.1110146</v>
      </c>
      <c r="G122" s="310">
        <v>0.1167289</v>
      </c>
      <c r="H122" s="310">
        <v>0.1172583</v>
      </c>
      <c r="I122" s="310">
        <v>0.11728860000000001</v>
      </c>
      <c r="J122" s="310">
        <v>0.10790039999999999</v>
      </c>
      <c r="K122" s="310">
        <v>0</v>
      </c>
      <c r="L122" s="310">
        <v>8.0261799999999994E-2</v>
      </c>
      <c r="M122" s="310">
        <v>0.11631809999999999</v>
      </c>
      <c r="N122" s="310">
        <v>0.1115104</v>
      </c>
      <c r="O122" s="310">
        <v>0</v>
      </c>
      <c r="P122" s="310">
        <v>0.1119315</v>
      </c>
      <c r="Q122" s="310">
        <v>0.11741</v>
      </c>
      <c r="R122" s="310">
        <v>0.10778509999999999</v>
      </c>
      <c r="S122" s="310">
        <v>0.1140186</v>
      </c>
      <c r="T122" s="310">
        <v>0.1019597</v>
      </c>
      <c r="U122" s="310">
        <v>0.1029854</v>
      </c>
      <c r="V122" s="310">
        <v>0.116909</v>
      </c>
      <c r="W122" s="310">
        <v>0.10799259999999999</v>
      </c>
      <c r="X122" s="310">
        <v>0.1075005</v>
      </c>
      <c r="Y122" s="310">
        <v>0.1164057</v>
      </c>
      <c r="Z122" s="310">
        <v>0.11707770000000001</v>
      </c>
      <c r="AA122" s="310">
        <v>0.1123363</v>
      </c>
      <c r="AB122" s="310">
        <v>0.1024693</v>
      </c>
      <c r="AC122" s="310">
        <v>0.10909489999999999</v>
      </c>
      <c r="AD122" s="310">
        <v>0.1155004</v>
      </c>
      <c r="AE122" s="310">
        <v>0.11457630000000001</v>
      </c>
      <c r="AF122" s="310">
        <v>0</v>
      </c>
      <c r="AG122" s="310">
        <v>0.1133894</v>
      </c>
      <c r="AH122" s="310">
        <v>0.1019364</v>
      </c>
      <c r="AI122" s="310">
        <v>0.1038483</v>
      </c>
      <c r="AJ122" s="310">
        <v>0.1162161</v>
      </c>
      <c r="AK122" s="310">
        <v>0.10988580000000001</v>
      </c>
      <c r="AL122" s="310">
        <v>9.9868100000000001E-2</v>
      </c>
      <c r="AM122" s="310">
        <v>0.11118939999999999</v>
      </c>
      <c r="AN122" s="310">
        <v>0.1157009</v>
      </c>
      <c r="AO122" s="310">
        <v>0.109199</v>
      </c>
      <c r="AP122" s="310">
        <v>0.1094691</v>
      </c>
      <c r="AQ122" s="310">
        <v>9.90481E-2</v>
      </c>
      <c r="AR122" s="310">
        <v>0.11163770000000001</v>
      </c>
      <c r="AS122" s="310">
        <v>0.11077380000000001</v>
      </c>
      <c r="AT122" s="310">
        <v>0.1093307</v>
      </c>
      <c r="AU122" s="310">
        <v>0.11734550000000001</v>
      </c>
      <c r="AV122" s="310">
        <v>0.11652750000000001</v>
      </c>
      <c r="AW122" s="310">
        <v>0.1119749</v>
      </c>
      <c r="AX122" s="310">
        <v>0.1121989</v>
      </c>
      <c r="AY122" s="310">
        <v>0.11356239999999999</v>
      </c>
      <c r="AZ122" s="310">
        <v>0.113263</v>
      </c>
      <c r="BA122" s="310">
        <v>0.10555009999999999</v>
      </c>
      <c r="BB122" s="310">
        <v>0</v>
      </c>
      <c r="BC122" s="310">
        <v>0.114047</v>
      </c>
      <c r="BD122" s="310">
        <v>0.1149047</v>
      </c>
      <c r="BE122" s="310">
        <v>0.11545519999999999</v>
      </c>
      <c r="BF122" s="310">
        <v>0.11250930000000001</v>
      </c>
      <c r="BG122" s="310">
        <v>0.11223279999999999</v>
      </c>
      <c r="BH122" s="310">
        <v>0.1112322</v>
      </c>
      <c r="BI122" s="310">
        <v>0.1176132</v>
      </c>
      <c r="BJ122" s="310">
        <v>0.11686829999999999</v>
      </c>
      <c r="BK122" s="310">
        <v>0.11722</v>
      </c>
    </row>
    <row r="123" spans="1:63" x14ac:dyDescent="0.25">
      <c r="A123" s="306">
        <v>325212</v>
      </c>
      <c r="B123" s="310" t="s">
        <v>109</v>
      </c>
      <c r="C123" s="310">
        <v>0.13508600000000001</v>
      </c>
      <c r="D123" s="310">
        <v>0</v>
      </c>
      <c r="E123" s="310">
        <v>0.13146459999999999</v>
      </c>
      <c r="F123" s="310">
        <v>0</v>
      </c>
      <c r="G123" s="310">
        <v>0.13306979999999999</v>
      </c>
      <c r="H123" s="310">
        <v>0.13372329999999999</v>
      </c>
      <c r="I123" s="310">
        <v>0</v>
      </c>
      <c r="J123" s="310">
        <v>0.1230369</v>
      </c>
      <c r="K123" s="310">
        <v>0</v>
      </c>
      <c r="L123" s="310">
        <v>9.15189E-2</v>
      </c>
      <c r="M123" s="310">
        <v>0.13263990000000001</v>
      </c>
      <c r="N123" s="310">
        <v>0.1271379</v>
      </c>
      <c r="O123" s="310">
        <v>0</v>
      </c>
      <c r="P123" s="310">
        <v>0</v>
      </c>
      <c r="Q123" s="310">
        <v>0</v>
      </c>
      <c r="R123" s="310">
        <v>0.12291390000000001</v>
      </c>
      <c r="S123" s="310">
        <v>0.1300095</v>
      </c>
      <c r="T123" s="310">
        <v>0</v>
      </c>
      <c r="U123" s="310">
        <v>0.1174447</v>
      </c>
      <c r="V123" s="310">
        <v>0.1333232</v>
      </c>
      <c r="W123" s="310">
        <v>0.1231401</v>
      </c>
      <c r="X123" s="310">
        <v>0.1225842</v>
      </c>
      <c r="Y123" s="310">
        <v>0.13272800000000001</v>
      </c>
      <c r="Z123" s="310">
        <v>0.13351569999999999</v>
      </c>
      <c r="AA123" s="310">
        <v>0.12810679999999999</v>
      </c>
      <c r="AB123" s="310">
        <v>0</v>
      </c>
      <c r="AC123" s="310">
        <v>0.12440279999999999</v>
      </c>
      <c r="AD123" s="310">
        <v>0</v>
      </c>
      <c r="AE123" s="310">
        <v>0.13066249999999999</v>
      </c>
      <c r="AF123" s="310">
        <v>0</v>
      </c>
      <c r="AG123" s="310">
        <v>0</v>
      </c>
      <c r="AH123" s="310">
        <v>0.11625820000000001</v>
      </c>
      <c r="AI123" s="310">
        <v>0.1183978</v>
      </c>
      <c r="AJ123" s="310">
        <v>0.13251360000000001</v>
      </c>
      <c r="AK123" s="310">
        <v>0</v>
      </c>
      <c r="AL123" s="310">
        <v>0.1138705</v>
      </c>
      <c r="AM123" s="310">
        <v>0.1267636</v>
      </c>
      <c r="AN123" s="310">
        <v>0.13193289999999999</v>
      </c>
      <c r="AO123" s="310">
        <v>0.12452630000000001</v>
      </c>
      <c r="AP123" s="310">
        <v>0.1248278</v>
      </c>
      <c r="AQ123" s="310">
        <v>0.1129819</v>
      </c>
      <c r="AR123" s="310">
        <v>0.12732379999999999</v>
      </c>
      <c r="AS123" s="310">
        <v>0</v>
      </c>
      <c r="AT123" s="310">
        <v>0.1246521</v>
      </c>
      <c r="AU123" s="310">
        <v>0.13380549999999999</v>
      </c>
      <c r="AV123" s="310">
        <v>0.13283919999999999</v>
      </c>
      <c r="AW123" s="310">
        <v>0.12767680000000001</v>
      </c>
      <c r="AX123" s="310">
        <v>0</v>
      </c>
      <c r="AY123" s="310">
        <v>0.1295</v>
      </c>
      <c r="AZ123" s="310">
        <v>0.12912860000000001</v>
      </c>
      <c r="BA123" s="310">
        <v>0</v>
      </c>
      <c r="BB123" s="310">
        <v>0</v>
      </c>
      <c r="BC123" s="310">
        <v>0.13002449999999999</v>
      </c>
      <c r="BD123" s="310">
        <v>0.13102929999999999</v>
      </c>
      <c r="BE123" s="310">
        <v>0.1316735</v>
      </c>
      <c r="BF123" s="310">
        <v>0.12826969999999999</v>
      </c>
      <c r="BG123" s="310">
        <v>0.1279566</v>
      </c>
      <c r="BH123" s="310">
        <v>0.1268434</v>
      </c>
      <c r="BI123" s="310">
        <v>0.1341232</v>
      </c>
      <c r="BJ123" s="310">
        <v>0.1332566</v>
      </c>
      <c r="BK123" s="310">
        <v>0.13368830000000001</v>
      </c>
    </row>
    <row r="124" spans="1:63" x14ac:dyDescent="0.25">
      <c r="A124" s="306">
        <v>325220</v>
      </c>
      <c r="B124" s="310" t="s">
        <v>110</v>
      </c>
      <c r="C124" s="310">
        <v>0.17504020000000001</v>
      </c>
      <c r="D124" s="310">
        <v>0</v>
      </c>
      <c r="E124" s="310">
        <v>0.170349</v>
      </c>
      <c r="F124" s="310">
        <v>0.1640682</v>
      </c>
      <c r="G124" s="310">
        <v>0.17250119999999999</v>
      </c>
      <c r="H124" s="310">
        <v>0.17326849999999999</v>
      </c>
      <c r="I124" s="310">
        <v>0.17334179999999999</v>
      </c>
      <c r="J124" s="310">
        <v>0.15946740000000001</v>
      </c>
      <c r="K124" s="310">
        <v>0</v>
      </c>
      <c r="L124" s="310">
        <v>0.11858920000000001</v>
      </c>
      <c r="M124" s="310">
        <v>0.17187859999999999</v>
      </c>
      <c r="N124" s="310">
        <v>0.16476550000000001</v>
      </c>
      <c r="O124" s="310">
        <v>0.17147319999999999</v>
      </c>
      <c r="P124" s="310">
        <v>0.16537289999999999</v>
      </c>
      <c r="Q124" s="310">
        <v>0</v>
      </c>
      <c r="R124" s="310">
        <v>0.1592653</v>
      </c>
      <c r="S124" s="310">
        <v>0</v>
      </c>
      <c r="T124" s="310">
        <v>0.1506362</v>
      </c>
      <c r="U124" s="310">
        <v>0</v>
      </c>
      <c r="V124" s="310">
        <v>0</v>
      </c>
      <c r="W124" s="310">
        <v>0.1595628</v>
      </c>
      <c r="X124" s="310">
        <v>0.1588648</v>
      </c>
      <c r="Y124" s="310">
        <v>0</v>
      </c>
      <c r="Z124" s="310">
        <v>0.17299220000000001</v>
      </c>
      <c r="AA124" s="310">
        <v>0</v>
      </c>
      <c r="AB124" s="310">
        <v>0</v>
      </c>
      <c r="AC124" s="310">
        <v>0.16123699999999999</v>
      </c>
      <c r="AD124" s="310">
        <v>0</v>
      </c>
      <c r="AE124" s="310">
        <v>0.16929810000000001</v>
      </c>
      <c r="AF124" s="310">
        <v>0</v>
      </c>
      <c r="AG124" s="310">
        <v>0</v>
      </c>
      <c r="AH124" s="310">
        <v>0.15067230000000001</v>
      </c>
      <c r="AI124" s="310">
        <v>0.1534288</v>
      </c>
      <c r="AJ124" s="310">
        <v>0.1717069</v>
      </c>
      <c r="AK124" s="310">
        <v>0</v>
      </c>
      <c r="AL124" s="310">
        <v>0.14757500000000001</v>
      </c>
      <c r="AM124" s="310">
        <v>0.16430049999999999</v>
      </c>
      <c r="AN124" s="310">
        <v>0</v>
      </c>
      <c r="AO124" s="310">
        <v>0.16135679999999999</v>
      </c>
      <c r="AP124" s="310">
        <v>0.16174930000000001</v>
      </c>
      <c r="AQ124" s="310">
        <v>0</v>
      </c>
      <c r="AR124" s="310">
        <v>0.1649979</v>
      </c>
      <c r="AS124" s="310">
        <v>0</v>
      </c>
      <c r="AT124" s="310">
        <v>0.1615578</v>
      </c>
      <c r="AU124" s="310">
        <v>0.1734009</v>
      </c>
      <c r="AV124" s="310">
        <v>0.1721821</v>
      </c>
      <c r="AW124" s="310">
        <v>0.1654398</v>
      </c>
      <c r="AX124" s="310">
        <v>0.1657766</v>
      </c>
      <c r="AY124" s="310">
        <v>0</v>
      </c>
      <c r="AZ124" s="310">
        <v>0</v>
      </c>
      <c r="BA124" s="310">
        <v>0</v>
      </c>
      <c r="BB124" s="310">
        <v>0</v>
      </c>
      <c r="BC124" s="310">
        <v>0.1684967</v>
      </c>
      <c r="BD124" s="310">
        <v>0.169797</v>
      </c>
      <c r="BE124" s="310">
        <v>0.17060120000000001</v>
      </c>
      <c r="BF124" s="310">
        <v>0.1662159</v>
      </c>
      <c r="BG124" s="310">
        <v>0.16581940000000001</v>
      </c>
      <c r="BH124" s="310">
        <v>0.16438120000000001</v>
      </c>
      <c r="BI124" s="310">
        <v>0.17380319999999999</v>
      </c>
      <c r="BJ124" s="310">
        <v>0.17266919999999999</v>
      </c>
      <c r="BK124" s="310">
        <v>0.17321619999999999</v>
      </c>
    </row>
    <row r="125" spans="1:63" x14ac:dyDescent="0.25">
      <c r="A125" s="306">
        <v>325310</v>
      </c>
      <c r="B125" s="310" t="s">
        <v>111</v>
      </c>
      <c r="C125" s="310">
        <v>0.12801850000000001</v>
      </c>
      <c r="D125" s="310">
        <v>0.12751860000000001</v>
      </c>
      <c r="E125" s="310">
        <v>0.1246181</v>
      </c>
      <c r="F125" s="310">
        <v>0.1199872</v>
      </c>
      <c r="G125" s="310">
        <v>0.12614649999999999</v>
      </c>
      <c r="H125" s="310">
        <v>0.12675210000000001</v>
      </c>
      <c r="I125" s="310">
        <v>0.1267654</v>
      </c>
      <c r="J125" s="310">
        <v>0.1166262</v>
      </c>
      <c r="K125" s="310">
        <v>2.3296799999999999E-2</v>
      </c>
      <c r="L125" s="310">
        <v>8.6741200000000004E-2</v>
      </c>
      <c r="M125" s="310">
        <v>0.12572990000000001</v>
      </c>
      <c r="N125" s="310">
        <v>0.12048830000000001</v>
      </c>
      <c r="O125" s="310">
        <v>0.12541070000000001</v>
      </c>
      <c r="P125" s="310">
        <v>0.1209851</v>
      </c>
      <c r="Q125" s="310">
        <v>0.12689059999999999</v>
      </c>
      <c r="R125" s="310">
        <v>0.1165052</v>
      </c>
      <c r="S125" s="310">
        <v>0.1232226</v>
      </c>
      <c r="T125" s="310">
        <v>0.11019710000000001</v>
      </c>
      <c r="U125" s="310">
        <v>0.1113113</v>
      </c>
      <c r="V125" s="310">
        <v>0.1263657</v>
      </c>
      <c r="W125" s="310">
        <v>0.1167026</v>
      </c>
      <c r="X125" s="310">
        <v>0.11621579999999999</v>
      </c>
      <c r="Y125" s="310">
        <v>0.12580620000000001</v>
      </c>
      <c r="Z125" s="310">
        <v>0.1265394</v>
      </c>
      <c r="AA125" s="310">
        <v>0.12141109999999999</v>
      </c>
      <c r="AB125" s="310">
        <v>0.11075450000000001</v>
      </c>
      <c r="AC125" s="310">
        <v>0.11793679999999999</v>
      </c>
      <c r="AD125" s="310">
        <v>0.12481689999999999</v>
      </c>
      <c r="AE125" s="310">
        <v>0.12382369999999999</v>
      </c>
      <c r="AF125" s="310">
        <v>0</v>
      </c>
      <c r="AG125" s="310">
        <v>0.1225198</v>
      </c>
      <c r="AH125" s="310">
        <v>0</v>
      </c>
      <c r="AI125" s="310">
        <v>0.1122195</v>
      </c>
      <c r="AJ125" s="310">
        <v>0.12557879999999999</v>
      </c>
      <c r="AK125" s="310">
        <v>0.1187776</v>
      </c>
      <c r="AL125" s="310">
        <v>0.1079495</v>
      </c>
      <c r="AM125" s="310">
        <v>0.1201714</v>
      </c>
      <c r="AN125" s="310">
        <v>0.1250791</v>
      </c>
      <c r="AO125" s="310">
        <v>0.1180118</v>
      </c>
      <c r="AP125" s="310">
        <v>0.1183032</v>
      </c>
      <c r="AQ125" s="310">
        <v>0</v>
      </c>
      <c r="AR125" s="310">
        <v>0.1206795</v>
      </c>
      <c r="AS125" s="310">
        <v>0.11974509999999999</v>
      </c>
      <c r="AT125" s="310">
        <v>0.1181711</v>
      </c>
      <c r="AU125" s="310">
        <v>0.1268427</v>
      </c>
      <c r="AV125" s="310">
        <v>0.1259364</v>
      </c>
      <c r="AW125" s="310">
        <v>0.1210188</v>
      </c>
      <c r="AX125" s="310">
        <v>0.12122719999999999</v>
      </c>
      <c r="AY125" s="310">
        <v>0.1227336</v>
      </c>
      <c r="AZ125" s="310">
        <v>0.1224078</v>
      </c>
      <c r="BA125" s="310">
        <v>0.11409610000000001</v>
      </c>
      <c r="BB125" s="310">
        <v>0.12656609999999999</v>
      </c>
      <c r="BC125" s="310">
        <v>0.1232439</v>
      </c>
      <c r="BD125" s="310">
        <v>0.1241987</v>
      </c>
      <c r="BE125" s="310">
        <v>0.1248059</v>
      </c>
      <c r="BF125" s="310">
        <v>0.1215905</v>
      </c>
      <c r="BG125" s="310">
        <v>0.12127350000000001</v>
      </c>
      <c r="BH125" s="310">
        <v>0.1202438</v>
      </c>
      <c r="BI125" s="310">
        <v>0.1271081</v>
      </c>
      <c r="BJ125" s="310">
        <v>0.1262887</v>
      </c>
      <c r="BK125" s="310">
        <v>0.12670609999999999</v>
      </c>
    </row>
    <row r="126" spans="1:63" x14ac:dyDescent="0.25">
      <c r="A126" s="306">
        <v>325320</v>
      </c>
      <c r="B126" s="310" t="s">
        <v>112</v>
      </c>
      <c r="C126" s="310">
        <v>0.1184545</v>
      </c>
      <c r="D126" s="310">
        <v>0</v>
      </c>
      <c r="E126" s="310">
        <v>0.11527469999999999</v>
      </c>
      <c r="F126" s="310">
        <v>0.11100690000000001</v>
      </c>
      <c r="G126" s="310">
        <v>0.1167371</v>
      </c>
      <c r="H126" s="310">
        <v>0.1172443</v>
      </c>
      <c r="I126" s="310">
        <v>0.117314</v>
      </c>
      <c r="J126" s="310">
        <v>0.1079026</v>
      </c>
      <c r="K126" s="310">
        <v>0</v>
      </c>
      <c r="L126" s="310">
        <v>0</v>
      </c>
      <c r="M126" s="310">
        <v>0.1163115</v>
      </c>
      <c r="N126" s="310">
        <v>0.1114907</v>
      </c>
      <c r="O126" s="310">
        <v>0</v>
      </c>
      <c r="P126" s="310">
        <v>0.11190700000000001</v>
      </c>
      <c r="Q126" s="310">
        <v>0.1173777</v>
      </c>
      <c r="R126" s="310">
        <v>0.1077941</v>
      </c>
      <c r="S126" s="310">
        <v>0.1140032</v>
      </c>
      <c r="T126" s="310">
        <v>0.1019544</v>
      </c>
      <c r="U126" s="310">
        <v>0.10299750000000001</v>
      </c>
      <c r="V126" s="310">
        <v>0.1169148</v>
      </c>
      <c r="W126" s="310">
        <v>0.1079845</v>
      </c>
      <c r="X126" s="310">
        <v>0.1075016</v>
      </c>
      <c r="Y126" s="310">
        <v>0.1163868</v>
      </c>
      <c r="Z126" s="310">
        <v>0.11705699999999999</v>
      </c>
      <c r="AA126" s="310">
        <v>0.1123313</v>
      </c>
      <c r="AB126" s="310">
        <v>0.1024722</v>
      </c>
      <c r="AC126" s="310">
        <v>0.10908710000000001</v>
      </c>
      <c r="AD126" s="310">
        <v>0.1155311</v>
      </c>
      <c r="AE126" s="310">
        <v>0.1145579</v>
      </c>
      <c r="AF126" s="310">
        <v>9.39141E-2</v>
      </c>
      <c r="AG126" s="310">
        <v>0.1133615</v>
      </c>
      <c r="AH126" s="310">
        <v>0</v>
      </c>
      <c r="AI126" s="310">
        <v>0.1038304</v>
      </c>
      <c r="AJ126" s="310">
        <v>0.1161765</v>
      </c>
      <c r="AK126" s="310">
        <v>0</v>
      </c>
      <c r="AL126" s="310">
        <v>9.9874400000000002E-2</v>
      </c>
      <c r="AM126" s="310">
        <v>0.1111665</v>
      </c>
      <c r="AN126" s="310">
        <v>0.11570519999999999</v>
      </c>
      <c r="AO126" s="310">
        <v>0.1091864</v>
      </c>
      <c r="AP126" s="310">
        <v>0.1094522</v>
      </c>
      <c r="AQ126" s="310">
        <v>0</v>
      </c>
      <c r="AR126" s="310">
        <v>0.1116514</v>
      </c>
      <c r="AS126" s="310">
        <v>0</v>
      </c>
      <c r="AT126" s="310">
        <v>0.1093518</v>
      </c>
      <c r="AU126" s="310">
        <v>0.11737</v>
      </c>
      <c r="AV126" s="310">
        <v>0.1165036</v>
      </c>
      <c r="AW126" s="310">
        <v>0.1119498</v>
      </c>
      <c r="AX126" s="310">
        <v>0</v>
      </c>
      <c r="AY126" s="310">
        <v>0.11356819999999999</v>
      </c>
      <c r="AZ126" s="310">
        <v>0.1132576</v>
      </c>
      <c r="BA126" s="310">
        <v>0.10556219999999999</v>
      </c>
      <c r="BB126" s="310">
        <v>0</v>
      </c>
      <c r="BC126" s="310">
        <v>0.1140396</v>
      </c>
      <c r="BD126" s="310">
        <v>0.1149019</v>
      </c>
      <c r="BE126" s="310">
        <v>0.1154742</v>
      </c>
      <c r="BF126" s="310">
        <v>0.1124941</v>
      </c>
      <c r="BG126" s="310">
        <v>0.1122155</v>
      </c>
      <c r="BH126" s="310">
        <v>0.1112583</v>
      </c>
      <c r="BI126" s="310">
        <v>0.11762649999999999</v>
      </c>
      <c r="BJ126" s="310">
        <v>0.1168612</v>
      </c>
      <c r="BK126" s="310">
        <v>0.1172197</v>
      </c>
    </row>
    <row r="127" spans="1:63" x14ac:dyDescent="0.25">
      <c r="A127" s="306">
        <v>325411</v>
      </c>
      <c r="B127" s="310" t="s">
        <v>113</v>
      </c>
      <c r="C127" s="310">
        <v>0.1194278</v>
      </c>
      <c r="D127" s="310">
        <v>0</v>
      </c>
      <c r="E127" s="310">
        <v>0.11622499999999999</v>
      </c>
      <c r="F127" s="310">
        <v>0.111927</v>
      </c>
      <c r="G127" s="310">
        <v>0.1176997</v>
      </c>
      <c r="H127" s="310">
        <v>0.11821619999999999</v>
      </c>
      <c r="I127" s="310">
        <v>0.1182761</v>
      </c>
      <c r="J127" s="310">
        <v>0.10879900000000001</v>
      </c>
      <c r="K127" s="310">
        <v>0</v>
      </c>
      <c r="L127" s="310">
        <v>0</v>
      </c>
      <c r="M127" s="310">
        <v>0.1172767</v>
      </c>
      <c r="N127" s="310">
        <v>0.1123826</v>
      </c>
      <c r="O127" s="310">
        <v>0</v>
      </c>
      <c r="P127" s="310">
        <v>0.11283559999999999</v>
      </c>
      <c r="Q127" s="310">
        <v>0.1183831</v>
      </c>
      <c r="R127" s="310">
        <v>0.10868700000000001</v>
      </c>
      <c r="S127" s="310">
        <v>0.1149632</v>
      </c>
      <c r="T127" s="310">
        <v>0.102815</v>
      </c>
      <c r="U127" s="310">
        <v>0.10383299999999999</v>
      </c>
      <c r="V127" s="310">
        <v>0.1178569</v>
      </c>
      <c r="W127" s="310">
        <v>0.1088717</v>
      </c>
      <c r="X127" s="310">
        <v>0.10841489999999999</v>
      </c>
      <c r="Y127" s="310">
        <v>0.11732289999999999</v>
      </c>
      <c r="Z127" s="310">
        <v>0.1180165</v>
      </c>
      <c r="AA127" s="310">
        <v>0.1132486</v>
      </c>
      <c r="AB127" s="310">
        <v>0.1033</v>
      </c>
      <c r="AC127" s="310">
        <v>0.1099981</v>
      </c>
      <c r="AD127" s="310">
        <v>0.1164771</v>
      </c>
      <c r="AE127" s="310">
        <v>0.11550050000000001</v>
      </c>
      <c r="AF127" s="310">
        <v>0</v>
      </c>
      <c r="AG127" s="310">
        <v>0.1143251</v>
      </c>
      <c r="AH127" s="310">
        <v>0.10280060000000001</v>
      </c>
      <c r="AI127" s="310">
        <v>0.1046911</v>
      </c>
      <c r="AJ127" s="310">
        <v>0.11712599999999999</v>
      </c>
      <c r="AK127" s="310">
        <v>0.1107923</v>
      </c>
      <c r="AL127" s="310">
        <v>0.1006731</v>
      </c>
      <c r="AM127" s="310">
        <v>0.1120965</v>
      </c>
      <c r="AN127" s="310">
        <v>0</v>
      </c>
      <c r="AO127" s="310">
        <v>0.1100971</v>
      </c>
      <c r="AP127" s="310">
        <v>0.1103454</v>
      </c>
      <c r="AQ127" s="310">
        <v>0</v>
      </c>
      <c r="AR127" s="310">
        <v>0.1125699</v>
      </c>
      <c r="AS127" s="310">
        <v>0</v>
      </c>
      <c r="AT127" s="310">
        <v>0.11024249999999999</v>
      </c>
      <c r="AU127" s="310">
        <v>0.11830110000000001</v>
      </c>
      <c r="AV127" s="310">
        <v>0.1174752</v>
      </c>
      <c r="AW127" s="310">
        <v>0.1128866</v>
      </c>
      <c r="AX127" s="310">
        <v>0</v>
      </c>
      <c r="AY127" s="310">
        <v>0.11450920000000001</v>
      </c>
      <c r="AZ127" s="310">
        <v>0.11417099999999999</v>
      </c>
      <c r="BA127" s="310">
        <v>0.1064276</v>
      </c>
      <c r="BB127" s="310">
        <v>0.1180364</v>
      </c>
      <c r="BC127" s="310">
        <v>0.1149762</v>
      </c>
      <c r="BD127" s="310">
        <v>0.1158694</v>
      </c>
      <c r="BE127" s="310">
        <v>0.11639720000000001</v>
      </c>
      <c r="BF127" s="310">
        <v>0.1134233</v>
      </c>
      <c r="BG127" s="310">
        <v>0.1131369</v>
      </c>
      <c r="BH127" s="310">
        <v>0.1121574</v>
      </c>
      <c r="BI127" s="310">
        <v>0.1185977</v>
      </c>
      <c r="BJ127" s="310">
        <v>0.11783780000000001</v>
      </c>
      <c r="BK127" s="310">
        <v>0.11820509999999999</v>
      </c>
    </row>
    <row r="128" spans="1:63" x14ac:dyDescent="0.25">
      <c r="A128" s="306">
        <v>325412</v>
      </c>
      <c r="B128" s="310" t="s">
        <v>114</v>
      </c>
      <c r="C128" s="310">
        <v>0.1203408</v>
      </c>
      <c r="D128" s="310">
        <v>0</v>
      </c>
      <c r="E128" s="310">
        <v>0.1171166</v>
      </c>
      <c r="F128" s="310">
        <v>0.1128014</v>
      </c>
      <c r="G128" s="310">
        <v>0.1185644</v>
      </c>
      <c r="H128" s="310">
        <v>0.1191198</v>
      </c>
      <c r="I128" s="310">
        <v>0.1191668</v>
      </c>
      <c r="J128" s="310">
        <v>0.1096192</v>
      </c>
      <c r="K128" s="310">
        <v>2.1927499999999999E-2</v>
      </c>
      <c r="L128" s="310">
        <v>8.1517199999999998E-2</v>
      </c>
      <c r="M128" s="310">
        <v>0.1181881</v>
      </c>
      <c r="N128" s="310">
        <v>0.1132523</v>
      </c>
      <c r="O128" s="310">
        <v>0.117849</v>
      </c>
      <c r="P128" s="310">
        <v>0.1136815</v>
      </c>
      <c r="Q128" s="310">
        <v>0.11926009999999999</v>
      </c>
      <c r="R128" s="310">
        <v>0.1094955</v>
      </c>
      <c r="S128" s="310">
        <v>0.1158285</v>
      </c>
      <c r="T128" s="310">
        <v>0.1035749</v>
      </c>
      <c r="U128" s="310">
        <v>0.1046354</v>
      </c>
      <c r="V128" s="310">
        <v>0.118787</v>
      </c>
      <c r="W128" s="310">
        <v>0.1096747</v>
      </c>
      <c r="X128" s="310">
        <v>0.109211</v>
      </c>
      <c r="Y128" s="310">
        <v>0.11821280000000001</v>
      </c>
      <c r="Z128" s="310">
        <v>0.1189431</v>
      </c>
      <c r="AA128" s="310">
        <v>0.11411490000000001</v>
      </c>
      <c r="AB128" s="310">
        <v>0.10407719999999999</v>
      </c>
      <c r="AC128" s="310">
        <v>0.11081000000000001</v>
      </c>
      <c r="AD128" s="310">
        <v>0.1173555</v>
      </c>
      <c r="AE128" s="310">
        <v>0.1163902</v>
      </c>
      <c r="AF128" s="310">
        <v>0</v>
      </c>
      <c r="AG128" s="310">
        <v>0.1151832</v>
      </c>
      <c r="AH128" s="310">
        <v>0.1035726</v>
      </c>
      <c r="AI128" s="310">
        <v>0.1054904</v>
      </c>
      <c r="AJ128" s="310">
        <v>0.1180417</v>
      </c>
      <c r="AK128" s="310">
        <v>0.1116313</v>
      </c>
      <c r="AL128" s="310">
        <v>0.10142619999999999</v>
      </c>
      <c r="AM128" s="310">
        <v>0.112939</v>
      </c>
      <c r="AN128" s="310">
        <v>0.11756179999999999</v>
      </c>
      <c r="AO128" s="310">
        <v>0.11094610000000001</v>
      </c>
      <c r="AP128" s="310">
        <v>0.11120149999999999</v>
      </c>
      <c r="AQ128" s="310">
        <v>0.100656</v>
      </c>
      <c r="AR128" s="310">
        <v>0.1134317</v>
      </c>
      <c r="AS128" s="310">
        <v>0.1125651</v>
      </c>
      <c r="AT128" s="310">
        <v>0.1110549</v>
      </c>
      <c r="AU128" s="310">
        <v>0.11920459999999999</v>
      </c>
      <c r="AV128" s="310">
        <v>0.1183541</v>
      </c>
      <c r="AW128" s="310">
        <v>0.1137348</v>
      </c>
      <c r="AX128" s="310">
        <v>0.1139564</v>
      </c>
      <c r="AY128" s="310">
        <v>0.1153976</v>
      </c>
      <c r="AZ128" s="310">
        <v>0.1150293</v>
      </c>
      <c r="BA128" s="310">
        <v>0.10722520000000001</v>
      </c>
      <c r="BB128" s="310">
        <v>0.1189383</v>
      </c>
      <c r="BC128" s="310">
        <v>0.11584369999999999</v>
      </c>
      <c r="BD128" s="310">
        <v>0.1167421</v>
      </c>
      <c r="BE128" s="310">
        <v>0.1172895</v>
      </c>
      <c r="BF128" s="310">
        <v>0.114271</v>
      </c>
      <c r="BG128" s="310">
        <v>0.11398610000000001</v>
      </c>
      <c r="BH128" s="310">
        <v>0.1129974</v>
      </c>
      <c r="BI128" s="310">
        <v>0.1194813</v>
      </c>
      <c r="BJ128" s="310">
        <v>0.11868860000000001</v>
      </c>
      <c r="BK128" s="310">
        <v>0.1190692</v>
      </c>
    </row>
    <row r="129" spans="1:63" x14ac:dyDescent="0.25">
      <c r="A129" s="306">
        <v>325413</v>
      </c>
      <c r="B129" s="310" t="s">
        <v>115</v>
      </c>
      <c r="C129" s="310">
        <v>0.2650072</v>
      </c>
      <c r="D129" s="310">
        <v>0</v>
      </c>
      <c r="E129" s="310">
        <v>0</v>
      </c>
      <c r="F129" s="310">
        <v>0.24833459999999999</v>
      </c>
      <c r="G129" s="310">
        <v>0</v>
      </c>
      <c r="H129" s="310">
        <v>0.26234800000000003</v>
      </c>
      <c r="I129" s="310">
        <v>0.2624128</v>
      </c>
      <c r="J129" s="310">
        <v>0.24143439999999999</v>
      </c>
      <c r="K129" s="310">
        <v>0</v>
      </c>
      <c r="L129" s="310">
        <v>0</v>
      </c>
      <c r="M129" s="310">
        <v>0.2602294</v>
      </c>
      <c r="N129" s="310">
        <v>0.2494306</v>
      </c>
      <c r="O129" s="310">
        <v>0</v>
      </c>
      <c r="P129" s="310">
        <v>0.25041829999999998</v>
      </c>
      <c r="Q129" s="310">
        <v>0</v>
      </c>
      <c r="R129" s="310">
        <v>0.24114579999999999</v>
      </c>
      <c r="S129" s="310">
        <v>0.2550306</v>
      </c>
      <c r="T129" s="310">
        <v>0.22807459999999999</v>
      </c>
      <c r="U129" s="310">
        <v>0.23039789999999999</v>
      </c>
      <c r="V129" s="310">
        <v>0.26156740000000001</v>
      </c>
      <c r="W129" s="310">
        <v>0.24155499999999999</v>
      </c>
      <c r="X129" s="310">
        <v>0.24056839999999999</v>
      </c>
      <c r="Y129" s="310">
        <v>0.26034620000000003</v>
      </c>
      <c r="Z129" s="310">
        <v>0.26189489999999999</v>
      </c>
      <c r="AA129" s="310">
        <v>0.25131510000000001</v>
      </c>
      <c r="AB129" s="310">
        <v>0.22925209999999999</v>
      </c>
      <c r="AC129" s="310">
        <v>0</v>
      </c>
      <c r="AD129" s="310">
        <v>0</v>
      </c>
      <c r="AE129" s="310">
        <v>0.2562971</v>
      </c>
      <c r="AF129" s="310">
        <v>0</v>
      </c>
      <c r="AG129" s="310">
        <v>0.25363540000000001</v>
      </c>
      <c r="AH129" s="310">
        <v>0</v>
      </c>
      <c r="AI129" s="310">
        <v>0.23228370000000001</v>
      </c>
      <c r="AJ129" s="310">
        <v>0.25993670000000002</v>
      </c>
      <c r="AK129" s="310">
        <v>0</v>
      </c>
      <c r="AL129" s="310">
        <v>0.223386</v>
      </c>
      <c r="AM129" s="310">
        <v>0.24871109999999999</v>
      </c>
      <c r="AN129" s="310">
        <v>0.2588992</v>
      </c>
      <c r="AO129" s="310">
        <v>0.24427399999999999</v>
      </c>
      <c r="AP129" s="310">
        <v>0.2448824</v>
      </c>
      <c r="AQ129" s="310">
        <v>0.2216574</v>
      </c>
      <c r="AR129" s="310">
        <v>0.24982019999999999</v>
      </c>
      <c r="AS129" s="310">
        <v>0</v>
      </c>
      <c r="AT129" s="310">
        <v>0.24461869999999999</v>
      </c>
      <c r="AU129" s="310">
        <v>0.2625614</v>
      </c>
      <c r="AV129" s="310">
        <v>0.2606714</v>
      </c>
      <c r="AW129" s="310">
        <v>0.25046289999999999</v>
      </c>
      <c r="AX129" s="310">
        <v>0.2509248</v>
      </c>
      <c r="AY129" s="310">
        <v>0.25408009999999998</v>
      </c>
      <c r="AZ129" s="310">
        <v>0.25339</v>
      </c>
      <c r="BA129" s="310">
        <v>0</v>
      </c>
      <c r="BB129" s="310">
        <v>0</v>
      </c>
      <c r="BC129" s="310">
        <v>0.25511739999999999</v>
      </c>
      <c r="BD129" s="310">
        <v>0.2570675</v>
      </c>
      <c r="BE129" s="310">
        <v>0.25831009999999999</v>
      </c>
      <c r="BF129" s="310">
        <v>0.25169239999999998</v>
      </c>
      <c r="BG129" s="310">
        <v>0.25105519999999998</v>
      </c>
      <c r="BH129" s="310">
        <v>0.24889620000000001</v>
      </c>
      <c r="BI129" s="310">
        <v>0.26313619999999999</v>
      </c>
      <c r="BJ129" s="310">
        <v>0.26144220000000001</v>
      </c>
      <c r="BK129" s="310">
        <v>0.26224360000000002</v>
      </c>
    </row>
    <row r="130" spans="1:63" x14ac:dyDescent="0.25">
      <c r="A130" s="306">
        <v>325414</v>
      </c>
      <c r="B130" s="310" t="s">
        <v>116</v>
      </c>
      <c r="C130" s="310">
        <v>0.21340700000000001</v>
      </c>
      <c r="D130" s="310">
        <v>0</v>
      </c>
      <c r="E130" s="310">
        <v>0.2076923</v>
      </c>
      <c r="F130" s="310">
        <v>0.20002410000000001</v>
      </c>
      <c r="G130" s="310">
        <v>0.2102755</v>
      </c>
      <c r="H130" s="310">
        <v>0.21125369999999999</v>
      </c>
      <c r="I130" s="310">
        <v>0.21134169999999999</v>
      </c>
      <c r="J130" s="310">
        <v>0.19441159999999999</v>
      </c>
      <c r="K130" s="310">
        <v>0</v>
      </c>
      <c r="L130" s="310">
        <v>0.14460339999999999</v>
      </c>
      <c r="M130" s="310">
        <v>0.209594</v>
      </c>
      <c r="N130" s="310">
        <v>0.20087269999999999</v>
      </c>
      <c r="O130" s="310">
        <v>0.20906830000000001</v>
      </c>
      <c r="P130" s="310">
        <v>0.20165279999999999</v>
      </c>
      <c r="Q130" s="310">
        <v>0</v>
      </c>
      <c r="R130" s="310">
        <v>0.1942044</v>
      </c>
      <c r="S130" s="310">
        <v>0.205397</v>
      </c>
      <c r="T130" s="310">
        <v>0.18369840000000001</v>
      </c>
      <c r="U130" s="310">
        <v>0</v>
      </c>
      <c r="V130" s="310">
        <v>0.21060770000000001</v>
      </c>
      <c r="W130" s="310">
        <v>0.1945588</v>
      </c>
      <c r="X130" s="310">
        <v>0.19371949999999999</v>
      </c>
      <c r="Y130" s="310">
        <v>0.2096827</v>
      </c>
      <c r="Z130" s="310">
        <v>0.2109067</v>
      </c>
      <c r="AA130" s="310">
        <v>0.20241029999999999</v>
      </c>
      <c r="AB130" s="310">
        <v>0.184611</v>
      </c>
      <c r="AC130" s="310">
        <v>0.1965636</v>
      </c>
      <c r="AD130" s="310">
        <v>0.2080883</v>
      </c>
      <c r="AE130" s="310">
        <v>0.2063963</v>
      </c>
      <c r="AF130" s="310">
        <v>0</v>
      </c>
      <c r="AG130" s="310">
        <v>0.20425560000000001</v>
      </c>
      <c r="AH130" s="310">
        <v>0.1836798</v>
      </c>
      <c r="AI130" s="310">
        <v>0.18707670000000001</v>
      </c>
      <c r="AJ130" s="310">
        <v>0</v>
      </c>
      <c r="AK130" s="310">
        <v>0</v>
      </c>
      <c r="AL130" s="310">
        <v>0.1798836</v>
      </c>
      <c r="AM130" s="310">
        <v>0.20028599999999999</v>
      </c>
      <c r="AN130" s="310">
        <v>0.2084963</v>
      </c>
      <c r="AO130" s="310">
        <v>0.19674179999999999</v>
      </c>
      <c r="AP130" s="310">
        <v>0.19721920000000001</v>
      </c>
      <c r="AQ130" s="310">
        <v>0</v>
      </c>
      <c r="AR130" s="310">
        <v>0.20117289999999999</v>
      </c>
      <c r="AS130" s="310">
        <v>0</v>
      </c>
      <c r="AT130" s="310">
        <v>0.19700680000000001</v>
      </c>
      <c r="AU130" s="310">
        <v>0.21144489999999999</v>
      </c>
      <c r="AV130" s="310">
        <v>0</v>
      </c>
      <c r="AW130" s="310">
        <v>0.2016829</v>
      </c>
      <c r="AX130" s="310">
        <v>0.20210980000000001</v>
      </c>
      <c r="AY130" s="310">
        <v>0.20462739999999999</v>
      </c>
      <c r="AZ130" s="310">
        <v>0.2040604</v>
      </c>
      <c r="BA130" s="310">
        <v>0</v>
      </c>
      <c r="BB130" s="310">
        <v>0</v>
      </c>
      <c r="BC130" s="310">
        <v>0.20546819999999999</v>
      </c>
      <c r="BD130" s="310">
        <v>0.20703460000000001</v>
      </c>
      <c r="BE130" s="310">
        <v>0.20802209999999999</v>
      </c>
      <c r="BF130" s="310">
        <v>0.20267940000000001</v>
      </c>
      <c r="BG130" s="310">
        <v>0.2021725</v>
      </c>
      <c r="BH130" s="310">
        <v>0.2004309</v>
      </c>
      <c r="BI130" s="310">
        <v>0.21192549999999999</v>
      </c>
      <c r="BJ130" s="310">
        <v>0.21054619999999999</v>
      </c>
      <c r="BK130" s="310">
        <v>0.211206</v>
      </c>
    </row>
    <row r="131" spans="1:63" x14ac:dyDescent="0.25">
      <c r="A131" s="306">
        <v>325510</v>
      </c>
      <c r="B131" s="310" t="s">
        <v>117</v>
      </c>
      <c r="C131" s="310">
        <v>0.14222760000000001</v>
      </c>
      <c r="D131" s="310">
        <v>0</v>
      </c>
      <c r="E131" s="310">
        <v>0.13839460000000001</v>
      </c>
      <c r="F131" s="310">
        <v>0.1332826</v>
      </c>
      <c r="G131" s="310">
        <v>0.14013490000000001</v>
      </c>
      <c r="H131" s="310">
        <v>0.14078830000000001</v>
      </c>
      <c r="I131" s="310">
        <v>0.14083870000000001</v>
      </c>
      <c r="J131" s="310">
        <v>0.1295733</v>
      </c>
      <c r="K131" s="310">
        <v>0</v>
      </c>
      <c r="L131" s="310">
        <v>9.6359299999999995E-2</v>
      </c>
      <c r="M131" s="310">
        <v>0.13964299999999999</v>
      </c>
      <c r="N131" s="310">
        <v>0.13387060000000001</v>
      </c>
      <c r="O131" s="310">
        <v>0</v>
      </c>
      <c r="P131" s="310">
        <v>0.13435920000000001</v>
      </c>
      <c r="Q131" s="310">
        <v>0.14092979999999999</v>
      </c>
      <c r="R131" s="310">
        <v>0.1294053</v>
      </c>
      <c r="S131" s="310">
        <v>0.13689709999999999</v>
      </c>
      <c r="T131" s="310">
        <v>0.1223997</v>
      </c>
      <c r="U131" s="310">
        <v>0.12364020000000001</v>
      </c>
      <c r="V131" s="310">
        <v>0.14036270000000001</v>
      </c>
      <c r="W131" s="310">
        <v>0.1296543</v>
      </c>
      <c r="X131" s="310">
        <v>0.12908430000000001</v>
      </c>
      <c r="Y131" s="310">
        <v>0</v>
      </c>
      <c r="Z131" s="310">
        <v>0.14055100000000001</v>
      </c>
      <c r="AA131" s="310">
        <v>0.13487769999999999</v>
      </c>
      <c r="AB131" s="310">
        <v>0.1230086</v>
      </c>
      <c r="AC131" s="310">
        <v>0.1310077</v>
      </c>
      <c r="AD131" s="310">
        <v>0</v>
      </c>
      <c r="AE131" s="310">
        <v>0.1375402</v>
      </c>
      <c r="AF131" s="310">
        <v>0.1127662</v>
      </c>
      <c r="AG131" s="310">
        <v>0.1361136</v>
      </c>
      <c r="AH131" s="310">
        <v>0.12241440000000001</v>
      </c>
      <c r="AI131" s="310">
        <v>0.1246602</v>
      </c>
      <c r="AJ131" s="310">
        <v>0.13952929999999999</v>
      </c>
      <c r="AK131" s="310">
        <v>0.1319273</v>
      </c>
      <c r="AL131" s="310">
        <v>0.1199099</v>
      </c>
      <c r="AM131" s="310">
        <v>0.13347519999999999</v>
      </c>
      <c r="AN131" s="310">
        <v>0.13894329999999999</v>
      </c>
      <c r="AO131" s="310">
        <v>0.13112579999999999</v>
      </c>
      <c r="AP131" s="310">
        <v>0.13141430000000001</v>
      </c>
      <c r="AQ131" s="310">
        <v>0.1189351</v>
      </c>
      <c r="AR131" s="310">
        <v>0.13405829999999999</v>
      </c>
      <c r="AS131" s="310">
        <v>0.1330238</v>
      </c>
      <c r="AT131" s="310">
        <v>0.1312797</v>
      </c>
      <c r="AU131" s="310">
        <v>0.14090420000000001</v>
      </c>
      <c r="AV131" s="310">
        <v>0.13990449999999999</v>
      </c>
      <c r="AW131" s="310">
        <v>0.1344311</v>
      </c>
      <c r="AX131" s="310">
        <v>0.13467509999999999</v>
      </c>
      <c r="AY131" s="310">
        <v>0.13634840000000001</v>
      </c>
      <c r="AZ131" s="310">
        <v>0.13597090000000001</v>
      </c>
      <c r="BA131" s="310">
        <v>0.12673300000000001</v>
      </c>
      <c r="BB131" s="310">
        <v>0</v>
      </c>
      <c r="BC131" s="310">
        <v>0.1368974</v>
      </c>
      <c r="BD131" s="310">
        <v>0.13795650000000001</v>
      </c>
      <c r="BE131" s="310">
        <v>0.1386406</v>
      </c>
      <c r="BF131" s="310">
        <v>0.1350712</v>
      </c>
      <c r="BG131" s="310">
        <v>0.13473199999999999</v>
      </c>
      <c r="BH131" s="310">
        <v>0.13357459999999999</v>
      </c>
      <c r="BI131" s="310">
        <v>0.141208</v>
      </c>
      <c r="BJ131" s="310">
        <v>0.14028740000000001</v>
      </c>
      <c r="BK131" s="310">
        <v>0.14074039999999999</v>
      </c>
    </row>
    <row r="132" spans="1:63" x14ac:dyDescent="0.25">
      <c r="A132" s="306">
        <v>325520</v>
      </c>
      <c r="B132" s="310" t="s">
        <v>118</v>
      </c>
      <c r="C132" s="310">
        <v>0.1739493</v>
      </c>
      <c r="D132" s="310">
        <v>0</v>
      </c>
      <c r="E132" s="310">
        <v>0.1692988</v>
      </c>
      <c r="F132" s="310">
        <v>0.16301850000000001</v>
      </c>
      <c r="G132" s="310">
        <v>0.17139199999999999</v>
      </c>
      <c r="H132" s="310">
        <v>0.1721828</v>
      </c>
      <c r="I132" s="310">
        <v>0.1722331</v>
      </c>
      <c r="J132" s="310">
        <v>0.15847020000000001</v>
      </c>
      <c r="K132" s="310">
        <v>3.1706499999999999E-2</v>
      </c>
      <c r="L132" s="310">
        <v>0.1178522</v>
      </c>
      <c r="M132" s="310">
        <v>0.1708258</v>
      </c>
      <c r="N132" s="310">
        <v>0.16373799999999999</v>
      </c>
      <c r="O132" s="310">
        <v>0</v>
      </c>
      <c r="P132" s="310">
        <v>0.16439090000000001</v>
      </c>
      <c r="Q132" s="310">
        <v>0</v>
      </c>
      <c r="R132" s="310">
        <v>0.15827260000000001</v>
      </c>
      <c r="S132" s="310">
        <v>0.16744539999999999</v>
      </c>
      <c r="T132" s="310">
        <v>0.14974499999999999</v>
      </c>
      <c r="U132" s="310">
        <v>0.15126319999999999</v>
      </c>
      <c r="V132" s="310">
        <v>0.17166619999999999</v>
      </c>
      <c r="W132" s="310">
        <v>0.158579</v>
      </c>
      <c r="X132" s="310">
        <v>0.15788369999999999</v>
      </c>
      <c r="Y132" s="310">
        <v>0</v>
      </c>
      <c r="Z132" s="310">
        <v>0.1719407</v>
      </c>
      <c r="AA132" s="310">
        <v>0.1649523</v>
      </c>
      <c r="AB132" s="310">
        <v>0.150477</v>
      </c>
      <c r="AC132" s="310">
        <v>0.1602306</v>
      </c>
      <c r="AD132" s="310">
        <v>0</v>
      </c>
      <c r="AE132" s="310">
        <v>0.16827490000000001</v>
      </c>
      <c r="AF132" s="310">
        <v>0.13790069999999999</v>
      </c>
      <c r="AG132" s="310">
        <v>0.16652359999999999</v>
      </c>
      <c r="AH132" s="310">
        <v>0.14972199999999999</v>
      </c>
      <c r="AI132" s="310">
        <v>0.1524693</v>
      </c>
      <c r="AJ132" s="310">
        <v>0</v>
      </c>
      <c r="AK132" s="310">
        <v>0.16139770000000001</v>
      </c>
      <c r="AL132" s="310">
        <v>0.146623</v>
      </c>
      <c r="AM132" s="310">
        <v>0.1632818</v>
      </c>
      <c r="AN132" s="310">
        <v>0.1699145</v>
      </c>
      <c r="AO132" s="310">
        <v>0.16036110000000001</v>
      </c>
      <c r="AP132" s="310">
        <v>0.16073370000000001</v>
      </c>
      <c r="AQ132" s="310">
        <v>0.14550179999999999</v>
      </c>
      <c r="AR132" s="310">
        <v>0.1639612</v>
      </c>
      <c r="AS132" s="310">
        <v>0</v>
      </c>
      <c r="AT132" s="310">
        <v>0.1605692</v>
      </c>
      <c r="AU132" s="310">
        <v>0.1723365</v>
      </c>
      <c r="AV132" s="310">
        <v>0.17110819999999999</v>
      </c>
      <c r="AW132" s="310">
        <v>0.16440270000000001</v>
      </c>
      <c r="AX132" s="310">
        <v>0.16470750000000001</v>
      </c>
      <c r="AY132" s="310">
        <v>0.16679740000000001</v>
      </c>
      <c r="AZ132" s="310">
        <v>0.1663113</v>
      </c>
      <c r="BA132" s="310">
        <v>0.15500939999999999</v>
      </c>
      <c r="BB132" s="310">
        <v>0</v>
      </c>
      <c r="BC132" s="310">
        <v>0.1674419</v>
      </c>
      <c r="BD132" s="310">
        <v>0.16876260000000001</v>
      </c>
      <c r="BE132" s="310">
        <v>0.16956750000000001</v>
      </c>
      <c r="BF132" s="310">
        <v>0.1651917</v>
      </c>
      <c r="BG132" s="310">
        <v>0.164798</v>
      </c>
      <c r="BH132" s="310">
        <v>0.1633599</v>
      </c>
      <c r="BI132" s="310">
        <v>0.17274870000000001</v>
      </c>
      <c r="BJ132" s="310">
        <v>0.1716116</v>
      </c>
      <c r="BK132" s="310">
        <v>0.17215179999999999</v>
      </c>
    </row>
    <row r="133" spans="1:63" x14ac:dyDescent="0.25">
      <c r="A133" s="306">
        <v>325610</v>
      </c>
      <c r="B133" s="310" t="s">
        <v>119</v>
      </c>
      <c r="C133" s="310">
        <v>0.1184446</v>
      </c>
      <c r="D133" s="310">
        <v>0.11799709999999999</v>
      </c>
      <c r="E133" s="310">
        <v>0.1152996</v>
      </c>
      <c r="F133" s="310">
        <v>0.1110014</v>
      </c>
      <c r="G133" s="310">
        <v>0.11672540000000001</v>
      </c>
      <c r="H133" s="310">
        <v>0.11726590000000001</v>
      </c>
      <c r="I133" s="310">
        <v>0.1172894</v>
      </c>
      <c r="J133" s="310">
        <v>0.1079065</v>
      </c>
      <c r="K133" s="310">
        <v>2.15832E-2</v>
      </c>
      <c r="L133" s="310">
        <v>8.0236500000000002E-2</v>
      </c>
      <c r="M133" s="310">
        <v>0.1163275</v>
      </c>
      <c r="N133" s="310">
        <v>0.1114749</v>
      </c>
      <c r="O133" s="310">
        <v>0.11604970000000001</v>
      </c>
      <c r="P133" s="310">
        <v>0.1119407</v>
      </c>
      <c r="Q133" s="310">
        <v>0.1173743</v>
      </c>
      <c r="R133" s="310">
        <v>0.1077765</v>
      </c>
      <c r="S133" s="310">
        <v>0.1140051</v>
      </c>
      <c r="T133" s="310">
        <v>0.1019466</v>
      </c>
      <c r="U133" s="310">
        <v>0.1030059</v>
      </c>
      <c r="V133" s="310">
        <v>0.1169188</v>
      </c>
      <c r="W133" s="310">
        <v>0.1079838</v>
      </c>
      <c r="X133" s="310">
        <v>0.1075219</v>
      </c>
      <c r="Y133" s="310">
        <v>0.1163874</v>
      </c>
      <c r="Z133" s="310">
        <v>0.11709360000000001</v>
      </c>
      <c r="AA133" s="310">
        <v>0.1123242</v>
      </c>
      <c r="AB133" s="310">
        <v>0.10248350000000001</v>
      </c>
      <c r="AC133" s="310">
        <v>0.10910549999999999</v>
      </c>
      <c r="AD133" s="310">
        <v>0.1154969</v>
      </c>
      <c r="AE133" s="310">
        <v>0.1145583</v>
      </c>
      <c r="AF133" s="310">
        <v>0</v>
      </c>
      <c r="AG133" s="310">
        <v>0.11339340000000001</v>
      </c>
      <c r="AH133" s="310">
        <v>0.1019477</v>
      </c>
      <c r="AI133" s="310">
        <v>0.1038511</v>
      </c>
      <c r="AJ133" s="310">
        <v>0.11616799999999999</v>
      </c>
      <c r="AK133" s="310">
        <v>0.10990900000000001</v>
      </c>
      <c r="AL133" s="310">
        <v>9.98502E-2</v>
      </c>
      <c r="AM133" s="310">
        <v>0.1111882</v>
      </c>
      <c r="AN133" s="310">
        <v>0.1156932</v>
      </c>
      <c r="AO133" s="310">
        <v>0.10919909999999999</v>
      </c>
      <c r="AP133" s="310">
        <v>0.10945050000000001</v>
      </c>
      <c r="AQ133" s="310">
        <v>9.9085800000000002E-2</v>
      </c>
      <c r="AR133" s="310">
        <v>0.1116453</v>
      </c>
      <c r="AS133" s="310">
        <v>0.1107784</v>
      </c>
      <c r="AT133" s="310">
        <v>0.1093475</v>
      </c>
      <c r="AU133" s="310">
        <v>0.1173739</v>
      </c>
      <c r="AV133" s="310">
        <v>0.1165186</v>
      </c>
      <c r="AW133" s="310">
        <v>0.1119579</v>
      </c>
      <c r="AX133" s="310">
        <v>0.1122006</v>
      </c>
      <c r="AY133" s="310">
        <v>0.113555</v>
      </c>
      <c r="AZ133" s="310">
        <v>0.1132519</v>
      </c>
      <c r="BA133" s="310">
        <v>0.1055561</v>
      </c>
      <c r="BB133" s="310">
        <v>0.11711530000000001</v>
      </c>
      <c r="BC133" s="310">
        <v>0.11403580000000001</v>
      </c>
      <c r="BD133" s="310">
        <v>0.11491079999999999</v>
      </c>
      <c r="BE133" s="310">
        <v>0.1154785</v>
      </c>
      <c r="BF133" s="310">
        <v>0.1124826</v>
      </c>
      <c r="BG133" s="310">
        <v>0.1122259</v>
      </c>
      <c r="BH133" s="310">
        <v>0.1112268</v>
      </c>
      <c r="BI133" s="310">
        <v>0.1176247</v>
      </c>
      <c r="BJ133" s="310">
        <v>0.11683549999999999</v>
      </c>
      <c r="BK133" s="310">
        <v>0.11721669999999999</v>
      </c>
    </row>
    <row r="134" spans="1:63" x14ac:dyDescent="0.25">
      <c r="A134" s="306">
        <v>325620</v>
      </c>
      <c r="B134" s="310" t="s">
        <v>120</v>
      </c>
      <c r="C134" s="310">
        <v>0.1184544</v>
      </c>
      <c r="D134" s="310">
        <v>0</v>
      </c>
      <c r="E134" s="310">
        <v>0.11530459999999999</v>
      </c>
      <c r="F134" s="310">
        <v>0.11103300000000001</v>
      </c>
      <c r="G134" s="310">
        <v>0.1167189</v>
      </c>
      <c r="H134" s="310">
        <v>0.11724329999999999</v>
      </c>
      <c r="I134" s="310">
        <v>0.1173117</v>
      </c>
      <c r="J134" s="310">
        <v>0.1079137</v>
      </c>
      <c r="K134" s="310">
        <v>0</v>
      </c>
      <c r="L134" s="310">
        <v>8.0272499999999997E-2</v>
      </c>
      <c r="M134" s="310">
        <v>0.11632720000000001</v>
      </c>
      <c r="N134" s="310">
        <v>0.11150789999999999</v>
      </c>
      <c r="O134" s="310">
        <v>0.1160477</v>
      </c>
      <c r="P134" s="310">
        <v>0.1119411</v>
      </c>
      <c r="Q134" s="310">
        <v>0.1174079</v>
      </c>
      <c r="R134" s="310">
        <v>0.1077988</v>
      </c>
      <c r="S134" s="310">
        <v>0.1140256</v>
      </c>
      <c r="T134" s="310">
        <v>0.10197920000000001</v>
      </c>
      <c r="U134" s="310">
        <v>0.102977</v>
      </c>
      <c r="V134" s="310">
        <v>0.11689919999999999</v>
      </c>
      <c r="W134" s="310">
        <v>0.1079832</v>
      </c>
      <c r="X134" s="310">
        <v>0.10751380000000001</v>
      </c>
      <c r="Y134" s="310">
        <v>0.1164076</v>
      </c>
      <c r="Z134" s="310">
        <v>0.1170901</v>
      </c>
      <c r="AA134" s="310">
        <v>0.1123217</v>
      </c>
      <c r="AB134" s="310">
        <v>0.1024489</v>
      </c>
      <c r="AC134" s="310">
        <v>0.1091152</v>
      </c>
      <c r="AD134" s="310">
        <v>0.11550580000000001</v>
      </c>
      <c r="AE134" s="310">
        <v>0.1145837</v>
      </c>
      <c r="AF134" s="310">
        <v>9.3940899999999994E-2</v>
      </c>
      <c r="AG134" s="310">
        <v>0.11335099999999999</v>
      </c>
      <c r="AH134" s="310">
        <v>0.1019814</v>
      </c>
      <c r="AI134" s="310">
        <v>0.1038515</v>
      </c>
      <c r="AJ134" s="310">
        <v>0.116172</v>
      </c>
      <c r="AK134" s="310">
        <v>0.1098966</v>
      </c>
      <c r="AL134" s="310">
        <v>9.9864099999999997E-2</v>
      </c>
      <c r="AM134" s="310">
        <v>0.11118450000000001</v>
      </c>
      <c r="AN134" s="310">
        <v>0.1157218</v>
      </c>
      <c r="AO134" s="310">
        <v>0.1091935</v>
      </c>
      <c r="AP134" s="310">
        <v>0.10945920000000001</v>
      </c>
      <c r="AQ134" s="310">
        <v>9.9052100000000004E-2</v>
      </c>
      <c r="AR134" s="310">
        <v>0.1116602</v>
      </c>
      <c r="AS134" s="310">
        <v>0.11076469999999999</v>
      </c>
      <c r="AT134" s="310">
        <v>0.1093465</v>
      </c>
      <c r="AU134" s="310">
        <v>0.11733929999999999</v>
      </c>
      <c r="AV134" s="310">
        <v>0.11650050000000001</v>
      </c>
      <c r="AW134" s="310">
        <v>0.1119588</v>
      </c>
      <c r="AX134" s="310">
        <v>0.11215310000000001</v>
      </c>
      <c r="AY134" s="310">
        <v>0.113579</v>
      </c>
      <c r="AZ134" s="310">
        <v>0.1132662</v>
      </c>
      <c r="BA134" s="310">
        <v>0</v>
      </c>
      <c r="BB134" s="310">
        <v>0.1170976</v>
      </c>
      <c r="BC134" s="310">
        <v>0.1140311</v>
      </c>
      <c r="BD134" s="310">
        <v>0.1149313</v>
      </c>
      <c r="BE134" s="310">
        <v>0.11547830000000001</v>
      </c>
      <c r="BF134" s="310">
        <v>0.112502</v>
      </c>
      <c r="BG134" s="310">
        <v>0.1122201</v>
      </c>
      <c r="BH134" s="310">
        <v>0.1112337</v>
      </c>
      <c r="BI134" s="310">
        <v>0.1176296</v>
      </c>
      <c r="BJ134" s="310">
        <v>0.1168612</v>
      </c>
      <c r="BK134" s="310">
        <v>0.1172135</v>
      </c>
    </row>
    <row r="135" spans="1:63" x14ac:dyDescent="0.25">
      <c r="A135" s="306">
        <v>325910</v>
      </c>
      <c r="B135" s="310" t="s">
        <v>121</v>
      </c>
      <c r="C135" s="310">
        <v>0.17345469999999999</v>
      </c>
      <c r="D135" s="310">
        <v>0</v>
      </c>
      <c r="E135" s="310">
        <v>0.16877719999999999</v>
      </c>
      <c r="F135" s="310">
        <v>0.16252730000000001</v>
      </c>
      <c r="G135" s="310">
        <v>0.17090259999999999</v>
      </c>
      <c r="H135" s="310">
        <v>0.17169570000000001</v>
      </c>
      <c r="I135" s="310">
        <v>0.17175099999999999</v>
      </c>
      <c r="J135" s="310">
        <v>0.1580144</v>
      </c>
      <c r="K135" s="310">
        <v>0</v>
      </c>
      <c r="L135" s="310">
        <v>0.11751929999999999</v>
      </c>
      <c r="M135" s="310">
        <v>0.17033699999999999</v>
      </c>
      <c r="N135" s="310">
        <v>0.16324089999999999</v>
      </c>
      <c r="O135" s="310">
        <v>0</v>
      </c>
      <c r="P135" s="310">
        <v>0.1638889</v>
      </c>
      <c r="Q135" s="310">
        <v>0</v>
      </c>
      <c r="R135" s="310">
        <v>0.15782389999999999</v>
      </c>
      <c r="S135" s="310">
        <v>0.16694780000000001</v>
      </c>
      <c r="T135" s="310">
        <v>0.1492803</v>
      </c>
      <c r="U135" s="310">
        <v>0.15079190000000001</v>
      </c>
      <c r="V135" s="310">
        <v>0.17116239999999999</v>
      </c>
      <c r="W135" s="310">
        <v>0.15808269999999999</v>
      </c>
      <c r="X135" s="310">
        <v>0.15745770000000001</v>
      </c>
      <c r="Y135" s="310">
        <v>0.170432</v>
      </c>
      <c r="Z135" s="310">
        <v>0.17143929999999999</v>
      </c>
      <c r="AA135" s="310">
        <v>0.16448599999999999</v>
      </c>
      <c r="AB135" s="310">
        <v>0.15005089999999999</v>
      </c>
      <c r="AC135" s="310">
        <v>0</v>
      </c>
      <c r="AD135" s="310">
        <v>0</v>
      </c>
      <c r="AE135" s="310">
        <v>0.1677555</v>
      </c>
      <c r="AF135" s="310">
        <v>0</v>
      </c>
      <c r="AG135" s="310">
        <v>0.16602510000000001</v>
      </c>
      <c r="AH135" s="310">
        <v>0.1492743</v>
      </c>
      <c r="AI135" s="310">
        <v>0.15205050000000001</v>
      </c>
      <c r="AJ135" s="310">
        <v>0.1701329</v>
      </c>
      <c r="AK135" s="310">
        <v>0.16090670000000001</v>
      </c>
      <c r="AL135" s="310">
        <v>0.1461971</v>
      </c>
      <c r="AM135" s="310">
        <v>0.16280430000000001</v>
      </c>
      <c r="AN135" s="310">
        <v>0.1694369</v>
      </c>
      <c r="AO135" s="310">
        <v>0.15991340000000001</v>
      </c>
      <c r="AP135" s="310">
        <v>0.16029370000000001</v>
      </c>
      <c r="AQ135" s="310">
        <v>0.14506140000000001</v>
      </c>
      <c r="AR135" s="310">
        <v>0.16348409999999999</v>
      </c>
      <c r="AS135" s="310">
        <v>0</v>
      </c>
      <c r="AT135" s="310">
        <v>0.1600955</v>
      </c>
      <c r="AU135" s="310">
        <v>0.1718433</v>
      </c>
      <c r="AV135" s="310">
        <v>0.17059469999999999</v>
      </c>
      <c r="AW135" s="310">
        <v>0.1639485</v>
      </c>
      <c r="AX135" s="310">
        <v>0</v>
      </c>
      <c r="AY135" s="310">
        <v>0.166299</v>
      </c>
      <c r="AZ135" s="310">
        <v>0.16584989999999999</v>
      </c>
      <c r="BA135" s="310">
        <v>0</v>
      </c>
      <c r="BB135" s="310">
        <v>0</v>
      </c>
      <c r="BC135" s="310">
        <v>0.16695180000000001</v>
      </c>
      <c r="BD135" s="310">
        <v>0.16824259999999999</v>
      </c>
      <c r="BE135" s="310">
        <v>0.1690721</v>
      </c>
      <c r="BF135" s="310">
        <v>0.16472510000000001</v>
      </c>
      <c r="BG135" s="310">
        <v>0.16431280000000001</v>
      </c>
      <c r="BH135" s="310">
        <v>0.1628993</v>
      </c>
      <c r="BI135" s="310">
        <v>0.1722119</v>
      </c>
      <c r="BJ135" s="310">
        <v>0.17112330000000001</v>
      </c>
      <c r="BK135" s="310">
        <v>0.17163139999999999</v>
      </c>
    </row>
    <row r="136" spans="1:63" x14ac:dyDescent="0.25">
      <c r="A136" s="306" t="s">
        <v>715</v>
      </c>
      <c r="B136" s="310" t="s">
        <v>122</v>
      </c>
      <c r="C136" s="310">
        <v>0.19446939999999999</v>
      </c>
      <c r="D136" s="310">
        <v>0.19368150000000001</v>
      </c>
      <c r="E136" s="310">
        <v>0.1892346</v>
      </c>
      <c r="F136" s="310">
        <v>0.18224299999999999</v>
      </c>
      <c r="G136" s="310">
        <v>0.19160250000000001</v>
      </c>
      <c r="H136" s="310">
        <v>0.19246679999999999</v>
      </c>
      <c r="I136" s="310">
        <v>0.1925424</v>
      </c>
      <c r="J136" s="310">
        <v>0.1771192</v>
      </c>
      <c r="K136" s="310">
        <v>0</v>
      </c>
      <c r="L136" s="310">
        <v>0.1317509</v>
      </c>
      <c r="M136" s="310">
        <v>0.19096070000000001</v>
      </c>
      <c r="N136" s="310">
        <v>0.18303440000000001</v>
      </c>
      <c r="O136" s="310">
        <v>0.19048760000000001</v>
      </c>
      <c r="P136" s="310">
        <v>0.18372769999999999</v>
      </c>
      <c r="Q136" s="310">
        <v>0.19269790000000001</v>
      </c>
      <c r="R136" s="310">
        <v>0.17692089999999999</v>
      </c>
      <c r="S136" s="310">
        <v>0.18717739999999999</v>
      </c>
      <c r="T136" s="310">
        <v>0.16734940000000001</v>
      </c>
      <c r="U136" s="310">
        <v>0.1690614</v>
      </c>
      <c r="V136" s="310">
        <v>0.1919025</v>
      </c>
      <c r="W136" s="310">
        <v>0.17724039999999999</v>
      </c>
      <c r="X136" s="310">
        <v>0.17649010000000001</v>
      </c>
      <c r="Y136" s="310">
        <v>0.1910723</v>
      </c>
      <c r="Z136" s="310">
        <v>0.19217880000000001</v>
      </c>
      <c r="AA136" s="310">
        <v>0.1844161</v>
      </c>
      <c r="AB136" s="310">
        <v>0.168213</v>
      </c>
      <c r="AC136" s="310">
        <v>0.17912810000000001</v>
      </c>
      <c r="AD136" s="310">
        <v>0.18960930000000001</v>
      </c>
      <c r="AE136" s="310">
        <v>0.18810270000000001</v>
      </c>
      <c r="AF136" s="310">
        <v>0.15420039999999999</v>
      </c>
      <c r="AG136" s="310">
        <v>0.18608730000000001</v>
      </c>
      <c r="AH136" s="310">
        <v>0.1673607</v>
      </c>
      <c r="AI136" s="310">
        <v>0.1704599</v>
      </c>
      <c r="AJ136" s="310">
        <v>0.1907807</v>
      </c>
      <c r="AK136" s="310">
        <v>0.1804007</v>
      </c>
      <c r="AL136" s="310">
        <v>0.1639293</v>
      </c>
      <c r="AM136" s="310">
        <v>0.18250350000000001</v>
      </c>
      <c r="AN136" s="310">
        <v>0.1899835</v>
      </c>
      <c r="AO136" s="310">
        <v>0.17927129999999999</v>
      </c>
      <c r="AP136" s="310">
        <v>0.17968129999999999</v>
      </c>
      <c r="AQ136" s="310">
        <v>0.16265250000000001</v>
      </c>
      <c r="AR136" s="310">
        <v>0.18330579999999999</v>
      </c>
      <c r="AS136" s="310">
        <v>0.1818495</v>
      </c>
      <c r="AT136" s="310">
        <v>0.1794984</v>
      </c>
      <c r="AU136" s="310">
        <v>0.19264529999999999</v>
      </c>
      <c r="AV136" s="310">
        <v>0.19127430000000001</v>
      </c>
      <c r="AW136" s="310">
        <v>0.1837655</v>
      </c>
      <c r="AX136" s="310">
        <v>0.18411739999999999</v>
      </c>
      <c r="AY136" s="310">
        <v>0.1864557</v>
      </c>
      <c r="AZ136" s="310">
        <v>0.18592839999999999</v>
      </c>
      <c r="BA136" s="310">
        <v>0.1732718</v>
      </c>
      <c r="BB136" s="310">
        <v>0.19223999999999999</v>
      </c>
      <c r="BC136" s="310">
        <v>0.18718190000000001</v>
      </c>
      <c r="BD136" s="310">
        <v>0.1886177</v>
      </c>
      <c r="BE136" s="310">
        <v>0.1895318</v>
      </c>
      <c r="BF136" s="310">
        <v>0.18465319999999999</v>
      </c>
      <c r="BG136" s="310">
        <v>0.18423139999999999</v>
      </c>
      <c r="BH136" s="310">
        <v>0.1826313</v>
      </c>
      <c r="BI136" s="310">
        <v>0.19308169999999999</v>
      </c>
      <c r="BJ136" s="310">
        <v>0.19184499999999999</v>
      </c>
      <c r="BK136" s="310">
        <v>0.19244320000000001</v>
      </c>
    </row>
    <row r="137" spans="1:63" x14ac:dyDescent="0.25">
      <c r="A137" s="306">
        <v>326110</v>
      </c>
      <c r="B137" s="310" t="s">
        <v>123</v>
      </c>
      <c r="C137" s="310">
        <v>0.16866100000000001</v>
      </c>
      <c r="D137" s="310">
        <v>0</v>
      </c>
      <c r="E137" s="310">
        <v>0.16489909999999999</v>
      </c>
      <c r="F137" s="310">
        <v>0.1437483</v>
      </c>
      <c r="G137" s="310">
        <v>0.16683039999999999</v>
      </c>
      <c r="H137" s="310">
        <v>0.167076</v>
      </c>
      <c r="I137" s="310">
        <v>0.1677506</v>
      </c>
      <c r="J137" s="310">
        <v>0.15541340000000001</v>
      </c>
      <c r="K137" s="310">
        <v>0</v>
      </c>
      <c r="L137" s="310">
        <v>0.1298135</v>
      </c>
      <c r="M137" s="310">
        <v>0.166688</v>
      </c>
      <c r="N137" s="310">
        <v>0.16271389999999999</v>
      </c>
      <c r="O137" s="310">
        <v>0.16534109999999999</v>
      </c>
      <c r="P137" s="310">
        <v>0.15737519999999999</v>
      </c>
      <c r="Q137" s="310">
        <v>0.16692170000000001</v>
      </c>
      <c r="R137" s="310">
        <v>0.16313340000000001</v>
      </c>
      <c r="S137" s="310">
        <v>0.157887</v>
      </c>
      <c r="T137" s="310">
        <v>0.1607673</v>
      </c>
      <c r="U137" s="310">
        <v>0.15691730000000001</v>
      </c>
      <c r="V137" s="310">
        <v>0.16457330000000001</v>
      </c>
      <c r="W137" s="310">
        <v>0.1566613</v>
      </c>
      <c r="X137" s="310">
        <v>0.14325160000000001</v>
      </c>
      <c r="Y137" s="310">
        <v>0.16222310000000001</v>
      </c>
      <c r="Z137" s="310">
        <v>0.16655900000000001</v>
      </c>
      <c r="AA137" s="310">
        <v>0.1603253</v>
      </c>
      <c r="AB137" s="310">
        <v>0.15795680000000001</v>
      </c>
      <c r="AC137" s="310">
        <v>0.15076790000000001</v>
      </c>
      <c r="AD137" s="310">
        <v>0</v>
      </c>
      <c r="AE137" s="310">
        <v>0.15960650000000001</v>
      </c>
      <c r="AF137" s="310">
        <v>0.14877000000000001</v>
      </c>
      <c r="AG137" s="310">
        <v>0.16221559999999999</v>
      </c>
      <c r="AH137" s="310">
        <v>0.1574266</v>
      </c>
      <c r="AI137" s="310">
        <v>0.1478073</v>
      </c>
      <c r="AJ137" s="310">
        <v>0.16454969999999999</v>
      </c>
      <c r="AK137" s="310">
        <v>0.16087679999999999</v>
      </c>
      <c r="AL137" s="310">
        <v>0.16173950000000001</v>
      </c>
      <c r="AM137" s="310">
        <v>0.16486770000000001</v>
      </c>
      <c r="AN137" s="310">
        <v>0.16714889999999999</v>
      </c>
      <c r="AO137" s="310">
        <v>0.16163269999999999</v>
      </c>
      <c r="AP137" s="310">
        <v>0.1619043</v>
      </c>
      <c r="AQ137" s="310">
        <v>0.15116599999999999</v>
      </c>
      <c r="AR137" s="310">
        <v>0.1635083</v>
      </c>
      <c r="AS137" s="310">
        <v>0.1647342</v>
      </c>
      <c r="AT137" s="310">
        <v>0.16049569999999999</v>
      </c>
      <c r="AU137" s="310">
        <v>0.1667254</v>
      </c>
      <c r="AV137" s="310">
        <v>0.15797040000000001</v>
      </c>
      <c r="AW137" s="310">
        <v>0.1516216</v>
      </c>
      <c r="AX137" s="310">
        <v>0.1489528</v>
      </c>
      <c r="AY137" s="310">
        <v>0.16631699999999999</v>
      </c>
      <c r="AZ137" s="310">
        <v>0.1637884</v>
      </c>
      <c r="BA137" s="310">
        <v>0.1414591</v>
      </c>
      <c r="BB137" s="310">
        <v>0</v>
      </c>
      <c r="BC137" s="310">
        <v>0.16569059999999999</v>
      </c>
      <c r="BD137" s="310">
        <v>0.16529170000000001</v>
      </c>
      <c r="BE137" s="310">
        <v>0.1667478</v>
      </c>
      <c r="BF137" s="310">
        <v>0.16289300000000001</v>
      </c>
      <c r="BG137" s="310">
        <v>0.16541210000000001</v>
      </c>
      <c r="BH137" s="310">
        <v>0.16426669999999999</v>
      </c>
      <c r="BI137" s="310">
        <v>0.16746559999999999</v>
      </c>
      <c r="BJ137" s="310">
        <v>0.16642090000000001</v>
      </c>
      <c r="BK137" s="310">
        <v>0.16741439999999999</v>
      </c>
    </row>
    <row r="138" spans="1:63" x14ac:dyDescent="0.25">
      <c r="A138" s="306">
        <v>326121</v>
      </c>
      <c r="B138" s="310" t="s">
        <v>124</v>
      </c>
      <c r="C138" s="310">
        <v>0.21614220000000001</v>
      </c>
      <c r="D138" s="310">
        <v>0</v>
      </c>
      <c r="E138" s="310">
        <v>0.21132139999999999</v>
      </c>
      <c r="F138" s="310">
        <v>0.18420410000000001</v>
      </c>
      <c r="G138" s="310">
        <v>0.2138004</v>
      </c>
      <c r="H138" s="310">
        <v>0.214116</v>
      </c>
      <c r="I138" s="310">
        <v>0.21500330000000001</v>
      </c>
      <c r="J138" s="310">
        <v>0.19917889999999999</v>
      </c>
      <c r="K138" s="310">
        <v>0</v>
      </c>
      <c r="L138" s="310">
        <v>0.1663232</v>
      </c>
      <c r="M138" s="310">
        <v>0.2135888</v>
      </c>
      <c r="N138" s="310">
        <v>0.20849309999999999</v>
      </c>
      <c r="O138" s="310">
        <v>0.21186240000000001</v>
      </c>
      <c r="P138" s="310">
        <v>0.2017004</v>
      </c>
      <c r="Q138" s="310">
        <v>0.21385390000000001</v>
      </c>
      <c r="R138" s="310">
        <v>0.20908750000000001</v>
      </c>
      <c r="S138" s="310">
        <v>0.20233490000000001</v>
      </c>
      <c r="T138" s="310">
        <v>0.206042</v>
      </c>
      <c r="U138" s="310">
        <v>0.20111209999999999</v>
      </c>
      <c r="V138" s="310">
        <v>0.21094669999999999</v>
      </c>
      <c r="W138" s="310">
        <v>0.2008074</v>
      </c>
      <c r="X138" s="310">
        <v>0.1836072</v>
      </c>
      <c r="Y138" s="310">
        <v>0</v>
      </c>
      <c r="Z138" s="310">
        <v>0.21345929999999999</v>
      </c>
      <c r="AA138" s="310">
        <v>0.2055138</v>
      </c>
      <c r="AB138" s="310">
        <v>0.20241600000000001</v>
      </c>
      <c r="AC138" s="310">
        <v>0.19323940000000001</v>
      </c>
      <c r="AD138" s="310">
        <v>0.21350810000000001</v>
      </c>
      <c r="AE138" s="310">
        <v>0.2045025</v>
      </c>
      <c r="AF138" s="310">
        <v>0.19066759999999999</v>
      </c>
      <c r="AG138" s="310">
        <v>0</v>
      </c>
      <c r="AH138" s="310">
        <v>0.20168069999999999</v>
      </c>
      <c r="AI138" s="310">
        <v>0.1894199</v>
      </c>
      <c r="AJ138" s="310">
        <v>0</v>
      </c>
      <c r="AK138" s="310">
        <v>0.20616999999999999</v>
      </c>
      <c r="AL138" s="310">
        <v>0.20731620000000001</v>
      </c>
      <c r="AM138" s="310">
        <v>0.2112549</v>
      </c>
      <c r="AN138" s="310">
        <v>0.2141672</v>
      </c>
      <c r="AO138" s="310">
        <v>0.2071452</v>
      </c>
      <c r="AP138" s="310">
        <v>0.207509</v>
      </c>
      <c r="AQ138" s="310">
        <v>0.19370380000000001</v>
      </c>
      <c r="AR138" s="310">
        <v>0.20955099999999999</v>
      </c>
      <c r="AS138" s="310">
        <v>0</v>
      </c>
      <c r="AT138" s="310">
        <v>0.20566590000000001</v>
      </c>
      <c r="AU138" s="310">
        <v>0.21364739999999999</v>
      </c>
      <c r="AV138" s="310">
        <v>0.20245160000000001</v>
      </c>
      <c r="AW138" s="310">
        <v>0.1942893</v>
      </c>
      <c r="AX138" s="310">
        <v>0</v>
      </c>
      <c r="AY138" s="310">
        <v>0.2131892</v>
      </c>
      <c r="AZ138" s="310">
        <v>0.2099164</v>
      </c>
      <c r="BA138" s="310">
        <v>0.18128230000000001</v>
      </c>
      <c r="BB138" s="310">
        <v>0</v>
      </c>
      <c r="BC138" s="310">
        <v>0.2123554</v>
      </c>
      <c r="BD138" s="310">
        <v>0.21183869999999999</v>
      </c>
      <c r="BE138" s="310">
        <v>0.21367929999999999</v>
      </c>
      <c r="BF138" s="310">
        <v>0.20878240000000001</v>
      </c>
      <c r="BG138" s="310">
        <v>0.21197920000000001</v>
      </c>
      <c r="BH138" s="310">
        <v>0.2105117</v>
      </c>
      <c r="BI138" s="310">
        <v>0.21458350000000001</v>
      </c>
      <c r="BJ138" s="310">
        <v>0.2132358</v>
      </c>
      <c r="BK138" s="310">
        <v>0.21453659999999999</v>
      </c>
    </row>
    <row r="139" spans="1:63" x14ac:dyDescent="0.25">
      <c r="A139" s="306">
        <v>326122</v>
      </c>
      <c r="B139" s="310" t="s">
        <v>125</v>
      </c>
      <c r="C139" s="310">
        <v>0.14107049999999999</v>
      </c>
      <c r="D139" s="310">
        <v>0</v>
      </c>
      <c r="E139" s="310">
        <v>0.1379533</v>
      </c>
      <c r="F139" s="310">
        <v>0.12022190000000001</v>
      </c>
      <c r="G139" s="310">
        <v>0.1395603</v>
      </c>
      <c r="H139" s="310">
        <v>0.13975370000000001</v>
      </c>
      <c r="I139" s="310">
        <v>0.14035719999999999</v>
      </c>
      <c r="J139" s="310">
        <v>0.13000610000000001</v>
      </c>
      <c r="K139" s="310">
        <v>0</v>
      </c>
      <c r="L139" s="310">
        <v>0</v>
      </c>
      <c r="M139" s="310">
        <v>0.13941190000000001</v>
      </c>
      <c r="N139" s="310">
        <v>0.1361096</v>
      </c>
      <c r="O139" s="310">
        <v>0</v>
      </c>
      <c r="P139" s="310">
        <v>0.13166130000000001</v>
      </c>
      <c r="Q139" s="310">
        <v>0.1396037</v>
      </c>
      <c r="R139" s="310">
        <v>0.13648660000000001</v>
      </c>
      <c r="S139" s="310">
        <v>0.13206789999999999</v>
      </c>
      <c r="T139" s="310">
        <v>0.1345161</v>
      </c>
      <c r="U139" s="310">
        <v>0.13128100000000001</v>
      </c>
      <c r="V139" s="310">
        <v>0.1376617</v>
      </c>
      <c r="W139" s="310">
        <v>0.1310827</v>
      </c>
      <c r="X139" s="310">
        <v>0.11982810000000001</v>
      </c>
      <c r="Y139" s="310">
        <v>0.13567870000000001</v>
      </c>
      <c r="Z139" s="310">
        <v>0.13933280000000001</v>
      </c>
      <c r="AA139" s="310">
        <v>0.1341214</v>
      </c>
      <c r="AB139" s="310">
        <v>0.13215940000000001</v>
      </c>
      <c r="AC139" s="310">
        <v>0.12614439999999999</v>
      </c>
      <c r="AD139" s="310">
        <v>0.13939699999999999</v>
      </c>
      <c r="AE139" s="310">
        <v>0.13347800000000001</v>
      </c>
      <c r="AF139" s="310">
        <v>0.12448430000000001</v>
      </c>
      <c r="AG139" s="310">
        <v>0.13569490000000001</v>
      </c>
      <c r="AH139" s="310">
        <v>0.13169120000000001</v>
      </c>
      <c r="AI139" s="310">
        <v>0.1236396</v>
      </c>
      <c r="AJ139" s="310">
        <v>0.137659</v>
      </c>
      <c r="AK139" s="310">
        <v>0.1345616</v>
      </c>
      <c r="AL139" s="310">
        <v>0.13533129999999999</v>
      </c>
      <c r="AM139" s="310">
        <v>0.13789779999999999</v>
      </c>
      <c r="AN139" s="310">
        <v>0.13979220000000001</v>
      </c>
      <c r="AO139" s="310">
        <v>0.13517309999999999</v>
      </c>
      <c r="AP139" s="310">
        <v>0.1354175</v>
      </c>
      <c r="AQ139" s="310">
        <v>0</v>
      </c>
      <c r="AR139" s="310">
        <v>0.13678940000000001</v>
      </c>
      <c r="AS139" s="310">
        <v>0</v>
      </c>
      <c r="AT139" s="310">
        <v>0.1342785</v>
      </c>
      <c r="AU139" s="310">
        <v>0.13948640000000001</v>
      </c>
      <c r="AV139" s="310">
        <v>0.13211239999999999</v>
      </c>
      <c r="AW139" s="310">
        <v>0.12683729999999999</v>
      </c>
      <c r="AX139" s="310">
        <v>0.1245576</v>
      </c>
      <c r="AY139" s="310">
        <v>0.1391289</v>
      </c>
      <c r="AZ139" s="310">
        <v>0.1370112</v>
      </c>
      <c r="BA139" s="310">
        <v>0.1183476</v>
      </c>
      <c r="BB139" s="310">
        <v>0.1242494</v>
      </c>
      <c r="BC139" s="310">
        <v>0.1385816</v>
      </c>
      <c r="BD139" s="310">
        <v>0.13826250000000001</v>
      </c>
      <c r="BE139" s="310">
        <v>0.13948459999999999</v>
      </c>
      <c r="BF139" s="310">
        <v>0.13624169999999999</v>
      </c>
      <c r="BG139" s="310">
        <v>0.13837669999999999</v>
      </c>
      <c r="BH139" s="310">
        <v>0.13743839999999999</v>
      </c>
      <c r="BI139" s="310">
        <v>0.14009060000000001</v>
      </c>
      <c r="BJ139" s="310">
        <v>0.1391781</v>
      </c>
      <c r="BK139" s="310">
        <v>0.14005899999999999</v>
      </c>
    </row>
    <row r="140" spans="1:63" x14ac:dyDescent="0.25">
      <c r="A140" s="306">
        <v>326130</v>
      </c>
      <c r="B140" s="310" t="s">
        <v>126</v>
      </c>
      <c r="C140" s="310">
        <v>0.2141691</v>
      </c>
      <c r="D140" s="310">
        <v>0</v>
      </c>
      <c r="E140" s="310">
        <v>0.20939579999999999</v>
      </c>
      <c r="F140" s="310">
        <v>0.18249290000000001</v>
      </c>
      <c r="G140" s="310">
        <v>0.21185480000000001</v>
      </c>
      <c r="H140" s="310">
        <v>0.21210490000000001</v>
      </c>
      <c r="I140" s="310">
        <v>0.2129836</v>
      </c>
      <c r="J140" s="310">
        <v>0.19734499999999999</v>
      </c>
      <c r="K140" s="310">
        <v>0</v>
      </c>
      <c r="L140" s="310">
        <v>0.16480220000000001</v>
      </c>
      <c r="M140" s="310">
        <v>0.2116364</v>
      </c>
      <c r="N140" s="310">
        <v>0.2066047</v>
      </c>
      <c r="O140" s="310">
        <v>0</v>
      </c>
      <c r="P140" s="310">
        <v>0.19985510000000001</v>
      </c>
      <c r="Q140" s="310">
        <v>0.2119151</v>
      </c>
      <c r="R140" s="310">
        <v>0.20718020000000001</v>
      </c>
      <c r="S140" s="310">
        <v>0.20050029999999999</v>
      </c>
      <c r="T140" s="310">
        <v>0.20414489999999999</v>
      </c>
      <c r="U140" s="310">
        <v>0.19924239999999999</v>
      </c>
      <c r="V140" s="310">
        <v>0.20898320000000001</v>
      </c>
      <c r="W140" s="310">
        <v>0.1989602</v>
      </c>
      <c r="X140" s="310">
        <v>0.1819385</v>
      </c>
      <c r="Y140" s="310">
        <v>0.205979</v>
      </c>
      <c r="Z140" s="310">
        <v>0.21150079999999999</v>
      </c>
      <c r="AA140" s="310">
        <v>0.20358029999999999</v>
      </c>
      <c r="AB140" s="310">
        <v>0.2005951</v>
      </c>
      <c r="AC140" s="310">
        <v>0.1914535</v>
      </c>
      <c r="AD140" s="310">
        <v>0</v>
      </c>
      <c r="AE140" s="310">
        <v>0.20260590000000001</v>
      </c>
      <c r="AF140" s="310">
        <v>0</v>
      </c>
      <c r="AG140" s="310">
        <v>0.20599729999999999</v>
      </c>
      <c r="AH140" s="310">
        <v>0.19984579999999999</v>
      </c>
      <c r="AI140" s="310">
        <v>0.18764339999999999</v>
      </c>
      <c r="AJ140" s="310">
        <v>0</v>
      </c>
      <c r="AK140" s="310">
        <v>0</v>
      </c>
      <c r="AL140" s="310">
        <v>0.20537330000000001</v>
      </c>
      <c r="AM140" s="310">
        <v>0.2093267</v>
      </c>
      <c r="AN140" s="310">
        <v>0.21223310000000001</v>
      </c>
      <c r="AO140" s="310">
        <v>0.20524220000000001</v>
      </c>
      <c r="AP140" s="310">
        <v>0.20559720000000001</v>
      </c>
      <c r="AQ140" s="310">
        <v>0.1919063</v>
      </c>
      <c r="AR140" s="310">
        <v>0.20764260000000001</v>
      </c>
      <c r="AS140" s="310">
        <v>0.20923520000000001</v>
      </c>
      <c r="AT140" s="310">
        <v>0.20378969999999999</v>
      </c>
      <c r="AU140" s="310">
        <v>0.2116942</v>
      </c>
      <c r="AV140" s="310">
        <v>0.2005788</v>
      </c>
      <c r="AW140" s="310">
        <v>0.19250890000000001</v>
      </c>
      <c r="AX140" s="310">
        <v>0.18912290000000001</v>
      </c>
      <c r="AY140" s="310">
        <v>0.2112301</v>
      </c>
      <c r="AZ140" s="310">
        <v>0.20794609999999999</v>
      </c>
      <c r="BA140" s="310">
        <v>0</v>
      </c>
      <c r="BB140" s="310">
        <v>0.18858430000000001</v>
      </c>
      <c r="BC140" s="310">
        <v>0.21038850000000001</v>
      </c>
      <c r="BD140" s="310">
        <v>0.20987980000000001</v>
      </c>
      <c r="BE140" s="310">
        <v>0.21174280000000001</v>
      </c>
      <c r="BF140" s="310">
        <v>0.2068287</v>
      </c>
      <c r="BG140" s="310">
        <v>0.2100224</v>
      </c>
      <c r="BH140" s="310">
        <v>0.20860190000000001</v>
      </c>
      <c r="BI140" s="310">
        <v>0.2126209</v>
      </c>
      <c r="BJ140" s="310">
        <v>0.21133250000000001</v>
      </c>
      <c r="BK140" s="310">
        <v>0.21257970000000001</v>
      </c>
    </row>
    <row r="141" spans="1:63" x14ac:dyDescent="0.25">
      <c r="A141" s="306">
        <v>326140</v>
      </c>
      <c r="B141" s="310" t="s">
        <v>127</v>
      </c>
      <c r="C141" s="310">
        <v>0.17536199999999999</v>
      </c>
      <c r="D141" s="310">
        <v>0.15559899999999999</v>
      </c>
      <c r="E141" s="310">
        <v>0.1714483</v>
      </c>
      <c r="F141" s="310">
        <v>0.14942920000000001</v>
      </c>
      <c r="G141" s="310">
        <v>0.17344770000000001</v>
      </c>
      <c r="H141" s="310">
        <v>0.17369329999999999</v>
      </c>
      <c r="I141" s="310">
        <v>0.1744107</v>
      </c>
      <c r="J141" s="310">
        <v>0.16156770000000001</v>
      </c>
      <c r="K141" s="310">
        <v>0</v>
      </c>
      <c r="L141" s="310">
        <v>0.13492870000000001</v>
      </c>
      <c r="M141" s="310">
        <v>0.17330889999999999</v>
      </c>
      <c r="N141" s="310">
        <v>0.16919020000000001</v>
      </c>
      <c r="O141" s="310">
        <v>0.17189650000000001</v>
      </c>
      <c r="P141" s="310">
        <v>0.1635993</v>
      </c>
      <c r="Q141" s="310">
        <v>0.17355309999999999</v>
      </c>
      <c r="R141" s="310">
        <v>0.16963600000000001</v>
      </c>
      <c r="S141" s="310">
        <v>0.16417519999999999</v>
      </c>
      <c r="T141" s="310">
        <v>0.16716809999999999</v>
      </c>
      <c r="U141" s="310">
        <v>0.16314519999999999</v>
      </c>
      <c r="V141" s="310">
        <v>0.17114850000000001</v>
      </c>
      <c r="W141" s="310">
        <v>0.1629101</v>
      </c>
      <c r="X141" s="310">
        <v>0.1489539</v>
      </c>
      <c r="Y141" s="310">
        <v>0.16865430000000001</v>
      </c>
      <c r="Z141" s="310">
        <v>0.17318230000000001</v>
      </c>
      <c r="AA141" s="310">
        <v>0.16671540000000001</v>
      </c>
      <c r="AB141" s="310">
        <v>0.16420770000000001</v>
      </c>
      <c r="AC141" s="310">
        <v>0.15675620000000001</v>
      </c>
      <c r="AD141" s="310">
        <v>0.17323179999999999</v>
      </c>
      <c r="AE141" s="310">
        <v>0.16592470000000001</v>
      </c>
      <c r="AF141" s="310">
        <v>0</v>
      </c>
      <c r="AG141" s="310">
        <v>0.16869029999999999</v>
      </c>
      <c r="AH141" s="310">
        <v>0.16365399999999999</v>
      </c>
      <c r="AI141" s="310">
        <v>0.15363679999999999</v>
      </c>
      <c r="AJ141" s="310">
        <v>0.1710962</v>
      </c>
      <c r="AK141" s="310">
        <v>0.16724829999999999</v>
      </c>
      <c r="AL141" s="310">
        <v>0.1681549</v>
      </c>
      <c r="AM141" s="310">
        <v>0.17141909999999999</v>
      </c>
      <c r="AN141" s="310">
        <v>0.17378679999999999</v>
      </c>
      <c r="AO141" s="310">
        <v>0.16803480000000001</v>
      </c>
      <c r="AP141" s="310">
        <v>0.16833049999999999</v>
      </c>
      <c r="AQ141" s="310">
        <v>0.1571505</v>
      </c>
      <c r="AR141" s="310">
        <v>0.17</v>
      </c>
      <c r="AS141" s="310">
        <v>0.171315</v>
      </c>
      <c r="AT141" s="310">
        <v>0.1668819</v>
      </c>
      <c r="AU141" s="310">
        <v>0.17333709999999999</v>
      </c>
      <c r="AV141" s="310">
        <v>0.1642334</v>
      </c>
      <c r="AW141" s="310">
        <v>0.15766050000000001</v>
      </c>
      <c r="AX141" s="310">
        <v>0</v>
      </c>
      <c r="AY141" s="310">
        <v>0.17296690000000001</v>
      </c>
      <c r="AZ141" s="310">
        <v>0.17030439999999999</v>
      </c>
      <c r="BA141" s="310">
        <v>0.14706559999999999</v>
      </c>
      <c r="BB141" s="310">
        <v>0</v>
      </c>
      <c r="BC141" s="310">
        <v>0.17226330000000001</v>
      </c>
      <c r="BD141" s="310">
        <v>0.17185600000000001</v>
      </c>
      <c r="BE141" s="310">
        <v>0.17337340000000001</v>
      </c>
      <c r="BF141" s="310">
        <v>0.16937430000000001</v>
      </c>
      <c r="BG141" s="310">
        <v>0.17198579999999999</v>
      </c>
      <c r="BH141" s="310">
        <v>0.17080960000000001</v>
      </c>
      <c r="BI141" s="310">
        <v>0.17409450000000001</v>
      </c>
      <c r="BJ141" s="310">
        <v>0.1729966</v>
      </c>
      <c r="BK141" s="310">
        <v>0.17407030000000001</v>
      </c>
    </row>
    <row r="142" spans="1:63" x14ac:dyDescent="0.25">
      <c r="A142" s="306">
        <v>326150</v>
      </c>
      <c r="B142" s="310" t="s">
        <v>128</v>
      </c>
      <c r="C142" s="310">
        <v>0.16745009999999999</v>
      </c>
      <c r="D142" s="310">
        <v>0.14860190000000001</v>
      </c>
      <c r="E142" s="310">
        <v>0.1637594</v>
      </c>
      <c r="F142" s="310">
        <v>0.1427341</v>
      </c>
      <c r="G142" s="310">
        <v>0.16562499999999999</v>
      </c>
      <c r="H142" s="310">
        <v>0.16586490000000001</v>
      </c>
      <c r="I142" s="310">
        <v>0.1665809</v>
      </c>
      <c r="J142" s="310">
        <v>0.1543341</v>
      </c>
      <c r="K142" s="310">
        <v>0</v>
      </c>
      <c r="L142" s="310">
        <v>0.1288629</v>
      </c>
      <c r="M142" s="310">
        <v>0.1654689</v>
      </c>
      <c r="N142" s="310">
        <v>0.16156960000000001</v>
      </c>
      <c r="O142" s="310">
        <v>0</v>
      </c>
      <c r="P142" s="310">
        <v>0.1562759</v>
      </c>
      <c r="Q142" s="310">
        <v>0</v>
      </c>
      <c r="R142" s="310">
        <v>0.16198360000000001</v>
      </c>
      <c r="S142" s="310">
        <v>0.15676090000000001</v>
      </c>
      <c r="T142" s="310">
        <v>0.15963469999999999</v>
      </c>
      <c r="U142" s="310">
        <v>0.1558081</v>
      </c>
      <c r="V142" s="310">
        <v>0.1634389</v>
      </c>
      <c r="W142" s="310">
        <v>0.15555669999999999</v>
      </c>
      <c r="X142" s="310">
        <v>0.1422349</v>
      </c>
      <c r="Y142" s="310">
        <v>0.1610897</v>
      </c>
      <c r="Z142" s="310">
        <v>0.16538890000000001</v>
      </c>
      <c r="AA142" s="310">
        <v>0.1592114</v>
      </c>
      <c r="AB142" s="310">
        <v>0.1568589</v>
      </c>
      <c r="AC142" s="310">
        <v>0.14974319999999999</v>
      </c>
      <c r="AD142" s="310">
        <v>0</v>
      </c>
      <c r="AE142" s="310">
        <v>0.1584441</v>
      </c>
      <c r="AF142" s="310">
        <v>0</v>
      </c>
      <c r="AG142" s="310">
        <v>0.1610713</v>
      </c>
      <c r="AH142" s="310">
        <v>0.1562993</v>
      </c>
      <c r="AI142" s="310">
        <v>0.14676249999999999</v>
      </c>
      <c r="AJ142" s="310">
        <v>0.16343759999999999</v>
      </c>
      <c r="AK142" s="310">
        <v>0.15974830000000001</v>
      </c>
      <c r="AL142" s="310">
        <v>0.16058919999999999</v>
      </c>
      <c r="AM142" s="310">
        <v>0.16367280000000001</v>
      </c>
      <c r="AN142" s="310">
        <v>0.16595850000000001</v>
      </c>
      <c r="AO142" s="310">
        <v>0.1604767</v>
      </c>
      <c r="AP142" s="310">
        <v>0.16075239999999999</v>
      </c>
      <c r="AQ142" s="310">
        <v>0.15008560000000001</v>
      </c>
      <c r="AR142" s="310">
        <v>0.1623377</v>
      </c>
      <c r="AS142" s="310">
        <v>0</v>
      </c>
      <c r="AT142" s="310">
        <v>0.159361</v>
      </c>
      <c r="AU142" s="310">
        <v>0.16554479999999999</v>
      </c>
      <c r="AV142" s="310">
        <v>0.15682170000000001</v>
      </c>
      <c r="AW142" s="310">
        <v>0.15052869999999999</v>
      </c>
      <c r="AX142" s="310">
        <v>0</v>
      </c>
      <c r="AY142" s="310">
        <v>0.16515179999999999</v>
      </c>
      <c r="AZ142" s="310">
        <v>0.16259660000000001</v>
      </c>
      <c r="BA142" s="310">
        <v>0.1404504</v>
      </c>
      <c r="BB142" s="310">
        <v>0</v>
      </c>
      <c r="BC142" s="310">
        <v>0.16450029999999999</v>
      </c>
      <c r="BD142" s="310">
        <v>0.16408800000000001</v>
      </c>
      <c r="BE142" s="310">
        <v>0.16557479999999999</v>
      </c>
      <c r="BF142" s="310">
        <v>0.16174730000000001</v>
      </c>
      <c r="BG142" s="310">
        <v>0.16422680000000001</v>
      </c>
      <c r="BH142" s="310">
        <v>0.163128</v>
      </c>
      <c r="BI142" s="310">
        <v>0.16626569999999999</v>
      </c>
      <c r="BJ142" s="310">
        <v>0.1652275</v>
      </c>
      <c r="BK142" s="310">
        <v>0.16622100000000001</v>
      </c>
    </row>
    <row r="143" spans="1:63" x14ac:dyDescent="0.25">
      <c r="A143" s="306">
        <v>326160</v>
      </c>
      <c r="B143" s="310" t="s">
        <v>129</v>
      </c>
      <c r="C143" s="310">
        <v>0.1552404</v>
      </c>
      <c r="D143" s="310">
        <v>0</v>
      </c>
      <c r="E143" s="310">
        <v>0.15181910000000001</v>
      </c>
      <c r="F143" s="310">
        <v>0.13230320000000001</v>
      </c>
      <c r="G143" s="310">
        <v>0.15355460000000001</v>
      </c>
      <c r="H143" s="310">
        <v>0.15380060000000001</v>
      </c>
      <c r="I143" s="310">
        <v>0.15438940000000001</v>
      </c>
      <c r="J143" s="310">
        <v>0.1430691</v>
      </c>
      <c r="K143" s="310">
        <v>0</v>
      </c>
      <c r="L143" s="310">
        <v>0.1194881</v>
      </c>
      <c r="M143" s="310">
        <v>0.15342980000000001</v>
      </c>
      <c r="N143" s="310">
        <v>0.14977009999999999</v>
      </c>
      <c r="O143" s="310">
        <v>0.15212790000000001</v>
      </c>
      <c r="P143" s="310">
        <v>0.14484279999999999</v>
      </c>
      <c r="Q143" s="310">
        <v>0</v>
      </c>
      <c r="R143" s="310">
        <v>0.1501671</v>
      </c>
      <c r="S143" s="310">
        <v>0.14534549999999999</v>
      </c>
      <c r="T143" s="310">
        <v>0.1479801</v>
      </c>
      <c r="U143" s="310">
        <v>0.1444329</v>
      </c>
      <c r="V143" s="310">
        <v>0.15148120000000001</v>
      </c>
      <c r="W143" s="310">
        <v>0.14421800000000001</v>
      </c>
      <c r="X143" s="310">
        <v>0.13189770000000001</v>
      </c>
      <c r="Y143" s="310">
        <v>0.14929600000000001</v>
      </c>
      <c r="Z143" s="310">
        <v>0.15330750000000001</v>
      </c>
      <c r="AA143" s="310">
        <v>0.1476093</v>
      </c>
      <c r="AB143" s="310">
        <v>0.14538480000000001</v>
      </c>
      <c r="AC143" s="310">
        <v>0.1387669</v>
      </c>
      <c r="AD143" s="310">
        <v>0.1533591</v>
      </c>
      <c r="AE143" s="310">
        <v>0.1469087</v>
      </c>
      <c r="AF143" s="310">
        <v>0.1369609</v>
      </c>
      <c r="AG143" s="310">
        <v>0</v>
      </c>
      <c r="AH143" s="310">
        <v>0.1448595</v>
      </c>
      <c r="AI143" s="310">
        <v>0.13603419999999999</v>
      </c>
      <c r="AJ143" s="310">
        <v>0</v>
      </c>
      <c r="AK143" s="310">
        <v>0.14805499999999999</v>
      </c>
      <c r="AL143" s="310">
        <v>0.1488633</v>
      </c>
      <c r="AM143" s="310">
        <v>0.15175630000000001</v>
      </c>
      <c r="AN143" s="310">
        <v>0.15383649999999999</v>
      </c>
      <c r="AO143" s="310">
        <v>0.14873610000000001</v>
      </c>
      <c r="AP143" s="310">
        <v>0.14903910000000001</v>
      </c>
      <c r="AQ143" s="310">
        <v>0.13913139999999999</v>
      </c>
      <c r="AR143" s="310">
        <v>0.15051919999999999</v>
      </c>
      <c r="AS143" s="310">
        <v>0.15167600000000001</v>
      </c>
      <c r="AT143" s="310">
        <v>0.1477397</v>
      </c>
      <c r="AU143" s="310">
        <v>0.15347250000000001</v>
      </c>
      <c r="AV143" s="310">
        <v>0.14537079999999999</v>
      </c>
      <c r="AW143" s="310">
        <v>0.13955010000000001</v>
      </c>
      <c r="AX143" s="310">
        <v>0.1370595</v>
      </c>
      <c r="AY143" s="310">
        <v>0.15309449999999999</v>
      </c>
      <c r="AZ143" s="310">
        <v>0.15077180000000001</v>
      </c>
      <c r="BA143" s="310">
        <v>0.13021170000000001</v>
      </c>
      <c r="BB143" s="310">
        <v>0.13672609999999999</v>
      </c>
      <c r="BC143" s="310">
        <v>0.15251719999999999</v>
      </c>
      <c r="BD143" s="310">
        <v>0.1521141</v>
      </c>
      <c r="BE143" s="310">
        <v>0.15346989999999999</v>
      </c>
      <c r="BF143" s="310">
        <v>0.1499307</v>
      </c>
      <c r="BG143" s="310">
        <v>0.15225739999999999</v>
      </c>
      <c r="BH143" s="310">
        <v>0.15118789999999999</v>
      </c>
      <c r="BI143" s="310">
        <v>0.15412870000000001</v>
      </c>
      <c r="BJ143" s="310">
        <v>0.15315200000000001</v>
      </c>
      <c r="BK143" s="310">
        <v>0.1541305</v>
      </c>
    </row>
    <row r="144" spans="1:63" x14ac:dyDescent="0.25">
      <c r="A144" s="306" t="s">
        <v>716</v>
      </c>
      <c r="B144" s="310" t="s">
        <v>130</v>
      </c>
      <c r="C144" s="310">
        <v>0.22737879999999999</v>
      </c>
      <c r="D144" s="310">
        <v>0.20179169999999999</v>
      </c>
      <c r="E144" s="310">
        <v>0.22235759999999999</v>
      </c>
      <c r="F144" s="310">
        <v>0.19376979999999999</v>
      </c>
      <c r="G144" s="310">
        <v>0.2249236</v>
      </c>
      <c r="H144" s="310">
        <v>0.22522629999999999</v>
      </c>
      <c r="I144" s="310">
        <v>0.22617429999999999</v>
      </c>
      <c r="J144" s="310">
        <v>0.2095649</v>
      </c>
      <c r="K144" s="310">
        <v>0</v>
      </c>
      <c r="L144" s="310">
        <v>0.17500299999999999</v>
      </c>
      <c r="M144" s="310">
        <v>0.22474849999999999</v>
      </c>
      <c r="N144" s="310">
        <v>0.21937100000000001</v>
      </c>
      <c r="O144" s="310">
        <v>0.2228475</v>
      </c>
      <c r="P144" s="310">
        <v>0.21220410000000001</v>
      </c>
      <c r="Q144" s="310">
        <v>0.22503010000000001</v>
      </c>
      <c r="R144" s="310">
        <v>0.21994810000000001</v>
      </c>
      <c r="S144" s="310">
        <v>0.21288499999999999</v>
      </c>
      <c r="T144" s="310">
        <v>0.21678739999999999</v>
      </c>
      <c r="U144" s="310">
        <v>0.21157239999999999</v>
      </c>
      <c r="V144" s="310">
        <v>0.221889</v>
      </c>
      <c r="W144" s="310">
        <v>0.2112127</v>
      </c>
      <c r="X144" s="310">
        <v>0.19317380000000001</v>
      </c>
      <c r="Y144" s="310">
        <v>0.21870290000000001</v>
      </c>
      <c r="Z144" s="310">
        <v>0.224524</v>
      </c>
      <c r="AA144" s="310">
        <v>0.21618480000000001</v>
      </c>
      <c r="AB144" s="310">
        <v>0.2129781</v>
      </c>
      <c r="AC144" s="310">
        <v>0.2032891</v>
      </c>
      <c r="AD144" s="310">
        <v>0.22463710000000001</v>
      </c>
      <c r="AE144" s="310">
        <v>0.21513470000000001</v>
      </c>
      <c r="AF144" s="310">
        <v>0.20059879999999999</v>
      </c>
      <c r="AG144" s="310">
        <v>0.2187413</v>
      </c>
      <c r="AH144" s="310">
        <v>0.2122242</v>
      </c>
      <c r="AI144" s="310">
        <v>0.19928689999999999</v>
      </c>
      <c r="AJ144" s="310">
        <v>0.22186900000000001</v>
      </c>
      <c r="AK144" s="310">
        <v>0.21687960000000001</v>
      </c>
      <c r="AL144" s="310">
        <v>0.21809619999999999</v>
      </c>
      <c r="AM144" s="310">
        <v>0.22227459999999999</v>
      </c>
      <c r="AN144" s="310">
        <v>0.2253385</v>
      </c>
      <c r="AO144" s="310">
        <v>0.2178891</v>
      </c>
      <c r="AP144" s="310">
        <v>0.21826419999999999</v>
      </c>
      <c r="AQ144" s="310">
        <v>0.20381589999999999</v>
      </c>
      <c r="AR144" s="310">
        <v>0.22042709999999999</v>
      </c>
      <c r="AS144" s="310">
        <v>0.22214010000000001</v>
      </c>
      <c r="AT144" s="310">
        <v>0.2163726</v>
      </c>
      <c r="AU144" s="310">
        <v>0.22478300000000001</v>
      </c>
      <c r="AV144" s="310">
        <v>0.21294199999999999</v>
      </c>
      <c r="AW144" s="310">
        <v>0.20443819999999999</v>
      </c>
      <c r="AX144" s="310">
        <v>0.20082729999999999</v>
      </c>
      <c r="AY144" s="310">
        <v>0.2242903</v>
      </c>
      <c r="AZ144" s="310">
        <v>0.22081310000000001</v>
      </c>
      <c r="BA144" s="310">
        <v>0.1907238</v>
      </c>
      <c r="BB144" s="310">
        <v>0.20029859999999999</v>
      </c>
      <c r="BC144" s="310">
        <v>0.2233898</v>
      </c>
      <c r="BD144" s="310">
        <v>0.2228397</v>
      </c>
      <c r="BE144" s="310">
        <v>0.22481300000000001</v>
      </c>
      <c r="BF144" s="310">
        <v>0.21959029999999999</v>
      </c>
      <c r="BG144" s="310">
        <v>0.22303319999999999</v>
      </c>
      <c r="BH144" s="310">
        <v>0.22145419999999999</v>
      </c>
      <c r="BI144" s="310">
        <v>0.2257526</v>
      </c>
      <c r="BJ144" s="310">
        <v>0.2243377</v>
      </c>
      <c r="BK144" s="310">
        <v>0.22570119999999999</v>
      </c>
    </row>
    <row r="145" spans="1:63" x14ac:dyDescent="0.25">
      <c r="A145" s="306">
        <v>326210</v>
      </c>
      <c r="B145" s="310" t="s">
        <v>131</v>
      </c>
      <c r="C145" s="310">
        <v>0.2346934</v>
      </c>
      <c r="D145" s="310">
        <v>0</v>
      </c>
      <c r="E145" s="310">
        <v>0.2294641</v>
      </c>
      <c r="F145" s="310">
        <v>0.2</v>
      </c>
      <c r="G145" s="310">
        <v>0.2321597</v>
      </c>
      <c r="H145" s="310">
        <v>0.23246790000000001</v>
      </c>
      <c r="I145" s="310">
        <v>0.2333991</v>
      </c>
      <c r="J145" s="310">
        <v>0.21627859999999999</v>
      </c>
      <c r="K145" s="310">
        <v>0</v>
      </c>
      <c r="L145" s="310">
        <v>0.18059030000000001</v>
      </c>
      <c r="M145" s="310">
        <v>0.23192589999999999</v>
      </c>
      <c r="N145" s="310">
        <v>0.226413</v>
      </c>
      <c r="O145" s="310">
        <v>0.23004620000000001</v>
      </c>
      <c r="P145" s="310">
        <v>0.218997</v>
      </c>
      <c r="Q145" s="310">
        <v>0.23224510000000001</v>
      </c>
      <c r="R145" s="310">
        <v>0.22699630000000001</v>
      </c>
      <c r="S145" s="310">
        <v>0.21972910000000001</v>
      </c>
      <c r="T145" s="310">
        <v>0.22370499999999999</v>
      </c>
      <c r="U145" s="310">
        <v>0.21837000000000001</v>
      </c>
      <c r="V145" s="310">
        <v>0.22903029999999999</v>
      </c>
      <c r="W145" s="310">
        <v>0.2180433</v>
      </c>
      <c r="X145" s="310">
        <v>0.19939580000000001</v>
      </c>
      <c r="Y145" s="310">
        <v>0.22571659999999999</v>
      </c>
      <c r="Z145" s="310">
        <v>0.23179140000000001</v>
      </c>
      <c r="AA145" s="310">
        <v>0.2230994</v>
      </c>
      <c r="AB145" s="310">
        <v>0.21981049999999999</v>
      </c>
      <c r="AC145" s="310">
        <v>0.2098314</v>
      </c>
      <c r="AD145" s="310">
        <v>0.23185359999999999</v>
      </c>
      <c r="AE145" s="310">
        <v>0.22204450000000001</v>
      </c>
      <c r="AF145" s="310">
        <v>0.20706720000000001</v>
      </c>
      <c r="AG145" s="310">
        <v>0.2257574</v>
      </c>
      <c r="AH145" s="310">
        <v>0.21898310000000001</v>
      </c>
      <c r="AI145" s="310">
        <v>0.2056345</v>
      </c>
      <c r="AJ145" s="310">
        <v>0.2290478</v>
      </c>
      <c r="AK145" s="310">
        <v>0.22384499999999999</v>
      </c>
      <c r="AL145" s="310">
        <v>0.22507949999999999</v>
      </c>
      <c r="AM145" s="310">
        <v>0.2293984</v>
      </c>
      <c r="AN145" s="310">
        <v>0.23258229999999999</v>
      </c>
      <c r="AO145" s="310">
        <v>0.2248937</v>
      </c>
      <c r="AP145" s="310">
        <v>0.2252905</v>
      </c>
      <c r="AQ145" s="310">
        <v>0</v>
      </c>
      <c r="AR145" s="310">
        <v>0.22750970000000001</v>
      </c>
      <c r="AS145" s="310">
        <v>0.22924</v>
      </c>
      <c r="AT145" s="310">
        <v>0.22330620000000001</v>
      </c>
      <c r="AU145" s="310">
        <v>0.23200090000000001</v>
      </c>
      <c r="AV145" s="310">
        <v>0.21980359999999999</v>
      </c>
      <c r="AW145" s="310">
        <v>0.21099109999999999</v>
      </c>
      <c r="AX145" s="310">
        <v>0</v>
      </c>
      <c r="AY145" s="310">
        <v>0.23147780000000001</v>
      </c>
      <c r="AZ145" s="310">
        <v>0.22791900000000001</v>
      </c>
      <c r="BA145" s="310">
        <v>0.1968626</v>
      </c>
      <c r="BB145" s="310">
        <v>0</v>
      </c>
      <c r="BC145" s="310">
        <v>0.23053170000000001</v>
      </c>
      <c r="BD145" s="310">
        <v>0.22996179999999999</v>
      </c>
      <c r="BE145" s="310">
        <v>0.23201450000000001</v>
      </c>
      <c r="BF145" s="310">
        <v>0.22668440000000001</v>
      </c>
      <c r="BG145" s="310">
        <v>0.23017660000000001</v>
      </c>
      <c r="BH145" s="310">
        <v>0.22859660000000001</v>
      </c>
      <c r="BI145" s="310">
        <v>0.2329823</v>
      </c>
      <c r="BJ145" s="310">
        <v>0.23155780000000001</v>
      </c>
      <c r="BK145" s="310">
        <v>0.23299700000000001</v>
      </c>
    </row>
    <row r="146" spans="1:63" x14ac:dyDescent="0.25">
      <c r="A146" s="306">
        <v>326220</v>
      </c>
      <c r="B146" s="310" t="s">
        <v>132</v>
      </c>
      <c r="C146" s="310">
        <v>0.217221</v>
      </c>
      <c r="D146" s="310">
        <v>0</v>
      </c>
      <c r="E146" s="310">
        <v>0.21244070000000001</v>
      </c>
      <c r="F146" s="310">
        <v>0.18516460000000001</v>
      </c>
      <c r="G146" s="310">
        <v>0.21487249999999999</v>
      </c>
      <c r="H146" s="310">
        <v>0.2151835</v>
      </c>
      <c r="I146" s="310">
        <v>0.2160955</v>
      </c>
      <c r="J146" s="310">
        <v>0.2001937</v>
      </c>
      <c r="K146" s="310">
        <v>0</v>
      </c>
      <c r="L146" s="310">
        <v>0.1671841</v>
      </c>
      <c r="M146" s="310">
        <v>0.21471129999999999</v>
      </c>
      <c r="N146" s="310">
        <v>0.20955840000000001</v>
      </c>
      <c r="O146" s="310">
        <v>0</v>
      </c>
      <c r="P146" s="310">
        <v>0.2027196</v>
      </c>
      <c r="Q146" s="310">
        <v>0.2149633</v>
      </c>
      <c r="R146" s="310">
        <v>0.21013689999999999</v>
      </c>
      <c r="S146" s="310">
        <v>0.2033575</v>
      </c>
      <c r="T146" s="310">
        <v>0.20707700000000001</v>
      </c>
      <c r="U146" s="310">
        <v>0.2021144</v>
      </c>
      <c r="V146" s="310">
        <v>0.21201239999999999</v>
      </c>
      <c r="W146" s="310">
        <v>0.20182919999999999</v>
      </c>
      <c r="X146" s="310">
        <v>0.18455630000000001</v>
      </c>
      <c r="Y146" s="310">
        <v>0</v>
      </c>
      <c r="Z146" s="310">
        <v>0.2145069</v>
      </c>
      <c r="AA146" s="310">
        <v>0.20653759999999999</v>
      </c>
      <c r="AB146" s="310">
        <v>0.20344119999999999</v>
      </c>
      <c r="AC146" s="310">
        <v>0.19423960000000001</v>
      </c>
      <c r="AD146" s="310">
        <v>0</v>
      </c>
      <c r="AE146" s="310">
        <v>0.20553150000000001</v>
      </c>
      <c r="AF146" s="310">
        <v>0.1916206</v>
      </c>
      <c r="AG146" s="310">
        <v>0.20896039999999999</v>
      </c>
      <c r="AH146" s="310">
        <v>0.20272319999999999</v>
      </c>
      <c r="AI146" s="310">
        <v>0.19039600000000001</v>
      </c>
      <c r="AJ146" s="310">
        <v>0</v>
      </c>
      <c r="AK146" s="310">
        <v>0.20719129999999999</v>
      </c>
      <c r="AL146" s="310">
        <v>0.20835390000000001</v>
      </c>
      <c r="AM146" s="310">
        <v>0.21237120000000001</v>
      </c>
      <c r="AN146" s="310">
        <v>0.21525440000000001</v>
      </c>
      <c r="AO146" s="310">
        <v>0.20817330000000001</v>
      </c>
      <c r="AP146" s="310">
        <v>0.20855609999999999</v>
      </c>
      <c r="AQ146" s="310">
        <v>0.1946956</v>
      </c>
      <c r="AR146" s="310">
        <v>0.21060989999999999</v>
      </c>
      <c r="AS146" s="310">
        <v>0</v>
      </c>
      <c r="AT146" s="310">
        <v>0.20671310000000001</v>
      </c>
      <c r="AU146" s="310">
        <v>0.21476049999999999</v>
      </c>
      <c r="AV146" s="310">
        <v>0.2034241</v>
      </c>
      <c r="AW146" s="310">
        <v>0.19526289999999999</v>
      </c>
      <c r="AX146" s="310">
        <v>0</v>
      </c>
      <c r="AY146" s="310">
        <v>0.21424000000000001</v>
      </c>
      <c r="AZ146" s="310">
        <v>0.21099219999999999</v>
      </c>
      <c r="BA146" s="310">
        <v>0.1822491</v>
      </c>
      <c r="BB146" s="310">
        <v>0</v>
      </c>
      <c r="BC146" s="310">
        <v>0.21342079999999999</v>
      </c>
      <c r="BD146" s="310">
        <v>0.21286859999999999</v>
      </c>
      <c r="BE146" s="310">
        <v>0.21477789999999999</v>
      </c>
      <c r="BF146" s="310">
        <v>0.2098274</v>
      </c>
      <c r="BG146" s="310">
        <v>0.213058</v>
      </c>
      <c r="BH146" s="310">
        <v>0.21159269999999999</v>
      </c>
      <c r="BI146" s="310">
        <v>0.2156962</v>
      </c>
      <c r="BJ146" s="310">
        <v>0.2143342</v>
      </c>
      <c r="BK146" s="310">
        <v>0.21564220000000001</v>
      </c>
    </row>
    <row r="147" spans="1:63" x14ac:dyDescent="0.25">
      <c r="A147" s="306">
        <v>326290</v>
      </c>
      <c r="B147" s="310" t="s">
        <v>133</v>
      </c>
      <c r="C147" s="310">
        <v>0.23488390000000001</v>
      </c>
      <c r="D147" s="310">
        <v>0</v>
      </c>
      <c r="E147" s="310">
        <v>0.22969020000000001</v>
      </c>
      <c r="F147" s="310">
        <v>0.200154</v>
      </c>
      <c r="G147" s="310">
        <v>0.232379</v>
      </c>
      <c r="H147" s="310">
        <v>0.2326531</v>
      </c>
      <c r="I147" s="310">
        <v>0.23366410000000001</v>
      </c>
      <c r="J147" s="310">
        <v>0.21645420000000001</v>
      </c>
      <c r="K147" s="310">
        <v>0</v>
      </c>
      <c r="L147" s="310">
        <v>0.18076010000000001</v>
      </c>
      <c r="M147" s="310">
        <v>0.23216039999999999</v>
      </c>
      <c r="N147" s="310">
        <v>0.22663559999999999</v>
      </c>
      <c r="O147" s="310">
        <v>0</v>
      </c>
      <c r="P147" s="310">
        <v>0.2192154</v>
      </c>
      <c r="Q147" s="310">
        <v>0.23245189999999999</v>
      </c>
      <c r="R147" s="310">
        <v>0.22718930000000001</v>
      </c>
      <c r="S147" s="310">
        <v>0.21992829999999999</v>
      </c>
      <c r="T147" s="310">
        <v>0.22393189999999999</v>
      </c>
      <c r="U147" s="310">
        <v>0.21852949999999999</v>
      </c>
      <c r="V147" s="310">
        <v>0.2292553</v>
      </c>
      <c r="W147" s="310">
        <v>0.21822330000000001</v>
      </c>
      <c r="X147" s="310">
        <v>0.19953489999999999</v>
      </c>
      <c r="Y147" s="310">
        <v>0.2259632</v>
      </c>
      <c r="Z147" s="310">
        <v>0.23195350000000001</v>
      </c>
      <c r="AA147" s="310">
        <v>0.2232864</v>
      </c>
      <c r="AB147" s="310">
        <v>0.2199895</v>
      </c>
      <c r="AC147" s="310">
        <v>0.20998700000000001</v>
      </c>
      <c r="AD147" s="310">
        <v>0.232072</v>
      </c>
      <c r="AE147" s="310">
        <v>0.22226660000000001</v>
      </c>
      <c r="AF147" s="310">
        <v>0</v>
      </c>
      <c r="AG147" s="310">
        <v>0.22593859999999999</v>
      </c>
      <c r="AH147" s="310">
        <v>0.21922430000000001</v>
      </c>
      <c r="AI147" s="310">
        <v>0.20583509999999999</v>
      </c>
      <c r="AJ147" s="310">
        <v>0.2291831</v>
      </c>
      <c r="AK147" s="310">
        <v>0.2240904</v>
      </c>
      <c r="AL147" s="310">
        <v>0.225274</v>
      </c>
      <c r="AM147" s="310">
        <v>0.22961409999999999</v>
      </c>
      <c r="AN147" s="310">
        <v>0.23277339999999999</v>
      </c>
      <c r="AO147" s="310">
        <v>0.22511039999999999</v>
      </c>
      <c r="AP147" s="310">
        <v>0.2254748</v>
      </c>
      <c r="AQ147" s="310">
        <v>0.21050260000000001</v>
      </c>
      <c r="AR147" s="310">
        <v>0.22771810000000001</v>
      </c>
      <c r="AS147" s="310">
        <v>0.2294583</v>
      </c>
      <c r="AT147" s="310">
        <v>0.22350110000000001</v>
      </c>
      <c r="AU147" s="310">
        <v>0.2321908</v>
      </c>
      <c r="AV147" s="310">
        <v>0.21997720000000001</v>
      </c>
      <c r="AW147" s="310">
        <v>0.2111768</v>
      </c>
      <c r="AX147" s="310">
        <v>0.2074001</v>
      </c>
      <c r="AY147" s="310">
        <v>0.23168749999999999</v>
      </c>
      <c r="AZ147" s="310">
        <v>0.22809989999999999</v>
      </c>
      <c r="BA147" s="310">
        <v>0.1970056</v>
      </c>
      <c r="BB147" s="310">
        <v>0.20685709999999999</v>
      </c>
      <c r="BC147" s="310">
        <v>0.23073859999999999</v>
      </c>
      <c r="BD147" s="310">
        <v>0.23020260000000001</v>
      </c>
      <c r="BE147" s="310">
        <v>0.2322226</v>
      </c>
      <c r="BF147" s="310">
        <v>0.22684779999999999</v>
      </c>
      <c r="BG147" s="310">
        <v>0.23041529999999999</v>
      </c>
      <c r="BH147" s="310">
        <v>0.22876679999999999</v>
      </c>
      <c r="BI147" s="310">
        <v>0.23322699999999999</v>
      </c>
      <c r="BJ147" s="310">
        <v>0.2317747</v>
      </c>
      <c r="BK147" s="310">
        <v>0.23316410000000001</v>
      </c>
    </row>
    <row r="148" spans="1:63" x14ac:dyDescent="0.25">
      <c r="A148" s="306" t="s">
        <v>717</v>
      </c>
      <c r="B148" s="310" t="s">
        <v>134</v>
      </c>
      <c r="C148" s="310">
        <v>0.34481329999999999</v>
      </c>
      <c r="D148" s="310">
        <v>0</v>
      </c>
      <c r="E148" s="310">
        <v>0.32835819999999999</v>
      </c>
      <c r="F148" s="310">
        <v>0.32434160000000001</v>
      </c>
      <c r="G148" s="310">
        <v>0.34074460000000001</v>
      </c>
      <c r="H148" s="310">
        <v>0.34297519999999998</v>
      </c>
      <c r="I148" s="310">
        <v>0.34364719999999999</v>
      </c>
      <c r="J148" s="310">
        <v>0.32607330000000001</v>
      </c>
      <c r="K148" s="310">
        <v>0.13859759999999999</v>
      </c>
      <c r="L148" s="310">
        <v>0.27667839999999999</v>
      </c>
      <c r="M148" s="310">
        <v>0.34181489999999998</v>
      </c>
      <c r="N148" s="310">
        <v>0.33660790000000002</v>
      </c>
      <c r="O148" s="310">
        <v>0.33850960000000002</v>
      </c>
      <c r="P148" s="310">
        <v>0.32450069999999998</v>
      </c>
      <c r="Q148" s="310">
        <v>0.34234740000000002</v>
      </c>
      <c r="R148" s="310">
        <v>0.324077</v>
      </c>
      <c r="S148" s="310">
        <v>0.32599600000000001</v>
      </c>
      <c r="T148" s="310">
        <v>0.30384220000000001</v>
      </c>
      <c r="U148" s="310">
        <v>0.32192910000000002</v>
      </c>
      <c r="V148" s="310">
        <v>0.33362350000000002</v>
      </c>
      <c r="W148" s="310">
        <v>0.31123709999999999</v>
      </c>
      <c r="X148" s="310">
        <v>0.30264990000000003</v>
      </c>
      <c r="Y148" s="310">
        <v>0.33510440000000002</v>
      </c>
      <c r="Z148" s="310">
        <v>0.33866629999999998</v>
      </c>
      <c r="AA148" s="310">
        <v>0.32726280000000002</v>
      </c>
      <c r="AB148" s="310">
        <v>0.32832280000000003</v>
      </c>
      <c r="AC148" s="310">
        <v>0.32857029999999998</v>
      </c>
      <c r="AD148" s="310">
        <v>0.34483629999999998</v>
      </c>
      <c r="AE148" s="310">
        <v>0.33458470000000001</v>
      </c>
      <c r="AF148" s="310">
        <v>0.30539509999999997</v>
      </c>
      <c r="AG148" s="310">
        <v>0.33209759999999999</v>
      </c>
      <c r="AH148" s="310">
        <v>0.30269249999999998</v>
      </c>
      <c r="AI148" s="310">
        <v>0.3224204</v>
      </c>
      <c r="AJ148" s="310">
        <v>0.33894089999999999</v>
      </c>
      <c r="AK148" s="310">
        <v>0.33535160000000003</v>
      </c>
      <c r="AL148" s="310">
        <v>0.33067639999999998</v>
      </c>
      <c r="AM148" s="310">
        <v>0.33151550000000002</v>
      </c>
      <c r="AN148" s="310">
        <v>0.34002710000000003</v>
      </c>
      <c r="AO148" s="310">
        <v>0.33073330000000001</v>
      </c>
      <c r="AP148" s="310">
        <v>0.33441949999999998</v>
      </c>
      <c r="AQ148" s="310">
        <v>0.27048260000000002</v>
      </c>
      <c r="AR148" s="310">
        <v>0.32980019999999999</v>
      </c>
      <c r="AS148" s="310">
        <v>0.33371650000000003</v>
      </c>
      <c r="AT148" s="310">
        <v>0.32631650000000001</v>
      </c>
      <c r="AU148" s="310">
        <v>0.3412808</v>
      </c>
      <c r="AV148" s="310">
        <v>0.34003420000000001</v>
      </c>
      <c r="AW148" s="310">
        <v>0.32028420000000002</v>
      </c>
      <c r="AX148" s="310">
        <v>0.3226907</v>
      </c>
      <c r="AY148" s="310">
        <v>0.33653499999999997</v>
      </c>
      <c r="AZ148" s="310">
        <v>0.33399859999999998</v>
      </c>
      <c r="BA148" s="310">
        <v>0.28154770000000001</v>
      </c>
      <c r="BB148" s="310">
        <v>0.34210079999999998</v>
      </c>
      <c r="BC148" s="310">
        <v>0.33938390000000002</v>
      </c>
      <c r="BD148" s="310">
        <v>0.34063690000000002</v>
      </c>
      <c r="BE148" s="310">
        <v>0.339314</v>
      </c>
      <c r="BF148" s="310">
        <v>0.33385290000000001</v>
      </c>
      <c r="BG148" s="310">
        <v>0.33649760000000001</v>
      </c>
      <c r="BH148" s="310">
        <v>0.33144590000000002</v>
      </c>
      <c r="BI148" s="310">
        <v>0.3417885</v>
      </c>
      <c r="BJ148" s="310">
        <v>0.34306049999999999</v>
      </c>
      <c r="BK148" s="310">
        <v>0.34277220000000003</v>
      </c>
    </row>
    <row r="149" spans="1:63" x14ac:dyDescent="0.25">
      <c r="A149" s="306" t="s">
        <v>718</v>
      </c>
      <c r="B149" s="310" t="s">
        <v>135</v>
      </c>
      <c r="C149" s="310">
        <v>0.27380110000000002</v>
      </c>
      <c r="D149" s="310">
        <v>0</v>
      </c>
      <c r="E149" s="310">
        <v>0.26078299999999999</v>
      </c>
      <c r="F149" s="310">
        <v>0.25755670000000003</v>
      </c>
      <c r="G149" s="310">
        <v>0.27058219999999999</v>
      </c>
      <c r="H149" s="310">
        <v>0.27236769999999999</v>
      </c>
      <c r="I149" s="310">
        <v>0.27285029999999999</v>
      </c>
      <c r="J149" s="310">
        <v>0.25895600000000002</v>
      </c>
      <c r="K149" s="310">
        <v>0</v>
      </c>
      <c r="L149" s="310">
        <v>0</v>
      </c>
      <c r="M149" s="310">
        <v>0.27144119999999999</v>
      </c>
      <c r="N149" s="310">
        <v>0.26731389999999999</v>
      </c>
      <c r="O149" s="310">
        <v>0.26876460000000002</v>
      </c>
      <c r="P149" s="310">
        <v>0.25766919999999999</v>
      </c>
      <c r="Q149" s="310">
        <v>0.2718834</v>
      </c>
      <c r="R149" s="310">
        <v>0.25733319999999998</v>
      </c>
      <c r="S149" s="310">
        <v>0.25886160000000003</v>
      </c>
      <c r="T149" s="310">
        <v>0.24121190000000001</v>
      </c>
      <c r="U149" s="310">
        <v>0.25564589999999998</v>
      </c>
      <c r="V149" s="310">
        <v>0.26492559999999998</v>
      </c>
      <c r="W149" s="310">
        <v>0.24709020000000001</v>
      </c>
      <c r="X149" s="310">
        <v>0.24032600000000001</v>
      </c>
      <c r="Y149" s="310">
        <v>0.2660362</v>
      </c>
      <c r="Z149" s="310">
        <v>0.26891090000000001</v>
      </c>
      <c r="AA149" s="310">
        <v>0.25982640000000001</v>
      </c>
      <c r="AB149" s="310">
        <v>0.26068609999999998</v>
      </c>
      <c r="AC149" s="310">
        <v>0.26086310000000001</v>
      </c>
      <c r="AD149" s="310">
        <v>0.27378750000000002</v>
      </c>
      <c r="AE149" s="310">
        <v>0.26568449999999999</v>
      </c>
      <c r="AF149" s="310">
        <v>0.24247099999999999</v>
      </c>
      <c r="AG149" s="310">
        <v>0.26371879999999998</v>
      </c>
      <c r="AH149" s="310">
        <v>0.2403247</v>
      </c>
      <c r="AI149" s="310">
        <v>0.2560094</v>
      </c>
      <c r="AJ149" s="310">
        <v>0.26914729999999998</v>
      </c>
      <c r="AK149" s="310">
        <v>0</v>
      </c>
      <c r="AL149" s="310">
        <v>0.26254309999999997</v>
      </c>
      <c r="AM149" s="310">
        <v>0.2632331</v>
      </c>
      <c r="AN149" s="310">
        <v>0.2699935</v>
      </c>
      <c r="AO149" s="310">
        <v>0.2625962</v>
      </c>
      <c r="AP149" s="310">
        <v>0.26552219999999999</v>
      </c>
      <c r="AQ149" s="310">
        <v>0</v>
      </c>
      <c r="AR149" s="310">
        <v>0.26187769999999999</v>
      </c>
      <c r="AS149" s="310">
        <v>0</v>
      </c>
      <c r="AT149" s="310">
        <v>0.25912099999999999</v>
      </c>
      <c r="AU149" s="310">
        <v>0.27096949999999997</v>
      </c>
      <c r="AV149" s="310">
        <v>0.2700072</v>
      </c>
      <c r="AW149" s="310">
        <v>0.25428529999999999</v>
      </c>
      <c r="AX149" s="310">
        <v>0.25619500000000001</v>
      </c>
      <c r="AY149" s="310">
        <v>0.26722980000000002</v>
      </c>
      <c r="AZ149" s="310">
        <v>0.26519219999999999</v>
      </c>
      <c r="BA149" s="310">
        <v>0.22351689999999999</v>
      </c>
      <c r="BB149" s="310">
        <v>0</v>
      </c>
      <c r="BC149" s="310">
        <v>0.26949200000000001</v>
      </c>
      <c r="BD149" s="310">
        <v>0.27051160000000002</v>
      </c>
      <c r="BE149" s="310">
        <v>0.26938909999999999</v>
      </c>
      <c r="BF149" s="310">
        <v>0.26507829999999999</v>
      </c>
      <c r="BG149" s="310">
        <v>0.26716849999999998</v>
      </c>
      <c r="BH149" s="310">
        <v>0.26320070000000001</v>
      </c>
      <c r="BI149" s="310">
        <v>0.27137549999999999</v>
      </c>
      <c r="BJ149" s="310">
        <v>0.27240629999999999</v>
      </c>
      <c r="BK149" s="310">
        <v>0.2721152</v>
      </c>
    </row>
    <row r="150" spans="1:63" x14ac:dyDescent="0.25">
      <c r="A150" s="306" t="s">
        <v>719</v>
      </c>
      <c r="B150" s="310" t="s">
        <v>136</v>
      </c>
      <c r="C150" s="310">
        <v>0.2358575</v>
      </c>
      <c r="D150" s="310">
        <v>0</v>
      </c>
      <c r="E150" s="310">
        <v>0.22461690000000001</v>
      </c>
      <c r="F150" s="310">
        <v>0</v>
      </c>
      <c r="G150" s="310">
        <v>0.23307649999999999</v>
      </c>
      <c r="H150" s="310">
        <v>0.23462060000000001</v>
      </c>
      <c r="I150" s="310">
        <v>0.2350497</v>
      </c>
      <c r="J150" s="310">
        <v>0</v>
      </c>
      <c r="K150" s="310">
        <v>0</v>
      </c>
      <c r="L150" s="310">
        <v>0.18926689999999999</v>
      </c>
      <c r="M150" s="310">
        <v>0.23382700000000001</v>
      </c>
      <c r="N150" s="310">
        <v>0.23025580000000001</v>
      </c>
      <c r="O150" s="310">
        <v>0</v>
      </c>
      <c r="P150" s="310">
        <v>0.22196440000000001</v>
      </c>
      <c r="Q150" s="310">
        <v>0.23418069999999999</v>
      </c>
      <c r="R150" s="310">
        <v>0.221639</v>
      </c>
      <c r="S150" s="310">
        <v>0.22299279999999999</v>
      </c>
      <c r="T150" s="310">
        <v>0.20777979999999999</v>
      </c>
      <c r="U150" s="310">
        <v>0.22018450000000001</v>
      </c>
      <c r="V150" s="310">
        <v>0.22820509999999999</v>
      </c>
      <c r="W150" s="310">
        <v>0.2128901</v>
      </c>
      <c r="X150" s="310">
        <v>0.20704</v>
      </c>
      <c r="Y150" s="310">
        <v>0</v>
      </c>
      <c r="Z150" s="310">
        <v>0.23166220000000001</v>
      </c>
      <c r="AA150" s="310">
        <v>0.22385679999999999</v>
      </c>
      <c r="AB150" s="310">
        <v>0.22459689999999999</v>
      </c>
      <c r="AC150" s="310">
        <v>0.2247586</v>
      </c>
      <c r="AD150" s="310">
        <v>0</v>
      </c>
      <c r="AE150" s="310">
        <v>0.2288927</v>
      </c>
      <c r="AF150" s="310">
        <v>0</v>
      </c>
      <c r="AG150" s="310">
        <v>0</v>
      </c>
      <c r="AH150" s="310">
        <v>0</v>
      </c>
      <c r="AI150" s="310">
        <v>0.22054760000000001</v>
      </c>
      <c r="AJ150" s="310">
        <v>0.23183770000000001</v>
      </c>
      <c r="AK150" s="310">
        <v>0.2294004</v>
      </c>
      <c r="AL150" s="310">
        <v>0.2262025</v>
      </c>
      <c r="AM150" s="310">
        <v>0.2267284</v>
      </c>
      <c r="AN150" s="310">
        <v>0.2325923</v>
      </c>
      <c r="AO150" s="310">
        <v>0.22621550000000001</v>
      </c>
      <c r="AP150" s="310">
        <v>0.22870779999999999</v>
      </c>
      <c r="AQ150" s="310">
        <v>0</v>
      </c>
      <c r="AR150" s="310">
        <v>0.225578</v>
      </c>
      <c r="AS150" s="310">
        <v>0.22823360000000001</v>
      </c>
      <c r="AT150" s="310">
        <v>0.22324559999999999</v>
      </c>
      <c r="AU150" s="310">
        <v>0.23341509999999999</v>
      </c>
      <c r="AV150" s="310">
        <v>0.23258690000000001</v>
      </c>
      <c r="AW150" s="310">
        <v>0.2190647</v>
      </c>
      <c r="AX150" s="310">
        <v>0.22067539999999999</v>
      </c>
      <c r="AY150" s="310">
        <v>0.23016739999999999</v>
      </c>
      <c r="AZ150" s="310">
        <v>0.22845180000000001</v>
      </c>
      <c r="BA150" s="310">
        <v>0.19256899999999999</v>
      </c>
      <c r="BB150" s="310">
        <v>0</v>
      </c>
      <c r="BC150" s="310">
        <v>0.23215050000000001</v>
      </c>
      <c r="BD150" s="310">
        <v>0.2330072</v>
      </c>
      <c r="BE150" s="310">
        <v>0.23207040000000001</v>
      </c>
      <c r="BF150" s="310">
        <v>0.22837450000000001</v>
      </c>
      <c r="BG150" s="310">
        <v>0.23014299999999999</v>
      </c>
      <c r="BH150" s="310">
        <v>0.22670999999999999</v>
      </c>
      <c r="BI150" s="310">
        <v>0.2337825</v>
      </c>
      <c r="BJ150" s="310">
        <v>0.23469139999999999</v>
      </c>
      <c r="BK150" s="310">
        <v>0.23443639999999999</v>
      </c>
    </row>
    <row r="151" spans="1:63" x14ac:dyDescent="0.25">
      <c r="A151" s="306">
        <v>327211</v>
      </c>
      <c r="B151" s="310" t="s">
        <v>137</v>
      </c>
      <c r="C151" s="310">
        <v>0.2072263</v>
      </c>
      <c r="D151" s="310">
        <v>0</v>
      </c>
      <c r="E151" s="310">
        <v>0</v>
      </c>
      <c r="F151" s="310">
        <v>0</v>
      </c>
      <c r="G151" s="310">
        <v>0.20474890000000001</v>
      </c>
      <c r="H151" s="310">
        <v>0.20611560000000001</v>
      </c>
      <c r="I151" s="310">
        <v>0.2065005</v>
      </c>
      <c r="J151" s="310">
        <v>0.19591239999999999</v>
      </c>
      <c r="K151" s="310">
        <v>0</v>
      </c>
      <c r="L151" s="310">
        <v>0</v>
      </c>
      <c r="M151" s="310">
        <v>0.20542279999999999</v>
      </c>
      <c r="N151" s="310">
        <v>0.202289</v>
      </c>
      <c r="O151" s="310">
        <v>0</v>
      </c>
      <c r="P151" s="310">
        <v>0.1950163</v>
      </c>
      <c r="Q151" s="310">
        <v>0</v>
      </c>
      <c r="R151" s="310">
        <v>0.1947402</v>
      </c>
      <c r="S151" s="310">
        <v>0.19587930000000001</v>
      </c>
      <c r="T151" s="310">
        <v>0.18254580000000001</v>
      </c>
      <c r="U151" s="310">
        <v>0.19343630000000001</v>
      </c>
      <c r="V151" s="310">
        <v>0</v>
      </c>
      <c r="W151" s="310">
        <v>0.18698799999999999</v>
      </c>
      <c r="X151" s="310">
        <v>0.18182390000000001</v>
      </c>
      <c r="Y151" s="310">
        <v>0.2013567</v>
      </c>
      <c r="Z151" s="310">
        <v>0.20350299999999999</v>
      </c>
      <c r="AA151" s="310">
        <v>0.19666429999999999</v>
      </c>
      <c r="AB151" s="310">
        <v>0</v>
      </c>
      <c r="AC151" s="310">
        <v>0</v>
      </c>
      <c r="AD151" s="310">
        <v>0</v>
      </c>
      <c r="AE151" s="310">
        <v>0.20105600000000001</v>
      </c>
      <c r="AF151" s="310">
        <v>0</v>
      </c>
      <c r="AG151" s="310">
        <v>0</v>
      </c>
      <c r="AH151" s="310">
        <v>0.18183540000000001</v>
      </c>
      <c r="AI151" s="310">
        <v>0.1937519</v>
      </c>
      <c r="AJ151" s="310">
        <v>0</v>
      </c>
      <c r="AK151" s="310">
        <v>0</v>
      </c>
      <c r="AL151" s="310">
        <v>0.19872500000000001</v>
      </c>
      <c r="AM151" s="310">
        <v>0.1991889</v>
      </c>
      <c r="AN151" s="310">
        <v>0.2043556</v>
      </c>
      <c r="AO151" s="310">
        <v>0.19872609999999999</v>
      </c>
      <c r="AP151" s="310">
        <v>0.20093530000000001</v>
      </c>
      <c r="AQ151" s="310">
        <v>0</v>
      </c>
      <c r="AR151" s="310">
        <v>0.1981358</v>
      </c>
      <c r="AS151" s="310">
        <v>0</v>
      </c>
      <c r="AT151" s="310">
        <v>0.1961145</v>
      </c>
      <c r="AU151" s="310">
        <v>0.20505619999999999</v>
      </c>
      <c r="AV151" s="310">
        <v>0</v>
      </c>
      <c r="AW151" s="310">
        <v>0.19244790000000001</v>
      </c>
      <c r="AX151" s="310">
        <v>0</v>
      </c>
      <c r="AY151" s="310">
        <v>0.20222879999999999</v>
      </c>
      <c r="AZ151" s="310">
        <v>0.20069719999999999</v>
      </c>
      <c r="BA151" s="310">
        <v>0.16915849999999999</v>
      </c>
      <c r="BB151" s="310">
        <v>0</v>
      </c>
      <c r="BC151" s="310">
        <v>0.20391909999999999</v>
      </c>
      <c r="BD151" s="310">
        <v>0.20469319999999999</v>
      </c>
      <c r="BE151" s="310">
        <v>0.20387420000000001</v>
      </c>
      <c r="BF151" s="310">
        <v>0.2005807</v>
      </c>
      <c r="BG151" s="310">
        <v>0.20221320000000001</v>
      </c>
      <c r="BH151" s="310">
        <v>0.19918269999999999</v>
      </c>
      <c r="BI151" s="310">
        <v>0.20535149999999999</v>
      </c>
      <c r="BJ151" s="310">
        <v>0.2061479</v>
      </c>
      <c r="BK151" s="310">
        <v>0.20592869999999999</v>
      </c>
    </row>
    <row r="152" spans="1:63" x14ac:dyDescent="0.25">
      <c r="A152" s="306">
        <v>327212</v>
      </c>
      <c r="B152" s="310" t="s">
        <v>138</v>
      </c>
      <c r="C152" s="310">
        <v>0.27594829999999998</v>
      </c>
      <c r="D152" s="310">
        <v>0.26443820000000001</v>
      </c>
      <c r="E152" s="310">
        <v>0.26282810000000001</v>
      </c>
      <c r="F152" s="310">
        <v>0.25953850000000001</v>
      </c>
      <c r="G152" s="310">
        <v>0.27268959999999998</v>
      </c>
      <c r="H152" s="310">
        <v>0.2744934</v>
      </c>
      <c r="I152" s="310">
        <v>0.27498899999999998</v>
      </c>
      <c r="J152" s="310">
        <v>0.26098389999999999</v>
      </c>
      <c r="K152" s="310">
        <v>0</v>
      </c>
      <c r="L152" s="310">
        <v>0.2214235</v>
      </c>
      <c r="M152" s="310">
        <v>0.2735882</v>
      </c>
      <c r="N152" s="310">
        <v>0.26941969999999998</v>
      </c>
      <c r="O152" s="310">
        <v>0.27090229999999998</v>
      </c>
      <c r="P152" s="310">
        <v>0.25970300000000002</v>
      </c>
      <c r="Q152" s="310">
        <v>0.27396559999999998</v>
      </c>
      <c r="R152" s="310">
        <v>0.25934010000000002</v>
      </c>
      <c r="S152" s="310">
        <v>0.26095410000000002</v>
      </c>
      <c r="T152" s="310">
        <v>0.2431565</v>
      </c>
      <c r="U152" s="310">
        <v>0.25764419999999999</v>
      </c>
      <c r="V152" s="310">
        <v>0.26699279999999997</v>
      </c>
      <c r="W152" s="310">
        <v>0.24908240000000001</v>
      </c>
      <c r="X152" s="310">
        <v>0</v>
      </c>
      <c r="Y152" s="310">
        <v>0</v>
      </c>
      <c r="Z152" s="310">
        <v>0.27107680000000001</v>
      </c>
      <c r="AA152" s="310">
        <v>0.26190629999999998</v>
      </c>
      <c r="AB152" s="310">
        <v>0.26276379999999999</v>
      </c>
      <c r="AC152" s="310">
        <v>0.26293709999999998</v>
      </c>
      <c r="AD152" s="310">
        <v>0</v>
      </c>
      <c r="AE152" s="310">
        <v>0.26782080000000003</v>
      </c>
      <c r="AF152" s="310">
        <v>0.2443999</v>
      </c>
      <c r="AG152" s="310">
        <v>0.26576640000000001</v>
      </c>
      <c r="AH152" s="310">
        <v>0.242228</v>
      </c>
      <c r="AI152" s="310">
        <v>0.25800650000000003</v>
      </c>
      <c r="AJ152" s="310">
        <v>0.27129769999999997</v>
      </c>
      <c r="AK152" s="310">
        <v>0.26839740000000001</v>
      </c>
      <c r="AL152" s="310">
        <v>0.26460699999999998</v>
      </c>
      <c r="AM152" s="310">
        <v>0.26528269999999998</v>
      </c>
      <c r="AN152" s="310">
        <v>0.27215489999999998</v>
      </c>
      <c r="AO152" s="310">
        <v>0.26464870000000001</v>
      </c>
      <c r="AP152" s="310">
        <v>0.26759709999999998</v>
      </c>
      <c r="AQ152" s="310">
        <v>0.21642980000000001</v>
      </c>
      <c r="AR152" s="310">
        <v>0.2639186</v>
      </c>
      <c r="AS152" s="310">
        <v>0</v>
      </c>
      <c r="AT152" s="310">
        <v>0.26120880000000002</v>
      </c>
      <c r="AU152" s="310">
        <v>0.27312130000000001</v>
      </c>
      <c r="AV152" s="310">
        <v>0.272144</v>
      </c>
      <c r="AW152" s="310">
        <v>0.25632310000000003</v>
      </c>
      <c r="AX152" s="310">
        <v>0.2582566</v>
      </c>
      <c r="AY152" s="310">
        <v>0.26929969999999998</v>
      </c>
      <c r="AZ152" s="310">
        <v>0.2672754</v>
      </c>
      <c r="BA152" s="310">
        <v>0.2252855</v>
      </c>
      <c r="BB152" s="310">
        <v>0</v>
      </c>
      <c r="BC152" s="310">
        <v>0.27163880000000001</v>
      </c>
      <c r="BD152" s="310">
        <v>0.27260849999999998</v>
      </c>
      <c r="BE152" s="310">
        <v>0.2715322</v>
      </c>
      <c r="BF152" s="310">
        <v>0.26719559999999998</v>
      </c>
      <c r="BG152" s="310">
        <v>0.26932070000000002</v>
      </c>
      <c r="BH152" s="310">
        <v>0.26523570000000002</v>
      </c>
      <c r="BI152" s="310">
        <v>0.27349760000000001</v>
      </c>
      <c r="BJ152" s="310">
        <v>0.27452850000000001</v>
      </c>
      <c r="BK152" s="310">
        <v>0.2743139</v>
      </c>
    </row>
    <row r="153" spans="1:63" x14ac:dyDescent="0.25">
      <c r="A153" s="306">
        <v>327213</v>
      </c>
      <c r="B153" s="310" t="s">
        <v>139</v>
      </c>
      <c r="C153" s="310">
        <v>0.20498449999999999</v>
      </c>
      <c r="D153" s="310">
        <v>0</v>
      </c>
      <c r="E153" s="310">
        <v>0</v>
      </c>
      <c r="F153" s="310">
        <v>0.1928018</v>
      </c>
      <c r="G153" s="310">
        <v>0.20253959999999999</v>
      </c>
      <c r="H153" s="310">
        <v>0.20391400000000001</v>
      </c>
      <c r="I153" s="310">
        <v>0.2042573</v>
      </c>
      <c r="J153" s="310">
        <v>0</v>
      </c>
      <c r="K153" s="310">
        <v>0</v>
      </c>
      <c r="L153" s="310">
        <v>0</v>
      </c>
      <c r="M153" s="310">
        <v>0.20322370000000001</v>
      </c>
      <c r="N153" s="310">
        <v>0.2001308</v>
      </c>
      <c r="O153" s="310">
        <v>0</v>
      </c>
      <c r="P153" s="310">
        <v>0</v>
      </c>
      <c r="Q153" s="310">
        <v>0</v>
      </c>
      <c r="R153" s="310">
        <v>0.19261739999999999</v>
      </c>
      <c r="S153" s="310">
        <v>0.19382450000000001</v>
      </c>
      <c r="T153" s="310">
        <v>0</v>
      </c>
      <c r="U153" s="310">
        <v>0</v>
      </c>
      <c r="V153" s="310">
        <v>0.19832040000000001</v>
      </c>
      <c r="W153" s="310">
        <v>0.18497669999999999</v>
      </c>
      <c r="X153" s="310">
        <v>0</v>
      </c>
      <c r="Y153" s="310">
        <v>0</v>
      </c>
      <c r="Z153" s="310">
        <v>0.20133970000000001</v>
      </c>
      <c r="AA153" s="310">
        <v>0.19455819999999999</v>
      </c>
      <c r="AB153" s="310">
        <v>0.19519020000000001</v>
      </c>
      <c r="AC153" s="310">
        <v>0</v>
      </c>
      <c r="AD153" s="310">
        <v>0</v>
      </c>
      <c r="AE153" s="310">
        <v>0.19890340000000001</v>
      </c>
      <c r="AF153" s="310">
        <v>0</v>
      </c>
      <c r="AG153" s="310">
        <v>0.19742100000000001</v>
      </c>
      <c r="AH153" s="310">
        <v>0</v>
      </c>
      <c r="AI153" s="310">
        <v>0.19165450000000001</v>
      </c>
      <c r="AJ153" s="310">
        <v>0</v>
      </c>
      <c r="AK153" s="310">
        <v>0</v>
      </c>
      <c r="AL153" s="310">
        <v>0.19654730000000001</v>
      </c>
      <c r="AM153" s="310">
        <v>0.1970614</v>
      </c>
      <c r="AN153" s="310">
        <v>0.2021191</v>
      </c>
      <c r="AO153" s="310">
        <v>0.19661039999999999</v>
      </c>
      <c r="AP153" s="310">
        <v>0.1987594</v>
      </c>
      <c r="AQ153" s="310">
        <v>0</v>
      </c>
      <c r="AR153" s="310">
        <v>0</v>
      </c>
      <c r="AS153" s="310">
        <v>0</v>
      </c>
      <c r="AT153" s="310">
        <v>0.1939912</v>
      </c>
      <c r="AU153" s="310">
        <v>0.2028374</v>
      </c>
      <c r="AV153" s="310">
        <v>0</v>
      </c>
      <c r="AW153" s="310">
        <v>0.19039500000000001</v>
      </c>
      <c r="AX153" s="310">
        <v>0</v>
      </c>
      <c r="AY153" s="310">
        <v>0.2000711</v>
      </c>
      <c r="AZ153" s="310">
        <v>0.19855539999999999</v>
      </c>
      <c r="BA153" s="310">
        <v>0</v>
      </c>
      <c r="BB153" s="310">
        <v>0</v>
      </c>
      <c r="BC153" s="310">
        <v>0.20176430000000001</v>
      </c>
      <c r="BD153" s="310">
        <v>0.20251269999999999</v>
      </c>
      <c r="BE153" s="310">
        <v>0.2016781</v>
      </c>
      <c r="BF153" s="310">
        <v>0.19846440000000001</v>
      </c>
      <c r="BG153" s="310">
        <v>0.2000323</v>
      </c>
      <c r="BH153" s="310">
        <v>0.1970462</v>
      </c>
      <c r="BI153" s="310">
        <v>0.20315430000000001</v>
      </c>
      <c r="BJ153" s="310">
        <v>0.20392089999999999</v>
      </c>
      <c r="BK153" s="310">
        <v>0.20375679999999999</v>
      </c>
    </row>
    <row r="154" spans="1:63" x14ac:dyDescent="0.25">
      <c r="A154" s="306">
        <v>327215</v>
      </c>
      <c r="B154" s="310" t="s">
        <v>140</v>
      </c>
      <c r="C154" s="310">
        <v>0.23385249999999999</v>
      </c>
      <c r="D154" s="310">
        <v>0</v>
      </c>
      <c r="E154" s="310">
        <v>0.2227124</v>
      </c>
      <c r="F154" s="310">
        <v>0.2199402</v>
      </c>
      <c r="G154" s="310">
        <v>0.23105419999999999</v>
      </c>
      <c r="H154" s="310">
        <v>0.23263120000000001</v>
      </c>
      <c r="I154" s="310">
        <v>0.23306750000000001</v>
      </c>
      <c r="J154" s="310">
        <v>0.22117120000000001</v>
      </c>
      <c r="K154" s="310">
        <v>0</v>
      </c>
      <c r="L154" s="310">
        <v>0.1876264</v>
      </c>
      <c r="M154" s="310">
        <v>0.23182659999999999</v>
      </c>
      <c r="N154" s="310">
        <v>0.22827500000000001</v>
      </c>
      <c r="O154" s="310">
        <v>0.229578</v>
      </c>
      <c r="P154" s="310">
        <v>0.22004770000000001</v>
      </c>
      <c r="Q154" s="310">
        <v>0.23220279999999999</v>
      </c>
      <c r="R154" s="310">
        <v>0.21974659999999999</v>
      </c>
      <c r="S154" s="310">
        <v>0.22108050000000001</v>
      </c>
      <c r="T154" s="310">
        <v>0.20604520000000001</v>
      </c>
      <c r="U154" s="310">
        <v>0.21834010000000001</v>
      </c>
      <c r="V154" s="310">
        <v>0.2262699</v>
      </c>
      <c r="W154" s="310">
        <v>0.2110717</v>
      </c>
      <c r="X154" s="310">
        <v>0.20526559999999999</v>
      </c>
      <c r="Y154" s="310">
        <v>0.22722429999999999</v>
      </c>
      <c r="Z154" s="310">
        <v>0.22970080000000001</v>
      </c>
      <c r="AA154" s="310">
        <v>0.22191050000000001</v>
      </c>
      <c r="AB154" s="310">
        <v>0.22266079999999999</v>
      </c>
      <c r="AC154" s="310">
        <v>0.2228242</v>
      </c>
      <c r="AD154" s="310">
        <v>0.23387540000000001</v>
      </c>
      <c r="AE154" s="310">
        <v>0.2269254</v>
      </c>
      <c r="AF154" s="310">
        <v>0.20707909999999999</v>
      </c>
      <c r="AG154" s="310">
        <v>0.22524920000000001</v>
      </c>
      <c r="AH154" s="310">
        <v>0.20524490000000001</v>
      </c>
      <c r="AI154" s="310">
        <v>0.21864449999999999</v>
      </c>
      <c r="AJ154" s="310">
        <v>0.2298926</v>
      </c>
      <c r="AK154" s="310">
        <v>0.22745099999999999</v>
      </c>
      <c r="AL154" s="310">
        <v>0.22421949999999999</v>
      </c>
      <c r="AM154" s="310">
        <v>0.22483449999999999</v>
      </c>
      <c r="AN154" s="310">
        <v>0.230576</v>
      </c>
      <c r="AO154" s="310">
        <v>0.2242711</v>
      </c>
      <c r="AP154" s="310">
        <v>0.2267631</v>
      </c>
      <c r="AQ154" s="310">
        <v>0.18339040000000001</v>
      </c>
      <c r="AR154" s="310">
        <v>0.22365399999999999</v>
      </c>
      <c r="AS154" s="310">
        <v>0.22628819999999999</v>
      </c>
      <c r="AT154" s="310">
        <v>0.2212944</v>
      </c>
      <c r="AU154" s="310">
        <v>0.23142579999999999</v>
      </c>
      <c r="AV154" s="310">
        <v>0.23058909999999999</v>
      </c>
      <c r="AW154" s="310">
        <v>0.2171833</v>
      </c>
      <c r="AX154" s="310">
        <v>0.21882370000000001</v>
      </c>
      <c r="AY154" s="310">
        <v>0.22822300000000001</v>
      </c>
      <c r="AZ154" s="310">
        <v>0.22650400000000001</v>
      </c>
      <c r="BA154" s="310">
        <v>0.1908879</v>
      </c>
      <c r="BB154" s="310">
        <v>0</v>
      </c>
      <c r="BC154" s="310">
        <v>0.23018250000000001</v>
      </c>
      <c r="BD154" s="310">
        <v>0.23101250000000001</v>
      </c>
      <c r="BE154" s="310">
        <v>0.23011799999999999</v>
      </c>
      <c r="BF154" s="310">
        <v>0.22640070000000001</v>
      </c>
      <c r="BG154" s="310">
        <v>0.2282267</v>
      </c>
      <c r="BH154" s="310">
        <v>0.22476189999999999</v>
      </c>
      <c r="BI154" s="310">
        <v>0.23176179999999999</v>
      </c>
      <c r="BJ154" s="310">
        <v>0.23264770000000001</v>
      </c>
      <c r="BK154" s="310">
        <v>0.2324541</v>
      </c>
    </row>
    <row r="155" spans="1:63" x14ac:dyDescent="0.25">
      <c r="A155" s="306">
        <v>327310</v>
      </c>
      <c r="B155" s="310" t="s">
        <v>141</v>
      </c>
      <c r="C155" s="310">
        <v>0.14300669999999999</v>
      </c>
      <c r="D155" s="310">
        <v>0</v>
      </c>
      <c r="E155" s="310">
        <v>0.1362082</v>
      </c>
      <c r="F155" s="310">
        <v>0.13451540000000001</v>
      </c>
      <c r="G155" s="310">
        <v>0.14129320000000001</v>
      </c>
      <c r="H155" s="310">
        <v>0.1422667</v>
      </c>
      <c r="I155" s="310">
        <v>0.14248659999999999</v>
      </c>
      <c r="J155" s="310">
        <v>0</v>
      </c>
      <c r="K155" s="310">
        <v>0</v>
      </c>
      <c r="L155" s="310">
        <v>0</v>
      </c>
      <c r="M155" s="310">
        <v>0.1417437</v>
      </c>
      <c r="N155" s="310">
        <v>0.13958860000000001</v>
      </c>
      <c r="O155" s="310">
        <v>0.14039560000000001</v>
      </c>
      <c r="P155" s="310">
        <v>0.13460159999999999</v>
      </c>
      <c r="Q155" s="310">
        <v>0.14197969999999999</v>
      </c>
      <c r="R155" s="310">
        <v>0.13437470000000001</v>
      </c>
      <c r="S155" s="310">
        <v>0.13521649999999999</v>
      </c>
      <c r="T155" s="310">
        <v>0.12596560000000001</v>
      </c>
      <c r="U155" s="310">
        <v>0.13350010000000001</v>
      </c>
      <c r="V155" s="310">
        <v>0.13834869999999999</v>
      </c>
      <c r="W155" s="310">
        <v>0.12907769999999999</v>
      </c>
      <c r="X155" s="310">
        <v>0.12551699999999999</v>
      </c>
      <c r="Y155" s="310">
        <v>0.13896030000000001</v>
      </c>
      <c r="Z155" s="310">
        <v>0.1404619</v>
      </c>
      <c r="AA155" s="310">
        <v>0</v>
      </c>
      <c r="AB155" s="310">
        <v>0.13613400000000001</v>
      </c>
      <c r="AC155" s="310">
        <v>0.136238</v>
      </c>
      <c r="AD155" s="310">
        <v>0.14302100000000001</v>
      </c>
      <c r="AE155" s="310">
        <v>0.1387679</v>
      </c>
      <c r="AF155" s="310">
        <v>0.1266678</v>
      </c>
      <c r="AG155" s="310">
        <v>0.13772280000000001</v>
      </c>
      <c r="AH155" s="310">
        <v>0.12552949999999999</v>
      </c>
      <c r="AI155" s="310">
        <v>0.1337149</v>
      </c>
      <c r="AJ155" s="310">
        <v>0.14058509999999999</v>
      </c>
      <c r="AK155" s="310">
        <v>0.13905500000000001</v>
      </c>
      <c r="AL155" s="310">
        <v>0.13712949999999999</v>
      </c>
      <c r="AM155" s="310">
        <v>0.13747219999999999</v>
      </c>
      <c r="AN155" s="310">
        <v>0.14101069999999999</v>
      </c>
      <c r="AO155" s="310">
        <v>0.13713210000000001</v>
      </c>
      <c r="AP155" s="310">
        <v>0.1386608</v>
      </c>
      <c r="AQ155" s="310">
        <v>0</v>
      </c>
      <c r="AR155" s="310">
        <v>0.1367411</v>
      </c>
      <c r="AS155" s="310">
        <v>0.13841439999999999</v>
      </c>
      <c r="AT155" s="310">
        <v>0.13535230000000001</v>
      </c>
      <c r="AU155" s="310">
        <v>0.1415177</v>
      </c>
      <c r="AV155" s="310">
        <v>0.14103099999999999</v>
      </c>
      <c r="AW155" s="310">
        <v>0.13280429999999999</v>
      </c>
      <c r="AX155" s="310">
        <v>0</v>
      </c>
      <c r="AY155" s="310">
        <v>0.13954920000000001</v>
      </c>
      <c r="AZ155" s="310">
        <v>0</v>
      </c>
      <c r="BA155" s="310">
        <v>0.11673459999999999</v>
      </c>
      <c r="BB155" s="310">
        <v>0.14190159999999999</v>
      </c>
      <c r="BC155" s="310">
        <v>0.1407563</v>
      </c>
      <c r="BD155" s="310">
        <v>0.1412815</v>
      </c>
      <c r="BE155" s="310">
        <v>0.1406956</v>
      </c>
      <c r="BF155" s="310">
        <v>0.1384397</v>
      </c>
      <c r="BG155" s="310">
        <v>0.13956180000000001</v>
      </c>
      <c r="BH155" s="310">
        <v>0.13743240000000001</v>
      </c>
      <c r="BI155" s="310">
        <v>0.1417119</v>
      </c>
      <c r="BJ155" s="310">
        <v>0.14226140000000001</v>
      </c>
      <c r="BK155" s="310">
        <v>0.1421152</v>
      </c>
    </row>
    <row r="156" spans="1:63" x14ac:dyDescent="0.25">
      <c r="A156" s="306">
        <v>327320</v>
      </c>
      <c r="B156" s="310" t="s">
        <v>142</v>
      </c>
      <c r="C156" s="310">
        <v>0.2030188</v>
      </c>
      <c r="D156" s="310">
        <v>0.19455330000000001</v>
      </c>
      <c r="E156" s="310">
        <v>0.19334480000000001</v>
      </c>
      <c r="F156" s="310">
        <v>0.1909323</v>
      </c>
      <c r="G156" s="310">
        <v>0.2005702</v>
      </c>
      <c r="H156" s="310">
        <v>0.20192260000000001</v>
      </c>
      <c r="I156" s="310">
        <v>0.20228289999999999</v>
      </c>
      <c r="J156" s="310">
        <v>0.1919553</v>
      </c>
      <c r="K156" s="310">
        <v>8.1594600000000003E-2</v>
      </c>
      <c r="L156" s="310">
        <v>0.16288649999999999</v>
      </c>
      <c r="M156" s="310">
        <v>0.20127149999999999</v>
      </c>
      <c r="N156" s="310">
        <v>0.19819310000000001</v>
      </c>
      <c r="O156" s="310">
        <v>0.19927990000000001</v>
      </c>
      <c r="P156" s="310">
        <v>0.19105320000000001</v>
      </c>
      <c r="Q156" s="310">
        <v>0.20154459999999999</v>
      </c>
      <c r="R156" s="310">
        <v>0.19077259999999999</v>
      </c>
      <c r="S156" s="310">
        <v>0.19193270000000001</v>
      </c>
      <c r="T156" s="310">
        <v>0.17884810000000001</v>
      </c>
      <c r="U156" s="310">
        <v>0.1895415</v>
      </c>
      <c r="V156" s="310">
        <v>0.1964341</v>
      </c>
      <c r="W156" s="310">
        <v>0.1832307</v>
      </c>
      <c r="X156" s="310">
        <v>0.1781479</v>
      </c>
      <c r="Y156" s="310">
        <v>0.1972662</v>
      </c>
      <c r="Z156" s="310">
        <v>0.19938739999999999</v>
      </c>
      <c r="AA156" s="310">
        <v>0.1926591</v>
      </c>
      <c r="AB156" s="310">
        <v>0.19330890000000001</v>
      </c>
      <c r="AC156" s="310">
        <v>0.19345899999999999</v>
      </c>
      <c r="AD156" s="310">
        <v>0.20302419999999999</v>
      </c>
      <c r="AE156" s="310">
        <v>0.19701840000000001</v>
      </c>
      <c r="AF156" s="310">
        <v>0.17976520000000001</v>
      </c>
      <c r="AG156" s="310">
        <v>0.19552620000000001</v>
      </c>
      <c r="AH156" s="310">
        <v>0.1781903</v>
      </c>
      <c r="AI156" s="310">
        <v>0.18980639999999999</v>
      </c>
      <c r="AJ156" s="310">
        <v>0.19956370000000001</v>
      </c>
      <c r="AK156" s="310">
        <v>0.19740440000000001</v>
      </c>
      <c r="AL156" s="310">
        <v>0.19463659999999999</v>
      </c>
      <c r="AM156" s="310">
        <v>0.1951301</v>
      </c>
      <c r="AN156" s="310">
        <v>0.20019709999999999</v>
      </c>
      <c r="AO156" s="310">
        <v>0.19470789999999999</v>
      </c>
      <c r="AP156" s="310">
        <v>0.1968665</v>
      </c>
      <c r="AQ156" s="310">
        <v>0.15921740000000001</v>
      </c>
      <c r="AR156" s="310">
        <v>0.19414670000000001</v>
      </c>
      <c r="AS156" s="310">
        <v>0.19649620000000001</v>
      </c>
      <c r="AT156" s="310">
        <v>0.1921215</v>
      </c>
      <c r="AU156" s="310">
        <v>0.20091609999999999</v>
      </c>
      <c r="AV156" s="310">
        <v>0.20017560000000001</v>
      </c>
      <c r="AW156" s="310">
        <v>0.1885473</v>
      </c>
      <c r="AX156" s="310">
        <v>0.18996350000000001</v>
      </c>
      <c r="AY156" s="310">
        <v>0.1981272</v>
      </c>
      <c r="AZ156" s="310">
        <v>0.19659579999999999</v>
      </c>
      <c r="BA156" s="310">
        <v>0.1657305</v>
      </c>
      <c r="BB156" s="310">
        <v>0.2014388</v>
      </c>
      <c r="BC156" s="310">
        <v>0.19979350000000001</v>
      </c>
      <c r="BD156" s="310">
        <v>0.200545</v>
      </c>
      <c r="BE156" s="310">
        <v>0.19974449999999999</v>
      </c>
      <c r="BF156" s="310">
        <v>0.19655429999999999</v>
      </c>
      <c r="BG156" s="310">
        <v>0.19811719999999999</v>
      </c>
      <c r="BH156" s="310">
        <v>0.19512650000000001</v>
      </c>
      <c r="BI156" s="310">
        <v>0.20119670000000001</v>
      </c>
      <c r="BJ156" s="310">
        <v>0.20198250000000001</v>
      </c>
      <c r="BK156" s="310">
        <v>0.201761</v>
      </c>
    </row>
    <row r="157" spans="1:63" x14ac:dyDescent="0.25">
      <c r="A157" s="306">
        <v>327330</v>
      </c>
      <c r="B157" s="310" t="s">
        <v>143</v>
      </c>
      <c r="C157" s="310">
        <v>0.24823120000000001</v>
      </c>
      <c r="D157" s="310">
        <v>0.23793410000000001</v>
      </c>
      <c r="E157" s="310">
        <v>0.2363799</v>
      </c>
      <c r="F157" s="310">
        <v>0.23351089999999999</v>
      </c>
      <c r="G157" s="310">
        <v>0.24528069999999999</v>
      </c>
      <c r="H157" s="310">
        <v>0.24692890000000001</v>
      </c>
      <c r="I157" s="310">
        <v>0.24738879999999999</v>
      </c>
      <c r="J157" s="310">
        <v>0.2347736</v>
      </c>
      <c r="K157" s="310">
        <v>0</v>
      </c>
      <c r="L157" s="310">
        <v>0.19921050000000001</v>
      </c>
      <c r="M157" s="310">
        <v>0.24608240000000001</v>
      </c>
      <c r="N157" s="310">
        <v>0.24232799999999999</v>
      </c>
      <c r="O157" s="310">
        <v>0.24366309999999999</v>
      </c>
      <c r="P157" s="310">
        <v>0.23357710000000001</v>
      </c>
      <c r="Q157" s="310">
        <v>0.2464393</v>
      </c>
      <c r="R157" s="310">
        <v>0.2332745</v>
      </c>
      <c r="S157" s="310">
        <v>0.23474010000000001</v>
      </c>
      <c r="T157" s="310">
        <v>0.21868570000000001</v>
      </c>
      <c r="U157" s="310">
        <v>0.23172760000000001</v>
      </c>
      <c r="V157" s="310">
        <v>0.24014740000000001</v>
      </c>
      <c r="W157" s="310">
        <v>0.2240173</v>
      </c>
      <c r="X157" s="310">
        <v>0.2178387</v>
      </c>
      <c r="Y157" s="310">
        <v>0.2412118</v>
      </c>
      <c r="Z157" s="310">
        <v>0.24383830000000001</v>
      </c>
      <c r="AA157" s="310">
        <v>0.23559289999999999</v>
      </c>
      <c r="AB157" s="310">
        <v>0.2363604</v>
      </c>
      <c r="AC157" s="310">
        <v>0.2365167</v>
      </c>
      <c r="AD157" s="310">
        <v>0.24820929999999999</v>
      </c>
      <c r="AE157" s="310">
        <v>0.24090539999999999</v>
      </c>
      <c r="AF157" s="310">
        <v>0.2198273</v>
      </c>
      <c r="AG157" s="310">
        <v>0.23906959999999999</v>
      </c>
      <c r="AH157" s="310">
        <v>0.21787229999999999</v>
      </c>
      <c r="AI157" s="310">
        <v>0.2320778</v>
      </c>
      <c r="AJ157" s="310">
        <v>0.24401529999999999</v>
      </c>
      <c r="AK157" s="310">
        <v>0.24139240000000001</v>
      </c>
      <c r="AL157" s="310">
        <v>0.23802499999999999</v>
      </c>
      <c r="AM157" s="310">
        <v>0.23866039999999999</v>
      </c>
      <c r="AN157" s="310">
        <v>0.24480440000000001</v>
      </c>
      <c r="AO157" s="310">
        <v>0.2380698</v>
      </c>
      <c r="AP157" s="310">
        <v>0.2407212</v>
      </c>
      <c r="AQ157" s="310">
        <v>0.19467870000000001</v>
      </c>
      <c r="AR157" s="310">
        <v>0.2373827</v>
      </c>
      <c r="AS157" s="310">
        <v>0.24024880000000001</v>
      </c>
      <c r="AT157" s="310">
        <v>0.23495820000000001</v>
      </c>
      <c r="AU157" s="310">
        <v>0.24568970000000001</v>
      </c>
      <c r="AV157" s="310">
        <v>0.24480650000000001</v>
      </c>
      <c r="AW157" s="310">
        <v>0.23053689999999999</v>
      </c>
      <c r="AX157" s="310">
        <v>0.23229920000000001</v>
      </c>
      <c r="AY157" s="310">
        <v>0.24227760000000001</v>
      </c>
      <c r="AZ157" s="310">
        <v>0.2404123</v>
      </c>
      <c r="BA157" s="310">
        <v>0.20264879999999999</v>
      </c>
      <c r="BB157" s="310">
        <v>0.2463043</v>
      </c>
      <c r="BC157" s="310">
        <v>0.24430730000000001</v>
      </c>
      <c r="BD157" s="310">
        <v>0.2452269</v>
      </c>
      <c r="BE157" s="310">
        <v>0.24426320000000001</v>
      </c>
      <c r="BF157" s="310">
        <v>0.24034030000000001</v>
      </c>
      <c r="BG157" s="310">
        <v>0.2422657</v>
      </c>
      <c r="BH157" s="310">
        <v>0.23860819999999999</v>
      </c>
      <c r="BI157" s="310">
        <v>0.24600749999999999</v>
      </c>
      <c r="BJ157" s="310">
        <v>0.2469961</v>
      </c>
      <c r="BK157" s="310">
        <v>0.2467152</v>
      </c>
    </row>
    <row r="158" spans="1:63" x14ac:dyDescent="0.25">
      <c r="A158" s="306">
        <v>327390</v>
      </c>
      <c r="B158" s="310" t="s">
        <v>144</v>
      </c>
      <c r="C158" s="310">
        <v>0.29054530000000001</v>
      </c>
      <c r="D158" s="310">
        <v>0.27843610000000002</v>
      </c>
      <c r="E158" s="310">
        <v>0.2767347</v>
      </c>
      <c r="F158" s="310">
        <v>0.27327170000000001</v>
      </c>
      <c r="G158" s="310">
        <v>0.28711940000000002</v>
      </c>
      <c r="H158" s="310">
        <v>0.28903099999999998</v>
      </c>
      <c r="I158" s="310">
        <v>0.28957310000000003</v>
      </c>
      <c r="J158" s="310">
        <v>0.27478320000000001</v>
      </c>
      <c r="K158" s="310">
        <v>0</v>
      </c>
      <c r="L158" s="310">
        <v>0.23309240000000001</v>
      </c>
      <c r="M158" s="310">
        <v>0.28803430000000002</v>
      </c>
      <c r="N158" s="310">
        <v>0.28363379999999999</v>
      </c>
      <c r="O158" s="310">
        <v>0.2851902</v>
      </c>
      <c r="P158" s="310">
        <v>0.27341860000000001</v>
      </c>
      <c r="Q158" s="310">
        <v>0.28846149999999998</v>
      </c>
      <c r="R158" s="310">
        <v>0.2730629</v>
      </c>
      <c r="S158" s="310">
        <v>0.27468880000000001</v>
      </c>
      <c r="T158" s="310">
        <v>0.25601750000000001</v>
      </c>
      <c r="U158" s="310">
        <v>0.2712484</v>
      </c>
      <c r="V158" s="310">
        <v>0.28113850000000001</v>
      </c>
      <c r="W158" s="310">
        <v>0.26219749999999997</v>
      </c>
      <c r="X158" s="310">
        <v>0.25502000000000002</v>
      </c>
      <c r="Y158" s="310">
        <v>0.28236260000000002</v>
      </c>
      <c r="Z158" s="310">
        <v>0.28537879999999999</v>
      </c>
      <c r="AA158" s="310">
        <v>0.2757348</v>
      </c>
      <c r="AB158" s="310">
        <v>0.27662730000000002</v>
      </c>
      <c r="AC158" s="310">
        <v>0.27689760000000002</v>
      </c>
      <c r="AD158" s="310">
        <v>0.29053430000000002</v>
      </c>
      <c r="AE158" s="310">
        <v>0.2819566</v>
      </c>
      <c r="AF158" s="310">
        <v>0.25733200000000001</v>
      </c>
      <c r="AG158" s="310">
        <v>0.27984029999999999</v>
      </c>
      <c r="AH158" s="310">
        <v>0.25505369999999999</v>
      </c>
      <c r="AI158" s="310">
        <v>0.27167809999999998</v>
      </c>
      <c r="AJ158" s="310">
        <v>0.28562939999999998</v>
      </c>
      <c r="AK158" s="310">
        <v>0.28254940000000001</v>
      </c>
      <c r="AL158" s="310">
        <v>0.27859879999999998</v>
      </c>
      <c r="AM158" s="310">
        <v>0.27931099999999998</v>
      </c>
      <c r="AN158" s="310">
        <v>0.28655700000000001</v>
      </c>
      <c r="AO158" s="310">
        <v>0.27867619999999999</v>
      </c>
      <c r="AP158" s="310">
        <v>0.28175860000000003</v>
      </c>
      <c r="AQ158" s="310">
        <v>0.2278683</v>
      </c>
      <c r="AR158" s="310">
        <v>0.27783760000000002</v>
      </c>
      <c r="AS158" s="310">
        <v>0.28119949999999999</v>
      </c>
      <c r="AT158" s="310">
        <v>0.27501100000000001</v>
      </c>
      <c r="AU158" s="310">
        <v>0.28758250000000002</v>
      </c>
      <c r="AV158" s="310">
        <v>0.28651680000000002</v>
      </c>
      <c r="AW158" s="310">
        <v>0.26985680000000001</v>
      </c>
      <c r="AX158" s="310">
        <v>0.27188830000000003</v>
      </c>
      <c r="AY158" s="310">
        <v>0.28355930000000001</v>
      </c>
      <c r="AZ158" s="310">
        <v>0.2814064</v>
      </c>
      <c r="BA158" s="310">
        <v>0.23720740000000001</v>
      </c>
      <c r="BB158" s="310">
        <v>0.2882883</v>
      </c>
      <c r="BC158" s="310">
        <v>0.2859701</v>
      </c>
      <c r="BD158" s="310">
        <v>0.2870161</v>
      </c>
      <c r="BE158" s="310">
        <v>0.28593610000000003</v>
      </c>
      <c r="BF158" s="310">
        <v>0.2812733</v>
      </c>
      <c r="BG158" s="310">
        <v>0.2835181</v>
      </c>
      <c r="BH158" s="310">
        <v>0.2792615</v>
      </c>
      <c r="BI158" s="310">
        <v>0.28799520000000001</v>
      </c>
      <c r="BJ158" s="310">
        <v>0.28904849999999999</v>
      </c>
      <c r="BK158" s="310">
        <v>0.28880889999999998</v>
      </c>
    </row>
    <row r="159" spans="1:63" x14ac:dyDescent="0.25">
      <c r="A159" s="306" t="s">
        <v>720</v>
      </c>
      <c r="B159" s="310" t="s">
        <v>145</v>
      </c>
      <c r="C159" s="310">
        <v>0.16358439999999999</v>
      </c>
      <c r="D159" s="310">
        <v>0</v>
      </c>
      <c r="E159" s="310">
        <v>0.15582799999999999</v>
      </c>
      <c r="F159" s="310">
        <v>0.15389520000000001</v>
      </c>
      <c r="G159" s="310">
        <v>0.16166179999999999</v>
      </c>
      <c r="H159" s="310">
        <v>0.16275500000000001</v>
      </c>
      <c r="I159" s="310">
        <v>0.16302410000000001</v>
      </c>
      <c r="J159" s="310">
        <v>0.15473480000000001</v>
      </c>
      <c r="K159" s="310">
        <v>0</v>
      </c>
      <c r="L159" s="310">
        <v>0.13128790000000001</v>
      </c>
      <c r="M159" s="310">
        <v>0.1622026</v>
      </c>
      <c r="N159" s="310">
        <v>0.15968830000000001</v>
      </c>
      <c r="O159" s="310">
        <v>0</v>
      </c>
      <c r="P159" s="310">
        <v>0.15394179999999999</v>
      </c>
      <c r="Q159" s="310">
        <v>0.16240679999999999</v>
      </c>
      <c r="R159" s="310">
        <v>0.15376580000000001</v>
      </c>
      <c r="S159" s="310">
        <v>0.1547067</v>
      </c>
      <c r="T159" s="310">
        <v>0.1441461</v>
      </c>
      <c r="U159" s="310">
        <v>0.15275520000000001</v>
      </c>
      <c r="V159" s="310">
        <v>0.1582653</v>
      </c>
      <c r="W159" s="310">
        <v>0.14763299999999999</v>
      </c>
      <c r="X159" s="310">
        <v>0.14357449999999999</v>
      </c>
      <c r="Y159" s="310">
        <v>0</v>
      </c>
      <c r="Z159" s="310">
        <v>0.16068470000000001</v>
      </c>
      <c r="AA159" s="310">
        <v>0</v>
      </c>
      <c r="AB159" s="310">
        <v>0.15576889999999999</v>
      </c>
      <c r="AC159" s="310">
        <v>0.15588879999999999</v>
      </c>
      <c r="AD159" s="310">
        <v>0.16358809999999999</v>
      </c>
      <c r="AE159" s="310">
        <v>0.1587808</v>
      </c>
      <c r="AF159" s="310">
        <v>0</v>
      </c>
      <c r="AG159" s="310">
        <v>0.1575347</v>
      </c>
      <c r="AH159" s="310">
        <v>0.14357790000000001</v>
      </c>
      <c r="AI159" s="310">
        <v>0.15295139999999999</v>
      </c>
      <c r="AJ159" s="310">
        <v>0.1607912</v>
      </c>
      <c r="AK159" s="310">
        <v>0.15909480000000001</v>
      </c>
      <c r="AL159" s="310">
        <v>0.15687960000000001</v>
      </c>
      <c r="AM159" s="310">
        <v>0.157277</v>
      </c>
      <c r="AN159" s="310">
        <v>0.16130510000000001</v>
      </c>
      <c r="AO159" s="310">
        <v>0.15691450000000001</v>
      </c>
      <c r="AP159" s="310">
        <v>0.15866230000000001</v>
      </c>
      <c r="AQ159" s="310">
        <v>0</v>
      </c>
      <c r="AR159" s="310">
        <v>0.1564316</v>
      </c>
      <c r="AS159" s="310">
        <v>0.15832940000000001</v>
      </c>
      <c r="AT159" s="310">
        <v>0.15485650000000001</v>
      </c>
      <c r="AU159" s="310">
        <v>0.16192799999999999</v>
      </c>
      <c r="AV159" s="310">
        <v>0.16130140000000001</v>
      </c>
      <c r="AW159" s="310">
        <v>0.1519566</v>
      </c>
      <c r="AX159" s="310">
        <v>0</v>
      </c>
      <c r="AY159" s="310">
        <v>0.15964629999999999</v>
      </c>
      <c r="AZ159" s="310">
        <v>0.15842300000000001</v>
      </c>
      <c r="BA159" s="310">
        <v>0.1335702</v>
      </c>
      <c r="BB159" s="310">
        <v>0.16233149999999999</v>
      </c>
      <c r="BC159" s="310">
        <v>0.1610211</v>
      </c>
      <c r="BD159" s="310">
        <v>0.16162199999999999</v>
      </c>
      <c r="BE159" s="310">
        <v>0.1609883</v>
      </c>
      <c r="BF159" s="310">
        <v>0.15838179999999999</v>
      </c>
      <c r="BG159" s="310">
        <v>0.1596631</v>
      </c>
      <c r="BH159" s="310">
        <v>0.1572345</v>
      </c>
      <c r="BI159" s="310">
        <v>0.1621669</v>
      </c>
      <c r="BJ159" s="310">
        <v>0.16274649999999999</v>
      </c>
      <c r="BK159" s="310">
        <v>0.16261210000000001</v>
      </c>
    </row>
    <row r="160" spans="1:63" x14ac:dyDescent="0.25">
      <c r="A160" s="306">
        <v>327910</v>
      </c>
      <c r="B160" s="310" t="s">
        <v>146</v>
      </c>
      <c r="C160" s="310">
        <v>0.23389090000000001</v>
      </c>
      <c r="D160" s="310">
        <v>0</v>
      </c>
      <c r="E160" s="310">
        <v>0.22276940000000001</v>
      </c>
      <c r="F160" s="310">
        <v>0.21999730000000001</v>
      </c>
      <c r="G160" s="310">
        <v>0.231126</v>
      </c>
      <c r="H160" s="310">
        <v>0.2326375</v>
      </c>
      <c r="I160" s="310">
        <v>0.2330807</v>
      </c>
      <c r="J160" s="310">
        <v>0.22119030000000001</v>
      </c>
      <c r="K160" s="310">
        <v>0</v>
      </c>
      <c r="L160" s="310">
        <v>0</v>
      </c>
      <c r="M160" s="310">
        <v>0.23186770000000001</v>
      </c>
      <c r="N160" s="310">
        <v>0.2283192</v>
      </c>
      <c r="O160" s="310">
        <v>0</v>
      </c>
      <c r="P160" s="310">
        <v>0.22012100000000001</v>
      </c>
      <c r="Q160" s="310">
        <v>0.23219629999999999</v>
      </c>
      <c r="R160" s="310">
        <v>0.21982309999999999</v>
      </c>
      <c r="S160" s="310">
        <v>0.22116150000000001</v>
      </c>
      <c r="T160" s="310">
        <v>0.206091</v>
      </c>
      <c r="U160" s="310">
        <v>0.21835740000000001</v>
      </c>
      <c r="V160" s="310">
        <v>0.2263154</v>
      </c>
      <c r="W160" s="310">
        <v>0.21107690000000001</v>
      </c>
      <c r="X160" s="310">
        <v>0.20526169999999999</v>
      </c>
      <c r="Y160" s="310">
        <v>0</v>
      </c>
      <c r="Z160" s="310">
        <v>0.22970409999999999</v>
      </c>
      <c r="AA160" s="310">
        <v>0.221944</v>
      </c>
      <c r="AB160" s="310">
        <v>0.2226698</v>
      </c>
      <c r="AC160" s="310">
        <v>0.2228774</v>
      </c>
      <c r="AD160" s="310">
        <v>0</v>
      </c>
      <c r="AE160" s="310">
        <v>0.226937</v>
      </c>
      <c r="AF160" s="310">
        <v>0</v>
      </c>
      <c r="AG160" s="310">
        <v>0</v>
      </c>
      <c r="AH160" s="310">
        <v>0.2052686</v>
      </c>
      <c r="AI160" s="310">
        <v>0.21869269999999999</v>
      </c>
      <c r="AJ160" s="310">
        <v>0</v>
      </c>
      <c r="AK160" s="310">
        <v>0</v>
      </c>
      <c r="AL160" s="310">
        <v>0.2242489</v>
      </c>
      <c r="AM160" s="310">
        <v>0.2248376</v>
      </c>
      <c r="AN160" s="310">
        <v>0</v>
      </c>
      <c r="AO160" s="310">
        <v>0.22431960000000001</v>
      </c>
      <c r="AP160" s="310">
        <v>0.2267845</v>
      </c>
      <c r="AQ160" s="310">
        <v>0.1834279</v>
      </c>
      <c r="AR160" s="310">
        <v>0.22365389999999999</v>
      </c>
      <c r="AS160" s="310">
        <v>0</v>
      </c>
      <c r="AT160" s="310">
        <v>0.22137970000000001</v>
      </c>
      <c r="AU160" s="310">
        <v>0.23144400000000001</v>
      </c>
      <c r="AV160" s="310">
        <v>0.2306387</v>
      </c>
      <c r="AW160" s="310">
        <v>0.21721209999999999</v>
      </c>
      <c r="AX160" s="310">
        <v>0.2188235</v>
      </c>
      <c r="AY160" s="310">
        <v>0.22824549999999999</v>
      </c>
      <c r="AZ160" s="310">
        <v>0.22649059999999999</v>
      </c>
      <c r="BA160" s="310">
        <v>0</v>
      </c>
      <c r="BB160" s="310">
        <v>0</v>
      </c>
      <c r="BC160" s="310">
        <v>0.2301723</v>
      </c>
      <c r="BD160" s="310">
        <v>0.2310682</v>
      </c>
      <c r="BE160" s="310">
        <v>0.2301704</v>
      </c>
      <c r="BF160" s="310">
        <v>0.22643830000000001</v>
      </c>
      <c r="BG160" s="310">
        <v>0.2282286</v>
      </c>
      <c r="BH160" s="310">
        <v>0.22478989999999999</v>
      </c>
      <c r="BI160" s="310">
        <v>0.23183110000000001</v>
      </c>
      <c r="BJ160" s="310">
        <v>0.2327023</v>
      </c>
      <c r="BK160" s="310">
        <v>0.23248759999999999</v>
      </c>
    </row>
    <row r="161" spans="1:63" x14ac:dyDescent="0.25">
      <c r="A161" s="306">
        <v>327991</v>
      </c>
      <c r="B161" s="310" t="s">
        <v>147</v>
      </c>
      <c r="C161" s="310">
        <v>0.35471829999999999</v>
      </c>
      <c r="D161" s="310">
        <v>0.33994839999999998</v>
      </c>
      <c r="E161" s="310">
        <v>0.33786100000000002</v>
      </c>
      <c r="F161" s="310">
        <v>0.3336519</v>
      </c>
      <c r="G161" s="310">
        <v>0.35055599999999998</v>
      </c>
      <c r="H161" s="310">
        <v>0.35281980000000002</v>
      </c>
      <c r="I161" s="310">
        <v>0.35348930000000001</v>
      </c>
      <c r="J161" s="310">
        <v>0.33541510000000002</v>
      </c>
      <c r="K161" s="310">
        <v>0</v>
      </c>
      <c r="L161" s="310">
        <v>0.2845879</v>
      </c>
      <c r="M161" s="310">
        <v>0.35166360000000002</v>
      </c>
      <c r="N161" s="310">
        <v>0.34626129999999999</v>
      </c>
      <c r="O161" s="310">
        <v>0.3482287</v>
      </c>
      <c r="P161" s="310">
        <v>0.33380090000000001</v>
      </c>
      <c r="Q161" s="310">
        <v>0.35216789999999998</v>
      </c>
      <c r="R161" s="310">
        <v>0.33335350000000002</v>
      </c>
      <c r="S161" s="310">
        <v>0.33538750000000001</v>
      </c>
      <c r="T161" s="310">
        <v>0.31247399999999997</v>
      </c>
      <c r="U161" s="310">
        <v>0.33116659999999998</v>
      </c>
      <c r="V161" s="310">
        <v>0.34321649999999998</v>
      </c>
      <c r="W161" s="310">
        <v>0.32017600000000002</v>
      </c>
      <c r="X161" s="310">
        <v>0.3113089</v>
      </c>
      <c r="Y161" s="310">
        <v>0.34467419999999999</v>
      </c>
      <c r="Z161" s="310">
        <v>0.34841630000000001</v>
      </c>
      <c r="AA161" s="310">
        <v>0.33665309999999998</v>
      </c>
      <c r="AB161" s="310">
        <v>0.33770450000000002</v>
      </c>
      <c r="AC161" s="310">
        <v>0.33802179999999998</v>
      </c>
      <c r="AD161" s="310">
        <v>0.35470459999999998</v>
      </c>
      <c r="AE161" s="310">
        <v>0.3441921</v>
      </c>
      <c r="AF161" s="310">
        <v>0.314141</v>
      </c>
      <c r="AG161" s="310">
        <v>0.34164169999999999</v>
      </c>
      <c r="AH161" s="310">
        <v>0.31132140000000003</v>
      </c>
      <c r="AI161" s="310">
        <v>0.33165339999999999</v>
      </c>
      <c r="AJ161" s="310">
        <v>0.34869119999999998</v>
      </c>
      <c r="AK161" s="310">
        <v>0.34498519999999999</v>
      </c>
      <c r="AL161" s="310">
        <v>0.34011089999999999</v>
      </c>
      <c r="AM161" s="310">
        <v>0.34098689999999998</v>
      </c>
      <c r="AN161" s="310">
        <v>0.34979860000000002</v>
      </c>
      <c r="AO161" s="310">
        <v>0.34019949999999999</v>
      </c>
      <c r="AP161" s="310">
        <v>0.34399400000000002</v>
      </c>
      <c r="AQ161" s="310">
        <v>0.27821299999999999</v>
      </c>
      <c r="AR161" s="310">
        <v>0.33920529999999999</v>
      </c>
      <c r="AS161" s="310">
        <v>0.34331869999999998</v>
      </c>
      <c r="AT161" s="310">
        <v>0.33572750000000001</v>
      </c>
      <c r="AU161" s="310">
        <v>0.35107280000000002</v>
      </c>
      <c r="AV161" s="310">
        <v>0.34978920000000002</v>
      </c>
      <c r="AW161" s="310">
        <v>0.32943420000000001</v>
      </c>
      <c r="AX161" s="310">
        <v>0.33190799999999998</v>
      </c>
      <c r="AY161" s="310">
        <v>0.34616180000000002</v>
      </c>
      <c r="AZ161" s="310">
        <v>0.34356629999999999</v>
      </c>
      <c r="BA161" s="310">
        <v>0.2895662</v>
      </c>
      <c r="BB161" s="310">
        <v>0.35197450000000002</v>
      </c>
      <c r="BC161" s="310">
        <v>0.34912900000000002</v>
      </c>
      <c r="BD161" s="310">
        <v>0.35042790000000001</v>
      </c>
      <c r="BE161" s="310">
        <v>0.3490201</v>
      </c>
      <c r="BF161" s="310">
        <v>0.34339160000000002</v>
      </c>
      <c r="BG161" s="310">
        <v>0.34614660000000003</v>
      </c>
      <c r="BH161" s="310">
        <v>0.34095720000000002</v>
      </c>
      <c r="BI161" s="310">
        <v>0.35155189999999997</v>
      </c>
      <c r="BJ161" s="310">
        <v>0.35286849999999997</v>
      </c>
      <c r="BK161" s="310">
        <v>0.35256749999999998</v>
      </c>
    </row>
    <row r="162" spans="1:63" x14ac:dyDescent="0.25">
      <c r="A162" s="306">
        <v>327992</v>
      </c>
      <c r="B162" s="310" t="s">
        <v>148</v>
      </c>
      <c r="C162" s="310">
        <v>0.1590789</v>
      </c>
      <c r="D162" s="310">
        <v>0</v>
      </c>
      <c r="E162" s="310">
        <v>0.1515118</v>
      </c>
      <c r="F162" s="310">
        <v>0.14966209999999999</v>
      </c>
      <c r="G162" s="310">
        <v>0.15720039999999999</v>
      </c>
      <c r="H162" s="310">
        <v>0.15824840000000001</v>
      </c>
      <c r="I162" s="310">
        <v>0.15852450000000001</v>
      </c>
      <c r="J162" s="310">
        <v>0</v>
      </c>
      <c r="K162" s="310">
        <v>0</v>
      </c>
      <c r="L162" s="310">
        <v>0</v>
      </c>
      <c r="M162" s="310">
        <v>0.1577035</v>
      </c>
      <c r="N162" s="310">
        <v>0.1552808</v>
      </c>
      <c r="O162" s="310">
        <v>0</v>
      </c>
      <c r="P162" s="310">
        <v>0</v>
      </c>
      <c r="Q162" s="310">
        <v>0</v>
      </c>
      <c r="R162" s="310">
        <v>0.1494828</v>
      </c>
      <c r="S162" s="310">
        <v>0.15040339999999999</v>
      </c>
      <c r="T162" s="310">
        <v>0</v>
      </c>
      <c r="U162" s="310">
        <v>0.1485214</v>
      </c>
      <c r="V162" s="310">
        <v>0.15394240000000001</v>
      </c>
      <c r="W162" s="310">
        <v>0.1436016</v>
      </c>
      <c r="X162" s="310">
        <v>0</v>
      </c>
      <c r="Y162" s="310">
        <v>0.1546129</v>
      </c>
      <c r="Z162" s="310">
        <v>0.15623670000000001</v>
      </c>
      <c r="AA162" s="310">
        <v>0.1509955</v>
      </c>
      <c r="AB162" s="310">
        <v>0.15148539999999999</v>
      </c>
      <c r="AC162" s="310">
        <v>0</v>
      </c>
      <c r="AD162" s="310">
        <v>0</v>
      </c>
      <c r="AE162" s="310">
        <v>0.1543832</v>
      </c>
      <c r="AF162" s="310">
        <v>0</v>
      </c>
      <c r="AG162" s="310">
        <v>0</v>
      </c>
      <c r="AH162" s="310">
        <v>0</v>
      </c>
      <c r="AI162" s="310">
        <v>0.14877670000000001</v>
      </c>
      <c r="AJ162" s="310">
        <v>0.15635089999999999</v>
      </c>
      <c r="AK162" s="310">
        <v>0.15472250000000001</v>
      </c>
      <c r="AL162" s="310">
        <v>0.15257999999999999</v>
      </c>
      <c r="AM162" s="310">
        <v>0.1529625</v>
      </c>
      <c r="AN162" s="310">
        <v>0.15689929999999999</v>
      </c>
      <c r="AO162" s="310">
        <v>0.15256800000000001</v>
      </c>
      <c r="AP162" s="310">
        <v>0.15424660000000001</v>
      </c>
      <c r="AQ162" s="310">
        <v>0</v>
      </c>
      <c r="AR162" s="310">
        <v>0.152119</v>
      </c>
      <c r="AS162" s="310">
        <v>0</v>
      </c>
      <c r="AT162" s="310">
        <v>0.1505581</v>
      </c>
      <c r="AU162" s="310">
        <v>0.1574449</v>
      </c>
      <c r="AV162" s="310">
        <v>0</v>
      </c>
      <c r="AW162" s="310">
        <v>0.14773729999999999</v>
      </c>
      <c r="AX162" s="310">
        <v>0</v>
      </c>
      <c r="AY162" s="310">
        <v>0.15528130000000001</v>
      </c>
      <c r="AZ162" s="310">
        <v>0.15406880000000001</v>
      </c>
      <c r="BA162" s="310">
        <v>0</v>
      </c>
      <c r="BB162" s="310">
        <v>0.15786249999999999</v>
      </c>
      <c r="BC162" s="310">
        <v>0.15656390000000001</v>
      </c>
      <c r="BD162" s="310">
        <v>0.15717539999999999</v>
      </c>
      <c r="BE162" s="310">
        <v>0.1565481</v>
      </c>
      <c r="BF162" s="310">
        <v>0.15403140000000001</v>
      </c>
      <c r="BG162" s="310">
        <v>0.15523239999999999</v>
      </c>
      <c r="BH162" s="310">
        <v>0.152916</v>
      </c>
      <c r="BI162" s="310">
        <v>0.15765609999999999</v>
      </c>
      <c r="BJ162" s="310">
        <v>0.1582887</v>
      </c>
      <c r="BK162" s="310">
        <v>0.158141</v>
      </c>
    </row>
    <row r="163" spans="1:63" x14ac:dyDescent="0.25">
      <c r="A163" s="306">
        <v>327993</v>
      </c>
      <c r="B163" s="310" t="s">
        <v>149</v>
      </c>
      <c r="C163" s="310">
        <v>0.19808629999999999</v>
      </c>
      <c r="D163" s="310">
        <v>0</v>
      </c>
      <c r="E163" s="310">
        <v>0.1886622</v>
      </c>
      <c r="F163" s="310">
        <v>0.18627099999999999</v>
      </c>
      <c r="G163" s="310">
        <v>0.19571189999999999</v>
      </c>
      <c r="H163" s="310">
        <v>0.19704550000000001</v>
      </c>
      <c r="I163" s="310">
        <v>0.19739390000000001</v>
      </c>
      <c r="J163" s="310">
        <v>0.1872856</v>
      </c>
      <c r="K163" s="310">
        <v>0</v>
      </c>
      <c r="L163" s="310">
        <v>0</v>
      </c>
      <c r="M163" s="310">
        <v>0.19638849999999999</v>
      </c>
      <c r="N163" s="310">
        <v>0.1933819</v>
      </c>
      <c r="O163" s="310">
        <v>0.19439339999999999</v>
      </c>
      <c r="P163" s="310">
        <v>0.18640570000000001</v>
      </c>
      <c r="Q163" s="310">
        <v>0.19665440000000001</v>
      </c>
      <c r="R163" s="310">
        <v>0.18616179999999999</v>
      </c>
      <c r="S163" s="310">
        <v>0.1872606</v>
      </c>
      <c r="T163" s="310">
        <v>0.17451520000000001</v>
      </c>
      <c r="U163" s="310">
        <v>0.1849025</v>
      </c>
      <c r="V163" s="310">
        <v>0.1916069</v>
      </c>
      <c r="W163" s="310">
        <v>0.17875740000000001</v>
      </c>
      <c r="X163" s="310">
        <v>0</v>
      </c>
      <c r="Y163" s="310">
        <v>0.1924689</v>
      </c>
      <c r="Z163" s="310">
        <v>0.1945404</v>
      </c>
      <c r="AA163" s="310">
        <v>0.1879459</v>
      </c>
      <c r="AB163" s="310">
        <v>0.1885849</v>
      </c>
      <c r="AC163" s="310">
        <v>0.18874089999999999</v>
      </c>
      <c r="AD163" s="310">
        <v>0</v>
      </c>
      <c r="AE163" s="310">
        <v>0.19218779999999999</v>
      </c>
      <c r="AF163" s="310">
        <v>0.17545169999999999</v>
      </c>
      <c r="AG163" s="310">
        <v>0.19074840000000001</v>
      </c>
      <c r="AH163" s="310">
        <v>0</v>
      </c>
      <c r="AI163" s="310">
        <v>0.18521560000000001</v>
      </c>
      <c r="AJ163" s="310">
        <v>0.19465569999999999</v>
      </c>
      <c r="AK163" s="310">
        <v>0.1925964</v>
      </c>
      <c r="AL163" s="310">
        <v>0.1899585</v>
      </c>
      <c r="AM163" s="310">
        <v>0.1903987</v>
      </c>
      <c r="AN163" s="310">
        <v>0.1953329</v>
      </c>
      <c r="AO163" s="310">
        <v>0.1899729</v>
      </c>
      <c r="AP163" s="310">
        <v>0.19206190000000001</v>
      </c>
      <c r="AQ163" s="310">
        <v>0.1553718</v>
      </c>
      <c r="AR163" s="310">
        <v>0.1894323</v>
      </c>
      <c r="AS163" s="310">
        <v>0.19167980000000001</v>
      </c>
      <c r="AT163" s="310">
        <v>0.18745829999999999</v>
      </c>
      <c r="AU163" s="310">
        <v>0.19604379999999999</v>
      </c>
      <c r="AV163" s="310">
        <v>0.1953155</v>
      </c>
      <c r="AW163" s="310">
        <v>0.18396309999999999</v>
      </c>
      <c r="AX163" s="310">
        <v>0</v>
      </c>
      <c r="AY163" s="310">
        <v>0.19331760000000001</v>
      </c>
      <c r="AZ163" s="310">
        <v>0.19182589999999999</v>
      </c>
      <c r="BA163" s="310">
        <v>0.1617014</v>
      </c>
      <c r="BB163" s="310">
        <v>0</v>
      </c>
      <c r="BC163" s="310">
        <v>0.1949176</v>
      </c>
      <c r="BD163" s="310">
        <v>0.19565569999999999</v>
      </c>
      <c r="BE163" s="310">
        <v>0.19488320000000001</v>
      </c>
      <c r="BF163" s="310">
        <v>0.1917401</v>
      </c>
      <c r="BG163" s="310">
        <v>0.19329499999999999</v>
      </c>
      <c r="BH163" s="310">
        <v>0.19038959999999999</v>
      </c>
      <c r="BI163" s="310">
        <v>0.19631870000000001</v>
      </c>
      <c r="BJ163" s="310">
        <v>0.19703319999999999</v>
      </c>
      <c r="BK163" s="310">
        <v>0.19687499999999999</v>
      </c>
    </row>
    <row r="164" spans="1:63" x14ac:dyDescent="0.25">
      <c r="A164" s="306">
        <v>327999</v>
      </c>
      <c r="B164" s="310" t="s">
        <v>721</v>
      </c>
      <c r="C164" s="310">
        <v>0.20287379999999999</v>
      </c>
      <c r="D164" s="310">
        <v>0</v>
      </c>
      <c r="E164" s="310">
        <v>0.1932101</v>
      </c>
      <c r="F164" s="310">
        <v>0.1908145</v>
      </c>
      <c r="G164" s="310">
        <v>0.20045830000000001</v>
      </c>
      <c r="H164" s="310">
        <v>0.20177290000000001</v>
      </c>
      <c r="I164" s="310">
        <v>0.2021531</v>
      </c>
      <c r="J164" s="310">
        <v>0.1918338</v>
      </c>
      <c r="K164" s="310">
        <v>8.1588499999999994E-2</v>
      </c>
      <c r="L164" s="310">
        <v>0.16276009999999999</v>
      </c>
      <c r="M164" s="310">
        <v>0.20108970000000001</v>
      </c>
      <c r="N164" s="310">
        <v>0.19801630000000001</v>
      </c>
      <c r="O164" s="310">
        <v>0.19914480000000001</v>
      </c>
      <c r="P164" s="310">
        <v>0.1909102</v>
      </c>
      <c r="Q164" s="310">
        <v>0.2013789</v>
      </c>
      <c r="R164" s="310">
        <v>0.19065180000000001</v>
      </c>
      <c r="S164" s="310">
        <v>0.19178149999999999</v>
      </c>
      <c r="T164" s="310">
        <v>0.1786983</v>
      </c>
      <c r="U164" s="310">
        <v>0.18939429999999999</v>
      </c>
      <c r="V164" s="310">
        <v>0.1962798</v>
      </c>
      <c r="W164" s="310">
        <v>0.1830561</v>
      </c>
      <c r="X164" s="310">
        <v>0.17805770000000001</v>
      </c>
      <c r="Y164" s="310">
        <v>0.1970962</v>
      </c>
      <c r="Z164" s="310">
        <v>0.1992333</v>
      </c>
      <c r="AA164" s="310">
        <v>0.19252059999999999</v>
      </c>
      <c r="AB164" s="310">
        <v>0.19313060000000001</v>
      </c>
      <c r="AC164" s="310">
        <v>0</v>
      </c>
      <c r="AD164" s="310">
        <v>0.20283109999999999</v>
      </c>
      <c r="AE164" s="310">
        <v>0.19686390000000001</v>
      </c>
      <c r="AF164" s="310">
        <v>0</v>
      </c>
      <c r="AG164" s="310">
        <v>0.19535930000000001</v>
      </c>
      <c r="AH164" s="310">
        <v>0.1780272</v>
      </c>
      <c r="AI164" s="310">
        <v>0.18968579999999999</v>
      </c>
      <c r="AJ164" s="310">
        <v>0.19936770000000001</v>
      </c>
      <c r="AK164" s="310">
        <v>0.1972758</v>
      </c>
      <c r="AL164" s="310">
        <v>0.1945392</v>
      </c>
      <c r="AM164" s="310">
        <v>0.19500219999999999</v>
      </c>
      <c r="AN164" s="310">
        <v>0.20002200000000001</v>
      </c>
      <c r="AO164" s="310">
        <v>0.1945654</v>
      </c>
      <c r="AP164" s="310">
        <v>0.19671820000000001</v>
      </c>
      <c r="AQ164" s="310">
        <v>0.15909619999999999</v>
      </c>
      <c r="AR164" s="310">
        <v>0.1939977</v>
      </c>
      <c r="AS164" s="310">
        <v>0.196302</v>
      </c>
      <c r="AT164" s="310">
        <v>0.19198560000000001</v>
      </c>
      <c r="AU164" s="310">
        <v>0.2007312</v>
      </c>
      <c r="AV164" s="310">
        <v>0.2000198</v>
      </c>
      <c r="AW164" s="310">
        <v>0.18841279999999999</v>
      </c>
      <c r="AX164" s="310">
        <v>0.1898126</v>
      </c>
      <c r="AY164" s="310">
        <v>0.19794400000000001</v>
      </c>
      <c r="AZ164" s="310">
        <v>0.1964544</v>
      </c>
      <c r="BA164" s="310">
        <v>0.165602</v>
      </c>
      <c r="BB164" s="310">
        <v>0</v>
      </c>
      <c r="BC164" s="310">
        <v>0.19963639999999999</v>
      </c>
      <c r="BD164" s="310">
        <v>0.20041709999999999</v>
      </c>
      <c r="BE164" s="310">
        <v>0.19960810000000001</v>
      </c>
      <c r="BF164" s="310">
        <v>0.1963579</v>
      </c>
      <c r="BG164" s="310">
        <v>0.19796179999999999</v>
      </c>
      <c r="BH164" s="310">
        <v>0.19497900000000001</v>
      </c>
      <c r="BI164" s="310">
        <v>0.2010479</v>
      </c>
      <c r="BJ164" s="310">
        <v>0.2018249</v>
      </c>
      <c r="BK164" s="310">
        <v>0.20161370000000001</v>
      </c>
    </row>
    <row r="165" spans="1:63" x14ac:dyDescent="0.25">
      <c r="A165" s="306">
        <v>331110</v>
      </c>
      <c r="B165" s="310" t="s">
        <v>150</v>
      </c>
      <c r="C165" s="310">
        <v>0.15731429999999999</v>
      </c>
      <c r="D165" s="310">
        <v>0.1472678</v>
      </c>
      <c r="E165" s="310">
        <v>0.1551148</v>
      </c>
      <c r="F165" s="310">
        <v>0.13873369999999999</v>
      </c>
      <c r="G165" s="310">
        <v>0.14751130000000001</v>
      </c>
      <c r="H165" s="310">
        <v>0.1568455</v>
      </c>
      <c r="I165" s="310">
        <v>0.15677060000000001</v>
      </c>
      <c r="J165" s="310">
        <v>0.148865</v>
      </c>
      <c r="K165" s="310">
        <v>0.10240539999999999</v>
      </c>
      <c r="L165" s="310">
        <v>9.4612500000000002E-2</v>
      </c>
      <c r="M165" s="310">
        <v>0.15681929999999999</v>
      </c>
      <c r="N165" s="310">
        <v>0.146476</v>
      </c>
      <c r="O165" s="310">
        <v>8.0273200000000003E-2</v>
      </c>
      <c r="P165" s="310">
        <v>0.12900539999999999</v>
      </c>
      <c r="Q165" s="310">
        <v>0.1405274</v>
      </c>
      <c r="R165" s="310">
        <v>0.1434077</v>
      </c>
      <c r="S165" s="310">
        <v>0.14829700000000001</v>
      </c>
      <c r="T165" s="310">
        <v>0.1414475</v>
      </c>
      <c r="U165" s="310">
        <v>0.1397333</v>
      </c>
      <c r="V165" s="310">
        <v>0.15356700000000001</v>
      </c>
      <c r="W165" s="310">
        <v>0.1408655</v>
      </c>
      <c r="X165" s="310">
        <v>0.14413909999999999</v>
      </c>
      <c r="Y165" s="310">
        <v>0</v>
      </c>
      <c r="Z165" s="310">
        <v>0.15395300000000001</v>
      </c>
      <c r="AA165" s="310">
        <v>0.1510958</v>
      </c>
      <c r="AB165" s="310">
        <v>0.14552190000000001</v>
      </c>
      <c r="AC165" s="310">
        <v>0.1503775</v>
      </c>
      <c r="AD165" s="310">
        <v>0.15644849999999999</v>
      </c>
      <c r="AE165" s="310">
        <v>0.15100250000000001</v>
      </c>
      <c r="AF165" s="310">
        <v>0.1305037</v>
      </c>
      <c r="AG165" s="310">
        <v>0.1522184</v>
      </c>
      <c r="AH165" s="310">
        <v>0.1427523</v>
      </c>
      <c r="AI165" s="310">
        <v>0.14113000000000001</v>
      </c>
      <c r="AJ165" s="310">
        <v>0.1177913</v>
      </c>
      <c r="AK165" s="310">
        <v>0</v>
      </c>
      <c r="AL165" s="310">
        <v>0.154033</v>
      </c>
      <c r="AM165" s="310">
        <v>0.14931510000000001</v>
      </c>
      <c r="AN165" s="310">
        <v>0.15498300000000001</v>
      </c>
      <c r="AO165" s="310">
        <v>0.13820460000000001</v>
      </c>
      <c r="AP165" s="310">
        <v>0.15212310000000001</v>
      </c>
      <c r="AQ165" s="310">
        <v>0.14162420000000001</v>
      </c>
      <c r="AR165" s="310">
        <v>0.15322659999999999</v>
      </c>
      <c r="AS165" s="310">
        <v>0</v>
      </c>
      <c r="AT165" s="310">
        <v>0.14741360000000001</v>
      </c>
      <c r="AU165" s="310">
        <v>0.1550675</v>
      </c>
      <c r="AV165" s="310">
        <v>0.15506700000000001</v>
      </c>
      <c r="AW165" s="310">
        <v>0.15234490000000001</v>
      </c>
      <c r="AX165" s="310">
        <v>0.14481579999999999</v>
      </c>
      <c r="AY165" s="310">
        <v>0.14633060000000001</v>
      </c>
      <c r="AZ165" s="310">
        <v>0.14999760000000001</v>
      </c>
      <c r="BA165" s="310">
        <v>0.1108169</v>
      </c>
      <c r="BB165" s="310">
        <v>0</v>
      </c>
      <c r="BC165" s="310">
        <v>0.15618389999999999</v>
      </c>
      <c r="BD165" s="310">
        <v>0.15442819999999999</v>
      </c>
      <c r="BE165" s="310">
        <v>0.15361030000000001</v>
      </c>
      <c r="BF165" s="310">
        <v>0.14692649999999999</v>
      </c>
      <c r="BG165" s="310">
        <v>0.14649599999999999</v>
      </c>
      <c r="BH165" s="310">
        <v>0.1506941</v>
      </c>
      <c r="BI165" s="310">
        <v>0.1537858</v>
      </c>
      <c r="BJ165" s="310">
        <v>0.15463779999999999</v>
      </c>
      <c r="BK165" s="310">
        <v>0.15626190000000001</v>
      </c>
    </row>
    <row r="166" spans="1:63" x14ac:dyDescent="0.25">
      <c r="A166" s="306">
        <v>331200</v>
      </c>
      <c r="B166" s="310" t="s">
        <v>151</v>
      </c>
      <c r="C166" s="310">
        <v>0.16949030000000001</v>
      </c>
      <c r="D166" s="310">
        <v>0.15872559999999999</v>
      </c>
      <c r="E166" s="310">
        <v>0.16708319999999999</v>
      </c>
      <c r="F166" s="310">
        <v>0.14949419999999999</v>
      </c>
      <c r="G166" s="310">
        <v>0.158943</v>
      </c>
      <c r="H166" s="310">
        <v>0.16901479999999999</v>
      </c>
      <c r="I166" s="310">
        <v>0.16890459999999999</v>
      </c>
      <c r="J166" s="310">
        <v>0.1604177</v>
      </c>
      <c r="K166" s="310">
        <v>0</v>
      </c>
      <c r="L166" s="310">
        <v>0.101937</v>
      </c>
      <c r="M166" s="310">
        <v>0.16898079999999999</v>
      </c>
      <c r="N166" s="310">
        <v>0.1578031</v>
      </c>
      <c r="O166" s="310">
        <v>8.6490700000000004E-2</v>
      </c>
      <c r="P166" s="310">
        <v>0.1389756</v>
      </c>
      <c r="Q166" s="310">
        <v>0.15135960000000001</v>
      </c>
      <c r="R166" s="310">
        <v>0.1544922</v>
      </c>
      <c r="S166" s="310">
        <v>0.15974930000000001</v>
      </c>
      <c r="T166" s="310">
        <v>0.1524219</v>
      </c>
      <c r="U166" s="310">
        <v>0.15052399999999999</v>
      </c>
      <c r="V166" s="310">
        <v>0.16547310000000001</v>
      </c>
      <c r="W166" s="310">
        <v>0.1518052</v>
      </c>
      <c r="X166" s="310">
        <v>0.15527060000000001</v>
      </c>
      <c r="Y166" s="310">
        <v>0.16390260000000001</v>
      </c>
      <c r="Z166" s="310">
        <v>0.16582769999999999</v>
      </c>
      <c r="AA166" s="310">
        <v>0.16277179999999999</v>
      </c>
      <c r="AB166" s="310">
        <v>0.15676090000000001</v>
      </c>
      <c r="AC166" s="310">
        <v>0.1620057</v>
      </c>
      <c r="AD166" s="310">
        <v>0.1685393</v>
      </c>
      <c r="AE166" s="310">
        <v>0.16266359999999999</v>
      </c>
      <c r="AF166" s="310">
        <v>0</v>
      </c>
      <c r="AG166" s="310">
        <v>0.16398979999999999</v>
      </c>
      <c r="AH166" s="310">
        <v>0.15380089999999999</v>
      </c>
      <c r="AI166" s="310">
        <v>0.15204819999999999</v>
      </c>
      <c r="AJ166" s="310">
        <v>0</v>
      </c>
      <c r="AK166" s="310">
        <v>0.16110659999999999</v>
      </c>
      <c r="AL166" s="310">
        <v>0.16593859999999999</v>
      </c>
      <c r="AM166" s="310">
        <v>0.1608578</v>
      </c>
      <c r="AN166" s="310">
        <v>0.1669601</v>
      </c>
      <c r="AO166" s="310">
        <v>0.14890120000000001</v>
      </c>
      <c r="AP166" s="310">
        <v>0.16387199999999999</v>
      </c>
      <c r="AQ166" s="310">
        <v>0.1525831</v>
      </c>
      <c r="AR166" s="310">
        <v>0.16508519999999999</v>
      </c>
      <c r="AS166" s="310">
        <v>0.16260920000000001</v>
      </c>
      <c r="AT166" s="310">
        <v>0.1588127</v>
      </c>
      <c r="AU166" s="310">
        <v>0.16703380000000001</v>
      </c>
      <c r="AV166" s="310">
        <v>0.1670642</v>
      </c>
      <c r="AW166" s="310">
        <v>0.16411690000000001</v>
      </c>
      <c r="AX166" s="310">
        <v>0.1559913</v>
      </c>
      <c r="AY166" s="310">
        <v>0.15760660000000001</v>
      </c>
      <c r="AZ166" s="310">
        <v>0.16158980000000001</v>
      </c>
      <c r="BA166" s="310">
        <v>0.1193861</v>
      </c>
      <c r="BB166" s="310">
        <v>0</v>
      </c>
      <c r="BC166" s="310">
        <v>0.1682564</v>
      </c>
      <c r="BD166" s="310">
        <v>0.16640079999999999</v>
      </c>
      <c r="BE166" s="310">
        <v>0.1655112</v>
      </c>
      <c r="BF166" s="310">
        <v>0.15827550000000001</v>
      </c>
      <c r="BG166" s="310">
        <v>0.1578415</v>
      </c>
      <c r="BH166" s="310">
        <v>0.162356</v>
      </c>
      <c r="BI166" s="310">
        <v>0.16565579999999999</v>
      </c>
      <c r="BJ166" s="310">
        <v>0.16662299999999999</v>
      </c>
      <c r="BK166" s="310">
        <v>0.16832730000000001</v>
      </c>
    </row>
    <row r="167" spans="1:63" x14ac:dyDescent="0.25">
      <c r="A167" s="306">
        <v>331314</v>
      </c>
      <c r="B167" s="310" t="s">
        <v>153</v>
      </c>
      <c r="C167" s="310">
        <v>0.1184545</v>
      </c>
      <c r="D167" s="310">
        <v>0</v>
      </c>
      <c r="E167" s="310">
        <v>0.1167871</v>
      </c>
      <c r="F167" s="310">
        <v>0.1044721</v>
      </c>
      <c r="G167" s="310">
        <v>0</v>
      </c>
      <c r="H167" s="310">
        <v>0.11810710000000001</v>
      </c>
      <c r="I167" s="310">
        <v>0</v>
      </c>
      <c r="J167" s="310">
        <v>0</v>
      </c>
      <c r="K167" s="310">
        <v>0</v>
      </c>
      <c r="L167" s="310">
        <v>0</v>
      </c>
      <c r="M167" s="310">
        <v>0.1181191</v>
      </c>
      <c r="N167" s="310">
        <v>0.110308</v>
      </c>
      <c r="O167" s="310">
        <v>0</v>
      </c>
      <c r="P167" s="310">
        <v>9.7136899999999998E-2</v>
      </c>
      <c r="Q167" s="310">
        <v>0.1058221</v>
      </c>
      <c r="R167" s="310">
        <v>0.107999</v>
      </c>
      <c r="S167" s="310">
        <v>0.1116631</v>
      </c>
      <c r="T167" s="310">
        <v>0.1065429</v>
      </c>
      <c r="U167" s="310">
        <v>0.1052314</v>
      </c>
      <c r="V167" s="310">
        <v>0.1156363</v>
      </c>
      <c r="W167" s="310">
        <v>0.1060905</v>
      </c>
      <c r="X167" s="310">
        <v>0.1085154</v>
      </c>
      <c r="Y167" s="310">
        <v>0</v>
      </c>
      <c r="Z167" s="310">
        <v>0.1159332</v>
      </c>
      <c r="AA167" s="310">
        <v>0.1137729</v>
      </c>
      <c r="AB167" s="310">
        <v>0.1095945</v>
      </c>
      <c r="AC167" s="310">
        <v>0</v>
      </c>
      <c r="AD167" s="310">
        <v>0</v>
      </c>
      <c r="AE167" s="310">
        <v>0.113707</v>
      </c>
      <c r="AF167" s="310">
        <v>0</v>
      </c>
      <c r="AG167" s="310">
        <v>0</v>
      </c>
      <c r="AH167" s="310">
        <v>0</v>
      </c>
      <c r="AI167" s="310">
        <v>0.106298</v>
      </c>
      <c r="AJ167" s="310">
        <v>0</v>
      </c>
      <c r="AK167" s="310">
        <v>0</v>
      </c>
      <c r="AL167" s="310">
        <v>0.1160021</v>
      </c>
      <c r="AM167" s="310">
        <v>0.1124202</v>
      </c>
      <c r="AN167" s="310">
        <v>0.1167247</v>
      </c>
      <c r="AO167" s="310">
        <v>0.1040929</v>
      </c>
      <c r="AP167" s="310">
        <v>0.1145362</v>
      </c>
      <c r="AQ167" s="310">
        <v>0</v>
      </c>
      <c r="AR167" s="310">
        <v>0.1154087</v>
      </c>
      <c r="AS167" s="310">
        <v>0</v>
      </c>
      <c r="AT167" s="310">
        <v>0.11100740000000001</v>
      </c>
      <c r="AU167" s="310">
        <v>0.1167531</v>
      </c>
      <c r="AV167" s="310">
        <v>0</v>
      </c>
      <c r="AW167" s="310">
        <v>0</v>
      </c>
      <c r="AX167" s="310">
        <v>0</v>
      </c>
      <c r="AY167" s="310">
        <v>0.1101718</v>
      </c>
      <c r="AZ167" s="310">
        <v>0.1129609</v>
      </c>
      <c r="BA167" s="310">
        <v>0</v>
      </c>
      <c r="BB167" s="310">
        <v>0</v>
      </c>
      <c r="BC167" s="310">
        <v>0.117593</v>
      </c>
      <c r="BD167" s="310">
        <v>0.1163053</v>
      </c>
      <c r="BE167" s="310">
        <v>0.1156763</v>
      </c>
      <c r="BF167" s="310">
        <v>0.1106389</v>
      </c>
      <c r="BG167" s="310">
        <v>0.1103215</v>
      </c>
      <c r="BH167" s="310">
        <v>0.11348080000000001</v>
      </c>
      <c r="BI167" s="310">
        <v>0.11581180000000001</v>
      </c>
      <c r="BJ167" s="310">
        <v>0.1164364</v>
      </c>
      <c r="BK167" s="310">
        <v>0.11765150000000001</v>
      </c>
    </row>
    <row r="168" spans="1:63" x14ac:dyDescent="0.25">
      <c r="A168" s="306" t="s">
        <v>722</v>
      </c>
      <c r="B168" s="310" t="s">
        <v>152</v>
      </c>
      <c r="C168" s="310">
        <v>0.14976339999999999</v>
      </c>
      <c r="D168" s="310">
        <v>0</v>
      </c>
      <c r="E168" s="310">
        <v>0.14766019999999999</v>
      </c>
      <c r="F168" s="310">
        <v>0.13211880000000001</v>
      </c>
      <c r="G168" s="310">
        <v>0.14044580000000001</v>
      </c>
      <c r="H168" s="310">
        <v>0.149363</v>
      </c>
      <c r="I168" s="310">
        <v>0</v>
      </c>
      <c r="J168" s="310">
        <v>0</v>
      </c>
      <c r="K168" s="310">
        <v>0</v>
      </c>
      <c r="L168" s="310">
        <v>0</v>
      </c>
      <c r="M168" s="310">
        <v>0.14933379999999999</v>
      </c>
      <c r="N168" s="310">
        <v>0.13948050000000001</v>
      </c>
      <c r="O168" s="310">
        <v>0</v>
      </c>
      <c r="P168" s="310">
        <v>0</v>
      </c>
      <c r="Q168" s="310">
        <v>0.1338008</v>
      </c>
      <c r="R168" s="310">
        <v>0.1365249</v>
      </c>
      <c r="S168" s="310">
        <v>0.1411625</v>
      </c>
      <c r="T168" s="310">
        <v>0</v>
      </c>
      <c r="U168" s="310">
        <v>0.1330182</v>
      </c>
      <c r="V168" s="310">
        <v>0.14622750000000001</v>
      </c>
      <c r="W168" s="310">
        <v>0.1341222</v>
      </c>
      <c r="X168" s="310">
        <v>0.1372351</v>
      </c>
      <c r="Y168" s="310">
        <v>0</v>
      </c>
      <c r="Z168" s="310">
        <v>0</v>
      </c>
      <c r="AA168" s="310">
        <v>0.1438207</v>
      </c>
      <c r="AB168" s="310">
        <v>0.13856370000000001</v>
      </c>
      <c r="AC168" s="310">
        <v>0</v>
      </c>
      <c r="AD168" s="310">
        <v>0.14893960000000001</v>
      </c>
      <c r="AE168" s="310">
        <v>0.1437378</v>
      </c>
      <c r="AF168" s="310">
        <v>0</v>
      </c>
      <c r="AG168" s="310">
        <v>0</v>
      </c>
      <c r="AH168" s="310">
        <v>0.13592899999999999</v>
      </c>
      <c r="AI168" s="310">
        <v>0.13440279999999999</v>
      </c>
      <c r="AJ168" s="310">
        <v>0</v>
      </c>
      <c r="AK168" s="310">
        <v>0</v>
      </c>
      <c r="AL168" s="310">
        <v>0.1466286</v>
      </c>
      <c r="AM168" s="310">
        <v>0.14213439999999999</v>
      </c>
      <c r="AN168" s="310">
        <v>0.1475583</v>
      </c>
      <c r="AO168" s="310">
        <v>0.1315849</v>
      </c>
      <c r="AP168" s="310">
        <v>0.1448246</v>
      </c>
      <c r="AQ168" s="310">
        <v>0</v>
      </c>
      <c r="AR168" s="310">
        <v>0.1459066</v>
      </c>
      <c r="AS168" s="310">
        <v>0</v>
      </c>
      <c r="AT168" s="310">
        <v>0.14036509999999999</v>
      </c>
      <c r="AU168" s="310">
        <v>0.1476074</v>
      </c>
      <c r="AV168" s="310">
        <v>0</v>
      </c>
      <c r="AW168" s="310">
        <v>0</v>
      </c>
      <c r="AX168" s="310">
        <v>0</v>
      </c>
      <c r="AY168" s="310">
        <v>0.1392893</v>
      </c>
      <c r="AZ168" s="310">
        <v>0</v>
      </c>
      <c r="BA168" s="310">
        <v>0.10554819999999999</v>
      </c>
      <c r="BB168" s="310">
        <v>0</v>
      </c>
      <c r="BC168" s="310">
        <v>0.14869099999999999</v>
      </c>
      <c r="BD168" s="310">
        <v>0.14705499999999999</v>
      </c>
      <c r="BE168" s="310">
        <v>0.1462601</v>
      </c>
      <c r="BF168" s="310">
        <v>0.1398626</v>
      </c>
      <c r="BG168" s="310">
        <v>0.13950419999999999</v>
      </c>
      <c r="BH168" s="310">
        <v>0.14346410000000001</v>
      </c>
      <c r="BI168" s="310">
        <v>0.14641470000000001</v>
      </c>
      <c r="BJ168" s="310">
        <v>0.14723900000000001</v>
      </c>
      <c r="BK168" s="310">
        <v>0.1487464</v>
      </c>
    </row>
    <row r="169" spans="1:63" x14ac:dyDescent="0.25">
      <c r="A169" s="306" t="s">
        <v>723</v>
      </c>
      <c r="B169" s="310" t="s">
        <v>154</v>
      </c>
      <c r="C169" s="310">
        <v>0.1331165</v>
      </c>
      <c r="D169" s="310">
        <v>0</v>
      </c>
      <c r="E169" s="310">
        <v>0.13124620000000001</v>
      </c>
      <c r="F169" s="310">
        <v>0.1173969</v>
      </c>
      <c r="G169" s="310">
        <v>0.1248592</v>
      </c>
      <c r="H169" s="310">
        <v>0.13273860000000001</v>
      </c>
      <c r="I169" s="310">
        <v>0.13264100000000001</v>
      </c>
      <c r="J169" s="310">
        <v>0.12598709999999999</v>
      </c>
      <c r="K169" s="310">
        <v>0</v>
      </c>
      <c r="L169" s="310">
        <v>0</v>
      </c>
      <c r="M169" s="310">
        <v>0.1327004</v>
      </c>
      <c r="N169" s="310">
        <v>0.1239513</v>
      </c>
      <c r="O169" s="310">
        <v>0</v>
      </c>
      <c r="P169" s="310">
        <v>0.1091786</v>
      </c>
      <c r="Q169" s="310">
        <v>0</v>
      </c>
      <c r="R169" s="310">
        <v>0.12134979999999999</v>
      </c>
      <c r="S169" s="310">
        <v>0.1254632</v>
      </c>
      <c r="T169" s="310">
        <v>0.11969680000000001</v>
      </c>
      <c r="U169" s="310">
        <v>0.118257</v>
      </c>
      <c r="V169" s="310">
        <v>0.1299737</v>
      </c>
      <c r="W169" s="310">
        <v>0.1192304</v>
      </c>
      <c r="X169" s="310">
        <v>0.12195540000000001</v>
      </c>
      <c r="Y169" s="310">
        <v>0</v>
      </c>
      <c r="Z169" s="310">
        <v>0.13025410000000001</v>
      </c>
      <c r="AA169" s="310">
        <v>0.12785160000000001</v>
      </c>
      <c r="AB169" s="310">
        <v>0.1231405</v>
      </c>
      <c r="AC169" s="310">
        <v>0.12723499999999999</v>
      </c>
      <c r="AD169" s="310">
        <v>0</v>
      </c>
      <c r="AE169" s="310">
        <v>0.1278051</v>
      </c>
      <c r="AF169" s="310">
        <v>0</v>
      </c>
      <c r="AG169" s="310">
        <v>0</v>
      </c>
      <c r="AH169" s="310">
        <v>0.1207858</v>
      </c>
      <c r="AI169" s="310">
        <v>0.11944730000000001</v>
      </c>
      <c r="AJ169" s="310">
        <v>0</v>
      </c>
      <c r="AK169" s="310">
        <v>0.12653059999999999</v>
      </c>
      <c r="AL169" s="310">
        <v>0.13031680000000001</v>
      </c>
      <c r="AM169" s="310">
        <v>0.1263493</v>
      </c>
      <c r="AN169" s="310">
        <v>0.13116349999999999</v>
      </c>
      <c r="AO169" s="310">
        <v>0.11695079999999999</v>
      </c>
      <c r="AP169" s="310">
        <v>0.12872030000000001</v>
      </c>
      <c r="AQ169" s="310">
        <v>0</v>
      </c>
      <c r="AR169" s="310">
        <v>0.12969130000000001</v>
      </c>
      <c r="AS169" s="310">
        <v>0.12773139999999999</v>
      </c>
      <c r="AT169" s="310">
        <v>0.1247379</v>
      </c>
      <c r="AU169" s="310">
        <v>0.13120029999999999</v>
      </c>
      <c r="AV169" s="310">
        <v>0.13123689999999999</v>
      </c>
      <c r="AW169" s="310">
        <v>0.12891859999999999</v>
      </c>
      <c r="AX169" s="310">
        <v>0</v>
      </c>
      <c r="AY169" s="310">
        <v>0.12381929999999999</v>
      </c>
      <c r="AZ169" s="310">
        <v>0.1269333</v>
      </c>
      <c r="BA169" s="310">
        <v>9.3809699999999996E-2</v>
      </c>
      <c r="BB169" s="310">
        <v>0</v>
      </c>
      <c r="BC169" s="310">
        <v>0.13215730000000001</v>
      </c>
      <c r="BD169" s="310">
        <v>0.13066610000000001</v>
      </c>
      <c r="BE169" s="310">
        <v>0.12999820000000001</v>
      </c>
      <c r="BF169" s="310">
        <v>0.124335</v>
      </c>
      <c r="BG169" s="310">
        <v>0.1239494</v>
      </c>
      <c r="BH169" s="310">
        <v>0.12754940000000001</v>
      </c>
      <c r="BI169" s="310">
        <v>0.13011929999999999</v>
      </c>
      <c r="BJ169" s="310">
        <v>0.1308636</v>
      </c>
      <c r="BK169" s="310">
        <v>0.13221939999999999</v>
      </c>
    </row>
    <row r="170" spans="1:63" x14ac:dyDescent="0.25">
      <c r="A170" s="306">
        <v>331411</v>
      </c>
      <c r="B170" s="310" t="s">
        <v>155</v>
      </c>
      <c r="C170" s="310">
        <v>0.11844449999999999</v>
      </c>
      <c r="D170" s="310">
        <v>0</v>
      </c>
      <c r="E170" s="310">
        <v>0</v>
      </c>
      <c r="F170" s="310">
        <v>0</v>
      </c>
      <c r="G170" s="310">
        <v>0.11110159999999999</v>
      </c>
      <c r="H170" s="310">
        <v>0</v>
      </c>
      <c r="I170" s="310">
        <v>0</v>
      </c>
      <c r="J170" s="310">
        <v>0</v>
      </c>
      <c r="K170" s="310">
        <v>0</v>
      </c>
      <c r="L170" s="310">
        <v>0</v>
      </c>
      <c r="M170" s="310">
        <v>0</v>
      </c>
      <c r="N170" s="310">
        <v>0</v>
      </c>
      <c r="O170" s="310">
        <v>0</v>
      </c>
      <c r="P170" s="310">
        <v>0</v>
      </c>
      <c r="Q170" s="310">
        <v>0</v>
      </c>
      <c r="R170" s="310">
        <v>0</v>
      </c>
      <c r="S170" s="310">
        <v>0</v>
      </c>
      <c r="T170" s="310">
        <v>0</v>
      </c>
      <c r="U170" s="310">
        <v>0</v>
      </c>
      <c r="V170" s="310">
        <v>0</v>
      </c>
      <c r="W170" s="310">
        <v>0</v>
      </c>
      <c r="X170" s="310">
        <v>0</v>
      </c>
      <c r="Y170" s="310">
        <v>0</v>
      </c>
      <c r="Z170" s="310">
        <v>0.115939</v>
      </c>
      <c r="AA170" s="310">
        <v>0</v>
      </c>
      <c r="AB170" s="310">
        <v>0</v>
      </c>
      <c r="AC170" s="310">
        <v>0</v>
      </c>
      <c r="AD170" s="310">
        <v>0</v>
      </c>
      <c r="AE170" s="310">
        <v>0</v>
      </c>
      <c r="AF170" s="310">
        <v>0</v>
      </c>
      <c r="AG170" s="310">
        <v>0</v>
      </c>
      <c r="AH170" s="310">
        <v>0</v>
      </c>
      <c r="AI170" s="310">
        <v>0</v>
      </c>
      <c r="AJ170" s="310">
        <v>0</v>
      </c>
      <c r="AK170" s="310">
        <v>0</v>
      </c>
      <c r="AL170" s="310">
        <v>0</v>
      </c>
      <c r="AM170" s="310">
        <v>0</v>
      </c>
      <c r="AN170" s="310">
        <v>0</v>
      </c>
      <c r="AO170" s="310">
        <v>0</v>
      </c>
      <c r="AP170" s="310">
        <v>0</v>
      </c>
      <c r="AQ170" s="310">
        <v>0.1066332</v>
      </c>
      <c r="AR170" s="310">
        <v>0</v>
      </c>
      <c r="AS170" s="310">
        <v>0</v>
      </c>
      <c r="AT170" s="310">
        <v>0</v>
      </c>
      <c r="AU170" s="310">
        <v>0.11677129999999999</v>
      </c>
      <c r="AV170" s="310">
        <v>0.11675580000000001</v>
      </c>
      <c r="AW170" s="310">
        <v>0</v>
      </c>
      <c r="AX170" s="310">
        <v>0</v>
      </c>
      <c r="AY170" s="310">
        <v>0</v>
      </c>
      <c r="AZ170" s="310">
        <v>0</v>
      </c>
      <c r="BA170" s="310">
        <v>0</v>
      </c>
      <c r="BB170" s="310">
        <v>0</v>
      </c>
      <c r="BC170" s="310">
        <v>0.1176222</v>
      </c>
      <c r="BD170" s="310">
        <v>0</v>
      </c>
      <c r="BE170" s="310">
        <v>0.11570569999999999</v>
      </c>
      <c r="BF170" s="310">
        <v>0</v>
      </c>
      <c r="BG170" s="310">
        <v>0</v>
      </c>
      <c r="BH170" s="310">
        <v>0</v>
      </c>
      <c r="BI170" s="310">
        <v>0.1158008</v>
      </c>
      <c r="BJ170" s="310">
        <v>0.1164702</v>
      </c>
      <c r="BK170" s="310">
        <v>0</v>
      </c>
    </row>
    <row r="171" spans="1:63" x14ac:dyDescent="0.25">
      <c r="A171" s="306">
        <v>331419</v>
      </c>
      <c r="B171" s="310" t="s">
        <v>156</v>
      </c>
      <c r="C171" s="310">
        <v>0.18790899999999999</v>
      </c>
      <c r="D171" s="310">
        <v>0</v>
      </c>
      <c r="E171" s="310">
        <v>0.1852587</v>
      </c>
      <c r="F171" s="310">
        <v>0.16573080000000001</v>
      </c>
      <c r="G171" s="310">
        <v>0.1762117</v>
      </c>
      <c r="H171" s="310">
        <v>0.18740770000000001</v>
      </c>
      <c r="I171" s="310">
        <v>0.1872839</v>
      </c>
      <c r="J171" s="310">
        <v>0.17788290000000001</v>
      </c>
      <c r="K171" s="310">
        <v>0</v>
      </c>
      <c r="L171" s="310">
        <v>0</v>
      </c>
      <c r="M171" s="310">
        <v>0.1873348</v>
      </c>
      <c r="N171" s="310">
        <v>0</v>
      </c>
      <c r="O171" s="310">
        <v>0</v>
      </c>
      <c r="P171" s="310">
        <v>0</v>
      </c>
      <c r="Q171" s="310">
        <v>0.16783970000000001</v>
      </c>
      <c r="R171" s="310">
        <v>0.17130319999999999</v>
      </c>
      <c r="S171" s="310">
        <v>0</v>
      </c>
      <c r="T171" s="310">
        <v>0.1690141</v>
      </c>
      <c r="U171" s="310">
        <v>0</v>
      </c>
      <c r="V171" s="310">
        <v>0</v>
      </c>
      <c r="W171" s="310">
        <v>0.16831280000000001</v>
      </c>
      <c r="X171" s="310">
        <v>0</v>
      </c>
      <c r="Y171" s="310">
        <v>0</v>
      </c>
      <c r="Z171" s="310">
        <v>0.18392349999999999</v>
      </c>
      <c r="AA171" s="310">
        <v>0.18046509999999999</v>
      </c>
      <c r="AB171" s="310">
        <v>0.17382649999999999</v>
      </c>
      <c r="AC171" s="310">
        <v>0</v>
      </c>
      <c r="AD171" s="310">
        <v>0.18689230000000001</v>
      </c>
      <c r="AE171" s="310">
        <v>0.1804114</v>
      </c>
      <c r="AF171" s="310">
        <v>0.15589810000000001</v>
      </c>
      <c r="AG171" s="310">
        <v>0</v>
      </c>
      <c r="AH171" s="310">
        <v>0</v>
      </c>
      <c r="AI171" s="310">
        <v>0.168629</v>
      </c>
      <c r="AJ171" s="310">
        <v>0.14069139999999999</v>
      </c>
      <c r="AK171" s="310">
        <v>0.17859559999999999</v>
      </c>
      <c r="AL171" s="310">
        <v>0.1839847</v>
      </c>
      <c r="AM171" s="310">
        <v>0.17835309999999999</v>
      </c>
      <c r="AN171" s="310">
        <v>0</v>
      </c>
      <c r="AO171" s="310">
        <v>0.1651282</v>
      </c>
      <c r="AP171" s="310">
        <v>0.181729</v>
      </c>
      <c r="AQ171" s="310">
        <v>0.16921929999999999</v>
      </c>
      <c r="AR171" s="310">
        <v>0.18304480000000001</v>
      </c>
      <c r="AS171" s="310">
        <v>0.18031269999999999</v>
      </c>
      <c r="AT171" s="310">
        <v>0.17613699999999999</v>
      </c>
      <c r="AU171" s="310">
        <v>0.18520339999999999</v>
      </c>
      <c r="AV171" s="310">
        <v>0.18523700000000001</v>
      </c>
      <c r="AW171" s="310">
        <v>0</v>
      </c>
      <c r="AX171" s="310">
        <v>0</v>
      </c>
      <c r="AY171" s="310">
        <v>0.17479310000000001</v>
      </c>
      <c r="AZ171" s="310">
        <v>0</v>
      </c>
      <c r="BA171" s="310">
        <v>0</v>
      </c>
      <c r="BB171" s="310">
        <v>0</v>
      </c>
      <c r="BC171" s="310">
        <v>0.18655550000000001</v>
      </c>
      <c r="BD171" s="310">
        <v>0.18449170000000001</v>
      </c>
      <c r="BE171" s="310">
        <v>0.18352489999999999</v>
      </c>
      <c r="BF171" s="310">
        <v>0.17548469999999999</v>
      </c>
      <c r="BG171" s="310">
        <v>0.17500689999999999</v>
      </c>
      <c r="BH171" s="310">
        <v>0.18003089999999999</v>
      </c>
      <c r="BI171" s="310">
        <v>0.18369669999999999</v>
      </c>
      <c r="BJ171" s="310">
        <v>0.18473200000000001</v>
      </c>
      <c r="BK171" s="310">
        <v>0.18662880000000001</v>
      </c>
    </row>
    <row r="172" spans="1:63" x14ac:dyDescent="0.25">
      <c r="A172" s="306">
        <v>331420</v>
      </c>
      <c r="B172" s="310" t="s">
        <v>157</v>
      </c>
      <c r="C172" s="310">
        <v>0.14171839999999999</v>
      </c>
      <c r="D172" s="310">
        <v>0</v>
      </c>
      <c r="E172" s="310">
        <v>0.1397427</v>
      </c>
      <c r="F172" s="310">
        <v>0.1249942</v>
      </c>
      <c r="G172" s="310">
        <v>0.13291500000000001</v>
      </c>
      <c r="H172" s="310">
        <v>0.14133209999999999</v>
      </c>
      <c r="I172" s="310">
        <v>0.1412429</v>
      </c>
      <c r="J172" s="310">
        <v>0.13414519999999999</v>
      </c>
      <c r="K172" s="310">
        <v>0</v>
      </c>
      <c r="L172" s="310">
        <v>8.5267999999999997E-2</v>
      </c>
      <c r="M172" s="310">
        <v>0.14129159999999999</v>
      </c>
      <c r="N172" s="310">
        <v>0.13195850000000001</v>
      </c>
      <c r="O172" s="310">
        <v>0</v>
      </c>
      <c r="P172" s="310">
        <v>0.1161885</v>
      </c>
      <c r="Q172" s="310">
        <v>0</v>
      </c>
      <c r="R172" s="310">
        <v>0.1291872</v>
      </c>
      <c r="S172" s="310">
        <v>0.133576</v>
      </c>
      <c r="T172" s="310">
        <v>0.12741759999999999</v>
      </c>
      <c r="U172" s="310">
        <v>0.1258917</v>
      </c>
      <c r="V172" s="310">
        <v>0.1383791</v>
      </c>
      <c r="W172" s="310">
        <v>0.1269353</v>
      </c>
      <c r="X172" s="310">
        <v>0.12981480000000001</v>
      </c>
      <c r="Y172" s="310">
        <v>0.13704810000000001</v>
      </c>
      <c r="Z172" s="310">
        <v>0.1386732</v>
      </c>
      <c r="AA172" s="310">
        <v>0.1361076</v>
      </c>
      <c r="AB172" s="310">
        <v>0.1310856</v>
      </c>
      <c r="AC172" s="310">
        <v>0.13546730000000001</v>
      </c>
      <c r="AD172" s="310">
        <v>0</v>
      </c>
      <c r="AE172" s="310">
        <v>0.13605600000000001</v>
      </c>
      <c r="AF172" s="310">
        <v>0</v>
      </c>
      <c r="AG172" s="310">
        <v>0.13712340000000001</v>
      </c>
      <c r="AH172" s="310">
        <v>0.12860279999999999</v>
      </c>
      <c r="AI172" s="310">
        <v>0.12713659999999999</v>
      </c>
      <c r="AJ172" s="310">
        <v>0.10607129999999999</v>
      </c>
      <c r="AK172" s="310">
        <v>0</v>
      </c>
      <c r="AL172" s="310">
        <v>0.13875960000000001</v>
      </c>
      <c r="AM172" s="310">
        <v>0.1344939</v>
      </c>
      <c r="AN172" s="310">
        <v>0.13963619999999999</v>
      </c>
      <c r="AO172" s="310">
        <v>0.1245102</v>
      </c>
      <c r="AP172" s="310">
        <v>0.13704230000000001</v>
      </c>
      <c r="AQ172" s="310">
        <v>0.12761259999999999</v>
      </c>
      <c r="AR172" s="310">
        <v>0.13806750000000001</v>
      </c>
      <c r="AS172" s="310">
        <v>0</v>
      </c>
      <c r="AT172" s="310">
        <v>0.1328241</v>
      </c>
      <c r="AU172" s="310">
        <v>0.13967189999999999</v>
      </c>
      <c r="AV172" s="310">
        <v>0.1396801</v>
      </c>
      <c r="AW172" s="310">
        <v>0.13727809999999999</v>
      </c>
      <c r="AX172" s="310">
        <v>0.1304487</v>
      </c>
      <c r="AY172" s="310">
        <v>0</v>
      </c>
      <c r="AZ172" s="310">
        <v>0.13514490000000001</v>
      </c>
      <c r="BA172" s="310">
        <v>9.9874000000000004E-2</v>
      </c>
      <c r="BB172" s="310">
        <v>0</v>
      </c>
      <c r="BC172" s="310">
        <v>0.1407186</v>
      </c>
      <c r="BD172" s="310">
        <v>0.13914660000000001</v>
      </c>
      <c r="BE172" s="310">
        <v>0.138409</v>
      </c>
      <c r="BF172" s="310">
        <v>0.13233719999999999</v>
      </c>
      <c r="BG172" s="310">
        <v>0.1319765</v>
      </c>
      <c r="BH172" s="310">
        <v>0.1357843</v>
      </c>
      <c r="BI172" s="310">
        <v>0.13853889999999999</v>
      </c>
      <c r="BJ172" s="310">
        <v>0.13933380000000001</v>
      </c>
      <c r="BK172" s="310">
        <v>0.14073920000000001</v>
      </c>
    </row>
    <row r="173" spans="1:63" x14ac:dyDescent="0.25">
      <c r="A173" s="306">
        <v>331490</v>
      </c>
      <c r="B173" s="310" t="s">
        <v>158</v>
      </c>
      <c r="C173" s="310">
        <v>0.1985991</v>
      </c>
      <c r="D173" s="310">
        <v>0</v>
      </c>
      <c r="E173" s="310">
        <v>0.19579859999999999</v>
      </c>
      <c r="F173" s="310">
        <v>0.17515539999999999</v>
      </c>
      <c r="G173" s="310">
        <v>0.18624950000000001</v>
      </c>
      <c r="H173" s="310">
        <v>0.19803080000000001</v>
      </c>
      <c r="I173" s="310">
        <v>0.1979678</v>
      </c>
      <c r="J173" s="310">
        <v>0.18799859999999999</v>
      </c>
      <c r="K173" s="310">
        <v>0</v>
      </c>
      <c r="L173" s="310">
        <v>0</v>
      </c>
      <c r="M173" s="310">
        <v>0.19801160000000001</v>
      </c>
      <c r="N173" s="310">
        <v>0.18491920000000001</v>
      </c>
      <c r="O173" s="310">
        <v>0</v>
      </c>
      <c r="P173" s="310">
        <v>0</v>
      </c>
      <c r="Q173" s="310">
        <v>0.1774018</v>
      </c>
      <c r="R173" s="310">
        <v>0.1810725</v>
      </c>
      <c r="S173" s="310">
        <v>0.18718689999999999</v>
      </c>
      <c r="T173" s="310">
        <v>0</v>
      </c>
      <c r="U173" s="310">
        <v>0.1764019</v>
      </c>
      <c r="V173" s="310">
        <v>0.1938908</v>
      </c>
      <c r="W173" s="310">
        <v>0.17786689999999999</v>
      </c>
      <c r="X173" s="310">
        <v>0.1819627</v>
      </c>
      <c r="Y173" s="310">
        <v>0.19208149999999999</v>
      </c>
      <c r="Z173" s="310">
        <v>0.1943761</v>
      </c>
      <c r="AA173" s="310">
        <v>0.19070090000000001</v>
      </c>
      <c r="AB173" s="310">
        <v>0.18375639999999999</v>
      </c>
      <c r="AC173" s="310">
        <v>0</v>
      </c>
      <c r="AD173" s="310">
        <v>0.19754630000000001</v>
      </c>
      <c r="AE173" s="310">
        <v>0.1906408</v>
      </c>
      <c r="AF173" s="310">
        <v>0</v>
      </c>
      <c r="AG173" s="310">
        <v>0</v>
      </c>
      <c r="AH173" s="310">
        <v>0.18027170000000001</v>
      </c>
      <c r="AI173" s="310">
        <v>0.178206</v>
      </c>
      <c r="AJ173" s="310">
        <v>0.14867130000000001</v>
      </c>
      <c r="AK173" s="310">
        <v>0.18879950000000001</v>
      </c>
      <c r="AL173" s="310">
        <v>0.1944883</v>
      </c>
      <c r="AM173" s="310">
        <v>0.18851219999999999</v>
      </c>
      <c r="AN173" s="310">
        <v>0.19569500000000001</v>
      </c>
      <c r="AO173" s="310">
        <v>0.17450789999999999</v>
      </c>
      <c r="AP173" s="310">
        <v>0.19203700000000001</v>
      </c>
      <c r="AQ173" s="310">
        <v>0.1788497</v>
      </c>
      <c r="AR173" s="310">
        <v>0.19344980000000001</v>
      </c>
      <c r="AS173" s="310">
        <v>0</v>
      </c>
      <c r="AT173" s="310">
        <v>0.18614600000000001</v>
      </c>
      <c r="AU173" s="310">
        <v>0.19577849999999999</v>
      </c>
      <c r="AV173" s="310">
        <v>0.1957602</v>
      </c>
      <c r="AW173" s="310">
        <v>0.19235969999999999</v>
      </c>
      <c r="AX173" s="310">
        <v>0</v>
      </c>
      <c r="AY173" s="310">
        <v>0.18472949999999999</v>
      </c>
      <c r="AZ173" s="310">
        <v>0.18940019999999999</v>
      </c>
      <c r="BA173" s="310">
        <v>0.13995669999999999</v>
      </c>
      <c r="BB173" s="310">
        <v>0</v>
      </c>
      <c r="BC173" s="310">
        <v>0.1971647</v>
      </c>
      <c r="BD173" s="310">
        <v>0.19500239999999999</v>
      </c>
      <c r="BE173" s="310">
        <v>0.19395580000000001</v>
      </c>
      <c r="BF173" s="310">
        <v>0.1854903</v>
      </c>
      <c r="BG173" s="310">
        <v>0.18495329999999999</v>
      </c>
      <c r="BH173" s="310">
        <v>0.1902788</v>
      </c>
      <c r="BI173" s="310">
        <v>0.19413859999999999</v>
      </c>
      <c r="BJ173" s="310">
        <v>0.19525609999999999</v>
      </c>
      <c r="BK173" s="310">
        <v>0.19724800000000001</v>
      </c>
    </row>
    <row r="174" spans="1:63" x14ac:dyDescent="0.25">
      <c r="A174" s="306">
        <v>331510</v>
      </c>
      <c r="B174" s="310" t="s">
        <v>159</v>
      </c>
      <c r="C174" s="310">
        <v>0.32819209999999999</v>
      </c>
      <c r="D174" s="310">
        <v>0</v>
      </c>
      <c r="E174" s="310">
        <v>0.32355840000000002</v>
      </c>
      <c r="F174" s="310">
        <v>0.28952339999999999</v>
      </c>
      <c r="G174" s="310">
        <v>0.3078071</v>
      </c>
      <c r="H174" s="310">
        <v>0.32727650000000003</v>
      </c>
      <c r="I174" s="310">
        <v>0.3271194</v>
      </c>
      <c r="J174" s="310">
        <v>0.31062919999999999</v>
      </c>
      <c r="K174" s="310">
        <v>0</v>
      </c>
      <c r="L174" s="310">
        <v>0</v>
      </c>
      <c r="M174" s="310">
        <v>0.32726080000000002</v>
      </c>
      <c r="N174" s="310">
        <v>0.30560080000000001</v>
      </c>
      <c r="O174" s="310">
        <v>0</v>
      </c>
      <c r="P174" s="310">
        <v>0.26915329999999998</v>
      </c>
      <c r="Q174" s="310">
        <v>0.29313499999999998</v>
      </c>
      <c r="R174" s="310">
        <v>0.2991953</v>
      </c>
      <c r="S174" s="310">
        <v>0.30938919999999998</v>
      </c>
      <c r="T174" s="310">
        <v>0.29510639999999999</v>
      </c>
      <c r="U174" s="310">
        <v>0.29153519999999999</v>
      </c>
      <c r="V174" s="310">
        <v>0.32041700000000001</v>
      </c>
      <c r="W174" s="310">
        <v>0.29393449999999999</v>
      </c>
      <c r="X174" s="310">
        <v>0.30066540000000003</v>
      </c>
      <c r="Y174" s="310">
        <v>0.31742609999999999</v>
      </c>
      <c r="Z174" s="310">
        <v>0.32119360000000002</v>
      </c>
      <c r="AA174" s="310">
        <v>0.31518069999999998</v>
      </c>
      <c r="AB174" s="310">
        <v>0.30366559999999998</v>
      </c>
      <c r="AC174" s="310">
        <v>0.31372990000000001</v>
      </c>
      <c r="AD174" s="310">
        <v>0.32645160000000001</v>
      </c>
      <c r="AE174" s="310">
        <v>0.31502140000000001</v>
      </c>
      <c r="AF174" s="310">
        <v>0</v>
      </c>
      <c r="AG174" s="310">
        <v>0.31762550000000001</v>
      </c>
      <c r="AH174" s="310">
        <v>0.29784060000000001</v>
      </c>
      <c r="AI174" s="310">
        <v>0.29449239999999999</v>
      </c>
      <c r="AJ174" s="310">
        <v>0.2457134</v>
      </c>
      <c r="AK174" s="310">
        <v>0.31194349999999998</v>
      </c>
      <c r="AL174" s="310">
        <v>0.32133919999999999</v>
      </c>
      <c r="AM174" s="310">
        <v>0.31152849999999999</v>
      </c>
      <c r="AN174" s="310">
        <v>0.32337660000000001</v>
      </c>
      <c r="AO174" s="310">
        <v>0.28835660000000002</v>
      </c>
      <c r="AP174" s="310">
        <v>0.31734200000000001</v>
      </c>
      <c r="AQ174" s="310">
        <v>0.29546939999999999</v>
      </c>
      <c r="AR174" s="310">
        <v>0.31972499999999998</v>
      </c>
      <c r="AS174" s="310">
        <v>0.31491619999999998</v>
      </c>
      <c r="AT174" s="310">
        <v>0.3075869</v>
      </c>
      <c r="AU174" s="310">
        <v>0.32352940000000002</v>
      </c>
      <c r="AV174" s="310">
        <v>0.32354509999999997</v>
      </c>
      <c r="AW174" s="310">
        <v>0.3178704</v>
      </c>
      <c r="AX174" s="310">
        <v>0.30208990000000002</v>
      </c>
      <c r="AY174" s="310">
        <v>0.30524899999999999</v>
      </c>
      <c r="AZ174" s="310">
        <v>0.3129845</v>
      </c>
      <c r="BA174" s="310">
        <v>0.23123779999999999</v>
      </c>
      <c r="BB174" s="310">
        <v>0</v>
      </c>
      <c r="BC174" s="310">
        <v>0.32587919999999998</v>
      </c>
      <c r="BD174" s="310">
        <v>0.32220910000000003</v>
      </c>
      <c r="BE174" s="310">
        <v>0.32050869999999998</v>
      </c>
      <c r="BF174" s="310">
        <v>0.30650899999999998</v>
      </c>
      <c r="BG174" s="310">
        <v>0.30567159999999999</v>
      </c>
      <c r="BH174" s="310">
        <v>0.31442320000000001</v>
      </c>
      <c r="BI174" s="310">
        <v>0.32086019999999998</v>
      </c>
      <c r="BJ174" s="310">
        <v>0.32266519999999999</v>
      </c>
      <c r="BK174" s="310">
        <v>0.32599359999999999</v>
      </c>
    </row>
    <row r="175" spans="1:63" x14ac:dyDescent="0.25">
      <c r="A175" s="306">
        <v>331520</v>
      </c>
      <c r="B175" s="310" t="s">
        <v>160</v>
      </c>
      <c r="C175" s="310">
        <v>0.29396519999999998</v>
      </c>
      <c r="D175" s="310">
        <v>0</v>
      </c>
      <c r="E175" s="310">
        <v>0.2898386</v>
      </c>
      <c r="F175" s="310">
        <v>0.25925690000000001</v>
      </c>
      <c r="G175" s="310">
        <v>0.2756981</v>
      </c>
      <c r="H175" s="310">
        <v>0.29313980000000001</v>
      </c>
      <c r="I175" s="310">
        <v>0.29298819999999998</v>
      </c>
      <c r="J175" s="310">
        <v>0.27821810000000002</v>
      </c>
      <c r="K175" s="310">
        <v>0</v>
      </c>
      <c r="L175" s="310">
        <v>0</v>
      </c>
      <c r="M175" s="310">
        <v>0.29308899999999999</v>
      </c>
      <c r="N175" s="310">
        <v>0.27377230000000002</v>
      </c>
      <c r="O175" s="310">
        <v>0</v>
      </c>
      <c r="P175" s="310">
        <v>0.2410783</v>
      </c>
      <c r="Q175" s="310">
        <v>0.26262259999999998</v>
      </c>
      <c r="R175" s="310">
        <v>0.26802819999999999</v>
      </c>
      <c r="S175" s="310">
        <v>0.27708240000000001</v>
      </c>
      <c r="T175" s="310">
        <v>0.2643219</v>
      </c>
      <c r="U175" s="310">
        <v>0.26113720000000001</v>
      </c>
      <c r="V175" s="310">
        <v>0.28698829999999997</v>
      </c>
      <c r="W175" s="310">
        <v>0.2632776</v>
      </c>
      <c r="X175" s="310">
        <v>0.26933560000000001</v>
      </c>
      <c r="Y175" s="310">
        <v>0.28429490000000002</v>
      </c>
      <c r="Z175" s="310">
        <v>0.28766619999999998</v>
      </c>
      <c r="AA175" s="310">
        <v>0.28231790000000001</v>
      </c>
      <c r="AB175" s="310">
        <v>0.27195639999999999</v>
      </c>
      <c r="AC175" s="310">
        <v>0.2809741</v>
      </c>
      <c r="AD175" s="310">
        <v>0.29239310000000002</v>
      </c>
      <c r="AE175" s="310">
        <v>0.28220020000000001</v>
      </c>
      <c r="AF175" s="310">
        <v>0</v>
      </c>
      <c r="AG175" s="310">
        <v>0.2844796</v>
      </c>
      <c r="AH175" s="310">
        <v>0.26680419999999999</v>
      </c>
      <c r="AI175" s="310">
        <v>0.26372800000000002</v>
      </c>
      <c r="AJ175" s="310">
        <v>0.2201128</v>
      </c>
      <c r="AK175" s="310">
        <v>0.27944849999999999</v>
      </c>
      <c r="AL175" s="310">
        <v>0.28780620000000001</v>
      </c>
      <c r="AM175" s="310">
        <v>0.27900730000000001</v>
      </c>
      <c r="AN175" s="310">
        <v>0.2896167</v>
      </c>
      <c r="AO175" s="310">
        <v>0.25827899999999998</v>
      </c>
      <c r="AP175" s="310">
        <v>0.2842807</v>
      </c>
      <c r="AQ175" s="310">
        <v>0.26466830000000002</v>
      </c>
      <c r="AR175" s="310">
        <v>0.28639110000000001</v>
      </c>
      <c r="AS175" s="310">
        <v>0.28205750000000002</v>
      </c>
      <c r="AT175" s="310">
        <v>0.27547909999999998</v>
      </c>
      <c r="AU175" s="310">
        <v>0.28979820000000001</v>
      </c>
      <c r="AV175" s="310">
        <v>0.28978779999999998</v>
      </c>
      <c r="AW175" s="310">
        <v>0.28471410000000003</v>
      </c>
      <c r="AX175" s="310">
        <v>0</v>
      </c>
      <c r="AY175" s="310">
        <v>0.27341559999999998</v>
      </c>
      <c r="AZ175" s="310">
        <v>0.28032210000000002</v>
      </c>
      <c r="BA175" s="310">
        <v>0.20709230000000001</v>
      </c>
      <c r="BB175" s="310">
        <v>0.27847280000000002</v>
      </c>
      <c r="BC175" s="310">
        <v>0.29189389999999998</v>
      </c>
      <c r="BD175" s="310">
        <v>0.28859659999999998</v>
      </c>
      <c r="BE175" s="310">
        <v>0.28707510000000003</v>
      </c>
      <c r="BF175" s="310">
        <v>0.27451219999999998</v>
      </c>
      <c r="BG175" s="310">
        <v>0.2737734</v>
      </c>
      <c r="BH175" s="310">
        <v>0.2816109</v>
      </c>
      <c r="BI175" s="310">
        <v>0.2873465</v>
      </c>
      <c r="BJ175" s="310">
        <v>0.28902610000000001</v>
      </c>
      <c r="BK175" s="310">
        <v>0.29200100000000001</v>
      </c>
    </row>
    <row r="176" spans="1:63" x14ac:dyDescent="0.25">
      <c r="A176" s="306">
        <v>332114</v>
      </c>
      <c r="B176" s="310" t="s">
        <v>162</v>
      </c>
      <c r="C176" s="310">
        <v>0.1802241</v>
      </c>
      <c r="D176" s="310">
        <v>0.1747108</v>
      </c>
      <c r="E176" s="310">
        <v>0.17608650000000001</v>
      </c>
      <c r="F176" s="310">
        <v>0.17034360000000001</v>
      </c>
      <c r="G176" s="310">
        <v>0</v>
      </c>
      <c r="H176" s="310">
        <v>0.1794818</v>
      </c>
      <c r="I176" s="310">
        <v>0.17912139999999999</v>
      </c>
      <c r="J176" s="310">
        <v>0.1751837</v>
      </c>
      <c r="K176" s="310">
        <v>0</v>
      </c>
      <c r="L176" s="310">
        <v>0</v>
      </c>
      <c r="M176" s="310">
        <v>0.17705000000000001</v>
      </c>
      <c r="N176" s="310">
        <v>0.1724657</v>
      </c>
      <c r="O176" s="310">
        <v>0</v>
      </c>
      <c r="P176" s="310">
        <v>0</v>
      </c>
      <c r="Q176" s="310">
        <v>0.16797339999999999</v>
      </c>
      <c r="R176" s="310">
        <v>0.17315030000000001</v>
      </c>
      <c r="S176" s="310">
        <v>0.17080970000000001</v>
      </c>
      <c r="T176" s="310">
        <v>0.1622373</v>
      </c>
      <c r="U176" s="310">
        <v>0.16352169999999999</v>
      </c>
      <c r="V176" s="310">
        <v>0.176483</v>
      </c>
      <c r="W176" s="310">
        <v>0.16627130000000001</v>
      </c>
      <c r="X176" s="310">
        <v>0.1664088</v>
      </c>
      <c r="Y176" s="310">
        <v>0</v>
      </c>
      <c r="Z176" s="310">
        <v>0.1783904</v>
      </c>
      <c r="AA176" s="310">
        <v>0.16594780000000001</v>
      </c>
      <c r="AB176" s="310">
        <v>0.16513069999999999</v>
      </c>
      <c r="AC176" s="310">
        <v>0.1627093</v>
      </c>
      <c r="AD176" s="310">
        <v>0</v>
      </c>
      <c r="AE176" s="310">
        <v>0.17450099999999999</v>
      </c>
      <c r="AF176" s="310">
        <v>0</v>
      </c>
      <c r="AG176" s="310">
        <v>0.1709589</v>
      </c>
      <c r="AH176" s="310">
        <v>0.16452919999999999</v>
      </c>
      <c r="AI176" s="310">
        <v>0.16486909999999999</v>
      </c>
      <c r="AJ176" s="310">
        <v>0.17800460000000001</v>
      </c>
      <c r="AK176" s="310">
        <v>0.17657030000000001</v>
      </c>
      <c r="AL176" s="310">
        <v>0.17308390000000001</v>
      </c>
      <c r="AM176" s="310">
        <v>0.17494419999999999</v>
      </c>
      <c r="AN176" s="310">
        <v>0.1786855</v>
      </c>
      <c r="AO176" s="310">
        <v>0.17038130000000001</v>
      </c>
      <c r="AP176" s="310">
        <v>0.17372070000000001</v>
      </c>
      <c r="AQ176" s="310">
        <v>0</v>
      </c>
      <c r="AR176" s="310">
        <v>0.17254720000000001</v>
      </c>
      <c r="AS176" s="310">
        <v>0</v>
      </c>
      <c r="AT176" s="310">
        <v>0.16849829999999999</v>
      </c>
      <c r="AU176" s="310">
        <v>0.17813950000000001</v>
      </c>
      <c r="AV176" s="310">
        <v>0</v>
      </c>
      <c r="AW176" s="310">
        <v>0</v>
      </c>
      <c r="AX176" s="310">
        <v>0</v>
      </c>
      <c r="AY176" s="310">
        <v>0.17510310000000001</v>
      </c>
      <c r="AZ176" s="310">
        <v>0.17762510000000001</v>
      </c>
      <c r="BA176" s="310">
        <v>0.15500920000000001</v>
      </c>
      <c r="BB176" s="310">
        <v>0</v>
      </c>
      <c r="BC176" s="310">
        <v>0.17866599999999999</v>
      </c>
      <c r="BD176" s="310">
        <v>0.1779963</v>
      </c>
      <c r="BE176" s="310">
        <v>0.1782223</v>
      </c>
      <c r="BF176" s="310">
        <v>0.1705631</v>
      </c>
      <c r="BG176" s="310">
        <v>0.17646770000000001</v>
      </c>
      <c r="BH176" s="310">
        <v>0.17322489999999999</v>
      </c>
      <c r="BI176" s="310">
        <v>0.1789848</v>
      </c>
      <c r="BJ176" s="310">
        <v>0.17868719999999999</v>
      </c>
      <c r="BK176" s="310">
        <v>0.17942140000000001</v>
      </c>
    </row>
    <row r="177" spans="1:63" x14ac:dyDescent="0.25">
      <c r="A177" s="306" t="s">
        <v>724</v>
      </c>
      <c r="B177" s="310" t="s">
        <v>161</v>
      </c>
      <c r="C177" s="310">
        <v>0.24750849999999999</v>
      </c>
      <c r="D177" s="310">
        <v>0.23992669999999999</v>
      </c>
      <c r="E177" s="310">
        <v>0.2418602</v>
      </c>
      <c r="F177" s="310">
        <v>0.23390259999999999</v>
      </c>
      <c r="G177" s="310">
        <v>0.24555070000000001</v>
      </c>
      <c r="H177" s="310">
        <v>0.24653059999999999</v>
      </c>
      <c r="I177" s="310">
        <v>0.24597179999999999</v>
      </c>
      <c r="J177" s="310">
        <v>0.2405988</v>
      </c>
      <c r="K177" s="310">
        <v>0</v>
      </c>
      <c r="L177" s="310">
        <v>0</v>
      </c>
      <c r="M177" s="310">
        <v>0.24319959999999999</v>
      </c>
      <c r="N177" s="310">
        <v>0.23686099999999999</v>
      </c>
      <c r="O177" s="310">
        <v>0</v>
      </c>
      <c r="P177" s="310">
        <v>0.2319724</v>
      </c>
      <c r="Q177" s="310">
        <v>0.23069799999999999</v>
      </c>
      <c r="R177" s="310">
        <v>0.23782449999999999</v>
      </c>
      <c r="S177" s="310">
        <v>0.2345912</v>
      </c>
      <c r="T177" s="310">
        <v>0.22281490000000001</v>
      </c>
      <c r="U177" s="310">
        <v>0.22459190000000001</v>
      </c>
      <c r="V177" s="310">
        <v>0.2423864</v>
      </c>
      <c r="W177" s="310">
        <v>0.2283538</v>
      </c>
      <c r="X177" s="310">
        <v>0.2285171</v>
      </c>
      <c r="Y177" s="310">
        <v>0</v>
      </c>
      <c r="Z177" s="310">
        <v>0.24500939999999999</v>
      </c>
      <c r="AA177" s="310">
        <v>0.22793369999999999</v>
      </c>
      <c r="AB177" s="310">
        <v>0.22677</v>
      </c>
      <c r="AC177" s="310">
        <v>0.22347400000000001</v>
      </c>
      <c r="AD177" s="310">
        <v>0.247368</v>
      </c>
      <c r="AE177" s="310">
        <v>0.23970710000000001</v>
      </c>
      <c r="AF177" s="310">
        <v>0</v>
      </c>
      <c r="AG177" s="310">
        <v>0.2348568</v>
      </c>
      <c r="AH177" s="310">
        <v>0</v>
      </c>
      <c r="AI177" s="310">
        <v>0.22638920000000001</v>
      </c>
      <c r="AJ177" s="310">
        <v>0.24453040000000001</v>
      </c>
      <c r="AK177" s="310">
        <v>0.24252119999999999</v>
      </c>
      <c r="AL177" s="310">
        <v>0.2377399</v>
      </c>
      <c r="AM177" s="310">
        <v>0.24030380000000001</v>
      </c>
      <c r="AN177" s="310">
        <v>0.24541789999999999</v>
      </c>
      <c r="AO177" s="310">
        <v>0.23404990000000001</v>
      </c>
      <c r="AP177" s="310">
        <v>0.2385698</v>
      </c>
      <c r="AQ177" s="310">
        <v>0.22765659999999999</v>
      </c>
      <c r="AR177" s="310">
        <v>0.23699709999999999</v>
      </c>
      <c r="AS177" s="310">
        <v>0.2378731</v>
      </c>
      <c r="AT177" s="310">
        <v>0.23144700000000001</v>
      </c>
      <c r="AU177" s="310">
        <v>0.24466360000000001</v>
      </c>
      <c r="AV177" s="310">
        <v>0.2451468</v>
      </c>
      <c r="AW177" s="310">
        <v>0.23341580000000001</v>
      </c>
      <c r="AX177" s="310">
        <v>0.2314822</v>
      </c>
      <c r="AY177" s="310">
        <v>0.24049509999999999</v>
      </c>
      <c r="AZ177" s="310">
        <v>0.24394569999999999</v>
      </c>
      <c r="BA177" s="310">
        <v>0.21290400000000001</v>
      </c>
      <c r="BB177" s="310">
        <v>0.2456932</v>
      </c>
      <c r="BC177" s="310">
        <v>0.2453893</v>
      </c>
      <c r="BD177" s="310">
        <v>0.24443200000000001</v>
      </c>
      <c r="BE177" s="310">
        <v>0.2447811</v>
      </c>
      <c r="BF177" s="310">
        <v>0.234238</v>
      </c>
      <c r="BG177" s="310">
        <v>0.24234030000000001</v>
      </c>
      <c r="BH177" s="310">
        <v>0.23793049999999999</v>
      </c>
      <c r="BI177" s="310">
        <v>0.2458062</v>
      </c>
      <c r="BJ177" s="310">
        <v>0.24537590000000001</v>
      </c>
      <c r="BK177" s="310">
        <v>0.24640619999999999</v>
      </c>
    </row>
    <row r="178" spans="1:63" x14ac:dyDescent="0.25">
      <c r="A178" s="306" t="s">
        <v>725</v>
      </c>
      <c r="B178" s="310" t="s">
        <v>163</v>
      </c>
      <c r="C178" s="310">
        <v>0.2874893</v>
      </c>
      <c r="D178" s="310">
        <v>0</v>
      </c>
      <c r="E178" s="310">
        <v>0.28095979999999998</v>
      </c>
      <c r="F178" s="310">
        <v>0.27171980000000001</v>
      </c>
      <c r="G178" s="310">
        <v>0.28526879999999999</v>
      </c>
      <c r="H178" s="310">
        <v>0.28634359999999998</v>
      </c>
      <c r="I178" s="310">
        <v>0.28567720000000002</v>
      </c>
      <c r="J178" s="310">
        <v>0.27944390000000002</v>
      </c>
      <c r="K178" s="310">
        <v>4.9801199999999997E-2</v>
      </c>
      <c r="L178" s="310">
        <v>0.22815270000000001</v>
      </c>
      <c r="M178" s="310">
        <v>0.28239789999999998</v>
      </c>
      <c r="N178" s="310">
        <v>0.2751072</v>
      </c>
      <c r="O178" s="310">
        <v>0</v>
      </c>
      <c r="P178" s="310">
        <v>0.2693855</v>
      </c>
      <c r="Q178" s="310">
        <v>0</v>
      </c>
      <c r="R178" s="310">
        <v>0.27622720000000001</v>
      </c>
      <c r="S178" s="310">
        <v>0.27247070000000001</v>
      </c>
      <c r="T178" s="310">
        <v>0.25877879999999998</v>
      </c>
      <c r="U178" s="310">
        <v>0.26083869999999998</v>
      </c>
      <c r="V178" s="310">
        <v>0</v>
      </c>
      <c r="W178" s="310">
        <v>0.2652467</v>
      </c>
      <c r="X178" s="310">
        <v>0.26540540000000001</v>
      </c>
      <c r="Y178" s="310">
        <v>0.25884570000000001</v>
      </c>
      <c r="Z178" s="310">
        <v>0.2845723</v>
      </c>
      <c r="AA178" s="310">
        <v>0.26471519999999998</v>
      </c>
      <c r="AB178" s="310">
        <v>0.26340049999999998</v>
      </c>
      <c r="AC178" s="310">
        <v>0.25959300000000002</v>
      </c>
      <c r="AD178" s="310">
        <v>0.2872884</v>
      </c>
      <c r="AE178" s="310">
        <v>0.27839180000000002</v>
      </c>
      <c r="AF178" s="310">
        <v>0.24932309999999999</v>
      </c>
      <c r="AG178" s="310">
        <v>0.27273380000000003</v>
      </c>
      <c r="AH178" s="310">
        <v>0.26246269999999999</v>
      </c>
      <c r="AI178" s="310">
        <v>0.26298470000000002</v>
      </c>
      <c r="AJ178" s="310">
        <v>0.2839718</v>
      </c>
      <c r="AK178" s="310">
        <v>0.28169650000000002</v>
      </c>
      <c r="AL178" s="310">
        <v>0.27612199999999998</v>
      </c>
      <c r="AM178" s="310">
        <v>0.27908929999999998</v>
      </c>
      <c r="AN178" s="310">
        <v>0.28504669999999999</v>
      </c>
      <c r="AO178" s="310">
        <v>0.27182580000000001</v>
      </c>
      <c r="AP178" s="310">
        <v>0.2770822</v>
      </c>
      <c r="AQ178" s="310">
        <v>0.26439940000000001</v>
      </c>
      <c r="AR178" s="310">
        <v>0.27526929999999999</v>
      </c>
      <c r="AS178" s="310">
        <v>0.27624929999999998</v>
      </c>
      <c r="AT178" s="310">
        <v>0.26875929999999998</v>
      </c>
      <c r="AU178" s="310">
        <v>0.28418789999999999</v>
      </c>
      <c r="AV178" s="310">
        <v>0.2847751</v>
      </c>
      <c r="AW178" s="310">
        <v>0.2710803</v>
      </c>
      <c r="AX178" s="310">
        <v>0.26890380000000003</v>
      </c>
      <c r="AY178" s="310">
        <v>0.27930159999999998</v>
      </c>
      <c r="AZ178" s="310">
        <v>0.28334189999999998</v>
      </c>
      <c r="BA178" s="310">
        <v>0.24726290000000001</v>
      </c>
      <c r="BB178" s="310">
        <v>0</v>
      </c>
      <c r="BC178" s="310">
        <v>0.2849931</v>
      </c>
      <c r="BD178" s="310">
        <v>0.28392869999999998</v>
      </c>
      <c r="BE178" s="310">
        <v>0.28428550000000002</v>
      </c>
      <c r="BF178" s="310">
        <v>0.27203699999999997</v>
      </c>
      <c r="BG178" s="310">
        <v>0.28147460000000002</v>
      </c>
      <c r="BH178" s="310">
        <v>0.27631729999999999</v>
      </c>
      <c r="BI178" s="310">
        <v>0.28549770000000002</v>
      </c>
      <c r="BJ178" s="310">
        <v>0.28501159999999998</v>
      </c>
      <c r="BK178" s="310">
        <v>0.28614060000000002</v>
      </c>
    </row>
    <row r="179" spans="1:63" x14ac:dyDescent="0.25">
      <c r="A179" s="306" t="s">
        <v>726</v>
      </c>
      <c r="B179" s="310" t="s">
        <v>164</v>
      </c>
      <c r="C179" s="310">
        <v>0.18203849999999999</v>
      </c>
      <c r="D179" s="310">
        <v>0.17641200000000001</v>
      </c>
      <c r="E179" s="310">
        <v>0.1779037</v>
      </c>
      <c r="F179" s="310">
        <v>0.17201910000000001</v>
      </c>
      <c r="G179" s="310">
        <v>0.1806189</v>
      </c>
      <c r="H179" s="310">
        <v>0.18126980000000001</v>
      </c>
      <c r="I179" s="310">
        <v>0.18091499999999999</v>
      </c>
      <c r="J179" s="310">
        <v>0.1769511</v>
      </c>
      <c r="K179" s="310">
        <v>0</v>
      </c>
      <c r="L179" s="310">
        <v>0</v>
      </c>
      <c r="M179" s="310">
        <v>0.1788506</v>
      </c>
      <c r="N179" s="310">
        <v>0.17414740000000001</v>
      </c>
      <c r="O179" s="310">
        <v>0</v>
      </c>
      <c r="P179" s="310">
        <v>0.17055819999999999</v>
      </c>
      <c r="Q179" s="310">
        <v>0.16967769999999999</v>
      </c>
      <c r="R179" s="310">
        <v>0.1749106</v>
      </c>
      <c r="S179" s="310">
        <v>0.17253360000000001</v>
      </c>
      <c r="T179" s="310">
        <v>0.16387379999999999</v>
      </c>
      <c r="U179" s="310">
        <v>0.1651435</v>
      </c>
      <c r="V179" s="310">
        <v>0</v>
      </c>
      <c r="W179" s="310">
        <v>0.1679582</v>
      </c>
      <c r="X179" s="310">
        <v>0.16804440000000001</v>
      </c>
      <c r="Y179" s="310">
        <v>0</v>
      </c>
      <c r="Z179" s="310">
        <v>0.18014369999999999</v>
      </c>
      <c r="AA179" s="310">
        <v>0.16761190000000001</v>
      </c>
      <c r="AB179" s="310">
        <v>0.16677629999999999</v>
      </c>
      <c r="AC179" s="310">
        <v>0</v>
      </c>
      <c r="AD179" s="310">
        <v>0.18188260000000001</v>
      </c>
      <c r="AE179" s="310">
        <v>0.176229</v>
      </c>
      <c r="AF179" s="310">
        <v>0.1578185</v>
      </c>
      <c r="AG179" s="310">
        <v>0.17266500000000001</v>
      </c>
      <c r="AH179" s="310">
        <v>0.1661308</v>
      </c>
      <c r="AI179" s="310">
        <v>0.16648160000000001</v>
      </c>
      <c r="AJ179" s="310">
        <v>0.17979809999999999</v>
      </c>
      <c r="AK179" s="310">
        <v>0</v>
      </c>
      <c r="AL179" s="310">
        <v>0.1748305</v>
      </c>
      <c r="AM179" s="310">
        <v>0.17672950000000001</v>
      </c>
      <c r="AN179" s="310">
        <v>0.18044869999999999</v>
      </c>
      <c r="AO179" s="310">
        <v>0.17212269999999999</v>
      </c>
      <c r="AP179" s="310">
        <v>0.1754357</v>
      </c>
      <c r="AQ179" s="310">
        <v>0</v>
      </c>
      <c r="AR179" s="310">
        <v>0.17430970000000001</v>
      </c>
      <c r="AS179" s="310">
        <v>0</v>
      </c>
      <c r="AT179" s="310">
        <v>0.17016919999999999</v>
      </c>
      <c r="AU179" s="310">
        <v>0.1799029</v>
      </c>
      <c r="AV179" s="310">
        <v>0</v>
      </c>
      <c r="AW179" s="310">
        <v>0.1716433</v>
      </c>
      <c r="AX179" s="310">
        <v>0.17022419999999999</v>
      </c>
      <c r="AY179" s="310">
        <v>0.17684279999999999</v>
      </c>
      <c r="AZ179" s="310">
        <v>0.17937690000000001</v>
      </c>
      <c r="BA179" s="310">
        <v>0.15658530000000001</v>
      </c>
      <c r="BB179" s="310">
        <v>0</v>
      </c>
      <c r="BC179" s="310">
        <v>0.18044879999999999</v>
      </c>
      <c r="BD179" s="310">
        <v>0.179785</v>
      </c>
      <c r="BE179" s="310">
        <v>0.1800011</v>
      </c>
      <c r="BF179" s="310">
        <v>0.17226060000000001</v>
      </c>
      <c r="BG179" s="310">
        <v>0.1782059</v>
      </c>
      <c r="BH179" s="310">
        <v>0.17499139999999999</v>
      </c>
      <c r="BI179" s="310">
        <v>0.1807455</v>
      </c>
      <c r="BJ179" s="310">
        <v>0.18044760000000001</v>
      </c>
      <c r="BK179" s="310">
        <v>0.18121300000000001</v>
      </c>
    </row>
    <row r="180" spans="1:63" x14ac:dyDescent="0.25">
      <c r="A180" s="306" t="s">
        <v>727</v>
      </c>
      <c r="B180" s="310" t="s">
        <v>165</v>
      </c>
      <c r="C180" s="310">
        <v>0.28060639999999998</v>
      </c>
      <c r="D180" s="310">
        <v>0.27194590000000002</v>
      </c>
      <c r="E180" s="310">
        <v>0.27416390000000002</v>
      </c>
      <c r="F180" s="310">
        <v>0.26521299999999998</v>
      </c>
      <c r="G180" s="310">
        <v>0.27842060000000002</v>
      </c>
      <c r="H180" s="310">
        <v>0.27943420000000002</v>
      </c>
      <c r="I180" s="310">
        <v>0.2788313</v>
      </c>
      <c r="J180" s="310">
        <v>0.27278819999999998</v>
      </c>
      <c r="K180" s="310">
        <v>0</v>
      </c>
      <c r="L180" s="310">
        <v>0.22270680000000001</v>
      </c>
      <c r="M180" s="310">
        <v>0.27565810000000002</v>
      </c>
      <c r="N180" s="310">
        <v>0.26846360000000002</v>
      </c>
      <c r="O180" s="310">
        <v>0</v>
      </c>
      <c r="P180" s="310">
        <v>0.26292910000000003</v>
      </c>
      <c r="Q180" s="310">
        <v>0.26153140000000002</v>
      </c>
      <c r="R180" s="310">
        <v>0.26962839999999999</v>
      </c>
      <c r="S180" s="310">
        <v>0.26596150000000002</v>
      </c>
      <c r="T180" s="310">
        <v>0.25259749999999997</v>
      </c>
      <c r="U180" s="310">
        <v>0.25457600000000002</v>
      </c>
      <c r="V180" s="310">
        <v>0.27474209999999999</v>
      </c>
      <c r="W180" s="310">
        <v>0.2588568</v>
      </c>
      <c r="X180" s="310">
        <v>0.2590655</v>
      </c>
      <c r="Y180" s="310">
        <v>0.25263229999999998</v>
      </c>
      <c r="Z180" s="310">
        <v>0.27776400000000001</v>
      </c>
      <c r="AA180" s="310">
        <v>0.25837939999999998</v>
      </c>
      <c r="AB180" s="310">
        <v>0.25707249999999998</v>
      </c>
      <c r="AC180" s="310">
        <v>0.25336229999999998</v>
      </c>
      <c r="AD180" s="310">
        <v>0.28043020000000002</v>
      </c>
      <c r="AE180" s="310">
        <v>0.2717136</v>
      </c>
      <c r="AF180" s="310">
        <v>0.24337839999999999</v>
      </c>
      <c r="AG180" s="310">
        <v>0.26619399999999999</v>
      </c>
      <c r="AH180" s="310">
        <v>0.25613599999999997</v>
      </c>
      <c r="AI180" s="310">
        <v>0.2566831</v>
      </c>
      <c r="AJ180" s="310">
        <v>0.27716429999999997</v>
      </c>
      <c r="AK180" s="310">
        <v>0.27496100000000001</v>
      </c>
      <c r="AL180" s="310">
        <v>0.26949489999999998</v>
      </c>
      <c r="AM180" s="310">
        <v>0.27240209999999998</v>
      </c>
      <c r="AN180" s="310">
        <v>0.27818559999999998</v>
      </c>
      <c r="AO180" s="310">
        <v>0.26532349999999999</v>
      </c>
      <c r="AP180" s="310">
        <v>0.27048050000000001</v>
      </c>
      <c r="AQ180" s="310">
        <v>0.2580828</v>
      </c>
      <c r="AR180" s="310">
        <v>0.26869880000000002</v>
      </c>
      <c r="AS180" s="310">
        <v>0.26961590000000002</v>
      </c>
      <c r="AT180" s="310">
        <v>0.26230870000000001</v>
      </c>
      <c r="AU180" s="310">
        <v>0.27733079999999999</v>
      </c>
      <c r="AV180" s="310">
        <v>0.2779412</v>
      </c>
      <c r="AW180" s="310">
        <v>0.26455210000000001</v>
      </c>
      <c r="AX180" s="310">
        <v>0.26243919999999998</v>
      </c>
      <c r="AY180" s="310">
        <v>0.27259889999999998</v>
      </c>
      <c r="AZ180" s="310">
        <v>0.27655279999999999</v>
      </c>
      <c r="BA180" s="310">
        <v>0.2413497</v>
      </c>
      <c r="BB180" s="310">
        <v>0.27850530000000001</v>
      </c>
      <c r="BC180" s="310">
        <v>0.27815509999999999</v>
      </c>
      <c r="BD180" s="310">
        <v>0.2770784</v>
      </c>
      <c r="BE180" s="310">
        <v>0.27744029999999997</v>
      </c>
      <c r="BF180" s="310">
        <v>0.26554499999999998</v>
      </c>
      <c r="BG180" s="310">
        <v>0.27470050000000001</v>
      </c>
      <c r="BH180" s="310">
        <v>0.26975250000000001</v>
      </c>
      <c r="BI180" s="310">
        <v>0.27864529999999998</v>
      </c>
      <c r="BJ180" s="310">
        <v>0.27818979999999999</v>
      </c>
      <c r="BK180" s="310">
        <v>0.27927160000000001</v>
      </c>
    </row>
    <row r="181" spans="1:63" x14ac:dyDescent="0.25">
      <c r="A181" s="306">
        <v>332310</v>
      </c>
      <c r="B181" s="310" t="s">
        <v>166</v>
      </c>
      <c r="C181" s="310">
        <v>0.24282480000000001</v>
      </c>
      <c r="D181" s="310">
        <v>0.2353442</v>
      </c>
      <c r="E181" s="310">
        <v>0.23725760000000001</v>
      </c>
      <c r="F181" s="310">
        <v>0.2294699</v>
      </c>
      <c r="G181" s="310">
        <v>0.24094099999999999</v>
      </c>
      <c r="H181" s="310">
        <v>0.2418689</v>
      </c>
      <c r="I181" s="310">
        <v>0.24128930000000001</v>
      </c>
      <c r="J181" s="310">
        <v>0.2360353</v>
      </c>
      <c r="K181" s="310">
        <v>4.2089700000000001E-2</v>
      </c>
      <c r="L181" s="310">
        <v>0.19274050000000001</v>
      </c>
      <c r="M181" s="310">
        <v>0.2385292</v>
      </c>
      <c r="N181" s="310">
        <v>0.2323644</v>
      </c>
      <c r="O181" s="310">
        <v>0.24285080000000001</v>
      </c>
      <c r="P181" s="310">
        <v>0.22752919999999999</v>
      </c>
      <c r="Q181" s="310">
        <v>0.226301</v>
      </c>
      <c r="R181" s="310">
        <v>0.2333267</v>
      </c>
      <c r="S181" s="310">
        <v>0.2301792</v>
      </c>
      <c r="T181" s="310">
        <v>0.2185684</v>
      </c>
      <c r="U181" s="310">
        <v>0.22031539999999999</v>
      </c>
      <c r="V181" s="310">
        <v>0.23774819999999999</v>
      </c>
      <c r="W181" s="310">
        <v>0.2240395</v>
      </c>
      <c r="X181" s="310">
        <v>0.22416920000000001</v>
      </c>
      <c r="Y181" s="310">
        <v>0.21865039999999999</v>
      </c>
      <c r="Z181" s="310">
        <v>0.2403324</v>
      </c>
      <c r="AA181" s="310">
        <v>0.22356899999999999</v>
      </c>
      <c r="AB181" s="310">
        <v>0.22244610000000001</v>
      </c>
      <c r="AC181" s="310">
        <v>0.2192212</v>
      </c>
      <c r="AD181" s="310">
        <v>0.24268919999999999</v>
      </c>
      <c r="AE181" s="310">
        <v>0.23514879999999999</v>
      </c>
      <c r="AF181" s="310">
        <v>0.21060709999999999</v>
      </c>
      <c r="AG181" s="310">
        <v>0.23039319999999999</v>
      </c>
      <c r="AH181" s="310">
        <v>0.22165609999999999</v>
      </c>
      <c r="AI181" s="310">
        <v>0.22213050000000001</v>
      </c>
      <c r="AJ181" s="310">
        <v>0.2398651</v>
      </c>
      <c r="AK181" s="310">
        <v>0.23792379999999999</v>
      </c>
      <c r="AL181" s="310">
        <v>0.233185</v>
      </c>
      <c r="AM181" s="310">
        <v>0.2357274</v>
      </c>
      <c r="AN181" s="310">
        <v>0.24075669999999999</v>
      </c>
      <c r="AO181" s="310">
        <v>0.22959869999999999</v>
      </c>
      <c r="AP181" s="310">
        <v>0.23405329999999999</v>
      </c>
      <c r="AQ181" s="310">
        <v>0.22332830000000001</v>
      </c>
      <c r="AR181" s="310">
        <v>0.23249600000000001</v>
      </c>
      <c r="AS181" s="310">
        <v>0.23336409999999999</v>
      </c>
      <c r="AT181" s="310">
        <v>0.22702159999999999</v>
      </c>
      <c r="AU181" s="310">
        <v>0.2400321</v>
      </c>
      <c r="AV181" s="310">
        <v>0.24048949999999999</v>
      </c>
      <c r="AW181" s="310">
        <v>0.22899050000000001</v>
      </c>
      <c r="AX181" s="310">
        <v>0.22707169999999999</v>
      </c>
      <c r="AY181" s="310">
        <v>0.23591390000000001</v>
      </c>
      <c r="AZ181" s="310">
        <v>0.2393449</v>
      </c>
      <c r="BA181" s="310">
        <v>0.20886979999999999</v>
      </c>
      <c r="BB181" s="310">
        <v>0.24101300000000001</v>
      </c>
      <c r="BC181" s="310">
        <v>0.240731</v>
      </c>
      <c r="BD181" s="310">
        <v>0.2398015</v>
      </c>
      <c r="BE181" s="310">
        <v>0.2401373</v>
      </c>
      <c r="BF181" s="310">
        <v>0.2297862</v>
      </c>
      <c r="BG181" s="310">
        <v>0.23777129999999999</v>
      </c>
      <c r="BH181" s="310">
        <v>0.2333923</v>
      </c>
      <c r="BI181" s="310">
        <v>0.24112549999999999</v>
      </c>
      <c r="BJ181" s="310">
        <v>0.24072850000000001</v>
      </c>
      <c r="BK181" s="310">
        <v>0.2416922</v>
      </c>
    </row>
    <row r="182" spans="1:63" x14ac:dyDescent="0.25">
      <c r="A182" s="306">
        <v>332320</v>
      </c>
      <c r="B182" s="310" t="s">
        <v>167</v>
      </c>
      <c r="C182" s="310">
        <v>0.26365820000000001</v>
      </c>
      <c r="D182" s="310">
        <v>0.25552809999999998</v>
      </c>
      <c r="E182" s="310">
        <v>0.25763649999999999</v>
      </c>
      <c r="F182" s="310">
        <v>0.24912129999999999</v>
      </c>
      <c r="G182" s="310">
        <v>0.26159130000000003</v>
      </c>
      <c r="H182" s="310">
        <v>0.26257180000000002</v>
      </c>
      <c r="I182" s="310">
        <v>0.26196829999999999</v>
      </c>
      <c r="J182" s="310">
        <v>0.25625759999999997</v>
      </c>
      <c r="K182" s="310">
        <v>4.5668100000000003E-2</v>
      </c>
      <c r="L182" s="310">
        <v>0.209261</v>
      </c>
      <c r="M182" s="310">
        <v>0.25898529999999997</v>
      </c>
      <c r="N182" s="310">
        <v>0.2522857</v>
      </c>
      <c r="O182" s="310">
        <v>0.26362049999999998</v>
      </c>
      <c r="P182" s="310">
        <v>0.2470831</v>
      </c>
      <c r="Q182" s="310">
        <v>0.24571470000000001</v>
      </c>
      <c r="R182" s="310">
        <v>0.2533242</v>
      </c>
      <c r="S182" s="310">
        <v>0.24987190000000001</v>
      </c>
      <c r="T182" s="310">
        <v>0.23726179999999999</v>
      </c>
      <c r="U182" s="310">
        <v>0.23921790000000001</v>
      </c>
      <c r="V182" s="310">
        <v>0.25816040000000001</v>
      </c>
      <c r="W182" s="310">
        <v>0.2432629</v>
      </c>
      <c r="X182" s="310">
        <v>0.2434278</v>
      </c>
      <c r="Y182" s="310">
        <v>0.23738509999999999</v>
      </c>
      <c r="Z182" s="310">
        <v>0.2609457</v>
      </c>
      <c r="AA182" s="310">
        <v>0.24277219999999999</v>
      </c>
      <c r="AB182" s="310">
        <v>0.24155689999999999</v>
      </c>
      <c r="AC182" s="310">
        <v>0.23805599999999999</v>
      </c>
      <c r="AD182" s="310">
        <v>0.26345479999999999</v>
      </c>
      <c r="AE182" s="310">
        <v>0.2552914</v>
      </c>
      <c r="AF182" s="310">
        <v>0.2286318</v>
      </c>
      <c r="AG182" s="310">
        <v>0.25008970000000003</v>
      </c>
      <c r="AH182" s="310">
        <v>0.2406751</v>
      </c>
      <c r="AI182" s="310">
        <v>0.2411411</v>
      </c>
      <c r="AJ182" s="310">
        <v>0.26041350000000002</v>
      </c>
      <c r="AK182" s="310">
        <v>0.25831310000000002</v>
      </c>
      <c r="AL182" s="310">
        <v>0.25322739999999999</v>
      </c>
      <c r="AM182" s="310">
        <v>0.255936</v>
      </c>
      <c r="AN182" s="310">
        <v>0.2613991</v>
      </c>
      <c r="AO182" s="310">
        <v>0.24927160000000001</v>
      </c>
      <c r="AP182" s="310">
        <v>0.25411129999999998</v>
      </c>
      <c r="AQ182" s="310">
        <v>0.24250859999999999</v>
      </c>
      <c r="AR182" s="310">
        <v>0.2524227</v>
      </c>
      <c r="AS182" s="310">
        <v>0.25331599999999999</v>
      </c>
      <c r="AT182" s="310">
        <v>0.2464789</v>
      </c>
      <c r="AU182" s="310">
        <v>0.26062229999999997</v>
      </c>
      <c r="AV182" s="310">
        <v>0.26113039999999998</v>
      </c>
      <c r="AW182" s="310">
        <v>0.2485936</v>
      </c>
      <c r="AX182" s="310">
        <v>0.2465995</v>
      </c>
      <c r="AY182" s="310">
        <v>0.25614100000000001</v>
      </c>
      <c r="AZ182" s="310">
        <v>0.25981690000000002</v>
      </c>
      <c r="BA182" s="310">
        <v>0.22675090000000001</v>
      </c>
      <c r="BB182" s="310">
        <v>0.2616541</v>
      </c>
      <c r="BC182" s="310">
        <v>0.26133210000000001</v>
      </c>
      <c r="BD182" s="310">
        <v>0.26035049999999998</v>
      </c>
      <c r="BE182" s="310">
        <v>0.26070100000000002</v>
      </c>
      <c r="BF182" s="310">
        <v>0.24949479999999999</v>
      </c>
      <c r="BG182" s="310">
        <v>0.25812269999999998</v>
      </c>
      <c r="BH182" s="310">
        <v>0.25342880000000001</v>
      </c>
      <c r="BI182" s="310">
        <v>0.26178119999999999</v>
      </c>
      <c r="BJ182" s="310">
        <v>0.26137929999999998</v>
      </c>
      <c r="BK182" s="310">
        <v>0.26243159999999999</v>
      </c>
    </row>
    <row r="183" spans="1:63" x14ac:dyDescent="0.25">
      <c r="A183" s="306">
        <v>332410</v>
      </c>
      <c r="B183" s="310" t="s">
        <v>168</v>
      </c>
      <c r="C183" s="310">
        <v>0.27335749999999998</v>
      </c>
      <c r="D183" s="310">
        <v>0</v>
      </c>
      <c r="E183" s="310">
        <v>0.26710899999999999</v>
      </c>
      <c r="F183" s="310">
        <v>0</v>
      </c>
      <c r="G183" s="310">
        <v>0</v>
      </c>
      <c r="H183" s="310">
        <v>0.2722987</v>
      </c>
      <c r="I183" s="310">
        <v>0.2716925</v>
      </c>
      <c r="J183" s="310">
        <v>0.26577460000000003</v>
      </c>
      <c r="K183" s="310">
        <v>0</v>
      </c>
      <c r="L183" s="310">
        <v>0.2169345</v>
      </c>
      <c r="M183" s="310">
        <v>0.26854719999999999</v>
      </c>
      <c r="N183" s="310">
        <v>0.26156010000000002</v>
      </c>
      <c r="O183" s="310">
        <v>0</v>
      </c>
      <c r="P183" s="310">
        <v>0.2562159</v>
      </c>
      <c r="Q183" s="310">
        <v>0</v>
      </c>
      <c r="R183" s="310">
        <v>0.262654</v>
      </c>
      <c r="S183" s="310">
        <v>0.25909120000000002</v>
      </c>
      <c r="T183" s="310">
        <v>0.246063</v>
      </c>
      <c r="U183" s="310">
        <v>0.24799660000000001</v>
      </c>
      <c r="V183" s="310">
        <v>0.26767020000000002</v>
      </c>
      <c r="W183" s="310">
        <v>0.25225340000000002</v>
      </c>
      <c r="X183" s="310">
        <v>0</v>
      </c>
      <c r="Y183" s="310">
        <v>0</v>
      </c>
      <c r="Z183" s="310">
        <v>0.27058959999999999</v>
      </c>
      <c r="AA183" s="310">
        <v>0.25169560000000002</v>
      </c>
      <c r="AB183" s="310">
        <v>0.25042809999999999</v>
      </c>
      <c r="AC183" s="310">
        <v>0.2468639</v>
      </c>
      <c r="AD183" s="310">
        <v>0</v>
      </c>
      <c r="AE183" s="310">
        <v>0.2646886</v>
      </c>
      <c r="AF183" s="310">
        <v>0</v>
      </c>
      <c r="AG183" s="310">
        <v>0</v>
      </c>
      <c r="AH183" s="310">
        <v>0.24959529999999999</v>
      </c>
      <c r="AI183" s="310">
        <v>0.25004799999999999</v>
      </c>
      <c r="AJ183" s="310">
        <v>0.2700379</v>
      </c>
      <c r="AK183" s="310">
        <v>0.26783079999999998</v>
      </c>
      <c r="AL183" s="310">
        <v>0.26255390000000001</v>
      </c>
      <c r="AM183" s="310">
        <v>0.26537539999999998</v>
      </c>
      <c r="AN183" s="310">
        <v>0.271063</v>
      </c>
      <c r="AO183" s="310">
        <v>0.25847560000000003</v>
      </c>
      <c r="AP183" s="310">
        <v>0.26348359999999998</v>
      </c>
      <c r="AQ183" s="310">
        <v>0.25142779999999998</v>
      </c>
      <c r="AR183" s="310">
        <v>0.26172659999999998</v>
      </c>
      <c r="AS183" s="310">
        <v>0.26270719999999997</v>
      </c>
      <c r="AT183" s="310">
        <v>0.25559120000000002</v>
      </c>
      <c r="AU183" s="310">
        <v>0.2702214</v>
      </c>
      <c r="AV183" s="310">
        <v>0</v>
      </c>
      <c r="AW183" s="310">
        <v>0.25775100000000001</v>
      </c>
      <c r="AX183" s="310">
        <v>0</v>
      </c>
      <c r="AY183" s="310">
        <v>0.26558949999999998</v>
      </c>
      <c r="AZ183" s="310">
        <v>0.2694144</v>
      </c>
      <c r="BA183" s="310">
        <v>0.2351589</v>
      </c>
      <c r="BB183" s="310">
        <v>0</v>
      </c>
      <c r="BC183" s="310">
        <v>0.27101930000000002</v>
      </c>
      <c r="BD183" s="310">
        <v>0.2699549</v>
      </c>
      <c r="BE183" s="310">
        <v>0.27032479999999998</v>
      </c>
      <c r="BF183" s="310">
        <v>0.25869890000000001</v>
      </c>
      <c r="BG183" s="310">
        <v>0.26766240000000002</v>
      </c>
      <c r="BH183" s="310">
        <v>0.2627873</v>
      </c>
      <c r="BI183" s="310">
        <v>0.27146880000000001</v>
      </c>
      <c r="BJ183" s="310">
        <v>0.27099060000000003</v>
      </c>
      <c r="BK183" s="310">
        <v>0.27214549999999998</v>
      </c>
    </row>
    <row r="184" spans="1:63" x14ac:dyDescent="0.25">
      <c r="A184" s="306">
        <v>332420</v>
      </c>
      <c r="B184" s="310" t="s">
        <v>169</v>
      </c>
      <c r="C184" s="310">
        <v>0.27861550000000002</v>
      </c>
      <c r="D184" s="310">
        <v>0</v>
      </c>
      <c r="E184" s="310">
        <v>0.27226430000000001</v>
      </c>
      <c r="F184" s="310">
        <v>0.26327119999999998</v>
      </c>
      <c r="G184" s="310">
        <v>0.27640140000000002</v>
      </c>
      <c r="H184" s="310">
        <v>0.27748390000000001</v>
      </c>
      <c r="I184" s="310">
        <v>0.2768699</v>
      </c>
      <c r="J184" s="310">
        <v>0.27081309999999997</v>
      </c>
      <c r="K184" s="310">
        <v>0</v>
      </c>
      <c r="L184" s="310">
        <v>0.2211388</v>
      </c>
      <c r="M184" s="310">
        <v>0.27370240000000001</v>
      </c>
      <c r="N184" s="310">
        <v>0.26660640000000002</v>
      </c>
      <c r="O184" s="310">
        <v>0</v>
      </c>
      <c r="P184" s="310">
        <v>0.26105620000000002</v>
      </c>
      <c r="Q184" s="310">
        <v>0.25963199999999997</v>
      </c>
      <c r="R184" s="310">
        <v>0.26771830000000002</v>
      </c>
      <c r="S184" s="310">
        <v>0.26406289999999999</v>
      </c>
      <c r="T184" s="310">
        <v>0.2507491</v>
      </c>
      <c r="U184" s="310">
        <v>0.25279239999999997</v>
      </c>
      <c r="V184" s="310">
        <v>0.27278540000000001</v>
      </c>
      <c r="W184" s="310">
        <v>0.25704270000000001</v>
      </c>
      <c r="X184" s="310">
        <v>0.25719189999999997</v>
      </c>
      <c r="Y184" s="310">
        <v>0.25084380000000001</v>
      </c>
      <c r="Z184" s="310">
        <v>0.27576220000000001</v>
      </c>
      <c r="AA184" s="310">
        <v>0.2565578</v>
      </c>
      <c r="AB184" s="310">
        <v>0.25523089999999998</v>
      </c>
      <c r="AC184" s="310">
        <v>0.25156859999999998</v>
      </c>
      <c r="AD184" s="310">
        <v>0</v>
      </c>
      <c r="AE184" s="310">
        <v>0.26979049999999999</v>
      </c>
      <c r="AF184" s="310">
        <v>0.2416519</v>
      </c>
      <c r="AG184" s="310">
        <v>0.26433790000000001</v>
      </c>
      <c r="AH184" s="310">
        <v>0</v>
      </c>
      <c r="AI184" s="310">
        <v>0.25484679999999998</v>
      </c>
      <c r="AJ184" s="310">
        <v>0.27518809999999999</v>
      </c>
      <c r="AK184" s="310">
        <v>0.2729994</v>
      </c>
      <c r="AL184" s="310">
        <v>0.26756869999999999</v>
      </c>
      <c r="AM184" s="310">
        <v>0.27043539999999999</v>
      </c>
      <c r="AN184" s="310">
        <v>0.2762578</v>
      </c>
      <c r="AO184" s="310">
        <v>0.26343309999999998</v>
      </c>
      <c r="AP184" s="310">
        <v>0.2685495</v>
      </c>
      <c r="AQ184" s="310">
        <v>0.25626460000000001</v>
      </c>
      <c r="AR184" s="310">
        <v>0.26674680000000001</v>
      </c>
      <c r="AS184" s="310">
        <v>0.26772610000000002</v>
      </c>
      <c r="AT184" s="310">
        <v>0.2605037</v>
      </c>
      <c r="AU184" s="310">
        <v>0.27536480000000002</v>
      </c>
      <c r="AV184" s="310">
        <v>0.27593420000000002</v>
      </c>
      <c r="AW184" s="310">
        <v>0.26272030000000002</v>
      </c>
      <c r="AX184" s="310">
        <v>0</v>
      </c>
      <c r="AY184" s="310">
        <v>0.27067669999999999</v>
      </c>
      <c r="AZ184" s="310">
        <v>0.27458339999999998</v>
      </c>
      <c r="BA184" s="310">
        <v>0.23965110000000001</v>
      </c>
      <c r="BB184" s="310">
        <v>0.27647680000000002</v>
      </c>
      <c r="BC184" s="310">
        <v>0.2762117</v>
      </c>
      <c r="BD184" s="310">
        <v>0.27516970000000002</v>
      </c>
      <c r="BE184" s="310">
        <v>0.27547929999999998</v>
      </c>
      <c r="BF184" s="310">
        <v>0.26361889999999999</v>
      </c>
      <c r="BG184" s="310">
        <v>0.27278360000000001</v>
      </c>
      <c r="BH184" s="310">
        <v>0.267787</v>
      </c>
      <c r="BI184" s="310">
        <v>0.27667960000000003</v>
      </c>
      <c r="BJ184" s="310">
        <v>0.27622609999999997</v>
      </c>
      <c r="BK184" s="310">
        <v>0.27733479999999999</v>
      </c>
    </row>
    <row r="185" spans="1:63" x14ac:dyDescent="0.25">
      <c r="A185" s="306">
        <v>332430</v>
      </c>
      <c r="B185" s="310" t="s">
        <v>170</v>
      </c>
      <c r="C185" s="310">
        <v>0.1201025</v>
      </c>
      <c r="D185" s="310">
        <v>0</v>
      </c>
      <c r="E185" s="310">
        <v>0.11736190000000001</v>
      </c>
      <c r="F185" s="310">
        <v>0.1135084</v>
      </c>
      <c r="G185" s="310">
        <v>0.1191411</v>
      </c>
      <c r="H185" s="310">
        <v>0.1196262</v>
      </c>
      <c r="I185" s="310">
        <v>0.1193534</v>
      </c>
      <c r="J185" s="310">
        <v>0.11676400000000001</v>
      </c>
      <c r="K185" s="310">
        <v>0</v>
      </c>
      <c r="L185" s="310">
        <v>9.5297000000000007E-2</v>
      </c>
      <c r="M185" s="310">
        <v>0.1179875</v>
      </c>
      <c r="N185" s="310">
        <v>0.11491899999999999</v>
      </c>
      <c r="O185" s="310">
        <v>0.1201044</v>
      </c>
      <c r="P185" s="310">
        <v>0.1125337</v>
      </c>
      <c r="Q185" s="310">
        <v>0.1119247</v>
      </c>
      <c r="R185" s="310">
        <v>0.1153846</v>
      </c>
      <c r="S185" s="310">
        <v>0.1138343</v>
      </c>
      <c r="T185" s="310">
        <v>0.10808810000000001</v>
      </c>
      <c r="U185" s="310">
        <v>0.1089725</v>
      </c>
      <c r="V185" s="310">
        <v>0.1175731</v>
      </c>
      <c r="W185" s="310">
        <v>0.1107808</v>
      </c>
      <c r="X185" s="310">
        <v>0.1108932</v>
      </c>
      <c r="Y185" s="310">
        <v>0.1081389</v>
      </c>
      <c r="Z185" s="310">
        <v>0.1188915</v>
      </c>
      <c r="AA185" s="310">
        <v>0.1105792</v>
      </c>
      <c r="AB185" s="310">
        <v>0.1100168</v>
      </c>
      <c r="AC185" s="310">
        <v>0.1084509</v>
      </c>
      <c r="AD185" s="310">
        <v>0</v>
      </c>
      <c r="AE185" s="310">
        <v>0.1163042</v>
      </c>
      <c r="AF185" s="310">
        <v>0.1041272</v>
      </c>
      <c r="AG185" s="310">
        <v>0.11395420000000001</v>
      </c>
      <c r="AH185" s="310">
        <v>0.1096139</v>
      </c>
      <c r="AI185" s="310">
        <v>0.109863</v>
      </c>
      <c r="AJ185" s="310">
        <v>0.1186202</v>
      </c>
      <c r="AK185" s="310">
        <v>0.1176639</v>
      </c>
      <c r="AL185" s="310">
        <v>0.11533599999999999</v>
      </c>
      <c r="AM185" s="310">
        <v>0.1165984</v>
      </c>
      <c r="AN185" s="310">
        <v>0.1190775</v>
      </c>
      <c r="AO185" s="310">
        <v>0.1135327</v>
      </c>
      <c r="AP185" s="310">
        <v>0.1157475</v>
      </c>
      <c r="AQ185" s="310">
        <v>0.1104705</v>
      </c>
      <c r="AR185" s="310">
        <v>0.11497930000000001</v>
      </c>
      <c r="AS185" s="310">
        <v>0.1154063</v>
      </c>
      <c r="AT185" s="310">
        <v>0.11227230000000001</v>
      </c>
      <c r="AU185" s="310">
        <v>0.1187019</v>
      </c>
      <c r="AV185" s="310">
        <v>0.1189519</v>
      </c>
      <c r="AW185" s="310">
        <v>0.1132519</v>
      </c>
      <c r="AX185" s="310">
        <v>0.11231389999999999</v>
      </c>
      <c r="AY185" s="310">
        <v>0.1166681</v>
      </c>
      <c r="AZ185" s="310">
        <v>0.11835569999999999</v>
      </c>
      <c r="BA185" s="310">
        <v>0.10328270000000001</v>
      </c>
      <c r="BB185" s="310">
        <v>0.11919780000000001</v>
      </c>
      <c r="BC185" s="310">
        <v>0.11903809999999999</v>
      </c>
      <c r="BD185" s="310">
        <v>0.118616</v>
      </c>
      <c r="BE185" s="310">
        <v>0.1187623</v>
      </c>
      <c r="BF185" s="310">
        <v>0.1136355</v>
      </c>
      <c r="BG185" s="310">
        <v>0.1175581</v>
      </c>
      <c r="BH185" s="310">
        <v>0.1154201</v>
      </c>
      <c r="BI185" s="310">
        <v>0.1192481</v>
      </c>
      <c r="BJ185" s="310">
        <v>0.11905499999999999</v>
      </c>
      <c r="BK185" s="310">
        <v>0.1195416</v>
      </c>
    </row>
    <row r="186" spans="1:63" x14ac:dyDescent="0.25">
      <c r="A186" s="306">
        <v>332500</v>
      </c>
      <c r="B186" s="310" t="s">
        <v>173</v>
      </c>
      <c r="C186" s="310">
        <v>0.22790879999999999</v>
      </c>
      <c r="D186" s="310">
        <v>0</v>
      </c>
      <c r="E186" s="310">
        <v>0.22269949999999999</v>
      </c>
      <c r="F186" s="310">
        <v>0.21541560000000001</v>
      </c>
      <c r="G186" s="310">
        <v>0.22618489999999999</v>
      </c>
      <c r="H186" s="310">
        <v>0.22699929999999999</v>
      </c>
      <c r="I186" s="310">
        <v>0.22650629999999999</v>
      </c>
      <c r="J186" s="310">
        <v>0.22155649999999999</v>
      </c>
      <c r="K186" s="310">
        <v>0</v>
      </c>
      <c r="L186" s="310">
        <v>0.1808765</v>
      </c>
      <c r="M186" s="310">
        <v>0.2239314</v>
      </c>
      <c r="N186" s="310">
        <v>0.21807670000000001</v>
      </c>
      <c r="O186" s="310">
        <v>0.2279429</v>
      </c>
      <c r="P186" s="310">
        <v>0.21358089999999999</v>
      </c>
      <c r="Q186" s="310">
        <v>0.21245530000000001</v>
      </c>
      <c r="R186" s="310">
        <v>0.21900320000000001</v>
      </c>
      <c r="S186" s="310">
        <v>0.21605350000000001</v>
      </c>
      <c r="T186" s="310">
        <v>0.20517279999999999</v>
      </c>
      <c r="U186" s="310">
        <v>0.20678730000000001</v>
      </c>
      <c r="V186" s="310">
        <v>0.2231669</v>
      </c>
      <c r="W186" s="310">
        <v>0.210317</v>
      </c>
      <c r="X186" s="310">
        <v>0.21041319999999999</v>
      </c>
      <c r="Y186" s="310">
        <v>0.2052408</v>
      </c>
      <c r="Z186" s="310">
        <v>0.22559219999999999</v>
      </c>
      <c r="AA186" s="310">
        <v>0.20989740000000001</v>
      </c>
      <c r="AB186" s="310">
        <v>0.20885200000000001</v>
      </c>
      <c r="AC186" s="310">
        <v>0.20578260000000001</v>
      </c>
      <c r="AD186" s="310">
        <v>0.22780230000000001</v>
      </c>
      <c r="AE186" s="310">
        <v>0.22074260000000001</v>
      </c>
      <c r="AF186" s="310">
        <v>0</v>
      </c>
      <c r="AG186" s="310">
        <v>0.2162473</v>
      </c>
      <c r="AH186" s="310">
        <v>0.20805889999999999</v>
      </c>
      <c r="AI186" s="310">
        <v>0.2085245</v>
      </c>
      <c r="AJ186" s="310">
        <v>0</v>
      </c>
      <c r="AK186" s="310">
        <v>0.22336890000000001</v>
      </c>
      <c r="AL186" s="310">
        <v>0.2188764</v>
      </c>
      <c r="AM186" s="310">
        <v>0.2212741</v>
      </c>
      <c r="AN186" s="310">
        <v>0.22597500000000001</v>
      </c>
      <c r="AO186" s="310">
        <v>0.2154828</v>
      </c>
      <c r="AP186" s="310">
        <v>0.21971250000000001</v>
      </c>
      <c r="AQ186" s="310">
        <v>0.2096433</v>
      </c>
      <c r="AR186" s="310">
        <v>0.21821860000000001</v>
      </c>
      <c r="AS186" s="310">
        <v>0.2190483</v>
      </c>
      <c r="AT186" s="310">
        <v>0.2130946</v>
      </c>
      <c r="AU186" s="310">
        <v>0.22529089999999999</v>
      </c>
      <c r="AV186" s="310">
        <v>0.2257468</v>
      </c>
      <c r="AW186" s="310">
        <v>0.214924</v>
      </c>
      <c r="AX186" s="310">
        <v>0</v>
      </c>
      <c r="AY186" s="310">
        <v>0.22145100000000001</v>
      </c>
      <c r="AZ186" s="310">
        <v>0.2246706</v>
      </c>
      <c r="BA186" s="310">
        <v>0.19608629999999999</v>
      </c>
      <c r="BB186" s="310">
        <v>0</v>
      </c>
      <c r="BC186" s="310">
        <v>0.22592699999999999</v>
      </c>
      <c r="BD186" s="310">
        <v>0.22509960000000001</v>
      </c>
      <c r="BE186" s="310">
        <v>0.22541030000000001</v>
      </c>
      <c r="BF186" s="310">
        <v>0.2156817</v>
      </c>
      <c r="BG186" s="310">
        <v>0.22312969999999999</v>
      </c>
      <c r="BH186" s="310">
        <v>0.21911420000000001</v>
      </c>
      <c r="BI186" s="310">
        <v>0.22633010000000001</v>
      </c>
      <c r="BJ186" s="310">
        <v>0.22599739999999999</v>
      </c>
      <c r="BK186" s="310">
        <v>0.22689970000000001</v>
      </c>
    </row>
    <row r="187" spans="1:63" x14ac:dyDescent="0.25">
      <c r="A187" s="306">
        <v>332600</v>
      </c>
      <c r="B187" s="310" t="s">
        <v>174</v>
      </c>
      <c r="C187" s="310">
        <v>0.2617564</v>
      </c>
      <c r="D187" s="310">
        <v>0</v>
      </c>
      <c r="E187" s="310">
        <v>0.25575799999999999</v>
      </c>
      <c r="F187" s="310">
        <v>0.2473408</v>
      </c>
      <c r="G187" s="310">
        <v>0.2596888</v>
      </c>
      <c r="H187" s="310">
        <v>0.2606542</v>
      </c>
      <c r="I187" s="310">
        <v>0.26007209999999997</v>
      </c>
      <c r="J187" s="310">
        <v>0.25444319999999998</v>
      </c>
      <c r="K187" s="310">
        <v>0</v>
      </c>
      <c r="L187" s="310">
        <v>0.20771429999999999</v>
      </c>
      <c r="M187" s="310">
        <v>0.2571388</v>
      </c>
      <c r="N187" s="310">
        <v>0.25041669999999999</v>
      </c>
      <c r="O187" s="310">
        <v>0</v>
      </c>
      <c r="P187" s="310">
        <v>0.24527089999999999</v>
      </c>
      <c r="Q187" s="310">
        <v>0.24391940000000001</v>
      </c>
      <c r="R187" s="310">
        <v>0.25150359999999999</v>
      </c>
      <c r="S187" s="310">
        <v>0.2480695</v>
      </c>
      <c r="T187" s="310">
        <v>0.2355825</v>
      </c>
      <c r="U187" s="310">
        <v>0.23747289999999999</v>
      </c>
      <c r="V187" s="310">
        <v>0.25627870000000003</v>
      </c>
      <c r="W187" s="310">
        <v>0.24145610000000001</v>
      </c>
      <c r="X187" s="310">
        <v>0.2416229</v>
      </c>
      <c r="Y187" s="310">
        <v>0.2356579</v>
      </c>
      <c r="Z187" s="310">
        <v>0.25910129999999998</v>
      </c>
      <c r="AA187" s="310">
        <v>0.24099709999999999</v>
      </c>
      <c r="AB187" s="310">
        <v>0.23979300000000001</v>
      </c>
      <c r="AC187" s="310">
        <v>0.23631630000000001</v>
      </c>
      <c r="AD187" s="310">
        <v>0</v>
      </c>
      <c r="AE187" s="310">
        <v>0.25345620000000002</v>
      </c>
      <c r="AF187" s="310">
        <v>0.22701099999999999</v>
      </c>
      <c r="AG187" s="310">
        <v>0.24829799999999999</v>
      </c>
      <c r="AH187" s="310">
        <v>0.2389433</v>
      </c>
      <c r="AI187" s="310">
        <v>0.23940910000000001</v>
      </c>
      <c r="AJ187" s="310">
        <v>0.25851819999999998</v>
      </c>
      <c r="AK187" s="310">
        <v>0.25643329999999998</v>
      </c>
      <c r="AL187" s="310">
        <v>0.25136730000000002</v>
      </c>
      <c r="AM187" s="310">
        <v>0.25409599999999999</v>
      </c>
      <c r="AN187" s="310">
        <v>0.2595343</v>
      </c>
      <c r="AO187" s="310">
        <v>0.2474874</v>
      </c>
      <c r="AP187" s="310">
        <v>0.25227549999999999</v>
      </c>
      <c r="AQ187" s="310">
        <v>0.24071670000000001</v>
      </c>
      <c r="AR187" s="310">
        <v>0.2506255</v>
      </c>
      <c r="AS187" s="310">
        <v>0.25154490000000002</v>
      </c>
      <c r="AT187" s="310">
        <v>0.24473449999999999</v>
      </c>
      <c r="AU187" s="310">
        <v>0.2587334</v>
      </c>
      <c r="AV187" s="310">
        <v>0.25927339999999999</v>
      </c>
      <c r="AW187" s="310">
        <v>0.24677499999999999</v>
      </c>
      <c r="AX187" s="310">
        <v>0.24476239999999999</v>
      </c>
      <c r="AY187" s="310">
        <v>0.25424079999999999</v>
      </c>
      <c r="AZ187" s="310">
        <v>0.25797500000000001</v>
      </c>
      <c r="BA187" s="310">
        <v>0.2251331</v>
      </c>
      <c r="BB187" s="310">
        <v>0</v>
      </c>
      <c r="BC187" s="310">
        <v>0.2594881</v>
      </c>
      <c r="BD187" s="310">
        <v>0.25849870000000003</v>
      </c>
      <c r="BE187" s="310">
        <v>0.25882159999999999</v>
      </c>
      <c r="BF187" s="310">
        <v>0.2477181</v>
      </c>
      <c r="BG187" s="310">
        <v>0.25622620000000002</v>
      </c>
      <c r="BH187" s="310">
        <v>0.25157980000000002</v>
      </c>
      <c r="BI187" s="310">
        <v>0.25989230000000002</v>
      </c>
      <c r="BJ187" s="310">
        <v>0.25947900000000002</v>
      </c>
      <c r="BK187" s="310">
        <v>0.26051400000000002</v>
      </c>
    </row>
    <row r="188" spans="1:63" x14ac:dyDescent="0.25">
      <c r="A188" s="306">
        <v>332710</v>
      </c>
      <c r="B188" s="310" t="s">
        <v>175</v>
      </c>
      <c r="C188" s="310">
        <v>0.37581310000000001</v>
      </c>
      <c r="D188" s="310">
        <v>0.36427730000000003</v>
      </c>
      <c r="E188" s="310">
        <v>0.36726890000000001</v>
      </c>
      <c r="F188" s="310">
        <v>0.35520439999999998</v>
      </c>
      <c r="G188" s="310">
        <v>0.37289990000000001</v>
      </c>
      <c r="H188" s="310">
        <v>0.37432389999999999</v>
      </c>
      <c r="I188" s="310">
        <v>0.37349729999999998</v>
      </c>
      <c r="J188" s="310">
        <v>0.36537120000000001</v>
      </c>
      <c r="K188" s="310">
        <v>0</v>
      </c>
      <c r="L188" s="310">
        <v>0.29830430000000002</v>
      </c>
      <c r="M188" s="310">
        <v>0.36924790000000002</v>
      </c>
      <c r="N188" s="310">
        <v>0.35961700000000002</v>
      </c>
      <c r="O188" s="310">
        <v>0.3758455</v>
      </c>
      <c r="P188" s="310">
        <v>0.35219030000000001</v>
      </c>
      <c r="Q188" s="310">
        <v>0.35024189999999999</v>
      </c>
      <c r="R188" s="310">
        <v>0.36114810000000003</v>
      </c>
      <c r="S188" s="310">
        <v>0.35621730000000001</v>
      </c>
      <c r="T188" s="310">
        <v>0.33831450000000002</v>
      </c>
      <c r="U188" s="310">
        <v>0.34097880000000003</v>
      </c>
      <c r="V188" s="310">
        <v>0.36802069999999998</v>
      </c>
      <c r="W188" s="310">
        <v>0.34676580000000001</v>
      </c>
      <c r="X188" s="310">
        <v>0.34701379999999998</v>
      </c>
      <c r="Y188" s="310">
        <v>0.33840809999999999</v>
      </c>
      <c r="Z188" s="310">
        <v>0.3720252</v>
      </c>
      <c r="AA188" s="310">
        <v>0.3460395</v>
      </c>
      <c r="AB188" s="310">
        <v>0.34432560000000001</v>
      </c>
      <c r="AC188" s="310">
        <v>0.33938020000000002</v>
      </c>
      <c r="AD188" s="310">
        <v>0.37563999999999997</v>
      </c>
      <c r="AE188" s="310">
        <v>0.3639213</v>
      </c>
      <c r="AF188" s="310">
        <v>0.32593529999999998</v>
      </c>
      <c r="AG188" s="310">
        <v>0.35661330000000002</v>
      </c>
      <c r="AH188" s="310">
        <v>0.34308090000000002</v>
      </c>
      <c r="AI188" s="310">
        <v>0.3437828</v>
      </c>
      <c r="AJ188" s="310">
        <v>0.37126530000000002</v>
      </c>
      <c r="AK188" s="310">
        <v>0.36821229999999999</v>
      </c>
      <c r="AL188" s="310">
        <v>0.36096610000000001</v>
      </c>
      <c r="AM188" s="310">
        <v>0.36483399999999999</v>
      </c>
      <c r="AN188" s="310">
        <v>0.37264799999999998</v>
      </c>
      <c r="AO188" s="310">
        <v>0.35539179999999998</v>
      </c>
      <c r="AP188" s="310">
        <v>0.3622824</v>
      </c>
      <c r="AQ188" s="310">
        <v>0.34565899999999999</v>
      </c>
      <c r="AR188" s="310">
        <v>0.35981999999999997</v>
      </c>
      <c r="AS188" s="310">
        <v>0.36118670000000003</v>
      </c>
      <c r="AT188" s="310">
        <v>0.35138269999999999</v>
      </c>
      <c r="AU188" s="310">
        <v>0.3714865</v>
      </c>
      <c r="AV188" s="310">
        <v>0.37228670000000003</v>
      </c>
      <c r="AW188" s="310">
        <v>0.35435689999999997</v>
      </c>
      <c r="AX188" s="310">
        <v>0.35146709999999998</v>
      </c>
      <c r="AY188" s="310">
        <v>0.36513129999999999</v>
      </c>
      <c r="AZ188" s="310">
        <v>0.3704269</v>
      </c>
      <c r="BA188" s="310">
        <v>0.3233026</v>
      </c>
      <c r="BB188" s="310">
        <v>0.37300670000000002</v>
      </c>
      <c r="BC188" s="310">
        <v>0.37257689999999999</v>
      </c>
      <c r="BD188" s="310">
        <v>0.37121209999999999</v>
      </c>
      <c r="BE188" s="310">
        <v>0.37162030000000001</v>
      </c>
      <c r="BF188" s="310">
        <v>0.3556877</v>
      </c>
      <c r="BG188" s="310">
        <v>0.36798120000000001</v>
      </c>
      <c r="BH188" s="310">
        <v>0.36125649999999998</v>
      </c>
      <c r="BI188" s="310">
        <v>0.37321759999999998</v>
      </c>
      <c r="BJ188" s="310">
        <v>0.37263079999999998</v>
      </c>
      <c r="BK188" s="310">
        <v>0.37413990000000003</v>
      </c>
    </row>
    <row r="189" spans="1:63" x14ac:dyDescent="0.25">
      <c r="A189" s="306">
        <v>332720</v>
      </c>
      <c r="B189" s="310" t="s">
        <v>176</v>
      </c>
      <c r="C189" s="310">
        <v>0.31532660000000001</v>
      </c>
      <c r="D189" s="310">
        <v>0</v>
      </c>
      <c r="E189" s="310">
        <v>0.30815140000000002</v>
      </c>
      <c r="F189" s="310">
        <v>0.2980003</v>
      </c>
      <c r="G189" s="310">
        <v>0.31288159999999998</v>
      </c>
      <c r="H189" s="310">
        <v>0.31403330000000002</v>
      </c>
      <c r="I189" s="310">
        <v>0.31338739999999998</v>
      </c>
      <c r="J189" s="310">
        <v>0.30653799999999998</v>
      </c>
      <c r="K189" s="310">
        <v>0</v>
      </c>
      <c r="L189" s="310">
        <v>0.2502837</v>
      </c>
      <c r="M189" s="310">
        <v>0.30974380000000001</v>
      </c>
      <c r="N189" s="310">
        <v>0.30172169999999998</v>
      </c>
      <c r="O189" s="310">
        <v>0</v>
      </c>
      <c r="P189" s="310">
        <v>0.29548609999999997</v>
      </c>
      <c r="Q189" s="310">
        <v>0.29389549999999998</v>
      </c>
      <c r="R189" s="310">
        <v>0.30295919999999998</v>
      </c>
      <c r="S189" s="310">
        <v>0.2988767</v>
      </c>
      <c r="T189" s="310">
        <v>0.28382489999999999</v>
      </c>
      <c r="U189" s="310">
        <v>0.28609659999999998</v>
      </c>
      <c r="V189" s="310">
        <v>0.30876330000000002</v>
      </c>
      <c r="W189" s="310">
        <v>0.29096470000000002</v>
      </c>
      <c r="X189" s="310">
        <v>0.29112349999999998</v>
      </c>
      <c r="Y189" s="310">
        <v>0.28391379999999999</v>
      </c>
      <c r="Z189" s="310">
        <v>0.31210670000000001</v>
      </c>
      <c r="AA189" s="310">
        <v>0.2903268</v>
      </c>
      <c r="AB189" s="310">
        <v>0.28887679999999999</v>
      </c>
      <c r="AC189" s="310">
        <v>0.28467209999999998</v>
      </c>
      <c r="AD189" s="310">
        <v>0.31514789999999998</v>
      </c>
      <c r="AE189" s="310">
        <v>0.30534299999999998</v>
      </c>
      <c r="AF189" s="310">
        <v>0</v>
      </c>
      <c r="AG189" s="310">
        <v>0.29912680000000003</v>
      </c>
      <c r="AH189" s="310">
        <v>0.287883</v>
      </c>
      <c r="AI189" s="310">
        <v>0.28843099999999999</v>
      </c>
      <c r="AJ189" s="310">
        <v>0.3114944</v>
      </c>
      <c r="AK189" s="310">
        <v>0.3089788</v>
      </c>
      <c r="AL189" s="310">
        <v>0.30284820000000001</v>
      </c>
      <c r="AM189" s="310">
        <v>0.30610860000000001</v>
      </c>
      <c r="AN189" s="310">
        <v>0.31260880000000002</v>
      </c>
      <c r="AO189" s="310">
        <v>0.29810700000000001</v>
      </c>
      <c r="AP189" s="310">
        <v>0.30392819999999998</v>
      </c>
      <c r="AQ189" s="310">
        <v>0.2900334</v>
      </c>
      <c r="AR189" s="310">
        <v>0.30193999999999999</v>
      </c>
      <c r="AS189" s="310">
        <v>0.30301519999999998</v>
      </c>
      <c r="AT189" s="310">
        <v>0.29480299999999998</v>
      </c>
      <c r="AU189" s="310">
        <v>0.31166670000000002</v>
      </c>
      <c r="AV189" s="310">
        <v>0.3123107</v>
      </c>
      <c r="AW189" s="310">
        <v>0.2973286</v>
      </c>
      <c r="AX189" s="310">
        <v>0.29491980000000001</v>
      </c>
      <c r="AY189" s="310">
        <v>0.30633339999999998</v>
      </c>
      <c r="AZ189" s="310">
        <v>0.3107917</v>
      </c>
      <c r="BA189" s="310">
        <v>0.27120050000000001</v>
      </c>
      <c r="BB189" s="310">
        <v>0</v>
      </c>
      <c r="BC189" s="310">
        <v>0.31259019999999998</v>
      </c>
      <c r="BD189" s="310">
        <v>0.31143490000000001</v>
      </c>
      <c r="BE189" s="310">
        <v>0.31182989999999999</v>
      </c>
      <c r="BF189" s="310">
        <v>0.29840499999999998</v>
      </c>
      <c r="BG189" s="310">
        <v>0.30869360000000001</v>
      </c>
      <c r="BH189" s="310">
        <v>0.30309469999999999</v>
      </c>
      <c r="BI189" s="310">
        <v>0.31309019999999999</v>
      </c>
      <c r="BJ189" s="310">
        <v>0.31261149999999999</v>
      </c>
      <c r="BK189" s="310">
        <v>0.31387310000000002</v>
      </c>
    </row>
    <row r="190" spans="1:63" x14ac:dyDescent="0.25">
      <c r="A190" s="306">
        <v>332800</v>
      </c>
      <c r="B190" s="310" t="s">
        <v>177</v>
      </c>
      <c r="C190" s="310">
        <v>0.27020359999999999</v>
      </c>
      <c r="D190" s="310">
        <v>0.26191229999999999</v>
      </c>
      <c r="E190" s="310">
        <v>0.26404139999999998</v>
      </c>
      <c r="F190" s="310">
        <v>0.25534299999999999</v>
      </c>
      <c r="G190" s="310">
        <v>0.26804919999999999</v>
      </c>
      <c r="H190" s="310">
        <v>0.26908219999999999</v>
      </c>
      <c r="I190" s="310">
        <v>0.26849260000000003</v>
      </c>
      <c r="J190" s="310">
        <v>0.26263199999999998</v>
      </c>
      <c r="K190" s="310">
        <v>0</v>
      </c>
      <c r="L190" s="310">
        <v>0.21441080000000001</v>
      </c>
      <c r="M190" s="310">
        <v>0.26540780000000003</v>
      </c>
      <c r="N190" s="310">
        <v>0.25851770000000002</v>
      </c>
      <c r="O190" s="310">
        <v>0.27023900000000001</v>
      </c>
      <c r="P190" s="310">
        <v>0.2532102</v>
      </c>
      <c r="Q190" s="310">
        <v>0.25178620000000002</v>
      </c>
      <c r="R190" s="310">
        <v>0.25960680000000003</v>
      </c>
      <c r="S190" s="310">
        <v>0.25610500000000003</v>
      </c>
      <c r="T190" s="310">
        <v>0.24321680000000001</v>
      </c>
      <c r="U190" s="310">
        <v>0.24514639999999999</v>
      </c>
      <c r="V190" s="310">
        <v>0.26453969999999999</v>
      </c>
      <c r="W190" s="310">
        <v>0.24926870000000001</v>
      </c>
      <c r="X190" s="310">
        <v>0.24946080000000001</v>
      </c>
      <c r="Y190" s="310">
        <v>0.24331920000000001</v>
      </c>
      <c r="Z190" s="310">
        <v>0.26744800000000002</v>
      </c>
      <c r="AA190" s="310">
        <v>0.24877270000000001</v>
      </c>
      <c r="AB190" s="310">
        <v>0.2475504</v>
      </c>
      <c r="AC190" s="310">
        <v>0.2439376</v>
      </c>
      <c r="AD190" s="310">
        <v>0.27001740000000002</v>
      </c>
      <c r="AE190" s="310">
        <v>0.26162269999999999</v>
      </c>
      <c r="AF190" s="310">
        <v>0.23431189999999999</v>
      </c>
      <c r="AG190" s="310">
        <v>0.25635360000000001</v>
      </c>
      <c r="AH190" s="310">
        <v>0.24667069999999999</v>
      </c>
      <c r="AI190" s="310">
        <v>0.24714</v>
      </c>
      <c r="AJ190" s="310">
        <v>0.26692189999999999</v>
      </c>
      <c r="AK190" s="310">
        <v>0.264708</v>
      </c>
      <c r="AL190" s="310">
        <v>0.2594959</v>
      </c>
      <c r="AM190" s="310">
        <v>0.26231199999999999</v>
      </c>
      <c r="AN190" s="310">
        <v>0.26790449999999999</v>
      </c>
      <c r="AO190" s="310">
        <v>0.25547170000000002</v>
      </c>
      <c r="AP190" s="310">
        <v>0.26041019999999998</v>
      </c>
      <c r="AQ190" s="310">
        <v>0.24850320000000001</v>
      </c>
      <c r="AR190" s="310">
        <v>0.25869520000000001</v>
      </c>
      <c r="AS190" s="310">
        <v>0.25967469999999998</v>
      </c>
      <c r="AT190" s="310">
        <v>0.25263540000000001</v>
      </c>
      <c r="AU190" s="310">
        <v>0.26708179999999998</v>
      </c>
      <c r="AV190" s="310">
        <v>0.26764080000000001</v>
      </c>
      <c r="AW190" s="310">
        <v>0.25479469999999999</v>
      </c>
      <c r="AX190" s="310">
        <v>0.25272210000000001</v>
      </c>
      <c r="AY190" s="310">
        <v>0.26251560000000002</v>
      </c>
      <c r="AZ190" s="310">
        <v>0.2663065</v>
      </c>
      <c r="BA190" s="310">
        <v>0.232431</v>
      </c>
      <c r="BB190" s="310">
        <v>0.26819179999999998</v>
      </c>
      <c r="BC190" s="310">
        <v>0.26786159999999998</v>
      </c>
      <c r="BD190" s="310">
        <v>0.26682149999999999</v>
      </c>
      <c r="BE190" s="310">
        <v>0.26718150000000002</v>
      </c>
      <c r="BF190" s="310">
        <v>0.25568869999999999</v>
      </c>
      <c r="BG190" s="310">
        <v>0.26455649999999997</v>
      </c>
      <c r="BH190" s="310">
        <v>0.25971549999999999</v>
      </c>
      <c r="BI190" s="310">
        <v>0.2683122</v>
      </c>
      <c r="BJ190" s="310">
        <v>0.26787240000000001</v>
      </c>
      <c r="BK190" s="310">
        <v>0.26894590000000002</v>
      </c>
    </row>
    <row r="191" spans="1:63" x14ac:dyDescent="0.25">
      <c r="A191" s="306">
        <v>332913</v>
      </c>
      <c r="B191" s="310" t="s">
        <v>8</v>
      </c>
      <c r="C191" s="310">
        <v>0.1627102</v>
      </c>
      <c r="D191" s="310">
        <v>0</v>
      </c>
      <c r="E191" s="310">
        <v>0</v>
      </c>
      <c r="F191" s="310">
        <v>0.1537471</v>
      </c>
      <c r="G191" s="310">
        <v>0.16144030000000001</v>
      </c>
      <c r="H191" s="310">
        <v>0.16206960000000001</v>
      </c>
      <c r="I191" s="310">
        <v>0.16169130000000001</v>
      </c>
      <c r="J191" s="310">
        <v>0.15816469999999999</v>
      </c>
      <c r="K191" s="310">
        <v>0</v>
      </c>
      <c r="L191" s="310">
        <v>0.1291639</v>
      </c>
      <c r="M191" s="310">
        <v>0.15985849999999999</v>
      </c>
      <c r="N191" s="310">
        <v>0.15567710000000001</v>
      </c>
      <c r="O191" s="310">
        <v>0</v>
      </c>
      <c r="P191" s="310">
        <v>0</v>
      </c>
      <c r="Q191" s="310">
        <v>0.15163860000000001</v>
      </c>
      <c r="R191" s="310">
        <v>0.15636130000000001</v>
      </c>
      <c r="S191" s="310">
        <v>0.15423290000000001</v>
      </c>
      <c r="T191" s="310">
        <v>0.1464867</v>
      </c>
      <c r="U191" s="310">
        <v>0.14762359999999999</v>
      </c>
      <c r="V191" s="310">
        <v>0</v>
      </c>
      <c r="W191" s="310">
        <v>0.15012500000000001</v>
      </c>
      <c r="X191" s="310">
        <v>0</v>
      </c>
      <c r="Y191" s="310">
        <v>0</v>
      </c>
      <c r="Z191" s="310">
        <v>0.16106509999999999</v>
      </c>
      <c r="AA191" s="310">
        <v>0.14983070000000001</v>
      </c>
      <c r="AB191" s="310">
        <v>0.1490523</v>
      </c>
      <c r="AC191" s="310">
        <v>0</v>
      </c>
      <c r="AD191" s="310">
        <v>0</v>
      </c>
      <c r="AE191" s="310">
        <v>0.1575821</v>
      </c>
      <c r="AF191" s="310">
        <v>0</v>
      </c>
      <c r="AG191" s="310">
        <v>0</v>
      </c>
      <c r="AH191" s="310">
        <v>0.14853640000000001</v>
      </c>
      <c r="AI191" s="310">
        <v>0.14885380000000001</v>
      </c>
      <c r="AJ191" s="310">
        <v>0</v>
      </c>
      <c r="AK191" s="310">
        <v>0.1594267</v>
      </c>
      <c r="AL191" s="310">
        <v>0.1562876</v>
      </c>
      <c r="AM191" s="310">
        <v>0.1579479</v>
      </c>
      <c r="AN191" s="310">
        <v>0.1613115</v>
      </c>
      <c r="AO191" s="310">
        <v>0.15382989999999999</v>
      </c>
      <c r="AP191" s="310">
        <v>0.15682550000000001</v>
      </c>
      <c r="AQ191" s="310">
        <v>0.14963670000000001</v>
      </c>
      <c r="AR191" s="310">
        <v>0.15579979999999999</v>
      </c>
      <c r="AS191" s="310">
        <v>0</v>
      </c>
      <c r="AT191" s="310">
        <v>0.1521391</v>
      </c>
      <c r="AU191" s="310">
        <v>0.16082279999999999</v>
      </c>
      <c r="AV191" s="310">
        <v>0</v>
      </c>
      <c r="AW191" s="310">
        <v>0.15342030000000001</v>
      </c>
      <c r="AX191" s="310">
        <v>0</v>
      </c>
      <c r="AY191" s="310">
        <v>0.15807260000000001</v>
      </c>
      <c r="AZ191" s="310">
        <v>0.1603484</v>
      </c>
      <c r="BA191" s="310">
        <v>0</v>
      </c>
      <c r="BB191" s="310">
        <v>0</v>
      </c>
      <c r="BC191" s="310">
        <v>0.16130059999999999</v>
      </c>
      <c r="BD191" s="310">
        <v>0.1607084</v>
      </c>
      <c r="BE191" s="310">
        <v>0.16088939999999999</v>
      </c>
      <c r="BF191" s="310">
        <v>0.1539925</v>
      </c>
      <c r="BG191" s="310">
        <v>0.1592894</v>
      </c>
      <c r="BH191" s="310">
        <v>0.15639130000000001</v>
      </c>
      <c r="BI191" s="310">
        <v>0.1615964</v>
      </c>
      <c r="BJ191" s="310">
        <v>0.1613047</v>
      </c>
      <c r="BK191" s="310">
        <v>0.16198170000000001</v>
      </c>
    </row>
    <row r="192" spans="1:63" x14ac:dyDescent="0.25">
      <c r="A192" s="306" t="s">
        <v>601</v>
      </c>
      <c r="B192" s="310" t="s">
        <v>612</v>
      </c>
      <c r="C192" s="310">
        <v>0.24639369999999999</v>
      </c>
      <c r="D192" s="310">
        <v>0</v>
      </c>
      <c r="E192" s="310">
        <v>0.24074300000000001</v>
      </c>
      <c r="F192" s="310">
        <v>0.2328643</v>
      </c>
      <c r="G192" s="310">
        <v>0.24441930000000001</v>
      </c>
      <c r="H192" s="310">
        <v>0.2453834</v>
      </c>
      <c r="I192" s="310">
        <v>0.24483949999999999</v>
      </c>
      <c r="J192" s="310">
        <v>0.2395255</v>
      </c>
      <c r="K192" s="310">
        <v>4.2682400000000002E-2</v>
      </c>
      <c r="L192" s="310">
        <v>0</v>
      </c>
      <c r="M192" s="310">
        <v>0.24200650000000001</v>
      </c>
      <c r="N192" s="310">
        <v>0.23572560000000001</v>
      </c>
      <c r="O192" s="310">
        <v>0</v>
      </c>
      <c r="P192" s="310">
        <v>0.23090910000000001</v>
      </c>
      <c r="Q192" s="310">
        <v>0.22961419999999999</v>
      </c>
      <c r="R192" s="310">
        <v>0.23670949999999999</v>
      </c>
      <c r="S192" s="310">
        <v>0.23349420000000001</v>
      </c>
      <c r="T192" s="310">
        <v>0.22175990000000001</v>
      </c>
      <c r="U192" s="310">
        <v>0.22352720000000001</v>
      </c>
      <c r="V192" s="310">
        <v>0.2412184</v>
      </c>
      <c r="W192" s="310">
        <v>0.2273152</v>
      </c>
      <c r="X192" s="310">
        <v>0.22744120000000001</v>
      </c>
      <c r="Y192" s="310">
        <v>0.22181690000000001</v>
      </c>
      <c r="Z192" s="310">
        <v>0.24387329999999999</v>
      </c>
      <c r="AA192" s="310">
        <v>0.22689519999999999</v>
      </c>
      <c r="AB192" s="310">
        <v>0.2257306</v>
      </c>
      <c r="AC192" s="310">
        <v>0.22243669999999999</v>
      </c>
      <c r="AD192" s="310">
        <v>0.24626319999999999</v>
      </c>
      <c r="AE192" s="310">
        <v>0.23854149999999999</v>
      </c>
      <c r="AF192" s="310">
        <v>0.21364259999999999</v>
      </c>
      <c r="AG192" s="310">
        <v>0.2337775</v>
      </c>
      <c r="AH192" s="310">
        <v>0.22493060000000001</v>
      </c>
      <c r="AI192" s="310">
        <v>0.2253404</v>
      </c>
      <c r="AJ192" s="310">
        <v>0.24336250000000001</v>
      </c>
      <c r="AK192" s="310">
        <v>0.2413941</v>
      </c>
      <c r="AL192" s="310">
        <v>0.23662739999999999</v>
      </c>
      <c r="AM192" s="310">
        <v>0.2391846</v>
      </c>
      <c r="AN192" s="310">
        <v>0.24428269999999999</v>
      </c>
      <c r="AO192" s="310">
        <v>0.23296539999999999</v>
      </c>
      <c r="AP192" s="310">
        <v>0.23749590000000001</v>
      </c>
      <c r="AQ192" s="310">
        <v>0.22661919999999999</v>
      </c>
      <c r="AR192" s="310">
        <v>0.23592859999999999</v>
      </c>
      <c r="AS192" s="310">
        <v>0.23673530000000001</v>
      </c>
      <c r="AT192" s="310">
        <v>0.23037659999999999</v>
      </c>
      <c r="AU192" s="310">
        <v>0.24352670000000001</v>
      </c>
      <c r="AV192" s="310">
        <v>0.2440476</v>
      </c>
      <c r="AW192" s="310">
        <v>0.23233799999999999</v>
      </c>
      <c r="AX192" s="310">
        <v>0.23044480000000001</v>
      </c>
      <c r="AY192" s="310">
        <v>0.2393479</v>
      </c>
      <c r="AZ192" s="310">
        <v>0.24283660000000001</v>
      </c>
      <c r="BA192" s="310">
        <v>0.21196039999999999</v>
      </c>
      <c r="BB192" s="310">
        <v>0.24449480000000001</v>
      </c>
      <c r="BC192" s="310">
        <v>0.24425649999999999</v>
      </c>
      <c r="BD192" s="310">
        <v>0.24333199999999999</v>
      </c>
      <c r="BE192" s="310">
        <v>0.24362510000000001</v>
      </c>
      <c r="BF192" s="310">
        <v>0.23313400000000001</v>
      </c>
      <c r="BG192" s="310">
        <v>0.24122469999999999</v>
      </c>
      <c r="BH192" s="310">
        <v>0.23681170000000001</v>
      </c>
      <c r="BI192" s="310">
        <v>0.24467259999999999</v>
      </c>
      <c r="BJ192" s="310">
        <v>0.24429129999999999</v>
      </c>
      <c r="BK192" s="310">
        <v>0.24522740000000001</v>
      </c>
    </row>
    <row r="193" spans="1:63" x14ac:dyDescent="0.25">
      <c r="A193" s="306">
        <v>332991</v>
      </c>
      <c r="B193" s="310" t="s">
        <v>178</v>
      </c>
      <c r="C193" s="310">
        <v>0.23606559999999999</v>
      </c>
      <c r="D193" s="310">
        <v>0</v>
      </c>
      <c r="E193" s="310">
        <v>0.23068130000000001</v>
      </c>
      <c r="F193" s="310">
        <v>0</v>
      </c>
      <c r="G193" s="310">
        <v>0</v>
      </c>
      <c r="H193" s="310">
        <v>0.2351229</v>
      </c>
      <c r="I193" s="310">
        <v>0</v>
      </c>
      <c r="J193" s="310">
        <v>0.22947680000000001</v>
      </c>
      <c r="K193" s="310">
        <v>0</v>
      </c>
      <c r="L193" s="310">
        <v>0.1873618</v>
      </c>
      <c r="M193" s="310">
        <v>0.2319378</v>
      </c>
      <c r="N193" s="310">
        <v>0.22586829999999999</v>
      </c>
      <c r="O193" s="310">
        <v>0</v>
      </c>
      <c r="P193" s="310">
        <v>0.22124189999999999</v>
      </c>
      <c r="Q193" s="310">
        <v>0</v>
      </c>
      <c r="R193" s="310">
        <v>0.22681999999999999</v>
      </c>
      <c r="S193" s="310">
        <v>0.22377340000000001</v>
      </c>
      <c r="T193" s="310">
        <v>0.21246809999999999</v>
      </c>
      <c r="U193" s="310">
        <v>0.2141892</v>
      </c>
      <c r="V193" s="310">
        <v>0</v>
      </c>
      <c r="W193" s="310">
        <v>0.2177849</v>
      </c>
      <c r="X193" s="310">
        <v>0.2179324</v>
      </c>
      <c r="Y193" s="310">
        <v>0</v>
      </c>
      <c r="Z193" s="310">
        <v>0.23366110000000001</v>
      </c>
      <c r="AA193" s="310">
        <v>0</v>
      </c>
      <c r="AB193" s="310">
        <v>0.21630650000000001</v>
      </c>
      <c r="AC193" s="310">
        <v>0.21318019999999999</v>
      </c>
      <c r="AD193" s="310">
        <v>0</v>
      </c>
      <c r="AE193" s="310">
        <v>0.22858909999999999</v>
      </c>
      <c r="AF193" s="310">
        <v>0</v>
      </c>
      <c r="AG193" s="310">
        <v>0</v>
      </c>
      <c r="AH193" s="310">
        <v>0.21551989999999999</v>
      </c>
      <c r="AI193" s="310">
        <v>0.21592349999999999</v>
      </c>
      <c r="AJ193" s="310">
        <v>0</v>
      </c>
      <c r="AK193" s="310">
        <v>0.231296</v>
      </c>
      <c r="AL193" s="310">
        <v>0.2267296</v>
      </c>
      <c r="AM193" s="310">
        <v>0.22915759999999999</v>
      </c>
      <c r="AN193" s="310">
        <v>0.2340411</v>
      </c>
      <c r="AO193" s="310">
        <v>0</v>
      </c>
      <c r="AP193" s="310">
        <v>0.22754820000000001</v>
      </c>
      <c r="AQ193" s="310">
        <v>0.2171197</v>
      </c>
      <c r="AR193" s="310">
        <v>0.22599639999999999</v>
      </c>
      <c r="AS193" s="310">
        <v>0</v>
      </c>
      <c r="AT193" s="310">
        <v>0.22070039999999999</v>
      </c>
      <c r="AU193" s="310">
        <v>0.23336029999999999</v>
      </c>
      <c r="AV193" s="310">
        <v>0</v>
      </c>
      <c r="AW193" s="310">
        <v>0.22257479999999999</v>
      </c>
      <c r="AX193" s="310">
        <v>0</v>
      </c>
      <c r="AY193" s="310">
        <v>0</v>
      </c>
      <c r="AZ193" s="310">
        <v>0.23267769999999999</v>
      </c>
      <c r="BA193" s="310">
        <v>0</v>
      </c>
      <c r="BB193" s="310">
        <v>0.2342804</v>
      </c>
      <c r="BC193" s="310">
        <v>0.2340525</v>
      </c>
      <c r="BD193" s="310">
        <v>0.23316029999999999</v>
      </c>
      <c r="BE193" s="310">
        <v>0.2334512</v>
      </c>
      <c r="BF193" s="310">
        <v>0.22341949999999999</v>
      </c>
      <c r="BG193" s="310">
        <v>0.23109499999999999</v>
      </c>
      <c r="BH193" s="310">
        <v>0.2268994</v>
      </c>
      <c r="BI193" s="310">
        <v>0.23442209999999999</v>
      </c>
      <c r="BJ193" s="310">
        <v>0.23406440000000001</v>
      </c>
      <c r="BK193" s="310">
        <v>0.2349667</v>
      </c>
    </row>
    <row r="194" spans="1:63" x14ac:dyDescent="0.25">
      <c r="A194" s="306">
        <v>332996</v>
      </c>
      <c r="B194" s="310" t="s">
        <v>179</v>
      </c>
      <c r="C194" s="310">
        <v>0.26036589999999998</v>
      </c>
      <c r="D194" s="310">
        <v>0.25239149999999999</v>
      </c>
      <c r="E194" s="310">
        <v>0.25442700000000001</v>
      </c>
      <c r="F194" s="310">
        <v>0.24610199999999999</v>
      </c>
      <c r="G194" s="310">
        <v>0.25835970000000003</v>
      </c>
      <c r="H194" s="310">
        <v>0.25930399999999998</v>
      </c>
      <c r="I194" s="310">
        <v>0.2587198</v>
      </c>
      <c r="J194" s="310">
        <v>0.25313970000000002</v>
      </c>
      <c r="K194" s="310">
        <v>0</v>
      </c>
      <c r="L194" s="310">
        <v>0.20666619999999999</v>
      </c>
      <c r="M194" s="310">
        <v>0.25578099999999998</v>
      </c>
      <c r="N194" s="310">
        <v>0.2491352</v>
      </c>
      <c r="O194" s="310">
        <v>0</v>
      </c>
      <c r="P194" s="310">
        <v>0.2439742</v>
      </c>
      <c r="Q194" s="310">
        <v>0.24263979999999999</v>
      </c>
      <c r="R194" s="310">
        <v>0.25017610000000001</v>
      </c>
      <c r="S194" s="310">
        <v>0.24681239999999999</v>
      </c>
      <c r="T194" s="310">
        <v>0.23434640000000001</v>
      </c>
      <c r="U194" s="310">
        <v>0.2362059</v>
      </c>
      <c r="V194" s="310">
        <v>0.25494060000000002</v>
      </c>
      <c r="W194" s="310">
        <v>0.24023430000000001</v>
      </c>
      <c r="X194" s="310">
        <v>0.240365</v>
      </c>
      <c r="Y194" s="310">
        <v>0.23445350000000001</v>
      </c>
      <c r="Z194" s="310">
        <v>0.25775599999999999</v>
      </c>
      <c r="AA194" s="310">
        <v>0.23974229999999999</v>
      </c>
      <c r="AB194" s="310">
        <v>0.23856040000000001</v>
      </c>
      <c r="AC194" s="310">
        <v>0.2350834</v>
      </c>
      <c r="AD194" s="310">
        <v>0.2601832</v>
      </c>
      <c r="AE194" s="310">
        <v>0.25210909999999997</v>
      </c>
      <c r="AF194" s="310">
        <v>0</v>
      </c>
      <c r="AG194" s="310">
        <v>0.2470436</v>
      </c>
      <c r="AH194" s="310">
        <v>0.2376789</v>
      </c>
      <c r="AI194" s="310">
        <v>0.23816029999999999</v>
      </c>
      <c r="AJ194" s="310">
        <v>0.25717240000000002</v>
      </c>
      <c r="AK194" s="310">
        <v>0.25512089999999998</v>
      </c>
      <c r="AL194" s="310">
        <v>0.25005379999999999</v>
      </c>
      <c r="AM194" s="310">
        <v>0.25278970000000001</v>
      </c>
      <c r="AN194" s="310">
        <v>0.25818600000000003</v>
      </c>
      <c r="AO194" s="310">
        <v>0.24618770000000001</v>
      </c>
      <c r="AP194" s="310">
        <v>0.25096489999999999</v>
      </c>
      <c r="AQ194" s="310">
        <v>0.23949219999999999</v>
      </c>
      <c r="AR194" s="310">
        <v>0.24930579999999999</v>
      </c>
      <c r="AS194" s="310">
        <v>0.25022440000000001</v>
      </c>
      <c r="AT194" s="310">
        <v>0.24343609999999999</v>
      </c>
      <c r="AU194" s="310">
        <v>0.25734200000000002</v>
      </c>
      <c r="AV194" s="310">
        <v>0.2578783</v>
      </c>
      <c r="AW194" s="310">
        <v>0.24550540000000001</v>
      </c>
      <c r="AX194" s="310">
        <v>0</v>
      </c>
      <c r="AY194" s="310">
        <v>0.25299120000000003</v>
      </c>
      <c r="AZ194" s="310">
        <v>0.25661469999999997</v>
      </c>
      <c r="BA194" s="310">
        <v>0.22394359999999999</v>
      </c>
      <c r="BB194" s="310">
        <v>0.25839689999999998</v>
      </c>
      <c r="BC194" s="310">
        <v>0.2581212</v>
      </c>
      <c r="BD194" s="310">
        <v>0.25714290000000001</v>
      </c>
      <c r="BE194" s="310">
        <v>0.2574767</v>
      </c>
      <c r="BF194" s="310">
        <v>0.246364</v>
      </c>
      <c r="BG194" s="310">
        <v>0.25493290000000002</v>
      </c>
      <c r="BH194" s="310">
        <v>0.2502972</v>
      </c>
      <c r="BI194" s="310">
        <v>0.25853989999999999</v>
      </c>
      <c r="BJ194" s="310">
        <v>0.25814550000000003</v>
      </c>
      <c r="BK194" s="310">
        <v>0.25917780000000001</v>
      </c>
    </row>
    <row r="195" spans="1:63" x14ac:dyDescent="0.25">
      <c r="A195" s="306" t="s">
        <v>728</v>
      </c>
      <c r="B195" s="310" t="s">
        <v>171</v>
      </c>
      <c r="C195" s="310">
        <v>0.27060139999999999</v>
      </c>
      <c r="D195" s="310">
        <v>0</v>
      </c>
      <c r="E195" s="310">
        <v>0.2644437</v>
      </c>
      <c r="F195" s="310">
        <v>0.25574980000000003</v>
      </c>
      <c r="G195" s="310">
        <v>0</v>
      </c>
      <c r="H195" s="310">
        <v>0.26948879999999997</v>
      </c>
      <c r="I195" s="310">
        <v>0</v>
      </c>
      <c r="J195" s="310">
        <v>0.26306819999999997</v>
      </c>
      <c r="K195" s="310">
        <v>0</v>
      </c>
      <c r="L195" s="310">
        <v>0</v>
      </c>
      <c r="M195" s="310">
        <v>0.26584989999999997</v>
      </c>
      <c r="N195" s="310">
        <v>0.25888709999999998</v>
      </c>
      <c r="O195" s="310">
        <v>0</v>
      </c>
      <c r="P195" s="310">
        <v>0.2535636</v>
      </c>
      <c r="Q195" s="310">
        <v>0.25218940000000001</v>
      </c>
      <c r="R195" s="310">
        <v>0.26</v>
      </c>
      <c r="S195" s="310">
        <v>0.25646219999999997</v>
      </c>
      <c r="T195" s="310">
        <v>0.2435725</v>
      </c>
      <c r="U195" s="310">
        <v>0.24553179999999999</v>
      </c>
      <c r="V195" s="310">
        <v>0</v>
      </c>
      <c r="W195" s="310">
        <v>0.24966279999999999</v>
      </c>
      <c r="X195" s="310">
        <v>0.24982689999999999</v>
      </c>
      <c r="Y195" s="310">
        <v>0</v>
      </c>
      <c r="Z195" s="310">
        <v>0.26787359999999999</v>
      </c>
      <c r="AA195" s="310">
        <v>0.24914539999999999</v>
      </c>
      <c r="AB195" s="310">
        <v>0.2479384</v>
      </c>
      <c r="AC195" s="310">
        <v>0.24435870000000001</v>
      </c>
      <c r="AD195" s="310">
        <v>0.27041209999999999</v>
      </c>
      <c r="AE195" s="310">
        <v>0.26201049999999998</v>
      </c>
      <c r="AF195" s="310">
        <v>0</v>
      </c>
      <c r="AG195" s="310">
        <v>0.25675140000000002</v>
      </c>
      <c r="AH195" s="310">
        <v>0</v>
      </c>
      <c r="AI195" s="310">
        <v>0</v>
      </c>
      <c r="AJ195" s="310">
        <v>0.26730029999999999</v>
      </c>
      <c r="AK195" s="310">
        <v>0.26512029999999998</v>
      </c>
      <c r="AL195" s="310">
        <v>0</v>
      </c>
      <c r="AM195" s="310">
        <v>0.26268390000000003</v>
      </c>
      <c r="AN195" s="310">
        <v>0</v>
      </c>
      <c r="AO195" s="310">
        <v>0.25583040000000001</v>
      </c>
      <c r="AP195" s="310">
        <v>0.26084750000000001</v>
      </c>
      <c r="AQ195" s="310">
        <v>0</v>
      </c>
      <c r="AR195" s="310">
        <v>0.25905660000000003</v>
      </c>
      <c r="AS195" s="310">
        <v>0.26002629999999999</v>
      </c>
      <c r="AT195" s="310">
        <v>0.25298540000000003</v>
      </c>
      <c r="AU195" s="310">
        <v>0.26749139999999999</v>
      </c>
      <c r="AV195" s="310">
        <v>0.26805440000000003</v>
      </c>
      <c r="AW195" s="310">
        <v>0.255137</v>
      </c>
      <c r="AX195" s="310">
        <v>0</v>
      </c>
      <c r="AY195" s="310">
        <v>0.26287769999999999</v>
      </c>
      <c r="AZ195" s="310">
        <v>0.26671250000000002</v>
      </c>
      <c r="BA195" s="310">
        <v>0.23278389999999999</v>
      </c>
      <c r="BB195" s="310">
        <v>0</v>
      </c>
      <c r="BC195" s="310">
        <v>0.26822869999999999</v>
      </c>
      <c r="BD195" s="310">
        <v>0.26725500000000002</v>
      </c>
      <c r="BE195" s="310">
        <v>0.26757130000000001</v>
      </c>
      <c r="BF195" s="310">
        <v>0.25607600000000003</v>
      </c>
      <c r="BG195" s="310">
        <v>0.26491429999999999</v>
      </c>
      <c r="BH195" s="310">
        <v>0.26013130000000001</v>
      </c>
      <c r="BI195" s="310">
        <v>0.26871479999999998</v>
      </c>
      <c r="BJ195" s="310">
        <v>0.26830150000000003</v>
      </c>
      <c r="BK195" s="310">
        <v>0.26936100000000002</v>
      </c>
    </row>
    <row r="196" spans="1:63" x14ac:dyDescent="0.25">
      <c r="A196" s="306" t="s">
        <v>729</v>
      </c>
      <c r="B196" s="310" t="s">
        <v>172</v>
      </c>
      <c r="C196" s="310">
        <v>0.26532729999999999</v>
      </c>
      <c r="D196" s="310">
        <v>0</v>
      </c>
      <c r="E196" s="310">
        <v>0.25926440000000001</v>
      </c>
      <c r="F196" s="310">
        <v>0.25071199999999999</v>
      </c>
      <c r="G196" s="310">
        <v>0.26324959999999997</v>
      </c>
      <c r="H196" s="310">
        <v>0.264214</v>
      </c>
      <c r="I196" s="310">
        <v>0.26361489999999999</v>
      </c>
      <c r="J196" s="310">
        <v>0.25792949999999998</v>
      </c>
      <c r="K196" s="310">
        <v>0</v>
      </c>
      <c r="L196" s="310">
        <v>0</v>
      </c>
      <c r="M196" s="310">
        <v>0.26063389999999997</v>
      </c>
      <c r="N196" s="310">
        <v>0.2538765</v>
      </c>
      <c r="O196" s="310">
        <v>0</v>
      </c>
      <c r="P196" s="310">
        <v>0.24862129999999999</v>
      </c>
      <c r="Q196" s="310">
        <v>0.24727689999999999</v>
      </c>
      <c r="R196" s="310">
        <v>0.25491399999999997</v>
      </c>
      <c r="S196" s="310">
        <v>0.2514942</v>
      </c>
      <c r="T196" s="310">
        <v>0.23882600000000001</v>
      </c>
      <c r="U196" s="310">
        <v>0.2406944</v>
      </c>
      <c r="V196" s="310">
        <v>0</v>
      </c>
      <c r="W196" s="310">
        <v>0.24476310000000001</v>
      </c>
      <c r="X196" s="310">
        <v>0.2449781</v>
      </c>
      <c r="Y196" s="310">
        <v>0.23892440000000001</v>
      </c>
      <c r="Z196" s="310">
        <v>0.2626289</v>
      </c>
      <c r="AA196" s="310">
        <v>0.24428340000000001</v>
      </c>
      <c r="AB196" s="310">
        <v>0.2430532</v>
      </c>
      <c r="AC196" s="310">
        <v>0.23952490000000001</v>
      </c>
      <c r="AD196" s="310">
        <v>0.26518150000000001</v>
      </c>
      <c r="AE196" s="310">
        <v>0.25692569999999998</v>
      </c>
      <c r="AF196" s="310">
        <v>0</v>
      </c>
      <c r="AG196" s="310">
        <v>0.25167109999999998</v>
      </c>
      <c r="AH196" s="310">
        <v>0.24215610000000001</v>
      </c>
      <c r="AI196" s="310">
        <v>0.2426758</v>
      </c>
      <c r="AJ196" s="310">
        <v>0</v>
      </c>
      <c r="AK196" s="310">
        <v>0.25990590000000002</v>
      </c>
      <c r="AL196" s="310">
        <v>0.25481330000000002</v>
      </c>
      <c r="AM196" s="310">
        <v>0.25751960000000002</v>
      </c>
      <c r="AN196" s="310">
        <v>0.26304359999999999</v>
      </c>
      <c r="AO196" s="310">
        <v>0.25083929999999999</v>
      </c>
      <c r="AP196" s="310">
        <v>0.2557545</v>
      </c>
      <c r="AQ196" s="310">
        <v>0</v>
      </c>
      <c r="AR196" s="310">
        <v>0.254054</v>
      </c>
      <c r="AS196" s="310">
        <v>0.25496029999999997</v>
      </c>
      <c r="AT196" s="310">
        <v>0.2480687</v>
      </c>
      <c r="AU196" s="310">
        <v>0.2622604</v>
      </c>
      <c r="AV196" s="310">
        <v>0.26274619999999999</v>
      </c>
      <c r="AW196" s="310">
        <v>0.25019370000000002</v>
      </c>
      <c r="AX196" s="310">
        <v>0.24814929999999999</v>
      </c>
      <c r="AY196" s="310">
        <v>0.2577758</v>
      </c>
      <c r="AZ196" s="310">
        <v>0.26144499999999998</v>
      </c>
      <c r="BA196" s="310">
        <v>0.22818189999999999</v>
      </c>
      <c r="BB196" s="310">
        <v>0.26330179999999997</v>
      </c>
      <c r="BC196" s="310">
        <v>0.26302199999999998</v>
      </c>
      <c r="BD196" s="310">
        <v>0.26203929999999998</v>
      </c>
      <c r="BE196" s="310">
        <v>0.2623394</v>
      </c>
      <c r="BF196" s="310">
        <v>0.25107790000000002</v>
      </c>
      <c r="BG196" s="310">
        <v>0.25978309999999999</v>
      </c>
      <c r="BH196" s="310">
        <v>0.2550327</v>
      </c>
      <c r="BI196" s="310">
        <v>0.2634782</v>
      </c>
      <c r="BJ196" s="310">
        <v>0.26306180000000001</v>
      </c>
      <c r="BK196" s="310">
        <v>0.2640673</v>
      </c>
    </row>
    <row r="197" spans="1:63" x14ac:dyDescent="0.25">
      <c r="A197" s="306" t="s">
        <v>600</v>
      </c>
      <c r="B197" s="310" t="s">
        <v>7</v>
      </c>
      <c r="C197" s="310">
        <v>0.25511509999999998</v>
      </c>
      <c r="D197" s="310">
        <v>0.24721270000000001</v>
      </c>
      <c r="E197" s="310">
        <v>0.24929090000000001</v>
      </c>
      <c r="F197" s="310">
        <v>0.2410737</v>
      </c>
      <c r="G197" s="310">
        <v>0.25314209999999998</v>
      </c>
      <c r="H197" s="310">
        <v>0.2540906</v>
      </c>
      <c r="I197" s="310">
        <v>0.25354159999999998</v>
      </c>
      <c r="J197" s="310">
        <v>0.2480204</v>
      </c>
      <c r="K197" s="310">
        <v>0</v>
      </c>
      <c r="L197" s="310">
        <v>0</v>
      </c>
      <c r="M197" s="310">
        <v>0.25065019999999999</v>
      </c>
      <c r="N197" s="310">
        <v>0.2441005</v>
      </c>
      <c r="O197" s="310">
        <v>0</v>
      </c>
      <c r="P197" s="310">
        <v>0.23905609999999999</v>
      </c>
      <c r="Q197" s="310">
        <v>0.2377204</v>
      </c>
      <c r="R197" s="310">
        <v>0.24509040000000001</v>
      </c>
      <c r="S197" s="310">
        <v>0.2418013</v>
      </c>
      <c r="T197" s="310">
        <v>0.22962279999999999</v>
      </c>
      <c r="U197" s="310">
        <v>0.23143820000000001</v>
      </c>
      <c r="V197" s="310">
        <v>0.24981139999999999</v>
      </c>
      <c r="W197" s="310">
        <v>0.2353585</v>
      </c>
      <c r="X197" s="310">
        <v>0.2355226</v>
      </c>
      <c r="Y197" s="310">
        <v>0.22974439999999999</v>
      </c>
      <c r="Z197" s="310">
        <v>0.25250939999999999</v>
      </c>
      <c r="AA197" s="310">
        <v>0.23491989999999999</v>
      </c>
      <c r="AB197" s="310">
        <v>0.2336946</v>
      </c>
      <c r="AC197" s="310">
        <v>0.2303143</v>
      </c>
      <c r="AD197" s="310">
        <v>0.25492910000000002</v>
      </c>
      <c r="AE197" s="310">
        <v>0.24704970000000001</v>
      </c>
      <c r="AF197" s="310">
        <v>0.22121550000000001</v>
      </c>
      <c r="AG197" s="310">
        <v>0.24201790000000001</v>
      </c>
      <c r="AH197" s="310">
        <v>0.23286519999999999</v>
      </c>
      <c r="AI197" s="310">
        <v>0.23338429999999999</v>
      </c>
      <c r="AJ197" s="310">
        <v>0.2519981</v>
      </c>
      <c r="AK197" s="310">
        <v>0.2499815</v>
      </c>
      <c r="AL197" s="310">
        <v>0.24499609999999999</v>
      </c>
      <c r="AM197" s="310">
        <v>0.24765960000000001</v>
      </c>
      <c r="AN197" s="310">
        <v>0.25293890000000002</v>
      </c>
      <c r="AO197" s="310">
        <v>0.24121380000000001</v>
      </c>
      <c r="AP197" s="310">
        <v>0.24589250000000001</v>
      </c>
      <c r="AQ197" s="310">
        <v>0.23465949999999999</v>
      </c>
      <c r="AR197" s="310">
        <v>0.24426439999999999</v>
      </c>
      <c r="AS197" s="310">
        <v>0.24510570000000001</v>
      </c>
      <c r="AT197" s="310">
        <v>0.23851729999999999</v>
      </c>
      <c r="AU197" s="310">
        <v>0.25216349999999998</v>
      </c>
      <c r="AV197" s="310">
        <v>0.2526986</v>
      </c>
      <c r="AW197" s="310">
        <v>0.2405776</v>
      </c>
      <c r="AX197" s="310">
        <v>0.2385729</v>
      </c>
      <c r="AY197" s="310">
        <v>0.2478495</v>
      </c>
      <c r="AZ197" s="310">
        <v>0.25144149999999998</v>
      </c>
      <c r="BA197" s="310">
        <v>0.21944669999999999</v>
      </c>
      <c r="BB197" s="310">
        <v>0.25319360000000002</v>
      </c>
      <c r="BC197" s="310">
        <v>0.25287209999999999</v>
      </c>
      <c r="BD197" s="310">
        <v>0.2519634</v>
      </c>
      <c r="BE197" s="310">
        <v>0.25227899999999998</v>
      </c>
      <c r="BF197" s="310">
        <v>0.2413835</v>
      </c>
      <c r="BG197" s="310">
        <v>0.249781</v>
      </c>
      <c r="BH197" s="310">
        <v>0.2452134</v>
      </c>
      <c r="BI197" s="310">
        <v>0.25330059999999999</v>
      </c>
      <c r="BJ197" s="310">
        <v>0.25289279999999997</v>
      </c>
      <c r="BK197" s="310">
        <v>0.25395240000000002</v>
      </c>
    </row>
    <row r="198" spans="1:63" x14ac:dyDescent="0.25">
      <c r="A198" s="306">
        <v>333111</v>
      </c>
      <c r="B198" s="310" t="s">
        <v>180</v>
      </c>
      <c r="C198" s="310">
        <v>0.17418500000000001</v>
      </c>
      <c r="D198" s="310">
        <v>0</v>
      </c>
      <c r="E198" s="310">
        <v>0.16837289999999999</v>
      </c>
      <c r="F198" s="310">
        <v>0.16451660000000001</v>
      </c>
      <c r="G198" s="310">
        <v>0.1713247</v>
      </c>
      <c r="H198" s="310">
        <v>0.1726153</v>
      </c>
      <c r="I198" s="310">
        <v>0.17080590000000001</v>
      </c>
      <c r="J198" s="310">
        <v>0</v>
      </c>
      <c r="K198" s="310">
        <v>0</v>
      </c>
      <c r="L198" s="310">
        <v>0</v>
      </c>
      <c r="M198" s="310">
        <v>0.17192750000000001</v>
      </c>
      <c r="N198" s="310">
        <v>0.16778100000000001</v>
      </c>
      <c r="O198" s="310">
        <v>0.14639940000000001</v>
      </c>
      <c r="P198" s="310">
        <v>0.16236059999999999</v>
      </c>
      <c r="Q198" s="310">
        <v>0.17040730000000001</v>
      </c>
      <c r="R198" s="310">
        <v>0.16507939999999999</v>
      </c>
      <c r="S198" s="310">
        <v>0.16753589999999999</v>
      </c>
      <c r="T198" s="310">
        <v>0.15336420000000001</v>
      </c>
      <c r="U198" s="310">
        <v>0.15712390000000001</v>
      </c>
      <c r="V198" s="310">
        <v>0.17017769999999999</v>
      </c>
      <c r="W198" s="310">
        <v>0.15784529999999999</v>
      </c>
      <c r="X198" s="310">
        <v>0.14885409999999999</v>
      </c>
      <c r="Y198" s="310">
        <v>0.16580120000000001</v>
      </c>
      <c r="Z198" s="310">
        <v>0.1715054</v>
      </c>
      <c r="AA198" s="310">
        <v>0.16842579999999999</v>
      </c>
      <c r="AB198" s="310">
        <v>0.1599901</v>
      </c>
      <c r="AC198" s="310">
        <v>0.15755160000000001</v>
      </c>
      <c r="AD198" s="310">
        <v>0.1676811</v>
      </c>
      <c r="AE198" s="310">
        <v>0.16388820000000001</v>
      </c>
      <c r="AF198" s="310">
        <v>0.15930320000000001</v>
      </c>
      <c r="AG198" s="310">
        <v>0.16584499999999999</v>
      </c>
      <c r="AH198" s="310">
        <v>0.15354680000000001</v>
      </c>
      <c r="AI198" s="310">
        <v>0.1534037</v>
      </c>
      <c r="AJ198" s="310">
        <v>0.1610364</v>
      </c>
      <c r="AK198" s="310">
        <v>0.16680410000000001</v>
      </c>
      <c r="AL198" s="310">
        <v>0.16850280000000001</v>
      </c>
      <c r="AM198" s="310">
        <v>0.16872780000000001</v>
      </c>
      <c r="AN198" s="310">
        <v>0.1727957</v>
      </c>
      <c r="AO198" s="310">
        <v>0.16235369999999999</v>
      </c>
      <c r="AP198" s="310">
        <v>0.16683590000000001</v>
      </c>
      <c r="AQ198" s="310">
        <v>0</v>
      </c>
      <c r="AR198" s="310">
        <v>0.16807839999999999</v>
      </c>
      <c r="AS198" s="310">
        <v>0.1630692</v>
      </c>
      <c r="AT198" s="310">
        <v>0.1623975</v>
      </c>
      <c r="AU198" s="310">
        <v>0.1722542</v>
      </c>
      <c r="AV198" s="310">
        <v>0.17064399999999999</v>
      </c>
      <c r="AW198" s="310">
        <v>0.1607594</v>
      </c>
      <c r="AX198" s="310">
        <v>0</v>
      </c>
      <c r="AY198" s="310">
        <v>0.16701920000000001</v>
      </c>
      <c r="AZ198" s="310">
        <v>0.16963139999999999</v>
      </c>
      <c r="BA198" s="310">
        <v>0</v>
      </c>
      <c r="BB198" s="310">
        <v>0.1614777</v>
      </c>
      <c r="BC198" s="310">
        <v>0.1708037</v>
      </c>
      <c r="BD198" s="310">
        <v>0.17118549999999999</v>
      </c>
      <c r="BE198" s="310">
        <v>0.17164370000000001</v>
      </c>
      <c r="BF198" s="310">
        <v>0.16811899999999999</v>
      </c>
      <c r="BG198" s="310">
        <v>0.16993530000000001</v>
      </c>
      <c r="BH198" s="310">
        <v>0.1666135</v>
      </c>
      <c r="BI198" s="310">
        <v>0.1728481</v>
      </c>
      <c r="BJ198" s="310">
        <v>0.17132330000000001</v>
      </c>
      <c r="BK198" s="310">
        <v>0.17259659999999999</v>
      </c>
    </row>
    <row r="199" spans="1:63" x14ac:dyDescent="0.25">
      <c r="A199" s="306">
        <v>333112</v>
      </c>
      <c r="B199" s="310" t="s">
        <v>181</v>
      </c>
      <c r="C199" s="310">
        <v>0.1209566</v>
      </c>
      <c r="D199" s="310">
        <v>0</v>
      </c>
      <c r="E199" s="310">
        <v>0.1169116</v>
      </c>
      <c r="F199" s="310">
        <v>0.1142058</v>
      </c>
      <c r="G199" s="310">
        <v>0.1189692</v>
      </c>
      <c r="H199" s="310">
        <v>0.1198801</v>
      </c>
      <c r="I199" s="310">
        <v>0.1185977</v>
      </c>
      <c r="J199" s="310">
        <v>0.11211930000000001</v>
      </c>
      <c r="K199" s="310">
        <v>0</v>
      </c>
      <c r="L199" s="310">
        <v>0</v>
      </c>
      <c r="M199" s="310">
        <v>0.1193974</v>
      </c>
      <c r="N199" s="310">
        <v>0.1165057</v>
      </c>
      <c r="O199" s="310">
        <v>0</v>
      </c>
      <c r="P199" s="310">
        <v>0.1127507</v>
      </c>
      <c r="Q199" s="310">
        <v>0.1182783</v>
      </c>
      <c r="R199" s="310">
        <v>0.11462849999999999</v>
      </c>
      <c r="S199" s="310">
        <v>0.1163474</v>
      </c>
      <c r="T199" s="310">
        <v>0.1064803</v>
      </c>
      <c r="U199" s="310">
        <v>0.10910060000000001</v>
      </c>
      <c r="V199" s="310">
        <v>0.1181929</v>
      </c>
      <c r="W199" s="310">
        <v>0.1096082</v>
      </c>
      <c r="X199" s="310">
        <v>0.1033564</v>
      </c>
      <c r="Y199" s="310">
        <v>0.1151244</v>
      </c>
      <c r="Z199" s="310">
        <v>0.1190919</v>
      </c>
      <c r="AA199" s="310">
        <v>0.11695750000000001</v>
      </c>
      <c r="AB199" s="310">
        <v>0.1110863</v>
      </c>
      <c r="AC199" s="310">
        <v>0.109373</v>
      </c>
      <c r="AD199" s="310">
        <v>0</v>
      </c>
      <c r="AE199" s="310">
        <v>0.1137837</v>
      </c>
      <c r="AF199" s="310">
        <v>0</v>
      </c>
      <c r="AG199" s="310">
        <v>0.11517139999999999</v>
      </c>
      <c r="AH199" s="310">
        <v>0</v>
      </c>
      <c r="AI199" s="310">
        <v>0.1065435</v>
      </c>
      <c r="AJ199" s="310">
        <v>0</v>
      </c>
      <c r="AK199" s="310">
        <v>0</v>
      </c>
      <c r="AL199" s="310">
        <v>0.1169939</v>
      </c>
      <c r="AM199" s="310">
        <v>0.1171698</v>
      </c>
      <c r="AN199" s="310">
        <v>0.11997430000000001</v>
      </c>
      <c r="AO199" s="310">
        <v>0.1127098</v>
      </c>
      <c r="AP199" s="310">
        <v>0.1158521</v>
      </c>
      <c r="AQ199" s="310">
        <v>0</v>
      </c>
      <c r="AR199" s="310">
        <v>0.1167189</v>
      </c>
      <c r="AS199" s="310">
        <v>0.1132232</v>
      </c>
      <c r="AT199" s="310">
        <v>0.11274679999999999</v>
      </c>
      <c r="AU199" s="310">
        <v>0.11961479999999999</v>
      </c>
      <c r="AV199" s="310">
        <v>0.1184832</v>
      </c>
      <c r="AW199" s="310">
        <v>0.1116407</v>
      </c>
      <c r="AX199" s="310">
        <v>0</v>
      </c>
      <c r="AY199" s="310">
        <v>0.11599039999999999</v>
      </c>
      <c r="AZ199" s="310">
        <v>0.1177655</v>
      </c>
      <c r="BA199" s="310">
        <v>0.10292279999999999</v>
      </c>
      <c r="BB199" s="310">
        <v>0</v>
      </c>
      <c r="BC199" s="310">
        <v>0.1185947</v>
      </c>
      <c r="BD199" s="310">
        <v>0.1188435</v>
      </c>
      <c r="BE199" s="310">
        <v>0.1191628</v>
      </c>
      <c r="BF199" s="310">
        <v>0.1167168</v>
      </c>
      <c r="BG199" s="310">
        <v>0.1179859</v>
      </c>
      <c r="BH199" s="310">
        <v>0.1156991</v>
      </c>
      <c r="BI199" s="310">
        <v>0.120005</v>
      </c>
      <c r="BJ199" s="310">
        <v>0.1189595</v>
      </c>
      <c r="BK199" s="310">
        <v>0.1198644</v>
      </c>
    </row>
    <row r="200" spans="1:63" x14ac:dyDescent="0.25">
      <c r="A200" s="306">
        <v>333120</v>
      </c>
      <c r="B200" s="310" t="s">
        <v>182</v>
      </c>
      <c r="C200" s="310">
        <v>0.1670566</v>
      </c>
      <c r="D200" s="310">
        <v>0</v>
      </c>
      <c r="E200" s="310">
        <v>0.1614913</v>
      </c>
      <c r="F200" s="310">
        <v>0.15776889999999999</v>
      </c>
      <c r="G200" s="310">
        <v>0.16433610000000001</v>
      </c>
      <c r="H200" s="310">
        <v>0.1655518</v>
      </c>
      <c r="I200" s="310">
        <v>0.16378509999999999</v>
      </c>
      <c r="J200" s="310">
        <v>0.154858</v>
      </c>
      <c r="K200" s="310">
        <v>0</v>
      </c>
      <c r="L200" s="310">
        <v>0</v>
      </c>
      <c r="M200" s="310">
        <v>0.1648917</v>
      </c>
      <c r="N200" s="310">
        <v>0.1608831</v>
      </c>
      <c r="O200" s="310">
        <v>0</v>
      </c>
      <c r="P200" s="310">
        <v>0.15569169999999999</v>
      </c>
      <c r="Q200" s="310">
        <v>0.1634167</v>
      </c>
      <c r="R200" s="310">
        <v>0.1583524</v>
      </c>
      <c r="S200" s="310">
        <v>0.16067090000000001</v>
      </c>
      <c r="T200" s="310">
        <v>0.14706820000000001</v>
      </c>
      <c r="U200" s="310">
        <v>0.15068809999999999</v>
      </c>
      <c r="V200" s="310">
        <v>0.1632419</v>
      </c>
      <c r="W200" s="310">
        <v>0.15137329999999999</v>
      </c>
      <c r="X200" s="310">
        <v>0.1427524</v>
      </c>
      <c r="Y200" s="310">
        <v>0.15904769999999999</v>
      </c>
      <c r="Z200" s="310">
        <v>0.16447030000000001</v>
      </c>
      <c r="AA200" s="310">
        <v>0.1615239</v>
      </c>
      <c r="AB200" s="310">
        <v>0.15345420000000001</v>
      </c>
      <c r="AC200" s="310">
        <v>0.15107300000000001</v>
      </c>
      <c r="AD200" s="310">
        <v>0.1608241</v>
      </c>
      <c r="AE200" s="310">
        <v>0.15717490000000001</v>
      </c>
      <c r="AF200" s="310">
        <v>0.15277589999999999</v>
      </c>
      <c r="AG200" s="310">
        <v>0.15907930000000001</v>
      </c>
      <c r="AH200" s="310">
        <v>0.1472513</v>
      </c>
      <c r="AI200" s="310">
        <v>0.14713490000000001</v>
      </c>
      <c r="AJ200" s="310">
        <v>0.15446260000000001</v>
      </c>
      <c r="AK200" s="310">
        <v>0</v>
      </c>
      <c r="AL200" s="310">
        <v>0.16158910000000001</v>
      </c>
      <c r="AM200" s="310">
        <v>0.16182959999999999</v>
      </c>
      <c r="AN200" s="310">
        <v>0.16567760000000001</v>
      </c>
      <c r="AO200" s="310">
        <v>0.15566759999999999</v>
      </c>
      <c r="AP200" s="310">
        <v>0.16001689999999999</v>
      </c>
      <c r="AQ200" s="310">
        <v>0.13958909999999999</v>
      </c>
      <c r="AR200" s="310">
        <v>0.16118879999999999</v>
      </c>
      <c r="AS200" s="310">
        <v>0.1563725</v>
      </c>
      <c r="AT200" s="310">
        <v>0.15576300000000001</v>
      </c>
      <c r="AU200" s="310">
        <v>0.16520940000000001</v>
      </c>
      <c r="AV200" s="310">
        <v>0.1636832</v>
      </c>
      <c r="AW200" s="310">
        <v>0.15419659999999999</v>
      </c>
      <c r="AX200" s="310">
        <v>0.14763580000000001</v>
      </c>
      <c r="AY200" s="310">
        <v>0.16020480000000001</v>
      </c>
      <c r="AZ200" s="310">
        <v>0.16268550000000001</v>
      </c>
      <c r="BA200" s="310">
        <v>0.1421811</v>
      </c>
      <c r="BB200" s="310">
        <v>0.15485699999999999</v>
      </c>
      <c r="BC200" s="310">
        <v>0.16378329999999999</v>
      </c>
      <c r="BD200" s="310">
        <v>0.1641763</v>
      </c>
      <c r="BE200" s="310">
        <v>0.16460259999999999</v>
      </c>
      <c r="BF200" s="310">
        <v>0.16122030000000001</v>
      </c>
      <c r="BG200" s="310">
        <v>0.16295229999999999</v>
      </c>
      <c r="BH200" s="310">
        <v>0.1597845</v>
      </c>
      <c r="BI200" s="310">
        <v>0.16576469999999999</v>
      </c>
      <c r="BJ200" s="310">
        <v>0.16432099999999999</v>
      </c>
      <c r="BK200" s="310">
        <v>0.16555059999999999</v>
      </c>
    </row>
    <row r="201" spans="1:63" x14ac:dyDescent="0.25">
      <c r="A201" s="306">
        <v>333130</v>
      </c>
      <c r="B201" s="310" t="s">
        <v>183</v>
      </c>
      <c r="C201" s="310">
        <v>0.27030749999999998</v>
      </c>
      <c r="D201" s="310">
        <v>0.25575720000000002</v>
      </c>
      <c r="E201" s="310">
        <v>0.26129200000000002</v>
      </c>
      <c r="F201" s="310">
        <v>0.25532589999999999</v>
      </c>
      <c r="G201" s="310">
        <v>0.2659166</v>
      </c>
      <c r="H201" s="310">
        <v>0.2679552</v>
      </c>
      <c r="I201" s="310">
        <v>0.26509660000000002</v>
      </c>
      <c r="J201" s="310">
        <v>0.250606</v>
      </c>
      <c r="K201" s="310">
        <v>0</v>
      </c>
      <c r="L201" s="310">
        <v>0</v>
      </c>
      <c r="M201" s="310">
        <v>0.26685150000000002</v>
      </c>
      <c r="N201" s="310">
        <v>0.26037450000000001</v>
      </c>
      <c r="O201" s="310">
        <v>0</v>
      </c>
      <c r="P201" s="310">
        <v>0.25201180000000001</v>
      </c>
      <c r="Q201" s="310">
        <v>0.26445849999999999</v>
      </c>
      <c r="R201" s="310">
        <v>0.25626460000000001</v>
      </c>
      <c r="S201" s="310">
        <v>0.26007849999999999</v>
      </c>
      <c r="T201" s="310">
        <v>0.23800769999999999</v>
      </c>
      <c r="U201" s="310">
        <v>0.24387819999999999</v>
      </c>
      <c r="V201" s="310">
        <v>0.264127</v>
      </c>
      <c r="W201" s="310">
        <v>0.244945</v>
      </c>
      <c r="X201" s="310">
        <v>0.23101430000000001</v>
      </c>
      <c r="Y201" s="310">
        <v>0</v>
      </c>
      <c r="Z201" s="310">
        <v>0.26618360000000002</v>
      </c>
      <c r="AA201" s="310">
        <v>0.26142910000000003</v>
      </c>
      <c r="AB201" s="310">
        <v>0.2482895</v>
      </c>
      <c r="AC201" s="310">
        <v>0.24453159999999999</v>
      </c>
      <c r="AD201" s="310">
        <v>0</v>
      </c>
      <c r="AE201" s="310">
        <v>0.25436199999999998</v>
      </c>
      <c r="AF201" s="310">
        <v>0.24724579999999999</v>
      </c>
      <c r="AG201" s="310">
        <v>0.25738220000000001</v>
      </c>
      <c r="AH201" s="310">
        <v>0.238315</v>
      </c>
      <c r="AI201" s="310">
        <v>0.23809820000000001</v>
      </c>
      <c r="AJ201" s="310">
        <v>0.24998110000000001</v>
      </c>
      <c r="AK201" s="310">
        <v>0.25881959999999998</v>
      </c>
      <c r="AL201" s="310">
        <v>0.26151469999999999</v>
      </c>
      <c r="AM201" s="310">
        <v>0.26188729999999999</v>
      </c>
      <c r="AN201" s="310">
        <v>0.26816950000000001</v>
      </c>
      <c r="AO201" s="310">
        <v>0.25195689999999998</v>
      </c>
      <c r="AP201" s="310">
        <v>0.25898529999999997</v>
      </c>
      <c r="AQ201" s="310">
        <v>0</v>
      </c>
      <c r="AR201" s="310">
        <v>0.26086959999999998</v>
      </c>
      <c r="AS201" s="310">
        <v>0</v>
      </c>
      <c r="AT201" s="310">
        <v>0.25202649999999999</v>
      </c>
      <c r="AU201" s="310">
        <v>0.26735579999999998</v>
      </c>
      <c r="AV201" s="310">
        <v>0.26486369999999998</v>
      </c>
      <c r="AW201" s="310">
        <v>0.24947920000000001</v>
      </c>
      <c r="AX201" s="310">
        <v>0.23896010000000001</v>
      </c>
      <c r="AY201" s="310">
        <v>0.25923760000000001</v>
      </c>
      <c r="AZ201" s="310">
        <v>0.26323000000000002</v>
      </c>
      <c r="BA201" s="310">
        <v>0.23010079999999999</v>
      </c>
      <c r="BB201" s="310">
        <v>0.25054179999999998</v>
      </c>
      <c r="BC201" s="310">
        <v>0.2650554</v>
      </c>
      <c r="BD201" s="310">
        <v>0.26565100000000003</v>
      </c>
      <c r="BE201" s="310">
        <v>0.26639390000000002</v>
      </c>
      <c r="BF201" s="310">
        <v>0.26094089999999998</v>
      </c>
      <c r="BG201" s="310">
        <v>0.263714</v>
      </c>
      <c r="BH201" s="310">
        <v>0.25863219999999998</v>
      </c>
      <c r="BI201" s="310">
        <v>0.26826830000000002</v>
      </c>
      <c r="BJ201" s="310">
        <v>0.2658992</v>
      </c>
      <c r="BK201" s="310">
        <v>0.26784449999999999</v>
      </c>
    </row>
    <row r="202" spans="1:63" x14ac:dyDescent="0.25">
      <c r="A202" s="306">
        <v>333220</v>
      </c>
      <c r="B202" s="310" t="s">
        <v>185</v>
      </c>
      <c r="C202" s="310">
        <v>0.30678919999999998</v>
      </c>
      <c r="D202" s="310">
        <v>0</v>
      </c>
      <c r="E202" s="310">
        <v>0.29653570000000001</v>
      </c>
      <c r="F202" s="310">
        <v>0.28973529999999997</v>
      </c>
      <c r="G202" s="310">
        <v>0.30177799999999999</v>
      </c>
      <c r="H202" s="310">
        <v>0.3040291</v>
      </c>
      <c r="I202" s="310">
        <v>0.30079090000000003</v>
      </c>
      <c r="J202" s="310">
        <v>0.28438970000000002</v>
      </c>
      <c r="K202" s="310">
        <v>0</v>
      </c>
      <c r="L202" s="310">
        <v>0</v>
      </c>
      <c r="M202" s="310">
        <v>0.30276510000000001</v>
      </c>
      <c r="N202" s="310">
        <v>0.29546650000000002</v>
      </c>
      <c r="O202" s="310">
        <v>0</v>
      </c>
      <c r="P202" s="310">
        <v>0.28596939999999998</v>
      </c>
      <c r="Q202" s="310">
        <v>0</v>
      </c>
      <c r="R202" s="310">
        <v>0.29078939999999998</v>
      </c>
      <c r="S202" s="310">
        <v>0.29510649999999999</v>
      </c>
      <c r="T202" s="310">
        <v>0.27008280000000001</v>
      </c>
      <c r="U202" s="310">
        <v>0.27678459999999999</v>
      </c>
      <c r="V202" s="310">
        <v>0.2997705</v>
      </c>
      <c r="W202" s="310">
        <v>0.27796799999999999</v>
      </c>
      <c r="X202" s="310">
        <v>0.26211570000000001</v>
      </c>
      <c r="Y202" s="310">
        <v>0</v>
      </c>
      <c r="Z202" s="310">
        <v>0.30206709999999998</v>
      </c>
      <c r="AA202" s="310">
        <v>0.29665039999999998</v>
      </c>
      <c r="AB202" s="310">
        <v>0.28176259999999997</v>
      </c>
      <c r="AC202" s="310">
        <v>0.27743459999999998</v>
      </c>
      <c r="AD202" s="310">
        <v>0</v>
      </c>
      <c r="AE202" s="310">
        <v>0.28863909999999998</v>
      </c>
      <c r="AF202" s="310">
        <v>0.28055550000000001</v>
      </c>
      <c r="AG202" s="310">
        <v>0.2921106</v>
      </c>
      <c r="AH202" s="310">
        <v>0.2704356</v>
      </c>
      <c r="AI202" s="310">
        <v>0.27021089999999998</v>
      </c>
      <c r="AJ202" s="310">
        <v>0.28362110000000001</v>
      </c>
      <c r="AK202" s="310">
        <v>0</v>
      </c>
      <c r="AL202" s="310">
        <v>0.29673280000000002</v>
      </c>
      <c r="AM202" s="310">
        <v>0.29719079999999998</v>
      </c>
      <c r="AN202" s="310">
        <v>0.30427100000000001</v>
      </c>
      <c r="AO202" s="310">
        <v>0.28588340000000001</v>
      </c>
      <c r="AP202" s="310">
        <v>0.2938732</v>
      </c>
      <c r="AQ202" s="310">
        <v>0.25635590000000003</v>
      </c>
      <c r="AR202" s="310">
        <v>0.2960294</v>
      </c>
      <c r="AS202" s="310">
        <v>0</v>
      </c>
      <c r="AT202" s="310">
        <v>0.28597860000000003</v>
      </c>
      <c r="AU202" s="310">
        <v>0.3034076</v>
      </c>
      <c r="AV202" s="310">
        <v>0.30052000000000001</v>
      </c>
      <c r="AW202" s="310">
        <v>0.2831477</v>
      </c>
      <c r="AX202" s="310">
        <v>0.27115529999999999</v>
      </c>
      <c r="AY202" s="310">
        <v>0.29419250000000002</v>
      </c>
      <c r="AZ202" s="310">
        <v>0.29872159999999998</v>
      </c>
      <c r="BA202" s="310">
        <v>0.26106669999999998</v>
      </c>
      <c r="BB202" s="310">
        <v>0</v>
      </c>
      <c r="BC202" s="310">
        <v>0.30080040000000002</v>
      </c>
      <c r="BD202" s="310">
        <v>0.30149690000000001</v>
      </c>
      <c r="BE202" s="310">
        <v>0.3022513</v>
      </c>
      <c r="BF202" s="310">
        <v>0.29606559999999998</v>
      </c>
      <c r="BG202" s="310">
        <v>0.29929749999999999</v>
      </c>
      <c r="BH202" s="310">
        <v>0.29343910000000001</v>
      </c>
      <c r="BI202" s="310">
        <v>0.3044499</v>
      </c>
      <c r="BJ202" s="310">
        <v>0.30169800000000002</v>
      </c>
      <c r="BK202" s="310">
        <v>0.30397869999999999</v>
      </c>
    </row>
    <row r="203" spans="1:63" x14ac:dyDescent="0.25">
      <c r="A203" s="306">
        <v>333295</v>
      </c>
      <c r="B203" s="310" t="s">
        <v>186</v>
      </c>
      <c r="C203" s="310">
        <v>0.29686509999999999</v>
      </c>
      <c r="D203" s="310">
        <v>0</v>
      </c>
      <c r="E203" s="310">
        <v>0.28697329999999999</v>
      </c>
      <c r="F203" s="310">
        <v>0.2803446</v>
      </c>
      <c r="G203" s="310">
        <v>0.29199000000000003</v>
      </c>
      <c r="H203" s="310">
        <v>0.29424129999999998</v>
      </c>
      <c r="I203" s="310">
        <v>0.29111559999999997</v>
      </c>
      <c r="J203" s="310">
        <v>0.27515489999999998</v>
      </c>
      <c r="K203" s="310">
        <v>0</v>
      </c>
      <c r="L203" s="310">
        <v>0</v>
      </c>
      <c r="M203" s="310">
        <v>0.29304160000000001</v>
      </c>
      <c r="N203" s="310">
        <v>0.2859102</v>
      </c>
      <c r="O203" s="310">
        <v>0</v>
      </c>
      <c r="P203" s="310">
        <v>0.27674870000000001</v>
      </c>
      <c r="Q203" s="310">
        <v>0.29038350000000002</v>
      </c>
      <c r="R203" s="310">
        <v>0.28136090000000002</v>
      </c>
      <c r="S203" s="310">
        <v>0</v>
      </c>
      <c r="T203" s="310">
        <v>0</v>
      </c>
      <c r="U203" s="310">
        <v>0.26784180000000002</v>
      </c>
      <c r="V203" s="310">
        <v>0</v>
      </c>
      <c r="W203" s="310">
        <v>0.26903729999999998</v>
      </c>
      <c r="X203" s="310">
        <v>0.25366860000000002</v>
      </c>
      <c r="Y203" s="310">
        <v>0</v>
      </c>
      <c r="Z203" s="310">
        <v>0.29229630000000001</v>
      </c>
      <c r="AA203" s="310">
        <v>0.28707899999999997</v>
      </c>
      <c r="AB203" s="310">
        <v>0</v>
      </c>
      <c r="AC203" s="310">
        <v>0</v>
      </c>
      <c r="AD203" s="310">
        <v>0.28582419999999997</v>
      </c>
      <c r="AE203" s="310">
        <v>0.27932639999999997</v>
      </c>
      <c r="AF203" s="310">
        <v>0</v>
      </c>
      <c r="AG203" s="310">
        <v>0</v>
      </c>
      <c r="AH203" s="310">
        <v>0.2616926</v>
      </c>
      <c r="AI203" s="310">
        <v>0.26148919999999998</v>
      </c>
      <c r="AJ203" s="310">
        <v>0</v>
      </c>
      <c r="AK203" s="310">
        <v>0</v>
      </c>
      <c r="AL203" s="310">
        <v>0.28719889999999998</v>
      </c>
      <c r="AM203" s="310">
        <v>0.28754770000000002</v>
      </c>
      <c r="AN203" s="310">
        <v>0</v>
      </c>
      <c r="AO203" s="310">
        <v>0.27665210000000001</v>
      </c>
      <c r="AP203" s="310">
        <v>0.28437610000000002</v>
      </c>
      <c r="AQ203" s="310">
        <v>0</v>
      </c>
      <c r="AR203" s="310">
        <v>0</v>
      </c>
      <c r="AS203" s="310">
        <v>0</v>
      </c>
      <c r="AT203" s="310">
        <v>0.27677180000000001</v>
      </c>
      <c r="AU203" s="310">
        <v>0.29358889999999999</v>
      </c>
      <c r="AV203" s="310">
        <v>0.29085490000000003</v>
      </c>
      <c r="AW203" s="310">
        <v>0.27400099999999999</v>
      </c>
      <c r="AX203" s="310">
        <v>0.2623915</v>
      </c>
      <c r="AY203" s="310">
        <v>0</v>
      </c>
      <c r="AZ203" s="310">
        <v>0.28908889999999998</v>
      </c>
      <c r="BA203" s="310">
        <v>0</v>
      </c>
      <c r="BB203" s="310">
        <v>0</v>
      </c>
      <c r="BC203" s="310">
        <v>0.2910798</v>
      </c>
      <c r="BD203" s="310">
        <v>0.29174240000000001</v>
      </c>
      <c r="BE203" s="310">
        <v>0.29252420000000001</v>
      </c>
      <c r="BF203" s="310">
        <v>0.28648580000000001</v>
      </c>
      <c r="BG203" s="310">
        <v>0.2896185</v>
      </c>
      <c r="BH203" s="310">
        <v>0.2840086</v>
      </c>
      <c r="BI203" s="310">
        <v>0.29457699999999998</v>
      </c>
      <c r="BJ203" s="310">
        <v>0.29197030000000002</v>
      </c>
      <c r="BK203" s="310">
        <v>0.29415649999999999</v>
      </c>
    </row>
    <row r="204" spans="1:63" x14ac:dyDescent="0.25">
      <c r="A204" s="306" t="s">
        <v>730</v>
      </c>
      <c r="B204" s="310" t="s">
        <v>184</v>
      </c>
      <c r="C204" s="310">
        <v>0.3180135</v>
      </c>
      <c r="D204" s="310">
        <v>0</v>
      </c>
      <c r="E204" s="310">
        <v>0.30738209999999999</v>
      </c>
      <c r="F204" s="310">
        <v>0.30033860000000001</v>
      </c>
      <c r="G204" s="310">
        <v>0.31280409999999997</v>
      </c>
      <c r="H204" s="310">
        <v>0.31518990000000002</v>
      </c>
      <c r="I204" s="310">
        <v>0.31180289999999999</v>
      </c>
      <c r="J204" s="310">
        <v>0.29477959999999997</v>
      </c>
      <c r="K204" s="310">
        <v>0</v>
      </c>
      <c r="L204" s="310">
        <v>0.24714749999999999</v>
      </c>
      <c r="M204" s="310">
        <v>0.31387019999999999</v>
      </c>
      <c r="N204" s="310">
        <v>0.3063227</v>
      </c>
      <c r="O204" s="310">
        <v>0</v>
      </c>
      <c r="P204" s="310">
        <v>0.29640949999999999</v>
      </c>
      <c r="Q204" s="310">
        <v>0.31108409999999997</v>
      </c>
      <c r="R204" s="310">
        <v>0.30144729999999997</v>
      </c>
      <c r="S204" s="310">
        <v>0.3058824</v>
      </c>
      <c r="T204" s="310">
        <v>0.28000269999999999</v>
      </c>
      <c r="U204" s="310">
        <v>0.28689039999999999</v>
      </c>
      <c r="V204" s="310">
        <v>0.31072860000000002</v>
      </c>
      <c r="W204" s="310">
        <v>0.28814390000000001</v>
      </c>
      <c r="X204" s="310">
        <v>0.2716867</v>
      </c>
      <c r="Y204" s="310">
        <v>0.30275229999999997</v>
      </c>
      <c r="Z204" s="310">
        <v>0.31311060000000002</v>
      </c>
      <c r="AA204" s="310">
        <v>0.30749949999999998</v>
      </c>
      <c r="AB204" s="310">
        <v>0.29210429999999998</v>
      </c>
      <c r="AC204" s="310">
        <v>0.28765010000000002</v>
      </c>
      <c r="AD204" s="310">
        <v>0.30610920000000003</v>
      </c>
      <c r="AE204" s="310">
        <v>0.29919970000000001</v>
      </c>
      <c r="AF204" s="310">
        <v>0.29083629999999999</v>
      </c>
      <c r="AG204" s="310">
        <v>0.30281950000000002</v>
      </c>
      <c r="AH204" s="310">
        <v>0.2803233</v>
      </c>
      <c r="AI204" s="310">
        <v>0.2800936</v>
      </c>
      <c r="AJ204" s="310">
        <v>0.2940198</v>
      </c>
      <c r="AK204" s="310">
        <v>0.30448409999999998</v>
      </c>
      <c r="AL204" s="310">
        <v>0.30761260000000001</v>
      </c>
      <c r="AM204" s="310">
        <v>0.30806640000000002</v>
      </c>
      <c r="AN204" s="310">
        <v>0.31539640000000002</v>
      </c>
      <c r="AO204" s="310">
        <v>0.29638619999999999</v>
      </c>
      <c r="AP204" s="310">
        <v>0.30465239999999999</v>
      </c>
      <c r="AQ204" s="310">
        <v>0.26574750000000003</v>
      </c>
      <c r="AR204" s="310">
        <v>0.30684929999999999</v>
      </c>
      <c r="AS204" s="310">
        <v>0.29772749999999998</v>
      </c>
      <c r="AT204" s="310">
        <v>0.29648020000000003</v>
      </c>
      <c r="AU204" s="310">
        <v>0.31454470000000001</v>
      </c>
      <c r="AV204" s="310">
        <v>0.3115675</v>
      </c>
      <c r="AW204" s="310">
        <v>0.29353689999999999</v>
      </c>
      <c r="AX204" s="310">
        <v>0.28108430000000001</v>
      </c>
      <c r="AY204" s="310">
        <v>0.30497030000000003</v>
      </c>
      <c r="AZ204" s="310">
        <v>0.30969600000000003</v>
      </c>
      <c r="BA204" s="310">
        <v>0.2706616</v>
      </c>
      <c r="BB204" s="310">
        <v>0.29477189999999998</v>
      </c>
      <c r="BC204" s="310">
        <v>0.31182670000000001</v>
      </c>
      <c r="BD204" s="310">
        <v>0.312552</v>
      </c>
      <c r="BE204" s="310">
        <v>0.31333</v>
      </c>
      <c r="BF204" s="310">
        <v>0.30696380000000001</v>
      </c>
      <c r="BG204" s="310">
        <v>0.31023600000000001</v>
      </c>
      <c r="BH204" s="310">
        <v>0.30421959999999998</v>
      </c>
      <c r="BI204" s="310">
        <v>0.31558609999999998</v>
      </c>
      <c r="BJ204" s="310">
        <v>0.312801</v>
      </c>
      <c r="BK204" s="310">
        <v>0.31512259999999997</v>
      </c>
    </row>
    <row r="205" spans="1:63" x14ac:dyDescent="0.25">
      <c r="A205" s="306">
        <v>333314</v>
      </c>
      <c r="B205" s="310" t="s">
        <v>188</v>
      </c>
      <c r="C205" s="310">
        <v>0.34178360000000002</v>
      </c>
      <c r="D205" s="310">
        <v>0</v>
      </c>
      <c r="E205" s="310">
        <v>0.3303876</v>
      </c>
      <c r="F205" s="310">
        <v>0.32276899999999997</v>
      </c>
      <c r="G205" s="310">
        <v>0.3361944</v>
      </c>
      <c r="H205" s="310">
        <v>0.33877760000000001</v>
      </c>
      <c r="I205" s="310">
        <v>0.33515089999999997</v>
      </c>
      <c r="J205" s="310">
        <v>0.31684259999999997</v>
      </c>
      <c r="K205" s="310">
        <v>0</v>
      </c>
      <c r="L205" s="310">
        <v>0.26565889999999998</v>
      </c>
      <c r="M205" s="310">
        <v>0.33735690000000002</v>
      </c>
      <c r="N205" s="310">
        <v>0.32919860000000001</v>
      </c>
      <c r="O205" s="310">
        <v>0.28728169999999997</v>
      </c>
      <c r="P205" s="310">
        <v>0.31861790000000001</v>
      </c>
      <c r="Q205" s="310">
        <v>0.33436080000000001</v>
      </c>
      <c r="R205" s="310">
        <v>0.32396760000000002</v>
      </c>
      <c r="S205" s="310">
        <v>0.32881840000000001</v>
      </c>
      <c r="T205" s="310">
        <v>0.30100460000000001</v>
      </c>
      <c r="U205" s="310">
        <v>0.30834450000000002</v>
      </c>
      <c r="V205" s="310">
        <v>0.33393620000000002</v>
      </c>
      <c r="W205" s="310">
        <v>0.3097279</v>
      </c>
      <c r="X205" s="310">
        <v>0.29204150000000001</v>
      </c>
      <c r="Y205" s="310">
        <v>0.32537569999999999</v>
      </c>
      <c r="Z205" s="310">
        <v>0.33649780000000001</v>
      </c>
      <c r="AA205" s="310">
        <v>0.33048670000000002</v>
      </c>
      <c r="AB205" s="310">
        <v>0.31393880000000002</v>
      </c>
      <c r="AC205" s="310">
        <v>0.30913659999999998</v>
      </c>
      <c r="AD205" s="310">
        <v>0.32906679999999999</v>
      </c>
      <c r="AE205" s="310">
        <v>0.32160870000000003</v>
      </c>
      <c r="AF205" s="310">
        <v>0.31257430000000003</v>
      </c>
      <c r="AG205" s="310">
        <v>0.32549650000000002</v>
      </c>
      <c r="AH205" s="310">
        <v>0.30132579999999998</v>
      </c>
      <c r="AI205" s="310">
        <v>0.30105460000000001</v>
      </c>
      <c r="AJ205" s="310">
        <v>0.31603629999999999</v>
      </c>
      <c r="AK205" s="310">
        <v>0.32728309999999999</v>
      </c>
      <c r="AL205" s="310">
        <v>0.33064850000000001</v>
      </c>
      <c r="AM205" s="310">
        <v>0.33112209999999997</v>
      </c>
      <c r="AN205" s="310">
        <v>0.33905089999999999</v>
      </c>
      <c r="AO205" s="310">
        <v>0.31853419999999999</v>
      </c>
      <c r="AP205" s="310">
        <v>0.32744180000000001</v>
      </c>
      <c r="AQ205" s="310">
        <v>0.28560819999999998</v>
      </c>
      <c r="AR205" s="310">
        <v>0</v>
      </c>
      <c r="AS205" s="310">
        <v>0</v>
      </c>
      <c r="AT205" s="310">
        <v>0.31864029999999999</v>
      </c>
      <c r="AU205" s="310">
        <v>0.33807090000000001</v>
      </c>
      <c r="AV205" s="310">
        <v>0.33487040000000001</v>
      </c>
      <c r="AW205" s="310">
        <v>0.3154498</v>
      </c>
      <c r="AX205" s="310">
        <v>0.30210350000000002</v>
      </c>
      <c r="AY205" s="310">
        <v>0.32778119999999999</v>
      </c>
      <c r="AZ205" s="310">
        <v>0.33287159999999999</v>
      </c>
      <c r="BA205" s="310">
        <v>0.2909158</v>
      </c>
      <c r="BB205" s="310">
        <v>0</v>
      </c>
      <c r="BC205" s="310">
        <v>0.33514310000000003</v>
      </c>
      <c r="BD205" s="310">
        <v>0.33587460000000002</v>
      </c>
      <c r="BE205" s="310">
        <v>0.33681</v>
      </c>
      <c r="BF205" s="310">
        <v>0.32989689999999999</v>
      </c>
      <c r="BG205" s="310">
        <v>0.3334183</v>
      </c>
      <c r="BH205" s="310">
        <v>0.32696360000000002</v>
      </c>
      <c r="BI205" s="310">
        <v>0.33917599999999998</v>
      </c>
      <c r="BJ205" s="310">
        <v>0.33619939999999998</v>
      </c>
      <c r="BK205" s="310">
        <v>0.33870860000000003</v>
      </c>
    </row>
    <row r="206" spans="1:63" x14ac:dyDescent="0.25">
      <c r="A206" s="306">
        <v>333315</v>
      </c>
      <c r="B206" s="310" t="s">
        <v>189</v>
      </c>
      <c r="C206" s="310">
        <v>0.24201139999999999</v>
      </c>
      <c r="D206" s="310">
        <v>0</v>
      </c>
      <c r="E206" s="310">
        <v>0.2339233</v>
      </c>
      <c r="F206" s="310">
        <v>0</v>
      </c>
      <c r="G206" s="310">
        <v>0.23805760000000001</v>
      </c>
      <c r="H206" s="310">
        <v>0.23988010000000001</v>
      </c>
      <c r="I206" s="310">
        <v>0.2372949</v>
      </c>
      <c r="J206" s="310">
        <v>0.2243346</v>
      </c>
      <c r="K206" s="310">
        <v>0</v>
      </c>
      <c r="L206" s="310">
        <v>0</v>
      </c>
      <c r="M206" s="310">
        <v>0.23885049999999999</v>
      </c>
      <c r="N206" s="310">
        <v>0.2331125</v>
      </c>
      <c r="O206" s="310">
        <v>0</v>
      </c>
      <c r="P206" s="310">
        <v>0</v>
      </c>
      <c r="Q206" s="310">
        <v>0.2367464</v>
      </c>
      <c r="R206" s="310">
        <v>0.22939709999999999</v>
      </c>
      <c r="S206" s="310">
        <v>0.232821</v>
      </c>
      <c r="T206" s="310">
        <v>0.2130745</v>
      </c>
      <c r="U206" s="310">
        <v>0.2183389</v>
      </c>
      <c r="V206" s="310">
        <v>0</v>
      </c>
      <c r="W206" s="310">
        <v>0.2193117</v>
      </c>
      <c r="X206" s="310">
        <v>0.2068005</v>
      </c>
      <c r="Y206" s="310">
        <v>0.23038120000000001</v>
      </c>
      <c r="Z206" s="310">
        <v>0.2382764</v>
      </c>
      <c r="AA206" s="310">
        <v>0.23402229999999999</v>
      </c>
      <c r="AB206" s="310">
        <v>0.22231680000000001</v>
      </c>
      <c r="AC206" s="310">
        <v>0</v>
      </c>
      <c r="AD206" s="310">
        <v>0.23294609999999999</v>
      </c>
      <c r="AE206" s="310">
        <v>0.22774030000000001</v>
      </c>
      <c r="AF206" s="310">
        <v>0.22129219999999999</v>
      </c>
      <c r="AG206" s="310">
        <v>0.230464</v>
      </c>
      <c r="AH206" s="310">
        <v>0.2133333</v>
      </c>
      <c r="AI206" s="310">
        <v>0.2131699</v>
      </c>
      <c r="AJ206" s="310">
        <v>0.22374359999999999</v>
      </c>
      <c r="AK206" s="310">
        <v>0</v>
      </c>
      <c r="AL206" s="310">
        <v>0.23411989999999999</v>
      </c>
      <c r="AM206" s="310">
        <v>0.2344466</v>
      </c>
      <c r="AN206" s="310">
        <v>0.24008299999999999</v>
      </c>
      <c r="AO206" s="310">
        <v>0.2255673</v>
      </c>
      <c r="AP206" s="310">
        <v>0.23185620000000001</v>
      </c>
      <c r="AQ206" s="310">
        <v>0</v>
      </c>
      <c r="AR206" s="310">
        <v>0.23352229999999999</v>
      </c>
      <c r="AS206" s="310">
        <v>0</v>
      </c>
      <c r="AT206" s="310">
        <v>0.2256203</v>
      </c>
      <c r="AU206" s="310">
        <v>0.2393644</v>
      </c>
      <c r="AV206" s="310">
        <v>0.23713219999999999</v>
      </c>
      <c r="AW206" s="310">
        <v>0.22336719999999999</v>
      </c>
      <c r="AX206" s="310">
        <v>0</v>
      </c>
      <c r="AY206" s="310">
        <v>0.232104</v>
      </c>
      <c r="AZ206" s="310">
        <v>0.235679</v>
      </c>
      <c r="BA206" s="310">
        <v>0</v>
      </c>
      <c r="BB206" s="310">
        <v>0</v>
      </c>
      <c r="BC206" s="310">
        <v>0.23729120000000001</v>
      </c>
      <c r="BD206" s="310">
        <v>0.23784910000000001</v>
      </c>
      <c r="BE206" s="310">
        <v>0.2384752</v>
      </c>
      <c r="BF206" s="310">
        <v>0.23355629999999999</v>
      </c>
      <c r="BG206" s="310">
        <v>0.2361182</v>
      </c>
      <c r="BH206" s="310">
        <v>0.23149320000000001</v>
      </c>
      <c r="BI206" s="310">
        <v>0.24017060000000001</v>
      </c>
      <c r="BJ206" s="310">
        <v>0.2380303</v>
      </c>
      <c r="BK206" s="310">
        <v>0.2398025</v>
      </c>
    </row>
    <row r="207" spans="1:63" x14ac:dyDescent="0.25">
      <c r="A207" s="306">
        <v>333319</v>
      </c>
      <c r="B207" s="310" t="s">
        <v>190</v>
      </c>
      <c r="C207" s="310">
        <v>0.2285808</v>
      </c>
      <c r="D207" s="310">
        <v>0</v>
      </c>
      <c r="E207" s="310">
        <v>0.22096489999999999</v>
      </c>
      <c r="F207" s="310">
        <v>0.21588009999999999</v>
      </c>
      <c r="G207" s="310">
        <v>0.22482269999999999</v>
      </c>
      <c r="H207" s="310">
        <v>0.22653119999999999</v>
      </c>
      <c r="I207" s="310">
        <v>0.22413169999999999</v>
      </c>
      <c r="J207" s="310">
        <v>0.21186869999999999</v>
      </c>
      <c r="K207" s="310">
        <v>0</v>
      </c>
      <c r="L207" s="310">
        <v>0</v>
      </c>
      <c r="M207" s="310">
        <v>0.22564300000000001</v>
      </c>
      <c r="N207" s="310">
        <v>0.2201475</v>
      </c>
      <c r="O207" s="310">
        <v>0.19210640000000001</v>
      </c>
      <c r="P207" s="310">
        <v>0.21305180000000001</v>
      </c>
      <c r="Q207" s="310">
        <v>0.22357460000000001</v>
      </c>
      <c r="R207" s="310">
        <v>0.216665</v>
      </c>
      <c r="S207" s="310">
        <v>0.21991649999999999</v>
      </c>
      <c r="T207" s="310">
        <v>0.20130329999999999</v>
      </c>
      <c r="U207" s="310">
        <v>0.2062244</v>
      </c>
      <c r="V207" s="310">
        <v>0.22332170000000001</v>
      </c>
      <c r="W207" s="310">
        <v>0.20712059999999999</v>
      </c>
      <c r="X207" s="310">
        <v>0.19530700000000001</v>
      </c>
      <c r="Y207" s="310">
        <v>0.2176497</v>
      </c>
      <c r="Z207" s="310">
        <v>0.22506780000000001</v>
      </c>
      <c r="AA207" s="310">
        <v>0.2210703</v>
      </c>
      <c r="AB207" s="310">
        <v>0.20997389999999999</v>
      </c>
      <c r="AC207" s="310">
        <v>0.20672670000000001</v>
      </c>
      <c r="AD207" s="310">
        <v>0.22004319999999999</v>
      </c>
      <c r="AE207" s="310">
        <v>0.21509819999999999</v>
      </c>
      <c r="AF207" s="310">
        <v>0.2090283</v>
      </c>
      <c r="AG207" s="310">
        <v>0.2176652</v>
      </c>
      <c r="AH207" s="310">
        <v>0.20148440000000001</v>
      </c>
      <c r="AI207" s="310">
        <v>0.201377</v>
      </c>
      <c r="AJ207" s="310">
        <v>0.21137909999999999</v>
      </c>
      <c r="AK207" s="310">
        <v>0.21886459999999999</v>
      </c>
      <c r="AL207" s="310">
        <v>0.22111069999999999</v>
      </c>
      <c r="AM207" s="310">
        <v>0.2214342</v>
      </c>
      <c r="AN207" s="310">
        <v>0.22676399999999999</v>
      </c>
      <c r="AO207" s="310">
        <v>0.2130146</v>
      </c>
      <c r="AP207" s="310">
        <v>0.21895539999999999</v>
      </c>
      <c r="AQ207" s="310">
        <v>0.19102069999999999</v>
      </c>
      <c r="AR207" s="310">
        <v>0.22056390000000001</v>
      </c>
      <c r="AS207" s="310">
        <v>0.21403459999999999</v>
      </c>
      <c r="AT207" s="310">
        <v>0.21312220000000001</v>
      </c>
      <c r="AU207" s="310">
        <v>0.22608020000000001</v>
      </c>
      <c r="AV207" s="310">
        <v>0.22397890000000001</v>
      </c>
      <c r="AW207" s="310">
        <v>0.2109839</v>
      </c>
      <c r="AX207" s="310">
        <v>0.20205880000000001</v>
      </c>
      <c r="AY207" s="310">
        <v>0.2192103</v>
      </c>
      <c r="AZ207" s="310">
        <v>0.22262860000000001</v>
      </c>
      <c r="BA207" s="310">
        <v>0</v>
      </c>
      <c r="BB207" s="310">
        <v>0.21186640000000001</v>
      </c>
      <c r="BC207" s="310">
        <v>0.22415009999999999</v>
      </c>
      <c r="BD207" s="310">
        <v>0.2246541</v>
      </c>
      <c r="BE207" s="310">
        <v>0.22521050000000001</v>
      </c>
      <c r="BF207" s="310">
        <v>0.2206159</v>
      </c>
      <c r="BG207" s="310">
        <v>0.22299749999999999</v>
      </c>
      <c r="BH207" s="310">
        <v>0.21865399999999999</v>
      </c>
      <c r="BI207" s="310">
        <v>0.22684699999999999</v>
      </c>
      <c r="BJ207" s="310">
        <v>0.2248503</v>
      </c>
      <c r="BK207" s="310">
        <v>0.2265209</v>
      </c>
    </row>
    <row r="208" spans="1:63" x14ac:dyDescent="0.25">
      <c r="A208" s="306" t="s">
        <v>731</v>
      </c>
      <c r="B208" s="310" t="s">
        <v>187</v>
      </c>
      <c r="C208" s="310">
        <v>0.22546469999999999</v>
      </c>
      <c r="D208" s="310">
        <v>0</v>
      </c>
      <c r="E208" s="310">
        <v>0.2179326</v>
      </c>
      <c r="F208" s="310">
        <v>0.21290510000000001</v>
      </c>
      <c r="G208" s="310">
        <v>0.2217539</v>
      </c>
      <c r="H208" s="310">
        <v>0.2234594</v>
      </c>
      <c r="I208" s="310">
        <v>0.22105659999999999</v>
      </c>
      <c r="J208" s="310">
        <v>0.20900060000000001</v>
      </c>
      <c r="K208" s="310">
        <v>0</v>
      </c>
      <c r="L208" s="310">
        <v>0</v>
      </c>
      <c r="M208" s="310">
        <v>0.22254679999999999</v>
      </c>
      <c r="N208" s="310">
        <v>0.21714820000000001</v>
      </c>
      <c r="O208" s="310">
        <v>0</v>
      </c>
      <c r="P208" s="310">
        <v>0.21016219999999999</v>
      </c>
      <c r="Q208" s="310">
        <v>0.22052150000000001</v>
      </c>
      <c r="R208" s="310">
        <v>0.21369840000000001</v>
      </c>
      <c r="S208" s="310">
        <v>0.21685479999999999</v>
      </c>
      <c r="T208" s="310">
        <v>0.19849839999999999</v>
      </c>
      <c r="U208" s="310">
        <v>0.20342470000000001</v>
      </c>
      <c r="V208" s="310">
        <v>0.22030060000000001</v>
      </c>
      <c r="W208" s="310">
        <v>0.2043122</v>
      </c>
      <c r="X208" s="310">
        <v>0.19267090000000001</v>
      </c>
      <c r="Y208" s="310">
        <v>0</v>
      </c>
      <c r="Z208" s="310">
        <v>0.2220076</v>
      </c>
      <c r="AA208" s="310">
        <v>0.2180279</v>
      </c>
      <c r="AB208" s="310">
        <v>0.2070814</v>
      </c>
      <c r="AC208" s="310">
        <v>0</v>
      </c>
      <c r="AD208" s="310">
        <v>0.21704970000000001</v>
      </c>
      <c r="AE208" s="310">
        <v>0.21216570000000001</v>
      </c>
      <c r="AF208" s="310">
        <v>0</v>
      </c>
      <c r="AG208" s="310">
        <v>0.2146856</v>
      </c>
      <c r="AH208" s="310">
        <v>0.19874790000000001</v>
      </c>
      <c r="AI208" s="310">
        <v>0.1986156</v>
      </c>
      <c r="AJ208" s="310">
        <v>0</v>
      </c>
      <c r="AK208" s="310">
        <v>0</v>
      </c>
      <c r="AL208" s="310">
        <v>0.21807679999999999</v>
      </c>
      <c r="AM208" s="310">
        <v>0.21839520000000001</v>
      </c>
      <c r="AN208" s="310">
        <v>0.22362170000000001</v>
      </c>
      <c r="AO208" s="310">
        <v>0.2101469</v>
      </c>
      <c r="AP208" s="310">
        <v>0.2159942</v>
      </c>
      <c r="AQ208" s="310">
        <v>0</v>
      </c>
      <c r="AR208" s="310">
        <v>0.21754860000000001</v>
      </c>
      <c r="AS208" s="310">
        <v>0</v>
      </c>
      <c r="AT208" s="310">
        <v>0.21017340000000001</v>
      </c>
      <c r="AU208" s="310">
        <v>0.22297690000000001</v>
      </c>
      <c r="AV208" s="310">
        <v>0.22091060000000001</v>
      </c>
      <c r="AW208" s="310">
        <v>0.2080912</v>
      </c>
      <c r="AX208" s="310">
        <v>0</v>
      </c>
      <c r="AY208" s="310">
        <v>0.21619389999999999</v>
      </c>
      <c r="AZ208" s="310">
        <v>0.219531</v>
      </c>
      <c r="BA208" s="310">
        <v>0.19191030000000001</v>
      </c>
      <c r="BB208" s="310">
        <v>0.20899409999999999</v>
      </c>
      <c r="BC208" s="310">
        <v>0.22107599999999999</v>
      </c>
      <c r="BD208" s="310">
        <v>0.22154689999999999</v>
      </c>
      <c r="BE208" s="310">
        <v>0.22217210000000001</v>
      </c>
      <c r="BF208" s="310">
        <v>0.2175907</v>
      </c>
      <c r="BG208" s="310">
        <v>0.21993740000000001</v>
      </c>
      <c r="BH208" s="310">
        <v>0.21570310000000001</v>
      </c>
      <c r="BI208" s="310">
        <v>0.22374869999999999</v>
      </c>
      <c r="BJ208" s="310">
        <v>0.22174559999999999</v>
      </c>
      <c r="BK208" s="310">
        <v>0.22342509999999999</v>
      </c>
    </row>
    <row r="209" spans="1:63" x14ac:dyDescent="0.25">
      <c r="A209" s="306">
        <v>333414</v>
      </c>
      <c r="B209" s="310" t="s">
        <v>5</v>
      </c>
      <c r="C209" s="310">
        <v>0.2340064</v>
      </c>
      <c r="D209" s="310">
        <v>0.2214286</v>
      </c>
      <c r="E209" s="310">
        <v>0.2262101</v>
      </c>
      <c r="F209" s="310">
        <v>0</v>
      </c>
      <c r="G209" s="310">
        <v>0.23015920000000001</v>
      </c>
      <c r="H209" s="310">
        <v>0.2319029</v>
      </c>
      <c r="I209" s="310">
        <v>0.22943749999999999</v>
      </c>
      <c r="J209" s="310">
        <v>0.21691730000000001</v>
      </c>
      <c r="K209" s="310">
        <v>0</v>
      </c>
      <c r="L209" s="310">
        <v>0.1818584</v>
      </c>
      <c r="M209" s="310">
        <v>0.2309726</v>
      </c>
      <c r="N209" s="310">
        <v>0.2253792</v>
      </c>
      <c r="O209" s="310">
        <v>0.19664029999999999</v>
      </c>
      <c r="P209" s="310">
        <v>0.2181303</v>
      </c>
      <c r="Q209" s="310">
        <v>0.22889590000000001</v>
      </c>
      <c r="R209" s="310">
        <v>0.22177069999999999</v>
      </c>
      <c r="S209" s="310">
        <v>0.2250762</v>
      </c>
      <c r="T209" s="310">
        <v>0.20602000000000001</v>
      </c>
      <c r="U209" s="310">
        <v>0.21111240000000001</v>
      </c>
      <c r="V209" s="310">
        <v>0.22864770000000001</v>
      </c>
      <c r="W209" s="310">
        <v>0.2120349</v>
      </c>
      <c r="X209" s="310">
        <v>0.19995180000000001</v>
      </c>
      <c r="Y209" s="310">
        <v>0.22278680000000001</v>
      </c>
      <c r="Z209" s="310">
        <v>0.23040669999999999</v>
      </c>
      <c r="AA209" s="310">
        <v>0.22627269999999999</v>
      </c>
      <c r="AB209" s="310">
        <v>0.21494389999999999</v>
      </c>
      <c r="AC209" s="310">
        <v>0.2116392</v>
      </c>
      <c r="AD209" s="310">
        <v>0</v>
      </c>
      <c r="AE209" s="310">
        <v>0.22018969999999999</v>
      </c>
      <c r="AF209" s="310">
        <v>0.21402270000000001</v>
      </c>
      <c r="AG209" s="310">
        <v>0.2227836</v>
      </c>
      <c r="AH209" s="310">
        <v>0.2062486</v>
      </c>
      <c r="AI209" s="310">
        <v>0.20611409999999999</v>
      </c>
      <c r="AJ209" s="310">
        <v>0.2163696</v>
      </c>
      <c r="AK209" s="310">
        <v>0.2240743</v>
      </c>
      <c r="AL209" s="310">
        <v>0.2263666</v>
      </c>
      <c r="AM209" s="310">
        <v>0.2266514</v>
      </c>
      <c r="AN209" s="310">
        <v>0.23206450000000001</v>
      </c>
      <c r="AO209" s="310">
        <v>0.2181081</v>
      </c>
      <c r="AP209" s="310">
        <v>0.2241612</v>
      </c>
      <c r="AQ209" s="310">
        <v>0.19554560000000001</v>
      </c>
      <c r="AR209" s="310">
        <v>0.22581770000000001</v>
      </c>
      <c r="AS209" s="310">
        <v>0.21908320000000001</v>
      </c>
      <c r="AT209" s="310">
        <v>0.21817790000000001</v>
      </c>
      <c r="AU209" s="310">
        <v>0.23144390000000001</v>
      </c>
      <c r="AV209" s="310">
        <v>0.22925400000000001</v>
      </c>
      <c r="AW209" s="310">
        <v>0.21594530000000001</v>
      </c>
      <c r="AX209" s="310">
        <v>0.20684649999999999</v>
      </c>
      <c r="AY209" s="310">
        <v>0.22442200000000001</v>
      </c>
      <c r="AZ209" s="310">
        <v>0.2278481</v>
      </c>
      <c r="BA209" s="310">
        <v>0</v>
      </c>
      <c r="BB209" s="310">
        <v>0</v>
      </c>
      <c r="BC209" s="310">
        <v>0.2294361</v>
      </c>
      <c r="BD209" s="310">
        <v>0.22997970000000001</v>
      </c>
      <c r="BE209" s="310">
        <v>0.23055329999999999</v>
      </c>
      <c r="BF209" s="310">
        <v>0.22584019999999999</v>
      </c>
      <c r="BG209" s="310">
        <v>0.22828950000000001</v>
      </c>
      <c r="BH209" s="310">
        <v>0.22387180000000001</v>
      </c>
      <c r="BI209" s="310">
        <v>0.23221430000000001</v>
      </c>
      <c r="BJ209" s="310">
        <v>0.23011960000000001</v>
      </c>
      <c r="BK209" s="310">
        <v>0.23188410000000001</v>
      </c>
    </row>
    <row r="210" spans="1:63" x14ac:dyDescent="0.25">
      <c r="A210" s="306">
        <v>333415</v>
      </c>
      <c r="B210" s="310" t="s">
        <v>192</v>
      </c>
      <c r="C210" s="310">
        <v>0.18966669999999999</v>
      </c>
      <c r="D210" s="310">
        <v>0</v>
      </c>
      <c r="E210" s="310">
        <v>0.18331310000000001</v>
      </c>
      <c r="F210" s="310">
        <v>0.1791181</v>
      </c>
      <c r="G210" s="310">
        <v>0.18652879999999999</v>
      </c>
      <c r="H210" s="310">
        <v>0.1879847</v>
      </c>
      <c r="I210" s="310">
        <v>0.18595229999999999</v>
      </c>
      <c r="J210" s="310">
        <v>0.1758218</v>
      </c>
      <c r="K210" s="310">
        <v>0</v>
      </c>
      <c r="L210" s="310">
        <v>0.14742730000000001</v>
      </c>
      <c r="M210" s="310">
        <v>0.1872143</v>
      </c>
      <c r="N210" s="310">
        <v>0.18268429999999999</v>
      </c>
      <c r="O210" s="310">
        <v>0</v>
      </c>
      <c r="P210" s="310">
        <v>0.1767869</v>
      </c>
      <c r="Q210" s="310">
        <v>0.18552730000000001</v>
      </c>
      <c r="R210" s="310">
        <v>0.17975769999999999</v>
      </c>
      <c r="S210" s="310">
        <v>0.18243480000000001</v>
      </c>
      <c r="T210" s="310">
        <v>0.16698360000000001</v>
      </c>
      <c r="U210" s="310">
        <v>0.17109650000000001</v>
      </c>
      <c r="V210" s="310">
        <v>0.1853351</v>
      </c>
      <c r="W210" s="310">
        <v>0.17185110000000001</v>
      </c>
      <c r="X210" s="310">
        <v>0.16208410000000001</v>
      </c>
      <c r="Y210" s="310">
        <v>0.1805773</v>
      </c>
      <c r="Z210" s="310">
        <v>0.18674260000000001</v>
      </c>
      <c r="AA210" s="310">
        <v>0.18341189999999999</v>
      </c>
      <c r="AB210" s="310">
        <v>0.17420179999999999</v>
      </c>
      <c r="AC210" s="310">
        <v>0.17156170000000001</v>
      </c>
      <c r="AD210" s="310">
        <v>0</v>
      </c>
      <c r="AE210" s="310">
        <v>0.17846020000000001</v>
      </c>
      <c r="AF210" s="310">
        <v>0.17347750000000001</v>
      </c>
      <c r="AG210" s="310">
        <v>0.18060219999999999</v>
      </c>
      <c r="AH210" s="310">
        <v>0.1671889</v>
      </c>
      <c r="AI210" s="310">
        <v>0.16706840000000001</v>
      </c>
      <c r="AJ210" s="310">
        <v>0.1753961</v>
      </c>
      <c r="AK210" s="310">
        <v>0.18157309999999999</v>
      </c>
      <c r="AL210" s="310">
        <v>0.1834501</v>
      </c>
      <c r="AM210" s="310">
        <v>0.18370529999999999</v>
      </c>
      <c r="AN210" s="310">
        <v>0.188109</v>
      </c>
      <c r="AO210" s="310">
        <v>0.17676800000000001</v>
      </c>
      <c r="AP210" s="310">
        <v>0.18169640000000001</v>
      </c>
      <c r="AQ210" s="310">
        <v>0.15850649999999999</v>
      </c>
      <c r="AR210" s="310">
        <v>0.1830389</v>
      </c>
      <c r="AS210" s="310">
        <v>0.1775436</v>
      </c>
      <c r="AT210" s="310">
        <v>0.1767986</v>
      </c>
      <c r="AU210" s="310">
        <v>0.18760160000000001</v>
      </c>
      <c r="AV210" s="310">
        <v>0.18581990000000001</v>
      </c>
      <c r="AW210" s="310">
        <v>0.17503389999999999</v>
      </c>
      <c r="AX210" s="310">
        <v>0.16762769999999999</v>
      </c>
      <c r="AY210" s="310">
        <v>0.18185680000000001</v>
      </c>
      <c r="AZ210" s="310">
        <v>0.18466759999999999</v>
      </c>
      <c r="BA210" s="310">
        <v>0</v>
      </c>
      <c r="BB210" s="310">
        <v>0</v>
      </c>
      <c r="BC210" s="310">
        <v>0.18598129999999999</v>
      </c>
      <c r="BD210" s="310">
        <v>0.18640329999999999</v>
      </c>
      <c r="BE210" s="310">
        <v>0.1868795</v>
      </c>
      <c r="BF210" s="310">
        <v>0.1830589</v>
      </c>
      <c r="BG210" s="310">
        <v>0.18499840000000001</v>
      </c>
      <c r="BH210" s="310">
        <v>0.18144179999999999</v>
      </c>
      <c r="BI210" s="310">
        <v>0.188195</v>
      </c>
      <c r="BJ210" s="310">
        <v>0.18650610000000001</v>
      </c>
      <c r="BK210" s="310">
        <v>0.18792130000000001</v>
      </c>
    </row>
    <row r="211" spans="1:63" x14ac:dyDescent="0.25">
      <c r="A211" s="306" t="s">
        <v>599</v>
      </c>
      <c r="B211" s="310" t="s">
        <v>191</v>
      </c>
      <c r="C211" s="310">
        <v>0.27024999999999999</v>
      </c>
      <c r="D211" s="310">
        <v>0</v>
      </c>
      <c r="E211" s="310">
        <v>0.2612756</v>
      </c>
      <c r="F211" s="310">
        <v>0.25525360000000002</v>
      </c>
      <c r="G211" s="310">
        <v>0.2658488</v>
      </c>
      <c r="H211" s="310">
        <v>0.26783780000000001</v>
      </c>
      <c r="I211" s="310">
        <v>0.26502039999999999</v>
      </c>
      <c r="J211" s="310">
        <v>0.25049870000000002</v>
      </c>
      <c r="K211" s="310">
        <v>0</v>
      </c>
      <c r="L211" s="310">
        <v>0</v>
      </c>
      <c r="M211" s="310">
        <v>0.26675490000000002</v>
      </c>
      <c r="N211" s="310">
        <v>0.26027899999999998</v>
      </c>
      <c r="O211" s="310">
        <v>0.2271434</v>
      </c>
      <c r="P211" s="310">
        <v>0.25196089999999999</v>
      </c>
      <c r="Q211" s="310">
        <v>0.2643855</v>
      </c>
      <c r="R211" s="310">
        <v>0.2561889</v>
      </c>
      <c r="S211" s="310">
        <v>0.25999159999999999</v>
      </c>
      <c r="T211" s="310">
        <v>0.23795530000000001</v>
      </c>
      <c r="U211" s="310">
        <v>0.24382219999999999</v>
      </c>
      <c r="V211" s="310">
        <v>0.2640516</v>
      </c>
      <c r="W211" s="310">
        <v>0.2449366</v>
      </c>
      <c r="X211" s="310">
        <v>0.2309234</v>
      </c>
      <c r="Y211" s="310">
        <v>0</v>
      </c>
      <c r="Z211" s="310">
        <v>0.2660749</v>
      </c>
      <c r="AA211" s="310">
        <v>0.26133000000000001</v>
      </c>
      <c r="AB211" s="310">
        <v>0.24824840000000001</v>
      </c>
      <c r="AC211" s="310">
        <v>0.24447530000000001</v>
      </c>
      <c r="AD211" s="310">
        <v>0</v>
      </c>
      <c r="AE211" s="310">
        <v>0.25429940000000001</v>
      </c>
      <c r="AF211" s="310">
        <v>0</v>
      </c>
      <c r="AG211" s="310">
        <v>0.25730700000000001</v>
      </c>
      <c r="AH211" s="310">
        <v>0.2382215</v>
      </c>
      <c r="AI211" s="310">
        <v>0.23803650000000001</v>
      </c>
      <c r="AJ211" s="310">
        <v>0.24990000000000001</v>
      </c>
      <c r="AK211" s="310">
        <v>0.25876470000000001</v>
      </c>
      <c r="AL211" s="310">
        <v>0.26143250000000001</v>
      </c>
      <c r="AM211" s="310">
        <v>0.26181720000000003</v>
      </c>
      <c r="AN211" s="310">
        <v>0.26807789999999998</v>
      </c>
      <c r="AO211" s="310">
        <v>0.25191469999999999</v>
      </c>
      <c r="AP211" s="310">
        <v>0.25889610000000002</v>
      </c>
      <c r="AQ211" s="310">
        <v>0</v>
      </c>
      <c r="AR211" s="310">
        <v>0.26079849999999999</v>
      </c>
      <c r="AS211" s="310">
        <v>0.25302829999999998</v>
      </c>
      <c r="AT211" s="310">
        <v>0.25195919999999999</v>
      </c>
      <c r="AU211" s="310">
        <v>0.26729750000000002</v>
      </c>
      <c r="AV211" s="310">
        <v>0.26476959999999999</v>
      </c>
      <c r="AW211" s="310">
        <v>0.249448</v>
      </c>
      <c r="AX211" s="310">
        <v>0.238844</v>
      </c>
      <c r="AY211" s="310">
        <v>0.25920320000000002</v>
      </c>
      <c r="AZ211" s="310">
        <v>0.2631831</v>
      </c>
      <c r="BA211" s="310">
        <v>0</v>
      </c>
      <c r="BB211" s="310">
        <v>0.25054539999999997</v>
      </c>
      <c r="BC211" s="310">
        <v>0.26495879999999999</v>
      </c>
      <c r="BD211" s="310">
        <v>0.26561230000000002</v>
      </c>
      <c r="BE211" s="310">
        <v>0.2662929</v>
      </c>
      <c r="BF211" s="310">
        <v>0.26086690000000001</v>
      </c>
      <c r="BG211" s="310">
        <v>0.26365369999999999</v>
      </c>
      <c r="BH211" s="310">
        <v>0.25856479999999998</v>
      </c>
      <c r="BI211" s="310">
        <v>0.2681808</v>
      </c>
      <c r="BJ211" s="310">
        <v>0.26583449999999997</v>
      </c>
      <c r="BK211" s="310">
        <v>0.26780939999999998</v>
      </c>
    </row>
    <row r="212" spans="1:63" x14ac:dyDescent="0.25">
      <c r="A212" s="306">
        <v>333511</v>
      </c>
      <c r="B212" s="310" t="s">
        <v>193</v>
      </c>
      <c r="C212" s="310">
        <v>0.43662699999999999</v>
      </c>
      <c r="D212" s="310">
        <v>0</v>
      </c>
      <c r="E212" s="310">
        <v>0.42204160000000002</v>
      </c>
      <c r="F212" s="310">
        <v>0.41229199999999999</v>
      </c>
      <c r="G212" s="310">
        <v>0.42945739999999999</v>
      </c>
      <c r="H212" s="310">
        <v>0.4326797</v>
      </c>
      <c r="I212" s="310">
        <v>0.42809659999999999</v>
      </c>
      <c r="J212" s="310">
        <v>0.40476020000000001</v>
      </c>
      <c r="K212" s="310">
        <v>0</v>
      </c>
      <c r="L212" s="310">
        <v>0</v>
      </c>
      <c r="M212" s="310">
        <v>0.4309868</v>
      </c>
      <c r="N212" s="310">
        <v>0.420491</v>
      </c>
      <c r="O212" s="310">
        <v>0</v>
      </c>
      <c r="P212" s="310">
        <v>0.40696300000000002</v>
      </c>
      <c r="Q212" s="310">
        <v>0.42709279999999999</v>
      </c>
      <c r="R212" s="310">
        <v>0.41383009999999998</v>
      </c>
      <c r="S212" s="310">
        <v>0.41998540000000001</v>
      </c>
      <c r="T212" s="310">
        <v>0.38445030000000002</v>
      </c>
      <c r="U212" s="310">
        <v>0.39393499999999998</v>
      </c>
      <c r="V212" s="310">
        <v>0.42662440000000001</v>
      </c>
      <c r="W212" s="310">
        <v>0.39560440000000002</v>
      </c>
      <c r="X212" s="310">
        <v>0.3730696</v>
      </c>
      <c r="Y212" s="310">
        <v>0.41568159999999998</v>
      </c>
      <c r="Z212" s="310">
        <v>0.42991239999999997</v>
      </c>
      <c r="AA212" s="310">
        <v>0.42224469999999997</v>
      </c>
      <c r="AB212" s="310">
        <v>0.4010379</v>
      </c>
      <c r="AC212" s="310">
        <v>0.39491300000000001</v>
      </c>
      <c r="AD212" s="310">
        <v>0</v>
      </c>
      <c r="AE212" s="310">
        <v>0.41082730000000001</v>
      </c>
      <c r="AF212" s="310">
        <v>0</v>
      </c>
      <c r="AG212" s="310">
        <v>0.41569699999999998</v>
      </c>
      <c r="AH212" s="310">
        <v>0.38487369999999999</v>
      </c>
      <c r="AI212" s="310">
        <v>0.3846041</v>
      </c>
      <c r="AJ212" s="310">
        <v>0.40369769999999999</v>
      </c>
      <c r="AK212" s="310">
        <v>0.4180952</v>
      </c>
      <c r="AL212" s="310">
        <v>0.42233929999999997</v>
      </c>
      <c r="AM212" s="310">
        <v>0.42292570000000002</v>
      </c>
      <c r="AN212" s="310">
        <v>0.43308360000000001</v>
      </c>
      <c r="AO212" s="310">
        <v>0.40693869999999999</v>
      </c>
      <c r="AP212" s="310">
        <v>0.41827609999999998</v>
      </c>
      <c r="AQ212" s="310">
        <v>0.36487700000000001</v>
      </c>
      <c r="AR212" s="310">
        <v>0.42129670000000002</v>
      </c>
      <c r="AS212" s="310">
        <v>0.40874339999999998</v>
      </c>
      <c r="AT212" s="310">
        <v>0.40707189999999999</v>
      </c>
      <c r="AU212" s="310">
        <v>0.43180659999999998</v>
      </c>
      <c r="AV212" s="310">
        <v>0.42779060000000002</v>
      </c>
      <c r="AW212" s="310">
        <v>0.4029683</v>
      </c>
      <c r="AX212" s="310">
        <v>0.3859649</v>
      </c>
      <c r="AY212" s="310">
        <v>0.41866340000000002</v>
      </c>
      <c r="AZ212" s="310">
        <v>0.42521589999999998</v>
      </c>
      <c r="BA212" s="310">
        <v>0.371612</v>
      </c>
      <c r="BB212" s="310">
        <v>0</v>
      </c>
      <c r="BC212" s="310">
        <v>0.42809219999999998</v>
      </c>
      <c r="BD212" s="310">
        <v>0.42906040000000001</v>
      </c>
      <c r="BE212" s="310">
        <v>0.43023020000000001</v>
      </c>
      <c r="BF212" s="310">
        <v>0.42142489999999999</v>
      </c>
      <c r="BG212" s="310">
        <v>0.4259232</v>
      </c>
      <c r="BH212" s="310">
        <v>0.41769060000000002</v>
      </c>
      <c r="BI212" s="310">
        <v>0.43328739999999999</v>
      </c>
      <c r="BJ212" s="310">
        <v>0.42945529999999998</v>
      </c>
      <c r="BK212" s="310">
        <v>0.43262509999999998</v>
      </c>
    </row>
    <row r="213" spans="1:63" x14ac:dyDescent="0.25">
      <c r="A213" s="306">
        <v>333514</v>
      </c>
      <c r="B213" s="310" t="s">
        <v>195</v>
      </c>
      <c r="C213" s="310">
        <v>0.43115989999999998</v>
      </c>
      <c r="D213" s="310">
        <v>0</v>
      </c>
      <c r="E213" s="310">
        <v>0.41679749999999999</v>
      </c>
      <c r="F213" s="310">
        <v>0.40719840000000002</v>
      </c>
      <c r="G213" s="310">
        <v>0.42408010000000002</v>
      </c>
      <c r="H213" s="310">
        <v>0.42730269999999998</v>
      </c>
      <c r="I213" s="310">
        <v>0.42278870000000002</v>
      </c>
      <c r="J213" s="310">
        <v>0.3997001</v>
      </c>
      <c r="K213" s="310">
        <v>0</v>
      </c>
      <c r="L213" s="310">
        <v>0</v>
      </c>
      <c r="M213" s="310">
        <v>0.42555219999999999</v>
      </c>
      <c r="N213" s="310">
        <v>0.41527940000000002</v>
      </c>
      <c r="O213" s="310">
        <v>0</v>
      </c>
      <c r="P213" s="310">
        <v>0.40193839999999997</v>
      </c>
      <c r="Q213" s="310">
        <v>0.42172710000000002</v>
      </c>
      <c r="R213" s="310">
        <v>0.40868529999999997</v>
      </c>
      <c r="S213" s="310">
        <v>0.41474319999999998</v>
      </c>
      <c r="T213" s="310">
        <v>0.37963839999999999</v>
      </c>
      <c r="U213" s="310">
        <v>0.38893749999999999</v>
      </c>
      <c r="V213" s="310">
        <v>0.4212533</v>
      </c>
      <c r="W213" s="310">
        <v>0.39071850000000002</v>
      </c>
      <c r="X213" s="310">
        <v>0.3683804</v>
      </c>
      <c r="Y213" s="310">
        <v>0.41047050000000002</v>
      </c>
      <c r="Z213" s="310">
        <v>0.42449710000000002</v>
      </c>
      <c r="AA213" s="310">
        <v>0.41696159999999999</v>
      </c>
      <c r="AB213" s="310">
        <v>0.39607360000000003</v>
      </c>
      <c r="AC213" s="310">
        <v>0.39001819999999998</v>
      </c>
      <c r="AD213" s="310">
        <v>0</v>
      </c>
      <c r="AE213" s="310">
        <v>0.40571990000000002</v>
      </c>
      <c r="AF213" s="310">
        <v>0.39432539999999999</v>
      </c>
      <c r="AG213" s="310">
        <v>0.41053810000000002</v>
      </c>
      <c r="AH213" s="310">
        <v>0.38004569999999999</v>
      </c>
      <c r="AI213" s="310">
        <v>0.37978600000000001</v>
      </c>
      <c r="AJ213" s="310">
        <v>0.39867049999999998</v>
      </c>
      <c r="AK213" s="310">
        <v>0.41284179999999998</v>
      </c>
      <c r="AL213" s="310">
        <v>0.41705750000000003</v>
      </c>
      <c r="AM213" s="310">
        <v>0.41763709999999998</v>
      </c>
      <c r="AN213" s="310">
        <v>0.42765370000000003</v>
      </c>
      <c r="AO213" s="310">
        <v>0.40182449999999997</v>
      </c>
      <c r="AP213" s="310">
        <v>0.41301569999999999</v>
      </c>
      <c r="AQ213" s="310">
        <v>0.36028539999999998</v>
      </c>
      <c r="AR213" s="310">
        <v>0.41604350000000001</v>
      </c>
      <c r="AS213" s="310">
        <v>0.40367599999999998</v>
      </c>
      <c r="AT213" s="310">
        <v>0.40200720000000001</v>
      </c>
      <c r="AU213" s="310">
        <v>0.4264134</v>
      </c>
      <c r="AV213" s="310">
        <v>0.42244559999999998</v>
      </c>
      <c r="AW213" s="310">
        <v>0.3979724</v>
      </c>
      <c r="AX213" s="310">
        <v>0.38113330000000001</v>
      </c>
      <c r="AY213" s="310">
        <v>0.41347109999999998</v>
      </c>
      <c r="AZ213" s="310">
        <v>0.41985670000000003</v>
      </c>
      <c r="BA213" s="310">
        <v>0.36696069999999997</v>
      </c>
      <c r="BB213" s="310">
        <v>0</v>
      </c>
      <c r="BC213" s="310">
        <v>0.42272569999999998</v>
      </c>
      <c r="BD213" s="310">
        <v>0.42375089999999999</v>
      </c>
      <c r="BE213" s="310">
        <v>0.42485099999999998</v>
      </c>
      <c r="BF213" s="310">
        <v>0.41616439999999999</v>
      </c>
      <c r="BG213" s="310">
        <v>0.4206626</v>
      </c>
      <c r="BH213" s="310">
        <v>0.41247859999999997</v>
      </c>
      <c r="BI213" s="310">
        <v>0.42784480000000003</v>
      </c>
      <c r="BJ213" s="310">
        <v>0.42406359999999999</v>
      </c>
      <c r="BK213" s="310">
        <v>0.42721569999999998</v>
      </c>
    </row>
    <row r="214" spans="1:63" x14ac:dyDescent="0.25">
      <c r="A214" s="306">
        <v>333515</v>
      </c>
      <c r="B214" s="310" t="s">
        <v>196</v>
      </c>
      <c r="C214" s="310">
        <v>0.37454589999999999</v>
      </c>
      <c r="D214" s="310">
        <v>0</v>
      </c>
      <c r="E214" s="310">
        <v>0.36200339999999998</v>
      </c>
      <c r="F214" s="310">
        <v>0.3536956</v>
      </c>
      <c r="G214" s="310">
        <v>0.36834840000000002</v>
      </c>
      <c r="H214" s="310">
        <v>0.3712202</v>
      </c>
      <c r="I214" s="310">
        <v>0.3672494</v>
      </c>
      <c r="J214" s="310">
        <v>0.34714919999999999</v>
      </c>
      <c r="K214" s="310">
        <v>0</v>
      </c>
      <c r="L214" s="310">
        <v>0</v>
      </c>
      <c r="M214" s="310">
        <v>0.36967739999999999</v>
      </c>
      <c r="N214" s="310">
        <v>0.36073820000000001</v>
      </c>
      <c r="O214" s="310">
        <v>0</v>
      </c>
      <c r="P214" s="310">
        <v>0.34911009999999998</v>
      </c>
      <c r="Q214" s="310">
        <v>0.3663093</v>
      </c>
      <c r="R214" s="310">
        <v>0.35502650000000002</v>
      </c>
      <c r="S214" s="310">
        <v>0.36025560000000001</v>
      </c>
      <c r="T214" s="310">
        <v>0.3298024</v>
      </c>
      <c r="U214" s="310">
        <v>0.33787349999999999</v>
      </c>
      <c r="V214" s="310">
        <v>0.36594700000000002</v>
      </c>
      <c r="W214" s="310">
        <v>0.33938289999999999</v>
      </c>
      <c r="X214" s="310">
        <v>0.32000610000000002</v>
      </c>
      <c r="Y214" s="310">
        <v>0.35653669999999998</v>
      </c>
      <c r="Z214" s="310">
        <v>0.36876619999999999</v>
      </c>
      <c r="AA214" s="310">
        <v>0.36212100000000003</v>
      </c>
      <c r="AB214" s="310">
        <v>0.34401540000000003</v>
      </c>
      <c r="AC214" s="310">
        <v>0.33877200000000002</v>
      </c>
      <c r="AD214" s="310">
        <v>0.36056640000000001</v>
      </c>
      <c r="AE214" s="310">
        <v>0.35237689999999999</v>
      </c>
      <c r="AF214" s="310">
        <v>0</v>
      </c>
      <c r="AG214" s="310">
        <v>0.35661039999999999</v>
      </c>
      <c r="AH214" s="310">
        <v>0.33013419999999999</v>
      </c>
      <c r="AI214" s="310">
        <v>0.32985330000000002</v>
      </c>
      <c r="AJ214" s="310">
        <v>0.34626960000000001</v>
      </c>
      <c r="AK214" s="310">
        <v>0.35858010000000001</v>
      </c>
      <c r="AL214" s="310">
        <v>0.36228830000000001</v>
      </c>
      <c r="AM214" s="310">
        <v>0.36281229999999998</v>
      </c>
      <c r="AN214" s="310">
        <v>0.37147249999999998</v>
      </c>
      <c r="AO214" s="310">
        <v>0.34907830000000001</v>
      </c>
      <c r="AP214" s="310">
        <v>0.35874109999999998</v>
      </c>
      <c r="AQ214" s="310">
        <v>0.31293300000000002</v>
      </c>
      <c r="AR214" s="310">
        <v>0.36137459999999999</v>
      </c>
      <c r="AS214" s="310">
        <v>0.35064709999999999</v>
      </c>
      <c r="AT214" s="310">
        <v>0.3491612</v>
      </c>
      <c r="AU214" s="310">
        <v>0.37039430000000001</v>
      </c>
      <c r="AV214" s="310">
        <v>0.36691679999999999</v>
      </c>
      <c r="AW214" s="310">
        <v>0.34567540000000002</v>
      </c>
      <c r="AX214" s="310">
        <v>0.33104460000000002</v>
      </c>
      <c r="AY214" s="310">
        <v>0.35913879999999998</v>
      </c>
      <c r="AZ214" s="310">
        <v>0.36470249999999999</v>
      </c>
      <c r="BA214" s="310">
        <v>0</v>
      </c>
      <c r="BB214" s="310">
        <v>0</v>
      </c>
      <c r="BC214" s="310">
        <v>0.3672106</v>
      </c>
      <c r="BD214" s="310">
        <v>0.36804759999999997</v>
      </c>
      <c r="BE214" s="310">
        <v>0.36903269999999999</v>
      </c>
      <c r="BF214" s="310">
        <v>0.36148330000000001</v>
      </c>
      <c r="BG214" s="310">
        <v>0.36534680000000003</v>
      </c>
      <c r="BH214" s="310">
        <v>0.35829250000000001</v>
      </c>
      <c r="BI214" s="310">
        <v>0.37162600000000001</v>
      </c>
      <c r="BJ214" s="310">
        <v>0.36836419999999997</v>
      </c>
      <c r="BK214" s="310">
        <v>0.37109350000000002</v>
      </c>
    </row>
    <row r="215" spans="1:63" x14ac:dyDescent="0.25">
      <c r="A215" s="306" t="s">
        <v>732</v>
      </c>
      <c r="B215" s="310" t="s">
        <v>194</v>
      </c>
      <c r="C215" s="310">
        <v>0.35767539999999998</v>
      </c>
      <c r="D215" s="310">
        <v>0</v>
      </c>
      <c r="E215" s="310">
        <v>0.34573429999999999</v>
      </c>
      <c r="F215" s="310">
        <v>0.33780389999999999</v>
      </c>
      <c r="G215" s="310">
        <v>0.35181590000000001</v>
      </c>
      <c r="H215" s="310">
        <v>0.35450540000000003</v>
      </c>
      <c r="I215" s="310">
        <v>0.35072310000000001</v>
      </c>
      <c r="J215" s="310">
        <v>0.33159689999999997</v>
      </c>
      <c r="K215" s="310">
        <v>0</v>
      </c>
      <c r="L215" s="310">
        <v>0.27797359999999999</v>
      </c>
      <c r="M215" s="310">
        <v>0.35306199999999999</v>
      </c>
      <c r="N215" s="310">
        <v>0.3444953</v>
      </c>
      <c r="O215" s="310">
        <v>0</v>
      </c>
      <c r="P215" s="310">
        <v>0.33338200000000001</v>
      </c>
      <c r="Q215" s="310">
        <v>0.34989320000000002</v>
      </c>
      <c r="R215" s="310">
        <v>0.33902379999999999</v>
      </c>
      <c r="S215" s="310">
        <v>0.34409830000000002</v>
      </c>
      <c r="T215" s="310">
        <v>0.31494470000000002</v>
      </c>
      <c r="U215" s="310">
        <v>0.32267620000000002</v>
      </c>
      <c r="V215" s="310">
        <v>0.3494718</v>
      </c>
      <c r="W215" s="310">
        <v>0.32414549999999998</v>
      </c>
      <c r="X215" s="310">
        <v>0.30562909999999999</v>
      </c>
      <c r="Y215" s="310">
        <v>0</v>
      </c>
      <c r="Z215" s="310">
        <v>0.35214689999999998</v>
      </c>
      <c r="AA215" s="310">
        <v>0.34592000000000001</v>
      </c>
      <c r="AB215" s="310">
        <v>0.32853700000000002</v>
      </c>
      <c r="AC215" s="310">
        <v>0.32353799999999999</v>
      </c>
      <c r="AD215" s="310">
        <v>0.34431990000000001</v>
      </c>
      <c r="AE215" s="310">
        <v>0.33656570000000002</v>
      </c>
      <c r="AF215" s="310">
        <v>0</v>
      </c>
      <c r="AG215" s="310">
        <v>0.34058460000000002</v>
      </c>
      <c r="AH215" s="310">
        <v>0.3152741</v>
      </c>
      <c r="AI215" s="310">
        <v>0.31507580000000002</v>
      </c>
      <c r="AJ215" s="310">
        <v>0.3306984</v>
      </c>
      <c r="AK215" s="310">
        <v>0.34253400000000001</v>
      </c>
      <c r="AL215" s="310">
        <v>0.34596339999999998</v>
      </c>
      <c r="AM215" s="310">
        <v>0.34645910000000002</v>
      </c>
      <c r="AN215" s="310">
        <v>0.35479579999999999</v>
      </c>
      <c r="AO215" s="310">
        <v>0.33335550000000003</v>
      </c>
      <c r="AP215" s="310">
        <v>0.34261960000000002</v>
      </c>
      <c r="AQ215" s="310">
        <v>0.2989194</v>
      </c>
      <c r="AR215" s="310">
        <v>0.34516279999999999</v>
      </c>
      <c r="AS215" s="310">
        <v>0.33484599999999998</v>
      </c>
      <c r="AT215" s="310">
        <v>0.33348860000000002</v>
      </c>
      <c r="AU215" s="310">
        <v>0.35375139999999999</v>
      </c>
      <c r="AV215" s="310">
        <v>0.35044940000000002</v>
      </c>
      <c r="AW215" s="310">
        <v>0.33013670000000001</v>
      </c>
      <c r="AX215" s="310">
        <v>0.31614779999999998</v>
      </c>
      <c r="AY215" s="310">
        <v>0.3429972</v>
      </c>
      <c r="AZ215" s="310">
        <v>0.34832619999999997</v>
      </c>
      <c r="BA215" s="310">
        <v>0</v>
      </c>
      <c r="BB215" s="310">
        <v>0.33154499999999998</v>
      </c>
      <c r="BC215" s="310">
        <v>0.35068870000000002</v>
      </c>
      <c r="BD215" s="310">
        <v>0.35153760000000001</v>
      </c>
      <c r="BE215" s="310">
        <v>0.35241739999999999</v>
      </c>
      <c r="BF215" s="310">
        <v>0.34520529999999999</v>
      </c>
      <c r="BG215" s="310">
        <v>0.34891539999999999</v>
      </c>
      <c r="BH215" s="310">
        <v>0.34219909999999998</v>
      </c>
      <c r="BI215" s="310">
        <v>0.35495130000000003</v>
      </c>
      <c r="BJ215" s="310">
        <v>0.35175879999999998</v>
      </c>
      <c r="BK215" s="310">
        <v>0.35445199999999999</v>
      </c>
    </row>
    <row r="216" spans="1:63" x14ac:dyDescent="0.25">
      <c r="A216" s="306" t="s">
        <v>733</v>
      </c>
      <c r="B216" s="310" t="s">
        <v>197</v>
      </c>
      <c r="C216" s="310">
        <v>0.33613959999999998</v>
      </c>
      <c r="D216" s="310">
        <v>0</v>
      </c>
      <c r="E216" s="310">
        <v>0.32491409999999998</v>
      </c>
      <c r="F216" s="310">
        <v>0.31746150000000001</v>
      </c>
      <c r="G216" s="310">
        <v>0.33067730000000001</v>
      </c>
      <c r="H216" s="310">
        <v>0.33313589999999998</v>
      </c>
      <c r="I216" s="310">
        <v>0.3296193</v>
      </c>
      <c r="J216" s="310">
        <v>0.31157679999999999</v>
      </c>
      <c r="K216" s="310">
        <v>0</v>
      </c>
      <c r="L216" s="310">
        <v>0</v>
      </c>
      <c r="M216" s="310">
        <v>0.33182479999999998</v>
      </c>
      <c r="N216" s="310">
        <v>0.32374979999999998</v>
      </c>
      <c r="O216" s="310">
        <v>0</v>
      </c>
      <c r="P216" s="310">
        <v>0.31335049999999998</v>
      </c>
      <c r="Q216" s="310">
        <v>0.32883099999999998</v>
      </c>
      <c r="R216" s="310">
        <v>0.31862289999999999</v>
      </c>
      <c r="S216" s="310">
        <v>0.32331769999999999</v>
      </c>
      <c r="T216" s="310">
        <v>0.29598809999999998</v>
      </c>
      <c r="U216" s="310">
        <v>0.30325350000000001</v>
      </c>
      <c r="V216" s="310">
        <v>0</v>
      </c>
      <c r="W216" s="310">
        <v>0.30459589999999998</v>
      </c>
      <c r="X216" s="310">
        <v>0.2872555</v>
      </c>
      <c r="Y216" s="310">
        <v>0.32001439999999998</v>
      </c>
      <c r="Z216" s="310">
        <v>0.33093610000000001</v>
      </c>
      <c r="AA216" s="310">
        <v>0.32503379999999998</v>
      </c>
      <c r="AB216" s="310">
        <v>0.30871860000000001</v>
      </c>
      <c r="AC216" s="310">
        <v>0.3040426</v>
      </c>
      <c r="AD216" s="310">
        <v>0</v>
      </c>
      <c r="AE216" s="310">
        <v>0.31630170000000002</v>
      </c>
      <c r="AF216" s="310">
        <v>0</v>
      </c>
      <c r="AG216" s="310">
        <v>0.32004480000000002</v>
      </c>
      <c r="AH216" s="310">
        <v>0.29633219999999999</v>
      </c>
      <c r="AI216" s="310">
        <v>0.29610649999999999</v>
      </c>
      <c r="AJ216" s="310">
        <v>0</v>
      </c>
      <c r="AK216" s="310">
        <v>0</v>
      </c>
      <c r="AL216" s="310">
        <v>0.32517509999999999</v>
      </c>
      <c r="AM216" s="310">
        <v>0.32564159999999998</v>
      </c>
      <c r="AN216" s="310">
        <v>0.3334029</v>
      </c>
      <c r="AO216" s="310">
        <v>0</v>
      </c>
      <c r="AP216" s="310">
        <v>0.32198199999999999</v>
      </c>
      <c r="AQ216" s="310">
        <v>0.28090870000000001</v>
      </c>
      <c r="AR216" s="310">
        <v>0.32436300000000001</v>
      </c>
      <c r="AS216" s="310">
        <v>0.31472280000000002</v>
      </c>
      <c r="AT216" s="310">
        <v>0.31340649999999998</v>
      </c>
      <c r="AU216" s="310">
        <v>0.33243050000000002</v>
      </c>
      <c r="AV216" s="310">
        <v>0.32936189999999999</v>
      </c>
      <c r="AW216" s="310">
        <v>0.31021569999999998</v>
      </c>
      <c r="AX216" s="310">
        <v>0</v>
      </c>
      <c r="AY216" s="310">
        <v>0.32233220000000001</v>
      </c>
      <c r="AZ216" s="310">
        <v>0.32731779999999999</v>
      </c>
      <c r="BA216" s="310">
        <v>0.28607120000000003</v>
      </c>
      <c r="BB216" s="310">
        <v>0</v>
      </c>
      <c r="BC216" s="310">
        <v>0.3296038</v>
      </c>
      <c r="BD216" s="310">
        <v>0.33036929999999998</v>
      </c>
      <c r="BE216" s="310">
        <v>0.33121319999999999</v>
      </c>
      <c r="BF216" s="310">
        <v>0.32441730000000002</v>
      </c>
      <c r="BG216" s="310">
        <v>0.3279012</v>
      </c>
      <c r="BH216" s="310">
        <v>0.32154339999999998</v>
      </c>
      <c r="BI216" s="310">
        <v>0.33353060000000001</v>
      </c>
      <c r="BJ216" s="310">
        <v>0.33058419999999999</v>
      </c>
      <c r="BK216" s="310">
        <v>0.33304990000000001</v>
      </c>
    </row>
    <row r="217" spans="1:63" x14ac:dyDescent="0.25">
      <c r="A217" s="306">
        <v>333611</v>
      </c>
      <c r="B217" s="310" t="s">
        <v>198</v>
      </c>
      <c r="C217" s="310">
        <v>0.1184514</v>
      </c>
      <c r="D217" s="310">
        <v>0</v>
      </c>
      <c r="E217" s="310">
        <v>0.1145169</v>
      </c>
      <c r="F217" s="310">
        <v>0.111859</v>
      </c>
      <c r="G217" s="310">
        <v>0.1165342</v>
      </c>
      <c r="H217" s="310">
        <v>0.1174265</v>
      </c>
      <c r="I217" s="310">
        <v>0.1161441</v>
      </c>
      <c r="J217" s="310">
        <v>0.10980910000000001</v>
      </c>
      <c r="K217" s="310">
        <v>2.0542500000000002E-2</v>
      </c>
      <c r="L217" s="310">
        <v>0</v>
      </c>
      <c r="M217" s="310">
        <v>0.116912</v>
      </c>
      <c r="N217" s="310">
        <v>0.11410919999999999</v>
      </c>
      <c r="O217" s="310">
        <v>0</v>
      </c>
      <c r="P217" s="310">
        <v>0.1104218</v>
      </c>
      <c r="Q217" s="310">
        <v>0.1158588</v>
      </c>
      <c r="R217" s="310">
        <v>0.1122667</v>
      </c>
      <c r="S217" s="310">
        <v>0.113942</v>
      </c>
      <c r="T217" s="310">
        <v>0.10431940000000001</v>
      </c>
      <c r="U217" s="310">
        <v>0.10688350000000001</v>
      </c>
      <c r="V217" s="310">
        <v>0.1157463</v>
      </c>
      <c r="W217" s="310">
        <v>0.1073539</v>
      </c>
      <c r="X217" s="310">
        <v>0</v>
      </c>
      <c r="Y217" s="310">
        <v>0.1127503</v>
      </c>
      <c r="Z217" s="310">
        <v>0.11661870000000001</v>
      </c>
      <c r="AA217" s="310">
        <v>0.1145303</v>
      </c>
      <c r="AB217" s="310">
        <v>0.1087997</v>
      </c>
      <c r="AC217" s="310">
        <v>0.10715429999999999</v>
      </c>
      <c r="AD217" s="310">
        <v>0</v>
      </c>
      <c r="AE217" s="310">
        <v>0.11146789999999999</v>
      </c>
      <c r="AF217" s="310">
        <v>0.1083703</v>
      </c>
      <c r="AG217" s="310">
        <v>0</v>
      </c>
      <c r="AH217" s="310">
        <v>0.1044302</v>
      </c>
      <c r="AI217" s="310">
        <v>0.10431559999999999</v>
      </c>
      <c r="AJ217" s="310">
        <v>0</v>
      </c>
      <c r="AK217" s="310">
        <v>0.11344220000000001</v>
      </c>
      <c r="AL217" s="310">
        <v>0.1145636</v>
      </c>
      <c r="AM217" s="310">
        <v>0.11473369999999999</v>
      </c>
      <c r="AN217" s="310">
        <v>0.117497</v>
      </c>
      <c r="AO217" s="310">
        <v>0</v>
      </c>
      <c r="AP217" s="310">
        <v>0.11345669999999999</v>
      </c>
      <c r="AQ217" s="310">
        <v>0</v>
      </c>
      <c r="AR217" s="310">
        <v>0.1143156</v>
      </c>
      <c r="AS217" s="310">
        <v>0.110887</v>
      </c>
      <c r="AT217" s="310">
        <v>0.1104229</v>
      </c>
      <c r="AU217" s="310">
        <v>0.1171398</v>
      </c>
      <c r="AV217" s="310">
        <v>0.11605939999999999</v>
      </c>
      <c r="AW217" s="310">
        <v>0.10934770000000001</v>
      </c>
      <c r="AX217" s="310">
        <v>0.1047178</v>
      </c>
      <c r="AY217" s="310">
        <v>0.1135911</v>
      </c>
      <c r="AZ217" s="310">
        <v>0.1153579</v>
      </c>
      <c r="BA217" s="310">
        <v>0</v>
      </c>
      <c r="BB217" s="310">
        <v>0.1098097</v>
      </c>
      <c r="BC217" s="310">
        <v>0.1161394</v>
      </c>
      <c r="BD217" s="310">
        <v>0.1164207</v>
      </c>
      <c r="BE217" s="310">
        <v>0.1167233</v>
      </c>
      <c r="BF217" s="310">
        <v>0.11431760000000001</v>
      </c>
      <c r="BG217" s="310">
        <v>0.1155499</v>
      </c>
      <c r="BH217" s="310">
        <v>0.1133354</v>
      </c>
      <c r="BI217" s="310">
        <v>0.1175578</v>
      </c>
      <c r="BJ217" s="310">
        <v>0.11650240000000001</v>
      </c>
      <c r="BK217" s="310">
        <v>0.1173807</v>
      </c>
    </row>
    <row r="218" spans="1:63" x14ac:dyDescent="0.25">
      <c r="A218" s="306">
        <v>333612</v>
      </c>
      <c r="B218" s="310" t="s">
        <v>199</v>
      </c>
      <c r="C218" s="310">
        <v>0.32151570000000002</v>
      </c>
      <c r="D218" s="310">
        <v>0</v>
      </c>
      <c r="E218" s="310">
        <v>0.31083189999999999</v>
      </c>
      <c r="F218" s="310">
        <v>0</v>
      </c>
      <c r="G218" s="310">
        <v>0.31624180000000002</v>
      </c>
      <c r="H218" s="310">
        <v>0.31863900000000001</v>
      </c>
      <c r="I218" s="310">
        <v>0</v>
      </c>
      <c r="J218" s="310">
        <v>0.29806440000000001</v>
      </c>
      <c r="K218" s="310">
        <v>0</v>
      </c>
      <c r="L218" s="310">
        <v>0</v>
      </c>
      <c r="M218" s="310">
        <v>0.3173803</v>
      </c>
      <c r="N218" s="310">
        <v>0.3096817</v>
      </c>
      <c r="O218" s="310">
        <v>0</v>
      </c>
      <c r="P218" s="310">
        <v>0.29970920000000001</v>
      </c>
      <c r="Q218" s="310">
        <v>0.31448619999999999</v>
      </c>
      <c r="R218" s="310">
        <v>0.30479050000000002</v>
      </c>
      <c r="S218" s="310">
        <v>0.30927700000000002</v>
      </c>
      <c r="T218" s="310">
        <v>0.28312419999999999</v>
      </c>
      <c r="U218" s="310">
        <v>0.29006979999999999</v>
      </c>
      <c r="V218" s="310">
        <v>0.31416060000000001</v>
      </c>
      <c r="W218" s="310">
        <v>0.29132770000000002</v>
      </c>
      <c r="X218" s="310">
        <v>0.27476519999999999</v>
      </c>
      <c r="Y218" s="310">
        <v>0.30605549999999998</v>
      </c>
      <c r="Z218" s="310">
        <v>0.31658629999999999</v>
      </c>
      <c r="AA218" s="310">
        <v>0.31091990000000003</v>
      </c>
      <c r="AB218" s="310">
        <v>0.29531079999999998</v>
      </c>
      <c r="AC218" s="310">
        <v>0.29079100000000002</v>
      </c>
      <c r="AD218" s="310">
        <v>0</v>
      </c>
      <c r="AE218" s="310">
        <v>0.3025484</v>
      </c>
      <c r="AF218" s="310">
        <v>0</v>
      </c>
      <c r="AG218" s="310">
        <v>0.30612089999999997</v>
      </c>
      <c r="AH218" s="310">
        <v>0.28341250000000001</v>
      </c>
      <c r="AI218" s="310">
        <v>0.28322429999999998</v>
      </c>
      <c r="AJ218" s="310">
        <v>0.29727550000000003</v>
      </c>
      <c r="AK218" s="310">
        <v>0</v>
      </c>
      <c r="AL218" s="310">
        <v>0.311033</v>
      </c>
      <c r="AM218" s="310">
        <v>0.31148740000000003</v>
      </c>
      <c r="AN218" s="310">
        <v>0.31892399999999999</v>
      </c>
      <c r="AO218" s="310">
        <v>0.2996608</v>
      </c>
      <c r="AP218" s="310">
        <v>0.30796859999999998</v>
      </c>
      <c r="AQ218" s="310">
        <v>0</v>
      </c>
      <c r="AR218" s="310">
        <v>0.31026999999999999</v>
      </c>
      <c r="AS218" s="310">
        <v>0.301014</v>
      </c>
      <c r="AT218" s="310">
        <v>0.29976130000000001</v>
      </c>
      <c r="AU218" s="310">
        <v>0.31800010000000001</v>
      </c>
      <c r="AV218" s="310">
        <v>0.31504090000000001</v>
      </c>
      <c r="AW218" s="310">
        <v>0.2967804</v>
      </c>
      <c r="AX218" s="310">
        <v>0</v>
      </c>
      <c r="AY218" s="310">
        <v>0.3083399</v>
      </c>
      <c r="AZ218" s="310">
        <v>0.3131082</v>
      </c>
      <c r="BA218" s="310">
        <v>0</v>
      </c>
      <c r="BB218" s="310">
        <v>0</v>
      </c>
      <c r="BC218" s="310">
        <v>0.31523760000000001</v>
      </c>
      <c r="BD218" s="310">
        <v>0.31595440000000002</v>
      </c>
      <c r="BE218" s="310">
        <v>0.31679210000000002</v>
      </c>
      <c r="BF218" s="310">
        <v>0.31031229999999999</v>
      </c>
      <c r="BG218" s="310">
        <v>0.31363550000000001</v>
      </c>
      <c r="BH218" s="310">
        <v>0.30760359999999998</v>
      </c>
      <c r="BI218" s="310">
        <v>0.31904110000000002</v>
      </c>
      <c r="BJ218" s="310">
        <v>0.31625910000000002</v>
      </c>
      <c r="BK218" s="310">
        <v>0.31857990000000003</v>
      </c>
    </row>
    <row r="219" spans="1:63" x14ac:dyDescent="0.25">
      <c r="A219" s="306">
        <v>333613</v>
      </c>
      <c r="B219" s="310" t="s">
        <v>200</v>
      </c>
      <c r="C219" s="310">
        <v>0.28930620000000001</v>
      </c>
      <c r="D219" s="310">
        <v>0</v>
      </c>
      <c r="E219" s="310">
        <v>0.27969519999999998</v>
      </c>
      <c r="F219" s="310">
        <v>0.27320899999999998</v>
      </c>
      <c r="G219" s="310">
        <v>0</v>
      </c>
      <c r="H219" s="310">
        <v>0.2867633</v>
      </c>
      <c r="I219" s="310">
        <v>0</v>
      </c>
      <c r="J219" s="310">
        <v>0.26816289999999998</v>
      </c>
      <c r="K219" s="310">
        <v>0</v>
      </c>
      <c r="L219" s="310">
        <v>0</v>
      </c>
      <c r="M219" s="310">
        <v>0.28558299999999998</v>
      </c>
      <c r="N219" s="310">
        <v>0.2786728</v>
      </c>
      <c r="O219" s="310">
        <v>0</v>
      </c>
      <c r="P219" s="310">
        <v>0</v>
      </c>
      <c r="Q219" s="310">
        <v>0</v>
      </c>
      <c r="R219" s="310">
        <v>0.27421190000000001</v>
      </c>
      <c r="S219" s="310">
        <v>0.27828910000000001</v>
      </c>
      <c r="T219" s="310">
        <v>0.25472800000000001</v>
      </c>
      <c r="U219" s="310">
        <v>0.26102579999999997</v>
      </c>
      <c r="V219" s="310">
        <v>0.28266849999999999</v>
      </c>
      <c r="W219" s="310">
        <v>0.26217439999999997</v>
      </c>
      <c r="X219" s="310">
        <v>0.24718799999999999</v>
      </c>
      <c r="Y219" s="310">
        <v>0</v>
      </c>
      <c r="Z219" s="310">
        <v>0.28484090000000001</v>
      </c>
      <c r="AA219" s="310">
        <v>0.27979179999999998</v>
      </c>
      <c r="AB219" s="310">
        <v>0.26577220000000001</v>
      </c>
      <c r="AC219" s="310">
        <v>0.2616656</v>
      </c>
      <c r="AD219" s="310">
        <v>0</v>
      </c>
      <c r="AE219" s="310">
        <v>0.27225519999999998</v>
      </c>
      <c r="AF219" s="310">
        <v>0</v>
      </c>
      <c r="AG219" s="310">
        <v>0.27550140000000001</v>
      </c>
      <c r="AH219" s="310">
        <v>0.25502940000000002</v>
      </c>
      <c r="AI219" s="310">
        <v>0.25483109999999998</v>
      </c>
      <c r="AJ219" s="310">
        <v>0</v>
      </c>
      <c r="AK219" s="310">
        <v>0</v>
      </c>
      <c r="AL219" s="310">
        <v>0.27984900000000001</v>
      </c>
      <c r="AM219" s="310">
        <v>0.28029280000000001</v>
      </c>
      <c r="AN219" s="310">
        <v>0.28695140000000002</v>
      </c>
      <c r="AO219" s="310">
        <v>0.26966990000000002</v>
      </c>
      <c r="AP219" s="310">
        <v>0.27716659999999999</v>
      </c>
      <c r="AQ219" s="310">
        <v>0.24174870000000001</v>
      </c>
      <c r="AR219" s="310">
        <v>0.27915040000000002</v>
      </c>
      <c r="AS219" s="310">
        <v>0</v>
      </c>
      <c r="AT219" s="310">
        <v>0.26973760000000002</v>
      </c>
      <c r="AU219" s="310">
        <v>0.28612290000000001</v>
      </c>
      <c r="AV219" s="310">
        <v>0</v>
      </c>
      <c r="AW219" s="310">
        <v>0</v>
      </c>
      <c r="AX219" s="310">
        <v>0</v>
      </c>
      <c r="AY219" s="310">
        <v>0.2774606</v>
      </c>
      <c r="AZ219" s="310">
        <v>0.28173680000000001</v>
      </c>
      <c r="BA219" s="310">
        <v>0.24626110000000001</v>
      </c>
      <c r="BB219" s="310">
        <v>0</v>
      </c>
      <c r="BC219" s="310">
        <v>0.28365820000000003</v>
      </c>
      <c r="BD219" s="310">
        <v>0.28429710000000002</v>
      </c>
      <c r="BE219" s="310">
        <v>0.28508650000000002</v>
      </c>
      <c r="BF219" s="310">
        <v>0.27922039999999998</v>
      </c>
      <c r="BG219" s="310">
        <v>0.28227370000000002</v>
      </c>
      <c r="BH219" s="310">
        <v>0.27677299999999999</v>
      </c>
      <c r="BI219" s="310">
        <v>0.28709289999999998</v>
      </c>
      <c r="BJ219" s="310">
        <v>0</v>
      </c>
      <c r="BK219" s="310">
        <v>0.28668090000000002</v>
      </c>
    </row>
    <row r="220" spans="1:63" x14ac:dyDescent="0.25">
      <c r="A220" s="306">
        <v>333618</v>
      </c>
      <c r="B220" s="310" t="s">
        <v>201</v>
      </c>
      <c r="C220" s="310">
        <v>0.13761780000000001</v>
      </c>
      <c r="D220" s="310">
        <v>0</v>
      </c>
      <c r="E220" s="310">
        <v>0.1330353</v>
      </c>
      <c r="F220" s="310">
        <v>0.1299601</v>
      </c>
      <c r="G220" s="310">
        <v>0.13534399999999999</v>
      </c>
      <c r="H220" s="310">
        <v>0.136407</v>
      </c>
      <c r="I220" s="310">
        <v>0.1349445</v>
      </c>
      <c r="J220" s="310">
        <v>0.12758169999999999</v>
      </c>
      <c r="K220" s="310">
        <v>0</v>
      </c>
      <c r="L220" s="310">
        <v>0</v>
      </c>
      <c r="M220" s="310">
        <v>0.13583819999999999</v>
      </c>
      <c r="N220" s="310">
        <v>0.13254640000000001</v>
      </c>
      <c r="O220" s="310">
        <v>0.1156676</v>
      </c>
      <c r="P220" s="310">
        <v>0.12829760000000001</v>
      </c>
      <c r="Q220" s="310">
        <v>0</v>
      </c>
      <c r="R220" s="310">
        <v>0.13044510000000001</v>
      </c>
      <c r="S220" s="310">
        <v>0.13237850000000001</v>
      </c>
      <c r="T220" s="310">
        <v>0.12116830000000001</v>
      </c>
      <c r="U220" s="310">
        <v>0.12416679999999999</v>
      </c>
      <c r="V220" s="310">
        <v>0.1344458</v>
      </c>
      <c r="W220" s="310">
        <v>0.1246926</v>
      </c>
      <c r="X220" s="310">
        <v>0.1175933</v>
      </c>
      <c r="Y220" s="310">
        <v>0</v>
      </c>
      <c r="Z220" s="310">
        <v>0.13548389999999999</v>
      </c>
      <c r="AA220" s="310">
        <v>0.13309480000000001</v>
      </c>
      <c r="AB220" s="310">
        <v>0.12640870000000001</v>
      </c>
      <c r="AC220" s="310">
        <v>0.1244755</v>
      </c>
      <c r="AD220" s="310">
        <v>0</v>
      </c>
      <c r="AE220" s="310">
        <v>0.12948409999999999</v>
      </c>
      <c r="AF220" s="310">
        <v>0.1258321</v>
      </c>
      <c r="AG220" s="310">
        <v>0</v>
      </c>
      <c r="AH220" s="310">
        <v>0</v>
      </c>
      <c r="AI220" s="310">
        <v>0.1212331</v>
      </c>
      <c r="AJ220" s="310">
        <v>0.1272518</v>
      </c>
      <c r="AK220" s="310">
        <v>0.13176660000000001</v>
      </c>
      <c r="AL220" s="310">
        <v>0.13311719999999999</v>
      </c>
      <c r="AM220" s="310">
        <v>0.13329859999999999</v>
      </c>
      <c r="AN220" s="310">
        <v>0.1364795</v>
      </c>
      <c r="AO220" s="310">
        <v>0.12824369999999999</v>
      </c>
      <c r="AP220" s="310">
        <v>0.13182679999999999</v>
      </c>
      <c r="AQ220" s="310">
        <v>0</v>
      </c>
      <c r="AR220" s="310">
        <v>0.1328134</v>
      </c>
      <c r="AS220" s="310">
        <v>0.12881719999999999</v>
      </c>
      <c r="AT220" s="310">
        <v>0.128305</v>
      </c>
      <c r="AU220" s="310">
        <v>0.13611670000000001</v>
      </c>
      <c r="AV220" s="310">
        <v>0.13484689999999999</v>
      </c>
      <c r="AW220" s="310">
        <v>0.12702240000000001</v>
      </c>
      <c r="AX220" s="310">
        <v>0</v>
      </c>
      <c r="AY220" s="310">
        <v>0.1319661</v>
      </c>
      <c r="AZ220" s="310">
        <v>0.1340142</v>
      </c>
      <c r="BA220" s="310">
        <v>0</v>
      </c>
      <c r="BB220" s="310">
        <v>0</v>
      </c>
      <c r="BC220" s="310">
        <v>0.1349524</v>
      </c>
      <c r="BD220" s="310">
        <v>0.13522480000000001</v>
      </c>
      <c r="BE220" s="310">
        <v>0.13559660000000001</v>
      </c>
      <c r="BF220" s="310">
        <v>0.13283690000000001</v>
      </c>
      <c r="BG220" s="310">
        <v>0.1342593</v>
      </c>
      <c r="BH220" s="310">
        <v>0.13165360000000001</v>
      </c>
      <c r="BI220" s="310">
        <v>0.13656280000000001</v>
      </c>
      <c r="BJ220" s="310">
        <v>0.1353376</v>
      </c>
      <c r="BK220" s="310">
        <v>0.13635169999999999</v>
      </c>
    </row>
    <row r="221" spans="1:63" x14ac:dyDescent="0.25">
      <c r="A221" s="306">
        <v>333911</v>
      </c>
      <c r="B221" s="310" t="s">
        <v>202</v>
      </c>
      <c r="C221" s="310">
        <v>0.2417715</v>
      </c>
      <c r="D221" s="310">
        <v>0</v>
      </c>
      <c r="E221" s="310">
        <v>0.2336994</v>
      </c>
      <c r="F221" s="310">
        <v>0.22830020000000001</v>
      </c>
      <c r="G221" s="310">
        <v>0.23781079999999999</v>
      </c>
      <c r="H221" s="310">
        <v>0.2396441</v>
      </c>
      <c r="I221" s="310">
        <v>0.23706260000000001</v>
      </c>
      <c r="J221" s="310">
        <v>0.22412029999999999</v>
      </c>
      <c r="K221" s="310">
        <v>0</v>
      </c>
      <c r="L221" s="310">
        <v>0.18787590000000001</v>
      </c>
      <c r="M221" s="310">
        <v>0.23862330000000001</v>
      </c>
      <c r="N221" s="310">
        <v>0.2328547</v>
      </c>
      <c r="O221" s="310">
        <v>0</v>
      </c>
      <c r="P221" s="310">
        <v>0.22534770000000001</v>
      </c>
      <c r="Q221" s="310">
        <v>0</v>
      </c>
      <c r="R221" s="310">
        <v>0.22915140000000001</v>
      </c>
      <c r="S221" s="310">
        <v>0.23257340000000001</v>
      </c>
      <c r="T221" s="310">
        <v>0.21288170000000001</v>
      </c>
      <c r="U221" s="310">
        <v>0.2181225</v>
      </c>
      <c r="V221" s="310">
        <v>0.23627519999999999</v>
      </c>
      <c r="W221" s="310">
        <v>0.21908820000000001</v>
      </c>
      <c r="X221" s="310">
        <v>0.2065815</v>
      </c>
      <c r="Y221" s="310">
        <v>0.2301694</v>
      </c>
      <c r="Z221" s="310">
        <v>0.23804790000000001</v>
      </c>
      <c r="AA221" s="310">
        <v>0.23383029999999999</v>
      </c>
      <c r="AB221" s="310">
        <v>0.2220955</v>
      </c>
      <c r="AC221" s="310">
        <v>0.21869269999999999</v>
      </c>
      <c r="AD221" s="310">
        <v>0.23273779999999999</v>
      </c>
      <c r="AE221" s="310">
        <v>0.2274957</v>
      </c>
      <c r="AF221" s="310">
        <v>0</v>
      </c>
      <c r="AG221" s="310">
        <v>0.2302188</v>
      </c>
      <c r="AH221" s="310">
        <v>0.21311569999999999</v>
      </c>
      <c r="AI221" s="310">
        <v>0.21296519999999999</v>
      </c>
      <c r="AJ221" s="310">
        <v>0.22355620000000001</v>
      </c>
      <c r="AK221" s="310">
        <v>0.2315152</v>
      </c>
      <c r="AL221" s="310">
        <v>0.23385329999999999</v>
      </c>
      <c r="AM221" s="310">
        <v>0.2342146</v>
      </c>
      <c r="AN221" s="310">
        <v>0.2398314</v>
      </c>
      <c r="AO221" s="310">
        <v>0.22530600000000001</v>
      </c>
      <c r="AP221" s="310">
        <v>0.23162060000000001</v>
      </c>
      <c r="AQ221" s="310">
        <v>0.20200850000000001</v>
      </c>
      <c r="AR221" s="310">
        <v>0.23329059999999999</v>
      </c>
      <c r="AS221" s="310">
        <v>0.22635079999999999</v>
      </c>
      <c r="AT221" s="310">
        <v>0.22542219999999999</v>
      </c>
      <c r="AU221" s="310">
        <v>0.23913409999999999</v>
      </c>
      <c r="AV221" s="310">
        <v>0.23686409999999999</v>
      </c>
      <c r="AW221" s="310">
        <v>0.22314729999999999</v>
      </c>
      <c r="AX221" s="310">
        <v>0.2137077</v>
      </c>
      <c r="AY221" s="310">
        <v>0.23184109999999999</v>
      </c>
      <c r="AZ221" s="310">
        <v>0.23543339999999999</v>
      </c>
      <c r="BA221" s="310">
        <v>0.2057727</v>
      </c>
      <c r="BB221" s="310">
        <v>0.22413659999999999</v>
      </c>
      <c r="BC221" s="310">
        <v>0.23708480000000001</v>
      </c>
      <c r="BD221" s="310">
        <v>0.23763519999999999</v>
      </c>
      <c r="BE221" s="310">
        <v>0.23824329999999999</v>
      </c>
      <c r="BF221" s="310">
        <v>0.233372</v>
      </c>
      <c r="BG221" s="310">
        <v>0.23584849999999999</v>
      </c>
      <c r="BH221" s="310">
        <v>0.23128699999999999</v>
      </c>
      <c r="BI221" s="310">
        <v>0.23994950000000001</v>
      </c>
      <c r="BJ221" s="310">
        <v>0.2378026</v>
      </c>
      <c r="BK221" s="310">
        <v>0.23955509999999999</v>
      </c>
    </row>
    <row r="222" spans="1:63" x14ac:dyDescent="0.25">
      <c r="A222" s="306">
        <v>333912</v>
      </c>
      <c r="B222" s="310" t="s">
        <v>203</v>
      </c>
      <c r="C222" s="310">
        <v>0.23599310000000001</v>
      </c>
      <c r="D222" s="310">
        <v>0</v>
      </c>
      <c r="E222" s="310">
        <v>0.22812830000000001</v>
      </c>
      <c r="F222" s="310">
        <v>0.22286700000000001</v>
      </c>
      <c r="G222" s="310">
        <v>0</v>
      </c>
      <c r="H222" s="310">
        <v>0.23391239999999999</v>
      </c>
      <c r="I222" s="310">
        <v>0.231404</v>
      </c>
      <c r="J222" s="310">
        <v>0.21874669999999999</v>
      </c>
      <c r="K222" s="310">
        <v>0</v>
      </c>
      <c r="L222" s="310">
        <v>0</v>
      </c>
      <c r="M222" s="310">
        <v>0.2329669</v>
      </c>
      <c r="N222" s="310">
        <v>0.227326</v>
      </c>
      <c r="O222" s="310">
        <v>0</v>
      </c>
      <c r="P222" s="310">
        <v>0.2199652</v>
      </c>
      <c r="Q222" s="310">
        <v>0</v>
      </c>
      <c r="R222" s="310">
        <v>0.2237094</v>
      </c>
      <c r="S222" s="310">
        <v>0.22703980000000001</v>
      </c>
      <c r="T222" s="310">
        <v>0.20783170000000001</v>
      </c>
      <c r="U222" s="310">
        <v>0.21288660000000001</v>
      </c>
      <c r="V222" s="310">
        <v>0.230605</v>
      </c>
      <c r="W222" s="310">
        <v>0.2138815</v>
      </c>
      <c r="X222" s="310">
        <v>0.2016888</v>
      </c>
      <c r="Y222" s="310">
        <v>0</v>
      </c>
      <c r="Z222" s="310">
        <v>0.23234469999999999</v>
      </c>
      <c r="AA222" s="310">
        <v>0.2282313</v>
      </c>
      <c r="AB222" s="310">
        <v>0.216803</v>
      </c>
      <c r="AC222" s="310">
        <v>0.2134489</v>
      </c>
      <c r="AD222" s="310">
        <v>0</v>
      </c>
      <c r="AE222" s="310">
        <v>0.22205839999999999</v>
      </c>
      <c r="AF222" s="310">
        <v>0</v>
      </c>
      <c r="AG222" s="310">
        <v>0.22473750000000001</v>
      </c>
      <c r="AH222" s="310">
        <v>0.2080649</v>
      </c>
      <c r="AI222" s="310">
        <v>0.2078797</v>
      </c>
      <c r="AJ222" s="310">
        <v>0.2182241</v>
      </c>
      <c r="AK222" s="310">
        <v>0.2259948</v>
      </c>
      <c r="AL222" s="310">
        <v>0.2282904</v>
      </c>
      <c r="AM222" s="310">
        <v>0.22861429999999999</v>
      </c>
      <c r="AN222" s="310">
        <v>0.23407059999999999</v>
      </c>
      <c r="AO222" s="310">
        <v>0.2199806</v>
      </c>
      <c r="AP222" s="310">
        <v>0.2260711</v>
      </c>
      <c r="AQ222" s="310">
        <v>0.1971967</v>
      </c>
      <c r="AR222" s="310">
        <v>0.22772709999999999</v>
      </c>
      <c r="AS222" s="310">
        <v>0.22094249999999999</v>
      </c>
      <c r="AT222" s="310">
        <v>0.22001309999999999</v>
      </c>
      <c r="AU222" s="310">
        <v>0.23339789999999999</v>
      </c>
      <c r="AV222" s="310">
        <v>0.2312418</v>
      </c>
      <c r="AW222" s="310">
        <v>0.21783739999999999</v>
      </c>
      <c r="AX222" s="310">
        <v>0</v>
      </c>
      <c r="AY222" s="310">
        <v>0.2263522</v>
      </c>
      <c r="AZ222" s="310">
        <v>0.22985059999999999</v>
      </c>
      <c r="BA222" s="310">
        <v>0.2008373</v>
      </c>
      <c r="BB222" s="310">
        <v>0</v>
      </c>
      <c r="BC222" s="310">
        <v>0.23140250000000001</v>
      </c>
      <c r="BD222" s="310">
        <v>0.2319166</v>
      </c>
      <c r="BE222" s="310">
        <v>0.23256760000000001</v>
      </c>
      <c r="BF222" s="310">
        <v>0.22778519999999999</v>
      </c>
      <c r="BG222" s="310">
        <v>0.23021810000000001</v>
      </c>
      <c r="BH222" s="310">
        <v>0.2257516</v>
      </c>
      <c r="BI222" s="310">
        <v>0.23418359999999999</v>
      </c>
      <c r="BJ222" s="310">
        <v>0.23211129999999999</v>
      </c>
      <c r="BK222" s="310">
        <v>0.23384199999999999</v>
      </c>
    </row>
    <row r="223" spans="1:63" x14ac:dyDescent="0.25">
      <c r="A223" s="306">
        <v>333920</v>
      </c>
      <c r="B223" s="310" t="s">
        <v>204</v>
      </c>
      <c r="C223" s="310">
        <v>0.2619513</v>
      </c>
      <c r="D223" s="310">
        <v>0.24785109999999999</v>
      </c>
      <c r="E223" s="310">
        <v>0.25318790000000002</v>
      </c>
      <c r="F223" s="310">
        <v>0.24737029999999999</v>
      </c>
      <c r="G223" s="310">
        <v>0.2576273</v>
      </c>
      <c r="H223" s="310">
        <v>0.25960909999999998</v>
      </c>
      <c r="I223" s="310">
        <v>0.2568203</v>
      </c>
      <c r="J223" s="310">
        <v>0.2428159</v>
      </c>
      <c r="K223" s="310">
        <v>4.5367400000000002E-2</v>
      </c>
      <c r="L223" s="310">
        <v>0.20355300000000001</v>
      </c>
      <c r="M223" s="310">
        <v>0.25852770000000003</v>
      </c>
      <c r="N223" s="310">
        <v>0.25229390000000002</v>
      </c>
      <c r="O223" s="310">
        <v>0</v>
      </c>
      <c r="P223" s="310">
        <v>0.2441787</v>
      </c>
      <c r="Q223" s="310">
        <v>0.25624530000000001</v>
      </c>
      <c r="R223" s="310">
        <v>0.2482586</v>
      </c>
      <c r="S223" s="310">
        <v>0.2519499</v>
      </c>
      <c r="T223" s="310">
        <v>0.2306327</v>
      </c>
      <c r="U223" s="310">
        <v>0.23629600000000001</v>
      </c>
      <c r="V223" s="310">
        <v>0.25592009999999998</v>
      </c>
      <c r="W223" s="310">
        <v>0.23736470000000001</v>
      </c>
      <c r="X223" s="310">
        <v>0.22380920000000001</v>
      </c>
      <c r="Y223" s="310">
        <v>0.24936729999999999</v>
      </c>
      <c r="Z223" s="310">
        <v>0.25790459999999998</v>
      </c>
      <c r="AA223" s="310">
        <v>0.25327240000000001</v>
      </c>
      <c r="AB223" s="310">
        <v>0.24061940000000001</v>
      </c>
      <c r="AC223" s="310">
        <v>0.23693510000000001</v>
      </c>
      <c r="AD223" s="310">
        <v>0</v>
      </c>
      <c r="AE223" s="310">
        <v>0.2464537</v>
      </c>
      <c r="AF223" s="310">
        <v>0.23956469999999999</v>
      </c>
      <c r="AG223" s="310">
        <v>0.24938109999999999</v>
      </c>
      <c r="AH223" s="310">
        <v>0.23091449999999999</v>
      </c>
      <c r="AI223" s="310">
        <v>0.2307003</v>
      </c>
      <c r="AJ223" s="310">
        <v>0.24214469999999999</v>
      </c>
      <c r="AK223" s="310">
        <v>0.25078739999999999</v>
      </c>
      <c r="AL223" s="310">
        <v>0.25337989999999999</v>
      </c>
      <c r="AM223" s="310">
        <v>0.25373889999999999</v>
      </c>
      <c r="AN223" s="310">
        <v>0.25981549999999998</v>
      </c>
      <c r="AO223" s="310">
        <v>0.24409539999999999</v>
      </c>
      <c r="AP223" s="310">
        <v>0.25092189999999998</v>
      </c>
      <c r="AQ223" s="310">
        <v>0.21891279999999999</v>
      </c>
      <c r="AR223" s="310">
        <v>0.25276599999999999</v>
      </c>
      <c r="AS223" s="310">
        <v>0.2452261</v>
      </c>
      <c r="AT223" s="310">
        <v>0.24421760000000001</v>
      </c>
      <c r="AU223" s="310">
        <v>0.25904060000000001</v>
      </c>
      <c r="AV223" s="310">
        <v>0.2566447</v>
      </c>
      <c r="AW223" s="310">
        <v>0.2417406</v>
      </c>
      <c r="AX223" s="310">
        <v>0</v>
      </c>
      <c r="AY223" s="310">
        <v>0.25120589999999998</v>
      </c>
      <c r="AZ223" s="310">
        <v>0.2550634</v>
      </c>
      <c r="BA223" s="310">
        <v>0.22289600000000001</v>
      </c>
      <c r="BB223" s="310">
        <v>0</v>
      </c>
      <c r="BC223" s="310">
        <v>0.2568125</v>
      </c>
      <c r="BD223" s="310">
        <v>0.25743329999999998</v>
      </c>
      <c r="BE223" s="310">
        <v>0.25809799999999999</v>
      </c>
      <c r="BF223" s="310">
        <v>0.25280960000000002</v>
      </c>
      <c r="BG223" s="310">
        <v>0.25552710000000001</v>
      </c>
      <c r="BH223" s="310">
        <v>0.2505542</v>
      </c>
      <c r="BI223" s="310">
        <v>0.25991510000000001</v>
      </c>
      <c r="BJ223" s="310">
        <v>0.25764359999999997</v>
      </c>
      <c r="BK223" s="310">
        <v>0.25957520000000001</v>
      </c>
    </row>
    <row r="224" spans="1:63" x14ac:dyDescent="0.25">
      <c r="A224" s="306">
        <v>333991</v>
      </c>
      <c r="B224" s="310" t="s">
        <v>205</v>
      </c>
      <c r="C224" s="310">
        <v>0.14484520000000001</v>
      </c>
      <c r="D224" s="310">
        <v>0</v>
      </c>
      <c r="E224" s="310">
        <v>0.14001630000000001</v>
      </c>
      <c r="F224" s="310">
        <v>0.1367929</v>
      </c>
      <c r="G224" s="310">
        <v>0.14247599999999999</v>
      </c>
      <c r="H224" s="310">
        <v>0.1435457</v>
      </c>
      <c r="I224" s="310">
        <v>0.1420274</v>
      </c>
      <c r="J224" s="310">
        <v>0.13427130000000001</v>
      </c>
      <c r="K224" s="310">
        <v>0</v>
      </c>
      <c r="L224" s="310">
        <v>0</v>
      </c>
      <c r="M224" s="310">
        <v>0.14294419999999999</v>
      </c>
      <c r="N224" s="310">
        <v>0.13948369999999999</v>
      </c>
      <c r="O224" s="310">
        <v>0</v>
      </c>
      <c r="P224" s="310">
        <v>0.1350102</v>
      </c>
      <c r="Q224" s="310">
        <v>0.14163690000000001</v>
      </c>
      <c r="R224" s="310">
        <v>0.13728409999999999</v>
      </c>
      <c r="S224" s="310">
        <v>0.13931080000000001</v>
      </c>
      <c r="T224" s="310">
        <v>0.12751129999999999</v>
      </c>
      <c r="U224" s="310">
        <v>0</v>
      </c>
      <c r="V224" s="310">
        <v>0.14151440000000001</v>
      </c>
      <c r="W224" s="310">
        <v>0.1312362</v>
      </c>
      <c r="X224" s="310">
        <v>0.12377539999999999</v>
      </c>
      <c r="Y224" s="310">
        <v>0</v>
      </c>
      <c r="Z224" s="310">
        <v>0.14258770000000001</v>
      </c>
      <c r="AA224" s="310">
        <v>0.14003950000000001</v>
      </c>
      <c r="AB224" s="310">
        <v>0.1330239</v>
      </c>
      <c r="AC224" s="310">
        <v>0.13099939999999999</v>
      </c>
      <c r="AD224" s="310">
        <v>0</v>
      </c>
      <c r="AE224" s="310">
        <v>0.13624639999999999</v>
      </c>
      <c r="AF224" s="310">
        <v>0</v>
      </c>
      <c r="AG224" s="310">
        <v>0.1378906</v>
      </c>
      <c r="AH224" s="310">
        <v>0</v>
      </c>
      <c r="AI224" s="310">
        <v>0.1275878</v>
      </c>
      <c r="AJ224" s="310">
        <v>0</v>
      </c>
      <c r="AK224" s="310">
        <v>0.13868829999999999</v>
      </c>
      <c r="AL224" s="310">
        <v>0.14009949999999999</v>
      </c>
      <c r="AM224" s="310">
        <v>0.1402928</v>
      </c>
      <c r="AN224" s="310">
        <v>0.1436577</v>
      </c>
      <c r="AO224" s="310">
        <v>0.13499140000000001</v>
      </c>
      <c r="AP224" s="310">
        <v>0.1387264</v>
      </c>
      <c r="AQ224" s="310">
        <v>0.1210353</v>
      </c>
      <c r="AR224" s="310">
        <v>0.13973579999999999</v>
      </c>
      <c r="AS224" s="310">
        <v>0</v>
      </c>
      <c r="AT224" s="310">
        <v>0.13501669999999999</v>
      </c>
      <c r="AU224" s="310">
        <v>0.1432252</v>
      </c>
      <c r="AV224" s="310">
        <v>0</v>
      </c>
      <c r="AW224" s="310">
        <v>0.13367609999999999</v>
      </c>
      <c r="AX224" s="310">
        <v>0.12802459999999999</v>
      </c>
      <c r="AY224" s="310">
        <v>0.1388614</v>
      </c>
      <c r="AZ224" s="310">
        <v>0.1410498</v>
      </c>
      <c r="BA224" s="310">
        <v>0</v>
      </c>
      <c r="BB224" s="310">
        <v>0</v>
      </c>
      <c r="BC224" s="310">
        <v>0.14198620000000001</v>
      </c>
      <c r="BD224" s="310">
        <v>0.14233270000000001</v>
      </c>
      <c r="BE224" s="310">
        <v>0.14270070000000001</v>
      </c>
      <c r="BF224" s="310">
        <v>0.13979079999999999</v>
      </c>
      <c r="BG224" s="310">
        <v>0.141267</v>
      </c>
      <c r="BH224" s="310">
        <v>0.13852909999999999</v>
      </c>
      <c r="BI224" s="310">
        <v>0.1437165</v>
      </c>
      <c r="BJ224" s="310">
        <v>0.1424126</v>
      </c>
      <c r="BK224" s="310">
        <v>0.1435169</v>
      </c>
    </row>
    <row r="225" spans="1:63" x14ac:dyDescent="0.25">
      <c r="A225" s="306">
        <v>333993</v>
      </c>
      <c r="B225" s="310" t="s">
        <v>207</v>
      </c>
      <c r="C225" s="310">
        <v>0.32243159999999998</v>
      </c>
      <c r="D225" s="310">
        <v>0</v>
      </c>
      <c r="E225" s="310">
        <v>0.31163580000000002</v>
      </c>
      <c r="F225" s="310">
        <v>0.30449480000000001</v>
      </c>
      <c r="G225" s="310">
        <v>0.3171794</v>
      </c>
      <c r="H225" s="310">
        <v>0.31952439999999999</v>
      </c>
      <c r="I225" s="310">
        <v>0.31614039999999999</v>
      </c>
      <c r="J225" s="310">
        <v>0.29887089999999999</v>
      </c>
      <c r="K225" s="310">
        <v>0</v>
      </c>
      <c r="L225" s="310">
        <v>0</v>
      </c>
      <c r="M225" s="310">
        <v>0.31820379999999998</v>
      </c>
      <c r="N225" s="310">
        <v>0.31053969999999997</v>
      </c>
      <c r="O225" s="310">
        <v>0</v>
      </c>
      <c r="P225" s="310">
        <v>0.30055179999999998</v>
      </c>
      <c r="Q225" s="310">
        <v>0</v>
      </c>
      <c r="R225" s="310">
        <v>0.30558920000000001</v>
      </c>
      <c r="S225" s="310">
        <v>0.31011759999999999</v>
      </c>
      <c r="T225" s="310">
        <v>0.28390120000000002</v>
      </c>
      <c r="U225" s="310">
        <v>0.29087360000000001</v>
      </c>
      <c r="V225" s="310">
        <v>0.31505880000000003</v>
      </c>
      <c r="W225" s="310">
        <v>0.2921629</v>
      </c>
      <c r="X225" s="310">
        <v>0.27551520000000002</v>
      </c>
      <c r="Y225" s="310">
        <v>0.30691479999999999</v>
      </c>
      <c r="Z225" s="310">
        <v>0.31743680000000002</v>
      </c>
      <c r="AA225" s="310">
        <v>0.311774</v>
      </c>
      <c r="AB225" s="310">
        <v>0.296128</v>
      </c>
      <c r="AC225" s="310">
        <v>0.29164590000000001</v>
      </c>
      <c r="AD225" s="310">
        <v>0.3103727</v>
      </c>
      <c r="AE225" s="310">
        <v>0.3033979</v>
      </c>
      <c r="AF225" s="310">
        <v>0.2948346</v>
      </c>
      <c r="AG225" s="310">
        <v>0.30699969999999999</v>
      </c>
      <c r="AH225" s="310">
        <v>0.28422809999999998</v>
      </c>
      <c r="AI225" s="310">
        <v>0.28401779999999999</v>
      </c>
      <c r="AJ225" s="310">
        <v>0.29813070000000003</v>
      </c>
      <c r="AK225" s="310">
        <v>0.30871409999999999</v>
      </c>
      <c r="AL225" s="310">
        <v>0.31186180000000002</v>
      </c>
      <c r="AM225" s="310">
        <v>0.31234620000000002</v>
      </c>
      <c r="AN225" s="310">
        <v>0.3198299</v>
      </c>
      <c r="AO225" s="310">
        <v>0.30050310000000002</v>
      </c>
      <c r="AP225" s="310">
        <v>0.3088899</v>
      </c>
      <c r="AQ225" s="310">
        <v>0</v>
      </c>
      <c r="AR225" s="310">
        <v>0.31113380000000002</v>
      </c>
      <c r="AS225" s="310">
        <v>0</v>
      </c>
      <c r="AT225" s="310">
        <v>0.30056640000000001</v>
      </c>
      <c r="AU225" s="310">
        <v>0.31887579999999999</v>
      </c>
      <c r="AV225" s="310">
        <v>0.3158956</v>
      </c>
      <c r="AW225" s="310">
        <v>0.29759930000000001</v>
      </c>
      <c r="AX225" s="310">
        <v>0</v>
      </c>
      <c r="AY225" s="310">
        <v>0.30920740000000002</v>
      </c>
      <c r="AZ225" s="310">
        <v>0.31397239999999998</v>
      </c>
      <c r="BA225" s="310">
        <v>0</v>
      </c>
      <c r="BB225" s="310">
        <v>0</v>
      </c>
      <c r="BC225" s="310">
        <v>0.31610749999999999</v>
      </c>
      <c r="BD225" s="310">
        <v>0.31684709999999999</v>
      </c>
      <c r="BE225" s="310">
        <v>0.31766489999999997</v>
      </c>
      <c r="BF225" s="310">
        <v>0.3112104</v>
      </c>
      <c r="BG225" s="310">
        <v>0.31452409999999997</v>
      </c>
      <c r="BH225" s="310">
        <v>0.3084577</v>
      </c>
      <c r="BI225" s="310">
        <v>0.31994929999999999</v>
      </c>
      <c r="BJ225" s="310">
        <v>0.317139</v>
      </c>
      <c r="BK225" s="310">
        <v>0.31950279999999998</v>
      </c>
    </row>
    <row r="226" spans="1:63" x14ac:dyDescent="0.25">
      <c r="A226" s="306">
        <v>333994</v>
      </c>
      <c r="B226" s="310" t="s">
        <v>208</v>
      </c>
      <c r="C226" s="310">
        <v>0.35643989999999998</v>
      </c>
      <c r="D226" s="310">
        <v>0</v>
      </c>
      <c r="E226" s="310">
        <v>0.34452929999999998</v>
      </c>
      <c r="F226" s="310">
        <v>0</v>
      </c>
      <c r="G226" s="310">
        <v>0.3506571</v>
      </c>
      <c r="H226" s="310">
        <v>0.35326350000000001</v>
      </c>
      <c r="I226" s="310">
        <v>0.349555</v>
      </c>
      <c r="J226" s="310">
        <v>0.33040429999999998</v>
      </c>
      <c r="K226" s="310">
        <v>0</v>
      </c>
      <c r="L226" s="310">
        <v>0</v>
      </c>
      <c r="M226" s="310">
        <v>0.35184199999999999</v>
      </c>
      <c r="N226" s="310">
        <v>0.34333599999999997</v>
      </c>
      <c r="O226" s="310">
        <v>0</v>
      </c>
      <c r="P226" s="310">
        <v>0.33226719999999998</v>
      </c>
      <c r="Q226" s="310">
        <v>0.34865990000000002</v>
      </c>
      <c r="R226" s="310">
        <v>0.33789930000000001</v>
      </c>
      <c r="S226" s="310">
        <v>0.3429121</v>
      </c>
      <c r="T226" s="310">
        <v>0.3138994</v>
      </c>
      <c r="U226" s="310">
        <v>0.32153900000000002</v>
      </c>
      <c r="V226" s="310">
        <v>0.34829490000000002</v>
      </c>
      <c r="W226" s="310">
        <v>0.32303090000000001</v>
      </c>
      <c r="X226" s="310">
        <v>0.30459429999999998</v>
      </c>
      <c r="Y226" s="310">
        <v>0</v>
      </c>
      <c r="Z226" s="310">
        <v>0.35097840000000002</v>
      </c>
      <c r="AA226" s="310">
        <v>0.34470719999999999</v>
      </c>
      <c r="AB226" s="310">
        <v>0.32745190000000002</v>
      </c>
      <c r="AC226" s="310">
        <v>0</v>
      </c>
      <c r="AD226" s="310">
        <v>0</v>
      </c>
      <c r="AE226" s="310">
        <v>0.33543709999999999</v>
      </c>
      <c r="AF226" s="310">
        <v>0</v>
      </c>
      <c r="AG226" s="310">
        <v>0</v>
      </c>
      <c r="AH226" s="310">
        <v>0.31420330000000002</v>
      </c>
      <c r="AI226" s="310">
        <v>0.31397459999999999</v>
      </c>
      <c r="AJ226" s="310">
        <v>0</v>
      </c>
      <c r="AK226" s="310">
        <v>0.34133479999999999</v>
      </c>
      <c r="AL226" s="310">
        <v>0.34483269999999999</v>
      </c>
      <c r="AM226" s="310">
        <v>0.34527560000000002</v>
      </c>
      <c r="AN226" s="310">
        <v>0.35353899999999999</v>
      </c>
      <c r="AO226" s="310">
        <v>0.33222210000000002</v>
      </c>
      <c r="AP226" s="310">
        <v>0.34144930000000001</v>
      </c>
      <c r="AQ226" s="310">
        <v>0.29788880000000001</v>
      </c>
      <c r="AR226" s="310">
        <v>0.34397660000000002</v>
      </c>
      <c r="AS226" s="310">
        <v>0</v>
      </c>
      <c r="AT226" s="310">
        <v>0.33233079999999998</v>
      </c>
      <c r="AU226" s="310">
        <v>0.35254239999999998</v>
      </c>
      <c r="AV226" s="310">
        <v>0</v>
      </c>
      <c r="AW226" s="310">
        <v>0</v>
      </c>
      <c r="AX226" s="310">
        <v>0</v>
      </c>
      <c r="AY226" s="310">
        <v>0.34187020000000001</v>
      </c>
      <c r="AZ226" s="310">
        <v>0.34709839999999997</v>
      </c>
      <c r="BA226" s="310">
        <v>0.30337760000000003</v>
      </c>
      <c r="BB226" s="310">
        <v>0</v>
      </c>
      <c r="BC226" s="310">
        <v>0.34952040000000001</v>
      </c>
      <c r="BD226" s="310">
        <v>0.35027659999999999</v>
      </c>
      <c r="BE226" s="310">
        <v>0.35120760000000001</v>
      </c>
      <c r="BF226" s="310">
        <v>0.34407209999999999</v>
      </c>
      <c r="BG226" s="310">
        <v>0.34773730000000003</v>
      </c>
      <c r="BH226" s="310">
        <v>0.34098339999999999</v>
      </c>
      <c r="BI226" s="310">
        <v>0.35371209999999997</v>
      </c>
      <c r="BJ226" s="310">
        <v>0.35058519999999999</v>
      </c>
      <c r="BK226" s="310">
        <v>0.35323549999999998</v>
      </c>
    </row>
    <row r="227" spans="1:63" x14ac:dyDescent="0.25">
      <c r="A227" s="306" t="s">
        <v>734</v>
      </c>
      <c r="B227" s="310" t="s">
        <v>206</v>
      </c>
      <c r="C227" s="310">
        <v>0.29193360000000002</v>
      </c>
      <c r="D227" s="310">
        <v>0.27620090000000003</v>
      </c>
      <c r="E227" s="310">
        <v>0.28222320000000001</v>
      </c>
      <c r="F227" s="310">
        <v>0.2757367</v>
      </c>
      <c r="G227" s="310">
        <v>0.28718769999999999</v>
      </c>
      <c r="H227" s="310">
        <v>0.28933249999999999</v>
      </c>
      <c r="I227" s="310">
        <v>0.28629900000000003</v>
      </c>
      <c r="J227" s="310">
        <v>0.27065410000000001</v>
      </c>
      <c r="K227" s="310">
        <v>0</v>
      </c>
      <c r="L227" s="310">
        <v>0.22688839999999999</v>
      </c>
      <c r="M227" s="310">
        <v>0.28817100000000001</v>
      </c>
      <c r="N227" s="310">
        <v>0.28121020000000002</v>
      </c>
      <c r="O227" s="310">
        <v>0</v>
      </c>
      <c r="P227" s="310">
        <v>0.27216869999999999</v>
      </c>
      <c r="Q227" s="310">
        <v>0.285553</v>
      </c>
      <c r="R227" s="310">
        <v>0.27674209999999999</v>
      </c>
      <c r="S227" s="310">
        <v>0.28082360000000001</v>
      </c>
      <c r="T227" s="310">
        <v>0.25707370000000002</v>
      </c>
      <c r="U227" s="310">
        <v>0.26338980000000001</v>
      </c>
      <c r="V227" s="310">
        <v>0.28524820000000001</v>
      </c>
      <c r="W227" s="310">
        <v>0.26453840000000001</v>
      </c>
      <c r="X227" s="310">
        <v>0.24947630000000001</v>
      </c>
      <c r="Y227" s="310">
        <v>0.27797509999999997</v>
      </c>
      <c r="Z227" s="310">
        <v>0.28742440000000002</v>
      </c>
      <c r="AA227" s="310">
        <v>0.2823138</v>
      </c>
      <c r="AB227" s="310">
        <v>0.26815050000000001</v>
      </c>
      <c r="AC227" s="310">
        <v>0.26409739999999998</v>
      </c>
      <c r="AD227" s="310">
        <v>0.28105910000000001</v>
      </c>
      <c r="AE227" s="310">
        <v>0.27471020000000002</v>
      </c>
      <c r="AF227" s="310">
        <v>0</v>
      </c>
      <c r="AG227" s="310">
        <v>0.27797339999999998</v>
      </c>
      <c r="AH227" s="310">
        <v>0.2573589</v>
      </c>
      <c r="AI227" s="310">
        <v>0.25713750000000002</v>
      </c>
      <c r="AJ227" s="310">
        <v>0.2699164</v>
      </c>
      <c r="AK227" s="310">
        <v>0.2795434</v>
      </c>
      <c r="AL227" s="310">
        <v>0.28238999999999997</v>
      </c>
      <c r="AM227" s="310">
        <v>0.28282249999999998</v>
      </c>
      <c r="AN227" s="310">
        <v>0.28960609999999998</v>
      </c>
      <c r="AO227" s="310">
        <v>0.27208349999999998</v>
      </c>
      <c r="AP227" s="310">
        <v>0.27967110000000001</v>
      </c>
      <c r="AQ227" s="310">
        <v>0.24396039999999999</v>
      </c>
      <c r="AR227" s="310">
        <v>0.28173239999999999</v>
      </c>
      <c r="AS227" s="310">
        <v>0.27332859999999998</v>
      </c>
      <c r="AT227" s="310">
        <v>0.27220490000000003</v>
      </c>
      <c r="AU227" s="310">
        <v>0.2887615</v>
      </c>
      <c r="AV227" s="310">
        <v>0.28604400000000002</v>
      </c>
      <c r="AW227" s="310">
        <v>0.26942729999999998</v>
      </c>
      <c r="AX227" s="310">
        <v>0.25804549999999998</v>
      </c>
      <c r="AY227" s="310">
        <v>0.27995130000000001</v>
      </c>
      <c r="AZ227" s="310">
        <v>0.28428500000000001</v>
      </c>
      <c r="BA227" s="310">
        <v>0.24848529999999999</v>
      </c>
      <c r="BB227" s="310">
        <v>0.27057389999999998</v>
      </c>
      <c r="BC227" s="310">
        <v>0.2862498</v>
      </c>
      <c r="BD227" s="310">
        <v>0.28688089999999999</v>
      </c>
      <c r="BE227" s="310">
        <v>0.28763850000000002</v>
      </c>
      <c r="BF227" s="310">
        <v>0.28180359999999999</v>
      </c>
      <c r="BG227" s="310">
        <v>0.28479789999999999</v>
      </c>
      <c r="BH227" s="310">
        <v>0.2793022</v>
      </c>
      <c r="BI227" s="310">
        <v>0.289719</v>
      </c>
      <c r="BJ227" s="310">
        <v>0.28711950000000003</v>
      </c>
      <c r="BK227" s="310">
        <v>0.28927969999999997</v>
      </c>
    </row>
    <row r="228" spans="1:63" x14ac:dyDescent="0.25">
      <c r="A228" s="306" t="s">
        <v>735</v>
      </c>
      <c r="B228" s="310" t="s">
        <v>736</v>
      </c>
      <c r="C228" s="310">
        <v>0.2919716</v>
      </c>
      <c r="D228" s="310">
        <v>0</v>
      </c>
      <c r="E228" s="310">
        <v>0.28221940000000001</v>
      </c>
      <c r="F228" s="310">
        <v>0.27570810000000001</v>
      </c>
      <c r="G228" s="310">
        <v>0.28717700000000002</v>
      </c>
      <c r="H228" s="310">
        <v>0.2893423</v>
      </c>
      <c r="I228" s="310">
        <v>0.28625980000000001</v>
      </c>
      <c r="J228" s="310">
        <v>0.27065739999999999</v>
      </c>
      <c r="K228" s="310">
        <v>0</v>
      </c>
      <c r="L228" s="310">
        <v>0.2269053</v>
      </c>
      <c r="M228" s="310">
        <v>0.28816969999999997</v>
      </c>
      <c r="N228" s="310">
        <v>0.28124169999999998</v>
      </c>
      <c r="O228" s="310">
        <v>0</v>
      </c>
      <c r="P228" s="310">
        <v>0.27213320000000002</v>
      </c>
      <c r="Q228" s="310">
        <v>0.28554000000000002</v>
      </c>
      <c r="R228" s="310">
        <v>0.27673809999999999</v>
      </c>
      <c r="S228" s="310">
        <v>0.28082980000000002</v>
      </c>
      <c r="T228" s="310">
        <v>0.25704399999999999</v>
      </c>
      <c r="U228" s="310">
        <v>0.26337749999999999</v>
      </c>
      <c r="V228" s="310">
        <v>0.28528199999999998</v>
      </c>
      <c r="W228" s="310">
        <v>0.26458470000000001</v>
      </c>
      <c r="X228" s="310">
        <v>0</v>
      </c>
      <c r="Y228" s="310">
        <v>0.27792699999999998</v>
      </c>
      <c r="Z228" s="310">
        <v>0.28744730000000002</v>
      </c>
      <c r="AA228" s="310">
        <v>0.28231270000000003</v>
      </c>
      <c r="AB228" s="310">
        <v>0.2681693</v>
      </c>
      <c r="AC228" s="310">
        <v>0.2640747</v>
      </c>
      <c r="AD228" s="310">
        <v>0.28109780000000001</v>
      </c>
      <c r="AE228" s="310">
        <v>0.27471060000000003</v>
      </c>
      <c r="AF228" s="310">
        <v>0</v>
      </c>
      <c r="AG228" s="310">
        <v>0.27802690000000002</v>
      </c>
      <c r="AH228" s="310">
        <v>0.25735520000000001</v>
      </c>
      <c r="AI228" s="310">
        <v>0.25719449999999999</v>
      </c>
      <c r="AJ228" s="310">
        <v>0.2699435</v>
      </c>
      <c r="AK228" s="310">
        <v>0.27958909999999998</v>
      </c>
      <c r="AL228" s="310">
        <v>0.28241670000000002</v>
      </c>
      <c r="AM228" s="310">
        <v>0.28283510000000001</v>
      </c>
      <c r="AN228" s="310">
        <v>0.28960560000000002</v>
      </c>
      <c r="AO228" s="310">
        <v>0.27211089999999999</v>
      </c>
      <c r="AP228" s="310">
        <v>0.27968939999999998</v>
      </c>
      <c r="AQ228" s="310">
        <v>0</v>
      </c>
      <c r="AR228" s="310">
        <v>0.2817267</v>
      </c>
      <c r="AS228" s="310">
        <v>0.27329340000000002</v>
      </c>
      <c r="AT228" s="310">
        <v>0.27218569999999997</v>
      </c>
      <c r="AU228" s="310">
        <v>0.28872979999999998</v>
      </c>
      <c r="AV228" s="310">
        <v>0.2860568</v>
      </c>
      <c r="AW228" s="310">
        <v>0.26948119999999998</v>
      </c>
      <c r="AX228" s="310">
        <v>0.2580885</v>
      </c>
      <c r="AY228" s="310">
        <v>0.27994780000000002</v>
      </c>
      <c r="AZ228" s="310">
        <v>0.28429589999999999</v>
      </c>
      <c r="BA228" s="310">
        <v>0.2485145</v>
      </c>
      <c r="BB228" s="310">
        <v>0.27066099999999998</v>
      </c>
      <c r="BC228" s="310">
        <v>0.28627760000000002</v>
      </c>
      <c r="BD228" s="310">
        <v>0.28689779999999998</v>
      </c>
      <c r="BE228" s="310">
        <v>0.2876667</v>
      </c>
      <c r="BF228" s="310">
        <v>0.28181869999999998</v>
      </c>
      <c r="BG228" s="310">
        <v>0.2848097</v>
      </c>
      <c r="BH228" s="310">
        <v>0.2793002</v>
      </c>
      <c r="BI228" s="310">
        <v>0.2897518</v>
      </c>
      <c r="BJ228" s="310">
        <v>0.28717880000000001</v>
      </c>
      <c r="BK228" s="310">
        <v>0.28928480000000001</v>
      </c>
    </row>
    <row r="229" spans="1:63" x14ac:dyDescent="0.25">
      <c r="A229" s="306">
        <v>334111</v>
      </c>
      <c r="B229" s="310" t="s">
        <v>209</v>
      </c>
      <c r="C229" s="310">
        <v>0.11845219999999999</v>
      </c>
      <c r="D229" s="310">
        <v>0</v>
      </c>
      <c r="E229" s="310">
        <v>0.11456769999999999</v>
      </c>
      <c r="F229" s="310">
        <v>0</v>
      </c>
      <c r="G229" s="310">
        <v>0.1174013</v>
      </c>
      <c r="H229" s="310">
        <v>0.11767660000000001</v>
      </c>
      <c r="I229" s="310">
        <v>0.11735810000000001</v>
      </c>
      <c r="J229" s="310">
        <v>0.1093792</v>
      </c>
      <c r="K229" s="310">
        <v>1.81505E-2</v>
      </c>
      <c r="L229" s="310">
        <v>0</v>
      </c>
      <c r="M229" s="310">
        <v>0.11682240000000001</v>
      </c>
      <c r="N229" s="310">
        <v>0.1166214</v>
      </c>
      <c r="O229" s="310">
        <v>0.1043607</v>
      </c>
      <c r="P229" s="310">
        <v>0.1157377</v>
      </c>
      <c r="Q229" s="310">
        <v>0.11633449999999999</v>
      </c>
      <c r="R229" s="310">
        <v>0.1144081</v>
      </c>
      <c r="S229" s="310">
        <v>0.1150221</v>
      </c>
      <c r="T229" s="310">
        <v>0.1045161</v>
      </c>
      <c r="U229" s="310">
        <v>0.1113992</v>
      </c>
      <c r="V229" s="310">
        <v>0.1148054</v>
      </c>
      <c r="W229" s="310">
        <v>0.10232479999999999</v>
      </c>
      <c r="X229" s="310">
        <v>0.1059561</v>
      </c>
      <c r="Y229" s="310">
        <v>0</v>
      </c>
      <c r="Z229" s="310">
        <v>0.11567570000000001</v>
      </c>
      <c r="AA229" s="310">
        <v>0.11620030000000001</v>
      </c>
      <c r="AB229" s="310">
        <v>0.1061629</v>
      </c>
      <c r="AC229" s="310">
        <v>0.1096622</v>
      </c>
      <c r="AD229" s="310">
        <v>0.10729379999999999</v>
      </c>
      <c r="AE229" s="310">
        <v>0.11665300000000001</v>
      </c>
      <c r="AF229" s="310">
        <v>0.10186779999999999</v>
      </c>
      <c r="AG229" s="310">
        <v>0</v>
      </c>
      <c r="AH229" s="310">
        <v>9.9557999999999994E-2</v>
      </c>
      <c r="AI229" s="310">
        <v>0.1063168</v>
      </c>
      <c r="AJ229" s="310">
        <v>0.11688080000000001</v>
      </c>
      <c r="AK229" s="310">
        <v>0.10588599999999999</v>
      </c>
      <c r="AL229" s="310">
        <v>0.1068665</v>
      </c>
      <c r="AM229" s="310">
        <v>0.11592570000000001</v>
      </c>
      <c r="AN229" s="310">
        <v>0.1170814</v>
      </c>
      <c r="AO229" s="310">
        <v>0.1145317</v>
      </c>
      <c r="AP229" s="310">
        <v>0.11276269999999999</v>
      </c>
      <c r="AQ229" s="310">
        <v>0</v>
      </c>
      <c r="AR229" s="310">
        <v>0.1135448</v>
      </c>
      <c r="AS229" s="310">
        <v>0</v>
      </c>
      <c r="AT229" s="310">
        <v>0.11300209999999999</v>
      </c>
      <c r="AU229" s="310">
        <v>0.1175378</v>
      </c>
      <c r="AV229" s="310">
        <v>0.1156179</v>
      </c>
      <c r="AW229" s="310">
        <v>0.1073513</v>
      </c>
      <c r="AX229" s="310">
        <v>0</v>
      </c>
      <c r="AY229" s="310">
        <v>0.1122293</v>
      </c>
      <c r="AZ229" s="310">
        <v>0.1144993</v>
      </c>
      <c r="BA229" s="310">
        <v>0</v>
      </c>
      <c r="BB229" s="310">
        <v>0</v>
      </c>
      <c r="BC229" s="310">
        <v>0.1166514</v>
      </c>
      <c r="BD229" s="310">
        <v>0.11501020000000001</v>
      </c>
      <c r="BE229" s="310">
        <v>0.1170172</v>
      </c>
      <c r="BF229" s="310">
        <v>0.1159559</v>
      </c>
      <c r="BG229" s="310">
        <v>0.11663030000000001</v>
      </c>
      <c r="BH229" s="310">
        <v>0.1153013</v>
      </c>
      <c r="BI229" s="310">
        <v>0.1176321</v>
      </c>
      <c r="BJ229" s="310">
        <v>0.1172516</v>
      </c>
      <c r="BK229" s="310">
        <v>0.1176997</v>
      </c>
    </row>
    <row r="230" spans="1:63" x14ac:dyDescent="0.25">
      <c r="A230" s="306">
        <v>334112</v>
      </c>
      <c r="B230" s="310" t="s">
        <v>210</v>
      </c>
      <c r="C230" s="310">
        <v>0.2119094</v>
      </c>
      <c r="D230" s="310">
        <v>0</v>
      </c>
      <c r="E230" s="310">
        <v>0.20495089999999999</v>
      </c>
      <c r="F230" s="310">
        <v>0</v>
      </c>
      <c r="G230" s="310">
        <v>0.2099936</v>
      </c>
      <c r="H230" s="310">
        <v>0.21050959999999999</v>
      </c>
      <c r="I230" s="310">
        <v>0.20996799999999999</v>
      </c>
      <c r="J230" s="310">
        <v>0.1956879</v>
      </c>
      <c r="K230" s="310">
        <v>0</v>
      </c>
      <c r="L230" s="310">
        <v>0</v>
      </c>
      <c r="M230" s="310">
        <v>0.20901429999999999</v>
      </c>
      <c r="N230" s="310">
        <v>0.20861279999999999</v>
      </c>
      <c r="O230" s="310">
        <v>0</v>
      </c>
      <c r="P230" s="310">
        <v>0.2070475</v>
      </c>
      <c r="Q230" s="310">
        <v>0.20814070000000001</v>
      </c>
      <c r="R230" s="310">
        <v>0.2046366</v>
      </c>
      <c r="S230" s="310">
        <v>0</v>
      </c>
      <c r="T230" s="310">
        <v>0.18695980000000001</v>
      </c>
      <c r="U230" s="310">
        <v>0</v>
      </c>
      <c r="V230" s="310">
        <v>0</v>
      </c>
      <c r="W230" s="310">
        <v>0.1830386</v>
      </c>
      <c r="X230" s="310">
        <v>0.18949160000000001</v>
      </c>
      <c r="Y230" s="310">
        <v>0</v>
      </c>
      <c r="Z230" s="310">
        <v>0.2069404</v>
      </c>
      <c r="AA230" s="310">
        <v>0.2078401</v>
      </c>
      <c r="AB230" s="310">
        <v>0</v>
      </c>
      <c r="AC230" s="310">
        <v>0</v>
      </c>
      <c r="AD230" s="310">
        <v>0</v>
      </c>
      <c r="AE230" s="310">
        <v>0</v>
      </c>
      <c r="AF230" s="310">
        <v>0</v>
      </c>
      <c r="AG230" s="310">
        <v>0</v>
      </c>
      <c r="AH230" s="310">
        <v>0.1780854</v>
      </c>
      <c r="AI230" s="310">
        <v>0.19018750000000001</v>
      </c>
      <c r="AJ230" s="310">
        <v>0</v>
      </c>
      <c r="AK230" s="310">
        <v>0</v>
      </c>
      <c r="AL230" s="310">
        <v>0.19110750000000001</v>
      </c>
      <c r="AM230" s="310">
        <v>0</v>
      </c>
      <c r="AN230" s="310">
        <v>0.20950750000000001</v>
      </c>
      <c r="AO230" s="310">
        <v>0</v>
      </c>
      <c r="AP230" s="310">
        <v>0.2017832</v>
      </c>
      <c r="AQ230" s="310">
        <v>0</v>
      </c>
      <c r="AR230" s="310">
        <v>0</v>
      </c>
      <c r="AS230" s="310">
        <v>0.13788149999999999</v>
      </c>
      <c r="AT230" s="310">
        <v>0.20214370000000001</v>
      </c>
      <c r="AU230" s="310">
        <v>0.21028230000000001</v>
      </c>
      <c r="AV230" s="310">
        <v>0.20680499999999999</v>
      </c>
      <c r="AW230" s="310">
        <v>0.19208330000000001</v>
      </c>
      <c r="AX230" s="310">
        <v>0</v>
      </c>
      <c r="AY230" s="310">
        <v>0.200734</v>
      </c>
      <c r="AZ230" s="310">
        <v>0.20481269999999999</v>
      </c>
      <c r="BA230" s="310">
        <v>0</v>
      </c>
      <c r="BB230" s="310">
        <v>0</v>
      </c>
      <c r="BC230" s="310">
        <v>0.20871729999999999</v>
      </c>
      <c r="BD230" s="310">
        <v>0.20573549999999999</v>
      </c>
      <c r="BE230" s="310">
        <v>0.20933060000000001</v>
      </c>
      <c r="BF230" s="310">
        <v>0.20743529999999999</v>
      </c>
      <c r="BG230" s="310">
        <v>0.20868680000000001</v>
      </c>
      <c r="BH230" s="310">
        <v>0.206237</v>
      </c>
      <c r="BI230" s="310">
        <v>0.21047859999999999</v>
      </c>
      <c r="BJ230" s="310">
        <v>0.20976929999999999</v>
      </c>
      <c r="BK230" s="310">
        <v>0.210512</v>
      </c>
    </row>
    <row r="231" spans="1:63" x14ac:dyDescent="0.25">
      <c r="A231" s="306" t="s">
        <v>737</v>
      </c>
      <c r="B231" s="310" t="s">
        <v>211</v>
      </c>
      <c r="C231" s="310">
        <v>0.24159130000000001</v>
      </c>
      <c r="D231" s="310">
        <v>0</v>
      </c>
      <c r="E231" s="310">
        <v>0.2336763</v>
      </c>
      <c r="F231" s="310">
        <v>0.2339376</v>
      </c>
      <c r="G231" s="310">
        <v>0.2394713</v>
      </c>
      <c r="H231" s="310">
        <v>0.240004</v>
      </c>
      <c r="I231" s="310">
        <v>0.2394048</v>
      </c>
      <c r="J231" s="310">
        <v>0.22308829999999999</v>
      </c>
      <c r="K231" s="310">
        <v>3.69863E-2</v>
      </c>
      <c r="L231" s="310">
        <v>0.1475243</v>
      </c>
      <c r="M231" s="310">
        <v>0.23832590000000001</v>
      </c>
      <c r="N231" s="310">
        <v>0.23790259999999999</v>
      </c>
      <c r="O231" s="310">
        <v>0</v>
      </c>
      <c r="P231" s="310">
        <v>0.23608899999999999</v>
      </c>
      <c r="Q231" s="310">
        <v>0.23729919999999999</v>
      </c>
      <c r="R231" s="310">
        <v>0.2333752</v>
      </c>
      <c r="S231" s="310">
        <v>0.23468729999999999</v>
      </c>
      <c r="T231" s="310">
        <v>0.2132231</v>
      </c>
      <c r="U231" s="310">
        <v>0.227211</v>
      </c>
      <c r="V231" s="310">
        <v>0.23419680000000001</v>
      </c>
      <c r="W231" s="310">
        <v>0.20868829999999999</v>
      </c>
      <c r="X231" s="310">
        <v>0.21608250000000001</v>
      </c>
      <c r="Y231" s="310">
        <v>0</v>
      </c>
      <c r="Z231" s="310">
        <v>0.23593529999999999</v>
      </c>
      <c r="AA231" s="310">
        <v>0.23701449999999999</v>
      </c>
      <c r="AB231" s="310">
        <v>0.21657899999999999</v>
      </c>
      <c r="AC231" s="310">
        <v>0.22365560000000001</v>
      </c>
      <c r="AD231" s="310">
        <v>0.21885569999999999</v>
      </c>
      <c r="AE231" s="310">
        <v>0.2379338</v>
      </c>
      <c r="AF231" s="310">
        <v>0.2077502</v>
      </c>
      <c r="AG231" s="310">
        <v>0.22871949999999999</v>
      </c>
      <c r="AH231" s="310">
        <v>0.203074</v>
      </c>
      <c r="AI231" s="310">
        <v>0.21681790000000001</v>
      </c>
      <c r="AJ231" s="310">
        <v>0.23834859999999999</v>
      </c>
      <c r="AK231" s="310">
        <v>0.2159779</v>
      </c>
      <c r="AL231" s="310">
        <v>0.21793660000000001</v>
      </c>
      <c r="AM231" s="310">
        <v>0.23643910000000001</v>
      </c>
      <c r="AN231" s="310">
        <v>0.23889859999999999</v>
      </c>
      <c r="AO231" s="310">
        <v>0.2336096</v>
      </c>
      <c r="AP231" s="310">
        <v>0.2300739</v>
      </c>
      <c r="AQ231" s="310">
        <v>0.20528650000000001</v>
      </c>
      <c r="AR231" s="310">
        <v>0.23157829999999999</v>
      </c>
      <c r="AS231" s="310">
        <v>0.15723229999999999</v>
      </c>
      <c r="AT231" s="310">
        <v>0.23046900000000001</v>
      </c>
      <c r="AU231" s="310">
        <v>0.2397765</v>
      </c>
      <c r="AV231" s="310">
        <v>0.2358402</v>
      </c>
      <c r="AW231" s="310">
        <v>0.21899279999999999</v>
      </c>
      <c r="AX231" s="310">
        <v>0.23528569999999999</v>
      </c>
      <c r="AY231" s="310">
        <v>0.22890779999999999</v>
      </c>
      <c r="AZ231" s="310">
        <v>0.23349030000000001</v>
      </c>
      <c r="BA231" s="310">
        <v>0</v>
      </c>
      <c r="BB231" s="310">
        <v>0.24160870000000001</v>
      </c>
      <c r="BC231" s="310">
        <v>0.23797090000000001</v>
      </c>
      <c r="BD231" s="310">
        <v>0.23458599999999999</v>
      </c>
      <c r="BE231" s="310">
        <v>0.23866370000000001</v>
      </c>
      <c r="BF231" s="310">
        <v>0.23653940000000001</v>
      </c>
      <c r="BG231" s="310">
        <v>0.23790600000000001</v>
      </c>
      <c r="BH231" s="310">
        <v>0.23518069999999999</v>
      </c>
      <c r="BI231" s="310">
        <v>0.2399558</v>
      </c>
      <c r="BJ231" s="310">
        <v>0.2391954</v>
      </c>
      <c r="BK231" s="310">
        <v>0.24004819999999999</v>
      </c>
    </row>
    <row r="232" spans="1:63" x14ac:dyDescent="0.25">
      <c r="A232" s="306">
        <v>334210</v>
      </c>
      <c r="B232" s="310" t="s">
        <v>212</v>
      </c>
      <c r="C232" s="310">
        <v>0.1619169</v>
      </c>
      <c r="D232" s="310">
        <v>0</v>
      </c>
      <c r="E232" s="310">
        <v>0.15662429999999999</v>
      </c>
      <c r="F232" s="310">
        <v>0.15679360000000001</v>
      </c>
      <c r="G232" s="310">
        <v>0.1605075</v>
      </c>
      <c r="H232" s="310">
        <v>0.1608395</v>
      </c>
      <c r="I232" s="310">
        <v>0.16042629999999999</v>
      </c>
      <c r="J232" s="310">
        <v>0.14951800000000001</v>
      </c>
      <c r="K232" s="310">
        <v>2.4810800000000001E-2</v>
      </c>
      <c r="L232" s="310">
        <v>9.8887100000000006E-2</v>
      </c>
      <c r="M232" s="310">
        <v>0.1597442</v>
      </c>
      <c r="N232" s="310">
        <v>0.1594093</v>
      </c>
      <c r="O232" s="310">
        <v>0</v>
      </c>
      <c r="P232" s="310">
        <v>0</v>
      </c>
      <c r="Q232" s="310">
        <v>0.15906239999999999</v>
      </c>
      <c r="R232" s="310">
        <v>0.1564121</v>
      </c>
      <c r="S232" s="310">
        <v>0</v>
      </c>
      <c r="T232" s="310">
        <v>0.14290649999999999</v>
      </c>
      <c r="U232" s="310">
        <v>0.15226190000000001</v>
      </c>
      <c r="V232" s="310">
        <v>0.15699589999999999</v>
      </c>
      <c r="W232" s="310">
        <v>0.13988159999999999</v>
      </c>
      <c r="X232" s="310">
        <v>0.1448265</v>
      </c>
      <c r="Y232" s="310">
        <v>0</v>
      </c>
      <c r="Z232" s="310">
        <v>0.15816350000000001</v>
      </c>
      <c r="AA232" s="310">
        <v>0.1588253</v>
      </c>
      <c r="AB232" s="310">
        <v>0.1451424</v>
      </c>
      <c r="AC232" s="310">
        <v>0.14987239999999999</v>
      </c>
      <c r="AD232" s="310">
        <v>0</v>
      </c>
      <c r="AE232" s="310">
        <v>0.15948129999999999</v>
      </c>
      <c r="AF232" s="310">
        <v>0</v>
      </c>
      <c r="AG232" s="310">
        <v>0.15327660000000001</v>
      </c>
      <c r="AH232" s="310">
        <v>0.13610659999999999</v>
      </c>
      <c r="AI232" s="310">
        <v>0.14533460000000001</v>
      </c>
      <c r="AJ232" s="310">
        <v>0.1597614</v>
      </c>
      <c r="AK232" s="310">
        <v>0.14477880000000001</v>
      </c>
      <c r="AL232" s="310">
        <v>0.14608879999999999</v>
      </c>
      <c r="AM232" s="310">
        <v>0.1584642</v>
      </c>
      <c r="AN232" s="310">
        <v>0.16009880000000001</v>
      </c>
      <c r="AO232" s="310">
        <v>0.1565571</v>
      </c>
      <c r="AP232" s="310">
        <v>0.15416469999999999</v>
      </c>
      <c r="AQ232" s="310">
        <v>0.13756869999999999</v>
      </c>
      <c r="AR232" s="310">
        <v>0.15518080000000001</v>
      </c>
      <c r="AS232" s="310">
        <v>0</v>
      </c>
      <c r="AT232" s="310">
        <v>0.1544847</v>
      </c>
      <c r="AU232" s="310">
        <v>0.16069629999999999</v>
      </c>
      <c r="AV232" s="310">
        <v>0.1580647</v>
      </c>
      <c r="AW232" s="310">
        <v>0.14679120000000001</v>
      </c>
      <c r="AX232" s="310">
        <v>0</v>
      </c>
      <c r="AY232" s="310">
        <v>0.15341479999999999</v>
      </c>
      <c r="AZ232" s="310">
        <v>0.1565309</v>
      </c>
      <c r="BA232" s="310">
        <v>0</v>
      </c>
      <c r="BB232" s="310">
        <v>0</v>
      </c>
      <c r="BC232" s="310">
        <v>0.1594759</v>
      </c>
      <c r="BD232" s="310">
        <v>0.1572054</v>
      </c>
      <c r="BE232" s="310">
        <v>0.1599739</v>
      </c>
      <c r="BF232" s="310">
        <v>0.1585328</v>
      </c>
      <c r="BG232" s="310">
        <v>0.1594612</v>
      </c>
      <c r="BH232" s="310">
        <v>0.15758810000000001</v>
      </c>
      <c r="BI232" s="310">
        <v>0.1608127</v>
      </c>
      <c r="BJ232" s="310">
        <v>0.16032089999999999</v>
      </c>
      <c r="BK232" s="310">
        <v>0.1609025</v>
      </c>
    </row>
    <row r="233" spans="1:63" x14ac:dyDescent="0.25">
      <c r="A233" s="306">
        <v>334220</v>
      </c>
      <c r="B233" s="310" t="s">
        <v>738</v>
      </c>
      <c r="C233" s="310">
        <v>0.19301660000000001</v>
      </c>
      <c r="D233" s="310">
        <v>0</v>
      </c>
      <c r="E233" s="310">
        <v>0.18669569999999999</v>
      </c>
      <c r="F233" s="310">
        <v>0.18690909999999999</v>
      </c>
      <c r="G233" s="310">
        <v>0.19126199999999999</v>
      </c>
      <c r="H233" s="310">
        <v>0.1917401</v>
      </c>
      <c r="I233" s="310">
        <v>0.19124050000000001</v>
      </c>
      <c r="J233" s="310">
        <v>0.178233</v>
      </c>
      <c r="K233" s="310">
        <v>2.95324E-2</v>
      </c>
      <c r="L233" s="310">
        <v>0</v>
      </c>
      <c r="M233" s="310">
        <v>0.1903928</v>
      </c>
      <c r="N233" s="310">
        <v>0.19003329999999999</v>
      </c>
      <c r="O233" s="310">
        <v>0</v>
      </c>
      <c r="P233" s="310">
        <v>0.18864880000000001</v>
      </c>
      <c r="Q233" s="310">
        <v>0.18954209999999999</v>
      </c>
      <c r="R233" s="310">
        <v>0.18642359999999999</v>
      </c>
      <c r="S233" s="310">
        <v>0.18747330000000001</v>
      </c>
      <c r="T233" s="310">
        <v>0.17030619999999999</v>
      </c>
      <c r="U233" s="310">
        <v>0</v>
      </c>
      <c r="V233" s="310">
        <v>0.1870851</v>
      </c>
      <c r="W233" s="310">
        <v>0.1667283</v>
      </c>
      <c r="X233" s="310">
        <v>0.1726357</v>
      </c>
      <c r="Y233" s="310">
        <v>0.184859</v>
      </c>
      <c r="Z233" s="310">
        <v>0.1884642</v>
      </c>
      <c r="AA233" s="310">
        <v>0.1893283</v>
      </c>
      <c r="AB233" s="310">
        <v>0.1730035</v>
      </c>
      <c r="AC233" s="310">
        <v>0.1786324</v>
      </c>
      <c r="AD233" s="310">
        <v>0.17482230000000001</v>
      </c>
      <c r="AE233" s="310">
        <v>0.1900442</v>
      </c>
      <c r="AF233" s="310">
        <v>0.16597909999999999</v>
      </c>
      <c r="AG233" s="310">
        <v>0.1827008</v>
      </c>
      <c r="AH233" s="310">
        <v>0.16224269999999999</v>
      </c>
      <c r="AI233" s="310">
        <v>0.1732349</v>
      </c>
      <c r="AJ233" s="310">
        <v>0.1904294</v>
      </c>
      <c r="AK233" s="310">
        <v>0.1725458</v>
      </c>
      <c r="AL233" s="310">
        <v>0.17409910000000001</v>
      </c>
      <c r="AM233" s="310">
        <v>0.18889220000000001</v>
      </c>
      <c r="AN233" s="310">
        <v>0.1908157</v>
      </c>
      <c r="AO233" s="310">
        <v>0.18660009999999999</v>
      </c>
      <c r="AP233" s="310">
        <v>0.18375949999999999</v>
      </c>
      <c r="AQ233" s="310">
        <v>0.16398090000000001</v>
      </c>
      <c r="AR233" s="310">
        <v>0.1849519</v>
      </c>
      <c r="AS233" s="310">
        <v>0.12558279999999999</v>
      </c>
      <c r="AT233" s="310">
        <v>0.1841458</v>
      </c>
      <c r="AU233" s="310">
        <v>0.1915433</v>
      </c>
      <c r="AV233" s="310">
        <v>0.18839400000000001</v>
      </c>
      <c r="AW233" s="310">
        <v>0.1749714</v>
      </c>
      <c r="AX233" s="310">
        <v>0.18796260000000001</v>
      </c>
      <c r="AY233" s="310">
        <v>0.18287210000000001</v>
      </c>
      <c r="AZ233" s="310">
        <v>0.1865648</v>
      </c>
      <c r="BA233" s="310">
        <v>0</v>
      </c>
      <c r="BB233" s="310">
        <v>0</v>
      </c>
      <c r="BC233" s="310">
        <v>0.1900799</v>
      </c>
      <c r="BD233" s="310">
        <v>0.18737760000000001</v>
      </c>
      <c r="BE233" s="310">
        <v>0.1906745</v>
      </c>
      <c r="BF233" s="310">
        <v>0.18898690000000001</v>
      </c>
      <c r="BG233" s="310">
        <v>0.19004689999999999</v>
      </c>
      <c r="BH233" s="310">
        <v>0.18782979999999999</v>
      </c>
      <c r="BI233" s="310">
        <v>0.19172400000000001</v>
      </c>
      <c r="BJ233" s="310">
        <v>0.1910694</v>
      </c>
      <c r="BK233" s="310">
        <v>0.19175990000000001</v>
      </c>
    </row>
    <row r="234" spans="1:63" x14ac:dyDescent="0.25">
      <c r="A234" s="306">
        <v>334290</v>
      </c>
      <c r="B234" s="310" t="s">
        <v>213</v>
      </c>
      <c r="C234" s="310">
        <v>0.24401030000000001</v>
      </c>
      <c r="D234" s="310">
        <v>0.1921786</v>
      </c>
      <c r="E234" s="310">
        <v>0.23601249999999999</v>
      </c>
      <c r="F234" s="310">
        <v>0</v>
      </c>
      <c r="G234" s="310">
        <v>0.2418187</v>
      </c>
      <c r="H234" s="310">
        <v>0.24238850000000001</v>
      </c>
      <c r="I234" s="310">
        <v>0.24179030000000001</v>
      </c>
      <c r="J234" s="310">
        <v>0.2253349</v>
      </c>
      <c r="K234" s="310">
        <v>0</v>
      </c>
      <c r="L234" s="310">
        <v>0</v>
      </c>
      <c r="M234" s="310">
        <v>0.24070230000000001</v>
      </c>
      <c r="N234" s="310">
        <v>0.24024509999999999</v>
      </c>
      <c r="O234" s="310">
        <v>0</v>
      </c>
      <c r="P234" s="310">
        <v>0.23845549999999999</v>
      </c>
      <c r="Q234" s="310">
        <v>0.23968590000000001</v>
      </c>
      <c r="R234" s="310">
        <v>0.23565050000000001</v>
      </c>
      <c r="S234" s="310">
        <v>0.23696619999999999</v>
      </c>
      <c r="T234" s="310">
        <v>0.21532799999999999</v>
      </c>
      <c r="U234" s="310">
        <v>0.22946920000000001</v>
      </c>
      <c r="V234" s="310">
        <v>0.2365032</v>
      </c>
      <c r="W234" s="310">
        <v>0.2107677</v>
      </c>
      <c r="X234" s="310">
        <v>0.21822739999999999</v>
      </c>
      <c r="Y234" s="310">
        <v>0.23370740000000001</v>
      </c>
      <c r="Z234" s="310">
        <v>0.23826320000000001</v>
      </c>
      <c r="AA234" s="310">
        <v>0.23936060000000001</v>
      </c>
      <c r="AB234" s="310">
        <v>0.21869949999999999</v>
      </c>
      <c r="AC234" s="310">
        <v>0.22590750000000001</v>
      </c>
      <c r="AD234" s="310">
        <v>0.2210365</v>
      </c>
      <c r="AE234" s="310">
        <v>0.2402667</v>
      </c>
      <c r="AF234" s="310">
        <v>0</v>
      </c>
      <c r="AG234" s="310">
        <v>0.23101269999999999</v>
      </c>
      <c r="AH234" s="310">
        <v>0.2050872</v>
      </c>
      <c r="AI234" s="310">
        <v>0.21898880000000001</v>
      </c>
      <c r="AJ234" s="310">
        <v>0.24070859999999999</v>
      </c>
      <c r="AK234" s="310">
        <v>0.21814149999999999</v>
      </c>
      <c r="AL234" s="310">
        <v>0.2201032</v>
      </c>
      <c r="AM234" s="310">
        <v>0.2388362</v>
      </c>
      <c r="AN234" s="310">
        <v>0.2412647</v>
      </c>
      <c r="AO234" s="310">
        <v>0.23591219999999999</v>
      </c>
      <c r="AP234" s="310">
        <v>0.23234360000000001</v>
      </c>
      <c r="AQ234" s="310">
        <v>0.2073538</v>
      </c>
      <c r="AR234" s="310">
        <v>0.23383180000000001</v>
      </c>
      <c r="AS234" s="310">
        <v>0.1588164</v>
      </c>
      <c r="AT234" s="310">
        <v>0.23277429999999999</v>
      </c>
      <c r="AU234" s="310">
        <v>0.24214769999999999</v>
      </c>
      <c r="AV234" s="310">
        <v>0.2381569</v>
      </c>
      <c r="AW234" s="310">
        <v>0.22120919999999999</v>
      </c>
      <c r="AX234" s="310">
        <v>0</v>
      </c>
      <c r="AY234" s="310">
        <v>0.23117989999999999</v>
      </c>
      <c r="AZ234" s="310">
        <v>0.23582500000000001</v>
      </c>
      <c r="BA234" s="310">
        <v>0</v>
      </c>
      <c r="BB234" s="310">
        <v>0</v>
      </c>
      <c r="BC234" s="310">
        <v>0.24033080000000001</v>
      </c>
      <c r="BD234" s="310">
        <v>0.23689740000000001</v>
      </c>
      <c r="BE234" s="310">
        <v>0.24104980000000001</v>
      </c>
      <c r="BF234" s="310">
        <v>0.2389058</v>
      </c>
      <c r="BG234" s="310">
        <v>0.24025260000000001</v>
      </c>
      <c r="BH234" s="310">
        <v>0.23747850000000001</v>
      </c>
      <c r="BI234" s="310">
        <v>0.24236450000000001</v>
      </c>
      <c r="BJ234" s="310">
        <v>0.24155989999999999</v>
      </c>
      <c r="BK234" s="310">
        <v>0.24242279999999999</v>
      </c>
    </row>
    <row r="235" spans="1:63" x14ac:dyDescent="0.25">
      <c r="A235" s="306">
        <v>334300</v>
      </c>
      <c r="B235" s="310" t="s">
        <v>214</v>
      </c>
      <c r="C235" s="310">
        <v>0.13342329999999999</v>
      </c>
      <c r="D235" s="310">
        <v>0</v>
      </c>
      <c r="E235" s="310">
        <v>0.1290384</v>
      </c>
      <c r="F235" s="310">
        <v>0.12917029999999999</v>
      </c>
      <c r="G235" s="310">
        <v>0.13222790000000001</v>
      </c>
      <c r="H235" s="310">
        <v>0.13252459999999999</v>
      </c>
      <c r="I235" s="310">
        <v>0.1322219</v>
      </c>
      <c r="J235" s="310">
        <v>0.12319049999999999</v>
      </c>
      <c r="K235" s="310">
        <v>2.0447E-2</v>
      </c>
      <c r="L235" s="310">
        <v>8.1494399999999995E-2</v>
      </c>
      <c r="M235" s="310">
        <v>0.1315974</v>
      </c>
      <c r="N235" s="310">
        <v>0.1313376</v>
      </c>
      <c r="O235" s="310">
        <v>0</v>
      </c>
      <c r="P235" s="310">
        <v>0.13037699999999999</v>
      </c>
      <c r="Q235" s="310">
        <v>0.1310492</v>
      </c>
      <c r="R235" s="310">
        <v>0.12887419999999999</v>
      </c>
      <c r="S235" s="310">
        <v>0.12957389999999999</v>
      </c>
      <c r="T235" s="310">
        <v>0.1177211</v>
      </c>
      <c r="U235" s="310">
        <v>0.1254498</v>
      </c>
      <c r="V235" s="310">
        <v>0.1293253</v>
      </c>
      <c r="W235" s="310">
        <v>0.11525059999999999</v>
      </c>
      <c r="X235" s="310">
        <v>0.1193361</v>
      </c>
      <c r="Y235" s="310">
        <v>0.12779009999999999</v>
      </c>
      <c r="Z235" s="310">
        <v>0.13030849999999999</v>
      </c>
      <c r="AA235" s="310">
        <v>0.13087960000000001</v>
      </c>
      <c r="AB235" s="310">
        <v>0.1195913</v>
      </c>
      <c r="AC235" s="310">
        <v>0.1234938</v>
      </c>
      <c r="AD235" s="310">
        <v>0</v>
      </c>
      <c r="AE235" s="310">
        <v>0.1313927</v>
      </c>
      <c r="AF235" s="310">
        <v>0.11471149999999999</v>
      </c>
      <c r="AG235" s="310">
        <v>0.12630749999999999</v>
      </c>
      <c r="AH235" s="310">
        <v>0.1121573</v>
      </c>
      <c r="AI235" s="310">
        <v>0.1197319</v>
      </c>
      <c r="AJ235" s="310">
        <v>0.1316214</v>
      </c>
      <c r="AK235" s="310">
        <v>0.1192772</v>
      </c>
      <c r="AL235" s="310">
        <v>0.12036570000000001</v>
      </c>
      <c r="AM235" s="310">
        <v>0.13058900000000001</v>
      </c>
      <c r="AN235" s="310">
        <v>0.1319273</v>
      </c>
      <c r="AO235" s="310">
        <v>0.1289911</v>
      </c>
      <c r="AP235" s="310">
        <v>0.1270474</v>
      </c>
      <c r="AQ235" s="310">
        <v>0.11337179999999999</v>
      </c>
      <c r="AR235" s="310">
        <v>0.1278619</v>
      </c>
      <c r="AS235" s="310">
        <v>0</v>
      </c>
      <c r="AT235" s="310">
        <v>0.12729499999999999</v>
      </c>
      <c r="AU235" s="310">
        <v>0.1324197</v>
      </c>
      <c r="AV235" s="310">
        <v>0.1302294</v>
      </c>
      <c r="AW235" s="310">
        <v>0.12095980000000001</v>
      </c>
      <c r="AX235" s="310">
        <v>0.12990270000000001</v>
      </c>
      <c r="AY235" s="310">
        <v>0.12639159999999999</v>
      </c>
      <c r="AZ235" s="310">
        <v>0.1289381</v>
      </c>
      <c r="BA235" s="310">
        <v>0.10585559999999999</v>
      </c>
      <c r="BB235" s="310">
        <v>0.1334544</v>
      </c>
      <c r="BC235" s="310">
        <v>0.13141749999999999</v>
      </c>
      <c r="BD235" s="310">
        <v>0.12954099999999999</v>
      </c>
      <c r="BE235" s="310">
        <v>0.1318077</v>
      </c>
      <c r="BF235" s="310">
        <v>0.13061300000000001</v>
      </c>
      <c r="BG235" s="310">
        <v>0.13136909999999999</v>
      </c>
      <c r="BH235" s="310">
        <v>0.12986629999999999</v>
      </c>
      <c r="BI235" s="310">
        <v>0.13251789999999999</v>
      </c>
      <c r="BJ235" s="310">
        <v>0.13207469999999999</v>
      </c>
      <c r="BK235" s="310">
        <v>0.132572</v>
      </c>
    </row>
    <row r="236" spans="1:63" x14ac:dyDescent="0.25">
      <c r="A236" s="306">
        <v>334411</v>
      </c>
      <c r="B236" s="310" t="s">
        <v>215</v>
      </c>
      <c r="C236" s="310">
        <v>0.21637999999999999</v>
      </c>
      <c r="D236" s="310">
        <v>0</v>
      </c>
      <c r="E236" s="310">
        <v>0</v>
      </c>
      <c r="F236" s="310">
        <v>0</v>
      </c>
      <c r="G236" s="310">
        <v>0</v>
      </c>
      <c r="H236" s="310">
        <v>0.21497469999999999</v>
      </c>
      <c r="I236" s="310">
        <v>0.2144385</v>
      </c>
      <c r="J236" s="310">
        <v>0</v>
      </c>
      <c r="K236" s="310">
        <v>0</v>
      </c>
      <c r="L236" s="310">
        <v>0</v>
      </c>
      <c r="M236" s="310">
        <v>0.21342630000000001</v>
      </c>
      <c r="N236" s="310">
        <v>0</v>
      </c>
      <c r="O236" s="310">
        <v>0</v>
      </c>
      <c r="P236" s="310">
        <v>0</v>
      </c>
      <c r="Q236" s="310">
        <v>0</v>
      </c>
      <c r="R236" s="310">
        <v>0.208985</v>
      </c>
      <c r="S236" s="310">
        <v>0</v>
      </c>
      <c r="T236" s="310">
        <v>0</v>
      </c>
      <c r="U236" s="310">
        <v>0.2034899</v>
      </c>
      <c r="V236" s="310">
        <v>0.20975669999999999</v>
      </c>
      <c r="W236" s="310">
        <v>0.18690499999999999</v>
      </c>
      <c r="X236" s="310">
        <v>0.1935463</v>
      </c>
      <c r="Y236" s="310">
        <v>0</v>
      </c>
      <c r="Z236" s="310">
        <v>0.21129829999999999</v>
      </c>
      <c r="AA236" s="310">
        <v>0</v>
      </c>
      <c r="AB236" s="310">
        <v>0.1939794</v>
      </c>
      <c r="AC236" s="310">
        <v>0.2002842</v>
      </c>
      <c r="AD236" s="310">
        <v>0</v>
      </c>
      <c r="AE236" s="310">
        <v>0</v>
      </c>
      <c r="AF236" s="310">
        <v>0</v>
      </c>
      <c r="AG236" s="310">
        <v>0</v>
      </c>
      <c r="AH236" s="310">
        <v>0</v>
      </c>
      <c r="AI236" s="310">
        <v>0.1942238</v>
      </c>
      <c r="AJ236" s="310">
        <v>0</v>
      </c>
      <c r="AK236" s="310">
        <v>0</v>
      </c>
      <c r="AL236" s="310">
        <v>0.19517309999999999</v>
      </c>
      <c r="AM236" s="310">
        <v>0.21178640000000001</v>
      </c>
      <c r="AN236" s="310">
        <v>0</v>
      </c>
      <c r="AO236" s="310">
        <v>0</v>
      </c>
      <c r="AP236" s="310">
        <v>0.2060381</v>
      </c>
      <c r="AQ236" s="310">
        <v>0</v>
      </c>
      <c r="AR236" s="310">
        <v>0.2073642</v>
      </c>
      <c r="AS236" s="310">
        <v>0</v>
      </c>
      <c r="AT236" s="310">
        <v>0</v>
      </c>
      <c r="AU236" s="310">
        <v>0.2147203</v>
      </c>
      <c r="AV236" s="310">
        <v>0</v>
      </c>
      <c r="AW236" s="310">
        <v>0</v>
      </c>
      <c r="AX236" s="310">
        <v>0</v>
      </c>
      <c r="AY236" s="310">
        <v>0</v>
      </c>
      <c r="AZ236" s="310">
        <v>0.20912330000000001</v>
      </c>
      <c r="BA236" s="310">
        <v>0</v>
      </c>
      <c r="BB236" s="310">
        <v>0</v>
      </c>
      <c r="BC236" s="310">
        <v>0.2131139</v>
      </c>
      <c r="BD236" s="310">
        <v>0.2100812</v>
      </c>
      <c r="BE236" s="310">
        <v>0.21375230000000001</v>
      </c>
      <c r="BF236" s="310">
        <v>0.21184500000000001</v>
      </c>
      <c r="BG236" s="310">
        <v>0.21309339999999999</v>
      </c>
      <c r="BH236" s="310">
        <v>0.21059620000000001</v>
      </c>
      <c r="BI236" s="310">
        <v>0.21492890000000001</v>
      </c>
      <c r="BJ236" s="310">
        <v>0.21419440000000001</v>
      </c>
      <c r="BK236" s="310">
        <v>0.21498490000000001</v>
      </c>
    </row>
    <row r="237" spans="1:63" x14ac:dyDescent="0.25">
      <c r="A237" s="306">
        <v>334412</v>
      </c>
      <c r="B237" s="310" t="s">
        <v>216</v>
      </c>
      <c r="C237" s="310">
        <v>0.28526810000000002</v>
      </c>
      <c r="D237" s="310">
        <v>0</v>
      </c>
      <c r="E237" s="310">
        <v>0.27598119999999998</v>
      </c>
      <c r="F237" s="310">
        <v>0.27627669999999999</v>
      </c>
      <c r="G237" s="310">
        <v>0.28270440000000002</v>
      </c>
      <c r="H237" s="310">
        <v>0.2834141</v>
      </c>
      <c r="I237" s="310">
        <v>0.28267399999999998</v>
      </c>
      <c r="J237" s="310">
        <v>0.26345560000000001</v>
      </c>
      <c r="K237" s="310">
        <v>0</v>
      </c>
      <c r="L237" s="310">
        <v>0</v>
      </c>
      <c r="M237" s="310">
        <v>0.2814237</v>
      </c>
      <c r="N237" s="310">
        <v>0.2808911</v>
      </c>
      <c r="O237" s="310">
        <v>0</v>
      </c>
      <c r="P237" s="310">
        <v>0.2787906</v>
      </c>
      <c r="Q237" s="310">
        <v>0.28018920000000003</v>
      </c>
      <c r="R237" s="310">
        <v>0.27551949999999997</v>
      </c>
      <c r="S237" s="310">
        <v>0.27710210000000002</v>
      </c>
      <c r="T237" s="310">
        <v>0.25174049999999998</v>
      </c>
      <c r="U237" s="310">
        <v>0.26830569999999998</v>
      </c>
      <c r="V237" s="310">
        <v>0.27652510000000002</v>
      </c>
      <c r="W237" s="310">
        <v>0.24640400000000001</v>
      </c>
      <c r="X237" s="310">
        <v>0.25515549999999998</v>
      </c>
      <c r="Y237" s="310">
        <v>0.27326210000000001</v>
      </c>
      <c r="Z237" s="310">
        <v>0.27861019999999997</v>
      </c>
      <c r="AA237" s="310">
        <v>0.27983859999999999</v>
      </c>
      <c r="AB237" s="310">
        <v>0.25569209999999998</v>
      </c>
      <c r="AC237" s="310">
        <v>0.26406610000000003</v>
      </c>
      <c r="AD237" s="310">
        <v>0</v>
      </c>
      <c r="AE237" s="310">
        <v>0.28094340000000001</v>
      </c>
      <c r="AF237" s="310">
        <v>0.24535779999999999</v>
      </c>
      <c r="AG237" s="310">
        <v>0.27012340000000001</v>
      </c>
      <c r="AH237" s="310">
        <v>0.23978930000000001</v>
      </c>
      <c r="AI237" s="310">
        <v>0.2560675</v>
      </c>
      <c r="AJ237" s="310">
        <v>0.281468</v>
      </c>
      <c r="AK237" s="310">
        <v>0.25505939999999999</v>
      </c>
      <c r="AL237" s="310">
        <v>0.25733660000000003</v>
      </c>
      <c r="AM237" s="310">
        <v>0.2792192</v>
      </c>
      <c r="AN237" s="310">
        <v>0.28202440000000001</v>
      </c>
      <c r="AO237" s="310">
        <v>0.27586630000000001</v>
      </c>
      <c r="AP237" s="310">
        <v>0.27165810000000001</v>
      </c>
      <c r="AQ237" s="310">
        <v>0.24243219999999999</v>
      </c>
      <c r="AR237" s="310">
        <v>0.27342759999999999</v>
      </c>
      <c r="AS237" s="310">
        <v>0.18563450000000001</v>
      </c>
      <c r="AT237" s="310">
        <v>0.27218229999999999</v>
      </c>
      <c r="AU237" s="310">
        <v>0.28314129999999998</v>
      </c>
      <c r="AV237" s="310">
        <v>0.27846399999999999</v>
      </c>
      <c r="AW237" s="310">
        <v>0.25861319999999999</v>
      </c>
      <c r="AX237" s="310">
        <v>0.27778580000000003</v>
      </c>
      <c r="AY237" s="310">
        <v>0.27025660000000001</v>
      </c>
      <c r="AZ237" s="310">
        <v>0.27574599999999999</v>
      </c>
      <c r="BA237" s="310">
        <v>0</v>
      </c>
      <c r="BB237" s="310">
        <v>0</v>
      </c>
      <c r="BC237" s="310">
        <v>0.28100839999999999</v>
      </c>
      <c r="BD237" s="310">
        <v>0.27702359999999998</v>
      </c>
      <c r="BE237" s="310">
        <v>0.28181509999999999</v>
      </c>
      <c r="BF237" s="310">
        <v>0.27932960000000001</v>
      </c>
      <c r="BG237" s="310">
        <v>0.28094710000000001</v>
      </c>
      <c r="BH237" s="310">
        <v>0.27764749999999999</v>
      </c>
      <c r="BI237" s="310">
        <v>0.28335189999999999</v>
      </c>
      <c r="BJ237" s="310">
        <v>0.28241240000000001</v>
      </c>
      <c r="BK237" s="310">
        <v>0.28342709999999999</v>
      </c>
    </row>
    <row r="238" spans="1:63" x14ac:dyDescent="0.25">
      <c r="A238" s="306">
        <v>334413</v>
      </c>
      <c r="B238" s="310" t="s">
        <v>217</v>
      </c>
      <c r="C238" s="310">
        <v>0.18305150000000001</v>
      </c>
      <c r="D238" s="310">
        <v>0</v>
      </c>
      <c r="E238" s="310">
        <v>0.17702960000000001</v>
      </c>
      <c r="F238" s="310">
        <v>0.17725460000000001</v>
      </c>
      <c r="G238" s="310">
        <v>0.18139350000000001</v>
      </c>
      <c r="H238" s="310">
        <v>0.18182290000000001</v>
      </c>
      <c r="I238" s="310">
        <v>0.18135960000000001</v>
      </c>
      <c r="J238" s="310">
        <v>0.16902229999999999</v>
      </c>
      <c r="K238" s="310">
        <v>2.8047900000000001E-2</v>
      </c>
      <c r="L238" s="310">
        <v>0.1117721</v>
      </c>
      <c r="M238" s="310">
        <v>0.1805669</v>
      </c>
      <c r="N238" s="310">
        <v>0.18020659999999999</v>
      </c>
      <c r="O238" s="310">
        <v>0.16123979999999999</v>
      </c>
      <c r="P238" s="310">
        <v>0.17886179999999999</v>
      </c>
      <c r="Q238" s="310">
        <v>0.17976619999999999</v>
      </c>
      <c r="R238" s="310">
        <v>0.1767571</v>
      </c>
      <c r="S238" s="310">
        <v>0.1777456</v>
      </c>
      <c r="T238" s="310">
        <v>0.16150349999999999</v>
      </c>
      <c r="U238" s="310">
        <v>0.17210819999999999</v>
      </c>
      <c r="V238" s="310">
        <v>0</v>
      </c>
      <c r="W238" s="310">
        <v>0.15807389999999999</v>
      </c>
      <c r="X238" s="310">
        <v>0.16371260000000001</v>
      </c>
      <c r="Y238" s="310">
        <v>0.1753315</v>
      </c>
      <c r="Z238" s="310">
        <v>0.17874219999999999</v>
      </c>
      <c r="AA238" s="310">
        <v>0.17952219999999999</v>
      </c>
      <c r="AB238" s="310">
        <v>0.16404050000000001</v>
      </c>
      <c r="AC238" s="310">
        <v>0.1694369</v>
      </c>
      <c r="AD238" s="310">
        <v>0.16579859999999999</v>
      </c>
      <c r="AE238" s="310">
        <v>0.18024519999999999</v>
      </c>
      <c r="AF238" s="310">
        <v>0</v>
      </c>
      <c r="AG238" s="310">
        <v>0.1732766</v>
      </c>
      <c r="AH238" s="310">
        <v>0.1538378</v>
      </c>
      <c r="AI238" s="310">
        <v>0.16428219999999999</v>
      </c>
      <c r="AJ238" s="310">
        <v>0.1805591</v>
      </c>
      <c r="AK238" s="310">
        <v>0.16362840000000001</v>
      </c>
      <c r="AL238" s="310">
        <v>0.1650749</v>
      </c>
      <c r="AM238" s="310">
        <v>0.1791519</v>
      </c>
      <c r="AN238" s="310">
        <v>0.18091979999999999</v>
      </c>
      <c r="AO238" s="310">
        <v>0.17695920000000001</v>
      </c>
      <c r="AP238" s="310">
        <v>0.17429169999999999</v>
      </c>
      <c r="AQ238" s="310">
        <v>0.15551100000000001</v>
      </c>
      <c r="AR238" s="310">
        <v>0.1753953</v>
      </c>
      <c r="AS238" s="310">
        <v>0.1190773</v>
      </c>
      <c r="AT238" s="310">
        <v>0.17463229999999999</v>
      </c>
      <c r="AU238" s="310">
        <v>0.18166669999999999</v>
      </c>
      <c r="AV238" s="310">
        <v>0.17863680000000001</v>
      </c>
      <c r="AW238" s="310">
        <v>0.16591259999999999</v>
      </c>
      <c r="AX238" s="310">
        <v>0.178227</v>
      </c>
      <c r="AY238" s="310">
        <v>0.1733759</v>
      </c>
      <c r="AZ238" s="310">
        <v>0.1768884</v>
      </c>
      <c r="BA238" s="310">
        <v>0.14519499999999999</v>
      </c>
      <c r="BB238" s="310">
        <v>0</v>
      </c>
      <c r="BC238" s="310">
        <v>0.180252</v>
      </c>
      <c r="BD238" s="310">
        <v>0.1777128</v>
      </c>
      <c r="BE238" s="310">
        <v>0.18079290000000001</v>
      </c>
      <c r="BF238" s="310">
        <v>0.17916599999999999</v>
      </c>
      <c r="BG238" s="310">
        <v>0.18023520000000001</v>
      </c>
      <c r="BH238" s="310">
        <v>0.1781383</v>
      </c>
      <c r="BI238" s="310">
        <v>0.18180399999999999</v>
      </c>
      <c r="BJ238" s="310">
        <v>0.18121709999999999</v>
      </c>
      <c r="BK238" s="310">
        <v>0.181869</v>
      </c>
    </row>
    <row r="239" spans="1:63" x14ac:dyDescent="0.25">
      <c r="A239" s="306">
        <v>334417</v>
      </c>
      <c r="B239" s="310" t="s">
        <v>219</v>
      </c>
      <c r="C239" s="310">
        <v>0.29715520000000001</v>
      </c>
      <c r="D239" s="310">
        <v>0</v>
      </c>
      <c r="E239" s="310">
        <v>0.28745779999999999</v>
      </c>
      <c r="F239" s="310">
        <v>0.28772429999999999</v>
      </c>
      <c r="G239" s="310">
        <v>0.29447889999999999</v>
      </c>
      <c r="H239" s="310">
        <v>0.29522929999999997</v>
      </c>
      <c r="I239" s="310">
        <v>0.2944368</v>
      </c>
      <c r="J239" s="310">
        <v>0.27442149999999998</v>
      </c>
      <c r="K239" s="310">
        <v>0</v>
      </c>
      <c r="L239" s="310">
        <v>0.1814656</v>
      </c>
      <c r="M239" s="310">
        <v>0.29315439999999998</v>
      </c>
      <c r="N239" s="310">
        <v>0.29258050000000002</v>
      </c>
      <c r="O239" s="310">
        <v>0</v>
      </c>
      <c r="P239" s="310">
        <v>0.29040090000000002</v>
      </c>
      <c r="Q239" s="310">
        <v>0</v>
      </c>
      <c r="R239" s="310">
        <v>0.28700530000000002</v>
      </c>
      <c r="S239" s="310">
        <v>0.28860789999999997</v>
      </c>
      <c r="T239" s="310">
        <v>0.26222129999999999</v>
      </c>
      <c r="U239" s="310">
        <v>0</v>
      </c>
      <c r="V239" s="310">
        <v>0</v>
      </c>
      <c r="W239" s="310">
        <v>0.2566793</v>
      </c>
      <c r="X239" s="310">
        <v>0.2657716</v>
      </c>
      <c r="Y239" s="310">
        <v>0.28465230000000002</v>
      </c>
      <c r="Z239" s="310">
        <v>0.29019699999999998</v>
      </c>
      <c r="AA239" s="310">
        <v>0.2915044</v>
      </c>
      <c r="AB239" s="310">
        <v>0.26638269999999997</v>
      </c>
      <c r="AC239" s="310">
        <v>0.27508899999999997</v>
      </c>
      <c r="AD239" s="310">
        <v>0</v>
      </c>
      <c r="AE239" s="310">
        <v>0.29261520000000002</v>
      </c>
      <c r="AF239" s="310">
        <v>0</v>
      </c>
      <c r="AG239" s="310">
        <v>0.2813331</v>
      </c>
      <c r="AH239" s="310">
        <v>0.24979509999999999</v>
      </c>
      <c r="AI239" s="310">
        <v>0.26667039999999997</v>
      </c>
      <c r="AJ239" s="310">
        <v>0</v>
      </c>
      <c r="AK239" s="310">
        <v>0.26568629999999999</v>
      </c>
      <c r="AL239" s="310">
        <v>0.26803290000000002</v>
      </c>
      <c r="AM239" s="310">
        <v>0.29085650000000002</v>
      </c>
      <c r="AN239" s="310">
        <v>0.29379270000000002</v>
      </c>
      <c r="AO239" s="310">
        <v>0.28731050000000002</v>
      </c>
      <c r="AP239" s="310">
        <v>0.28293370000000001</v>
      </c>
      <c r="AQ239" s="310">
        <v>0.25252219999999997</v>
      </c>
      <c r="AR239" s="310">
        <v>0.28476560000000001</v>
      </c>
      <c r="AS239" s="310">
        <v>0</v>
      </c>
      <c r="AT239" s="310">
        <v>0.28347670000000003</v>
      </c>
      <c r="AU239" s="310">
        <v>0.29489739999999998</v>
      </c>
      <c r="AV239" s="310">
        <v>0.2900623</v>
      </c>
      <c r="AW239" s="310">
        <v>0.2693644</v>
      </c>
      <c r="AX239" s="310">
        <v>0</v>
      </c>
      <c r="AY239" s="310">
        <v>0.28151549999999997</v>
      </c>
      <c r="AZ239" s="310">
        <v>0</v>
      </c>
      <c r="BA239" s="310">
        <v>0</v>
      </c>
      <c r="BB239" s="310">
        <v>0</v>
      </c>
      <c r="BC239" s="310">
        <v>0.29265619999999998</v>
      </c>
      <c r="BD239" s="310">
        <v>0.28849190000000002</v>
      </c>
      <c r="BE239" s="310">
        <v>0.29353859999999998</v>
      </c>
      <c r="BF239" s="310">
        <v>0.29094959999999997</v>
      </c>
      <c r="BG239" s="310">
        <v>0.29262129999999997</v>
      </c>
      <c r="BH239" s="310">
        <v>0.28919489999999998</v>
      </c>
      <c r="BI239" s="310">
        <v>0.29513430000000002</v>
      </c>
      <c r="BJ239" s="310">
        <v>0.29419699999999999</v>
      </c>
      <c r="BK239" s="310">
        <v>0.29523749999999999</v>
      </c>
    </row>
    <row r="240" spans="1:63" x14ac:dyDescent="0.25">
      <c r="A240" s="306">
        <v>334418</v>
      </c>
      <c r="B240" s="310" t="s">
        <v>220</v>
      </c>
      <c r="C240" s="310">
        <v>0.17120060000000001</v>
      </c>
      <c r="D240" s="310">
        <v>0</v>
      </c>
      <c r="E240" s="310">
        <v>0.1656244</v>
      </c>
      <c r="F240" s="310">
        <v>0.1658114</v>
      </c>
      <c r="G240" s="310">
        <v>0.1696801</v>
      </c>
      <c r="H240" s="310">
        <v>0.17009350000000001</v>
      </c>
      <c r="I240" s="310">
        <v>0.1696598</v>
      </c>
      <c r="J240" s="310">
        <v>0.15809390000000001</v>
      </c>
      <c r="K240" s="310">
        <v>0</v>
      </c>
      <c r="L240" s="310">
        <v>0</v>
      </c>
      <c r="M240" s="310">
        <v>0.16888909999999999</v>
      </c>
      <c r="N240" s="310">
        <v>0.16859099999999999</v>
      </c>
      <c r="O240" s="310">
        <v>0</v>
      </c>
      <c r="P240" s="310">
        <v>0.16729649999999999</v>
      </c>
      <c r="Q240" s="310">
        <v>0.1681426</v>
      </c>
      <c r="R240" s="310">
        <v>0.16536110000000001</v>
      </c>
      <c r="S240" s="310">
        <v>0.1662902</v>
      </c>
      <c r="T240" s="310">
        <v>0.15109839999999999</v>
      </c>
      <c r="U240" s="310">
        <v>0.16101940000000001</v>
      </c>
      <c r="V240" s="310">
        <v>0.16594229999999999</v>
      </c>
      <c r="W240" s="310">
        <v>0.1479037</v>
      </c>
      <c r="X240" s="310">
        <v>0.1531537</v>
      </c>
      <c r="Y240" s="310">
        <v>0.16401679999999999</v>
      </c>
      <c r="Z240" s="310">
        <v>0.1672257</v>
      </c>
      <c r="AA240" s="310">
        <v>0.1679457</v>
      </c>
      <c r="AB240" s="310">
        <v>0.1534867</v>
      </c>
      <c r="AC240" s="310">
        <v>0.15850349999999999</v>
      </c>
      <c r="AD240" s="310">
        <v>0.15509490000000001</v>
      </c>
      <c r="AE240" s="310">
        <v>0.1685972</v>
      </c>
      <c r="AF240" s="310">
        <v>0.1472754</v>
      </c>
      <c r="AG240" s="310">
        <v>0.1620924</v>
      </c>
      <c r="AH240" s="310">
        <v>0.14392849999999999</v>
      </c>
      <c r="AI240" s="310">
        <v>0.1536477</v>
      </c>
      <c r="AJ240" s="310">
        <v>0.16889989999999999</v>
      </c>
      <c r="AK240" s="310">
        <v>0.15309229999999999</v>
      </c>
      <c r="AL240" s="310">
        <v>0.1544257</v>
      </c>
      <c r="AM240" s="310">
        <v>0.1675797</v>
      </c>
      <c r="AN240" s="310">
        <v>0.16927800000000001</v>
      </c>
      <c r="AO240" s="310">
        <v>0.16555020000000001</v>
      </c>
      <c r="AP240" s="310">
        <v>0.163022</v>
      </c>
      <c r="AQ240" s="310">
        <v>0.1454886</v>
      </c>
      <c r="AR240" s="310">
        <v>0.16406299999999999</v>
      </c>
      <c r="AS240" s="310">
        <v>0.1114218</v>
      </c>
      <c r="AT240" s="310">
        <v>0.16332849999999999</v>
      </c>
      <c r="AU240" s="310">
        <v>0.16991539999999999</v>
      </c>
      <c r="AV240" s="310">
        <v>0.1671001</v>
      </c>
      <c r="AW240" s="310">
        <v>0.15518670000000001</v>
      </c>
      <c r="AX240" s="310">
        <v>0.16668659999999999</v>
      </c>
      <c r="AY240" s="310">
        <v>0.16221160000000001</v>
      </c>
      <c r="AZ240" s="310">
        <v>0.16549829999999999</v>
      </c>
      <c r="BA240" s="310">
        <v>0.13582150000000001</v>
      </c>
      <c r="BB240" s="310">
        <v>0</v>
      </c>
      <c r="BC240" s="310">
        <v>0.16861999999999999</v>
      </c>
      <c r="BD240" s="310">
        <v>0.1662217</v>
      </c>
      <c r="BE240" s="310">
        <v>0.1691317</v>
      </c>
      <c r="BF240" s="310">
        <v>0.16764509999999999</v>
      </c>
      <c r="BG240" s="310">
        <v>0.1686058</v>
      </c>
      <c r="BH240" s="310">
        <v>0.16664760000000001</v>
      </c>
      <c r="BI240" s="310">
        <v>0.1700699</v>
      </c>
      <c r="BJ240" s="310">
        <v>0.16951730000000001</v>
      </c>
      <c r="BK240" s="310">
        <v>0.17012959999999999</v>
      </c>
    </row>
    <row r="241" spans="1:63" x14ac:dyDescent="0.25">
      <c r="A241" s="306">
        <v>334419</v>
      </c>
      <c r="B241" s="310" t="s">
        <v>221</v>
      </c>
      <c r="C241" s="310">
        <v>0.312888</v>
      </c>
      <c r="D241" s="310">
        <v>0</v>
      </c>
      <c r="E241" s="310">
        <v>0.3026722</v>
      </c>
      <c r="F241" s="310">
        <v>0.30297570000000001</v>
      </c>
      <c r="G241" s="310">
        <v>0.31005290000000002</v>
      </c>
      <c r="H241" s="310">
        <v>0.31084270000000003</v>
      </c>
      <c r="I241" s="310">
        <v>0.31004209999999999</v>
      </c>
      <c r="J241" s="310">
        <v>0.28895890000000002</v>
      </c>
      <c r="K241" s="310">
        <v>0</v>
      </c>
      <c r="L241" s="310">
        <v>0.19106819999999999</v>
      </c>
      <c r="M241" s="310">
        <v>0.30862309999999998</v>
      </c>
      <c r="N241" s="310">
        <v>0.30804730000000002</v>
      </c>
      <c r="O241" s="310">
        <v>0</v>
      </c>
      <c r="P241" s="310">
        <v>0.30576350000000002</v>
      </c>
      <c r="Q241" s="310">
        <v>0.30729020000000001</v>
      </c>
      <c r="R241" s="310">
        <v>0.30221379999999998</v>
      </c>
      <c r="S241" s="310">
        <v>0.30392859999999999</v>
      </c>
      <c r="T241" s="310">
        <v>0.27609149999999999</v>
      </c>
      <c r="U241" s="310">
        <v>0.2942459</v>
      </c>
      <c r="V241" s="310">
        <v>0.30330750000000001</v>
      </c>
      <c r="W241" s="310">
        <v>0.27026719999999999</v>
      </c>
      <c r="X241" s="310">
        <v>0.27984160000000002</v>
      </c>
      <c r="Y241" s="310">
        <v>0.29969499999999999</v>
      </c>
      <c r="Z241" s="310">
        <v>0.3055638</v>
      </c>
      <c r="AA241" s="310">
        <v>0.30694690000000002</v>
      </c>
      <c r="AB241" s="310">
        <v>0.2804662</v>
      </c>
      <c r="AC241" s="310">
        <v>0.28965469999999999</v>
      </c>
      <c r="AD241" s="310">
        <v>0.28343580000000002</v>
      </c>
      <c r="AE241" s="310">
        <v>0.30808269999999999</v>
      </c>
      <c r="AF241" s="310">
        <v>0.26911249999999998</v>
      </c>
      <c r="AG241" s="310">
        <v>0.29622720000000002</v>
      </c>
      <c r="AH241" s="310">
        <v>0.2629745</v>
      </c>
      <c r="AI241" s="310">
        <v>0.28083390000000003</v>
      </c>
      <c r="AJ241" s="310">
        <v>0.30873929999999999</v>
      </c>
      <c r="AK241" s="310">
        <v>0.27970309999999998</v>
      </c>
      <c r="AL241" s="310">
        <v>0.28222350000000002</v>
      </c>
      <c r="AM241" s="310">
        <v>0.30623139999999999</v>
      </c>
      <c r="AN241" s="310">
        <v>0.30930590000000002</v>
      </c>
      <c r="AO241" s="310">
        <v>0.30254599999999998</v>
      </c>
      <c r="AP241" s="310">
        <v>0.29795569999999999</v>
      </c>
      <c r="AQ241" s="310">
        <v>0.26588709999999999</v>
      </c>
      <c r="AR241" s="310">
        <v>0.29989149999999998</v>
      </c>
      <c r="AS241" s="310">
        <v>0.2036231</v>
      </c>
      <c r="AT241" s="310">
        <v>0.29849399999999998</v>
      </c>
      <c r="AU241" s="310">
        <v>0.31053989999999998</v>
      </c>
      <c r="AV241" s="310">
        <v>0.30540929999999999</v>
      </c>
      <c r="AW241" s="310">
        <v>0.28360449999999998</v>
      </c>
      <c r="AX241" s="310">
        <v>0.30462250000000002</v>
      </c>
      <c r="AY241" s="310">
        <v>0.29640490000000003</v>
      </c>
      <c r="AZ241" s="310">
        <v>0.30241190000000001</v>
      </c>
      <c r="BA241" s="310">
        <v>0.2481882</v>
      </c>
      <c r="BB241" s="310">
        <v>0</v>
      </c>
      <c r="BC241" s="310">
        <v>0.30818679999999998</v>
      </c>
      <c r="BD241" s="310">
        <v>0.30380180000000001</v>
      </c>
      <c r="BE241" s="310">
        <v>0.30912309999999998</v>
      </c>
      <c r="BF241" s="310">
        <v>0.3063186</v>
      </c>
      <c r="BG241" s="310">
        <v>0.30813180000000001</v>
      </c>
      <c r="BH241" s="310">
        <v>0.30453160000000001</v>
      </c>
      <c r="BI241" s="310">
        <v>0.31080419999999997</v>
      </c>
      <c r="BJ241" s="310">
        <v>0.30973450000000002</v>
      </c>
      <c r="BK241" s="310">
        <v>0.31089119999999998</v>
      </c>
    </row>
    <row r="242" spans="1:63" x14ac:dyDescent="0.25">
      <c r="A242" s="306" t="s">
        <v>739</v>
      </c>
      <c r="B242" s="310" t="s">
        <v>218</v>
      </c>
      <c r="C242" s="310">
        <v>0.33550180000000002</v>
      </c>
      <c r="D242" s="310">
        <v>0</v>
      </c>
      <c r="E242" s="310">
        <v>0.32456020000000002</v>
      </c>
      <c r="F242" s="310">
        <v>0.32490649999999999</v>
      </c>
      <c r="G242" s="310">
        <v>0.33253709999999997</v>
      </c>
      <c r="H242" s="310">
        <v>0.33329049999999999</v>
      </c>
      <c r="I242" s="310">
        <v>0.3324973</v>
      </c>
      <c r="J242" s="310">
        <v>0.30983690000000003</v>
      </c>
      <c r="K242" s="310">
        <v>0</v>
      </c>
      <c r="L242" s="310">
        <v>0</v>
      </c>
      <c r="M242" s="310">
        <v>0.33093270000000002</v>
      </c>
      <c r="N242" s="310">
        <v>0.33036130000000002</v>
      </c>
      <c r="O242" s="310">
        <v>0</v>
      </c>
      <c r="P242" s="310">
        <v>0.32791700000000001</v>
      </c>
      <c r="Q242" s="310">
        <v>0</v>
      </c>
      <c r="R242" s="310">
        <v>0.3240596</v>
      </c>
      <c r="S242" s="310">
        <v>0.3259068</v>
      </c>
      <c r="T242" s="310">
        <v>0.29609180000000002</v>
      </c>
      <c r="U242" s="310">
        <v>0.31551750000000001</v>
      </c>
      <c r="V242" s="310">
        <v>0.32525900000000002</v>
      </c>
      <c r="W242" s="310">
        <v>0.28982960000000002</v>
      </c>
      <c r="X242" s="310">
        <v>0.30006909999999998</v>
      </c>
      <c r="Y242" s="310">
        <v>0.32142090000000001</v>
      </c>
      <c r="Z242" s="310">
        <v>0.32764460000000001</v>
      </c>
      <c r="AA242" s="310">
        <v>0.3291056</v>
      </c>
      <c r="AB242" s="310">
        <v>0.30072880000000002</v>
      </c>
      <c r="AC242" s="310">
        <v>0.31056640000000002</v>
      </c>
      <c r="AD242" s="310">
        <v>0</v>
      </c>
      <c r="AE242" s="310">
        <v>0.33038640000000002</v>
      </c>
      <c r="AF242" s="310">
        <v>0</v>
      </c>
      <c r="AG242" s="310">
        <v>0.31762109999999999</v>
      </c>
      <c r="AH242" s="310">
        <v>0.28200639999999999</v>
      </c>
      <c r="AI242" s="310">
        <v>0.3010893</v>
      </c>
      <c r="AJ242" s="310">
        <v>0.33102100000000001</v>
      </c>
      <c r="AK242" s="310">
        <v>0.29992540000000001</v>
      </c>
      <c r="AL242" s="310">
        <v>0.30264039999999998</v>
      </c>
      <c r="AM242" s="310">
        <v>0.32838060000000002</v>
      </c>
      <c r="AN242" s="310">
        <v>0</v>
      </c>
      <c r="AO242" s="310">
        <v>0.32442320000000002</v>
      </c>
      <c r="AP242" s="310">
        <v>0.31950279999999998</v>
      </c>
      <c r="AQ242" s="310">
        <v>0.28508509999999998</v>
      </c>
      <c r="AR242" s="310">
        <v>0.32155719999999999</v>
      </c>
      <c r="AS242" s="310">
        <v>0.218338</v>
      </c>
      <c r="AT242" s="310">
        <v>0.3200905</v>
      </c>
      <c r="AU242" s="310">
        <v>0.33300299999999999</v>
      </c>
      <c r="AV242" s="310">
        <v>0.32749099999999998</v>
      </c>
      <c r="AW242" s="310">
        <v>0.30417300000000003</v>
      </c>
      <c r="AX242" s="310">
        <v>0.3266753</v>
      </c>
      <c r="AY242" s="310">
        <v>0.3178975</v>
      </c>
      <c r="AZ242" s="310">
        <v>0.32430819999999999</v>
      </c>
      <c r="BA242" s="310">
        <v>0.2661425</v>
      </c>
      <c r="BB242" s="310">
        <v>0</v>
      </c>
      <c r="BC242" s="310">
        <v>0.33047609999999999</v>
      </c>
      <c r="BD242" s="310">
        <v>0.32574530000000002</v>
      </c>
      <c r="BE242" s="310">
        <v>0.33145619999999998</v>
      </c>
      <c r="BF242" s="310">
        <v>0.32852819999999999</v>
      </c>
      <c r="BG242" s="310">
        <v>0.33042379999999999</v>
      </c>
      <c r="BH242" s="310">
        <v>0.32657429999999998</v>
      </c>
      <c r="BI242" s="310">
        <v>0.33328960000000002</v>
      </c>
      <c r="BJ242" s="310">
        <v>0.33214640000000001</v>
      </c>
      <c r="BK242" s="310">
        <v>0.33339740000000001</v>
      </c>
    </row>
    <row r="243" spans="1:63" x14ac:dyDescent="0.25">
      <c r="A243" s="306">
        <v>334510</v>
      </c>
      <c r="B243" s="310" t="s">
        <v>222</v>
      </c>
      <c r="C243" s="310">
        <v>0.22666549999999999</v>
      </c>
      <c r="D243" s="310">
        <v>0</v>
      </c>
      <c r="E243" s="310">
        <v>0</v>
      </c>
      <c r="F243" s="310">
        <v>0</v>
      </c>
      <c r="G243" s="310">
        <v>0.22462470000000001</v>
      </c>
      <c r="H243" s="310">
        <v>0.22513469999999999</v>
      </c>
      <c r="I243" s="310">
        <v>0.2245984</v>
      </c>
      <c r="J243" s="310">
        <v>0.20929739999999999</v>
      </c>
      <c r="K243" s="310">
        <v>0</v>
      </c>
      <c r="L243" s="310">
        <v>0.13839879999999999</v>
      </c>
      <c r="M243" s="310">
        <v>0.22357650000000001</v>
      </c>
      <c r="N243" s="310">
        <v>0.2231757</v>
      </c>
      <c r="O243" s="310">
        <v>0.1996521</v>
      </c>
      <c r="P243" s="310">
        <v>0.2214865</v>
      </c>
      <c r="Q243" s="310">
        <v>0.2226243</v>
      </c>
      <c r="R243" s="310">
        <v>0.218891</v>
      </c>
      <c r="S243" s="310">
        <v>0.22014990000000001</v>
      </c>
      <c r="T243" s="310">
        <v>0.20003889999999999</v>
      </c>
      <c r="U243" s="310">
        <v>0.21310380000000001</v>
      </c>
      <c r="V243" s="310">
        <v>0.21968760000000001</v>
      </c>
      <c r="W243" s="310">
        <v>0.19578889999999999</v>
      </c>
      <c r="X243" s="310">
        <v>0.20273430000000001</v>
      </c>
      <c r="Y243" s="310">
        <v>0.21712890000000001</v>
      </c>
      <c r="Z243" s="310">
        <v>0.2213426</v>
      </c>
      <c r="AA243" s="310">
        <v>0.22231699999999999</v>
      </c>
      <c r="AB243" s="310">
        <v>0.20314209999999999</v>
      </c>
      <c r="AC243" s="310">
        <v>0</v>
      </c>
      <c r="AD243" s="310">
        <v>0.2053036</v>
      </c>
      <c r="AE243" s="310">
        <v>0.22321089999999999</v>
      </c>
      <c r="AF243" s="310">
        <v>0</v>
      </c>
      <c r="AG243" s="310">
        <v>0</v>
      </c>
      <c r="AH243" s="310">
        <v>0.19053719999999999</v>
      </c>
      <c r="AI243" s="310">
        <v>0.2034386</v>
      </c>
      <c r="AJ243" s="310">
        <v>0.22362960000000001</v>
      </c>
      <c r="AK243" s="310">
        <v>0</v>
      </c>
      <c r="AL243" s="310">
        <v>0.2044434</v>
      </c>
      <c r="AM243" s="310">
        <v>0.2218118</v>
      </c>
      <c r="AN243" s="310">
        <v>0.22406309999999999</v>
      </c>
      <c r="AO243" s="310">
        <v>0.2191437</v>
      </c>
      <c r="AP243" s="310">
        <v>0.2158079</v>
      </c>
      <c r="AQ243" s="310">
        <v>0.19259090000000001</v>
      </c>
      <c r="AR243" s="310">
        <v>0.217222</v>
      </c>
      <c r="AS243" s="310">
        <v>0.1474742</v>
      </c>
      <c r="AT243" s="310">
        <v>0.2162193</v>
      </c>
      <c r="AU243" s="310">
        <v>0.22492300000000001</v>
      </c>
      <c r="AV243" s="310">
        <v>0.2212452</v>
      </c>
      <c r="AW243" s="310">
        <v>0.20547950000000001</v>
      </c>
      <c r="AX243" s="310">
        <v>0.2206988</v>
      </c>
      <c r="AY243" s="310">
        <v>0.214699</v>
      </c>
      <c r="AZ243" s="310">
        <v>0.21904190000000001</v>
      </c>
      <c r="BA243" s="310">
        <v>0</v>
      </c>
      <c r="BB243" s="310">
        <v>0</v>
      </c>
      <c r="BC243" s="310">
        <v>0.22320719999999999</v>
      </c>
      <c r="BD243" s="310">
        <v>0.2200627</v>
      </c>
      <c r="BE243" s="310">
        <v>0.2238753</v>
      </c>
      <c r="BF243" s="310">
        <v>0.2219151</v>
      </c>
      <c r="BG243" s="310">
        <v>0.22320200000000001</v>
      </c>
      <c r="BH243" s="310">
        <v>0.2205848</v>
      </c>
      <c r="BI243" s="310">
        <v>0.22511210000000001</v>
      </c>
      <c r="BJ243" s="310">
        <v>0.2243647</v>
      </c>
      <c r="BK243" s="310">
        <v>0.2251831</v>
      </c>
    </row>
    <row r="244" spans="1:63" x14ac:dyDescent="0.25">
      <c r="A244" s="306">
        <v>334511</v>
      </c>
      <c r="B244" s="310" t="s">
        <v>223</v>
      </c>
      <c r="C244" s="310">
        <v>0.3274513</v>
      </c>
      <c r="D244" s="310">
        <v>0</v>
      </c>
      <c r="E244" s="310">
        <v>0.3167353</v>
      </c>
      <c r="F244" s="310">
        <v>0.3170268</v>
      </c>
      <c r="G244" s="310">
        <v>0.32449800000000001</v>
      </c>
      <c r="H244" s="310">
        <v>0.32528770000000001</v>
      </c>
      <c r="I244" s="310">
        <v>0.32443070000000002</v>
      </c>
      <c r="J244" s="310">
        <v>0.30234270000000002</v>
      </c>
      <c r="K244" s="310">
        <v>5.0129199999999999E-2</v>
      </c>
      <c r="L244" s="310">
        <v>0</v>
      </c>
      <c r="M244" s="310">
        <v>0.32295279999999998</v>
      </c>
      <c r="N244" s="310">
        <v>0.3223529</v>
      </c>
      <c r="O244" s="310">
        <v>0.2883986</v>
      </c>
      <c r="P244" s="310">
        <v>0.31999060000000001</v>
      </c>
      <c r="Q244" s="310">
        <v>0.3216059</v>
      </c>
      <c r="R244" s="310">
        <v>0.31625130000000001</v>
      </c>
      <c r="S244" s="310">
        <v>0.31799919999999998</v>
      </c>
      <c r="T244" s="310">
        <v>0.28897309999999998</v>
      </c>
      <c r="U244" s="310">
        <v>0.30789810000000001</v>
      </c>
      <c r="V244" s="310">
        <v>0.31741510000000001</v>
      </c>
      <c r="W244" s="310">
        <v>0.28286450000000002</v>
      </c>
      <c r="X244" s="310">
        <v>0.29282350000000001</v>
      </c>
      <c r="Y244" s="310">
        <v>0.31366719999999998</v>
      </c>
      <c r="Z244" s="310">
        <v>0.31978820000000002</v>
      </c>
      <c r="AA244" s="310">
        <v>0.32119900000000001</v>
      </c>
      <c r="AB244" s="310">
        <v>0.29350890000000002</v>
      </c>
      <c r="AC244" s="310">
        <v>0.30312499999999998</v>
      </c>
      <c r="AD244" s="310">
        <v>0.29661900000000002</v>
      </c>
      <c r="AE244" s="310">
        <v>0.32245639999999998</v>
      </c>
      <c r="AF244" s="310">
        <v>0</v>
      </c>
      <c r="AG244" s="310">
        <v>0.31001299999999998</v>
      </c>
      <c r="AH244" s="310">
        <v>0.27519569999999999</v>
      </c>
      <c r="AI244" s="310">
        <v>0.29386230000000002</v>
      </c>
      <c r="AJ244" s="310">
        <v>0.32301350000000001</v>
      </c>
      <c r="AK244" s="310">
        <v>0.2927498</v>
      </c>
      <c r="AL244" s="310">
        <v>0.29537039999999998</v>
      </c>
      <c r="AM244" s="310">
        <v>0.32049129999999998</v>
      </c>
      <c r="AN244" s="310">
        <v>0.32374629999999999</v>
      </c>
      <c r="AO244" s="310">
        <v>0.31657790000000002</v>
      </c>
      <c r="AP244" s="310">
        <v>0.31178909999999999</v>
      </c>
      <c r="AQ244" s="310">
        <v>0.27820430000000002</v>
      </c>
      <c r="AR244" s="310">
        <v>0.31383060000000002</v>
      </c>
      <c r="AS244" s="310">
        <v>0.21311099999999999</v>
      </c>
      <c r="AT244" s="310">
        <v>0.31239850000000002</v>
      </c>
      <c r="AU244" s="310">
        <v>0.32496380000000002</v>
      </c>
      <c r="AV244" s="310">
        <v>0.31960810000000001</v>
      </c>
      <c r="AW244" s="310">
        <v>0.2967862</v>
      </c>
      <c r="AX244" s="310">
        <v>0.3188144</v>
      </c>
      <c r="AY244" s="310">
        <v>0.31016310000000002</v>
      </c>
      <c r="AZ244" s="310">
        <v>0.31650020000000001</v>
      </c>
      <c r="BA244" s="310">
        <v>0</v>
      </c>
      <c r="BB244" s="310">
        <v>0.32747890000000002</v>
      </c>
      <c r="BC244" s="310">
        <v>0.32246750000000002</v>
      </c>
      <c r="BD244" s="310">
        <v>0.31791979999999997</v>
      </c>
      <c r="BE244" s="310">
        <v>0.32346789999999997</v>
      </c>
      <c r="BF244" s="310">
        <v>0.32060529999999998</v>
      </c>
      <c r="BG244" s="310">
        <v>0.32243810000000001</v>
      </c>
      <c r="BH244" s="310">
        <v>0.3187276</v>
      </c>
      <c r="BI244" s="310">
        <v>0.32523469999999999</v>
      </c>
      <c r="BJ244" s="310">
        <v>0.32416159999999999</v>
      </c>
      <c r="BK244" s="310">
        <v>0.32531260000000001</v>
      </c>
    </row>
    <row r="245" spans="1:63" x14ac:dyDescent="0.25">
      <c r="A245" s="306">
        <v>334512</v>
      </c>
      <c r="B245" s="310" t="s">
        <v>224</v>
      </c>
      <c r="C245" s="310">
        <v>0.25040299999999999</v>
      </c>
      <c r="D245" s="310">
        <v>0.1972633</v>
      </c>
      <c r="E245" s="310">
        <v>0.242197</v>
      </c>
      <c r="F245" s="310">
        <v>0.24244550000000001</v>
      </c>
      <c r="G245" s="310">
        <v>0.24814259999999999</v>
      </c>
      <c r="H245" s="310">
        <v>0.24873429999999999</v>
      </c>
      <c r="I245" s="310">
        <v>0.24813080000000001</v>
      </c>
      <c r="J245" s="310">
        <v>0.23123589999999999</v>
      </c>
      <c r="K245" s="310">
        <v>0</v>
      </c>
      <c r="L245" s="310">
        <v>0</v>
      </c>
      <c r="M245" s="310">
        <v>0.2469972</v>
      </c>
      <c r="N245" s="310">
        <v>0.24656500000000001</v>
      </c>
      <c r="O245" s="310">
        <v>0</v>
      </c>
      <c r="P245" s="310">
        <v>0.24473510000000001</v>
      </c>
      <c r="Q245" s="310">
        <v>0</v>
      </c>
      <c r="R245" s="310">
        <v>0.24183760000000001</v>
      </c>
      <c r="S245" s="310">
        <v>0.24320130000000001</v>
      </c>
      <c r="T245" s="310">
        <v>0.2209758</v>
      </c>
      <c r="U245" s="310">
        <v>0.23548289999999999</v>
      </c>
      <c r="V245" s="310">
        <v>0.24271239999999999</v>
      </c>
      <c r="W245" s="310">
        <v>0.21628020000000001</v>
      </c>
      <c r="X245" s="310">
        <v>0.223963</v>
      </c>
      <c r="Y245" s="310">
        <v>0.23986440000000001</v>
      </c>
      <c r="Z245" s="310">
        <v>0.24452080000000001</v>
      </c>
      <c r="AA245" s="310">
        <v>0.24562390000000001</v>
      </c>
      <c r="AB245" s="310">
        <v>0.22443830000000001</v>
      </c>
      <c r="AC245" s="310">
        <v>0</v>
      </c>
      <c r="AD245" s="310">
        <v>0</v>
      </c>
      <c r="AE245" s="310">
        <v>0.2465628</v>
      </c>
      <c r="AF245" s="310">
        <v>0</v>
      </c>
      <c r="AG245" s="310">
        <v>0.23706189999999999</v>
      </c>
      <c r="AH245" s="310">
        <v>0.2104857</v>
      </c>
      <c r="AI245" s="310">
        <v>0.22475000000000001</v>
      </c>
      <c r="AJ245" s="310">
        <v>0.247058</v>
      </c>
      <c r="AK245" s="310">
        <v>0.22386590000000001</v>
      </c>
      <c r="AL245" s="310">
        <v>0.22584979999999999</v>
      </c>
      <c r="AM245" s="310">
        <v>0.24506890000000001</v>
      </c>
      <c r="AN245" s="310">
        <v>0.2475762</v>
      </c>
      <c r="AO245" s="310">
        <v>0.2421364</v>
      </c>
      <c r="AP245" s="310">
        <v>0.2384278</v>
      </c>
      <c r="AQ245" s="310">
        <v>0.21277479999999999</v>
      </c>
      <c r="AR245" s="310">
        <v>0.2399665</v>
      </c>
      <c r="AS245" s="310">
        <v>0.16293589999999999</v>
      </c>
      <c r="AT245" s="310">
        <v>0.23891299999999999</v>
      </c>
      <c r="AU245" s="310">
        <v>0.248504</v>
      </c>
      <c r="AV245" s="310">
        <v>0.244426</v>
      </c>
      <c r="AW245" s="310">
        <v>0.2270027</v>
      </c>
      <c r="AX245" s="310">
        <v>0</v>
      </c>
      <c r="AY245" s="310">
        <v>0.23723669999999999</v>
      </c>
      <c r="AZ245" s="310">
        <v>0.2420225</v>
      </c>
      <c r="BA245" s="310">
        <v>0.19862730000000001</v>
      </c>
      <c r="BB245" s="310">
        <v>0.2504343</v>
      </c>
      <c r="BC245" s="310">
        <v>0.246646</v>
      </c>
      <c r="BD245" s="310">
        <v>0.2431247</v>
      </c>
      <c r="BE245" s="310">
        <v>0.24736540000000001</v>
      </c>
      <c r="BF245" s="310">
        <v>0.24514179999999999</v>
      </c>
      <c r="BG245" s="310">
        <v>0.24656159999999999</v>
      </c>
      <c r="BH245" s="310">
        <v>0.24373929999999999</v>
      </c>
      <c r="BI245" s="310">
        <v>0.24871190000000001</v>
      </c>
      <c r="BJ245" s="310">
        <v>0.24789220000000001</v>
      </c>
      <c r="BK245" s="310">
        <v>0.24878739999999999</v>
      </c>
    </row>
    <row r="246" spans="1:63" x14ac:dyDescent="0.25">
      <c r="A246" s="306">
        <v>334513</v>
      </c>
      <c r="B246" s="310" t="s">
        <v>6</v>
      </c>
      <c r="C246" s="310">
        <v>0.3013344</v>
      </c>
      <c r="D246" s="310">
        <v>0.2374291</v>
      </c>
      <c r="E246" s="310">
        <v>0.29150920000000002</v>
      </c>
      <c r="F246" s="310">
        <v>0.2918405</v>
      </c>
      <c r="G246" s="310">
        <v>0.29865750000000002</v>
      </c>
      <c r="H246" s="310">
        <v>0.29938520000000002</v>
      </c>
      <c r="I246" s="310">
        <v>0.29863210000000001</v>
      </c>
      <c r="J246" s="310">
        <v>0.27829409999999999</v>
      </c>
      <c r="K246" s="310">
        <v>0</v>
      </c>
      <c r="L246" s="310">
        <v>0.18408050000000001</v>
      </c>
      <c r="M246" s="310">
        <v>0.29725980000000002</v>
      </c>
      <c r="N246" s="310">
        <v>0.29668909999999998</v>
      </c>
      <c r="O246" s="310">
        <v>0.26545479999999999</v>
      </c>
      <c r="P246" s="310">
        <v>0.29451189999999999</v>
      </c>
      <c r="Q246" s="310">
        <v>0.29603699999999999</v>
      </c>
      <c r="R246" s="310">
        <v>0.29106799999999999</v>
      </c>
      <c r="S246" s="310">
        <v>0.29267339999999997</v>
      </c>
      <c r="T246" s="310">
        <v>0.26596259999999999</v>
      </c>
      <c r="U246" s="310">
        <v>0.28339999999999999</v>
      </c>
      <c r="V246" s="310">
        <v>0.29210029999999998</v>
      </c>
      <c r="W246" s="310">
        <v>0.26032739999999999</v>
      </c>
      <c r="X246" s="310">
        <v>0.26950770000000002</v>
      </c>
      <c r="Y246" s="310">
        <v>0.28869600000000001</v>
      </c>
      <c r="Z246" s="310">
        <v>0.29428159999999998</v>
      </c>
      <c r="AA246" s="310">
        <v>0.29565530000000001</v>
      </c>
      <c r="AB246" s="310">
        <v>0.27010430000000002</v>
      </c>
      <c r="AC246" s="310">
        <v>0.27898980000000001</v>
      </c>
      <c r="AD246" s="310">
        <v>0.27298850000000002</v>
      </c>
      <c r="AE246" s="310">
        <v>0.29674250000000002</v>
      </c>
      <c r="AF246" s="310">
        <v>0</v>
      </c>
      <c r="AG246" s="310">
        <v>0.28527540000000001</v>
      </c>
      <c r="AH246" s="310">
        <v>0.25327359999999999</v>
      </c>
      <c r="AI246" s="310">
        <v>0.27046799999999999</v>
      </c>
      <c r="AJ246" s="310">
        <v>0.29736030000000002</v>
      </c>
      <c r="AK246" s="310">
        <v>0.26944050000000003</v>
      </c>
      <c r="AL246" s="310">
        <v>0.2718564</v>
      </c>
      <c r="AM246" s="310">
        <v>0.29493140000000001</v>
      </c>
      <c r="AN246" s="310">
        <v>0.29796479999999997</v>
      </c>
      <c r="AO246" s="310">
        <v>0.2913927</v>
      </c>
      <c r="AP246" s="310">
        <v>0.28694239999999999</v>
      </c>
      <c r="AQ246" s="310">
        <v>0.25604779999999999</v>
      </c>
      <c r="AR246" s="310">
        <v>0.28879569999999999</v>
      </c>
      <c r="AS246" s="310">
        <v>0.19609109999999999</v>
      </c>
      <c r="AT246" s="310">
        <v>0.28750870000000001</v>
      </c>
      <c r="AU246" s="310">
        <v>0.2990604</v>
      </c>
      <c r="AV246" s="310">
        <v>0.29416550000000002</v>
      </c>
      <c r="AW246" s="310">
        <v>0.27317370000000002</v>
      </c>
      <c r="AX246" s="310">
        <v>0.29346430000000001</v>
      </c>
      <c r="AY246" s="310">
        <v>0.28547650000000002</v>
      </c>
      <c r="AZ246" s="310">
        <v>0.29127399999999998</v>
      </c>
      <c r="BA246" s="310">
        <v>0.23907929999999999</v>
      </c>
      <c r="BB246" s="310">
        <v>0</v>
      </c>
      <c r="BC246" s="310">
        <v>0.29683169999999998</v>
      </c>
      <c r="BD246" s="310">
        <v>0.29260979999999998</v>
      </c>
      <c r="BE246" s="310">
        <v>0.29770649999999999</v>
      </c>
      <c r="BF246" s="310">
        <v>0.29506690000000002</v>
      </c>
      <c r="BG246" s="310">
        <v>0.29674679999999998</v>
      </c>
      <c r="BH246" s="310">
        <v>0.29331790000000002</v>
      </c>
      <c r="BI246" s="310">
        <v>0.29934309999999997</v>
      </c>
      <c r="BJ246" s="310">
        <v>0.29834119999999997</v>
      </c>
      <c r="BK246" s="310">
        <v>0.29943209999999998</v>
      </c>
    </row>
    <row r="247" spans="1:63" x14ac:dyDescent="0.25">
      <c r="A247" s="306">
        <v>334514</v>
      </c>
      <c r="B247" s="310" t="s">
        <v>225</v>
      </c>
      <c r="C247" s="310">
        <v>0.17356849999999999</v>
      </c>
      <c r="D247" s="310">
        <v>0</v>
      </c>
      <c r="E247" s="310">
        <v>0.167902</v>
      </c>
      <c r="F247" s="310">
        <v>0.1680894</v>
      </c>
      <c r="G247" s="310">
        <v>0.1720267</v>
      </c>
      <c r="H247" s="310">
        <v>0.172407</v>
      </c>
      <c r="I247" s="310">
        <v>0.17198740000000001</v>
      </c>
      <c r="J247" s="310">
        <v>0.16030469999999999</v>
      </c>
      <c r="K247" s="310">
        <v>0</v>
      </c>
      <c r="L247" s="310">
        <v>0</v>
      </c>
      <c r="M247" s="310">
        <v>0.17123430000000001</v>
      </c>
      <c r="N247" s="310">
        <v>0.1708788</v>
      </c>
      <c r="O247" s="310">
        <v>0</v>
      </c>
      <c r="P247" s="310">
        <v>0.16963739999999999</v>
      </c>
      <c r="Q247" s="310">
        <v>0.1704832</v>
      </c>
      <c r="R247" s="310">
        <v>0.16765189999999999</v>
      </c>
      <c r="S247" s="310">
        <v>0.1686058</v>
      </c>
      <c r="T247" s="310">
        <v>0</v>
      </c>
      <c r="U247" s="310">
        <v>0.16319410000000001</v>
      </c>
      <c r="V247" s="310">
        <v>0.168271</v>
      </c>
      <c r="W247" s="310">
        <v>0.14995059999999999</v>
      </c>
      <c r="X247" s="310">
        <v>0.1552576</v>
      </c>
      <c r="Y247" s="310">
        <v>0</v>
      </c>
      <c r="Z247" s="310">
        <v>0.16950979999999999</v>
      </c>
      <c r="AA247" s="310">
        <v>0.1702776</v>
      </c>
      <c r="AB247" s="310">
        <v>0.1555849</v>
      </c>
      <c r="AC247" s="310">
        <v>0</v>
      </c>
      <c r="AD247" s="310">
        <v>0</v>
      </c>
      <c r="AE247" s="310">
        <v>0.1709165</v>
      </c>
      <c r="AF247" s="310">
        <v>0</v>
      </c>
      <c r="AG247" s="310">
        <v>0.16430249999999999</v>
      </c>
      <c r="AH247" s="310">
        <v>0</v>
      </c>
      <c r="AI247" s="310">
        <v>0.155754</v>
      </c>
      <c r="AJ247" s="310">
        <v>0.17125270000000001</v>
      </c>
      <c r="AK247" s="310">
        <v>0.15515129999999999</v>
      </c>
      <c r="AL247" s="310">
        <v>0.15657499999999999</v>
      </c>
      <c r="AM247" s="310">
        <v>0.16988200000000001</v>
      </c>
      <c r="AN247" s="310">
        <v>0.1716212</v>
      </c>
      <c r="AO247" s="310">
        <v>0.16783819999999999</v>
      </c>
      <c r="AP247" s="310">
        <v>0.16526379999999999</v>
      </c>
      <c r="AQ247" s="310">
        <v>0</v>
      </c>
      <c r="AR247" s="310">
        <v>0.16633919999999999</v>
      </c>
      <c r="AS247" s="310">
        <v>0</v>
      </c>
      <c r="AT247" s="310">
        <v>0</v>
      </c>
      <c r="AU247" s="310">
        <v>0.17223569999999999</v>
      </c>
      <c r="AV247" s="310">
        <v>0</v>
      </c>
      <c r="AW247" s="310">
        <v>0.15732170000000001</v>
      </c>
      <c r="AX247" s="310">
        <v>0.16902339999999999</v>
      </c>
      <c r="AY247" s="310">
        <v>0.164436</v>
      </c>
      <c r="AZ247" s="310">
        <v>0.1677458</v>
      </c>
      <c r="BA247" s="310">
        <v>0.13766030000000001</v>
      </c>
      <c r="BB247" s="310">
        <v>0</v>
      </c>
      <c r="BC247" s="310">
        <v>0.17092860000000001</v>
      </c>
      <c r="BD247" s="310">
        <v>0.1685064</v>
      </c>
      <c r="BE247" s="310">
        <v>0.17144870000000001</v>
      </c>
      <c r="BF247" s="310">
        <v>0.1699367</v>
      </c>
      <c r="BG247" s="310">
        <v>0.17093530000000001</v>
      </c>
      <c r="BH247" s="310">
        <v>0.16892769999999999</v>
      </c>
      <c r="BI247" s="310">
        <v>0.17238519999999999</v>
      </c>
      <c r="BJ247" s="310">
        <v>0.17181959999999999</v>
      </c>
      <c r="BK247" s="310">
        <v>0.17246610000000001</v>
      </c>
    </row>
    <row r="248" spans="1:63" x14ac:dyDescent="0.25">
      <c r="A248" s="306">
        <v>334515</v>
      </c>
      <c r="B248" s="310" t="s">
        <v>4</v>
      </c>
      <c r="C248" s="310">
        <v>0.3939667</v>
      </c>
      <c r="D248" s="310">
        <v>0</v>
      </c>
      <c r="E248" s="310">
        <v>0.38103429999999999</v>
      </c>
      <c r="F248" s="310">
        <v>0.3814862</v>
      </c>
      <c r="G248" s="310">
        <v>0.39040019999999998</v>
      </c>
      <c r="H248" s="310">
        <v>0.3913103</v>
      </c>
      <c r="I248" s="310">
        <v>0.39034629999999998</v>
      </c>
      <c r="J248" s="310">
        <v>0.36376459999999999</v>
      </c>
      <c r="K248" s="310">
        <v>6.0305499999999998E-2</v>
      </c>
      <c r="L248" s="310">
        <v>0.2405834</v>
      </c>
      <c r="M248" s="310">
        <v>0.38857710000000001</v>
      </c>
      <c r="N248" s="310">
        <v>0.38785960000000003</v>
      </c>
      <c r="O248" s="310">
        <v>0</v>
      </c>
      <c r="P248" s="310">
        <v>0.38502120000000001</v>
      </c>
      <c r="Q248" s="310">
        <v>0.38693509999999998</v>
      </c>
      <c r="R248" s="310">
        <v>0.3804497</v>
      </c>
      <c r="S248" s="310">
        <v>0.38265270000000001</v>
      </c>
      <c r="T248" s="310">
        <v>0.3476419</v>
      </c>
      <c r="U248" s="310">
        <v>0.37047669999999999</v>
      </c>
      <c r="V248" s="310">
        <v>0.38185049999999998</v>
      </c>
      <c r="W248" s="310">
        <v>0.34029949999999998</v>
      </c>
      <c r="X248" s="310">
        <v>0.3523097</v>
      </c>
      <c r="Y248" s="310">
        <v>0</v>
      </c>
      <c r="Z248" s="310">
        <v>0.38466689999999998</v>
      </c>
      <c r="AA248" s="310">
        <v>0.3864146</v>
      </c>
      <c r="AB248" s="310">
        <v>0.35306120000000002</v>
      </c>
      <c r="AC248" s="310">
        <v>0.36466330000000002</v>
      </c>
      <c r="AD248" s="310">
        <v>0.35678310000000002</v>
      </c>
      <c r="AE248" s="310">
        <v>0.38792720000000003</v>
      </c>
      <c r="AF248" s="310">
        <v>0</v>
      </c>
      <c r="AG248" s="310">
        <v>0.37294769999999999</v>
      </c>
      <c r="AH248" s="310">
        <v>0.33111200000000002</v>
      </c>
      <c r="AI248" s="310">
        <v>0.35351490000000002</v>
      </c>
      <c r="AJ248" s="310">
        <v>0.38865509999999998</v>
      </c>
      <c r="AK248" s="310">
        <v>0.35221049999999998</v>
      </c>
      <c r="AL248" s="310">
        <v>0.35534739999999998</v>
      </c>
      <c r="AM248" s="310">
        <v>0.3855131</v>
      </c>
      <c r="AN248" s="310">
        <v>0.38945099999999999</v>
      </c>
      <c r="AO248" s="310">
        <v>0.38091829999999999</v>
      </c>
      <c r="AP248" s="310">
        <v>0.3750732</v>
      </c>
      <c r="AQ248" s="310">
        <v>0.33471620000000002</v>
      </c>
      <c r="AR248" s="310">
        <v>0.37756099999999998</v>
      </c>
      <c r="AS248" s="310">
        <v>0.25639400000000001</v>
      </c>
      <c r="AT248" s="310">
        <v>0.37584529999999999</v>
      </c>
      <c r="AU248" s="310">
        <v>0.39093830000000002</v>
      </c>
      <c r="AV248" s="310">
        <v>0.38451829999999998</v>
      </c>
      <c r="AW248" s="310">
        <v>0.3571319</v>
      </c>
      <c r="AX248" s="310">
        <v>0.3835962</v>
      </c>
      <c r="AY248" s="310">
        <v>0.37317090000000003</v>
      </c>
      <c r="AZ248" s="310">
        <v>0.38072709999999998</v>
      </c>
      <c r="BA248" s="310">
        <v>0.3125</v>
      </c>
      <c r="BB248" s="310">
        <v>0</v>
      </c>
      <c r="BC248" s="310">
        <v>0.38796079999999999</v>
      </c>
      <c r="BD248" s="310">
        <v>0.38247940000000002</v>
      </c>
      <c r="BE248" s="310">
        <v>0.3891734</v>
      </c>
      <c r="BF248" s="310">
        <v>0.38564579999999998</v>
      </c>
      <c r="BG248" s="310">
        <v>0.38794489999999998</v>
      </c>
      <c r="BH248" s="310">
        <v>0.38341760000000003</v>
      </c>
      <c r="BI248" s="310">
        <v>0.3912505</v>
      </c>
      <c r="BJ248" s="310">
        <v>0.38995350000000001</v>
      </c>
      <c r="BK248" s="310">
        <v>0.39137529999999998</v>
      </c>
    </row>
    <row r="249" spans="1:63" x14ac:dyDescent="0.25">
      <c r="A249" s="306">
        <v>334516</v>
      </c>
      <c r="B249" s="310" t="s">
        <v>226</v>
      </c>
      <c r="C249" s="310">
        <v>0.27735310000000002</v>
      </c>
      <c r="D249" s="310">
        <v>0</v>
      </c>
      <c r="E249" s="310">
        <v>0.2682927</v>
      </c>
      <c r="F249" s="310">
        <v>0</v>
      </c>
      <c r="G249" s="310">
        <v>0.27489019999999997</v>
      </c>
      <c r="H249" s="310">
        <v>0.27554020000000001</v>
      </c>
      <c r="I249" s="310">
        <v>0.27483649999999998</v>
      </c>
      <c r="J249" s="310">
        <v>0.25609890000000002</v>
      </c>
      <c r="K249" s="310">
        <v>4.2460999999999999E-2</v>
      </c>
      <c r="L249" s="310">
        <v>0.1693624</v>
      </c>
      <c r="M249" s="310">
        <v>0.27360849999999998</v>
      </c>
      <c r="N249" s="310">
        <v>0.27305299999999999</v>
      </c>
      <c r="O249" s="310">
        <v>0</v>
      </c>
      <c r="P249" s="310">
        <v>0</v>
      </c>
      <c r="Q249" s="310">
        <v>0.27240930000000002</v>
      </c>
      <c r="R249" s="310">
        <v>0.26787620000000001</v>
      </c>
      <c r="S249" s="310">
        <v>0.2693663</v>
      </c>
      <c r="T249" s="310">
        <v>0</v>
      </c>
      <c r="U249" s="310">
        <v>0.26081870000000001</v>
      </c>
      <c r="V249" s="310">
        <v>0.26884089999999999</v>
      </c>
      <c r="W249" s="310">
        <v>0.23959659999999999</v>
      </c>
      <c r="X249" s="310">
        <v>0.2480424</v>
      </c>
      <c r="Y249" s="310">
        <v>0.26569599999999999</v>
      </c>
      <c r="Z249" s="310">
        <v>0.27086840000000001</v>
      </c>
      <c r="AA249" s="310">
        <v>0.27207710000000002</v>
      </c>
      <c r="AB249" s="310">
        <v>0.24858730000000001</v>
      </c>
      <c r="AC249" s="310">
        <v>0.2567237</v>
      </c>
      <c r="AD249" s="310">
        <v>0.25122650000000002</v>
      </c>
      <c r="AE249" s="310">
        <v>0.2731461</v>
      </c>
      <c r="AF249" s="310">
        <v>0</v>
      </c>
      <c r="AG249" s="310">
        <v>0.2625498</v>
      </c>
      <c r="AH249" s="310">
        <v>0.23313139999999999</v>
      </c>
      <c r="AI249" s="310">
        <v>0.24891070000000001</v>
      </c>
      <c r="AJ249" s="310">
        <v>0.27364290000000002</v>
      </c>
      <c r="AK249" s="310">
        <v>0.24793689999999999</v>
      </c>
      <c r="AL249" s="310">
        <v>0.25015300000000001</v>
      </c>
      <c r="AM249" s="310">
        <v>0.27143339999999999</v>
      </c>
      <c r="AN249" s="310">
        <v>0.27420470000000002</v>
      </c>
      <c r="AO249" s="310">
        <v>0.26818779999999998</v>
      </c>
      <c r="AP249" s="310">
        <v>0.2640864</v>
      </c>
      <c r="AQ249" s="310">
        <v>0.23565159999999999</v>
      </c>
      <c r="AR249" s="310">
        <v>0.265822</v>
      </c>
      <c r="AS249" s="310">
        <v>0</v>
      </c>
      <c r="AT249" s="310">
        <v>0.26456659999999999</v>
      </c>
      <c r="AU249" s="310">
        <v>0.27525569999999999</v>
      </c>
      <c r="AV249" s="310">
        <v>0.27071030000000001</v>
      </c>
      <c r="AW249" s="310">
        <v>0.25143399999999999</v>
      </c>
      <c r="AX249" s="310">
        <v>0.27004030000000001</v>
      </c>
      <c r="AY249" s="310">
        <v>0.2627565</v>
      </c>
      <c r="AZ249" s="310">
        <v>0.26805449999999997</v>
      </c>
      <c r="BA249" s="310">
        <v>0</v>
      </c>
      <c r="BB249" s="310">
        <v>0.27737469999999997</v>
      </c>
      <c r="BC249" s="310">
        <v>0.27316289999999999</v>
      </c>
      <c r="BD249" s="310">
        <v>0.26930759999999998</v>
      </c>
      <c r="BE249" s="310">
        <v>0.27399689999999999</v>
      </c>
      <c r="BF249" s="310">
        <v>0.2715457</v>
      </c>
      <c r="BG249" s="310">
        <v>0.27309850000000002</v>
      </c>
      <c r="BH249" s="310">
        <v>0.2699685</v>
      </c>
      <c r="BI249" s="310">
        <v>0.27549669999999998</v>
      </c>
      <c r="BJ249" s="310">
        <v>0.27454210000000001</v>
      </c>
      <c r="BK249" s="310">
        <v>0.27555839999999998</v>
      </c>
    </row>
    <row r="250" spans="1:63" x14ac:dyDescent="0.25">
      <c r="A250" s="306">
        <v>334517</v>
      </c>
      <c r="B250" s="310" t="s">
        <v>227</v>
      </c>
      <c r="C250" s="310">
        <v>0.19389690000000001</v>
      </c>
      <c r="D250" s="310">
        <v>0.15276139999999999</v>
      </c>
      <c r="E250" s="310">
        <v>0.18756200000000001</v>
      </c>
      <c r="F250" s="310">
        <v>0</v>
      </c>
      <c r="G250" s="310">
        <v>0.19211610000000001</v>
      </c>
      <c r="H250" s="310">
        <v>0.192582</v>
      </c>
      <c r="I250" s="310">
        <v>0.19213479999999999</v>
      </c>
      <c r="J250" s="310">
        <v>0.1790591</v>
      </c>
      <c r="K250" s="310">
        <v>0</v>
      </c>
      <c r="L250" s="310">
        <v>0</v>
      </c>
      <c r="M250" s="310">
        <v>0.1912153</v>
      </c>
      <c r="N250" s="310">
        <v>0.190883</v>
      </c>
      <c r="O250" s="310">
        <v>0</v>
      </c>
      <c r="P250" s="310">
        <v>0.18946789999999999</v>
      </c>
      <c r="Q250" s="310">
        <v>0</v>
      </c>
      <c r="R250" s="310">
        <v>0.1872759</v>
      </c>
      <c r="S250" s="310">
        <v>0.18832860000000001</v>
      </c>
      <c r="T250" s="310">
        <v>0.17107220000000001</v>
      </c>
      <c r="U250" s="310">
        <v>0.18228259999999999</v>
      </c>
      <c r="V250" s="310">
        <v>0.18796750000000001</v>
      </c>
      <c r="W250" s="310">
        <v>0.1674534</v>
      </c>
      <c r="X250" s="310">
        <v>0.17340720000000001</v>
      </c>
      <c r="Y250" s="310">
        <v>0</v>
      </c>
      <c r="Z250" s="310">
        <v>0.189335</v>
      </c>
      <c r="AA250" s="310">
        <v>0.19020219999999999</v>
      </c>
      <c r="AB250" s="310">
        <v>0.17378399999999999</v>
      </c>
      <c r="AC250" s="310">
        <v>0</v>
      </c>
      <c r="AD250" s="310">
        <v>0</v>
      </c>
      <c r="AE250" s="310">
        <v>0.19090560000000001</v>
      </c>
      <c r="AF250" s="310">
        <v>0</v>
      </c>
      <c r="AG250" s="310">
        <v>0</v>
      </c>
      <c r="AH250" s="310">
        <v>0</v>
      </c>
      <c r="AI250" s="310">
        <v>0.1740256</v>
      </c>
      <c r="AJ250" s="310">
        <v>0.1912778</v>
      </c>
      <c r="AK250" s="310">
        <v>0</v>
      </c>
      <c r="AL250" s="310">
        <v>0.17487430000000001</v>
      </c>
      <c r="AM250" s="310">
        <v>0.1897653</v>
      </c>
      <c r="AN250" s="310">
        <v>0.1916689</v>
      </c>
      <c r="AO250" s="310">
        <v>0.18746289999999999</v>
      </c>
      <c r="AP250" s="310">
        <v>0.18459739999999999</v>
      </c>
      <c r="AQ250" s="310">
        <v>0.1647525</v>
      </c>
      <c r="AR250" s="310">
        <v>0</v>
      </c>
      <c r="AS250" s="310">
        <v>0</v>
      </c>
      <c r="AT250" s="310">
        <v>0.18497559999999999</v>
      </c>
      <c r="AU250" s="310">
        <v>0.1924197</v>
      </c>
      <c r="AV250" s="310">
        <v>0.18925629999999999</v>
      </c>
      <c r="AW250" s="310">
        <v>0</v>
      </c>
      <c r="AX250" s="310">
        <v>0.1887704</v>
      </c>
      <c r="AY250" s="310">
        <v>0.18368490000000001</v>
      </c>
      <c r="AZ250" s="310">
        <v>0.1874083</v>
      </c>
      <c r="BA250" s="310">
        <v>0.15376290000000001</v>
      </c>
      <c r="BB250" s="310">
        <v>0</v>
      </c>
      <c r="BC250" s="310">
        <v>0.19095780000000001</v>
      </c>
      <c r="BD250" s="310">
        <v>0.18824289999999999</v>
      </c>
      <c r="BE250" s="310">
        <v>0.19154379999999999</v>
      </c>
      <c r="BF250" s="310">
        <v>0.18982450000000001</v>
      </c>
      <c r="BG250" s="310">
        <v>0.1909448</v>
      </c>
      <c r="BH250" s="310">
        <v>0.18871879999999999</v>
      </c>
      <c r="BI250" s="310">
        <v>0.19257389999999999</v>
      </c>
      <c r="BJ250" s="310">
        <v>0.1919274</v>
      </c>
      <c r="BK250" s="310">
        <v>0.19264790000000001</v>
      </c>
    </row>
    <row r="251" spans="1:63" x14ac:dyDescent="0.25">
      <c r="A251" s="306" t="s">
        <v>740</v>
      </c>
      <c r="B251" s="310" t="s">
        <v>228</v>
      </c>
      <c r="C251" s="310">
        <v>0.30790840000000003</v>
      </c>
      <c r="D251" s="310">
        <v>0</v>
      </c>
      <c r="E251" s="310">
        <v>0.29783720000000002</v>
      </c>
      <c r="F251" s="310">
        <v>0.29813319999999999</v>
      </c>
      <c r="G251" s="310">
        <v>0.3051393</v>
      </c>
      <c r="H251" s="310">
        <v>0.3058266</v>
      </c>
      <c r="I251" s="310">
        <v>0.30505110000000002</v>
      </c>
      <c r="J251" s="310">
        <v>0.284298</v>
      </c>
      <c r="K251" s="310">
        <v>0</v>
      </c>
      <c r="L251" s="310">
        <v>0</v>
      </c>
      <c r="M251" s="310">
        <v>0.30366320000000002</v>
      </c>
      <c r="N251" s="310">
        <v>0.30310680000000001</v>
      </c>
      <c r="O251" s="310">
        <v>0</v>
      </c>
      <c r="P251" s="310">
        <v>0.30089440000000001</v>
      </c>
      <c r="Q251" s="310">
        <v>0.30237409999999998</v>
      </c>
      <c r="R251" s="310">
        <v>0.297342</v>
      </c>
      <c r="S251" s="310">
        <v>0.29904789999999998</v>
      </c>
      <c r="T251" s="310">
        <v>0.27170280000000002</v>
      </c>
      <c r="U251" s="310">
        <v>0.28947729999999999</v>
      </c>
      <c r="V251" s="310">
        <v>0.29847869999999999</v>
      </c>
      <c r="W251" s="310">
        <v>0.26594440000000003</v>
      </c>
      <c r="X251" s="310">
        <v>0.2753718</v>
      </c>
      <c r="Y251" s="310">
        <v>0.29490650000000002</v>
      </c>
      <c r="Z251" s="310">
        <v>0.30067070000000001</v>
      </c>
      <c r="AA251" s="310">
        <v>0.30204490000000001</v>
      </c>
      <c r="AB251" s="310">
        <v>0.27598719999999999</v>
      </c>
      <c r="AC251" s="310">
        <v>0.28496519999999997</v>
      </c>
      <c r="AD251" s="310">
        <v>0.27891700000000003</v>
      </c>
      <c r="AE251" s="310">
        <v>0.30319119999999999</v>
      </c>
      <c r="AF251" s="310">
        <v>0.2647698</v>
      </c>
      <c r="AG251" s="310">
        <v>0.29144209999999998</v>
      </c>
      <c r="AH251" s="310">
        <v>0.25878000000000001</v>
      </c>
      <c r="AI251" s="310">
        <v>0.27629359999999997</v>
      </c>
      <c r="AJ251" s="310">
        <v>0.303755</v>
      </c>
      <c r="AK251" s="310">
        <v>0.275227</v>
      </c>
      <c r="AL251" s="310">
        <v>0.2777384</v>
      </c>
      <c r="AM251" s="310">
        <v>0.30128899999999997</v>
      </c>
      <c r="AN251" s="310">
        <v>0.30440990000000001</v>
      </c>
      <c r="AO251" s="310">
        <v>0.29768820000000001</v>
      </c>
      <c r="AP251" s="310">
        <v>0.29313810000000001</v>
      </c>
      <c r="AQ251" s="310">
        <v>0.26158609999999999</v>
      </c>
      <c r="AR251" s="310">
        <v>0.2950469</v>
      </c>
      <c r="AS251" s="310">
        <v>0</v>
      </c>
      <c r="AT251" s="310">
        <v>0.29371619999999998</v>
      </c>
      <c r="AU251" s="310">
        <v>0.30555719999999997</v>
      </c>
      <c r="AV251" s="310">
        <v>0.3005042</v>
      </c>
      <c r="AW251" s="310">
        <v>0.27909780000000001</v>
      </c>
      <c r="AX251" s="310">
        <v>0.29977720000000002</v>
      </c>
      <c r="AY251" s="310">
        <v>0.29170689999999999</v>
      </c>
      <c r="AZ251" s="310">
        <v>0.29753869999999999</v>
      </c>
      <c r="BA251" s="310">
        <v>0.24425459999999999</v>
      </c>
      <c r="BB251" s="310">
        <v>0.30790509999999999</v>
      </c>
      <c r="BC251" s="310">
        <v>0.30322009999999999</v>
      </c>
      <c r="BD251" s="310">
        <v>0.29892030000000003</v>
      </c>
      <c r="BE251" s="310">
        <v>0.30415940000000002</v>
      </c>
      <c r="BF251" s="310">
        <v>0.30141230000000002</v>
      </c>
      <c r="BG251" s="310">
        <v>0.30315890000000001</v>
      </c>
      <c r="BH251" s="310">
        <v>0.2996548</v>
      </c>
      <c r="BI251" s="310">
        <v>0.30578870000000002</v>
      </c>
      <c r="BJ251" s="310">
        <v>0.30481849999999999</v>
      </c>
      <c r="BK251" s="310">
        <v>0.30587639999999999</v>
      </c>
    </row>
    <row r="252" spans="1:63" x14ac:dyDescent="0.25">
      <c r="A252" s="306">
        <v>334613</v>
      </c>
      <c r="B252" s="310" t="s">
        <v>229</v>
      </c>
      <c r="C252" s="310">
        <v>0.1300588</v>
      </c>
      <c r="D252" s="310">
        <v>0</v>
      </c>
      <c r="E252" s="310">
        <v>0.12581990000000001</v>
      </c>
      <c r="F252" s="310">
        <v>0</v>
      </c>
      <c r="G252" s="310">
        <v>0.12887209999999999</v>
      </c>
      <c r="H252" s="310">
        <v>0.1292053</v>
      </c>
      <c r="I252" s="310">
        <v>0.12889</v>
      </c>
      <c r="J252" s="310">
        <v>0.1201198</v>
      </c>
      <c r="K252" s="310">
        <v>1.9899099999999999E-2</v>
      </c>
      <c r="L252" s="310">
        <v>0</v>
      </c>
      <c r="M252" s="310">
        <v>0.1282915</v>
      </c>
      <c r="N252" s="310">
        <v>0.1280483</v>
      </c>
      <c r="O252" s="310">
        <v>0</v>
      </c>
      <c r="P252" s="310">
        <v>0</v>
      </c>
      <c r="Q252" s="310">
        <v>0</v>
      </c>
      <c r="R252" s="310">
        <v>0.1256264</v>
      </c>
      <c r="S252" s="310">
        <v>0</v>
      </c>
      <c r="T252" s="310">
        <v>0.11474239999999999</v>
      </c>
      <c r="U252" s="310">
        <v>0</v>
      </c>
      <c r="V252" s="310">
        <v>0</v>
      </c>
      <c r="W252" s="310">
        <v>0.11236119999999999</v>
      </c>
      <c r="X252" s="310">
        <v>0.1163358</v>
      </c>
      <c r="Y252" s="310">
        <v>0.12456109999999999</v>
      </c>
      <c r="Z252" s="310">
        <v>0</v>
      </c>
      <c r="AA252" s="310">
        <v>0.12756120000000001</v>
      </c>
      <c r="AB252" s="310">
        <v>0</v>
      </c>
      <c r="AC252" s="310">
        <v>0</v>
      </c>
      <c r="AD252" s="310">
        <v>0</v>
      </c>
      <c r="AE252" s="310">
        <v>0.12808430000000001</v>
      </c>
      <c r="AF252" s="310">
        <v>0.11186309999999999</v>
      </c>
      <c r="AG252" s="310">
        <v>0</v>
      </c>
      <c r="AH252" s="310">
        <v>0</v>
      </c>
      <c r="AI252" s="310">
        <v>0.1167058</v>
      </c>
      <c r="AJ252" s="310">
        <v>0</v>
      </c>
      <c r="AK252" s="310">
        <v>0.1162605</v>
      </c>
      <c r="AL252" s="310">
        <v>0.1173035</v>
      </c>
      <c r="AM252" s="310">
        <v>0</v>
      </c>
      <c r="AN252" s="310">
        <v>0.1285753</v>
      </c>
      <c r="AO252" s="310">
        <v>0</v>
      </c>
      <c r="AP252" s="310">
        <v>0</v>
      </c>
      <c r="AQ252" s="310">
        <v>0</v>
      </c>
      <c r="AR252" s="310">
        <v>0</v>
      </c>
      <c r="AS252" s="310">
        <v>0</v>
      </c>
      <c r="AT252" s="310">
        <v>0</v>
      </c>
      <c r="AU252" s="310">
        <v>0.1290857</v>
      </c>
      <c r="AV252" s="310">
        <v>0.1269439</v>
      </c>
      <c r="AW252" s="310">
        <v>0</v>
      </c>
      <c r="AX252" s="310">
        <v>0</v>
      </c>
      <c r="AY252" s="310">
        <v>0.1232084</v>
      </c>
      <c r="AZ252" s="310">
        <v>0</v>
      </c>
      <c r="BA252" s="310">
        <v>0</v>
      </c>
      <c r="BB252" s="310">
        <v>0</v>
      </c>
      <c r="BC252" s="310">
        <v>0.12809619999999999</v>
      </c>
      <c r="BD252" s="310">
        <v>0.12626470000000001</v>
      </c>
      <c r="BE252" s="310">
        <v>0.1284998</v>
      </c>
      <c r="BF252" s="310">
        <v>0.12732470000000001</v>
      </c>
      <c r="BG252" s="310">
        <v>0.12808649999999999</v>
      </c>
      <c r="BH252" s="310">
        <v>0.12656809999999999</v>
      </c>
      <c r="BI252" s="310">
        <v>0.12919259999999999</v>
      </c>
      <c r="BJ252" s="310">
        <v>0.12876499999999999</v>
      </c>
      <c r="BK252" s="310">
        <v>0.1292362</v>
      </c>
    </row>
    <row r="253" spans="1:63" x14ac:dyDescent="0.25">
      <c r="A253" s="306" t="s">
        <v>741</v>
      </c>
      <c r="B253" s="310" t="s">
        <v>742</v>
      </c>
      <c r="C253" s="310">
        <v>0.23970140000000001</v>
      </c>
      <c r="D253" s="310">
        <v>0</v>
      </c>
      <c r="E253" s="310">
        <v>0.2319012</v>
      </c>
      <c r="F253" s="310">
        <v>0.23212849999999999</v>
      </c>
      <c r="G253" s="310">
        <v>0.2375833</v>
      </c>
      <c r="H253" s="310">
        <v>0.23812810000000001</v>
      </c>
      <c r="I253" s="310">
        <v>0.23754400000000001</v>
      </c>
      <c r="J253" s="310">
        <v>0.221358</v>
      </c>
      <c r="K253" s="310">
        <v>3.6698399999999999E-2</v>
      </c>
      <c r="L253" s="310">
        <v>0.14638760000000001</v>
      </c>
      <c r="M253" s="310">
        <v>0.2364877</v>
      </c>
      <c r="N253" s="310">
        <v>0.2360265</v>
      </c>
      <c r="O253" s="310">
        <v>0</v>
      </c>
      <c r="P253" s="310">
        <v>0.23427600000000001</v>
      </c>
      <c r="Q253" s="310">
        <v>0.23547499999999999</v>
      </c>
      <c r="R253" s="310">
        <v>0.23152329999999999</v>
      </c>
      <c r="S253" s="310">
        <v>0.23286589999999999</v>
      </c>
      <c r="T253" s="310">
        <v>0.21155959999999999</v>
      </c>
      <c r="U253" s="310">
        <v>0.22543099999999999</v>
      </c>
      <c r="V253" s="310">
        <v>0.23240830000000001</v>
      </c>
      <c r="W253" s="310">
        <v>0.20706630000000001</v>
      </c>
      <c r="X253" s="310">
        <v>0.2144066</v>
      </c>
      <c r="Y253" s="310">
        <v>0.22960530000000001</v>
      </c>
      <c r="Z253" s="310">
        <v>0.23407849999999999</v>
      </c>
      <c r="AA253" s="310">
        <v>0.23514160000000001</v>
      </c>
      <c r="AB253" s="310">
        <v>0.21486240000000001</v>
      </c>
      <c r="AC253" s="310">
        <v>0</v>
      </c>
      <c r="AD253" s="310">
        <v>0.21716440000000001</v>
      </c>
      <c r="AE253" s="310">
        <v>0.2360469</v>
      </c>
      <c r="AF253" s="310">
        <v>0</v>
      </c>
      <c r="AG253" s="310">
        <v>0.22695129999999999</v>
      </c>
      <c r="AH253" s="310">
        <v>0.20151060000000001</v>
      </c>
      <c r="AI253" s="310">
        <v>0.21513309999999999</v>
      </c>
      <c r="AJ253" s="310">
        <v>0.2365411</v>
      </c>
      <c r="AK253" s="310">
        <v>0.21432419999999999</v>
      </c>
      <c r="AL253" s="310">
        <v>0.21623890000000001</v>
      </c>
      <c r="AM253" s="310">
        <v>0.23459179999999999</v>
      </c>
      <c r="AN253" s="310">
        <v>0.2369946</v>
      </c>
      <c r="AO253" s="310">
        <v>0.2317881</v>
      </c>
      <c r="AP253" s="310">
        <v>0.22827320000000001</v>
      </c>
      <c r="AQ253" s="310">
        <v>0.20371410000000001</v>
      </c>
      <c r="AR253" s="310">
        <v>0.22977249999999999</v>
      </c>
      <c r="AS253" s="310">
        <v>0</v>
      </c>
      <c r="AT253" s="310">
        <v>0.22870979999999999</v>
      </c>
      <c r="AU253" s="310">
        <v>0.2378847</v>
      </c>
      <c r="AV253" s="310">
        <v>0.2339888</v>
      </c>
      <c r="AW253" s="310">
        <v>0.21730949999999999</v>
      </c>
      <c r="AX253" s="310">
        <v>0.23339099999999999</v>
      </c>
      <c r="AY253" s="310">
        <v>0.22708110000000001</v>
      </c>
      <c r="AZ253" s="310">
        <v>0.23167219999999999</v>
      </c>
      <c r="BA253" s="310">
        <v>0.19018760000000001</v>
      </c>
      <c r="BB253" s="310">
        <v>0</v>
      </c>
      <c r="BC253" s="310">
        <v>0.23611879999999999</v>
      </c>
      <c r="BD253" s="310">
        <v>0.232765</v>
      </c>
      <c r="BE253" s="310">
        <v>0.23680000000000001</v>
      </c>
      <c r="BF253" s="310">
        <v>0.23468639999999999</v>
      </c>
      <c r="BG253" s="310">
        <v>0.2360853</v>
      </c>
      <c r="BH253" s="310">
        <v>0.23331830000000001</v>
      </c>
      <c r="BI253" s="310">
        <v>0.23812359999999999</v>
      </c>
      <c r="BJ253" s="310">
        <v>0.2372938</v>
      </c>
      <c r="BK253" s="310">
        <v>0.2381875</v>
      </c>
    </row>
    <row r="254" spans="1:63" x14ac:dyDescent="0.25">
      <c r="A254" s="306">
        <v>335110</v>
      </c>
      <c r="B254" s="310" t="s">
        <v>230</v>
      </c>
      <c r="C254" s="310">
        <v>0.22433030000000001</v>
      </c>
      <c r="D254" s="310">
        <v>0</v>
      </c>
      <c r="E254" s="310">
        <v>0.21943660000000001</v>
      </c>
      <c r="F254" s="310">
        <v>0.19426789999999999</v>
      </c>
      <c r="G254" s="310">
        <v>0.2166959</v>
      </c>
      <c r="H254" s="310">
        <v>0.22275829999999999</v>
      </c>
      <c r="I254" s="310">
        <v>0.22237499999999999</v>
      </c>
      <c r="J254" s="310">
        <v>0.20199880000000001</v>
      </c>
      <c r="K254" s="310">
        <v>0</v>
      </c>
      <c r="L254" s="310">
        <v>0</v>
      </c>
      <c r="M254" s="310">
        <v>0.2229585</v>
      </c>
      <c r="N254" s="310">
        <v>0</v>
      </c>
      <c r="O254" s="310">
        <v>0</v>
      </c>
      <c r="P254" s="310">
        <v>0.21375060000000001</v>
      </c>
      <c r="Q254" s="310">
        <v>0</v>
      </c>
      <c r="R254" s="310">
        <v>0.21707560000000001</v>
      </c>
      <c r="S254" s="310">
        <v>0.21171519999999999</v>
      </c>
      <c r="T254" s="310">
        <v>0</v>
      </c>
      <c r="U254" s="310">
        <v>0.20847289999999999</v>
      </c>
      <c r="V254" s="310">
        <v>0.2116025</v>
      </c>
      <c r="W254" s="310">
        <v>0.1880838</v>
      </c>
      <c r="X254" s="310">
        <v>0.2016937</v>
      </c>
      <c r="Y254" s="310">
        <v>0.22375139999999999</v>
      </c>
      <c r="Z254" s="310">
        <v>0</v>
      </c>
      <c r="AA254" s="310">
        <v>0</v>
      </c>
      <c r="AB254" s="310">
        <v>0.21267920000000001</v>
      </c>
      <c r="AC254" s="310">
        <v>0</v>
      </c>
      <c r="AD254" s="310">
        <v>0</v>
      </c>
      <c r="AE254" s="310">
        <v>0.2199738</v>
      </c>
      <c r="AF254" s="310">
        <v>0</v>
      </c>
      <c r="AG254" s="310">
        <v>0</v>
      </c>
      <c r="AH254" s="310">
        <v>0.20246030000000001</v>
      </c>
      <c r="AI254" s="310">
        <v>0.20456740000000001</v>
      </c>
      <c r="AJ254" s="310">
        <v>0</v>
      </c>
      <c r="AK254" s="310">
        <v>0</v>
      </c>
      <c r="AL254" s="310">
        <v>0.2107396</v>
      </c>
      <c r="AM254" s="310">
        <v>0.2187972</v>
      </c>
      <c r="AN254" s="310">
        <v>0</v>
      </c>
      <c r="AO254" s="310">
        <v>0.19092509999999999</v>
      </c>
      <c r="AP254" s="310">
        <v>0.21716360000000001</v>
      </c>
      <c r="AQ254" s="310">
        <v>0</v>
      </c>
      <c r="AR254" s="310">
        <v>0.2156102</v>
      </c>
      <c r="AS254" s="310">
        <v>0</v>
      </c>
      <c r="AT254" s="310">
        <v>0.2150511</v>
      </c>
      <c r="AU254" s="310">
        <v>0.21908259999999999</v>
      </c>
      <c r="AV254" s="310">
        <v>0</v>
      </c>
      <c r="AW254" s="310">
        <v>0.20740049999999999</v>
      </c>
      <c r="AX254" s="310">
        <v>0.21207110000000001</v>
      </c>
      <c r="AY254" s="310">
        <v>0</v>
      </c>
      <c r="AZ254" s="310">
        <v>0</v>
      </c>
      <c r="BA254" s="310">
        <v>0.19805980000000001</v>
      </c>
      <c r="BB254" s="310">
        <v>0</v>
      </c>
      <c r="BC254" s="310">
        <v>0.22070010000000001</v>
      </c>
      <c r="BD254" s="310">
        <v>0.2207739</v>
      </c>
      <c r="BE254" s="310">
        <v>0.2217906</v>
      </c>
      <c r="BF254" s="310">
        <v>0.21769749999999999</v>
      </c>
      <c r="BG254" s="310">
        <v>0.2209295</v>
      </c>
      <c r="BH254" s="310">
        <v>0.21754490000000001</v>
      </c>
      <c r="BI254" s="310">
        <v>0.22092349999999999</v>
      </c>
      <c r="BJ254" s="310">
        <v>0.21881229999999999</v>
      </c>
      <c r="BK254" s="310">
        <v>0.22282370000000001</v>
      </c>
    </row>
    <row r="255" spans="1:63" x14ac:dyDescent="0.25">
      <c r="A255" s="306">
        <v>335120</v>
      </c>
      <c r="B255" s="310" t="s">
        <v>231</v>
      </c>
      <c r="C255" s="310">
        <v>0.21135950000000001</v>
      </c>
      <c r="D255" s="310">
        <v>0</v>
      </c>
      <c r="E255" s="310">
        <v>0.2067379</v>
      </c>
      <c r="F255" s="310">
        <v>0.18303900000000001</v>
      </c>
      <c r="G255" s="310">
        <v>0.2042023</v>
      </c>
      <c r="H255" s="310">
        <v>0.20985500000000001</v>
      </c>
      <c r="I255" s="310">
        <v>0.2095187</v>
      </c>
      <c r="J255" s="310">
        <v>0.19033</v>
      </c>
      <c r="K255" s="310">
        <v>0</v>
      </c>
      <c r="L255" s="310">
        <v>0.16005649999999999</v>
      </c>
      <c r="M255" s="310">
        <v>0.21002299999999999</v>
      </c>
      <c r="N255" s="310">
        <v>0.2036212</v>
      </c>
      <c r="O255" s="310">
        <v>0.21137320000000001</v>
      </c>
      <c r="P255" s="310">
        <v>0.20136999999999999</v>
      </c>
      <c r="Q255" s="310">
        <v>0.18633250000000001</v>
      </c>
      <c r="R255" s="310">
        <v>0.20452709999999999</v>
      </c>
      <c r="S255" s="310">
        <v>0.19950290000000001</v>
      </c>
      <c r="T255" s="310">
        <v>0.19390009999999999</v>
      </c>
      <c r="U255" s="310">
        <v>0.19640750000000001</v>
      </c>
      <c r="V255" s="310">
        <v>0.19932079999999999</v>
      </c>
      <c r="W255" s="310">
        <v>0.17721780000000001</v>
      </c>
      <c r="X255" s="310">
        <v>0.19002920000000001</v>
      </c>
      <c r="Y255" s="310">
        <v>0.2107695</v>
      </c>
      <c r="Z255" s="310">
        <v>0.2011985</v>
      </c>
      <c r="AA255" s="310">
        <v>0.2083593</v>
      </c>
      <c r="AB255" s="310">
        <v>0.20039360000000001</v>
      </c>
      <c r="AC255" s="310">
        <v>0.2030235</v>
      </c>
      <c r="AD255" s="310">
        <v>0.19801530000000001</v>
      </c>
      <c r="AE255" s="310">
        <v>0.20723569999999999</v>
      </c>
      <c r="AF255" s="310">
        <v>0</v>
      </c>
      <c r="AG255" s="310">
        <v>0.2009543</v>
      </c>
      <c r="AH255" s="310">
        <v>0.1907865</v>
      </c>
      <c r="AI255" s="310">
        <v>0.19274440000000001</v>
      </c>
      <c r="AJ255" s="310">
        <v>0.20829549999999999</v>
      </c>
      <c r="AK255" s="310">
        <v>0.19957939999999999</v>
      </c>
      <c r="AL255" s="310">
        <v>0.19855780000000001</v>
      </c>
      <c r="AM255" s="310">
        <v>0.20616609999999999</v>
      </c>
      <c r="AN255" s="310">
        <v>0.2084907</v>
      </c>
      <c r="AO255" s="310">
        <v>0.17985419999999999</v>
      </c>
      <c r="AP255" s="310">
        <v>0.20462230000000001</v>
      </c>
      <c r="AQ255" s="310">
        <v>0.18441399999999999</v>
      </c>
      <c r="AR255" s="310">
        <v>0.20313609999999999</v>
      </c>
      <c r="AS255" s="310">
        <v>0.1849875</v>
      </c>
      <c r="AT255" s="310">
        <v>0.2025952</v>
      </c>
      <c r="AU255" s="310">
        <v>0.20637849999999999</v>
      </c>
      <c r="AV255" s="310">
        <v>0.2072785</v>
      </c>
      <c r="AW255" s="310">
        <v>0.1954448</v>
      </c>
      <c r="AX255" s="310">
        <v>0.19981360000000001</v>
      </c>
      <c r="AY255" s="310">
        <v>0.2069993</v>
      </c>
      <c r="AZ255" s="310">
        <v>0.20806649999999999</v>
      </c>
      <c r="BA255" s="310">
        <v>0.1866303</v>
      </c>
      <c r="BB255" s="310">
        <v>0.17516599999999999</v>
      </c>
      <c r="BC255" s="310">
        <v>0.20793200000000001</v>
      </c>
      <c r="BD255" s="310">
        <v>0.2079915</v>
      </c>
      <c r="BE255" s="310">
        <v>0.2089396</v>
      </c>
      <c r="BF255" s="310">
        <v>0.2051511</v>
      </c>
      <c r="BG255" s="310">
        <v>0.20813419999999999</v>
      </c>
      <c r="BH255" s="310">
        <v>0.20492869999999999</v>
      </c>
      <c r="BI255" s="310">
        <v>0.20815500000000001</v>
      </c>
      <c r="BJ255" s="310">
        <v>0.2061326</v>
      </c>
      <c r="BK255" s="310">
        <v>0.2099318</v>
      </c>
    </row>
    <row r="256" spans="1:63" x14ac:dyDescent="0.25">
      <c r="A256" s="306">
        <v>335210</v>
      </c>
      <c r="B256" s="310" t="s">
        <v>232</v>
      </c>
      <c r="C256" s="310">
        <v>0.17032810000000001</v>
      </c>
      <c r="D256" s="310">
        <v>0</v>
      </c>
      <c r="E256" s="310">
        <v>0.16657040000000001</v>
      </c>
      <c r="F256" s="310">
        <v>0.14749619999999999</v>
      </c>
      <c r="G256" s="310">
        <v>0.1645239</v>
      </c>
      <c r="H256" s="310">
        <v>0.16909250000000001</v>
      </c>
      <c r="I256" s="310">
        <v>0.16886789999999999</v>
      </c>
      <c r="J256" s="310">
        <v>0.1533767</v>
      </c>
      <c r="K256" s="310">
        <v>0</v>
      </c>
      <c r="L256" s="310">
        <v>0</v>
      </c>
      <c r="M256" s="310">
        <v>0.1692766</v>
      </c>
      <c r="N256" s="310">
        <v>0</v>
      </c>
      <c r="O256" s="310">
        <v>0</v>
      </c>
      <c r="P256" s="310">
        <v>0.1622566</v>
      </c>
      <c r="Q256" s="310">
        <v>0.1501478</v>
      </c>
      <c r="R256" s="310">
        <v>0.1647931</v>
      </c>
      <c r="S256" s="310">
        <v>0.1607063</v>
      </c>
      <c r="T256" s="310">
        <v>0.15621270000000001</v>
      </c>
      <c r="U256" s="310">
        <v>0.15826499999999999</v>
      </c>
      <c r="V256" s="310">
        <v>0</v>
      </c>
      <c r="W256" s="310">
        <v>0.1427948</v>
      </c>
      <c r="X256" s="310">
        <v>0.15309919999999999</v>
      </c>
      <c r="Y256" s="310">
        <v>0</v>
      </c>
      <c r="Z256" s="310">
        <v>0.1621272</v>
      </c>
      <c r="AA256" s="310">
        <v>0.16793620000000001</v>
      </c>
      <c r="AB256" s="310">
        <v>0.16145409999999999</v>
      </c>
      <c r="AC256" s="310">
        <v>0.16355829999999999</v>
      </c>
      <c r="AD256" s="310">
        <v>0</v>
      </c>
      <c r="AE256" s="310">
        <v>0.1669979</v>
      </c>
      <c r="AF256" s="310">
        <v>0</v>
      </c>
      <c r="AG256" s="310">
        <v>0</v>
      </c>
      <c r="AH256" s="310">
        <v>0</v>
      </c>
      <c r="AI256" s="310">
        <v>0.1553022</v>
      </c>
      <c r="AJ256" s="310">
        <v>0</v>
      </c>
      <c r="AK256" s="310">
        <v>0</v>
      </c>
      <c r="AL256" s="310">
        <v>0.1599951</v>
      </c>
      <c r="AM256" s="310">
        <v>0.16611529999999999</v>
      </c>
      <c r="AN256" s="310">
        <v>0</v>
      </c>
      <c r="AO256" s="310">
        <v>0</v>
      </c>
      <c r="AP256" s="310">
        <v>0.16486780000000001</v>
      </c>
      <c r="AQ256" s="310">
        <v>0</v>
      </c>
      <c r="AR256" s="310">
        <v>0.16367660000000001</v>
      </c>
      <c r="AS256" s="310">
        <v>0.1490563</v>
      </c>
      <c r="AT256" s="310">
        <v>0.16322590000000001</v>
      </c>
      <c r="AU256" s="310">
        <v>0.16633970000000001</v>
      </c>
      <c r="AV256" s="310">
        <v>0.16702990000000001</v>
      </c>
      <c r="AW256" s="310">
        <v>0.15747520000000001</v>
      </c>
      <c r="AX256" s="310">
        <v>0</v>
      </c>
      <c r="AY256" s="310">
        <v>0.1668058</v>
      </c>
      <c r="AZ256" s="310">
        <v>0.1676879</v>
      </c>
      <c r="BA256" s="310">
        <v>0</v>
      </c>
      <c r="BB256" s="310">
        <v>0</v>
      </c>
      <c r="BC256" s="310">
        <v>0.16753000000000001</v>
      </c>
      <c r="BD256" s="310">
        <v>0.167576</v>
      </c>
      <c r="BE256" s="310">
        <v>0.1683703</v>
      </c>
      <c r="BF256" s="310">
        <v>0.16529050000000001</v>
      </c>
      <c r="BG256" s="310">
        <v>0.16770119999999999</v>
      </c>
      <c r="BH256" s="310">
        <v>0.16516320000000001</v>
      </c>
      <c r="BI256" s="310">
        <v>0.16771440000000001</v>
      </c>
      <c r="BJ256" s="310">
        <v>0.16611770000000001</v>
      </c>
      <c r="BK256" s="310">
        <v>0.1691665</v>
      </c>
    </row>
    <row r="257" spans="1:63" x14ac:dyDescent="0.25">
      <c r="A257" s="306">
        <v>335221</v>
      </c>
      <c r="B257" s="310" t="s">
        <v>233</v>
      </c>
      <c r="C257" s="310">
        <v>0.1359148</v>
      </c>
      <c r="D257" s="310">
        <v>0</v>
      </c>
      <c r="E257" s="310">
        <v>0</v>
      </c>
      <c r="F257" s="310">
        <v>0</v>
      </c>
      <c r="G257" s="310">
        <v>0.13130159999999999</v>
      </c>
      <c r="H257" s="310">
        <v>0.1349882</v>
      </c>
      <c r="I257" s="310">
        <v>0</v>
      </c>
      <c r="J257" s="310">
        <v>0.12239369999999999</v>
      </c>
      <c r="K257" s="310">
        <v>0</v>
      </c>
      <c r="L257" s="310">
        <v>0</v>
      </c>
      <c r="M257" s="310">
        <v>0.1350538</v>
      </c>
      <c r="N257" s="310">
        <v>0.13095999999999999</v>
      </c>
      <c r="O257" s="310">
        <v>0</v>
      </c>
      <c r="P257" s="310">
        <v>0.12947339999999999</v>
      </c>
      <c r="Q257" s="310">
        <v>0.1198036</v>
      </c>
      <c r="R257" s="310">
        <v>0.13152130000000001</v>
      </c>
      <c r="S257" s="310">
        <v>0.1282789</v>
      </c>
      <c r="T257" s="310">
        <v>0.12466099999999999</v>
      </c>
      <c r="U257" s="310">
        <v>0.1263011</v>
      </c>
      <c r="V257" s="310">
        <v>0.1282132</v>
      </c>
      <c r="W257" s="310">
        <v>0</v>
      </c>
      <c r="X257" s="310">
        <v>0.1221752</v>
      </c>
      <c r="Y257" s="310">
        <v>0</v>
      </c>
      <c r="Z257" s="310">
        <v>0</v>
      </c>
      <c r="AA257" s="310">
        <v>0</v>
      </c>
      <c r="AB257" s="310">
        <v>0.12886320000000001</v>
      </c>
      <c r="AC257" s="310">
        <v>0.1305432</v>
      </c>
      <c r="AD257" s="310">
        <v>0.12734860000000001</v>
      </c>
      <c r="AE257" s="310">
        <v>0.13327639999999999</v>
      </c>
      <c r="AF257" s="310">
        <v>0</v>
      </c>
      <c r="AG257" s="310">
        <v>0</v>
      </c>
      <c r="AH257" s="310">
        <v>0</v>
      </c>
      <c r="AI257" s="310">
        <v>0.1239388</v>
      </c>
      <c r="AJ257" s="310">
        <v>0</v>
      </c>
      <c r="AK257" s="310">
        <v>0.1283784</v>
      </c>
      <c r="AL257" s="310">
        <v>0.1277163</v>
      </c>
      <c r="AM257" s="310">
        <v>0.13255410000000001</v>
      </c>
      <c r="AN257" s="310">
        <v>0.13408719999999999</v>
      </c>
      <c r="AO257" s="310">
        <v>0.1156812</v>
      </c>
      <c r="AP257" s="310">
        <v>0.13158619999999999</v>
      </c>
      <c r="AQ257" s="310">
        <v>0</v>
      </c>
      <c r="AR257" s="310">
        <v>0.1306215</v>
      </c>
      <c r="AS257" s="310">
        <v>0</v>
      </c>
      <c r="AT257" s="310">
        <v>0.1302797</v>
      </c>
      <c r="AU257" s="310">
        <v>0.13271330000000001</v>
      </c>
      <c r="AV257" s="310">
        <v>0.1333019</v>
      </c>
      <c r="AW257" s="310">
        <v>0</v>
      </c>
      <c r="AX257" s="310">
        <v>0</v>
      </c>
      <c r="AY257" s="310">
        <v>0</v>
      </c>
      <c r="AZ257" s="310">
        <v>0.13379869999999999</v>
      </c>
      <c r="BA257" s="310">
        <v>0</v>
      </c>
      <c r="BB257" s="310">
        <v>0</v>
      </c>
      <c r="BC257" s="310">
        <v>0.13371160000000001</v>
      </c>
      <c r="BD257" s="310">
        <v>0.13373579999999999</v>
      </c>
      <c r="BE257" s="310">
        <v>0.13438249999999999</v>
      </c>
      <c r="BF257" s="310">
        <v>0.13193189999999999</v>
      </c>
      <c r="BG257" s="310">
        <v>0.13382869999999999</v>
      </c>
      <c r="BH257" s="310">
        <v>0.1318107</v>
      </c>
      <c r="BI257" s="310">
        <v>0.1338529</v>
      </c>
      <c r="BJ257" s="310">
        <v>0.13255629999999999</v>
      </c>
      <c r="BK257" s="310">
        <v>0.13500129999999999</v>
      </c>
    </row>
    <row r="258" spans="1:63" x14ac:dyDescent="0.25">
      <c r="A258" s="306">
        <v>335222</v>
      </c>
      <c r="B258" s="310" t="s">
        <v>234</v>
      </c>
      <c r="C258" s="310">
        <v>0.17449010000000001</v>
      </c>
      <c r="D258" s="310">
        <v>0</v>
      </c>
      <c r="E258" s="310">
        <v>0.17069090000000001</v>
      </c>
      <c r="F258" s="310">
        <v>0.15111730000000001</v>
      </c>
      <c r="G258" s="310">
        <v>0.1685265</v>
      </c>
      <c r="H258" s="310">
        <v>0.1732842</v>
      </c>
      <c r="I258" s="310">
        <v>0</v>
      </c>
      <c r="J258" s="310">
        <v>0</v>
      </c>
      <c r="K258" s="310">
        <v>0</v>
      </c>
      <c r="L258" s="310">
        <v>0</v>
      </c>
      <c r="M258" s="310">
        <v>0.17337730000000001</v>
      </c>
      <c r="N258" s="310">
        <v>0</v>
      </c>
      <c r="O258" s="310">
        <v>0</v>
      </c>
      <c r="P258" s="310">
        <v>0.16621549999999999</v>
      </c>
      <c r="Q258" s="310">
        <v>0</v>
      </c>
      <c r="R258" s="310">
        <v>0.16884660000000001</v>
      </c>
      <c r="S258" s="310">
        <v>0.1646841</v>
      </c>
      <c r="T258" s="310">
        <v>0</v>
      </c>
      <c r="U258" s="310">
        <v>0.16212099999999999</v>
      </c>
      <c r="V258" s="310">
        <v>0</v>
      </c>
      <c r="W258" s="310">
        <v>0</v>
      </c>
      <c r="X258" s="310">
        <v>0</v>
      </c>
      <c r="Y258" s="310">
        <v>0</v>
      </c>
      <c r="Z258" s="310">
        <v>0.16610349999999999</v>
      </c>
      <c r="AA258" s="310">
        <v>0.17203740000000001</v>
      </c>
      <c r="AB258" s="310">
        <v>0</v>
      </c>
      <c r="AC258" s="310">
        <v>0.16759599999999999</v>
      </c>
      <c r="AD258" s="310">
        <v>0</v>
      </c>
      <c r="AE258" s="310">
        <v>0</v>
      </c>
      <c r="AF258" s="310">
        <v>0</v>
      </c>
      <c r="AG258" s="310">
        <v>0</v>
      </c>
      <c r="AH258" s="310">
        <v>0</v>
      </c>
      <c r="AI258" s="310">
        <v>0</v>
      </c>
      <c r="AJ258" s="310">
        <v>0</v>
      </c>
      <c r="AK258" s="310">
        <v>0</v>
      </c>
      <c r="AL258" s="310">
        <v>0</v>
      </c>
      <c r="AM258" s="310">
        <v>0.17017650000000001</v>
      </c>
      <c r="AN258" s="310">
        <v>0</v>
      </c>
      <c r="AO258" s="310">
        <v>0</v>
      </c>
      <c r="AP258" s="310">
        <v>0</v>
      </c>
      <c r="AQ258" s="310">
        <v>0</v>
      </c>
      <c r="AR258" s="310">
        <v>0.16769490000000001</v>
      </c>
      <c r="AS258" s="310">
        <v>0</v>
      </c>
      <c r="AT258" s="310">
        <v>0</v>
      </c>
      <c r="AU258" s="310">
        <v>0.17040749999999999</v>
      </c>
      <c r="AV258" s="310">
        <v>0</v>
      </c>
      <c r="AW258" s="310">
        <v>0</v>
      </c>
      <c r="AX258" s="310">
        <v>0</v>
      </c>
      <c r="AY258" s="310">
        <v>0.17092869999999999</v>
      </c>
      <c r="AZ258" s="310">
        <v>0.17178940000000001</v>
      </c>
      <c r="BA258" s="310">
        <v>0</v>
      </c>
      <c r="BB258" s="310">
        <v>0</v>
      </c>
      <c r="BC258" s="310">
        <v>0</v>
      </c>
      <c r="BD258" s="310">
        <v>0</v>
      </c>
      <c r="BE258" s="310">
        <v>0.1725023</v>
      </c>
      <c r="BF258" s="310">
        <v>0.16934109999999999</v>
      </c>
      <c r="BG258" s="310">
        <v>0.17181550000000001</v>
      </c>
      <c r="BH258" s="310">
        <v>0.1691848</v>
      </c>
      <c r="BI258" s="310">
        <v>0.1718433</v>
      </c>
      <c r="BJ258" s="310">
        <v>0.17016400000000001</v>
      </c>
      <c r="BK258" s="310">
        <v>0.17331479999999999</v>
      </c>
    </row>
    <row r="259" spans="1:63" x14ac:dyDescent="0.25">
      <c r="A259" s="306">
        <v>335224</v>
      </c>
      <c r="B259" s="310" t="s">
        <v>235</v>
      </c>
      <c r="C259" s="310">
        <v>0.2045025</v>
      </c>
      <c r="D259" s="310">
        <v>0</v>
      </c>
      <c r="E259" s="310">
        <v>0</v>
      </c>
      <c r="F259" s="310">
        <v>0</v>
      </c>
      <c r="G259" s="310">
        <v>0</v>
      </c>
      <c r="H259" s="310">
        <v>0.2030332</v>
      </c>
      <c r="I259" s="310">
        <v>0</v>
      </c>
      <c r="J259" s="310">
        <v>0</v>
      </c>
      <c r="K259" s="310">
        <v>0</v>
      </c>
      <c r="L259" s="310">
        <v>0</v>
      </c>
      <c r="M259" s="310">
        <v>0.2032156</v>
      </c>
      <c r="N259" s="310">
        <v>0</v>
      </c>
      <c r="O259" s="310">
        <v>0</v>
      </c>
      <c r="P259" s="310">
        <v>0.1947884</v>
      </c>
      <c r="Q259" s="310">
        <v>0</v>
      </c>
      <c r="R259" s="310">
        <v>0.1978704</v>
      </c>
      <c r="S259" s="310">
        <v>0</v>
      </c>
      <c r="T259" s="310">
        <v>0</v>
      </c>
      <c r="U259" s="310">
        <v>0</v>
      </c>
      <c r="V259" s="310">
        <v>0</v>
      </c>
      <c r="W259" s="310">
        <v>0</v>
      </c>
      <c r="X259" s="310">
        <v>0</v>
      </c>
      <c r="Y259" s="310">
        <v>0</v>
      </c>
      <c r="Z259" s="310">
        <v>0.194663</v>
      </c>
      <c r="AA259" s="310">
        <v>0</v>
      </c>
      <c r="AB259" s="310">
        <v>0</v>
      </c>
      <c r="AC259" s="310">
        <v>0</v>
      </c>
      <c r="AD259" s="310">
        <v>0</v>
      </c>
      <c r="AE259" s="310">
        <v>0</v>
      </c>
      <c r="AF259" s="310">
        <v>0</v>
      </c>
      <c r="AG259" s="310">
        <v>0</v>
      </c>
      <c r="AH259" s="310">
        <v>0</v>
      </c>
      <c r="AI259" s="310">
        <v>0.1865068</v>
      </c>
      <c r="AJ259" s="310">
        <v>0</v>
      </c>
      <c r="AK259" s="310">
        <v>0</v>
      </c>
      <c r="AL259" s="310">
        <v>0.19208810000000001</v>
      </c>
      <c r="AM259" s="310">
        <v>0.1994698</v>
      </c>
      <c r="AN259" s="310">
        <v>0</v>
      </c>
      <c r="AO259" s="310">
        <v>0</v>
      </c>
      <c r="AP259" s="310">
        <v>0</v>
      </c>
      <c r="AQ259" s="310">
        <v>0</v>
      </c>
      <c r="AR259" s="310">
        <v>0</v>
      </c>
      <c r="AS259" s="310">
        <v>0</v>
      </c>
      <c r="AT259" s="310">
        <v>0</v>
      </c>
      <c r="AU259" s="310">
        <v>0</v>
      </c>
      <c r="AV259" s="310">
        <v>0</v>
      </c>
      <c r="AW259" s="310">
        <v>0.18909309999999999</v>
      </c>
      <c r="AX259" s="310">
        <v>0</v>
      </c>
      <c r="AY259" s="310">
        <v>0</v>
      </c>
      <c r="AZ259" s="310">
        <v>0</v>
      </c>
      <c r="BA259" s="310">
        <v>0</v>
      </c>
      <c r="BB259" s="310">
        <v>0</v>
      </c>
      <c r="BC259" s="310">
        <v>0</v>
      </c>
      <c r="BD259" s="310">
        <v>0.2012082</v>
      </c>
      <c r="BE259" s="310">
        <v>0.20216729999999999</v>
      </c>
      <c r="BF259" s="310">
        <v>0.1984938</v>
      </c>
      <c r="BG259" s="310">
        <v>0.20134679999999999</v>
      </c>
      <c r="BH259" s="310">
        <v>0</v>
      </c>
      <c r="BI259" s="310">
        <v>0</v>
      </c>
      <c r="BJ259" s="310">
        <v>0</v>
      </c>
      <c r="BK259" s="310">
        <v>0.2031454</v>
      </c>
    </row>
    <row r="260" spans="1:63" x14ac:dyDescent="0.25">
      <c r="A260" s="306">
        <v>335228</v>
      </c>
      <c r="B260" s="310" t="s">
        <v>236</v>
      </c>
      <c r="C260" s="310">
        <v>0.1549828</v>
      </c>
      <c r="D260" s="310">
        <v>0</v>
      </c>
      <c r="E260" s="310">
        <v>0.15160319999999999</v>
      </c>
      <c r="F260" s="310">
        <v>0</v>
      </c>
      <c r="G260" s="310">
        <v>0</v>
      </c>
      <c r="H260" s="310">
        <v>0.15388769999999999</v>
      </c>
      <c r="I260" s="310">
        <v>0</v>
      </c>
      <c r="J260" s="310">
        <v>0.13958280000000001</v>
      </c>
      <c r="K260" s="310">
        <v>0</v>
      </c>
      <c r="L260" s="310">
        <v>0</v>
      </c>
      <c r="M260" s="310">
        <v>0.15400269999999999</v>
      </c>
      <c r="N260" s="310">
        <v>0</v>
      </c>
      <c r="O260" s="310">
        <v>0</v>
      </c>
      <c r="P260" s="310">
        <v>0</v>
      </c>
      <c r="Q260" s="310">
        <v>0</v>
      </c>
      <c r="R260" s="310">
        <v>0</v>
      </c>
      <c r="S260" s="310">
        <v>0</v>
      </c>
      <c r="T260" s="310">
        <v>0</v>
      </c>
      <c r="U260" s="310">
        <v>0.14402609999999999</v>
      </c>
      <c r="V260" s="310">
        <v>0.14620530000000001</v>
      </c>
      <c r="W260" s="310">
        <v>0.12995039999999999</v>
      </c>
      <c r="X260" s="310">
        <v>0.13934920000000001</v>
      </c>
      <c r="Y260" s="310">
        <v>0</v>
      </c>
      <c r="Z260" s="310">
        <v>0.1475669</v>
      </c>
      <c r="AA260" s="310">
        <v>0.15282419999999999</v>
      </c>
      <c r="AB260" s="310">
        <v>0</v>
      </c>
      <c r="AC260" s="310">
        <v>0.14887310000000001</v>
      </c>
      <c r="AD260" s="310">
        <v>0</v>
      </c>
      <c r="AE260" s="310">
        <v>0.15194160000000001</v>
      </c>
      <c r="AF260" s="310">
        <v>0</v>
      </c>
      <c r="AG260" s="310">
        <v>0</v>
      </c>
      <c r="AH260" s="310">
        <v>0.13989209999999999</v>
      </c>
      <c r="AI260" s="310">
        <v>0.14136219999999999</v>
      </c>
      <c r="AJ260" s="310">
        <v>0</v>
      </c>
      <c r="AK260" s="310">
        <v>0</v>
      </c>
      <c r="AL260" s="310">
        <v>0.14558779999999999</v>
      </c>
      <c r="AM260" s="310">
        <v>0.1511729</v>
      </c>
      <c r="AN260" s="310">
        <v>0</v>
      </c>
      <c r="AO260" s="310">
        <v>0</v>
      </c>
      <c r="AP260" s="310">
        <v>0.15005969999999999</v>
      </c>
      <c r="AQ260" s="310">
        <v>0</v>
      </c>
      <c r="AR260" s="310">
        <v>0.1489847</v>
      </c>
      <c r="AS260" s="310">
        <v>0</v>
      </c>
      <c r="AT260" s="310">
        <v>0.14854059999999999</v>
      </c>
      <c r="AU260" s="310">
        <v>0.15137139999999999</v>
      </c>
      <c r="AV260" s="310">
        <v>0</v>
      </c>
      <c r="AW260" s="310">
        <v>0</v>
      </c>
      <c r="AX260" s="310">
        <v>0</v>
      </c>
      <c r="AY260" s="310">
        <v>0.15183269999999999</v>
      </c>
      <c r="AZ260" s="310">
        <v>0.15256749999999999</v>
      </c>
      <c r="BA260" s="310">
        <v>0</v>
      </c>
      <c r="BB260" s="310">
        <v>0</v>
      </c>
      <c r="BC260" s="310">
        <v>0.15245880000000001</v>
      </c>
      <c r="BD260" s="310">
        <v>0.15251890000000001</v>
      </c>
      <c r="BE260" s="310">
        <v>0.15324599999999999</v>
      </c>
      <c r="BF260" s="310">
        <v>0.15044170000000001</v>
      </c>
      <c r="BG260" s="310">
        <v>0.15262029999999999</v>
      </c>
      <c r="BH260" s="310">
        <v>0.1502801</v>
      </c>
      <c r="BI260" s="310">
        <v>0.15261269999999999</v>
      </c>
      <c r="BJ260" s="310">
        <v>0</v>
      </c>
      <c r="BK260" s="310">
        <v>0.15397859999999999</v>
      </c>
    </row>
    <row r="261" spans="1:63" x14ac:dyDescent="0.25">
      <c r="A261" s="306">
        <v>335311</v>
      </c>
      <c r="B261" s="310" t="s">
        <v>237</v>
      </c>
      <c r="C261" s="310">
        <v>0.23127510000000001</v>
      </c>
      <c r="D261" s="310">
        <v>0.23127829999999999</v>
      </c>
      <c r="E261" s="310">
        <v>0.2261862</v>
      </c>
      <c r="F261" s="310">
        <v>0.20026169999999999</v>
      </c>
      <c r="G261" s="310">
        <v>0.22343979999999999</v>
      </c>
      <c r="H261" s="310">
        <v>0.22964109999999999</v>
      </c>
      <c r="I261" s="310">
        <v>0.2292903</v>
      </c>
      <c r="J261" s="310">
        <v>0.2082937</v>
      </c>
      <c r="K261" s="310">
        <v>0</v>
      </c>
      <c r="L261" s="310">
        <v>0</v>
      </c>
      <c r="M261" s="310">
        <v>0.22982649999999999</v>
      </c>
      <c r="N261" s="310">
        <v>0.22281609999999999</v>
      </c>
      <c r="O261" s="310">
        <v>0</v>
      </c>
      <c r="P261" s="310">
        <v>0.2203146</v>
      </c>
      <c r="Q261" s="310">
        <v>0.2038884</v>
      </c>
      <c r="R261" s="310">
        <v>0.2237972</v>
      </c>
      <c r="S261" s="310">
        <v>0.2182499</v>
      </c>
      <c r="T261" s="310">
        <v>0.2121701</v>
      </c>
      <c r="U261" s="310">
        <v>0.21489150000000001</v>
      </c>
      <c r="V261" s="310">
        <v>0.21812039999999999</v>
      </c>
      <c r="W261" s="310">
        <v>0.19389670000000001</v>
      </c>
      <c r="X261" s="310">
        <v>0.20789850000000001</v>
      </c>
      <c r="Y261" s="310">
        <v>0</v>
      </c>
      <c r="Z261" s="310">
        <v>0.22013269999999999</v>
      </c>
      <c r="AA261" s="310">
        <v>0.2280104</v>
      </c>
      <c r="AB261" s="310">
        <v>0.2192201</v>
      </c>
      <c r="AC261" s="310">
        <v>0.22216540000000001</v>
      </c>
      <c r="AD261" s="310">
        <v>0</v>
      </c>
      <c r="AE261" s="310">
        <v>0.2267634</v>
      </c>
      <c r="AF261" s="310">
        <v>0</v>
      </c>
      <c r="AG261" s="310">
        <v>0</v>
      </c>
      <c r="AH261" s="310">
        <v>0.20873249999999999</v>
      </c>
      <c r="AI261" s="310">
        <v>0.21088109999999999</v>
      </c>
      <c r="AJ261" s="310">
        <v>0.22786690000000001</v>
      </c>
      <c r="AK261" s="310">
        <v>0</v>
      </c>
      <c r="AL261" s="310">
        <v>0.2172615</v>
      </c>
      <c r="AM261" s="310">
        <v>0.225551</v>
      </c>
      <c r="AN261" s="310">
        <v>0.2281319</v>
      </c>
      <c r="AO261" s="310">
        <v>0.19684679999999999</v>
      </c>
      <c r="AP261" s="310">
        <v>0.22389390000000001</v>
      </c>
      <c r="AQ261" s="310">
        <v>0</v>
      </c>
      <c r="AR261" s="310">
        <v>0.22228110000000001</v>
      </c>
      <c r="AS261" s="310">
        <v>0.20244090000000001</v>
      </c>
      <c r="AT261" s="310">
        <v>0.22165499999999999</v>
      </c>
      <c r="AU261" s="310">
        <v>0.2258735</v>
      </c>
      <c r="AV261" s="310">
        <v>0.22679260000000001</v>
      </c>
      <c r="AW261" s="310">
        <v>0.2138072</v>
      </c>
      <c r="AX261" s="310">
        <v>0.21863669999999999</v>
      </c>
      <c r="AY261" s="310">
        <v>0.22654769999999999</v>
      </c>
      <c r="AZ261" s="310">
        <v>0.22766429999999999</v>
      </c>
      <c r="BA261" s="310">
        <v>0.2041636</v>
      </c>
      <c r="BB261" s="310">
        <v>0</v>
      </c>
      <c r="BC261" s="310">
        <v>0.22749369999999999</v>
      </c>
      <c r="BD261" s="310">
        <v>0.22760169999999999</v>
      </c>
      <c r="BE261" s="310">
        <v>0.22866539999999999</v>
      </c>
      <c r="BF261" s="310">
        <v>0.22446740000000001</v>
      </c>
      <c r="BG261" s="310">
        <v>0.22773209999999999</v>
      </c>
      <c r="BH261" s="310">
        <v>0.22425110000000001</v>
      </c>
      <c r="BI261" s="310">
        <v>0.2277449</v>
      </c>
      <c r="BJ261" s="310">
        <v>0.2255289</v>
      </c>
      <c r="BK261" s="310">
        <v>0.22973060000000001</v>
      </c>
    </row>
    <row r="262" spans="1:63" x14ac:dyDescent="0.25">
      <c r="A262" s="306">
        <v>335312</v>
      </c>
      <c r="B262" s="310" t="s">
        <v>238</v>
      </c>
      <c r="C262" s="310">
        <v>0.2366094</v>
      </c>
      <c r="D262" s="310">
        <v>0</v>
      </c>
      <c r="E262" s="310">
        <v>0.231437</v>
      </c>
      <c r="F262" s="310">
        <v>0.2049175</v>
      </c>
      <c r="G262" s="310">
        <v>0.2285855</v>
      </c>
      <c r="H262" s="310">
        <v>0.23493549999999999</v>
      </c>
      <c r="I262" s="310">
        <v>0.23460549999999999</v>
      </c>
      <c r="J262" s="310">
        <v>0.21309990000000001</v>
      </c>
      <c r="K262" s="310">
        <v>0</v>
      </c>
      <c r="L262" s="310">
        <v>0.17918010000000001</v>
      </c>
      <c r="M262" s="310">
        <v>0.23515230000000001</v>
      </c>
      <c r="N262" s="310">
        <v>0.22796810000000001</v>
      </c>
      <c r="O262" s="310">
        <v>0</v>
      </c>
      <c r="P262" s="310">
        <v>0.225439</v>
      </c>
      <c r="Q262" s="310">
        <v>0.20857139999999999</v>
      </c>
      <c r="R262" s="310">
        <v>0.22897300000000001</v>
      </c>
      <c r="S262" s="310">
        <v>0.2233089</v>
      </c>
      <c r="T262" s="310">
        <v>0.2170472</v>
      </c>
      <c r="U262" s="310">
        <v>0.21984680000000001</v>
      </c>
      <c r="V262" s="310">
        <v>0.2231892</v>
      </c>
      <c r="W262" s="310">
        <v>0.19837689999999999</v>
      </c>
      <c r="X262" s="310">
        <v>0.2127105</v>
      </c>
      <c r="Y262" s="310">
        <v>0.2359752</v>
      </c>
      <c r="Z262" s="310">
        <v>0.22524089999999999</v>
      </c>
      <c r="AA262" s="310">
        <v>0.2332784</v>
      </c>
      <c r="AB262" s="310">
        <v>0.224277</v>
      </c>
      <c r="AC262" s="310">
        <v>0.22730639999999999</v>
      </c>
      <c r="AD262" s="310">
        <v>0.22167729999999999</v>
      </c>
      <c r="AE262" s="310">
        <v>0.23199900000000001</v>
      </c>
      <c r="AF262" s="310">
        <v>0</v>
      </c>
      <c r="AG262" s="310">
        <v>0.2249873</v>
      </c>
      <c r="AH262" s="310">
        <v>0.21355830000000001</v>
      </c>
      <c r="AI262" s="310">
        <v>0.21578040000000001</v>
      </c>
      <c r="AJ262" s="310">
        <v>0.23313390000000001</v>
      </c>
      <c r="AK262" s="310">
        <v>0.22344459999999999</v>
      </c>
      <c r="AL262" s="310">
        <v>0.2222451</v>
      </c>
      <c r="AM262" s="310">
        <v>0.23076079999999999</v>
      </c>
      <c r="AN262" s="310">
        <v>0.23338149999999999</v>
      </c>
      <c r="AO262" s="310">
        <v>0.201374</v>
      </c>
      <c r="AP262" s="310">
        <v>0.22904160000000001</v>
      </c>
      <c r="AQ262" s="310">
        <v>0</v>
      </c>
      <c r="AR262" s="310">
        <v>0.2273954</v>
      </c>
      <c r="AS262" s="310">
        <v>0</v>
      </c>
      <c r="AT262" s="310">
        <v>0.2267574</v>
      </c>
      <c r="AU262" s="310">
        <v>0.2310507</v>
      </c>
      <c r="AV262" s="310">
        <v>0.23201150000000001</v>
      </c>
      <c r="AW262" s="310">
        <v>0.21878500000000001</v>
      </c>
      <c r="AX262" s="310">
        <v>0</v>
      </c>
      <c r="AY262" s="310">
        <v>0.23177819999999999</v>
      </c>
      <c r="AZ262" s="310">
        <v>0.23291790000000001</v>
      </c>
      <c r="BA262" s="310">
        <v>0.20887349999999999</v>
      </c>
      <c r="BB262" s="310">
        <v>0.19608159999999999</v>
      </c>
      <c r="BC262" s="310">
        <v>0.23275029999999999</v>
      </c>
      <c r="BD262" s="310">
        <v>0.23284160000000001</v>
      </c>
      <c r="BE262" s="310">
        <v>0.233931</v>
      </c>
      <c r="BF262" s="310">
        <v>0.2296328</v>
      </c>
      <c r="BG262" s="310">
        <v>0.23297109999999999</v>
      </c>
      <c r="BH262" s="310">
        <v>0.2294166</v>
      </c>
      <c r="BI262" s="310">
        <v>0.2329879</v>
      </c>
      <c r="BJ262" s="310">
        <v>0.23079</v>
      </c>
      <c r="BK262" s="310">
        <v>0.23505129999999999</v>
      </c>
    </row>
    <row r="263" spans="1:63" x14ac:dyDescent="0.25">
      <c r="A263" s="306">
        <v>335313</v>
      </c>
      <c r="B263" s="310" t="s">
        <v>239</v>
      </c>
      <c r="C263" s="310">
        <v>0.22198010000000001</v>
      </c>
      <c r="D263" s="310">
        <v>0.2220114</v>
      </c>
      <c r="E263" s="310">
        <v>0.2171179</v>
      </c>
      <c r="F263" s="310">
        <v>0.19222610000000001</v>
      </c>
      <c r="G263" s="310">
        <v>0.2144385</v>
      </c>
      <c r="H263" s="310">
        <v>0.2203958</v>
      </c>
      <c r="I263" s="310">
        <v>0.22004209999999999</v>
      </c>
      <c r="J263" s="310">
        <v>0.19990630000000001</v>
      </c>
      <c r="K263" s="310">
        <v>0</v>
      </c>
      <c r="L263" s="310">
        <v>0.16809199999999999</v>
      </c>
      <c r="M263" s="310">
        <v>0.2205781</v>
      </c>
      <c r="N263" s="310">
        <v>0.21388869999999999</v>
      </c>
      <c r="O263" s="310">
        <v>0</v>
      </c>
      <c r="P263" s="310">
        <v>0.21144779999999999</v>
      </c>
      <c r="Q263" s="310">
        <v>0</v>
      </c>
      <c r="R263" s="310">
        <v>0.21481980000000001</v>
      </c>
      <c r="S263" s="310">
        <v>0.2095089</v>
      </c>
      <c r="T263" s="310">
        <v>0.2035961</v>
      </c>
      <c r="U263" s="310">
        <v>0.2062544</v>
      </c>
      <c r="V263" s="310">
        <v>0.20937439999999999</v>
      </c>
      <c r="W263" s="310">
        <v>0.1861102</v>
      </c>
      <c r="X263" s="310">
        <v>0.19956750000000001</v>
      </c>
      <c r="Y263" s="310">
        <v>0.2213425</v>
      </c>
      <c r="Z263" s="310">
        <v>0.21129490000000001</v>
      </c>
      <c r="AA263" s="310">
        <v>0.218832</v>
      </c>
      <c r="AB263" s="310">
        <v>0.21043609999999999</v>
      </c>
      <c r="AC263" s="310">
        <v>0.21318870000000001</v>
      </c>
      <c r="AD263" s="310">
        <v>0</v>
      </c>
      <c r="AE263" s="310">
        <v>0.2175889</v>
      </c>
      <c r="AF263" s="310">
        <v>0</v>
      </c>
      <c r="AG263" s="310">
        <v>0.21110129999999999</v>
      </c>
      <c r="AH263" s="310">
        <v>0.20033880000000001</v>
      </c>
      <c r="AI263" s="310">
        <v>0.20242270000000001</v>
      </c>
      <c r="AJ263" s="310">
        <v>0.2187297</v>
      </c>
      <c r="AK263" s="310">
        <v>0.20964079999999999</v>
      </c>
      <c r="AL263" s="310">
        <v>0.20852760000000001</v>
      </c>
      <c r="AM263" s="310">
        <v>0.21647440000000001</v>
      </c>
      <c r="AN263" s="310">
        <v>0.21894350000000001</v>
      </c>
      <c r="AO263" s="310">
        <v>0.1888842</v>
      </c>
      <c r="AP263" s="310">
        <v>0.2149015</v>
      </c>
      <c r="AQ263" s="310">
        <v>0</v>
      </c>
      <c r="AR263" s="310">
        <v>0.213314</v>
      </c>
      <c r="AS263" s="310">
        <v>0.19429550000000001</v>
      </c>
      <c r="AT263" s="310">
        <v>0.21272849999999999</v>
      </c>
      <c r="AU263" s="310">
        <v>0.21676699999999999</v>
      </c>
      <c r="AV263" s="310">
        <v>0.2176796</v>
      </c>
      <c r="AW263" s="310">
        <v>0.20524970000000001</v>
      </c>
      <c r="AX263" s="310">
        <v>0</v>
      </c>
      <c r="AY263" s="310">
        <v>0.21739420000000001</v>
      </c>
      <c r="AZ263" s="310">
        <v>0.21853349999999999</v>
      </c>
      <c r="BA263" s="310">
        <v>0.19600029999999999</v>
      </c>
      <c r="BB263" s="310">
        <v>0.18391550000000001</v>
      </c>
      <c r="BC263" s="310">
        <v>0.2183368</v>
      </c>
      <c r="BD263" s="310">
        <v>0.21845139999999999</v>
      </c>
      <c r="BE263" s="310">
        <v>0.21943660000000001</v>
      </c>
      <c r="BF263" s="310">
        <v>0.21544459999999999</v>
      </c>
      <c r="BG263" s="310">
        <v>0.21858549999999999</v>
      </c>
      <c r="BH263" s="310">
        <v>0.21522930000000001</v>
      </c>
      <c r="BI263" s="310">
        <v>0.2185571</v>
      </c>
      <c r="BJ263" s="310">
        <v>0.21649760000000001</v>
      </c>
      <c r="BK263" s="310">
        <v>0.22050610000000001</v>
      </c>
    </row>
    <row r="264" spans="1:63" x14ac:dyDescent="0.25">
      <c r="A264" s="306">
        <v>335314</v>
      </c>
      <c r="B264" s="310" t="s">
        <v>9</v>
      </c>
      <c r="C264" s="310">
        <v>0.25909559999999998</v>
      </c>
      <c r="D264" s="310">
        <v>0.2590519</v>
      </c>
      <c r="E264" s="310">
        <v>0.25339020000000001</v>
      </c>
      <c r="F264" s="310">
        <v>0.224355</v>
      </c>
      <c r="G264" s="310">
        <v>0.25029630000000003</v>
      </c>
      <c r="H264" s="310">
        <v>0.2572526</v>
      </c>
      <c r="I264" s="310">
        <v>0.25683919999999999</v>
      </c>
      <c r="J264" s="310">
        <v>0.23332149999999999</v>
      </c>
      <c r="K264" s="310">
        <v>0</v>
      </c>
      <c r="L264" s="310">
        <v>0.19621459999999999</v>
      </c>
      <c r="M264" s="310">
        <v>0.25743260000000001</v>
      </c>
      <c r="N264" s="310">
        <v>0.24959899999999999</v>
      </c>
      <c r="O264" s="310">
        <v>0</v>
      </c>
      <c r="P264" s="310">
        <v>0.2468101</v>
      </c>
      <c r="Q264" s="310">
        <v>0.2284129</v>
      </c>
      <c r="R264" s="310">
        <v>0.2506911</v>
      </c>
      <c r="S264" s="310">
        <v>0.24450189999999999</v>
      </c>
      <c r="T264" s="310">
        <v>0.23764070000000001</v>
      </c>
      <c r="U264" s="310">
        <v>0.2407282</v>
      </c>
      <c r="V264" s="310">
        <v>0.24436540000000001</v>
      </c>
      <c r="W264" s="310">
        <v>0.2171951</v>
      </c>
      <c r="X264" s="310">
        <v>0.23293320000000001</v>
      </c>
      <c r="Y264" s="310">
        <v>0.25836579999999998</v>
      </c>
      <c r="Z264" s="310">
        <v>0.24665010000000001</v>
      </c>
      <c r="AA264" s="310">
        <v>0.2554245</v>
      </c>
      <c r="AB264" s="310">
        <v>0.24559059999999999</v>
      </c>
      <c r="AC264" s="310">
        <v>0.24883430000000001</v>
      </c>
      <c r="AD264" s="310">
        <v>0</v>
      </c>
      <c r="AE264" s="310">
        <v>0.25404270000000001</v>
      </c>
      <c r="AF264" s="310">
        <v>0.1249586</v>
      </c>
      <c r="AG264" s="310">
        <v>0.24639649999999999</v>
      </c>
      <c r="AH264" s="310">
        <v>0.23382059999999999</v>
      </c>
      <c r="AI264" s="310">
        <v>0.23624719999999999</v>
      </c>
      <c r="AJ264" s="310">
        <v>0.25529829999999998</v>
      </c>
      <c r="AK264" s="310">
        <v>0.24470600000000001</v>
      </c>
      <c r="AL264" s="310">
        <v>0.24341740000000001</v>
      </c>
      <c r="AM264" s="310">
        <v>0.25266149999999998</v>
      </c>
      <c r="AN264" s="310">
        <v>0.255554</v>
      </c>
      <c r="AO264" s="310">
        <v>0.2204798</v>
      </c>
      <c r="AP264" s="310">
        <v>0.2508029</v>
      </c>
      <c r="AQ264" s="310">
        <v>0.2260664</v>
      </c>
      <c r="AR264" s="310">
        <v>0.24898410000000001</v>
      </c>
      <c r="AS264" s="310">
        <v>0.22677700000000001</v>
      </c>
      <c r="AT264" s="310">
        <v>0.2483329</v>
      </c>
      <c r="AU264" s="310">
        <v>0.25299290000000002</v>
      </c>
      <c r="AV264" s="310">
        <v>0.25407999999999997</v>
      </c>
      <c r="AW264" s="310">
        <v>0.2395322</v>
      </c>
      <c r="AX264" s="310">
        <v>0.24497469999999999</v>
      </c>
      <c r="AY264" s="310">
        <v>0.25376300000000002</v>
      </c>
      <c r="AZ264" s="310">
        <v>0.25505159999999999</v>
      </c>
      <c r="BA264" s="310">
        <v>0.2287015</v>
      </c>
      <c r="BB264" s="310">
        <v>0.2146991</v>
      </c>
      <c r="BC264" s="310">
        <v>0.25484250000000003</v>
      </c>
      <c r="BD264" s="310">
        <v>0.25496930000000001</v>
      </c>
      <c r="BE264" s="310">
        <v>0.25612430000000003</v>
      </c>
      <c r="BF264" s="310">
        <v>0.25142059999999999</v>
      </c>
      <c r="BG264" s="310">
        <v>0.25514019999999998</v>
      </c>
      <c r="BH264" s="310">
        <v>0.25124590000000002</v>
      </c>
      <c r="BI264" s="310">
        <v>0.2551215</v>
      </c>
      <c r="BJ264" s="310">
        <v>0.25267980000000001</v>
      </c>
      <c r="BK264" s="310">
        <v>0.25733889999999998</v>
      </c>
    </row>
    <row r="265" spans="1:63" x14ac:dyDescent="0.25">
      <c r="A265" s="306">
        <v>335911</v>
      </c>
      <c r="B265" s="310" t="s">
        <v>240</v>
      </c>
      <c r="C265" s="310">
        <v>0.22574620000000001</v>
      </c>
      <c r="D265" s="310">
        <v>0</v>
      </c>
      <c r="E265" s="310">
        <v>0</v>
      </c>
      <c r="F265" s="310">
        <v>0.1954901</v>
      </c>
      <c r="G265" s="310">
        <v>0.2180743</v>
      </c>
      <c r="H265" s="310">
        <v>0.22420329999999999</v>
      </c>
      <c r="I265" s="310">
        <v>0.2238396</v>
      </c>
      <c r="J265" s="310">
        <v>0.2033114</v>
      </c>
      <c r="K265" s="310">
        <v>0</v>
      </c>
      <c r="L265" s="310">
        <v>0.17099880000000001</v>
      </c>
      <c r="M265" s="310">
        <v>0.22437850000000001</v>
      </c>
      <c r="N265" s="310">
        <v>0.2175136</v>
      </c>
      <c r="O265" s="310">
        <v>0</v>
      </c>
      <c r="P265" s="310">
        <v>0.215059</v>
      </c>
      <c r="Q265" s="310">
        <v>0</v>
      </c>
      <c r="R265" s="310">
        <v>0.21849289999999999</v>
      </c>
      <c r="S265" s="310">
        <v>0.21303530000000001</v>
      </c>
      <c r="T265" s="310">
        <v>0.20708480000000001</v>
      </c>
      <c r="U265" s="310">
        <v>0.20980760000000001</v>
      </c>
      <c r="V265" s="310">
        <v>0</v>
      </c>
      <c r="W265" s="310">
        <v>0</v>
      </c>
      <c r="X265" s="310">
        <v>0</v>
      </c>
      <c r="Y265" s="310">
        <v>0</v>
      </c>
      <c r="Z265" s="310">
        <v>0.21491569999999999</v>
      </c>
      <c r="AA265" s="310">
        <v>0.2226062</v>
      </c>
      <c r="AB265" s="310">
        <v>0.21402379999999999</v>
      </c>
      <c r="AC265" s="310">
        <v>0.21681800000000001</v>
      </c>
      <c r="AD265" s="310">
        <v>0</v>
      </c>
      <c r="AE265" s="310">
        <v>0.22137229999999999</v>
      </c>
      <c r="AF265" s="310">
        <v>0</v>
      </c>
      <c r="AG265" s="310">
        <v>0</v>
      </c>
      <c r="AH265" s="310">
        <v>0</v>
      </c>
      <c r="AI265" s="310">
        <v>0.2058546</v>
      </c>
      <c r="AJ265" s="310">
        <v>0</v>
      </c>
      <c r="AK265" s="310">
        <v>0</v>
      </c>
      <c r="AL265" s="310">
        <v>0</v>
      </c>
      <c r="AM265" s="310">
        <v>0.2202057</v>
      </c>
      <c r="AN265" s="310">
        <v>0.22266320000000001</v>
      </c>
      <c r="AO265" s="310">
        <v>0.19212699999999999</v>
      </c>
      <c r="AP265" s="310">
        <v>0.2185424</v>
      </c>
      <c r="AQ265" s="310">
        <v>0.19702710000000001</v>
      </c>
      <c r="AR265" s="310">
        <v>0.21698680000000001</v>
      </c>
      <c r="AS265" s="310">
        <v>0</v>
      </c>
      <c r="AT265" s="310">
        <v>0.21637629999999999</v>
      </c>
      <c r="AU265" s="310">
        <v>0.22047559999999999</v>
      </c>
      <c r="AV265" s="310">
        <v>0.22143289999999999</v>
      </c>
      <c r="AW265" s="310">
        <v>0</v>
      </c>
      <c r="AX265" s="310">
        <v>0</v>
      </c>
      <c r="AY265" s="310">
        <v>0.2211591</v>
      </c>
      <c r="AZ265" s="310">
        <v>0.22222900000000001</v>
      </c>
      <c r="BA265" s="310">
        <v>0.19930890000000001</v>
      </c>
      <c r="BB265" s="310">
        <v>0</v>
      </c>
      <c r="BC265" s="310">
        <v>0.22208800000000001</v>
      </c>
      <c r="BD265" s="310">
        <v>0.22219230000000001</v>
      </c>
      <c r="BE265" s="310">
        <v>0.2232162</v>
      </c>
      <c r="BF265" s="310">
        <v>0.21911059999999999</v>
      </c>
      <c r="BG265" s="310">
        <v>0.22231010000000001</v>
      </c>
      <c r="BH265" s="310">
        <v>0.21892619999999999</v>
      </c>
      <c r="BI265" s="310">
        <v>0.2223299</v>
      </c>
      <c r="BJ265" s="310">
        <v>0.22015870000000001</v>
      </c>
      <c r="BK265" s="310">
        <v>0.22423760000000001</v>
      </c>
    </row>
    <row r="266" spans="1:63" x14ac:dyDescent="0.25">
      <c r="A266" s="306">
        <v>335912</v>
      </c>
      <c r="B266" s="310" t="s">
        <v>241</v>
      </c>
      <c r="C266" s="310">
        <v>0.12592329999999999</v>
      </c>
      <c r="D266" s="310">
        <v>0</v>
      </c>
      <c r="E266" s="310">
        <v>0.1231525</v>
      </c>
      <c r="F266" s="310">
        <v>0</v>
      </c>
      <c r="G266" s="310">
        <v>0.12163930000000001</v>
      </c>
      <c r="H266" s="310">
        <v>0.1250597</v>
      </c>
      <c r="I266" s="310">
        <v>0.12483909999999999</v>
      </c>
      <c r="J266" s="310">
        <v>0.1133731</v>
      </c>
      <c r="K266" s="310">
        <v>0</v>
      </c>
      <c r="L266" s="310">
        <v>0</v>
      </c>
      <c r="M266" s="310">
        <v>0.12515270000000001</v>
      </c>
      <c r="N266" s="310">
        <v>0.121333</v>
      </c>
      <c r="O266" s="310">
        <v>0</v>
      </c>
      <c r="P266" s="310">
        <v>0.1199423</v>
      </c>
      <c r="Q266" s="310">
        <v>0</v>
      </c>
      <c r="R266" s="310">
        <v>0.1218645</v>
      </c>
      <c r="S266" s="310">
        <v>0.1188152</v>
      </c>
      <c r="T266" s="310">
        <v>0</v>
      </c>
      <c r="U266" s="310">
        <v>0.1170192</v>
      </c>
      <c r="V266" s="310">
        <v>0</v>
      </c>
      <c r="W266" s="310">
        <v>0.1055545</v>
      </c>
      <c r="X266" s="310">
        <v>0</v>
      </c>
      <c r="Y266" s="310">
        <v>0</v>
      </c>
      <c r="Z266" s="310">
        <v>0</v>
      </c>
      <c r="AA266" s="310">
        <v>0.1241215</v>
      </c>
      <c r="AB266" s="310">
        <v>0.1193703</v>
      </c>
      <c r="AC266" s="310">
        <v>0</v>
      </c>
      <c r="AD266" s="310">
        <v>0</v>
      </c>
      <c r="AE266" s="310">
        <v>0.1234339</v>
      </c>
      <c r="AF266" s="310">
        <v>0</v>
      </c>
      <c r="AG266" s="310">
        <v>0</v>
      </c>
      <c r="AH266" s="310">
        <v>0</v>
      </c>
      <c r="AI266" s="310">
        <v>0.1148073</v>
      </c>
      <c r="AJ266" s="310">
        <v>0</v>
      </c>
      <c r="AK266" s="310">
        <v>0.1188891</v>
      </c>
      <c r="AL266" s="310">
        <v>0.11828329999999999</v>
      </c>
      <c r="AM266" s="310">
        <v>0</v>
      </c>
      <c r="AN266" s="310">
        <v>0</v>
      </c>
      <c r="AO266" s="310">
        <v>0</v>
      </c>
      <c r="AP266" s="310">
        <v>0.1219065</v>
      </c>
      <c r="AQ266" s="310">
        <v>0</v>
      </c>
      <c r="AR266" s="310">
        <v>0.1210204</v>
      </c>
      <c r="AS266" s="310">
        <v>0</v>
      </c>
      <c r="AT266" s="310">
        <v>0.12067</v>
      </c>
      <c r="AU266" s="310">
        <v>0.12298489999999999</v>
      </c>
      <c r="AV266" s="310">
        <v>0</v>
      </c>
      <c r="AW266" s="310">
        <v>0</v>
      </c>
      <c r="AX266" s="310">
        <v>0.1190852</v>
      </c>
      <c r="AY266" s="310">
        <v>0</v>
      </c>
      <c r="AZ266" s="310">
        <v>0.123958</v>
      </c>
      <c r="BA266" s="310">
        <v>0</v>
      </c>
      <c r="BB266" s="310">
        <v>0</v>
      </c>
      <c r="BC266" s="310">
        <v>0.12385690000000001</v>
      </c>
      <c r="BD266" s="310">
        <v>0.1239188</v>
      </c>
      <c r="BE266" s="310">
        <v>0.1244837</v>
      </c>
      <c r="BF266" s="310">
        <v>0.1222109</v>
      </c>
      <c r="BG266" s="310">
        <v>0.1239986</v>
      </c>
      <c r="BH266" s="310">
        <v>0.1220811</v>
      </c>
      <c r="BI266" s="310">
        <v>0.124001</v>
      </c>
      <c r="BJ266" s="310">
        <v>0.1228277</v>
      </c>
      <c r="BK266" s="310">
        <v>0.1250732</v>
      </c>
    </row>
    <row r="267" spans="1:63" x14ac:dyDescent="0.25">
      <c r="A267" s="306">
        <v>335920</v>
      </c>
      <c r="B267" s="310" t="s">
        <v>242</v>
      </c>
      <c r="C267" s="310">
        <v>0.18061540000000001</v>
      </c>
      <c r="D267" s="310">
        <v>0</v>
      </c>
      <c r="E267" s="310">
        <v>0.1766518</v>
      </c>
      <c r="F267" s="310">
        <v>0.15637719999999999</v>
      </c>
      <c r="G267" s="310">
        <v>0.17446120000000001</v>
      </c>
      <c r="H267" s="310">
        <v>0.1793061</v>
      </c>
      <c r="I267" s="310">
        <v>0.17901120000000001</v>
      </c>
      <c r="J267" s="310">
        <v>0.16261220000000001</v>
      </c>
      <c r="K267" s="310">
        <v>0</v>
      </c>
      <c r="L267" s="310">
        <v>0.13675370000000001</v>
      </c>
      <c r="M267" s="310">
        <v>0.17946609999999999</v>
      </c>
      <c r="N267" s="310">
        <v>0.174013</v>
      </c>
      <c r="O267" s="310">
        <v>0</v>
      </c>
      <c r="P267" s="310">
        <v>0.17204630000000001</v>
      </c>
      <c r="Q267" s="310">
        <v>0.15918060000000001</v>
      </c>
      <c r="R267" s="310">
        <v>0.1747716</v>
      </c>
      <c r="S267" s="310">
        <v>0.1704551</v>
      </c>
      <c r="T267" s="310">
        <v>0</v>
      </c>
      <c r="U267" s="310">
        <v>0.16780600000000001</v>
      </c>
      <c r="V267" s="310">
        <v>0</v>
      </c>
      <c r="W267" s="310">
        <v>0.1514094</v>
      </c>
      <c r="X267" s="310">
        <v>0.16235169999999999</v>
      </c>
      <c r="Y267" s="310">
        <v>0.18008170000000001</v>
      </c>
      <c r="Z267" s="310">
        <v>0.17189869999999999</v>
      </c>
      <c r="AA267" s="310">
        <v>0.17803530000000001</v>
      </c>
      <c r="AB267" s="310">
        <v>0.1711937</v>
      </c>
      <c r="AC267" s="310">
        <v>0.17347870000000001</v>
      </c>
      <c r="AD267" s="310">
        <v>0.16921030000000001</v>
      </c>
      <c r="AE267" s="310">
        <v>0.17708280000000001</v>
      </c>
      <c r="AF267" s="310">
        <v>8.7090399999999998E-2</v>
      </c>
      <c r="AG267" s="310">
        <v>0.17171719999999999</v>
      </c>
      <c r="AH267" s="310">
        <v>0.1629843</v>
      </c>
      <c r="AI267" s="310">
        <v>0.16469809999999999</v>
      </c>
      <c r="AJ267" s="310">
        <v>0.17792810000000001</v>
      </c>
      <c r="AK267" s="310">
        <v>0.1705468</v>
      </c>
      <c r="AL267" s="310">
        <v>0.1696812</v>
      </c>
      <c r="AM267" s="310">
        <v>0.17613100000000001</v>
      </c>
      <c r="AN267" s="310">
        <v>0</v>
      </c>
      <c r="AO267" s="310">
        <v>0.1537096</v>
      </c>
      <c r="AP267" s="310">
        <v>0.1748374</v>
      </c>
      <c r="AQ267" s="310">
        <v>0.15759139999999999</v>
      </c>
      <c r="AR267" s="310">
        <v>0.17357590000000001</v>
      </c>
      <c r="AS267" s="310">
        <v>0</v>
      </c>
      <c r="AT267" s="310">
        <v>0.173095</v>
      </c>
      <c r="AU267" s="310">
        <v>0.17636650000000001</v>
      </c>
      <c r="AV267" s="310">
        <v>0.17712900000000001</v>
      </c>
      <c r="AW267" s="310">
        <v>0.16695389999999999</v>
      </c>
      <c r="AX267" s="310">
        <v>0.17076649999999999</v>
      </c>
      <c r="AY267" s="310">
        <v>0.17688590000000001</v>
      </c>
      <c r="AZ267" s="310">
        <v>0.1777997</v>
      </c>
      <c r="BA267" s="310">
        <v>0</v>
      </c>
      <c r="BB267" s="310">
        <v>0.1496528</v>
      </c>
      <c r="BC267" s="310">
        <v>0.17764089999999999</v>
      </c>
      <c r="BD267" s="310">
        <v>0.17771139999999999</v>
      </c>
      <c r="BE267" s="310">
        <v>0.17854719999999999</v>
      </c>
      <c r="BF267" s="310">
        <v>0.1752687</v>
      </c>
      <c r="BG267" s="310">
        <v>0.17781559999999999</v>
      </c>
      <c r="BH267" s="310">
        <v>0.17511450000000001</v>
      </c>
      <c r="BI267" s="310">
        <v>0.17782210000000001</v>
      </c>
      <c r="BJ267" s="310">
        <v>0.17615700000000001</v>
      </c>
      <c r="BK267" s="310">
        <v>0.17938399999999999</v>
      </c>
    </row>
    <row r="268" spans="1:63" x14ac:dyDescent="0.25">
      <c r="A268" s="306">
        <v>335930</v>
      </c>
      <c r="B268" s="310" t="s">
        <v>243</v>
      </c>
      <c r="C268" s="310">
        <v>0.22390260000000001</v>
      </c>
      <c r="D268" s="310">
        <v>0.22393080000000001</v>
      </c>
      <c r="E268" s="310">
        <v>0.21895239999999999</v>
      </c>
      <c r="F268" s="310">
        <v>0.19389029999999999</v>
      </c>
      <c r="G268" s="310">
        <v>0.21628240000000001</v>
      </c>
      <c r="H268" s="310">
        <v>0.22233410000000001</v>
      </c>
      <c r="I268" s="310">
        <v>0.2219759</v>
      </c>
      <c r="J268" s="310">
        <v>0.201596</v>
      </c>
      <c r="K268" s="310">
        <v>0</v>
      </c>
      <c r="L268" s="310">
        <v>0.1695612</v>
      </c>
      <c r="M268" s="310">
        <v>0.2225028</v>
      </c>
      <c r="N268" s="310">
        <v>0.21570510000000001</v>
      </c>
      <c r="O268" s="310">
        <v>0</v>
      </c>
      <c r="P268" s="310">
        <v>0.21329020000000001</v>
      </c>
      <c r="Q268" s="310">
        <v>0.19739619999999999</v>
      </c>
      <c r="R268" s="310">
        <v>0.21664630000000001</v>
      </c>
      <c r="S268" s="310">
        <v>0.211283</v>
      </c>
      <c r="T268" s="310">
        <v>0.2053672</v>
      </c>
      <c r="U268" s="310">
        <v>0.20800689999999999</v>
      </c>
      <c r="V268" s="310">
        <v>0</v>
      </c>
      <c r="W268" s="310">
        <v>0.18769520000000001</v>
      </c>
      <c r="X268" s="310">
        <v>0.2012468</v>
      </c>
      <c r="Y268" s="310">
        <v>0.2232431</v>
      </c>
      <c r="Z268" s="310">
        <v>0.21313460000000001</v>
      </c>
      <c r="AA268" s="310">
        <v>0.2207508</v>
      </c>
      <c r="AB268" s="310">
        <v>0.21226149999999999</v>
      </c>
      <c r="AC268" s="310">
        <v>0.21502250000000001</v>
      </c>
      <c r="AD268" s="310">
        <v>0.20975179999999999</v>
      </c>
      <c r="AE268" s="310">
        <v>0.2195184</v>
      </c>
      <c r="AF268" s="310">
        <v>0.1079297</v>
      </c>
      <c r="AG268" s="310">
        <v>0.2129046</v>
      </c>
      <c r="AH268" s="310">
        <v>0.20203360000000001</v>
      </c>
      <c r="AI268" s="310">
        <v>0.20418819999999999</v>
      </c>
      <c r="AJ268" s="310">
        <v>0.2205906</v>
      </c>
      <c r="AK268" s="310">
        <v>0.2114094</v>
      </c>
      <c r="AL268" s="310">
        <v>0.21030270000000001</v>
      </c>
      <c r="AM268" s="310">
        <v>0.21833640000000001</v>
      </c>
      <c r="AN268" s="310">
        <v>0.22078629999999999</v>
      </c>
      <c r="AO268" s="310">
        <v>0.19053700000000001</v>
      </c>
      <c r="AP268" s="310">
        <v>0.2167375</v>
      </c>
      <c r="AQ268" s="310">
        <v>0.19536719999999999</v>
      </c>
      <c r="AR268" s="310">
        <v>0.21516740000000001</v>
      </c>
      <c r="AS268" s="310">
        <v>0</v>
      </c>
      <c r="AT268" s="310">
        <v>0.21459590000000001</v>
      </c>
      <c r="AU268" s="310">
        <v>0.2186169</v>
      </c>
      <c r="AV268" s="310">
        <v>0.219552</v>
      </c>
      <c r="AW268" s="310">
        <v>0.20699380000000001</v>
      </c>
      <c r="AX268" s="310">
        <v>0</v>
      </c>
      <c r="AY268" s="310">
        <v>0.21929760000000001</v>
      </c>
      <c r="AZ268" s="310">
        <v>0.22042539999999999</v>
      </c>
      <c r="BA268" s="310">
        <v>0</v>
      </c>
      <c r="BB268" s="310">
        <v>0</v>
      </c>
      <c r="BC268" s="310">
        <v>0.2202451</v>
      </c>
      <c r="BD268" s="310">
        <v>0.2203077</v>
      </c>
      <c r="BE268" s="310">
        <v>0.2213137</v>
      </c>
      <c r="BF268" s="310">
        <v>0.21730469999999999</v>
      </c>
      <c r="BG268" s="310">
        <v>0.22046270000000001</v>
      </c>
      <c r="BH268" s="310">
        <v>0.2170994</v>
      </c>
      <c r="BI268" s="310">
        <v>0.22048880000000001</v>
      </c>
      <c r="BJ268" s="310">
        <v>0.21836649999999999</v>
      </c>
      <c r="BK268" s="310">
        <v>0.22234709999999999</v>
      </c>
    </row>
    <row r="269" spans="1:63" x14ac:dyDescent="0.25">
      <c r="A269" s="306">
        <v>335991</v>
      </c>
      <c r="B269" s="310" t="s">
        <v>0</v>
      </c>
      <c r="C269" s="310">
        <v>0.2400969</v>
      </c>
      <c r="D269" s="310">
        <v>0</v>
      </c>
      <c r="E269" s="310">
        <v>0.234848</v>
      </c>
      <c r="F269" s="310">
        <v>0.20789589999999999</v>
      </c>
      <c r="G269" s="310">
        <v>0.23195209999999999</v>
      </c>
      <c r="H269" s="310">
        <v>0.23843110000000001</v>
      </c>
      <c r="I269" s="310">
        <v>0.23801259999999999</v>
      </c>
      <c r="J269" s="310">
        <v>0.21620039999999999</v>
      </c>
      <c r="K269" s="310">
        <v>0</v>
      </c>
      <c r="L269" s="310">
        <v>0</v>
      </c>
      <c r="M269" s="310">
        <v>0.23856279999999999</v>
      </c>
      <c r="N269" s="310">
        <v>0</v>
      </c>
      <c r="O269" s="310">
        <v>0</v>
      </c>
      <c r="P269" s="310">
        <v>0.22871569999999999</v>
      </c>
      <c r="Q269" s="310">
        <v>0</v>
      </c>
      <c r="R269" s="310">
        <v>0.23237089999999999</v>
      </c>
      <c r="S269" s="310">
        <v>0</v>
      </c>
      <c r="T269" s="310">
        <v>0</v>
      </c>
      <c r="U269" s="310">
        <v>0.2231088</v>
      </c>
      <c r="V269" s="310">
        <v>0</v>
      </c>
      <c r="W269" s="310">
        <v>0.20126959999999999</v>
      </c>
      <c r="X269" s="310">
        <v>0</v>
      </c>
      <c r="Y269" s="310">
        <v>0.23942769999999999</v>
      </c>
      <c r="Z269" s="310">
        <v>0.22853670000000001</v>
      </c>
      <c r="AA269" s="310">
        <v>0.23671590000000001</v>
      </c>
      <c r="AB269" s="310">
        <v>0.22758410000000001</v>
      </c>
      <c r="AC269" s="310">
        <v>0</v>
      </c>
      <c r="AD269" s="310">
        <v>0</v>
      </c>
      <c r="AE269" s="310">
        <v>0.23537659999999999</v>
      </c>
      <c r="AF269" s="310">
        <v>0</v>
      </c>
      <c r="AG269" s="310">
        <v>0</v>
      </c>
      <c r="AH269" s="310">
        <v>0.21671489999999999</v>
      </c>
      <c r="AI269" s="310">
        <v>0.21891830000000001</v>
      </c>
      <c r="AJ269" s="310">
        <v>0</v>
      </c>
      <c r="AK269" s="310">
        <v>0</v>
      </c>
      <c r="AL269" s="310">
        <v>0.22558039999999999</v>
      </c>
      <c r="AM269" s="310">
        <v>0.2341705</v>
      </c>
      <c r="AN269" s="310">
        <v>0</v>
      </c>
      <c r="AO269" s="310">
        <v>0.20433380000000001</v>
      </c>
      <c r="AP269" s="310">
        <v>0.23246030000000001</v>
      </c>
      <c r="AQ269" s="310">
        <v>0</v>
      </c>
      <c r="AR269" s="310">
        <v>0.23077909999999999</v>
      </c>
      <c r="AS269" s="310">
        <v>0</v>
      </c>
      <c r="AT269" s="310">
        <v>0.2301462</v>
      </c>
      <c r="AU269" s="310">
        <v>0.23444409999999999</v>
      </c>
      <c r="AV269" s="310">
        <v>0.23546710000000001</v>
      </c>
      <c r="AW269" s="310">
        <v>0.2219776</v>
      </c>
      <c r="AX269" s="310">
        <v>0.2269882</v>
      </c>
      <c r="AY269" s="310">
        <v>0</v>
      </c>
      <c r="AZ269" s="310">
        <v>0.23635220000000001</v>
      </c>
      <c r="BA269" s="310">
        <v>0.21198719999999999</v>
      </c>
      <c r="BB269" s="310">
        <v>0.19897020000000001</v>
      </c>
      <c r="BC269" s="310">
        <v>0.236211</v>
      </c>
      <c r="BD269" s="310">
        <v>0.23623469999999999</v>
      </c>
      <c r="BE269" s="310">
        <v>0.2373982</v>
      </c>
      <c r="BF269" s="310">
        <v>0.23302719999999999</v>
      </c>
      <c r="BG269" s="310">
        <v>0.23641139999999999</v>
      </c>
      <c r="BH269" s="310">
        <v>0.2328083</v>
      </c>
      <c r="BI269" s="310">
        <v>0.23644699999999999</v>
      </c>
      <c r="BJ269" s="310">
        <v>0.234178</v>
      </c>
      <c r="BK269" s="310">
        <v>0.23846200000000001</v>
      </c>
    </row>
    <row r="270" spans="1:63" x14ac:dyDescent="0.25">
      <c r="A270" s="306">
        <v>335999</v>
      </c>
      <c r="B270" s="310" t="s">
        <v>3</v>
      </c>
      <c r="C270" s="310">
        <v>0.27030320000000002</v>
      </c>
      <c r="D270" s="310">
        <v>0</v>
      </c>
      <c r="E270" s="310">
        <v>0.26434029999999997</v>
      </c>
      <c r="F270" s="310">
        <v>0.2340315</v>
      </c>
      <c r="G270" s="310">
        <v>0.2611194</v>
      </c>
      <c r="H270" s="310">
        <v>0.2683952</v>
      </c>
      <c r="I270" s="310">
        <v>0.26795259999999999</v>
      </c>
      <c r="J270" s="310">
        <v>0.24342800000000001</v>
      </c>
      <c r="K270" s="310">
        <v>0</v>
      </c>
      <c r="L270" s="310">
        <v>0</v>
      </c>
      <c r="M270" s="310">
        <v>0.26857219999999998</v>
      </c>
      <c r="N270" s="310">
        <v>0.2604245</v>
      </c>
      <c r="O270" s="310">
        <v>0</v>
      </c>
      <c r="P270" s="310">
        <v>0.25746629999999998</v>
      </c>
      <c r="Q270" s="310">
        <v>0.23823050000000001</v>
      </c>
      <c r="R270" s="310">
        <v>0.2615306</v>
      </c>
      <c r="S270" s="310">
        <v>0.25509480000000001</v>
      </c>
      <c r="T270" s="310">
        <v>0.2479286</v>
      </c>
      <c r="U270" s="310">
        <v>0.2511603</v>
      </c>
      <c r="V270" s="310">
        <v>0.2549129</v>
      </c>
      <c r="W270" s="310">
        <v>0.2265837</v>
      </c>
      <c r="X270" s="310">
        <v>0.24298629999999999</v>
      </c>
      <c r="Y270" s="310">
        <v>0.26951530000000001</v>
      </c>
      <c r="Z270" s="310">
        <v>0.25732539999999998</v>
      </c>
      <c r="AA270" s="310">
        <v>0.26646019999999998</v>
      </c>
      <c r="AB270" s="310">
        <v>0.2562062</v>
      </c>
      <c r="AC270" s="310">
        <v>0.25957920000000001</v>
      </c>
      <c r="AD270" s="310">
        <v>0.25324980000000002</v>
      </c>
      <c r="AE270" s="310">
        <v>0.26496429999999999</v>
      </c>
      <c r="AF270" s="310">
        <v>0</v>
      </c>
      <c r="AG270" s="310">
        <v>0.25697920000000002</v>
      </c>
      <c r="AH270" s="310">
        <v>0.24395639999999999</v>
      </c>
      <c r="AI270" s="310">
        <v>0.2464961</v>
      </c>
      <c r="AJ270" s="310">
        <v>0.26631460000000001</v>
      </c>
      <c r="AK270" s="310">
        <v>0.25525130000000001</v>
      </c>
      <c r="AL270" s="310">
        <v>0.25391829999999999</v>
      </c>
      <c r="AM270" s="310">
        <v>0.26361889999999999</v>
      </c>
      <c r="AN270" s="310">
        <v>0.2665788</v>
      </c>
      <c r="AO270" s="310">
        <v>0.2300383</v>
      </c>
      <c r="AP270" s="310">
        <v>0.26168010000000003</v>
      </c>
      <c r="AQ270" s="310">
        <v>0.23588229999999999</v>
      </c>
      <c r="AR270" s="310">
        <v>0.25978220000000002</v>
      </c>
      <c r="AS270" s="310">
        <v>0</v>
      </c>
      <c r="AT270" s="310">
        <v>0.25903419999999999</v>
      </c>
      <c r="AU270" s="310">
        <v>0.26396130000000001</v>
      </c>
      <c r="AV270" s="310">
        <v>0.26508029999999999</v>
      </c>
      <c r="AW270" s="310">
        <v>0.24991969999999999</v>
      </c>
      <c r="AX270" s="310">
        <v>0.25552920000000001</v>
      </c>
      <c r="AY270" s="310">
        <v>0.26474059999999999</v>
      </c>
      <c r="AZ270" s="310">
        <v>0.26604699999999998</v>
      </c>
      <c r="BA270" s="310">
        <v>0.23865990000000001</v>
      </c>
      <c r="BB270" s="310">
        <v>0</v>
      </c>
      <c r="BC270" s="310">
        <v>0.26590619999999998</v>
      </c>
      <c r="BD270" s="310">
        <v>0.26596969999999998</v>
      </c>
      <c r="BE270" s="310">
        <v>0.26718170000000002</v>
      </c>
      <c r="BF270" s="310">
        <v>0.26232879999999997</v>
      </c>
      <c r="BG270" s="310">
        <v>0.26614769999999999</v>
      </c>
      <c r="BH270" s="310">
        <v>0.2621252</v>
      </c>
      <c r="BI270" s="310">
        <v>0.26617600000000002</v>
      </c>
      <c r="BJ270" s="310">
        <v>0.2636057</v>
      </c>
      <c r="BK270" s="310">
        <v>0.26844560000000001</v>
      </c>
    </row>
    <row r="271" spans="1:63" x14ac:dyDescent="0.25">
      <c r="A271" s="306">
        <v>336111</v>
      </c>
      <c r="B271" s="310" t="s">
        <v>244</v>
      </c>
      <c r="C271" s="310">
        <v>0.1184626</v>
      </c>
      <c r="D271" s="310">
        <v>0</v>
      </c>
      <c r="E271" s="310">
        <v>0.1141785</v>
      </c>
      <c r="F271" s="310">
        <v>0</v>
      </c>
      <c r="G271" s="310">
        <v>0.1174365</v>
      </c>
      <c r="H271" s="310">
        <v>0.1178497</v>
      </c>
      <c r="I271" s="310">
        <v>0.117044</v>
      </c>
      <c r="J271" s="310">
        <v>0</v>
      </c>
      <c r="K271" s="310">
        <v>0</v>
      </c>
      <c r="L271" s="310">
        <v>8.0714400000000006E-2</v>
      </c>
      <c r="M271" s="310">
        <v>0.1174336</v>
      </c>
      <c r="N271" s="310">
        <v>0.114632</v>
      </c>
      <c r="O271" s="310">
        <v>0</v>
      </c>
      <c r="P271" s="310">
        <v>0.1123822</v>
      </c>
      <c r="Q271" s="310">
        <v>0</v>
      </c>
      <c r="R271" s="310">
        <v>0.106361</v>
      </c>
      <c r="S271" s="310">
        <v>0.1132423</v>
      </c>
      <c r="T271" s="310">
        <v>0.1103508</v>
      </c>
      <c r="U271" s="310">
        <v>0.1089894</v>
      </c>
      <c r="V271" s="310">
        <v>0.11107590000000001</v>
      </c>
      <c r="W271" s="310">
        <v>0.1057601</v>
      </c>
      <c r="X271" s="310">
        <v>0.1011435</v>
      </c>
      <c r="Y271" s="310">
        <v>0</v>
      </c>
      <c r="Z271" s="310">
        <v>0.1175109</v>
      </c>
      <c r="AA271" s="310">
        <v>0.112868</v>
      </c>
      <c r="AB271" s="310">
        <v>0.10812380000000001</v>
      </c>
      <c r="AC271" s="310">
        <v>0</v>
      </c>
      <c r="AD271" s="310">
        <v>0</v>
      </c>
      <c r="AE271" s="310">
        <v>0.11532530000000001</v>
      </c>
      <c r="AF271" s="310">
        <v>0.1003479</v>
      </c>
      <c r="AG271" s="310">
        <v>0</v>
      </c>
      <c r="AH271" s="310">
        <v>0</v>
      </c>
      <c r="AI271" s="310">
        <v>0.1026542</v>
      </c>
      <c r="AJ271" s="310">
        <v>0</v>
      </c>
      <c r="AK271" s="310">
        <v>0.1150205</v>
      </c>
      <c r="AL271" s="310">
        <v>0.1148914</v>
      </c>
      <c r="AM271" s="310">
        <v>0.1138242</v>
      </c>
      <c r="AN271" s="310">
        <v>0.1162401</v>
      </c>
      <c r="AO271" s="310">
        <v>0.1032267</v>
      </c>
      <c r="AP271" s="310">
        <v>0.10897709999999999</v>
      </c>
      <c r="AQ271" s="310">
        <v>0</v>
      </c>
      <c r="AR271" s="310">
        <v>0.1141981</v>
      </c>
      <c r="AS271" s="310">
        <v>0.1099818</v>
      </c>
      <c r="AT271" s="310">
        <v>0.1159579</v>
      </c>
      <c r="AU271" s="310">
        <v>0.1169674</v>
      </c>
      <c r="AV271" s="310">
        <v>0</v>
      </c>
      <c r="AW271" s="310">
        <v>0.1100411</v>
      </c>
      <c r="AX271" s="310">
        <v>0</v>
      </c>
      <c r="AY271" s="310">
        <v>0.1179153</v>
      </c>
      <c r="AZ271" s="310">
        <v>0.114873</v>
      </c>
      <c r="BA271" s="310">
        <v>0</v>
      </c>
      <c r="BB271" s="310">
        <v>0</v>
      </c>
      <c r="BC271" s="310">
        <v>0.1171529</v>
      </c>
      <c r="BD271" s="310">
        <v>0.1160979</v>
      </c>
      <c r="BE271" s="310">
        <v>0.1176976</v>
      </c>
      <c r="BF271" s="310">
        <v>0.11419360000000001</v>
      </c>
      <c r="BG271" s="310">
        <v>0.11633010000000001</v>
      </c>
      <c r="BH271" s="310">
        <v>0.114914</v>
      </c>
      <c r="BI271" s="310">
        <v>0.1167832</v>
      </c>
      <c r="BJ271" s="310">
        <v>0.1172603</v>
      </c>
      <c r="BK271" s="310">
        <v>0.1180037</v>
      </c>
    </row>
    <row r="272" spans="1:63" x14ac:dyDescent="0.25">
      <c r="A272" s="306">
        <v>336112</v>
      </c>
      <c r="B272" s="310" t="s">
        <v>245</v>
      </c>
      <c r="C272" s="310">
        <v>0.1184537</v>
      </c>
      <c r="D272" s="310">
        <v>0</v>
      </c>
      <c r="E272" s="310">
        <v>0.11418590000000001</v>
      </c>
      <c r="F272" s="310">
        <v>0</v>
      </c>
      <c r="G272" s="310">
        <v>0.1174509</v>
      </c>
      <c r="H272" s="310">
        <v>0.11785030000000001</v>
      </c>
      <c r="I272" s="310">
        <v>0</v>
      </c>
      <c r="J272" s="310">
        <v>0</v>
      </c>
      <c r="K272" s="310">
        <v>0</v>
      </c>
      <c r="L272" s="310">
        <v>0</v>
      </c>
      <c r="M272" s="310">
        <v>0</v>
      </c>
      <c r="N272" s="310">
        <v>0.11461499999999999</v>
      </c>
      <c r="O272" s="310">
        <v>0</v>
      </c>
      <c r="P272" s="310">
        <v>0</v>
      </c>
      <c r="Q272" s="310">
        <v>0.11104650000000001</v>
      </c>
      <c r="R272" s="310">
        <v>0.1063554</v>
      </c>
      <c r="S272" s="310">
        <v>0.1132595</v>
      </c>
      <c r="T272" s="310">
        <v>0.1103775</v>
      </c>
      <c r="U272" s="310">
        <v>0.1089987</v>
      </c>
      <c r="V272" s="310">
        <v>0.11109719999999999</v>
      </c>
      <c r="W272" s="310">
        <v>0.1057902</v>
      </c>
      <c r="X272" s="310">
        <v>0.1011209</v>
      </c>
      <c r="Y272" s="310">
        <v>0</v>
      </c>
      <c r="Z272" s="310">
        <v>0.1175416</v>
      </c>
      <c r="AA272" s="310">
        <v>0.11286789999999999</v>
      </c>
      <c r="AB272" s="310">
        <v>0.1081337</v>
      </c>
      <c r="AC272" s="310">
        <v>0.1056237</v>
      </c>
      <c r="AD272" s="310">
        <v>0</v>
      </c>
      <c r="AE272" s="310">
        <v>0.1153221</v>
      </c>
      <c r="AF272" s="310">
        <v>0</v>
      </c>
      <c r="AG272" s="310">
        <v>0</v>
      </c>
      <c r="AH272" s="310">
        <v>0</v>
      </c>
      <c r="AI272" s="310">
        <v>0.1026301</v>
      </c>
      <c r="AJ272" s="310">
        <v>0</v>
      </c>
      <c r="AK272" s="310">
        <v>0</v>
      </c>
      <c r="AL272" s="310">
        <v>0.1149165</v>
      </c>
      <c r="AM272" s="310">
        <v>0.1138122</v>
      </c>
      <c r="AN272" s="310">
        <v>0.11625099999999999</v>
      </c>
      <c r="AO272" s="310">
        <v>0.1032431</v>
      </c>
      <c r="AP272" s="310">
        <v>0.1089955</v>
      </c>
      <c r="AQ272" s="310">
        <v>0</v>
      </c>
      <c r="AR272" s="310">
        <v>0.11420710000000001</v>
      </c>
      <c r="AS272" s="310">
        <v>0</v>
      </c>
      <c r="AT272" s="310">
        <v>0</v>
      </c>
      <c r="AU272" s="310">
        <v>0.1169713</v>
      </c>
      <c r="AV272" s="310">
        <v>0.1163366</v>
      </c>
      <c r="AW272" s="310">
        <v>0.1100015</v>
      </c>
      <c r="AX272" s="310">
        <v>0</v>
      </c>
      <c r="AY272" s="310">
        <v>0.11789959999999999</v>
      </c>
      <c r="AZ272" s="310">
        <v>0.1148798</v>
      </c>
      <c r="BA272" s="310">
        <v>0</v>
      </c>
      <c r="BB272" s="310">
        <v>0</v>
      </c>
      <c r="BC272" s="310">
        <v>0.1171833</v>
      </c>
      <c r="BD272" s="310">
        <v>0.116103</v>
      </c>
      <c r="BE272" s="310">
        <v>0.1176973</v>
      </c>
      <c r="BF272" s="310">
        <v>0.1141979</v>
      </c>
      <c r="BG272" s="310">
        <v>0.11633739999999999</v>
      </c>
      <c r="BH272" s="310">
        <v>0.1149008</v>
      </c>
      <c r="BI272" s="310">
        <v>0.1168005</v>
      </c>
      <c r="BJ272" s="310">
        <v>0.1172562</v>
      </c>
      <c r="BK272" s="310">
        <v>0.117995</v>
      </c>
    </row>
    <row r="273" spans="1:63" x14ac:dyDescent="0.25">
      <c r="A273" s="306">
        <v>336120</v>
      </c>
      <c r="B273" s="310" t="s">
        <v>246</v>
      </c>
      <c r="C273" s="310">
        <v>0.1184563</v>
      </c>
      <c r="D273" s="310">
        <v>0</v>
      </c>
      <c r="E273" s="310">
        <v>0.1141799</v>
      </c>
      <c r="F273" s="310">
        <v>0.1141944</v>
      </c>
      <c r="G273" s="310">
        <v>0.11745</v>
      </c>
      <c r="H273" s="310">
        <v>0.11782869999999999</v>
      </c>
      <c r="I273" s="310">
        <v>0.1170773</v>
      </c>
      <c r="J273" s="310">
        <v>0.1090069</v>
      </c>
      <c r="K273" s="310">
        <v>0</v>
      </c>
      <c r="L273" s="310">
        <v>0</v>
      </c>
      <c r="M273" s="310">
        <v>0.1174345</v>
      </c>
      <c r="N273" s="310">
        <v>0.1146359</v>
      </c>
      <c r="O273" s="310">
        <v>0</v>
      </c>
      <c r="P273" s="310">
        <v>0.1123889</v>
      </c>
      <c r="Q273" s="310">
        <v>0.1110133</v>
      </c>
      <c r="R273" s="310">
        <v>0.10637050000000001</v>
      </c>
      <c r="S273" s="310">
        <v>0.1132422</v>
      </c>
      <c r="T273" s="310">
        <v>0.11034960000000001</v>
      </c>
      <c r="U273" s="310">
        <v>0.10899830000000001</v>
      </c>
      <c r="V273" s="310">
        <v>0.11108560000000001</v>
      </c>
      <c r="W273" s="310">
        <v>0</v>
      </c>
      <c r="X273" s="310">
        <v>0.1011167</v>
      </c>
      <c r="Y273" s="310">
        <v>0</v>
      </c>
      <c r="Z273" s="310">
        <v>0.1175253</v>
      </c>
      <c r="AA273" s="310">
        <v>0.1128675</v>
      </c>
      <c r="AB273" s="310">
        <v>0.1081288</v>
      </c>
      <c r="AC273" s="310">
        <v>0.1055975</v>
      </c>
      <c r="AD273" s="310">
        <v>0.1169434</v>
      </c>
      <c r="AE273" s="310">
        <v>0.1152982</v>
      </c>
      <c r="AF273" s="310">
        <v>0.1002941</v>
      </c>
      <c r="AG273" s="310">
        <v>0.11242770000000001</v>
      </c>
      <c r="AH273" s="310">
        <v>0</v>
      </c>
      <c r="AI273" s="310">
        <v>0.10263029999999999</v>
      </c>
      <c r="AJ273" s="310">
        <v>0.1143463</v>
      </c>
      <c r="AK273" s="310">
        <v>0</v>
      </c>
      <c r="AL273" s="310">
        <v>0.1148975</v>
      </c>
      <c r="AM273" s="310">
        <v>0.113806</v>
      </c>
      <c r="AN273" s="310">
        <v>0.1162421</v>
      </c>
      <c r="AO273" s="310">
        <v>0.1032227</v>
      </c>
      <c r="AP273" s="310">
        <v>0.1089789</v>
      </c>
      <c r="AQ273" s="310">
        <v>0</v>
      </c>
      <c r="AR273" s="310">
        <v>0.1142181</v>
      </c>
      <c r="AS273" s="310">
        <v>0.1099483</v>
      </c>
      <c r="AT273" s="310">
        <v>0.1159438</v>
      </c>
      <c r="AU273" s="310">
        <v>0.1169463</v>
      </c>
      <c r="AV273" s="310">
        <v>0</v>
      </c>
      <c r="AW273" s="310">
        <v>0.1100192</v>
      </c>
      <c r="AX273" s="310">
        <v>0</v>
      </c>
      <c r="AY273" s="310">
        <v>0.11792080000000001</v>
      </c>
      <c r="AZ273" s="310">
        <v>0.11486159999999999</v>
      </c>
      <c r="BA273" s="310">
        <v>9.8164199999999993E-2</v>
      </c>
      <c r="BB273" s="310">
        <v>0</v>
      </c>
      <c r="BC273" s="310">
        <v>0.1171774</v>
      </c>
      <c r="BD273" s="310">
        <v>0.1161117</v>
      </c>
      <c r="BE273" s="310">
        <v>0.1176812</v>
      </c>
      <c r="BF273" s="310">
        <v>0.1141828</v>
      </c>
      <c r="BG273" s="310">
        <v>0.1163271</v>
      </c>
      <c r="BH273" s="310">
        <v>0.1149266</v>
      </c>
      <c r="BI273" s="310">
        <v>0.1167936</v>
      </c>
      <c r="BJ273" s="310">
        <v>0.117229</v>
      </c>
      <c r="BK273" s="310">
        <v>0.1179656</v>
      </c>
    </row>
    <row r="274" spans="1:63" x14ac:dyDescent="0.25">
      <c r="A274" s="306">
        <v>336211</v>
      </c>
      <c r="B274" s="310" t="s">
        <v>247</v>
      </c>
      <c r="C274" s="310">
        <v>0.1922934</v>
      </c>
      <c r="D274" s="310">
        <v>0.17962839999999999</v>
      </c>
      <c r="E274" s="310">
        <v>0.1853833</v>
      </c>
      <c r="F274" s="310">
        <v>0.1853929</v>
      </c>
      <c r="G274" s="310">
        <v>0.19064990000000001</v>
      </c>
      <c r="H274" s="310">
        <v>0.19128510000000001</v>
      </c>
      <c r="I274" s="310">
        <v>0.19004470000000001</v>
      </c>
      <c r="J274" s="310">
        <v>0.17698630000000001</v>
      </c>
      <c r="K274" s="310">
        <v>0</v>
      </c>
      <c r="L274" s="310">
        <v>0.1309844</v>
      </c>
      <c r="M274" s="310">
        <v>0.190691</v>
      </c>
      <c r="N274" s="310">
        <v>0.1860629</v>
      </c>
      <c r="O274" s="310">
        <v>0.18641840000000001</v>
      </c>
      <c r="P274" s="310">
        <v>0.18245420000000001</v>
      </c>
      <c r="Q274" s="310">
        <v>0.1802716</v>
      </c>
      <c r="R274" s="310">
        <v>0.17267569999999999</v>
      </c>
      <c r="S274" s="310">
        <v>0.18385850000000001</v>
      </c>
      <c r="T274" s="310">
        <v>0.17917949999999999</v>
      </c>
      <c r="U274" s="310">
        <v>0.17693</v>
      </c>
      <c r="V274" s="310">
        <v>0.18032790000000001</v>
      </c>
      <c r="W274" s="310">
        <v>0.1717484</v>
      </c>
      <c r="X274" s="310">
        <v>0.16422619999999999</v>
      </c>
      <c r="Y274" s="310">
        <v>0</v>
      </c>
      <c r="Z274" s="310">
        <v>0.19079260000000001</v>
      </c>
      <c r="AA274" s="310">
        <v>0.1832963</v>
      </c>
      <c r="AB274" s="310">
        <v>0.1755208</v>
      </c>
      <c r="AC274" s="310">
        <v>0.17143849999999999</v>
      </c>
      <c r="AD274" s="310">
        <v>0.18983659999999999</v>
      </c>
      <c r="AE274" s="310">
        <v>0.18720200000000001</v>
      </c>
      <c r="AF274" s="310">
        <v>0.16285769999999999</v>
      </c>
      <c r="AG274" s="310">
        <v>0.1825397</v>
      </c>
      <c r="AH274" s="310">
        <v>0.17205400000000001</v>
      </c>
      <c r="AI274" s="310">
        <v>0.1666667</v>
      </c>
      <c r="AJ274" s="310">
        <v>0.1856969</v>
      </c>
      <c r="AK274" s="310">
        <v>0.18675939999999999</v>
      </c>
      <c r="AL274" s="310">
        <v>0.1865667</v>
      </c>
      <c r="AM274" s="310">
        <v>0.18476290000000001</v>
      </c>
      <c r="AN274" s="310">
        <v>0.18873190000000001</v>
      </c>
      <c r="AO274" s="310">
        <v>0.167628</v>
      </c>
      <c r="AP274" s="310">
        <v>0.17693629999999999</v>
      </c>
      <c r="AQ274" s="310">
        <v>0.14860370000000001</v>
      </c>
      <c r="AR274" s="310">
        <v>0.18542020000000001</v>
      </c>
      <c r="AS274" s="310">
        <v>0.17851719999999999</v>
      </c>
      <c r="AT274" s="310">
        <v>0.18821689999999999</v>
      </c>
      <c r="AU274" s="310">
        <v>0.1899053</v>
      </c>
      <c r="AV274" s="310">
        <v>0.18886629999999999</v>
      </c>
      <c r="AW274" s="310">
        <v>0.17861170000000001</v>
      </c>
      <c r="AX274" s="310">
        <v>0.18101419999999999</v>
      </c>
      <c r="AY274" s="310">
        <v>0.19142670000000001</v>
      </c>
      <c r="AZ274" s="310">
        <v>0.18646570000000001</v>
      </c>
      <c r="BA274" s="310">
        <v>0.15935450000000001</v>
      </c>
      <c r="BB274" s="310">
        <v>0.18409059999999999</v>
      </c>
      <c r="BC274" s="310">
        <v>0.19022559999999999</v>
      </c>
      <c r="BD274" s="310">
        <v>0.18849740000000001</v>
      </c>
      <c r="BE274" s="310">
        <v>0.1910558</v>
      </c>
      <c r="BF274" s="310">
        <v>0.18538689999999999</v>
      </c>
      <c r="BG274" s="310">
        <v>0.18886749999999999</v>
      </c>
      <c r="BH274" s="310">
        <v>0.18654999999999999</v>
      </c>
      <c r="BI274" s="310">
        <v>0.1896091</v>
      </c>
      <c r="BJ274" s="310">
        <v>0.19035859999999999</v>
      </c>
      <c r="BK274" s="310">
        <v>0.1915357</v>
      </c>
    </row>
    <row r="275" spans="1:63" x14ac:dyDescent="0.25">
      <c r="A275" s="306">
        <v>336212</v>
      </c>
      <c r="B275" s="310" t="s">
        <v>248</v>
      </c>
      <c r="C275" s="310">
        <v>0.20903160000000001</v>
      </c>
      <c r="D275" s="310">
        <v>0.1951995</v>
      </c>
      <c r="E275" s="310">
        <v>0.20152510000000001</v>
      </c>
      <c r="F275" s="310">
        <v>0.20157369999999999</v>
      </c>
      <c r="G275" s="310">
        <v>0.2072716</v>
      </c>
      <c r="H275" s="310">
        <v>0.20798839999999999</v>
      </c>
      <c r="I275" s="310">
        <v>0.20660510000000001</v>
      </c>
      <c r="J275" s="310">
        <v>0</v>
      </c>
      <c r="K275" s="310">
        <v>0</v>
      </c>
      <c r="L275" s="310">
        <v>0.14239779999999999</v>
      </c>
      <c r="M275" s="310">
        <v>0.20729739999999999</v>
      </c>
      <c r="N275" s="310">
        <v>0.20230719999999999</v>
      </c>
      <c r="O275" s="310">
        <v>0</v>
      </c>
      <c r="P275" s="310">
        <v>0.19833329999999999</v>
      </c>
      <c r="Q275" s="310">
        <v>0.1959697</v>
      </c>
      <c r="R275" s="310">
        <v>0.18769659999999999</v>
      </c>
      <c r="S275" s="310">
        <v>0.19984789999999999</v>
      </c>
      <c r="T275" s="310">
        <v>0.19478699999999999</v>
      </c>
      <c r="U275" s="310">
        <v>0.1923745</v>
      </c>
      <c r="V275" s="310">
        <v>0.19606170000000001</v>
      </c>
      <c r="W275" s="310">
        <v>0.18669759999999999</v>
      </c>
      <c r="X275" s="310">
        <v>0</v>
      </c>
      <c r="Y275" s="310">
        <v>0.1887913</v>
      </c>
      <c r="Z275" s="310">
        <v>0.207395</v>
      </c>
      <c r="AA275" s="310">
        <v>0.1992276</v>
      </c>
      <c r="AB275" s="310">
        <v>0.1908416</v>
      </c>
      <c r="AC275" s="310">
        <v>0.186386</v>
      </c>
      <c r="AD275" s="310">
        <v>0.20636350000000001</v>
      </c>
      <c r="AE275" s="310">
        <v>0.2034985</v>
      </c>
      <c r="AF275" s="310">
        <v>0.17703079999999999</v>
      </c>
      <c r="AG275" s="310">
        <v>0.19840679999999999</v>
      </c>
      <c r="AH275" s="310">
        <v>0</v>
      </c>
      <c r="AI275" s="310">
        <v>0.18116309999999999</v>
      </c>
      <c r="AJ275" s="310">
        <v>0.2018539</v>
      </c>
      <c r="AK275" s="310">
        <v>0</v>
      </c>
      <c r="AL275" s="310">
        <v>0.2028122</v>
      </c>
      <c r="AM275" s="310">
        <v>0.20088020000000001</v>
      </c>
      <c r="AN275" s="310">
        <v>0.2051268</v>
      </c>
      <c r="AO275" s="310">
        <v>0.18220729999999999</v>
      </c>
      <c r="AP275" s="310">
        <v>0.19236410000000001</v>
      </c>
      <c r="AQ275" s="310">
        <v>0.16149849999999999</v>
      </c>
      <c r="AR275" s="310">
        <v>0.20155529999999999</v>
      </c>
      <c r="AS275" s="310">
        <v>0.1940228</v>
      </c>
      <c r="AT275" s="310">
        <v>0.20463410000000001</v>
      </c>
      <c r="AU275" s="310">
        <v>0.20641100000000001</v>
      </c>
      <c r="AV275" s="310">
        <v>0.20531469999999999</v>
      </c>
      <c r="AW275" s="310">
        <v>0.19416030000000001</v>
      </c>
      <c r="AX275" s="310">
        <v>0</v>
      </c>
      <c r="AY275" s="310">
        <v>0.2080999</v>
      </c>
      <c r="AZ275" s="310">
        <v>0.20270199999999999</v>
      </c>
      <c r="BA275" s="310">
        <v>0.17322299999999999</v>
      </c>
      <c r="BB275" s="310">
        <v>0</v>
      </c>
      <c r="BC275" s="310">
        <v>0.20677390000000001</v>
      </c>
      <c r="BD275" s="310">
        <v>0.204901</v>
      </c>
      <c r="BE275" s="310">
        <v>0.20771439999999999</v>
      </c>
      <c r="BF275" s="310">
        <v>0.20152500000000001</v>
      </c>
      <c r="BG275" s="310">
        <v>0.20532909999999999</v>
      </c>
      <c r="BH275" s="310">
        <v>0.20280709999999999</v>
      </c>
      <c r="BI275" s="310">
        <v>0.20613110000000001</v>
      </c>
      <c r="BJ275" s="310">
        <v>0.20690439999999999</v>
      </c>
      <c r="BK275" s="310">
        <v>0.20823520000000001</v>
      </c>
    </row>
    <row r="276" spans="1:63" x14ac:dyDescent="0.25">
      <c r="A276" s="306">
        <v>336213</v>
      </c>
      <c r="B276" s="310" t="s">
        <v>249</v>
      </c>
      <c r="C276" s="310">
        <v>0.14480979999999999</v>
      </c>
      <c r="D276" s="310">
        <v>0</v>
      </c>
      <c r="E276" s="310">
        <v>0.139594</v>
      </c>
      <c r="F276" s="310">
        <v>0</v>
      </c>
      <c r="G276" s="310">
        <v>0.14357980000000001</v>
      </c>
      <c r="H276" s="310">
        <v>0.14406379999999999</v>
      </c>
      <c r="I276" s="310">
        <v>0</v>
      </c>
      <c r="J276" s="310">
        <v>0</v>
      </c>
      <c r="K276" s="310">
        <v>0</v>
      </c>
      <c r="L276" s="310">
        <v>0</v>
      </c>
      <c r="M276" s="310">
        <v>0.14358480000000001</v>
      </c>
      <c r="N276" s="310">
        <v>0</v>
      </c>
      <c r="O276" s="310">
        <v>0</v>
      </c>
      <c r="P276" s="310">
        <v>0.1374022</v>
      </c>
      <c r="Q276" s="310">
        <v>0</v>
      </c>
      <c r="R276" s="310">
        <v>0</v>
      </c>
      <c r="S276" s="310">
        <v>0.13846459999999999</v>
      </c>
      <c r="T276" s="310">
        <v>0</v>
      </c>
      <c r="U276" s="310">
        <v>0</v>
      </c>
      <c r="V276" s="310">
        <v>0</v>
      </c>
      <c r="W276" s="310">
        <v>0</v>
      </c>
      <c r="X276" s="310">
        <v>0</v>
      </c>
      <c r="Y276" s="310">
        <v>0</v>
      </c>
      <c r="Z276" s="310">
        <v>0.14368500000000001</v>
      </c>
      <c r="AA276" s="310">
        <v>0.13799429999999999</v>
      </c>
      <c r="AB276" s="310">
        <v>0.13219539999999999</v>
      </c>
      <c r="AC276" s="310">
        <v>0.1291195</v>
      </c>
      <c r="AD276" s="310">
        <v>0</v>
      </c>
      <c r="AE276" s="310">
        <v>0</v>
      </c>
      <c r="AF276" s="310">
        <v>0</v>
      </c>
      <c r="AG276" s="310">
        <v>0</v>
      </c>
      <c r="AH276" s="310">
        <v>0</v>
      </c>
      <c r="AI276" s="310">
        <v>0</v>
      </c>
      <c r="AJ276" s="310">
        <v>0</v>
      </c>
      <c r="AK276" s="310">
        <v>0</v>
      </c>
      <c r="AL276" s="310">
        <v>0.1404589</v>
      </c>
      <c r="AM276" s="310">
        <v>0.13913809999999999</v>
      </c>
      <c r="AN276" s="310">
        <v>0.14208670000000001</v>
      </c>
      <c r="AO276" s="310">
        <v>0.12620329999999999</v>
      </c>
      <c r="AP276" s="310">
        <v>0.1332469</v>
      </c>
      <c r="AQ276" s="310">
        <v>0</v>
      </c>
      <c r="AR276" s="310">
        <v>0.13961219999999999</v>
      </c>
      <c r="AS276" s="310">
        <v>0</v>
      </c>
      <c r="AT276" s="310">
        <v>0</v>
      </c>
      <c r="AU276" s="310">
        <v>0.14301620000000001</v>
      </c>
      <c r="AV276" s="310">
        <v>0.14223959999999999</v>
      </c>
      <c r="AW276" s="310">
        <v>0.13450190000000001</v>
      </c>
      <c r="AX276" s="310">
        <v>0</v>
      </c>
      <c r="AY276" s="310">
        <v>0</v>
      </c>
      <c r="AZ276" s="310">
        <v>0.1404376</v>
      </c>
      <c r="BA276" s="310">
        <v>0</v>
      </c>
      <c r="BB276" s="310">
        <v>0</v>
      </c>
      <c r="BC276" s="310">
        <v>0</v>
      </c>
      <c r="BD276" s="310">
        <v>0.14196880000000001</v>
      </c>
      <c r="BE276" s="310">
        <v>0.14389579999999999</v>
      </c>
      <c r="BF276" s="310">
        <v>0.13961319999999999</v>
      </c>
      <c r="BG276" s="310">
        <v>0.1422197</v>
      </c>
      <c r="BH276" s="310">
        <v>0.14047180000000001</v>
      </c>
      <c r="BI276" s="310">
        <v>0.14280380000000001</v>
      </c>
      <c r="BJ276" s="310">
        <v>0.1433275</v>
      </c>
      <c r="BK276" s="310">
        <v>0.14423449999999999</v>
      </c>
    </row>
    <row r="277" spans="1:63" x14ac:dyDescent="0.25">
      <c r="A277" s="306">
        <v>336214</v>
      </c>
      <c r="B277" s="310" t="s">
        <v>250</v>
      </c>
      <c r="C277" s="310">
        <v>0.21877250000000001</v>
      </c>
      <c r="D277" s="310">
        <v>0.2042331</v>
      </c>
      <c r="E277" s="310">
        <v>0.21085619999999999</v>
      </c>
      <c r="F277" s="310">
        <v>0.2109133</v>
      </c>
      <c r="G277" s="310">
        <v>0.21689410000000001</v>
      </c>
      <c r="H277" s="310">
        <v>0.2176128</v>
      </c>
      <c r="I277" s="310">
        <v>0.2161942</v>
      </c>
      <c r="J277" s="310">
        <v>0.20133619999999999</v>
      </c>
      <c r="K277" s="310">
        <v>0</v>
      </c>
      <c r="L277" s="310">
        <v>0</v>
      </c>
      <c r="M277" s="310">
        <v>0.21690319999999999</v>
      </c>
      <c r="N277" s="310">
        <v>0.211677</v>
      </c>
      <c r="O277" s="310">
        <v>0</v>
      </c>
      <c r="P277" s="310">
        <v>0.2075494</v>
      </c>
      <c r="Q277" s="310">
        <v>0.20504269999999999</v>
      </c>
      <c r="R277" s="310">
        <v>0.19641829999999999</v>
      </c>
      <c r="S277" s="310">
        <v>0.20914679999999999</v>
      </c>
      <c r="T277" s="310">
        <v>0.2037841</v>
      </c>
      <c r="U277" s="310">
        <v>0.2012726</v>
      </c>
      <c r="V277" s="310">
        <v>0.20516209999999999</v>
      </c>
      <c r="W277" s="310">
        <v>0.19534670000000001</v>
      </c>
      <c r="X277" s="310">
        <v>0.1867714</v>
      </c>
      <c r="Y277" s="310">
        <v>0.1975227</v>
      </c>
      <c r="Z277" s="310">
        <v>0.21704190000000001</v>
      </c>
      <c r="AA277" s="310">
        <v>0.20846239999999999</v>
      </c>
      <c r="AB277" s="310">
        <v>0.19970399999999999</v>
      </c>
      <c r="AC277" s="310">
        <v>0.19503809999999999</v>
      </c>
      <c r="AD277" s="310">
        <v>0.21594730000000001</v>
      </c>
      <c r="AE277" s="310">
        <v>0.2129278</v>
      </c>
      <c r="AF277" s="310">
        <v>0.1852655</v>
      </c>
      <c r="AG277" s="310">
        <v>0.20762330000000001</v>
      </c>
      <c r="AH277" s="310">
        <v>0.19573260000000001</v>
      </c>
      <c r="AI277" s="310">
        <v>0.1895714</v>
      </c>
      <c r="AJ277" s="310">
        <v>0.21118010000000001</v>
      </c>
      <c r="AK277" s="310">
        <v>0.212426</v>
      </c>
      <c r="AL277" s="310">
        <v>0.21220459999999999</v>
      </c>
      <c r="AM277" s="310">
        <v>0.2101893</v>
      </c>
      <c r="AN277" s="310">
        <v>0.21468229999999999</v>
      </c>
      <c r="AO277" s="310">
        <v>0.1906745</v>
      </c>
      <c r="AP277" s="310">
        <v>0.2012929</v>
      </c>
      <c r="AQ277" s="310">
        <v>0</v>
      </c>
      <c r="AR277" s="310">
        <v>0.21093709999999999</v>
      </c>
      <c r="AS277" s="310">
        <v>0.20305000000000001</v>
      </c>
      <c r="AT277" s="310">
        <v>0.21410009999999999</v>
      </c>
      <c r="AU277" s="310">
        <v>0.2159934</v>
      </c>
      <c r="AV277" s="310">
        <v>0.2148466</v>
      </c>
      <c r="AW277" s="310">
        <v>0.2031628</v>
      </c>
      <c r="AX277" s="310">
        <v>0.2059</v>
      </c>
      <c r="AY277" s="310">
        <v>0.21773010000000001</v>
      </c>
      <c r="AZ277" s="310">
        <v>0.21213969999999999</v>
      </c>
      <c r="BA277" s="310">
        <v>0</v>
      </c>
      <c r="BB277" s="310">
        <v>0.2094241</v>
      </c>
      <c r="BC277" s="310">
        <v>0.2163621</v>
      </c>
      <c r="BD277" s="310">
        <v>0.2143999</v>
      </c>
      <c r="BE277" s="310">
        <v>0.21735270000000001</v>
      </c>
      <c r="BF277" s="310">
        <v>0.21087500000000001</v>
      </c>
      <c r="BG277" s="310">
        <v>0.21482780000000001</v>
      </c>
      <c r="BH277" s="310">
        <v>0.21221699999999999</v>
      </c>
      <c r="BI277" s="310">
        <v>0.2157231</v>
      </c>
      <c r="BJ277" s="310">
        <v>0.21653359999999999</v>
      </c>
      <c r="BK277" s="310">
        <v>0.2178851</v>
      </c>
    </row>
    <row r="278" spans="1:63" x14ac:dyDescent="0.25">
      <c r="A278" s="306">
        <v>336300</v>
      </c>
      <c r="B278" s="310" t="s">
        <v>251</v>
      </c>
      <c r="C278" s="310">
        <v>0.19712370000000001</v>
      </c>
      <c r="D278" s="310">
        <v>0.1840897</v>
      </c>
      <c r="E278" s="310">
        <v>0.19003819999999999</v>
      </c>
      <c r="F278" s="310">
        <v>0.1900618</v>
      </c>
      <c r="G278" s="310">
        <v>0.19546179999999999</v>
      </c>
      <c r="H278" s="310">
        <v>0.19608149999999999</v>
      </c>
      <c r="I278" s="310">
        <v>0.194829</v>
      </c>
      <c r="J278" s="310">
        <v>0.1814202</v>
      </c>
      <c r="K278" s="310">
        <v>0</v>
      </c>
      <c r="L278" s="310">
        <v>0.13429150000000001</v>
      </c>
      <c r="M278" s="310">
        <v>0.1954359</v>
      </c>
      <c r="N278" s="310">
        <v>0.1907606</v>
      </c>
      <c r="O278" s="310">
        <v>0.19106500000000001</v>
      </c>
      <c r="P278" s="310">
        <v>0.1870269</v>
      </c>
      <c r="Q278" s="310">
        <v>0.18475279999999999</v>
      </c>
      <c r="R278" s="310">
        <v>0.17701</v>
      </c>
      <c r="S278" s="310">
        <v>0.18844449999999999</v>
      </c>
      <c r="T278" s="310">
        <v>0.1836564</v>
      </c>
      <c r="U278" s="310">
        <v>0.1814115</v>
      </c>
      <c r="V278" s="310">
        <v>0.18487990000000001</v>
      </c>
      <c r="W278" s="310">
        <v>0.17605229999999999</v>
      </c>
      <c r="X278" s="310">
        <v>0.16832159999999999</v>
      </c>
      <c r="Y278" s="310">
        <v>0.17803569999999999</v>
      </c>
      <c r="Z278" s="310">
        <v>0.19558320000000001</v>
      </c>
      <c r="AA278" s="310">
        <v>0.18788579999999999</v>
      </c>
      <c r="AB278" s="310">
        <v>0.17992929999999999</v>
      </c>
      <c r="AC278" s="310">
        <v>0.17574380000000001</v>
      </c>
      <c r="AD278" s="310">
        <v>0.1945867</v>
      </c>
      <c r="AE278" s="310">
        <v>0.19192619999999999</v>
      </c>
      <c r="AF278" s="310">
        <v>0.16698830000000001</v>
      </c>
      <c r="AG278" s="310">
        <v>0.1871063</v>
      </c>
      <c r="AH278" s="310">
        <v>0.1763827</v>
      </c>
      <c r="AI278" s="310">
        <v>0.17083490000000001</v>
      </c>
      <c r="AJ278" s="310">
        <v>0.1903049</v>
      </c>
      <c r="AK278" s="310">
        <v>0.1914488</v>
      </c>
      <c r="AL278" s="310">
        <v>0.19122459999999999</v>
      </c>
      <c r="AM278" s="310">
        <v>0.18940489999999999</v>
      </c>
      <c r="AN278" s="310">
        <v>0.19342309999999999</v>
      </c>
      <c r="AO278" s="310">
        <v>0.17183190000000001</v>
      </c>
      <c r="AP278" s="310">
        <v>0.18140400000000001</v>
      </c>
      <c r="AQ278" s="310">
        <v>0.15229200000000001</v>
      </c>
      <c r="AR278" s="310">
        <v>0.19008710000000001</v>
      </c>
      <c r="AS278" s="310">
        <v>0.18299219999999999</v>
      </c>
      <c r="AT278" s="310">
        <v>0.1929524</v>
      </c>
      <c r="AU278" s="310">
        <v>0.19467100000000001</v>
      </c>
      <c r="AV278" s="310">
        <v>0.19360620000000001</v>
      </c>
      <c r="AW278" s="310">
        <v>0.1831198</v>
      </c>
      <c r="AX278" s="310">
        <v>0.18552009999999999</v>
      </c>
      <c r="AY278" s="310">
        <v>0.19620879999999999</v>
      </c>
      <c r="AZ278" s="310">
        <v>0.19116820000000001</v>
      </c>
      <c r="BA278" s="310">
        <v>0.16335359999999999</v>
      </c>
      <c r="BB278" s="310">
        <v>0.1887239</v>
      </c>
      <c r="BC278" s="310">
        <v>0.19500899999999999</v>
      </c>
      <c r="BD278" s="310">
        <v>0.19323509999999999</v>
      </c>
      <c r="BE278" s="310">
        <v>0.19585350000000001</v>
      </c>
      <c r="BF278" s="310">
        <v>0.1900298</v>
      </c>
      <c r="BG278" s="310">
        <v>0.193634</v>
      </c>
      <c r="BH278" s="310">
        <v>0.1912336</v>
      </c>
      <c r="BI278" s="310">
        <v>0.1943812</v>
      </c>
      <c r="BJ278" s="310">
        <v>0.1951165</v>
      </c>
      <c r="BK278" s="310">
        <v>0.19632559999999999</v>
      </c>
    </row>
    <row r="279" spans="1:63" x14ac:dyDescent="0.25">
      <c r="A279" s="306">
        <v>336411</v>
      </c>
      <c r="B279" s="310" t="s">
        <v>252</v>
      </c>
      <c r="C279" s="310">
        <v>0.1881592</v>
      </c>
      <c r="D279" s="310">
        <v>0.17566889999999999</v>
      </c>
      <c r="E279" s="310">
        <v>0.18132760000000001</v>
      </c>
      <c r="F279" s="310">
        <v>0.18140899999999999</v>
      </c>
      <c r="G279" s="310">
        <v>0.1865443</v>
      </c>
      <c r="H279" s="310">
        <v>0.18716550000000001</v>
      </c>
      <c r="I279" s="310">
        <v>0.1859246</v>
      </c>
      <c r="J279" s="310">
        <v>0.17316529999999999</v>
      </c>
      <c r="K279" s="310">
        <v>0</v>
      </c>
      <c r="L279" s="310">
        <v>0.1281506</v>
      </c>
      <c r="M279" s="310">
        <v>0.18654399999999999</v>
      </c>
      <c r="N279" s="310">
        <v>0.182029</v>
      </c>
      <c r="O279" s="310">
        <v>0</v>
      </c>
      <c r="P279" s="310">
        <v>0.17848330000000001</v>
      </c>
      <c r="Q279" s="310">
        <v>0.17635490000000001</v>
      </c>
      <c r="R279" s="310">
        <v>0.16891500000000001</v>
      </c>
      <c r="S279" s="310">
        <v>0.179871</v>
      </c>
      <c r="T279" s="310">
        <v>0.17524600000000001</v>
      </c>
      <c r="U279" s="310">
        <v>0.17309830000000001</v>
      </c>
      <c r="V279" s="310">
        <v>0.17641380000000001</v>
      </c>
      <c r="W279" s="310">
        <v>0.16797909999999999</v>
      </c>
      <c r="X279" s="310">
        <v>0.16061110000000001</v>
      </c>
      <c r="Y279" s="310">
        <v>0.16991719999999999</v>
      </c>
      <c r="Z279" s="310">
        <v>0.18666959999999999</v>
      </c>
      <c r="AA279" s="310">
        <v>0.1792639</v>
      </c>
      <c r="AB279" s="310">
        <v>0.17175080000000001</v>
      </c>
      <c r="AC279" s="310">
        <v>0.16776089999999999</v>
      </c>
      <c r="AD279" s="310">
        <v>0.1856911</v>
      </c>
      <c r="AE279" s="310">
        <v>0.18312500000000001</v>
      </c>
      <c r="AF279" s="310">
        <v>0</v>
      </c>
      <c r="AG279" s="310">
        <v>0</v>
      </c>
      <c r="AH279" s="310">
        <v>0.16835990000000001</v>
      </c>
      <c r="AI279" s="310">
        <v>0.1630547</v>
      </c>
      <c r="AJ279" s="310">
        <v>0.18159810000000001</v>
      </c>
      <c r="AK279" s="310">
        <v>0.1826634</v>
      </c>
      <c r="AL279" s="310">
        <v>0.1825068</v>
      </c>
      <c r="AM279" s="310">
        <v>0.18078040000000001</v>
      </c>
      <c r="AN279" s="310">
        <v>0.18459339999999999</v>
      </c>
      <c r="AO279" s="310">
        <v>0.1639456</v>
      </c>
      <c r="AP279" s="310">
        <v>0.17312659999999999</v>
      </c>
      <c r="AQ279" s="310">
        <v>0</v>
      </c>
      <c r="AR279" s="310">
        <v>0.18138799999999999</v>
      </c>
      <c r="AS279" s="310">
        <v>0.1746095</v>
      </c>
      <c r="AT279" s="310">
        <v>0.18417510000000001</v>
      </c>
      <c r="AU279" s="310">
        <v>0.18576709999999999</v>
      </c>
      <c r="AV279" s="310">
        <v>0.1847886</v>
      </c>
      <c r="AW279" s="310">
        <v>0.1747601</v>
      </c>
      <c r="AX279" s="310">
        <v>0</v>
      </c>
      <c r="AY279" s="310">
        <v>0.18726200000000001</v>
      </c>
      <c r="AZ279" s="310">
        <v>0.1824431</v>
      </c>
      <c r="BA279" s="310">
        <v>0.15590010000000001</v>
      </c>
      <c r="BB279" s="310">
        <v>0.18007690000000001</v>
      </c>
      <c r="BC279" s="310">
        <v>0.18611050000000001</v>
      </c>
      <c r="BD279" s="310">
        <v>0.18440019999999999</v>
      </c>
      <c r="BE279" s="310">
        <v>0.1869352</v>
      </c>
      <c r="BF279" s="310">
        <v>0.18135889999999999</v>
      </c>
      <c r="BG279" s="310">
        <v>0.1847644</v>
      </c>
      <c r="BH279" s="310">
        <v>0.18250669999999999</v>
      </c>
      <c r="BI279" s="310">
        <v>0.18552199999999999</v>
      </c>
      <c r="BJ279" s="310">
        <v>0.18618799999999999</v>
      </c>
      <c r="BK279" s="310">
        <v>0.18736130000000001</v>
      </c>
    </row>
    <row r="280" spans="1:63" x14ac:dyDescent="0.25">
      <c r="A280" s="306">
        <v>336412</v>
      </c>
      <c r="B280" s="310" t="s">
        <v>253</v>
      </c>
      <c r="C280" s="310">
        <v>0.2190472</v>
      </c>
      <c r="D280" s="310">
        <v>0.2045178</v>
      </c>
      <c r="E280" s="310">
        <v>0.21115010000000001</v>
      </c>
      <c r="F280" s="310">
        <v>0.2112106</v>
      </c>
      <c r="G280" s="310">
        <v>0.2171672</v>
      </c>
      <c r="H280" s="310">
        <v>0.2178765</v>
      </c>
      <c r="I280" s="310">
        <v>0.21646080000000001</v>
      </c>
      <c r="J280" s="310">
        <v>0.20159820000000001</v>
      </c>
      <c r="K280" s="310">
        <v>0</v>
      </c>
      <c r="L280" s="310">
        <v>0</v>
      </c>
      <c r="M280" s="310">
        <v>0.21721889999999999</v>
      </c>
      <c r="N280" s="310">
        <v>0.21196019999999999</v>
      </c>
      <c r="O280" s="310">
        <v>0</v>
      </c>
      <c r="P280" s="310">
        <v>0.20779220000000001</v>
      </c>
      <c r="Q280" s="310">
        <v>0.20528070000000001</v>
      </c>
      <c r="R280" s="310">
        <v>0.19665879999999999</v>
      </c>
      <c r="S280" s="310">
        <v>0.2093901</v>
      </c>
      <c r="T280" s="310">
        <v>0.20404639999999999</v>
      </c>
      <c r="U280" s="310">
        <v>0.20152139999999999</v>
      </c>
      <c r="V280" s="310">
        <v>0.20543929999999999</v>
      </c>
      <c r="W280" s="310">
        <v>0.19560849999999999</v>
      </c>
      <c r="X280" s="310">
        <v>0.1870404</v>
      </c>
      <c r="Y280" s="310">
        <v>0.1978048</v>
      </c>
      <c r="Z280" s="310">
        <v>0.21734600000000001</v>
      </c>
      <c r="AA280" s="310">
        <v>0.2087465</v>
      </c>
      <c r="AB280" s="310">
        <v>0.1999245</v>
      </c>
      <c r="AC280" s="310">
        <v>0.19530910000000001</v>
      </c>
      <c r="AD280" s="310">
        <v>0</v>
      </c>
      <c r="AE280" s="310">
        <v>0.21325230000000001</v>
      </c>
      <c r="AF280" s="310">
        <v>0</v>
      </c>
      <c r="AG280" s="310">
        <v>0.20787079999999999</v>
      </c>
      <c r="AH280" s="310">
        <v>0.19599230000000001</v>
      </c>
      <c r="AI280" s="310">
        <v>0.1898126</v>
      </c>
      <c r="AJ280" s="310">
        <v>0.2114521</v>
      </c>
      <c r="AK280" s="310">
        <v>0.21267829999999999</v>
      </c>
      <c r="AL280" s="310">
        <v>0.21249999999999999</v>
      </c>
      <c r="AM280" s="310">
        <v>0.2104636</v>
      </c>
      <c r="AN280" s="310">
        <v>0.21497330000000001</v>
      </c>
      <c r="AO280" s="310">
        <v>0.1909023</v>
      </c>
      <c r="AP280" s="310">
        <v>0.20155680000000001</v>
      </c>
      <c r="AQ280" s="310">
        <v>0</v>
      </c>
      <c r="AR280" s="310">
        <v>0.21121390000000001</v>
      </c>
      <c r="AS280" s="310">
        <v>0.2032853</v>
      </c>
      <c r="AT280" s="310">
        <v>0.21439859999999999</v>
      </c>
      <c r="AU280" s="310">
        <v>0.21631449999999999</v>
      </c>
      <c r="AV280" s="310">
        <v>0.2151129</v>
      </c>
      <c r="AW280" s="310">
        <v>0.20344999999999999</v>
      </c>
      <c r="AX280" s="310">
        <v>0.20618220000000001</v>
      </c>
      <c r="AY280" s="310">
        <v>0.21802959999999999</v>
      </c>
      <c r="AZ280" s="310">
        <v>0.21243919999999999</v>
      </c>
      <c r="BA280" s="310">
        <v>0.18146010000000001</v>
      </c>
      <c r="BB280" s="310">
        <v>0.20965349999999999</v>
      </c>
      <c r="BC280" s="310">
        <v>0.21665110000000001</v>
      </c>
      <c r="BD280" s="310">
        <v>0.2147</v>
      </c>
      <c r="BE280" s="310">
        <v>0.21761</v>
      </c>
      <c r="BF280" s="310">
        <v>0.21114749999999999</v>
      </c>
      <c r="BG280" s="310">
        <v>0.2151304</v>
      </c>
      <c r="BH280" s="310">
        <v>0.21250530000000001</v>
      </c>
      <c r="BI280" s="310">
        <v>0.215978</v>
      </c>
      <c r="BJ280" s="310">
        <v>0.2168033</v>
      </c>
      <c r="BK280" s="310">
        <v>0.2181545</v>
      </c>
    </row>
    <row r="281" spans="1:63" x14ac:dyDescent="0.25">
      <c r="A281" s="306">
        <v>336413</v>
      </c>
      <c r="B281" s="310" t="s">
        <v>254</v>
      </c>
      <c r="C281" s="310">
        <v>0.31142629999999999</v>
      </c>
      <c r="D281" s="310">
        <v>0.29083510000000001</v>
      </c>
      <c r="E281" s="310">
        <v>0.30016730000000003</v>
      </c>
      <c r="F281" s="310">
        <v>0.30020609999999998</v>
      </c>
      <c r="G281" s="310">
        <v>0.30876589999999998</v>
      </c>
      <c r="H281" s="310">
        <v>0.3097723</v>
      </c>
      <c r="I281" s="310">
        <v>0.30774000000000001</v>
      </c>
      <c r="J281" s="310">
        <v>0.2866242</v>
      </c>
      <c r="K281" s="310">
        <v>0</v>
      </c>
      <c r="L281" s="310">
        <v>0.21211730000000001</v>
      </c>
      <c r="M281" s="310">
        <v>0.30879830000000003</v>
      </c>
      <c r="N281" s="310">
        <v>0.30131570000000002</v>
      </c>
      <c r="O281" s="310">
        <v>0.3018827</v>
      </c>
      <c r="P281" s="310">
        <v>0.29543009999999997</v>
      </c>
      <c r="Q281" s="310">
        <v>0.29188999999999998</v>
      </c>
      <c r="R281" s="310">
        <v>0.2796053</v>
      </c>
      <c r="S281" s="310">
        <v>0.29772989999999999</v>
      </c>
      <c r="T281" s="310">
        <v>0.29008529999999999</v>
      </c>
      <c r="U281" s="310">
        <v>0.2865704</v>
      </c>
      <c r="V281" s="310">
        <v>0.29200130000000002</v>
      </c>
      <c r="W281" s="310">
        <v>0.2780957</v>
      </c>
      <c r="X281" s="310">
        <v>0.26586219999999999</v>
      </c>
      <c r="Y281" s="310">
        <v>0</v>
      </c>
      <c r="Z281" s="310">
        <v>0.30899379999999999</v>
      </c>
      <c r="AA281" s="310">
        <v>0.29674220000000001</v>
      </c>
      <c r="AB281" s="310">
        <v>0.28427380000000002</v>
      </c>
      <c r="AC281" s="310">
        <v>0.27766649999999998</v>
      </c>
      <c r="AD281" s="310">
        <v>0.30743769999999998</v>
      </c>
      <c r="AE281" s="310">
        <v>0.3031392</v>
      </c>
      <c r="AF281" s="310">
        <v>0.2637486</v>
      </c>
      <c r="AG281" s="310">
        <v>0.29558469999999998</v>
      </c>
      <c r="AH281" s="310">
        <v>0.27863959999999999</v>
      </c>
      <c r="AI281" s="310">
        <v>0.26986359999999998</v>
      </c>
      <c r="AJ281" s="310">
        <v>0.30062329999999998</v>
      </c>
      <c r="AK281" s="310">
        <v>0.30237540000000002</v>
      </c>
      <c r="AL281" s="310">
        <v>0.30209409999999998</v>
      </c>
      <c r="AM281" s="310">
        <v>0.299209</v>
      </c>
      <c r="AN281" s="310">
        <v>0.30556119999999998</v>
      </c>
      <c r="AO281" s="310">
        <v>0.27138050000000002</v>
      </c>
      <c r="AP281" s="310">
        <v>0.28653440000000002</v>
      </c>
      <c r="AQ281" s="310">
        <v>0</v>
      </c>
      <c r="AR281" s="310">
        <v>0.30023359999999999</v>
      </c>
      <c r="AS281" s="310">
        <v>0.28905710000000001</v>
      </c>
      <c r="AT281" s="310">
        <v>0.30479220000000001</v>
      </c>
      <c r="AU281" s="310">
        <v>0.3074904</v>
      </c>
      <c r="AV281" s="310">
        <v>0.3058611</v>
      </c>
      <c r="AW281" s="310">
        <v>0.28921449999999999</v>
      </c>
      <c r="AX281" s="310">
        <v>0.29306270000000001</v>
      </c>
      <c r="AY281" s="310">
        <v>0.30991740000000001</v>
      </c>
      <c r="AZ281" s="310">
        <v>0.30198540000000001</v>
      </c>
      <c r="BA281" s="310">
        <v>0.25802269999999999</v>
      </c>
      <c r="BB281" s="310">
        <v>0.29811860000000001</v>
      </c>
      <c r="BC281" s="310">
        <v>0.30802489999999999</v>
      </c>
      <c r="BD281" s="310">
        <v>0.30521029999999999</v>
      </c>
      <c r="BE281" s="310">
        <v>0.30936930000000001</v>
      </c>
      <c r="BF281" s="310">
        <v>0.30020059999999998</v>
      </c>
      <c r="BG281" s="310">
        <v>0.30582579999999998</v>
      </c>
      <c r="BH281" s="310">
        <v>0.30208459999999998</v>
      </c>
      <c r="BI281" s="310">
        <v>0.30706749999999999</v>
      </c>
      <c r="BJ281" s="310">
        <v>0.30821110000000002</v>
      </c>
      <c r="BK281" s="310">
        <v>0.31014809999999998</v>
      </c>
    </row>
    <row r="282" spans="1:63" x14ac:dyDescent="0.25">
      <c r="A282" s="306">
        <v>336414</v>
      </c>
      <c r="B282" s="310" t="s">
        <v>255</v>
      </c>
      <c r="C282" s="310">
        <v>0.27315329999999999</v>
      </c>
      <c r="D282" s="310">
        <v>0</v>
      </c>
      <c r="E282" s="310">
        <v>0.26333329999999999</v>
      </c>
      <c r="F282" s="310">
        <v>0.26336409999999999</v>
      </c>
      <c r="G282" s="310">
        <v>0.2707985</v>
      </c>
      <c r="H282" s="310">
        <v>0.27171509999999999</v>
      </c>
      <c r="I282" s="310">
        <v>0.2699782</v>
      </c>
      <c r="J282" s="310">
        <v>0</v>
      </c>
      <c r="K282" s="310">
        <v>0</v>
      </c>
      <c r="L282" s="310">
        <v>0</v>
      </c>
      <c r="M282" s="310">
        <v>0.27082460000000003</v>
      </c>
      <c r="N282" s="310">
        <v>0.26430049999999999</v>
      </c>
      <c r="O282" s="310">
        <v>0</v>
      </c>
      <c r="P282" s="310">
        <v>0</v>
      </c>
      <c r="Q282" s="310">
        <v>0</v>
      </c>
      <c r="R282" s="310">
        <v>0</v>
      </c>
      <c r="S282" s="310">
        <v>0.26115339999999998</v>
      </c>
      <c r="T282" s="310">
        <v>0</v>
      </c>
      <c r="U282" s="310">
        <v>0</v>
      </c>
      <c r="V282" s="310">
        <v>0</v>
      </c>
      <c r="W282" s="310">
        <v>0.24391879999999999</v>
      </c>
      <c r="X282" s="310">
        <v>0</v>
      </c>
      <c r="Y282" s="310">
        <v>0</v>
      </c>
      <c r="Z282" s="310">
        <v>0</v>
      </c>
      <c r="AA282" s="310">
        <v>0</v>
      </c>
      <c r="AB282" s="310">
        <v>0</v>
      </c>
      <c r="AC282" s="310">
        <v>0</v>
      </c>
      <c r="AD282" s="310">
        <v>0</v>
      </c>
      <c r="AE282" s="310">
        <v>0</v>
      </c>
      <c r="AF282" s="310">
        <v>0</v>
      </c>
      <c r="AG282" s="310">
        <v>0</v>
      </c>
      <c r="AH282" s="310">
        <v>0</v>
      </c>
      <c r="AI282" s="310">
        <v>0</v>
      </c>
      <c r="AJ282" s="310">
        <v>0.26374930000000002</v>
      </c>
      <c r="AK282" s="310">
        <v>0.26527469999999997</v>
      </c>
      <c r="AL282" s="310">
        <v>0</v>
      </c>
      <c r="AM282" s="310">
        <v>0</v>
      </c>
      <c r="AN282" s="310">
        <v>0.26805380000000001</v>
      </c>
      <c r="AO282" s="310">
        <v>0</v>
      </c>
      <c r="AP282" s="310">
        <v>0</v>
      </c>
      <c r="AQ282" s="310">
        <v>0</v>
      </c>
      <c r="AR282" s="310">
        <v>0</v>
      </c>
      <c r="AS282" s="310">
        <v>0</v>
      </c>
      <c r="AT282" s="310">
        <v>0</v>
      </c>
      <c r="AU282" s="310">
        <v>0.26973720000000001</v>
      </c>
      <c r="AV282" s="310">
        <v>0.26829140000000001</v>
      </c>
      <c r="AW282" s="310">
        <v>0.25373129999999999</v>
      </c>
      <c r="AX282" s="310">
        <v>0</v>
      </c>
      <c r="AY282" s="310">
        <v>0</v>
      </c>
      <c r="AZ282" s="310">
        <v>0</v>
      </c>
      <c r="BA282" s="310">
        <v>0</v>
      </c>
      <c r="BB282" s="310">
        <v>0</v>
      </c>
      <c r="BC282" s="310">
        <v>0.2702213</v>
      </c>
      <c r="BD282" s="310">
        <v>0</v>
      </c>
      <c r="BE282" s="310">
        <v>0.27137810000000001</v>
      </c>
      <c r="BF282" s="310">
        <v>0</v>
      </c>
      <c r="BG282" s="310">
        <v>0.26829760000000002</v>
      </c>
      <c r="BH282" s="310">
        <v>0.26498630000000001</v>
      </c>
      <c r="BI282" s="310">
        <v>0.26935609999999999</v>
      </c>
      <c r="BJ282" s="310">
        <v>0.27035179999999998</v>
      </c>
      <c r="BK282" s="310">
        <v>0.27208779999999999</v>
      </c>
    </row>
    <row r="283" spans="1:63" x14ac:dyDescent="0.25">
      <c r="A283" s="306" t="s">
        <v>743</v>
      </c>
      <c r="B283" s="310" t="s">
        <v>744</v>
      </c>
      <c r="C283" s="310">
        <v>0.43284800000000001</v>
      </c>
      <c r="D283" s="310">
        <v>0</v>
      </c>
      <c r="E283" s="310">
        <v>0.41729319999999998</v>
      </c>
      <c r="F283" s="310">
        <v>0</v>
      </c>
      <c r="G283" s="310">
        <v>0.42916110000000002</v>
      </c>
      <c r="H283" s="310">
        <v>0.4306026</v>
      </c>
      <c r="I283" s="310">
        <v>0.42775390000000002</v>
      </c>
      <c r="J283" s="310">
        <v>0</v>
      </c>
      <c r="K283" s="310">
        <v>0</v>
      </c>
      <c r="L283" s="310">
        <v>0</v>
      </c>
      <c r="M283" s="310">
        <v>0.42920259999999999</v>
      </c>
      <c r="N283" s="310">
        <v>0.41887659999999999</v>
      </c>
      <c r="O283" s="310">
        <v>0</v>
      </c>
      <c r="P283" s="310">
        <v>0</v>
      </c>
      <c r="Q283" s="310">
        <v>0</v>
      </c>
      <c r="R283" s="310">
        <v>0</v>
      </c>
      <c r="S283" s="310">
        <v>0</v>
      </c>
      <c r="T283" s="310">
        <v>0</v>
      </c>
      <c r="U283" s="310">
        <v>0</v>
      </c>
      <c r="V283" s="310">
        <v>0.4058718</v>
      </c>
      <c r="W283" s="310">
        <v>0.3864998</v>
      </c>
      <c r="X283" s="310">
        <v>0.36955860000000001</v>
      </c>
      <c r="Y283" s="310">
        <v>0.39087769999999999</v>
      </c>
      <c r="Z283" s="310">
        <v>0.42945100000000003</v>
      </c>
      <c r="AA283" s="310">
        <v>0</v>
      </c>
      <c r="AB283" s="310">
        <v>0</v>
      </c>
      <c r="AC283" s="310">
        <v>0.38589849999999998</v>
      </c>
      <c r="AD283" s="310">
        <v>0</v>
      </c>
      <c r="AE283" s="310">
        <v>0</v>
      </c>
      <c r="AF283" s="310">
        <v>0</v>
      </c>
      <c r="AG283" s="310">
        <v>0</v>
      </c>
      <c r="AH283" s="310">
        <v>0</v>
      </c>
      <c r="AI283" s="310">
        <v>0</v>
      </c>
      <c r="AJ283" s="310">
        <v>0</v>
      </c>
      <c r="AK283" s="310">
        <v>0</v>
      </c>
      <c r="AL283" s="310">
        <v>0.41988409999999998</v>
      </c>
      <c r="AM283" s="310">
        <v>0.41593669999999999</v>
      </c>
      <c r="AN283" s="310">
        <v>0.42477880000000001</v>
      </c>
      <c r="AO283" s="310">
        <v>0</v>
      </c>
      <c r="AP283" s="310">
        <v>0.39829300000000001</v>
      </c>
      <c r="AQ283" s="310">
        <v>0</v>
      </c>
      <c r="AR283" s="310">
        <v>0</v>
      </c>
      <c r="AS283" s="310">
        <v>0.40178019999999998</v>
      </c>
      <c r="AT283" s="310">
        <v>0</v>
      </c>
      <c r="AU283" s="310">
        <v>0.42740119999999998</v>
      </c>
      <c r="AV283" s="310">
        <v>0.42508940000000001</v>
      </c>
      <c r="AW283" s="310">
        <v>0.40208719999999998</v>
      </c>
      <c r="AX283" s="310">
        <v>0</v>
      </c>
      <c r="AY283" s="310">
        <v>0.4308495</v>
      </c>
      <c r="AZ283" s="310">
        <v>0.41972209999999999</v>
      </c>
      <c r="BA283" s="310">
        <v>0.3586666</v>
      </c>
      <c r="BB283" s="310">
        <v>0</v>
      </c>
      <c r="BC283" s="310">
        <v>0.4281683</v>
      </c>
      <c r="BD283" s="310">
        <v>0.42424240000000002</v>
      </c>
      <c r="BE283" s="310">
        <v>0.430039</v>
      </c>
      <c r="BF283" s="310">
        <v>0.41723110000000002</v>
      </c>
      <c r="BG283" s="310">
        <v>0.4251413</v>
      </c>
      <c r="BH283" s="310">
        <v>0.41991089999999998</v>
      </c>
      <c r="BI283" s="310">
        <v>0.42680279999999998</v>
      </c>
      <c r="BJ283" s="310">
        <v>0.42842419999999998</v>
      </c>
      <c r="BK283" s="310">
        <v>0.43109520000000001</v>
      </c>
    </row>
    <row r="284" spans="1:63" x14ac:dyDescent="0.25">
      <c r="A284" s="306">
        <v>336500</v>
      </c>
      <c r="B284" s="310" t="s">
        <v>256</v>
      </c>
      <c r="C284" s="310">
        <v>0.19085740000000001</v>
      </c>
      <c r="D284" s="310">
        <v>0</v>
      </c>
      <c r="E284" s="310">
        <v>0.1839692</v>
      </c>
      <c r="F284" s="310">
        <v>0.1839964</v>
      </c>
      <c r="G284" s="310">
        <v>0.18920680000000001</v>
      </c>
      <c r="H284" s="310">
        <v>0.1898213</v>
      </c>
      <c r="I284" s="310">
        <v>0.18861410000000001</v>
      </c>
      <c r="J284" s="310">
        <v>0.17566499999999999</v>
      </c>
      <c r="K284" s="310">
        <v>0</v>
      </c>
      <c r="L284" s="310">
        <v>0.13002710000000001</v>
      </c>
      <c r="M284" s="310">
        <v>0.1892229</v>
      </c>
      <c r="N284" s="310">
        <v>0.18466560000000001</v>
      </c>
      <c r="O284" s="310">
        <v>0</v>
      </c>
      <c r="P284" s="310">
        <v>0.18105019999999999</v>
      </c>
      <c r="Q284" s="310">
        <v>0.1788845</v>
      </c>
      <c r="R284" s="310">
        <v>0.17136850000000001</v>
      </c>
      <c r="S284" s="310">
        <v>0.18244959999999999</v>
      </c>
      <c r="T284" s="310">
        <v>0.17782519999999999</v>
      </c>
      <c r="U284" s="310">
        <v>0.1756018</v>
      </c>
      <c r="V284" s="310">
        <v>0.1789528</v>
      </c>
      <c r="W284" s="310">
        <v>0</v>
      </c>
      <c r="X284" s="310">
        <v>0.16292139999999999</v>
      </c>
      <c r="Y284" s="310">
        <v>0.1723655</v>
      </c>
      <c r="Z284" s="310">
        <v>0.18936159999999999</v>
      </c>
      <c r="AA284" s="310">
        <v>0.18185850000000001</v>
      </c>
      <c r="AB284" s="310">
        <v>0.174208</v>
      </c>
      <c r="AC284" s="310">
        <v>0</v>
      </c>
      <c r="AD284" s="310">
        <v>0</v>
      </c>
      <c r="AE284" s="310">
        <v>0.18578790000000001</v>
      </c>
      <c r="AF284" s="310">
        <v>0</v>
      </c>
      <c r="AG284" s="310">
        <v>0.18114720000000001</v>
      </c>
      <c r="AH284" s="310">
        <v>0</v>
      </c>
      <c r="AI284" s="310">
        <v>0.165376</v>
      </c>
      <c r="AJ284" s="310">
        <v>0</v>
      </c>
      <c r="AK284" s="310">
        <v>0.18535080000000001</v>
      </c>
      <c r="AL284" s="310">
        <v>0.18510869999999999</v>
      </c>
      <c r="AM284" s="310">
        <v>0.18339030000000001</v>
      </c>
      <c r="AN284" s="310">
        <v>0.1872819</v>
      </c>
      <c r="AO284" s="310">
        <v>0.16634199999999999</v>
      </c>
      <c r="AP284" s="310">
        <v>0.17559730000000001</v>
      </c>
      <c r="AQ284" s="310">
        <v>0</v>
      </c>
      <c r="AR284" s="310">
        <v>0.1840146</v>
      </c>
      <c r="AS284" s="310">
        <v>0</v>
      </c>
      <c r="AT284" s="310">
        <v>0.18679609999999999</v>
      </c>
      <c r="AU284" s="310">
        <v>0.18842539999999999</v>
      </c>
      <c r="AV284" s="310">
        <v>0.1874229</v>
      </c>
      <c r="AW284" s="310">
        <v>0.1772415</v>
      </c>
      <c r="AX284" s="310">
        <v>0.17961170000000001</v>
      </c>
      <c r="AY284" s="310">
        <v>0.1899488</v>
      </c>
      <c r="AZ284" s="310">
        <v>0.18507950000000001</v>
      </c>
      <c r="BA284" s="310">
        <v>0.15810589999999999</v>
      </c>
      <c r="BB284" s="310">
        <v>0</v>
      </c>
      <c r="BC284" s="310">
        <v>0.18877150000000001</v>
      </c>
      <c r="BD284" s="310">
        <v>0.18706049999999999</v>
      </c>
      <c r="BE284" s="310">
        <v>0.18959300000000001</v>
      </c>
      <c r="BF284" s="310">
        <v>0.18397269999999999</v>
      </c>
      <c r="BG284" s="310">
        <v>0.18742690000000001</v>
      </c>
      <c r="BH284" s="310">
        <v>0.18516260000000001</v>
      </c>
      <c r="BI284" s="310">
        <v>0.18818360000000001</v>
      </c>
      <c r="BJ284" s="310">
        <v>0.1889258</v>
      </c>
      <c r="BK284" s="310">
        <v>0.19006629999999999</v>
      </c>
    </row>
    <row r="285" spans="1:63" x14ac:dyDescent="0.25">
      <c r="A285" s="306">
        <v>336611</v>
      </c>
      <c r="B285" s="310" t="s">
        <v>257</v>
      </c>
      <c r="C285" s="310">
        <v>0.33355600000000002</v>
      </c>
      <c r="D285" s="310">
        <v>0.3114634</v>
      </c>
      <c r="E285" s="310">
        <v>0.32151639999999998</v>
      </c>
      <c r="F285" s="310">
        <v>0.321575</v>
      </c>
      <c r="G285" s="310">
        <v>0</v>
      </c>
      <c r="H285" s="310">
        <v>0.33180199999999999</v>
      </c>
      <c r="I285" s="310">
        <v>0</v>
      </c>
      <c r="J285" s="310">
        <v>0.30700499999999997</v>
      </c>
      <c r="K285" s="310">
        <v>5.7803899999999998E-2</v>
      </c>
      <c r="L285" s="310">
        <v>0.22717119999999999</v>
      </c>
      <c r="M285" s="310">
        <v>0.33071030000000001</v>
      </c>
      <c r="N285" s="310">
        <v>0.32274960000000003</v>
      </c>
      <c r="O285" s="310">
        <v>0.32334030000000002</v>
      </c>
      <c r="P285" s="310">
        <v>0</v>
      </c>
      <c r="Q285" s="310">
        <v>0</v>
      </c>
      <c r="R285" s="310">
        <v>0.29950209999999999</v>
      </c>
      <c r="S285" s="310">
        <v>0.31887959999999999</v>
      </c>
      <c r="T285" s="310">
        <v>0</v>
      </c>
      <c r="U285" s="310">
        <v>0.30693140000000002</v>
      </c>
      <c r="V285" s="310">
        <v>0.31279889999999999</v>
      </c>
      <c r="W285" s="310">
        <v>0.29786699999999999</v>
      </c>
      <c r="X285" s="310">
        <v>0.28476430000000003</v>
      </c>
      <c r="Y285" s="310">
        <v>0.30120659999999999</v>
      </c>
      <c r="Z285" s="310">
        <v>0.33091989999999999</v>
      </c>
      <c r="AA285" s="310">
        <v>0</v>
      </c>
      <c r="AB285" s="310">
        <v>0.30448740000000002</v>
      </c>
      <c r="AC285" s="310">
        <v>0.29735650000000002</v>
      </c>
      <c r="AD285" s="310">
        <v>0</v>
      </c>
      <c r="AE285" s="310">
        <v>0.32473200000000002</v>
      </c>
      <c r="AF285" s="310">
        <v>0</v>
      </c>
      <c r="AG285" s="310">
        <v>0</v>
      </c>
      <c r="AH285" s="310">
        <v>0.29846220000000001</v>
      </c>
      <c r="AI285" s="310">
        <v>0.28906939999999998</v>
      </c>
      <c r="AJ285" s="310">
        <v>0</v>
      </c>
      <c r="AK285" s="310">
        <v>0</v>
      </c>
      <c r="AL285" s="310">
        <v>0.32352940000000002</v>
      </c>
      <c r="AM285" s="310">
        <v>0.32050000000000001</v>
      </c>
      <c r="AN285" s="310">
        <v>0</v>
      </c>
      <c r="AO285" s="310">
        <v>0.29068300000000002</v>
      </c>
      <c r="AP285" s="310">
        <v>0.30689650000000002</v>
      </c>
      <c r="AQ285" s="310">
        <v>0.25771300000000003</v>
      </c>
      <c r="AR285" s="310">
        <v>0.32156990000000002</v>
      </c>
      <c r="AS285" s="310">
        <v>0</v>
      </c>
      <c r="AT285" s="310">
        <v>0.32644899999999999</v>
      </c>
      <c r="AU285" s="310">
        <v>0.3293237</v>
      </c>
      <c r="AV285" s="310">
        <v>0.3275749</v>
      </c>
      <c r="AW285" s="310">
        <v>0.30983909999999998</v>
      </c>
      <c r="AX285" s="310">
        <v>0</v>
      </c>
      <c r="AY285" s="310">
        <v>0.33199689999999998</v>
      </c>
      <c r="AZ285" s="310">
        <v>0.32343820000000001</v>
      </c>
      <c r="BA285" s="310">
        <v>0</v>
      </c>
      <c r="BB285" s="310">
        <v>0</v>
      </c>
      <c r="BC285" s="310">
        <v>0.32995150000000001</v>
      </c>
      <c r="BD285" s="310">
        <v>0.32693620000000001</v>
      </c>
      <c r="BE285" s="310">
        <v>0.33137709999999998</v>
      </c>
      <c r="BF285" s="310">
        <v>0.3215094</v>
      </c>
      <c r="BG285" s="310">
        <v>0.3275807</v>
      </c>
      <c r="BH285" s="310">
        <v>0.32359480000000002</v>
      </c>
      <c r="BI285" s="310">
        <v>0.32888780000000001</v>
      </c>
      <c r="BJ285" s="310">
        <v>0.33012950000000002</v>
      </c>
      <c r="BK285" s="310">
        <v>0.33221149999999999</v>
      </c>
    </row>
    <row r="286" spans="1:63" x14ac:dyDescent="0.25">
      <c r="A286" s="306">
        <v>336612</v>
      </c>
      <c r="B286" s="310" t="s">
        <v>258</v>
      </c>
      <c r="C286" s="310">
        <v>0.21196229999999999</v>
      </c>
      <c r="D286" s="310">
        <v>0.19794310000000001</v>
      </c>
      <c r="E286" s="310">
        <v>0.20433290000000001</v>
      </c>
      <c r="F286" s="310">
        <v>0.2043663</v>
      </c>
      <c r="G286" s="310">
        <v>0.21016360000000001</v>
      </c>
      <c r="H286" s="310">
        <v>0.21087349999999999</v>
      </c>
      <c r="I286" s="310">
        <v>0.2095187</v>
      </c>
      <c r="J286" s="310">
        <v>0.1951156</v>
      </c>
      <c r="K286" s="310">
        <v>0</v>
      </c>
      <c r="L286" s="310">
        <v>0.14441370000000001</v>
      </c>
      <c r="M286" s="310">
        <v>0.21019599999999999</v>
      </c>
      <c r="N286" s="310">
        <v>0.205123</v>
      </c>
      <c r="O286" s="310">
        <v>0.20548949999999999</v>
      </c>
      <c r="P286" s="310">
        <v>0.20110939999999999</v>
      </c>
      <c r="Q286" s="310">
        <v>0.198713</v>
      </c>
      <c r="R286" s="310">
        <v>0.19035340000000001</v>
      </c>
      <c r="S286" s="310">
        <v>0.20263690000000001</v>
      </c>
      <c r="T286" s="310">
        <v>0.19750000000000001</v>
      </c>
      <c r="U286" s="310">
        <v>0.19505040000000001</v>
      </c>
      <c r="V286" s="310">
        <v>0.1987698</v>
      </c>
      <c r="W286" s="310">
        <v>0.18929000000000001</v>
      </c>
      <c r="X286" s="310">
        <v>0.18095130000000001</v>
      </c>
      <c r="Y286" s="310">
        <v>0.1914286</v>
      </c>
      <c r="Z286" s="310">
        <v>0.21032200000000001</v>
      </c>
      <c r="AA286" s="310">
        <v>0.20202290000000001</v>
      </c>
      <c r="AB286" s="310">
        <v>0.19347490000000001</v>
      </c>
      <c r="AC286" s="310">
        <v>0.18899730000000001</v>
      </c>
      <c r="AD286" s="310">
        <v>0.2092907</v>
      </c>
      <c r="AE286" s="310">
        <v>0.2063816</v>
      </c>
      <c r="AF286" s="310">
        <v>0.1795553</v>
      </c>
      <c r="AG286" s="310">
        <v>0.2011908</v>
      </c>
      <c r="AH286" s="310">
        <v>0.18968370000000001</v>
      </c>
      <c r="AI286" s="310">
        <v>0.1836885</v>
      </c>
      <c r="AJ286" s="310">
        <v>0</v>
      </c>
      <c r="AK286" s="310">
        <v>0.2058625</v>
      </c>
      <c r="AL286" s="310">
        <v>0.20563509999999999</v>
      </c>
      <c r="AM286" s="310">
        <v>0.20370199999999999</v>
      </c>
      <c r="AN286" s="310">
        <v>0.2080023</v>
      </c>
      <c r="AO286" s="310">
        <v>0.1847704</v>
      </c>
      <c r="AP286" s="310">
        <v>0.1950586</v>
      </c>
      <c r="AQ286" s="310">
        <v>0.16378570000000001</v>
      </c>
      <c r="AR286" s="310">
        <v>0.204351</v>
      </c>
      <c r="AS286" s="310">
        <v>0</v>
      </c>
      <c r="AT286" s="310">
        <v>0.20750460000000001</v>
      </c>
      <c r="AU286" s="310">
        <v>0.20933289999999999</v>
      </c>
      <c r="AV286" s="310">
        <v>0.20817830000000001</v>
      </c>
      <c r="AW286" s="310">
        <v>0.1968762</v>
      </c>
      <c r="AX286" s="310">
        <v>0.19953699999999999</v>
      </c>
      <c r="AY286" s="310">
        <v>0.21101130000000001</v>
      </c>
      <c r="AZ286" s="310">
        <v>0.2055602</v>
      </c>
      <c r="BA286" s="310">
        <v>0.17559959999999999</v>
      </c>
      <c r="BB286" s="310">
        <v>0</v>
      </c>
      <c r="BC286" s="310">
        <v>0.20968809999999999</v>
      </c>
      <c r="BD286" s="310">
        <v>0.20779619999999999</v>
      </c>
      <c r="BE286" s="310">
        <v>0.2106073</v>
      </c>
      <c r="BF286" s="310">
        <v>0.20435629999999999</v>
      </c>
      <c r="BG286" s="310">
        <v>0.20818300000000001</v>
      </c>
      <c r="BH286" s="310">
        <v>0.2056442</v>
      </c>
      <c r="BI286" s="310">
        <v>0.209034</v>
      </c>
      <c r="BJ286" s="310">
        <v>0.2097986</v>
      </c>
      <c r="BK286" s="310">
        <v>0.2111123</v>
      </c>
    </row>
    <row r="287" spans="1:63" x14ac:dyDescent="0.25">
      <c r="A287" s="306">
        <v>336991</v>
      </c>
      <c r="B287" s="310" t="s">
        <v>259</v>
      </c>
      <c r="C287" s="310">
        <v>0.16786239999999999</v>
      </c>
      <c r="D287" s="310">
        <v>0</v>
      </c>
      <c r="E287" s="310">
        <v>0.161797</v>
      </c>
      <c r="F287" s="310">
        <v>0.16181909999999999</v>
      </c>
      <c r="G287" s="310">
        <v>0.16642750000000001</v>
      </c>
      <c r="H287" s="310">
        <v>0.16697799999999999</v>
      </c>
      <c r="I287" s="310">
        <v>0.16592409999999999</v>
      </c>
      <c r="J287" s="310">
        <v>0.15449450000000001</v>
      </c>
      <c r="K287" s="310">
        <v>0</v>
      </c>
      <c r="L287" s="310">
        <v>0</v>
      </c>
      <c r="M287" s="310">
        <v>0.1664312</v>
      </c>
      <c r="N287" s="310">
        <v>0.16243050000000001</v>
      </c>
      <c r="O287" s="310">
        <v>0</v>
      </c>
      <c r="P287" s="310">
        <v>0.1592575</v>
      </c>
      <c r="Q287" s="310">
        <v>0.15732740000000001</v>
      </c>
      <c r="R287" s="310">
        <v>0.15073310000000001</v>
      </c>
      <c r="S287" s="310">
        <v>0.1604884</v>
      </c>
      <c r="T287" s="310">
        <v>0.1563619</v>
      </c>
      <c r="U287" s="310">
        <v>0.15446499999999999</v>
      </c>
      <c r="V287" s="310">
        <v>0.1574276</v>
      </c>
      <c r="W287" s="310">
        <v>0.14989340000000001</v>
      </c>
      <c r="X287" s="310">
        <v>0.14333389999999999</v>
      </c>
      <c r="Y287" s="310">
        <v>0.15157190000000001</v>
      </c>
      <c r="Z287" s="310">
        <v>0.16655149999999999</v>
      </c>
      <c r="AA287" s="310">
        <v>0.15995809999999999</v>
      </c>
      <c r="AB287" s="310">
        <v>0.15322939999999999</v>
      </c>
      <c r="AC287" s="310">
        <v>0</v>
      </c>
      <c r="AD287" s="310">
        <v>0.16567670000000001</v>
      </c>
      <c r="AE287" s="310">
        <v>0.16340489999999999</v>
      </c>
      <c r="AF287" s="310">
        <v>0</v>
      </c>
      <c r="AG287" s="310">
        <v>0.1592953</v>
      </c>
      <c r="AH287" s="310">
        <v>0.15016860000000001</v>
      </c>
      <c r="AI287" s="310">
        <v>0.145478</v>
      </c>
      <c r="AJ287" s="310">
        <v>0.16206380000000001</v>
      </c>
      <c r="AK287" s="310">
        <v>0.1630007</v>
      </c>
      <c r="AL287" s="310">
        <v>0.16280729999999999</v>
      </c>
      <c r="AM287" s="310">
        <v>0.16130559999999999</v>
      </c>
      <c r="AN287" s="310">
        <v>0.16473119999999999</v>
      </c>
      <c r="AO287" s="310">
        <v>0.1462908</v>
      </c>
      <c r="AP287" s="310">
        <v>0.15447630000000001</v>
      </c>
      <c r="AQ287" s="310">
        <v>0.12971150000000001</v>
      </c>
      <c r="AR287" s="310">
        <v>0.1618366</v>
      </c>
      <c r="AS287" s="310">
        <v>0.1557983</v>
      </c>
      <c r="AT287" s="310">
        <v>0.1642885</v>
      </c>
      <c r="AU287" s="310">
        <v>0.16576179999999999</v>
      </c>
      <c r="AV287" s="310">
        <v>0.1648847</v>
      </c>
      <c r="AW287" s="310">
        <v>0.1559162</v>
      </c>
      <c r="AX287" s="310">
        <v>0</v>
      </c>
      <c r="AY287" s="310">
        <v>0.16706760000000001</v>
      </c>
      <c r="AZ287" s="310">
        <v>0.16276460000000001</v>
      </c>
      <c r="BA287" s="310">
        <v>0</v>
      </c>
      <c r="BB287" s="310">
        <v>0</v>
      </c>
      <c r="BC287" s="310">
        <v>0.16602690000000001</v>
      </c>
      <c r="BD287" s="310">
        <v>0.16453039999999999</v>
      </c>
      <c r="BE287" s="310">
        <v>0.16680039999999999</v>
      </c>
      <c r="BF287" s="310">
        <v>0.1618221</v>
      </c>
      <c r="BG287" s="310">
        <v>0.1648657</v>
      </c>
      <c r="BH287" s="310">
        <v>0.16283210000000001</v>
      </c>
      <c r="BI287" s="310">
        <v>0.16553660000000001</v>
      </c>
      <c r="BJ287" s="310">
        <v>0.16612360000000001</v>
      </c>
      <c r="BK287" s="310">
        <v>0.1671948</v>
      </c>
    </row>
    <row r="288" spans="1:63" x14ac:dyDescent="0.25">
      <c r="A288" s="306">
        <v>336992</v>
      </c>
      <c r="B288" s="310" t="s">
        <v>260</v>
      </c>
      <c r="C288" s="310">
        <v>0.22554150000000001</v>
      </c>
      <c r="D288" s="310">
        <v>0</v>
      </c>
      <c r="E288" s="310">
        <v>0.21741260000000001</v>
      </c>
      <c r="F288" s="310">
        <v>0</v>
      </c>
      <c r="G288" s="310">
        <v>0.2236437</v>
      </c>
      <c r="H288" s="310">
        <v>0.22438169999999999</v>
      </c>
      <c r="I288" s="310">
        <v>0</v>
      </c>
      <c r="J288" s="310">
        <v>0</v>
      </c>
      <c r="K288" s="310">
        <v>0</v>
      </c>
      <c r="L288" s="310">
        <v>0</v>
      </c>
      <c r="M288" s="310">
        <v>0.22362460000000001</v>
      </c>
      <c r="N288" s="310">
        <v>0.21823049999999999</v>
      </c>
      <c r="O288" s="310">
        <v>0</v>
      </c>
      <c r="P288" s="310">
        <v>0</v>
      </c>
      <c r="Q288" s="310">
        <v>0</v>
      </c>
      <c r="R288" s="310">
        <v>0.20252870000000001</v>
      </c>
      <c r="S288" s="310">
        <v>0</v>
      </c>
      <c r="T288" s="310">
        <v>0</v>
      </c>
      <c r="U288" s="310">
        <v>0</v>
      </c>
      <c r="V288" s="310">
        <v>0.2115195</v>
      </c>
      <c r="W288" s="310">
        <v>0</v>
      </c>
      <c r="X288" s="310">
        <v>0.19258159999999999</v>
      </c>
      <c r="Y288" s="310">
        <v>0</v>
      </c>
      <c r="Z288" s="310">
        <v>0.22377369999999999</v>
      </c>
      <c r="AA288" s="310">
        <v>0.21491160000000001</v>
      </c>
      <c r="AB288" s="310">
        <v>0</v>
      </c>
      <c r="AC288" s="310">
        <v>0</v>
      </c>
      <c r="AD288" s="310">
        <v>0</v>
      </c>
      <c r="AE288" s="310">
        <v>0.21956519999999999</v>
      </c>
      <c r="AF288" s="310">
        <v>0</v>
      </c>
      <c r="AG288" s="310">
        <v>0</v>
      </c>
      <c r="AH288" s="310">
        <v>0</v>
      </c>
      <c r="AI288" s="310">
        <v>0.19547729999999999</v>
      </c>
      <c r="AJ288" s="310">
        <v>0</v>
      </c>
      <c r="AK288" s="310">
        <v>0</v>
      </c>
      <c r="AL288" s="310">
        <v>0.2188109</v>
      </c>
      <c r="AM288" s="310">
        <v>0.21672230000000001</v>
      </c>
      <c r="AN288" s="310">
        <v>0.22131909999999999</v>
      </c>
      <c r="AO288" s="310">
        <v>0</v>
      </c>
      <c r="AP288" s="310">
        <v>0.2075082</v>
      </c>
      <c r="AQ288" s="310">
        <v>0</v>
      </c>
      <c r="AR288" s="310">
        <v>0.21748190000000001</v>
      </c>
      <c r="AS288" s="310">
        <v>0</v>
      </c>
      <c r="AT288" s="310">
        <v>0.2207856</v>
      </c>
      <c r="AU288" s="310">
        <v>0.22271820000000001</v>
      </c>
      <c r="AV288" s="310">
        <v>0</v>
      </c>
      <c r="AW288" s="310">
        <v>0.20951310000000001</v>
      </c>
      <c r="AX288" s="310">
        <v>0</v>
      </c>
      <c r="AY288" s="310">
        <v>0</v>
      </c>
      <c r="AZ288" s="310">
        <v>0.21872320000000001</v>
      </c>
      <c r="BA288" s="310">
        <v>0</v>
      </c>
      <c r="BB288" s="310">
        <v>0</v>
      </c>
      <c r="BC288" s="310">
        <v>0</v>
      </c>
      <c r="BD288" s="310">
        <v>0.221049</v>
      </c>
      <c r="BE288" s="310">
        <v>0.224083</v>
      </c>
      <c r="BF288" s="310">
        <v>0.21744260000000001</v>
      </c>
      <c r="BG288" s="310">
        <v>0.2215144</v>
      </c>
      <c r="BH288" s="310">
        <v>0.21878420000000001</v>
      </c>
      <c r="BI288" s="310">
        <v>0.22240750000000001</v>
      </c>
      <c r="BJ288" s="310">
        <v>0.2232442</v>
      </c>
      <c r="BK288" s="310">
        <v>0.22465060000000001</v>
      </c>
    </row>
    <row r="289" spans="1:63" x14ac:dyDescent="0.25">
      <c r="A289" s="306">
        <v>336999</v>
      </c>
      <c r="B289" s="310" t="s">
        <v>261</v>
      </c>
      <c r="C289" s="310">
        <v>0.1184408</v>
      </c>
      <c r="D289" s="310">
        <v>0</v>
      </c>
      <c r="E289" s="310">
        <v>0.114177</v>
      </c>
      <c r="F289" s="310">
        <v>0.1142059</v>
      </c>
      <c r="G289" s="310">
        <v>0.11741740000000001</v>
      </c>
      <c r="H289" s="310">
        <v>0.1178193</v>
      </c>
      <c r="I289" s="310">
        <v>0.1170583</v>
      </c>
      <c r="J289" s="310">
        <v>0.1090042</v>
      </c>
      <c r="K289" s="310">
        <v>0</v>
      </c>
      <c r="L289" s="310">
        <v>8.0705499999999999E-2</v>
      </c>
      <c r="M289" s="310">
        <v>0.1174404</v>
      </c>
      <c r="N289" s="310">
        <v>0.1146046</v>
      </c>
      <c r="O289" s="310">
        <v>0</v>
      </c>
      <c r="P289" s="310">
        <v>0.1123958</v>
      </c>
      <c r="Q289" s="310">
        <v>0.1110309</v>
      </c>
      <c r="R289" s="310">
        <v>0.10635269999999999</v>
      </c>
      <c r="S289" s="310">
        <v>0.1132542</v>
      </c>
      <c r="T289" s="310">
        <v>0.11034579999999999</v>
      </c>
      <c r="U289" s="310">
        <v>0.10898330000000001</v>
      </c>
      <c r="V289" s="310">
        <v>0.111096</v>
      </c>
      <c r="W289" s="310">
        <v>0</v>
      </c>
      <c r="X289" s="310">
        <v>0.1011119</v>
      </c>
      <c r="Y289" s="310">
        <v>0</v>
      </c>
      <c r="Z289" s="310">
        <v>0.1175143</v>
      </c>
      <c r="AA289" s="310">
        <v>0.1128832</v>
      </c>
      <c r="AB289" s="310">
        <v>0.1081091</v>
      </c>
      <c r="AC289" s="310">
        <v>0.1056009</v>
      </c>
      <c r="AD289" s="310">
        <v>0</v>
      </c>
      <c r="AE289" s="310">
        <v>0.1153068</v>
      </c>
      <c r="AF289" s="310">
        <v>0</v>
      </c>
      <c r="AG289" s="310">
        <v>0.1124059</v>
      </c>
      <c r="AH289" s="310">
        <v>0.1059933</v>
      </c>
      <c r="AI289" s="310">
        <v>0.1026302</v>
      </c>
      <c r="AJ289" s="310">
        <v>0</v>
      </c>
      <c r="AK289" s="310">
        <v>0.1150037</v>
      </c>
      <c r="AL289" s="310">
        <v>0.1149134</v>
      </c>
      <c r="AM289" s="310">
        <v>0.11381280000000001</v>
      </c>
      <c r="AN289" s="310">
        <v>0.11621819999999999</v>
      </c>
      <c r="AO289" s="310">
        <v>0.1032532</v>
      </c>
      <c r="AP289" s="310">
        <v>0.1090078</v>
      </c>
      <c r="AQ289" s="310">
        <v>0</v>
      </c>
      <c r="AR289" s="310">
        <v>0.114202</v>
      </c>
      <c r="AS289" s="310">
        <v>0.10994619999999999</v>
      </c>
      <c r="AT289" s="310">
        <v>0.1159346</v>
      </c>
      <c r="AU289" s="310">
        <v>0.1169814</v>
      </c>
      <c r="AV289" s="310">
        <v>0.1163444</v>
      </c>
      <c r="AW289" s="310">
        <v>0.1100086</v>
      </c>
      <c r="AX289" s="310">
        <v>0.11148</v>
      </c>
      <c r="AY289" s="310">
        <v>0.1178979</v>
      </c>
      <c r="AZ289" s="310">
        <v>0.1148651</v>
      </c>
      <c r="BA289" s="310">
        <v>0</v>
      </c>
      <c r="BB289" s="310">
        <v>0.1134114</v>
      </c>
      <c r="BC289" s="310">
        <v>0.1171502</v>
      </c>
      <c r="BD289" s="310">
        <v>0.116102</v>
      </c>
      <c r="BE289" s="310">
        <v>0.1176922</v>
      </c>
      <c r="BF289" s="310">
        <v>0.1141708</v>
      </c>
      <c r="BG289" s="310">
        <v>0.1163439</v>
      </c>
      <c r="BH289" s="310">
        <v>0.1149066</v>
      </c>
      <c r="BI289" s="310">
        <v>0.1167957</v>
      </c>
      <c r="BJ289" s="310">
        <v>0.1172253</v>
      </c>
      <c r="BK289" s="310">
        <v>0.1179962</v>
      </c>
    </row>
    <row r="290" spans="1:63" x14ac:dyDescent="0.25">
      <c r="A290" s="306">
        <v>337110</v>
      </c>
      <c r="B290" s="310" t="s">
        <v>262</v>
      </c>
      <c r="C290" s="310">
        <v>0.2656637</v>
      </c>
      <c r="D290" s="310">
        <v>0.26388200000000001</v>
      </c>
      <c r="E290" s="310">
        <v>0.25865630000000001</v>
      </c>
      <c r="F290" s="310">
        <v>0.23832539999999999</v>
      </c>
      <c r="G290" s="310">
        <v>0.26454889999999998</v>
      </c>
      <c r="H290" s="310">
        <v>0.26478049999999997</v>
      </c>
      <c r="I290" s="310">
        <v>0.262322</v>
      </c>
      <c r="J290" s="310">
        <v>0.24618960000000001</v>
      </c>
      <c r="K290" s="310">
        <v>7.0406099999999999E-2</v>
      </c>
      <c r="L290" s="310">
        <v>0.20578759999999999</v>
      </c>
      <c r="M290" s="310">
        <v>0.26384940000000001</v>
      </c>
      <c r="N290" s="310">
        <v>0.25903989999999999</v>
      </c>
      <c r="O290" s="310">
        <v>0.26566840000000003</v>
      </c>
      <c r="P290" s="310">
        <v>0.2457821</v>
      </c>
      <c r="Q290" s="310">
        <v>0.25018069999999998</v>
      </c>
      <c r="R290" s="310">
        <v>0.25847500000000001</v>
      </c>
      <c r="S290" s="310">
        <v>0.25337979999999999</v>
      </c>
      <c r="T290" s="310">
        <v>0.23915230000000001</v>
      </c>
      <c r="U290" s="310">
        <v>0.2548242</v>
      </c>
      <c r="V290" s="310">
        <v>0.25240859999999998</v>
      </c>
      <c r="W290" s="310">
        <v>0.24688769999999999</v>
      </c>
      <c r="X290" s="310">
        <v>0.24428179999999999</v>
      </c>
      <c r="Y290" s="310">
        <v>0.2546544</v>
      </c>
      <c r="Z290" s="310">
        <v>0.2617736</v>
      </c>
      <c r="AA290" s="310">
        <v>0.26152599999999998</v>
      </c>
      <c r="AB290" s="310">
        <v>0.25169989999999998</v>
      </c>
      <c r="AC290" s="310">
        <v>0.26150420000000002</v>
      </c>
      <c r="AD290" s="310">
        <v>0.26563100000000001</v>
      </c>
      <c r="AE290" s="310">
        <v>0.26226490000000002</v>
      </c>
      <c r="AF290" s="310">
        <v>0.24572930000000001</v>
      </c>
      <c r="AG290" s="310">
        <v>0.22891649999999999</v>
      </c>
      <c r="AH290" s="310">
        <v>0.23159740000000001</v>
      </c>
      <c r="AI290" s="310">
        <v>0.24055860000000001</v>
      </c>
      <c r="AJ290" s="310">
        <v>0.25287910000000002</v>
      </c>
      <c r="AK290" s="310">
        <v>0.26079079999999999</v>
      </c>
      <c r="AL290" s="310">
        <v>0.248337</v>
      </c>
      <c r="AM290" s="310">
        <v>0.25102059999999998</v>
      </c>
      <c r="AN290" s="310">
        <v>0.2559169</v>
      </c>
      <c r="AO290" s="310">
        <v>0.252863</v>
      </c>
      <c r="AP290" s="310">
        <v>0.25825540000000002</v>
      </c>
      <c r="AQ290" s="310">
        <v>0.2436149</v>
      </c>
      <c r="AR290" s="310">
        <v>0.25806820000000003</v>
      </c>
      <c r="AS290" s="310">
        <v>0.26036290000000001</v>
      </c>
      <c r="AT290" s="310">
        <v>0.25351790000000002</v>
      </c>
      <c r="AU290" s="310">
        <v>0.26387300000000002</v>
      </c>
      <c r="AV290" s="310">
        <v>0.26110480000000003</v>
      </c>
      <c r="AW290" s="310">
        <v>0.255166</v>
      </c>
      <c r="AX290" s="310">
        <v>0.21844830000000001</v>
      </c>
      <c r="AY290" s="310">
        <v>0.2592025</v>
      </c>
      <c r="AZ290" s="310">
        <v>0.26013710000000001</v>
      </c>
      <c r="BA290" s="310">
        <v>0.24236920000000001</v>
      </c>
      <c r="BB290" s="310">
        <v>0.26563059999999999</v>
      </c>
      <c r="BC290" s="310">
        <v>0.26040990000000003</v>
      </c>
      <c r="BD290" s="310">
        <v>0.26214880000000002</v>
      </c>
      <c r="BE290" s="310">
        <v>0.26286090000000001</v>
      </c>
      <c r="BF290" s="310">
        <v>0.25903929999999997</v>
      </c>
      <c r="BG290" s="310">
        <v>0.26368639999999999</v>
      </c>
      <c r="BH290" s="310">
        <v>0.26175900000000002</v>
      </c>
      <c r="BI290" s="310">
        <v>0.26174389999999997</v>
      </c>
      <c r="BJ290" s="310">
        <v>0.26355299999999998</v>
      </c>
      <c r="BK290" s="310">
        <v>0.264712</v>
      </c>
    </row>
    <row r="291" spans="1:63" x14ac:dyDescent="0.25">
      <c r="A291" s="306">
        <v>337121</v>
      </c>
      <c r="B291" s="310" t="s">
        <v>263</v>
      </c>
      <c r="C291" s="310">
        <v>0.25278620000000002</v>
      </c>
      <c r="D291" s="310">
        <v>0</v>
      </c>
      <c r="E291" s="310">
        <v>0.24611720000000001</v>
      </c>
      <c r="F291" s="310">
        <v>0.22681660000000001</v>
      </c>
      <c r="G291" s="310">
        <v>0.2517508</v>
      </c>
      <c r="H291" s="310">
        <v>0.25193870000000002</v>
      </c>
      <c r="I291" s="310">
        <v>0.2496177</v>
      </c>
      <c r="J291" s="310">
        <v>0.23428499999999999</v>
      </c>
      <c r="K291" s="310">
        <v>6.7002999999999993E-2</v>
      </c>
      <c r="L291" s="310">
        <v>0</v>
      </c>
      <c r="M291" s="310">
        <v>0.25112010000000001</v>
      </c>
      <c r="N291" s="310">
        <v>0.24650440000000001</v>
      </c>
      <c r="O291" s="310">
        <v>0</v>
      </c>
      <c r="P291" s="310">
        <v>0.23385829999999999</v>
      </c>
      <c r="Q291" s="310">
        <v>0.2380313</v>
      </c>
      <c r="R291" s="310">
        <v>0.24595590000000001</v>
      </c>
      <c r="S291" s="310">
        <v>0.2411383</v>
      </c>
      <c r="T291" s="310">
        <v>0.22753490000000001</v>
      </c>
      <c r="U291" s="310">
        <v>0.24249950000000001</v>
      </c>
      <c r="V291" s="310">
        <v>0</v>
      </c>
      <c r="W291" s="310">
        <v>0.2349077</v>
      </c>
      <c r="X291" s="310">
        <v>0.2324608</v>
      </c>
      <c r="Y291" s="310">
        <v>0</v>
      </c>
      <c r="Z291" s="310">
        <v>0.2491013</v>
      </c>
      <c r="AA291" s="310">
        <v>0.24893129999999999</v>
      </c>
      <c r="AB291" s="310">
        <v>0.23953260000000001</v>
      </c>
      <c r="AC291" s="310">
        <v>0.2488892</v>
      </c>
      <c r="AD291" s="310">
        <v>0.25279400000000002</v>
      </c>
      <c r="AE291" s="310">
        <v>0.2495637</v>
      </c>
      <c r="AF291" s="310">
        <v>0</v>
      </c>
      <c r="AG291" s="310">
        <v>0</v>
      </c>
      <c r="AH291" s="310">
        <v>0</v>
      </c>
      <c r="AI291" s="310">
        <v>0.22889799999999999</v>
      </c>
      <c r="AJ291" s="310">
        <v>0.24061250000000001</v>
      </c>
      <c r="AK291" s="310">
        <v>0.24817629999999999</v>
      </c>
      <c r="AL291" s="310">
        <v>0.2363326</v>
      </c>
      <c r="AM291" s="310">
        <v>0.23885200000000001</v>
      </c>
      <c r="AN291" s="310">
        <v>0.2435725</v>
      </c>
      <c r="AO291" s="310">
        <v>0.2406586</v>
      </c>
      <c r="AP291" s="310">
        <v>0.24579529999999999</v>
      </c>
      <c r="AQ291" s="310">
        <v>0.23182</v>
      </c>
      <c r="AR291" s="310">
        <v>0.2455677</v>
      </c>
      <c r="AS291" s="310">
        <v>0.2477307</v>
      </c>
      <c r="AT291" s="310">
        <v>0.2412888</v>
      </c>
      <c r="AU291" s="310">
        <v>0.25111810000000001</v>
      </c>
      <c r="AV291" s="310">
        <v>0.24850140000000001</v>
      </c>
      <c r="AW291" s="310">
        <v>0.24279200000000001</v>
      </c>
      <c r="AX291" s="310">
        <v>0</v>
      </c>
      <c r="AY291" s="310">
        <v>0.24664720000000001</v>
      </c>
      <c r="AZ291" s="310">
        <v>0.24753900000000001</v>
      </c>
      <c r="BA291" s="310">
        <v>0</v>
      </c>
      <c r="BB291" s="310">
        <v>0.25277549999999999</v>
      </c>
      <c r="BC291" s="310">
        <v>0.24782309999999999</v>
      </c>
      <c r="BD291" s="310">
        <v>0.2494567</v>
      </c>
      <c r="BE291" s="310">
        <v>0.25010250000000001</v>
      </c>
      <c r="BF291" s="310">
        <v>0.24650159999999999</v>
      </c>
      <c r="BG291" s="310">
        <v>0.25093779999999999</v>
      </c>
      <c r="BH291" s="310">
        <v>0.24908930000000001</v>
      </c>
      <c r="BI291" s="310">
        <v>0.24905840000000001</v>
      </c>
      <c r="BJ291" s="310">
        <v>0.25076349999999997</v>
      </c>
      <c r="BK291" s="310">
        <v>0.2519093</v>
      </c>
    </row>
    <row r="292" spans="1:63" x14ac:dyDescent="0.25">
      <c r="A292" s="306">
        <v>337122</v>
      </c>
      <c r="B292" s="310" t="s">
        <v>264</v>
      </c>
      <c r="C292" s="310">
        <v>0.26732070000000002</v>
      </c>
      <c r="D292" s="310">
        <v>0.26554090000000002</v>
      </c>
      <c r="E292" s="310">
        <v>0.26026519999999997</v>
      </c>
      <c r="F292" s="310">
        <v>0.23988039999999999</v>
      </c>
      <c r="G292" s="310">
        <v>0.26626689999999997</v>
      </c>
      <c r="H292" s="310">
        <v>0.26644630000000002</v>
      </c>
      <c r="I292" s="310">
        <v>0.26399070000000002</v>
      </c>
      <c r="J292" s="310">
        <v>0.24772820000000001</v>
      </c>
      <c r="K292" s="310">
        <v>0</v>
      </c>
      <c r="L292" s="310">
        <v>0.20710890000000001</v>
      </c>
      <c r="M292" s="310">
        <v>0.26550760000000001</v>
      </c>
      <c r="N292" s="310">
        <v>0.26066430000000002</v>
      </c>
      <c r="O292" s="310">
        <v>0.26737539999999999</v>
      </c>
      <c r="P292" s="310">
        <v>0.24730050000000001</v>
      </c>
      <c r="Q292" s="310">
        <v>0.25172909999999998</v>
      </c>
      <c r="R292" s="310">
        <v>0.26013049999999999</v>
      </c>
      <c r="S292" s="310">
        <v>0.25499899999999998</v>
      </c>
      <c r="T292" s="310">
        <v>0.24063000000000001</v>
      </c>
      <c r="U292" s="310">
        <v>0.25644430000000001</v>
      </c>
      <c r="V292" s="310">
        <v>0.25401190000000001</v>
      </c>
      <c r="W292" s="310">
        <v>0.24844379999999999</v>
      </c>
      <c r="X292" s="310">
        <v>0.24578169999999999</v>
      </c>
      <c r="Y292" s="310">
        <v>0.25622499999999998</v>
      </c>
      <c r="Z292" s="310">
        <v>0.26343569999999999</v>
      </c>
      <c r="AA292" s="310">
        <v>0.2632002</v>
      </c>
      <c r="AB292" s="310">
        <v>0.25330000000000003</v>
      </c>
      <c r="AC292" s="310">
        <v>0.26314369999999998</v>
      </c>
      <c r="AD292" s="310">
        <v>0.2673681</v>
      </c>
      <c r="AE292" s="310">
        <v>0.26391930000000002</v>
      </c>
      <c r="AF292" s="310">
        <v>0.24725059999999999</v>
      </c>
      <c r="AG292" s="310">
        <v>0.23034859999999999</v>
      </c>
      <c r="AH292" s="310">
        <v>0.2330941</v>
      </c>
      <c r="AI292" s="310">
        <v>0.24207400000000001</v>
      </c>
      <c r="AJ292" s="310">
        <v>0.254496</v>
      </c>
      <c r="AK292" s="310">
        <v>0.26247110000000001</v>
      </c>
      <c r="AL292" s="310">
        <v>0.24992590000000001</v>
      </c>
      <c r="AM292" s="310">
        <v>0.25259470000000001</v>
      </c>
      <c r="AN292" s="310">
        <v>0.25755650000000002</v>
      </c>
      <c r="AO292" s="310">
        <v>0.2544632</v>
      </c>
      <c r="AP292" s="310">
        <v>0.25986799999999999</v>
      </c>
      <c r="AQ292" s="310">
        <v>0.2451603</v>
      </c>
      <c r="AR292" s="310">
        <v>0.25972529999999999</v>
      </c>
      <c r="AS292" s="310">
        <v>0.26201760000000002</v>
      </c>
      <c r="AT292" s="310">
        <v>0.25513649999999999</v>
      </c>
      <c r="AU292" s="310">
        <v>0.26552500000000001</v>
      </c>
      <c r="AV292" s="310">
        <v>0.26273370000000001</v>
      </c>
      <c r="AW292" s="310">
        <v>0.25676450000000001</v>
      </c>
      <c r="AX292" s="310">
        <v>0.2197779</v>
      </c>
      <c r="AY292" s="310">
        <v>0.26084659999999998</v>
      </c>
      <c r="AZ292" s="310">
        <v>0.26174920000000002</v>
      </c>
      <c r="BA292" s="310">
        <v>0.2439211</v>
      </c>
      <c r="BB292" s="310">
        <v>0.26730520000000002</v>
      </c>
      <c r="BC292" s="310">
        <v>0.2620538</v>
      </c>
      <c r="BD292" s="310">
        <v>0.2638469</v>
      </c>
      <c r="BE292" s="310">
        <v>0.26454070000000002</v>
      </c>
      <c r="BF292" s="310">
        <v>0.26068599999999997</v>
      </c>
      <c r="BG292" s="310">
        <v>0.26537369999999999</v>
      </c>
      <c r="BH292" s="310">
        <v>0.26341100000000001</v>
      </c>
      <c r="BI292" s="310">
        <v>0.26338600000000001</v>
      </c>
      <c r="BJ292" s="310">
        <v>0.26521830000000002</v>
      </c>
      <c r="BK292" s="310">
        <v>0.26644370000000001</v>
      </c>
    </row>
    <row r="293" spans="1:63" x14ac:dyDescent="0.25">
      <c r="A293" s="306">
        <v>337127</v>
      </c>
      <c r="B293" s="310" t="s">
        <v>266</v>
      </c>
      <c r="C293" s="310">
        <v>0.26071480000000002</v>
      </c>
      <c r="D293" s="310">
        <v>0</v>
      </c>
      <c r="E293" s="310">
        <v>0.25385839999999998</v>
      </c>
      <c r="F293" s="310">
        <v>0.23395340000000001</v>
      </c>
      <c r="G293" s="310">
        <v>0.25970209999999999</v>
      </c>
      <c r="H293" s="310">
        <v>0.25988559999999999</v>
      </c>
      <c r="I293" s="310">
        <v>0.25743880000000002</v>
      </c>
      <c r="J293" s="310">
        <v>0.24165490000000001</v>
      </c>
      <c r="K293" s="310">
        <v>0</v>
      </c>
      <c r="L293" s="310">
        <v>0.20198240000000001</v>
      </c>
      <c r="M293" s="310">
        <v>0.25898359999999998</v>
      </c>
      <c r="N293" s="310">
        <v>0.25426530000000003</v>
      </c>
      <c r="O293" s="310">
        <v>0</v>
      </c>
      <c r="P293" s="310">
        <v>0.2412407</v>
      </c>
      <c r="Q293" s="310">
        <v>0.2455473</v>
      </c>
      <c r="R293" s="310">
        <v>0.25371339999999998</v>
      </c>
      <c r="S293" s="310">
        <v>0.24874460000000001</v>
      </c>
      <c r="T293" s="310">
        <v>0.23467879999999999</v>
      </c>
      <c r="U293" s="310">
        <v>0.25012380000000001</v>
      </c>
      <c r="V293" s="310">
        <v>0.24774379999999999</v>
      </c>
      <c r="W293" s="310">
        <v>0.24230960000000001</v>
      </c>
      <c r="X293" s="310">
        <v>0.23975560000000001</v>
      </c>
      <c r="Y293" s="310">
        <v>0.2499345</v>
      </c>
      <c r="Z293" s="310">
        <v>0.25694689999999998</v>
      </c>
      <c r="AA293" s="310">
        <v>0.25672739999999999</v>
      </c>
      <c r="AB293" s="310">
        <v>0.24705369999999999</v>
      </c>
      <c r="AC293" s="310">
        <v>0.2566621</v>
      </c>
      <c r="AD293" s="310">
        <v>0.26070510000000002</v>
      </c>
      <c r="AE293" s="310">
        <v>0.25743850000000001</v>
      </c>
      <c r="AF293" s="310">
        <v>0.24118329999999999</v>
      </c>
      <c r="AG293" s="310">
        <v>0.22466179999999999</v>
      </c>
      <c r="AH293" s="310">
        <v>0.22730410000000001</v>
      </c>
      <c r="AI293" s="310">
        <v>0.2361103</v>
      </c>
      <c r="AJ293" s="310">
        <v>0.24824370000000001</v>
      </c>
      <c r="AK293" s="310">
        <v>0.25598860000000001</v>
      </c>
      <c r="AL293" s="310">
        <v>0.24375340000000001</v>
      </c>
      <c r="AM293" s="310">
        <v>0.24636179999999999</v>
      </c>
      <c r="AN293" s="310">
        <v>0.25120169999999997</v>
      </c>
      <c r="AO293" s="310">
        <v>0.2482038</v>
      </c>
      <c r="AP293" s="310">
        <v>0.25345469999999998</v>
      </c>
      <c r="AQ293" s="310">
        <v>0</v>
      </c>
      <c r="AR293" s="310">
        <v>0.25332680000000002</v>
      </c>
      <c r="AS293" s="310">
        <v>0</v>
      </c>
      <c r="AT293" s="310">
        <v>0.24885180000000001</v>
      </c>
      <c r="AU293" s="310">
        <v>0.25897360000000003</v>
      </c>
      <c r="AV293" s="310">
        <v>0.25630609999999998</v>
      </c>
      <c r="AW293" s="310">
        <v>0.25039129999999998</v>
      </c>
      <c r="AX293" s="310">
        <v>0.2144074</v>
      </c>
      <c r="AY293" s="310">
        <v>0.25439499999999998</v>
      </c>
      <c r="AZ293" s="310">
        <v>0.25530209999999998</v>
      </c>
      <c r="BA293" s="310">
        <v>0</v>
      </c>
      <c r="BB293" s="310">
        <v>0</v>
      </c>
      <c r="BC293" s="310">
        <v>0.25557160000000001</v>
      </c>
      <c r="BD293" s="310">
        <v>0.25729580000000002</v>
      </c>
      <c r="BE293" s="310">
        <v>0.25795770000000001</v>
      </c>
      <c r="BF293" s="310">
        <v>0.25426270000000001</v>
      </c>
      <c r="BG293" s="310">
        <v>0.2587701</v>
      </c>
      <c r="BH293" s="310">
        <v>0.25695499999999999</v>
      </c>
      <c r="BI293" s="310">
        <v>0.25692490000000001</v>
      </c>
      <c r="BJ293" s="310">
        <v>0.25862180000000001</v>
      </c>
      <c r="BK293" s="310">
        <v>0.25981749999999998</v>
      </c>
    </row>
    <row r="294" spans="1:63" x14ac:dyDescent="0.25">
      <c r="A294" s="306" t="s">
        <v>745</v>
      </c>
      <c r="B294" s="310" t="s">
        <v>265</v>
      </c>
      <c r="C294" s="310">
        <v>0.2159633</v>
      </c>
      <c r="D294" s="310">
        <v>0.2145609</v>
      </c>
      <c r="E294" s="310">
        <v>0.21029539999999999</v>
      </c>
      <c r="F294" s="310">
        <v>0.19376199999999999</v>
      </c>
      <c r="G294" s="310">
        <v>0.215082</v>
      </c>
      <c r="H294" s="310">
        <v>0.2152666</v>
      </c>
      <c r="I294" s="310">
        <v>0.21326700000000001</v>
      </c>
      <c r="J294" s="310">
        <v>0.2001473</v>
      </c>
      <c r="K294" s="310">
        <v>5.7225499999999999E-2</v>
      </c>
      <c r="L294" s="310">
        <v>0.16728879999999999</v>
      </c>
      <c r="M294" s="310">
        <v>0.21450640000000001</v>
      </c>
      <c r="N294" s="310">
        <v>0.21057029999999999</v>
      </c>
      <c r="O294" s="310">
        <v>0.21596560000000001</v>
      </c>
      <c r="P294" s="310">
        <v>0.1998202</v>
      </c>
      <c r="Q294" s="310">
        <v>0.2033664</v>
      </c>
      <c r="R294" s="310">
        <v>0.21014720000000001</v>
      </c>
      <c r="S294" s="310">
        <v>0.20603959999999999</v>
      </c>
      <c r="T294" s="310">
        <v>0.1944081</v>
      </c>
      <c r="U294" s="310">
        <v>0.20717240000000001</v>
      </c>
      <c r="V294" s="310">
        <v>0</v>
      </c>
      <c r="W294" s="310">
        <v>0.20069519999999999</v>
      </c>
      <c r="X294" s="310">
        <v>0.19858480000000001</v>
      </c>
      <c r="Y294" s="310">
        <v>0</v>
      </c>
      <c r="Z294" s="310">
        <v>0.21279999999999999</v>
      </c>
      <c r="AA294" s="310">
        <v>0.2126538</v>
      </c>
      <c r="AB294" s="310">
        <v>0.20462820000000001</v>
      </c>
      <c r="AC294" s="310">
        <v>0.21261540000000001</v>
      </c>
      <c r="AD294" s="310">
        <v>0.2159508</v>
      </c>
      <c r="AE294" s="310">
        <v>0.21322060000000001</v>
      </c>
      <c r="AF294" s="310">
        <v>0</v>
      </c>
      <c r="AG294" s="310">
        <v>0.18605450000000001</v>
      </c>
      <c r="AH294" s="310">
        <v>0.1882646</v>
      </c>
      <c r="AI294" s="310">
        <v>0.1955508</v>
      </c>
      <c r="AJ294" s="310">
        <v>0.20559160000000001</v>
      </c>
      <c r="AK294" s="310">
        <v>0.21200450000000001</v>
      </c>
      <c r="AL294" s="310">
        <v>0.20190130000000001</v>
      </c>
      <c r="AM294" s="310">
        <v>0.2040672</v>
      </c>
      <c r="AN294" s="310">
        <v>0.20804210000000001</v>
      </c>
      <c r="AO294" s="310">
        <v>0.20558129999999999</v>
      </c>
      <c r="AP294" s="310">
        <v>0.20997969999999999</v>
      </c>
      <c r="AQ294" s="310">
        <v>0</v>
      </c>
      <c r="AR294" s="310">
        <v>0.20981530000000001</v>
      </c>
      <c r="AS294" s="310">
        <v>0</v>
      </c>
      <c r="AT294" s="310">
        <v>0.2061318</v>
      </c>
      <c r="AU294" s="310">
        <v>0.2145225</v>
      </c>
      <c r="AV294" s="310">
        <v>0.21228140000000001</v>
      </c>
      <c r="AW294" s="310">
        <v>0.2074289</v>
      </c>
      <c r="AX294" s="310">
        <v>0.1775929</v>
      </c>
      <c r="AY294" s="310">
        <v>0.21070620000000001</v>
      </c>
      <c r="AZ294" s="310">
        <v>0.21144840000000001</v>
      </c>
      <c r="BA294" s="310">
        <v>0</v>
      </c>
      <c r="BB294" s="310">
        <v>0.2160117</v>
      </c>
      <c r="BC294" s="310">
        <v>0.21172830000000001</v>
      </c>
      <c r="BD294" s="310">
        <v>0.2131226</v>
      </c>
      <c r="BE294" s="310">
        <v>0.21366019999999999</v>
      </c>
      <c r="BF294" s="310">
        <v>0.21057480000000001</v>
      </c>
      <c r="BG294" s="310">
        <v>0.2143668</v>
      </c>
      <c r="BH294" s="310">
        <v>0.21282880000000001</v>
      </c>
      <c r="BI294" s="310">
        <v>0.2128053</v>
      </c>
      <c r="BJ294" s="310">
        <v>0.21422430000000001</v>
      </c>
      <c r="BK294" s="310">
        <v>0.21521760000000001</v>
      </c>
    </row>
    <row r="295" spans="1:63" x14ac:dyDescent="0.25">
      <c r="A295" s="306">
        <v>337212</v>
      </c>
      <c r="B295" s="310" t="s">
        <v>268</v>
      </c>
      <c r="C295" s="310">
        <v>0.25487379999999998</v>
      </c>
      <c r="D295" s="310">
        <v>0</v>
      </c>
      <c r="E295" s="310">
        <v>0.24815209999999999</v>
      </c>
      <c r="F295" s="310">
        <v>0.22867870000000001</v>
      </c>
      <c r="G295" s="310">
        <v>0.2538533</v>
      </c>
      <c r="H295" s="310">
        <v>0.25403619999999999</v>
      </c>
      <c r="I295" s="310">
        <v>0.25171100000000002</v>
      </c>
      <c r="J295" s="310">
        <v>0.2362031</v>
      </c>
      <c r="K295" s="310">
        <v>6.7561800000000005E-2</v>
      </c>
      <c r="L295" s="310">
        <v>0.19742399999999999</v>
      </c>
      <c r="M295" s="310">
        <v>0.25319029999999998</v>
      </c>
      <c r="N295" s="310">
        <v>0.2485636</v>
      </c>
      <c r="O295" s="310">
        <v>0.25490960000000001</v>
      </c>
      <c r="P295" s="310">
        <v>0.2357997</v>
      </c>
      <c r="Q295" s="310">
        <v>0.24003959999999999</v>
      </c>
      <c r="R295" s="310">
        <v>0.24802579999999999</v>
      </c>
      <c r="S295" s="310">
        <v>0.24315020000000001</v>
      </c>
      <c r="T295" s="310">
        <v>0.22942370000000001</v>
      </c>
      <c r="U295" s="310">
        <v>0.24448139999999999</v>
      </c>
      <c r="V295" s="310">
        <v>0.2421817</v>
      </c>
      <c r="W295" s="310">
        <v>0.23684379999999999</v>
      </c>
      <c r="X295" s="310">
        <v>0.23434579999999999</v>
      </c>
      <c r="Y295" s="310">
        <v>0.24428759999999999</v>
      </c>
      <c r="Z295" s="310">
        <v>0.2511563</v>
      </c>
      <c r="AA295" s="310">
        <v>0.25093460000000001</v>
      </c>
      <c r="AB295" s="310">
        <v>0.24146719999999999</v>
      </c>
      <c r="AC295" s="310">
        <v>0.25089</v>
      </c>
      <c r="AD295" s="310">
        <v>0.25485580000000002</v>
      </c>
      <c r="AE295" s="310">
        <v>0.25162050000000002</v>
      </c>
      <c r="AF295" s="310">
        <v>0.23580619999999999</v>
      </c>
      <c r="AG295" s="310">
        <v>0.2196303</v>
      </c>
      <c r="AH295" s="310">
        <v>0.2222508</v>
      </c>
      <c r="AI295" s="310">
        <v>0.2308183</v>
      </c>
      <c r="AJ295" s="310">
        <v>0.2426045</v>
      </c>
      <c r="AK295" s="310">
        <v>0.25025340000000001</v>
      </c>
      <c r="AL295" s="310">
        <v>0.2382648</v>
      </c>
      <c r="AM295" s="310">
        <v>0.24085880000000001</v>
      </c>
      <c r="AN295" s="310">
        <v>0.2455755</v>
      </c>
      <c r="AO295" s="310">
        <v>0.24262829999999999</v>
      </c>
      <c r="AP295" s="310">
        <v>0.24778549999999999</v>
      </c>
      <c r="AQ295" s="310">
        <v>0.23371359999999999</v>
      </c>
      <c r="AR295" s="310">
        <v>0.24763460000000001</v>
      </c>
      <c r="AS295" s="310">
        <v>0.2497683</v>
      </c>
      <c r="AT295" s="310">
        <v>0.2432907</v>
      </c>
      <c r="AU295" s="310">
        <v>0.25317240000000002</v>
      </c>
      <c r="AV295" s="310">
        <v>0.250529</v>
      </c>
      <c r="AW295" s="310">
        <v>0.24477090000000001</v>
      </c>
      <c r="AX295" s="310">
        <v>0.2095737</v>
      </c>
      <c r="AY295" s="310">
        <v>0.2486932</v>
      </c>
      <c r="AZ295" s="310">
        <v>0.2495745</v>
      </c>
      <c r="BA295" s="310">
        <v>0.2325305</v>
      </c>
      <c r="BB295" s="310">
        <v>0</v>
      </c>
      <c r="BC295" s="310">
        <v>0.24983030000000001</v>
      </c>
      <c r="BD295" s="310">
        <v>0.25151679999999998</v>
      </c>
      <c r="BE295" s="310">
        <v>0.25221110000000002</v>
      </c>
      <c r="BF295" s="310">
        <v>0.24853030000000001</v>
      </c>
      <c r="BG295" s="310">
        <v>0.2530019</v>
      </c>
      <c r="BH295" s="310">
        <v>0.25119259999999999</v>
      </c>
      <c r="BI295" s="310">
        <v>0.25111299999999998</v>
      </c>
      <c r="BJ295" s="310">
        <v>0.25285540000000001</v>
      </c>
      <c r="BK295" s="310">
        <v>0.25397320000000001</v>
      </c>
    </row>
    <row r="296" spans="1:63" x14ac:dyDescent="0.25">
      <c r="A296" s="306">
        <v>337215</v>
      </c>
      <c r="B296" s="310" t="s">
        <v>269</v>
      </c>
      <c r="C296" s="310">
        <v>0.2858463</v>
      </c>
      <c r="D296" s="310">
        <v>0.28395569999999998</v>
      </c>
      <c r="E296" s="310">
        <v>0.2783254</v>
      </c>
      <c r="F296" s="310">
        <v>0.25647560000000003</v>
      </c>
      <c r="G296" s="310">
        <v>0.2846919</v>
      </c>
      <c r="H296" s="310">
        <v>0.28490749999999998</v>
      </c>
      <c r="I296" s="310">
        <v>0.28226069999999998</v>
      </c>
      <c r="J296" s="310">
        <v>0.26488709999999999</v>
      </c>
      <c r="K296" s="310">
        <v>0</v>
      </c>
      <c r="L296" s="310">
        <v>0</v>
      </c>
      <c r="M296" s="310">
        <v>0.28389500000000001</v>
      </c>
      <c r="N296" s="310">
        <v>0.27870159999999999</v>
      </c>
      <c r="O296" s="310">
        <v>0.2858386</v>
      </c>
      <c r="P296" s="310">
        <v>0.2644705</v>
      </c>
      <c r="Q296" s="310">
        <v>0.26917740000000001</v>
      </c>
      <c r="R296" s="310">
        <v>0.27808959999999999</v>
      </c>
      <c r="S296" s="310">
        <v>0.27268759999999997</v>
      </c>
      <c r="T296" s="310">
        <v>0.2572699</v>
      </c>
      <c r="U296" s="310">
        <v>0.27418350000000002</v>
      </c>
      <c r="V296" s="310">
        <v>0.27158159999999998</v>
      </c>
      <c r="W296" s="310">
        <v>0.26562809999999998</v>
      </c>
      <c r="X296" s="310">
        <v>0.2628335</v>
      </c>
      <c r="Y296" s="310">
        <v>0.27395930000000002</v>
      </c>
      <c r="Z296" s="310">
        <v>0.28167930000000002</v>
      </c>
      <c r="AA296" s="310">
        <v>0.28145740000000002</v>
      </c>
      <c r="AB296" s="310">
        <v>0.27078679999999999</v>
      </c>
      <c r="AC296" s="310">
        <v>0.28137030000000002</v>
      </c>
      <c r="AD296" s="310">
        <v>0.28580260000000002</v>
      </c>
      <c r="AE296" s="310">
        <v>0.28219820000000001</v>
      </c>
      <c r="AF296" s="310">
        <v>0.26441049999999999</v>
      </c>
      <c r="AG296" s="310">
        <v>0.24628800000000001</v>
      </c>
      <c r="AH296" s="310">
        <v>0.2491738</v>
      </c>
      <c r="AI296" s="310">
        <v>0.25882349999999998</v>
      </c>
      <c r="AJ296" s="310">
        <v>0.27205180000000001</v>
      </c>
      <c r="AK296" s="310">
        <v>0.28060659999999998</v>
      </c>
      <c r="AL296" s="310">
        <v>0.26724690000000001</v>
      </c>
      <c r="AM296" s="310">
        <v>0.27006829999999998</v>
      </c>
      <c r="AN296" s="310">
        <v>0.2753794</v>
      </c>
      <c r="AO296" s="310">
        <v>0.2720669</v>
      </c>
      <c r="AP296" s="310">
        <v>0.27790199999999998</v>
      </c>
      <c r="AQ296" s="310">
        <v>0.26217360000000001</v>
      </c>
      <c r="AR296" s="310">
        <v>0.27772000000000002</v>
      </c>
      <c r="AS296" s="310">
        <v>0.28009709999999999</v>
      </c>
      <c r="AT296" s="310">
        <v>0.27276650000000002</v>
      </c>
      <c r="AU296" s="310">
        <v>0.28393279999999999</v>
      </c>
      <c r="AV296" s="310">
        <v>0.28096539999999998</v>
      </c>
      <c r="AW296" s="310">
        <v>0.2744934</v>
      </c>
      <c r="AX296" s="310">
        <v>0.2350507</v>
      </c>
      <c r="AY296" s="310">
        <v>0.27887079999999997</v>
      </c>
      <c r="AZ296" s="310">
        <v>0.27989989999999998</v>
      </c>
      <c r="BA296" s="310">
        <v>0.26079210000000003</v>
      </c>
      <c r="BB296" s="310">
        <v>0.28583130000000001</v>
      </c>
      <c r="BC296" s="310">
        <v>0.2801515</v>
      </c>
      <c r="BD296" s="310">
        <v>0.28210750000000001</v>
      </c>
      <c r="BE296" s="310">
        <v>0.28283399999999997</v>
      </c>
      <c r="BF296" s="310">
        <v>0.27869699999999997</v>
      </c>
      <c r="BG296" s="310">
        <v>0.28371730000000001</v>
      </c>
      <c r="BH296" s="310">
        <v>0.28167609999999998</v>
      </c>
      <c r="BI296" s="310">
        <v>0.2816284</v>
      </c>
      <c r="BJ296" s="310">
        <v>0.28356530000000002</v>
      </c>
      <c r="BK296" s="310">
        <v>0.284858</v>
      </c>
    </row>
    <row r="297" spans="1:63" x14ac:dyDescent="0.25">
      <c r="A297" s="306" t="s">
        <v>746</v>
      </c>
      <c r="B297" s="310" t="s">
        <v>267</v>
      </c>
      <c r="C297" s="310">
        <v>0.2126189</v>
      </c>
      <c r="D297" s="310">
        <v>0</v>
      </c>
      <c r="E297" s="310">
        <v>0</v>
      </c>
      <c r="F297" s="310">
        <v>0.19076899999999999</v>
      </c>
      <c r="G297" s="310">
        <v>0.21177080000000001</v>
      </c>
      <c r="H297" s="310">
        <v>0.2119539</v>
      </c>
      <c r="I297" s="310">
        <v>0</v>
      </c>
      <c r="J297" s="310">
        <v>0.19708919999999999</v>
      </c>
      <c r="K297" s="310">
        <v>0</v>
      </c>
      <c r="L297" s="310">
        <v>0</v>
      </c>
      <c r="M297" s="310">
        <v>0.2112385</v>
      </c>
      <c r="N297" s="310">
        <v>0.20734520000000001</v>
      </c>
      <c r="O297" s="310">
        <v>0.21263960000000001</v>
      </c>
      <c r="P297" s="310">
        <v>0.19670860000000001</v>
      </c>
      <c r="Q297" s="310">
        <v>0.2002332</v>
      </c>
      <c r="R297" s="310">
        <v>0.20686669999999999</v>
      </c>
      <c r="S297" s="310">
        <v>0.20283699999999999</v>
      </c>
      <c r="T297" s="310">
        <v>0.19139339999999999</v>
      </c>
      <c r="U297" s="310">
        <v>0</v>
      </c>
      <c r="V297" s="310">
        <v>0.20203570000000001</v>
      </c>
      <c r="W297" s="310">
        <v>0.19763790000000001</v>
      </c>
      <c r="X297" s="310">
        <v>0.19553770000000001</v>
      </c>
      <c r="Y297" s="310">
        <v>0.20384330000000001</v>
      </c>
      <c r="Z297" s="310">
        <v>0.20954990000000001</v>
      </c>
      <c r="AA297" s="310">
        <v>0.20937</v>
      </c>
      <c r="AB297" s="310">
        <v>0.20145879999999999</v>
      </c>
      <c r="AC297" s="310">
        <v>0</v>
      </c>
      <c r="AD297" s="310">
        <v>0.21262410000000001</v>
      </c>
      <c r="AE297" s="310">
        <v>0.2099577</v>
      </c>
      <c r="AF297" s="310">
        <v>0</v>
      </c>
      <c r="AG297" s="310">
        <v>0.1831991</v>
      </c>
      <c r="AH297" s="310">
        <v>0</v>
      </c>
      <c r="AI297" s="310">
        <v>0.192555</v>
      </c>
      <c r="AJ297" s="310">
        <v>0.20239599999999999</v>
      </c>
      <c r="AK297" s="310">
        <v>0.20876649999999999</v>
      </c>
      <c r="AL297" s="310">
        <v>0.19876849999999999</v>
      </c>
      <c r="AM297" s="310">
        <v>0.20090369999999999</v>
      </c>
      <c r="AN297" s="310">
        <v>0.20483609999999999</v>
      </c>
      <c r="AO297" s="310">
        <v>0.2024096</v>
      </c>
      <c r="AP297" s="310">
        <v>0.206708</v>
      </c>
      <c r="AQ297" s="310">
        <v>0</v>
      </c>
      <c r="AR297" s="310">
        <v>0.2066096</v>
      </c>
      <c r="AS297" s="310">
        <v>0</v>
      </c>
      <c r="AT297" s="310">
        <v>0.20295730000000001</v>
      </c>
      <c r="AU297" s="310">
        <v>0.2111941</v>
      </c>
      <c r="AV297" s="310">
        <v>0.20902280000000001</v>
      </c>
      <c r="AW297" s="310">
        <v>0.2042496</v>
      </c>
      <c r="AX297" s="310">
        <v>0</v>
      </c>
      <c r="AY297" s="310">
        <v>0.20747660000000001</v>
      </c>
      <c r="AZ297" s="310">
        <v>0.20820069999999999</v>
      </c>
      <c r="BA297" s="310">
        <v>0</v>
      </c>
      <c r="BB297" s="310">
        <v>0.21262300000000001</v>
      </c>
      <c r="BC297" s="310">
        <v>0.2084522</v>
      </c>
      <c r="BD297" s="310">
        <v>0.20986189999999999</v>
      </c>
      <c r="BE297" s="310">
        <v>0.21042710000000001</v>
      </c>
      <c r="BF297" s="310">
        <v>0.20735129999999999</v>
      </c>
      <c r="BG297" s="310">
        <v>0.2110833</v>
      </c>
      <c r="BH297" s="310">
        <v>0.2095159</v>
      </c>
      <c r="BI297" s="310">
        <v>0.20950730000000001</v>
      </c>
      <c r="BJ297" s="310">
        <v>0.21094789999999999</v>
      </c>
      <c r="BK297" s="310">
        <v>0.21193409999999999</v>
      </c>
    </row>
    <row r="298" spans="1:63" x14ac:dyDescent="0.25">
      <c r="A298" s="306">
        <v>337910</v>
      </c>
      <c r="B298" s="310" t="s">
        <v>270</v>
      </c>
      <c r="C298" s="310">
        <v>0.16433700000000001</v>
      </c>
      <c r="D298" s="310">
        <v>0</v>
      </c>
      <c r="E298" s="310">
        <v>0.15998100000000001</v>
      </c>
      <c r="F298" s="310">
        <v>0.14745469999999999</v>
      </c>
      <c r="G298" s="310">
        <v>0.1636801</v>
      </c>
      <c r="H298" s="310">
        <v>0.1637835</v>
      </c>
      <c r="I298" s="310">
        <v>0.16224949999999999</v>
      </c>
      <c r="J298" s="310">
        <v>0.15227199999999999</v>
      </c>
      <c r="K298" s="310">
        <v>0</v>
      </c>
      <c r="L298" s="310">
        <v>0</v>
      </c>
      <c r="M298" s="310">
        <v>0.1632004</v>
      </c>
      <c r="N298" s="310">
        <v>0.1602452</v>
      </c>
      <c r="O298" s="310">
        <v>0.16433220000000001</v>
      </c>
      <c r="P298" s="310">
        <v>0.1520272</v>
      </c>
      <c r="Q298" s="310">
        <v>0.15476419999999999</v>
      </c>
      <c r="R298" s="310">
        <v>0.15987270000000001</v>
      </c>
      <c r="S298" s="310">
        <v>0.1567614</v>
      </c>
      <c r="T298" s="310">
        <v>0.14789849999999999</v>
      </c>
      <c r="U298" s="310">
        <v>0.15760260000000001</v>
      </c>
      <c r="V298" s="310">
        <v>0.1561438</v>
      </c>
      <c r="W298" s="310">
        <v>0.15268419999999999</v>
      </c>
      <c r="X298" s="310">
        <v>0.1510753</v>
      </c>
      <c r="Y298" s="310">
        <v>0.15749050000000001</v>
      </c>
      <c r="Z298" s="310">
        <v>0.16193959999999999</v>
      </c>
      <c r="AA298" s="310">
        <v>0.16178960000000001</v>
      </c>
      <c r="AB298" s="310">
        <v>0.15567449999999999</v>
      </c>
      <c r="AC298" s="310">
        <v>0.16174140000000001</v>
      </c>
      <c r="AD298" s="310">
        <v>0.1643444</v>
      </c>
      <c r="AE298" s="310">
        <v>0.16223779999999999</v>
      </c>
      <c r="AF298" s="310">
        <v>0.1520242</v>
      </c>
      <c r="AG298" s="310">
        <v>0.1415756</v>
      </c>
      <c r="AH298" s="310">
        <v>0.14326910000000001</v>
      </c>
      <c r="AI298" s="310">
        <v>0.1487897</v>
      </c>
      <c r="AJ298" s="310">
        <v>0.15644189999999999</v>
      </c>
      <c r="AK298" s="310">
        <v>0.1613376</v>
      </c>
      <c r="AL298" s="310">
        <v>0.15364900000000001</v>
      </c>
      <c r="AM298" s="310">
        <v>0.1552463</v>
      </c>
      <c r="AN298" s="310">
        <v>0.15831899999999999</v>
      </c>
      <c r="AO298" s="310">
        <v>0.15643319999999999</v>
      </c>
      <c r="AP298" s="310">
        <v>0.1597305</v>
      </c>
      <c r="AQ298" s="310">
        <v>0</v>
      </c>
      <c r="AR298" s="310">
        <v>0.15966420000000001</v>
      </c>
      <c r="AS298" s="310">
        <v>0</v>
      </c>
      <c r="AT298" s="310">
        <v>0.1568232</v>
      </c>
      <c r="AU298" s="310">
        <v>0.16322539999999999</v>
      </c>
      <c r="AV298" s="310">
        <v>0.16151989999999999</v>
      </c>
      <c r="AW298" s="310">
        <v>0.15783539999999999</v>
      </c>
      <c r="AX298" s="310">
        <v>0</v>
      </c>
      <c r="AY298" s="310">
        <v>0.16031619999999999</v>
      </c>
      <c r="AZ298" s="310">
        <v>0.16089519999999999</v>
      </c>
      <c r="BA298" s="310">
        <v>0.14991270000000001</v>
      </c>
      <c r="BB298" s="310">
        <v>0</v>
      </c>
      <c r="BC298" s="310">
        <v>0.16107160000000001</v>
      </c>
      <c r="BD298" s="310">
        <v>0.16219420000000001</v>
      </c>
      <c r="BE298" s="310">
        <v>0.1625817</v>
      </c>
      <c r="BF298" s="310">
        <v>0.1602111</v>
      </c>
      <c r="BG298" s="310">
        <v>0.16308980000000001</v>
      </c>
      <c r="BH298" s="310">
        <v>0.16190589999999999</v>
      </c>
      <c r="BI298" s="310">
        <v>0.16188739999999999</v>
      </c>
      <c r="BJ298" s="310">
        <v>0.1630016</v>
      </c>
      <c r="BK298" s="310">
        <v>0.163769</v>
      </c>
    </row>
    <row r="299" spans="1:63" x14ac:dyDescent="0.25">
      <c r="A299" s="306">
        <v>337920</v>
      </c>
      <c r="B299" s="310" t="s">
        <v>271</v>
      </c>
      <c r="C299" s="310">
        <v>0.2599419</v>
      </c>
      <c r="D299" s="310">
        <v>0.25820900000000002</v>
      </c>
      <c r="E299" s="310">
        <v>0.253079</v>
      </c>
      <c r="F299" s="310">
        <v>0</v>
      </c>
      <c r="G299" s="310">
        <v>0.2589262</v>
      </c>
      <c r="H299" s="310">
        <v>0.25910250000000001</v>
      </c>
      <c r="I299" s="310">
        <v>0.25666470000000002</v>
      </c>
      <c r="J299" s="310">
        <v>0.24091580000000001</v>
      </c>
      <c r="K299" s="310">
        <v>0</v>
      </c>
      <c r="L299" s="310">
        <v>0.20140130000000001</v>
      </c>
      <c r="M299" s="310">
        <v>0.2582045</v>
      </c>
      <c r="N299" s="310">
        <v>0.25350050000000002</v>
      </c>
      <c r="O299" s="310">
        <v>0.25995770000000001</v>
      </c>
      <c r="P299" s="310">
        <v>0.24047650000000001</v>
      </c>
      <c r="Q299" s="310">
        <v>0</v>
      </c>
      <c r="R299" s="310">
        <v>0.25295250000000002</v>
      </c>
      <c r="S299" s="310">
        <v>0.2479567</v>
      </c>
      <c r="T299" s="310">
        <v>0.23399590000000001</v>
      </c>
      <c r="U299" s="310">
        <v>0.2493678</v>
      </c>
      <c r="V299" s="310">
        <v>0.2469876</v>
      </c>
      <c r="W299" s="310">
        <v>0.24159230000000001</v>
      </c>
      <c r="X299" s="310">
        <v>0.23900009999999999</v>
      </c>
      <c r="Y299" s="310">
        <v>0</v>
      </c>
      <c r="Z299" s="310">
        <v>0.25618210000000002</v>
      </c>
      <c r="AA299" s="310">
        <v>0.25595560000000001</v>
      </c>
      <c r="AB299" s="310">
        <v>0.24631539999999999</v>
      </c>
      <c r="AC299" s="310">
        <v>0.25593630000000001</v>
      </c>
      <c r="AD299" s="310">
        <v>0</v>
      </c>
      <c r="AE299" s="310">
        <v>0.2566387</v>
      </c>
      <c r="AF299" s="310">
        <v>0.2405033</v>
      </c>
      <c r="AG299" s="310">
        <v>0.22399359999999999</v>
      </c>
      <c r="AH299" s="310">
        <v>0.2266309</v>
      </c>
      <c r="AI299" s="310">
        <v>0.2353749</v>
      </c>
      <c r="AJ299" s="310">
        <v>0.2474798</v>
      </c>
      <c r="AK299" s="310">
        <v>0.25518629999999998</v>
      </c>
      <c r="AL299" s="310">
        <v>0.2430031</v>
      </c>
      <c r="AM299" s="310">
        <v>0.24563840000000001</v>
      </c>
      <c r="AN299" s="310">
        <v>0.25043290000000001</v>
      </c>
      <c r="AO299" s="310">
        <v>0.24746170000000001</v>
      </c>
      <c r="AP299" s="310">
        <v>0.2527239</v>
      </c>
      <c r="AQ299" s="310">
        <v>0.23840600000000001</v>
      </c>
      <c r="AR299" s="310">
        <v>0.25252289999999999</v>
      </c>
      <c r="AS299" s="310">
        <v>0.25478319999999999</v>
      </c>
      <c r="AT299" s="310">
        <v>0.248089</v>
      </c>
      <c r="AU299" s="310">
        <v>0.2582005</v>
      </c>
      <c r="AV299" s="310">
        <v>0.25553740000000003</v>
      </c>
      <c r="AW299" s="310">
        <v>0.2496794</v>
      </c>
      <c r="AX299" s="310">
        <v>0.2137676</v>
      </c>
      <c r="AY299" s="310">
        <v>0.25364170000000003</v>
      </c>
      <c r="AZ299" s="310">
        <v>0.2545269</v>
      </c>
      <c r="BA299" s="310">
        <v>0</v>
      </c>
      <c r="BB299" s="310">
        <v>0</v>
      </c>
      <c r="BC299" s="310">
        <v>0.25480360000000002</v>
      </c>
      <c r="BD299" s="310">
        <v>0.25657269999999999</v>
      </c>
      <c r="BE299" s="310">
        <v>0.25719419999999998</v>
      </c>
      <c r="BF299" s="310">
        <v>0.25349709999999998</v>
      </c>
      <c r="BG299" s="310">
        <v>0.2580054</v>
      </c>
      <c r="BH299" s="310">
        <v>0.25613979999999997</v>
      </c>
      <c r="BI299" s="310">
        <v>0.25616349999999999</v>
      </c>
      <c r="BJ299" s="310">
        <v>0.25790829999999998</v>
      </c>
      <c r="BK299" s="310">
        <v>0.25907829999999998</v>
      </c>
    </row>
    <row r="300" spans="1:63" x14ac:dyDescent="0.25">
      <c r="A300" s="306">
        <v>339112</v>
      </c>
      <c r="B300" s="310" t="s">
        <v>747</v>
      </c>
      <c r="C300" s="310">
        <v>0.31205460000000002</v>
      </c>
      <c r="D300" s="310">
        <v>0.27202029999999999</v>
      </c>
      <c r="E300" s="310">
        <v>0.3011933</v>
      </c>
      <c r="F300" s="310">
        <v>0.2938538</v>
      </c>
      <c r="G300" s="310">
        <v>0.30783100000000002</v>
      </c>
      <c r="H300" s="310">
        <v>0.3090946</v>
      </c>
      <c r="I300" s="310">
        <v>0.30830730000000001</v>
      </c>
      <c r="J300" s="310">
        <v>0.28470800000000002</v>
      </c>
      <c r="K300" s="310">
        <v>0</v>
      </c>
      <c r="L300" s="310">
        <v>0</v>
      </c>
      <c r="M300" s="310">
        <v>0.3085406</v>
      </c>
      <c r="N300" s="310">
        <v>0.29936439999999997</v>
      </c>
      <c r="O300" s="310">
        <v>0</v>
      </c>
      <c r="P300" s="310">
        <v>0.29183619999999999</v>
      </c>
      <c r="Q300" s="310">
        <v>0.2969986</v>
      </c>
      <c r="R300" s="310">
        <v>0.29871890000000001</v>
      </c>
      <c r="S300" s="310">
        <v>0.2974986</v>
      </c>
      <c r="T300" s="310">
        <v>0.2755514</v>
      </c>
      <c r="U300" s="310">
        <v>0.29016940000000002</v>
      </c>
      <c r="V300" s="310">
        <v>0.30568630000000002</v>
      </c>
      <c r="W300" s="310">
        <v>0.28079369999999998</v>
      </c>
      <c r="X300" s="310">
        <v>0.2702484</v>
      </c>
      <c r="Y300" s="310">
        <v>0.30076599999999998</v>
      </c>
      <c r="Z300" s="310">
        <v>0.30680479999999999</v>
      </c>
      <c r="AA300" s="310">
        <v>0.3018689</v>
      </c>
      <c r="AB300" s="310">
        <v>0.2875569</v>
      </c>
      <c r="AC300" s="310">
        <v>0.29094320000000001</v>
      </c>
      <c r="AD300" s="310">
        <v>0.30829040000000002</v>
      </c>
      <c r="AE300" s="310">
        <v>0.29893340000000002</v>
      </c>
      <c r="AF300" s="310">
        <v>0.27506320000000001</v>
      </c>
      <c r="AG300" s="310">
        <v>0.2960894</v>
      </c>
      <c r="AH300" s="310">
        <v>0.27147670000000002</v>
      </c>
      <c r="AI300" s="310">
        <v>0.27451490000000001</v>
      </c>
      <c r="AJ300" s="310">
        <v>0</v>
      </c>
      <c r="AK300" s="310">
        <v>0.30033260000000001</v>
      </c>
      <c r="AL300" s="310">
        <v>0.28796699999999997</v>
      </c>
      <c r="AM300" s="310">
        <v>0.29879159999999999</v>
      </c>
      <c r="AN300" s="310">
        <v>0.3064479</v>
      </c>
      <c r="AO300" s="310">
        <v>0.298238</v>
      </c>
      <c r="AP300" s="310">
        <v>0.29652299999999998</v>
      </c>
      <c r="AQ300" s="310">
        <v>0.28114250000000002</v>
      </c>
      <c r="AR300" s="310">
        <v>0.30025449999999998</v>
      </c>
      <c r="AS300" s="310">
        <v>0.30345569999999999</v>
      </c>
      <c r="AT300" s="310">
        <v>0.29436620000000002</v>
      </c>
      <c r="AU300" s="310">
        <v>0.3072763</v>
      </c>
      <c r="AV300" s="310">
        <v>0.30860189999999998</v>
      </c>
      <c r="AW300" s="310">
        <v>0.29162719999999998</v>
      </c>
      <c r="AX300" s="310">
        <v>0.28879080000000001</v>
      </c>
      <c r="AY300" s="310">
        <v>0.3061989</v>
      </c>
      <c r="AZ300" s="310">
        <v>0.29996440000000002</v>
      </c>
      <c r="BA300" s="310">
        <v>0</v>
      </c>
      <c r="BB300" s="310">
        <v>0</v>
      </c>
      <c r="BC300" s="310">
        <v>0.30671389999999998</v>
      </c>
      <c r="BD300" s="310">
        <v>0.3057434</v>
      </c>
      <c r="BE300" s="310">
        <v>0.30709789999999998</v>
      </c>
      <c r="BF300" s="310">
        <v>0.30225790000000002</v>
      </c>
      <c r="BG300" s="310">
        <v>0.30607519999999999</v>
      </c>
      <c r="BH300" s="310">
        <v>0.30251450000000002</v>
      </c>
      <c r="BI300" s="310">
        <v>0.30798510000000001</v>
      </c>
      <c r="BJ300" s="310">
        <v>0.308031</v>
      </c>
      <c r="BK300" s="310">
        <v>0.30952540000000001</v>
      </c>
    </row>
    <row r="301" spans="1:63" x14ac:dyDescent="0.25">
      <c r="A301" s="306">
        <v>339114</v>
      </c>
      <c r="B301" s="310" t="s">
        <v>272</v>
      </c>
      <c r="C301" s="310">
        <v>0.32243080000000002</v>
      </c>
      <c r="D301" s="310">
        <v>0</v>
      </c>
      <c r="E301" s="310">
        <v>0.31120540000000002</v>
      </c>
      <c r="F301" s="310">
        <v>0.30362470000000003</v>
      </c>
      <c r="G301" s="310">
        <v>0.31807760000000002</v>
      </c>
      <c r="H301" s="310">
        <v>0.3193433</v>
      </c>
      <c r="I301" s="310">
        <v>0.31856610000000002</v>
      </c>
      <c r="J301" s="310">
        <v>0.29410940000000002</v>
      </c>
      <c r="K301" s="310">
        <v>0</v>
      </c>
      <c r="L301" s="310">
        <v>0.24413070000000001</v>
      </c>
      <c r="M301" s="310">
        <v>0.31878139999999999</v>
      </c>
      <c r="N301" s="310">
        <v>0.30935499999999999</v>
      </c>
      <c r="O301" s="310">
        <v>0</v>
      </c>
      <c r="P301" s="310">
        <v>0</v>
      </c>
      <c r="Q301" s="310">
        <v>0.30687120000000001</v>
      </c>
      <c r="R301" s="310">
        <v>0.30862000000000001</v>
      </c>
      <c r="S301" s="310">
        <v>0.30734339999999999</v>
      </c>
      <c r="T301" s="310">
        <v>0.2847344</v>
      </c>
      <c r="U301" s="310">
        <v>0.29978369999999999</v>
      </c>
      <c r="V301" s="310">
        <v>0</v>
      </c>
      <c r="W301" s="310">
        <v>0.2901437</v>
      </c>
      <c r="X301" s="310">
        <v>0.2791709</v>
      </c>
      <c r="Y301" s="310">
        <v>0</v>
      </c>
      <c r="Z301" s="310">
        <v>0.31698009999999999</v>
      </c>
      <c r="AA301" s="310">
        <v>0.31190410000000002</v>
      </c>
      <c r="AB301" s="310">
        <v>0.29711510000000002</v>
      </c>
      <c r="AC301" s="310">
        <v>0.30051810000000001</v>
      </c>
      <c r="AD301" s="310">
        <v>0.31852219999999998</v>
      </c>
      <c r="AE301" s="310">
        <v>0.30892910000000001</v>
      </c>
      <c r="AF301" s="310">
        <v>0.28413129999999998</v>
      </c>
      <c r="AG301" s="310">
        <v>0</v>
      </c>
      <c r="AH301" s="310">
        <v>0</v>
      </c>
      <c r="AI301" s="310">
        <v>0.28359319999999999</v>
      </c>
      <c r="AJ301" s="310">
        <v>0.30917719999999999</v>
      </c>
      <c r="AK301" s="310">
        <v>0.3103091</v>
      </c>
      <c r="AL301" s="310">
        <v>0.2975255</v>
      </c>
      <c r="AM301" s="310">
        <v>0.30869010000000002</v>
      </c>
      <c r="AN301" s="310">
        <v>0.31668049999999998</v>
      </c>
      <c r="AO301" s="310">
        <v>0.30810280000000001</v>
      </c>
      <c r="AP301" s="310">
        <v>0.3063515</v>
      </c>
      <c r="AQ301" s="310">
        <v>0.29050029999999999</v>
      </c>
      <c r="AR301" s="310">
        <v>0.31021359999999998</v>
      </c>
      <c r="AS301" s="310">
        <v>0.3135503</v>
      </c>
      <c r="AT301" s="310">
        <v>0.30413230000000002</v>
      </c>
      <c r="AU301" s="310">
        <v>0.31752900000000001</v>
      </c>
      <c r="AV301" s="310">
        <v>0.31885239999999998</v>
      </c>
      <c r="AW301" s="310">
        <v>0</v>
      </c>
      <c r="AX301" s="310">
        <v>0</v>
      </c>
      <c r="AY301" s="310">
        <v>0.31635990000000003</v>
      </c>
      <c r="AZ301" s="310">
        <v>0.30994280000000002</v>
      </c>
      <c r="BA301" s="310">
        <v>0</v>
      </c>
      <c r="BB301" s="310">
        <v>0</v>
      </c>
      <c r="BC301" s="310">
        <v>0.31695210000000001</v>
      </c>
      <c r="BD301" s="310">
        <v>0.31589820000000002</v>
      </c>
      <c r="BE301" s="310">
        <v>0.31730580000000003</v>
      </c>
      <c r="BF301" s="310">
        <v>0.31228509999999998</v>
      </c>
      <c r="BG301" s="310">
        <v>0.316195</v>
      </c>
      <c r="BH301" s="310">
        <v>0.31256109999999998</v>
      </c>
      <c r="BI301" s="310">
        <v>0.31824760000000002</v>
      </c>
      <c r="BJ301" s="310">
        <v>0.31822909999999999</v>
      </c>
      <c r="BK301" s="310">
        <v>0.31978869999999998</v>
      </c>
    </row>
    <row r="302" spans="1:63" x14ac:dyDescent="0.25">
      <c r="A302" s="306">
        <v>339115</v>
      </c>
      <c r="B302" s="310" t="s">
        <v>273</v>
      </c>
      <c r="C302" s="310">
        <v>0.2938442</v>
      </c>
      <c r="D302" s="310">
        <v>0</v>
      </c>
      <c r="E302" s="310">
        <v>0.2836535</v>
      </c>
      <c r="F302" s="310">
        <v>0.2767095</v>
      </c>
      <c r="G302" s="310">
        <v>0.289854</v>
      </c>
      <c r="H302" s="310">
        <v>0.29102739999999999</v>
      </c>
      <c r="I302" s="310">
        <v>0.29034070000000001</v>
      </c>
      <c r="J302" s="310">
        <v>0.2680633</v>
      </c>
      <c r="K302" s="310">
        <v>0</v>
      </c>
      <c r="L302" s="310">
        <v>0</v>
      </c>
      <c r="M302" s="310">
        <v>0.29056599999999999</v>
      </c>
      <c r="N302" s="310">
        <v>0.2818871</v>
      </c>
      <c r="O302" s="310">
        <v>0.2868096</v>
      </c>
      <c r="P302" s="310">
        <v>0.27484769999999997</v>
      </c>
      <c r="Q302" s="310">
        <v>0.27964729999999999</v>
      </c>
      <c r="R302" s="310">
        <v>0.28127049999999998</v>
      </c>
      <c r="S302" s="310">
        <v>0.28013139999999997</v>
      </c>
      <c r="T302" s="310">
        <v>0.25946540000000001</v>
      </c>
      <c r="U302" s="310">
        <v>0.27318330000000002</v>
      </c>
      <c r="V302" s="310">
        <v>0.28788469999999999</v>
      </c>
      <c r="W302" s="310">
        <v>0.26442919999999998</v>
      </c>
      <c r="X302" s="310">
        <v>0.25442039999999999</v>
      </c>
      <c r="Y302" s="310">
        <v>0.28317369999999997</v>
      </c>
      <c r="Z302" s="310">
        <v>0.28891529999999999</v>
      </c>
      <c r="AA302" s="310">
        <v>0.28426469999999998</v>
      </c>
      <c r="AB302" s="310">
        <v>0.27079959999999997</v>
      </c>
      <c r="AC302" s="310">
        <v>0.27395960000000003</v>
      </c>
      <c r="AD302" s="310">
        <v>0.29027350000000002</v>
      </c>
      <c r="AE302" s="310">
        <v>0.28154800000000002</v>
      </c>
      <c r="AF302" s="310">
        <v>0</v>
      </c>
      <c r="AG302" s="310">
        <v>0.27881410000000001</v>
      </c>
      <c r="AH302" s="310">
        <v>0.25565480000000002</v>
      </c>
      <c r="AI302" s="310">
        <v>0.25846459999999999</v>
      </c>
      <c r="AJ302" s="310">
        <v>0.28174300000000002</v>
      </c>
      <c r="AK302" s="310">
        <v>0.28283940000000002</v>
      </c>
      <c r="AL302" s="310">
        <v>0.27115590000000001</v>
      </c>
      <c r="AM302" s="310">
        <v>0.28139530000000001</v>
      </c>
      <c r="AN302" s="310">
        <v>0.28859430000000003</v>
      </c>
      <c r="AO302" s="310">
        <v>0.28081390000000001</v>
      </c>
      <c r="AP302" s="310">
        <v>0.27925719999999998</v>
      </c>
      <c r="AQ302" s="310">
        <v>0.2647622</v>
      </c>
      <c r="AR302" s="310">
        <v>0.28273559999999998</v>
      </c>
      <c r="AS302" s="310">
        <v>0.28576170000000001</v>
      </c>
      <c r="AT302" s="310">
        <v>0.27716259999999998</v>
      </c>
      <c r="AU302" s="310">
        <v>0.28935650000000002</v>
      </c>
      <c r="AV302" s="310">
        <v>0.29057149999999998</v>
      </c>
      <c r="AW302" s="310">
        <v>0.27457399999999998</v>
      </c>
      <c r="AX302" s="310">
        <v>0.27196039999999999</v>
      </c>
      <c r="AY302" s="310">
        <v>0.28837980000000002</v>
      </c>
      <c r="AZ302" s="310">
        <v>0.2825106</v>
      </c>
      <c r="BA302" s="310">
        <v>0.25345299999999998</v>
      </c>
      <c r="BB302" s="310">
        <v>0.28456550000000003</v>
      </c>
      <c r="BC302" s="310">
        <v>0.28882380000000002</v>
      </c>
      <c r="BD302" s="310">
        <v>0.28795290000000001</v>
      </c>
      <c r="BE302" s="310">
        <v>0.28917480000000001</v>
      </c>
      <c r="BF302" s="310">
        <v>0.28464519999999999</v>
      </c>
      <c r="BG302" s="310">
        <v>0.28819539999999999</v>
      </c>
      <c r="BH302" s="310">
        <v>0.2849025</v>
      </c>
      <c r="BI302" s="310">
        <v>0.29006979999999999</v>
      </c>
      <c r="BJ302" s="310">
        <v>0.29004639999999998</v>
      </c>
      <c r="BK302" s="310">
        <v>0.2914872</v>
      </c>
    </row>
    <row r="303" spans="1:63" x14ac:dyDescent="0.25">
      <c r="A303" s="306">
        <v>339116</v>
      </c>
      <c r="B303" s="310" t="s">
        <v>748</v>
      </c>
      <c r="C303" s="310">
        <v>0.55620760000000002</v>
      </c>
      <c r="D303" s="310">
        <v>0.4848017</v>
      </c>
      <c r="E303" s="310">
        <v>0.53680660000000002</v>
      </c>
      <c r="F303" s="310">
        <v>0.52372879999999999</v>
      </c>
      <c r="G303" s="310">
        <v>0.54863910000000005</v>
      </c>
      <c r="H303" s="310">
        <v>0.55084270000000002</v>
      </c>
      <c r="I303" s="310">
        <v>0.54947599999999996</v>
      </c>
      <c r="J303" s="310">
        <v>0.50736950000000003</v>
      </c>
      <c r="K303" s="310">
        <v>0.16552739999999999</v>
      </c>
      <c r="L303" s="310">
        <v>0.42110019999999998</v>
      </c>
      <c r="M303" s="310">
        <v>0.54993800000000004</v>
      </c>
      <c r="N303" s="310">
        <v>0.53355319999999995</v>
      </c>
      <c r="O303" s="310">
        <v>0.54291979999999995</v>
      </c>
      <c r="P303" s="310">
        <v>0.52017690000000005</v>
      </c>
      <c r="Q303" s="310">
        <v>0.52936490000000003</v>
      </c>
      <c r="R303" s="310">
        <v>0.5323561</v>
      </c>
      <c r="S303" s="310">
        <v>0.5301939</v>
      </c>
      <c r="T303" s="310">
        <v>0.49108239999999997</v>
      </c>
      <c r="U303" s="310">
        <v>0.5171384</v>
      </c>
      <c r="V303" s="310">
        <v>0.54487010000000002</v>
      </c>
      <c r="W303" s="310">
        <v>0.50047430000000004</v>
      </c>
      <c r="X303" s="310">
        <v>0.4815567</v>
      </c>
      <c r="Y303" s="310">
        <v>0.53598060000000003</v>
      </c>
      <c r="Z303" s="310">
        <v>0.54681709999999994</v>
      </c>
      <c r="AA303" s="310">
        <v>0.53805970000000003</v>
      </c>
      <c r="AB303" s="310">
        <v>0.51247430000000005</v>
      </c>
      <c r="AC303" s="310">
        <v>0.51850189999999996</v>
      </c>
      <c r="AD303" s="310">
        <v>0.54943010000000003</v>
      </c>
      <c r="AE303" s="310">
        <v>0.53282739999999995</v>
      </c>
      <c r="AF303" s="310">
        <v>0.49017670000000002</v>
      </c>
      <c r="AG303" s="310">
        <v>0.52764350000000004</v>
      </c>
      <c r="AH303" s="310">
        <v>0.48385460000000002</v>
      </c>
      <c r="AI303" s="310">
        <v>0.48924479999999998</v>
      </c>
      <c r="AJ303" s="310">
        <v>0.53330949999999999</v>
      </c>
      <c r="AK303" s="310">
        <v>0.53532170000000001</v>
      </c>
      <c r="AL303" s="310">
        <v>0.51322009999999996</v>
      </c>
      <c r="AM303" s="310">
        <v>0.53255989999999997</v>
      </c>
      <c r="AN303" s="310">
        <v>0.54624099999999998</v>
      </c>
      <c r="AO303" s="310">
        <v>0.53152860000000002</v>
      </c>
      <c r="AP303" s="310">
        <v>0.5284913</v>
      </c>
      <c r="AQ303" s="310">
        <v>0.5011449</v>
      </c>
      <c r="AR303" s="310">
        <v>0.53515729999999995</v>
      </c>
      <c r="AS303" s="310">
        <v>0.54081630000000003</v>
      </c>
      <c r="AT303" s="310">
        <v>0.52462830000000005</v>
      </c>
      <c r="AU303" s="310">
        <v>0.54773490000000002</v>
      </c>
      <c r="AV303" s="310">
        <v>0.55000789999999999</v>
      </c>
      <c r="AW303" s="310">
        <v>0.51971809999999996</v>
      </c>
      <c r="AX303" s="310">
        <v>0.5147891</v>
      </c>
      <c r="AY303" s="310">
        <v>0.54574020000000001</v>
      </c>
      <c r="AZ303" s="310">
        <v>0.53470689999999998</v>
      </c>
      <c r="BA303" s="310">
        <v>0.47974909999999998</v>
      </c>
      <c r="BB303" s="310">
        <v>0.53856789999999999</v>
      </c>
      <c r="BC303" s="310">
        <v>0.54669429999999997</v>
      </c>
      <c r="BD303" s="310">
        <v>0.544991</v>
      </c>
      <c r="BE303" s="310">
        <v>0.5473635</v>
      </c>
      <c r="BF303" s="310">
        <v>0.53870969999999996</v>
      </c>
      <c r="BG303" s="310">
        <v>0.54545460000000001</v>
      </c>
      <c r="BH303" s="310">
        <v>0.53917130000000002</v>
      </c>
      <c r="BI303" s="310">
        <v>0.54891939999999995</v>
      </c>
      <c r="BJ303" s="310">
        <v>0.54898469999999999</v>
      </c>
      <c r="BK303" s="310">
        <v>0.55163890000000004</v>
      </c>
    </row>
    <row r="304" spans="1:63" x14ac:dyDescent="0.25">
      <c r="A304" s="306" t="s">
        <v>749</v>
      </c>
      <c r="B304" s="310" t="s">
        <v>750</v>
      </c>
      <c r="C304" s="310">
        <v>0.290159</v>
      </c>
      <c r="D304" s="310">
        <v>0.25293529999999997</v>
      </c>
      <c r="E304" s="310">
        <v>0.28004479999999998</v>
      </c>
      <c r="F304" s="310">
        <v>0.27319850000000001</v>
      </c>
      <c r="G304" s="310">
        <v>0.28619990000000001</v>
      </c>
      <c r="H304" s="310">
        <v>0.28734579999999998</v>
      </c>
      <c r="I304" s="310">
        <v>0.28662850000000001</v>
      </c>
      <c r="J304" s="310">
        <v>0.2647157</v>
      </c>
      <c r="K304" s="310">
        <v>0</v>
      </c>
      <c r="L304" s="310">
        <v>0.2196931</v>
      </c>
      <c r="M304" s="310">
        <v>0.28686970000000001</v>
      </c>
      <c r="N304" s="310">
        <v>0.27833370000000002</v>
      </c>
      <c r="O304" s="310">
        <v>0.28318090000000001</v>
      </c>
      <c r="P304" s="310">
        <v>0.27135989999999999</v>
      </c>
      <c r="Q304" s="310">
        <v>0.27617239999999998</v>
      </c>
      <c r="R304" s="310">
        <v>0.27771180000000001</v>
      </c>
      <c r="S304" s="310">
        <v>0.27660449999999998</v>
      </c>
      <c r="T304" s="310">
        <v>0.25621139999999998</v>
      </c>
      <c r="U304" s="310">
        <v>0.26977099999999998</v>
      </c>
      <c r="V304" s="310">
        <v>0.28419339999999998</v>
      </c>
      <c r="W304" s="310">
        <v>0.26110329999999998</v>
      </c>
      <c r="X304" s="310">
        <v>0.25121460000000001</v>
      </c>
      <c r="Y304" s="310">
        <v>0.27962150000000002</v>
      </c>
      <c r="Z304" s="310">
        <v>0.28522039999999999</v>
      </c>
      <c r="AA304" s="310">
        <v>0.28066550000000001</v>
      </c>
      <c r="AB304" s="310">
        <v>0.26733630000000003</v>
      </c>
      <c r="AC304" s="310">
        <v>0.27046720000000002</v>
      </c>
      <c r="AD304" s="310">
        <v>0.28665570000000001</v>
      </c>
      <c r="AE304" s="310">
        <v>0.27798299999999998</v>
      </c>
      <c r="AF304" s="310">
        <v>0.25577159999999999</v>
      </c>
      <c r="AG304" s="310">
        <v>0.27525519999999998</v>
      </c>
      <c r="AH304" s="310">
        <v>0.25241350000000001</v>
      </c>
      <c r="AI304" s="310">
        <v>0.25523439999999997</v>
      </c>
      <c r="AJ304" s="310">
        <v>0.27818710000000002</v>
      </c>
      <c r="AK304" s="310">
        <v>0.2792345</v>
      </c>
      <c r="AL304" s="310">
        <v>0.26769520000000002</v>
      </c>
      <c r="AM304" s="310">
        <v>0.27784239999999999</v>
      </c>
      <c r="AN304" s="310">
        <v>0.28494019999999998</v>
      </c>
      <c r="AO304" s="310">
        <v>0.27725379999999999</v>
      </c>
      <c r="AP304" s="310">
        <v>0.27573209999999998</v>
      </c>
      <c r="AQ304" s="310">
        <v>0.26142290000000001</v>
      </c>
      <c r="AR304" s="310">
        <v>0.27913320000000003</v>
      </c>
      <c r="AS304" s="310">
        <v>0.2821265</v>
      </c>
      <c r="AT304" s="310">
        <v>0.27371020000000001</v>
      </c>
      <c r="AU304" s="310">
        <v>0.28574300000000002</v>
      </c>
      <c r="AV304" s="310">
        <v>0.28692040000000002</v>
      </c>
      <c r="AW304" s="310">
        <v>0.27110030000000002</v>
      </c>
      <c r="AX304" s="310">
        <v>0.26849859999999998</v>
      </c>
      <c r="AY304" s="310">
        <v>0.28466520000000001</v>
      </c>
      <c r="AZ304" s="310">
        <v>0.27889340000000001</v>
      </c>
      <c r="BA304" s="310">
        <v>0.25030029999999998</v>
      </c>
      <c r="BB304" s="310">
        <v>0.2809488</v>
      </c>
      <c r="BC304" s="310">
        <v>0.28517740000000003</v>
      </c>
      <c r="BD304" s="310">
        <v>0.28427400000000003</v>
      </c>
      <c r="BE304" s="310">
        <v>0.2855355</v>
      </c>
      <c r="BF304" s="310">
        <v>0.28101300000000001</v>
      </c>
      <c r="BG304" s="310">
        <v>0.28454859999999998</v>
      </c>
      <c r="BH304" s="310">
        <v>0.28125620000000001</v>
      </c>
      <c r="BI304" s="310">
        <v>0.28640389999999999</v>
      </c>
      <c r="BJ304" s="310">
        <v>0.28636650000000002</v>
      </c>
      <c r="BK304" s="310">
        <v>0.28775390000000001</v>
      </c>
    </row>
    <row r="305" spans="1:63" x14ac:dyDescent="0.25">
      <c r="A305" s="306">
        <v>339910</v>
      </c>
      <c r="B305" s="310" t="s">
        <v>274</v>
      </c>
      <c r="C305" s="310">
        <v>0.25653419999999999</v>
      </c>
      <c r="D305" s="310">
        <v>0.22363540000000001</v>
      </c>
      <c r="E305" s="310">
        <v>0.24760869999999999</v>
      </c>
      <c r="F305" s="310">
        <v>0.24159310000000001</v>
      </c>
      <c r="G305" s="310">
        <v>0.25306630000000002</v>
      </c>
      <c r="H305" s="310">
        <v>0.254081</v>
      </c>
      <c r="I305" s="310">
        <v>0.25343860000000001</v>
      </c>
      <c r="J305" s="310">
        <v>0.23404530000000001</v>
      </c>
      <c r="K305" s="310">
        <v>0</v>
      </c>
      <c r="L305" s="310">
        <v>0.1942557</v>
      </c>
      <c r="M305" s="310">
        <v>0.25363229999999998</v>
      </c>
      <c r="N305" s="310">
        <v>0.24607709999999999</v>
      </c>
      <c r="O305" s="310">
        <v>0.25038490000000002</v>
      </c>
      <c r="P305" s="310">
        <v>0.23995369999999999</v>
      </c>
      <c r="Q305" s="310">
        <v>0.2441509</v>
      </c>
      <c r="R305" s="310">
        <v>0.2455283</v>
      </c>
      <c r="S305" s="310">
        <v>0.24456230000000001</v>
      </c>
      <c r="T305" s="310">
        <v>0.2265422</v>
      </c>
      <c r="U305" s="310">
        <v>0.23850750000000001</v>
      </c>
      <c r="V305" s="310">
        <v>0.25127260000000001</v>
      </c>
      <c r="W305" s="310">
        <v>0.23084099999999999</v>
      </c>
      <c r="X305" s="310">
        <v>0.2221205</v>
      </c>
      <c r="Y305" s="310">
        <v>0.24722340000000001</v>
      </c>
      <c r="Z305" s="310">
        <v>0.2521794</v>
      </c>
      <c r="AA305" s="310">
        <v>0.2481535</v>
      </c>
      <c r="AB305" s="310">
        <v>0.23639089999999999</v>
      </c>
      <c r="AC305" s="310">
        <v>0.23914360000000001</v>
      </c>
      <c r="AD305" s="310">
        <v>0.2533917</v>
      </c>
      <c r="AE305" s="310">
        <v>0.24577860000000001</v>
      </c>
      <c r="AF305" s="310">
        <v>0.226077</v>
      </c>
      <c r="AG305" s="310">
        <v>0.2433871</v>
      </c>
      <c r="AH305" s="310">
        <v>0.2231465</v>
      </c>
      <c r="AI305" s="310">
        <v>0.22564380000000001</v>
      </c>
      <c r="AJ305" s="310">
        <v>0.24597849999999999</v>
      </c>
      <c r="AK305" s="310">
        <v>0.24693329999999999</v>
      </c>
      <c r="AL305" s="310">
        <v>0.23673549999999999</v>
      </c>
      <c r="AM305" s="310">
        <v>0.24559980000000001</v>
      </c>
      <c r="AN305" s="310">
        <v>0.25191370000000002</v>
      </c>
      <c r="AO305" s="310">
        <v>0.2451323</v>
      </c>
      <c r="AP305" s="310">
        <v>0.24377779999999999</v>
      </c>
      <c r="AQ305" s="310">
        <v>0.23112070000000001</v>
      </c>
      <c r="AR305" s="310">
        <v>0.24680589999999999</v>
      </c>
      <c r="AS305" s="310">
        <v>0.24942600000000001</v>
      </c>
      <c r="AT305" s="310">
        <v>0.2419868</v>
      </c>
      <c r="AU305" s="310">
        <v>0.25262230000000002</v>
      </c>
      <c r="AV305" s="310">
        <v>0.25366270000000002</v>
      </c>
      <c r="AW305" s="310">
        <v>0.23971410000000001</v>
      </c>
      <c r="AX305" s="310">
        <v>0.23745260000000001</v>
      </c>
      <c r="AY305" s="310">
        <v>0.25171329999999997</v>
      </c>
      <c r="AZ305" s="310">
        <v>0.2466264</v>
      </c>
      <c r="BA305" s="310">
        <v>0.22124489999999999</v>
      </c>
      <c r="BB305" s="310">
        <v>0.2484046</v>
      </c>
      <c r="BC305" s="310">
        <v>0.25212649999999998</v>
      </c>
      <c r="BD305" s="310">
        <v>0.25137530000000002</v>
      </c>
      <c r="BE305" s="310">
        <v>0.25246580000000002</v>
      </c>
      <c r="BF305" s="310">
        <v>0.24849750000000001</v>
      </c>
      <c r="BG305" s="310">
        <v>0.25160450000000001</v>
      </c>
      <c r="BH305" s="310">
        <v>0.2486486</v>
      </c>
      <c r="BI305" s="310">
        <v>0.25318360000000001</v>
      </c>
      <c r="BJ305" s="310">
        <v>0.25318099999999999</v>
      </c>
      <c r="BK305" s="310">
        <v>0.25443009999999999</v>
      </c>
    </row>
    <row r="306" spans="1:63" x14ac:dyDescent="0.25">
      <c r="A306" s="306">
        <v>339920</v>
      </c>
      <c r="B306" s="310" t="s">
        <v>275</v>
      </c>
      <c r="C306" s="310">
        <v>0.2611849</v>
      </c>
      <c r="D306" s="310">
        <v>0</v>
      </c>
      <c r="E306" s="310">
        <v>0.25205559999999999</v>
      </c>
      <c r="F306" s="310">
        <v>0.24594650000000001</v>
      </c>
      <c r="G306" s="310">
        <v>0.25762839999999998</v>
      </c>
      <c r="H306" s="310">
        <v>0.25867639999999997</v>
      </c>
      <c r="I306" s="310">
        <v>0.25800869999999998</v>
      </c>
      <c r="J306" s="310">
        <v>0.2382822</v>
      </c>
      <c r="K306" s="310">
        <v>0</v>
      </c>
      <c r="L306" s="310">
        <v>0.19774320000000001</v>
      </c>
      <c r="M306" s="310">
        <v>0.25825740000000003</v>
      </c>
      <c r="N306" s="310">
        <v>0.25056729999999999</v>
      </c>
      <c r="O306" s="310">
        <v>0.2549768</v>
      </c>
      <c r="P306" s="310">
        <v>0.2442665</v>
      </c>
      <c r="Q306" s="310">
        <v>0.2486216</v>
      </c>
      <c r="R306" s="310">
        <v>0.25</v>
      </c>
      <c r="S306" s="310">
        <v>0.2489411</v>
      </c>
      <c r="T306" s="310">
        <v>0.23064899999999999</v>
      </c>
      <c r="U306" s="310">
        <v>0.2428256</v>
      </c>
      <c r="V306" s="310">
        <v>0.25583660000000003</v>
      </c>
      <c r="W306" s="310">
        <v>0.23502980000000001</v>
      </c>
      <c r="X306" s="310">
        <v>0.2261755</v>
      </c>
      <c r="Y306" s="310">
        <v>0.25169829999999999</v>
      </c>
      <c r="Z306" s="310">
        <v>0.25679210000000002</v>
      </c>
      <c r="AA306" s="310">
        <v>0.25268429999999997</v>
      </c>
      <c r="AB306" s="310">
        <v>0.2406923</v>
      </c>
      <c r="AC306" s="310">
        <v>0.24349029999999999</v>
      </c>
      <c r="AD306" s="310">
        <v>0.25803350000000003</v>
      </c>
      <c r="AE306" s="310">
        <v>0.25020219999999999</v>
      </c>
      <c r="AF306" s="310">
        <v>0.2302226</v>
      </c>
      <c r="AG306" s="310">
        <v>0.24782509999999999</v>
      </c>
      <c r="AH306" s="310">
        <v>0.22722129999999999</v>
      </c>
      <c r="AI306" s="310">
        <v>0.2297411</v>
      </c>
      <c r="AJ306" s="310">
        <v>0.25040269999999998</v>
      </c>
      <c r="AK306" s="310">
        <v>0.2513765</v>
      </c>
      <c r="AL306" s="310">
        <v>0.24099319999999999</v>
      </c>
      <c r="AM306" s="310">
        <v>0.25009930000000002</v>
      </c>
      <c r="AN306" s="310">
        <v>0.25651289999999999</v>
      </c>
      <c r="AO306" s="310">
        <v>0.2495772</v>
      </c>
      <c r="AP306" s="310">
        <v>0.2481642</v>
      </c>
      <c r="AQ306" s="310">
        <v>0.2353556</v>
      </c>
      <c r="AR306" s="310">
        <v>0.25129820000000003</v>
      </c>
      <c r="AS306" s="310">
        <v>0</v>
      </c>
      <c r="AT306" s="310">
        <v>0.24637680000000001</v>
      </c>
      <c r="AU306" s="310">
        <v>0.257193</v>
      </c>
      <c r="AV306" s="310">
        <v>0.25826769999999999</v>
      </c>
      <c r="AW306" s="310">
        <v>0.24404319999999999</v>
      </c>
      <c r="AX306" s="310">
        <v>0.2417038</v>
      </c>
      <c r="AY306" s="310">
        <v>0.25630199999999997</v>
      </c>
      <c r="AZ306" s="310">
        <v>0.2511003</v>
      </c>
      <c r="BA306" s="310">
        <v>0.225297</v>
      </c>
      <c r="BB306" s="310">
        <v>0.25291520000000001</v>
      </c>
      <c r="BC306" s="310">
        <v>0.25672329999999999</v>
      </c>
      <c r="BD306" s="310">
        <v>0.25590420000000003</v>
      </c>
      <c r="BE306" s="310">
        <v>0.25704070000000001</v>
      </c>
      <c r="BF306" s="310">
        <v>0.2529536</v>
      </c>
      <c r="BG306" s="310">
        <v>0.25615009999999999</v>
      </c>
      <c r="BH306" s="310">
        <v>0.25317980000000001</v>
      </c>
      <c r="BI306" s="310">
        <v>0.2577837</v>
      </c>
      <c r="BJ306" s="310">
        <v>0.2578125</v>
      </c>
      <c r="BK306" s="310">
        <v>0.25905919999999999</v>
      </c>
    </row>
    <row r="307" spans="1:63" x14ac:dyDescent="0.25">
      <c r="A307" s="306">
        <v>339930</v>
      </c>
      <c r="B307" s="310" t="s">
        <v>276</v>
      </c>
      <c r="C307" s="310">
        <v>0.22759080000000001</v>
      </c>
      <c r="D307" s="310">
        <v>0.19842129999999999</v>
      </c>
      <c r="E307" s="310">
        <v>0</v>
      </c>
      <c r="F307" s="310">
        <v>0.21434230000000001</v>
      </c>
      <c r="G307" s="310">
        <v>0.22450329999999999</v>
      </c>
      <c r="H307" s="310">
        <v>0.2253936</v>
      </c>
      <c r="I307" s="310">
        <v>0.2248173</v>
      </c>
      <c r="J307" s="310">
        <v>0.20764279999999999</v>
      </c>
      <c r="K307" s="310">
        <v>0</v>
      </c>
      <c r="L307" s="310">
        <v>0.1723172</v>
      </c>
      <c r="M307" s="310">
        <v>0.22505130000000001</v>
      </c>
      <c r="N307" s="310">
        <v>0.21836949999999999</v>
      </c>
      <c r="O307" s="310">
        <v>0</v>
      </c>
      <c r="P307" s="310">
        <v>0.21287590000000001</v>
      </c>
      <c r="Q307" s="310">
        <v>0.21661920000000001</v>
      </c>
      <c r="R307" s="310">
        <v>0.21785099999999999</v>
      </c>
      <c r="S307" s="310">
        <v>0.2169722</v>
      </c>
      <c r="T307" s="310">
        <v>0.2009455</v>
      </c>
      <c r="U307" s="310">
        <v>0.2116325</v>
      </c>
      <c r="V307" s="310">
        <v>0.22295480000000001</v>
      </c>
      <c r="W307" s="310">
        <v>0.20479990000000001</v>
      </c>
      <c r="X307" s="310">
        <v>0.1970992</v>
      </c>
      <c r="Y307" s="310">
        <v>0.21937139999999999</v>
      </c>
      <c r="Z307" s="310">
        <v>0.22377920000000001</v>
      </c>
      <c r="AA307" s="310">
        <v>0.22013779999999999</v>
      </c>
      <c r="AB307" s="310">
        <v>0.20969679999999999</v>
      </c>
      <c r="AC307" s="310">
        <v>0.21219379999999999</v>
      </c>
      <c r="AD307" s="310">
        <v>0.2248262</v>
      </c>
      <c r="AE307" s="310">
        <v>0.21803320000000001</v>
      </c>
      <c r="AF307" s="310">
        <v>0</v>
      </c>
      <c r="AG307" s="310">
        <v>0.2159065</v>
      </c>
      <c r="AH307" s="310">
        <v>0.19796949999999999</v>
      </c>
      <c r="AI307" s="310">
        <v>0.2002429</v>
      </c>
      <c r="AJ307" s="310">
        <v>0.21821850000000001</v>
      </c>
      <c r="AK307" s="310">
        <v>0.21908939999999999</v>
      </c>
      <c r="AL307" s="310">
        <v>0.210037</v>
      </c>
      <c r="AM307" s="310">
        <v>0.21791460000000001</v>
      </c>
      <c r="AN307" s="310">
        <v>0.22355920000000001</v>
      </c>
      <c r="AO307" s="310">
        <v>0.21748629999999999</v>
      </c>
      <c r="AP307" s="310">
        <v>0.21628030000000001</v>
      </c>
      <c r="AQ307" s="310">
        <v>0.20509150000000001</v>
      </c>
      <c r="AR307" s="310">
        <v>0</v>
      </c>
      <c r="AS307" s="310">
        <v>0.22134139999999999</v>
      </c>
      <c r="AT307" s="310">
        <v>0.21470839999999999</v>
      </c>
      <c r="AU307" s="310">
        <v>0.2241534</v>
      </c>
      <c r="AV307" s="310">
        <v>0.2250769</v>
      </c>
      <c r="AW307" s="310">
        <v>0.2127088</v>
      </c>
      <c r="AX307" s="310">
        <v>0.21060200000000001</v>
      </c>
      <c r="AY307" s="310">
        <v>0.22330810000000001</v>
      </c>
      <c r="AZ307" s="310">
        <v>0.2187952</v>
      </c>
      <c r="BA307" s="310">
        <v>0.1963094</v>
      </c>
      <c r="BB307" s="310">
        <v>0.22038869999999999</v>
      </c>
      <c r="BC307" s="310">
        <v>0.22370129999999999</v>
      </c>
      <c r="BD307" s="310">
        <v>0.22300410000000001</v>
      </c>
      <c r="BE307" s="310">
        <v>0.22398989999999999</v>
      </c>
      <c r="BF307" s="310">
        <v>0.22042980000000001</v>
      </c>
      <c r="BG307" s="310">
        <v>0.22321589999999999</v>
      </c>
      <c r="BH307" s="310">
        <v>0.22061790000000001</v>
      </c>
      <c r="BI307" s="310">
        <v>0.22462789999999999</v>
      </c>
      <c r="BJ307" s="310">
        <v>0.2246553</v>
      </c>
      <c r="BK307" s="310">
        <v>0.22575970000000001</v>
      </c>
    </row>
    <row r="308" spans="1:63" x14ac:dyDescent="0.25">
      <c r="A308" s="306">
        <v>339940</v>
      </c>
      <c r="B308" s="310" t="s">
        <v>277</v>
      </c>
      <c r="C308" s="310">
        <v>0.28354109999999999</v>
      </c>
      <c r="D308" s="310">
        <v>0.2471711</v>
      </c>
      <c r="E308" s="310">
        <v>0.27364300000000003</v>
      </c>
      <c r="F308" s="310">
        <v>0.26697890000000002</v>
      </c>
      <c r="G308" s="310">
        <v>0.27970780000000001</v>
      </c>
      <c r="H308" s="310">
        <v>0.28077970000000002</v>
      </c>
      <c r="I308" s="310">
        <v>0.28013900000000003</v>
      </c>
      <c r="J308" s="310">
        <v>0.25865379999999999</v>
      </c>
      <c r="K308" s="310">
        <v>8.4396200000000005E-2</v>
      </c>
      <c r="L308" s="310">
        <v>0.21464269999999999</v>
      </c>
      <c r="M308" s="310">
        <v>0.28030820000000001</v>
      </c>
      <c r="N308" s="310">
        <v>0.27201120000000001</v>
      </c>
      <c r="O308" s="310">
        <v>0.27669899999999997</v>
      </c>
      <c r="P308" s="310">
        <v>0.26519799999999999</v>
      </c>
      <c r="Q308" s="310">
        <v>0.26982159999999999</v>
      </c>
      <c r="R308" s="310">
        <v>0.27136300000000002</v>
      </c>
      <c r="S308" s="310">
        <v>0.27025339999999998</v>
      </c>
      <c r="T308" s="310">
        <v>0.25036120000000001</v>
      </c>
      <c r="U308" s="310">
        <v>0.26363700000000001</v>
      </c>
      <c r="V308" s="310">
        <v>0.27773330000000002</v>
      </c>
      <c r="W308" s="310">
        <v>0.25512990000000002</v>
      </c>
      <c r="X308" s="310">
        <v>0.24547920000000001</v>
      </c>
      <c r="Y308" s="310">
        <v>0.27326669999999997</v>
      </c>
      <c r="Z308" s="310">
        <v>0.27871449999999998</v>
      </c>
      <c r="AA308" s="310">
        <v>0.27429910000000002</v>
      </c>
      <c r="AB308" s="310">
        <v>0.26127070000000002</v>
      </c>
      <c r="AC308" s="310">
        <v>0.26433499999999999</v>
      </c>
      <c r="AD308" s="310">
        <v>0.28007219999999999</v>
      </c>
      <c r="AE308" s="310">
        <v>0.27163540000000003</v>
      </c>
      <c r="AF308" s="310">
        <v>0.24993850000000001</v>
      </c>
      <c r="AG308" s="310">
        <v>0.2690282</v>
      </c>
      <c r="AH308" s="310">
        <v>0.2466515</v>
      </c>
      <c r="AI308" s="310">
        <v>0.24941430000000001</v>
      </c>
      <c r="AJ308" s="310">
        <v>0.27183200000000002</v>
      </c>
      <c r="AK308" s="310">
        <v>0.27286909999999998</v>
      </c>
      <c r="AL308" s="310">
        <v>0.26157770000000002</v>
      </c>
      <c r="AM308" s="310">
        <v>0.27149440000000002</v>
      </c>
      <c r="AN308" s="310">
        <v>0.27848390000000001</v>
      </c>
      <c r="AO308" s="310">
        <v>0.27093349999999999</v>
      </c>
      <c r="AP308" s="310">
        <v>0.269428</v>
      </c>
      <c r="AQ308" s="310">
        <v>0.25545790000000002</v>
      </c>
      <c r="AR308" s="310">
        <v>0.27279019999999998</v>
      </c>
      <c r="AS308" s="310">
        <v>0.27569129999999997</v>
      </c>
      <c r="AT308" s="310">
        <v>0.2674434</v>
      </c>
      <c r="AU308" s="310">
        <v>0.2792384</v>
      </c>
      <c r="AV308" s="310">
        <v>0.28034520000000002</v>
      </c>
      <c r="AW308" s="310">
        <v>0.26494440000000002</v>
      </c>
      <c r="AX308" s="310">
        <v>0</v>
      </c>
      <c r="AY308" s="310">
        <v>0.27817209999999998</v>
      </c>
      <c r="AZ308" s="310">
        <v>0.27255119999999999</v>
      </c>
      <c r="BA308" s="310">
        <v>0.2445937</v>
      </c>
      <c r="BB308" s="310">
        <v>0.2745378</v>
      </c>
      <c r="BC308" s="310">
        <v>0.27866410000000003</v>
      </c>
      <c r="BD308" s="310">
        <v>0.27778150000000001</v>
      </c>
      <c r="BE308" s="310">
        <v>0.27899610000000002</v>
      </c>
      <c r="BF308" s="310">
        <v>0.27463939999999998</v>
      </c>
      <c r="BG308" s="310">
        <v>0.27802209999999999</v>
      </c>
      <c r="BH308" s="310">
        <v>0.27483380000000002</v>
      </c>
      <c r="BI308" s="310">
        <v>0.27984249999999999</v>
      </c>
      <c r="BJ308" s="310">
        <v>0.27985700000000002</v>
      </c>
      <c r="BK308" s="310">
        <v>0.28122350000000002</v>
      </c>
    </row>
    <row r="309" spans="1:63" x14ac:dyDescent="0.25">
      <c r="A309" s="306">
        <v>339950</v>
      </c>
      <c r="B309" s="310" t="s">
        <v>278</v>
      </c>
      <c r="C309" s="310">
        <v>0.32318649999999999</v>
      </c>
      <c r="D309" s="310">
        <v>0.28170580000000001</v>
      </c>
      <c r="E309" s="310">
        <v>0.31195060000000002</v>
      </c>
      <c r="F309" s="310">
        <v>0.304342</v>
      </c>
      <c r="G309" s="310">
        <v>0.31878649999999997</v>
      </c>
      <c r="H309" s="310">
        <v>0.32008310000000001</v>
      </c>
      <c r="I309" s="310">
        <v>0.31927949999999999</v>
      </c>
      <c r="J309" s="310">
        <v>0.29485820000000001</v>
      </c>
      <c r="K309" s="310">
        <v>9.6153799999999998E-2</v>
      </c>
      <c r="L309" s="310">
        <v>0.2446875</v>
      </c>
      <c r="M309" s="310">
        <v>0.31954100000000002</v>
      </c>
      <c r="N309" s="310">
        <v>0.31004599999999999</v>
      </c>
      <c r="O309" s="310">
        <v>0.31544820000000001</v>
      </c>
      <c r="P309" s="310">
        <v>0.30225200000000002</v>
      </c>
      <c r="Q309" s="310">
        <v>0.30763030000000002</v>
      </c>
      <c r="R309" s="310">
        <v>0.30933179999999999</v>
      </c>
      <c r="S309" s="310">
        <v>0.30810130000000002</v>
      </c>
      <c r="T309" s="310">
        <v>0.28540209999999999</v>
      </c>
      <c r="U309" s="310">
        <v>0.30046390000000001</v>
      </c>
      <c r="V309" s="310">
        <v>0.31656719999999999</v>
      </c>
      <c r="W309" s="310">
        <v>0.29081879999999999</v>
      </c>
      <c r="X309" s="310">
        <v>0.27986709999999998</v>
      </c>
      <c r="Y309" s="310">
        <v>0.31144430000000001</v>
      </c>
      <c r="Z309" s="310">
        <v>0.31775979999999998</v>
      </c>
      <c r="AA309" s="310">
        <v>0.31265910000000002</v>
      </c>
      <c r="AB309" s="310">
        <v>0.29783530000000003</v>
      </c>
      <c r="AC309" s="310">
        <v>0.30126180000000002</v>
      </c>
      <c r="AD309" s="310">
        <v>0.31930989999999998</v>
      </c>
      <c r="AE309" s="310">
        <v>0.30966100000000002</v>
      </c>
      <c r="AF309" s="310">
        <v>0.2848676</v>
      </c>
      <c r="AG309" s="310">
        <v>0.3065909</v>
      </c>
      <c r="AH309" s="310">
        <v>0.28113139999999998</v>
      </c>
      <c r="AI309" s="310">
        <v>0.28429110000000002</v>
      </c>
      <c r="AJ309" s="310">
        <v>0.30992160000000002</v>
      </c>
      <c r="AK309" s="310">
        <v>0.31110179999999998</v>
      </c>
      <c r="AL309" s="310">
        <v>0.29818660000000002</v>
      </c>
      <c r="AM309" s="310">
        <v>0.30943880000000001</v>
      </c>
      <c r="AN309" s="310">
        <v>0.31744499999999998</v>
      </c>
      <c r="AO309" s="310">
        <v>0.30886190000000002</v>
      </c>
      <c r="AP309" s="310">
        <v>0.30711830000000001</v>
      </c>
      <c r="AQ309" s="310">
        <v>0.29121130000000001</v>
      </c>
      <c r="AR309" s="310">
        <v>0.31094060000000001</v>
      </c>
      <c r="AS309" s="310">
        <v>0.31429240000000003</v>
      </c>
      <c r="AT309" s="310">
        <v>0.30484519999999998</v>
      </c>
      <c r="AU309" s="310">
        <v>0.31828020000000001</v>
      </c>
      <c r="AV309" s="310">
        <v>0.31959419999999999</v>
      </c>
      <c r="AW309" s="310">
        <v>0.30198779999999997</v>
      </c>
      <c r="AX309" s="310">
        <v>0.29909210000000003</v>
      </c>
      <c r="AY309" s="310">
        <v>0.3170944</v>
      </c>
      <c r="AZ309" s="310">
        <v>0.31073060000000002</v>
      </c>
      <c r="BA309" s="310">
        <v>0.27874539999999998</v>
      </c>
      <c r="BB309" s="310">
        <v>0.3129709</v>
      </c>
      <c r="BC309" s="310">
        <v>0.31764989999999999</v>
      </c>
      <c r="BD309" s="310">
        <v>0.31665860000000001</v>
      </c>
      <c r="BE309" s="310">
        <v>0.31803789999999998</v>
      </c>
      <c r="BF309" s="310">
        <v>0.3130484</v>
      </c>
      <c r="BG309" s="310">
        <v>0.31695269999999998</v>
      </c>
      <c r="BH309" s="310">
        <v>0.31331199999999998</v>
      </c>
      <c r="BI309" s="310">
        <v>0.31899729999999998</v>
      </c>
      <c r="BJ309" s="310">
        <v>0.3190114</v>
      </c>
      <c r="BK309" s="310">
        <v>0.32053039999999999</v>
      </c>
    </row>
    <row r="310" spans="1:63" x14ac:dyDescent="0.25">
      <c r="A310" s="306">
        <v>339991</v>
      </c>
      <c r="B310" s="310" t="s">
        <v>1</v>
      </c>
      <c r="C310" s="310">
        <v>0.36739840000000001</v>
      </c>
      <c r="D310" s="310">
        <v>0</v>
      </c>
      <c r="E310" s="310">
        <v>0.35460350000000002</v>
      </c>
      <c r="F310" s="310">
        <v>0.34592909999999999</v>
      </c>
      <c r="G310" s="310">
        <v>0.362398</v>
      </c>
      <c r="H310" s="310">
        <v>0.36384640000000001</v>
      </c>
      <c r="I310" s="310">
        <v>0.36298039999999998</v>
      </c>
      <c r="J310" s="310">
        <v>0.3351404</v>
      </c>
      <c r="K310" s="310">
        <v>0</v>
      </c>
      <c r="L310" s="310">
        <v>0.27815089999999998</v>
      </c>
      <c r="M310" s="310">
        <v>0.36324450000000003</v>
      </c>
      <c r="N310" s="310">
        <v>0.35249619999999998</v>
      </c>
      <c r="O310" s="310">
        <v>0</v>
      </c>
      <c r="P310" s="310">
        <v>0.34364450000000002</v>
      </c>
      <c r="Q310" s="310">
        <v>0</v>
      </c>
      <c r="R310" s="310">
        <v>0.35169440000000002</v>
      </c>
      <c r="S310" s="310">
        <v>0.35022910000000002</v>
      </c>
      <c r="T310" s="310">
        <v>0.32441779999999998</v>
      </c>
      <c r="U310" s="310">
        <v>0.34157330000000002</v>
      </c>
      <c r="V310" s="310">
        <v>0.35988530000000002</v>
      </c>
      <c r="W310" s="310">
        <v>0.33062609999999998</v>
      </c>
      <c r="X310" s="310">
        <v>0.31813619999999998</v>
      </c>
      <c r="Y310" s="310">
        <v>0.35407280000000002</v>
      </c>
      <c r="Z310" s="310">
        <v>0.36120039999999998</v>
      </c>
      <c r="AA310" s="310">
        <v>0.35542899999999999</v>
      </c>
      <c r="AB310" s="310">
        <v>0.33853070000000002</v>
      </c>
      <c r="AC310" s="310">
        <v>0.34249039999999997</v>
      </c>
      <c r="AD310" s="310">
        <v>0.36296539999999999</v>
      </c>
      <c r="AE310" s="310">
        <v>0.3520045</v>
      </c>
      <c r="AF310" s="310">
        <v>0</v>
      </c>
      <c r="AG310" s="310">
        <v>0.34860069999999999</v>
      </c>
      <c r="AH310" s="310">
        <v>0.31959490000000002</v>
      </c>
      <c r="AI310" s="310">
        <v>0.32322089999999998</v>
      </c>
      <c r="AJ310" s="310">
        <v>0.35227649999999999</v>
      </c>
      <c r="AK310" s="310">
        <v>0.35364220000000002</v>
      </c>
      <c r="AL310" s="310">
        <v>0.33901949999999997</v>
      </c>
      <c r="AM310" s="310">
        <v>0.35181950000000001</v>
      </c>
      <c r="AN310" s="310">
        <v>0.36082320000000001</v>
      </c>
      <c r="AO310" s="310">
        <v>0.35114400000000001</v>
      </c>
      <c r="AP310" s="310">
        <v>0.34908050000000002</v>
      </c>
      <c r="AQ310" s="310">
        <v>0.33099899999999999</v>
      </c>
      <c r="AR310" s="310">
        <v>0.35351139999999998</v>
      </c>
      <c r="AS310" s="310">
        <v>0</v>
      </c>
      <c r="AT310" s="310">
        <v>0.3465241</v>
      </c>
      <c r="AU310" s="310">
        <v>0.36181980000000002</v>
      </c>
      <c r="AV310" s="310">
        <v>0.3632744</v>
      </c>
      <c r="AW310" s="310">
        <v>0.3432924</v>
      </c>
      <c r="AX310" s="310">
        <v>0.3399875</v>
      </c>
      <c r="AY310" s="310">
        <v>0.36051929999999999</v>
      </c>
      <c r="AZ310" s="310">
        <v>0.35318149999999998</v>
      </c>
      <c r="BA310" s="310">
        <v>0.31694549999999999</v>
      </c>
      <c r="BB310" s="310">
        <v>0</v>
      </c>
      <c r="BC310" s="310">
        <v>0.36109049999999998</v>
      </c>
      <c r="BD310" s="310">
        <v>0.3599812</v>
      </c>
      <c r="BE310" s="310">
        <v>0.36153649999999998</v>
      </c>
      <c r="BF310" s="310">
        <v>0.35584470000000001</v>
      </c>
      <c r="BG310" s="310">
        <v>0.36032930000000002</v>
      </c>
      <c r="BH310" s="310">
        <v>0.35614679999999999</v>
      </c>
      <c r="BI310" s="310">
        <v>0.36259960000000002</v>
      </c>
      <c r="BJ310" s="310">
        <v>0.3626431</v>
      </c>
      <c r="BK310" s="310">
        <v>0.36437570000000002</v>
      </c>
    </row>
    <row r="311" spans="1:63" x14ac:dyDescent="0.25">
      <c r="A311" s="306">
        <v>339992</v>
      </c>
      <c r="B311" s="310" t="s">
        <v>279</v>
      </c>
      <c r="C311" s="310">
        <v>0.37104819999999999</v>
      </c>
      <c r="D311" s="310">
        <v>0</v>
      </c>
      <c r="E311" s="310">
        <v>0</v>
      </c>
      <c r="F311" s="310">
        <v>0.34941739999999999</v>
      </c>
      <c r="G311" s="310">
        <v>0.36600110000000002</v>
      </c>
      <c r="H311" s="310">
        <v>0.36745990000000001</v>
      </c>
      <c r="I311" s="310">
        <v>0.36651109999999998</v>
      </c>
      <c r="J311" s="310">
        <v>0.33847830000000001</v>
      </c>
      <c r="K311" s="310">
        <v>0</v>
      </c>
      <c r="L311" s="310">
        <v>0</v>
      </c>
      <c r="M311" s="310">
        <v>0.36685299999999998</v>
      </c>
      <c r="N311" s="310">
        <v>0.355931</v>
      </c>
      <c r="O311" s="310">
        <v>0.36212309999999998</v>
      </c>
      <c r="P311" s="310">
        <v>0.34703010000000001</v>
      </c>
      <c r="Q311" s="310">
        <v>0.35309570000000001</v>
      </c>
      <c r="R311" s="310">
        <v>0.35515469999999999</v>
      </c>
      <c r="S311" s="310">
        <v>0.35366560000000002</v>
      </c>
      <c r="T311" s="310">
        <v>0.32759860000000002</v>
      </c>
      <c r="U311" s="310">
        <v>0.34495150000000002</v>
      </c>
      <c r="V311" s="310">
        <v>0.36344650000000001</v>
      </c>
      <c r="W311" s="310">
        <v>0.33383930000000001</v>
      </c>
      <c r="X311" s="310">
        <v>0.32125369999999998</v>
      </c>
      <c r="Y311" s="310">
        <v>0.35752240000000002</v>
      </c>
      <c r="Z311" s="310">
        <v>0.36475590000000002</v>
      </c>
      <c r="AA311" s="310">
        <v>0.358908</v>
      </c>
      <c r="AB311" s="310">
        <v>0.34185490000000002</v>
      </c>
      <c r="AC311" s="310">
        <v>0.34588089999999999</v>
      </c>
      <c r="AD311" s="310">
        <v>0.36652230000000002</v>
      </c>
      <c r="AE311" s="310">
        <v>0.35547610000000002</v>
      </c>
      <c r="AF311" s="310">
        <v>0.32702629999999999</v>
      </c>
      <c r="AG311" s="310">
        <v>0.3520488</v>
      </c>
      <c r="AH311" s="310">
        <v>0.32275090000000001</v>
      </c>
      <c r="AI311" s="310">
        <v>0.3263742</v>
      </c>
      <c r="AJ311" s="310">
        <v>0.3557748</v>
      </c>
      <c r="AK311" s="310">
        <v>0.35714859999999998</v>
      </c>
      <c r="AL311" s="310">
        <v>0.34233770000000002</v>
      </c>
      <c r="AM311" s="310">
        <v>0.3552843</v>
      </c>
      <c r="AN311" s="310">
        <v>0.36441950000000001</v>
      </c>
      <c r="AO311" s="310">
        <v>0.35457830000000001</v>
      </c>
      <c r="AP311" s="310">
        <v>0.35258499999999998</v>
      </c>
      <c r="AQ311" s="310">
        <v>0.33428049999999998</v>
      </c>
      <c r="AR311" s="310">
        <v>0.35699449999999999</v>
      </c>
      <c r="AS311" s="310">
        <v>0.36076970000000003</v>
      </c>
      <c r="AT311" s="310">
        <v>0.34996820000000001</v>
      </c>
      <c r="AU311" s="310">
        <v>0.36537770000000003</v>
      </c>
      <c r="AV311" s="310">
        <v>0.3668652</v>
      </c>
      <c r="AW311" s="310">
        <v>0.34673929999999997</v>
      </c>
      <c r="AX311" s="310">
        <v>0.34339209999999998</v>
      </c>
      <c r="AY311" s="310">
        <v>0.36408620000000003</v>
      </c>
      <c r="AZ311" s="310">
        <v>0.35668149999999998</v>
      </c>
      <c r="BA311" s="310">
        <v>0.31999670000000002</v>
      </c>
      <c r="BB311" s="310">
        <v>0</v>
      </c>
      <c r="BC311" s="310">
        <v>0.36466399999999999</v>
      </c>
      <c r="BD311" s="310">
        <v>0.36357980000000001</v>
      </c>
      <c r="BE311" s="310">
        <v>0.36513669999999998</v>
      </c>
      <c r="BF311" s="310">
        <v>0.35937150000000001</v>
      </c>
      <c r="BG311" s="310">
        <v>0.3638557</v>
      </c>
      <c r="BH311" s="310">
        <v>0.35965849999999999</v>
      </c>
      <c r="BI311" s="310">
        <v>0.36618919999999999</v>
      </c>
      <c r="BJ311" s="310">
        <v>0.3661972</v>
      </c>
      <c r="BK311" s="310">
        <v>0.36801790000000001</v>
      </c>
    </row>
    <row r="312" spans="1:63" x14ac:dyDescent="0.25">
      <c r="A312" s="306">
        <v>339994</v>
      </c>
      <c r="B312" s="310" t="s">
        <v>281</v>
      </c>
      <c r="C312" s="310">
        <v>0.29971310000000001</v>
      </c>
      <c r="D312" s="310">
        <v>0</v>
      </c>
      <c r="E312" s="310">
        <v>0.2893078</v>
      </c>
      <c r="F312" s="310">
        <v>0.2822614</v>
      </c>
      <c r="G312" s="310">
        <v>0</v>
      </c>
      <c r="H312" s="310">
        <v>0.29686620000000002</v>
      </c>
      <c r="I312" s="310">
        <v>0.29609530000000001</v>
      </c>
      <c r="J312" s="310">
        <v>0.27347440000000001</v>
      </c>
      <c r="K312" s="310">
        <v>0</v>
      </c>
      <c r="L312" s="310">
        <v>0.22698470000000001</v>
      </c>
      <c r="M312" s="310">
        <v>0.2963828</v>
      </c>
      <c r="N312" s="310">
        <v>0.28759269999999998</v>
      </c>
      <c r="O312" s="310">
        <v>0</v>
      </c>
      <c r="P312" s="310">
        <v>0.28033130000000001</v>
      </c>
      <c r="Q312" s="310">
        <v>0</v>
      </c>
      <c r="R312" s="310">
        <v>0.28691070000000002</v>
      </c>
      <c r="S312" s="310">
        <v>0.28571429999999998</v>
      </c>
      <c r="T312" s="310">
        <v>0.26464500000000002</v>
      </c>
      <c r="U312" s="310">
        <v>0.2786807</v>
      </c>
      <c r="V312" s="310">
        <v>0.29360570000000002</v>
      </c>
      <c r="W312" s="310">
        <v>0.26970369999999999</v>
      </c>
      <c r="X312" s="310">
        <v>0.25951459999999998</v>
      </c>
      <c r="Y312" s="310">
        <v>0</v>
      </c>
      <c r="Z312" s="310">
        <v>0.29468060000000001</v>
      </c>
      <c r="AA312" s="310">
        <v>0.28992899999999999</v>
      </c>
      <c r="AB312" s="310">
        <v>0.27618280000000001</v>
      </c>
      <c r="AC312" s="310">
        <v>0.2794219</v>
      </c>
      <c r="AD312" s="310">
        <v>0</v>
      </c>
      <c r="AE312" s="310">
        <v>0.28716219999999998</v>
      </c>
      <c r="AF312" s="310">
        <v>0</v>
      </c>
      <c r="AG312" s="310">
        <v>0.28434769999999998</v>
      </c>
      <c r="AH312" s="310">
        <v>0.26077099999999998</v>
      </c>
      <c r="AI312" s="310">
        <v>0.2636984</v>
      </c>
      <c r="AJ312" s="310">
        <v>0</v>
      </c>
      <c r="AK312" s="310">
        <v>0.28852559999999999</v>
      </c>
      <c r="AL312" s="310">
        <v>0.27659080000000003</v>
      </c>
      <c r="AM312" s="310">
        <v>0.28703050000000002</v>
      </c>
      <c r="AN312" s="310">
        <v>0.29435630000000002</v>
      </c>
      <c r="AO312" s="310">
        <v>0.28644209999999998</v>
      </c>
      <c r="AP312" s="310">
        <v>0.28480810000000001</v>
      </c>
      <c r="AQ312" s="310">
        <v>0.27008510000000002</v>
      </c>
      <c r="AR312" s="310">
        <v>0.28838079999999999</v>
      </c>
      <c r="AS312" s="310">
        <v>0.29148049999999998</v>
      </c>
      <c r="AT312" s="310">
        <v>0.28276259999999998</v>
      </c>
      <c r="AU312" s="310">
        <v>0.29520980000000002</v>
      </c>
      <c r="AV312" s="310">
        <v>0</v>
      </c>
      <c r="AW312" s="310">
        <v>0.28011039999999998</v>
      </c>
      <c r="AX312" s="310">
        <v>0.2774066</v>
      </c>
      <c r="AY312" s="310">
        <v>0.29410920000000002</v>
      </c>
      <c r="AZ312" s="310">
        <v>0.28814129999999999</v>
      </c>
      <c r="BA312" s="310">
        <v>0</v>
      </c>
      <c r="BB312" s="310">
        <v>0</v>
      </c>
      <c r="BC312" s="310">
        <v>0.29463539999999999</v>
      </c>
      <c r="BD312" s="310">
        <v>0.29366680000000001</v>
      </c>
      <c r="BE312" s="310">
        <v>0.29501359999999999</v>
      </c>
      <c r="BF312" s="310">
        <v>0.29033130000000001</v>
      </c>
      <c r="BG312" s="310">
        <v>0.29396840000000002</v>
      </c>
      <c r="BH312" s="310">
        <v>0.2905875</v>
      </c>
      <c r="BI312" s="310">
        <v>0.29585020000000001</v>
      </c>
      <c r="BJ312" s="310">
        <v>0.29587239999999998</v>
      </c>
      <c r="BK312" s="310">
        <v>0.29729729999999999</v>
      </c>
    </row>
    <row r="313" spans="1:63" x14ac:dyDescent="0.25">
      <c r="A313" s="306" t="s">
        <v>751</v>
      </c>
      <c r="B313" s="310" t="s">
        <v>280</v>
      </c>
      <c r="C313" s="310">
        <v>0.32968049999999999</v>
      </c>
      <c r="D313" s="310">
        <v>0.28737580000000001</v>
      </c>
      <c r="E313" s="310">
        <v>0.3182065</v>
      </c>
      <c r="F313" s="310">
        <v>0.31045800000000001</v>
      </c>
      <c r="G313" s="310">
        <v>0.3252311</v>
      </c>
      <c r="H313" s="310">
        <v>0.3265557</v>
      </c>
      <c r="I313" s="310">
        <v>0.32574340000000002</v>
      </c>
      <c r="J313" s="310">
        <v>0.30075600000000002</v>
      </c>
      <c r="K313" s="310">
        <v>0</v>
      </c>
      <c r="L313" s="310">
        <v>0</v>
      </c>
      <c r="M313" s="310">
        <v>0.32601859999999999</v>
      </c>
      <c r="N313" s="310">
        <v>0.316332</v>
      </c>
      <c r="O313" s="310">
        <v>0.32177729999999999</v>
      </c>
      <c r="P313" s="310">
        <v>0.3083436</v>
      </c>
      <c r="Q313" s="310">
        <v>0.31381310000000001</v>
      </c>
      <c r="R313" s="310">
        <v>0.3155676</v>
      </c>
      <c r="S313" s="310">
        <v>0.3142703</v>
      </c>
      <c r="T313" s="310">
        <v>0.29113349999999999</v>
      </c>
      <c r="U313" s="310">
        <v>0.30652040000000003</v>
      </c>
      <c r="V313" s="310">
        <v>0.32293450000000001</v>
      </c>
      <c r="W313" s="310">
        <v>0.2967108</v>
      </c>
      <c r="X313" s="310">
        <v>0.28550560000000003</v>
      </c>
      <c r="Y313" s="310">
        <v>0.31774740000000001</v>
      </c>
      <c r="Z313" s="310">
        <v>0.32413750000000002</v>
      </c>
      <c r="AA313" s="310">
        <v>0.31893319999999997</v>
      </c>
      <c r="AB313" s="310">
        <v>0.30379919999999999</v>
      </c>
      <c r="AC313" s="310">
        <v>0.30739300000000003</v>
      </c>
      <c r="AD313" s="310">
        <v>0.32571430000000001</v>
      </c>
      <c r="AE313" s="310">
        <v>0.31590000000000001</v>
      </c>
      <c r="AF313" s="310">
        <v>0.29057660000000002</v>
      </c>
      <c r="AG313" s="310">
        <v>0.31283749999999999</v>
      </c>
      <c r="AH313" s="310">
        <v>0.28679090000000002</v>
      </c>
      <c r="AI313" s="310">
        <v>0.29005959999999997</v>
      </c>
      <c r="AJ313" s="310">
        <v>0.31613380000000002</v>
      </c>
      <c r="AK313" s="310">
        <v>0.3173667</v>
      </c>
      <c r="AL313" s="310">
        <v>0.3042608</v>
      </c>
      <c r="AM313" s="310">
        <v>0.3156988</v>
      </c>
      <c r="AN313" s="310">
        <v>0.32383879999999998</v>
      </c>
      <c r="AO313" s="310">
        <v>0.3150751</v>
      </c>
      <c r="AP313" s="310">
        <v>0.31333499999999997</v>
      </c>
      <c r="AQ313" s="310">
        <v>0.29705350000000003</v>
      </c>
      <c r="AR313" s="310">
        <v>0.31726880000000002</v>
      </c>
      <c r="AS313" s="310">
        <v>0.3205964</v>
      </c>
      <c r="AT313" s="310">
        <v>0.31102069999999998</v>
      </c>
      <c r="AU313" s="310">
        <v>0.3246967</v>
      </c>
      <c r="AV313" s="310">
        <v>0.32603799999999999</v>
      </c>
      <c r="AW313" s="310">
        <v>0.3080772</v>
      </c>
      <c r="AX313" s="310">
        <v>0.3051063</v>
      </c>
      <c r="AY313" s="310">
        <v>0.32353589999999999</v>
      </c>
      <c r="AZ313" s="310">
        <v>0.31694060000000002</v>
      </c>
      <c r="BA313" s="310">
        <v>0.2844064</v>
      </c>
      <c r="BB313" s="310">
        <v>0.31928879999999998</v>
      </c>
      <c r="BC313" s="310">
        <v>0.32410749999999999</v>
      </c>
      <c r="BD313" s="310">
        <v>0.32304470000000002</v>
      </c>
      <c r="BE313" s="310">
        <v>0.32446770000000003</v>
      </c>
      <c r="BF313" s="310">
        <v>0.31935570000000002</v>
      </c>
      <c r="BG313" s="310">
        <v>0.3233143</v>
      </c>
      <c r="BH313" s="310">
        <v>0.31963140000000001</v>
      </c>
      <c r="BI313" s="310">
        <v>0.32545800000000003</v>
      </c>
      <c r="BJ313" s="310">
        <v>0.3254319</v>
      </c>
      <c r="BK313" s="310">
        <v>0.32698929999999998</v>
      </c>
    </row>
    <row r="314" spans="1:63" x14ac:dyDescent="0.25">
      <c r="A314" s="306">
        <v>420000</v>
      </c>
      <c r="B314" s="310" t="s">
        <v>425</v>
      </c>
      <c r="C314" s="310">
        <v>0.32667249999999998</v>
      </c>
      <c r="D314" s="310">
        <v>0.3137452</v>
      </c>
      <c r="E314" s="310">
        <v>0.31764890000000001</v>
      </c>
      <c r="F314" s="310">
        <v>0.31242180000000003</v>
      </c>
      <c r="G314" s="310">
        <v>0.32267839999999998</v>
      </c>
      <c r="H314" s="310">
        <v>0.32456770000000001</v>
      </c>
      <c r="I314" s="310">
        <v>0.3233627</v>
      </c>
      <c r="J314" s="310">
        <v>0.29330519999999999</v>
      </c>
      <c r="K314" s="310">
        <v>6.8825899999999995E-2</v>
      </c>
      <c r="L314" s="310">
        <v>0.2451209</v>
      </c>
      <c r="M314" s="310">
        <v>0.32340229999999998</v>
      </c>
      <c r="N314" s="310">
        <v>0.31741510000000001</v>
      </c>
      <c r="O314" s="310">
        <v>0.32406020000000002</v>
      </c>
      <c r="P314" s="310">
        <v>0.31003589999999998</v>
      </c>
      <c r="Q314" s="310">
        <v>0.31739089999999998</v>
      </c>
      <c r="R314" s="310">
        <v>0.31327919999999998</v>
      </c>
      <c r="S314" s="310">
        <v>0.31170320000000001</v>
      </c>
      <c r="T314" s="310">
        <v>0.2814218</v>
      </c>
      <c r="U314" s="310">
        <v>0.29446879999999998</v>
      </c>
      <c r="V314" s="310">
        <v>0.3169594</v>
      </c>
      <c r="W314" s="310">
        <v>0.29844710000000002</v>
      </c>
      <c r="X314" s="310">
        <v>0.29677179999999997</v>
      </c>
      <c r="Y314" s="310">
        <v>0.3184787</v>
      </c>
      <c r="Z314" s="310">
        <v>0.3221175</v>
      </c>
      <c r="AA314" s="310">
        <v>0.31879760000000001</v>
      </c>
      <c r="AB314" s="310">
        <v>0.29156349999999998</v>
      </c>
      <c r="AC314" s="310">
        <v>0.31166519999999998</v>
      </c>
      <c r="AD314" s="310">
        <v>0.32126209999999999</v>
      </c>
      <c r="AE314" s="310">
        <v>0.31331750000000003</v>
      </c>
      <c r="AF314" s="310">
        <v>0.29043099999999999</v>
      </c>
      <c r="AG314" s="310">
        <v>0.30865090000000001</v>
      </c>
      <c r="AH314" s="310">
        <v>0.28472890000000001</v>
      </c>
      <c r="AI314" s="310">
        <v>0.28700910000000002</v>
      </c>
      <c r="AJ314" s="310">
        <v>0.31705919999999999</v>
      </c>
      <c r="AK314" s="310">
        <v>0.3135251</v>
      </c>
      <c r="AL314" s="310">
        <v>0.28799819999999998</v>
      </c>
      <c r="AM314" s="310">
        <v>0.31235570000000001</v>
      </c>
      <c r="AN314" s="310">
        <v>0.32096750000000002</v>
      </c>
      <c r="AO314" s="310">
        <v>0.30102459999999998</v>
      </c>
      <c r="AP314" s="310">
        <v>0.3061778</v>
      </c>
      <c r="AQ314" s="310">
        <v>0.28414260000000002</v>
      </c>
      <c r="AR314" s="310">
        <v>0.30985699999999999</v>
      </c>
      <c r="AS314" s="310">
        <v>0.3114558</v>
      </c>
      <c r="AT314" s="310">
        <v>0.30665690000000001</v>
      </c>
      <c r="AU314" s="310">
        <v>0.32309480000000002</v>
      </c>
      <c r="AV314" s="310">
        <v>0.32040380000000002</v>
      </c>
      <c r="AW314" s="310">
        <v>0.30374380000000001</v>
      </c>
      <c r="AX314" s="310">
        <v>0.28637210000000002</v>
      </c>
      <c r="AY314" s="310">
        <v>0.31944129999999998</v>
      </c>
      <c r="AZ314" s="310">
        <v>0.3175655</v>
      </c>
      <c r="BA314" s="310">
        <v>0.28878609999999999</v>
      </c>
      <c r="BB314" s="310">
        <v>0.30873640000000002</v>
      </c>
      <c r="BC314" s="310">
        <v>0.31955349999999999</v>
      </c>
      <c r="BD314" s="310">
        <v>0.31811139999999999</v>
      </c>
      <c r="BE314" s="310">
        <v>0.32122810000000002</v>
      </c>
      <c r="BF314" s="310">
        <v>0.31811060000000002</v>
      </c>
      <c r="BG314" s="310">
        <v>0.32200010000000001</v>
      </c>
      <c r="BH314" s="310">
        <v>0.3145059</v>
      </c>
      <c r="BI314" s="310">
        <v>0.3235616</v>
      </c>
      <c r="BJ314" s="310">
        <v>0.3229243</v>
      </c>
      <c r="BK314" s="310">
        <v>0.32466879999999998</v>
      </c>
    </row>
    <row r="315" spans="1:63" x14ac:dyDescent="0.25">
      <c r="A315" s="306">
        <v>481000</v>
      </c>
      <c r="B315" s="310" t="s">
        <v>752</v>
      </c>
      <c r="C315" s="310">
        <v>0.3619308</v>
      </c>
      <c r="D315" s="310">
        <v>0.3330978</v>
      </c>
      <c r="E315" s="310">
        <v>0.32931840000000001</v>
      </c>
      <c r="F315" s="310">
        <v>0.33460299999999998</v>
      </c>
      <c r="G315" s="310">
        <v>0.33349839999999997</v>
      </c>
      <c r="H315" s="310">
        <v>0.33890809999999999</v>
      </c>
      <c r="I315" s="310">
        <v>0.34165810000000002</v>
      </c>
      <c r="J315" s="310">
        <v>0.30417139999999998</v>
      </c>
      <c r="K315" s="310">
        <v>6.2795500000000004E-2</v>
      </c>
      <c r="L315" s="310">
        <v>0.25191619999999998</v>
      </c>
      <c r="M315" s="310">
        <v>0.34503250000000002</v>
      </c>
      <c r="N315" s="310">
        <v>0.31955899999999998</v>
      </c>
      <c r="O315" s="310">
        <v>0.32998270000000002</v>
      </c>
      <c r="P315" s="310">
        <v>0.31676189999999999</v>
      </c>
      <c r="Q315" s="310">
        <v>0.34064339999999999</v>
      </c>
      <c r="R315" s="310">
        <v>0.28038429999999998</v>
      </c>
      <c r="S315" s="310">
        <v>0.34261469999999999</v>
      </c>
      <c r="T315" s="310">
        <v>0.25274340000000001</v>
      </c>
      <c r="U315" s="310">
        <v>0.20333190000000001</v>
      </c>
      <c r="V315" s="310">
        <v>0.30125740000000001</v>
      </c>
      <c r="W315" s="310">
        <v>0.28625600000000001</v>
      </c>
      <c r="X315" s="310">
        <v>0.29205560000000003</v>
      </c>
      <c r="Y315" s="310">
        <v>0.35298629999999998</v>
      </c>
      <c r="Z315" s="310">
        <v>0.26794560000000001</v>
      </c>
      <c r="AA315" s="310">
        <v>0.30801689999999998</v>
      </c>
      <c r="AB315" s="310">
        <v>0.27100049999999998</v>
      </c>
      <c r="AC315" s="310">
        <v>0.339283</v>
      </c>
      <c r="AD315" s="310">
        <v>0.36049360000000003</v>
      </c>
      <c r="AE315" s="310">
        <v>0.3069402</v>
      </c>
      <c r="AF315" s="310">
        <v>0.2490637</v>
      </c>
      <c r="AG315" s="310">
        <v>0.28098919999999999</v>
      </c>
      <c r="AH315" s="310">
        <v>0.32266139999999999</v>
      </c>
      <c r="AI315" s="310">
        <v>0.2245173</v>
      </c>
      <c r="AJ315" s="310">
        <v>0.34708810000000001</v>
      </c>
      <c r="AK315" s="310">
        <v>0.33820670000000003</v>
      </c>
      <c r="AL315" s="310">
        <v>0.27448729999999999</v>
      </c>
      <c r="AM315" s="310">
        <v>0.28824280000000002</v>
      </c>
      <c r="AN315" s="310">
        <v>0.35778189999999999</v>
      </c>
      <c r="AO315" s="310">
        <v>0.21524019999999999</v>
      </c>
      <c r="AP315" s="310">
        <v>0.2546812</v>
      </c>
      <c r="AQ315" s="310">
        <v>0.31372699999999998</v>
      </c>
      <c r="AR315" s="310">
        <v>0.31940380000000002</v>
      </c>
      <c r="AS315" s="310">
        <v>0.35101159999999998</v>
      </c>
      <c r="AT315" s="310">
        <v>0.28417629999999999</v>
      </c>
      <c r="AU315" s="310">
        <v>0.33537899999999998</v>
      </c>
      <c r="AV315" s="310">
        <v>0.3202218</v>
      </c>
      <c r="AW315" s="310">
        <v>0.27091739999999997</v>
      </c>
      <c r="AX315" s="310">
        <v>0.33873900000000001</v>
      </c>
      <c r="AY315" s="310">
        <v>0.34969489999999998</v>
      </c>
      <c r="AZ315" s="310">
        <v>0.32058779999999998</v>
      </c>
      <c r="BA315" s="310">
        <v>0.31921290000000002</v>
      </c>
      <c r="BB315" s="310">
        <v>0.31981910000000002</v>
      </c>
      <c r="BC315" s="310">
        <v>0.34841660000000002</v>
      </c>
      <c r="BD315" s="310">
        <v>0.29022290000000001</v>
      </c>
      <c r="BE315" s="310">
        <v>0.30677159999999998</v>
      </c>
      <c r="BF315" s="310">
        <v>0.30844949999999999</v>
      </c>
      <c r="BG315" s="310">
        <v>0.34229009999999999</v>
      </c>
      <c r="BH315" s="310">
        <v>0.27503109999999997</v>
      </c>
      <c r="BI315" s="310">
        <v>0.34157749999999998</v>
      </c>
      <c r="BJ315" s="310">
        <v>0.34366580000000002</v>
      </c>
      <c r="BK315" s="310">
        <v>0.34874709999999998</v>
      </c>
    </row>
    <row r="316" spans="1:63" x14ac:dyDescent="0.25">
      <c r="A316" s="306">
        <v>482000</v>
      </c>
      <c r="B316" s="310" t="s">
        <v>753</v>
      </c>
      <c r="C316" s="310">
        <v>0.19932369999999999</v>
      </c>
      <c r="D316" s="310">
        <v>0</v>
      </c>
      <c r="E316" s="310">
        <v>0.1881188</v>
      </c>
      <c r="F316" s="310">
        <v>0.18854660000000001</v>
      </c>
      <c r="G316" s="310">
        <v>0.1863908</v>
      </c>
      <c r="H316" s="310">
        <v>0.1937258</v>
      </c>
      <c r="I316" s="310">
        <v>0.19264220000000001</v>
      </c>
      <c r="J316" s="310">
        <v>0.17772370000000001</v>
      </c>
      <c r="K316" s="310">
        <v>3.45274E-2</v>
      </c>
      <c r="L316" s="310">
        <v>0.1447222</v>
      </c>
      <c r="M316" s="310">
        <v>0.1920827</v>
      </c>
      <c r="N316" s="310">
        <v>0.1829365</v>
      </c>
      <c r="O316" s="310">
        <v>0</v>
      </c>
      <c r="P316" s="310">
        <v>0.158804</v>
      </c>
      <c r="Q316" s="310">
        <v>0.19630690000000001</v>
      </c>
      <c r="R316" s="310">
        <v>0.1760458</v>
      </c>
      <c r="S316" s="310">
        <v>0.18058689999999999</v>
      </c>
      <c r="T316" s="310">
        <v>0.16159680000000001</v>
      </c>
      <c r="U316" s="310">
        <v>0.16667580000000001</v>
      </c>
      <c r="V316" s="310">
        <v>0.1801635</v>
      </c>
      <c r="W316" s="310">
        <v>0.16481879999999999</v>
      </c>
      <c r="X316" s="310">
        <v>0.15470619999999999</v>
      </c>
      <c r="Y316" s="310">
        <v>0.19373099999999999</v>
      </c>
      <c r="Z316" s="310">
        <v>0.19092899999999999</v>
      </c>
      <c r="AA316" s="310">
        <v>0.1769202</v>
      </c>
      <c r="AB316" s="310">
        <v>0.158743</v>
      </c>
      <c r="AC316" s="310">
        <v>0.1902237</v>
      </c>
      <c r="AD316" s="310">
        <v>0.1946167</v>
      </c>
      <c r="AE316" s="310">
        <v>0.18455820000000001</v>
      </c>
      <c r="AF316" s="310">
        <v>0.18372930000000001</v>
      </c>
      <c r="AG316" s="310">
        <v>0.1775043</v>
      </c>
      <c r="AH316" s="310">
        <v>0.17938170000000001</v>
      </c>
      <c r="AI316" s="310">
        <v>0.15491440000000001</v>
      </c>
      <c r="AJ316" s="310">
        <v>0.17919080000000001</v>
      </c>
      <c r="AK316" s="310">
        <v>0.18795809999999999</v>
      </c>
      <c r="AL316" s="310">
        <v>0.1760101</v>
      </c>
      <c r="AM316" s="310">
        <v>0.17228779999999999</v>
      </c>
      <c r="AN316" s="310">
        <v>0.17197760000000001</v>
      </c>
      <c r="AO316" s="310">
        <v>0.170492</v>
      </c>
      <c r="AP316" s="310">
        <v>0.17355129999999999</v>
      </c>
      <c r="AQ316" s="310">
        <v>0.14901030000000001</v>
      </c>
      <c r="AR316" s="310">
        <v>0.17964759999999999</v>
      </c>
      <c r="AS316" s="310">
        <v>0.17953920000000001</v>
      </c>
      <c r="AT316" s="310">
        <v>0.1618378</v>
      </c>
      <c r="AU316" s="310">
        <v>0.1925751</v>
      </c>
      <c r="AV316" s="310">
        <v>0.18837480000000001</v>
      </c>
      <c r="AW316" s="310">
        <v>0.1843119</v>
      </c>
      <c r="AX316" s="310">
        <v>0.18257000000000001</v>
      </c>
      <c r="AY316" s="310">
        <v>0.18874279999999999</v>
      </c>
      <c r="AZ316" s="310">
        <v>0.16985449999999999</v>
      </c>
      <c r="BA316" s="310">
        <v>0.1440022</v>
      </c>
      <c r="BB316" s="310">
        <v>0.1788729</v>
      </c>
      <c r="BC316" s="310">
        <v>0.19469629999999999</v>
      </c>
      <c r="BD316" s="310">
        <v>0.19068589999999999</v>
      </c>
      <c r="BE316" s="310">
        <v>0.18861230000000001</v>
      </c>
      <c r="BF316" s="310">
        <v>0.18677920000000001</v>
      </c>
      <c r="BG316" s="310">
        <v>0.18868950000000001</v>
      </c>
      <c r="BH316" s="310">
        <v>0.18427569999999999</v>
      </c>
      <c r="BI316" s="310">
        <v>0.1928395</v>
      </c>
      <c r="BJ316" s="310">
        <v>0.19451550000000001</v>
      </c>
      <c r="BK316" s="310">
        <v>0.1953117</v>
      </c>
    </row>
    <row r="317" spans="1:63" x14ac:dyDescent="0.25">
      <c r="A317" s="306">
        <v>483000</v>
      </c>
      <c r="B317" s="310" t="s">
        <v>754</v>
      </c>
      <c r="C317" s="310">
        <v>0.15127389999999999</v>
      </c>
      <c r="D317" s="310">
        <v>0.1007531</v>
      </c>
      <c r="E317" s="310">
        <v>0.13277510000000001</v>
      </c>
      <c r="F317" s="310">
        <v>0.126412</v>
      </c>
      <c r="G317" s="310">
        <v>0.13992060000000001</v>
      </c>
      <c r="H317" s="310">
        <v>0.14407110000000001</v>
      </c>
      <c r="I317" s="310">
        <v>0</v>
      </c>
      <c r="J317" s="310">
        <v>0.13534180000000001</v>
      </c>
      <c r="K317" s="310">
        <v>2.6214299999999999E-2</v>
      </c>
      <c r="L317" s="310">
        <v>0.1215244</v>
      </c>
      <c r="M317" s="310">
        <v>0.1452407</v>
      </c>
      <c r="N317" s="310">
        <v>0.14481579999999999</v>
      </c>
      <c r="O317" s="310">
        <v>0.121639</v>
      </c>
      <c r="P317" s="310">
        <v>0.1155717</v>
      </c>
      <c r="Q317" s="310">
        <v>0</v>
      </c>
      <c r="R317" s="310">
        <v>0.1169492</v>
      </c>
      <c r="S317" s="310">
        <v>8.6483199999999996E-2</v>
      </c>
      <c r="T317" s="310">
        <v>0</v>
      </c>
      <c r="U317" s="310">
        <v>0.10234020000000001</v>
      </c>
      <c r="V317" s="310">
        <v>0.11982370000000001</v>
      </c>
      <c r="W317" s="310">
        <v>0.1275512</v>
      </c>
      <c r="X317" s="310">
        <v>0.1231044</v>
      </c>
      <c r="Y317" s="310">
        <v>0.1513553</v>
      </c>
      <c r="Z317" s="310">
        <v>0.13833019999999999</v>
      </c>
      <c r="AA317" s="310">
        <v>0.11034040000000001</v>
      </c>
      <c r="AB317" s="310">
        <v>0.1070832</v>
      </c>
      <c r="AC317" s="310">
        <v>0.1053288</v>
      </c>
      <c r="AD317" s="310">
        <v>0</v>
      </c>
      <c r="AE317" s="310">
        <v>0.13475709999999999</v>
      </c>
      <c r="AF317" s="310">
        <v>0</v>
      </c>
      <c r="AG317" s="310">
        <v>0</v>
      </c>
      <c r="AH317" s="310">
        <v>0</v>
      </c>
      <c r="AI317" s="310">
        <v>0.1146479</v>
      </c>
      <c r="AJ317" s="310">
        <v>0.1513563</v>
      </c>
      <c r="AK317" s="310">
        <v>0.15132590000000001</v>
      </c>
      <c r="AL317" s="310">
        <v>0.10805140000000001</v>
      </c>
      <c r="AM317" s="310">
        <v>0.1111587</v>
      </c>
      <c r="AN317" s="310">
        <v>0</v>
      </c>
      <c r="AO317" s="310">
        <v>0.1230508</v>
      </c>
      <c r="AP317" s="310">
        <v>0.1102124</v>
      </c>
      <c r="AQ317" s="310">
        <v>0.13296050000000001</v>
      </c>
      <c r="AR317" s="310">
        <v>0.13704069999999999</v>
      </c>
      <c r="AS317" s="310">
        <v>0</v>
      </c>
      <c r="AT317" s="310">
        <v>0.11428049999999999</v>
      </c>
      <c r="AU317" s="310">
        <v>0.13256480000000001</v>
      </c>
      <c r="AV317" s="310">
        <v>0.150945</v>
      </c>
      <c r="AW317" s="310">
        <v>0.1312149</v>
      </c>
      <c r="AX317" s="310">
        <v>0.15134839999999999</v>
      </c>
      <c r="AY317" s="310">
        <v>0.1422197</v>
      </c>
      <c r="AZ317" s="310">
        <v>0.11733209999999999</v>
      </c>
      <c r="BA317" s="310">
        <v>8.5137299999999999E-2</v>
      </c>
      <c r="BB317" s="310">
        <v>0.1513118</v>
      </c>
      <c r="BC317" s="310">
        <v>0.14858769999999999</v>
      </c>
      <c r="BD317" s="310">
        <v>0.13103110000000001</v>
      </c>
      <c r="BE317" s="310">
        <v>0.1185324</v>
      </c>
      <c r="BF317" s="310">
        <v>0.1112988</v>
      </c>
      <c r="BG317" s="310">
        <v>0.14432049999999999</v>
      </c>
      <c r="BH317" s="310">
        <v>0.1207664</v>
      </c>
      <c r="BI317" s="310">
        <v>0.13028600000000001</v>
      </c>
      <c r="BJ317" s="310">
        <v>0.1443506</v>
      </c>
      <c r="BK317" s="310">
        <v>0.14583570000000001</v>
      </c>
    </row>
    <row r="318" spans="1:63" x14ac:dyDescent="0.25">
      <c r="A318" s="306">
        <v>484000</v>
      </c>
      <c r="B318" s="310" t="s">
        <v>755</v>
      </c>
      <c r="C318" s="310">
        <v>0.31505529999999998</v>
      </c>
      <c r="D318" s="310">
        <v>0.30356060000000001</v>
      </c>
      <c r="E318" s="310">
        <v>0.28814800000000002</v>
      </c>
      <c r="F318" s="310">
        <v>0.25809840000000001</v>
      </c>
      <c r="G318" s="310">
        <v>0.28536450000000002</v>
      </c>
      <c r="H318" s="310">
        <v>0.30876169999999997</v>
      </c>
      <c r="I318" s="310">
        <v>0.30163620000000002</v>
      </c>
      <c r="J318" s="310">
        <v>0.2883117</v>
      </c>
      <c r="K318" s="310">
        <v>5.7617700000000001E-2</v>
      </c>
      <c r="L318" s="310">
        <v>0.23408889999999999</v>
      </c>
      <c r="M318" s="310">
        <v>0.30365550000000002</v>
      </c>
      <c r="N318" s="310">
        <v>0.29254039999999998</v>
      </c>
      <c r="O318" s="310">
        <v>0.31278600000000001</v>
      </c>
      <c r="P318" s="310">
        <v>0.26703379999999999</v>
      </c>
      <c r="Q318" s="310">
        <v>0.28936830000000002</v>
      </c>
      <c r="R318" s="310">
        <v>0.28744760000000003</v>
      </c>
      <c r="S318" s="310">
        <v>0.27471950000000001</v>
      </c>
      <c r="T318" s="310">
        <v>0.23574870000000001</v>
      </c>
      <c r="U318" s="310">
        <v>0.2738737</v>
      </c>
      <c r="V318" s="310">
        <v>0.29460199999999997</v>
      </c>
      <c r="W318" s="310">
        <v>0.27907409999999999</v>
      </c>
      <c r="X318" s="310">
        <v>0.2786785</v>
      </c>
      <c r="Y318" s="310">
        <v>0.30827260000000001</v>
      </c>
      <c r="Z318" s="310">
        <v>0.30291129999999999</v>
      </c>
      <c r="AA318" s="310">
        <v>0.28205910000000001</v>
      </c>
      <c r="AB318" s="310">
        <v>0.26563900000000001</v>
      </c>
      <c r="AC318" s="310">
        <v>0.28636450000000002</v>
      </c>
      <c r="AD318" s="310">
        <v>0.29721760000000003</v>
      </c>
      <c r="AE318" s="310">
        <v>0.29262939999999998</v>
      </c>
      <c r="AF318" s="310">
        <v>0.26403710000000002</v>
      </c>
      <c r="AG318" s="310">
        <v>0.2351443</v>
      </c>
      <c r="AH318" s="310">
        <v>0.26867819999999998</v>
      </c>
      <c r="AI318" s="310">
        <v>0.27073570000000002</v>
      </c>
      <c r="AJ318" s="310">
        <v>0.293933</v>
      </c>
      <c r="AK318" s="310">
        <v>0.29310120000000001</v>
      </c>
      <c r="AL318" s="310">
        <v>0.2880934</v>
      </c>
      <c r="AM318" s="310">
        <v>0.28723700000000002</v>
      </c>
      <c r="AN318" s="310">
        <v>0.29041139999999999</v>
      </c>
      <c r="AO318" s="310">
        <v>0.26734910000000001</v>
      </c>
      <c r="AP318" s="310">
        <v>0.28911619999999999</v>
      </c>
      <c r="AQ318" s="310">
        <v>0.27245760000000002</v>
      </c>
      <c r="AR318" s="310">
        <v>0.29429470000000002</v>
      </c>
      <c r="AS318" s="310">
        <v>0.28465960000000001</v>
      </c>
      <c r="AT318" s="310">
        <v>0.26132319999999998</v>
      </c>
      <c r="AU318" s="310">
        <v>0.30419360000000001</v>
      </c>
      <c r="AV318" s="310">
        <v>0.2809642</v>
      </c>
      <c r="AW318" s="310">
        <v>0.28565279999999998</v>
      </c>
      <c r="AX318" s="310">
        <v>0.26487860000000002</v>
      </c>
      <c r="AY318" s="310">
        <v>0.29458509999999999</v>
      </c>
      <c r="AZ318" s="310">
        <v>0.27785199999999999</v>
      </c>
      <c r="BA318" s="310">
        <v>0.27294210000000002</v>
      </c>
      <c r="BB318" s="310">
        <v>0.29766409999999999</v>
      </c>
      <c r="BC318" s="310">
        <v>0.30844120000000003</v>
      </c>
      <c r="BD318" s="310">
        <v>0.30398760000000002</v>
      </c>
      <c r="BE318" s="310">
        <v>0.29904320000000001</v>
      </c>
      <c r="BF318" s="310">
        <v>0.28354940000000001</v>
      </c>
      <c r="BG318" s="310">
        <v>0.30616690000000002</v>
      </c>
      <c r="BH318" s="310">
        <v>0.28938160000000002</v>
      </c>
      <c r="BI318" s="310">
        <v>0.30229499999999998</v>
      </c>
      <c r="BJ318" s="310">
        <v>0.2982901</v>
      </c>
      <c r="BK318" s="310">
        <v>0.30889280000000002</v>
      </c>
    </row>
    <row r="319" spans="1:63" x14ac:dyDescent="0.25">
      <c r="A319" s="306" t="s">
        <v>756</v>
      </c>
      <c r="B319" s="310" t="s">
        <v>282</v>
      </c>
      <c r="C319" s="310">
        <v>0.3181563</v>
      </c>
      <c r="D319" s="310">
        <v>0.3181525</v>
      </c>
      <c r="E319" s="310">
        <v>0.30443989999999999</v>
      </c>
      <c r="F319" s="310">
        <v>0.30070160000000001</v>
      </c>
      <c r="G319" s="310">
        <v>0.30901289999999998</v>
      </c>
      <c r="H319" s="310">
        <v>0.31719570000000002</v>
      </c>
      <c r="I319" s="310">
        <v>0.31547760000000002</v>
      </c>
      <c r="J319" s="310">
        <v>0.30585390000000001</v>
      </c>
      <c r="K319" s="310">
        <v>5.9027799999999998E-2</v>
      </c>
      <c r="L319" s="310">
        <v>0.27758389999999999</v>
      </c>
      <c r="M319" s="310">
        <v>0.31676650000000001</v>
      </c>
      <c r="N319" s="310">
        <v>0.31441819999999998</v>
      </c>
      <c r="O319" s="310">
        <v>0.31815700000000002</v>
      </c>
      <c r="P319" s="310">
        <v>0.29826770000000002</v>
      </c>
      <c r="Q319" s="310">
        <v>0.31686540000000002</v>
      </c>
      <c r="R319" s="310">
        <v>0.31171700000000002</v>
      </c>
      <c r="S319" s="310">
        <v>0.30126829999999999</v>
      </c>
      <c r="T319" s="310">
        <v>0.27519579999999999</v>
      </c>
      <c r="U319" s="310">
        <v>0.28631220000000002</v>
      </c>
      <c r="V319" s="310">
        <v>0.31315080000000001</v>
      </c>
      <c r="W319" s="310">
        <v>0.30645869999999997</v>
      </c>
      <c r="X319" s="310">
        <v>0.29938720000000002</v>
      </c>
      <c r="Y319" s="310">
        <v>0.3099151</v>
      </c>
      <c r="Z319" s="310">
        <v>0.3139634</v>
      </c>
      <c r="AA319" s="310">
        <v>0.31154769999999998</v>
      </c>
      <c r="AB319" s="310">
        <v>0.29240820000000001</v>
      </c>
      <c r="AC319" s="310">
        <v>0.3132643</v>
      </c>
      <c r="AD319" s="310">
        <v>0.31765880000000002</v>
      </c>
      <c r="AE319" s="310">
        <v>0.30731710000000001</v>
      </c>
      <c r="AF319" s="310">
        <v>0.2901841</v>
      </c>
      <c r="AG319" s="310">
        <v>0.28808709999999998</v>
      </c>
      <c r="AH319" s="310">
        <v>0.30535299999999999</v>
      </c>
      <c r="AI319" s="310">
        <v>0.2979523</v>
      </c>
      <c r="AJ319" s="310">
        <v>0.31493860000000001</v>
      </c>
      <c r="AK319" s="310">
        <v>0.31430570000000002</v>
      </c>
      <c r="AL319" s="310">
        <v>0.30314799999999997</v>
      </c>
      <c r="AM319" s="310">
        <v>0.30846899999999999</v>
      </c>
      <c r="AN319" s="310">
        <v>0.30367509999999998</v>
      </c>
      <c r="AO319" s="310">
        <v>0.3011588</v>
      </c>
      <c r="AP319" s="310">
        <v>0.30551129999999999</v>
      </c>
      <c r="AQ319" s="310">
        <v>0.28321469999999999</v>
      </c>
      <c r="AR319" s="310">
        <v>0.30552800000000002</v>
      </c>
      <c r="AS319" s="310">
        <v>0.31572329999999998</v>
      </c>
      <c r="AT319" s="310">
        <v>0.30353219999999997</v>
      </c>
      <c r="AU319" s="310">
        <v>0.315747</v>
      </c>
      <c r="AV319" s="310">
        <v>0.31355149999999998</v>
      </c>
      <c r="AW319" s="310">
        <v>0.25722420000000001</v>
      </c>
      <c r="AX319" s="310">
        <v>0.2938846</v>
      </c>
      <c r="AY319" s="310">
        <v>0.3103535</v>
      </c>
      <c r="AZ319" s="310">
        <v>0.31509609999999999</v>
      </c>
      <c r="BA319" s="310">
        <v>0.28730319999999998</v>
      </c>
      <c r="BB319" s="310">
        <v>0.27509810000000001</v>
      </c>
      <c r="BC319" s="310">
        <v>0.31529190000000001</v>
      </c>
      <c r="BD319" s="310">
        <v>0.3162507</v>
      </c>
      <c r="BE319" s="310">
        <v>0.31536589999999998</v>
      </c>
      <c r="BF319" s="310">
        <v>0.30731059999999999</v>
      </c>
      <c r="BG319" s="310">
        <v>0.31512050000000003</v>
      </c>
      <c r="BH319" s="310">
        <v>0.30608730000000001</v>
      </c>
      <c r="BI319" s="310">
        <v>0.3159325</v>
      </c>
      <c r="BJ319" s="310">
        <v>0.31612109999999999</v>
      </c>
      <c r="BK319" s="310">
        <v>0.3169476</v>
      </c>
    </row>
    <row r="320" spans="1:63" x14ac:dyDescent="0.25">
      <c r="A320" s="306">
        <v>486000</v>
      </c>
      <c r="B320" s="310" t="s">
        <v>757</v>
      </c>
      <c r="C320" s="310">
        <v>0.21543709999999999</v>
      </c>
      <c r="D320" s="310">
        <v>0.20471909999999999</v>
      </c>
      <c r="E320" s="310">
        <v>0.2040421</v>
      </c>
      <c r="F320" s="310">
        <v>0.19562860000000001</v>
      </c>
      <c r="G320" s="310">
        <v>0.20590420000000001</v>
      </c>
      <c r="H320" s="310">
        <v>0.20664540000000001</v>
      </c>
      <c r="I320" s="310">
        <v>0.20183129999999999</v>
      </c>
      <c r="J320" s="310">
        <v>0.2047464</v>
      </c>
      <c r="K320" s="310">
        <v>3.7326400000000003E-2</v>
      </c>
      <c r="L320" s="310">
        <v>0.18621389999999999</v>
      </c>
      <c r="M320" s="310">
        <v>0.2000953</v>
      </c>
      <c r="N320" s="310">
        <v>0.20303930000000001</v>
      </c>
      <c r="O320" s="310">
        <v>0</v>
      </c>
      <c r="P320" s="310">
        <v>0.20046700000000001</v>
      </c>
      <c r="Q320" s="310">
        <v>0.2154693</v>
      </c>
      <c r="R320" s="310">
        <v>0.18280370000000001</v>
      </c>
      <c r="S320" s="310">
        <v>0.20036390000000001</v>
      </c>
      <c r="T320" s="310">
        <v>0.2009097</v>
      </c>
      <c r="U320" s="310">
        <v>0.2013267</v>
      </c>
      <c r="V320" s="310">
        <v>0.2072851</v>
      </c>
      <c r="W320" s="310">
        <v>0.19810230000000001</v>
      </c>
      <c r="X320" s="310">
        <v>0.2054165</v>
      </c>
      <c r="Y320" s="310">
        <v>0.15574650000000001</v>
      </c>
      <c r="Z320" s="310">
        <v>0.2134306</v>
      </c>
      <c r="AA320" s="310">
        <v>0.1667834</v>
      </c>
      <c r="AB320" s="310">
        <v>0.2044936</v>
      </c>
      <c r="AC320" s="310">
        <v>0.2070042</v>
      </c>
      <c r="AD320" s="310">
        <v>0.20780940000000001</v>
      </c>
      <c r="AE320" s="310">
        <v>0.1966967</v>
      </c>
      <c r="AF320" s="310">
        <v>0.2094964</v>
      </c>
      <c r="AG320" s="310">
        <v>0.20519960000000001</v>
      </c>
      <c r="AH320" s="310">
        <v>7.8564999999999996E-2</v>
      </c>
      <c r="AI320" s="310">
        <v>0.20523250000000001</v>
      </c>
      <c r="AJ320" s="310">
        <v>0.20412569999999999</v>
      </c>
      <c r="AK320" s="310">
        <v>0.2154594</v>
      </c>
      <c r="AL320" s="310">
        <v>0.19743620000000001</v>
      </c>
      <c r="AM320" s="310">
        <v>0.20391010000000001</v>
      </c>
      <c r="AN320" s="310">
        <v>0.2121653</v>
      </c>
      <c r="AO320" s="310">
        <v>0.215444</v>
      </c>
      <c r="AP320" s="310">
        <v>0.20351079999999999</v>
      </c>
      <c r="AQ320" s="310">
        <v>0.21377350000000001</v>
      </c>
      <c r="AR320" s="310">
        <v>0.21227670000000001</v>
      </c>
      <c r="AS320" s="310">
        <v>0.21544740000000001</v>
      </c>
      <c r="AT320" s="310">
        <v>0.17884639999999999</v>
      </c>
      <c r="AU320" s="310">
        <v>0.210815</v>
      </c>
      <c r="AV320" s="310">
        <v>0.21262439999999999</v>
      </c>
      <c r="AW320" s="310">
        <v>0.1904672</v>
      </c>
      <c r="AX320" s="310">
        <v>0</v>
      </c>
      <c r="AY320" s="310">
        <v>0.1814199</v>
      </c>
      <c r="AZ320" s="310">
        <v>0.18423590000000001</v>
      </c>
      <c r="BA320" s="310">
        <v>0.2028576</v>
      </c>
      <c r="BB320" s="310">
        <v>0.20837929999999999</v>
      </c>
      <c r="BC320" s="310">
        <v>0.19836780000000001</v>
      </c>
      <c r="BD320" s="310">
        <v>0.20778550000000001</v>
      </c>
      <c r="BE320" s="310">
        <v>0.2095255</v>
      </c>
      <c r="BF320" s="310">
        <v>0.20186950000000001</v>
      </c>
      <c r="BG320" s="310">
        <v>0.20798800000000001</v>
      </c>
      <c r="BH320" s="310">
        <v>0.20709730000000001</v>
      </c>
      <c r="BI320" s="310">
        <v>0.2123351</v>
      </c>
      <c r="BJ320" s="310">
        <v>0.2110688</v>
      </c>
      <c r="BK320" s="310">
        <v>0.2089578</v>
      </c>
    </row>
    <row r="321" spans="1:63" x14ac:dyDescent="0.25">
      <c r="A321" s="306" t="s">
        <v>758</v>
      </c>
      <c r="B321" s="310" t="s">
        <v>283</v>
      </c>
      <c r="C321" s="310">
        <v>0.44120130000000002</v>
      </c>
      <c r="D321" s="310">
        <v>0.39805390000000002</v>
      </c>
      <c r="E321" s="310">
        <v>0.41913470000000003</v>
      </c>
      <c r="F321" s="310">
        <v>0.41843069999999999</v>
      </c>
      <c r="G321" s="310">
        <v>0.43034719999999999</v>
      </c>
      <c r="H321" s="310">
        <v>0.43673659999999997</v>
      </c>
      <c r="I321" s="310">
        <v>0.43558839999999999</v>
      </c>
      <c r="J321" s="310">
        <v>0.36929149999999999</v>
      </c>
      <c r="K321" s="310">
        <v>7.6499499999999998E-2</v>
      </c>
      <c r="L321" s="310">
        <v>0.36100369999999998</v>
      </c>
      <c r="M321" s="310">
        <v>0.43558930000000001</v>
      </c>
      <c r="N321" s="310">
        <v>0.42580600000000002</v>
      </c>
      <c r="O321" s="310">
        <v>0.43926530000000003</v>
      </c>
      <c r="P321" s="310">
        <v>0.37882320000000003</v>
      </c>
      <c r="Q321" s="310">
        <v>0.4286604</v>
      </c>
      <c r="R321" s="310">
        <v>0.41303319999999999</v>
      </c>
      <c r="S321" s="310">
        <v>0.40244600000000003</v>
      </c>
      <c r="T321" s="310">
        <v>0.37572509999999998</v>
      </c>
      <c r="U321" s="310">
        <v>0.344837</v>
      </c>
      <c r="V321" s="310">
        <v>0.4079739</v>
      </c>
      <c r="W321" s="310">
        <v>0.39124599999999998</v>
      </c>
      <c r="X321" s="310">
        <v>0.40637450000000003</v>
      </c>
      <c r="Y321" s="310">
        <v>0.42934099999999997</v>
      </c>
      <c r="Z321" s="310">
        <v>0.4302974</v>
      </c>
      <c r="AA321" s="310">
        <v>0.42304609999999998</v>
      </c>
      <c r="AB321" s="310">
        <v>0.37020239999999999</v>
      </c>
      <c r="AC321" s="310">
        <v>0.39611839999999998</v>
      </c>
      <c r="AD321" s="310">
        <v>0.43968390000000002</v>
      </c>
      <c r="AE321" s="310">
        <v>0.42131360000000001</v>
      </c>
      <c r="AF321" s="310">
        <v>0.38177240000000001</v>
      </c>
      <c r="AG321" s="310">
        <v>0.40229789999999999</v>
      </c>
      <c r="AH321" s="310">
        <v>0.38880140000000002</v>
      </c>
      <c r="AI321" s="310">
        <v>0.38621100000000003</v>
      </c>
      <c r="AJ321" s="310">
        <v>0.43446479999999998</v>
      </c>
      <c r="AK321" s="310">
        <v>0.42263460000000003</v>
      </c>
      <c r="AL321" s="310">
        <v>0.3969896</v>
      </c>
      <c r="AM321" s="310">
        <v>0.4215178</v>
      </c>
      <c r="AN321" s="310">
        <v>0.43138949999999998</v>
      </c>
      <c r="AO321" s="310">
        <v>0.37053079999999999</v>
      </c>
      <c r="AP321" s="310">
        <v>0.39128649999999998</v>
      </c>
      <c r="AQ321" s="310">
        <v>0.38143959999999999</v>
      </c>
      <c r="AR321" s="310">
        <v>0.42062880000000002</v>
      </c>
      <c r="AS321" s="310">
        <v>0.4052309</v>
      </c>
      <c r="AT321" s="310">
        <v>0.37490699999999999</v>
      </c>
      <c r="AU321" s="310">
        <v>0.43153069999999999</v>
      </c>
      <c r="AV321" s="310">
        <v>0.43115340000000002</v>
      </c>
      <c r="AW321" s="310">
        <v>0.39886890000000003</v>
      </c>
      <c r="AX321" s="310">
        <v>0.41701369999999999</v>
      </c>
      <c r="AY321" s="310">
        <v>0.43651709999999999</v>
      </c>
      <c r="AZ321" s="310">
        <v>0.41533619999999999</v>
      </c>
      <c r="BA321" s="310">
        <v>0.36861339999999998</v>
      </c>
      <c r="BB321" s="310">
        <v>0.38070019999999999</v>
      </c>
      <c r="BC321" s="310">
        <v>0.42466140000000002</v>
      </c>
      <c r="BD321" s="310">
        <v>0.42863990000000002</v>
      </c>
      <c r="BE321" s="310">
        <v>0.42867880000000003</v>
      </c>
      <c r="BF321" s="310">
        <v>0.4159872</v>
      </c>
      <c r="BG321" s="310">
        <v>0.43526599999999999</v>
      </c>
      <c r="BH321" s="310">
        <v>0.40843010000000002</v>
      </c>
      <c r="BI321" s="310">
        <v>0.4300987</v>
      </c>
      <c r="BJ321" s="310">
        <v>0.43405860000000002</v>
      </c>
      <c r="BK321" s="310">
        <v>0.43860130000000003</v>
      </c>
    </row>
    <row r="322" spans="1:63" x14ac:dyDescent="0.25">
      <c r="A322" s="306">
        <v>491000</v>
      </c>
      <c r="B322" s="310" t="s">
        <v>759</v>
      </c>
      <c r="C322" s="310">
        <v>0.62439409999999995</v>
      </c>
      <c r="D322" s="310">
        <v>0.62156619999999996</v>
      </c>
      <c r="E322" s="310">
        <v>0.61323079999999996</v>
      </c>
      <c r="F322" s="310">
        <v>0.60463389999999995</v>
      </c>
      <c r="G322" s="310">
        <v>0.61666209999999999</v>
      </c>
      <c r="H322" s="310">
        <v>0.62232759999999998</v>
      </c>
      <c r="I322" s="310">
        <v>0.62199280000000001</v>
      </c>
      <c r="J322" s="310">
        <v>0.60695060000000001</v>
      </c>
      <c r="K322" s="310">
        <v>0.10708479999999999</v>
      </c>
      <c r="L322" s="310">
        <v>0.57029079999999999</v>
      </c>
      <c r="M322" s="310">
        <v>0.621475</v>
      </c>
      <c r="N322" s="310">
        <v>0.60576059999999998</v>
      </c>
      <c r="O322" s="310">
        <v>0.62445819999999996</v>
      </c>
      <c r="P322" s="310">
        <v>0.60170290000000004</v>
      </c>
      <c r="Q322" s="310">
        <v>0.61646659999999998</v>
      </c>
      <c r="R322" s="310">
        <v>0.60659070000000004</v>
      </c>
      <c r="S322" s="310">
        <v>0.60251270000000001</v>
      </c>
      <c r="T322" s="310">
        <v>0.56833999999999996</v>
      </c>
      <c r="U322" s="310">
        <v>0.58033199999999996</v>
      </c>
      <c r="V322" s="310">
        <v>0.61614119999999994</v>
      </c>
      <c r="W322" s="310">
        <v>0.60039980000000004</v>
      </c>
      <c r="X322" s="310">
        <v>0.59424659999999996</v>
      </c>
      <c r="Y322" s="310">
        <v>0.62059690000000001</v>
      </c>
      <c r="Z322" s="310">
        <v>0.62106689999999998</v>
      </c>
      <c r="AA322" s="310">
        <v>0.60682829999999999</v>
      </c>
      <c r="AB322" s="310">
        <v>0.56064550000000002</v>
      </c>
      <c r="AC322" s="310">
        <v>0.61504139999999996</v>
      </c>
      <c r="AD322" s="310">
        <v>0.62426340000000002</v>
      </c>
      <c r="AE322" s="310">
        <v>0.61296189999999995</v>
      </c>
      <c r="AF322" s="310">
        <v>0.58018650000000005</v>
      </c>
      <c r="AG322" s="310">
        <v>0.58119419999999999</v>
      </c>
      <c r="AH322" s="310">
        <v>0.58122010000000002</v>
      </c>
      <c r="AI322" s="310">
        <v>0.59493450000000003</v>
      </c>
      <c r="AJ322" s="310">
        <v>0.61986620000000003</v>
      </c>
      <c r="AK322" s="310">
        <v>0.62040439999999997</v>
      </c>
      <c r="AL322" s="310">
        <v>0.60215450000000004</v>
      </c>
      <c r="AM322" s="310">
        <v>0.59579420000000005</v>
      </c>
      <c r="AN322" s="310">
        <v>0.61672130000000003</v>
      </c>
      <c r="AO322" s="310">
        <v>0.58871700000000005</v>
      </c>
      <c r="AP322" s="310">
        <v>0.59804179999999996</v>
      </c>
      <c r="AQ322" s="310">
        <v>0.56759490000000001</v>
      </c>
      <c r="AR322" s="310">
        <v>0.60401530000000003</v>
      </c>
      <c r="AS322" s="310">
        <v>0.61169200000000001</v>
      </c>
      <c r="AT322" s="310">
        <v>0.58898569999999995</v>
      </c>
      <c r="AU322" s="310">
        <v>0.62086739999999996</v>
      </c>
      <c r="AV322" s="310">
        <v>0.61991110000000005</v>
      </c>
      <c r="AW322" s="310">
        <v>0.56535449999999998</v>
      </c>
      <c r="AX322" s="310">
        <v>0.54270529999999995</v>
      </c>
      <c r="AY322" s="310">
        <v>0.61329820000000002</v>
      </c>
      <c r="AZ322" s="310">
        <v>0.61359490000000005</v>
      </c>
      <c r="BA322" s="310">
        <v>0.58261280000000004</v>
      </c>
      <c r="BB322" s="310">
        <v>0.60913130000000004</v>
      </c>
      <c r="BC322" s="310">
        <v>0.62148479999999995</v>
      </c>
      <c r="BD322" s="310">
        <v>0.62059399999999998</v>
      </c>
      <c r="BE322" s="310">
        <v>0.61472859999999996</v>
      </c>
      <c r="BF322" s="310">
        <v>0.60736699999999999</v>
      </c>
      <c r="BG322" s="310">
        <v>0.61914100000000005</v>
      </c>
      <c r="BH322" s="310">
        <v>0.60353699999999999</v>
      </c>
      <c r="BI322" s="310">
        <v>0.62083410000000006</v>
      </c>
      <c r="BJ322" s="310">
        <v>0.62167749999999999</v>
      </c>
      <c r="BK322" s="310">
        <v>0.6219403</v>
      </c>
    </row>
    <row r="323" spans="1:63" x14ac:dyDescent="0.25">
      <c r="A323" s="306">
        <v>492000</v>
      </c>
      <c r="B323" s="310" t="s">
        <v>284</v>
      </c>
      <c r="C323" s="310">
        <v>0.3045795</v>
      </c>
      <c r="D323" s="310">
        <v>0.28241240000000001</v>
      </c>
      <c r="E323" s="310">
        <v>0.29627019999999998</v>
      </c>
      <c r="F323" s="310">
        <v>0.28881639999999997</v>
      </c>
      <c r="G323" s="310">
        <v>0.29865730000000001</v>
      </c>
      <c r="H323" s="310">
        <v>0.30071809999999999</v>
      </c>
      <c r="I323" s="310">
        <v>0.30104150000000002</v>
      </c>
      <c r="J323" s="310">
        <v>0.28463080000000002</v>
      </c>
      <c r="K323" s="310">
        <v>6.7069400000000001E-2</v>
      </c>
      <c r="L323" s="310">
        <v>0.23487520000000001</v>
      </c>
      <c r="M323" s="310">
        <v>0.30199330000000002</v>
      </c>
      <c r="N323" s="310">
        <v>0.29494860000000001</v>
      </c>
      <c r="O323" s="310">
        <v>0.30458610000000003</v>
      </c>
      <c r="P323" s="310">
        <v>0.2933115</v>
      </c>
      <c r="Q323" s="310">
        <v>0.29071960000000002</v>
      </c>
      <c r="R323" s="310">
        <v>0.29129189999999999</v>
      </c>
      <c r="S323" s="310">
        <v>0.29603760000000001</v>
      </c>
      <c r="T323" s="310">
        <v>0.21893760000000001</v>
      </c>
      <c r="U323" s="310">
        <v>0.24421329999999999</v>
      </c>
      <c r="V323" s="310">
        <v>0.3029481</v>
      </c>
      <c r="W323" s="310">
        <v>0.2830124</v>
      </c>
      <c r="X323" s="310">
        <v>0.2840435</v>
      </c>
      <c r="Y323" s="310">
        <v>0.29865170000000002</v>
      </c>
      <c r="Z323" s="310">
        <v>0.30150549999999998</v>
      </c>
      <c r="AA323" s="310">
        <v>0.29661660000000001</v>
      </c>
      <c r="AB323" s="310">
        <v>0.28149069999999998</v>
      </c>
      <c r="AC323" s="310">
        <v>0.29030869999999998</v>
      </c>
      <c r="AD323" s="310">
        <v>0.30011939999999998</v>
      </c>
      <c r="AE323" s="310">
        <v>0.3005408</v>
      </c>
      <c r="AF323" s="310">
        <v>0.26167790000000002</v>
      </c>
      <c r="AG323" s="310">
        <v>0.2666866</v>
      </c>
      <c r="AH323" s="310">
        <v>0.2914562</v>
      </c>
      <c r="AI323" s="310">
        <v>0.26606259999999998</v>
      </c>
      <c r="AJ323" s="310">
        <v>0.28028979999999998</v>
      </c>
      <c r="AK323" s="310">
        <v>0.29934909999999998</v>
      </c>
      <c r="AL323" s="310">
        <v>0.280221</v>
      </c>
      <c r="AM323" s="310">
        <v>0.2846668</v>
      </c>
      <c r="AN323" s="310">
        <v>0.30101040000000001</v>
      </c>
      <c r="AO323" s="310">
        <v>0.26443850000000002</v>
      </c>
      <c r="AP323" s="310">
        <v>0.28130349999999998</v>
      </c>
      <c r="AQ323" s="310">
        <v>0.26519140000000002</v>
      </c>
      <c r="AR323" s="310">
        <v>0.29941820000000002</v>
      </c>
      <c r="AS323" s="310">
        <v>0.29549769999999997</v>
      </c>
      <c r="AT323" s="310">
        <v>0.2459382</v>
      </c>
      <c r="AU323" s="310">
        <v>0.3016993</v>
      </c>
      <c r="AV323" s="310">
        <v>0.30316389999999999</v>
      </c>
      <c r="AW323" s="310">
        <v>0.276395</v>
      </c>
      <c r="AX323" s="310">
        <v>0.29792869999999999</v>
      </c>
      <c r="AY323" s="310">
        <v>0.2974349</v>
      </c>
      <c r="AZ323" s="310">
        <v>0.30135030000000002</v>
      </c>
      <c r="BA323" s="310">
        <v>0.26968350000000002</v>
      </c>
      <c r="BB323" s="310">
        <v>0.29909010000000003</v>
      </c>
      <c r="BC323" s="310">
        <v>0.30181570000000002</v>
      </c>
      <c r="BD323" s="310">
        <v>0.29983510000000002</v>
      </c>
      <c r="BE323" s="310">
        <v>0.29781990000000003</v>
      </c>
      <c r="BF323" s="310">
        <v>0.29590420000000001</v>
      </c>
      <c r="BG323" s="310">
        <v>0.29931619999999998</v>
      </c>
      <c r="BH323" s="310">
        <v>0.26141560000000003</v>
      </c>
      <c r="BI323" s="310">
        <v>0.30204389999999998</v>
      </c>
      <c r="BJ323" s="310">
        <v>0.30007869999999998</v>
      </c>
      <c r="BK323" s="310">
        <v>0.30126730000000002</v>
      </c>
    </row>
    <row r="324" spans="1:63" x14ac:dyDescent="0.25">
      <c r="A324" s="306">
        <v>493000</v>
      </c>
      <c r="B324" s="310" t="s">
        <v>285</v>
      </c>
      <c r="C324" s="310">
        <v>0.4378573</v>
      </c>
      <c r="D324" s="310">
        <v>0.42230040000000002</v>
      </c>
      <c r="E324" s="310">
        <v>0.4247282</v>
      </c>
      <c r="F324" s="310">
        <v>0.41022409999999998</v>
      </c>
      <c r="G324" s="310">
        <v>0.42393570000000003</v>
      </c>
      <c r="H324" s="310">
        <v>0.43487350000000002</v>
      </c>
      <c r="I324" s="310">
        <v>0.43643389999999999</v>
      </c>
      <c r="J324" s="310">
        <v>0.376168</v>
      </c>
      <c r="K324" s="310">
        <v>0.1006745</v>
      </c>
      <c r="L324" s="310">
        <v>0.33677240000000003</v>
      </c>
      <c r="M324" s="310">
        <v>0.43184090000000003</v>
      </c>
      <c r="N324" s="310">
        <v>0.4301758</v>
      </c>
      <c r="O324" s="310">
        <v>0.42971340000000002</v>
      </c>
      <c r="P324" s="310">
        <v>0.42048429999999998</v>
      </c>
      <c r="Q324" s="310">
        <v>0.4222687</v>
      </c>
      <c r="R324" s="310">
        <v>0.41399799999999998</v>
      </c>
      <c r="S324" s="310">
        <v>0.41752929999999999</v>
      </c>
      <c r="T324" s="310">
        <v>0.40109499999999998</v>
      </c>
      <c r="U324" s="310">
        <v>0.3933874</v>
      </c>
      <c r="V324" s="310">
        <v>0.43064219999999998</v>
      </c>
      <c r="W324" s="310">
        <v>0.37482019999999999</v>
      </c>
      <c r="X324" s="310">
        <v>0.4054855</v>
      </c>
      <c r="Y324" s="310">
        <v>0.41619669999999998</v>
      </c>
      <c r="Z324" s="310">
        <v>0.43098310000000001</v>
      </c>
      <c r="AA324" s="310">
        <v>0.4238885</v>
      </c>
      <c r="AB324" s="310">
        <v>0.3858896</v>
      </c>
      <c r="AC324" s="310">
        <v>0.39922200000000002</v>
      </c>
      <c r="AD324" s="310">
        <v>0.42951070000000002</v>
      </c>
      <c r="AE324" s="310">
        <v>0.41287849999999998</v>
      </c>
      <c r="AF324" s="310">
        <v>0.42333710000000002</v>
      </c>
      <c r="AG324" s="310">
        <v>0.41785240000000001</v>
      </c>
      <c r="AH324" s="310">
        <v>0.4245121</v>
      </c>
      <c r="AI324" s="310">
        <v>0.39644230000000003</v>
      </c>
      <c r="AJ324" s="310">
        <v>0.39926440000000002</v>
      </c>
      <c r="AK324" s="310">
        <v>0.4238266</v>
      </c>
      <c r="AL324" s="310">
        <v>0.40098109999999998</v>
      </c>
      <c r="AM324" s="310">
        <v>0.42807070000000003</v>
      </c>
      <c r="AN324" s="310">
        <v>0.42716359999999998</v>
      </c>
      <c r="AO324" s="310">
        <v>0.38498500000000002</v>
      </c>
      <c r="AP324" s="310">
        <v>0.41413919999999999</v>
      </c>
      <c r="AQ324" s="310">
        <v>0.43199349999999997</v>
      </c>
      <c r="AR324" s="310">
        <v>0.41581980000000002</v>
      </c>
      <c r="AS324" s="310">
        <v>0.42313099999999998</v>
      </c>
      <c r="AT324" s="310">
        <v>0.39708179999999998</v>
      </c>
      <c r="AU324" s="310">
        <v>0.43480839999999998</v>
      </c>
      <c r="AV324" s="310">
        <v>0.42629660000000003</v>
      </c>
      <c r="AW324" s="310">
        <v>0.40546650000000001</v>
      </c>
      <c r="AX324" s="310">
        <v>0.3146349</v>
      </c>
      <c r="AY324" s="310">
        <v>0.43082419999999999</v>
      </c>
      <c r="AZ324" s="310">
        <v>0.43328680000000003</v>
      </c>
      <c r="BA324" s="310">
        <v>0.4148751</v>
      </c>
      <c r="BB324" s="310">
        <v>0.40221400000000002</v>
      </c>
      <c r="BC324" s="310">
        <v>0.43523669999999998</v>
      </c>
      <c r="BD324" s="310">
        <v>0.4297533</v>
      </c>
      <c r="BE324" s="310">
        <v>0.43117040000000001</v>
      </c>
      <c r="BF324" s="310">
        <v>0.4270388</v>
      </c>
      <c r="BG324" s="310">
        <v>0.43317090000000003</v>
      </c>
      <c r="BH324" s="310">
        <v>0.41639619999999999</v>
      </c>
      <c r="BI324" s="310">
        <v>0.43341489999999999</v>
      </c>
      <c r="BJ324" s="310">
        <v>0.42823670000000003</v>
      </c>
      <c r="BK324" s="310">
        <v>0.43431560000000002</v>
      </c>
    </row>
    <row r="325" spans="1:63" x14ac:dyDescent="0.25">
      <c r="A325" s="306" t="s">
        <v>760</v>
      </c>
      <c r="B325" s="310" t="s">
        <v>761</v>
      </c>
      <c r="C325" s="310">
        <v>0.35249200000000003</v>
      </c>
      <c r="D325" s="310">
        <v>0.34776010000000002</v>
      </c>
      <c r="E325" s="310">
        <v>0.34399560000000001</v>
      </c>
      <c r="F325" s="310">
        <v>0.33901439999999999</v>
      </c>
      <c r="G325" s="310">
        <v>0.34958400000000001</v>
      </c>
      <c r="H325" s="310">
        <v>0.3505952</v>
      </c>
      <c r="I325" s="310">
        <v>0.35</v>
      </c>
      <c r="J325" s="310">
        <v>0.32837640000000001</v>
      </c>
      <c r="K325" s="310">
        <v>0.1094654</v>
      </c>
      <c r="L325" s="310">
        <v>0.28518199999999999</v>
      </c>
      <c r="M325" s="310">
        <v>0.35030240000000001</v>
      </c>
      <c r="N325" s="310">
        <v>0.34449170000000001</v>
      </c>
      <c r="O325" s="310">
        <v>0.3506724</v>
      </c>
      <c r="P325" s="310">
        <v>0.33570499999999998</v>
      </c>
      <c r="Q325" s="310">
        <v>0.3436824</v>
      </c>
      <c r="R325" s="310">
        <v>0.3404471</v>
      </c>
      <c r="S325" s="310">
        <v>0.33940239999999999</v>
      </c>
      <c r="T325" s="310">
        <v>0.3194824</v>
      </c>
      <c r="U325" s="310">
        <v>0.32900869999999999</v>
      </c>
      <c r="V325" s="310">
        <v>0.34671679999999999</v>
      </c>
      <c r="W325" s="310">
        <v>0.32734000000000002</v>
      </c>
      <c r="X325" s="310">
        <v>0.32304060000000001</v>
      </c>
      <c r="Y325" s="310">
        <v>0.3468194</v>
      </c>
      <c r="Z325" s="310">
        <v>0.34909889999999999</v>
      </c>
      <c r="AA325" s="310">
        <v>0.34325620000000001</v>
      </c>
      <c r="AB325" s="310">
        <v>0.32356940000000001</v>
      </c>
      <c r="AC325" s="310">
        <v>0.33816780000000002</v>
      </c>
      <c r="AD325" s="310">
        <v>0.35040359999999998</v>
      </c>
      <c r="AE325" s="310">
        <v>0.34390920000000003</v>
      </c>
      <c r="AF325" s="310">
        <v>0.32447720000000002</v>
      </c>
      <c r="AG325" s="310">
        <v>0.34029480000000001</v>
      </c>
      <c r="AH325" s="310">
        <v>0.31408219999999998</v>
      </c>
      <c r="AI325" s="310">
        <v>0.32228889999999999</v>
      </c>
      <c r="AJ325" s="310">
        <v>0.3485605</v>
      </c>
      <c r="AK325" s="310">
        <v>0.34568100000000002</v>
      </c>
      <c r="AL325" s="310">
        <v>0.32449509999999998</v>
      </c>
      <c r="AM325" s="310">
        <v>0.34193020000000002</v>
      </c>
      <c r="AN325" s="310">
        <v>0.34889629999999999</v>
      </c>
      <c r="AO325" s="310">
        <v>0.33374140000000002</v>
      </c>
      <c r="AP325" s="310">
        <v>0.33658500000000002</v>
      </c>
      <c r="AQ325" s="310">
        <v>0.30889640000000002</v>
      </c>
      <c r="AR325" s="310">
        <v>0.34200970000000003</v>
      </c>
      <c r="AS325" s="310">
        <v>0.34109929999999999</v>
      </c>
      <c r="AT325" s="310">
        <v>0.33468379999999998</v>
      </c>
      <c r="AU325" s="310">
        <v>0.34979519999999997</v>
      </c>
      <c r="AV325" s="310">
        <v>0.3491957</v>
      </c>
      <c r="AW325" s="310">
        <v>0.3263086</v>
      </c>
      <c r="AX325" s="310">
        <v>0.3256154</v>
      </c>
      <c r="AY325" s="310">
        <v>0.34705609999999998</v>
      </c>
      <c r="AZ325" s="310">
        <v>0.34518470000000001</v>
      </c>
      <c r="BA325" s="310">
        <v>0.32308199999999998</v>
      </c>
      <c r="BB325" s="310">
        <v>0.34264460000000002</v>
      </c>
      <c r="BC325" s="310">
        <v>0.34712110000000002</v>
      </c>
      <c r="BD325" s="310">
        <v>0.34645500000000001</v>
      </c>
      <c r="BE325" s="310">
        <v>0.34781010000000001</v>
      </c>
      <c r="BF325" s="310">
        <v>0.34458109999999997</v>
      </c>
      <c r="BG325" s="310">
        <v>0.34870060000000003</v>
      </c>
      <c r="BH325" s="310">
        <v>0.34229569999999998</v>
      </c>
      <c r="BI325" s="310">
        <v>0.35007100000000002</v>
      </c>
      <c r="BJ325" s="310">
        <v>0.34979919999999998</v>
      </c>
      <c r="BK325" s="310">
        <v>0.3506686</v>
      </c>
    </row>
    <row r="326" spans="1:63" x14ac:dyDescent="0.25">
      <c r="A326" s="306">
        <v>511110</v>
      </c>
      <c r="B326" s="310" t="s">
        <v>286</v>
      </c>
      <c r="C326" s="310">
        <v>0.32166830000000002</v>
      </c>
      <c r="D326" s="310">
        <v>0.31858769999999997</v>
      </c>
      <c r="E326" s="310">
        <v>0.31616119999999998</v>
      </c>
      <c r="F326" s="310">
        <v>0.31792300000000001</v>
      </c>
      <c r="G326" s="310">
        <v>0.3159226</v>
      </c>
      <c r="H326" s="310">
        <v>0.32053900000000002</v>
      </c>
      <c r="I326" s="310">
        <v>0.31739840000000002</v>
      </c>
      <c r="J326" s="310">
        <v>0.27946310000000002</v>
      </c>
      <c r="K326" s="310">
        <v>9.6364500000000006E-2</v>
      </c>
      <c r="L326" s="310">
        <v>0.26420179999999999</v>
      </c>
      <c r="M326" s="310">
        <v>0.32029200000000002</v>
      </c>
      <c r="N326" s="310">
        <v>0.31320379999999998</v>
      </c>
      <c r="O326" s="310">
        <v>0.31656529999999999</v>
      </c>
      <c r="P326" s="310">
        <v>0.30900719999999998</v>
      </c>
      <c r="Q326" s="310">
        <v>0.30301630000000002</v>
      </c>
      <c r="R326" s="310">
        <v>0.31188120000000003</v>
      </c>
      <c r="S326" s="310">
        <v>0.31093419999999999</v>
      </c>
      <c r="T326" s="310">
        <v>0.28664689999999998</v>
      </c>
      <c r="U326" s="310">
        <v>0.29079310000000003</v>
      </c>
      <c r="V326" s="310">
        <v>0.31661719999999999</v>
      </c>
      <c r="W326" s="310">
        <v>0.30384</v>
      </c>
      <c r="X326" s="310">
        <v>0.2850162</v>
      </c>
      <c r="Y326" s="310">
        <v>0.32036300000000001</v>
      </c>
      <c r="Z326" s="310">
        <v>0.31717909999999999</v>
      </c>
      <c r="AA326" s="310">
        <v>0.31200159999999999</v>
      </c>
      <c r="AB326" s="310">
        <v>0.27472829999999998</v>
      </c>
      <c r="AC326" s="310">
        <v>0.29804130000000001</v>
      </c>
      <c r="AD326" s="310">
        <v>0.32145439999999997</v>
      </c>
      <c r="AE326" s="310">
        <v>0.31377090000000002</v>
      </c>
      <c r="AF326" s="310">
        <v>0.2927515</v>
      </c>
      <c r="AG326" s="310">
        <v>0.31188120000000003</v>
      </c>
      <c r="AH326" s="310">
        <v>0.28736030000000001</v>
      </c>
      <c r="AI326" s="310">
        <v>0.27085759999999998</v>
      </c>
      <c r="AJ326" s="310">
        <v>0.31632490000000002</v>
      </c>
      <c r="AK326" s="310">
        <v>0.30555759999999998</v>
      </c>
      <c r="AL326" s="310">
        <v>0.2662641</v>
      </c>
      <c r="AM326" s="310">
        <v>0.31063970000000002</v>
      </c>
      <c r="AN326" s="310">
        <v>0.316994</v>
      </c>
      <c r="AO326" s="310">
        <v>0.30984070000000002</v>
      </c>
      <c r="AP326" s="310">
        <v>0.29534529999999998</v>
      </c>
      <c r="AQ326" s="310">
        <v>0.2945122</v>
      </c>
      <c r="AR326" s="310">
        <v>0.31293209999999999</v>
      </c>
      <c r="AS326" s="310">
        <v>0.31682749999999998</v>
      </c>
      <c r="AT326" s="310">
        <v>0.31039800000000001</v>
      </c>
      <c r="AU326" s="310">
        <v>0.31816939999999999</v>
      </c>
      <c r="AV326" s="310">
        <v>0.32001639999999998</v>
      </c>
      <c r="AW326" s="310">
        <v>0.27310590000000001</v>
      </c>
      <c r="AX326" s="310">
        <v>0.29587669999999999</v>
      </c>
      <c r="AY326" s="310">
        <v>0.31989489999999998</v>
      </c>
      <c r="AZ326" s="310">
        <v>0.31003969999999997</v>
      </c>
      <c r="BA326" s="310">
        <v>0.29900280000000001</v>
      </c>
      <c r="BB326" s="310">
        <v>0.31898650000000001</v>
      </c>
      <c r="BC326" s="310">
        <v>0.31169089999999999</v>
      </c>
      <c r="BD326" s="310">
        <v>0.30986190000000002</v>
      </c>
      <c r="BE326" s="310">
        <v>0.31653439999999999</v>
      </c>
      <c r="BF326" s="310">
        <v>0.31337140000000002</v>
      </c>
      <c r="BG326" s="310">
        <v>0.318519</v>
      </c>
      <c r="BH326" s="310">
        <v>0.3093631</v>
      </c>
      <c r="BI326" s="310">
        <v>0.31877729999999999</v>
      </c>
      <c r="BJ326" s="310">
        <v>0.31705100000000003</v>
      </c>
      <c r="BK326" s="310">
        <v>0.3206503</v>
      </c>
    </row>
    <row r="327" spans="1:63" x14ac:dyDescent="0.25">
      <c r="A327" s="306">
        <v>511120</v>
      </c>
      <c r="B327" s="310" t="s">
        <v>287</v>
      </c>
      <c r="C327" s="310">
        <v>0.22489410000000001</v>
      </c>
      <c r="D327" s="310">
        <v>0.22278139999999999</v>
      </c>
      <c r="E327" s="310">
        <v>0.22104389999999999</v>
      </c>
      <c r="F327" s="310">
        <v>0.2223212</v>
      </c>
      <c r="G327" s="310">
        <v>0.2208743</v>
      </c>
      <c r="H327" s="310">
        <v>0.2241457</v>
      </c>
      <c r="I327" s="310">
        <v>0.22194369999999999</v>
      </c>
      <c r="J327" s="310">
        <v>0.19537299999999999</v>
      </c>
      <c r="K327" s="310">
        <v>6.7387299999999997E-2</v>
      </c>
      <c r="L327" s="310">
        <v>0.18474090000000001</v>
      </c>
      <c r="M327" s="310">
        <v>0.22395470000000001</v>
      </c>
      <c r="N327" s="310">
        <v>0.21900510000000001</v>
      </c>
      <c r="O327" s="310">
        <v>0.22135289999999999</v>
      </c>
      <c r="P327" s="310">
        <v>0.21608289999999999</v>
      </c>
      <c r="Q327" s="310">
        <v>0.21182200000000001</v>
      </c>
      <c r="R327" s="310">
        <v>0.21806439999999999</v>
      </c>
      <c r="S327" s="310">
        <v>0.21739839999999999</v>
      </c>
      <c r="T327" s="310">
        <v>0.2004041</v>
      </c>
      <c r="U327" s="310">
        <v>0.20335500000000001</v>
      </c>
      <c r="V327" s="310">
        <v>0.22134580000000001</v>
      </c>
      <c r="W327" s="310">
        <v>0.21246119999999999</v>
      </c>
      <c r="X327" s="310">
        <v>0.1992613</v>
      </c>
      <c r="Y327" s="310">
        <v>0.2239951</v>
      </c>
      <c r="Z327" s="310">
        <v>0.2217826</v>
      </c>
      <c r="AA327" s="310">
        <v>0.21815999999999999</v>
      </c>
      <c r="AB327" s="310">
        <v>0.1921204</v>
      </c>
      <c r="AC327" s="310">
        <v>0.2084337</v>
      </c>
      <c r="AD327" s="310">
        <v>0.22477150000000001</v>
      </c>
      <c r="AE327" s="310">
        <v>0.21939929999999999</v>
      </c>
      <c r="AF327" s="310">
        <v>0.20471159999999999</v>
      </c>
      <c r="AG327" s="310">
        <v>0.21807190000000001</v>
      </c>
      <c r="AH327" s="310">
        <v>0.20092969999999999</v>
      </c>
      <c r="AI327" s="310">
        <v>0.1893919</v>
      </c>
      <c r="AJ327" s="310">
        <v>0.22118160000000001</v>
      </c>
      <c r="AK327" s="310">
        <v>0.21360660000000001</v>
      </c>
      <c r="AL327" s="310">
        <v>0.1862058</v>
      </c>
      <c r="AM327" s="310">
        <v>0.21719640000000001</v>
      </c>
      <c r="AN327" s="310">
        <v>0.22163540000000001</v>
      </c>
      <c r="AO327" s="310">
        <v>0.2166554</v>
      </c>
      <c r="AP327" s="310">
        <v>0.20652690000000001</v>
      </c>
      <c r="AQ327" s="310">
        <v>0.20594899999999999</v>
      </c>
      <c r="AR327" s="310">
        <v>0.2187945</v>
      </c>
      <c r="AS327" s="310">
        <v>0.22155320000000001</v>
      </c>
      <c r="AT327" s="310">
        <v>0.217025</v>
      </c>
      <c r="AU327" s="310">
        <v>0.2224672</v>
      </c>
      <c r="AV327" s="310">
        <v>0.22373219999999999</v>
      </c>
      <c r="AW327" s="310">
        <v>0.19095770000000001</v>
      </c>
      <c r="AX327" s="310">
        <v>0.2068866</v>
      </c>
      <c r="AY327" s="310">
        <v>0.2236409</v>
      </c>
      <c r="AZ327" s="310">
        <v>0.21677150000000001</v>
      </c>
      <c r="BA327" s="310">
        <v>0.20906449999999999</v>
      </c>
      <c r="BB327" s="310">
        <v>0.223019</v>
      </c>
      <c r="BC327" s="310">
        <v>0.2179487</v>
      </c>
      <c r="BD327" s="310">
        <v>0.21663089999999999</v>
      </c>
      <c r="BE327" s="310">
        <v>0.2213079</v>
      </c>
      <c r="BF327" s="310">
        <v>0.21914110000000001</v>
      </c>
      <c r="BG327" s="310">
        <v>0.22268969999999999</v>
      </c>
      <c r="BH327" s="310">
        <v>0.21628820000000001</v>
      </c>
      <c r="BI327" s="310">
        <v>0.22291810000000001</v>
      </c>
      <c r="BJ327" s="310">
        <v>0.2216986</v>
      </c>
      <c r="BK327" s="310">
        <v>0.22420889999999999</v>
      </c>
    </row>
    <row r="328" spans="1:63" x14ac:dyDescent="0.25">
      <c r="A328" s="306">
        <v>511130</v>
      </c>
      <c r="B328" s="310" t="s">
        <v>288</v>
      </c>
      <c r="C328" s="310">
        <v>0.193048</v>
      </c>
      <c r="D328" s="310">
        <v>0.19119929999999999</v>
      </c>
      <c r="E328" s="310">
        <v>0.1897479</v>
      </c>
      <c r="F328" s="310">
        <v>0.1907981</v>
      </c>
      <c r="G328" s="310">
        <v>0.18957189999999999</v>
      </c>
      <c r="H328" s="310">
        <v>0.19236539999999999</v>
      </c>
      <c r="I328" s="310">
        <v>0.1905182</v>
      </c>
      <c r="J328" s="310">
        <v>0.16770189999999999</v>
      </c>
      <c r="K328" s="310">
        <v>5.78597E-2</v>
      </c>
      <c r="L328" s="310">
        <v>0.1585626</v>
      </c>
      <c r="M328" s="310">
        <v>0.1922102</v>
      </c>
      <c r="N328" s="310">
        <v>0.18797030000000001</v>
      </c>
      <c r="O328" s="310">
        <v>0.19001570000000001</v>
      </c>
      <c r="P328" s="310">
        <v>0.18548439999999999</v>
      </c>
      <c r="Q328" s="310">
        <v>0.18182400000000001</v>
      </c>
      <c r="R328" s="310">
        <v>0.18719279999999999</v>
      </c>
      <c r="S328" s="310">
        <v>0.18662290000000001</v>
      </c>
      <c r="T328" s="310">
        <v>0.17201669999999999</v>
      </c>
      <c r="U328" s="310">
        <v>0.1745351</v>
      </c>
      <c r="V328" s="310">
        <v>0.1899758</v>
      </c>
      <c r="W328" s="310">
        <v>0.18235180000000001</v>
      </c>
      <c r="X328" s="310">
        <v>0.1710708</v>
      </c>
      <c r="Y328" s="310">
        <v>0.19222259999999999</v>
      </c>
      <c r="Z328" s="310">
        <v>0.19034889999999999</v>
      </c>
      <c r="AA328" s="310">
        <v>0.18725159999999999</v>
      </c>
      <c r="AB328" s="310">
        <v>0.16487260000000001</v>
      </c>
      <c r="AC328" s="310">
        <v>0.17890500000000001</v>
      </c>
      <c r="AD328" s="310">
        <v>0.19297890000000001</v>
      </c>
      <c r="AE328" s="310">
        <v>0.1883184</v>
      </c>
      <c r="AF328" s="310">
        <v>0.17574619999999999</v>
      </c>
      <c r="AG328" s="310">
        <v>0.18715789999999999</v>
      </c>
      <c r="AH328" s="310">
        <v>0.17249339999999999</v>
      </c>
      <c r="AI328" s="310">
        <v>0.16256570000000001</v>
      </c>
      <c r="AJ328" s="310">
        <v>0.18983900000000001</v>
      </c>
      <c r="AK328" s="310">
        <v>0.1833777</v>
      </c>
      <c r="AL328" s="310">
        <v>0.15982479999999999</v>
      </c>
      <c r="AM328" s="310">
        <v>0.1864296</v>
      </c>
      <c r="AN328" s="310">
        <v>0.19025149999999999</v>
      </c>
      <c r="AO328" s="310">
        <v>0.18593960000000001</v>
      </c>
      <c r="AP328" s="310">
        <v>0.17726030000000001</v>
      </c>
      <c r="AQ328" s="310">
        <v>0.17678669999999999</v>
      </c>
      <c r="AR328" s="310">
        <v>0.18781700000000001</v>
      </c>
      <c r="AS328" s="310">
        <v>0.19011410000000001</v>
      </c>
      <c r="AT328" s="310">
        <v>0.1863225</v>
      </c>
      <c r="AU328" s="310">
        <v>0.19094739999999999</v>
      </c>
      <c r="AV328" s="310">
        <v>0.19204789999999999</v>
      </c>
      <c r="AW328" s="310">
        <v>0.1638926</v>
      </c>
      <c r="AX328" s="310">
        <v>0.1775641</v>
      </c>
      <c r="AY328" s="310">
        <v>0.19198419999999999</v>
      </c>
      <c r="AZ328" s="310">
        <v>0.18605269999999999</v>
      </c>
      <c r="BA328" s="310">
        <v>0.17944560000000001</v>
      </c>
      <c r="BB328" s="310">
        <v>0.19148780000000001</v>
      </c>
      <c r="BC328" s="310">
        <v>0.18709329999999999</v>
      </c>
      <c r="BD328" s="310">
        <v>0.18593270000000001</v>
      </c>
      <c r="BE328" s="310">
        <v>0.18996750000000001</v>
      </c>
      <c r="BF328" s="310">
        <v>0.18810060000000001</v>
      </c>
      <c r="BG328" s="310">
        <v>0.1911561</v>
      </c>
      <c r="BH328" s="310">
        <v>0.18565329999999999</v>
      </c>
      <c r="BI328" s="310">
        <v>0.19131210000000001</v>
      </c>
      <c r="BJ328" s="310">
        <v>0.19028039999999999</v>
      </c>
      <c r="BK328" s="310">
        <v>0.19245419999999999</v>
      </c>
    </row>
    <row r="329" spans="1:63" x14ac:dyDescent="0.25">
      <c r="A329" s="306" t="s">
        <v>762</v>
      </c>
      <c r="B329" s="310" t="s">
        <v>289</v>
      </c>
      <c r="C329" s="310">
        <v>0.1624198</v>
      </c>
      <c r="D329" s="310">
        <v>0.1608784</v>
      </c>
      <c r="E329" s="310">
        <v>0.1596264</v>
      </c>
      <c r="F329" s="310">
        <v>0.16053509999999999</v>
      </c>
      <c r="G329" s="310">
        <v>0.1595202</v>
      </c>
      <c r="H329" s="310">
        <v>0.16185620000000001</v>
      </c>
      <c r="I329" s="310">
        <v>0.16028709999999999</v>
      </c>
      <c r="J329" s="310">
        <v>0.1411259</v>
      </c>
      <c r="K329" s="310">
        <v>4.8662900000000002E-2</v>
      </c>
      <c r="L329" s="310">
        <v>0.13340940000000001</v>
      </c>
      <c r="M329" s="310">
        <v>0.161741</v>
      </c>
      <c r="N329" s="310">
        <v>0.1581757</v>
      </c>
      <c r="O329" s="310">
        <v>0.15987090000000001</v>
      </c>
      <c r="P329" s="310">
        <v>0.1560232</v>
      </c>
      <c r="Q329" s="310">
        <v>0.15302250000000001</v>
      </c>
      <c r="R329" s="310">
        <v>0.1574904</v>
      </c>
      <c r="S329" s="310">
        <v>0.15701029999999999</v>
      </c>
      <c r="T329" s="310">
        <v>0.14472160000000001</v>
      </c>
      <c r="U329" s="310">
        <v>0.14684949999999999</v>
      </c>
      <c r="V329" s="310">
        <v>0.15985559999999999</v>
      </c>
      <c r="W329" s="310">
        <v>0.15345600000000001</v>
      </c>
      <c r="X329" s="310">
        <v>0.14391000000000001</v>
      </c>
      <c r="Y329" s="310">
        <v>0.16175439999999999</v>
      </c>
      <c r="Z329" s="310">
        <v>0.16018019999999999</v>
      </c>
      <c r="AA329" s="310">
        <v>0.15753819999999999</v>
      </c>
      <c r="AB329" s="310">
        <v>0.13872229999999999</v>
      </c>
      <c r="AC329" s="310">
        <v>0.15051629999999999</v>
      </c>
      <c r="AD329" s="310">
        <v>0.16231880000000001</v>
      </c>
      <c r="AE329" s="310">
        <v>0.15845190000000001</v>
      </c>
      <c r="AF329" s="310">
        <v>0.14785219999999999</v>
      </c>
      <c r="AG329" s="310">
        <v>0.15748580000000001</v>
      </c>
      <c r="AH329" s="310">
        <v>0.1451075</v>
      </c>
      <c r="AI329" s="310">
        <v>0.13676070000000001</v>
      </c>
      <c r="AJ329" s="310">
        <v>0.1597305</v>
      </c>
      <c r="AK329" s="310">
        <v>0.15427179999999999</v>
      </c>
      <c r="AL329" s="310">
        <v>0.1344843</v>
      </c>
      <c r="AM329" s="310">
        <v>0.15686449999999999</v>
      </c>
      <c r="AN329" s="310">
        <v>0.1600867</v>
      </c>
      <c r="AO329" s="310">
        <v>0.1564632</v>
      </c>
      <c r="AP329" s="310">
        <v>0.14914830000000001</v>
      </c>
      <c r="AQ329" s="310">
        <v>0.14870929999999999</v>
      </c>
      <c r="AR329" s="310">
        <v>0.1580106</v>
      </c>
      <c r="AS329" s="310">
        <v>0.15998709999999999</v>
      </c>
      <c r="AT329" s="310">
        <v>0.156748</v>
      </c>
      <c r="AU329" s="310">
        <v>0.16065960000000001</v>
      </c>
      <c r="AV329" s="310">
        <v>0.16160250000000001</v>
      </c>
      <c r="AW329" s="310">
        <v>0.13789409999999999</v>
      </c>
      <c r="AX329" s="310">
        <v>0.14936849999999999</v>
      </c>
      <c r="AY329" s="310">
        <v>0.16154930000000001</v>
      </c>
      <c r="AZ329" s="310">
        <v>0.15652869999999999</v>
      </c>
      <c r="BA329" s="310">
        <v>0.15101700000000001</v>
      </c>
      <c r="BB329" s="310">
        <v>0.16106490000000001</v>
      </c>
      <c r="BC329" s="310">
        <v>0.15740000000000001</v>
      </c>
      <c r="BD329" s="310">
        <v>0.1564333</v>
      </c>
      <c r="BE329" s="310">
        <v>0.15982640000000001</v>
      </c>
      <c r="BF329" s="310">
        <v>0.1582374</v>
      </c>
      <c r="BG329" s="310">
        <v>0.16084270000000001</v>
      </c>
      <c r="BH329" s="310">
        <v>0.1561989</v>
      </c>
      <c r="BI329" s="310">
        <v>0.16096160000000001</v>
      </c>
      <c r="BJ329" s="310">
        <v>0.1601012</v>
      </c>
      <c r="BK329" s="310">
        <v>0.16190009999999999</v>
      </c>
    </row>
    <row r="330" spans="1:63" x14ac:dyDescent="0.25">
      <c r="A330" s="306">
        <v>511200</v>
      </c>
      <c r="B330" s="310" t="s">
        <v>290</v>
      </c>
      <c r="C330" s="310">
        <v>0.34630680000000003</v>
      </c>
      <c r="D330" s="310">
        <v>0.34304580000000001</v>
      </c>
      <c r="E330" s="310">
        <v>0.34044679999999999</v>
      </c>
      <c r="F330" s="310">
        <v>0.3423022</v>
      </c>
      <c r="G330" s="310">
        <v>0.34015859999999998</v>
      </c>
      <c r="H330" s="310">
        <v>0.34513820000000001</v>
      </c>
      <c r="I330" s="310">
        <v>0.3418234</v>
      </c>
      <c r="J330" s="310">
        <v>0.30085339999999999</v>
      </c>
      <c r="K330" s="310">
        <v>0.1038289</v>
      </c>
      <c r="L330" s="310">
        <v>0.28452889999999997</v>
      </c>
      <c r="M330" s="310">
        <v>0.34482760000000001</v>
      </c>
      <c r="N330" s="310">
        <v>0.33727200000000002</v>
      </c>
      <c r="O330" s="310">
        <v>0.34082370000000001</v>
      </c>
      <c r="P330" s="310">
        <v>0.33272770000000002</v>
      </c>
      <c r="Q330" s="310">
        <v>0.32621539999999999</v>
      </c>
      <c r="R330" s="310">
        <v>0.33582849999999997</v>
      </c>
      <c r="S330" s="310">
        <v>0.33477699999999999</v>
      </c>
      <c r="T330" s="310">
        <v>0.30859130000000001</v>
      </c>
      <c r="U330" s="310">
        <v>0.31316050000000001</v>
      </c>
      <c r="V330" s="310">
        <v>0.34084740000000002</v>
      </c>
      <c r="W330" s="310">
        <v>0.32717239999999997</v>
      </c>
      <c r="X330" s="310">
        <v>0.30688880000000002</v>
      </c>
      <c r="Y330" s="310">
        <v>0.34489639999999999</v>
      </c>
      <c r="Z330" s="310">
        <v>0.34152440000000001</v>
      </c>
      <c r="AA330" s="310">
        <v>0.33593469999999997</v>
      </c>
      <c r="AB330" s="310">
        <v>0.29581580000000002</v>
      </c>
      <c r="AC330" s="310">
        <v>0.32094</v>
      </c>
      <c r="AD330" s="310">
        <v>0.3461727</v>
      </c>
      <c r="AE330" s="310">
        <v>0.33784960000000003</v>
      </c>
      <c r="AF330" s="310">
        <v>0.31527509999999997</v>
      </c>
      <c r="AG330" s="310">
        <v>0.33583600000000002</v>
      </c>
      <c r="AH330" s="310">
        <v>0.30941249999999998</v>
      </c>
      <c r="AI330" s="310">
        <v>0.2916279</v>
      </c>
      <c r="AJ330" s="310">
        <v>0.34058939999999999</v>
      </c>
      <c r="AK330" s="310">
        <v>0.32900040000000003</v>
      </c>
      <c r="AL330" s="310">
        <v>0.28671279999999999</v>
      </c>
      <c r="AM330" s="310">
        <v>0.33450079999999999</v>
      </c>
      <c r="AN330" s="310">
        <v>0.34129490000000001</v>
      </c>
      <c r="AO330" s="310">
        <v>0.3335999</v>
      </c>
      <c r="AP330" s="310">
        <v>0.3180135</v>
      </c>
      <c r="AQ330" s="310">
        <v>0.31710939999999999</v>
      </c>
      <c r="AR330" s="310">
        <v>0.33693529999999999</v>
      </c>
      <c r="AS330" s="310">
        <v>0.34108260000000001</v>
      </c>
      <c r="AT330" s="310">
        <v>0.334202</v>
      </c>
      <c r="AU330" s="310">
        <v>0.34259580000000001</v>
      </c>
      <c r="AV330" s="310">
        <v>0.34456979999999998</v>
      </c>
      <c r="AW330" s="310">
        <v>0.29402830000000002</v>
      </c>
      <c r="AX330" s="310">
        <v>0.31856780000000001</v>
      </c>
      <c r="AY330" s="310">
        <v>0.34441680000000002</v>
      </c>
      <c r="AZ330" s="310">
        <v>0.33382729999999999</v>
      </c>
      <c r="BA330" s="310">
        <v>0.3220034</v>
      </c>
      <c r="BB330" s="310">
        <v>0.34352389999999999</v>
      </c>
      <c r="BC330" s="310">
        <v>0.3356287</v>
      </c>
      <c r="BD330" s="310">
        <v>0.3336286</v>
      </c>
      <c r="BE330" s="310">
        <v>0.3407984</v>
      </c>
      <c r="BF330" s="310">
        <v>0.33740110000000001</v>
      </c>
      <c r="BG330" s="310">
        <v>0.3429721</v>
      </c>
      <c r="BH330" s="310">
        <v>0.33303759999999999</v>
      </c>
      <c r="BI330" s="310">
        <v>0.34325420000000001</v>
      </c>
      <c r="BJ330" s="310">
        <v>0.34135759999999998</v>
      </c>
      <c r="BK330" s="310">
        <v>0.34521370000000001</v>
      </c>
    </row>
    <row r="331" spans="1:63" x14ac:dyDescent="0.25">
      <c r="A331" s="306">
        <v>512100</v>
      </c>
      <c r="B331" s="310" t="s">
        <v>291</v>
      </c>
      <c r="C331" s="310">
        <v>0.22770779999999999</v>
      </c>
      <c r="D331" s="310">
        <v>0.2065314</v>
      </c>
      <c r="E331" s="310">
        <v>0.20877219999999999</v>
      </c>
      <c r="F331" s="310">
        <v>0.22212370000000001</v>
      </c>
      <c r="G331" s="310">
        <v>0.22104509999999999</v>
      </c>
      <c r="H331" s="310">
        <v>0.22535379999999999</v>
      </c>
      <c r="I331" s="310">
        <v>0.2237545</v>
      </c>
      <c r="J331" s="310">
        <v>0.19168160000000001</v>
      </c>
      <c r="K331" s="310">
        <v>0.1016164</v>
      </c>
      <c r="L331" s="310">
        <v>0.17701220000000001</v>
      </c>
      <c r="M331" s="310">
        <v>0.2177452</v>
      </c>
      <c r="N331" s="310">
        <v>0.21794620000000001</v>
      </c>
      <c r="O331" s="310">
        <v>0.1797125</v>
      </c>
      <c r="P331" s="310">
        <v>0.2137067</v>
      </c>
      <c r="Q331" s="310">
        <v>0.19793150000000001</v>
      </c>
      <c r="R331" s="310">
        <v>0.2200944</v>
      </c>
      <c r="S331" s="310">
        <v>0.2240055</v>
      </c>
      <c r="T331" s="310">
        <v>0.1813495</v>
      </c>
      <c r="U331" s="310">
        <v>0.19576440000000001</v>
      </c>
      <c r="V331" s="310">
        <v>0.20935309999999999</v>
      </c>
      <c r="W331" s="310">
        <v>0.21508050000000001</v>
      </c>
      <c r="X331" s="310">
        <v>0.20710100000000001</v>
      </c>
      <c r="Y331" s="310">
        <v>0.2182299</v>
      </c>
      <c r="Z331" s="310">
        <v>0.2223958</v>
      </c>
      <c r="AA331" s="310">
        <v>0.22050020000000001</v>
      </c>
      <c r="AB331" s="310">
        <v>0.1931438</v>
      </c>
      <c r="AC331" s="310">
        <v>0.20161879999999999</v>
      </c>
      <c r="AD331" s="310">
        <v>0.2125997</v>
      </c>
      <c r="AE331" s="310">
        <v>0.22044820000000001</v>
      </c>
      <c r="AF331" s="310">
        <v>0.16747870000000001</v>
      </c>
      <c r="AG331" s="310">
        <v>0.21706610000000001</v>
      </c>
      <c r="AH331" s="310">
        <v>0.1145934</v>
      </c>
      <c r="AI331" s="310">
        <v>0.19291079999999999</v>
      </c>
      <c r="AJ331" s="310">
        <v>0.2223976</v>
      </c>
      <c r="AK331" s="310">
        <v>0.18004139999999999</v>
      </c>
      <c r="AL331" s="310">
        <v>0.1901572</v>
      </c>
      <c r="AM331" s="310">
        <v>0.21898599999999999</v>
      </c>
      <c r="AN331" s="310">
        <v>0.2215935</v>
      </c>
      <c r="AO331" s="310">
        <v>0.21314140000000001</v>
      </c>
      <c r="AP331" s="310">
        <v>0.2077328</v>
      </c>
      <c r="AQ331" s="310">
        <v>0.18673999999999999</v>
      </c>
      <c r="AR331" s="310">
        <v>0.2129741</v>
      </c>
      <c r="AS331" s="310">
        <v>0.1657882</v>
      </c>
      <c r="AT331" s="310">
        <v>0.22057060000000001</v>
      </c>
      <c r="AU331" s="310">
        <v>0.2195773</v>
      </c>
      <c r="AV331" s="310">
        <v>0.21133270000000001</v>
      </c>
      <c r="AW331" s="310">
        <v>0.1876543</v>
      </c>
      <c r="AX331" s="310">
        <v>0.22533259999999999</v>
      </c>
      <c r="AY331" s="310">
        <v>0.2152056</v>
      </c>
      <c r="AZ331" s="310">
        <v>0.21626699999999999</v>
      </c>
      <c r="BA331" s="310">
        <v>0.2169635</v>
      </c>
      <c r="BB331" s="310">
        <v>0.22773550000000001</v>
      </c>
      <c r="BC331" s="310">
        <v>0.21048700000000001</v>
      </c>
      <c r="BD331" s="310">
        <v>0.21666969999999999</v>
      </c>
      <c r="BE331" s="310">
        <v>0.22412840000000001</v>
      </c>
      <c r="BF331" s="310">
        <v>0.220003</v>
      </c>
      <c r="BG331" s="310">
        <v>0.21846460000000001</v>
      </c>
      <c r="BH331" s="310">
        <v>0.2192173</v>
      </c>
      <c r="BI331" s="310">
        <v>0.22029550000000001</v>
      </c>
      <c r="BJ331" s="310">
        <v>0.21325920000000001</v>
      </c>
      <c r="BK331" s="310">
        <v>0.2256291</v>
      </c>
    </row>
    <row r="332" spans="1:63" x14ac:dyDescent="0.25">
      <c r="A332" s="306">
        <v>512200</v>
      </c>
      <c r="B332" s="310" t="s">
        <v>292</v>
      </c>
      <c r="C332" s="310">
        <v>0.20917479999999999</v>
      </c>
      <c r="D332" s="310">
        <v>0.1897055</v>
      </c>
      <c r="E332" s="310">
        <v>0.19174730000000001</v>
      </c>
      <c r="F332" s="310">
        <v>0.20400940000000001</v>
      </c>
      <c r="G332" s="310">
        <v>0.20307349999999999</v>
      </c>
      <c r="H332" s="310">
        <v>0.20702139999999999</v>
      </c>
      <c r="I332" s="310">
        <v>0.20552229999999999</v>
      </c>
      <c r="J332" s="310">
        <v>0.1761182</v>
      </c>
      <c r="K332" s="310">
        <v>9.3295699999999995E-2</v>
      </c>
      <c r="L332" s="310">
        <v>0.16258600000000001</v>
      </c>
      <c r="M332" s="310">
        <v>0.2000101</v>
      </c>
      <c r="N332" s="310">
        <v>0.2002449</v>
      </c>
      <c r="O332" s="310">
        <v>0.16511410000000001</v>
      </c>
      <c r="P332" s="310">
        <v>0.19628909999999999</v>
      </c>
      <c r="Q332" s="310">
        <v>0.181843</v>
      </c>
      <c r="R332" s="310">
        <v>0.2021684</v>
      </c>
      <c r="S332" s="310">
        <v>0.20574709999999999</v>
      </c>
      <c r="T332" s="310">
        <v>0.16663349999999999</v>
      </c>
      <c r="U332" s="310">
        <v>0.17977950000000001</v>
      </c>
      <c r="V332" s="310">
        <v>0.19230030000000001</v>
      </c>
      <c r="W332" s="310">
        <v>0.1976048</v>
      </c>
      <c r="X332" s="310">
        <v>0.1902586</v>
      </c>
      <c r="Y332" s="310">
        <v>0.2004483</v>
      </c>
      <c r="Z332" s="310">
        <v>0.2042736</v>
      </c>
      <c r="AA332" s="310">
        <v>0.20255690000000001</v>
      </c>
      <c r="AB332" s="310">
        <v>0.17741750000000001</v>
      </c>
      <c r="AC332" s="310">
        <v>0.18517529999999999</v>
      </c>
      <c r="AD332" s="310">
        <v>0.1952699</v>
      </c>
      <c r="AE332" s="310">
        <v>0.20250009999999999</v>
      </c>
      <c r="AF332" s="310">
        <v>0.15384059999999999</v>
      </c>
      <c r="AG332" s="310">
        <v>0.199375</v>
      </c>
      <c r="AH332" s="310">
        <v>0.1053041</v>
      </c>
      <c r="AI332" s="310">
        <v>0.1771847</v>
      </c>
      <c r="AJ332" s="310">
        <v>0.20433380000000001</v>
      </c>
      <c r="AK332" s="310">
        <v>0.16538549999999999</v>
      </c>
      <c r="AL332" s="310">
        <v>0.17468330000000001</v>
      </c>
      <c r="AM332" s="310">
        <v>0.2011598</v>
      </c>
      <c r="AN332" s="310">
        <v>0.20357459999999999</v>
      </c>
      <c r="AO332" s="310">
        <v>0.19575020000000001</v>
      </c>
      <c r="AP332" s="310">
        <v>0.19083929999999999</v>
      </c>
      <c r="AQ332" s="310">
        <v>0.17155039999999999</v>
      </c>
      <c r="AR332" s="310">
        <v>0.19562379999999999</v>
      </c>
      <c r="AS332" s="310">
        <v>0.15226129999999999</v>
      </c>
      <c r="AT332" s="310">
        <v>0.20260600000000001</v>
      </c>
      <c r="AU332" s="310">
        <v>0.20170109999999999</v>
      </c>
      <c r="AV332" s="310">
        <v>0.19409789999999999</v>
      </c>
      <c r="AW332" s="310">
        <v>0.17236290000000001</v>
      </c>
      <c r="AX332" s="310">
        <v>0.2069414</v>
      </c>
      <c r="AY332" s="310">
        <v>0.19770509999999999</v>
      </c>
      <c r="AZ332" s="310">
        <v>0.1986282</v>
      </c>
      <c r="BA332" s="310">
        <v>0.19931879999999999</v>
      </c>
      <c r="BB332" s="310">
        <v>0.2091528</v>
      </c>
      <c r="BC332" s="310">
        <v>0.1933185</v>
      </c>
      <c r="BD332" s="310">
        <v>0.19902500000000001</v>
      </c>
      <c r="BE332" s="310">
        <v>0.2058777</v>
      </c>
      <c r="BF332" s="310">
        <v>0.20210690000000001</v>
      </c>
      <c r="BG332" s="310">
        <v>0.2006667</v>
      </c>
      <c r="BH332" s="310">
        <v>0.2013749</v>
      </c>
      <c r="BI332" s="310">
        <v>0.20234559999999999</v>
      </c>
      <c r="BJ332" s="310">
        <v>0.195885</v>
      </c>
      <c r="BK332" s="310">
        <v>0.2072618</v>
      </c>
    </row>
    <row r="333" spans="1:63" x14ac:dyDescent="0.25">
      <c r="A333" s="306">
        <v>515100</v>
      </c>
      <c r="B333" s="310" t="s">
        <v>293</v>
      </c>
      <c r="C333" s="310">
        <v>0.39086720000000003</v>
      </c>
      <c r="D333" s="310">
        <v>0.39004149999999999</v>
      </c>
      <c r="E333" s="310">
        <v>0.38485399999999997</v>
      </c>
      <c r="F333" s="310">
        <v>0.37840309999999999</v>
      </c>
      <c r="G333" s="310">
        <v>0.38653490000000001</v>
      </c>
      <c r="H333" s="310">
        <v>0.38582810000000001</v>
      </c>
      <c r="I333" s="310">
        <v>0.38204959999999999</v>
      </c>
      <c r="J333" s="310">
        <v>0.36038910000000002</v>
      </c>
      <c r="K333" s="310">
        <v>0.1003096</v>
      </c>
      <c r="L333" s="310">
        <v>0.30900430000000001</v>
      </c>
      <c r="M333" s="310">
        <v>0.38592979999999999</v>
      </c>
      <c r="N333" s="310">
        <v>0.37930370000000002</v>
      </c>
      <c r="O333" s="310">
        <v>0.37925789999999998</v>
      </c>
      <c r="P333" s="310">
        <v>0.36664950000000002</v>
      </c>
      <c r="Q333" s="310">
        <v>0.3825172</v>
      </c>
      <c r="R333" s="310">
        <v>0.3781081</v>
      </c>
      <c r="S333" s="310">
        <v>0.3737277</v>
      </c>
      <c r="T333" s="310">
        <v>0.33436959999999999</v>
      </c>
      <c r="U333" s="310">
        <v>0.33189299999999999</v>
      </c>
      <c r="V333" s="310">
        <v>0.38271690000000003</v>
      </c>
      <c r="W333" s="310">
        <v>0.36199920000000002</v>
      </c>
      <c r="X333" s="310">
        <v>0.31686530000000002</v>
      </c>
      <c r="Y333" s="310">
        <v>0.38864860000000001</v>
      </c>
      <c r="Z333" s="310">
        <v>0.38547209999999998</v>
      </c>
      <c r="AA333" s="310">
        <v>0.37846109999999999</v>
      </c>
      <c r="AB333" s="310">
        <v>0.33201960000000003</v>
      </c>
      <c r="AC333" s="310">
        <v>0.3815846</v>
      </c>
      <c r="AD333" s="310">
        <v>0.39000560000000001</v>
      </c>
      <c r="AE333" s="310">
        <v>0.3808009</v>
      </c>
      <c r="AF333" s="310">
        <v>0.33924520000000002</v>
      </c>
      <c r="AG333" s="310">
        <v>0.37495020000000001</v>
      </c>
      <c r="AH333" s="310">
        <v>0.3431419</v>
      </c>
      <c r="AI333" s="310">
        <v>0.33441579999999999</v>
      </c>
      <c r="AJ333" s="310">
        <v>0.3771774</v>
      </c>
      <c r="AK333" s="310">
        <v>0.37714419999999999</v>
      </c>
      <c r="AL333" s="310">
        <v>0.31894820000000002</v>
      </c>
      <c r="AM333" s="310">
        <v>0.36214839999999998</v>
      </c>
      <c r="AN333" s="310">
        <v>0.38646979999999997</v>
      </c>
      <c r="AO333" s="310">
        <v>0.36797930000000001</v>
      </c>
      <c r="AP333" s="310">
        <v>0.35131679999999998</v>
      </c>
      <c r="AQ333" s="310">
        <v>0.35160740000000001</v>
      </c>
      <c r="AR333" s="310">
        <v>0.37601430000000002</v>
      </c>
      <c r="AS333" s="310">
        <v>0.38303359999999997</v>
      </c>
      <c r="AT333" s="310">
        <v>0.37269869999999999</v>
      </c>
      <c r="AU333" s="310">
        <v>0.37997999999999998</v>
      </c>
      <c r="AV333" s="310">
        <v>0.38199070000000002</v>
      </c>
      <c r="AW333" s="310">
        <v>0.32996449999999999</v>
      </c>
      <c r="AX333" s="310">
        <v>0.36881910000000001</v>
      </c>
      <c r="AY333" s="310">
        <v>0.3772298</v>
      </c>
      <c r="AZ333" s="310">
        <v>0.37692140000000002</v>
      </c>
      <c r="BA333" s="310">
        <v>0.35483599999999998</v>
      </c>
      <c r="BB333" s="310">
        <v>0.37806489999999998</v>
      </c>
      <c r="BC333" s="310">
        <v>0.38076769999999999</v>
      </c>
      <c r="BD333" s="310">
        <v>0.37615209999999999</v>
      </c>
      <c r="BE333" s="310">
        <v>0.3816831</v>
      </c>
      <c r="BF333" s="310">
        <v>0.37778260000000002</v>
      </c>
      <c r="BG333" s="310">
        <v>0.38375029999999999</v>
      </c>
      <c r="BH333" s="310">
        <v>0.37219059999999998</v>
      </c>
      <c r="BI333" s="310">
        <v>0.38373040000000003</v>
      </c>
      <c r="BJ333" s="310">
        <v>0.38430409999999998</v>
      </c>
      <c r="BK333" s="310">
        <v>0.3867717</v>
      </c>
    </row>
    <row r="334" spans="1:63" x14ac:dyDescent="0.25">
      <c r="A334" s="306">
        <v>515200</v>
      </c>
      <c r="B334" s="310" t="s">
        <v>294</v>
      </c>
      <c r="C334" s="310">
        <v>0.37837680000000001</v>
      </c>
      <c r="D334" s="310">
        <v>0.37765029999999999</v>
      </c>
      <c r="E334" s="310">
        <v>0.37261100000000003</v>
      </c>
      <c r="F334" s="310">
        <v>0.36628110000000003</v>
      </c>
      <c r="G334" s="310">
        <v>0.37422309999999998</v>
      </c>
      <c r="H334" s="310">
        <v>0.37353219999999998</v>
      </c>
      <c r="I334" s="310">
        <v>0.36988789999999999</v>
      </c>
      <c r="J334" s="310">
        <v>0.34894360000000002</v>
      </c>
      <c r="K334" s="310">
        <v>9.7086099999999995E-2</v>
      </c>
      <c r="L334" s="310">
        <v>0.29918270000000002</v>
      </c>
      <c r="M334" s="310">
        <v>0.37362319999999999</v>
      </c>
      <c r="N334" s="310">
        <v>0.36721160000000003</v>
      </c>
      <c r="O334" s="310">
        <v>0.3671548</v>
      </c>
      <c r="P334" s="310">
        <v>0.35498400000000002</v>
      </c>
      <c r="Q334" s="310">
        <v>0.37028109999999997</v>
      </c>
      <c r="R334" s="310">
        <v>0.3660081</v>
      </c>
      <c r="S334" s="310">
        <v>0.36183009999999999</v>
      </c>
      <c r="T334" s="310">
        <v>0.32376129999999997</v>
      </c>
      <c r="U334" s="310">
        <v>0.32129400000000002</v>
      </c>
      <c r="V334" s="310">
        <v>0.3705562</v>
      </c>
      <c r="W334" s="310">
        <v>0.35047460000000003</v>
      </c>
      <c r="X334" s="310">
        <v>0.3067724</v>
      </c>
      <c r="Y334" s="310">
        <v>0.37631710000000002</v>
      </c>
      <c r="Z334" s="310">
        <v>0.37317830000000002</v>
      </c>
      <c r="AA334" s="310">
        <v>0.36639620000000001</v>
      </c>
      <c r="AB334" s="310">
        <v>0.3214515</v>
      </c>
      <c r="AC334" s="310">
        <v>0.36938670000000001</v>
      </c>
      <c r="AD334" s="310">
        <v>0.37758190000000003</v>
      </c>
      <c r="AE334" s="310">
        <v>0.368697</v>
      </c>
      <c r="AF334" s="310">
        <v>0</v>
      </c>
      <c r="AG334" s="310">
        <v>0.36304629999999999</v>
      </c>
      <c r="AH334" s="310">
        <v>0.332181</v>
      </c>
      <c r="AI334" s="310">
        <v>0.32373960000000002</v>
      </c>
      <c r="AJ334" s="310">
        <v>0.36510320000000002</v>
      </c>
      <c r="AK334" s="310">
        <v>0.36514790000000003</v>
      </c>
      <c r="AL334" s="310">
        <v>0.30876720000000002</v>
      </c>
      <c r="AM334" s="310">
        <v>0.35057509999999997</v>
      </c>
      <c r="AN334" s="310">
        <v>0.37415120000000002</v>
      </c>
      <c r="AO334" s="310">
        <v>0.35622799999999999</v>
      </c>
      <c r="AP334" s="310">
        <v>0.34011609999999998</v>
      </c>
      <c r="AQ334" s="310">
        <v>0.34037580000000001</v>
      </c>
      <c r="AR334" s="310">
        <v>0.363952</v>
      </c>
      <c r="AS334" s="310">
        <v>0.37082510000000002</v>
      </c>
      <c r="AT334" s="310">
        <v>0.36083340000000003</v>
      </c>
      <c r="AU334" s="310">
        <v>0.36786079999999999</v>
      </c>
      <c r="AV334" s="310">
        <v>0.36983899999999997</v>
      </c>
      <c r="AW334" s="310">
        <v>0.31944719999999999</v>
      </c>
      <c r="AX334" s="310">
        <v>0.35701349999999998</v>
      </c>
      <c r="AY334" s="310">
        <v>0.36519869999999999</v>
      </c>
      <c r="AZ334" s="310">
        <v>0.36495230000000001</v>
      </c>
      <c r="BA334" s="310">
        <v>0.34353650000000002</v>
      </c>
      <c r="BB334" s="310">
        <v>0.3660564</v>
      </c>
      <c r="BC334" s="310">
        <v>0.3686507</v>
      </c>
      <c r="BD334" s="310">
        <v>0.36418729999999999</v>
      </c>
      <c r="BE334" s="310">
        <v>0.36950549999999999</v>
      </c>
      <c r="BF334" s="310">
        <v>0.36577730000000003</v>
      </c>
      <c r="BG334" s="310">
        <v>0.37153409999999998</v>
      </c>
      <c r="BH334" s="310">
        <v>0.36028650000000001</v>
      </c>
      <c r="BI334" s="310">
        <v>0.37151190000000001</v>
      </c>
      <c r="BJ334" s="310">
        <v>0.37204520000000002</v>
      </c>
      <c r="BK334" s="310">
        <v>0.37446629999999997</v>
      </c>
    </row>
    <row r="335" spans="1:63" x14ac:dyDescent="0.25">
      <c r="A335" s="306">
        <v>517000</v>
      </c>
      <c r="B335" s="310" t="s">
        <v>295</v>
      </c>
      <c r="C335" s="310">
        <v>0.17465310000000001</v>
      </c>
      <c r="D335" s="310">
        <v>0.1730226</v>
      </c>
      <c r="E335" s="310">
        <v>0.1700267</v>
      </c>
      <c r="F335" s="310">
        <v>0.17151530000000001</v>
      </c>
      <c r="G335" s="310">
        <v>0.1713797</v>
      </c>
      <c r="H335" s="310">
        <v>0.1732834</v>
      </c>
      <c r="I335" s="310">
        <v>0.17209550000000001</v>
      </c>
      <c r="J335" s="310">
        <v>0.16051260000000001</v>
      </c>
      <c r="K335" s="310">
        <v>2.6381700000000001E-2</v>
      </c>
      <c r="L335" s="310">
        <v>0.13322120000000001</v>
      </c>
      <c r="M335" s="310">
        <v>0.17262169999999999</v>
      </c>
      <c r="N335" s="310">
        <v>0.17008889999999999</v>
      </c>
      <c r="O335" s="310">
        <v>0.17263220000000001</v>
      </c>
      <c r="P335" s="310">
        <v>0.16839660000000001</v>
      </c>
      <c r="Q335" s="310">
        <v>0.17210500000000001</v>
      </c>
      <c r="R335" s="310">
        <v>0.16904459999999999</v>
      </c>
      <c r="S335" s="310">
        <v>0.1677246</v>
      </c>
      <c r="T335" s="310">
        <v>0.13465759999999999</v>
      </c>
      <c r="U335" s="310">
        <v>0.1603485</v>
      </c>
      <c r="V335" s="310">
        <v>0.17119110000000001</v>
      </c>
      <c r="W335" s="310">
        <v>0.15993660000000001</v>
      </c>
      <c r="X335" s="310">
        <v>0.15814690000000001</v>
      </c>
      <c r="Y335" s="310">
        <v>0.1737013</v>
      </c>
      <c r="Z335" s="310">
        <v>0.1730816</v>
      </c>
      <c r="AA335" s="310">
        <v>0.16917109999999999</v>
      </c>
      <c r="AB335" s="310">
        <v>0.1388366</v>
      </c>
      <c r="AC335" s="310">
        <v>0.1679929</v>
      </c>
      <c r="AD335" s="310">
        <v>0.17249510000000001</v>
      </c>
      <c r="AE335" s="310">
        <v>0.1686222</v>
      </c>
      <c r="AF335" s="310">
        <v>0.1601339</v>
      </c>
      <c r="AG335" s="310">
        <v>0.1612285</v>
      </c>
      <c r="AH335" s="310">
        <v>0.16028419999999999</v>
      </c>
      <c r="AI335" s="310">
        <v>0.16086349999999999</v>
      </c>
      <c r="AJ335" s="310">
        <v>0.1709154</v>
      </c>
      <c r="AK335" s="310">
        <v>0.16713410000000001</v>
      </c>
      <c r="AL335" s="310">
        <v>0.15380279999999999</v>
      </c>
      <c r="AM335" s="310">
        <v>0.16512950000000001</v>
      </c>
      <c r="AN335" s="310">
        <v>0.17084189999999999</v>
      </c>
      <c r="AO335" s="310">
        <v>0.16306660000000001</v>
      </c>
      <c r="AP335" s="310">
        <v>0.16019659999999999</v>
      </c>
      <c r="AQ335" s="310">
        <v>0.1270809</v>
      </c>
      <c r="AR335" s="310">
        <v>0.16941349999999999</v>
      </c>
      <c r="AS335" s="310">
        <v>0.17102539999999999</v>
      </c>
      <c r="AT335" s="310">
        <v>0.1636001</v>
      </c>
      <c r="AU335" s="310">
        <v>0.1725757</v>
      </c>
      <c r="AV335" s="310">
        <v>0.1726557</v>
      </c>
      <c r="AW335" s="310">
        <v>0.1468352</v>
      </c>
      <c r="AX335" s="310">
        <v>0.1637498</v>
      </c>
      <c r="AY335" s="310">
        <v>0.16730300000000001</v>
      </c>
      <c r="AZ335" s="310">
        <v>0.17150209999999999</v>
      </c>
      <c r="BA335" s="310">
        <v>0.16057759999999999</v>
      </c>
      <c r="BB335" s="310">
        <v>0.1668935</v>
      </c>
      <c r="BC335" s="310">
        <v>0.17089399999999999</v>
      </c>
      <c r="BD335" s="310">
        <v>0.17118929999999999</v>
      </c>
      <c r="BE335" s="310">
        <v>0.17116600000000001</v>
      </c>
      <c r="BF335" s="310">
        <v>0.1691368</v>
      </c>
      <c r="BG335" s="310">
        <v>0.17209279999999999</v>
      </c>
      <c r="BH335" s="310">
        <v>0.16811200000000001</v>
      </c>
      <c r="BI335" s="310">
        <v>0.1730409</v>
      </c>
      <c r="BJ335" s="310">
        <v>0.1722573</v>
      </c>
      <c r="BK335" s="310">
        <v>0.1733239</v>
      </c>
    </row>
    <row r="336" spans="1:63" x14ac:dyDescent="0.25">
      <c r="A336" s="306" t="s">
        <v>763</v>
      </c>
      <c r="B336" s="310" t="s">
        <v>764</v>
      </c>
      <c r="C336" s="310">
        <v>0.31103720000000001</v>
      </c>
      <c r="D336" s="310">
        <v>0.30831140000000001</v>
      </c>
      <c r="E336" s="310">
        <v>0.30537239999999999</v>
      </c>
      <c r="F336" s="310">
        <v>0.31081399999999998</v>
      </c>
      <c r="G336" s="310">
        <v>0.30579339999999999</v>
      </c>
      <c r="H336" s="310">
        <v>0.30667830000000001</v>
      </c>
      <c r="I336" s="310">
        <v>0.3054538</v>
      </c>
      <c r="J336" s="310">
        <v>0.26716709999999999</v>
      </c>
      <c r="K336" s="310">
        <v>8.5014099999999995E-2</v>
      </c>
      <c r="L336" s="310">
        <v>0.24316879999999999</v>
      </c>
      <c r="M336" s="310">
        <v>0.30666670000000001</v>
      </c>
      <c r="N336" s="310">
        <v>0.29381859999999999</v>
      </c>
      <c r="O336" s="310">
        <v>0.29544779999999998</v>
      </c>
      <c r="P336" s="310">
        <v>0.30490790000000001</v>
      </c>
      <c r="Q336" s="310">
        <v>0.28460390000000002</v>
      </c>
      <c r="R336" s="310">
        <v>0.29787380000000002</v>
      </c>
      <c r="S336" s="310">
        <v>0.29744280000000001</v>
      </c>
      <c r="T336" s="310">
        <v>0.2520732</v>
      </c>
      <c r="U336" s="310">
        <v>0.27867999999999998</v>
      </c>
      <c r="V336" s="310">
        <v>0.30121029999999999</v>
      </c>
      <c r="W336" s="310">
        <v>0.28432990000000002</v>
      </c>
      <c r="X336" s="310">
        <v>0.26298880000000002</v>
      </c>
      <c r="Y336" s="310">
        <v>0.30104019999999998</v>
      </c>
      <c r="Z336" s="310">
        <v>0.30830689999999999</v>
      </c>
      <c r="AA336" s="310">
        <v>0.3016123</v>
      </c>
      <c r="AB336" s="310">
        <v>0.26994770000000001</v>
      </c>
      <c r="AC336" s="310">
        <v>0.283831</v>
      </c>
      <c r="AD336" s="310">
        <v>0.29667480000000002</v>
      </c>
      <c r="AE336" s="310">
        <v>0.3004657</v>
      </c>
      <c r="AF336" s="310">
        <v>0.2809429</v>
      </c>
      <c r="AG336" s="310">
        <v>0.28463359999999999</v>
      </c>
      <c r="AH336" s="310">
        <v>0.26098529999999998</v>
      </c>
      <c r="AI336" s="310">
        <v>0.26794230000000002</v>
      </c>
      <c r="AJ336" s="310">
        <v>0.3092279</v>
      </c>
      <c r="AK336" s="310">
        <v>0.27225290000000002</v>
      </c>
      <c r="AL336" s="310">
        <v>0.2470686</v>
      </c>
      <c r="AM336" s="310">
        <v>0.30429210000000001</v>
      </c>
      <c r="AN336" s="310">
        <v>0.30292000000000002</v>
      </c>
      <c r="AO336" s="310">
        <v>0.29559570000000002</v>
      </c>
      <c r="AP336" s="310">
        <v>0.286657</v>
      </c>
      <c r="AQ336" s="310">
        <v>0.2450203</v>
      </c>
      <c r="AR336" s="310">
        <v>0.28081600000000001</v>
      </c>
      <c r="AS336" s="310">
        <v>0.29582019999999998</v>
      </c>
      <c r="AT336" s="310">
        <v>0.2945141</v>
      </c>
      <c r="AU336" s="310">
        <v>0.30759259999999999</v>
      </c>
      <c r="AV336" s="310">
        <v>0.30868499999999999</v>
      </c>
      <c r="AW336" s="310">
        <v>0.25910470000000002</v>
      </c>
      <c r="AX336" s="310">
        <v>0.26363910000000002</v>
      </c>
      <c r="AY336" s="310">
        <v>0.29947319999999999</v>
      </c>
      <c r="AZ336" s="310">
        <v>0.3007917</v>
      </c>
      <c r="BA336" s="310">
        <v>0.2565461</v>
      </c>
      <c r="BB336" s="310">
        <v>0.30841039999999997</v>
      </c>
      <c r="BC336" s="310">
        <v>0.29753429999999997</v>
      </c>
      <c r="BD336" s="310">
        <v>0.29449209999999998</v>
      </c>
      <c r="BE336" s="310">
        <v>0.3047474</v>
      </c>
      <c r="BF336" s="310">
        <v>0.30255100000000001</v>
      </c>
      <c r="BG336" s="310">
        <v>0.30427209999999999</v>
      </c>
      <c r="BH336" s="310">
        <v>0.29549920000000002</v>
      </c>
      <c r="BI336" s="310">
        <v>0.30808990000000003</v>
      </c>
      <c r="BJ336" s="310">
        <v>0.30562650000000002</v>
      </c>
      <c r="BK336" s="310">
        <v>0.30702160000000001</v>
      </c>
    </row>
    <row r="337" spans="1:63" x14ac:dyDescent="0.25">
      <c r="A337" s="306" t="s">
        <v>765</v>
      </c>
      <c r="B337" s="310" t="s">
        <v>296</v>
      </c>
      <c r="C337" s="310">
        <v>0.23976339999999999</v>
      </c>
      <c r="D337" s="310">
        <v>0.2358719</v>
      </c>
      <c r="E337" s="310">
        <v>0.236868</v>
      </c>
      <c r="F337" s="310">
        <v>0.23341899999999999</v>
      </c>
      <c r="G337" s="310">
        <v>0.2388284</v>
      </c>
      <c r="H337" s="310">
        <v>0.2386482</v>
      </c>
      <c r="I337" s="310">
        <v>0.2376461</v>
      </c>
      <c r="J337" s="310">
        <v>0.2106131</v>
      </c>
      <c r="K337" s="310">
        <v>5.68928E-2</v>
      </c>
      <c r="L337" s="310">
        <v>0.1866736</v>
      </c>
      <c r="M337" s="310">
        <v>0.2387609</v>
      </c>
      <c r="N337" s="310">
        <v>0.23346020000000001</v>
      </c>
      <c r="O337" s="310">
        <v>0.23969489999999999</v>
      </c>
      <c r="P337" s="310">
        <v>0.23345099999999999</v>
      </c>
      <c r="Q337" s="310">
        <v>0.2369675</v>
      </c>
      <c r="R337" s="310">
        <v>0.2340614</v>
      </c>
      <c r="S337" s="310">
        <v>0.23282120000000001</v>
      </c>
      <c r="T337" s="310">
        <v>0.2180356</v>
      </c>
      <c r="U337" s="310">
        <v>0.2219199</v>
      </c>
      <c r="V337" s="310">
        <v>0.23760590000000001</v>
      </c>
      <c r="W337" s="310">
        <v>0.2278473</v>
      </c>
      <c r="X337" s="310">
        <v>0.21671080000000001</v>
      </c>
      <c r="Y337" s="310">
        <v>0.23819799999999999</v>
      </c>
      <c r="Z337" s="310">
        <v>0.23841499999999999</v>
      </c>
      <c r="AA337" s="310">
        <v>0.2350324</v>
      </c>
      <c r="AB337" s="310">
        <v>0.2100766</v>
      </c>
      <c r="AC337" s="310">
        <v>0.23631379999999999</v>
      </c>
      <c r="AD337" s="310">
        <v>0.23977119999999999</v>
      </c>
      <c r="AE337" s="310">
        <v>0.2343856</v>
      </c>
      <c r="AF337" s="310">
        <v>0.2193523</v>
      </c>
      <c r="AG337" s="310">
        <v>0.2279109</v>
      </c>
      <c r="AH337" s="310">
        <v>0.2111749</v>
      </c>
      <c r="AI337" s="310">
        <v>0.21084269999999999</v>
      </c>
      <c r="AJ337" s="310">
        <v>0.23685390000000001</v>
      </c>
      <c r="AK337" s="310">
        <v>0.23421110000000001</v>
      </c>
      <c r="AL337" s="310">
        <v>0.18884980000000001</v>
      </c>
      <c r="AM337" s="310">
        <v>0.23168030000000001</v>
      </c>
      <c r="AN337" s="310">
        <v>0.23788239999999999</v>
      </c>
      <c r="AO337" s="310">
        <v>0.22698650000000001</v>
      </c>
      <c r="AP337" s="310">
        <v>0.22382669999999999</v>
      </c>
      <c r="AQ337" s="310">
        <v>0.19894100000000001</v>
      </c>
      <c r="AR337" s="310">
        <v>0.23420550000000001</v>
      </c>
      <c r="AS337" s="310">
        <v>0.2330168</v>
      </c>
      <c r="AT337" s="310">
        <v>0.23196910000000001</v>
      </c>
      <c r="AU337" s="310">
        <v>0.23844099999999999</v>
      </c>
      <c r="AV337" s="310">
        <v>0.23750460000000001</v>
      </c>
      <c r="AW337" s="310">
        <v>0.2218494</v>
      </c>
      <c r="AX337" s="310">
        <v>0.2275432</v>
      </c>
      <c r="AY337" s="310">
        <v>0.2366954</v>
      </c>
      <c r="AZ337" s="310">
        <v>0.23554169999999999</v>
      </c>
      <c r="BA337" s="310">
        <v>0.21789739999999999</v>
      </c>
      <c r="BB337" s="310">
        <v>0.23794419999999999</v>
      </c>
      <c r="BC337" s="310">
        <v>0.230797</v>
      </c>
      <c r="BD337" s="310">
        <v>0.22901869999999999</v>
      </c>
      <c r="BE337" s="310">
        <v>0.23666599999999999</v>
      </c>
      <c r="BF337" s="310">
        <v>0.23401759999999999</v>
      </c>
      <c r="BG337" s="310">
        <v>0.23525840000000001</v>
      </c>
      <c r="BH337" s="310">
        <v>0.2338094</v>
      </c>
      <c r="BI337" s="310">
        <v>0.23857929999999999</v>
      </c>
      <c r="BJ337" s="310">
        <v>0.2382349</v>
      </c>
      <c r="BK337" s="310">
        <v>0.23875070000000001</v>
      </c>
    </row>
    <row r="338" spans="1:63" x14ac:dyDescent="0.25">
      <c r="A338" s="306">
        <v>523000</v>
      </c>
      <c r="B338" s="310" t="s">
        <v>297</v>
      </c>
      <c r="C338" s="310">
        <v>0.49580069999999998</v>
      </c>
      <c r="D338" s="310">
        <v>0.49584899999999998</v>
      </c>
      <c r="E338" s="310">
        <v>0.491234</v>
      </c>
      <c r="F338" s="310">
        <v>0.48090820000000001</v>
      </c>
      <c r="G338" s="310">
        <v>0.4889577</v>
      </c>
      <c r="H338" s="310">
        <v>0.49189870000000002</v>
      </c>
      <c r="I338" s="310">
        <v>0.4835351</v>
      </c>
      <c r="J338" s="310">
        <v>0.39915240000000002</v>
      </c>
      <c r="K338" s="310">
        <v>0.13615930000000001</v>
      </c>
      <c r="L338" s="310">
        <v>0.32552750000000003</v>
      </c>
      <c r="M338" s="310">
        <v>0.49274469999999998</v>
      </c>
      <c r="N338" s="310">
        <v>0.4847978</v>
      </c>
      <c r="O338" s="310">
        <v>0.48965809999999999</v>
      </c>
      <c r="P338" s="310">
        <v>0.47481760000000001</v>
      </c>
      <c r="Q338" s="310">
        <v>0.47843849999999999</v>
      </c>
      <c r="R338" s="310">
        <v>0.48419990000000002</v>
      </c>
      <c r="S338" s="310">
        <v>0.48795329999999998</v>
      </c>
      <c r="T338" s="310">
        <v>0.43543939999999998</v>
      </c>
      <c r="U338" s="310">
        <v>0.4120664</v>
      </c>
      <c r="V338" s="310">
        <v>0.48452909999999999</v>
      </c>
      <c r="W338" s="310">
        <v>0.47537380000000001</v>
      </c>
      <c r="X338" s="310">
        <v>0.4673773</v>
      </c>
      <c r="Y338" s="310">
        <v>0.49019610000000002</v>
      </c>
      <c r="Z338" s="310">
        <v>0.49150060000000001</v>
      </c>
      <c r="AA338" s="310">
        <v>0.48519289999999998</v>
      </c>
      <c r="AB338" s="310">
        <v>0.40260240000000003</v>
      </c>
      <c r="AC338" s="310">
        <v>0.47689740000000003</v>
      </c>
      <c r="AD338" s="310">
        <v>0.49192639999999999</v>
      </c>
      <c r="AE338" s="310">
        <v>0.48398809999999998</v>
      </c>
      <c r="AF338" s="310">
        <v>0.44841160000000002</v>
      </c>
      <c r="AG338" s="310">
        <v>0.47409610000000002</v>
      </c>
      <c r="AH338" s="310">
        <v>0.4035531</v>
      </c>
      <c r="AI338" s="310">
        <v>0.39761059999999998</v>
      </c>
      <c r="AJ338" s="310">
        <v>0.49377520000000003</v>
      </c>
      <c r="AK338" s="310">
        <v>0.48769299999999999</v>
      </c>
      <c r="AL338" s="310">
        <v>0.36166900000000002</v>
      </c>
      <c r="AM338" s="310">
        <v>0.47553679999999998</v>
      </c>
      <c r="AN338" s="310">
        <v>0.48867909999999998</v>
      </c>
      <c r="AO338" s="310">
        <v>0.48193560000000002</v>
      </c>
      <c r="AP338" s="310">
        <v>0.45172129999999999</v>
      </c>
      <c r="AQ338" s="310">
        <v>0.37619649999999999</v>
      </c>
      <c r="AR338" s="310">
        <v>0.48122280000000001</v>
      </c>
      <c r="AS338" s="310">
        <v>0.49046469999999998</v>
      </c>
      <c r="AT338" s="310">
        <v>0.48298289999999999</v>
      </c>
      <c r="AU338" s="310">
        <v>0.4903882</v>
      </c>
      <c r="AV338" s="310">
        <v>0.49142229999999998</v>
      </c>
      <c r="AW338" s="310">
        <v>0.44606709999999999</v>
      </c>
      <c r="AX338" s="310">
        <v>0.49020429999999998</v>
      </c>
      <c r="AY338" s="310">
        <v>0.48888710000000002</v>
      </c>
      <c r="AZ338" s="310">
        <v>0.46279769999999998</v>
      </c>
      <c r="BA338" s="310">
        <v>0.43557960000000001</v>
      </c>
      <c r="BB338" s="310">
        <v>0.49312220000000001</v>
      </c>
      <c r="BC338" s="310">
        <v>0.46542650000000002</v>
      </c>
      <c r="BD338" s="310">
        <v>0.46671879999999999</v>
      </c>
      <c r="BE338" s="310">
        <v>0.48765389999999997</v>
      </c>
      <c r="BF338" s="310">
        <v>0.47955989999999998</v>
      </c>
      <c r="BG338" s="310">
        <v>0.48781590000000002</v>
      </c>
      <c r="BH338" s="310">
        <v>0.47062169999999998</v>
      </c>
      <c r="BI338" s="310">
        <v>0.49033149999999998</v>
      </c>
      <c r="BJ338" s="310">
        <v>0.48700189999999999</v>
      </c>
      <c r="BK338" s="310">
        <v>0.4923824</v>
      </c>
    </row>
    <row r="339" spans="1:63" x14ac:dyDescent="0.25">
      <c r="A339" s="306">
        <v>524100</v>
      </c>
      <c r="B339" s="310" t="s">
        <v>298</v>
      </c>
      <c r="C339" s="310">
        <v>0.28620990000000002</v>
      </c>
      <c r="D339" s="310">
        <v>0.28502640000000001</v>
      </c>
      <c r="E339" s="310">
        <v>0.28418470000000001</v>
      </c>
      <c r="F339" s="310">
        <v>0.28166600000000003</v>
      </c>
      <c r="G339" s="310">
        <v>0.28392319999999999</v>
      </c>
      <c r="H339" s="310">
        <v>0.28515800000000002</v>
      </c>
      <c r="I339" s="310">
        <v>0.28456189999999998</v>
      </c>
      <c r="J339" s="310">
        <v>0.26930589999999999</v>
      </c>
      <c r="K339" s="310">
        <v>4.5099E-2</v>
      </c>
      <c r="L339" s="310">
        <v>0.186945</v>
      </c>
      <c r="M339" s="310">
        <v>0.28458270000000002</v>
      </c>
      <c r="N339" s="310">
        <v>0.2789507</v>
      </c>
      <c r="O339" s="310">
        <v>0.28452139999999998</v>
      </c>
      <c r="P339" s="310">
        <v>0.28084920000000002</v>
      </c>
      <c r="Q339" s="310">
        <v>0.28007919999999997</v>
      </c>
      <c r="R339" s="310">
        <v>0.27715889999999999</v>
      </c>
      <c r="S339" s="310">
        <v>0.27931509999999998</v>
      </c>
      <c r="T339" s="310">
        <v>0.24461189999999999</v>
      </c>
      <c r="U339" s="310">
        <v>0.26027139999999999</v>
      </c>
      <c r="V339" s="310">
        <v>0.28233900000000001</v>
      </c>
      <c r="W339" s="310">
        <v>0.2674801</v>
      </c>
      <c r="X339" s="310">
        <v>0.26706990000000003</v>
      </c>
      <c r="Y339" s="310">
        <v>0.28400419999999998</v>
      </c>
      <c r="Z339" s="310">
        <v>0.28441610000000001</v>
      </c>
      <c r="AA339" s="310">
        <v>0.27728839999999999</v>
      </c>
      <c r="AB339" s="310">
        <v>0.25086599999999998</v>
      </c>
      <c r="AC339" s="310">
        <v>0.28231270000000003</v>
      </c>
      <c r="AD339" s="310">
        <v>0.2854661</v>
      </c>
      <c r="AE339" s="310">
        <v>0.27926289999999998</v>
      </c>
      <c r="AF339" s="310">
        <v>0.2482907</v>
      </c>
      <c r="AG339" s="310">
        <v>0.26068459999999999</v>
      </c>
      <c r="AH339" s="310">
        <v>0.26350240000000003</v>
      </c>
      <c r="AI339" s="310">
        <v>0.25656459999999998</v>
      </c>
      <c r="AJ339" s="310">
        <v>0.28430939999999999</v>
      </c>
      <c r="AK339" s="310">
        <v>0.28169759999999999</v>
      </c>
      <c r="AL339" s="310">
        <v>0.23642299999999999</v>
      </c>
      <c r="AM339" s="310">
        <v>0.2757018</v>
      </c>
      <c r="AN339" s="310">
        <v>0.28497549999999999</v>
      </c>
      <c r="AO339" s="310">
        <v>0.27018049999999999</v>
      </c>
      <c r="AP339" s="310">
        <v>0.26249220000000001</v>
      </c>
      <c r="AQ339" s="310">
        <v>0.24047180000000001</v>
      </c>
      <c r="AR339" s="310">
        <v>0.2809836</v>
      </c>
      <c r="AS339" s="310">
        <v>0.27931810000000001</v>
      </c>
      <c r="AT339" s="310">
        <v>0.27012849999999999</v>
      </c>
      <c r="AU339" s="310">
        <v>0.28337810000000002</v>
      </c>
      <c r="AV339" s="310">
        <v>0.28411150000000002</v>
      </c>
      <c r="AW339" s="310">
        <v>0.26764019999999999</v>
      </c>
      <c r="AX339" s="310">
        <v>0.28153869999999998</v>
      </c>
      <c r="AY339" s="310">
        <v>0.28335769999999999</v>
      </c>
      <c r="AZ339" s="310">
        <v>0.28416160000000001</v>
      </c>
      <c r="BA339" s="310">
        <v>0.26706960000000002</v>
      </c>
      <c r="BB339" s="310">
        <v>0.2791882</v>
      </c>
      <c r="BC339" s="310">
        <v>0.28118169999999998</v>
      </c>
      <c r="BD339" s="310">
        <v>0.27924880000000002</v>
      </c>
      <c r="BE339" s="310">
        <v>0.28191519999999998</v>
      </c>
      <c r="BF339" s="310">
        <v>0.27987780000000001</v>
      </c>
      <c r="BG339" s="310">
        <v>0.2818061</v>
      </c>
      <c r="BH339" s="310">
        <v>0.2757888</v>
      </c>
      <c r="BI339" s="310">
        <v>0.28398000000000001</v>
      </c>
      <c r="BJ339" s="310">
        <v>0.2843077</v>
      </c>
      <c r="BK339" s="310">
        <v>0.28527249999999998</v>
      </c>
    </row>
    <row r="340" spans="1:63" x14ac:dyDescent="0.25">
      <c r="A340" s="306">
        <v>524200</v>
      </c>
      <c r="B340" s="310" t="s">
        <v>299</v>
      </c>
      <c r="C340" s="310">
        <v>0.34596500000000002</v>
      </c>
      <c r="D340" s="310">
        <v>0.34451530000000002</v>
      </c>
      <c r="E340" s="310">
        <v>0.34353240000000002</v>
      </c>
      <c r="F340" s="310">
        <v>0.34047090000000002</v>
      </c>
      <c r="G340" s="310">
        <v>0.34322720000000001</v>
      </c>
      <c r="H340" s="310">
        <v>0.34467740000000002</v>
      </c>
      <c r="I340" s="310">
        <v>0.34399849999999998</v>
      </c>
      <c r="J340" s="310">
        <v>0.3255768</v>
      </c>
      <c r="K340" s="310">
        <v>5.45374E-2</v>
      </c>
      <c r="L340" s="310">
        <v>0.22602700000000001</v>
      </c>
      <c r="M340" s="310">
        <v>0.34402820000000001</v>
      </c>
      <c r="N340" s="310">
        <v>0.33722829999999998</v>
      </c>
      <c r="O340" s="310">
        <v>0.3439875</v>
      </c>
      <c r="P340" s="310">
        <v>0.33946229999999999</v>
      </c>
      <c r="Q340" s="310">
        <v>0.33853889999999998</v>
      </c>
      <c r="R340" s="310">
        <v>0.33507530000000002</v>
      </c>
      <c r="S340" s="310">
        <v>0.33766960000000001</v>
      </c>
      <c r="T340" s="310">
        <v>0.29569269999999998</v>
      </c>
      <c r="U340" s="310">
        <v>0.31459749999999997</v>
      </c>
      <c r="V340" s="310">
        <v>0.34131210000000001</v>
      </c>
      <c r="W340" s="310">
        <v>0.32335589999999997</v>
      </c>
      <c r="X340" s="310">
        <v>0.32282100000000002</v>
      </c>
      <c r="Y340" s="310">
        <v>0.34326699999999999</v>
      </c>
      <c r="Z340" s="310">
        <v>0.343806</v>
      </c>
      <c r="AA340" s="310">
        <v>0.33517730000000001</v>
      </c>
      <c r="AB340" s="310">
        <v>0.3032532</v>
      </c>
      <c r="AC340" s="310">
        <v>0.34131289999999997</v>
      </c>
      <c r="AD340" s="310">
        <v>0.3450608</v>
      </c>
      <c r="AE340" s="310">
        <v>0.33761859999999999</v>
      </c>
      <c r="AF340" s="310">
        <v>0.30016100000000001</v>
      </c>
      <c r="AG340" s="310">
        <v>0.3151236</v>
      </c>
      <c r="AH340" s="310">
        <v>0.31857190000000002</v>
      </c>
      <c r="AI340" s="310">
        <v>0.31014079999999999</v>
      </c>
      <c r="AJ340" s="310">
        <v>0.34375699999999998</v>
      </c>
      <c r="AK340" s="310">
        <v>0.3404972</v>
      </c>
      <c r="AL340" s="310">
        <v>0.28582360000000001</v>
      </c>
      <c r="AM340" s="310">
        <v>0.33331129999999998</v>
      </c>
      <c r="AN340" s="310">
        <v>0.34447480000000003</v>
      </c>
      <c r="AO340" s="310">
        <v>0.32660210000000001</v>
      </c>
      <c r="AP340" s="310">
        <v>0.31734099999999998</v>
      </c>
      <c r="AQ340" s="310">
        <v>0.29067989999999999</v>
      </c>
      <c r="AR340" s="310">
        <v>0.33963779999999999</v>
      </c>
      <c r="AS340" s="310">
        <v>0.33761380000000002</v>
      </c>
      <c r="AT340" s="310">
        <v>0.32655450000000003</v>
      </c>
      <c r="AU340" s="310">
        <v>0.34256989999999998</v>
      </c>
      <c r="AV340" s="310">
        <v>0.3434277</v>
      </c>
      <c r="AW340" s="310">
        <v>0.32354749999999999</v>
      </c>
      <c r="AX340" s="310">
        <v>0.3403504</v>
      </c>
      <c r="AY340" s="310">
        <v>0.34253420000000001</v>
      </c>
      <c r="AZ340" s="310">
        <v>0.34348469999999998</v>
      </c>
      <c r="BA340" s="310">
        <v>0.32288329999999998</v>
      </c>
      <c r="BB340" s="310">
        <v>0.33744760000000001</v>
      </c>
      <c r="BC340" s="310">
        <v>0.33987099999999998</v>
      </c>
      <c r="BD340" s="310">
        <v>0.33759119999999998</v>
      </c>
      <c r="BE340" s="310">
        <v>0.34076079999999997</v>
      </c>
      <c r="BF340" s="310">
        <v>0.33835870000000001</v>
      </c>
      <c r="BG340" s="310">
        <v>0.34065859999999998</v>
      </c>
      <c r="BH340" s="310">
        <v>0.33344499999999999</v>
      </c>
      <c r="BI340" s="310">
        <v>0.34335359999999998</v>
      </c>
      <c r="BJ340" s="310">
        <v>0.34369660000000002</v>
      </c>
      <c r="BK340" s="310">
        <v>0.3448562</v>
      </c>
    </row>
    <row r="341" spans="1:63" x14ac:dyDescent="0.25">
      <c r="A341" s="306">
        <v>525000</v>
      </c>
      <c r="B341" s="310" t="s">
        <v>300</v>
      </c>
      <c r="C341" s="310">
        <v>0.1441519</v>
      </c>
      <c r="D341" s="310">
        <v>0.14413719999999999</v>
      </c>
      <c r="E341" s="310">
        <v>0.14283470000000001</v>
      </c>
      <c r="F341" s="310">
        <v>0.1398267</v>
      </c>
      <c r="G341" s="310">
        <v>0.14216019999999999</v>
      </c>
      <c r="H341" s="310">
        <v>0.1430235</v>
      </c>
      <c r="I341" s="310">
        <v>0.14058709999999999</v>
      </c>
      <c r="J341" s="310">
        <v>0.1160511</v>
      </c>
      <c r="K341" s="310">
        <v>3.9613799999999998E-2</v>
      </c>
      <c r="L341" s="310">
        <v>9.4640199999999994E-2</v>
      </c>
      <c r="M341" s="310">
        <v>0.14327219999999999</v>
      </c>
      <c r="N341" s="310">
        <v>0.14097599999999999</v>
      </c>
      <c r="O341" s="310">
        <v>0.14235310000000001</v>
      </c>
      <c r="P341" s="310">
        <v>0.1380672</v>
      </c>
      <c r="Q341" s="310">
        <v>0.13908509999999999</v>
      </c>
      <c r="R341" s="310">
        <v>0.1407843</v>
      </c>
      <c r="S341" s="310">
        <v>0.14184140000000001</v>
      </c>
      <c r="T341" s="310">
        <v>0.12662219999999999</v>
      </c>
      <c r="U341" s="310">
        <v>0.11979860000000001</v>
      </c>
      <c r="V341" s="310">
        <v>0.14089940000000001</v>
      </c>
      <c r="W341" s="310">
        <v>0.1382169</v>
      </c>
      <c r="X341" s="310">
        <v>0.13588410000000001</v>
      </c>
      <c r="Y341" s="310">
        <v>0.14248769999999999</v>
      </c>
      <c r="Z341" s="310">
        <v>0.1428845</v>
      </c>
      <c r="AA341" s="310">
        <v>0.14107720000000001</v>
      </c>
      <c r="AB341" s="310">
        <v>0.1170505</v>
      </c>
      <c r="AC341" s="310">
        <v>0.13863890000000001</v>
      </c>
      <c r="AD341" s="310">
        <v>0.1430556</v>
      </c>
      <c r="AE341" s="310">
        <v>0.14069280000000001</v>
      </c>
      <c r="AF341" s="310">
        <v>0.1303385</v>
      </c>
      <c r="AG341" s="310">
        <v>0.13783809999999999</v>
      </c>
      <c r="AH341" s="310">
        <v>0.1173139</v>
      </c>
      <c r="AI341" s="310">
        <v>0.1155979</v>
      </c>
      <c r="AJ341" s="310">
        <v>0.14357639999999999</v>
      </c>
      <c r="AK341" s="310">
        <v>0.14179149999999999</v>
      </c>
      <c r="AL341" s="310">
        <v>0.105139</v>
      </c>
      <c r="AM341" s="310">
        <v>0.13824500000000001</v>
      </c>
      <c r="AN341" s="310">
        <v>0.14205870000000001</v>
      </c>
      <c r="AO341" s="310">
        <v>0.14012459999999999</v>
      </c>
      <c r="AP341" s="310">
        <v>0.13132269999999999</v>
      </c>
      <c r="AQ341" s="310">
        <v>0.10936510000000001</v>
      </c>
      <c r="AR341" s="310">
        <v>0.13988780000000001</v>
      </c>
      <c r="AS341" s="310">
        <v>0.14259040000000001</v>
      </c>
      <c r="AT341" s="310">
        <v>0.14042930000000001</v>
      </c>
      <c r="AU341" s="310">
        <v>0.14256650000000001</v>
      </c>
      <c r="AV341" s="310">
        <v>0.14286289999999999</v>
      </c>
      <c r="AW341" s="310">
        <v>0.12966720000000001</v>
      </c>
      <c r="AX341" s="310">
        <v>0.14251240000000001</v>
      </c>
      <c r="AY341" s="310">
        <v>0.1421405</v>
      </c>
      <c r="AZ341" s="310">
        <v>0.13456409999999999</v>
      </c>
      <c r="BA341" s="310">
        <v>0.1266226</v>
      </c>
      <c r="BB341" s="310">
        <v>0.14335310000000001</v>
      </c>
      <c r="BC341" s="310">
        <v>0.13531869999999999</v>
      </c>
      <c r="BD341" s="310">
        <v>0.13568440000000001</v>
      </c>
      <c r="BE341" s="310">
        <v>0.14176949999999999</v>
      </c>
      <c r="BF341" s="310">
        <v>0.1394167</v>
      </c>
      <c r="BG341" s="310">
        <v>0.14183419999999999</v>
      </c>
      <c r="BH341" s="310">
        <v>0.13681879999999999</v>
      </c>
      <c r="BI341" s="310">
        <v>0.14255329999999999</v>
      </c>
      <c r="BJ341" s="310">
        <v>0.1416104</v>
      </c>
      <c r="BK341" s="310">
        <v>0.14316719999999999</v>
      </c>
    </row>
    <row r="342" spans="1:63" x14ac:dyDescent="0.25">
      <c r="A342" s="306" t="s">
        <v>766</v>
      </c>
      <c r="B342" s="310" t="s">
        <v>767</v>
      </c>
      <c r="C342" s="310">
        <v>0.24584739999999999</v>
      </c>
      <c r="D342" s="310">
        <v>0.24189469999999999</v>
      </c>
      <c r="E342" s="310">
        <v>0.24289839999999999</v>
      </c>
      <c r="F342" s="310">
        <v>0.23941770000000001</v>
      </c>
      <c r="G342" s="310">
        <v>0.24488470000000001</v>
      </c>
      <c r="H342" s="310">
        <v>0.24470439999999999</v>
      </c>
      <c r="I342" s="310">
        <v>0.24367710000000001</v>
      </c>
      <c r="J342" s="310">
        <v>0.21596119999999999</v>
      </c>
      <c r="K342" s="310">
        <v>5.8320700000000003E-2</v>
      </c>
      <c r="L342" s="310">
        <v>0.19145300000000001</v>
      </c>
      <c r="M342" s="310">
        <v>0.24480270000000001</v>
      </c>
      <c r="N342" s="310">
        <v>0.2394548</v>
      </c>
      <c r="O342" s="310">
        <v>0.24578639999999999</v>
      </c>
      <c r="P342" s="310">
        <v>0.2394201</v>
      </c>
      <c r="Q342" s="310">
        <v>0.24302689999999999</v>
      </c>
      <c r="R342" s="310">
        <v>0.24001239999999999</v>
      </c>
      <c r="S342" s="310">
        <v>0.23872940000000001</v>
      </c>
      <c r="T342" s="310">
        <v>0.22357540000000001</v>
      </c>
      <c r="U342" s="310">
        <v>0.22759499999999999</v>
      </c>
      <c r="V342" s="310">
        <v>0.2436575</v>
      </c>
      <c r="W342" s="310">
        <v>0.233621</v>
      </c>
      <c r="X342" s="310">
        <v>0.2222296</v>
      </c>
      <c r="Y342" s="310">
        <v>0.24429409999999999</v>
      </c>
      <c r="Z342" s="310">
        <v>0.24450769999999999</v>
      </c>
      <c r="AA342" s="310">
        <v>0.2409819</v>
      </c>
      <c r="AB342" s="310">
        <v>0.21538669999999999</v>
      </c>
      <c r="AC342" s="310">
        <v>0.2422897</v>
      </c>
      <c r="AD342" s="310">
        <v>0.24590039999999999</v>
      </c>
      <c r="AE342" s="310">
        <v>0.24035419999999999</v>
      </c>
      <c r="AF342" s="310">
        <v>0.2249429</v>
      </c>
      <c r="AG342" s="310">
        <v>0.23372370000000001</v>
      </c>
      <c r="AH342" s="310">
        <v>0.2165173</v>
      </c>
      <c r="AI342" s="310">
        <v>0.21617729999999999</v>
      </c>
      <c r="AJ342" s="310">
        <v>0.24281</v>
      </c>
      <c r="AK342" s="310">
        <v>0.24012040000000001</v>
      </c>
      <c r="AL342" s="310">
        <v>0.1936109</v>
      </c>
      <c r="AM342" s="310">
        <v>0.23756469999999999</v>
      </c>
      <c r="AN342" s="310">
        <v>0.24388399999999999</v>
      </c>
      <c r="AO342" s="310">
        <v>0.23274729999999999</v>
      </c>
      <c r="AP342" s="310">
        <v>0.22951269999999999</v>
      </c>
      <c r="AQ342" s="310">
        <v>0.203985</v>
      </c>
      <c r="AR342" s="310">
        <v>0.2402089</v>
      </c>
      <c r="AS342" s="310">
        <v>0.2389133</v>
      </c>
      <c r="AT342" s="310">
        <v>0.23788580000000001</v>
      </c>
      <c r="AU342" s="310">
        <v>0.24449679999999999</v>
      </c>
      <c r="AV342" s="310">
        <v>0.24357119999999999</v>
      </c>
      <c r="AW342" s="310">
        <v>0.2274651</v>
      </c>
      <c r="AX342" s="310">
        <v>0.2333808</v>
      </c>
      <c r="AY342" s="310">
        <v>0.24270030000000001</v>
      </c>
      <c r="AZ342" s="310">
        <v>0.2415186</v>
      </c>
      <c r="BA342" s="310">
        <v>0.2234565</v>
      </c>
      <c r="BB342" s="310">
        <v>0.24400820000000001</v>
      </c>
      <c r="BC342" s="310">
        <v>0.23667440000000001</v>
      </c>
      <c r="BD342" s="310">
        <v>0.23484050000000001</v>
      </c>
      <c r="BE342" s="310">
        <v>0.24264459999999999</v>
      </c>
      <c r="BF342" s="310">
        <v>0.24001439999999999</v>
      </c>
      <c r="BG342" s="310">
        <v>0.2411922</v>
      </c>
      <c r="BH342" s="310">
        <v>0.23976520000000001</v>
      </c>
      <c r="BI342" s="310">
        <v>0.24463550000000001</v>
      </c>
      <c r="BJ342" s="310">
        <v>0.24432300000000001</v>
      </c>
      <c r="BK342" s="310">
        <v>0.2448089</v>
      </c>
    </row>
    <row r="343" spans="1:63" x14ac:dyDescent="0.25">
      <c r="A343" s="306">
        <v>531000</v>
      </c>
      <c r="B343" s="310" t="s">
        <v>416</v>
      </c>
      <c r="C343" s="310">
        <v>0.13797480000000001</v>
      </c>
      <c r="D343" s="310">
        <v>0.13664219999999999</v>
      </c>
      <c r="E343" s="310">
        <v>0.13505229999999999</v>
      </c>
      <c r="F343" s="310">
        <v>0.13358919999999999</v>
      </c>
      <c r="G343" s="310">
        <v>0.13709840000000001</v>
      </c>
      <c r="H343" s="310">
        <v>0.13734489999999999</v>
      </c>
      <c r="I343" s="310">
        <v>0.1373847</v>
      </c>
      <c r="J343" s="310">
        <v>0.1265619</v>
      </c>
      <c r="K343" s="310">
        <v>4.7411799999999997E-2</v>
      </c>
      <c r="L343" s="310">
        <v>0.11932130000000001</v>
      </c>
      <c r="M343" s="310">
        <v>0.13734859999999999</v>
      </c>
      <c r="N343" s="310">
        <v>0.1353684</v>
      </c>
      <c r="O343" s="310">
        <v>0.1376752</v>
      </c>
      <c r="P343" s="310">
        <v>0.1342816</v>
      </c>
      <c r="Q343" s="310">
        <v>0.13580249999999999</v>
      </c>
      <c r="R343" s="310">
        <v>0.1354485</v>
      </c>
      <c r="S343" s="310">
        <v>0.13560530000000001</v>
      </c>
      <c r="T343" s="310">
        <v>0.1236733</v>
      </c>
      <c r="U343" s="310">
        <v>0.13028090000000001</v>
      </c>
      <c r="V343" s="310">
        <v>0.1368161</v>
      </c>
      <c r="W343" s="310">
        <v>0.1329253</v>
      </c>
      <c r="X343" s="310">
        <v>0.12777269999999999</v>
      </c>
      <c r="Y343" s="310">
        <v>0.13709730000000001</v>
      </c>
      <c r="Z343" s="310">
        <v>0.1376261</v>
      </c>
      <c r="AA343" s="310">
        <v>0.1362671</v>
      </c>
      <c r="AB343" s="310">
        <v>0.12742039999999999</v>
      </c>
      <c r="AC343" s="310">
        <v>0.1358732</v>
      </c>
      <c r="AD343" s="310">
        <v>0.13545309999999999</v>
      </c>
      <c r="AE343" s="310">
        <v>0.13622919999999999</v>
      </c>
      <c r="AF343" s="310">
        <v>0.12988559999999999</v>
      </c>
      <c r="AG343" s="310">
        <v>0.13320709999999999</v>
      </c>
      <c r="AH343" s="310">
        <v>0.1298781</v>
      </c>
      <c r="AI343" s="310">
        <v>0.12803729999999999</v>
      </c>
      <c r="AJ343" s="310">
        <v>0.135217</v>
      </c>
      <c r="AK343" s="310">
        <v>0.13594300000000001</v>
      </c>
      <c r="AL343" s="310">
        <v>0.12534999999999999</v>
      </c>
      <c r="AM343" s="310">
        <v>0.1347206</v>
      </c>
      <c r="AN343" s="310">
        <v>0.13692470000000001</v>
      </c>
      <c r="AO343" s="310">
        <v>0.13501160000000001</v>
      </c>
      <c r="AP343" s="310">
        <v>0.13264300000000001</v>
      </c>
      <c r="AQ343" s="310">
        <v>0.12647040000000001</v>
      </c>
      <c r="AR343" s="310">
        <v>0.13596929999999999</v>
      </c>
      <c r="AS343" s="310">
        <v>0.13488410000000001</v>
      </c>
      <c r="AT343" s="310">
        <v>0.13463990000000001</v>
      </c>
      <c r="AU343" s="310">
        <v>0.137407</v>
      </c>
      <c r="AV343" s="310">
        <v>0.1364021</v>
      </c>
      <c r="AW343" s="310">
        <v>0.12783340000000001</v>
      </c>
      <c r="AX343" s="310">
        <v>0.13529759999999999</v>
      </c>
      <c r="AY343" s="310">
        <v>0.13612879999999999</v>
      </c>
      <c r="AZ343" s="310">
        <v>0.13491049999999999</v>
      </c>
      <c r="BA343" s="310">
        <v>0.1230303</v>
      </c>
      <c r="BB343" s="310">
        <v>0.13571259999999999</v>
      </c>
      <c r="BC343" s="310">
        <v>0.1349649</v>
      </c>
      <c r="BD343" s="310">
        <v>0.13512479999999999</v>
      </c>
      <c r="BE343" s="310">
        <v>0.13672290000000001</v>
      </c>
      <c r="BF343" s="310">
        <v>0.13581199999999999</v>
      </c>
      <c r="BG343" s="310">
        <v>0.1371106</v>
      </c>
      <c r="BH343" s="310">
        <v>0.1348376</v>
      </c>
      <c r="BI343" s="310">
        <v>0.13738939999999999</v>
      </c>
      <c r="BJ343" s="310">
        <v>0.13718159999999999</v>
      </c>
      <c r="BK343" s="310">
        <v>0.13749919999999999</v>
      </c>
    </row>
    <row r="344" spans="1:63" x14ac:dyDescent="0.25">
      <c r="A344" s="306">
        <v>532100</v>
      </c>
      <c r="B344" s="310" t="s">
        <v>301</v>
      </c>
      <c r="C344" s="310">
        <v>0.21670490000000001</v>
      </c>
      <c r="D344" s="310">
        <v>0.2162607</v>
      </c>
      <c r="E344" s="310">
        <v>0.210533</v>
      </c>
      <c r="F344" s="310">
        <v>0.2055612</v>
      </c>
      <c r="G344" s="310">
        <v>0.2161081</v>
      </c>
      <c r="H344" s="310">
        <v>0.21544530000000001</v>
      </c>
      <c r="I344" s="310">
        <v>0.21611459999999999</v>
      </c>
      <c r="J344" s="310">
        <v>0.1843621</v>
      </c>
      <c r="K344" s="310">
        <v>4.2915000000000002E-2</v>
      </c>
      <c r="L344" s="310">
        <v>0.1561208</v>
      </c>
      <c r="M344" s="310">
        <v>0.21514040000000001</v>
      </c>
      <c r="N344" s="310">
        <v>0.21119009999999999</v>
      </c>
      <c r="O344" s="310">
        <v>0.2166865</v>
      </c>
      <c r="P344" s="310">
        <v>0.20656160000000001</v>
      </c>
      <c r="Q344" s="310">
        <v>0.2139344</v>
      </c>
      <c r="R344" s="310">
        <v>0.20991360000000001</v>
      </c>
      <c r="S344" s="310">
        <v>0.20478789999999999</v>
      </c>
      <c r="T344" s="310">
        <v>0.19221779999999999</v>
      </c>
      <c r="U344" s="310">
        <v>0.19759969999999999</v>
      </c>
      <c r="V344" s="310">
        <v>0.2103187</v>
      </c>
      <c r="W344" s="310">
        <v>0.2016722</v>
      </c>
      <c r="X344" s="310">
        <v>0.19786970000000001</v>
      </c>
      <c r="Y344" s="310">
        <v>0.2147655</v>
      </c>
      <c r="Z344" s="310">
        <v>0.2140975</v>
      </c>
      <c r="AA344" s="310">
        <v>0.21502669999999999</v>
      </c>
      <c r="AB344" s="310">
        <v>0.19311510000000001</v>
      </c>
      <c r="AC344" s="310">
        <v>0.20393420000000001</v>
      </c>
      <c r="AD344" s="310">
        <v>0.2159277</v>
      </c>
      <c r="AE344" s="310">
        <v>0.20950859999999999</v>
      </c>
      <c r="AF344" s="310">
        <v>0.2065873</v>
      </c>
      <c r="AG344" s="310">
        <v>0.19757130000000001</v>
      </c>
      <c r="AH344" s="310">
        <v>0.20300070000000001</v>
      </c>
      <c r="AI344" s="310">
        <v>0.18703990000000001</v>
      </c>
      <c r="AJ344" s="310">
        <v>0.2134597</v>
      </c>
      <c r="AK344" s="310">
        <v>0.21266640000000001</v>
      </c>
      <c r="AL344" s="310">
        <v>0.19330990000000001</v>
      </c>
      <c r="AM344" s="310">
        <v>0.20797660000000001</v>
      </c>
      <c r="AN344" s="310">
        <v>0.21506130000000001</v>
      </c>
      <c r="AO344" s="310">
        <v>0.19116900000000001</v>
      </c>
      <c r="AP344" s="310">
        <v>0.2044385</v>
      </c>
      <c r="AQ344" s="310">
        <v>0.1958763</v>
      </c>
      <c r="AR344" s="310">
        <v>0.2108382</v>
      </c>
      <c r="AS344" s="310">
        <v>0.21492030000000001</v>
      </c>
      <c r="AT344" s="310">
        <v>0.20598420000000001</v>
      </c>
      <c r="AU344" s="310">
        <v>0.21452969999999999</v>
      </c>
      <c r="AV344" s="310">
        <v>0.21671460000000001</v>
      </c>
      <c r="AW344" s="310">
        <v>0.1998288</v>
      </c>
      <c r="AX344" s="310">
        <v>0.19234689999999999</v>
      </c>
      <c r="AY344" s="310">
        <v>0.21396670000000001</v>
      </c>
      <c r="AZ344" s="310">
        <v>0.21477879999999999</v>
      </c>
      <c r="BA344" s="310">
        <v>0.19409599999999999</v>
      </c>
      <c r="BB344" s="310">
        <v>0.19625480000000001</v>
      </c>
      <c r="BC344" s="310">
        <v>0.20825080000000001</v>
      </c>
      <c r="BD344" s="310">
        <v>0.2092368</v>
      </c>
      <c r="BE344" s="310">
        <v>0.21381629999999999</v>
      </c>
      <c r="BF344" s="310">
        <v>0.20809520000000001</v>
      </c>
      <c r="BG344" s="310">
        <v>0.214084</v>
      </c>
      <c r="BH344" s="310">
        <v>0.2085311</v>
      </c>
      <c r="BI344" s="310">
        <v>0.2149614</v>
      </c>
      <c r="BJ344" s="310">
        <v>0.21603430000000001</v>
      </c>
      <c r="BK344" s="310">
        <v>0.21542359999999999</v>
      </c>
    </row>
    <row r="345" spans="1:63" x14ac:dyDescent="0.25">
      <c r="A345" s="306">
        <v>532230</v>
      </c>
      <c r="B345" s="310" t="s">
        <v>303</v>
      </c>
      <c r="C345" s="310">
        <v>0.3178028</v>
      </c>
      <c r="D345" s="310">
        <v>0.3170501</v>
      </c>
      <c r="E345" s="310">
        <v>0.30874390000000002</v>
      </c>
      <c r="F345" s="310">
        <v>0.301431</v>
      </c>
      <c r="G345" s="310">
        <v>0.3169304</v>
      </c>
      <c r="H345" s="310">
        <v>0.3158608</v>
      </c>
      <c r="I345" s="310">
        <v>0.31690600000000002</v>
      </c>
      <c r="J345" s="310">
        <v>0.27033610000000002</v>
      </c>
      <c r="K345" s="310">
        <v>6.2915200000000004E-2</v>
      </c>
      <c r="L345" s="310">
        <v>0.22893620000000001</v>
      </c>
      <c r="M345" s="310">
        <v>0.31547199999999997</v>
      </c>
      <c r="N345" s="310">
        <v>0.30968050000000003</v>
      </c>
      <c r="O345" s="310">
        <v>0.31780799999999998</v>
      </c>
      <c r="P345" s="310">
        <v>0.30290850000000002</v>
      </c>
      <c r="Q345" s="310">
        <v>0.31364789999999998</v>
      </c>
      <c r="R345" s="310">
        <v>0.30776979999999998</v>
      </c>
      <c r="S345" s="310">
        <v>0.30026209999999998</v>
      </c>
      <c r="T345" s="310">
        <v>0.28182560000000001</v>
      </c>
      <c r="U345" s="310">
        <v>0.28977789999999998</v>
      </c>
      <c r="V345" s="310">
        <v>0.30837619999999999</v>
      </c>
      <c r="W345" s="310">
        <v>0.2956937</v>
      </c>
      <c r="X345" s="310">
        <v>0.29011579999999998</v>
      </c>
      <c r="Y345" s="310">
        <v>0.31492789999999998</v>
      </c>
      <c r="Z345" s="310">
        <v>0.31393979999999999</v>
      </c>
      <c r="AA345" s="310">
        <v>0.31531140000000002</v>
      </c>
      <c r="AB345" s="310">
        <v>0.28322819999999999</v>
      </c>
      <c r="AC345" s="310">
        <v>0.29902590000000001</v>
      </c>
      <c r="AD345" s="310">
        <v>0.31666050000000001</v>
      </c>
      <c r="AE345" s="310">
        <v>0.30727700000000002</v>
      </c>
      <c r="AF345" s="310">
        <v>0.30286629999999998</v>
      </c>
      <c r="AG345" s="310">
        <v>0.28974539999999999</v>
      </c>
      <c r="AH345" s="310">
        <v>0.29771140000000001</v>
      </c>
      <c r="AI345" s="310">
        <v>0.27426410000000001</v>
      </c>
      <c r="AJ345" s="310">
        <v>0.31296790000000002</v>
      </c>
      <c r="AK345" s="310">
        <v>0.31187179999999998</v>
      </c>
      <c r="AL345" s="310">
        <v>0.28342070000000003</v>
      </c>
      <c r="AM345" s="310">
        <v>0.30496329999999999</v>
      </c>
      <c r="AN345" s="310">
        <v>0.31535980000000002</v>
      </c>
      <c r="AO345" s="310">
        <v>0.28028900000000001</v>
      </c>
      <c r="AP345" s="310">
        <v>0.29977959999999998</v>
      </c>
      <c r="AQ345" s="310">
        <v>0.28718650000000001</v>
      </c>
      <c r="AR345" s="310">
        <v>0.30916159999999998</v>
      </c>
      <c r="AS345" s="310">
        <v>0.31516260000000001</v>
      </c>
      <c r="AT345" s="310">
        <v>0.30206300000000003</v>
      </c>
      <c r="AU345" s="310">
        <v>0.31456430000000002</v>
      </c>
      <c r="AV345" s="310">
        <v>0.31776660000000001</v>
      </c>
      <c r="AW345" s="310">
        <v>0.2929794</v>
      </c>
      <c r="AX345" s="310">
        <v>0.28203600000000001</v>
      </c>
      <c r="AY345" s="310">
        <v>0.31370920000000002</v>
      </c>
      <c r="AZ345" s="310">
        <v>0.3148861</v>
      </c>
      <c r="BA345" s="310">
        <v>0.28460760000000002</v>
      </c>
      <c r="BB345" s="310">
        <v>0.28771360000000001</v>
      </c>
      <c r="BC345" s="310">
        <v>0.3053749</v>
      </c>
      <c r="BD345" s="310">
        <v>0.30681079999999999</v>
      </c>
      <c r="BE345" s="310">
        <v>0.31346220000000002</v>
      </c>
      <c r="BF345" s="310">
        <v>0.30514980000000003</v>
      </c>
      <c r="BG345" s="310">
        <v>0.3139227</v>
      </c>
      <c r="BH345" s="310">
        <v>0.30580000000000002</v>
      </c>
      <c r="BI345" s="310">
        <v>0.31523030000000002</v>
      </c>
      <c r="BJ345" s="310">
        <v>0.31681500000000001</v>
      </c>
      <c r="BK345" s="310">
        <v>0.31586959999999997</v>
      </c>
    </row>
    <row r="346" spans="1:63" x14ac:dyDescent="0.25">
      <c r="A346" s="306">
        <v>532400</v>
      </c>
      <c r="B346" s="310" t="s">
        <v>304</v>
      </c>
      <c r="C346" s="310">
        <v>0.24474679999999999</v>
      </c>
      <c r="D346" s="310">
        <v>0.24421100000000001</v>
      </c>
      <c r="E346" s="310">
        <v>0.23781579999999999</v>
      </c>
      <c r="F346" s="310">
        <v>0.2321539</v>
      </c>
      <c r="G346" s="310">
        <v>0.24406939999999999</v>
      </c>
      <c r="H346" s="310">
        <v>0.2432878</v>
      </c>
      <c r="I346" s="310">
        <v>0.2440454</v>
      </c>
      <c r="J346" s="310">
        <v>0.2082232</v>
      </c>
      <c r="K346" s="310">
        <v>4.8498199999999998E-2</v>
      </c>
      <c r="L346" s="310">
        <v>0.1763247</v>
      </c>
      <c r="M346" s="310">
        <v>0.2429646</v>
      </c>
      <c r="N346" s="310">
        <v>0.2384966</v>
      </c>
      <c r="O346" s="310">
        <v>0.2447609</v>
      </c>
      <c r="P346" s="310">
        <v>0.23325009999999999</v>
      </c>
      <c r="Q346" s="310">
        <v>0.241616</v>
      </c>
      <c r="R346" s="310">
        <v>0.23702190000000001</v>
      </c>
      <c r="S346" s="310">
        <v>0.2312101</v>
      </c>
      <c r="T346" s="310">
        <v>0.21705669999999999</v>
      </c>
      <c r="U346" s="310">
        <v>0.22315270000000001</v>
      </c>
      <c r="V346" s="310">
        <v>0.23748710000000001</v>
      </c>
      <c r="W346" s="310">
        <v>0.2277015</v>
      </c>
      <c r="X346" s="310">
        <v>0.22341349999999999</v>
      </c>
      <c r="Y346" s="310">
        <v>0.24253730000000001</v>
      </c>
      <c r="Z346" s="310">
        <v>0.24182339999999999</v>
      </c>
      <c r="AA346" s="310">
        <v>0.2428563</v>
      </c>
      <c r="AB346" s="310">
        <v>0.21813769999999999</v>
      </c>
      <c r="AC346" s="310">
        <v>0.2303058</v>
      </c>
      <c r="AD346" s="310">
        <v>0.2438584</v>
      </c>
      <c r="AE346" s="310">
        <v>0.23665259999999999</v>
      </c>
      <c r="AF346" s="310">
        <v>0.23325599999999999</v>
      </c>
      <c r="AG346" s="310">
        <v>0.2231437</v>
      </c>
      <c r="AH346" s="310">
        <v>0.2292912</v>
      </c>
      <c r="AI346" s="310">
        <v>0.21122350000000001</v>
      </c>
      <c r="AJ346" s="310">
        <v>0.24101249999999999</v>
      </c>
      <c r="AK346" s="310">
        <v>0.2401643</v>
      </c>
      <c r="AL346" s="310">
        <v>0.21827530000000001</v>
      </c>
      <c r="AM346" s="310">
        <v>0.2348788</v>
      </c>
      <c r="AN346" s="310">
        <v>0.24284919999999999</v>
      </c>
      <c r="AO346" s="310">
        <v>0.21584980000000001</v>
      </c>
      <c r="AP346" s="310">
        <v>0.23084830000000001</v>
      </c>
      <c r="AQ346" s="310">
        <v>0.221193</v>
      </c>
      <c r="AR346" s="310">
        <v>0.23807809999999999</v>
      </c>
      <c r="AS346" s="310">
        <v>0.24274229999999999</v>
      </c>
      <c r="AT346" s="310">
        <v>0.2326375</v>
      </c>
      <c r="AU346" s="310">
        <v>0.242289</v>
      </c>
      <c r="AV346" s="310">
        <v>0.24476329999999999</v>
      </c>
      <c r="AW346" s="310">
        <v>0.22566420000000001</v>
      </c>
      <c r="AX346" s="310">
        <v>0.21721850000000001</v>
      </c>
      <c r="AY346" s="310">
        <v>0.24160960000000001</v>
      </c>
      <c r="AZ346" s="310">
        <v>0.24252000000000001</v>
      </c>
      <c r="BA346" s="310">
        <v>0.2191699</v>
      </c>
      <c r="BB346" s="310">
        <v>0.22159090000000001</v>
      </c>
      <c r="BC346" s="310">
        <v>0.23514760000000001</v>
      </c>
      <c r="BD346" s="310">
        <v>0.2363123</v>
      </c>
      <c r="BE346" s="310">
        <v>0.241457</v>
      </c>
      <c r="BF346" s="310">
        <v>0.23502880000000001</v>
      </c>
      <c r="BG346" s="310">
        <v>0.24175650000000001</v>
      </c>
      <c r="BH346" s="310">
        <v>0.23548540000000001</v>
      </c>
      <c r="BI346" s="310">
        <v>0.24276329999999999</v>
      </c>
      <c r="BJ346" s="310">
        <v>0.24400089999999999</v>
      </c>
      <c r="BK346" s="310">
        <v>0.24327280000000001</v>
      </c>
    </row>
    <row r="347" spans="1:63" x14ac:dyDescent="0.25">
      <c r="A347" s="306" t="s">
        <v>768</v>
      </c>
      <c r="B347" s="310" t="s">
        <v>302</v>
      </c>
      <c r="C347" s="310">
        <v>0.38104650000000001</v>
      </c>
      <c r="D347" s="310">
        <v>0.3802083</v>
      </c>
      <c r="E347" s="310">
        <v>0.37021680000000001</v>
      </c>
      <c r="F347" s="310">
        <v>0.36148550000000002</v>
      </c>
      <c r="G347" s="310">
        <v>0.38002419999999998</v>
      </c>
      <c r="H347" s="310">
        <v>0.37877569999999999</v>
      </c>
      <c r="I347" s="310">
        <v>0.37998559999999998</v>
      </c>
      <c r="J347" s="310">
        <v>0.32418010000000003</v>
      </c>
      <c r="K347" s="310">
        <v>7.5480400000000003E-2</v>
      </c>
      <c r="L347" s="310">
        <v>0.2744817</v>
      </c>
      <c r="M347" s="310">
        <v>0.37828580000000001</v>
      </c>
      <c r="N347" s="310">
        <v>0.37129590000000001</v>
      </c>
      <c r="O347" s="310">
        <v>0.3810984</v>
      </c>
      <c r="P347" s="310">
        <v>0.36319420000000002</v>
      </c>
      <c r="Q347" s="310">
        <v>0.3760944</v>
      </c>
      <c r="R347" s="310">
        <v>0.36904219999999999</v>
      </c>
      <c r="S347" s="310">
        <v>0.36004920000000001</v>
      </c>
      <c r="T347" s="310">
        <v>0.3379433</v>
      </c>
      <c r="U347" s="310">
        <v>0.3474312</v>
      </c>
      <c r="V347" s="310">
        <v>0.36981190000000003</v>
      </c>
      <c r="W347" s="310">
        <v>0.35457060000000001</v>
      </c>
      <c r="X347" s="310">
        <v>0.34785070000000001</v>
      </c>
      <c r="Y347" s="310">
        <v>0.37761129999999998</v>
      </c>
      <c r="Z347" s="310">
        <v>0.37648579999999998</v>
      </c>
      <c r="AA347" s="310">
        <v>0.3781081</v>
      </c>
      <c r="AB347" s="310">
        <v>0.33960129999999999</v>
      </c>
      <c r="AC347" s="310">
        <v>0.3585602</v>
      </c>
      <c r="AD347" s="310">
        <v>0.37970690000000001</v>
      </c>
      <c r="AE347" s="310">
        <v>0.36839230000000001</v>
      </c>
      <c r="AF347" s="310">
        <v>0.36315619999999998</v>
      </c>
      <c r="AG347" s="310">
        <v>0.34742089999999998</v>
      </c>
      <c r="AH347" s="310">
        <v>0.35694819999999999</v>
      </c>
      <c r="AI347" s="310">
        <v>0.32886979999999999</v>
      </c>
      <c r="AJ347" s="310">
        <v>0.3752393</v>
      </c>
      <c r="AK347" s="310">
        <v>0.37395970000000001</v>
      </c>
      <c r="AL347" s="310">
        <v>0.33983730000000001</v>
      </c>
      <c r="AM347" s="310">
        <v>0.36571880000000001</v>
      </c>
      <c r="AN347" s="310">
        <v>0.37813059999999998</v>
      </c>
      <c r="AO347" s="310">
        <v>0.33604339999999999</v>
      </c>
      <c r="AP347" s="310">
        <v>0.35946899999999998</v>
      </c>
      <c r="AQ347" s="310">
        <v>0.34439019999999998</v>
      </c>
      <c r="AR347" s="310">
        <v>0.3706682</v>
      </c>
      <c r="AS347" s="310">
        <v>0.37797550000000002</v>
      </c>
      <c r="AT347" s="310">
        <v>0.36222389999999999</v>
      </c>
      <c r="AU347" s="310">
        <v>0.3772451</v>
      </c>
      <c r="AV347" s="310">
        <v>0.38105990000000001</v>
      </c>
      <c r="AW347" s="310">
        <v>0.35131699999999999</v>
      </c>
      <c r="AX347" s="310">
        <v>0.33814729999999998</v>
      </c>
      <c r="AY347" s="310">
        <v>0.37616739999999999</v>
      </c>
      <c r="AZ347" s="310">
        <v>0.37757869999999999</v>
      </c>
      <c r="BA347" s="310">
        <v>0.34123520000000002</v>
      </c>
      <c r="BB347" s="310">
        <v>0.34505859999999999</v>
      </c>
      <c r="BC347" s="310">
        <v>0.36615589999999998</v>
      </c>
      <c r="BD347" s="310">
        <v>0.36796289999999998</v>
      </c>
      <c r="BE347" s="310">
        <v>0.3759246</v>
      </c>
      <c r="BF347" s="310">
        <v>0.36590319999999998</v>
      </c>
      <c r="BG347" s="310">
        <v>0.37643510000000002</v>
      </c>
      <c r="BH347" s="310">
        <v>0.36664540000000001</v>
      </c>
      <c r="BI347" s="310">
        <v>0.37797989999999998</v>
      </c>
      <c r="BJ347" s="310">
        <v>0.37985289999999999</v>
      </c>
      <c r="BK347" s="310">
        <v>0.37878390000000001</v>
      </c>
    </row>
    <row r="348" spans="1:63" x14ac:dyDescent="0.25">
      <c r="A348" s="306">
        <v>533000</v>
      </c>
      <c r="B348" s="310" t="s">
        <v>305</v>
      </c>
      <c r="C348" s="310">
        <v>0.1184384</v>
      </c>
      <c r="D348" s="310">
        <v>0.1181825</v>
      </c>
      <c r="E348" s="310">
        <v>0.1150953</v>
      </c>
      <c r="F348" s="310">
        <v>0.1123461</v>
      </c>
      <c r="G348" s="310">
        <v>0.11814860000000001</v>
      </c>
      <c r="H348" s="310">
        <v>0.11771909999999999</v>
      </c>
      <c r="I348" s="310">
        <v>0.1181133</v>
      </c>
      <c r="J348" s="310">
        <v>0.1008059</v>
      </c>
      <c r="K348" s="310">
        <v>0</v>
      </c>
      <c r="L348" s="310">
        <v>8.5357799999999998E-2</v>
      </c>
      <c r="M348" s="310">
        <v>0.1176048</v>
      </c>
      <c r="N348" s="310">
        <v>0.11539919999999999</v>
      </c>
      <c r="O348" s="310">
        <v>0.1184901</v>
      </c>
      <c r="P348" s="310">
        <v>0.1129069</v>
      </c>
      <c r="Q348" s="310">
        <v>0.1169586</v>
      </c>
      <c r="R348" s="310">
        <v>0.1147088</v>
      </c>
      <c r="S348" s="310">
        <v>0.1119477</v>
      </c>
      <c r="T348" s="310">
        <v>0.1050508</v>
      </c>
      <c r="U348" s="310">
        <v>0.10803740000000001</v>
      </c>
      <c r="V348" s="310">
        <v>0.1149713</v>
      </c>
      <c r="W348" s="310">
        <v>0.11023520000000001</v>
      </c>
      <c r="X348" s="310">
        <v>0.1081435</v>
      </c>
      <c r="Y348" s="310">
        <v>0.1174109</v>
      </c>
      <c r="Z348" s="310">
        <v>0.1170089</v>
      </c>
      <c r="AA348" s="310">
        <v>0.1175474</v>
      </c>
      <c r="AB348" s="310">
        <v>0.1055473</v>
      </c>
      <c r="AC348" s="310">
        <v>0.1114217</v>
      </c>
      <c r="AD348" s="310">
        <v>0.1180597</v>
      </c>
      <c r="AE348" s="310">
        <v>0.1145331</v>
      </c>
      <c r="AF348" s="310">
        <v>0.11291089999999999</v>
      </c>
      <c r="AG348" s="310">
        <v>0.1079837</v>
      </c>
      <c r="AH348" s="310">
        <v>0.11094420000000001</v>
      </c>
      <c r="AI348" s="310">
        <v>0.1022139</v>
      </c>
      <c r="AJ348" s="310">
        <v>0.1166667</v>
      </c>
      <c r="AK348" s="310">
        <v>0.11627079999999999</v>
      </c>
      <c r="AL348" s="310">
        <v>0.1056584</v>
      </c>
      <c r="AM348" s="310">
        <v>0.1136759</v>
      </c>
      <c r="AN348" s="310">
        <v>0.11755210000000001</v>
      </c>
      <c r="AO348" s="310">
        <v>0.1044564</v>
      </c>
      <c r="AP348" s="310">
        <v>0.1117586</v>
      </c>
      <c r="AQ348" s="310">
        <v>0.107088</v>
      </c>
      <c r="AR348" s="310">
        <v>0.1152181</v>
      </c>
      <c r="AS348" s="310">
        <v>0.1174723</v>
      </c>
      <c r="AT348" s="310">
        <v>0.1126129</v>
      </c>
      <c r="AU348" s="310">
        <v>0.11725099999999999</v>
      </c>
      <c r="AV348" s="310">
        <v>0.1184385</v>
      </c>
      <c r="AW348" s="310">
        <v>0.10921210000000001</v>
      </c>
      <c r="AX348" s="310">
        <v>0.1051251</v>
      </c>
      <c r="AY348" s="310">
        <v>0.116922</v>
      </c>
      <c r="AZ348" s="310">
        <v>0.1173709</v>
      </c>
      <c r="BA348" s="310">
        <v>0.10612489999999999</v>
      </c>
      <c r="BB348" s="310">
        <v>0.10729180000000001</v>
      </c>
      <c r="BC348" s="310">
        <v>0.1138467</v>
      </c>
      <c r="BD348" s="310">
        <v>0.1144076</v>
      </c>
      <c r="BE348" s="310">
        <v>0.11684269999999999</v>
      </c>
      <c r="BF348" s="310">
        <v>0.1137526</v>
      </c>
      <c r="BG348" s="310">
        <v>0.1170065</v>
      </c>
      <c r="BH348" s="310">
        <v>0.113957</v>
      </c>
      <c r="BI348" s="310">
        <v>0.1175258</v>
      </c>
      <c r="BJ348" s="310">
        <v>0.1180634</v>
      </c>
      <c r="BK348" s="310">
        <v>0.11773409999999999</v>
      </c>
    </row>
    <row r="349" spans="1:63" x14ac:dyDescent="0.25">
      <c r="A349" s="306">
        <v>541100</v>
      </c>
      <c r="B349" s="310" t="s">
        <v>306</v>
      </c>
      <c r="C349" s="310">
        <v>0.57068280000000005</v>
      </c>
      <c r="D349" s="310">
        <v>0.56294860000000002</v>
      </c>
      <c r="E349" s="310">
        <v>0.56695949999999995</v>
      </c>
      <c r="F349" s="310">
        <v>0.56479369999999995</v>
      </c>
      <c r="G349" s="310">
        <v>0.56738330000000003</v>
      </c>
      <c r="H349" s="310">
        <v>0.5689052</v>
      </c>
      <c r="I349" s="310">
        <v>0.56156260000000002</v>
      </c>
      <c r="J349" s="310">
        <v>0.54989960000000004</v>
      </c>
      <c r="K349" s="310">
        <v>0.14761189999999999</v>
      </c>
      <c r="L349" s="310">
        <v>0.46982000000000002</v>
      </c>
      <c r="M349" s="310">
        <v>0.56832490000000002</v>
      </c>
      <c r="N349" s="310">
        <v>0.56709290000000001</v>
      </c>
      <c r="O349" s="310">
        <v>0.54555909999999996</v>
      </c>
      <c r="P349" s="310">
        <v>0.55926909999999996</v>
      </c>
      <c r="Q349" s="310">
        <v>0.5671737</v>
      </c>
      <c r="R349" s="310">
        <v>0.55602470000000004</v>
      </c>
      <c r="S349" s="310">
        <v>0.56134390000000001</v>
      </c>
      <c r="T349" s="310">
        <v>0.53399030000000003</v>
      </c>
      <c r="U349" s="310">
        <v>0.54470750000000001</v>
      </c>
      <c r="V349" s="310">
        <v>0.56710389999999999</v>
      </c>
      <c r="W349" s="310">
        <v>0.55562239999999996</v>
      </c>
      <c r="X349" s="310">
        <v>0.54260399999999998</v>
      </c>
      <c r="Y349" s="310">
        <v>0.56452040000000003</v>
      </c>
      <c r="Z349" s="310">
        <v>0.56963799999999998</v>
      </c>
      <c r="AA349" s="310">
        <v>0.55993760000000004</v>
      </c>
      <c r="AB349" s="310">
        <v>0.4706437</v>
      </c>
      <c r="AC349" s="310">
        <v>0.54000740000000003</v>
      </c>
      <c r="AD349" s="310">
        <v>0.56970469999999995</v>
      </c>
      <c r="AE349" s="310">
        <v>0.56611279999999997</v>
      </c>
      <c r="AF349" s="310">
        <v>0.53279299999999996</v>
      </c>
      <c r="AG349" s="310">
        <v>0.55626370000000003</v>
      </c>
      <c r="AH349" s="310">
        <v>0.53771440000000004</v>
      </c>
      <c r="AI349" s="310">
        <v>0.53966369999999997</v>
      </c>
      <c r="AJ349" s="310">
        <v>0.56277169999999999</v>
      </c>
      <c r="AK349" s="310">
        <v>0.5615059</v>
      </c>
      <c r="AL349" s="310">
        <v>0.50103149999999996</v>
      </c>
      <c r="AM349" s="310">
        <v>0.55409149999999996</v>
      </c>
      <c r="AN349" s="310">
        <v>0.56809690000000002</v>
      </c>
      <c r="AO349" s="310">
        <v>0.55442769999999997</v>
      </c>
      <c r="AP349" s="310">
        <v>0.53057030000000005</v>
      </c>
      <c r="AQ349" s="310">
        <v>0.53487340000000005</v>
      </c>
      <c r="AR349" s="310">
        <v>0.56754850000000001</v>
      </c>
      <c r="AS349" s="310">
        <v>0.56545730000000005</v>
      </c>
      <c r="AT349" s="310">
        <v>0.5516008</v>
      </c>
      <c r="AU349" s="310">
        <v>0.56910570000000005</v>
      </c>
      <c r="AV349" s="310">
        <v>0.57024580000000002</v>
      </c>
      <c r="AW349" s="310">
        <v>0.51898299999999997</v>
      </c>
      <c r="AX349" s="310">
        <v>0.56203519999999996</v>
      </c>
      <c r="AY349" s="310">
        <v>0.56785370000000002</v>
      </c>
      <c r="AZ349" s="310">
        <v>0.56547190000000003</v>
      </c>
      <c r="BA349" s="310">
        <v>0.54813860000000003</v>
      </c>
      <c r="BB349" s="310">
        <v>0.54576080000000005</v>
      </c>
      <c r="BC349" s="310">
        <v>0.56572750000000005</v>
      </c>
      <c r="BD349" s="310">
        <v>0.55768419999999996</v>
      </c>
      <c r="BE349" s="310">
        <v>0.56462820000000002</v>
      </c>
      <c r="BF349" s="310">
        <v>0.55766870000000002</v>
      </c>
      <c r="BG349" s="310">
        <v>0.56708820000000004</v>
      </c>
      <c r="BH349" s="310">
        <v>0.55769060000000004</v>
      </c>
      <c r="BI349" s="310">
        <v>0.56924269999999999</v>
      </c>
      <c r="BJ349" s="310">
        <v>0.56612709999999999</v>
      </c>
      <c r="BK349" s="310">
        <v>0.5685405</v>
      </c>
    </row>
    <row r="350" spans="1:63" x14ac:dyDescent="0.25">
      <c r="A350" s="306">
        <v>541200</v>
      </c>
      <c r="B350" s="310" t="s">
        <v>307</v>
      </c>
      <c r="C350" s="310">
        <v>0.44836229999999999</v>
      </c>
      <c r="D350" s="310">
        <v>0.44835849999999999</v>
      </c>
      <c r="E350" s="310">
        <v>0.43936380000000003</v>
      </c>
      <c r="F350" s="310">
        <v>0.43689749999999999</v>
      </c>
      <c r="G350" s="310">
        <v>0.44356319999999999</v>
      </c>
      <c r="H350" s="310">
        <v>0.44457000000000002</v>
      </c>
      <c r="I350" s="310">
        <v>0.4466349</v>
      </c>
      <c r="J350" s="310">
        <v>0.40555010000000002</v>
      </c>
      <c r="K350" s="310">
        <v>7.7690700000000001E-2</v>
      </c>
      <c r="L350" s="310">
        <v>0.3517363</v>
      </c>
      <c r="M350" s="310">
        <v>0.4448551</v>
      </c>
      <c r="N350" s="310">
        <v>0.43728729999999999</v>
      </c>
      <c r="O350" s="310">
        <v>0.447793</v>
      </c>
      <c r="P350" s="310">
        <v>0.4216954</v>
      </c>
      <c r="Q350" s="310">
        <v>0.4335485</v>
      </c>
      <c r="R350" s="310">
        <v>0.43130810000000003</v>
      </c>
      <c r="S350" s="310">
        <v>0.4357026</v>
      </c>
      <c r="T350" s="310">
        <v>0.41080040000000001</v>
      </c>
      <c r="U350" s="310">
        <v>0.42056549999999998</v>
      </c>
      <c r="V350" s="310">
        <v>0.44473119999999999</v>
      </c>
      <c r="W350" s="310">
        <v>0.42366130000000002</v>
      </c>
      <c r="X350" s="310">
        <v>0.40835929999999998</v>
      </c>
      <c r="Y350" s="310">
        <v>0.44531379999999998</v>
      </c>
      <c r="Z350" s="310">
        <v>0.4474303</v>
      </c>
      <c r="AA350" s="310">
        <v>0.43987029999999999</v>
      </c>
      <c r="AB350" s="310">
        <v>0.36287819999999998</v>
      </c>
      <c r="AC350" s="310">
        <v>0.44281759999999998</v>
      </c>
      <c r="AD350" s="310">
        <v>0.44460260000000001</v>
      </c>
      <c r="AE350" s="310">
        <v>0.43862770000000001</v>
      </c>
      <c r="AF350" s="310">
        <v>0.40039989999999998</v>
      </c>
      <c r="AG350" s="310">
        <v>0.43168390000000001</v>
      </c>
      <c r="AH350" s="310">
        <v>0.3910129</v>
      </c>
      <c r="AI350" s="310">
        <v>0.40256409999999998</v>
      </c>
      <c r="AJ350" s="310">
        <v>0.4369381</v>
      </c>
      <c r="AK350" s="310">
        <v>0.43603710000000001</v>
      </c>
      <c r="AL350" s="310">
        <v>0.3740135</v>
      </c>
      <c r="AM350" s="310">
        <v>0.43069760000000001</v>
      </c>
      <c r="AN350" s="310">
        <v>0.44708900000000001</v>
      </c>
      <c r="AO350" s="310">
        <v>0.42417379999999999</v>
      </c>
      <c r="AP350" s="310">
        <v>0.4186009</v>
      </c>
      <c r="AQ350" s="310">
        <v>0.38093250000000001</v>
      </c>
      <c r="AR350" s="310">
        <v>0.44270969999999998</v>
      </c>
      <c r="AS350" s="310">
        <v>0.42331010000000002</v>
      </c>
      <c r="AT350" s="310">
        <v>0.43199399999999999</v>
      </c>
      <c r="AU350" s="310">
        <v>0.44247500000000001</v>
      </c>
      <c r="AV350" s="310">
        <v>0.44713910000000001</v>
      </c>
      <c r="AW350" s="310">
        <v>0.40003270000000002</v>
      </c>
      <c r="AX350" s="310">
        <v>0.42889630000000001</v>
      </c>
      <c r="AY350" s="310">
        <v>0.44192490000000001</v>
      </c>
      <c r="AZ350" s="310">
        <v>0.44050070000000002</v>
      </c>
      <c r="BA350" s="310">
        <v>0.40853329999999999</v>
      </c>
      <c r="BB350" s="310">
        <v>0.4407643</v>
      </c>
      <c r="BC350" s="310">
        <v>0.43716509999999997</v>
      </c>
      <c r="BD350" s="310">
        <v>0.43663669999999999</v>
      </c>
      <c r="BE350" s="310">
        <v>0.44089010000000001</v>
      </c>
      <c r="BF350" s="310">
        <v>0.43737300000000001</v>
      </c>
      <c r="BG350" s="310">
        <v>0.44220700000000002</v>
      </c>
      <c r="BH350" s="310">
        <v>0.43703890000000001</v>
      </c>
      <c r="BI350" s="310">
        <v>0.44341629999999999</v>
      </c>
      <c r="BJ350" s="310">
        <v>0.4450016</v>
      </c>
      <c r="BK350" s="310">
        <v>0.44483070000000002</v>
      </c>
    </row>
    <row r="351" spans="1:63" x14ac:dyDescent="0.25">
      <c r="A351" s="306">
        <v>541300</v>
      </c>
      <c r="B351" s="310" t="s">
        <v>308</v>
      </c>
      <c r="C351" s="310">
        <v>0.38597779999999998</v>
      </c>
      <c r="D351" s="310">
        <v>0.37230550000000001</v>
      </c>
      <c r="E351" s="310">
        <v>0.3715118</v>
      </c>
      <c r="F351" s="310">
        <v>0.3760078</v>
      </c>
      <c r="G351" s="310">
        <v>0.38038640000000001</v>
      </c>
      <c r="H351" s="310">
        <v>0.38328790000000001</v>
      </c>
      <c r="I351" s="310">
        <v>0.38234469999999998</v>
      </c>
      <c r="J351" s="310">
        <v>0.3537574</v>
      </c>
      <c r="K351" s="310">
        <v>7.5952900000000004E-2</v>
      </c>
      <c r="L351" s="310">
        <v>0.2665401</v>
      </c>
      <c r="M351" s="310">
        <v>0.3828994</v>
      </c>
      <c r="N351" s="310">
        <v>0.37186039999999998</v>
      </c>
      <c r="O351" s="310">
        <v>0.381079</v>
      </c>
      <c r="P351" s="310">
        <v>0.36467549999999999</v>
      </c>
      <c r="Q351" s="310">
        <v>0.3807662</v>
      </c>
      <c r="R351" s="310">
        <v>0.3689132</v>
      </c>
      <c r="S351" s="310">
        <v>0.36963190000000001</v>
      </c>
      <c r="T351" s="310">
        <v>0.32489000000000001</v>
      </c>
      <c r="U351" s="310">
        <v>0.34742669999999998</v>
      </c>
      <c r="V351" s="310">
        <v>0.37445800000000001</v>
      </c>
      <c r="W351" s="310">
        <v>0.35727779999999998</v>
      </c>
      <c r="X351" s="310">
        <v>0.34306520000000001</v>
      </c>
      <c r="Y351" s="310">
        <v>0.36831639999999999</v>
      </c>
      <c r="Z351" s="310">
        <v>0.38031860000000001</v>
      </c>
      <c r="AA351" s="310">
        <v>0.37668760000000001</v>
      </c>
      <c r="AB351" s="310">
        <v>0.30657610000000002</v>
      </c>
      <c r="AC351" s="310">
        <v>0.35295539999999997</v>
      </c>
      <c r="AD351" s="310">
        <v>0.38015260000000001</v>
      </c>
      <c r="AE351" s="310">
        <v>0.37004310000000001</v>
      </c>
      <c r="AF351" s="310">
        <v>0.36049890000000001</v>
      </c>
      <c r="AG351" s="310">
        <v>0.36286649999999998</v>
      </c>
      <c r="AH351" s="310">
        <v>0.33456229999999998</v>
      </c>
      <c r="AI351" s="310">
        <v>0.34390290000000001</v>
      </c>
      <c r="AJ351" s="310">
        <v>0.3763997</v>
      </c>
      <c r="AK351" s="310">
        <v>0.37546810000000003</v>
      </c>
      <c r="AL351" s="310">
        <v>0.34028540000000002</v>
      </c>
      <c r="AM351" s="310">
        <v>0.3675214</v>
      </c>
      <c r="AN351" s="310">
        <v>0.3785927</v>
      </c>
      <c r="AO351" s="310">
        <v>0.36489569999999999</v>
      </c>
      <c r="AP351" s="310">
        <v>0.35702699999999998</v>
      </c>
      <c r="AQ351" s="310">
        <v>0.30142099999999999</v>
      </c>
      <c r="AR351" s="310">
        <v>0.3567922</v>
      </c>
      <c r="AS351" s="310">
        <v>0.3800192</v>
      </c>
      <c r="AT351" s="310">
        <v>0.37026910000000002</v>
      </c>
      <c r="AU351" s="310">
        <v>0.38246449999999999</v>
      </c>
      <c r="AV351" s="310">
        <v>0.38217430000000002</v>
      </c>
      <c r="AW351" s="310">
        <v>0.33700639999999998</v>
      </c>
      <c r="AX351" s="310">
        <v>0.35091420000000001</v>
      </c>
      <c r="AY351" s="310">
        <v>0.38011220000000001</v>
      </c>
      <c r="AZ351" s="310">
        <v>0.37628830000000002</v>
      </c>
      <c r="BA351" s="310">
        <v>0.36439009999999999</v>
      </c>
      <c r="BB351" s="310">
        <v>0.34738760000000002</v>
      </c>
      <c r="BC351" s="310">
        <v>0.37962899999999999</v>
      </c>
      <c r="BD351" s="310">
        <v>0.3776484</v>
      </c>
      <c r="BE351" s="310">
        <v>0.37913019999999997</v>
      </c>
      <c r="BF351" s="310">
        <v>0.37214029999999998</v>
      </c>
      <c r="BG351" s="310">
        <v>0.37986429999999999</v>
      </c>
      <c r="BH351" s="310">
        <v>0.37191619999999997</v>
      </c>
      <c r="BI351" s="310">
        <v>0.38273439999999997</v>
      </c>
      <c r="BJ351" s="310">
        <v>0.3818376</v>
      </c>
      <c r="BK351" s="310">
        <v>0.38350699999999999</v>
      </c>
    </row>
    <row r="352" spans="1:63" x14ac:dyDescent="0.25">
      <c r="A352" s="306">
        <v>541400</v>
      </c>
      <c r="B352" s="310" t="s">
        <v>309</v>
      </c>
      <c r="C352" s="310">
        <v>0.35927799999999999</v>
      </c>
      <c r="D352" s="310">
        <v>0.35923830000000001</v>
      </c>
      <c r="E352" s="310">
        <v>0.35352070000000002</v>
      </c>
      <c r="F352" s="310">
        <v>0.35589009999999999</v>
      </c>
      <c r="G352" s="310">
        <v>0.35622989999999999</v>
      </c>
      <c r="H352" s="310">
        <v>0.35844939999999997</v>
      </c>
      <c r="I352" s="310">
        <v>0.3579425</v>
      </c>
      <c r="J352" s="310">
        <v>0.31642480000000001</v>
      </c>
      <c r="K352" s="310">
        <v>0.1478922</v>
      </c>
      <c r="L352" s="310">
        <v>0.32163069999999999</v>
      </c>
      <c r="M352" s="310">
        <v>0.35583579999999998</v>
      </c>
      <c r="N352" s="310">
        <v>0.35357810000000001</v>
      </c>
      <c r="O352" s="310">
        <v>0.3592437</v>
      </c>
      <c r="P352" s="310">
        <v>0.33279930000000002</v>
      </c>
      <c r="Q352" s="310">
        <v>0.35694599999999999</v>
      </c>
      <c r="R352" s="310">
        <v>0.35136339999999999</v>
      </c>
      <c r="S352" s="310">
        <v>0.34628779999999998</v>
      </c>
      <c r="T352" s="310">
        <v>0.29511609999999999</v>
      </c>
      <c r="U352" s="310">
        <v>0.32930399999999999</v>
      </c>
      <c r="V352" s="310">
        <v>0.33904139999999999</v>
      </c>
      <c r="W352" s="310">
        <v>0.34596979999999999</v>
      </c>
      <c r="X352" s="310">
        <v>0.3242584</v>
      </c>
      <c r="Y352" s="310">
        <v>0.35919889999999999</v>
      </c>
      <c r="Z352" s="310">
        <v>0.35688500000000001</v>
      </c>
      <c r="AA352" s="310">
        <v>0.34957090000000002</v>
      </c>
      <c r="AB352" s="310">
        <v>0.32060070000000002</v>
      </c>
      <c r="AC352" s="310">
        <v>0.35725099999999999</v>
      </c>
      <c r="AD352" s="310">
        <v>0.3592668</v>
      </c>
      <c r="AE352" s="310">
        <v>0.34802240000000001</v>
      </c>
      <c r="AF352" s="310">
        <v>0.34200979999999997</v>
      </c>
      <c r="AG352" s="310">
        <v>0.35920180000000002</v>
      </c>
      <c r="AH352" s="310">
        <v>0.2935372</v>
      </c>
      <c r="AI352" s="310">
        <v>0.3011471</v>
      </c>
      <c r="AJ352" s="310">
        <v>0.35410079999999999</v>
      </c>
      <c r="AK352" s="310">
        <v>0.33897090000000002</v>
      </c>
      <c r="AL352" s="310">
        <v>0.31687310000000002</v>
      </c>
      <c r="AM352" s="310">
        <v>0.34366010000000002</v>
      </c>
      <c r="AN352" s="310">
        <v>0.35909200000000002</v>
      </c>
      <c r="AO352" s="310">
        <v>0.3500508</v>
      </c>
      <c r="AP352" s="310">
        <v>0.34514149999999999</v>
      </c>
      <c r="AQ352" s="310">
        <v>0.27150069999999998</v>
      </c>
      <c r="AR352" s="310">
        <v>0.35486659999999998</v>
      </c>
      <c r="AS352" s="310">
        <v>0.3476844</v>
      </c>
      <c r="AT352" s="310">
        <v>0.34456100000000001</v>
      </c>
      <c r="AU352" s="310">
        <v>0.35626980000000003</v>
      </c>
      <c r="AV352" s="310">
        <v>0.35373009999999999</v>
      </c>
      <c r="AW352" s="310">
        <v>0.32659880000000002</v>
      </c>
      <c r="AX352" s="310">
        <v>0.35504479999999999</v>
      </c>
      <c r="AY352" s="310">
        <v>0.3576201</v>
      </c>
      <c r="AZ352" s="310">
        <v>0.3535819</v>
      </c>
      <c r="BA352" s="310">
        <v>0.32134489999999999</v>
      </c>
      <c r="BB352" s="310">
        <v>0.34865770000000001</v>
      </c>
      <c r="BC352" s="310">
        <v>0.3460531</v>
      </c>
      <c r="BD352" s="310">
        <v>0.35331790000000002</v>
      </c>
      <c r="BE352" s="310">
        <v>0.35489419999999999</v>
      </c>
      <c r="BF352" s="310">
        <v>0.35024460000000002</v>
      </c>
      <c r="BG352" s="310">
        <v>0.35716409999999998</v>
      </c>
      <c r="BH352" s="310">
        <v>0.3461687</v>
      </c>
      <c r="BI352" s="310">
        <v>0.35680679999999998</v>
      </c>
      <c r="BJ352" s="310">
        <v>0.35759249999999998</v>
      </c>
      <c r="BK352" s="310">
        <v>0.35864659999999998</v>
      </c>
    </row>
    <row r="353" spans="1:63" x14ac:dyDescent="0.25">
      <c r="A353" s="306">
        <v>541511</v>
      </c>
      <c r="B353" s="310" t="s">
        <v>310</v>
      </c>
      <c r="C353" s="310">
        <v>0.56447539999999996</v>
      </c>
      <c r="D353" s="310">
        <v>0.51888719999999999</v>
      </c>
      <c r="E353" s="310">
        <v>0.54603389999999996</v>
      </c>
      <c r="F353" s="310">
        <v>0.5398442</v>
      </c>
      <c r="G353" s="310">
        <v>0.55237939999999996</v>
      </c>
      <c r="H353" s="310">
        <v>0.55427700000000002</v>
      </c>
      <c r="I353" s="310">
        <v>0.55105020000000005</v>
      </c>
      <c r="J353" s="310">
        <v>0.47098950000000001</v>
      </c>
      <c r="K353" s="310">
        <v>9.7875599999999993E-2</v>
      </c>
      <c r="L353" s="310">
        <v>0.3586762</v>
      </c>
      <c r="M353" s="310">
        <v>0.55299500000000001</v>
      </c>
      <c r="N353" s="310">
        <v>0.54587379999999996</v>
      </c>
      <c r="O353" s="310">
        <v>0.54695530000000003</v>
      </c>
      <c r="P353" s="310">
        <v>0.52166460000000003</v>
      </c>
      <c r="Q353" s="310">
        <v>0.54401200000000005</v>
      </c>
      <c r="R353" s="310">
        <v>0.5349062</v>
      </c>
      <c r="S353" s="310">
        <v>0.53671930000000001</v>
      </c>
      <c r="T353" s="310">
        <v>0.42866850000000001</v>
      </c>
      <c r="U353" s="310">
        <v>0.47469430000000001</v>
      </c>
      <c r="V353" s="310">
        <v>0.52869469999999996</v>
      </c>
      <c r="W353" s="310">
        <v>0.50432120000000003</v>
      </c>
      <c r="X353" s="310">
        <v>0.477659</v>
      </c>
      <c r="Y353" s="310">
        <v>0.55181389999999997</v>
      </c>
      <c r="Z353" s="310">
        <v>0.54623319999999997</v>
      </c>
      <c r="AA353" s="310">
        <v>0.54761300000000002</v>
      </c>
      <c r="AB353" s="310">
        <v>0.46814860000000003</v>
      </c>
      <c r="AC353" s="310">
        <v>0.53352299999999997</v>
      </c>
      <c r="AD353" s="310">
        <v>0.54096029999999995</v>
      </c>
      <c r="AE353" s="310">
        <v>0.54360390000000003</v>
      </c>
      <c r="AF353" s="310">
        <v>0.45631159999999998</v>
      </c>
      <c r="AG353" s="310">
        <v>0.53365430000000003</v>
      </c>
      <c r="AH353" s="310">
        <v>0.45754410000000001</v>
      </c>
      <c r="AI353" s="310">
        <v>0.49995990000000001</v>
      </c>
      <c r="AJ353" s="310">
        <v>0.53198590000000001</v>
      </c>
      <c r="AK353" s="310">
        <v>0.52359409999999995</v>
      </c>
      <c r="AL353" s="310">
        <v>0.4514127</v>
      </c>
      <c r="AM353" s="310">
        <v>0.53080799999999995</v>
      </c>
      <c r="AN353" s="310">
        <v>0.54858700000000005</v>
      </c>
      <c r="AO353" s="310">
        <v>0.52985139999999997</v>
      </c>
      <c r="AP353" s="310">
        <v>0.5115132</v>
      </c>
      <c r="AQ353" s="310">
        <v>0.44850499999999999</v>
      </c>
      <c r="AR353" s="310">
        <v>0.53693250000000003</v>
      </c>
      <c r="AS353" s="310">
        <v>0.47545530000000003</v>
      </c>
      <c r="AT353" s="310">
        <v>0.52773150000000002</v>
      </c>
      <c r="AU353" s="310">
        <v>0.55483450000000001</v>
      </c>
      <c r="AV353" s="310">
        <v>0.55509699999999995</v>
      </c>
      <c r="AW353" s="310">
        <v>0.47279349999999998</v>
      </c>
      <c r="AX353" s="310">
        <v>0.51983040000000003</v>
      </c>
      <c r="AY353" s="310">
        <v>0.54922280000000001</v>
      </c>
      <c r="AZ353" s="310">
        <v>0.54847310000000005</v>
      </c>
      <c r="BA353" s="310">
        <v>0.4666902</v>
      </c>
      <c r="BB353" s="310">
        <v>0.5273061</v>
      </c>
      <c r="BC353" s="310">
        <v>0.54101710000000003</v>
      </c>
      <c r="BD353" s="310">
        <v>0.54426569999999996</v>
      </c>
      <c r="BE353" s="310">
        <v>0.54591579999999995</v>
      </c>
      <c r="BF353" s="310">
        <v>0.5385993</v>
      </c>
      <c r="BG353" s="310">
        <v>0.55227839999999995</v>
      </c>
      <c r="BH353" s="310">
        <v>0.53271420000000003</v>
      </c>
      <c r="BI353" s="310">
        <v>0.55502079999999998</v>
      </c>
      <c r="BJ353" s="310">
        <v>0.55209269999999999</v>
      </c>
      <c r="BK353" s="310">
        <v>0.55543030000000004</v>
      </c>
    </row>
    <row r="354" spans="1:63" x14ac:dyDescent="0.25">
      <c r="A354" s="306">
        <v>541512</v>
      </c>
      <c r="B354" s="310" t="s">
        <v>311</v>
      </c>
      <c r="C354" s="310">
        <v>0.48991249999999997</v>
      </c>
      <c r="D354" s="310">
        <v>0.45033329999999999</v>
      </c>
      <c r="E354" s="310">
        <v>0.47379369999999998</v>
      </c>
      <c r="F354" s="310">
        <v>0.46847299999999997</v>
      </c>
      <c r="G354" s="310">
        <v>0.4793597</v>
      </c>
      <c r="H354" s="310">
        <v>0.48103020000000002</v>
      </c>
      <c r="I354" s="310">
        <v>0.47822589999999998</v>
      </c>
      <c r="J354" s="310">
        <v>0.40877619999999998</v>
      </c>
      <c r="K354" s="310">
        <v>8.4928100000000006E-2</v>
      </c>
      <c r="L354" s="310">
        <v>0.31129250000000003</v>
      </c>
      <c r="M354" s="310">
        <v>0.47986450000000003</v>
      </c>
      <c r="N354" s="310">
        <v>0.4737075</v>
      </c>
      <c r="O354" s="310">
        <v>0.47466229999999998</v>
      </c>
      <c r="P354" s="310">
        <v>0.45271660000000002</v>
      </c>
      <c r="Q354" s="310">
        <v>0.47210790000000002</v>
      </c>
      <c r="R354" s="310">
        <v>0.46416580000000002</v>
      </c>
      <c r="S354" s="310">
        <v>0.46575559999999999</v>
      </c>
      <c r="T354" s="310">
        <v>0.3719769</v>
      </c>
      <c r="U354" s="310">
        <v>0.41201549999999998</v>
      </c>
      <c r="V354" s="310">
        <v>0.45881519999999998</v>
      </c>
      <c r="W354" s="310">
        <v>0.43765480000000001</v>
      </c>
      <c r="X354" s="310">
        <v>0.41452990000000001</v>
      </c>
      <c r="Y354" s="310">
        <v>0.47886529999999999</v>
      </c>
      <c r="Z354" s="310">
        <v>0.47400330000000002</v>
      </c>
      <c r="AA354" s="310">
        <v>0.47519099999999997</v>
      </c>
      <c r="AB354" s="310">
        <v>0.40625709999999998</v>
      </c>
      <c r="AC354" s="310">
        <v>0.4629878</v>
      </c>
      <c r="AD354" s="310">
        <v>0.46954649999999998</v>
      </c>
      <c r="AE354" s="310">
        <v>0.47174369999999999</v>
      </c>
      <c r="AF354" s="310">
        <v>0.3960031</v>
      </c>
      <c r="AG354" s="310">
        <v>0.463142</v>
      </c>
      <c r="AH354" s="310">
        <v>0.39704450000000002</v>
      </c>
      <c r="AI354" s="310">
        <v>0.43383480000000002</v>
      </c>
      <c r="AJ354" s="310">
        <v>0.46167999999999998</v>
      </c>
      <c r="AK354" s="310">
        <v>0.45441049999999999</v>
      </c>
      <c r="AL354" s="310">
        <v>0.39173019999999997</v>
      </c>
      <c r="AM354" s="310">
        <v>0.46067839999999999</v>
      </c>
      <c r="AN354" s="310">
        <v>0.47617910000000002</v>
      </c>
      <c r="AO354" s="310">
        <v>0.45986749999999998</v>
      </c>
      <c r="AP354" s="310">
        <v>0.44392520000000002</v>
      </c>
      <c r="AQ354" s="310">
        <v>0.38925609999999999</v>
      </c>
      <c r="AR354" s="310">
        <v>0.46602320000000003</v>
      </c>
      <c r="AS354" s="310">
        <v>0.4125838</v>
      </c>
      <c r="AT354" s="310">
        <v>0.45800289999999999</v>
      </c>
      <c r="AU354" s="310">
        <v>0.481487</v>
      </c>
      <c r="AV354" s="310">
        <v>0.48170279999999999</v>
      </c>
      <c r="AW354" s="310">
        <v>0.41031669999999998</v>
      </c>
      <c r="AX354" s="310">
        <v>0.45107249999999999</v>
      </c>
      <c r="AY354" s="310">
        <v>0.47665269999999998</v>
      </c>
      <c r="AZ354" s="310">
        <v>0.4760045</v>
      </c>
      <c r="BA354" s="310">
        <v>0.4050298</v>
      </c>
      <c r="BB354" s="310">
        <v>0.45757029999999999</v>
      </c>
      <c r="BC354" s="310">
        <v>0.46950809999999998</v>
      </c>
      <c r="BD354" s="310">
        <v>0.4723773</v>
      </c>
      <c r="BE354" s="310">
        <v>0.473692</v>
      </c>
      <c r="BF354" s="310">
        <v>0.46744259999999999</v>
      </c>
      <c r="BG354" s="310">
        <v>0.4792805</v>
      </c>
      <c r="BH354" s="310">
        <v>0.46230450000000001</v>
      </c>
      <c r="BI354" s="310">
        <v>0.48169230000000002</v>
      </c>
      <c r="BJ354" s="310">
        <v>0.47911860000000001</v>
      </c>
      <c r="BK354" s="310">
        <v>0.48209210000000002</v>
      </c>
    </row>
    <row r="355" spans="1:63" x14ac:dyDescent="0.25">
      <c r="A355" s="306" t="s">
        <v>769</v>
      </c>
      <c r="B355" s="310" t="s">
        <v>312</v>
      </c>
      <c r="C355" s="310">
        <v>0.4689217</v>
      </c>
      <c r="D355" s="310">
        <v>0.43108920000000001</v>
      </c>
      <c r="E355" s="310">
        <v>0.45355380000000001</v>
      </c>
      <c r="F355" s="310">
        <v>0.44846819999999998</v>
      </c>
      <c r="G355" s="310">
        <v>0.45887909999999998</v>
      </c>
      <c r="H355" s="310">
        <v>0.46049770000000001</v>
      </c>
      <c r="I355" s="310">
        <v>0.45784589999999997</v>
      </c>
      <c r="J355" s="310">
        <v>0.39127590000000001</v>
      </c>
      <c r="K355" s="310">
        <v>8.1267300000000001E-2</v>
      </c>
      <c r="L355" s="310">
        <v>0.29796319999999998</v>
      </c>
      <c r="M355" s="310">
        <v>0.45940189999999997</v>
      </c>
      <c r="N355" s="310">
        <v>0.45349689999999998</v>
      </c>
      <c r="O355" s="310">
        <v>0.45434449999999998</v>
      </c>
      <c r="P355" s="310">
        <v>0.43339640000000001</v>
      </c>
      <c r="Q355" s="310">
        <v>0.45196389999999997</v>
      </c>
      <c r="R355" s="310">
        <v>0.44432830000000001</v>
      </c>
      <c r="S355" s="310">
        <v>0.44591439999999999</v>
      </c>
      <c r="T355" s="310">
        <v>0.35608329999999999</v>
      </c>
      <c r="U355" s="310">
        <v>0.39439619999999997</v>
      </c>
      <c r="V355" s="310">
        <v>0.4392395</v>
      </c>
      <c r="W355" s="310">
        <v>0.41896369999999999</v>
      </c>
      <c r="X355" s="310">
        <v>0.39676440000000002</v>
      </c>
      <c r="Y355" s="310">
        <v>0.45840890000000001</v>
      </c>
      <c r="Z355" s="310">
        <v>0.45379209999999998</v>
      </c>
      <c r="AA355" s="310">
        <v>0.45485680000000001</v>
      </c>
      <c r="AB355" s="310">
        <v>0.38884750000000001</v>
      </c>
      <c r="AC355" s="310">
        <v>0.44323649999999998</v>
      </c>
      <c r="AD355" s="310">
        <v>0.44940239999999998</v>
      </c>
      <c r="AE355" s="310">
        <v>0.45160479999999997</v>
      </c>
      <c r="AF355" s="310">
        <v>0.37911440000000002</v>
      </c>
      <c r="AG355" s="310">
        <v>0.44336510000000001</v>
      </c>
      <c r="AH355" s="310">
        <v>0.38007200000000002</v>
      </c>
      <c r="AI355" s="310">
        <v>0.41530050000000002</v>
      </c>
      <c r="AJ355" s="310">
        <v>0.44194729999999999</v>
      </c>
      <c r="AK355" s="310">
        <v>0.4349673</v>
      </c>
      <c r="AL355" s="310">
        <v>0.37502039999999998</v>
      </c>
      <c r="AM355" s="310">
        <v>0.44091669999999999</v>
      </c>
      <c r="AN355" s="310">
        <v>0.45576889999999998</v>
      </c>
      <c r="AO355" s="310">
        <v>0.44019540000000001</v>
      </c>
      <c r="AP355" s="310">
        <v>0.42492619999999998</v>
      </c>
      <c r="AQ355" s="310">
        <v>0.37256050000000002</v>
      </c>
      <c r="AR355" s="310">
        <v>0.44613419999999998</v>
      </c>
      <c r="AS355" s="310">
        <v>0.39500679999999999</v>
      </c>
      <c r="AT355" s="310">
        <v>0.43838820000000001</v>
      </c>
      <c r="AU355" s="310">
        <v>0.46092539999999999</v>
      </c>
      <c r="AV355" s="310">
        <v>0.4611344</v>
      </c>
      <c r="AW355" s="310">
        <v>0.39282240000000002</v>
      </c>
      <c r="AX355" s="310">
        <v>0.43184400000000001</v>
      </c>
      <c r="AY355" s="310">
        <v>0.4562563</v>
      </c>
      <c r="AZ355" s="310">
        <v>0.45564719999999997</v>
      </c>
      <c r="BA355" s="310">
        <v>0.38774249999999999</v>
      </c>
      <c r="BB355" s="310">
        <v>0.43804140000000003</v>
      </c>
      <c r="BC355" s="310">
        <v>0.44943909999999998</v>
      </c>
      <c r="BD355" s="310">
        <v>0.45215559999999999</v>
      </c>
      <c r="BE355" s="310">
        <v>0.4535246</v>
      </c>
      <c r="BF355" s="310">
        <v>0.44745309999999999</v>
      </c>
      <c r="BG355" s="310">
        <v>0.458816</v>
      </c>
      <c r="BH355" s="310">
        <v>0.44248989999999999</v>
      </c>
      <c r="BI355" s="310">
        <v>0.46112340000000002</v>
      </c>
      <c r="BJ355" s="310">
        <v>0.45864290000000002</v>
      </c>
      <c r="BK355" s="310">
        <v>0.46149509999999999</v>
      </c>
    </row>
    <row r="356" spans="1:63" x14ac:dyDescent="0.25">
      <c r="A356" s="306">
        <v>541610</v>
      </c>
      <c r="B356" s="310" t="s">
        <v>313</v>
      </c>
      <c r="C356" s="310">
        <v>0.45156540000000001</v>
      </c>
      <c r="D356" s="310">
        <v>0.43573190000000001</v>
      </c>
      <c r="E356" s="310">
        <v>0.41659829999999998</v>
      </c>
      <c r="F356" s="310">
        <v>0.42094110000000001</v>
      </c>
      <c r="G356" s="310">
        <v>0.43929679999999999</v>
      </c>
      <c r="H356" s="310">
        <v>0.43598330000000002</v>
      </c>
      <c r="I356" s="310">
        <v>0.43464700000000001</v>
      </c>
      <c r="J356" s="310">
        <v>0.390295</v>
      </c>
      <c r="K356" s="310">
        <v>0.13048499999999999</v>
      </c>
      <c r="L356" s="310">
        <v>0.2932226</v>
      </c>
      <c r="M356" s="310">
        <v>0.43599880000000002</v>
      </c>
      <c r="N356" s="310">
        <v>0.42705650000000001</v>
      </c>
      <c r="O356" s="310">
        <v>0.43013630000000003</v>
      </c>
      <c r="P356" s="310">
        <v>0.41969450000000003</v>
      </c>
      <c r="Q356" s="310">
        <v>0.40028550000000002</v>
      </c>
      <c r="R356" s="310">
        <v>0.42175639999999998</v>
      </c>
      <c r="S356" s="310">
        <v>0.40609960000000001</v>
      </c>
      <c r="T356" s="310">
        <v>0.3789691</v>
      </c>
      <c r="U356" s="310">
        <v>0.39438450000000003</v>
      </c>
      <c r="V356" s="310">
        <v>0.40940910000000003</v>
      </c>
      <c r="W356" s="310">
        <v>0.41056009999999998</v>
      </c>
      <c r="X356" s="310">
        <v>0.37070019999999998</v>
      </c>
      <c r="Y356" s="310">
        <v>0.39401239999999998</v>
      </c>
      <c r="Z356" s="310">
        <v>0.41745900000000002</v>
      </c>
      <c r="AA356" s="310">
        <v>0.4303767</v>
      </c>
      <c r="AB356" s="310">
        <v>0.37023200000000001</v>
      </c>
      <c r="AC356" s="310">
        <v>0.39460289999999998</v>
      </c>
      <c r="AD356" s="310">
        <v>0.42335329999999999</v>
      </c>
      <c r="AE356" s="310">
        <v>0.41566409999999998</v>
      </c>
      <c r="AF356" s="310">
        <v>0.39102170000000003</v>
      </c>
      <c r="AG356" s="310">
        <v>0.4184253</v>
      </c>
      <c r="AH356" s="310">
        <v>0.39376240000000001</v>
      </c>
      <c r="AI356" s="310">
        <v>0.38629910000000001</v>
      </c>
      <c r="AJ356" s="310">
        <v>0.4230257</v>
      </c>
      <c r="AK356" s="310">
        <v>0.3953451</v>
      </c>
      <c r="AL356" s="310">
        <v>0.34121109999999999</v>
      </c>
      <c r="AM356" s="310">
        <v>0.41848079999999999</v>
      </c>
      <c r="AN356" s="310">
        <v>0.40959020000000002</v>
      </c>
      <c r="AO356" s="310">
        <v>0.4097382</v>
      </c>
      <c r="AP356" s="310">
        <v>0.3948874</v>
      </c>
      <c r="AQ356" s="310">
        <v>0.40122170000000001</v>
      </c>
      <c r="AR356" s="310">
        <v>0.42027579999999998</v>
      </c>
      <c r="AS356" s="310">
        <v>0.34607710000000003</v>
      </c>
      <c r="AT356" s="310">
        <v>0.39304610000000001</v>
      </c>
      <c r="AU356" s="310">
        <v>0.42991439999999997</v>
      </c>
      <c r="AV356" s="310">
        <v>0.43911149999999999</v>
      </c>
      <c r="AW356" s="310">
        <v>0.37108069999999999</v>
      </c>
      <c r="AX356" s="310">
        <v>0.42091669999999998</v>
      </c>
      <c r="AY356" s="310">
        <v>0.42625030000000003</v>
      </c>
      <c r="AZ356" s="310">
        <v>0.41699029999999998</v>
      </c>
      <c r="BA356" s="310">
        <v>0.41312349999999998</v>
      </c>
      <c r="BB356" s="310">
        <v>0.42250179999999998</v>
      </c>
      <c r="BC356" s="310">
        <v>0.42462620000000001</v>
      </c>
      <c r="BD356" s="310">
        <v>0.41702289999999997</v>
      </c>
      <c r="BE356" s="310">
        <v>0.42957909999999999</v>
      </c>
      <c r="BF356" s="310">
        <v>0.42354639999999999</v>
      </c>
      <c r="BG356" s="310">
        <v>0.43618069999999998</v>
      </c>
      <c r="BH356" s="310">
        <v>0.40444619999999998</v>
      </c>
      <c r="BI356" s="310">
        <v>0.43012329999999999</v>
      </c>
      <c r="BJ356" s="310">
        <v>0.43570819999999999</v>
      </c>
      <c r="BK356" s="310">
        <v>0.43756669999999998</v>
      </c>
    </row>
    <row r="357" spans="1:63" x14ac:dyDescent="0.25">
      <c r="A357" s="306" t="s">
        <v>770</v>
      </c>
      <c r="B357" s="310" t="s">
        <v>314</v>
      </c>
      <c r="C357" s="310">
        <v>0.40887800000000002</v>
      </c>
      <c r="D357" s="310">
        <v>0.39455669999999998</v>
      </c>
      <c r="E357" s="310">
        <v>0.37725599999999998</v>
      </c>
      <c r="F357" s="310">
        <v>0.38121310000000003</v>
      </c>
      <c r="G357" s="310">
        <v>0.39777299999999999</v>
      </c>
      <c r="H357" s="310">
        <v>0.39479959999999997</v>
      </c>
      <c r="I357" s="310">
        <v>0.39362019999999998</v>
      </c>
      <c r="J357" s="310">
        <v>0.35338520000000001</v>
      </c>
      <c r="K357" s="310">
        <v>0.1181552</v>
      </c>
      <c r="L357" s="310">
        <v>0.26552720000000002</v>
      </c>
      <c r="M357" s="310">
        <v>0.39477289999999998</v>
      </c>
      <c r="N357" s="310">
        <v>0.38676159999999998</v>
      </c>
      <c r="O357" s="310">
        <v>0.38950449999999998</v>
      </c>
      <c r="P357" s="310">
        <v>0.38006899999999999</v>
      </c>
      <c r="Q357" s="310">
        <v>0.36251339999999999</v>
      </c>
      <c r="R357" s="310">
        <v>0.38191969999999997</v>
      </c>
      <c r="S357" s="310">
        <v>0.36771520000000002</v>
      </c>
      <c r="T357" s="310">
        <v>0.34318900000000002</v>
      </c>
      <c r="U357" s="310">
        <v>0.35717719999999997</v>
      </c>
      <c r="V357" s="310">
        <v>0.37070399999999998</v>
      </c>
      <c r="W357" s="310">
        <v>0.37177369999999998</v>
      </c>
      <c r="X357" s="310">
        <v>0.33568930000000002</v>
      </c>
      <c r="Y357" s="310">
        <v>0.35677750000000003</v>
      </c>
      <c r="Z357" s="310">
        <v>0.37801420000000002</v>
      </c>
      <c r="AA357" s="310">
        <v>0.3897255</v>
      </c>
      <c r="AB357" s="310">
        <v>0.33525300000000002</v>
      </c>
      <c r="AC357" s="310">
        <v>0.35730430000000002</v>
      </c>
      <c r="AD357" s="310">
        <v>0.3833375</v>
      </c>
      <c r="AE357" s="310">
        <v>0.37637340000000002</v>
      </c>
      <c r="AF357" s="310">
        <v>0.35408830000000002</v>
      </c>
      <c r="AG357" s="310">
        <v>0.37895180000000001</v>
      </c>
      <c r="AH357" s="310">
        <v>0.35658790000000001</v>
      </c>
      <c r="AI357" s="310">
        <v>0.34980630000000001</v>
      </c>
      <c r="AJ357" s="310">
        <v>0.38308740000000002</v>
      </c>
      <c r="AK357" s="310">
        <v>0.35804320000000001</v>
      </c>
      <c r="AL357" s="310">
        <v>0.30897730000000001</v>
      </c>
      <c r="AM357" s="310">
        <v>0.37897239999999999</v>
      </c>
      <c r="AN357" s="310">
        <v>0.37092459999999999</v>
      </c>
      <c r="AO357" s="310">
        <v>0.37104559999999998</v>
      </c>
      <c r="AP357" s="310">
        <v>0.3576124</v>
      </c>
      <c r="AQ357" s="310">
        <v>0.36338300000000001</v>
      </c>
      <c r="AR357" s="310">
        <v>0.3805789</v>
      </c>
      <c r="AS357" s="310">
        <v>0.31332339999999997</v>
      </c>
      <c r="AT357" s="310">
        <v>0.35598479999999999</v>
      </c>
      <c r="AU357" s="310">
        <v>0.38928279999999998</v>
      </c>
      <c r="AV357" s="310">
        <v>0.39766400000000002</v>
      </c>
      <c r="AW357" s="310">
        <v>0.33602330000000002</v>
      </c>
      <c r="AX357" s="310">
        <v>0.38112669999999998</v>
      </c>
      <c r="AY357" s="310">
        <v>0.38600699999999999</v>
      </c>
      <c r="AZ357" s="310">
        <v>0.37756980000000001</v>
      </c>
      <c r="BA357" s="310">
        <v>0.37401410000000002</v>
      </c>
      <c r="BB357" s="310">
        <v>0.38258039999999999</v>
      </c>
      <c r="BC357" s="310">
        <v>0.38449430000000001</v>
      </c>
      <c r="BD357" s="310">
        <v>0.37768560000000001</v>
      </c>
      <c r="BE357" s="310">
        <v>0.3890557</v>
      </c>
      <c r="BF357" s="310">
        <v>0.38357469999999999</v>
      </c>
      <c r="BG357" s="310">
        <v>0.39499960000000001</v>
      </c>
      <c r="BH357" s="310">
        <v>0.36632979999999998</v>
      </c>
      <c r="BI357" s="310">
        <v>0.38953919999999997</v>
      </c>
      <c r="BJ357" s="310">
        <v>0.39458929999999998</v>
      </c>
      <c r="BK357" s="310">
        <v>0.39625739999999998</v>
      </c>
    </row>
    <row r="358" spans="1:63" x14ac:dyDescent="0.25">
      <c r="A358" s="306">
        <v>541700</v>
      </c>
      <c r="B358" s="310" t="s">
        <v>315</v>
      </c>
      <c r="C358" s="310">
        <v>0.42923080000000002</v>
      </c>
      <c r="D358" s="310">
        <v>0.41988999999999999</v>
      </c>
      <c r="E358" s="310">
        <v>0.42062460000000002</v>
      </c>
      <c r="F358" s="310">
        <v>0.4156802</v>
      </c>
      <c r="G358" s="310">
        <v>0.42046129999999998</v>
      </c>
      <c r="H358" s="310">
        <v>0.42657390000000001</v>
      </c>
      <c r="I358" s="310">
        <v>0.4230003</v>
      </c>
      <c r="J358" s="310">
        <v>0.38068180000000001</v>
      </c>
      <c r="K358" s="310">
        <v>9.5487900000000001E-2</v>
      </c>
      <c r="L358" s="310">
        <v>0.29592810000000003</v>
      </c>
      <c r="M358" s="310">
        <v>0.42187730000000001</v>
      </c>
      <c r="N358" s="310">
        <v>0.4118193</v>
      </c>
      <c r="O358" s="310">
        <v>0.41883690000000001</v>
      </c>
      <c r="P358" s="310">
        <v>0.4206549</v>
      </c>
      <c r="Q358" s="310">
        <v>0.42629159999999999</v>
      </c>
      <c r="R358" s="310">
        <v>0.4146803</v>
      </c>
      <c r="S358" s="310">
        <v>0.40918870000000002</v>
      </c>
      <c r="T358" s="310">
        <v>0.3732914</v>
      </c>
      <c r="U358" s="310">
        <v>0.41208319999999998</v>
      </c>
      <c r="V358" s="310">
        <v>0.39876139999999999</v>
      </c>
      <c r="W358" s="310">
        <v>0.40193410000000002</v>
      </c>
      <c r="X358" s="310">
        <v>0.38260870000000002</v>
      </c>
      <c r="Y358" s="310">
        <v>0.42175600000000002</v>
      </c>
      <c r="Z358" s="310">
        <v>0.42302250000000002</v>
      </c>
      <c r="AA358" s="310">
        <v>0.41558339999999999</v>
      </c>
      <c r="AB358" s="310">
        <v>0.34650350000000002</v>
      </c>
      <c r="AC358" s="310">
        <v>0.37587359999999997</v>
      </c>
      <c r="AD358" s="310">
        <v>0.40519480000000002</v>
      </c>
      <c r="AE358" s="310">
        <v>0.42193269999999999</v>
      </c>
      <c r="AF358" s="310">
        <v>0.37316080000000001</v>
      </c>
      <c r="AG358" s="310">
        <v>0.39418750000000002</v>
      </c>
      <c r="AH358" s="310">
        <v>0.36032209999999998</v>
      </c>
      <c r="AI358" s="310">
        <v>0.38281470000000001</v>
      </c>
      <c r="AJ358" s="310">
        <v>0.42647980000000002</v>
      </c>
      <c r="AK358" s="310">
        <v>0.41817480000000001</v>
      </c>
      <c r="AL358" s="310">
        <v>0.3910419</v>
      </c>
      <c r="AM358" s="310">
        <v>0.41831079999999998</v>
      </c>
      <c r="AN358" s="310">
        <v>0.41682029999999998</v>
      </c>
      <c r="AO358" s="310">
        <v>0.40780620000000001</v>
      </c>
      <c r="AP358" s="310">
        <v>0.39701599999999998</v>
      </c>
      <c r="AQ358" s="310">
        <v>0.34465509999999999</v>
      </c>
      <c r="AR358" s="310">
        <v>0.40152080000000001</v>
      </c>
      <c r="AS358" s="310">
        <v>0.261849</v>
      </c>
      <c r="AT358" s="310">
        <v>0.42293829999999999</v>
      </c>
      <c r="AU358" s="310">
        <v>0.4229926</v>
      </c>
      <c r="AV358" s="310">
        <v>0.4208132</v>
      </c>
      <c r="AW358" s="310">
        <v>0.3680369</v>
      </c>
      <c r="AX358" s="310">
        <v>0.39785789999999999</v>
      </c>
      <c r="AY358" s="310">
        <v>0.42302230000000002</v>
      </c>
      <c r="AZ358" s="310">
        <v>0.42149969999999998</v>
      </c>
      <c r="BA358" s="310">
        <v>0.38913110000000001</v>
      </c>
      <c r="BB358" s="310">
        <v>0.42723359999999999</v>
      </c>
      <c r="BC358" s="310">
        <v>0.4219599</v>
      </c>
      <c r="BD358" s="310">
        <v>0.41801709999999997</v>
      </c>
      <c r="BE358" s="310">
        <v>0.42369849999999998</v>
      </c>
      <c r="BF358" s="310">
        <v>0.41089029999999999</v>
      </c>
      <c r="BG358" s="310">
        <v>0.41813109999999998</v>
      </c>
      <c r="BH358" s="310">
        <v>0.42012769999999999</v>
      </c>
      <c r="BI358" s="310">
        <v>0.42114629999999997</v>
      </c>
      <c r="BJ358" s="310">
        <v>0.4243828</v>
      </c>
      <c r="BK358" s="310">
        <v>0.4266818</v>
      </c>
    </row>
    <row r="359" spans="1:63" x14ac:dyDescent="0.25">
      <c r="A359" s="306">
        <v>541800</v>
      </c>
      <c r="B359" s="310" t="s">
        <v>316</v>
      </c>
      <c r="C359" s="310">
        <v>0.40890090000000001</v>
      </c>
      <c r="D359" s="310">
        <v>0.40888350000000001</v>
      </c>
      <c r="E359" s="310">
        <v>0.39850750000000001</v>
      </c>
      <c r="F359" s="310">
        <v>0.4015608</v>
      </c>
      <c r="G359" s="310">
        <v>0.40320270000000002</v>
      </c>
      <c r="H359" s="310">
        <v>0.40678720000000002</v>
      </c>
      <c r="I359" s="310">
        <v>0.40780549999999999</v>
      </c>
      <c r="J359" s="310">
        <v>0.36263909999999999</v>
      </c>
      <c r="K359" s="310">
        <v>0.1410332</v>
      </c>
      <c r="L359" s="310">
        <v>0.3190751</v>
      </c>
      <c r="M359" s="310">
        <v>0.4045571</v>
      </c>
      <c r="N359" s="310">
        <v>0.40052650000000001</v>
      </c>
      <c r="O359" s="310">
        <v>0.4088734</v>
      </c>
      <c r="P359" s="310">
        <v>0.39749889999999999</v>
      </c>
      <c r="Q359" s="310">
        <v>0.39529930000000002</v>
      </c>
      <c r="R359" s="310">
        <v>0.39938380000000001</v>
      </c>
      <c r="S359" s="310">
        <v>0.39921689999999999</v>
      </c>
      <c r="T359" s="310">
        <v>0.33240570000000003</v>
      </c>
      <c r="U359" s="310">
        <v>0.3744691</v>
      </c>
      <c r="V359" s="310">
        <v>0.40308349999999998</v>
      </c>
      <c r="W359" s="310">
        <v>0.39243739999999999</v>
      </c>
      <c r="X359" s="310">
        <v>0.36677959999999998</v>
      </c>
      <c r="Y359" s="310">
        <v>0.40762340000000002</v>
      </c>
      <c r="Z359" s="310">
        <v>0.40372380000000002</v>
      </c>
      <c r="AA359" s="310">
        <v>0.4055376</v>
      </c>
      <c r="AB359" s="310">
        <v>0.339111</v>
      </c>
      <c r="AC359" s="310">
        <v>0.39870410000000001</v>
      </c>
      <c r="AD359" s="310">
        <v>0.39994859999999999</v>
      </c>
      <c r="AE359" s="310">
        <v>0.39425690000000002</v>
      </c>
      <c r="AF359" s="310">
        <v>0.33078809999999997</v>
      </c>
      <c r="AG359" s="310">
        <v>0.3935825</v>
      </c>
      <c r="AH359" s="310">
        <v>0.35666039999999999</v>
      </c>
      <c r="AI359" s="310">
        <v>0.36971520000000002</v>
      </c>
      <c r="AJ359" s="310">
        <v>0.39283940000000001</v>
      </c>
      <c r="AK359" s="310">
        <v>0.40049750000000001</v>
      </c>
      <c r="AL359" s="310">
        <v>0.34068150000000003</v>
      </c>
      <c r="AM359" s="310">
        <v>0.39047470000000001</v>
      </c>
      <c r="AN359" s="310">
        <v>0.40304990000000002</v>
      </c>
      <c r="AO359" s="310">
        <v>0.39282600000000001</v>
      </c>
      <c r="AP359" s="310">
        <v>0.38599600000000001</v>
      </c>
      <c r="AQ359" s="310">
        <v>0.34311399999999997</v>
      </c>
      <c r="AR359" s="310">
        <v>0.39143850000000002</v>
      </c>
      <c r="AS359" s="310">
        <v>0.40191389999999999</v>
      </c>
      <c r="AT359" s="310">
        <v>0.3931637</v>
      </c>
      <c r="AU359" s="310">
        <v>0.40342519999999998</v>
      </c>
      <c r="AV359" s="310">
        <v>0.40666099999999999</v>
      </c>
      <c r="AW359" s="310">
        <v>0.37186750000000002</v>
      </c>
      <c r="AX359" s="310">
        <v>0.38531209999999999</v>
      </c>
      <c r="AY359" s="310">
        <v>0.40451330000000002</v>
      </c>
      <c r="AZ359" s="310">
        <v>0.40012959999999997</v>
      </c>
      <c r="BA359" s="310">
        <v>0.36646709999999999</v>
      </c>
      <c r="BB359" s="310">
        <v>0.32352940000000002</v>
      </c>
      <c r="BC359" s="310">
        <v>0.39337759999999999</v>
      </c>
      <c r="BD359" s="310">
        <v>0.39190760000000002</v>
      </c>
      <c r="BE359" s="310">
        <v>0.40355180000000002</v>
      </c>
      <c r="BF359" s="310">
        <v>0.40192539999999999</v>
      </c>
      <c r="BG359" s="310">
        <v>0.40345059999999999</v>
      </c>
      <c r="BH359" s="310">
        <v>0.39595079999999999</v>
      </c>
      <c r="BI359" s="310">
        <v>0.40461979999999997</v>
      </c>
      <c r="BJ359" s="310">
        <v>0.40531129999999999</v>
      </c>
      <c r="BK359" s="310">
        <v>0.40704489999999999</v>
      </c>
    </row>
    <row r="360" spans="1:63" x14ac:dyDescent="0.25">
      <c r="A360" s="306">
        <v>541920</v>
      </c>
      <c r="B360" s="310" t="s">
        <v>317</v>
      </c>
      <c r="C360" s="310">
        <v>0.51700979999999996</v>
      </c>
      <c r="D360" s="310">
        <v>0.49817329999999999</v>
      </c>
      <c r="E360" s="310">
        <v>0.50737120000000002</v>
      </c>
      <c r="F360" s="310">
        <v>0.49298789999999998</v>
      </c>
      <c r="G360" s="310">
        <v>0.51317690000000005</v>
      </c>
      <c r="H360" s="310">
        <v>0.51390179999999996</v>
      </c>
      <c r="I360" s="310">
        <v>0.51379629999999998</v>
      </c>
      <c r="J360" s="310">
        <v>0.46355869999999999</v>
      </c>
      <c r="K360" s="310">
        <v>0.1543158</v>
      </c>
      <c r="L360" s="310">
        <v>0.44734390000000002</v>
      </c>
      <c r="M360" s="310">
        <v>0.51333070000000003</v>
      </c>
      <c r="N360" s="310">
        <v>0.50015270000000001</v>
      </c>
      <c r="O360" s="310">
        <v>0.5169513</v>
      </c>
      <c r="P360" s="310">
        <v>0.50004369999999998</v>
      </c>
      <c r="Q360" s="310">
        <v>0.5072103</v>
      </c>
      <c r="R360" s="310">
        <v>0.50087780000000004</v>
      </c>
      <c r="S360" s="310">
        <v>0.50552580000000003</v>
      </c>
      <c r="T360" s="310">
        <v>0.4736262</v>
      </c>
      <c r="U360" s="310">
        <v>0.45708700000000002</v>
      </c>
      <c r="V360" s="310">
        <v>0.50601309999999999</v>
      </c>
      <c r="W360" s="310">
        <v>0.47099000000000002</v>
      </c>
      <c r="X360" s="310">
        <v>0.45731040000000001</v>
      </c>
      <c r="Y360" s="310">
        <v>0.514486</v>
      </c>
      <c r="Z360" s="310">
        <v>0.51202910000000001</v>
      </c>
      <c r="AA360" s="310">
        <v>0.49972179999999999</v>
      </c>
      <c r="AB360" s="310">
        <v>0.4722865</v>
      </c>
      <c r="AC360" s="310">
        <v>0.50290120000000005</v>
      </c>
      <c r="AD360" s="310">
        <v>0.51697720000000003</v>
      </c>
      <c r="AE360" s="310">
        <v>0.50533410000000001</v>
      </c>
      <c r="AF360" s="310">
        <v>0.48425689999999999</v>
      </c>
      <c r="AG360" s="310">
        <v>0.50134999999999996</v>
      </c>
      <c r="AH360" s="310">
        <v>0.46661839999999999</v>
      </c>
      <c r="AI360" s="310">
        <v>0.46480050000000001</v>
      </c>
      <c r="AJ360" s="310">
        <v>0.50914369999999998</v>
      </c>
      <c r="AK360" s="310">
        <v>0.4981295</v>
      </c>
      <c r="AL360" s="310">
        <v>0.45203300000000002</v>
      </c>
      <c r="AM360" s="310">
        <v>0.48717139999999998</v>
      </c>
      <c r="AN360" s="310">
        <v>0.50905319999999998</v>
      </c>
      <c r="AO360" s="310">
        <v>0.5046214</v>
      </c>
      <c r="AP360" s="310">
        <v>0.49722719999999998</v>
      </c>
      <c r="AQ360" s="310">
        <v>0.49404029999999999</v>
      </c>
      <c r="AR360" s="310">
        <v>0.48145739999999998</v>
      </c>
      <c r="AS360" s="310">
        <v>0.50626070000000001</v>
      </c>
      <c r="AT360" s="310">
        <v>0.49242599999999997</v>
      </c>
      <c r="AU360" s="310">
        <v>0.51443240000000001</v>
      </c>
      <c r="AV360" s="310">
        <v>0.51337109999999997</v>
      </c>
      <c r="AW360" s="310">
        <v>0.47776010000000002</v>
      </c>
      <c r="AX360" s="310">
        <v>0.48966730000000003</v>
      </c>
      <c r="AY360" s="310">
        <v>0.49192429999999998</v>
      </c>
      <c r="AZ360" s="310">
        <v>0.50094839999999996</v>
      </c>
      <c r="BA360" s="310">
        <v>0.46868579999999999</v>
      </c>
      <c r="BB360" s="310">
        <v>0.50619919999999996</v>
      </c>
      <c r="BC360" s="310">
        <v>0.49761250000000001</v>
      </c>
      <c r="BD360" s="310">
        <v>0.50156500000000004</v>
      </c>
      <c r="BE360" s="310">
        <v>0.50822840000000002</v>
      </c>
      <c r="BF360" s="310">
        <v>0.50387090000000001</v>
      </c>
      <c r="BG360" s="310">
        <v>0.5122063</v>
      </c>
      <c r="BH360" s="310">
        <v>0.4931932</v>
      </c>
      <c r="BI360" s="310">
        <v>0.51377010000000001</v>
      </c>
      <c r="BJ360" s="310">
        <v>0.51296350000000002</v>
      </c>
      <c r="BK360" s="310">
        <v>0.51360539999999999</v>
      </c>
    </row>
    <row r="361" spans="1:63" x14ac:dyDescent="0.25">
      <c r="A361" s="306">
        <v>541940</v>
      </c>
      <c r="B361" s="310" t="s">
        <v>318</v>
      </c>
      <c r="C361" s="310">
        <v>0.44165739999999998</v>
      </c>
      <c r="D361" s="310">
        <v>0.4256567</v>
      </c>
      <c r="E361" s="310">
        <v>0.43350149999999998</v>
      </c>
      <c r="F361" s="310">
        <v>0.42125849999999998</v>
      </c>
      <c r="G361" s="310">
        <v>0.43839630000000002</v>
      </c>
      <c r="H361" s="310">
        <v>0.43909969999999998</v>
      </c>
      <c r="I361" s="310">
        <v>0.43891669999999999</v>
      </c>
      <c r="J361" s="310">
        <v>0.3960224</v>
      </c>
      <c r="K361" s="310">
        <v>0.1318107</v>
      </c>
      <c r="L361" s="310">
        <v>0.3821968</v>
      </c>
      <c r="M361" s="310">
        <v>0.43854989999999999</v>
      </c>
      <c r="N361" s="310">
        <v>0.42734529999999998</v>
      </c>
      <c r="O361" s="310">
        <v>0.44165569999999998</v>
      </c>
      <c r="P361" s="310">
        <v>0.4272936</v>
      </c>
      <c r="Q361" s="310">
        <v>0.43335879999999999</v>
      </c>
      <c r="R361" s="310">
        <v>0.4279134</v>
      </c>
      <c r="S361" s="310">
        <v>0.43188409999999999</v>
      </c>
      <c r="T361" s="310">
        <v>0.40467599999999998</v>
      </c>
      <c r="U361" s="310">
        <v>0.39053870000000002</v>
      </c>
      <c r="V361" s="310">
        <v>0.43232369999999998</v>
      </c>
      <c r="W361" s="310">
        <v>0.40241120000000002</v>
      </c>
      <c r="X361" s="310">
        <v>0.39067350000000001</v>
      </c>
      <c r="Y361" s="310">
        <v>0.43951709999999999</v>
      </c>
      <c r="Z361" s="310">
        <v>0.43746649999999998</v>
      </c>
      <c r="AA361" s="310">
        <v>0.42691020000000002</v>
      </c>
      <c r="AB361" s="310">
        <v>0.40349010000000002</v>
      </c>
      <c r="AC361" s="310">
        <v>0.42968620000000002</v>
      </c>
      <c r="AD361" s="310">
        <v>0.44166100000000003</v>
      </c>
      <c r="AE361" s="310">
        <v>0.43168060000000003</v>
      </c>
      <c r="AF361" s="310">
        <v>0.41363840000000002</v>
      </c>
      <c r="AG361" s="310">
        <v>0.42839139999999998</v>
      </c>
      <c r="AH361" s="310">
        <v>0.39871760000000001</v>
      </c>
      <c r="AI361" s="310">
        <v>0.39709179999999999</v>
      </c>
      <c r="AJ361" s="310">
        <v>0.43499749999999998</v>
      </c>
      <c r="AK361" s="310">
        <v>0.42553879999999999</v>
      </c>
      <c r="AL361" s="310">
        <v>0.38625480000000001</v>
      </c>
      <c r="AM361" s="310">
        <v>0.41618850000000002</v>
      </c>
      <c r="AN361" s="310">
        <v>0.43489919999999999</v>
      </c>
      <c r="AO361" s="310">
        <v>0.43117420000000001</v>
      </c>
      <c r="AP361" s="310">
        <v>0.42478589999999999</v>
      </c>
      <c r="AQ361" s="310">
        <v>0.42212719999999998</v>
      </c>
      <c r="AR361" s="310">
        <v>0.41135359999999999</v>
      </c>
      <c r="AS361" s="310">
        <v>0.432475</v>
      </c>
      <c r="AT361" s="310">
        <v>0.42075570000000001</v>
      </c>
      <c r="AU361" s="310">
        <v>0.43948999999999999</v>
      </c>
      <c r="AV361" s="310">
        <v>0.43854290000000001</v>
      </c>
      <c r="AW361" s="310">
        <v>0.40811900000000001</v>
      </c>
      <c r="AX361" s="310">
        <v>0.4184195</v>
      </c>
      <c r="AY361" s="310">
        <v>0.42026150000000001</v>
      </c>
      <c r="AZ361" s="310">
        <v>0.4279695</v>
      </c>
      <c r="BA361" s="310">
        <v>0.40044099999999999</v>
      </c>
      <c r="BB361" s="310">
        <v>0.43243949999999998</v>
      </c>
      <c r="BC361" s="310">
        <v>0.42511369999999998</v>
      </c>
      <c r="BD361" s="310">
        <v>0.42851980000000001</v>
      </c>
      <c r="BE361" s="310">
        <v>0.43415740000000003</v>
      </c>
      <c r="BF361" s="310">
        <v>0.43042829999999999</v>
      </c>
      <c r="BG361" s="310">
        <v>0.43764370000000002</v>
      </c>
      <c r="BH361" s="310">
        <v>0.42135709999999998</v>
      </c>
      <c r="BI361" s="310">
        <v>0.438888</v>
      </c>
      <c r="BJ361" s="310">
        <v>0.43821860000000001</v>
      </c>
      <c r="BK361" s="310">
        <v>0.43878600000000001</v>
      </c>
    </row>
    <row r="362" spans="1:63" x14ac:dyDescent="0.25">
      <c r="A362" s="306" t="s">
        <v>771</v>
      </c>
      <c r="B362" s="310" t="s">
        <v>319</v>
      </c>
      <c r="C362" s="310">
        <v>0.62439789999999995</v>
      </c>
      <c r="D362" s="310">
        <v>0.60166850000000005</v>
      </c>
      <c r="E362" s="310">
        <v>0.61287720000000001</v>
      </c>
      <c r="F362" s="310">
        <v>0.59553529999999999</v>
      </c>
      <c r="G362" s="310">
        <v>0.61971830000000006</v>
      </c>
      <c r="H362" s="310">
        <v>0.62071019999999999</v>
      </c>
      <c r="I362" s="310">
        <v>0.6205155</v>
      </c>
      <c r="J362" s="310">
        <v>0.55994109999999997</v>
      </c>
      <c r="K362" s="310">
        <v>0.1864074</v>
      </c>
      <c r="L362" s="310">
        <v>0.54035869999999997</v>
      </c>
      <c r="M362" s="310">
        <v>0.61991540000000001</v>
      </c>
      <c r="N362" s="310">
        <v>0.60413649999999997</v>
      </c>
      <c r="O362" s="310">
        <v>0.62436460000000005</v>
      </c>
      <c r="P362" s="310">
        <v>0.60398410000000002</v>
      </c>
      <c r="Q362" s="310">
        <v>0.61259370000000002</v>
      </c>
      <c r="R362" s="310">
        <v>0.60493509999999995</v>
      </c>
      <c r="S362" s="310">
        <v>0.6105254</v>
      </c>
      <c r="T362" s="310">
        <v>0.57204809999999995</v>
      </c>
      <c r="U362" s="310">
        <v>0.55202050000000003</v>
      </c>
      <c r="V362" s="310">
        <v>0.61124009999999995</v>
      </c>
      <c r="W362" s="310">
        <v>0.56886990000000004</v>
      </c>
      <c r="X362" s="310">
        <v>0.55230809999999997</v>
      </c>
      <c r="Y362" s="310">
        <v>0.62135229999999997</v>
      </c>
      <c r="Z362" s="310">
        <v>0.61848550000000002</v>
      </c>
      <c r="AA362" s="310">
        <v>0.60359890000000005</v>
      </c>
      <c r="AB362" s="310">
        <v>0.57047740000000002</v>
      </c>
      <c r="AC362" s="310">
        <v>0.60739920000000003</v>
      </c>
      <c r="AD362" s="310">
        <v>0.62436970000000003</v>
      </c>
      <c r="AE362" s="310">
        <v>0.61023970000000005</v>
      </c>
      <c r="AF362" s="310">
        <v>0.58487210000000001</v>
      </c>
      <c r="AG362" s="310">
        <v>0.60557329999999998</v>
      </c>
      <c r="AH362" s="310">
        <v>0.56364590000000003</v>
      </c>
      <c r="AI362" s="310">
        <v>0.56134839999999997</v>
      </c>
      <c r="AJ362" s="310">
        <v>0.61493989999999998</v>
      </c>
      <c r="AK362" s="310">
        <v>0.6016456</v>
      </c>
      <c r="AL362" s="310">
        <v>0.54593380000000002</v>
      </c>
      <c r="AM362" s="310">
        <v>0.58833219999999997</v>
      </c>
      <c r="AN362" s="310">
        <v>0.61482409999999998</v>
      </c>
      <c r="AO362" s="310">
        <v>0.60948519999999995</v>
      </c>
      <c r="AP362" s="310">
        <v>0.60055329999999996</v>
      </c>
      <c r="AQ362" s="310">
        <v>0.59674260000000001</v>
      </c>
      <c r="AR362" s="310">
        <v>0.58154899999999998</v>
      </c>
      <c r="AS362" s="310">
        <v>0.61140969999999994</v>
      </c>
      <c r="AT362" s="310">
        <v>0.59481110000000004</v>
      </c>
      <c r="AU362" s="310">
        <v>0.62130680000000005</v>
      </c>
      <c r="AV362" s="310">
        <v>0.61997919999999995</v>
      </c>
      <c r="AW362" s="310">
        <v>0.57701650000000004</v>
      </c>
      <c r="AX362" s="310">
        <v>0.59142320000000004</v>
      </c>
      <c r="AY362" s="310">
        <v>0.59411919999999996</v>
      </c>
      <c r="AZ362" s="310">
        <v>0.60500310000000002</v>
      </c>
      <c r="BA362" s="310">
        <v>0.56615360000000003</v>
      </c>
      <c r="BB362" s="310">
        <v>0.61141789999999996</v>
      </c>
      <c r="BC362" s="310">
        <v>0.60102610000000001</v>
      </c>
      <c r="BD362" s="310">
        <v>0.60580100000000003</v>
      </c>
      <c r="BE362" s="310">
        <v>0.61382570000000003</v>
      </c>
      <c r="BF362" s="310">
        <v>0.60854569999999997</v>
      </c>
      <c r="BG362" s="310">
        <v>0.61867079999999997</v>
      </c>
      <c r="BH362" s="310">
        <v>0.595638</v>
      </c>
      <c r="BI362" s="310">
        <v>0.62046999999999997</v>
      </c>
      <c r="BJ362" s="310">
        <v>0.61953709999999995</v>
      </c>
      <c r="BK362" s="310">
        <v>0.6202607</v>
      </c>
    </row>
    <row r="363" spans="1:63" x14ac:dyDescent="0.25">
      <c r="A363" s="306">
        <v>550000</v>
      </c>
      <c r="B363" s="310" t="s">
        <v>320</v>
      </c>
      <c r="C363" s="310">
        <v>0.41300910000000002</v>
      </c>
      <c r="D363" s="310">
        <v>0.41303069999999997</v>
      </c>
      <c r="E363" s="310">
        <v>0.41039150000000002</v>
      </c>
      <c r="F363" s="310">
        <v>0.39639790000000003</v>
      </c>
      <c r="G363" s="310">
        <v>0.40677570000000002</v>
      </c>
      <c r="H363" s="310">
        <v>0.41011120000000001</v>
      </c>
      <c r="I363" s="310">
        <v>0.41299000000000002</v>
      </c>
      <c r="J363" s="310">
        <v>0.39530169999999998</v>
      </c>
      <c r="K363" s="310">
        <v>7.1578100000000006E-2</v>
      </c>
      <c r="L363" s="310">
        <v>0.30474709999999999</v>
      </c>
      <c r="M363" s="310">
        <v>0.4126225</v>
      </c>
      <c r="N363" s="310">
        <v>0.39832289999999998</v>
      </c>
      <c r="O363" s="310">
        <v>0.41301209999999999</v>
      </c>
      <c r="P363" s="310">
        <v>0.3918391</v>
      </c>
      <c r="Q363" s="310">
        <v>0.41101799999999999</v>
      </c>
      <c r="R363" s="310">
        <v>0.39958690000000002</v>
      </c>
      <c r="S363" s="310">
        <v>0.37507030000000002</v>
      </c>
      <c r="T363" s="310">
        <v>0.38398290000000002</v>
      </c>
      <c r="U363" s="310">
        <v>0.3710389</v>
      </c>
      <c r="V363" s="310">
        <v>0.41303289999999998</v>
      </c>
      <c r="W363" s="310">
        <v>0.39413350000000003</v>
      </c>
      <c r="X363" s="310">
        <v>0.36060540000000002</v>
      </c>
      <c r="Y363" s="310">
        <v>0.41301909999999997</v>
      </c>
      <c r="Z363" s="310">
        <v>0.39501019999999998</v>
      </c>
      <c r="AA363" s="310">
        <v>0.40079930000000002</v>
      </c>
      <c r="AB363" s="310">
        <v>0.36994919999999998</v>
      </c>
      <c r="AC363" s="310">
        <v>0.40442689999999998</v>
      </c>
      <c r="AD363" s="310">
        <v>0.41300530000000002</v>
      </c>
      <c r="AE363" s="310">
        <v>0.40039350000000001</v>
      </c>
      <c r="AF363" s="310">
        <v>0.40129280000000001</v>
      </c>
      <c r="AG363" s="310">
        <v>0.38870130000000003</v>
      </c>
      <c r="AH363" s="310">
        <v>0.33559299999999997</v>
      </c>
      <c r="AI363" s="310">
        <v>0.35909289999999999</v>
      </c>
      <c r="AJ363" s="310">
        <v>0.41298030000000002</v>
      </c>
      <c r="AK363" s="310">
        <v>0.4130105</v>
      </c>
      <c r="AL363" s="310">
        <v>0.2980816</v>
      </c>
      <c r="AM363" s="310">
        <v>0.39678279999999999</v>
      </c>
      <c r="AN363" s="310">
        <v>0.40108270000000001</v>
      </c>
      <c r="AO363" s="310">
        <v>0.39315240000000001</v>
      </c>
      <c r="AP363" s="310">
        <v>0.39844439999999998</v>
      </c>
      <c r="AQ363" s="310">
        <v>0.35686610000000002</v>
      </c>
      <c r="AR363" s="310">
        <v>0.39858359999999998</v>
      </c>
      <c r="AS363" s="310">
        <v>0.34322580000000003</v>
      </c>
      <c r="AT363" s="310">
        <v>0.39423520000000001</v>
      </c>
      <c r="AU363" s="310">
        <v>0.40661269999999999</v>
      </c>
      <c r="AV363" s="310">
        <v>0.41300619999999999</v>
      </c>
      <c r="AW363" s="310">
        <v>0.36766759999999998</v>
      </c>
      <c r="AX363" s="310">
        <v>0.41053230000000002</v>
      </c>
      <c r="AY363" s="310">
        <v>0.3775541</v>
      </c>
      <c r="AZ363" s="310">
        <v>0.39921990000000002</v>
      </c>
      <c r="BA363" s="310">
        <v>0.39063690000000001</v>
      </c>
      <c r="BB363" s="310">
        <v>0.41297080000000003</v>
      </c>
      <c r="BC363" s="310">
        <v>0.40833940000000002</v>
      </c>
      <c r="BD363" s="310">
        <v>0.38465310000000003</v>
      </c>
      <c r="BE363" s="310">
        <v>0.40642539999999999</v>
      </c>
      <c r="BF363" s="310">
        <v>0.40139910000000001</v>
      </c>
      <c r="BG363" s="310">
        <v>0.40554879999999999</v>
      </c>
      <c r="BH363" s="310">
        <v>0.39690920000000002</v>
      </c>
      <c r="BI363" s="310">
        <v>0.40692929999999999</v>
      </c>
      <c r="BJ363" s="310">
        <v>0.41152689999999997</v>
      </c>
      <c r="BK363" s="310">
        <v>0.40826449999999997</v>
      </c>
    </row>
    <row r="364" spans="1:63" x14ac:dyDescent="0.25">
      <c r="A364" s="306">
        <v>561100</v>
      </c>
      <c r="B364" s="310" t="s">
        <v>323</v>
      </c>
      <c r="C364" s="310">
        <v>0.49266549999999998</v>
      </c>
      <c r="D364" s="310">
        <v>0.47876049999999998</v>
      </c>
      <c r="E364" s="310">
        <v>0.4810798</v>
      </c>
      <c r="F364" s="310">
        <v>0.4706921</v>
      </c>
      <c r="G364" s="310">
        <v>0.48685129999999999</v>
      </c>
      <c r="H364" s="310">
        <v>0.49020190000000002</v>
      </c>
      <c r="I364" s="310">
        <v>0.48871340000000002</v>
      </c>
      <c r="J364" s="310">
        <v>0.4600708</v>
      </c>
      <c r="K364" s="310">
        <v>0.16810420000000001</v>
      </c>
      <c r="L364" s="310">
        <v>0.39460400000000001</v>
      </c>
      <c r="M364" s="310">
        <v>0.48964099999999999</v>
      </c>
      <c r="N364" s="310">
        <v>0.48096840000000002</v>
      </c>
      <c r="O364" s="310">
        <v>0.49111660000000001</v>
      </c>
      <c r="P364" s="310">
        <v>0.46188839999999998</v>
      </c>
      <c r="Q364" s="310">
        <v>0.48012470000000002</v>
      </c>
      <c r="R364" s="310">
        <v>0.47675790000000001</v>
      </c>
      <c r="S364" s="310">
        <v>0.47539920000000002</v>
      </c>
      <c r="T364" s="310">
        <v>0.42957859999999998</v>
      </c>
      <c r="U364" s="310">
        <v>0.45167259999999998</v>
      </c>
      <c r="V364" s="310">
        <v>0.48318139999999998</v>
      </c>
      <c r="W364" s="310">
        <v>0.46180349999999998</v>
      </c>
      <c r="X364" s="310">
        <v>0.4490941</v>
      </c>
      <c r="Y364" s="310">
        <v>0.48204799999999998</v>
      </c>
      <c r="Z364" s="310">
        <v>0.48746889999999998</v>
      </c>
      <c r="AA364" s="310">
        <v>0.48230529999999999</v>
      </c>
      <c r="AB364" s="310">
        <v>0.43958429999999998</v>
      </c>
      <c r="AC364" s="310">
        <v>0.46837269999999998</v>
      </c>
      <c r="AD364" s="310">
        <v>0.4830795</v>
      </c>
      <c r="AE364" s="310">
        <v>0.47741020000000001</v>
      </c>
      <c r="AF364" s="310">
        <v>0.45117760000000001</v>
      </c>
      <c r="AG364" s="310">
        <v>0.46421059999999997</v>
      </c>
      <c r="AH364" s="310">
        <v>0.44657639999999998</v>
      </c>
      <c r="AI364" s="310">
        <v>0.45024710000000001</v>
      </c>
      <c r="AJ364" s="310">
        <v>0.48593409999999998</v>
      </c>
      <c r="AK364" s="310">
        <v>0.48379840000000002</v>
      </c>
      <c r="AL364" s="310">
        <v>0.45061109999999999</v>
      </c>
      <c r="AM364" s="310">
        <v>0.47354659999999998</v>
      </c>
      <c r="AN364" s="310">
        <v>0.48794310000000002</v>
      </c>
      <c r="AO364" s="310">
        <v>0.47013339999999998</v>
      </c>
      <c r="AP364" s="310">
        <v>0.46366259999999998</v>
      </c>
      <c r="AQ364" s="310">
        <v>0.44775769999999998</v>
      </c>
      <c r="AR364" s="310">
        <v>0.46372340000000001</v>
      </c>
      <c r="AS364" s="310">
        <v>0.47195219999999999</v>
      </c>
      <c r="AT364" s="310">
        <v>0.4670784</v>
      </c>
      <c r="AU364" s="310">
        <v>0.48820609999999998</v>
      </c>
      <c r="AV364" s="310">
        <v>0.48356519999999997</v>
      </c>
      <c r="AW364" s="310">
        <v>0.44425870000000001</v>
      </c>
      <c r="AX364" s="310">
        <v>0.46503499999999998</v>
      </c>
      <c r="AY364" s="310">
        <v>0.48565609999999998</v>
      </c>
      <c r="AZ364" s="310">
        <v>0.48402669999999998</v>
      </c>
      <c r="BA364" s="310">
        <v>0.44377899999999998</v>
      </c>
      <c r="BB364" s="310">
        <v>0.46913690000000002</v>
      </c>
      <c r="BC364" s="310">
        <v>0.4837765</v>
      </c>
      <c r="BD364" s="310">
        <v>0.48506189999999999</v>
      </c>
      <c r="BE364" s="310">
        <v>0.48588629999999999</v>
      </c>
      <c r="BF364" s="310">
        <v>0.47795989999999999</v>
      </c>
      <c r="BG364" s="310">
        <v>0.48765839999999999</v>
      </c>
      <c r="BH364" s="310">
        <v>0.47587560000000001</v>
      </c>
      <c r="BI364" s="310">
        <v>0.48858649999999998</v>
      </c>
      <c r="BJ364" s="310">
        <v>0.48890080000000002</v>
      </c>
      <c r="BK364" s="310">
        <v>0.49054769999999998</v>
      </c>
    </row>
    <row r="365" spans="1:63" x14ac:dyDescent="0.25">
      <c r="A365" s="306">
        <v>561200</v>
      </c>
      <c r="B365" s="310" t="s">
        <v>324</v>
      </c>
      <c r="C365" s="310">
        <v>0.3824688</v>
      </c>
      <c r="D365" s="310">
        <v>0.37173200000000001</v>
      </c>
      <c r="E365" s="310">
        <v>0.37344490000000002</v>
      </c>
      <c r="F365" s="310">
        <v>0.36544979999999999</v>
      </c>
      <c r="G365" s="310">
        <v>0.3779827</v>
      </c>
      <c r="H365" s="310">
        <v>0.38057809999999997</v>
      </c>
      <c r="I365" s="310">
        <v>0.37938369999999999</v>
      </c>
      <c r="J365" s="310">
        <v>0.35717349999999998</v>
      </c>
      <c r="K365" s="310">
        <v>0.13048190000000001</v>
      </c>
      <c r="L365" s="310">
        <v>0.30630370000000001</v>
      </c>
      <c r="M365" s="310">
        <v>0.38012790000000002</v>
      </c>
      <c r="N365" s="310">
        <v>0.37340099999999998</v>
      </c>
      <c r="O365" s="310">
        <v>0.38122850000000003</v>
      </c>
      <c r="P365" s="310">
        <v>0.35860769999999997</v>
      </c>
      <c r="Q365" s="310">
        <v>0.37276239999999999</v>
      </c>
      <c r="R365" s="310">
        <v>0.37014819999999998</v>
      </c>
      <c r="S365" s="310">
        <v>0.36909229999999998</v>
      </c>
      <c r="T365" s="310">
        <v>0.33350839999999998</v>
      </c>
      <c r="U365" s="310">
        <v>0.35069420000000001</v>
      </c>
      <c r="V365" s="310">
        <v>0.37507449999999998</v>
      </c>
      <c r="W365" s="310">
        <v>0.3585469</v>
      </c>
      <c r="X365" s="310">
        <v>0.34862959999999998</v>
      </c>
      <c r="Y365" s="310">
        <v>0.37419989999999997</v>
      </c>
      <c r="Z365" s="310">
        <v>0.37846350000000001</v>
      </c>
      <c r="AA365" s="310">
        <v>0.37443900000000002</v>
      </c>
      <c r="AB365" s="310">
        <v>0.34130729999999998</v>
      </c>
      <c r="AC365" s="310">
        <v>0.363651</v>
      </c>
      <c r="AD365" s="310">
        <v>0.37501000000000001</v>
      </c>
      <c r="AE365" s="310">
        <v>0.37062990000000001</v>
      </c>
      <c r="AF365" s="310">
        <v>0.35025689999999998</v>
      </c>
      <c r="AG365" s="310">
        <v>0.3603732</v>
      </c>
      <c r="AH365" s="310">
        <v>0.34668090000000001</v>
      </c>
      <c r="AI365" s="310">
        <v>0.3495608</v>
      </c>
      <c r="AJ365" s="310">
        <v>0.37727339999999998</v>
      </c>
      <c r="AK365" s="310">
        <v>0.37561119999999998</v>
      </c>
      <c r="AL365" s="310">
        <v>0.3498445</v>
      </c>
      <c r="AM365" s="310">
        <v>0.36759839999999999</v>
      </c>
      <c r="AN365" s="310">
        <v>0.37880920000000001</v>
      </c>
      <c r="AO365" s="310">
        <v>0.36496400000000001</v>
      </c>
      <c r="AP365" s="310">
        <v>0.3599696</v>
      </c>
      <c r="AQ365" s="310">
        <v>0.34759960000000001</v>
      </c>
      <c r="AR365" s="310">
        <v>0.36002010000000001</v>
      </c>
      <c r="AS365" s="310">
        <v>0.36631940000000002</v>
      </c>
      <c r="AT365" s="310">
        <v>0.36263970000000001</v>
      </c>
      <c r="AU365" s="310">
        <v>0.37904480000000002</v>
      </c>
      <c r="AV365" s="310">
        <v>0.37538680000000002</v>
      </c>
      <c r="AW365" s="310">
        <v>0.34490140000000002</v>
      </c>
      <c r="AX365" s="310">
        <v>0.36098530000000001</v>
      </c>
      <c r="AY365" s="310">
        <v>0.37704199999999999</v>
      </c>
      <c r="AZ365" s="310">
        <v>0.37581059999999999</v>
      </c>
      <c r="BA365" s="310">
        <v>0.34451199999999998</v>
      </c>
      <c r="BB365" s="310">
        <v>0.36428870000000002</v>
      </c>
      <c r="BC365" s="310">
        <v>0.37555549999999999</v>
      </c>
      <c r="BD365" s="310">
        <v>0.37653940000000002</v>
      </c>
      <c r="BE365" s="310">
        <v>0.37723980000000001</v>
      </c>
      <c r="BF365" s="310">
        <v>0.37107479999999998</v>
      </c>
      <c r="BG365" s="310">
        <v>0.37856859999999998</v>
      </c>
      <c r="BH365" s="310">
        <v>0.36942439999999999</v>
      </c>
      <c r="BI365" s="310">
        <v>0.37927050000000001</v>
      </c>
      <c r="BJ365" s="310">
        <v>0.37957020000000002</v>
      </c>
      <c r="BK365" s="310">
        <v>0.3807893</v>
      </c>
    </row>
    <row r="366" spans="1:63" x14ac:dyDescent="0.25">
      <c r="A366" s="306">
        <v>561300</v>
      </c>
      <c r="B366" s="310" t="s">
        <v>321</v>
      </c>
      <c r="C366" s="310">
        <v>0.62444730000000004</v>
      </c>
      <c r="D366" s="310">
        <v>0.60682800000000003</v>
      </c>
      <c r="E366" s="310">
        <v>0.60966849999999995</v>
      </c>
      <c r="F366" s="310">
        <v>0.59662230000000005</v>
      </c>
      <c r="G366" s="310">
        <v>0.6169772</v>
      </c>
      <c r="H366" s="310">
        <v>0.62121340000000003</v>
      </c>
      <c r="I366" s="310">
        <v>0.6193668</v>
      </c>
      <c r="J366" s="310">
        <v>0.58311650000000004</v>
      </c>
      <c r="K366" s="310">
        <v>0.2130051</v>
      </c>
      <c r="L366" s="310">
        <v>0.5</v>
      </c>
      <c r="M366" s="310">
        <v>0.6204771</v>
      </c>
      <c r="N366" s="310">
        <v>0.60958599999999996</v>
      </c>
      <c r="O366" s="310">
        <v>0.62238139999999997</v>
      </c>
      <c r="P366" s="310">
        <v>0.58540709999999996</v>
      </c>
      <c r="Q366" s="310">
        <v>0.60851029999999995</v>
      </c>
      <c r="R366" s="310">
        <v>0.60421789999999997</v>
      </c>
      <c r="S366" s="310">
        <v>0.60251010000000005</v>
      </c>
      <c r="T366" s="310">
        <v>0.54450980000000004</v>
      </c>
      <c r="U366" s="310">
        <v>0.57245650000000003</v>
      </c>
      <c r="V366" s="310">
        <v>0.61231749999999996</v>
      </c>
      <c r="W366" s="310">
        <v>0.58525139999999998</v>
      </c>
      <c r="X366" s="310">
        <v>0.56918939999999996</v>
      </c>
      <c r="Y366" s="310">
        <v>0.61090279999999997</v>
      </c>
      <c r="Z366" s="310">
        <v>0.61780809999999997</v>
      </c>
      <c r="AA366" s="310">
        <v>0.6112109</v>
      </c>
      <c r="AB366" s="310">
        <v>0.55716589999999999</v>
      </c>
      <c r="AC366" s="310">
        <v>0.59358690000000003</v>
      </c>
      <c r="AD366" s="310">
        <v>0.61222960000000004</v>
      </c>
      <c r="AE366" s="310">
        <v>0.60502160000000005</v>
      </c>
      <c r="AF366" s="310">
        <v>0.57182140000000004</v>
      </c>
      <c r="AG366" s="310">
        <v>0.58832249999999997</v>
      </c>
      <c r="AH366" s="310">
        <v>0.5660191</v>
      </c>
      <c r="AI366" s="310">
        <v>0.57057429999999998</v>
      </c>
      <c r="AJ366" s="310">
        <v>0.61583960000000004</v>
      </c>
      <c r="AK366" s="310">
        <v>0.61315520000000001</v>
      </c>
      <c r="AL366" s="310">
        <v>0.5710054</v>
      </c>
      <c r="AM366" s="310">
        <v>0.6001071</v>
      </c>
      <c r="AN366" s="310">
        <v>0.61839100000000002</v>
      </c>
      <c r="AO366" s="310">
        <v>0.59575999999999996</v>
      </c>
      <c r="AP366" s="310">
        <v>0.58764899999999998</v>
      </c>
      <c r="AQ366" s="310">
        <v>0.56754309999999997</v>
      </c>
      <c r="AR366" s="310">
        <v>0.58768500000000001</v>
      </c>
      <c r="AS366" s="310">
        <v>0.59799619999999998</v>
      </c>
      <c r="AT366" s="310">
        <v>0.59193589999999996</v>
      </c>
      <c r="AU366" s="310">
        <v>0.61876779999999998</v>
      </c>
      <c r="AV366" s="310">
        <v>0.61284300000000003</v>
      </c>
      <c r="AW366" s="310">
        <v>0.56304909999999997</v>
      </c>
      <c r="AX366" s="310">
        <v>0.58939589999999997</v>
      </c>
      <c r="AY366" s="310">
        <v>0.61555090000000001</v>
      </c>
      <c r="AZ366" s="310">
        <v>0.6134484</v>
      </c>
      <c r="BA366" s="310">
        <v>0.56237179999999998</v>
      </c>
      <c r="BB366" s="310">
        <v>0.59456379999999998</v>
      </c>
      <c r="BC366" s="310">
        <v>0.61314060000000004</v>
      </c>
      <c r="BD366" s="310">
        <v>0.6147397</v>
      </c>
      <c r="BE366" s="310">
        <v>0.61579410000000001</v>
      </c>
      <c r="BF366" s="310">
        <v>0.60574839999999996</v>
      </c>
      <c r="BG366" s="310">
        <v>0.6180042</v>
      </c>
      <c r="BH366" s="310">
        <v>0.6031012</v>
      </c>
      <c r="BI366" s="310">
        <v>0.61920059999999999</v>
      </c>
      <c r="BJ366" s="310">
        <v>0.61964059999999999</v>
      </c>
      <c r="BK366" s="310">
        <v>0.62164549999999996</v>
      </c>
    </row>
    <row r="367" spans="1:63" x14ac:dyDescent="0.25">
      <c r="A367" s="306">
        <v>561400</v>
      </c>
      <c r="B367" s="310" t="s">
        <v>325</v>
      </c>
      <c r="C367" s="310">
        <v>0.36367870000000002</v>
      </c>
      <c r="D367" s="310">
        <v>0.35343439999999998</v>
      </c>
      <c r="E367" s="310">
        <v>0.35508800000000001</v>
      </c>
      <c r="F367" s="310">
        <v>0.34749760000000002</v>
      </c>
      <c r="G367" s="310">
        <v>0.35935790000000001</v>
      </c>
      <c r="H367" s="310">
        <v>0.36181960000000002</v>
      </c>
      <c r="I367" s="310">
        <v>0.36070400000000002</v>
      </c>
      <c r="J367" s="310">
        <v>0.33961160000000001</v>
      </c>
      <c r="K367" s="310">
        <v>0.1240217</v>
      </c>
      <c r="L367" s="310">
        <v>0.2912497</v>
      </c>
      <c r="M367" s="310">
        <v>0.36142859999999999</v>
      </c>
      <c r="N367" s="310">
        <v>0.35499969999999997</v>
      </c>
      <c r="O367" s="310">
        <v>0.3624849</v>
      </c>
      <c r="P367" s="310">
        <v>0.34098679999999998</v>
      </c>
      <c r="Q367" s="310">
        <v>0.35439999999999999</v>
      </c>
      <c r="R367" s="310">
        <v>0.35189280000000001</v>
      </c>
      <c r="S367" s="310">
        <v>0.35089710000000002</v>
      </c>
      <c r="T367" s="310">
        <v>0.31709569999999998</v>
      </c>
      <c r="U367" s="310">
        <v>0.3334087</v>
      </c>
      <c r="V367" s="310">
        <v>0.35665449999999999</v>
      </c>
      <c r="W367" s="310">
        <v>0.34091719999999998</v>
      </c>
      <c r="X367" s="310">
        <v>0.33150550000000001</v>
      </c>
      <c r="Y367" s="310">
        <v>0.35574339999999999</v>
      </c>
      <c r="Z367" s="310">
        <v>0.3598305</v>
      </c>
      <c r="AA367" s="310">
        <v>0.35596339999999999</v>
      </c>
      <c r="AB367" s="310">
        <v>0.32445770000000002</v>
      </c>
      <c r="AC367" s="310">
        <v>0.34572849999999999</v>
      </c>
      <c r="AD367" s="310">
        <v>0.35656300000000002</v>
      </c>
      <c r="AE367" s="310">
        <v>0.3523985</v>
      </c>
      <c r="AF367" s="310">
        <v>0.33302130000000002</v>
      </c>
      <c r="AG367" s="310">
        <v>0.34265960000000001</v>
      </c>
      <c r="AH367" s="310">
        <v>0.3296848</v>
      </c>
      <c r="AI367" s="310">
        <v>0.33234439999999998</v>
      </c>
      <c r="AJ367" s="310">
        <v>0.35872690000000002</v>
      </c>
      <c r="AK367" s="310">
        <v>0.35712110000000002</v>
      </c>
      <c r="AL367" s="310">
        <v>0.33257589999999998</v>
      </c>
      <c r="AM367" s="310">
        <v>0.3494874</v>
      </c>
      <c r="AN367" s="310">
        <v>0.3601625</v>
      </c>
      <c r="AO367" s="310">
        <v>0.34705320000000001</v>
      </c>
      <c r="AP367" s="310">
        <v>0.34227039999999997</v>
      </c>
      <c r="AQ367" s="310">
        <v>0.33053450000000001</v>
      </c>
      <c r="AR367" s="310">
        <v>0.34230120000000003</v>
      </c>
      <c r="AS367" s="310">
        <v>0.3482924</v>
      </c>
      <c r="AT367" s="310">
        <v>0.34477760000000002</v>
      </c>
      <c r="AU367" s="310">
        <v>0.36039080000000001</v>
      </c>
      <c r="AV367" s="310">
        <v>0.3569542</v>
      </c>
      <c r="AW367" s="310">
        <v>0.32788980000000001</v>
      </c>
      <c r="AX367" s="310">
        <v>0.34324919999999998</v>
      </c>
      <c r="AY367" s="310">
        <v>0.35849330000000001</v>
      </c>
      <c r="AZ367" s="310">
        <v>0.35728949999999998</v>
      </c>
      <c r="BA367" s="310">
        <v>0.32760830000000002</v>
      </c>
      <c r="BB367" s="310">
        <v>0.34630349999999999</v>
      </c>
      <c r="BC367" s="310">
        <v>0.35708699999999999</v>
      </c>
      <c r="BD367" s="310">
        <v>0.35802469999999997</v>
      </c>
      <c r="BE367" s="310">
        <v>0.35867569999999999</v>
      </c>
      <c r="BF367" s="310">
        <v>0.35281820000000003</v>
      </c>
      <c r="BG367" s="310">
        <v>0.35995860000000002</v>
      </c>
      <c r="BH367" s="310">
        <v>0.35124759999999999</v>
      </c>
      <c r="BI367" s="310">
        <v>0.36058849999999998</v>
      </c>
      <c r="BJ367" s="310">
        <v>0.36089579999999999</v>
      </c>
      <c r="BK367" s="310">
        <v>0.36208699999999999</v>
      </c>
    </row>
    <row r="368" spans="1:63" x14ac:dyDescent="0.25">
      <c r="A368" s="306">
        <v>561500</v>
      </c>
      <c r="B368" s="310" t="s">
        <v>322</v>
      </c>
      <c r="C368" s="310">
        <v>0.35735410000000001</v>
      </c>
      <c r="D368" s="310">
        <v>0.34728769999999998</v>
      </c>
      <c r="E368" s="310">
        <v>0.34891559999999999</v>
      </c>
      <c r="F368" s="310">
        <v>0.34139170000000002</v>
      </c>
      <c r="G368" s="310">
        <v>0.35308329999999999</v>
      </c>
      <c r="H368" s="310">
        <v>0.35551630000000001</v>
      </c>
      <c r="I368" s="310">
        <v>0.354458</v>
      </c>
      <c r="J368" s="310">
        <v>0.3336924</v>
      </c>
      <c r="K368" s="310">
        <v>0.1218627</v>
      </c>
      <c r="L368" s="310">
        <v>0.286159</v>
      </c>
      <c r="M368" s="310">
        <v>0.35508689999999998</v>
      </c>
      <c r="N368" s="310">
        <v>0.34885939999999999</v>
      </c>
      <c r="O368" s="310">
        <v>0.35619240000000002</v>
      </c>
      <c r="P368" s="310">
        <v>0.33502209999999999</v>
      </c>
      <c r="Q368" s="310">
        <v>0.34819919999999999</v>
      </c>
      <c r="R368" s="310">
        <v>0.34575470000000003</v>
      </c>
      <c r="S368" s="310">
        <v>0.34476509999999999</v>
      </c>
      <c r="T368" s="310">
        <v>0.31158190000000002</v>
      </c>
      <c r="U368" s="310">
        <v>0.32757839999999999</v>
      </c>
      <c r="V368" s="310">
        <v>0.35038520000000001</v>
      </c>
      <c r="W368" s="310">
        <v>0.33493220000000001</v>
      </c>
      <c r="X368" s="310">
        <v>0.32569619999999999</v>
      </c>
      <c r="Y368" s="310">
        <v>0.34961189999999998</v>
      </c>
      <c r="Z368" s="310">
        <v>0.35353610000000002</v>
      </c>
      <c r="AA368" s="310">
        <v>0.3498251</v>
      </c>
      <c r="AB368" s="310">
        <v>0.31884879999999999</v>
      </c>
      <c r="AC368" s="310">
        <v>0.33969769999999999</v>
      </c>
      <c r="AD368" s="310">
        <v>0.35035149999999998</v>
      </c>
      <c r="AE368" s="310">
        <v>0.34624709999999997</v>
      </c>
      <c r="AF368" s="310">
        <v>0.3272043</v>
      </c>
      <c r="AG368" s="310">
        <v>0.33664149999999998</v>
      </c>
      <c r="AH368" s="310">
        <v>0.32388450000000002</v>
      </c>
      <c r="AI368" s="310">
        <v>0.32650839999999998</v>
      </c>
      <c r="AJ368" s="310">
        <v>0.35247790000000001</v>
      </c>
      <c r="AK368" s="310">
        <v>0.35088249999999999</v>
      </c>
      <c r="AL368" s="310">
        <v>0.32677640000000002</v>
      </c>
      <c r="AM368" s="310">
        <v>0.34341840000000001</v>
      </c>
      <c r="AN368" s="310">
        <v>0.35389169999999998</v>
      </c>
      <c r="AO368" s="310">
        <v>0.3409934</v>
      </c>
      <c r="AP368" s="310">
        <v>0.3362579</v>
      </c>
      <c r="AQ368" s="310">
        <v>0.32473580000000002</v>
      </c>
      <c r="AR368" s="310">
        <v>0.3363391</v>
      </c>
      <c r="AS368" s="310">
        <v>0.3422248</v>
      </c>
      <c r="AT368" s="310">
        <v>0.33874789999999999</v>
      </c>
      <c r="AU368" s="310">
        <v>0.354097</v>
      </c>
      <c r="AV368" s="310">
        <v>0.35071059999999998</v>
      </c>
      <c r="AW368" s="310">
        <v>0.32218780000000002</v>
      </c>
      <c r="AX368" s="310">
        <v>0.33728079999999999</v>
      </c>
      <c r="AY368" s="310">
        <v>0.35224030000000001</v>
      </c>
      <c r="AZ368" s="310">
        <v>0.35104629999999998</v>
      </c>
      <c r="BA368" s="310">
        <v>0.32188670000000003</v>
      </c>
      <c r="BB368" s="310">
        <v>0.34026960000000001</v>
      </c>
      <c r="BC368" s="310">
        <v>0.35083950000000003</v>
      </c>
      <c r="BD368" s="310">
        <v>0.35176960000000002</v>
      </c>
      <c r="BE368" s="310">
        <v>0.35238619999999998</v>
      </c>
      <c r="BF368" s="310">
        <v>0.34665109999999999</v>
      </c>
      <c r="BG368" s="310">
        <v>0.35367589999999999</v>
      </c>
      <c r="BH368" s="310">
        <v>0.34517429999999999</v>
      </c>
      <c r="BI368" s="310">
        <v>0.35434019999999999</v>
      </c>
      <c r="BJ368" s="310">
        <v>0.35458450000000002</v>
      </c>
      <c r="BK368" s="310">
        <v>0.35573850000000001</v>
      </c>
    </row>
    <row r="369" spans="1:63" x14ac:dyDescent="0.25">
      <c r="A369" s="306">
        <v>561600</v>
      </c>
      <c r="B369" s="310" t="s">
        <v>326</v>
      </c>
      <c r="C369" s="310">
        <v>0.53449089999999999</v>
      </c>
      <c r="D369" s="310">
        <v>0.51940920000000002</v>
      </c>
      <c r="E369" s="310">
        <v>0.52187450000000002</v>
      </c>
      <c r="F369" s="310">
        <v>0.51068530000000001</v>
      </c>
      <c r="G369" s="310">
        <v>0.52819039999999995</v>
      </c>
      <c r="H369" s="310">
        <v>0.53173119999999996</v>
      </c>
      <c r="I369" s="310">
        <v>0.53014890000000003</v>
      </c>
      <c r="J369" s="310">
        <v>0.49912240000000002</v>
      </c>
      <c r="K369" s="310">
        <v>0.18233240000000001</v>
      </c>
      <c r="L369" s="310">
        <v>0.4280563</v>
      </c>
      <c r="M369" s="310">
        <v>0.5311536</v>
      </c>
      <c r="N369" s="310">
        <v>0.52180300000000002</v>
      </c>
      <c r="O369" s="310">
        <v>0.53272810000000004</v>
      </c>
      <c r="P369" s="310">
        <v>0.50107590000000002</v>
      </c>
      <c r="Q369" s="310">
        <v>0.52087050000000001</v>
      </c>
      <c r="R369" s="310">
        <v>0.51718850000000005</v>
      </c>
      <c r="S369" s="310">
        <v>0.5157967</v>
      </c>
      <c r="T369" s="310">
        <v>0.46606690000000001</v>
      </c>
      <c r="U369" s="310">
        <v>0.49004530000000002</v>
      </c>
      <c r="V369" s="310">
        <v>0.52417879999999994</v>
      </c>
      <c r="W369" s="310">
        <v>0.50102530000000001</v>
      </c>
      <c r="X369" s="310">
        <v>0.48717949999999999</v>
      </c>
      <c r="Y369" s="310">
        <v>0.52286290000000002</v>
      </c>
      <c r="Z369" s="310">
        <v>0.52881959999999995</v>
      </c>
      <c r="AA369" s="310">
        <v>0.52320809999999995</v>
      </c>
      <c r="AB369" s="310">
        <v>0.47690640000000001</v>
      </c>
      <c r="AC369" s="310">
        <v>0.50813370000000002</v>
      </c>
      <c r="AD369" s="310">
        <v>0.52404490000000004</v>
      </c>
      <c r="AE369" s="310">
        <v>0.51790080000000005</v>
      </c>
      <c r="AF369" s="310">
        <v>0.4895137</v>
      </c>
      <c r="AG369" s="310">
        <v>0.50365090000000001</v>
      </c>
      <c r="AH369" s="310">
        <v>0.48445640000000001</v>
      </c>
      <c r="AI369" s="310">
        <v>0.4884117</v>
      </c>
      <c r="AJ369" s="310">
        <v>0.52723739999999997</v>
      </c>
      <c r="AK369" s="310">
        <v>0.52488489999999999</v>
      </c>
      <c r="AL369" s="310">
        <v>0.48880849999999998</v>
      </c>
      <c r="AM369" s="310">
        <v>0.51372649999999997</v>
      </c>
      <c r="AN369" s="310">
        <v>0.52929470000000001</v>
      </c>
      <c r="AO369" s="310">
        <v>0.51003609999999999</v>
      </c>
      <c r="AP369" s="310">
        <v>0.50299249999999995</v>
      </c>
      <c r="AQ369" s="310">
        <v>0.485763</v>
      </c>
      <c r="AR369" s="310">
        <v>0.503104</v>
      </c>
      <c r="AS369" s="310">
        <v>0.51191129999999996</v>
      </c>
      <c r="AT369" s="310">
        <v>0.50670040000000005</v>
      </c>
      <c r="AU369" s="310">
        <v>0.52968150000000003</v>
      </c>
      <c r="AV369" s="310">
        <v>0.52464029999999995</v>
      </c>
      <c r="AW369" s="310">
        <v>0.48199950000000003</v>
      </c>
      <c r="AX369" s="310">
        <v>0.50448789999999999</v>
      </c>
      <c r="AY369" s="310">
        <v>0.52693800000000002</v>
      </c>
      <c r="AZ369" s="310">
        <v>0.52511330000000001</v>
      </c>
      <c r="BA369" s="310">
        <v>0.48150130000000002</v>
      </c>
      <c r="BB369" s="310">
        <v>0.50893679999999997</v>
      </c>
      <c r="BC369" s="310">
        <v>0.52487910000000004</v>
      </c>
      <c r="BD369" s="310">
        <v>0.52620889999999998</v>
      </c>
      <c r="BE369" s="310">
        <v>0.52710889999999999</v>
      </c>
      <c r="BF369" s="310">
        <v>0.51857169999999997</v>
      </c>
      <c r="BG369" s="310">
        <v>0.52907780000000004</v>
      </c>
      <c r="BH369" s="310">
        <v>0.51626570000000005</v>
      </c>
      <c r="BI369" s="310">
        <v>0.52999839999999998</v>
      </c>
      <c r="BJ369" s="310">
        <v>0.53043989999999996</v>
      </c>
      <c r="BK369" s="310">
        <v>0.53212800000000005</v>
      </c>
    </row>
    <row r="370" spans="1:63" x14ac:dyDescent="0.25">
      <c r="A370" s="306">
        <v>561700</v>
      </c>
      <c r="B370" s="310" t="s">
        <v>327</v>
      </c>
      <c r="C370" s="310">
        <v>0.36897079999999999</v>
      </c>
      <c r="D370" s="310">
        <v>0.35862450000000001</v>
      </c>
      <c r="E370" s="310">
        <v>0.36031489999999999</v>
      </c>
      <c r="F370" s="310">
        <v>0.35258430000000002</v>
      </c>
      <c r="G370" s="310">
        <v>0.36462689999999998</v>
      </c>
      <c r="H370" s="310">
        <v>0.36712080000000002</v>
      </c>
      <c r="I370" s="310">
        <v>0.36605090000000001</v>
      </c>
      <c r="J370" s="310">
        <v>0.34460669999999999</v>
      </c>
      <c r="K370" s="310">
        <v>0.1258927</v>
      </c>
      <c r="L370" s="310">
        <v>0.29551349999999998</v>
      </c>
      <c r="M370" s="310">
        <v>0.3667106</v>
      </c>
      <c r="N370" s="310">
        <v>0.3602533</v>
      </c>
      <c r="O370" s="310">
        <v>0.36783510000000003</v>
      </c>
      <c r="P370" s="310">
        <v>0.34596149999999998</v>
      </c>
      <c r="Q370" s="310">
        <v>0.3596163</v>
      </c>
      <c r="R370" s="310">
        <v>0.35704910000000001</v>
      </c>
      <c r="S370" s="310">
        <v>0.35608840000000003</v>
      </c>
      <c r="T370" s="310">
        <v>0.32171959999999999</v>
      </c>
      <c r="U370" s="310">
        <v>0.33830139999999997</v>
      </c>
      <c r="V370" s="310">
        <v>0.36187799999999998</v>
      </c>
      <c r="W370" s="310">
        <v>0.34584880000000001</v>
      </c>
      <c r="X370" s="310">
        <v>0.3363836</v>
      </c>
      <c r="Y370" s="310">
        <v>0.36097479999999998</v>
      </c>
      <c r="Z370" s="310">
        <v>0.36508639999999998</v>
      </c>
      <c r="AA370" s="310">
        <v>0.36122799999999999</v>
      </c>
      <c r="AB370" s="310">
        <v>0.32921869999999998</v>
      </c>
      <c r="AC370" s="310">
        <v>0.35082219999999997</v>
      </c>
      <c r="AD370" s="310">
        <v>0.36181459999999999</v>
      </c>
      <c r="AE370" s="310">
        <v>0.35753049999999997</v>
      </c>
      <c r="AF370" s="310">
        <v>0.33788899999999999</v>
      </c>
      <c r="AG370" s="310">
        <v>0.34766639999999999</v>
      </c>
      <c r="AH370" s="310">
        <v>0.33450049999999998</v>
      </c>
      <c r="AI370" s="310">
        <v>0.33722859999999999</v>
      </c>
      <c r="AJ370" s="310">
        <v>0.36394090000000001</v>
      </c>
      <c r="AK370" s="310">
        <v>0.36234379999999999</v>
      </c>
      <c r="AL370" s="310">
        <v>0.33747179999999999</v>
      </c>
      <c r="AM370" s="310">
        <v>0.35460740000000002</v>
      </c>
      <c r="AN370" s="310">
        <v>0.36546190000000001</v>
      </c>
      <c r="AO370" s="310">
        <v>0.35213830000000002</v>
      </c>
      <c r="AP370" s="310">
        <v>0.34729009999999999</v>
      </c>
      <c r="AQ370" s="310">
        <v>0.3353738</v>
      </c>
      <c r="AR370" s="310">
        <v>0.34729870000000002</v>
      </c>
      <c r="AS370" s="310">
        <v>0.35338799999999998</v>
      </c>
      <c r="AT370" s="310">
        <v>0.34984559999999998</v>
      </c>
      <c r="AU370" s="310">
        <v>0.36563909999999999</v>
      </c>
      <c r="AV370" s="310">
        <v>0.36219030000000002</v>
      </c>
      <c r="AW370" s="310">
        <v>0.33275080000000001</v>
      </c>
      <c r="AX370" s="310">
        <v>0.34830290000000003</v>
      </c>
      <c r="AY370" s="310">
        <v>0.36372300000000002</v>
      </c>
      <c r="AZ370" s="310">
        <v>0.36251830000000002</v>
      </c>
      <c r="BA370" s="310">
        <v>0.33233740000000001</v>
      </c>
      <c r="BB370" s="310">
        <v>0.35140860000000002</v>
      </c>
      <c r="BC370" s="310">
        <v>0.36235469999999997</v>
      </c>
      <c r="BD370" s="310">
        <v>0.36326960000000003</v>
      </c>
      <c r="BE370" s="310">
        <v>0.363925</v>
      </c>
      <c r="BF370" s="310">
        <v>0.35797030000000002</v>
      </c>
      <c r="BG370" s="310">
        <v>0.36522840000000001</v>
      </c>
      <c r="BH370" s="310">
        <v>0.35643710000000001</v>
      </c>
      <c r="BI370" s="310">
        <v>0.36588710000000002</v>
      </c>
      <c r="BJ370" s="310">
        <v>0.36618919999999999</v>
      </c>
      <c r="BK370" s="310">
        <v>0.3673961</v>
      </c>
    </row>
    <row r="371" spans="1:63" x14ac:dyDescent="0.25">
      <c r="A371" s="306">
        <v>561900</v>
      </c>
      <c r="B371" s="310" t="s">
        <v>328</v>
      </c>
      <c r="C371" s="310">
        <v>0.2768158</v>
      </c>
      <c r="D371" s="310">
        <v>0.26899810000000002</v>
      </c>
      <c r="E371" s="310">
        <v>0.27027410000000002</v>
      </c>
      <c r="F371" s="310">
        <v>0.26447019999999999</v>
      </c>
      <c r="G371" s="310">
        <v>0.27353250000000001</v>
      </c>
      <c r="H371" s="310">
        <v>0.27539599999999997</v>
      </c>
      <c r="I371" s="310">
        <v>0.27462730000000002</v>
      </c>
      <c r="J371" s="310">
        <v>0.25848949999999998</v>
      </c>
      <c r="K371" s="310">
        <v>9.4448299999999999E-2</v>
      </c>
      <c r="L371" s="310">
        <v>0.2216988</v>
      </c>
      <c r="M371" s="310">
        <v>0.27511089999999999</v>
      </c>
      <c r="N371" s="310">
        <v>0.27024789999999999</v>
      </c>
      <c r="O371" s="310">
        <v>0.27592410000000001</v>
      </c>
      <c r="P371" s="310">
        <v>0.25954080000000002</v>
      </c>
      <c r="Q371" s="310">
        <v>0.26979520000000001</v>
      </c>
      <c r="R371" s="310">
        <v>0.26789879999999999</v>
      </c>
      <c r="S371" s="310">
        <v>0.2670864</v>
      </c>
      <c r="T371" s="310">
        <v>0.2414094</v>
      </c>
      <c r="U371" s="310">
        <v>0.25380599999999998</v>
      </c>
      <c r="V371" s="310">
        <v>0.27146389999999998</v>
      </c>
      <c r="W371" s="310">
        <v>0.25949280000000002</v>
      </c>
      <c r="X371" s="310">
        <v>0.252355</v>
      </c>
      <c r="Y371" s="310">
        <v>0.27081080000000002</v>
      </c>
      <c r="Z371" s="310">
        <v>0.2739412</v>
      </c>
      <c r="AA371" s="310">
        <v>0.27097480000000002</v>
      </c>
      <c r="AB371" s="310">
        <v>0.2469904</v>
      </c>
      <c r="AC371" s="310">
        <v>0.26317000000000002</v>
      </c>
      <c r="AD371" s="310">
        <v>0.27138800000000002</v>
      </c>
      <c r="AE371" s="310">
        <v>0.26825759999999998</v>
      </c>
      <c r="AF371" s="310">
        <v>0.25347419999999998</v>
      </c>
      <c r="AG371" s="310">
        <v>0.26080039999999999</v>
      </c>
      <c r="AH371" s="310">
        <v>0.25095440000000002</v>
      </c>
      <c r="AI371" s="310">
        <v>0.2529652</v>
      </c>
      <c r="AJ371" s="310">
        <v>0.27306970000000003</v>
      </c>
      <c r="AK371" s="310">
        <v>0.27180480000000001</v>
      </c>
      <c r="AL371" s="310">
        <v>0.2531793</v>
      </c>
      <c r="AM371" s="310">
        <v>0.26605630000000002</v>
      </c>
      <c r="AN371" s="310">
        <v>0.27418090000000001</v>
      </c>
      <c r="AO371" s="310">
        <v>0.26416909999999999</v>
      </c>
      <c r="AP371" s="310">
        <v>0.26050640000000003</v>
      </c>
      <c r="AQ371" s="310">
        <v>0.25158370000000002</v>
      </c>
      <c r="AR371" s="310">
        <v>0.26057459999999999</v>
      </c>
      <c r="AS371" s="310">
        <v>0.26517619999999997</v>
      </c>
      <c r="AT371" s="310">
        <v>0.26242320000000002</v>
      </c>
      <c r="AU371" s="310">
        <v>0.2743409</v>
      </c>
      <c r="AV371" s="310">
        <v>0.27168199999999998</v>
      </c>
      <c r="AW371" s="310">
        <v>0.24960009999999999</v>
      </c>
      <c r="AX371" s="310">
        <v>0.26127529999999999</v>
      </c>
      <c r="AY371" s="310">
        <v>0.27290330000000002</v>
      </c>
      <c r="AZ371" s="310">
        <v>0.27195950000000002</v>
      </c>
      <c r="BA371" s="310">
        <v>0.24933649999999999</v>
      </c>
      <c r="BB371" s="310">
        <v>0.26366240000000002</v>
      </c>
      <c r="BC371" s="310">
        <v>0.27186369999999999</v>
      </c>
      <c r="BD371" s="310">
        <v>0.27255889999999999</v>
      </c>
      <c r="BE371" s="310">
        <v>0.27302650000000001</v>
      </c>
      <c r="BF371" s="310">
        <v>0.26859680000000002</v>
      </c>
      <c r="BG371" s="310">
        <v>0.27398309999999998</v>
      </c>
      <c r="BH371" s="310">
        <v>0.2673739</v>
      </c>
      <c r="BI371" s="310">
        <v>0.27453820000000001</v>
      </c>
      <c r="BJ371" s="310">
        <v>0.27469100000000002</v>
      </c>
      <c r="BK371" s="310">
        <v>0.27559660000000002</v>
      </c>
    </row>
    <row r="372" spans="1:63" x14ac:dyDescent="0.25">
      <c r="A372" s="306">
        <v>562000</v>
      </c>
      <c r="B372" s="310" t="s">
        <v>329</v>
      </c>
      <c r="C372" s="310">
        <v>0.2394656</v>
      </c>
      <c r="D372" s="310">
        <v>0.22396089999999999</v>
      </c>
      <c r="E372" s="310">
        <v>0.24298449999999999</v>
      </c>
      <c r="F372" s="310">
        <v>0.2372157</v>
      </c>
      <c r="G372" s="310">
        <v>0.24029629999999999</v>
      </c>
      <c r="H372" s="310">
        <v>0.23999519999999999</v>
      </c>
      <c r="I372" s="310">
        <v>0.24068870000000001</v>
      </c>
      <c r="J372" s="310">
        <v>0.25028869999999998</v>
      </c>
      <c r="K372" s="310">
        <v>0.1017844</v>
      </c>
      <c r="L372" s="310">
        <v>0.21895029999999999</v>
      </c>
      <c r="M372" s="310">
        <v>0.24057770000000001</v>
      </c>
      <c r="N372" s="310">
        <v>0.239176</v>
      </c>
      <c r="O372" s="310">
        <v>0.2401346</v>
      </c>
      <c r="P372" s="310">
        <v>0.24219560000000001</v>
      </c>
      <c r="Q372" s="310">
        <v>0.2432685</v>
      </c>
      <c r="R372" s="310">
        <v>0.23864840000000001</v>
      </c>
      <c r="S372" s="310">
        <v>0.24629970000000001</v>
      </c>
      <c r="T372" s="310">
        <v>0.24282580000000001</v>
      </c>
      <c r="U372" s="310">
        <v>0.23213130000000001</v>
      </c>
      <c r="V372" s="310">
        <v>0.2412724</v>
      </c>
      <c r="W372" s="310">
        <v>0.2339203</v>
      </c>
      <c r="X372" s="310">
        <v>0.25324849999999999</v>
      </c>
      <c r="Y372" s="310">
        <v>0.2462222</v>
      </c>
      <c r="Z372" s="310">
        <v>0.2392956</v>
      </c>
      <c r="AA372" s="310">
        <v>0.23603199999999999</v>
      </c>
      <c r="AB372" s="310">
        <v>0.2310874</v>
      </c>
      <c r="AC372" s="310">
        <v>0.25097019999999998</v>
      </c>
      <c r="AD372" s="310">
        <v>0.23623259999999999</v>
      </c>
      <c r="AE372" s="310">
        <v>0.23690410000000001</v>
      </c>
      <c r="AF372" s="310">
        <v>0.22893459999999999</v>
      </c>
      <c r="AG372" s="310">
        <v>0.2339068</v>
      </c>
      <c r="AH372" s="310">
        <v>0.25323780000000001</v>
      </c>
      <c r="AI372" s="310">
        <v>0.25324400000000002</v>
      </c>
      <c r="AJ372" s="310">
        <v>0.24129610000000001</v>
      </c>
      <c r="AK372" s="310">
        <v>0.23822989999999999</v>
      </c>
      <c r="AL372" s="310">
        <v>0.2222924</v>
      </c>
      <c r="AM372" s="310">
        <v>0.2371017</v>
      </c>
      <c r="AN372" s="310">
        <v>0.2430793</v>
      </c>
      <c r="AO372" s="310">
        <v>0.22957659999999999</v>
      </c>
      <c r="AP372" s="310">
        <v>0.2418035</v>
      </c>
      <c r="AQ372" s="310">
        <v>0.25131379999999998</v>
      </c>
      <c r="AR372" s="310">
        <v>0.24397820000000001</v>
      </c>
      <c r="AS372" s="310">
        <v>0.23811779999999999</v>
      </c>
      <c r="AT372" s="310">
        <v>0.23835600000000001</v>
      </c>
      <c r="AU372" s="310">
        <v>0.24076839999999999</v>
      </c>
      <c r="AV372" s="310">
        <v>0.2381926</v>
      </c>
      <c r="AW372" s="310">
        <v>0.24887400000000001</v>
      </c>
      <c r="AX372" s="310">
        <v>0.24419759999999999</v>
      </c>
      <c r="AY372" s="310">
        <v>0.24013699999999999</v>
      </c>
      <c r="AZ372" s="310">
        <v>0.2447598</v>
      </c>
      <c r="BA372" s="310">
        <v>0.24491540000000001</v>
      </c>
      <c r="BB372" s="310">
        <v>0.23502200000000001</v>
      </c>
      <c r="BC372" s="310">
        <v>0.24335390000000001</v>
      </c>
      <c r="BD372" s="310">
        <v>0.23840049999999999</v>
      </c>
      <c r="BE372" s="310">
        <v>0.24013889999999999</v>
      </c>
      <c r="BF372" s="310">
        <v>0.23612639999999999</v>
      </c>
      <c r="BG372" s="310">
        <v>0.23886540000000001</v>
      </c>
      <c r="BH372" s="310">
        <v>0.23981369999999999</v>
      </c>
      <c r="BI372" s="310">
        <v>0.2408276</v>
      </c>
      <c r="BJ372" s="310">
        <v>0.2398093</v>
      </c>
      <c r="BK372" s="310">
        <v>0.23911109999999999</v>
      </c>
    </row>
    <row r="373" spans="1:63" x14ac:dyDescent="0.25">
      <c r="A373" s="306">
        <v>611100</v>
      </c>
      <c r="B373" s="310" t="s">
        <v>772</v>
      </c>
      <c r="C373" s="310">
        <v>0.46004299999999998</v>
      </c>
      <c r="D373" s="310">
        <v>0.4552155</v>
      </c>
      <c r="E373" s="310">
        <v>0.45376880000000003</v>
      </c>
      <c r="F373" s="310">
        <v>0.44798139999999997</v>
      </c>
      <c r="G373" s="310">
        <v>0.45473669999999999</v>
      </c>
      <c r="H373" s="310">
        <v>0.45797149999999998</v>
      </c>
      <c r="I373" s="310">
        <v>0.45787749999999999</v>
      </c>
      <c r="J373" s="310">
        <v>0.43778460000000002</v>
      </c>
      <c r="K373" s="310">
        <v>0.14997840000000001</v>
      </c>
      <c r="L373" s="310">
        <v>0.3827623</v>
      </c>
      <c r="M373" s="310">
        <v>0.45696949999999997</v>
      </c>
      <c r="N373" s="310">
        <v>0.44933020000000001</v>
      </c>
      <c r="O373" s="310">
        <v>0.45526640000000002</v>
      </c>
      <c r="P373" s="310">
        <v>0.44573950000000001</v>
      </c>
      <c r="Q373" s="310">
        <v>0.4481271</v>
      </c>
      <c r="R373" s="310">
        <v>0.4483721</v>
      </c>
      <c r="S373" s="310">
        <v>0.44855450000000002</v>
      </c>
      <c r="T373" s="310">
        <v>0.4354422</v>
      </c>
      <c r="U373" s="310">
        <v>0.42908570000000001</v>
      </c>
      <c r="V373" s="310">
        <v>0.4521519</v>
      </c>
      <c r="W373" s="310">
        <v>0.44114379999999997</v>
      </c>
      <c r="X373" s="310">
        <v>0.42851420000000001</v>
      </c>
      <c r="Y373" s="310">
        <v>0.45005899999999999</v>
      </c>
      <c r="Z373" s="310">
        <v>0.4568197</v>
      </c>
      <c r="AA373" s="310">
        <v>0.45037430000000001</v>
      </c>
      <c r="AB373" s="310">
        <v>0.43661630000000001</v>
      </c>
      <c r="AC373" s="310">
        <v>0.45170260000000001</v>
      </c>
      <c r="AD373" s="310">
        <v>0.45579649999999999</v>
      </c>
      <c r="AE373" s="310">
        <v>0.4532487</v>
      </c>
      <c r="AF373" s="310">
        <v>0.43741540000000001</v>
      </c>
      <c r="AG373" s="310">
        <v>0.4454129</v>
      </c>
      <c r="AH373" s="310">
        <v>0.39882529999999999</v>
      </c>
      <c r="AI373" s="310">
        <v>0.42539830000000001</v>
      </c>
      <c r="AJ373" s="310">
        <v>0.44609480000000001</v>
      </c>
      <c r="AK373" s="310">
        <v>0.44329479999999999</v>
      </c>
      <c r="AL373" s="310">
        <v>0.4361255</v>
      </c>
      <c r="AM373" s="310">
        <v>0.45179599999999998</v>
      </c>
      <c r="AN373" s="310">
        <v>0.45592300000000002</v>
      </c>
      <c r="AO373" s="310">
        <v>0.4446698</v>
      </c>
      <c r="AP373" s="310">
        <v>0.44379069999999998</v>
      </c>
      <c r="AQ373" s="310">
        <v>0.40003270000000002</v>
      </c>
      <c r="AR373" s="310">
        <v>0.4470828</v>
      </c>
      <c r="AS373" s="310">
        <v>0.44958559999999997</v>
      </c>
      <c r="AT373" s="310">
        <v>0.44821470000000002</v>
      </c>
      <c r="AU373" s="310">
        <v>0.45729229999999998</v>
      </c>
      <c r="AV373" s="310">
        <v>0.45730310000000002</v>
      </c>
      <c r="AW373" s="310">
        <v>0.42994860000000001</v>
      </c>
      <c r="AX373" s="310">
        <v>0.43622860000000002</v>
      </c>
      <c r="AY373" s="310">
        <v>0.45247300000000001</v>
      </c>
      <c r="AZ373" s="310">
        <v>0.45389420000000003</v>
      </c>
      <c r="BA373" s="310">
        <v>0.42842150000000001</v>
      </c>
      <c r="BB373" s="310">
        <v>0.4567428</v>
      </c>
      <c r="BC373" s="310">
        <v>0.45381270000000001</v>
      </c>
      <c r="BD373" s="310">
        <v>0.4551596</v>
      </c>
      <c r="BE373" s="310">
        <v>0.45626440000000001</v>
      </c>
      <c r="BF373" s="310">
        <v>0.45256200000000002</v>
      </c>
      <c r="BG373" s="310">
        <v>0.45362920000000001</v>
      </c>
      <c r="BH373" s="310">
        <v>0.44992290000000001</v>
      </c>
      <c r="BI373" s="310">
        <v>0.4573371</v>
      </c>
      <c r="BJ373" s="310">
        <v>0.45589039999999997</v>
      </c>
      <c r="BK373" s="310">
        <v>0.45798220000000001</v>
      </c>
    </row>
    <row r="374" spans="1:63" x14ac:dyDescent="0.25">
      <c r="A374" s="306" t="s">
        <v>773</v>
      </c>
      <c r="B374" s="310" t="s">
        <v>774</v>
      </c>
      <c r="C374" s="310">
        <v>0.45127590000000001</v>
      </c>
      <c r="D374" s="310">
        <v>0.4464883</v>
      </c>
      <c r="E374" s="310">
        <v>0.44503720000000002</v>
      </c>
      <c r="F374" s="310">
        <v>0.4393726</v>
      </c>
      <c r="G374" s="310">
        <v>0.44598139999999997</v>
      </c>
      <c r="H374" s="310">
        <v>0.4491308</v>
      </c>
      <c r="I374" s="310">
        <v>0.44909149999999998</v>
      </c>
      <c r="J374" s="310">
        <v>0.42935689999999999</v>
      </c>
      <c r="K374" s="310">
        <v>0.14714530000000001</v>
      </c>
      <c r="L374" s="310">
        <v>0.37541799999999997</v>
      </c>
      <c r="M374" s="310">
        <v>0.44819890000000001</v>
      </c>
      <c r="N374" s="310">
        <v>0.44076340000000003</v>
      </c>
      <c r="O374" s="310">
        <v>0.4465594</v>
      </c>
      <c r="P374" s="310">
        <v>0.43718289999999999</v>
      </c>
      <c r="Q374" s="310">
        <v>0.43947979999999998</v>
      </c>
      <c r="R374" s="310">
        <v>0.43978230000000001</v>
      </c>
      <c r="S374" s="310">
        <v>0.43989289999999998</v>
      </c>
      <c r="T374" s="310">
        <v>0.42706080000000002</v>
      </c>
      <c r="U374" s="310">
        <v>0.42093789999999998</v>
      </c>
      <c r="V374" s="310">
        <v>0.4434611</v>
      </c>
      <c r="W374" s="310">
        <v>0.43275580000000002</v>
      </c>
      <c r="X374" s="310">
        <v>0.42032639999999999</v>
      </c>
      <c r="Y374" s="310">
        <v>0.44141269999999999</v>
      </c>
      <c r="Z374" s="310">
        <v>0.44802609999999998</v>
      </c>
      <c r="AA374" s="310">
        <v>0.44178190000000001</v>
      </c>
      <c r="AB374" s="310">
        <v>0.42826049999999999</v>
      </c>
      <c r="AC374" s="310">
        <v>0.44304549999999998</v>
      </c>
      <c r="AD374" s="310">
        <v>0.44714359999999997</v>
      </c>
      <c r="AE374" s="310">
        <v>0.4445963</v>
      </c>
      <c r="AF374" s="310">
        <v>0.42896770000000001</v>
      </c>
      <c r="AG374" s="310">
        <v>0.43697049999999998</v>
      </c>
      <c r="AH374" s="310">
        <v>0.3912215</v>
      </c>
      <c r="AI374" s="310">
        <v>0.41722559999999997</v>
      </c>
      <c r="AJ374" s="310">
        <v>0.43749490000000002</v>
      </c>
      <c r="AK374" s="310">
        <v>0.43482460000000001</v>
      </c>
      <c r="AL374" s="310">
        <v>0.42776500000000001</v>
      </c>
      <c r="AM374" s="310">
        <v>0.44311</v>
      </c>
      <c r="AN374" s="310">
        <v>0.44714530000000002</v>
      </c>
      <c r="AO374" s="310">
        <v>0.43611040000000001</v>
      </c>
      <c r="AP374" s="310">
        <v>0.43528519999999998</v>
      </c>
      <c r="AQ374" s="310">
        <v>0.39238440000000002</v>
      </c>
      <c r="AR374" s="310">
        <v>0.43855559999999999</v>
      </c>
      <c r="AS374" s="310">
        <v>0.4409845</v>
      </c>
      <c r="AT374" s="310">
        <v>0.43956129999999999</v>
      </c>
      <c r="AU374" s="310">
        <v>0.44857550000000002</v>
      </c>
      <c r="AV374" s="310">
        <v>0.44856190000000001</v>
      </c>
      <c r="AW374" s="310">
        <v>0.42173709999999998</v>
      </c>
      <c r="AX374" s="310">
        <v>0.42786190000000002</v>
      </c>
      <c r="AY374" s="310">
        <v>0.4437971</v>
      </c>
      <c r="AZ374" s="310">
        <v>0.44515709999999997</v>
      </c>
      <c r="BA374" s="310">
        <v>0.42024850000000002</v>
      </c>
      <c r="BB374" s="310">
        <v>0.44804739999999998</v>
      </c>
      <c r="BC374" s="310">
        <v>0.44509520000000002</v>
      </c>
      <c r="BD374" s="310">
        <v>0.44641510000000001</v>
      </c>
      <c r="BE374" s="310">
        <v>0.44757069999999999</v>
      </c>
      <c r="BF374" s="310">
        <v>0.44397750000000002</v>
      </c>
      <c r="BG374" s="310">
        <v>0.4449072</v>
      </c>
      <c r="BH374" s="310">
        <v>0.44129040000000003</v>
      </c>
      <c r="BI374" s="310">
        <v>0.44862649999999998</v>
      </c>
      <c r="BJ374" s="310">
        <v>0.44715389999999999</v>
      </c>
      <c r="BK374" s="310">
        <v>0.44918819999999998</v>
      </c>
    </row>
    <row r="375" spans="1:63" x14ac:dyDescent="0.25">
      <c r="A375" s="306" t="s">
        <v>775</v>
      </c>
      <c r="B375" s="310" t="s">
        <v>776</v>
      </c>
      <c r="C375" s="310">
        <v>0.2953943</v>
      </c>
      <c r="D375" s="310">
        <v>0.29228959999999998</v>
      </c>
      <c r="E375" s="310">
        <v>0.29134949999999998</v>
      </c>
      <c r="F375" s="310">
        <v>0.28757579999999999</v>
      </c>
      <c r="G375" s="310">
        <v>0.29196680000000003</v>
      </c>
      <c r="H375" s="310">
        <v>0.29401500000000003</v>
      </c>
      <c r="I375" s="310">
        <v>0.29393819999999998</v>
      </c>
      <c r="J375" s="310">
        <v>0.2810976</v>
      </c>
      <c r="K375" s="310">
        <v>9.6321599999999993E-2</v>
      </c>
      <c r="L375" s="310">
        <v>0.24574019999999999</v>
      </c>
      <c r="M375" s="310">
        <v>0.29341240000000002</v>
      </c>
      <c r="N375" s="310">
        <v>0.28853119999999999</v>
      </c>
      <c r="O375" s="310">
        <v>0.29230329999999999</v>
      </c>
      <c r="P375" s="310">
        <v>0.28619030000000001</v>
      </c>
      <c r="Q375" s="310">
        <v>0.28772500000000001</v>
      </c>
      <c r="R375" s="310">
        <v>0.28786050000000002</v>
      </c>
      <c r="S375" s="310">
        <v>0.28795169999999998</v>
      </c>
      <c r="T375" s="310">
        <v>0.27952929999999998</v>
      </c>
      <c r="U375" s="310">
        <v>0.27551530000000002</v>
      </c>
      <c r="V375" s="310">
        <v>0.2902846</v>
      </c>
      <c r="W375" s="310">
        <v>0.28328110000000001</v>
      </c>
      <c r="X375" s="310">
        <v>0.27518209999999999</v>
      </c>
      <c r="Y375" s="310">
        <v>0.28896549999999999</v>
      </c>
      <c r="Z375" s="310">
        <v>0.29330780000000001</v>
      </c>
      <c r="AA375" s="310">
        <v>0.2891861</v>
      </c>
      <c r="AB375" s="310">
        <v>0.28030880000000002</v>
      </c>
      <c r="AC375" s="310">
        <v>0.29007450000000001</v>
      </c>
      <c r="AD375" s="310">
        <v>0.29266789999999998</v>
      </c>
      <c r="AE375" s="310">
        <v>0.29105360000000002</v>
      </c>
      <c r="AF375" s="310">
        <v>0.28085280000000001</v>
      </c>
      <c r="AG375" s="310">
        <v>0.2860085</v>
      </c>
      <c r="AH375" s="310">
        <v>0.25610490000000002</v>
      </c>
      <c r="AI375" s="310">
        <v>0.27311809999999997</v>
      </c>
      <c r="AJ375" s="310">
        <v>0.2863503</v>
      </c>
      <c r="AK375" s="310">
        <v>0.28462539999999997</v>
      </c>
      <c r="AL375" s="310">
        <v>0.28007140000000003</v>
      </c>
      <c r="AM375" s="310">
        <v>0.29005730000000002</v>
      </c>
      <c r="AN375" s="310">
        <v>0.29270059999999998</v>
      </c>
      <c r="AO375" s="310">
        <v>0.28549600000000003</v>
      </c>
      <c r="AP375" s="310">
        <v>0.28494979999999998</v>
      </c>
      <c r="AQ375" s="310">
        <v>0.25687379999999999</v>
      </c>
      <c r="AR375" s="310">
        <v>0.28705999999999998</v>
      </c>
      <c r="AS375" s="310">
        <v>0.28866229999999998</v>
      </c>
      <c r="AT375" s="310">
        <v>0.28779349999999998</v>
      </c>
      <c r="AU375" s="310">
        <v>0.29365180000000002</v>
      </c>
      <c r="AV375" s="310">
        <v>0.29362070000000001</v>
      </c>
      <c r="AW375" s="310">
        <v>0.27601930000000002</v>
      </c>
      <c r="AX375" s="310">
        <v>0.28007979999999999</v>
      </c>
      <c r="AY375" s="310">
        <v>0.29051270000000001</v>
      </c>
      <c r="AZ375" s="310">
        <v>0.29142699999999999</v>
      </c>
      <c r="BA375" s="310">
        <v>0.27509929999999999</v>
      </c>
      <c r="BB375" s="310">
        <v>0.29326360000000001</v>
      </c>
      <c r="BC375" s="310">
        <v>0.29138560000000002</v>
      </c>
      <c r="BD375" s="310">
        <v>0.29224499999999998</v>
      </c>
      <c r="BE375" s="310">
        <v>0.29294779999999998</v>
      </c>
      <c r="BF375" s="310">
        <v>0.29062569999999999</v>
      </c>
      <c r="BG375" s="310">
        <v>0.29123909999999997</v>
      </c>
      <c r="BH375" s="310">
        <v>0.28888730000000001</v>
      </c>
      <c r="BI375" s="310">
        <v>0.29365449999999998</v>
      </c>
      <c r="BJ375" s="310">
        <v>0.29273680000000002</v>
      </c>
      <c r="BK375" s="310">
        <v>0.29402270000000003</v>
      </c>
    </row>
    <row r="376" spans="1:63" x14ac:dyDescent="0.25">
      <c r="A376" s="306">
        <v>621600</v>
      </c>
      <c r="B376" s="310" t="s">
        <v>331</v>
      </c>
      <c r="C376" s="310">
        <v>0.60083279999999994</v>
      </c>
      <c r="D376" s="310">
        <v>0.59656569999999998</v>
      </c>
      <c r="E376" s="310">
        <v>0.59315119999999999</v>
      </c>
      <c r="F376" s="310">
        <v>0.58827229999999997</v>
      </c>
      <c r="G376" s="310">
        <v>0.59757260000000001</v>
      </c>
      <c r="H376" s="310">
        <v>0.59887239999999997</v>
      </c>
      <c r="I376" s="310">
        <v>0.59766520000000001</v>
      </c>
      <c r="J376" s="310">
        <v>0.58304679999999998</v>
      </c>
      <c r="K376" s="310">
        <v>0.14657980000000001</v>
      </c>
      <c r="L376" s="310">
        <v>0.49899470000000001</v>
      </c>
      <c r="M376" s="310">
        <v>0.59857400000000005</v>
      </c>
      <c r="N376" s="310">
        <v>0.58778300000000006</v>
      </c>
      <c r="O376" s="310">
        <v>0.59834109999999996</v>
      </c>
      <c r="P376" s="310">
        <v>0.57703230000000005</v>
      </c>
      <c r="Q376" s="310">
        <v>0.58468909999999996</v>
      </c>
      <c r="R376" s="310">
        <v>0.58553670000000002</v>
      </c>
      <c r="S376" s="310">
        <v>0.57813729999999997</v>
      </c>
      <c r="T376" s="310">
        <v>0.56199679999999996</v>
      </c>
      <c r="U376" s="310">
        <v>0.56118590000000002</v>
      </c>
      <c r="V376" s="310">
        <v>0.59275619999999996</v>
      </c>
      <c r="W376" s="310">
        <v>0.575376</v>
      </c>
      <c r="X376" s="310">
        <v>0.55655909999999997</v>
      </c>
      <c r="Y376" s="310">
        <v>0.59546379999999999</v>
      </c>
      <c r="Z376" s="310">
        <v>0.59742819999999996</v>
      </c>
      <c r="AA376" s="310">
        <v>0.59028199999999997</v>
      </c>
      <c r="AB376" s="310">
        <v>0.54474140000000004</v>
      </c>
      <c r="AC376" s="310">
        <v>0.58109580000000005</v>
      </c>
      <c r="AD376" s="310">
        <v>0.59950340000000002</v>
      </c>
      <c r="AE376" s="310">
        <v>0.59090909999999996</v>
      </c>
      <c r="AF376" s="310">
        <v>0.55300139999999998</v>
      </c>
      <c r="AG376" s="310">
        <v>0.58266859999999998</v>
      </c>
      <c r="AH376" s="310">
        <v>0.55514359999999996</v>
      </c>
      <c r="AI376" s="310">
        <v>0.56656890000000004</v>
      </c>
      <c r="AJ376" s="310">
        <v>0.59099889999999999</v>
      </c>
      <c r="AK376" s="310">
        <v>0.59309920000000005</v>
      </c>
      <c r="AL376" s="310">
        <v>0.56920809999999999</v>
      </c>
      <c r="AM376" s="310">
        <v>0.58665529999999999</v>
      </c>
      <c r="AN376" s="310">
        <v>0.59568089999999996</v>
      </c>
      <c r="AO376" s="310">
        <v>0.58130440000000005</v>
      </c>
      <c r="AP376" s="310">
        <v>0.57404580000000005</v>
      </c>
      <c r="AQ376" s="310">
        <v>0.54128039999999999</v>
      </c>
      <c r="AR376" s="310">
        <v>0.59108709999999998</v>
      </c>
      <c r="AS376" s="310">
        <v>0.58842930000000004</v>
      </c>
      <c r="AT376" s="310">
        <v>0.57929189999999997</v>
      </c>
      <c r="AU376" s="310">
        <v>0.59755159999999996</v>
      </c>
      <c r="AV376" s="310">
        <v>0.59689530000000002</v>
      </c>
      <c r="AW376" s="310">
        <v>0.56473119999999999</v>
      </c>
      <c r="AX376" s="310">
        <v>0.57060440000000001</v>
      </c>
      <c r="AY376" s="310">
        <v>0.59382880000000005</v>
      </c>
      <c r="AZ376" s="310">
        <v>0.59171859999999998</v>
      </c>
      <c r="BA376" s="310">
        <v>0.5488885</v>
      </c>
      <c r="BB376" s="310">
        <v>0.59370319999999999</v>
      </c>
      <c r="BC376" s="310">
        <v>0.59640079999999995</v>
      </c>
      <c r="BD376" s="310">
        <v>0.59522810000000004</v>
      </c>
      <c r="BE376" s="310">
        <v>0.59437379999999995</v>
      </c>
      <c r="BF376" s="310">
        <v>0.59156529999999996</v>
      </c>
      <c r="BG376" s="310">
        <v>0.5955104</v>
      </c>
      <c r="BH376" s="310">
        <v>0.58617090000000005</v>
      </c>
      <c r="BI376" s="310">
        <v>0.59807259999999995</v>
      </c>
      <c r="BJ376" s="310">
        <v>0.59707489999999996</v>
      </c>
      <c r="BK376" s="310">
        <v>0.59905739999999996</v>
      </c>
    </row>
    <row r="377" spans="1:63" x14ac:dyDescent="0.25">
      <c r="A377" s="306" t="s">
        <v>777</v>
      </c>
      <c r="B377" s="310" t="s">
        <v>330</v>
      </c>
      <c r="C377" s="310">
        <v>0.53395680000000001</v>
      </c>
      <c r="D377" s="310">
        <v>0.53014939999999999</v>
      </c>
      <c r="E377" s="310">
        <v>0.5271015</v>
      </c>
      <c r="F377" s="310">
        <v>0.52282669999999998</v>
      </c>
      <c r="G377" s="310">
        <v>0.53109260000000003</v>
      </c>
      <c r="H377" s="310">
        <v>0.53225169999999999</v>
      </c>
      <c r="I377" s="310">
        <v>0.53114249999999996</v>
      </c>
      <c r="J377" s="310">
        <v>0.51816019999999996</v>
      </c>
      <c r="K377" s="310">
        <v>0.13021189999999999</v>
      </c>
      <c r="L377" s="310">
        <v>0.44342559999999998</v>
      </c>
      <c r="M377" s="310">
        <v>0.53189240000000004</v>
      </c>
      <c r="N377" s="310">
        <v>0.52234860000000005</v>
      </c>
      <c r="O377" s="310">
        <v>0.53171559999999995</v>
      </c>
      <c r="P377" s="310">
        <v>0.51282050000000001</v>
      </c>
      <c r="Q377" s="310">
        <v>0.51957509999999996</v>
      </c>
      <c r="R377" s="310">
        <v>0.52035549999999997</v>
      </c>
      <c r="S377" s="310">
        <v>0.51388080000000003</v>
      </c>
      <c r="T377" s="310">
        <v>0.49944139999999998</v>
      </c>
      <c r="U377" s="310">
        <v>0.49873719999999999</v>
      </c>
      <c r="V377" s="310">
        <v>0.52671619999999997</v>
      </c>
      <c r="W377" s="310">
        <v>0.51131000000000004</v>
      </c>
      <c r="X377" s="310">
        <v>0.4946316</v>
      </c>
      <c r="Y377" s="310">
        <v>0.52910579999999996</v>
      </c>
      <c r="Z377" s="310">
        <v>0.53087130000000005</v>
      </c>
      <c r="AA377" s="310">
        <v>0.52461840000000004</v>
      </c>
      <c r="AB377" s="310">
        <v>0.48414390000000002</v>
      </c>
      <c r="AC377" s="310">
        <v>0.51649610000000001</v>
      </c>
      <c r="AD377" s="310">
        <v>0.5327653</v>
      </c>
      <c r="AE377" s="310">
        <v>0.52514709999999998</v>
      </c>
      <c r="AF377" s="310">
        <v>0.49146570000000001</v>
      </c>
      <c r="AG377" s="310">
        <v>0.51780269999999995</v>
      </c>
      <c r="AH377" s="310">
        <v>0.49329050000000002</v>
      </c>
      <c r="AI377" s="310">
        <v>0.5034788</v>
      </c>
      <c r="AJ377" s="310">
        <v>0.52518169999999997</v>
      </c>
      <c r="AK377" s="310">
        <v>0.527057</v>
      </c>
      <c r="AL377" s="310">
        <v>0.50583460000000002</v>
      </c>
      <c r="AM377" s="310">
        <v>0.52136269999999996</v>
      </c>
      <c r="AN377" s="310">
        <v>0.52938680000000005</v>
      </c>
      <c r="AO377" s="310">
        <v>0.51664719999999997</v>
      </c>
      <c r="AP377" s="310">
        <v>0.51017789999999996</v>
      </c>
      <c r="AQ377" s="310">
        <v>0.48109540000000001</v>
      </c>
      <c r="AR377" s="310">
        <v>0.52538280000000004</v>
      </c>
      <c r="AS377" s="310">
        <v>0.52297170000000004</v>
      </c>
      <c r="AT377" s="310">
        <v>0.51483279999999998</v>
      </c>
      <c r="AU377" s="310">
        <v>0.53100429999999998</v>
      </c>
      <c r="AV377" s="310">
        <v>0.53049469999999999</v>
      </c>
      <c r="AW377" s="310">
        <v>0.50189329999999999</v>
      </c>
      <c r="AX377" s="310">
        <v>0.50710330000000003</v>
      </c>
      <c r="AY377" s="310">
        <v>0.52771089999999998</v>
      </c>
      <c r="AZ377" s="310">
        <v>0.52591909999999997</v>
      </c>
      <c r="BA377" s="310">
        <v>0.48782599999999998</v>
      </c>
      <c r="BB377" s="310">
        <v>0.52763090000000001</v>
      </c>
      <c r="BC377" s="310">
        <v>0.53002629999999995</v>
      </c>
      <c r="BD377" s="310">
        <v>0.52893800000000002</v>
      </c>
      <c r="BE377" s="310">
        <v>0.52824470000000001</v>
      </c>
      <c r="BF377" s="310">
        <v>0.52570289999999997</v>
      </c>
      <c r="BG377" s="310">
        <v>0.52927610000000003</v>
      </c>
      <c r="BH377" s="310">
        <v>0.52094070000000003</v>
      </c>
      <c r="BI377" s="310">
        <v>0.53155059999999998</v>
      </c>
      <c r="BJ377" s="310">
        <v>0.53064219999999995</v>
      </c>
      <c r="BK377" s="310">
        <v>0.53237350000000006</v>
      </c>
    </row>
    <row r="378" spans="1:63" x14ac:dyDescent="0.25">
      <c r="A378" s="306" t="s">
        <v>778</v>
      </c>
      <c r="B378" s="310" t="s">
        <v>332</v>
      </c>
      <c r="C378" s="310">
        <v>0.47218529999999997</v>
      </c>
      <c r="D378" s="310">
        <v>0.46885250000000001</v>
      </c>
      <c r="E378" s="310">
        <v>0.46616069999999998</v>
      </c>
      <c r="F378" s="310">
        <v>0.4622811</v>
      </c>
      <c r="G378" s="310">
        <v>0.4696437</v>
      </c>
      <c r="H378" s="310">
        <v>0.47061429999999999</v>
      </c>
      <c r="I378" s="310">
        <v>0.46964549999999999</v>
      </c>
      <c r="J378" s="310">
        <v>0.45822269999999998</v>
      </c>
      <c r="K378" s="310">
        <v>0.1151703</v>
      </c>
      <c r="L378" s="310">
        <v>0.39209680000000002</v>
      </c>
      <c r="M378" s="310">
        <v>0.47038849999999999</v>
      </c>
      <c r="N378" s="310">
        <v>0.46194540000000001</v>
      </c>
      <c r="O378" s="310">
        <v>0.47023389999999998</v>
      </c>
      <c r="P378" s="310">
        <v>0.45349919999999999</v>
      </c>
      <c r="Q378" s="310">
        <v>0.45953129999999998</v>
      </c>
      <c r="R378" s="310">
        <v>0.46012360000000002</v>
      </c>
      <c r="S378" s="310">
        <v>0.45439000000000002</v>
      </c>
      <c r="T378" s="310">
        <v>0.44170150000000002</v>
      </c>
      <c r="U378" s="310">
        <v>0.44104090000000001</v>
      </c>
      <c r="V378" s="310">
        <v>0.46576210000000001</v>
      </c>
      <c r="W378" s="310">
        <v>0.45214379999999998</v>
      </c>
      <c r="X378" s="310">
        <v>0.4374151</v>
      </c>
      <c r="Y378" s="310">
        <v>0.46795320000000001</v>
      </c>
      <c r="Z378" s="310">
        <v>0.46950389999999997</v>
      </c>
      <c r="AA378" s="310">
        <v>0.46388210000000002</v>
      </c>
      <c r="AB378" s="310">
        <v>0.42810510000000002</v>
      </c>
      <c r="AC378" s="310">
        <v>0.45674199999999998</v>
      </c>
      <c r="AD378" s="310">
        <v>0.47118450000000001</v>
      </c>
      <c r="AE378" s="310">
        <v>0.46438990000000002</v>
      </c>
      <c r="AF378" s="310">
        <v>0.43461139999999998</v>
      </c>
      <c r="AG378" s="310">
        <v>0.45787270000000002</v>
      </c>
      <c r="AH378" s="310">
        <v>0.436282</v>
      </c>
      <c r="AI378" s="310">
        <v>0.44526929999999998</v>
      </c>
      <c r="AJ378" s="310">
        <v>0.46441579999999999</v>
      </c>
      <c r="AK378" s="310">
        <v>0.46608090000000002</v>
      </c>
      <c r="AL378" s="310">
        <v>0.4473377</v>
      </c>
      <c r="AM378" s="310">
        <v>0.46107740000000003</v>
      </c>
      <c r="AN378" s="310">
        <v>0.46817930000000002</v>
      </c>
      <c r="AO378" s="310">
        <v>0.45688060000000003</v>
      </c>
      <c r="AP378" s="310">
        <v>0.45114500000000002</v>
      </c>
      <c r="AQ378" s="310">
        <v>0.42539949999999999</v>
      </c>
      <c r="AR378" s="310">
        <v>0.46457540000000003</v>
      </c>
      <c r="AS378" s="310">
        <v>0.46246910000000002</v>
      </c>
      <c r="AT378" s="310">
        <v>0.45525060000000001</v>
      </c>
      <c r="AU378" s="310">
        <v>0.46958149999999999</v>
      </c>
      <c r="AV378" s="310">
        <v>0.46913670000000002</v>
      </c>
      <c r="AW378" s="310">
        <v>0.44384829999999997</v>
      </c>
      <c r="AX378" s="310">
        <v>0.44844050000000002</v>
      </c>
      <c r="AY378" s="310">
        <v>0.46667700000000001</v>
      </c>
      <c r="AZ378" s="310">
        <v>0.46501670000000001</v>
      </c>
      <c r="BA378" s="310">
        <v>0.43141249999999998</v>
      </c>
      <c r="BB378" s="310">
        <v>0.46659139999999999</v>
      </c>
      <c r="BC378" s="310">
        <v>0.46873619999999999</v>
      </c>
      <c r="BD378" s="310">
        <v>0.46775949999999999</v>
      </c>
      <c r="BE378" s="310">
        <v>0.46716029999999997</v>
      </c>
      <c r="BF378" s="310">
        <v>0.46490890000000001</v>
      </c>
      <c r="BG378" s="310">
        <v>0.46798099999999998</v>
      </c>
      <c r="BH378" s="310">
        <v>0.46066119999999999</v>
      </c>
      <c r="BI378" s="310">
        <v>0.4701207</v>
      </c>
      <c r="BJ378" s="310">
        <v>0.46926950000000001</v>
      </c>
      <c r="BK378" s="310">
        <v>0.47076580000000001</v>
      </c>
    </row>
    <row r="379" spans="1:63" x14ac:dyDescent="0.25">
      <c r="A379" s="306">
        <v>622000</v>
      </c>
      <c r="B379" s="310" t="s">
        <v>779</v>
      </c>
      <c r="C379" s="310">
        <v>0.42912430000000001</v>
      </c>
      <c r="D379" s="310">
        <v>0.42440070000000002</v>
      </c>
      <c r="E379" s="310">
        <v>0.42366110000000001</v>
      </c>
      <c r="F379" s="310">
        <v>0.4154409</v>
      </c>
      <c r="G379" s="310">
        <v>0.42625619999999997</v>
      </c>
      <c r="H379" s="310">
        <v>0.42764750000000001</v>
      </c>
      <c r="I379" s="310">
        <v>0.42679149999999999</v>
      </c>
      <c r="J379" s="310">
        <v>0.41334650000000001</v>
      </c>
      <c r="K379" s="310">
        <v>8.4661E-2</v>
      </c>
      <c r="L379" s="310">
        <v>0.3541454</v>
      </c>
      <c r="M379" s="310">
        <v>0.42715330000000001</v>
      </c>
      <c r="N379" s="310">
        <v>0.41658699999999999</v>
      </c>
      <c r="O379" s="310">
        <v>0.42769839999999998</v>
      </c>
      <c r="P379" s="310">
        <v>0.408584</v>
      </c>
      <c r="Q379" s="310">
        <v>0.41824529999999999</v>
      </c>
      <c r="R379" s="310">
        <v>0.41911169999999998</v>
      </c>
      <c r="S379" s="310">
        <v>0.4124855</v>
      </c>
      <c r="T379" s="310">
        <v>0.40251930000000002</v>
      </c>
      <c r="U379" s="310">
        <v>0.39549390000000001</v>
      </c>
      <c r="V379" s="310">
        <v>0.4192746</v>
      </c>
      <c r="W379" s="310">
        <v>0.41148820000000003</v>
      </c>
      <c r="X379" s="310">
        <v>0.402198</v>
      </c>
      <c r="Y379" s="310">
        <v>0.42570599999999997</v>
      </c>
      <c r="Z379" s="310">
        <v>0.42716369999999998</v>
      </c>
      <c r="AA379" s="310">
        <v>0.41719679999999998</v>
      </c>
      <c r="AB379" s="310">
        <v>0.38320009999999999</v>
      </c>
      <c r="AC379" s="310">
        <v>0.41661100000000001</v>
      </c>
      <c r="AD379" s="310">
        <v>0.4270487</v>
      </c>
      <c r="AE379" s="310">
        <v>0.42159419999999997</v>
      </c>
      <c r="AF379" s="310">
        <v>0.39665879999999998</v>
      </c>
      <c r="AG379" s="310">
        <v>0.41203329999999999</v>
      </c>
      <c r="AH379" s="310">
        <v>0.37550309999999998</v>
      </c>
      <c r="AI379" s="310">
        <v>0.40318939999999998</v>
      </c>
      <c r="AJ379" s="310">
        <v>0.41852980000000001</v>
      </c>
      <c r="AK379" s="310">
        <v>0.41906349999999998</v>
      </c>
      <c r="AL379" s="310">
        <v>0.4021537</v>
      </c>
      <c r="AM379" s="310">
        <v>0.41523890000000002</v>
      </c>
      <c r="AN379" s="310">
        <v>0.42632170000000003</v>
      </c>
      <c r="AO379" s="310">
        <v>0.40749220000000003</v>
      </c>
      <c r="AP379" s="310">
        <v>0.40684330000000002</v>
      </c>
      <c r="AQ379" s="310">
        <v>0.38330160000000002</v>
      </c>
      <c r="AR379" s="310">
        <v>0.4209463</v>
      </c>
      <c r="AS379" s="310">
        <v>0.4159043</v>
      </c>
      <c r="AT379" s="310">
        <v>0.41032879999999999</v>
      </c>
      <c r="AU379" s="310">
        <v>0.42565839999999999</v>
      </c>
      <c r="AV379" s="310">
        <v>0.42616320000000002</v>
      </c>
      <c r="AW379" s="310">
        <v>0.41044999999999998</v>
      </c>
      <c r="AX379" s="310">
        <v>0.3896309</v>
      </c>
      <c r="AY379" s="310">
        <v>0.42176920000000001</v>
      </c>
      <c r="AZ379" s="310">
        <v>0.42007719999999998</v>
      </c>
      <c r="BA379" s="310">
        <v>0.37581290000000001</v>
      </c>
      <c r="BB379" s="310">
        <v>0.42175669999999998</v>
      </c>
      <c r="BC379" s="310">
        <v>0.42591370000000001</v>
      </c>
      <c r="BD379" s="310">
        <v>0.42512359999999999</v>
      </c>
      <c r="BE379" s="310">
        <v>0.42450959999999999</v>
      </c>
      <c r="BF379" s="310">
        <v>0.41780089999999998</v>
      </c>
      <c r="BG379" s="310">
        <v>0.4236954</v>
      </c>
      <c r="BH379" s="310">
        <v>0.41682780000000003</v>
      </c>
      <c r="BI379" s="310">
        <v>0.42660029999999999</v>
      </c>
      <c r="BJ379" s="310">
        <v>0.42615180000000003</v>
      </c>
      <c r="BK379" s="310">
        <v>0.42753570000000002</v>
      </c>
    </row>
    <row r="380" spans="1:63" x14ac:dyDescent="0.25">
      <c r="A380" s="306">
        <v>623000</v>
      </c>
      <c r="B380" s="310" t="s">
        <v>333</v>
      </c>
      <c r="C380" s="310">
        <v>0.49957699999999999</v>
      </c>
      <c r="D380" s="310">
        <v>0.49009950000000002</v>
      </c>
      <c r="E380" s="310">
        <v>0.4948823</v>
      </c>
      <c r="F380" s="310">
        <v>0.47485549999999999</v>
      </c>
      <c r="G380" s="310">
        <v>0.49595329999999999</v>
      </c>
      <c r="H380" s="310">
        <v>0.4987858</v>
      </c>
      <c r="I380" s="310">
        <v>0.49810349999999998</v>
      </c>
      <c r="J380" s="310">
        <v>0.48298869999999999</v>
      </c>
      <c r="K380" s="310">
        <v>0.16983999999999999</v>
      </c>
      <c r="L380" s="310">
        <v>0.42447560000000001</v>
      </c>
      <c r="M380" s="310">
        <v>0.49636609999999998</v>
      </c>
      <c r="N380" s="310">
        <v>0.48072290000000001</v>
      </c>
      <c r="O380" s="310">
        <v>0.49871840000000001</v>
      </c>
      <c r="P380" s="310">
        <v>0.48359210000000002</v>
      </c>
      <c r="Q380" s="310">
        <v>0.48089199999999999</v>
      </c>
      <c r="R380" s="310">
        <v>0.49138690000000002</v>
      </c>
      <c r="S380" s="310">
        <v>0.48475659999999998</v>
      </c>
      <c r="T380" s="310">
        <v>0.47947830000000002</v>
      </c>
      <c r="U380" s="310">
        <v>0.4759138</v>
      </c>
      <c r="V380" s="310">
        <v>0.49502570000000001</v>
      </c>
      <c r="W380" s="310">
        <v>0.47487990000000002</v>
      </c>
      <c r="X380" s="310">
        <v>0.46619159999999998</v>
      </c>
      <c r="Y380" s="310">
        <v>0.49579400000000001</v>
      </c>
      <c r="Z380" s="310">
        <v>0.49434840000000002</v>
      </c>
      <c r="AA380" s="310">
        <v>0.48582700000000001</v>
      </c>
      <c r="AB380" s="310">
        <v>0.47850670000000001</v>
      </c>
      <c r="AC380" s="310">
        <v>0.48601090000000002</v>
      </c>
      <c r="AD380" s="310">
        <v>0.49817080000000002</v>
      </c>
      <c r="AE380" s="310">
        <v>0.4891991</v>
      </c>
      <c r="AF380" s="310">
        <v>0.47651490000000002</v>
      </c>
      <c r="AG380" s="310">
        <v>0.48100929999999997</v>
      </c>
      <c r="AH380" s="310">
        <v>0.47332780000000002</v>
      </c>
      <c r="AI380" s="310">
        <v>0.47751850000000001</v>
      </c>
      <c r="AJ380" s="310">
        <v>0.49402839999999998</v>
      </c>
      <c r="AK380" s="310">
        <v>0.48618739999999999</v>
      </c>
      <c r="AL380" s="310">
        <v>0.48533979999999999</v>
      </c>
      <c r="AM380" s="310">
        <v>0.48990309999999998</v>
      </c>
      <c r="AN380" s="310">
        <v>0.49677529999999998</v>
      </c>
      <c r="AO380" s="310">
        <v>0.48058129999999999</v>
      </c>
      <c r="AP380" s="310">
        <v>0.4868133</v>
      </c>
      <c r="AQ380" s="310">
        <v>0.46513789999999999</v>
      </c>
      <c r="AR380" s="310">
        <v>0.48963210000000001</v>
      </c>
      <c r="AS380" s="310">
        <v>0.48278690000000002</v>
      </c>
      <c r="AT380" s="310">
        <v>0.48238300000000001</v>
      </c>
      <c r="AU380" s="310">
        <v>0.49572169999999999</v>
      </c>
      <c r="AV380" s="310">
        <v>0.49607970000000001</v>
      </c>
      <c r="AW380" s="310">
        <v>0.47433249999999999</v>
      </c>
      <c r="AX380" s="310">
        <v>0.46178089999999999</v>
      </c>
      <c r="AY380" s="310">
        <v>0.49351630000000002</v>
      </c>
      <c r="AZ380" s="310">
        <v>0.49260130000000002</v>
      </c>
      <c r="BA380" s="310">
        <v>0.4619106</v>
      </c>
      <c r="BB380" s="310">
        <v>0.49564900000000001</v>
      </c>
      <c r="BC380" s="310">
        <v>0.4956062</v>
      </c>
      <c r="BD380" s="310">
        <v>0.49685590000000002</v>
      </c>
      <c r="BE380" s="310">
        <v>0.49541210000000002</v>
      </c>
      <c r="BF380" s="310">
        <v>0.49199330000000002</v>
      </c>
      <c r="BG380" s="310">
        <v>0.49381720000000001</v>
      </c>
      <c r="BH380" s="310">
        <v>0.48905720000000003</v>
      </c>
      <c r="BI380" s="310">
        <v>0.49680449999999998</v>
      </c>
      <c r="BJ380" s="310">
        <v>0.496641</v>
      </c>
      <c r="BK380" s="310">
        <v>0.49838369999999999</v>
      </c>
    </row>
    <row r="381" spans="1:63" x14ac:dyDescent="0.25">
      <c r="A381" s="306">
        <v>624200</v>
      </c>
      <c r="B381" s="310" t="s">
        <v>336</v>
      </c>
      <c r="C381" s="310">
        <v>0.3855539</v>
      </c>
      <c r="D381" s="310">
        <v>0.38513900000000001</v>
      </c>
      <c r="E381" s="310">
        <v>0.382326</v>
      </c>
      <c r="F381" s="310">
        <v>0.37986399999999998</v>
      </c>
      <c r="G381" s="310">
        <v>0.38451829999999998</v>
      </c>
      <c r="H381" s="310">
        <v>0.3851019</v>
      </c>
      <c r="I381" s="310">
        <v>0.38398409999999999</v>
      </c>
      <c r="J381" s="310">
        <v>0.37563299999999999</v>
      </c>
      <c r="K381" s="310">
        <v>0.14948539999999999</v>
      </c>
      <c r="L381" s="310">
        <v>0.36249710000000002</v>
      </c>
      <c r="M381" s="310">
        <v>0.38458179999999997</v>
      </c>
      <c r="N381" s="310">
        <v>0.38005050000000001</v>
      </c>
      <c r="O381" s="310">
        <v>0.38488260000000002</v>
      </c>
      <c r="P381" s="310">
        <v>0.37118689999999999</v>
      </c>
      <c r="Q381" s="310">
        <v>0.37993209999999999</v>
      </c>
      <c r="R381" s="310">
        <v>0.37817309999999998</v>
      </c>
      <c r="S381" s="310">
        <v>0.37747589999999998</v>
      </c>
      <c r="T381" s="310">
        <v>0.35817480000000002</v>
      </c>
      <c r="U381" s="310">
        <v>0.36675540000000001</v>
      </c>
      <c r="V381" s="310">
        <v>0.38374000000000003</v>
      </c>
      <c r="W381" s="310">
        <v>0.37435930000000001</v>
      </c>
      <c r="X381" s="310">
        <v>0.36534420000000001</v>
      </c>
      <c r="Y381" s="310">
        <v>0.38355529999999999</v>
      </c>
      <c r="Z381" s="310">
        <v>0.38354840000000001</v>
      </c>
      <c r="AA381" s="310">
        <v>0.37812249999999997</v>
      </c>
      <c r="AB381" s="310">
        <v>0.36585000000000001</v>
      </c>
      <c r="AC381" s="310">
        <v>0.38139909999999999</v>
      </c>
      <c r="AD381" s="310">
        <v>0.38509369999999998</v>
      </c>
      <c r="AE381" s="310">
        <v>0.38024330000000001</v>
      </c>
      <c r="AF381" s="310">
        <v>0.36813000000000001</v>
      </c>
      <c r="AG381" s="310">
        <v>0.37042459999999999</v>
      </c>
      <c r="AH381" s="310">
        <v>0.36576419999999998</v>
      </c>
      <c r="AI381" s="310">
        <v>0.37057200000000001</v>
      </c>
      <c r="AJ381" s="310">
        <v>0.38315280000000002</v>
      </c>
      <c r="AK381" s="310">
        <v>0.37778469999999997</v>
      </c>
      <c r="AL381" s="310">
        <v>0.37358970000000002</v>
      </c>
      <c r="AM381" s="310">
        <v>0.37964920000000002</v>
      </c>
      <c r="AN381" s="310">
        <v>0.38164510000000001</v>
      </c>
      <c r="AO381" s="310">
        <v>0.370506</v>
      </c>
      <c r="AP381" s="310">
        <v>0.37680849999999999</v>
      </c>
      <c r="AQ381" s="310">
        <v>0.35820000000000002</v>
      </c>
      <c r="AR381" s="310">
        <v>0.38144790000000001</v>
      </c>
      <c r="AS381" s="310">
        <v>0.37812020000000002</v>
      </c>
      <c r="AT381" s="310">
        <v>0.37449300000000002</v>
      </c>
      <c r="AU381" s="310">
        <v>0.38339699999999999</v>
      </c>
      <c r="AV381" s="310">
        <v>0.38454270000000002</v>
      </c>
      <c r="AW381" s="310">
        <v>0.36585899999999999</v>
      </c>
      <c r="AX381" s="310">
        <v>0.3711159</v>
      </c>
      <c r="AY381" s="310">
        <v>0.38124439999999998</v>
      </c>
      <c r="AZ381" s="310">
        <v>0.38272909999999999</v>
      </c>
      <c r="BA381" s="310">
        <v>0.36713309999999999</v>
      </c>
      <c r="BB381" s="310">
        <v>0.38159369999999998</v>
      </c>
      <c r="BC381" s="310">
        <v>0.38331100000000001</v>
      </c>
      <c r="BD381" s="310">
        <v>0.38354070000000001</v>
      </c>
      <c r="BE381" s="310">
        <v>0.38281850000000001</v>
      </c>
      <c r="BF381" s="310">
        <v>0.3795172</v>
      </c>
      <c r="BG381" s="310">
        <v>0.38294610000000001</v>
      </c>
      <c r="BH381" s="310">
        <v>0.3780155</v>
      </c>
      <c r="BI381" s="310">
        <v>0.38426060000000001</v>
      </c>
      <c r="BJ381" s="310">
        <v>0.38389689999999999</v>
      </c>
      <c r="BK381" s="310">
        <v>0.38495610000000002</v>
      </c>
    </row>
    <row r="382" spans="1:63" x14ac:dyDescent="0.25">
      <c r="A382" s="306">
        <v>624400</v>
      </c>
      <c r="B382" s="310" t="s">
        <v>334</v>
      </c>
      <c r="C382" s="310">
        <v>0.33003399999999999</v>
      </c>
      <c r="D382" s="310">
        <v>0.32965850000000002</v>
      </c>
      <c r="E382" s="310">
        <v>0.32723180000000002</v>
      </c>
      <c r="F382" s="310">
        <v>0.32520460000000001</v>
      </c>
      <c r="G382" s="310">
        <v>0.32911580000000001</v>
      </c>
      <c r="H382" s="310">
        <v>0.32959749999999999</v>
      </c>
      <c r="I382" s="310">
        <v>0.32865909999999998</v>
      </c>
      <c r="J382" s="310">
        <v>0.32146730000000001</v>
      </c>
      <c r="K382" s="310">
        <v>0.12795970000000001</v>
      </c>
      <c r="L382" s="310">
        <v>0.31031540000000002</v>
      </c>
      <c r="M382" s="310">
        <v>0.3291463</v>
      </c>
      <c r="N382" s="310">
        <v>0.32526670000000002</v>
      </c>
      <c r="O382" s="310">
        <v>0.32947890000000002</v>
      </c>
      <c r="P382" s="310">
        <v>0.3177277</v>
      </c>
      <c r="Q382" s="310">
        <v>0.32523410000000003</v>
      </c>
      <c r="R382" s="310">
        <v>0.32370019999999999</v>
      </c>
      <c r="S382" s="310">
        <v>0.32309349999999998</v>
      </c>
      <c r="T382" s="310">
        <v>0.3065793</v>
      </c>
      <c r="U382" s="310">
        <v>0.31386639999999999</v>
      </c>
      <c r="V382" s="310">
        <v>0.32846540000000002</v>
      </c>
      <c r="W382" s="310">
        <v>0.32043240000000001</v>
      </c>
      <c r="X382" s="310">
        <v>0.31271349999999998</v>
      </c>
      <c r="Y382" s="310">
        <v>0.32828049999999998</v>
      </c>
      <c r="Z382" s="310">
        <v>0.32826749999999999</v>
      </c>
      <c r="AA382" s="310">
        <v>0.32366980000000001</v>
      </c>
      <c r="AB382" s="310">
        <v>0.31313649999999998</v>
      </c>
      <c r="AC382" s="310">
        <v>0.32641170000000003</v>
      </c>
      <c r="AD382" s="310">
        <v>0.32957880000000001</v>
      </c>
      <c r="AE382" s="310">
        <v>0.32549699999999998</v>
      </c>
      <c r="AF382" s="310">
        <v>0.31508609999999998</v>
      </c>
      <c r="AG382" s="310">
        <v>0.31708710000000001</v>
      </c>
      <c r="AH382" s="310">
        <v>0.31305040000000001</v>
      </c>
      <c r="AI382" s="310">
        <v>0.31724380000000002</v>
      </c>
      <c r="AJ382" s="310">
        <v>0.32798090000000002</v>
      </c>
      <c r="AK382" s="310">
        <v>0.3234013</v>
      </c>
      <c r="AL382" s="310">
        <v>0.31978380000000001</v>
      </c>
      <c r="AM382" s="310">
        <v>0.32496700000000001</v>
      </c>
      <c r="AN382" s="310">
        <v>0.32661410000000002</v>
      </c>
      <c r="AO382" s="310">
        <v>0.3171059</v>
      </c>
      <c r="AP382" s="310">
        <v>0.3224863</v>
      </c>
      <c r="AQ382" s="310">
        <v>0.30657800000000002</v>
      </c>
      <c r="AR382" s="310">
        <v>0.32656010000000002</v>
      </c>
      <c r="AS382" s="310">
        <v>0.32364110000000001</v>
      </c>
      <c r="AT382" s="310">
        <v>0.32053690000000001</v>
      </c>
      <c r="AU382" s="310">
        <v>0.32821309999999998</v>
      </c>
      <c r="AV382" s="310">
        <v>0.32913039999999999</v>
      </c>
      <c r="AW382" s="310">
        <v>0.31317830000000002</v>
      </c>
      <c r="AX382" s="310">
        <v>0.31769120000000001</v>
      </c>
      <c r="AY382" s="310">
        <v>0.32632670000000003</v>
      </c>
      <c r="AZ382" s="310">
        <v>0.32761109999999999</v>
      </c>
      <c r="BA382" s="310">
        <v>0.31420360000000003</v>
      </c>
      <c r="BB382" s="310">
        <v>0.32665349999999999</v>
      </c>
      <c r="BC382" s="310">
        <v>0.32812069999999999</v>
      </c>
      <c r="BD382" s="310">
        <v>0.32827770000000001</v>
      </c>
      <c r="BE382" s="310">
        <v>0.32770510000000003</v>
      </c>
      <c r="BF382" s="310">
        <v>0.32485130000000001</v>
      </c>
      <c r="BG382" s="310">
        <v>0.32779320000000001</v>
      </c>
      <c r="BH382" s="310">
        <v>0.323573</v>
      </c>
      <c r="BI382" s="310">
        <v>0.32893990000000001</v>
      </c>
      <c r="BJ382" s="310">
        <v>0.32863550000000002</v>
      </c>
      <c r="BK382" s="310">
        <v>0.32946189999999997</v>
      </c>
    </row>
    <row r="383" spans="1:63" x14ac:dyDescent="0.25">
      <c r="A383" s="306" t="s">
        <v>780</v>
      </c>
      <c r="B383" s="310" t="s">
        <v>335</v>
      </c>
      <c r="C383" s="310">
        <v>0.44047619999999998</v>
      </c>
      <c r="D383" s="310">
        <v>0.43994499999999997</v>
      </c>
      <c r="E383" s="310">
        <v>0.43677880000000002</v>
      </c>
      <c r="F383" s="310">
        <v>0.43397160000000001</v>
      </c>
      <c r="G383" s="310">
        <v>0.43925890000000001</v>
      </c>
      <c r="H383" s="310">
        <v>0.43986639999999999</v>
      </c>
      <c r="I383" s="310">
        <v>0.43857289999999999</v>
      </c>
      <c r="J383" s="310">
        <v>0.4290465</v>
      </c>
      <c r="K383" s="310">
        <v>0.17073169999999999</v>
      </c>
      <c r="L383" s="310">
        <v>0.41417969999999998</v>
      </c>
      <c r="M383" s="310">
        <v>0.43929620000000003</v>
      </c>
      <c r="N383" s="310">
        <v>0.43413109999999999</v>
      </c>
      <c r="O383" s="310">
        <v>0.43973859999999998</v>
      </c>
      <c r="P383" s="310">
        <v>0.42408289999999998</v>
      </c>
      <c r="Q383" s="310">
        <v>0.43399090000000001</v>
      </c>
      <c r="R383" s="310">
        <v>0.43202639999999998</v>
      </c>
      <c r="S383" s="310">
        <v>0.431253</v>
      </c>
      <c r="T383" s="310">
        <v>0.4091283</v>
      </c>
      <c r="U383" s="310">
        <v>0.418958</v>
      </c>
      <c r="V383" s="310">
        <v>0.43836059999999999</v>
      </c>
      <c r="W383" s="310">
        <v>0.42765350000000002</v>
      </c>
      <c r="X383" s="310">
        <v>0.4173538</v>
      </c>
      <c r="Y383" s="310">
        <v>0.43821589999999999</v>
      </c>
      <c r="Z383" s="310">
        <v>0.4381177</v>
      </c>
      <c r="AA383" s="310">
        <v>0.43201620000000002</v>
      </c>
      <c r="AB383" s="310">
        <v>0.4178731</v>
      </c>
      <c r="AC383" s="310">
        <v>0.43561830000000001</v>
      </c>
      <c r="AD383" s="310">
        <v>0.43984580000000001</v>
      </c>
      <c r="AE383" s="310">
        <v>0.43433630000000001</v>
      </c>
      <c r="AF383" s="310">
        <v>0.42050599999999999</v>
      </c>
      <c r="AG383" s="310">
        <v>0.42317399999999999</v>
      </c>
      <c r="AH383" s="310">
        <v>0.41776600000000003</v>
      </c>
      <c r="AI383" s="310">
        <v>0.42338379999999998</v>
      </c>
      <c r="AJ383" s="310">
        <v>0.43768689999999999</v>
      </c>
      <c r="AK383" s="310">
        <v>0.4315755</v>
      </c>
      <c r="AL383" s="310">
        <v>0.42674319999999999</v>
      </c>
      <c r="AM383" s="310">
        <v>0.43374420000000002</v>
      </c>
      <c r="AN383" s="310">
        <v>0.43588100000000002</v>
      </c>
      <c r="AO383" s="310">
        <v>0.4232551</v>
      </c>
      <c r="AP383" s="310">
        <v>0.43043910000000002</v>
      </c>
      <c r="AQ383" s="310">
        <v>0.40919250000000001</v>
      </c>
      <c r="AR383" s="310">
        <v>0.43581239999999999</v>
      </c>
      <c r="AS383" s="310">
        <v>0.4319035</v>
      </c>
      <c r="AT383" s="310">
        <v>0.42778460000000001</v>
      </c>
      <c r="AU383" s="310">
        <v>0.43798419999999999</v>
      </c>
      <c r="AV383" s="310">
        <v>0.43920880000000001</v>
      </c>
      <c r="AW383" s="310">
        <v>0.41792299999999999</v>
      </c>
      <c r="AX383" s="310">
        <v>0.42396810000000001</v>
      </c>
      <c r="AY383" s="310">
        <v>0.43553320000000001</v>
      </c>
      <c r="AZ383" s="310">
        <v>0.43724469999999999</v>
      </c>
      <c r="BA383" s="310">
        <v>0.41936859999999998</v>
      </c>
      <c r="BB383" s="310">
        <v>0.43585180000000001</v>
      </c>
      <c r="BC383" s="310">
        <v>0.43784719999999999</v>
      </c>
      <c r="BD383" s="310">
        <v>0.4381874</v>
      </c>
      <c r="BE383" s="310">
        <v>0.4373319</v>
      </c>
      <c r="BF383" s="310">
        <v>0.43358360000000001</v>
      </c>
      <c r="BG383" s="310">
        <v>0.43744440000000001</v>
      </c>
      <c r="BH383" s="310">
        <v>0.43184129999999998</v>
      </c>
      <c r="BI383" s="310">
        <v>0.43896930000000001</v>
      </c>
      <c r="BJ383" s="310">
        <v>0.43856970000000001</v>
      </c>
      <c r="BK383" s="310">
        <v>0.4396641</v>
      </c>
    </row>
    <row r="384" spans="1:63" x14ac:dyDescent="0.25">
      <c r="A384" s="306">
        <v>711100</v>
      </c>
      <c r="B384" s="310" t="s">
        <v>337</v>
      </c>
      <c r="C384" s="310">
        <v>0.37007970000000001</v>
      </c>
      <c r="D384" s="310">
        <v>0.37009779999999998</v>
      </c>
      <c r="E384" s="310">
        <v>0.33884039999999999</v>
      </c>
      <c r="F384" s="310">
        <v>0.33562360000000002</v>
      </c>
      <c r="G384" s="310">
        <v>0.28681800000000002</v>
      </c>
      <c r="H384" s="310">
        <v>0.36257499999999998</v>
      </c>
      <c r="I384" s="310">
        <v>0.35428019999999999</v>
      </c>
      <c r="J384" s="310">
        <v>0.32932400000000001</v>
      </c>
      <c r="K384" s="310">
        <v>0.16280939999999999</v>
      </c>
      <c r="L384" s="310">
        <v>0.33499289999999998</v>
      </c>
      <c r="M384" s="310">
        <v>0.3261463</v>
      </c>
      <c r="N384" s="310">
        <v>0.34838229999999998</v>
      </c>
      <c r="O384" s="310">
        <v>0.35594710000000002</v>
      </c>
      <c r="P384" s="310">
        <v>0.34518720000000003</v>
      </c>
      <c r="Q384" s="310">
        <v>0.31434220000000002</v>
      </c>
      <c r="R384" s="310">
        <v>0.33980250000000001</v>
      </c>
      <c r="S384" s="310">
        <v>0.34563450000000001</v>
      </c>
      <c r="T384" s="310">
        <v>0.29617690000000002</v>
      </c>
      <c r="U384" s="310">
        <v>0.31365399999999999</v>
      </c>
      <c r="V384" s="310">
        <v>0.35260069999999999</v>
      </c>
      <c r="W384" s="310">
        <v>0.31553569999999997</v>
      </c>
      <c r="X384" s="310">
        <v>0.32114549999999997</v>
      </c>
      <c r="Y384" s="310">
        <v>0.34373589999999998</v>
      </c>
      <c r="Z384" s="310">
        <v>0.35522670000000001</v>
      </c>
      <c r="AA384" s="310">
        <v>0.35896109999999998</v>
      </c>
      <c r="AB384" s="310">
        <v>0.30865540000000002</v>
      </c>
      <c r="AC384" s="310">
        <v>0.3095772</v>
      </c>
      <c r="AD384" s="310">
        <v>0.35352050000000002</v>
      </c>
      <c r="AE384" s="310">
        <v>0.3507942</v>
      </c>
      <c r="AF384" s="310">
        <v>0.3251754</v>
      </c>
      <c r="AG384" s="310">
        <v>0.34924719999999998</v>
      </c>
      <c r="AH384" s="310">
        <v>0.31752580000000002</v>
      </c>
      <c r="AI384" s="310">
        <v>0.31571919999999998</v>
      </c>
      <c r="AJ384" s="310">
        <v>0.34867710000000002</v>
      </c>
      <c r="AK384" s="310">
        <v>0.33956360000000002</v>
      </c>
      <c r="AL384" s="310">
        <v>0.31543759999999998</v>
      </c>
      <c r="AM384" s="310">
        <v>0.32791789999999998</v>
      </c>
      <c r="AN384" s="310">
        <v>0.3647068</v>
      </c>
      <c r="AO384" s="310">
        <v>0.340555</v>
      </c>
      <c r="AP384" s="310">
        <v>0.32031359999999998</v>
      </c>
      <c r="AQ384" s="310">
        <v>0.33005709999999999</v>
      </c>
      <c r="AR384" s="310">
        <v>0.32717970000000002</v>
      </c>
      <c r="AS384" s="310">
        <v>0.32983570000000001</v>
      </c>
      <c r="AT384" s="310">
        <v>0.35426609999999997</v>
      </c>
      <c r="AU384" s="310">
        <v>0.33707009999999998</v>
      </c>
      <c r="AV384" s="310">
        <v>0.35428530000000003</v>
      </c>
      <c r="AW384" s="310">
        <v>0.31692680000000001</v>
      </c>
      <c r="AX384" s="310">
        <v>0.35002709999999998</v>
      </c>
      <c r="AY384" s="310">
        <v>0.3480454</v>
      </c>
      <c r="AZ384" s="310">
        <v>0.34095890000000001</v>
      </c>
      <c r="BA384" s="310">
        <v>0.30264869999999999</v>
      </c>
      <c r="BB384" s="310">
        <v>0.26972810000000003</v>
      </c>
      <c r="BC384" s="310">
        <v>0.33537169999999999</v>
      </c>
      <c r="BD384" s="310">
        <v>0.35315259999999998</v>
      </c>
      <c r="BE384" s="310">
        <v>0.34645009999999998</v>
      </c>
      <c r="BF384" s="310">
        <v>0.34605849999999999</v>
      </c>
      <c r="BG384" s="310">
        <v>0.34285910000000003</v>
      </c>
      <c r="BH384" s="310">
        <v>0.34690559999999998</v>
      </c>
      <c r="BI384" s="310">
        <v>0.34710039999999998</v>
      </c>
      <c r="BJ384" s="310">
        <v>0.32843139999999998</v>
      </c>
      <c r="BK384" s="310">
        <v>0.36357020000000001</v>
      </c>
    </row>
    <row r="385" spans="1:63" x14ac:dyDescent="0.25">
      <c r="A385" s="306">
        <v>711200</v>
      </c>
      <c r="B385" s="310" t="s">
        <v>781</v>
      </c>
      <c r="C385" s="310">
        <v>0.50334659999999998</v>
      </c>
      <c r="D385" s="310">
        <v>0.50334199999999996</v>
      </c>
      <c r="E385" s="310">
        <v>0.46074769999999998</v>
      </c>
      <c r="F385" s="310">
        <v>0.45648630000000001</v>
      </c>
      <c r="G385" s="310">
        <v>0.39004060000000002</v>
      </c>
      <c r="H385" s="310">
        <v>0.4930852</v>
      </c>
      <c r="I385" s="310">
        <v>0.48181550000000001</v>
      </c>
      <c r="J385" s="310">
        <v>0.4478123</v>
      </c>
      <c r="K385" s="310">
        <v>0.22142919999999999</v>
      </c>
      <c r="L385" s="310">
        <v>0.45555370000000001</v>
      </c>
      <c r="M385" s="310">
        <v>0.44358059999999999</v>
      </c>
      <c r="N385" s="310">
        <v>0.47383829999999999</v>
      </c>
      <c r="O385" s="310">
        <v>0.48409210000000003</v>
      </c>
      <c r="P385" s="310">
        <v>0.46952830000000001</v>
      </c>
      <c r="Q385" s="310">
        <v>0.42749540000000003</v>
      </c>
      <c r="R385" s="310">
        <v>0.46214440000000001</v>
      </c>
      <c r="S385" s="310">
        <v>0.47014460000000002</v>
      </c>
      <c r="T385" s="310">
        <v>0.40283229999999998</v>
      </c>
      <c r="U385" s="310">
        <v>0.42656680000000002</v>
      </c>
      <c r="V385" s="310">
        <v>0.47951660000000002</v>
      </c>
      <c r="W385" s="310">
        <v>0.42912440000000002</v>
      </c>
      <c r="X385" s="310">
        <v>0.43675380000000003</v>
      </c>
      <c r="Y385" s="310">
        <v>0.46746549999999998</v>
      </c>
      <c r="Z385" s="310">
        <v>0.48312729999999998</v>
      </c>
      <c r="AA385" s="310">
        <v>0.48816989999999999</v>
      </c>
      <c r="AB385" s="310">
        <v>0.41978789999999999</v>
      </c>
      <c r="AC385" s="310">
        <v>0.42103410000000002</v>
      </c>
      <c r="AD385" s="310">
        <v>0.4807264</v>
      </c>
      <c r="AE385" s="310">
        <v>0.4771031</v>
      </c>
      <c r="AF385" s="310">
        <v>0.44223859999999998</v>
      </c>
      <c r="AG385" s="310">
        <v>0.47494609999999998</v>
      </c>
      <c r="AH385" s="310">
        <v>0.43183110000000002</v>
      </c>
      <c r="AI385" s="310">
        <v>0.42935889999999999</v>
      </c>
      <c r="AJ385" s="310">
        <v>0.47424820000000001</v>
      </c>
      <c r="AK385" s="310">
        <v>0.46183489999999999</v>
      </c>
      <c r="AL385" s="310">
        <v>0.4290042</v>
      </c>
      <c r="AM385" s="310">
        <v>0.44598399999999999</v>
      </c>
      <c r="AN385" s="310">
        <v>0.49602479999999999</v>
      </c>
      <c r="AO385" s="310">
        <v>0.46313729999999997</v>
      </c>
      <c r="AP385" s="310">
        <v>0.43559629999999999</v>
      </c>
      <c r="AQ385" s="310">
        <v>0.44891510000000001</v>
      </c>
      <c r="AR385" s="310">
        <v>0.4449128</v>
      </c>
      <c r="AS385" s="310">
        <v>0.44860149999999999</v>
      </c>
      <c r="AT385" s="310">
        <v>0.4818057</v>
      </c>
      <c r="AU385" s="310">
        <v>0.4584087</v>
      </c>
      <c r="AV385" s="310">
        <v>0.48180460000000003</v>
      </c>
      <c r="AW385" s="310">
        <v>0.4310118</v>
      </c>
      <c r="AX385" s="310">
        <v>0.47614440000000002</v>
      </c>
      <c r="AY385" s="310">
        <v>0.47328589999999998</v>
      </c>
      <c r="AZ385" s="310">
        <v>0.46370169999999999</v>
      </c>
      <c r="BA385" s="310">
        <v>0.41155710000000001</v>
      </c>
      <c r="BB385" s="310">
        <v>0.36685220000000002</v>
      </c>
      <c r="BC385" s="310">
        <v>0.45605010000000001</v>
      </c>
      <c r="BD385" s="310">
        <v>0.48034650000000001</v>
      </c>
      <c r="BE385" s="310">
        <v>0.4711765</v>
      </c>
      <c r="BF385" s="310">
        <v>0.47061989999999998</v>
      </c>
      <c r="BG385" s="310">
        <v>0.46624379999999999</v>
      </c>
      <c r="BH385" s="310">
        <v>0.47177000000000002</v>
      </c>
      <c r="BI385" s="310">
        <v>0.47202499999999997</v>
      </c>
      <c r="BJ385" s="310">
        <v>0.44665290000000002</v>
      </c>
      <c r="BK385" s="310">
        <v>0.49446580000000001</v>
      </c>
    </row>
    <row r="386" spans="1:63" x14ac:dyDescent="0.25">
      <c r="A386" s="306">
        <v>711500</v>
      </c>
      <c r="B386" s="310" t="s">
        <v>339</v>
      </c>
      <c r="C386" s="310">
        <v>0.29374679999999997</v>
      </c>
      <c r="D386" s="310">
        <v>0.29378919999999997</v>
      </c>
      <c r="E386" s="310">
        <v>0.26888919999999999</v>
      </c>
      <c r="F386" s="310">
        <v>0.26644079999999998</v>
      </c>
      <c r="G386" s="310">
        <v>0.22764110000000001</v>
      </c>
      <c r="H386" s="310">
        <v>0.28780939999999999</v>
      </c>
      <c r="I386" s="310">
        <v>0.28120220000000001</v>
      </c>
      <c r="J386" s="310">
        <v>0.26137359999999998</v>
      </c>
      <c r="K386" s="310">
        <v>0.12922339999999999</v>
      </c>
      <c r="L386" s="310">
        <v>0.26587850000000002</v>
      </c>
      <c r="M386" s="310">
        <v>0.25889489999999998</v>
      </c>
      <c r="N386" s="310">
        <v>0.2765357</v>
      </c>
      <c r="O386" s="310">
        <v>0.28250750000000002</v>
      </c>
      <c r="P386" s="310">
        <v>0.27402070000000001</v>
      </c>
      <c r="Q386" s="310">
        <v>0.24954190000000001</v>
      </c>
      <c r="R386" s="310">
        <v>0.26974559999999997</v>
      </c>
      <c r="S386" s="310">
        <v>0.2743893</v>
      </c>
      <c r="T386" s="310">
        <v>0.23509369999999999</v>
      </c>
      <c r="U386" s="310">
        <v>0.24895909999999999</v>
      </c>
      <c r="V386" s="310">
        <v>0.27984819999999999</v>
      </c>
      <c r="W386" s="310">
        <v>0.2504422</v>
      </c>
      <c r="X386" s="310">
        <v>0.25493690000000002</v>
      </c>
      <c r="Y386" s="310">
        <v>0.27282020000000001</v>
      </c>
      <c r="Z386" s="310">
        <v>0.28196060000000001</v>
      </c>
      <c r="AA386" s="310">
        <v>0.28489799999999998</v>
      </c>
      <c r="AB386" s="310">
        <v>0.24499779999999999</v>
      </c>
      <c r="AC386" s="310">
        <v>0.24573439999999999</v>
      </c>
      <c r="AD386" s="310">
        <v>0.2806131</v>
      </c>
      <c r="AE386" s="310">
        <v>0.27842840000000002</v>
      </c>
      <c r="AF386" s="310">
        <v>0.25805600000000001</v>
      </c>
      <c r="AG386" s="310">
        <v>0.27722200000000002</v>
      </c>
      <c r="AH386" s="310">
        <v>0.25204310000000002</v>
      </c>
      <c r="AI386" s="310">
        <v>0.25063990000000003</v>
      </c>
      <c r="AJ386" s="310">
        <v>0.27676909999999999</v>
      </c>
      <c r="AK386" s="310">
        <v>0.26955960000000001</v>
      </c>
      <c r="AL386" s="310">
        <v>0.2504226</v>
      </c>
      <c r="AM386" s="310">
        <v>0.26033509999999999</v>
      </c>
      <c r="AN386" s="310">
        <v>0.2895161</v>
      </c>
      <c r="AO386" s="310">
        <v>0.27031139999999998</v>
      </c>
      <c r="AP386" s="310">
        <v>0.25422309999999998</v>
      </c>
      <c r="AQ386" s="310">
        <v>0.26194440000000002</v>
      </c>
      <c r="AR386" s="310">
        <v>0.2597139</v>
      </c>
      <c r="AS386" s="310">
        <v>0.26175900000000002</v>
      </c>
      <c r="AT386" s="310">
        <v>0.28117579999999998</v>
      </c>
      <c r="AU386" s="310">
        <v>0.26755309999999999</v>
      </c>
      <c r="AV386" s="310">
        <v>0.28118919999999997</v>
      </c>
      <c r="AW386" s="310">
        <v>0.25156919999999999</v>
      </c>
      <c r="AX386" s="310">
        <v>0.27790900000000002</v>
      </c>
      <c r="AY386" s="310">
        <v>0.2762464</v>
      </c>
      <c r="AZ386" s="310">
        <v>0.27067099999999999</v>
      </c>
      <c r="BA386" s="310">
        <v>0.2402089</v>
      </c>
      <c r="BB386" s="310">
        <v>0.21416009999999999</v>
      </c>
      <c r="BC386" s="310">
        <v>0.26616840000000003</v>
      </c>
      <c r="BD386" s="310">
        <v>0.28035179999999998</v>
      </c>
      <c r="BE386" s="310">
        <v>0.2749895</v>
      </c>
      <c r="BF386" s="310">
        <v>0.2746575</v>
      </c>
      <c r="BG386" s="310">
        <v>0.27212120000000001</v>
      </c>
      <c r="BH386" s="310">
        <v>0.27532580000000001</v>
      </c>
      <c r="BI386" s="310">
        <v>0.2755338</v>
      </c>
      <c r="BJ386" s="310">
        <v>0.26068920000000001</v>
      </c>
      <c r="BK386" s="310">
        <v>0.28857579999999999</v>
      </c>
    </row>
    <row r="387" spans="1:63" x14ac:dyDescent="0.25">
      <c r="A387" s="306" t="s">
        <v>782</v>
      </c>
      <c r="B387" s="310" t="s">
        <v>338</v>
      </c>
      <c r="C387" s="310">
        <v>0.27484940000000002</v>
      </c>
      <c r="D387" s="310">
        <v>0.27488190000000001</v>
      </c>
      <c r="E387" s="310">
        <v>0.2516253</v>
      </c>
      <c r="F387" s="310">
        <v>0.24929180000000001</v>
      </c>
      <c r="G387" s="310">
        <v>0.2129848</v>
      </c>
      <c r="H387" s="310">
        <v>0.26928609999999997</v>
      </c>
      <c r="I387" s="310">
        <v>0.26309860000000002</v>
      </c>
      <c r="J387" s="310">
        <v>0.24453920000000001</v>
      </c>
      <c r="K387" s="310">
        <v>0.1209041</v>
      </c>
      <c r="L387" s="310">
        <v>0.24878410000000001</v>
      </c>
      <c r="M387" s="310">
        <v>0.24224190000000001</v>
      </c>
      <c r="N387" s="310">
        <v>0.25871880000000003</v>
      </c>
      <c r="O387" s="310">
        <v>0.26431579999999999</v>
      </c>
      <c r="P387" s="310">
        <v>0.25634279999999998</v>
      </c>
      <c r="Q387" s="310">
        <v>0.23345859999999999</v>
      </c>
      <c r="R387" s="310">
        <v>0.25238359999999999</v>
      </c>
      <c r="S387" s="310">
        <v>0.2567004</v>
      </c>
      <c r="T387" s="310">
        <v>0.2199556</v>
      </c>
      <c r="U387" s="310">
        <v>0.2329262</v>
      </c>
      <c r="V387" s="310">
        <v>0.26185550000000002</v>
      </c>
      <c r="W387" s="310">
        <v>0.23428599999999999</v>
      </c>
      <c r="X387" s="310">
        <v>0.2384886</v>
      </c>
      <c r="Y387" s="310">
        <v>0.2552277</v>
      </c>
      <c r="Z387" s="310">
        <v>0.26384809999999997</v>
      </c>
      <c r="AA387" s="310">
        <v>0.26657779999999998</v>
      </c>
      <c r="AB387" s="310">
        <v>0.22922090000000001</v>
      </c>
      <c r="AC387" s="310">
        <v>0.22992090000000001</v>
      </c>
      <c r="AD387" s="310">
        <v>0.26250620000000002</v>
      </c>
      <c r="AE387" s="310">
        <v>0.26051190000000002</v>
      </c>
      <c r="AF387" s="310">
        <v>0.24149899999999999</v>
      </c>
      <c r="AG387" s="310">
        <v>0.25936700000000001</v>
      </c>
      <c r="AH387" s="310">
        <v>0.2357812</v>
      </c>
      <c r="AI387" s="310">
        <v>0.23445559999999999</v>
      </c>
      <c r="AJ387" s="310">
        <v>0.2589611</v>
      </c>
      <c r="AK387" s="310">
        <v>0.2521873</v>
      </c>
      <c r="AL387" s="310">
        <v>0.234295</v>
      </c>
      <c r="AM387" s="310">
        <v>0.2435474</v>
      </c>
      <c r="AN387" s="310">
        <v>0.27083620000000003</v>
      </c>
      <c r="AO387" s="310">
        <v>0.2529342</v>
      </c>
      <c r="AP387" s="310">
        <v>0.23785800000000001</v>
      </c>
      <c r="AQ387" s="310">
        <v>0.24508440000000001</v>
      </c>
      <c r="AR387" s="310">
        <v>0.24295520000000001</v>
      </c>
      <c r="AS387" s="310">
        <v>0.2449711</v>
      </c>
      <c r="AT387" s="310">
        <v>0.26310800000000001</v>
      </c>
      <c r="AU387" s="310">
        <v>0.25032339999999997</v>
      </c>
      <c r="AV387" s="310">
        <v>0.26313979999999998</v>
      </c>
      <c r="AW387" s="310">
        <v>0.23534669999999999</v>
      </c>
      <c r="AX387" s="310">
        <v>0.25999080000000002</v>
      </c>
      <c r="AY387" s="310">
        <v>0.2584901</v>
      </c>
      <c r="AZ387" s="310">
        <v>0.25322650000000002</v>
      </c>
      <c r="BA387" s="310">
        <v>0.2247585</v>
      </c>
      <c r="BB387" s="310">
        <v>0.2003403</v>
      </c>
      <c r="BC387" s="310">
        <v>0.24903919999999999</v>
      </c>
      <c r="BD387" s="310">
        <v>0.26228400000000002</v>
      </c>
      <c r="BE387" s="310">
        <v>0.25728410000000002</v>
      </c>
      <c r="BF387" s="310">
        <v>0.25700200000000001</v>
      </c>
      <c r="BG387" s="310">
        <v>0.25460680000000002</v>
      </c>
      <c r="BH387" s="310">
        <v>0.25763999999999998</v>
      </c>
      <c r="BI387" s="310">
        <v>0.25777050000000001</v>
      </c>
      <c r="BJ387" s="310">
        <v>0.24388170000000001</v>
      </c>
      <c r="BK387" s="310">
        <v>0.2699936</v>
      </c>
    </row>
    <row r="388" spans="1:63" x14ac:dyDescent="0.25">
      <c r="A388" s="306">
        <v>712000</v>
      </c>
      <c r="B388" s="310" t="s">
        <v>340</v>
      </c>
      <c r="C388" s="310">
        <v>0.47581420000000002</v>
      </c>
      <c r="D388" s="310">
        <v>0.47443449999999998</v>
      </c>
      <c r="E388" s="310">
        <v>0.46916029999999997</v>
      </c>
      <c r="F388" s="310">
        <v>0.46353719999999998</v>
      </c>
      <c r="G388" s="310">
        <v>0.4679045</v>
      </c>
      <c r="H388" s="310">
        <v>0.47493449999999998</v>
      </c>
      <c r="I388" s="310">
        <v>0.47503089999999998</v>
      </c>
      <c r="J388" s="310">
        <v>0.43987320000000002</v>
      </c>
      <c r="K388" s="310">
        <v>0.1220832</v>
      </c>
      <c r="L388" s="310">
        <v>0.39301170000000002</v>
      </c>
      <c r="M388" s="310">
        <v>0.46975509999999998</v>
      </c>
      <c r="N388" s="310">
        <v>0.45905760000000001</v>
      </c>
      <c r="O388" s="310">
        <v>0.47578999999999999</v>
      </c>
      <c r="P388" s="310">
        <v>0.47060350000000001</v>
      </c>
      <c r="Q388" s="310">
        <v>0.47581970000000001</v>
      </c>
      <c r="R388" s="310">
        <v>0.46800209999999998</v>
      </c>
      <c r="S388" s="310">
        <v>0.4678445</v>
      </c>
      <c r="T388" s="310">
        <v>0.4565437</v>
      </c>
      <c r="U388" s="310">
        <v>0.44270110000000001</v>
      </c>
      <c r="V388" s="310">
        <v>0.46702199999999999</v>
      </c>
      <c r="W388" s="310">
        <v>0.45490009999999997</v>
      </c>
      <c r="X388" s="310">
        <v>0.43194850000000001</v>
      </c>
      <c r="Y388" s="310">
        <v>0.47096399999999999</v>
      </c>
      <c r="Z388" s="310">
        <v>0.469831</v>
      </c>
      <c r="AA388" s="310">
        <v>0.46725240000000001</v>
      </c>
      <c r="AB388" s="310">
        <v>0.40152769999999999</v>
      </c>
      <c r="AC388" s="310">
        <v>0.45752199999999998</v>
      </c>
      <c r="AD388" s="310">
        <v>0.47125850000000002</v>
      </c>
      <c r="AE388" s="310">
        <v>0.46696470000000001</v>
      </c>
      <c r="AF388" s="310">
        <v>0.44132539999999998</v>
      </c>
      <c r="AG388" s="310">
        <v>0.44971070000000002</v>
      </c>
      <c r="AH388" s="310">
        <v>0.4246955</v>
      </c>
      <c r="AI388" s="310">
        <v>0.40786689999999998</v>
      </c>
      <c r="AJ388" s="310">
        <v>0.47475260000000002</v>
      </c>
      <c r="AK388" s="310">
        <v>0.45430199999999998</v>
      </c>
      <c r="AL388" s="310">
        <v>0.43595830000000002</v>
      </c>
      <c r="AM388" s="310">
        <v>0.45630759999999998</v>
      </c>
      <c r="AN388" s="310">
        <v>0.47491939999999999</v>
      </c>
      <c r="AO388" s="310">
        <v>0.47351799999999999</v>
      </c>
      <c r="AP388" s="310">
        <v>0.4453009</v>
      </c>
      <c r="AQ388" s="310">
        <v>0.4252573</v>
      </c>
      <c r="AR388" s="310">
        <v>0.44598910000000003</v>
      </c>
      <c r="AS388" s="310">
        <v>0.47581800000000002</v>
      </c>
      <c r="AT388" s="310">
        <v>0.45605129999999999</v>
      </c>
      <c r="AU388" s="310">
        <v>0.46831739999999999</v>
      </c>
      <c r="AV388" s="310">
        <v>0.46522150000000001</v>
      </c>
      <c r="AW388" s="310">
        <v>0.44571430000000001</v>
      </c>
      <c r="AX388" s="310">
        <v>0.44547870000000001</v>
      </c>
      <c r="AY388" s="310">
        <v>0.47092279999999997</v>
      </c>
      <c r="AZ388" s="310">
        <v>0.47146280000000002</v>
      </c>
      <c r="BA388" s="310">
        <v>0.34751769999999998</v>
      </c>
      <c r="BB388" s="310">
        <v>0.43803550000000002</v>
      </c>
      <c r="BC388" s="310">
        <v>0.47138069999999999</v>
      </c>
      <c r="BD388" s="310">
        <v>0.46801860000000001</v>
      </c>
      <c r="BE388" s="310">
        <v>0.47010210000000002</v>
      </c>
      <c r="BF388" s="310">
        <v>0.46484950000000003</v>
      </c>
      <c r="BG388" s="310">
        <v>0.4688427</v>
      </c>
      <c r="BH388" s="310">
        <v>0.46260099999999998</v>
      </c>
      <c r="BI388" s="310">
        <v>0.47048790000000001</v>
      </c>
      <c r="BJ388" s="310">
        <v>0.47364289999999998</v>
      </c>
      <c r="BK388" s="310">
        <v>0.47521780000000002</v>
      </c>
    </row>
    <row r="389" spans="1:63" x14ac:dyDescent="0.25">
      <c r="A389" s="306">
        <v>713940</v>
      </c>
      <c r="B389" s="310" t="s">
        <v>341</v>
      </c>
      <c r="C389" s="310">
        <v>0.34133259999999999</v>
      </c>
      <c r="D389" s="310">
        <v>0.33855950000000001</v>
      </c>
      <c r="E389" s="310">
        <v>0.33221250000000002</v>
      </c>
      <c r="F389" s="310">
        <v>0.33001849999999999</v>
      </c>
      <c r="G389" s="310">
        <v>0.33312039999999998</v>
      </c>
      <c r="H389" s="310">
        <v>0.33937729999999999</v>
      </c>
      <c r="I389" s="310">
        <v>0.33693089999999998</v>
      </c>
      <c r="J389" s="310">
        <v>0.30275930000000001</v>
      </c>
      <c r="K389" s="310">
        <v>9.3596799999999994E-2</v>
      </c>
      <c r="L389" s="310">
        <v>0.28591369999999999</v>
      </c>
      <c r="M389" s="310">
        <v>0.3362057</v>
      </c>
      <c r="N389" s="310">
        <v>0.33108340000000003</v>
      </c>
      <c r="O389" s="310">
        <v>0.3357579</v>
      </c>
      <c r="P389" s="310">
        <v>0.28209649999999997</v>
      </c>
      <c r="Q389" s="310">
        <v>0.33052049999999999</v>
      </c>
      <c r="R389" s="310">
        <v>0.32660509999999998</v>
      </c>
      <c r="S389" s="310">
        <v>0.2940161</v>
      </c>
      <c r="T389" s="310">
        <v>0.31327240000000001</v>
      </c>
      <c r="U389" s="310">
        <v>0.31971440000000001</v>
      </c>
      <c r="V389" s="310">
        <v>0.33588469999999998</v>
      </c>
      <c r="W389" s="310">
        <v>0.31804389999999999</v>
      </c>
      <c r="X389" s="310">
        <v>0.31561529999999999</v>
      </c>
      <c r="Y389" s="310">
        <v>0.33615440000000002</v>
      </c>
      <c r="Z389" s="310">
        <v>0.33793840000000003</v>
      </c>
      <c r="AA389" s="310">
        <v>0.33192660000000002</v>
      </c>
      <c r="AB389" s="310">
        <v>0.31206070000000002</v>
      </c>
      <c r="AC389" s="310">
        <v>0.30055359999999998</v>
      </c>
      <c r="AD389" s="310">
        <v>0.34031250000000002</v>
      </c>
      <c r="AE389" s="310">
        <v>0.3318238</v>
      </c>
      <c r="AF389" s="310">
        <v>0.30142219999999997</v>
      </c>
      <c r="AG389" s="310">
        <v>0.32626359999999999</v>
      </c>
      <c r="AH389" s="310">
        <v>0.31230669999999999</v>
      </c>
      <c r="AI389" s="310">
        <v>0.33058769999999998</v>
      </c>
      <c r="AJ389" s="310">
        <v>0.33361849999999998</v>
      </c>
      <c r="AK389" s="310">
        <v>0.31936759999999997</v>
      </c>
      <c r="AL389" s="310">
        <v>0.31382529999999997</v>
      </c>
      <c r="AM389" s="310">
        <v>0.33085290000000001</v>
      </c>
      <c r="AN389" s="310">
        <v>0.33625880000000002</v>
      </c>
      <c r="AO389" s="310">
        <v>0.33047389999999999</v>
      </c>
      <c r="AP389" s="310">
        <v>0.32687129999999998</v>
      </c>
      <c r="AQ389" s="310">
        <v>0.30992009999999998</v>
      </c>
      <c r="AR389" s="310">
        <v>0.32584999999999997</v>
      </c>
      <c r="AS389" s="310">
        <v>0.32658789999999999</v>
      </c>
      <c r="AT389" s="310">
        <v>0.32056679999999999</v>
      </c>
      <c r="AU389" s="310">
        <v>0.33819500000000002</v>
      </c>
      <c r="AV389" s="310">
        <v>0.32267220000000002</v>
      </c>
      <c r="AW389" s="310">
        <v>0.32018980000000002</v>
      </c>
      <c r="AX389" s="310">
        <v>0.3232197</v>
      </c>
      <c r="AY389" s="310">
        <v>0.33710620000000002</v>
      </c>
      <c r="AZ389" s="310">
        <v>0.3363216</v>
      </c>
      <c r="BA389" s="310">
        <v>0.30801889999999998</v>
      </c>
      <c r="BB389" s="310">
        <v>0.31710929999999998</v>
      </c>
      <c r="BC389" s="310">
        <v>0.3362057</v>
      </c>
      <c r="BD389" s="310">
        <v>0.33615650000000002</v>
      </c>
      <c r="BE389" s="310">
        <v>0.33420040000000001</v>
      </c>
      <c r="BF389" s="310">
        <v>0.32912760000000002</v>
      </c>
      <c r="BG389" s="310">
        <v>0.33722190000000002</v>
      </c>
      <c r="BH389" s="310">
        <v>0.32930510000000002</v>
      </c>
      <c r="BI389" s="310">
        <v>0.33904960000000001</v>
      </c>
      <c r="BJ389" s="310">
        <v>0.33466459999999998</v>
      </c>
      <c r="BK389" s="310">
        <v>0.33972829999999998</v>
      </c>
    </row>
    <row r="390" spans="1:63" x14ac:dyDescent="0.25">
      <c r="A390" s="306">
        <v>713950</v>
      </c>
      <c r="B390" s="310" t="s">
        <v>342</v>
      </c>
      <c r="C390" s="310">
        <v>0.32218449999999998</v>
      </c>
      <c r="D390" s="310">
        <v>0.31961479999999998</v>
      </c>
      <c r="E390" s="310">
        <v>0.31360670000000002</v>
      </c>
      <c r="F390" s="310">
        <v>0.31151669999999998</v>
      </c>
      <c r="G390" s="310">
        <v>0.3144575</v>
      </c>
      <c r="H390" s="310">
        <v>0.32038420000000001</v>
      </c>
      <c r="I390" s="310">
        <v>0.3180114</v>
      </c>
      <c r="J390" s="310">
        <v>0.28582809999999997</v>
      </c>
      <c r="K390" s="310">
        <v>8.83491E-2</v>
      </c>
      <c r="L390" s="310">
        <v>0.26992959999999999</v>
      </c>
      <c r="M390" s="310">
        <v>0.31740689999999999</v>
      </c>
      <c r="N390" s="310">
        <v>0.3125696</v>
      </c>
      <c r="O390" s="310">
        <v>0.31692749999999997</v>
      </c>
      <c r="P390" s="310">
        <v>0.26627899999999999</v>
      </c>
      <c r="Q390" s="310">
        <v>0.31202439999999998</v>
      </c>
      <c r="R390" s="310">
        <v>0.30830259999999998</v>
      </c>
      <c r="S390" s="310">
        <v>0.27754800000000002</v>
      </c>
      <c r="T390" s="310">
        <v>0.29572470000000001</v>
      </c>
      <c r="U390" s="310">
        <v>0.30177999999999999</v>
      </c>
      <c r="V390" s="310">
        <v>0.31709019999999999</v>
      </c>
      <c r="W390" s="310">
        <v>0.30024879999999998</v>
      </c>
      <c r="X390" s="310">
        <v>0.29789739999999998</v>
      </c>
      <c r="Y390" s="310">
        <v>0.3173222</v>
      </c>
      <c r="Z390" s="310">
        <v>0.31898660000000001</v>
      </c>
      <c r="AA390" s="310">
        <v>0.31332379999999999</v>
      </c>
      <c r="AB390" s="310">
        <v>0.2945603</v>
      </c>
      <c r="AC390" s="310">
        <v>0.28368510000000002</v>
      </c>
      <c r="AD390" s="310">
        <v>0.32123040000000003</v>
      </c>
      <c r="AE390" s="310">
        <v>0.31326290000000001</v>
      </c>
      <c r="AF390" s="310">
        <v>0.28456330000000002</v>
      </c>
      <c r="AG390" s="310">
        <v>0.30796249999999997</v>
      </c>
      <c r="AH390" s="310">
        <v>0.29481659999999998</v>
      </c>
      <c r="AI390" s="310">
        <v>0.3120946</v>
      </c>
      <c r="AJ390" s="310">
        <v>0.31492330000000002</v>
      </c>
      <c r="AK390" s="310">
        <v>0.30151860000000003</v>
      </c>
      <c r="AL390" s="310">
        <v>0.29631800000000003</v>
      </c>
      <c r="AM390" s="310">
        <v>0.31237470000000001</v>
      </c>
      <c r="AN390" s="310">
        <v>0.31741809999999998</v>
      </c>
      <c r="AO390" s="310">
        <v>0.31198540000000002</v>
      </c>
      <c r="AP390" s="310">
        <v>0.3085136</v>
      </c>
      <c r="AQ390" s="310">
        <v>0.29258869999999998</v>
      </c>
      <c r="AR390" s="310">
        <v>0.30756879999999998</v>
      </c>
      <c r="AS390" s="310">
        <v>0.30833969999999999</v>
      </c>
      <c r="AT390" s="310">
        <v>0.30255219999999999</v>
      </c>
      <c r="AU390" s="310">
        <v>0.31925120000000001</v>
      </c>
      <c r="AV390" s="310">
        <v>0.30464409999999997</v>
      </c>
      <c r="AW390" s="310">
        <v>0.30229200000000001</v>
      </c>
      <c r="AX390" s="310">
        <v>0.30514479999999999</v>
      </c>
      <c r="AY390" s="310">
        <v>0.31820199999999998</v>
      </c>
      <c r="AZ390" s="310">
        <v>0.31742300000000001</v>
      </c>
      <c r="BA390" s="310">
        <v>0.29074</v>
      </c>
      <c r="BB390" s="310">
        <v>0.29933569999999998</v>
      </c>
      <c r="BC390" s="310">
        <v>0.31735419999999998</v>
      </c>
      <c r="BD390" s="310">
        <v>0.31729030000000003</v>
      </c>
      <c r="BE390" s="310">
        <v>0.3154787</v>
      </c>
      <c r="BF390" s="310">
        <v>0.31068869999999998</v>
      </c>
      <c r="BG390" s="310">
        <v>0.31834099999999999</v>
      </c>
      <c r="BH390" s="310">
        <v>0.31086330000000001</v>
      </c>
      <c r="BI390" s="310">
        <v>0.32009520000000002</v>
      </c>
      <c r="BJ390" s="310">
        <v>0.31594</v>
      </c>
      <c r="BK390" s="310">
        <v>0.3206698</v>
      </c>
    </row>
    <row r="391" spans="1:63" x14ac:dyDescent="0.25">
      <c r="A391" s="306" t="s">
        <v>783</v>
      </c>
      <c r="B391" s="310" t="s">
        <v>343</v>
      </c>
      <c r="C391" s="310">
        <v>0.38767980000000002</v>
      </c>
      <c r="D391" s="310">
        <v>0.38460870000000003</v>
      </c>
      <c r="E391" s="310">
        <v>0.37738339999999998</v>
      </c>
      <c r="F391" s="310">
        <v>0.37488389999999999</v>
      </c>
      <c r="G391" s="310">
        <v>0.37833509999999998</v>
      </c>
      <c r="H391" s="310">
        <v>0.38550000000000001</v>
      </c>
      <c r="I391" s="310">
        <v>0.38271040000000001</v>
      </c>
      <c r="J391" s="310">
        <v>0.3439083</v>
      </c>
      <c r="K391" s="310">
        <v>0.1063335</v>
      </c>
      <c r="L391" s="310">
        <v>0.32478069999999998</v>
      </c>
      <c r="M391" s="310">
        <v>0.38194230000000001</v>
      </c>
      <c r="N391" s="310">
        <v>0.37608330000000001</v>
      </c>
      <c r="O391" s="310">
        <v>0.38141130000000001</v>
      </c>
      <c r="P391" s="310">
        <v>0.32050529999999999</v>
      </c>
      <c r="Q391" s="310">
        <v>0.3754054</v>
      </c>
      <c r="R391" s="310">
        <v>0.37104039999999999</v>
      </c>
      <c r="S391" s="310">
        <v>0.33400429999999998</v>
      </c>
      <c r="T391" s="310">
        <v>0.35584830000000001</v>
      </c>
      <c r="U391" s="310">
        <v>0.36319869999999999</v>
      </c>
      <c r="V391" s="310">
        <v>0.38154100000000002</v>
      </c>
      <c r="W391" s="310">
        <v>0.36126459999999999</v>
      </c>
      <c r="X391" s="310">
        <v>0.35845779999999999</v>
      </c>
      <c r="Y391" s="310">
        <v>0.38188620000000001</v>
      </c>
      <c r="Z391" s="310">
        <v>0.38377990000000001</v>
      </c>
      <c r="AA391" s="310">
        <v>0.37703759999999997</v>
      </c>
      <c r="AB391" s="310">
        <v>0.35444720000000002</v>
      </c>
      <c r="AC391" s="310">
        <v>0.34143040000000002</v>
      </c>
      <c r="AD391" s="310">
        <v>0.38651469999999999</v>
      </c>
      <c r="AE391" s="310">
        <v>0.37693179999999998</v>
      </c>
      <c r="AF391" s="310">
        <v>0.34240599999999999</v>
      </c>
      <c r="AG391" s="310">
        <v>0.37064340000000001</v>
      </c>
      <c r="AH391" s="310">
        <v>0.3548</v>
      </c>
      <c r="AI391" s="310">
        <v>0.37551269999999998</v>
      </c>
      <c r="AJ391" s="310">
        <v>0.378992</v>
      </c>
      <c r="AK391" s="310">
        <v>0.36278919999999998</v>
      </c>
      <c r="AL391" s="310">
        <v>0.35651969999999999</v>
      </c>
      <c r="AM391" s="310">
        <v>0.37583470000000002</v>
      </c>
      <c r="AN391" s="310">
        <v>0.38202799999999998</v>
      </c>
      <c r="AO391" s="310">
        <v>0.37540859999999998</v>
      </c>
      <c r="AP391" s="310">
        <v>0.37125469999999999</v>
      </c>
      <c r="AQ391" s="310">
        <v>0.35205900000000001</v>
      </c>
      <c r="AR391" s="310">
        <v>0.37016759999999999</v>
      </c>
      <c r="AS391" s="310">
        <v>0.3710021</v>
      </c>
      <c r="AT391" s="310">
        <v>0.36405349999999997</v>
      </c>
      <c r="AU391" s="310">
        <v>0.3842044</v>
      </c>
      <c r="AV391" s="310">
        <v>0.36657230000000002</v>
      </c>
      <c r="AW391" s="310">
        <v>0.36374990000000001</v>
      </c>
      <c r="AX391" s="310">
        <v>0.3671449</v>
      </c>
      <c r="AY391" s="310">
        <v>0.38290350000000001</v>
      </c>
      <c r="AZ391" s="310">
        <v>0.38199709999999998</v>
      </c>
      <c r="BA391" s="310">
        <v>0.34984549999999998</v>
      </c>
      <c r="BB391" s="310">
        <v>0.36025230000000003</v>
      </c>
      <c r="BC391" s="310">
        <v>0.3819034</v>
      </c>
      <c r="BD391" s="310">
        <v>0.38183600000000001</v>
      </c>
      <c r="BE391" s="310">
        <v>0.37963180000000002</v>
      </c>
      <c r="BF391" s="310">
        <v>0.37382880000000002</v>
      </c>
      <c r="BG391" s="310">
        <v>0.38301099999999999</v>
      </c>
      <c r="BH391" s="310">
        <v>0.3740869</v>
      </c>
      <c r="BI391" s="310">
        <v>0.38516729999999999</v>
      </c>
      <c r="BJ391" s="310">
        <v>0.38013239999999998</v>
      </c>
      <c r="BK391" s="310">
        <v>0.38585140000000001</v>
      </c>
    </row>
    <row r="392" spans="1:63" x14ac:dyDescent="0.25">
      <c r="A392" s="306" t="s">
        <v>784</v>
      </c>
      <c r="B392" s="310" t="s">
        <v>344</v>
      </c>
      <c r="C392" s="310">
        <v>0.35014780000000001</v>
      </c>
      <c r="D392" s="310">
        <v>0.347358</v>
      </c>
      <c r="E392" s="310">
        <v>0.34083029999999997</v>
      </c>
      <c r="F392" s="310">
        <v>0.33860410000000002</v>
      </c>
      <c r="G392" s="310">
        <v>0.34171420000000002</v>
      </c>
      <c r="H392" s="310">
        <v>0.34820200000000001</v>
      </c>
      <c r="I392" s="310">
        <v>0.3456109</v>
      </c>
      <c r="J392" s="310">
        <v>0.31058550000000001</v>
      </c>
      <c r="K392" s="310">
        <v>9.6036999999999997E-2</v>
      </c>
      <c r="L392" s="310">
        <v>0.29338999999999998</v>
      </c>
      <c r="M392" s="310">
        <v>0.34489880000000001</v>
      </c>
      <c r="N392" s="310">
        <v>0.3396979</v>
      </c>
      <c r="O392" s="310">
        <v>0.34447949999999999</v>
      </c>
      <c r="P392" s="310">
        <v>0.2894716</v>
      </c>
      <c r="Q392" s="310">
        <v>0.33910709999999999</v>
      </c>
      <c r="R392" s="310">
        <v>0.33504790000000001</v>
      </c>
      <c r="S392" s="310">
        <v>0.30164920000000001</v>
      </c>
      <c r="T392" s="310">
        <v>0.32136320000000002</v>
      </c>
      <c r="U392" s="310">
        <v>0.3279994</v>
      </c>
      <c r="V392" s="310">
        <v>0.34458090000000002</v>
      </c>
      <c r="W392" s="310">
        <v>0.32632879999999997</v>
      </c>
      <c r="X392" s="310">
        <v>0.32380320000000001</v>
      </c>
      <c r="Y392" s="310">
        <v>0.34489690000000001</v>
      </c>
      <c r="Z392" s="310">
        <v>0.3466207</v>
      </c>
      <c r="AA392" s="310">
        <v>0.34050920000000001</v>
      </c>
      <c r="AB392" s="310">
        <v>0.32010349999999999</v>
      </c>
      <c r="AC392" s="310">
        <v>0.30832929999999997</v>
      </c>
      <c r="AD392" s="310">
        <v>0.34906900000000002</v>
      </c>
      <c r="AE392" s="310">
        <v>0.34041100000000002</v>
      </c>
      <c r="AF392" s="310">
        <v>0.30923089999999998</v>
      </c>
      <c r="AG392" s="310">
        <v>0.33472970000000002</v>
      </c>
      <c r="AH392" s="310">
        <v>0.32041829999999999</v>
      </c>
      <c r="AI392" s="310">
        <v>0.33919070000000001</v>
      </c>
      <c r="AJ392" s="310">
        <v>0.34223870000000001</v>
      </c>
      <c r="AK392" s="310">
        <v>0.32770939999999998</v>
      </c>
      <c r="AL392" s="310">
        <v>0.32198329999999997</v>
      </c>
      <c r="AM392" s="310">
        <v>0.33947310000000003</v>
      </c>
      <c r="AN392" s="310">
        <v>0.34502559999999999</v>
      </c>
      <c r="AO392" s="310">
        <v>0.33904260000000003</v>
      </c>
      <c r="AP392" s="310">
        <v>0.33528649999999999</v>
      </c>
      <c r="AQ392" s="310">
        <v>0.31797300000000001</v>
      </c>
      <c r="AR392" s="310">
        <v>0.33428659999999999</v>
      </c>
      <c r="AS392" s="310">
        <v>0.33507500000000001</v>
      </c>
      <c r="AT392" s="310">
        <v>0.32881529999999998</v>
      </c>
      <c r="AU392" s="310">
        <v>0.34698309999999999</v>
      </c>
      <c r="AV392" s="310">
        <v>0.33108539999999997</v>
      </c>
      <c r="AW392" s="310">
        <v>0.32850629999999997</v>
      </c>
      <c r="AX392" s="310">
        <v>0.33163799999999999</v>
      </c>
      <c r="AY392" s="310">
        <v>0.34585840000000001</v>
      </c>
      <c r="AZ392" s="310">
        <v>0.34502300000000002</v>
      </c>
      <c r="BA392" s="310">
        <v>0.3160039</v>
      </c>
      <c r="BB392" s="310">
        <v>0.32532270000000002</v>
      </c>
      <c r="BC392" s="310">
        <v>0.3448851</v>
      </c>
      <c r="BD392" s="310">
        <v>0.34487659999999998</v>
      </c>
      <c r="BE392" s="310">
        <v>0.34285100000000002</v>
      </c>
      <c r="BF392" s="310">
        <v>0.33764379999999999</v>
      </c>
      <c r="BG392" s="310">
        <v>0.3459817</v>
      </c>
      <c r="BH392" s="310">
        <v>0.3378429</v>
      </c>
      <c r="BI392" s="310">
        <v>0.34784500000000002</v>
      </c>
      <c r="BJ392" s="310">
        <v>0.34330860000000002</v>
      </c>
      <c r="BK392" s="310">
        <v>0.34847509999999998</v>
      </c>
    </row>
    <row r="393" spans="1:63" x14ac:dyDescent="0.25">
      <c r="A393" s="306" t="s">
        <v>785</v>
      </c>
      <c r="B393" s="310" t="s">
        <v>345</v>
      </c>
      <c r="C393" s="310">
        <v>0.31018309999999999</v>
      </c>
      <c r="D393" s="310">
        <v>0.30902669999999999</v>
      </c>
      <c r="E393" s="310">
        <v>0.2996547</v>
      </c>
      <c r="F393" s="310">
        <v>0.29935919999999999</v>
      </c>
      <c r="G393" s="310">
        <v>0.30663449999999998</v>
      </c>
      <c r="H393" s="310">
        <v>0.30835689999999999</v>
      </c>
      <c r="I393" s="310">
        <v>0.3038208</v>
      </c>
      <c r="J393" s="310">
        <v>0.28071279999999998</v>
      </c>
      <c r="K393" s="310">
        <v>9.6898899999999996E-2</v>
      </c>
      <c r="L393" s="310">
        <v>0.28783950000000003</v>
      </c>
      <c r="M393" s="310">
        <v>0.3080775</v>
      </c>
      <c r="N393" s="310">
        <v>0.3048998</v>
      </c>
      <c r="O393" s="310">
        <v>0.30976480000000001</v>
      </c>
      <c r="P393" s="310">
        <v>0.2972822</v>
      </c>
      <c r="Q393" s="310">
        <v>0.30651519999999999</v>
      </c>
      <c r="R393" s="310">
        <v>0.302815</v>
      </c>
      <c r="S393" s="310">
        <v>0.29316609999999999</v>
      </c>
      <c r="T393" s="310">
        <v>0.29068149999999998</v>
      </c>
      <c r="U393" s="310">
        <v>0.28755710000000001</v>
      </c>
      <c r="V393" s="310">
        <v>0.30703530000000001</v>
      </c>
      <c r="W393" s="310">
        <v>0.29810510000000001</v>
      </c>
      <c r="X393" s="310">
        <v>0.26241140000000002</v>
      </c>
      <c r="Y393" s="310">
        <v>0.3047147</v>
      </c>
      <c r="Z393" s="310">
        <v>0.30773630000000002</v>
      </c>
      <c r="AA393" s="310">
        <v>0.30164350000000001</v>
      </c>
      <c r="AB393" s="310">
        <v>0.28598770000000001</v>
      </c>
      <c r="AC393" s="310">
        <v>0.28850189999999998</v>
      </c>
      <c r="AD393" s="310">
        <v>0.30632500000000001</v>
      </c>
      <c r="AE393" s="310">
        <v>0.30197619999999997</v>
      </c>
      <c r="AF393" s="310">
        <v>0.2844546</v>
      </c>
      <c r="AG393" s="310">
        <v>0.29989120000000002</v>
      </c>
      <c r="AH393" s="310">
        <v>0.28171360000000001</v>
      </c>
      <c r="AI393" s="310">
        <v>0.28705819999999999</v>
      </c>
      <c r="AJ393" s="310">
        <v>0.30582520000000002</v>
      </c>
      <c r="AK393" s="310">
        <v>0.2957417</v>
      </c>
      <c r="AL393" s="310">
        <v>0.27944200000000002</v>
      </c>
      <c r="AM393" s="310">
        <v>0.30071700000000001</v>
      </c>
      <c r="AN393" s="310">
        <v>0.30914140000000001</v>
      </c>
      <c r="AO393" s="310">
        <v>0.29889589999999999</v>
      </c>
      <c r="AP393" s="310">
        <v>0.29467900000000002</v>
      </c>
      <c r="AQ393" s="310">
        <v>0.28497709999999998</v>
      </c>
      <c r="AR393" s="310">
        <v>0.30156129999999998</v>
      </c>
      <c r="AS393" s="310">
        <v>0.30464570000000002</v>
      </c>
      <c r="AT393" s="310">
        <v>0.3001722</v>
      </c>
      <c r="AU393" s="310">
        <v>0.30685970000000001</v>
      </c>
      <c r="AV393" s="310">
        <v>0.30502600000000002</v>
      </c>
      <c r="AW393" s="310">
        <v>0.28349370000000002</v>
      </c>
      <c r="AX393" s="310">
        <v>0.29627890000000001</v>
      </c>
      <c r="AY393" s="310">
        <v>0.30487900000000001</v>
      </c>
      <c r="AZ393" s="310">
        <v>0.30499710000000002</v>
      </c>
      <c r="BA393" s="310">
        <v>0.27420230000000001</v>
      </c>
      <c r="BB393" s="310">
        <v>0.29268290000000002</v>
      </c>
      <c r="BC393" s="310">
        <v>0.30488900000000002</v>
      </c>
      <c r="BD393" s="310">
        <v>0.3037744</v>
      </c>
      <c r="BE393" s="310">
        <v>0.30637740000000002</v>
      </c>
      <c r="BF393" s="310">
        <v>0.30352889999999999</v>
      </c>
      <c r="BG393" s="310">
        <v>0.30770809999999998</v>
      </c>
      <c r="BH393" s="310">
        <v>0.30036259999999998</v>
      </c>
      <c r="BI393" s="310">
        <v>0.30726969999999998</v>
      </c>
      <c r="BJ393" s="310">
        <v>0.30634499999999998</v>
      </c>
      <c r="BK393" s="310">
        <v>0.3088418</v>
      </c>
    </row>
    <row r="394" spans="1:63" x14ac:dyDescent="0.25">
      <c r="A394" s="306" t="s">
        <v>786</v>
      </c>
      <c r="B394" s="310" t="s">
        <v>346</v>
      </c>
      <c r="C394" s="310">
        <v>0.22131909999999999</v>
      </c>
      <c r="D394" s="310">
        <v>0.22046389999999999</v>
      </c>
      <c r="E394" s="310">
        <v>0.21377950000000001</v>
      </c>
      <c r="F394" s="310">
        <v>0.21359719999999999</v>
      </c>
      <c r="G394" s="310">
        <v>0.2187877</v>
      </c>
      <c r="H394" s="310">
        <v>0.2200011</v>
      </c>
      <c r="I394" s="310">
        <v>0.21673339999999999</v>
      </c>
      <c r="J394" s="310">
        <v>0.20027819999999999</v>
      </c>
      <c r="K394" s="310">
        <v>6.9145499999999999E-2</v>
      </c>
      <c r="L394" s="310">
        <v>0.2053663</v>
      </c>
      <c r="M394" s="310">
        <v>0.21978800000000001</v>
      </c>
      <c r="N394" s="310">
        <v>0.21752569999999999</v>
      </c>
      <c r="O394" s="310">
        <v>0.2210384</v>
      </c>
      <c r="P394" s="310">
        <v>0.21209</v>
      </c>
      <c r="Q394" s="310">
        <v>0.21869269999999999</v>
      </c>
      <c r="R394" s="310">
        <v>0.21602440000000001</v>
      </c>
      <c r="S394" s="310">
        <v>0.20921290000000001</v>
      </c>
      <c r="T394" s="310">
        <v>0.2073914</v>
      </c>
      <c r="U394" s="310">
        <v>0.20517299999999999</v>
      </c>
      <c r="V394" s="310">
        <v>0.2190589</v>
      </c>
      <c r="W394" s="310">
        <v>0.21265129999999999</v>
      </c>
      <c r="X394" s="310">
        <v>0.1872374</v>
      </c>
      <c r="Y394" s="310">
        <v>0.21743970000000001</v>
      </c>
      <c r="Z394" s="310">
        <v>0.21954270000000001</v>
      </c>
      <c r="AA394" s="310">
        <v>0.21517269999999999</v>
      </c>
      <c r="AB394" s="310">
        <v>0.20406369999999999</v>
      </c>
      <c r="AC394" s="310">
        <v>0.20581160000000001</v>
      </c>
      <c r="AD394" s="310">
        <v>0.2185435</v>
      </c>
      <c r="AE394" s="310">
        <v>0.21543129999999999</v>
      </c>
      <c r="AF394" s="310">
        <v>0.2029232</v>
      </c>
      <c r="AG394" s="310">
        <v>0.21402760000000001</v>
      </c>
      <c r="AH394" s="310">
        <v>0.20097570000000001</v>
      </c>
      <c r="AI394" s="310">
        <v>0.20481379999999999</v>
      </c>
      <c r="AJ394" s="310">
        <v>0.21819250000000001</v>
      </c>
      <c r="AK394" s="310">
        <v>0.21101819999999999</v>
      </c>
      <c r="AL394" s="310">
        <v>0.1993607</v>
      </c>
      <c r="AM394" s="310">
        <v>0.21454480000000001</v>
      </c>
      <c r="AN394" s="310">
        <v>0.22051380000000001</v>
      </c>
      <c r="AO394" s="310">
        <v>0.21327099999999999</v>
      </c>
      <c r="AP394" s="310">
        <v>0.2102465</v>
      </c>
      <c r="AQ394" s="310">
        <v>0.2033305</v>
      </c>
      <c r="AR394" s="310">
        <v>0.2151653</v>
      </c>
      <c r="AS394" s="310">
        <v>0.21734339999999999</v>
      </c>
      <c r="AT394" s="310">
        <v>0.21411740000000001</v>
      </c>
      <c r="AU394" s="310">
        <v>0.21893190000000001</v>
      </c>
      <c r="AV394" s="310">
        <v>0.21765309999999999</v>
      </c>
      <c r="AW394" s="310">
        <v>0.2022555</v>
      </c>
      <c r="AX394" s="310">
        <v>0.21137030000000001</v>
      </c>
      <c r="AY394" s="310">
        <v>0.2175531</v>
      </c>
      <c r="AZ394" s="310">
        <v>0.21760080000000001</v>
      </c>
      <c r="BA394" s="310">
        <v>0.1956579</v>
      </c>
      <c r="BB394" s="310">
        <v>0.2088006</v>
      </c>
      <c r="BC394" s="310">
        <v>0.21754470000000001</v>
      </c>
      <c r="BD394" s="310">
        <v>0.21674019999999999</v>
      </c>
      <c r="BE394" s="310">
        <v>0.21858630000000001</v>
      </c>
      <c r="BF394" s="310">
        <v>0.21655630000000001</v>
      </c>
      <c r="BG394" s="310">
        <v>0.21952169999999999</v>
      </c>
      <c r="BH394" s="310">
        <v>0.21428990000000001</v>
      </c>
      <c r="BI394" s="310">
        <v>0.21921650000000001</v>
      </c>
      <c r="BJ394" s="310">
        <v>0.21855179999999999</v>
      </c>
      <c r="BK394" s="310">
        <v>0.220363</v>
      </c>
    </row>
    <row r="395" spans="1:63" x14ac:dyDescent="0.25">
      <c r="A395" s="306">
        <v>722000</v>
      </c>
      <c r="B395" s="310" t="s">
        <v>347</v>
      </c>
      <c r="C395" s="310">
        <v>0.32324760000000002</v>
      </c>
      <c r="D395" s="310">
        <v>0.32064550000000003</v>
      </c>
      <c r="E395" s="310">
        <v>0.31619140000000001</v>
      </c>
      <c r="F395" s="310">
        <v>0.31802659999999999</v>
      </c>
      <c r="G395" s="310">
        <v>0.3207025</v>
      </c>
      <c r="H395" s="310">
        <v>0.32238850000000002</v>
      </c>
      <c r="I395" s="310">
        <v>0.32130599999999998</v>
      </c>
      <c r="J395" s="310">
        <v>0.30574469999999998</v>
      </c>
      <c r="K395" s="310">
        <v>0.1291899</v>
      </c>
      <c r="L395" s="310">
        <v>0.28625319999999999</v>
      </c>
      <c r="M395" s="310">
        <v>0.32163239999999998</v>
      </c>
      <c r="N395" s="310">
        <v>0.31765339999999997</v>
      </c>
      <c r="O395" s="310">
        <v>0.32287529999999998</v>
      </c>
      <c r="P395" s="310">
        <v>0.31075730000000001</v>
      </c>
      <c r="Q395" s="310">
        <v>0.31543270000000001</v>
      </c>
      <c r="R395" s="310">
        <v>0.3171504</v>
      </c>
      <c r="S395" s="310">
        <v>0.313581</v>
      </c>
      <c r="T395" s="310">
        <v>0.2999097</v>
      </c>
      <c r="U395" s="310">
        <v>0.30310229999999999</v>
      </c>
      <c r="V395" s="310">
        <v>0.31760820000000001</v>
      </c>
      <c r="W395" s="310">
        <v>0.30875829999999999</v>
      </c>
      <c r="X395" s="310">
        <v>0.30277939999999998</v>
      </c>
      <c r="Y395" s="310">
        <v>0.31598890000000002</v>
      </c>
      <c r="Z395" s="310">
        <v>0.31992759999999998</v>
      </c>
      <c r="AA395" s="310">
        <v>0.3169844</v>
      </c>
      <c r="AB395" s="310">
        <v>0.30465829999999999</v>
      </c>
      <c r="AC395" s="310">
        <v>0.31401370000000001</v>
      </c>
      <c r="AD395" s="310">
        <v>0.32117600000000002</v>
      </c>
      <c r="AE395" s="310">
        <v>0.31757089999999999</v>
      </c>
      <c r="AF395" s="310">
        <v>0.30365900000000001</v>
      </c>
      <c r="AG395" s="310">
        <v>0.31641130000000001</v>
      </c>
      <c r="AH395" s="310">
        <v>0.28923300000000002</v>
      </c>
      <c r="AI395" s="310">
        <v>0.30417699999999998</v>
      </c>
      <c r="AJ395" s="310">
        <v>0.31981490000000001</v>
      </c>
      <c r="AK395" s="310">
        <v>0.31418649999999998</v>
      </c>
      <c r="AL395" s="310">
        <v>0.30778119999999998</v>
      </c>
      <c r="AM395" s="310">
        <v>0.31617299999999998</v>
      </c>
      <c r="AN395" s="310">
        <v>0.32129570000000002</v>
      </c>
      <c r="AO395" s="310">
        <v>0.31191010000000002</v>
      </c>
      <c r="AP395" s="310">
        <v>0.31102990000000003</v>
      </c>
      <c r="AQ395" s="310">
        <v>0.30121110000000001</v>
      </c>
      <c r="AR395" s="310">
        <v>0.31529439999999997</v>
      </c>
      <c r="AS395" s="310">
        <v>0.3142489</v>
      </c>
      <c r="AT395" s="310">
        <v>0.31176189999999998</v>
      </c>
      <c r="AU395" s="310">
        <v>0.32164740000000003</v>
      </c>
      <c r="AV395" s="310">
        <v>0.32107790000000003</v>
      </c>
      <c r="AW395" s="310">
        <v>0.30657489999999998</v>
      </c>
      <c r="AX395" s="310">
        <v>0.30778879999999997</v>
      </c>
      <c r="AY395" s="310">
        <v>0.31957160000000001</v>
      </c>
      <c r="AZ395" s="310">
        <v>0.31827</v>
      </c>
      <c r="BA395" s="310">
        <v>0.30183650000000001</v>
      </c>
      <c r="BB395" s="310">
        <v>0.30809510000000001</v>
      </c>
      <c r="BC395" s="310">
        <v>0.31917800000000002</v>
      </c>
      <c r="BD395" s="310">
        <v>0.32034550000000001</v>
      </c>
      <c r="BE395" s="310">
        <v>0.32023580000000001</v>
      </c>
      <c r="BF395" s="310">
        <v>0.31783420000000001</v>
      </c>
      <c r="BG395" s="310">
        <v>0.32054359999999998</v>
      </c>
      <c r="BH395" s="310">
        <v>0.31447449999999999</v>
      </c>
      <c r="BI395" s="310">
        <v>0.32186700000000001</v>
      </c>
      <c r="BJ395" s="310">
        <v>0.32079489999999999</v>
      </c>
      <c r="BK395" s="310">
        <v>0.32242270000000001</v>
      </c>
    </row>
    <row r="396" spans="1:63" x14ac:dyDescent="0.25">
      <c r="A396" s="306">
        <v>811192</v>
      </c>
      <c r="B396" s="310" t="s">
        <v>349</v>
      </c>
      <c r="C396" s="310">
        <v>0.3467073</v>
      </c>
      <c r="D396" s="310">
        <v>0.34123419999999999</v>
      </c>
      <c r="E396" s="310">
        <v>0.33955639999999998</v>
      </c>
      <c r="F396" s="310">
        <v>0.33222689999999999</v>
      </c>
      <c r="G396" s="310">
        <v>0.34533439999999999</v>
      </c>
      <c r="H396" s="310">
        <v>0.34562799999999999</v>
      </c>
      <c r="I396" s="310">
        <v>0.34519650000000002</v>
      </c>
      <c r="J396" s="310">
        <v>0.3332117</v>
      </c>
      <c r="K396" s="310">
        <v>9.5257400000000006E-2</v>
      </c>
      <c r="L396" s="310">
        <v>0.28002110000000002</v>
      </c>
      <c r="M396" s="310">
        <v>0.34583700000000001</v>
      </c>
      <c r="N396" s="310">
        <v>0.33882620000000002</v>
      </c>
      <c r="O396" s="310">
        <v>0.34668320000000002</v>
      </c>
      <c r="P396" s="310">
        <v>0.32806819999999998</v>
      </c>
      <c r="Q396" s="310">
        <v>0.34202379999999999</v>
      </c>
      <c r="R396" s="310">
        <v>0.33542230000000001</v>
      </c>
      <c r="S396" s="310">
        <v>0.33262130000000001</v>
      </c>
      <c r="T396" s="310">
        <v>0.31699929999999998</v>
      </c>
      <c r="U396" s="310">
        <v>0.32529150000000001</v>
      </c>
      <c r="V396" s="310">
        <v>0.33945520000000001</v>
      </c>
      <c r="W396" s="310">
        <v>0.32604270000000002</v>
      </c>
      <c r="X396" s="310">
        <v>0.33193030000000001</v>
      </c>
      <c r="Y396" s="310">
        <v>0.34477439999999998</v>
      </c>
      <c r="Z396" s="310">
        <v>0.34403509999999998</v>
      </c>
      <c r="AA396" s="310">
        <v>0.33466020000000002</v>
      </c>
      <c r="AB396" s="310">
        <v>0.32295499999999999</v>
      </c>
      <c r="AC396" s="310">
        <v>0.33643689999999998</v>
      </c>
      <c r="AD396" s="310">
        <v>0.34110859999999998</v>
      </c>
      <c r="AE396" s="310">
        <v>0.33909909999999999</v>
      </c>
      <c r="AF396" s="310">
        <v>0.30264459999999999</v>
      </c>
      <c r="AG396" s="310">
        <v>0.33080870000000001</v>
      </c>
      <c r="AH396" s="310">
        <v>0.32160729999999998</v>
      </c>
      <c r="AI396" s="310">
        <v>0.32685740000000002</v>
      </c>
      <c r="AJ396" s="310">
        <v>0.34428839999999999</v>
      </c>
      <c r="AK396" s="310">
        <v>0.3420667</v>
      </c>
      <c r="AL396" s="310">
        <v>0.33751209999999998</v>
      </c>
      <c r="AM396" s="310">
        <v>0.33590189999999998</v>
      </c>
      <c r="AN396" s="310">
        <v>0.34452890000000003</v>
      </c>
      <c r="AO396" s="310">
        <v>0.32729829999999999</v>
      </c>
      <c r="AP396" s="310">
        <v>0.33250249999999998</v>
      </c>
      <c r="AQ396" s="310">
        <v>0.31246689999999999</v>
      </c>
      <c r="AR396" s="310">
        <v>0.34160079999999998</v>
      </c>
      <c r="AS396" s="310">
        <v>0.33364359999999998</v>
      </c>
      <c r="AT396" s="310">
        <v>0.31998599999999999</v>
      </c>
      <c r="AU396" s="310">
        <v>0.34448210000000001</v>
      </c>
      <c r="AV396" s="310">
        <v>0.3428833</v>
      </c>
      <c r="AW396" s="310">
        <v>0.33656170000000002</v>
      </c>
      <c r="AX396" s="310">
        <v>0.32642490000000002</v>
      </c>
      <c r="AY396" s="310">
        <v>0.3412847</v>
      </c>
      <c r="AZ396" s="310">
        <v>0.34091579999999999</v>
      </c>
      <c r="BA396" s="310">
        <v>0.31894990000000001</v>
      </c>
      <c r="BB396" s="310">
        <v>0.33711190000000002</v>
      </c>
      <c r="BC396" s="310">
        <v>0.3440086</v>
      </c>
      <c r="BD396" s="310">
        <v>0.34393390000000001</v>
      </c>
      <c r="BE396" s="310">
        <v>0.34365709999999999</v>
      </c>
      <c r="BF396" s="310">
        <v>0.3375552</v>
      </c>
      <c r="BG396" s="310">
        <v>0.34378710000000001</v>
      </c>
      <c r="BH396" s="310">
        <v>0.33733639999999998</v>
      </c>
      <c r="BI396" s="310">
        <v>0.34500350000000002</v>
      </c>
      <c r="BJ396" s="310">
        <v>0.34499960000000002</v>
      </c>
      <c r="BK396" s="310">
        <v>0.3454972</v>
      </c>
    </row>
    <row r="397" spans="1:63" x14ac:dyDescent="0.25">
      <c r="A397" s="306" t="s">
        <v>787</v>
      </c>
      <c r="B397" s="310" t="s">
        <v>348</v>
      </c>
      <c r="C397" s="310">
        <v>0.33115080000000002</v>
      </c>
      <c r="D397" s="310">
        <v>0.32594000000000001</v>
      </c>
      <c r="E397" s="310">
        <v>0.32431270000000001</v>
      </c>
      <c r="F397" s="310">
        <v>0.31731910000000002</v>
      </c>
      <c r="G397" s="310">
        <v>0.32987090000000002</v>
      </c>
      <c r="H397" s="310">
        <v>0.33013710000000002</v>
      </c>
      <c r="I397" s="310">
        <v>0.32971119999999998</v>
      </c>
      <c r="J397" s="310">
        <v>0.3183087</v>
      </c>
      <c r="K397" s="310">
        <v>9.0931999999999999E-2</v>
      </c>
      <c r="L397" s="310">
        <v>0.26740120000000001</v>
      </c>
      <c r="M397" s="310">
        <v>0.33031569999999999</v>
      </c>
      <c r="N397" s="310">
        <v>0.32360870000000003</v>
      </c>
      <c r="O397" s="310">
        <v>0.33112940000000002</v>
      </c>
      <c r="P397" s="310">
        <v>0.31333080000000002</v>
      </c>
      <c r="Q397" s="310">
        <v>0.32669290000000001</v>
      </c>
      <c r="R397" s="310">
        <v>0.32034780000000002</v>
      </c>
      <c r="S397" s="310">
        <v>0.31772669999999997</v>
      </c>
      <c r="T397" s="310">
        <v>0.30281200000000003</v>
      </c>
      <c r="U397" s="310">
        <v>0.3106913</v>
      </c>
      <c r="V397" s="310">
        <v>0.32417200000000002</v>
      </c>
      <c r="W397" s="310">
        <v>0.31142740000000002</v>
      </c>
      <c r="X397" s="310">
        <v>0.31705329999999998</v>
      </c>
      <c r="Y397" s="310">
        <v>0.32930720000000002</v>
      </c>
      <c r="Z397" s="310">
        <v>0.32863039999999999</v>
      </c>
      <c r="AA397" s="310">
        <v>0.31968570000000002</v>
      </c>
      <c r="AB397" s="310">
        <v>0.3084944</v>
      </c>
      <c r="AC397" s="310">
        <v>0.32129609999999997</v>
      </c>
      <c r="AD397" s="310">
        <v>0.3258125</v>
      </c>
      <c r="AE397" s="310">
        <v>0.32387490000000002</v>
      </c>
      <c r="AF397" s="310">
        <v>0.28911759999999997</v>
      </c>
      <c r="AG397" s="310">
        <v>0.31601129999999999</v>
      </c>
      <c r="AH397" s="310">
        <v>0.3071972</v>
      </c>
      <c r="AI397" s="310">
        <v>0.31218360000000001</v>
      </c>
      <c r="AJ397" s="310">
        <v>0.3289031</v>
      </c>
      <c r="AK397" s="310">
        <v>0.32672279999999998</v>
      </c>
      <c r="AL397" s="310">
        <v>0.32239580000000001</v>
      </c>
      <c r="AM397" s="310">
        <v>0.32080180000000003</v>
      </c>
      <c r="AN397" s="310">
        <v>0.32904329999999998</v>
      </c>
      <c r="AO397" s="310">
        <v>0.31266260000000001</v>
      </c>
      <c r="AP397" s="310">
        <v>0.31762170000000001</v>
      </c>
      <c r="AQ397" s="310">
        <v>0.29846060000000002</v>
      </c>
      <c r="AR397" s="310">
        <v>0.3262912</v>
      </c>
      <c r="AS397" s="310">
        <v>0.31865310000000002</v>
      </c>
      <c r="AT397" s="310">
        <v>0.30560100000000001</v>
      </c>
      <c r="AU397" s="310">
        <v>0.32905410000000002</v>
      </c>
      <c r="AV397" s="310">
        <v>0.32753840000000001</v>
      </c>
      <c r="AW397" s="310">
        <v>0.32146229999999998</v>
      </c>
      <c r="AX397" s="310">
        <v>0.31180829999999998</v>
      </c>
      <c r="AY397" s="310">
        <v>0.32594469999999998</v>
      </c>
      <c r="AZ397" s="310">
        <v>0.32557979999999997</v>
      </c>
      <c r="BA397" s="310">
        <v>0.30459589999999998</v>
      </c>
      <c r="BB397" s="310">
        <v>0.32201540000000001</v>
      </c>
      <c r="BC397" s="310">
        <v>0.32854430000000001</v>
      </c>
      <c r="BD397" s="310">
        <v>0.32850780000000002</v>
      </c>
      <c r="BE397" s="310">
        <v>0.3282737</v>
      </c>
      <c r="BF397" s="310">
        <v>0.32241219999999998</v>
      </c>
      <c r="BG397" s="310">
        <v>0.3283045</v>
      </c>
      <c r="BH397" s="310">
        <v>0.32217050000000003</v>
      </c>
      <c r="BI397" s="310">
        <v>0.32953900000000003</v>
      </c>
      <c r="BJ397" s="310">
        <v>0.32955950000000001</v>
      </c>
      <c r="BK397" s="310">
        <v>0.33004610000000001</v>
      </c>
    </row>
    <row r="398" spans="1:63" x14ac:dyDescent="0.25">
      <c r="A398" s="306">
        <v>811200</v>
      </c>
      <c r="B398" s="310" t="s">
        <v>350</v>
      </c>
      <c r="C398" s="310">
        <v>0.40662589999999998</v>
      </c>
      <c r="D398" s="310">
        <v>0.40662520000000002</v>
      </c>
      <c r="E398" s="310">
        <v>0.38783580000000001</v>
      </c>
      <c r="F398" s="310">
        <v>0.36415530000000002</v>
      </c>
      <c r="G398" s="310">
        <v>0.4061765</v>
      </c>
      <c r="H398" s="310">
        <v>0.40345039999999999</v>
      </c>
      <c r="I398" s="310">
        <v>0.39214490000000002</v>
      </c>
      <c r="J398" s="310">
        <v>0.36921290000000001</v>
      </c>
      <c r="K398" s="310">
        <v>7.0446599999999998E-2</v>
      </c>
      <c r="L398" s="310">
        <v>0.30657810000000002</v>
      </c>
      <c r="M398" s="310">
        <v>0.39860469999999998</v>
      </c>
      <c r="N398" s="310">
        <v>0.39510430000000002</v>
      </c>
      <c r="O398" s="310">
        <v>0.39314139999999997</v>
      </c>
      <c r="P398" s="310">
        <v>0.37026340000000002</v>
      </c>
      <c r="Q398" s="310">
        <v>0.4066746</v>
      </c>
      <c r="R398" s="310">
        <v>0.38029629999999998</v>
      </c>
      <c r="S398" s="310">
        <v>0.39413789999999999</v>
      </c>
      <c r="T398" s="310">
        <v>0.3514582</v>
      </c>
      <c r="U398" s="310">
        <v>0.3698225</v>
      </c>
      <c r="V398" s="310">
        <v>0.3899165</v>
      </c>
      <c r="W398" s="310">
        <v>0.36091469999999998</v>
      </c>
      <c r="X398" s="310">
        <v>0.35701470000000002</v>
      </c>
      <c r="Y398" s="310">
        <v>0.39185360000000002</v>
      </c>
      <c r="Z398" s="310">
        <v>0.40166420000000003</v>
      </c>
      <c r="AA398" s="310">
        <v>0.38910630000000002</v>
      </c>
      <c r="AB398" s="310">
        <v>0.32049040000000001</v>
      </c>
      <c r="AC398" s="310">
        <v>0.39024799999999998</v>
      </c>
      <c r="AD398" s="310">
        <v>0.38045060000000003</v>
      </c>
      <c r="AE398" s="310">
        <v>0.38998670000000002</v>
      </c>
      <c r="AF398" s="310">
        <v>0.26203159999999998</v>
      </c>
      <c r="AG398" s="310">
        <v>0.37003960000000002</v>
      </c>
      <c r="AH398" s="310">
        <v>0.29124430000000001</v>
      </c>
      <c r="AI398" s="310">
        <v>0.3593903</v>
      </c>
      <c r="AJ398" s="310">
        <v>0.39792359999999999</v>
      </c>
      <c r="AK398" s="310">
        <v>0.3985631</v>
      </c>
      <c r="AL398" s="310">
        <v>0.37428660000000002</v>
      </c>
      <c r="AM398" s="310">
        <v>0.39116790000000001</v>
      </c>
      <c r="AN398" s="310">
        <v>0.4</v>
      </c>
      <c r="AO398" s="310">
        <v>0.36506090000000002</v>
      </c>
      <c r="AP398" s="310">
        <v>0.36083870000000001</v>
      </c>
      <c r="AQ398" s="310">
        <v>0.3605295</v>
      </c>
      <c r="AR398" s="310">
        <v>0.39515359999999999</v>
      </c>
      <c r="AS398" s="310">
        <v>0.39542139999999998</v>
      </c>
      <c r="AT398" s="310">
        <v>0.3688575</v>
      </c>
      <c r="AU398" s="310">
        <v>0.40156579999999997</v>
      </c>
      <c r="AV398" s="310">
        <v>0.40663100000000002</v>
      </c>
      <c r="AW398" s="310">
        <v>0.3594948</v>
      </c>
      <c r="AX398" s="310">
        <v>0.3686275</v>
      </c>
      <c r="AY398" s="310">
        <v>0.39733249999999998</v>
      </c>
      <c r="AZ398" s="310">
        <v>0.38653130000000002</v>
      </c>
      <c r="BA398" s="310">
        <v>0.37340800000000002</v>
      </c>
      <c r="BB398" s="310">
        <v>0.36948639999999999</v>
      </c>
      <c r="BC398" s="310">
        <v>0.39816430000000003</v>
      </c>
      <c r="BD398" s="310">
        <v>0.39749050000000002</v>
      </c>
      <c r="BE398" s="310">
        <v>0.39702890000000002</v>
      </c>
      <c r="BF398" s="310">
        <v>0.3839766</v>
      </c>
      <c r="BG398" s="310">
        <v>0.39886319999999997</v>
      </c>
      <c r="BH398" s="310">
        <v>0.38706370000000001</v>
      </c>
      <c r="BI398" s="310">
        <v>0.40248929999999999</v>
      </c>
      <c r="BJ398" s="310">
        <v>0.40043139999999999</v>
      </c>
      <c r="BK398" s="310">
        <v>0.40334540000000002</v>
      </c>
    </row>
    <row r="399" spans="1:63" x14ac:dyDescent="0.25">
      <c r="A399" s="306">
        <v>811300</v>
      </c>
      <c r="B399" s="310" t="s">
        <v>351</v>
      </c>
      <c r="C399" s="310">
        <v>0.3557535</v>
      </c>
      <c r="D399" s="310">
        <v>0.3306849</v>
      </c>
      <c r="E399" s="310">
        <v>0.32690780000000003</v>
      </c>
      <c r="F399" s="310">
        <v>0.32465309999999997</v>
      </c>
      <c r="G399" s="310">
        <v>0.35507650000000002</v>
      </c>
      <c r="H399" s="310">
        <v>0.35443819999999998</v>
      </c>
      <c r="I399" s="310">
        <v>0.3439335</v>
      </c>
      <c r="J399" s="310">
        <v>0.31785550000000001</v>
      </c>
      <c r="K399" s="310">
        <v>9.3373499999999998E-2</v>
      </c>
      <c r="L399" s="310">
        <v>0.31269429999999998</v>
      </c>
      <c r="M399" s="310">
        <v>0.35053580000000001</v>
      </c>
      <c r="N399" s="310">
        <v>0.33633819999999998</v>
      </c>
      <c r="O399" s="310">
        <v>0.35404760000000002</v>
      </c>
      <c r="P399" s="310">
        <v>0.32739089999999998</v>
      </c>
      <c r="Q399" s="310">
        <v>0.34970109999999999</v>
      </c>
      <c r="R399" s="310">
        <v>0.33853709999999998</v>
      </c>
      <c r="S399" s="310">
        <v>0.33139760000000001</v>
      </c>
      <c r="T399" s="310">
        <v>0.3319262</v>
      </c>
      <c r="U399" s="310">
        <v>0.33552110000000002</v>
      </c>
      <c r="V399" s="310">
        <v>0.3421459</v>
      </c>
      <c r="W399" s="310">
        <v>0.32209310000000002</v>
      </c>
      <c r="X399" s="310">
        <v>0.33011550000000001</v>
      </c>
      <c r="Y399" s="310">
        <v>0.33036369999999998</v>
      </c>
      <c r="Z399" s="310">
        <v>0.3459062</v>
      </c>
      <c r="AA399" s="310">
        <v>0.33844970000000002</v>
      </c>
      <c r="AB399" s="310">
        <v>0.32802599999999998</v>
      </c>
      <c r="AC399" s="310">
        <v>0.33358320000000002</v>
      </c>
      <c r="AD399" s="310">
        <v>0.34517239999999999</v>
      </c>
      <c r="AE399" s="310">
        <v>0.33102100000000001</v>
      </c>
      <c r="AF399" s="310">
        <v>0.29304219999999997</v>
      </c>
      <c r="AG399" s="310">
        <v>0.33949679999999999</v>
      </c>
      <c r="AH399" s="310">
        <v>0.32383699999999999</v>
      </c>
      <c r="AI399" s="310">
        <v>0.31110270000000001</v>
      </c>
      <c r="AJ399" s="310">
        <v>0.344418</v>
      </c>
      <c r="AK399" s="310">
        <v>0.33616049999999997</v>
      </c>
      <c r="AL399" s="310">
        <v>0.33238180000000001</v>
      </c>
      <c r="AM399" s="310">
        <v>0.34097250000000001</v>
      </c>
      <c r="AN399" s="310">
        <v>0.3473987</v>
      </c>
      <c r="AO399" s="310">
        <v>0.30472199999999999</v>
      </c>
      <c r="AP399" s="310">
        <v>0.33904450000000003</v>
      </c>
      <c r="AQ399" s="310">
        <v>0.35240650000000001</v>
      </c>
      <c r="AR399" s="310">
        <v>0.3453888</v>
      </c>
      <c r="AS399" s="310">
        <v>0.33904260000000003</v>
      </c>
      <c r="AT399" s="310">
        <v>0.31991170000000002</v>
      </c>
      <c r="AU399" s="310">
        <v>0.34987079999999998</v>
      </c>
      <c r="AV399" s="310">
        <v>0.35205350000000002</v>
      </c>
      <c r="AW399" s="310">
        <v>0.33775300000000003</v>
      </c>
      <c r="AX399" s="310">
        <v>0.30899300000000002</v>
      </c>
      <c r="AY399" s="310">
        <v>0.33462940000000002</v>
      </c>
      <c r="AZ399" s="310">
        <v>0.3461206</v>
      </c>
      <c r="BA399" s="310">
        <v>0.32425579999999998</v>
      </c>
      <c r="BB399" s="310">
        <v>0.34246700000000002</v>
      </c>
      <c r="BC399" s="310">
        <v>0.34526869999999998</v>
      </c>
      <c r="BD399" s="310">
        <v>0.34840169999999998</v>
      </c>
      <c r="BE399" s="310">
        <v>0.3490587</v>
      </c>
      <c r="BF399" s="310">
        <v>0.34336030000000001</v>
      </c>
      <c r="BG399" s="310">
        <v>0.34902879999999997</v>
      </c>
      <c r="BH399" s="310">
        <v>0.33717510000000001</v>
      </c>
      <c r="BI399" s="310">
        <v>0.35183350000000002</v>
      </c>
      <c r="BJ399" s="310">
        <v>0.35044209999999998</v>
      </c>
      <c r="BK399" s="310">
        <v>0.3508154</v>
      </c>
    </row>
    <row r="400" spans="1:63" x14ac:dyDescent="0.25">
      <c r="A400" s="306">
        <v>811400</v>
      </c>
      <c r="B400" s="310" t="s">
        <v>352</v>
      </c>
      <c r="C400" s="310">
        <v>0.22968730000000001</v>
      </c>
      <c r="D400" s="310">
        <v>0.22730429999999999</v>
      </c>
      <c r="E400" s="310">
        <v>0.22741449999999999</v>
      </c>
      <c r="F400" s="310">
        <v>0.22045909999999999</v>
      </c>
      <c r="G400" s="310">
        <v>0.2296454</v>
      </c>
      <c r="H400" s="310">
        <v>0.2293607</v>
      </c>
      <c r="I400" s="310">
        <v>0.2254748</v>
      </c>
      <c r="J400" s="310">
        <v>0.21911630000000001</v>
      </c>
      <c r="K400" s="310">
        <v>6.8073300000000003E-2</v>
      </c>
      <c r="L400" s="310">
        <v>0.1526438</v>
      </c>
      <c r="M400" s="310">
        <v>0.22936989999999999</v>
      </c>
      <c r="N400" s="310">
        <v>0.22698969999999999</v>
      </c>
      <c r="O400" s="310">
        <v>0.22971730000000001</v>
      </c>
      <c r="P400" s="310">
        <v>0.21813009999999999</v>
      </c>
      <c r="Q400" s="310">
        <v>0.22543779999999999</v>
      </c>
      <c r="R400" s="310">
        <v>0.226294</v>
      </c>
      <c r="S400" s="310">
        <v>0.2245965</v>
      </c>
      <c r="T400" s="310">
        <v>0.19819439999999999</v>
      </c>
      <c r="U400" s="310">
        <v>0.2076692</v>
      </c>
      <c r="V400" s="310">
        <v>0.22462409999999999</v>
      </c>
      <c r="W400" s="310">
        <v>0.22059390000000001</v>
      </c>
      <c r="X400" s="310">
        <v>0.22461500000000001</v>
      </c>
      <c r="Y400" s="310">
        <v>0.22782359999999999</v>
      </c>
      <c r="Z400" s="310">
        <v>0.2278087</v>
      </c>
      <c r="AA400" s="310">
        <v>0.22433710000000001</v>
      </c>
      <c r="AB400" s="310">
        <v>0.2116015</v>
      </c>
      <c r="AC400" s="310">
        <v>0.21438740000000001</v>
      </c>
      <c r="AD400" s="310">
        <v>0.22965930000000001</v>
      </c>
      <c r="AE400" s="310">
        <v>0.2265925</v>
      </c>
      <c r="AF400" s="310">
        <v>0.2042776</v>
      </c>
      <c r="AG400" s="310">
        <v>0.21899150000000001</v>
      </c>
      <c r="AH400" s="310">
        <v>0.2147223</v>
      </c>
      <c r="AI400" s="310">
        <v>0.21556130000000001</v>
      </c>
      <c r="AJ400" s="310">
        <v>0.22618869999999999</v>
      </c>
      <c r="AK400" s="310">
        <v>0.22767860000000001</v>
      </c>
      <c r="AL400" s="310">
        <v>0.216832</v>
      </c>
      <c r="AM400" s="310">
        <v>0.2187346</v>
      </c>
      <c r="AN400" s="310">
        <v>0.2273037</v>
      </c>
      <c r="AO400" s="310">
        <v>0.2188504</v>
      </c>
      <c r="AP400" s="310">
        <v>0.21910250000000001</v>
      </c>
      <c r="AQ400" s="310">
        <v>0.22407869999999999</v>
      </c>
      <c r="AR400" s="310">
        <v>0.2198398</v>
      </c>
      <c r="AS400" s="310">
        <v>0.22392400000000001</v>
      </c>
      <c r="AT400" s="310">
        <v>0.2192432</v>
      </c>
      <c r="AU400" s="310">
        <v>0.22916020000000001</v>
      </c>
      <c r="AV400" s="310">
        <v>0.22190789999999999</v>
      </c>
      <c r="AW400" s="310">
        <v>0.21316940000000001</v>
      </c>
      <c r="AX400" s="310">
        <v>0.2159083</v>
      </c>
      <c r="AY400" s="310">
        <v>0.22858290000000001</v>
      </c>
      <c r="AZ400" s="310">
        <v>0.2257304</v>
      </c>
      <c r="BA400" s="310">
        <v>0.22093370000000001</v>
      </c>
      <c r="BB400" s="310">
        <v>0.2296811</v>
      </c>
      <c r="BC400" s="310">
        <v>0.2278773</v>
      </c>
      <c r="BD400" s="310">
        <v>0.22780449999999999</v>
      </c>
      <c r="BE400" s="310">
        <v>0.22675999999999999</v>
      </c>
      <c r="BF400" s="310">
        <v>0.2235248</v>
      </c>
      <c r="BG400" s="310">
        <v>0.22850790000000001</v>
      </c>
      <c r="BH400" s="310">
        <v>0.2191833</v>
      </c>
      <c r="BI400" s="310">
        <v>0.22844159999999999</v>
      </c>
      <c r="BJ400" s="310">
        <v>0.228405</v>
      </c>
      <c r="BK400" s="310">
        <v>0.2294765</v>
      </c>
    </row>
    <row r="401" spans="1:63" x14ac:dyDescent="0.25">
      <c r="A401" s="306">
        <v>812100</v>
      </c>
      <c r="B401" s="310" t="s">
        <v>353</v>
      </c>
      <c r="C401" s="310">
        <v>0.37260599999999999</v>
      </c>
      <c r="D401" s="310">
        <v>0.37123440000000002</v>
      </c>
      <c r="E401" s="310">
        <v>0.36301919999999999</v>
      </c>
      <c r="F401" s="310">
        <v>0.3635023</v>
      </c>
      <c r="G401" s="310">
        <v>0.3718148</v>
      </c>
      <c r="H401" s="310">
        <v>0.3718631</v>
      </c>
      <c r="I401" s="310">
        <v>0.37214710000000001</v>
      </c>
      <c r="J401" s="310">
        <v>0.35584549999999998</v>
      </c>
      <c r="K401" s="310">
        <v>0.1438749</v>
      </c>
      <c r="L401" s="310">
        <v>0.32610070000000002</v>
      </c>
      <c r="M401" s="310">
        <v>0.37148750000000003</v>
      </c>
      <c r="N401" s="310">
        <v>0.36618869999999998</v>
      </c>
      <c r="O401" s="310">
        <v>0.37261270000000002</v>
      </c>
      <c r="P401" s="310">
        <v>0.36156490000000002</v>
      </c>
      <c r="Q401" s="310">
        <v>0.3665947</v>
      </c>
      <c r="R401" s="310">
        <v>0.3643303</v>
      </c>
      <c r="S401" s="310">
        <v>0.36396269999999997</v>
      </c>
      <c r="T401" s="310">
        <v>0.34899269999999999</v>
      </c>
      <c r="U401" s="310">
        <v>0.3473868</v>
      </c>
      <c r="V401" s="310">
        <v>0.36974380000000001</v>
      </c>
      <c r="W401" s="310">
        <v>0.36375420000000003</v>
      </c>
      <c r="X401" s="310">
        <v>0.35345880000000002</v>
      </c>
      <c r="Y401" s="310">
        <v>0.3686662</v>
      </c>
      <c r="Z401" s="310">
        <v>0.37136609999999998</v>
      </c>
      <c r="AA401" s="310">
        <v>0.36362250000000002</v>
      </c>
      <c r="AB401" s="310">
        <v>0.35737550000000001</v>
      </c>
      <c r="AC401" s="310">
        <v>0.35898720000000001</v>
      </c>
      <c r="AD401" s="310">
        <v>0.37249260000000001</v>
      </c>
      <c r="AE401" s="310">
        <v>0.36516759999999998</v>
      </c>
      <c r="AF401" s="310">
        <v>0.34880109999999998</v>
      </c>
      <c r="AG401" s="310">
        <v>0.36678110000000003</v>
      </c>
      <c r="AH401" s="310">
        <v>0.3333333</v>
      </c>
      <c r="AI401" s="310">
        <v>0.36114859999999999</v>
      </c>
      <c r="AJ401" s="310">
        <v>0.37239260000000002</v>
      </c>
      <c r="AK401" s="310">
        <v>0.36991190000000002</v>
      </c>
      <c r="AL401" s="310">
        <v>0.3584078</v>
      </c>
      <c r="AM401" s="310">
        <v>0.36596099999999998</v>
      </c>
      <c r="AN401" s="310">
        <v>0.36508580000000002</v>
      </c>
      <c r="AO401" s="310">
        <v>0.3652939</v>
      </c>
      <c r="AP401" s="310">
        <v>0.35897440000000003</v>
      </c>
      <c r="AQ401" s="310">
        <v>0.34820099999999998</v>
      </c>
      <c r="AR401" s="310">
        <v>0.36845860000000002</v>
      </c>
      <c r="AS401" s="310">
        <v>0.3655697</v>
      </c>
      <c r="AT401" s="310">
        <v>0.3621085</v>
      </c>
      <c r="AU401" s="310">
        <v>0.37007990000000002</v>
      </c>
      <c r="AV401" s="310">
        <v>0.3711932</v>
      </c>
      <c r="AW401" s="310">
        <v>0.35968080000000002</v>
      </c>
      <c r="AX401" s="310">
        <v>0.35716629999999999</v>
      </c>
      <c r="AY401" s="310">
        <v>0.35985679999999998</v>
      </c>
      <c r="AZ401" s="310">
        <v>0.36840850000000003</v>
      </c>
      <c r="BA401" s="310">
        <v>0.33766449999999998</v>
      </c>
      <c r="BB401" s="310">
        <v>0.36893029999999999</v>
      </c>
      <c r="BC401" s="310">
        <v>0.36911349999999998</v>
      </c>
      <c r="BD401" s="310">
        <v>0.36952839999999998</v>
      </c>
      <c r="BE401" s="310">
        <v>0.3702433</v>
      </c>
      <c r="BF401" s="310">
        <v>0.36770459999999999</v>
      </c>
      <c r="BG401" s="310">
        <v>0.36995119999999998</v>
      </c>
      <c r="BH401" s="310">
        <v>0.36284149999999998</v>
      </c>
      <c r="BI401" s="310">
        <v>0.37049130000000002</v>
      </c>
      <c r="BJ401" s="310">
        <v>0.37191780000000002</v>
      </c>
      <c r="BK401" s="310">
        <v>0.37026779999999998</v>
      </c>
    </row>
    <row r="402" spans="1:63" x14ac:dyDescent="0.25">
      <c r="A402" s="306">
        <v>812200</v>
      </c>
      <c r="B402" s="310" t="s">
        <v>354</v>
      </c>
      <c r="C402" s="310">
        <v>0.3600023</v>
      </c>
      <c r="D402" s="310">
        <v>0.36005009999999998</v>
      </c>
      <c r="E402" s="310">
        <v>0.35833670000000001</v>
      </c>
      <c r="F402" s="310">
        <v>0.34955809999999998</v>
      </c>
      <c r="G402" s="310">
        <v>0.35990470000000002</v>
      </c>
      <c r="H402" s="310">
        <v>0.36004140000000001</v>
      </c>
      <c r="I402" s="310">
        <v>0.3600218</v>
      </c>
      <c r="J402" s="310">
        <v>0.35268300000000002</v>
      </c>
      <c r="K402" s="310">
        <v>0.18466930000000001</v>
      </c>
      <c r="L402" s="310">
        <v>0.34787380000000001</v>
      </c>
      <c r="M402" s="310">
        <v>0.35936309999999999</v>
      </c>
      <c r="N402" s="310">
        <v>0.34923539999999997</v>
      </c>
      <c r="O402" s="310">
        <v>0.3600119</v>
      </c>
      <c r="P402" s="310">
        <v>0.3515161</v>
      </c>
      <c r="Q402" s="310">
        <v>0.35533379999999998</v>
      </c>
      <c r="R402" s="310">
        <v>0.35227409999999998</v>
      </c>
      <c r="S402" s="310">
        <v>0.3556859</v>
      </c>
      <c r="T402" s="310">
        <v>0.34228520000000001</v>
      </c>
      <c r="U402" s="310">
        <v>0.33906550000000002</v>
      </c>
      <c r="V402" s="310">
        <v>0.35473290000000002</v>
      </c>
      <c r="W402" s="310">
        <v>0.35268519999999998</v>
      </c>
      <c r="X402" s="310">
        <v>0.34905199999999997</v>
      </c>
      <c r="Y402" s="310">
        <v>0.35304180000000002</v>
      </c>
      <c r="Z402" s="310">
        <v>0.35853960000000001</v>
      </c>
      <c r="AA402" s="310">
        <v>0.35233130000000001</v>
      </c>
      <c r="AB402" s="310">
        <v>0.34876780000000002</v>
      </c>
      <c r="AC402" s="310">
        <v>0.35175990000000001</v>
      </c>
      <c r="AD402" s="310">
        <v>0.36003659999999998</v>
      </c>
      <c r="AE402" s="310">
        <v>0.35590290000000002</v>
      </c>
      <c r="AF402" s="310">
        <v>0.35729519999999998</v>
      </c>
      <c r="AG402" s="310">
        <v>0.35766310000000001</v>
      </c>
      <c r="AH402" s="310">
        <v>0.35827199999999998</v>
      </c>
      <c r="AI402" s="310">
        <v>0.35193780000000002</v>
      </c>
      <c r="AJ402" s="310">
        <v>0.34929399999999999</v>
      </c>
      <c r="AK402" s="310">
        <v>0.36000280000000001</v>
      </c>
      <c r="AL402" s="310">
        <v>0.34707270000000001</v>
      </c>
      <c r="AM402" s="310">
        <v>0.3553714</v>
      </c>
      <c r="AN402" s="310">
        <v>0.35985080000000003</v>
      </c>
      <c r="AO402" s="310">
        <v>0.3443425</v>
      </c>
      <c r="AP402" s="310">
        <v>0.34795169999999997</v>
      </c>
      <c r="AQ402" s="310">
        <v>0.34973149999999997</v>
      </c>
      <c r="AR402" s="310">
        <v>0.35817729999999998</v>
      </c>
      <c r="AS402" s="310">
        <v>0.35463139999999999</v>
      </c>
      <c r="AT402" s="310">
        <v>0.345885</v>
      </c>
      <c r="AU402" s="310">
        <v>0.35851680000000002</v>
      </c>
      <c r="AV402" s="310">
        <v>0.36000529999999997</v>
      </c>
      <c r="AW402" s="310">
        <v>0.34044170000000001</v>
      </c>
      <c r="AX402" s="310">
        <v>0.35611290000000001</v>
      </c>
      <c r="AY402" s="310">
        <v>0.35325380000000001</v>
      </c>
      <c r="AZ402" s="310">
        <v>0.35616439999999999</v>
      </c>
      <c r="BA402" s="310">
        <v>0.33993499999999999</v>
      </c>
      <c r="BB402" s="310">
        <v>0.36001349999999999</v>
      </c>
      <c r="BC402" s="310">
        <v>0.3592822</v>
      </c>
      <c r="BD402" s="310">
        <v>0.35852469999999997</v>
      </c>
      <c r="BE402" s="310">
        <v>0.35767599999999999</v>
      </c>
      <c r="BF402" s="310">
        <v>0.35860510000000001</v>
      </c>
      <c r="BG402" s="310">
        <v>0.35694310000000001</v>
      </c>
      <c r="BH402" s="310">
        <v>0.35059220000000002</v>
      </c>
      <c r="BI402" s="310">
        <v>0.35837999999999998</v>
      </c>
      <c r="BJ402" s="310">
        <v>0.35950280000000001</v>
      </c>
      <c r="BK402" s="310">
        <v>0.3598614</v>
      </c>
    </row>
    <row r="403" spans="1:63" x14ac:dyDescent="0.25">
      <c r="A403" s="306">
        <v>812300</v>
      </c>
      <c r="B403" s="310" t="s">
        <v>355</v>
      </c>
      <c r="C403" s="310">
        <v>0.36739959999999999</v>
      </c>
      <c r="D403" s="310">
        <v>0.36756610000000001</v>
      </c>
      <c r="E403" s="310">
        <v>0.3637919</v>
      </c>
      <c r="F403" s="310">
        <v>0.35437229999999997</v>
      </c>
      <c r="G403" s="310">
        <v>0.36527660000000001</v>
      </c>
      <c r="H403" s="310">
        <v>0.3666256</v>
      </c>
      <c r="I403" s="310">
        <v>0.36583959999999999</v>
      </c>
      <c r="J403" s="310">
        <v>0.35726269999999999</v>
      </c>
      <c r="K403" s="310">
        <v>0.1040059</v>
      </c>
      <c r="L403" s="310">
        <v>0.29906939999999999</v>
      </c>
      <c r="M403" s="310">
        <v>0.3661354</v>
      </c>
      <c r="N403" s="310">
        <v>0.35387750000000001</v>
      </c>
      <c r="O403" s="310">
        <v>0.3648091</v>
      </c>
      <c r="P403" s="310">
        <v>0.34760970000000002</v>
      </c>
      <c r="Q403" s="310">
        <v>0.35612660000000002</v>
      </c>
      <c r="R403" s="310">
        <v>0.36143989999999998</v>
      </c>
      <c r="S403" s="310">
        <v>0.36408550000000001</v>
      </c>
      <c r="T403" s="310">
        <v>0.34837360000000001</v>
      </c>
      <c r="U403" s="310">
        <v>0.35134910000000003</v>
      </c>
      <c r="V403" s="310">
        <v>0.36454330000000001</v>
      </c>
      <c r="W403" s="310">
        <v>0.34885650000000001</v>
      </c>
      <c r="X403" s="310">
        <v>0.34346939999999998</v>
      </c>
      <c r="Y403" s="310">
        <v>0.3675522</v>
      </c>
      <c r="Z403" s="310">
        <v>0.36703019999999997</v>
      </c>
      <c r="AA403" s="310">
        <v>0.3597147</v>
      </c>
      <c r="AB403" s="310">
        <v>0.33720739999999999</v>
      </c>
      <c r="AC403" s="310">
        <v>0.36269970000000001</v>
      </c>
      <c r="AD403" s="310">
        <v>0.36428959999999999</v>
      </c>
      <c r="AE403" s="310">
        <v>0.36427670000000001</v>
      </c>
      <c r="AF403" s="310">
        <v>0.27904509999999999</v>
      </c>
      <c r="AG403" s="310">
        <v>0.3503791</v>
      </c>
      <c r="AH403" s="310">
        <v>0.35019980000000001</v>
      </c>
      <c r="AI403" s="310">
        <v>0.35124240000000001</v>
      </c>
      <c r="AJ403" s="310">
        <v>0.36757279999999998</v>
      </c>
      <c r="AK403" s="310">
        <v>0.36361290000000002</v>
      </c>
      <c r="AL403" s="310">
        <v>0.35186600000000001</v>
      </c>
      <c r="AM403" s="310">
        <v>0.35771160000000002</v>
      </c>
      <c r="AN403" s="310">
        <v>0.36759399999999998</v>
      </c>
      <c r="AO403" s="310">
        <v>0.3392288</v>
      </c>
      <c r="AP403" s="310">
        <v>0.35899750000000002</v>
      </c>
      <c r="AQ403" s="310">
        <v>0.30897039999999998</v>
      </c>
      <c r="AR403" s="310">
        <v>0.363844</v>
      </c>
      <c r="AS403" s="310">
        <v>0.36761070000000001</v>
      </c>
      <c r="AT403" s="310">
        <v>0.33860230000000002</v>
      </c>
      <c r="AU403" s="310">
        <v>0.36540679999999998</v>
      </c>
      <c r="AV403" s="310">
        <v>0.3675716</v>
      </c>
      <c r="AW403" s="310">
        <v>0.34333330000000001</v>
      </c>
      <c r="AX403" s="310">
        <v>0.36427999999999999</v>
      </c>
      <c r="AY403" s="310">
        <v>0.36555840000000001</v>
      </c>
      <c r="AZ403" s="310">
        <v>0.3639966</v>
      </c>
      <c r="BA403" s="310">
        <v>0.3198317</v>
      </c>
      <c r="BB403" s="310">
        <v>0.36271829999999999</v>
      </c>
      <c r="BC403" s="310">
        <v>0.36367379999999999</v>
      </c>
      <c r="BD403" s="310">
        <v>0.3657241</v>
      </c>
      <c r="BE403" s="310">
        <v>0.36442740000000001</v>
      </c>
      <c r="BF403" s="310">
        <v>0.36141440000000002</v>
      </c>
      <c r="BG403" s="310">
        <v>0.36344399999999999</v>
      </c>
      <c r="BH403" s="310">
        <v>0.35943659999999999</v>
      </c>
      <c r="BI403" s="310">
        <v>0.36668869999999998</v>
      </c>
      <c r="BJ403" s="310">
        <v>0.36572759999999999</v>
      </c>
      <c r="BK403" s="310">
        <v>0.3669</v>
      </c>
    </row>
    <row r="404" spans="1:63" x14ac:dyDescent="0.25">
      <c r="A404" s="306">
        <v>812900</v>
      </c>
      <c r="B404" s="310" t="s">
        <v>356</v>
      </c>
      <c r="C404" s="310">
        <v>0.13148090000000001</v>
      </c>
      <c r="D404" s="310">
        <v>0.1315016</v>
      </c>
      <c r="E404" s="310">
        <v>0.1311647</v>
      </c>
      <c r="F404" s="310">
        <v>0.12603349999999999</v>
      </c>
      <c r="G404" s="310">
        <v>0.1290985</v>
      </c>
      <c r="H404" s="310">
        <v>0.13133890000000001</v>
      </c>
      <c r="I404" s="310">
        <v>0.13122349999999999</v>
      </c>
      <c r="J404" s="310">
        <v>0.1176417</v>
      </c>
      <c r="K404" s="310">
        <v>3.19657E-2</v>
      </c>
      <c r="L404" s="310">
        <v>9.9634700000000007E-2</v>
      </c>
      <c r="M404" s="310">
        <v>0.13073789999999999</v>
      </c>
      <c r="N404" s="310">
        <v>0.12919249999999999</v>
      </c>
      <c r="O404" s="310">
        <v>0.13152220000000001</v>
      </c>
      <c r="P404" s="310">
        <v>0.1301747</v>
      </c>
      <c r="Q404" s="310">
        <v>0.12335840000000001</v>
      </c>
      <c r="R404" s="310">
        <v>0.12819</v>
      </c>
      <c r="S404" s="310">
        <v>0.12864300000000001</v>
      </c>
      <c r="T404" s="310">
        <v>0.11576889999999999</v>
      </c>
      <c r="U404" s="310">
        <v>0.1128324</v>
      </c>
      <c r="V404" s="310">
        <v>0.1314989</v>
      </c>
      <c r="W404" s="310">
        <v>0.12977140000000001</v>
      </c>
      <c r="X404" s="310">
        <v>0.1182357</v>
      </c>
      <c r="Y404" s="310">
        <v>0.1314835</v>
      </c>
      <c r="Z404" s="310">
        <v>0.13119639999999999</v>
      </c>
      <c r="AA404" s="310">
        <v>0.1285501</v>
      </c>
      <c r="AB404" s="310">
        <v>0.12314940000000001</v>
      </c>
      <c r="AC404" s="310">
        <v>0.1269074</v>
      </c>
      <c r="AD404" s="310">
        <v>0.13148460000000001</v>
      </c>
      <c r="AE404" s="310">
        <v>0.1274748</v>
      </c>
      <c r="AF404" s="310">
        <v>0.121627</v>
      </c>
      <c r="AG404" s="310">
        <v>0.1226611</v>
      </c>
      <c r="AH404" s="310">
        <v>0.12439459999999999</v>
      </c>
      <c r="AI404" s="310">
        <v>0.1206728</v>
      </c>
      <c r="AJ404" s="310">
        <v>0.12804979999999999</v>
      </c>
      <c r="AK404" s="310">
        <v>0.1206333</v>
      </c>
      <c r="AL404" s="310">
        <v>0.1196991</v>
      </c>
      <c r="AM404" s="310">
        <v>0.1268572</v>
      </c>
      <c r="AN404" s="310">
        <v>0.13152420000000001</v>
      </c>
      <c r="AO404" s="310">
        <v>0.12729869999999999</v>
      </c>
      <c r="AP404" s="310">
        <v>0.1196475</v>
      </c>
      <c r="AQ404" s="310">
        <v>0.12405629999999999</v>
      </c>
      <c r="AR404" s="310">
        <v>0.1295924</v>
      </c>
      <c r="AS404" s="310">
        <v>0.1296543</v>
      </c>
      <c r="AT404" s="310">
        <v>0.1216696</v>
      </c>
      <c r="AU404" s="310">
        <v>0.1305616</v>
      </c>
      <c r="AV404" s="310">
        <v>0.1303945</v>
      </c>
      <c r="AW404" s="310">
        <v>0.12079239999999999</v>
      </c>
      <c r="AX404" s="310">
        <v>0.1299662</v>
      </c>
      <c r="AY404" s="310">
        <v>0.1296977</v>
      </c>
      <c r="AZ404" s="310">
        <v>0.12760440000000001</v>
      </c>
      <c r="BA404" s="310">
        <v>0.1223882</v>
      </c>
      <c r="BB404" s="310">
        <v>0.1288581</v>
      </c>
      <c r="BC404" s="310">
        <v>0.12941069999999999</v>
      </c>
      <c r="BD404" s="310">
        <v>0.1299091</v>
      </c>
      <c r="BE404" s="310">
        <v>0.13026650000000001</v>
      </c>
      <c r="BF404" s="310">
        <v>0.1282672</v>
      </c>
      <c r="BG404" s="310">
        <v>0.13013259999999999</v>
      </c>
      <c r="BH404" s="310">
        <v>0.1253978</v>
      </c>
      <c r="BI404" s="310">
        <v>0.130658</v>
      </c>
      <c r="BJ404" s="310">
        <v>0.12890360000000001</v>
      </c>
      <c r="BK404" s="310">
        <v>0.1311929</v>
      </c>
    </row>
    <row r="405" spans="1:63" x14ac:dyDescent="0.25">
      <c r="A405" s="306">
        <v>813100</v>
      </c>
      <c r="B405" s="310" t="s">
        <v>357</v>
      </c>
      <c r="C405" s="310">
        <v>0.40677570000000002</v>
      </c>
      <c r="D405" s="310">
        <v>0.40571980000000002</v>
      </c>
      <c r="E405" s="310">
        <v>0.39941650000000001</v>
      </c>
      <c r="F405" s="310">
        <v>0.40041779999999999</v>
      </c>
      <c r="G405" s="310">
        <v>0.40337990000000001</v>
      </c>
      <c r="H405" s="310">
        <v>0.40549479999999999</v>
      </c>
      <c r="I405" s="310">
        <v>0.40504780000000001</v>
      </c>
      <c r="J405" s="310">
        <v>0.39243879999999998</v>
      </c>
      <c r="K405" s="310">
        <v>0.11096540000000001</v>
      </c>
      <c r="L405" s="310">
        <v>0.3600508</v>
      </c>
      <c r="M405" s="310">
        <v>0.40251019999999998</v>
      </c>
      <c r="N405" s="310">
        <v>0.39979609999999999</v>
      </c>
      <c r="O405" s="310">
        <v>0.40205160000000001</v>
      </c>
      <c r="P405" s="310">
        <v>0.39494790000000002</v>
      </c>
      <c r="Q405" s="310">
        <v>0.3920342</v>
      </c>
      <c r="R405" s="310">
        <v>0.3945224</v>
      </c>
      <c r="S405" s="310">
        <v>0.3946424</v>
      </c>
      <c r="T405" s="310">
        <v>0.38067780000000001</v>
      </c>
      <c r="U405" s="310">
        <v>0.3846849</v>
      </c>
      <c r="V405" s="310">
        <v>0.40064620000000001</v>
      </c>
      <c r="W405" s="310">
        <v>0.38904879999999997</v>
      </c>
      <c r="X405" s="310">
        <v>0.36522850000000001</v>
      </c>
      <c r="Y405" s="310">
        <v>0.40250340000000001</v>
      </c>
      <c r="Z405" s="310">
        <v>0.40383330000000001</v>
      </c>
      <c r="AA405" s="310">
        <v>0.40087689999999998</v>
      </c>
      <c r="AB405" s="310">
        <v>0.37790200000000002</v>
      </c>
      <c r="AC405" s="310">
        <v>0.39407599999999998</v>
      </c>
      <c r="AD405" s="310">
        <v>0.40398919999999999</v>
      </c>
      <c r="AE405" s="310">
        <v>0.40052260000000001</v>
      </c>
      <c r="AF405" s="310">
        <v>0.38689879999999999</v>
      </c>
      <c r="AG405" s="310">
        <v>0.39698369999999999</v>
      </c>
      <c r="AH405" s="310">
        <v>0.38743100000000003</v>
      </c>
      <c r="AI405" s="310">
        <v>0.37629030000000002</v>
      </c>
      <c r="AJ405" s="310">
        <v>0.3978679</v>
      </c>
      <c r="AK405" s="310">
        <v>0.39437990000000001</v>
      </c>
      <c r="AL405" s="310">
        <v>0.38037480000000001</v>
      </c>
      <c r="AM405" s="310">
        <v>0.39797700000000003</v>
      </c>
      <c r="AN405" s="310">
        <v>0.40258440000000001</v>
      </c>
      <c r="AO405" s="310">
        <v>0.39212530000000001</v>
      </c>
      <c r="AP405" s="310">
        <v>0.39001429999999998</v>
      </c>
      <c r="AQ405" s="310">
        <v>0.37762760000000001</v>
      </c>
      <c r="AR405" s="310">
        <v>0.39806330000000001</v>
      </c>
      <c r="AS405" s="310">
        <v>0.39962150000000002</v>
      </c>
      <c r="AT405" s="310">
        <v>0.39040999999999998</v>
      </c>
      <c r="AU405" s="310">
        <v>0.40456249999999999</v>
      </c>
      <c r="AV405" s="310">
        <v>0.40214090000000002</v>
      </c>
      <c r="AW405" s="310">
        <v>0.3536975</v>
      </c>
      <c r="AX405" s="310">
        <v>0.38493349999999998</v>
      </c>
      <c r="AY405" s="310">
        <v>0.39982760000000001</v>
      </c>
      <c r="AZ405" s="310">
        <v>0.40277160000000001</v>
      </c>
      <c r="BA405" s="310">
        <v>0.37483559999999999</v>
      </c>
      <c r="BB405" s="310">
        <v>0.40313660000000001</v>
      </c>
      <c r="BC405" s="310">
        <v>0.40283150000000001</v>
      </c>
      <c r="BD405" s="310">
        <v>0.40115260000000003</v>
      </c>
      <c r="BE405" s="310">
        <v>0.40234900000000001</v>
      </c>
      <c r="BF405" s="310">
        <v>0.40173720000000002</v>
      </c>
      <c r="BG405" s="310">
        <v>0.40244639999999998</v>
      </c>
      <c r="BH405" s="310">
        <v>0.39727829999999997</v>
      </c>
      <c r="BI405" s="310">
        <v>0.40503420000000001</v>
      </c>
      <c r="BJ405" s="310">
        <v>0.4034142</v>
      </c>
      <c r="BK405" s="310">
        <v>0.40534559999999997</v>
      </c>
    </row>
    <row r="406" spans="1:63" x14ac:dyDescent="0.25">
      <c r="A406" s="306" t="s">
        <v>788</v>
      </c>
      <c r="B406" s="310" t="s">
        <v>358</v>
      </c>
      <c r="C406" s="310">
        <v>0.30692770000000003</v>
      </c>
      <c r="D406" s="310">
        <v>0.30610779999999999</v>
      </c>
      <c r="E406" s="310">
        <v>0.30137730000000001</v>
      </c>
      <c r="F406" s="310">
        <v>0.30208180000000001</v>
      </c>
      <c r="G406" s="310">
        <v>0.30435050000000002</v>
      </c>
      <c r="H406" s="310">
        <v>0.3059788</v>
      </c>
      <c r="I406" s="310">
        <v>0.30565340000000002</v>
      </c>
      <c r="J406" s="310">
        <v>0.29613529999999999</v>
      </c>
      <c r="K406" s="310">
        <v>8.3730700000000005E-2</v>
      </c>
      <c r="L406" s="310">
        <v>0.27167069999999999</v>
      </c>
      <c r="M406" s="310">
        <v>0.3036835</v>
      </c>
      <c r="N406" s="310">
        <v>0.30165449999999999</v>
      </c>
      <c r="O406" s="310">
        <v>0.303373</v>
      </c>
      <c r="P406" s="310">
        <v>0.29799799999999999</v>
      </c>
      <c r="Q406" s="310">
        <v>0.29576350000000001</v>
      </c>
      <c r="R406" s="310">
        <v>0.29766029999999999</v>
      </c>
      <c r="S406" s="310">
        <v>0.29777749999999997</v>
      </c>
      <c r="T406" s="310">
        <v>0.28725279999999997</v>
      </c>
      <c r="U406" s="310">
        <v>0.29026299999999999</v>
      </c>
      <c r="V406" s="310">
        <v>0.3022861</v>
      </c>
      <c r="W406" s="310">
        <v>0.29351539999999998</v>
      </c>
      <c r="X406" s="310">
        <v>0.27555360000000001</v>
      </c>
      <c r="Y406" s="310">
        <v>0.30369499999999999</v>
      </c>
      <c r="Z406" s="310">
        <v>0.30470560000000002</v>
      </c>
      <c r="AA406" s="310">
        <v>0.30247619999999997</v>
      </c>
      <c r="AB406" s="310">
        <v>0.28512880000000002</v>
      </c>
      <c r="AC406" s="310">
        <v>0.29737269999999999</v>
      </c>
      <c r="AD406" s="310">
        <v>0.30479669999999998</v>
      </c>
      <c r="AE406" s="310">
        <v>0.30220530000000001</v>
      </c>
      <c r="AF406" s="310">
        <v>0.2919582</v>
      </c>
      <c r="AG406" s="310">
        <v>0.29955850000000001</v>
      </c>
      <c r="AH406" s="310">
        <v>0.29231689999999999</v>
      </c>
      <c r="AI406" s="310">
        <v>0.2839332</v>
      </c>
      <c r="AJ406" s="310">
        <v>0.30017280000000002</v>
      </c>
      <c r="AK406" s="310">
        <v>0.29754399999999998</v>
      </c>
      <c r="AL406" s="310">
        <v>0.28698449999999998</v>
      </c>
      <c r="AM406" s="310">
        <v>0.3003014</v>
      </c>
      <c r="AN406" s="310">
        <v>0.30376409999999998</v>
      </c>
      <c r="AO406" s="310">
        <v>0.29591250000000002</v>
      </c>
      <c r="AP406" s="310">
        <v>0.29427330000000002</v>
      </c>
      <c r="AQ406" s="310">
        <v>0.28494419999999998</v>
      </c>
      <c r="AR406" s="310">
        <v>0.30035220000000001</v>
      </c>
      <c r="AS406" s="310">
        <v>0.30149930000000003</v>
      </c>
      <c r="AT406" s="310">
        <v>0.29457319999999998</v>
      </c>
      <c r="AU406" s="310">
        <v>0.30522070000000001</v>
      </c>
      <c r="AV406" s="310">
        <v>0.30337340000000002</v>
      </c>
      <c r="AW406" s="310">
        <v>0.26687329999999998</v>
      </c>
      <c r="AX406" s="310">
        <v>0.29043409999999997</v>
      </c>
      <c r="AY406" s="310">
        <v>0.30166490000000001</v>
      </c>
      <c r="AZ406" s="310">
        <v>0.30389660000000002</v>
      </c>
      <c r="BA406" s="310">
        <v>0.28280349999999999</v>
      </c>
      <c r="BB406" s="310">
        <v>0.30415890000000001</v>
      </c>
      <c r="BC406" s="310">
        <v>0.30393900000000001</v>
      </c>
      <c r="BD406" s="310">
        <v>0.30269109999999999</v>
      </c>
      <c r="BE406" s="310">
        <v>0.30358269999999998</v>
      </c>
      <c r="BF406" s="310">
        <v>0.30308410000000002</v>
      </c>
      <c r="BG406" s="310">
        <v>0.3036372</v>
      </c>
      <c r="BH406" s="310">
        <v>0.2997089</v>
      </c>
      <c r="BI406" s="310">
        <v>0.3055716</v>
      </c>
      <c r="BJ406" s="310">
        <v>0.3043864</v>
      </c>
      <c r="BK406" s="310">
        <v>0.30582690000000001</v>
      </c>
    </row>
    <row r="407" spans="1:63" x14ac:dyDescent="0.25">
      <c r="A407" s="306" t="s">
        <v>789</v>
      </c>
      <c r="B407" s="310" t="s">
        <v>359</v>
      </c>
      <c r="C407" s="310">
        <v>0.30864390000000003</v>
      </c>
      <c r="D407" s="310">
        <v>0.3078437</v>
      </c>
      <c r="E407" s="310">
        <v>0.3030545</v>
      </c>
      <c r="F407" s="310">
        <v>0.3038284</v>
      </c>
      <c r="G407" s="310">
        <v>0.30606509999999998</v>
      </c>
      <c r="H407" s="310">
        <v>0.3076835</v>
      </c>
      <c r="I407" s="310">
        <v>0.30732189999999998</v>
      </c>
      <c r="J407" s="310">
        <v>0.2977786</v>
      </c>
      <c r="K407" s="310">
        <v>8.4200399999999995E-2</v>
      </c>
      <c r="L407" s="310">
        <v>0.273173</v>
      </c>
      <c r="M407" s="310">
        <v>0.30536730000000001</v>
      </c>
      <c r="N407" s="310">
        <v>0.30338270000000001</v>
      </c>
      <c r="O407" s="310">
        <v>0.30508360000000001</v>
      </c>
      <c r="P407" s="310">
        <v>0.299674</v>
      </c>
      <c r="Q407" s="310">
        <v>0.29745919999999998</v>
      </c>
      <c r="R407" s="310">
        <v>0.29934169999999999</v>
      </c>
      <c r="S407" s="310">
        <v>0.29941089999999998</v>
      </c>
      <c r="T407" s="310">
        <v>0.28885549999999999</v>
      </c>
      <c r="U407" s="310">
        <v>0.2919002</v>
      </c>
      <c r="V407" s="310">
        <v>0.3039694</v>
      </c>
      <c r="W407" s="310">
        <v>0.29516350000000002</v>
      </c>
      <c r="X407" s="310">
        <v>0.27709899999999998</v>
      </c>
      <c r="Y407" s="310">
        <v>0.30536799999999997</v>
      </c>
      <c r="Z407" s="310">
        <v>0.3064038</v>
      </c>
      <c r="AA407" s="310">
        <v>0.3042031</v>
      </c>
      <c r="AB407" s="310">
        <v>0.28671239999999998</v>
      </c>
      <c r="AC407" s="310">
        <v>0.29901430000000001</v>
      </c>
      <c r="AD407" s="310">
        <v>0.30653740000000002</v>
      </c>
      <c r="AE407" s="310">
        <v>0.30390640000000002</v>
      </c>
      <c r="AF407" s="310">
        <v>0.29353580000000001</v>
      </c>
      <c r="AG407" s="310">
        <v>0.3011935</v>
      </c>
      <c r="AH407" s="310">
        <v>0.29394419999999999</v>
      </c>
      <c r="AI407" s="310">
        <v>0.28555049999999998</v>
      </c>
      <c r="AJ407" s="310">
        <v>0.30187180000000002</v>
      </c>
      <c r="AK407" s="310">
        <v>0.29926079999999999</v>
      </c>
      <c r="AL407" s="310">
        <v>0.28859699999999999</v>
      </c>
      <c r="AM407" s="310">
        <v>0.30199700000000002</v>
      </c>
      <c r="AN407" s="310">
        <v>0.30548130000000001</v>
      </c>
      <c r="AO407" s="310">
        <v>0.2975315</v>
      </c>
      <c r="AP407" s="310">
        <v>0.29594219999999999</v>
      </c>
      <c r="AQ407" s="310">
        <v>0.28656140000000002</v>
      </c>
      <c r="AR407" s="310">
        <v>0.30204350000000002</v>
      </c>
      <c r="AS407" s="310">
        <v>0.303147</v>
      </c>
      <c r="AT407" s="310">
        <v>0.29623110000000002</v>
      </c>
      <c r="AU407" s="310">
        <v>0.30695549999999999</v>
      </c>
      <c r="AV407" s="310">
        <v>0.30510619999999999</v>
      </c>
      <c r="AW407" s="310">
        <v>0.26835350000000002</v>
      </c>
      <c r="AX407" s="310">
        <v>0.29205999999999999</v>
      </c>
      <c r="AY407" s="310">
        <v>0.30336000000000002</v>
      </c>
      <c r="AZ407" s="310">
        <v>0.30562739999999999</v>
      </c>
      <c r="BA407" s="310">
        <v>0.28442849999999997</v>
      </c>
      <c r="BB407" s="310">
        <v>0.30585600000000002</v>
      </c>
      <c r="BC407" s="310">
        <v>0.30560870000000001</v>
      </c>
      <c r="BD407" s="310">
        <v>0.30436220000000003</v>
      </c>
      <c r="BE407" s="310">
        <v>0.30530580000000002</v>
      </c>
      <c r="BF407" s="310">
        <v>0.30480770000000001</v>
      </c>
      <c r="BG407" s="310">
        <v>0.3053305</v>
      </c>
      <c r="BH407" s="310">
        <v>0.30139060000000001</v>
      </c>
      <c r="BI407" s="310">
        <v>0.30729450000000003</v>
      </c>
      <c r="BJ407" s="310">
        <v>0.30605710000000003</v>
      </c>
      <c r="BK407" s="310">
        <v>0.30753639999999999</v>
      </c>
    </row>
    <row r="408" spans="1:63" x14ac:dyDescent="0.25">
      <c r="A408" s="306" t="s">
        <v>790</v>
      </c>
      <c r="B408" s="310" t="s">
        <v>791</v>
      </c>
      <c r="C408" s="310">
        <v>0</v>
      </c>
      <c r="D408" s="310">
        <v>0</v>
      </c>
      <c r="E408" s="310">
        <v>0</v>
      </c>
      <c r="F408" s="310">
        <v>0</v>
      </c>
      <c r="G408" s="310">
        <v>0</v>
      </c>
      <c r="H408" s="310">
        <v>0</v>
      </c>
      <c r="I408" s="310">
        <v>0</v>
      </c>
      <c r="J408" s="310">
        <v>0</v>
      </c>
      <c r="K408" s="310">
        <v>0</v>
      </c>
      <c r="L408" s="310">
        <v>0</v>
      </c>
      <c r="M408" s="310">
        <v>0</v>
      </c>
      <c r="N408" s="310">
        <v>0</v>
      </c>
      <c r="O408" s="310">
        <v>0</v>
      </c>
      <c r="P408" s="310">
        <v>0</v>
      </c>
      <c r="Q408" s="310">
        <v>0</v>
      </c>
      <c r="R408" s="310">
        <v>0</v>
      </c>
      <c r="S408" s="310">
        <v>0</v>
      </c>
      <c r="T408" s="310">
        <v>0</v>
      </c>
      <c r="U408" s="310">
        <v>0</v>
      </c>
      <c r="V408" s="310">
        <v>0</v>
      </c>
      <c r="W408" s="310">
        <v>0</v>
      </c>
      <c r="X408" s="310">
        <v>0</v>
      </c>
      <c r="Y408" s="310">
        <v>0</v>
      </c>
      <c r="Z408" s="310">
        <v>0</v>
      </c>
      <c r="AA408" s="310">
        <v>0</v>
      </c>
      <c r="AB408" s="310">
        <v>0</v>
      </c>
      <c r="AC408" s="310">
        <v>0</v>
      </c>
      <c r="AD408" s="310">
        <v>0</v>
      </c>
      <c r="AE408" s="310">
        <v>0</v>
      </c>
      <c r="AF408" s="310">
        <v>0</v>
      </c>
      <c r="AG408" s="310">
        <v>0</v>
      </c>
      <c r="AH408" s="310">
        <v>0</v>
      </c>
      <c r="AI408" s="310">
        <v>0</v>
      </c>
      <c r="AJ408" s="310">
        <v>0</v>
      </c>
      <c r="AK408" s="310">
        <v>0</v>
      </c>
      <c r="AL408" s="310">
        <v>0</v>
      </c>
      <c r="AM408" s="310">
        <v>0</v>
      </c>
      <c r="AN408" s="310">
        <v>0</v>
      </c>
      <c r="AO408" s="310">
        <v>0</v>
      </c>
      <c r="AP408" s="310">
        <v>0</v>
      </c>
      <c r="AQ408" s="310">
        <v>0</v>
      </c>
      <c r="AR408" s="310">
        <v>0</v>
      </c>
      <c r="AS408" s="310">
        <v>0</v>
      </c>
      <c r="AT408" s="310">
        <v>0</v>
      </c>
      <c r="AU408" s="310">
        <v>0</v>
      </c>
      <c r="AV408" s="310">
        <v>0</v>
      </c>
      <c r="AW408" s="310">
        <v>0</v>
      </c>
      <c r="AX408" s="310">
        <v>0</v>
      </c>
      <c r="AY408" s="310">
        <v>0</v>
      </c>
      <c r="AZ408" s="310">
        <v>0</v>
      </c>
      <c r="BA408" s="310">
        <v>0</v>
      </c>
      <c r="BB408" s="310">
        <v>0</v>
      </c>
      <c r="BC408" s="310">
        <v>0</v>
      </c>
      <c r="BD408" s="310">
        <v>0</v>
      </c>
      <c r="BE408" s="310">
        <v>0</v>
      </c>
      <c r="BF408" s="310">
        <v>0</v>
      </c>
      <c r="BG408" s="310">
        <v>0</v>
      </c>
      <c r="BH408" s="310">
        <v>0</v>
      </c>
      <c r="BI408" s="310">
        <v>0</v>
      </c>
      <c r="BJ408" s="310">
        <v>0</v>
      </c>
      <c r="BK408" s="310">
        <v>0</v>
      </c>
    </row>
    <row r="409" spans="1:63" x14ac:dyDescent="0.25">
      <c r="A409" s="306" t="s">
        <v>792</v>
      </c>
      <c r="B409" s="310" t="s">
        <v>793</v>
      </c>
      <c r="C409" s="310">
        <v>0</v>
      </c>
      <c r="D409" s="310">
        <v>0</v>
      </c>
      <c r="E409" s="310">
        <v>0</v>
      </c>
      <c r="F409" s="310">
        <v>0</v>
      </c>
      <c r="G409" s="310">
        <v>0</v>
      </c>
      <c r="H409" s="310">
        <v>0</v>
      </c>
      <c r="I409" s="310">
        <v>0</v>
      </c>
      <c r="J409" s="310">
        <v>0</v>
      </c>
      <c r="K409" s="310">
        <v>0</v>
      </c>
      <c r="L409" s="310">
        <v>0</v>
      </c>
      <c r="M409" s="310">
        <v>0</v>
      </c>
      <c r="N409" s="310">
        <v>0</v>
      </c>
      <c r="O409" s="310">
        <v>0</v>
      </c>
      <c r="P409" s="310">
        <v>0</v>
      </c>
      <c r="Q409" s="310">
        <v>0</v>
      </c>
      <c r="R409" s="310">
        <v>0</v>
      </c>
      <c r="S409" s="310">
        <v>0</v>
      </c>
      <c r="T409" s="310">
        <v>0</v>
      </c>
      <c r="U409" s="310">
        <v>0</v>
      </c>
      <c r="V409" s="310">
        <v>0</v>
      </c>
      <c r="W409" s="310">
        <v>0</v>
      </c>
      <c r="X409" s="310">
        <v>0</v>
      </c>
      <c r="Y409" s="310">
        <v>0</v>
      </c>
      <c r="Z409" s="310">
        <v>0</v>
      </c>
      <c r="AA409" s="310">
        <v>0</v>
      </c>
      <c r="AB409" s="310">
        <v>0</v>
      </c>
      <c r="AC409" s="310">
        <v>0</v>
      </c>
      <c r="AD409" s="310">
        <v>0</v>
      </c>
      <c r="AE409" s="310">
        <v>0</v>
      </c>
      <c r="AF409" s="310">
        <v>0</v>
      </c>
      <c r="AG409" s="310">
        <v>0</v>
      </c>
      <c r="AH409" s="310">
        <v>0</v>
      </c>
      <c r="AI409" s="310">
        <v>0</v>
      </c>
      <c r="AJ409" s="310">
        <v>0</v>
      </c>
      <c r="AK409" s="310">
        <v>0</v>
      </c>
      <c r="AL409" s="310">
        <v>0</v>
      </c>
      <c r="AM409" s="310">
        <v>0</v>
      </c>
      <c r="AN409" s="310">
        <v>0</v>
      </c>
      <c r="AO409" s="310">
        <v>0</v>
      </c>
      <c r="AP409" s="310">
        <v>0</v>
      </c>
      <c r="AQ409" s="310">
        <v>0</v>
      </c>
      <c r="AR409" s="310">
        <v>0</v>
      </c>
      <c r="AS409" s="310">
        <v>0</v>
      </c>
      <c r="AT409" s="310">
        <v>0</v>
      </c>
      <c r="AU409" s="310">
        <v>0</v>
      </c>
      <c r="AV409" s="310">
        <v>0</v>
      </c>
      <c r="AW409" s="310">
        <v>0</v>
      </c>
      <c r="AX409" s="310">
        <v>0</v>
      </c>
      <c r="AY409" s="310">
        <v>0</v>
      </c>
      <c r="AZ409" s="310">
        <v>0</v>
      </c>
      <c r="BA409" s="310">
        <v>0</v>
      </c>
      <c r="BB409" s="310">
        <v>0</v>
      </c>
      <c r="BC409" s="310">
        <v>0</v>
      </c>
      <c r="BD409" s="310">
        <v>0</v>
      </c>
      <c r="BE409" s="310">
        <v>0</v>
      </c>
      <c r="BF409" s="310">
        <v>0</v>
      </c>
      <c r="BG409" s="310">
        <v>0</v>
      </c>
      <c r="BH409" s="310">
        <v>0</v>
      </c>
      <c r="BI409" s="310">
        <v>0</v>
      </c>
      <c r="BJ409" s="310">
        <v>0</v>
      </c>
      <c r="BK409" s="310">
        <v>0</v>
      </c>
    </row>
    <row r="410" spans="1:63" x14ac:dyDescent="0.25">
      <c r="A410" s="306" t="s">
        <v>794</v>
      </c>
      <c r="B410" s="310" t="s">
        <v>795</v>
      </c>
      <c r="C410" s="310">
        <v>0.27279579999999998</v>
      </c>
      <c r="D410" s="310">
        <v>0.270144</v>
      </c>
      <c r="E410" s="310">
        <v>0.2688548</v>
      </c>
      <c r="F410" s="310">
        <v>0.2671964</v>
      </c>
      <c r="G410" s="310">
        <v>0.26965090000000003</v>
      </c>
      <c r="H410" s="310">
        <v>0.27199230000000002</v>
      </c>
      <c r="I410" s="310">
        <v>0.27153579999999999</v>
      </c>
      <c r="J410" s="310">
        <v>0.26327400000000001</v>
      </c>
      <c r="K410" s="310">
        <v>4.7461700000000002E-2</v>
      </c>
      <c r="L410" s="310">
        <v>0.25284220000000002</v>
      </c>
      <c r="M410" s="310">
        <v>0.2715033</v>
      </c>
      <c r="N410" s="310">
        <v>0.26669350000000003</v>
      </c>
      <c r="O410" s="310">
        <v>0.27147739999999998</v>
      </c>
      <c r="P410" s="310">
        <v>0.26805800000000002</v>
      </c>
      <c r="Q410" s="310">
        <v>0.26889200000000002</v>
      </c>
      <c r="R410" s="310">
        <v>0.26661010000000002</v>
      </c>
      <c r="S410" s="310">
        <v>0.26697530000000003</v>
      </c>
      <c r="T410" s="310">
        <v>0.25561030000000001</v>
      </c>
      <c r="U410" s="310">
        <v>0.25787339999999997</v>
      </c>
      <c r="V410" s="310">
        <v>0.26902029999999999</v>
      </c>
      <c r="W410" s="310">
        <v>0.26343759999999999</v>
      </c>
      <c r="X410" s="310">
        <v>0.24946850000000001</v>
      </c>
      <c r="Y410" s="310">
        <v>0.26873140000000001</v>
      </c>
      <c r="Z410" s="310">
        <v>0.27185530000000002</v>
      </c>
      <c r="AA410" s="310">
        <v>0.26668730000000002</v>
      </c>
      <c r="AB410" s="310">
        <v>0.25632480000000002</v>
      </c>
      <c r="AC410" s="310">
        <v>0.26615139999999998</v>
      </c>
      <c r="AD410" s="310">
        <v>0.27220309999999998</v>
      </c>
      <c r="AE410" s="310">
        <v>0.26998759999999999</v>
      </c>
      <c r="AF410" s="310">
        <v>0.26054050000000001</v>
      </c>
      <c r="AG410" s="310">
        <v>0.26488590000000001</v>
      </c>
      <c r="AH410" s="310">
        <v>0.26164290000000001</v>
      </c>
      <c r="AI410" s="310">
        <v>0.25961030000000002</v>
      </c>
      <c r="AJ410" s="310">
        <v>0.2672544</v>
      </c>
      <c r="AK410" s="310">
        <v>0.26886500000000002</v>
      </c>
      <c r="AL410" s="310">
        <v>0.26198640000000001</v>
      </c>
      <c r="AM410" s="310">
        <v>0.26959889999999997</v>
      </c>
      <c r="AN410" s="310">
        <v>0.27127109999999999</v>
      </c>
      <c r="AO410" s="310">
        <v>0.26112540000000001</v>
      </c>
      <c r="AP410" s="310">
        <v>0.2616791</v>
      </c>
      <c r="AQ410" s="310">
        <v>0.25790669999999999</v>
      </c>
      <c r="AR410" s="310">
        <v>0.26701849999999999</v>
      </c>
      <c r="AS410" s="310">
        <v>0.26899010000000001</v>
      </c>
      <c r="AT410" s="310">
        <v>0.2651155</v>
      </c>
      <c r="AU410" s="310">
        <v>0.27088509999999999</v>
      </c>
      <c r="AV410" s="310">
        <v>0.2713989</v>
      </c>
      <c r="AW410" s="310">
        <v>0.2423429</v>
      </c>
      <c r="AX410" s="310">
        <v>0.26455269999999997</v>
      </c>
      <c r="AY410" s="310">
        <v>0.27004620000000001</v>
      </c>
      <c r="AZ410" s="310">
        <v>0.27056970000000002</v>
      </c>
      <c r="BA410" s="310">
        <v>0.25849290000000003</v>
      </c>
      <c r="BB410" s="310">
        <v>0.26616810000000002</v>
      </c>
      <c r="BC410" s="310">
        <v>0.2715012</v>
      </c>
      <c r="BD410" s="310">
        <v>0.27142690000000003</v>
      </c>
      <c r="BE410" s="310">
        <v>0.27054479999999997</v>
      </c>
      <c r="BF410" s="310">
        <v>0.2687176</v>
      </c>
      <c r="BG410" s="310">
        <v>0.27042890000000003</v>
      </c>
      <c r="BH410" s="310">
        <v>0.26804359999999999</v>
      </c>
      <c r="BI410" s="310">
        <v>0.27135429999999999</v>
      </c>
      <c r="BJ410" s="310">
        <v>0.27116649999999998</v>
      </c>
      <c r="BK410" s="310">
        <v>0.27192</v>
      </c>
    </row>
    <row r="411" spans="1:63" x14ac:dyDescent="0.25">
      <c r="C411">
        <f>MEDIAN(C5:C410)</f>
        <v>0.23387170000000002</v>
      </c>
    </row>
    <row r="412" spans="1:63" s="135" customFormat="1" x14ac:dyDescent="0.25">
      <c r="A412" s="136"/>
    </row>
    <row r="414" spans="1:63" x14ac:dyDescent="0.25">
      <c r="B414" s="133" t="s">
        <v>1062</v>
      </c>
    </row>
    <row r="415" spans="1:63" x14ac:dyDescent="0.25">
      <c r="A415" s="306" t="s">
        <v>617</v>
      </c>
      <c r="B415" s="311" t="s">
        <v>618</v>
      </c>
      <c r="C415" s="311" t="s">
        <v>1137</v>
      </c>
      <c r="D415" s="311" t="s">
        <v>1138</v>
      </c>
      <c r="E415" s="311" t="s">
        <v>1139</v>
      </c>
      <c r="F415" s="311" t="s">
        <v>1140</v>
      </c>
      <c r="G415" s="311" t="s">
        <v>1141</v>
      </c>
      <c r="H415" s="311" t="s">
        <v>1142</v>
      </c>
      <c r="I415" s="311" t="s">
        <v>1143</v>
      </c>
      <c r="J415" s="311" t="s">
        <v>1144</v>
      </c>
      <c r="K415" s="311" t="s">
        <v>1145</v>
      </c>
      <c r="L415" s="311" t="s">
        <v>1146</v>
      </c>
      <c r="M415" s="311" t="s">
        <v>1147</v>
      </c>
      <c r="N415" s="311" t="s">
        <v>1148</v>
      </c>
      <c r="O415" s="311" t="s">
        <v>1149</v>
      </c>
      <c r="P415" s="311" t="s">
        <v>1150</v>
      </c>
      <c r="Q415" s="311" t="s">
        <v>1151</v>
      </c>
      <c r="R415" s="311" t="s">
        <v>1152</v>
      </c>
      <c r="S415" s="311" t="s">
        <v>1153</v>
      </c>
      <c r="T415" s="311" t="s">
        <v>1154</v>
      </c>
      <c r="U415" s="311" t="s">
        <v>1155</v>
      </c>
      <c r="V415" s="311" t="s">
        <v>1156</v>
      </c>
      <c r="W415" s="311" t="s">
        <v>1157</v>
      </c>
      <c r="X415" s="311" t="s">
        <v>1158</v>
      </c>
      <c r="Y415" s="311" t="s">
        <v>1159</v>
      </c>
      <c r="Z415" s="311" t="s">
        <v>1160</v>
      </c>
      <c r="AA415" s="311" t="s">
        <v>1161</v>
      </c>
      <c r="AB415" s="311" t="s">
        <v>1162</v>
      </c>
      <c r="AC415" s="311" t="s">
        <v>1163</v>
      </c>
      <c r="AD415" s="311" t="s">
        <v>1164</v>
      </c>
      <c r="AE415" s="311" t="s">
        <v>1165</v>
      </c>
      <c r="AF415" s="311" t="s">
        <v>1166</v>
      </c>
      <c r="AG415" s="311" t="s">
        <v>1167</v>
      </c>
      <c r="AH415" s="311" t="s">
        <v>1168</v>
      </c>
      <c r="AI415" s="311" t="s">
        <v>1169</v>
      </c>
      <c r="AJ415" s="311" t="s">
        <v>1170</v>
      </c>
      <c r="AK415" s="311" t="s">
        <v>1171</v>
      </c>
      <c r="AL415" s="311" t="s">
        <v>1172</v>
      </c>
      <c r="AM415" s="311" t="s">
        <v>1173</v>
      </c>
      <c r="AN415" s="311" t="s">
        <v>1174</v>
      </c>
      <c r="AO415" s="311" t="s">
        <v>1175</v>
      </c>
      <c r="AP415" s="311" t="s">
        <v>1176</v>
      </c>
      <c r="AQ415" s="311" t="s">
        <v>1177</v>
      </c>
      <c r="AR415" s="311" t="s">
        <v>1178</v>
      </c>
      <c r="AS415" s="311" t="s">
        <v>1179</v>
      </c>
      <c r="AT415" s="311" t="s">
        <v>1180</v>
      </c>
      <c r="AU415" s="311" t="s">
        <v>1181</v>
      </c>
      <c r="AV415" s="311" t="s">
        <v>1182</v>
      </c>
      <c r="AW415" s="311" t="s">
        <v>1183</v>
      </c>
      <c r="AX415" s="311" t="s">
        <v>1184</v>
      </c>
      <c r="AY415" s="311" t="s">
        <v>1185</v>
      </c>
      <c r="AZ415" s="311" t="s">
        <v>1186</v>
      </c>
      <c r="BA415" s="311" t="s">
        <v>1187</v>
      </c>
      <c r="BB415" s="311" t="s">
        <v>1188</v>
      </c>
      <c r="BC415" s="311" t="s">
        <v>1189</v>
      </c>
      <c r="BD415" s="311" t="s">
        <v>1190</v>
      </c>
      <c r="BE415" s="311" t="s">
        <v>1191</v>
      </c>
      <c r="BF415" s="311" t="s">
        <v>1192</v>
      </c>
      <c r="BG415" s="311" t="s">
        <v>1193</v>
      </c>
      <c r="BH415" s="311" t="s">
        <v>1194</v>
      </c>
      <c r="BI415" s="311" t="s">
        <v>1195</v>
      </c>
      <c r="BJ415" s="311" t="s">
        <v>1196</v>
      </c>
      <c r="BK415" s="311" t="s">
        <v>1197</v>
      </c>
    </row>
    <row r="416" spans="1:63" x14ac:dyDescent="0.25">
      <c r="A416" s="306" t="s">
        <v>680</v>
      </c>
      <c r="B416" s="311" t="s">
        <v>681</v>
      </c>
      <c r="C416" s="311">
        <v>0.38579999999999998</v>
      </c>
      <c r="D416" s="311">
        <v>0.1991</v>
      </c>
      <c r="E416" s="311">
        <v>0.27889999999999998</v>
      </c>
      <c r="F416" s="311">
        <v>0.27700000000000002</v>
      </c>
      <c r="G416" s="311">
        <v>0.2787</v>
      </c>
      <c r="H416" s="311">
        <v>0.29649999999999999</v>
      </c>
      <c r="I416" s="311">
        <v>0.2878</v>
      </c>
      <c r="J416" s="311">
        <v>0.21640000000000001</v>
      </c>
      <c r="K416" s="311">
        <v>0</v>
      </c>
      <c r="L416" s="311">
        <v>0.21440000000000001</v>
      </c>
      <c r="M416" s="311">
        <v>0.27810000000000001</v>
      </c>
      <c r="N416" s="311">
        <v>0.2863</v>
      </c>
      <c r="O416" s="311">
        <v>0.24510000000000001</v>
      </c>
      <c r="P416" s="311">
        <v>0.26340000000000002</v>
      </c>
      <c r="Q416" s="311">
        <v>0.26040000000000002</v>
      </c>
      <c r="R416" s="311">
        <v>0.29880000000000001</v>
      </c>
      <c r="S416" s="311">
        <v>0.25840000000000002</v>
      </c>
      <c r="T416" s="311">
        <v>0.25219999999999998</v>
      </c>
      <c r="U416" s="311">
        <v>0.27400000000000002</v>
      </c>
      <c r="V416" s="311">
        <v>0.28410000000000002</v>
      </c>
      <c r="W416" s="311">
        <v>0.2387</v>
      </c>
      <c r="X416" s="311">
        <v>0.23469999999999999</v>
      </c>
      <c r="Y416" s="311">
        <v>0.23910000000000001</v>
      </c>
      <c r="Z416" s="311">
        <v>0.25419999999999998</v>
      </c>
      <c r="AA416" s="311">
        <v>0.27160000000000001</v>
      </c>
      <c r="AB416" s="311">
        <v>0.28820000000000001</v>
      </c>
      <c r="AC416" s="311">
        <v>0.2757</v>
      </c>
      <c r="AD416" s="311">
        <v>0.2787</v>
      </c>
      <c r="AE416" s="311">
        <v>0.27129999999999999</v>
      </c>
      <c r="AF416" s="311">
        <v>0.24210000000000001</v>
      </c>
      <c r="AG416" s="311">
        <v>0.24909999999999999</v>
      </c>
      <c r="AH416" s="311">
        <v>0.21079999999999999</v>
      </c>
      <c r="AI416" s="311">
        <v>0.2487</v>
      </c>
      <c r="AJ416" s="311">
        <v>0.24640000000000001</v>
      </c>
      <c r="AK416" s="311">
        <v>0.21929999999999999</v>
      </c>
      <c r="AL416" s="311">
        <v>0.2235</v>
      </c>
      <c r="AM416" s="311">
        <v>0.27279999999999999</v>
      </c>
      <c r="AN416" s="311">
        <v>0.27189999999999998</v>
      </c>
      <c r="AO416" s="311">
        <v>0.27689999999999998</v>
      </c>
      <c r="AP416" s="311">
        <v>0.2586</v>
      </c>
      <c r="AQ416" s="311">
        <v>0.20660000000000001</v>
      </c>
      <c r="AR416" s="311">
        <v>0.26840000000000003</v>
      </c>
      <c r="AS416" s="311">
        <v>0.22869999999999999</v>
      </c>
      <c r="AT416" s="311">
        <v>0.25850000000000001</v>
      </c>
      <c r="AU416" s="311">
        <v>0.316</v>
      </c>
      <c r="AV416" s="311">
        <v>0.2737</v>
      </c>
      <c r="AW416" s="311">
        <v>0.2341</v>
      </c>
      <c r="AX416" s="311">
        <v>0.23100000000000001</v>
      </c>
      <c r="AY416" s="311">
        <v>0.29149999999999998</v>
      </c>
      <c r="AZ416" s="311">
        <v>0.27750000000000002</v>
      </c>
      <c r="BA416" s="311">
        <v>0.21310000000000001</v>
      </c>
      <c r="BB416" s="311">
        <v>0.22159999999999999</v>
      </c>
      <c r="BC416" s="311">
        <v>0.24579999999999999</v>
      </c>
      <c r="BD416" s="311">
        <v>0.26200000000000001</v>
      </c>
      <c r="BE416" s="311">
        <v>0.3019</v>
      </c>
      <c r="BF416" s="311">
        <v>0.29220000000000002</v>
      </c>
      <c r="BG416" s="311">
        <v>0.30449999999999999</v>
      </c>
      <c r="BH416" s="311">
        <v>0.30280000000000001</v>
      </c>
      <c r="BI416" s="311">
        <v>0.3347</v>
      </c>
      <c r="BJ416" s="311">
        <v>0.31640000000000001</v>
      </c>
      <c r="BK416" s="311">
        <v>0.30130000000000001</v>
      </c>
    </row>
    <row r="417" spans="1:63" x14ac:dyDescent="0.25">
      <c r="A417" s="306">
        <v>111200</v>
      </c>
      <c r="B417" s="311" t="s">
        <v>11</v>
      </c>
      <c r="C417" s="311">
        <v>0.38569999999999999</v>
      </c>
      <c r="D417" s="311">
        <v>0.21640000000000001</v>
      </c>
      <c r="E417" s="311">
        <v>0.311</v>
      </c>
      <c r="F417" s="311">
        <v>0.29980000000000001</v>
      </c>
      <c r="G417" s="311">
        <v>0.31359999999999999</v>
      </c>
      <c r="H417" s="311">
        <v>0.32850000000000001</v>
      </c>
      <c r="I417" s="311">
        <v>0.30259999999999998</v>
      </c>
      <c r="J417" s="311">
        <v>0.25040000000000001</v>
      </c>
      <c r="K417" s="311">
        <v>0</v>
      </c>
      <c r="L417" s="311">
        <v>0.2392</v>
      </c>
      <c r="M417" s="311">
        <v>0.31380000000000002</v>
      </c>
      <c r="N417" s="311">
        <v>0.31580000000000003</v>
      </c>
      <c r="O417" s="311">
        <v>0.27650000000000002</v>
      </c>
      <c r="P417" s="311">
        <v>0.2908</v>
      </c>
      <c r="Q417" s="311">
        <v>0.28760000000000002</v>
      </c>
      <c r="R417" s="311">
        <v>0.29930000000000001</v>
      </c>
      <c r="S417" s="311">
        <v>0.2752</v>
      </c>
      <c r="T417" s="311">
        <v>0.26750000000000002</v>
      </c>
      <c r="U417" s="311">
        <v>0.3</v>
      </c>
      <c r="V417" s="311">
        <v>0.2989</v>
      </c>
      <c r="W417" s="311">
        <v>0.26590000000000003</v>
      </c>
      <c r="X417" s="311">
        <v>0.25950000000000001</v>
      </c>
      <c r="Y417" s="311">
        <v>0.28470000000000001</v>
      </c>
      <c r="Z417" s="311">
        <v>0.28289999999999998</v>
      </c>
      <c r="AA417" s="311">
        <v>0.28610000000000002</v>
      </c>
      <c r="AB417" s="311">
        <v>0.29830000000000001</v>
      </c>
      <c r="AC417" s="311">
        <v>0.30320000000000003</v>
      </c>
      <c r="AD417" s="311">
        <v>0.30120000000000002</v>
      </c>
      <c r="AE417" s="311">
        <v>0.30030000000000001</v>
      </c>
      <c r="AF417" s="311">
        <v>0.27850000000000003</v>
      </c>
      <c r="AG417" s="311">
        <v>0.27850000000000003</v>
      </c>
      <c r="AH417" s="311">
        <v>0.24709999999999999</v>
      </c>
      <c r="AI417" s="311">
        <v>0.26950000000000002</v>
      </c>
      <c r="AJ417" s="311">
        <v>0.2838</v>
      </c>
      <c r="AK417" s="311">
        <v>0.24840000000000001</v>
      </c>
      <c r="AL417" s="311">
        <v>0.25259999999999999</v>
      </c>
      <c r="AM417" s="311">
        <v>0.28189999999999998</v>
      </c>
      <c r="AN417" s="311">
        <v>0.27660000000000001</v>
      </c>
      <c r="AO417" s="311">
        <v>0.31390000000000001</v>
      </c>
      <c r="AP417" s="311">
        <v>0.2863</v>
      </c>
      <c r="AQ417" s="311">
        <v>0.23949999999999999</v>
      </c>
      <c r="AR417" s="311">
        <v>0.30059999999999998</v>
      </c>
      <c r="AS417" s="311">
        <v>0.25380000000000003</v>
      </c>
      <c r="AT417" s="311">
        <v>0.28160000000000002</v>
      </c>
      <c r="AU417" s="311">
        <v>0.32619999999999999</v>
      </c>
      <c r="AV417" s="311">
        <v>0.29320000000000002</v>
      </c>
      <c r="AW417" s="311">
        <v>0.26400000000000001</v>
      </c>
      <c r="AX417" s="311">
        <v>0.27400000000000002</v>
      </c>
      <c r="AY417" s="311">
        <v>0.31709999999999999</v>
      </c>
      <c r="AZ417" s="311">
        <v>0.3044</v>
      </c>
      <c r="BA417" s="311">
        <v>0.25269999999999998</v>
      </c>
      <c r="BB417" s="311">
        <v>0.24229999999999999</v>
      </c>
      <c r="BC417" s="311">
        <v>0.27810000000000001</v>
      </c>
      <c r="BD417" s="311">
        <v>0.28389999999999999</v>
      </c>
      <c r="BE417" s="311">
        <v>0.30780000000000002</v>
      </c>
      <c r="BF417" s="311">
        <v>0.30709999999999998</v>
      </c>
      <c r="BG417" s="311">
        <v>0.33279999999999998</v>
      </c>
      <c r="BH417" s="311">
        <v>0.32200000000000001</v>
      </c>
      <c r="BI417" s="311">
        <v>0.33360000000000001</v>
      </c>
      <c r="BJ417" s="311">
        <v>0.33260000000000001</v>
      </c>
      <c r="BK417" s="311">
        <v>0.33169999999999999</v>
      </c>
    </row>
    <row r="418" spans="1:63" x14ac:dyDescent="0.25">
      <c r="A418" s="306" t="s">
        <v>682</v>
      </c>
      <c r="B418" s="311" t="s">
        <v>683</v>
      </c>
      <c r="C418" s="311">
        <v>0.43830000000000002</v>
      </c>
      <c r="D418" s="311">
        <v>0.2492</v>
      </c>
      <c r="E418" s="311">
        <v>0.36649999999999999</v>
      </c>
      <c r="F418" s="311">
        <v>0.3574</v>
      </c>
      <c r="G418" s="311">
        <v>0.36030000000000001</v>
      </c>
      <c r="H418" s="311">
        <v>0.37919999999999998</v>
      </c>
      <c r="I418" s="311">
        <v>0.34050000000000002</v>
      </c>
      <c r="J418" s="311">
        <v>0.29139999999999999</v>
      </c>
      <c r="K418" s="311">
        <v>0</v>
      </c>
      <c r="L418" s="311">
        <v>0.27250000000000002</v>
      </c>
      <c r="M418" s="311">
        <v>0.36409999999999998</v>
      </c>
      <c r="N418" s="311">
        <v>0.35639999999999999</v>
      </c>
      <c r="O418" s="311">
        <v>0.31809999999999999</v>
      </c>
      <c r="P418" s="311">
        <v>0.35499999999999998</v>
      </c>
      <c r="Q418" s="311">
        <v>0.34</v>
      </c>
      <c r="R418" s="311">
        <v>0.34160000000000001</v>
      </c>
      <c r="S418" s="311">
        <v>0.31709999999999999</v>
      </c>
      <c r="T418" s="311">
        <v>0.31669999999999998</v>
      </c>
      <c r="U418" s="311">
        <v>0.3599</v>
      </c>
      <c r="V418" s="311">
        <v>0.3488</v>
      </c>
      <c r="W418" s="311">
        <v>0.3105</v>
      </c>
      <c r="X418" s="311">
        <v>0.29809999999999998</v>
      </c>
      <c r="Y418" s="311">
        <v>0.33279999999999998</v>
      </c>
      <c r="Z418" s="311">
        <v>0.32429999999999998</v>
      </c>
      <c r="AA418" s="311">
        <v>0.32679999999999998</v>
      </c>
      <c r="AB418" s="311">
        <v>0.3478</v>
      </c>
      <c r="AC418" s="311">
        <v>0.35820000000000002</v>
      </c>
      <c r="AD418" s="311">
        <v>0.35520000000000002</v>
      </c>
      <c r="AE418" s="311">
        <v>0.34250000000000003</v>
      </c>
      <c r="AF418" s="311">
        <v>0.33129999999999998</v>
      </c>
      <c r="AG418" s="311">
        <v>0.33410000000000001</v>
      </c>
      <c r="AH418" s="311">
        <v>0.28649999999999998</v>
      </c>
      <c r="AI418" s="311">
        <v>0.30599999999999999</v>
      </c>
      <c r="AJ418" s="311">
        <v>0.33510000000000001</v>
      </c>
      <c r="AK418" s="311">
        <v>0.27889999999999998</v>
      </c>
      <c r="AL418" s="311">
        <v>0.29220000000000002</v>
      </c>
      <c r="AM418" s="311">
        <v>0.32479999999999998</v>
      </c>
      <c r="AN418" s="311">
        <v>0.32379999999999998</v>
      </c>
      <c r="AO418" s="311">
        <v>0.36499999999999999</v>
      </c>
      <c r="AP418" s="311">
        <v>0.33090000000000003</v>
      </c>
      <c r="AQ418" s="311">
        <v>0.27939999999999998</v>
      </c>
      <c r="AR418" s="311">
        <v>0.34339999999999998</v>
      </c>
      <c r="AS418" s="311">
        <v>0.308</v>
      </c>
      <c r="AT418" s="311">
        <v>0.32119999999999999</v>
      </c>
      <c r="AU418" s="311">
        <v>0.37169999999999997</v>
      </c>
      <c r="AV418" s="311">
        <v>0.33250000000000002</v>
      </c>
      <c r="AW418" s="311">
        <v>0.30030000000000001</v>
      </c>
      <c r="AX418" s="311">
        <v>0.32850000000000001</v>
      </c>
      <c r="AY418" s="311">
        <v>0.36699999999999999</v>
      </c>
      <c r="AZ418" s="311">
        <v>0.35449999999999998</v>
      </c>
      <c r="BA418" s="311">
        <v>0.29770000000000002</v>
      </c>
      <c r="BB418" s="311">
        <v>0.2883</v>
      </c>
      <c r="BC418" s="311">
        <v>0.32219999999999999</v>
      </c>
      <c r="BD418" s="311">
        <v>0.3236</v>
      </c>
      <c r="BE418" s="311">
        <v>0.35110000000000002</v>
      </c>
      <c r="BF418" s="311">
        <v>0.35849999999999999</v>
      </c>
      <c r="BG418" s="311">
        <v>0.37730000000000002</v>
      </c>
      <c r="BH418" s="311">
        <v>0.37669999999999998</v>
      </c>
      <c r="BI418" s="311">
        <v>0.3805</v>
      </c>
      <c r="BJ418" s="311">
        <v>0.37890000000000001</v>
      </c>
      <c r="BK418" s="311">
        <v>0.38190000000000002</v>
      </c>
    </row>
    <row r="419" spans="1:63" x14ac:dyDescent="0.25">
      <c r="A419" s="306">
        <v>111400</v>
      </c>
      <c r="B419" s="311" t="s">
        <v>12</v>
      </c>
      <c r="C419" s="311">
        <v>0.43240000000000001</v>
      </c>
      <c r="D419" s="311">
        <v>0.28949999999999998</v>
      </c>
      <c r="E419" s="311">
        <v>0.3831</v>
      </c>
      <c r="F419" s="311">
        <v>0.35239999999999999</v>
      </c>
      <c r="G419" s="311">
        <v>0.3755</v>
      </c>
      <c r="H419" s="311">
        <v>0.39610000000000001</v>
      </c>
      <c r="I419" s="311">
        <v>0.37930000000000003</v>
      </c>
      <c r="J419" s="311">
        <v>0.34860000000000002</v>
      </c>
      <c r="K419" s="311">
        <v>0</v>
      </c>
      <c r="L419" s="311">
        <v>0.30520000000000003</v>
      </c>
      <c r="M419" s="311">
        <v>0.37709999999999999</v>
      </c>
      <c r="N419" s="311">
        <v>0.377</v>
      </c>
      <c r="O419" s="311">
        <v>0.36120000000000002</v>
      </c>
      <c r="P419" s="311">
        <v>0.34720000000000001</v>
      </c>
      <c r="Q419" s="311">
        <v>0.36170000000000002</v>
      </c>
      <c r="R419" s="311">
        <v>0.36309999999999998</v>
      </c>
      <c r="S419" s="311">
        <v>0.34300000000000003</v>
      </c>
      <c r="T419" s="311">
        <v>0.34300000000000003</v>
      </c>
      <c r="U419" s="311">
        <v>0.36020000000000002</v>
      </c>
      <c r="V419" s="311">
        <v>0.35980000000000001</v>
      </c>
      <c r="W419" s="311">
        <v>0.33979999999999999</v>
      </c>
      <c r="X419" s="311">
        <v>0.33779999999999999</v>
      </c>
      <c r="Y419" s="311">
        <v>0.36509999999999998</v>
      </c>
      <c r="Z419" s="311">
        <v>0.36840000000000001</v>
      </c>
      <c r="AA419" s="311">
        <v>0.35659999999999997</v>
      </c>
      <c r="AB419" s="311">
        <v>0.34839999999999999</v>
      </c>
      <c r="AC419" s="311">
        <v>0.35439999999999999</v>
      </c>
      <c r="AD419" s="311">
        <v>0.36109999999999998</v>
      </c>
      <c r="AE419" s="311">
        <v>0.372</v>
      </c>
      <c r="AF419" s="311">
        <v>0.33400000000000002</v>
      </c>
      <c r="AG419" s="311">
        <v>0.33460000000000001</v>
      </c>
      <c r="AH419" s="311">
        <v>0.33910000000000001</v>
      </c>
      <c r="AI419" s="311">
        <v>0.3579</v>
      </c>
      <c r="AJ419" s="311">
        <v>0.35570000000000002</v>
      </c>
      <c r="AK419" s="311">
        <v>0.31309999999999999</v>
      </c>
      <c r="AL419" s="311">
        <v>0.3266</v>
      </c>
      <c r="AM419" s="311">
        <v>0.3619</v>
      </c>
      <c r="AN419" s="311">
        <v>0.36890000000000001</v>
      </c>
      <c r="AO419" s="311">
        <v>0.37719999999999998</v>
      </c>
      <c r="AP419" s="311">
        <v>0.37459999999999999</v>
      </c>
      <c r="AQ419" s="311">
        <v>0.3407</v>
      </c>
      <c r="AR419" s="311">
        <v>0.37009999999999998</v>
      </c>
      <c r="AS419" s="311">
        <v>0.32629999999999998</v>
      </c>
      <c r="AT419" s="311">
        <v>0.36409999999999998</v>
      </c>
      <c r="AU419" s="311">
        <v>0.38750000000000001</v>
      </c>
      <c r="AV419" s="311">
        <v>0.38040000000000002</v>
      </c>
      <c r="AW419" s="311">
        <v>0.33850000000000002</v>
      </c>
      <c r="AX419" s="311">
        <v>0.35709999999999997</v>
      </c>
      <c r="AY419" s="311">
        <v>0.38150000000000001</v>
      </c>
      <c r="AZ419" s="311">
        <v>0.37069999999999997</v>
      </c>
      <c r="BA419" s="311">
        <v>0.33350000000000002</v>
      </c>
      <c r="BB419" s="311">
        <v>0.3115</v>
      </c>
      <c r="BC419" s="311">
        <v>0.36470000000000002</v>
      </c>
      <c r="BD419" s="311">
        <v>0.36380000000000001</v>
      </c>
      <c r="BE419" s="311">
        <v>0.375</v>
      </c>
      <c r="BF419" s="311">
        <v>0.36180000000000001</v>
      </c>
      <c r="BG419" s="311">
        <v>0.38869999999999999</v>
      </c>
      <c r="BH419" s="311">
        <v>0.39140000000000003</v>
      </c>
      <c r="BI419" s="311">
        <v>0.39179999999999998</v>
      </c>
      <c r="BJ419" s="311">
        <v>0.39500000000000002</v>
      </c>
      <c r="BK419" s="311">
        <v>0.39779999999999999</v>
      </c>
    </row>
    <row r="420" spans="1:63" x14ac:dyDescent="0.25">
      <c r="A420" s="306">
        <v>111910</v>
      </c>
      <c r="B420" s="311" t="s">
        <v>13</v>
      </c>
      <c r="C420" s="311">
        <v>0.44519999999999998</v>
      </c>
      <c r="D420" s="311">
        <v>0</v>
      </c>
      <c r="E420" s="311">
        <v>0</v>
      </c>
      <c r="F420" s="311">
        <v>0</v>
      </c>
      <c r="G420" s="311">
        <v>0</v>
      </c>
      <c r="H420" s="311">
        <v>0</v>
      </c>
      <c r="I420" s="311">
        <v>0</v>
      </c>
      <c r="J420" s="311">
        <v>0.26469999999999999</v>
      </c>
      <c r="K420" s="311">
        <v>0</v>
      </c>
      <c r="L420" s="311">
        <v>0</v>
      </c>
      <c r="M420" s="311">
        <v>0.31280000000000002</v>
      </c>
      <c r="N420" s="311">
        <v>0.33679999999999999</v>
      </c>
      <c r="O420" s="311">
        <v>0</v>
      </c>
      <c r="P420" s="311">
        <v>0</v>
      </c>
      <c r="Q420" s="311">
        <v>0</v>
      </c>
      <c r="R420" s="311">
        <v>0.34379999999999999</v>
      </c>
      <c r="S420" s="311">
        <v>0.29399999999999998</v>
      </c>
      <c r="T420" s="311">
        <v>0</v>
      </c>
      <c r="U420" s="311">
        <v>0.31740000000000002</v>
      </c>
      <c r="V420" s="311">
        <v>0</v>
      </c>
      <c r="W420" s="311">
        <v>0.2843</v>
      </c>
      <c r="X420" s="311">
        <v>0.27229999999999999</v>
      </c>
      <c r="Y420" s="311">
        <v>0</v>
      </c>
      <c r="Z420" s="311">
        <v>0</v>
      </c>
      <c r="AA420" s="311">
        <v>0</v>
      </c>
      <c r="AB420" s="311">
        <v>0.31590000000000001</v>
      </c>
      <c r="AC420" s="311">
        <v>0</v>
      </c>
      <c r="AD420" s="311">
        <v>0</v>
      </c>
      <c r="AE420" s="311">
        <v>0.31380000000000002</v>
      </c>
      <c r="AF420" s="311">
        <v>0</v>
      </c>
      <c r="AG420" s="311">
        <v>0</v>
      </c>
      <c r="AH420" s="311">
        <v>0</v>
      </c>
      <c r="AI420" s="311">
        <v>0</v>
      </c>
      <c r="AJ420" s="311">
        <v>0</v>
      </c>
      <c r="AK420" s="311">
        <v>0</v>
      </c>
      <c r="AL420" s="311">
        <v>0</v>
      </c>
      <c r="AM420" s="311">
        <v>0.30680000000000002</v>
      </c>
      <c r="AN420" s="311">
        <v>0</v>
      </c>
      <c r="AO420" s="311">
        <v>0</v>
      </c>
      <c r="AP420" s="311">
        <v>0.30859999999999999</v>
      </c>
      <c r="AQ420" s="311">
        <v>0</v>
      </c>
      <c r="AR420" s="311">
        <v>0.31180000000000002</v>
      </c>
      <c r="AS420" s="311">
        <v>0</v>
      </c>
      <c r="AT420" s="311">
        <v>0.30130000000000001</v>
      </c>
      <c r="AU420" s="311">
        <v>0</v>
      </c>
      <c r="AV420" s="311">
        <v>0</v>
      </c>
      <c r="AW420" s="311">
        <v>0.27910000000000001</v>
      </c>
      <c r="AX420" s="311">
        <v>0</v>
      </c>
      <c r="AY420" s="311">
        <v>0</v>
      </c>
      <c r="AZ420" s="311">
        <v>0.308</v>
      </c>
      <c r="BA420" s="311">
        <v>0.2414</v>
      </c>
      <c r="BB420" s="311">
        <v>0</v>
      </c>
      <c r="BC420" s="311">
        <v>0.29870000000000002</v>
      </c>
      <c r="BD420" s="311">
        <v>0.30690000000000001</v>
      </c>
      <c r="BE420" s="311">
        <v>0.3417</v>
      </c>
      <c r="BF420" s="311">
        <v>0.32050000000000001</v>
      </c>
      <c r="BG420" s="311">
        <v>0.36020000000000002</v>
      </c>
      <c r="BH420" s="311">
        <v>0.35010000000000002</v>
      </c>
      <c r="BI420" s="311">
        <v>0</v>
      </c>
      <c r="BJ420" s="311">
        <v>0</v>
      </c>
      <c r="BK420" s="311">
        <v>0</v>
      </c>
    </row>
    <row r="421" spans="1:63" x14ac:dyDescent="0.25">
      <c r="A421" s="306">
        <v>111920</v>
      </c>
      <c r="B421" s="311" t="s">
        <v>14</v>
      </c>
      <c r="C421" s="311">
        <v>0.44790000000000002</v>
      </c>
      <c r="D421" s="311">
        <v>0</v>
      </c>
      <c r="E421" s="311">
        <v>0.34770000000000001</v>
      </c>
      <c r="F421" s="311">
        <v>0.32900000000000001</v>
      </c>
      <c r="G421" s="311">
        <v>0.32900000000000001</v>
      </c>
      <c r="H421" s="311">
        <v>0.35399999999999998</v>
      </c>
      <c r="I421" s="311">
        <v>0</v>
      </c>
      <c r="J421" s="311">
        <v>0</v>
      </c>
      <c r="K421" s="311">
        <v>0</v>
      </c>
      <c r="L421" s="311">
        <v>0</v>
      </c>
      <c r="M421" s="311">
        <v>0.31240000000000001</v>
      </c>
      <c r="N421" s="311">
        <v>0.34260000000000002</v>
      </c>
      <c r="O421" s="311">
        <v>0</v>
      </c>
      <c r="P421" s="311">
        <v>0</v>
      </c>
      <c r="Q421" s="311">
        <v>0</v>
      </c>
      <c r="R421" s="311">
        <v>0</v>
      </c>
      <c r="S421" s="311">
        <v>0</v>
      </c>
      <c r="T421" s="311">
        <v>0.27739999999999998</v>
      </c>
      <c r="U421" s="311">
        <v>0</v>
      </c>
      <c r="V421" s="311">
        <v>0.33800000000000002</v>
      </c>
      <c r="W421" s="311">
        <v>0</v>
      </c>
      <c r="X421" s="311">
        <v>0</v>
      </c>
      <c r="Y421" s="311">
        <v>0</v>
      </c>
      <c r="Z421" s="311">
        <v>0</v>
      </c>
      <c r="AA421" s="311">
        <v>0</v>
      </c>
      <c r="AB421" s="311">
        <v>0.33139999999999997</v>
      </c>
      <c r="AC421" s="311">
        <v>0.31669999999999998</v>
      </c>
      <c r="AD421" s="311">
        <v>0</v>
      </c>
      <c r="AE421" s="311">
        <v>0.31790000000000002</v>
      </c>
      <c r="AF421" s="311">
        <v>0</v>
      </c>
      <c r="AG421" s="311">
        <v>0</v>
      </c>
      <c r="AH421" s="311">
        <v>0</v>
      </c>
      <c r="AI421" s="311">
        <v>0</v>
      </c>
      <c r="AJ421" s="311">
        <v>0.29809999999999998</v>
      </c>
      <c r="AK421" s="311">
        <v>0</v>
      </c>
      <c r="AL421" s="311">
        <v>0</v>
      </c>
      <c r="AM421" s="311">
        <v>0</v>
      </c>
      <c r="AN421" s="311">
        <v>0.3049</v>
      </c>
      <c r="AO421" s="311">
        <v>0</v>
      </c>
      <c r="AP421" s="311">
        <v>0</v>
      </c>
      <c r="AQ421" s="311">
        <v>0</v>
      </c>
      <c r="AR421" s="311">
        <v>0.33439999999999998</v>
      </c>
      <c r="AS421" s="311">
        <v>0</v>
      </c>
      <c r="AT421" s="311">
        <v>0.29859999999999998</v>
      </c>
      <c r="AU421" s="311">
        <v>0.37840000000000001</v>
      </c>
      <c r="AV421" s="311">
        <v>0</v>
      </c>
      <c r="AW421" s="311">
        <v>0.2717</v>
      </c>
      <c r="AX421" s="311">
        <v>0</v>
      </c>
      <c r="AY421" s="311">
        <v>0</v>
      </c>
      <c r="AZ421" s="311">
        <v>0</v>
      </c>
      <c r="BA421" s="311">
        <v>0</v>
      </c>
      <c r="BB421" s="311">
        <v>0</v>
      </c>
      <c r="BC421" s="311">
        <v>0</v>
      </c>
      <c r="BD421" s="311">
        <v>0</v>
      </c>
      <c r="BE421" s="311">
        <v>0</v>
      </c>
      <c r="BF421" s="311">
        <v>0.32040000000000002</v>
      </c>
      <c r="BG421" s="311">
        <v>0.3609</v>
      </c>
      <c r="BH421" s="311">
        <v>0.36199999999999999</v>
      </c>
      <c r="BI421" s="311">
        <v>0.3896</v>
      </c>
      <c r="BJ421" s="311">
        <v>0.35060000000000002</v>
      </c>
      <c r="BK421" s="311">
        <v>0.35499999999999998</v>
      </c>
    </row>
    <row r="422" spans="1:63" x14ac:dyDescent="0.25">
      <c r="A422" s="306" t="s">
        <v>684</v>
      </c>
      <c r="B422" s="311" t="s">
        <v>685</v>
      </c>
      <c r="C422" s="311">
        <v>0.41649999999999998</v>
      </c>
      <c r="D422" s="311">
        <v>0.22550000000000001</v>
      </c>
      <c r="E422" s="311">
        <v>0.31440000000000001</v>
      </c>
      <c r="F422" s="311">
        <v>0.30549999999999999</v>
      </c>
      <c r="G422" s="311">
        <v>0.313</v>
      </c>
      <c r="H422" s="311">
        <v>0.33350000000000002</v>
      </c>
      <c r="I422" s="311">
        <v>0.31709999999999999</v>
      </c>
      <c r="J422" s="311">
        <v>0.2429</v>
      </c>
      <c r="K422" s="311">
        <v>0</v>
      </c>
      <c r="L422" s="311">
        <v>0.2341</v>
      </c>
      <c r="M422" s="311">
        <v>0.31259999999999999</v>
      </c>
      <c r="N422" s="311">
        <v>0.31619999999999998</v>
      </c>
      <c r="O422" s="311">
        <v>0.27660000000000001</v>
      </c>
      <c r="P422" s="311">
        <v>0.29270000000000002</v>
      </c>
      <c r="Q422" s="311">
        <v>0.28620000000000001</v>
      </c>
      <c r="R422" s="311">
        <v>0.31840000000000002</v>
      </c>
      <c r="S422" s="311">
        <v>0.28220000000000001</v>
      </c>
      <c r="T422" s="311">
        <v>0.27989999999999998</v>
      </c>
      <c r="U422" s="311">
        <v>0.31</v>
      </c>
      <c r="V422" s="311">
        <v>0.31419999999999998</v>
      </c>
      <c r="W422" s="311">
        <v>0.26300000000000001</v>
      </c>
      <c r="X422" s="311">
        <v>0.25650000000000001</v>
      </c>
      <c r="Y422" s="311">
        <v>0.2737</v>
      </c>
      <c r="Z422" s="311">
        <v>0.28139999999999998</v>
      </c>
      <c r="AA422" s="311">
        <v>0.29649999999999999</v>
      </c>
      <c r="AB422" s="311">
        <v>0.30840000000000001</v>
      </c>
      <c r="AC422" s="311">
        <v>0.30470000000000003</v>
      </c>
      <c r="AD422" s="311">
        <v>0.31159999999999999</v>
      </c>
      <c r="AE422" s="311">
        <v>0.29449999999999998</v>
      </c>
      <c r="AF422" s="311">
        <v>0.27860000000000001</v>
      </c>
      <c r="AG422" s="311">
        <v>0.27829999999999999</v>
      </c>
      <c r="AH422" s="311">
        <v>0.2387</v>
      </c>
      <c r="AI422" s="311">
        <v>0.27239999999999998</v>
      </c>
      <c r="AJ422" s="311">
        <v>0.28610000000000002</v>
      </c>
      <c r="AK422" s="311">
        <v>0.2427</v>
      </c>
      <c r="AL422" s="311">
        <v>0.2492</v>
      </c>
      <c r="AM422" s="311">
        <v>0.29549999999999998</v>
      </c>
      <c r="AN422" s="311">
        <v>0.30030000000000001</v>
      </c>
      <c r="AO422" s="311">
        <v>0.31019999999999998</v>
      </c>
      <c r="AP422" s="311">
        <v>0.29139999999999999</v>
      </c>
      <c r="AQ422" s="311">
        <v>0.22800000000000001</v>
      </c>
      <c r="AR422" s="311">
        <v>0.29649999999999999</v>
      </c>
      <c r="AS422" s="311">
        <v>0.25659999999999999</v>
      </c>
      <c r="AT422" s="311">
        <v>0.28239999999999998</v>
      </c>
      <c r="AU422" s="311">
        <v>0.3478</v>
      </c>
      <c r="AV422" s="311">
        <v>0.30690000000000001</v>
      </c>
      <c r="AW422" s="311">
        <v>0.2586</v>
      </c>
      <c r="AX422" s="311">
        <v>0.26910000000000001</v>
      </c>
      <c r="AY422" s="311">
        <v>0.3231</v>
      </c>
      <c r="AZ422" s="311">
        <v>0.30399999999999999</v>
      </c>
      <c r="BA422" s="311">
        <v>0.2485</v>
      </c>
      <c r="BB422" s="311">
        <v>0.25330000000000003</v>
      </c>
      <c r="BC422" s="311">
        <v>0.27510000000000001</v>
      </c>
      <c r="BD422" s="311">
        <v>0.28920000000000001</v>
      </c>
      <c r="BE422" s="311">
        <v>0.32279999999999998</v>
      </c>
      <c r="BF422" s="311">
        <v>0.31879999999999997</v>
      </c>
      <c r="BG422" s="311">
        <v>0.33460000000000001</v>
      </c>
      <c r="BH422" s="311">
        <v>0.3337</v>
      </c>
      <c r="BI422" s="311">
        <v>0.3609</v>
      </c>
      <c r="BJ422" s="311">
        <v>0.3478</v>
      </c>
      <c r="BK422" s="311">
        <v>0.33800000000000002</v>
      </c>
    </row>
    <row r="423" spans="1:63" x14ac:dyDescent="0.25">
      <c r="A423" s="306">
        <v>112120</v>
      </c>
      <c r="B423" s="311" t="s">
        <v>16</v>
      </c>
      <c r="C423" s="311">
        <v>0.39839999999999998</v>
      </c>
      <c r="D423" s="311">
        <v>0.17100000000000001</v>
      </c>
      <c r="E423" s="311">
        <v>0.29530000000000001</v>
      </c>
      <c r="F423" s="311">
        <v>0.31109999999999999</v>
      </c>
      <c r="G423" s="311">
        <v>0.25929999999999997</v>
      </c>
      <c r="H423" s="311">
        <v>0.29649999999999999</v>
      </c>
      <c r="I423" s="311">
        <v>0.30409999999999998</v>
      </c>
      <c r="J423" s="311">
        <v>0.20269999999999999</v>
      </c>
      <c r="K423" s="311">
        <v>0</v>
      </c>
      <c r="L423" s="311">
        <v>0.19950000000000001</v>
      </c>
      <c r="M423" s="311">
        <v>0.26340000000000002</v>
      </c>
      <c r="N423" s="311">
        <v>0.31</v>
      </c>
      <c r="O423" s="311">
        <v>0.2311</v>
      </c>
      <c r="P423" s="311">
        <v>0.28939999999999999</v>
      </c>
      <c r="Q423" s="311">
        <v>0.2883</v>
      </c>
      <c r="R423" s="311">
        <v>0.30590000000000001</v>
      </c>
      <c r="S423" s="311">
        <v>0.28649999999999998</v>
      </c>
      <c r="T423" s="311">
        <v>0.29570000000000002</v>
      </c>
      <c r="U423" s="311">
        <v>0.31730000000000003</v>
      </c>
      <c r="V423" s="311">
        <v>0.2883</v>
      </c>
      <c r="W423" s="311">
        <v>0.2049</v>
      </c>
      <c r="X423" s="311">
        <v>0.21510000000000001</v>
      </c>
      <c r="Y423" s="311">
        <v>0.25609999999999999</v>
      </c>
      <c r="Z423" s="311">
        <v>0.25600000000000001</v>
      </c>
      <c r="AA423" s="311">
        <v>0.3221</v>
      </c>
      <c r="AB423" s="311">
        <v>0.31619999999999998</v>
      </c>
      <c r="AC423" s="311">
        <v>0.28849999999999998</v>
      </c>
      <c r="AD423" s="311">
        <v>0.30280000000000001</v>
      </c>
      <c r="AE423" s="311">
        <v>0.27700000000000002</v>
      </c>
      <c r="AF423" s="311">
        <v>0.28670000000000001</v>
      </c>
      <c r="AG423" s="311">
        <v>0.28699999999999998</v>
      </c>
      <c r="AH423" s="311">
        <v>0.21010000000000001</v>
      </c>
      <c r="AI423" s="311">
        <v>0.2152</v>
      </c>
      <c r="AJ423" s="311">
        <v>0.26100000000000001</v>
      </c>
      <c r="AK423" s="311">
        <v>0.21740000000000001</v>
      </c>
      <c r="AL423" s="311">
        <v>0.21190000000000001</v>
      </c>
      <c r="AM423" s="311">
        <v>0.29189999999999999</v>
      </c>
      <c r="AN423" s="311">
        <v>0.31119999999999998</v>
      </c>
      <c r="AO423" s="311">
        <v>0.28310000000000002</v>
      </c>
      <c r="AP423" s="311">
        <v>0.27379999999999999</v>
      </c>
      <c r="AQ423" s="311">
        <v>0.18890000000000001</v>
      </c>
      <c r="AR423" s="311">
        <v>0.24460000000000001</v>
      </c>
      <c r="AS423" s="311">
        <v>0.27010000000000001</v>
      </c>
      <c r="AT423" s="311">
        <v>0.2397</v>
      </c>
      <c r="AU423" s="311">
        <v>0.31830000000000003</v>
      </c>
      <c r="AV423" s="311">
        <v>0.3029</v>
      </c>
      <c r="AW423" s="311">
        <v>0.2394</v>
      </c>
      <c r="AX423" s="311">
        <v>0.25240000000000001</v>
      </c>
      <c r="AY423" s="311">
        <v>0.2979</v>
      </c>
      <c r="AZ423" s="311">
        <v>0.2994</v>
      </c>
      <c r="BA423" s="311">
        <v>0.2122</v>
      </c>
      <c r="BB423" s="311">
        <v>0.2228</v>
      </c>
      <c r="BC423" s="311">
        <v>0.2291</v>
      </c>
      <c r="BD423" s="311">
        <v>0.25090000000000001</v>
      </c>
      <c r="BE423" s="311">
        <v>0.31730000000000003</v>
      </c>
      <c r="BF423" s="311">
        <v>0.33210000000000001</v>
      </c>
      <c r="BG423" s="311">
        <v>0.29320000000000002</v>
      </c>
      <c r="BH423" s="311">
        <v>0.32200000000000001</v>
      </c>
      <c r="BI423" s="311">
        <v>0.34920000000000001</v>
      </c>
      <c r="BJ423" s="311">
        <v>0.31240000000000001</v>
      </c>
      <c r="BK423" s="311">
        <v>0.30030000000000001</v>
      </c>
    </row>
    <row r="424" spans="1:63" x14ac:dyDescent="0.25">
      <c r="A424" s="306" t="s">
        <v>686</v>
      </c>
      <c r="B424" s="311" t="s">
        <v>15</v>
      </c>
      <c r="C424" s="311">
        <v>0.45479999999999998</v>
      </c>
      <c r="D424" s="311">
        <v>0.15670000000000001</v>
      </c>
      <c r="E424" s="311">
        <v>0.29060000000000002</v>
      </c>
      <c r="F424" s="311">
        <v>0.35870000000000002</v>
      </c>
      <c r="G424" s="311">
        <v>0.29049999999999998</v>
      </c>
      <c r="H424" s="311">
        <v>0.28539999999999999</v>
      </c>
      <c r="I424" s="311">
        <v>0.38340000000000002</v>
      </c>
      <c r="J424" s="311">
        <v>0.1759</v>
      </c>
      <c r="K424" s="311">
        <v>0</v>
      </c>
      <c r="L424" s="311">
        <v>0.17069999999999999</v>
      </c>
      <c r="M424" s="311">
        <v>0.2457</v>
      </c>
      <c r="N424" s="311">
        <v>0.26779999999999998</v>
      </c>
      <c r="O424" s="311">
        <v>0.22800000000000001</v>
      </c>
      <c r="P424" s="311">
        <v>0.33200000000000002</v>
      </c>
      <c r="Q424" s="311">
        <v>0.34329999999999999</v>
      </c>
      <c r="R424" s="311">
        <v>0.25059999999999999</v>
      </c>
      <c r="S424" s="311">
        <v>0.24679999999999999</v>
      </c>
      <c r="T424" s="311">
        <v>0.35249999999999998</v>
      </c>
      <c r="U424" s="311">
        <v>0.37009999999999998</v>
      </c>
      <c r="V424" s="311">
        <v>0.27160000000000001</v>
      </c>
      <c r="W424" s="311">
        <v>0.18329999999999999</v>
      </c>
      <c r="X424" s="311">
        <v>0.1865</v>
      </c>
      <c r="Y424" s="311">
        <v>0.22420000000000001</v>
      </c>
      <c r="Z424" s="311">
        <v>0.249</v>
      </c>
      <c r="AA424" s="311">
        <v>0.38040000000000002</v>
      </c>
      <c r="AB424" s="311">
        <v>0.36359999999999998</v>
      </c>
      <c r="AC424" s="311">
        <v>0.28849999999999998</v>
      </c>
      <c r="AD424" s="311">
        <v>0.36809999999999998</v>
      </c>
      <c r="AE424" s="311">
        <v>0.2485</v>
      </c>
      <c r="AF424" s="311">
        <v>0.34010000000000001</v>
      </c>
      <c r="AG424" s="311">
        <v>0.33860000000000001</v>
      </c>
      <c r="AH424" s="311">
        <v>0.18229999999999999</v>
      </c>
      <c r="AI424" s="311">
        <v>0.18940000000000001</v>
      </c>
      <c r="AJ424" s="311">
        <v>0.33079999999999998</v>
      </c>
      <c r="AK424" s="311">
        <v>0.22700000000000001</v>
      </c>
      <c r="AL424" s="311">
        <v>0.18629999999999999</v>
      </c>
      <c r="AM424" s="311">
        <v>0.23949999999999999</v>
      </c>
      <c r="AN424" s="311">
        <v>0.36980000000000002</v>
      </c>
      <c r="AO424" s="311">
        <v>0.34560000000000002</v>
      </c>
      <c r="AP424" s="311">
        <v>0.2346</v>
      </c>
      <c r="AQ424" s="311">
        <v>0.16950000000000001</v>
      </c>
      <c r="AR424" s="311">
        <v>0.22989999999999999</v>
      </c>
      <c r="AS424" s="311">
        <v>0.32600000000000001</v>
      </c>
      <c r="AT424" s="311">
        <v>0.23930000000000001</v>
      </c>
      <c r="AU424" s="311">
        <v>0.40079999999999999</v>
      </c>
      <c r="AV424" s="311">
        <v>0.32029999999999997</v>
      </c>
      <c r="AW424" s="311">
        <v>0.21210000000000001</v>
      </c>
      <c r="AX424" s="311">
        <v>0.25219999999999998</v>
      </c>
      <c r="AY424" s="311">
        <v>0.29830000000000001</v>
      </c>
      <c r="AZ424" s="311">
        <v>0.31940000000000002</v>
      </c>
      <c r="BA424" s="311">
        <v>0.23350000000000001</v>
      </c>
      <c r="BB424" s="311">
        <v>0.30270000000000002</v>
      </c>
      <c r="BC424" s="311">
        <v>0.20150000000000001</v>
      </c>
      <c r="BD424" s="311">
        <v>0.21579999999999999</v>
      </c>
      <c r="BE424" s="311">
        <v>0.26989999999999997</v>
      </c>
      <c r="BF424" s="311">
        <v>0.38650000000000001</v>
      </c>
      <c r="BG424" s="311">
        <v>0.26379999999999998</v>
      </c>
      <c r="BH424" s="311">
        <v>0.32040000000000002</v>
      </c>
      <c r="BI424" s="311">
        <v>0.41710000000000003</v>
      </c>
      <c r="BJ424" s="311">
        <v>0.39279999999999998</v>
      </c>
      <c r="BK424" s="311">
        <v>0.2949</v>
      </c>
    </row>
    <row r="425" spans="1:63" x14ac:dyDescent="0.25">
      <c r="A425" s="306">
        <v>112300</v>
      </c>
      <c r="B425" s="311" t="s">
        <v>17</v>
      </c>
      <c r="C425" s="311">
        <v>0.501</v>
      </c>
      <c r="D425" s="311">
        <v>0.1507</v>
      </c>
      <c r="E425" s="311">
        <v>0.3327</v>
      </c>
      <c r="F425" s="311">
        <v>0.38790000000000002</v>
      </c>
      <c r="G425" s="311">
        <v>0.20810000000000001</v>
      </c>
      <c r="H425" s="311">
        <v>0.27960000000000002</v>
      </c>
      <c r="I425" s="311">
        <v>0.29659999999999997</v>
      </c>
      <c r="J425" s="311">
        <v>0.1855</v>
      </c>
      <c r="K425" s="311">
        <v>0</v>
      </c>
      <c r="L425" s="311">
        <v>0.22950000000000001</v>
      </c>
      <c r="M425" s="311">
        <v>0.21959999999999999</v>
      </c>
      <c r="N425" s="311">
        <v>0.3614</v>
      </c>
      <c r="O425" s="311">
        <v>0.17910000000000001</v>
      </c>
      <c r="P425" s="311">
        <v>0.36499999999999999</v>
      </c>
      <c r="Q425" s="311">
        <v>0.29470000000000002</v>
      </c>
      <c r="R425" s="311">
        <v>0.3775</v>
      </c>
      <c r="S425" s="311">
        <v>0.39650000000000002</v>
      </c>
      <c r="T425" s="311">
        <v>0.31390000000000001</v>
      </c>
      <c r="U425" s="311">
        <v>0.39489999999999997</v>
      </c>
      <c r="V425" s="311">
        <v>0.32900000000000001</v>
      </c>
      <c r="W425" s="311">
        <v>0.18540000000000001</v>
      </c>
      <c r="X425" s="311">
        <v>0.23419999999999999</v>
      </c>
      <c r="Y425" s="311">
        <v>0.26579999999999998</v>
      </c>
      <c r="Z425" s="311">
        <v>0.24779999999999999</v>
      </c>
      <c r="AA425" s="311">
        <v>0.4027</v>
      </c>
      <c r="AB425" s="311">
        <v>0.40679999999999999</v>
      </c>
      <c r="AC425" s="311">
        <v>0.37130000000000002</v>
      </c>
      <c r="AD425" s="311">
        <v>0.30819999999999997</v>
      </c>
      <c r="AE425" s="311">
        <v>0.34620000000000001</v>
      </c>
      <c r="AF425" s="311">
        <v>0.31040000000000001</v>
      </c>
      <c r="AG425" s="311">
        <v>0.32940000000000003</v>
      </c>
      <c r="AH425" s="311">
        <v>0.1898</v>
      </c>
      <c r="AI425" s="311">
        <v>0.20660000000000001</v>
      </c>
      <c r="AJ425" s="311">
        <v>0.23830000000000001</v>
      </c>
      <c r="AK425" s="311">
        <v>0.17380000000000001</v>
      </c>
      <c r="AL425" s="311">
        <v>0.18959999999999999</v>
      </c>
      <c r="AM425" s="311">
        <v>0.37990000000000002</v>
      </c>
      <c r="AN425" s="311">
        <v>0.38729999999999998</v>
      </c>
      <c r="AO425" s="311">
        <v>0.26279999999999998</v>
      </c>
      <c r="AP425" s="311">
        <v>0.31369999999999998</v>
      </c>
      <c r="AQ425" s="311">
        <v>0.16819999999999999</v>
      </c>
      <c r="AR425" s="311">
        <v>0.25069999999999998</v>
      </c>
      <c r="AS425" s="311">
        <v>0.32369999999999999</v>
      </c>
      <c r="AT425" s="311">
        <v>0.27110000000000001</v>
      </c>
      <c r="AU425" s="311">
        <v>0.32750000000000001</v>
      </c>
      <c r="AV425" s="311">
        <v>0.30990000000000001</v>
      </c>
      <c r="AW425" s="311">
        <v>0.27379999999999999</v>
      </c>
      <c r="AX425" s="311">
        <v>0.22950000000000001</v>
      </c>
      <c r="AY425" s="311">
        <v>0.30030000000000001</v>
      </c>
      <c r="AZ425" s="311">
        <v>0.33989999999999998</v>
      </c>
      <c r="BA425" s="311">
        <v>0.2087</v>
      </c>
      <c r="BB425" s="311">
        <v>0.18479999999999999</v>
      </c>
      <c r="BC425" s="311">
        <v>0.21440000000000001</v>
      </c>
      <c r="BD425" s="311">
        <v>0.25319999999999998</v>
      </c>
      <c r="BE425" s="311">
        <v>0.40489999999999998</v>
      </c>
      <c r="BF425" s="311">
        <v>0.41909999999999997</v>
      </c>
      <c r="BG425" s="311">
        <v>0.31859999999999999</v>
      </c>
      <c r="BH425" s="311">
        <v>0.40489999999999998</v>
      </c>
      <c r="BI425" s="311">
        <v>0.41589999999999999</v>
      </c>
      <c r="BJ425" s="311">
        <v>0.2959</v>
      </c>
      <c r="BK425" s="311">
        <v>0.28389999999999999</v>
      </c>
    </row>
    <row r="426" spans="1:63" x14ac:dyDescent="0.25">
      <c r="A426" s="306" t="s">
        <v>687</v>
      </c>
      <c r="B426" s="311" t="s">
        <v>18</v>
      </c>
      <c r="C426" s="311">
        <v>0.33050000000000002</v>
      </c>
      <c r="D426" s="311">
        <v>0.15720000000000001</v>
      </c>
      <c r="E426" s="311">
        <v>0.2467</v>
      </c>
      <c r="F426" s="311">
        <v>0.26529999999999998</v>
      </c>
      <c r="G426" s="311">
        <v>0.2218</v>
      </c>
      <c r="H426" s="311">
        <v>0.24079999999999999</v>
      </c>
      <c r="I426" s="311">
        <v>0.25929999999999997</v>
      </c>
      <c r="J426" s="311">
        <v>0.17860000000000001</v>
      </c>
      <c r="K426" s="311">
        <v>0</v>
      </c>
      <c r="L426" s="311">
        <v>0.17460000000000001</v>
      </c>
      <c r="M426" s="311">
        <v>0.222</v>
      </c>
      <c r="N426" s="311">
        <v>0.24440000000000001</v>
      </c>
      <c r="O426" s="311">
        <v>0.2044</v>
      </c>
      <c r="P426" s="311">
        <v>0.25240000000000001</v>
      </c>
      <c r="Q426" s="311">
        <v>0.25140000000000001</v>
      </c>
      <c r="R426" s="311">
        <v>0.26269999999999999</v>
      </c>
      <c r="S426" s="311">
        <v>0.24740000000000001</v>
      </c>
      <c r="T426" s="311">
        <v>0.25419999999999998</v>
      </c>
      <c r="U426" s="311">
        <v>0.27189999999999998</v>
      </c>
      <c r="V426" s="311">
        <v>0.24260000000000001</v>
      </c>
      <c r="W426" s="311">
        <v>0.18210000000000001</v>
      </c>
      <c r="X426" s="311">
        <v>0.18779999999999999</v>
      </c>
      <c r="Y426" s="311">
        <v>0.22739999999999999</v>
      </c>
      <c r="Z426" s="311">
        <v>0.2263</v>
      </c>
      <c r="AA426" s="311">
        <v>0.27050000000000002</v>
      </c>
      <c r="AB426" s="311">
        <v>0.26769999999999999</v>
      </c>
      <c r="AC426" s="311">
        <v>0.25419999999999998</v>
      </c>
      <c r="AD426" s="311">
        <v>0.26379999999999998</v>
      </c>
      <c r="AE426" s="311">
        <v>0.2419</v>
      </c>
      <c r="AF426" s="311">
        <v>0.24840000000000001</v>
      </c>
      <c r="AG426" s="311">
        <v>0.2492</v>
      </c>
      <c r="AH426" s="311">
        <v>0.18210000000000001</v>
      </c>
      <c r="AI426" s="311">
        <v>0.18920000000000001</v>
      </c>
      <c r="AJ426" s="311">
        <v>0.2213</v>
      </c>
      <c r="AK426" s="311">
        <v>0.18920000000000001</v>
      </c>
      <c r="AL426" s="311">
        <v>0.18379999999999999</v>
      </c>
      <c r="AM426" s="311">
        <v>0.24660000000000001</v>
      </c>
      <c r="AN426" s="311">
        <v>0.26650000000000001</v>
      </c>
      <c r="AO426" s="311">
        <v>0.23519999999999999</v>
      </c>
      <c r="AP426" s="311">
        <v>0.22850000000000001</v>
      </c>
      <c r="AQ426" s="311">
        <v>0.17080000000000001</v>
      </c>
      <c r="AR426" s="311">
        <v>0.2152</v>
      </c>
      <c r="AS426" s="311">
        <v>0.23649999999999999</v>
      </c>
      <c r="AT426" s="311">
        <v>0.20669999999999999</v>
      </c>
      <c r="AU426" s="311">
        <v>0.25969999999999999</v>
      </c>
      <c r="AV426" s="311">
        <v>0.26050000000000001</v>
      </c>
      <c r="AW426" s="311">
        <v>0.20280000000000001</v>
      </c>
      <c r="AX426" s="311">
        <v>0.21260000000000001</v>
      </c>
      <c r="AY426" s="311">
        <v>0.246</v>
      </c>
      <c r="AZ426" s="311">
        <v>0.25130000000000002</v>
      </c>
      <c r="BA426" s="311">
        <v>0.18840000000000001</v>
      </c>
      <c r="BB426" s="311">
        <v>0.21</v>
      </c>
      <c r="BC426" s="311">
        <v>0.19800000000000001</v>
      </c>
      <c r="BD426" s="311">
        <v>0.2104</v>
      </c>
      <c r="BE426" s="311">
        <v>0.26960000000000001</v>
      </c>
      <c r="BF426" s="311">
        <v>0.27910000000000001</v>
      </c>
      <c r="BG426" s="311">
        <v>0.25740000000000002</v>
      </c>
      <c r="BH426" s="311">
        <v>0.27460000000000001</v>
      </c>
      <c r="BI426" s="311">
        <v>0.28270000000000001</v>
      </c>
      <c r="BJ426" s="311">
        <v>0.26440000000000002</v>
      </c>
      <c r="BK426" s="311">
        <v>0.24490000000000001</v>
      </c>
    </row>
    <row r="427" spans="1:63" x14ac:dyDescent="0.25">
      <c r="A427" s="306">
        <v>113300</v>
      </c>
      <c r="B427" s="311" t="s">
        <v>688</v>
      </c>
      <c r="C427" s="311">
        <v>0.53559999999999997</v>
      </c>
      <c r="D427" s="311">
        <v>0.33529999999999999</v>
      </c>
      <c r="E427" s="311">
        <v>0.46089999999999998</v>
      </c>
      <c r="F427" s="311">
        <v>0.45019999999999999</v>
      </c>
      <c r="G427" s="311">
        <v>0.30570000000000003</v>
      </c>
      <c r="H427" s="311">
        <v>0.35570000000000002</v>
      </c>
      <c r="I427" s="311">
        <v>0.3105</v>
      </c>
      <c r="J427" s="311">
        <v>0.25219999999999998</v>
      </c>
      <c r="K427" s="311">
        <v>0</v>
      </c>
      <c r="L427" s="311">
        <v>0.21560000000000001</v>
      </c>
      <c r="M427" s="311">
        <v>0.41970000000000002</v>
      </c>
      <c r="N427" s="311">
        <v>0.46939999999999998</v>
      </c>
      <c r="O427" s="311">
        <v>0.29399999999999998</v>
      </c>
      <c r="P427" s="311">
        <v>0.27739999999999998</v>
      </c>
      <c r="Q427" s="311">
        <v>0.45350000000000001</v>
      </c>
      <c r="R427" s="311">
        <v>0.27489999999999998</v>
      </c>
      <c r="S427" s="311">
        <v>0.29609999999999997</v>
      </c>
      <c r="T427" s="311">
        <v>0.28620000000000001</v>
      </c>
      <c r="U427" s="311">
        <v>0.31969999999999998</v>
      </c>
      <c r="V427" s="311">
        <v>0.44390000000000002</v>
      </c>
      <c r="W427" s="311">
        <v>0.21440000000000001</v>
      </c>
      <c r="X427" s="311">
        <v>0.25659999999999999</v>
      </c>
      <c r="Y427" s="311">
        <v>0.44330000000000003</v>
      </c>
      <c r="Z427" s="311">
        <v>0.36520000000000002</v>
      </c>
      <c r="AA427" s="311">
        <v>0.38519999999999999</v>
      </c>
      <c r="AB427" s="311">
        <v>0.29880000000000001</v>
      </c>
      <c r="AC427" s="311">
        <v>0.44540000000000002</v>
      </c>
      <c r="AD427" s="311">
        <v>0.45850000000000002</v>
      </c>
      <c r="AE427" s="311">
        <v>0.42480000000000001</v>
      </c>
      <c r="AF427" s="311">
        <v>0</v>
      </c>
      <c r="AG427" s="311">
        <v>0.22459999999999999</v>
      </c>
      <c r="AH427" s="311">
        <v>0.3609</v>
      </c>
      <c r="AI427" s="311">
        <v>0.2039</v>
      </c>
      <c r="AJ427" s="311">
        <v>0.29389999999999999</v>
      </c>
      <c r="AK427" s="311">
        <v>0.25230000000000002</v>
      </c>
      <c r="AL427" s="311">
        <v>0.2671</v>
      </c>
      <c r="AM427" s="311">
        <v>0.28249999999999997</v>
      </c>
      <c r="AN427" s="311">
        <v>0.32</v>
      </c>
      <c r="AO427" s="311">
        <v>0.46879999999999999</v>
      </c>
      <c r="AP427" s="311">
        <v>0.29870000000000002</v>
      </c>
      <c r="AQ427" s="311">
        <v>0.25950000000000001</v>
      </c>
      <c r="AR427" s="311">
        <v>0.44669999999999999</v>
      </c>
      <c r="AS427" s="311">
        <v>0.33310000000000001</v>
      </c>
      <c r="AT427" s="311">
        <v>0.31059999999999999</v>
      </c>
      <c r="AU427" s="311">
        <v>0.37380000000000002</v>
      </c>
      <c r="AV427" s="311">
        <v>0.2964</v>
      </c>
      <c r="AW427" s="311">
        <v>0.34460000000000002</v>
      </c>
      <c r="AX427" s="311">
        <v>0.3659</v>
      </c>
      <c r="AY427" s="311">
        <v>0.47710000000000002</v>
      </c>
      <c r="AZ427" s="311">
        <v>0.35199999999999998</v>
      </c>
      <c r="BA427" s="311">
        <v>0.36359999999999998</v>
      </c>
      <c r="BB427" s="311">
        <v>0.30449999999999999</v>
      </c>
      <c r="BC427" s="311">
        <v>0.38169999999999998</v>
      </c>
      <c r="BD427" s="311">
        <v>0.28749999999999998</v>
      </c>
      <c r="BE427" s="311">
        <v>0.314</v>
      </c>
      <c r="BF427" s="311">
        <v>0.32690000000000002</v>
      </c>
      <c r="BG427" s="311">
        <v>0.47620000000000001</v>
      </c>
      <c r="BH427" s="311">
        <v>0.4728</v>
      </c>
      <c r="BI427" s="311">
        <v>0.48609999999999998</v>
      </c>
      <c r="BJ427" s="311">
        <v>0.39340000000000003</v>
      </c>
      <c r="BK427" s="311">
        <v>0.49380000000000002</v>
      </c>
    </row>
    <row r="428" spans="1:63" x14ac:dyDescent="0.25">
      <c r="A428" s="306" t="s">
        <v>689</v>
      </c>
      <c r="B428" s="311" t="s">
        <v>690</v>
      </c>
      <c r="C428" s="311">
        <v>0.43280000000000002</v>
      </c>
      <c r="D428" s="311">
        <v>0.16850000000000001</v>
      </c>
      <c r="E428" s="311">
        <v>0.32690000000000002</v>
      </c>
      <c r="F428" s="311">
        <v>0.33069999999999999</v>
      </c>
      <c r="G428" s="311">
        <v>0.33929999999999999</v>
      </c>
      <c r="H428" s="311">
        <v>0.35970000000000002</v>
      </c>
      <c r="I428" s="311">
        <v>0.27800000000000002</v>
      </c>
      <c r="J428" s="311">
        <v>0</v>
      </c>
      <c r="K428" s="311">
        <v>0</v>
      </c>
      <c r="L428" s="311">
        <v>0</v>
      </c>
      <c r="M428" s="311">
        <v>0.33889999999999998</v>
      </c>
      <c r="N428" s="311">
        <v>0.29980000000000001</v>
      </c>
      <c r="O428" s="311">
        <v>0.254</v>
      </c>
      <c r="P428" s="311">
        <v>0</v>
      </c>
      <c r="Q428" s="311">
        <v>0.32840000000000003</v>
      </c>
      <c r="R428" s="311">
        <v>0.26100000000000001</v>
      </c>
      <c r="S428" s="311">
        <v>0.2293</v>
      </c>
      <c r="T428" s="311">
        <v>0</v>
      </c>
      <c r="U428" s="311">
        <v>0.34410000000000002</v>
      </c>
      <c r="V428" s="311">
        <v>0.28649999999999998</v>
      </c>
      <c r="W428" s="311">
        <v>0.21260000000000001</v>
      </c>
      <c r="X428" s="311">
        <v>0.19889999999999999</v>
      </c>
      <c r="Y428" s="311">
        <v>0.26400000000000001</v>
      </c>
      <c r="Z428" s="311">
        <v>0.2397</v>
      </c>
      <c r="AA428" s="311">
        <v>0.26450000000000001</v>
      </c>
      <c r="AB428" s="311">
        <v>0.29010000000000002</v>
      </c>
      <c r="AC428" s="311">
        <v>0.33110000000000001</v>
      </c>
      <c r="AD428" s="311">
        <v>0.32890000000000003</v>
      </c>
      <c r="AE428" s="311">
        <v>0.27579999999999999</v>
      </c>
      <c r="AF428" s="311">
        <v>0.28199999999999997</v>
      </c>
      <c r="AG428" s="311">
        <v>0.27579999999999999</v>
      </c>
      <c r="AH428" s="311">
        <v>0.20499999999999999</v>
      </c>
      <c r="AI428" s="311">
        <v>0.17749999999999999</v>
      </c>
      <c r="AJ428" s="311">
        <v>0.314</v>
      </c>
      <c r="AK428" s="311">
        <v>0</v>
      </c>
      <c r="AL428" s="311">
        <v>0.1928</v>
      </c>
      <c r="AM428" s="311">
        <v>0.23089999999999999</v>
      </c>
      <c r="AN428" s="311">
        <v>0.25019999999999998</v>
      </c>
      <c r="AO428" s="311">
        <v>0.34370000000000001</v>
      </c>
      <c r="AP428" s="311">
        <v>0.24740000000000001</v>
      </c>
      <c r="AQ428" s="311">
        <v>0</v>
      </c>
      <c r="AR428" s="311">
        <v>0.2893</v>
      </c>
      <c r="AS428" s="311">
        <v>0.25609999999999999</v>
      </c>
      <c r="AT428" s="311">
        <v>0.22320000000000001</v>
      </c>
      <c r="AU428" s="311">
        <v>0.30259999999999998</v>
      </c>
      <c r="AV428" s="311">
        <v>0</v>
      </c>
      <c r="AW428" s="311">
        <v>0.20230000000000001</v>
      </c>
      <c r="AX428" s="311">
        <v>0.27279999999999999</v>
      </c>
      <c r="AY428" s="311">
        <v>0.34010000000000001</v>
      </c>
      <c r="AZ428" s="311">
        <v>0.30480000000000002</v>
      </c>
      <c r="BA428" s="311">
        <v>0.19700000000000001</v>
      </c>
      <c r="BB428" s="311">
        <v>0</v>
      </c>
      <c r="BC428" s="311">
        <v>0.23930000000000001</v>
      </c>
      <c r="BD428" s="311">
        <v>0.22750000000000001</v>
      </c>
      <c r="BE428" s="311">
        <v>0.27150000000000002</v>
      </c>
      <c r="BF428" s="311">
        <v>0.30790000000000001</v>
      </c>
      <c r="BG428" s="311">
        <v>0.32519999999999999</v>
      </c>
      <c r="BH428" s="311">
        <v>0.3412</v>
      </c>
      <c r="BI428" s="311">
        <v>0.32279999999999998</v>
      </c>
      <c r="BJ428" s="311">
        <v>0.35799999999999998</v>
      </c>
      <c r="BK428" s="311">
        <v>0.36199999999999999</v>
      </c>
    </row>
    <row r="429" spans="1:63" x14ac:dyDescent="0.25">
      <c r="A429" s="306">
        <v>114100</v>
      </c>
      <c r="B429" s="311" t="s">
        <v>691</v>
      </c>
      <c r="C429" s="311">
        <v>0.58209999999999995</v>
      </c>
      <c r="D429" s="311">
        <v>0.31330000000000002</v>
      </c>
      <c r="E429" s="311">
        <v>0.49519999999999997</v>
      </c>
      <c r="F429" s="311">
        <v>0.46960000000000002</v>
      </c>
      <c r="G429" s="311">
        <v>0</v>
      </c>
      <c r="H429" s="311">
        <v>0.53739999999999999</v>
      </c>
      <c r="I429" s="311">
        <v>0</v>
      </c>
      <c r="J429" s="311">
        <v>0.52029999999999998</v>
      </c>
      <c r="K429" s="311">
        <v>0</v>
      </c>
      <c r="L429" s="311">
        <v>0.36909999999999998</v>
      </c>
      <c r="M429" s="311">
        <v>0.50160000000000005</v>
      </c>
      <c r="N429" s="311">
        <v>0.48830000000000001</v>
      </c>
      <c r="O429" s="311">
        <v>0.51790000000000003</v>
      </c>
      <c r="P429" s="311">
        <v>0</v>
      </c>
      <c r="Q429" s="311">
        <v>0.48580000000000001</v>
      </c>
      <c r="R429" s="311">
        <v>0.50649999999999995</v>
      </c>
      <c r="S429" s="311">
        <v>0</v>
      </c>
      <c r="T429" s="311">
        <v>0</v>
      </c>
      <c r="U429" s="311">
        <v>0.52390000000000003</v>
      </c>
      <c r="V429" s="311">
        <v>0.52110000000000001</v>
      </c>
      <c r="W429" s="311">
        <v>0.4859</v>
      </c>
      <c r="X429" s="311">
        <v>0.48699999999999999</v>
      </c>
      <c r="Y429" s="311">
        <v>0.50939999999999996</v>
      </c>
      <c r="Z429" s="311">
        <v>0.49480000000000002</v>
      </c>
      <c r="AA429" s="311">
        <v>0.50129999999999997</v>
      </c>
      <c r="AB429" s="311">
        <v>0</v>
      </c>
      <c r="AC429" s="311">
        <v>0.49080000000000001</v>
      </c>
      <c r="AD429" s="311">
        <v>0.39950000000000002</v>
      </c>
      <c r="AE429" s="311">
        <v>0.49719999999999998</v>
      </c>
      <c r="AF429" s="311">
        <v>0</v>
      </c>
      <c r="AG429" s="311">
        <v>0</v>
      </c>
      <c r="AH429" s="311">
        <v>0.45889999999999997</v>
      </c>
      <c r="AI429" s="311">
        <v>0.48659999999999998</v>
      </c>
      <c r="AJ429" s="311">
        <v>0</v>
      </c>
      <c r="AK429" s="311">
        <v>0.48020000000000002</v>
      </c>
      <c r="AL429" s="311">
        <v>0.47099999999999997</v>
      </c>
      <c r="AM429" s="311">
        <v>0.51129999999999998</v>
      </c>
      <c r="AN429" s="311">
        <v>0</v>
      </c>
      <c r="AO429" s="311">
        <v>0.5</v>
      </c>
      <c r="AP429" s="311">
        <v>0.45519999999999999</v>
      </c>
      <c r="AQ429" s="311">
        <v>0.48649999999999999</v>
      </c>
      <c r="AR429" s="311">
        <v>0.50880000000000003</v>
      </c>
      <c r="AS429" s="311">
        <v>0</v>
      </c>
      <c r="AT429" s="311">
        <v>0.51829999999999998</v>
      </c>
      <c r="AU429" s="311">
        <v>0.54610000000000003</v>
      </c>
      <c r="AV429" s="311">
        <v>0.4783</v>
      </c>
      <c r="AW429" s="311">
        <v>0.50609999999999999</v>
      </c>
      <c r="AX429" s="311">
        <v>0</v>
      </c>
      <c r="AY429" s="311">
        <v>0.51070000000000004</v>
      </c>
      <c r="AZ429" s="311">
        <v>0.49740000000000001</v>
      </c>
      <c r="BA429" s="311">
        <v>0</v>
      </c>
      <c r="BB429" s="311">
        <v>0</v>
      </c>
      <c r="BC429" s="311">
        <v>0.53010000000000002</v>
      </c>
      <c r="BD429" s="311">
        <v>0.50729999999999997</v>
      </c>
      <c r="BE429" s="311">
        <v>0.5212</v>
      </c>
      <c r="BF429" s="311">
        <v>0.48209999999999997</v>
      </c>
      <c r="BG429" s="311">
        <v>0.53110000000000002</v>
      </c>
      <c r="BH429" s="311">
        <v>0.51880000000000004</v>
      </c>
      <c r="BI429" s="311">
        <v>0.55130000000000001</v>
      </c>
      <c r="BJ429" s="311">
        <v>0.50539999999999996</v>
      </c>
      <c r="BK429" s="311">
        <v>0.54869999999999997</v>
      </c>
    </row>
    <row r="430" spans="1:63" x14ac:dyDescent="0.25">
      <c r="A430" s="306">
        <v>114200</v>
      </c>
      <c r="B430" s="311" t="s">
        <v>692</v>
      </c>
      <c r="C430" s="311">
        <v>0.33350000000000002</v>
      </c>
      <c r="D430" s="311">
        <v>0</v>
      </c>
      <c r="E430" s="311">
        <v>0.24540000000000001</v>
      </c>
      <c r="F430" s="311">
        <v>0.23080000000000001</v>
      </c>
      <c r="G430" s="311">
        <v>0.24360000000000001</v>
      </c>
      <c r="H430" s="311">
        <v>0.2702</v>
      </c>
      <c r="I430" s="311">
        <v>0.2661</v>
      </c>
      <c r="J430" s="311">
        <v>0.2392</v>
      </c>
      <c r="K430" s="311">
        <v>0</v>
      </c>
      <c r="L430" s="311">
        <v>0</v>
      </c>
      <c r="M430" s="311">
        <v>0.24329999999999999</v>
      </c>
      <c r="N430" s="311">
        <v>0.2646</v>
      </c>
      <c r="O430" s="311">
        <v>0.20799999999999999</v>
      </c>
      <c r="P430" s="311">
        <v>0.2205</v>
      </c>
      <c r="Q430" s="311">
        <v>0.22220000000000001</v>
      </c>
      <c r="R430" s="311">
        <v>0.28649999999999998</v>
      </c>
      <c r="S430" s="311">
        <v>0.25850000000000001</v>
      </c>
      <c r="T430" s="311">
        <v>0.2336</v>
      </c>
      <c r="U430" s="311">
        <v>0.25480000000000003</v>
      </c>
      <c r="V430" s="311">
        <v>0.23519999999999999</v>
      </c>
      <c r="W430" s="311">
        <v>0.23899999999999999</v>
      </c>
      <c r="X430" s="311">
        <v>0.22939999999999999</v>
      </c>
      <c r="Y430" s="311">
        <v>0</v>
      </c>
      <c r="Z430" s="311">
        <v>0.25509999999999999</v>
      </c>
      <c r="AA430" s="311">
        <v>0.25330000000000003</v>
      </c>
      <c r="AB430" s="311">
        <v>0.2273</v>
      </c>
      <c r="AC430" s="311">
        <v>0.22489999999999999</v>
      </c>
      <c r="AD430" s="311">
        <v>0.19950000000000001</v>
      </c>
      <c r="AE430" s="311">
        <v>0.25640000000000002</v>
      </c>
      <c r="AF430" s="311">
        <v>0.20680000000000001</v>
      </c>
      <c r="AG430" s="311">
        <v>0.21940000000000001</v>
      </c>
      <c r="AH430" s="311">
        <v>0</v>
      </c>
      <c r="AI430" s="311">
        <v>0.254</v>
      </c>
      <c r="AJ430" s="311">
        <v>0</v>
      </c>
      <c r="AK430" s="311">
        <v>0.2177</v>
      </c>
      <c r="AL430" s="311">
        <v>0.2127</v>
      </c>
      <c r="AM430" s="311">
        <v>0.27350000000000002</v>
      </c>
      <c r="AN430" s="311">
        <v>0.255</v>
      </c>
      <c r="AO430" s="311">
        <v>0.24329999999999999</v>
      </c>
      <c r="AP430" s="311">
        <v>0.25600000000000001</v>
      </c>
      <c r="AQ430" s="311">
        <v>0</v>
      </c>
      <c r="AR430" s="311">
        <v>0.254</v>
      </c>
      <c r="AS430" s="311">
        <v>0.191</v>
      </c>
      <c r="AT430" s="311">
        <v>0.26419999999999999</v>
      </c>
      <c r="AU430" s="311">
        <v>0.2823</v>
      </c>
      <c r="AV430" s="311">
        <v>0.25269999999999998</v>
      </c>
      <c r="AW430" s="311">
        <v>0.23319999999999999</v>
      </c>
      <c r="AX430" s="311">
        <v>0.21540000000000001</v>
      </c>
      <c r="AY430" s="311">
        <v>0.24129999999999999</v>
      </c>
      <c r="AZ430" s="311">
        <v>0.2535</v>
      </c>
      <c r="BA430" s="311">
        <v>0.22020000000000001</v>
      </c>
      <c r="BB430" s="311">
        <v>0.20710000000000001</v>
      </c>
      <c r="BC430" s="311">
        <v>0.25850000000000001</v>
      </c>
      <c r="BD430" s="311">
        <v>0.2631</v>
      </c>
      <c r="BE430" s="311">
        <v>0.28820000000000001</v>
      </c>
      <c r="BF430" s="311">
        <v>0.25230000000000002</v>
      </c>
      <c r="BG430" s="311">
        <v>0.27100000000000002</v>
      </c>
      <c r="BH430" s="311">
        <v>0.26700000000000002</v>
      </c>
      <c r="BI430" s="311">
        <v>0.28349999999999997</v>
      </c>
      <c r="BJ430" s="311">
        <v>0.25940000000000002</v>
      </c>
      <c r="BK430" s="311">
        <v>0.27179999999999999</v>
      </c>
    </row>
    <row r="431" spans="1:63" x14ac:dyDescent="0.25">
      <c r="A431" s="306">
        <v>115000</v>
      </c>
      <c r="B431" s="311" t="s">
        <v>19</v>
      </c>
      <c r="C431" s="311">
        <v>0.64580000000000004</v>
      </c>
      <c r="D431" s="311">
        <v>0.51739999999999997</v>
      </c>
      <c r="E431" s="311">
        <v>0.56130000000000002</v>
      </c>
      <c r="F431" s="311">
        <v>0.54369999999999996</v>
      </c>
      <c r="G431" s="311">
        <v>0.54510000000000003</v>
      </c>
      <c r="H431" s="311">
        <v>0.5665</v>
      </c>
      <c r="I431" s="311">
        <v>0.55940000000000001</v>
      </c>
      <c r="J431" s="311">
        <v>0.49030000000000001</v>
      </c>
      <c r="K431" s="311">
        <v>0</v>
      </c>
      <c r="L431" s="311">
        <v>0.4773</v>
      </c>
      <c r="M431" s="311">
        <v>0.55489999999999995</v>
      </c>
      <c r="N431" s="311">
        <v>0.56759999999999999</v>
      </c>
      <c r="O431" s="311">
        <v>0.53139999999999998</v>
      </c>
      <c r="P431" s="311">
        <v>0.54600000000000004</v>
      </c>
      <c r="Q431" s="311">
        <v>0.53490000000000004</v>
      </c>
      <c r="R431" s="311">
        <v>0.55489999999999995</v>
      </c>
      <c r="S431" s="311">
        <v>0.54830000000000001</v>
      </c>
      <c r="T431" s="311">
        <v>0.54149999999999998</v>
      </c>
      <c r="U431" s="311">
        <v>0.53069999999999995</v>
      </c>
      <c r="V431" s="311">
        <v>0.55759999999999998</v>
      </c>
      <c r="W431" s="311">
        <v>0.54200000000000004</v>
      </c>
      <c r="X431" s="311">
        <v>0.52700000000000002</v>
      </c>
      <c r="Y431" s="311">
        <v>0.55559999999999998</v>
      </c>
      <c r="Z431" s="311">
        <v>0.55100000000000005</v>
      </c>
      <c r="AA431" s="311">
        <v>0.53069999999999995</v>
      </c>
      <c r="AB431" s="311">
        <v>0.55940000000000001</v>
      </c>
      <c r="AC431" s="311">
        <v>0.53410000000000002</v>
      </c>
      <c r="AD431" s="311">
        <v>0.54879999999999995</v>
      </c>
      <c r="AE431" s="311">
        <v>0.57640000000000002</v>
      </c>
      <c r="AF431" s="311">
        <v>0.49759999999999999</v>
      </c>
      <c r="AG431" s="311">
        <v>0.54490000000000005</v>
      </c>
      <c r="AH431" s="311">
        <v>0.495</v>
      </c>
      <c r="AI431" s="311">
        <v>0.55200000000000005</v>
      </c>
      <c r="AJ431" s="311">
        <v>0.5171</v>
      </c>
      <c r="AK431" s="311">
        <v>0.50970000000000004</v>
      </c>
      <c r="AL431" s="311">
        <v>0.43309999999999998</v>
      </c>
      <c r="AM431" s="311">
        <v>0.57609999999999995</v>
      </c>
      <c r="AN431" s="311">
        <v>0.55710000000000004</v>
      </c>
      <c r="AO431" s="311">
        <v>0.55769999999999997</v>
      </c>
      <c r="AP431" s="311">
        <v>0.56140000000000001</v>
      </c>
      <c r="AQ431" s="311">
        <v>0.52480000000000004</v>
      </c>
      <c r="AR431" s="311">
        <v>0.51949999999999996</v>
      </c>
      <c r="AS431" s="311">
        <v>0.51190000000000002</v>
      </c>
      <c r="AT431" s="311">
        <v>0.53839999999999999</v>
      </c>
      <c r="AU431" s="311">
        <v>0.57709999999999995</v>
      </c>
      <c r="AV431" s="311">
        <v>0.57440000000000002</v>
      </c>
      <c r="AW431" s="311">
        <v>0.53180000000000005</v>
      </c>
      <c r="AX431" s="311">
        <v>0.51400000000000001</v>
      </c>
      <c r="AY431" s="311">
        <v>0.53339999999999999</v>
      </c>
      <c r="AZ431" s="311">
        <v>0.57350000000000001</v>
      </c>
      <c r="BA431" s="311">
        <v>0.52600000000000002</v>
      </c>
      <c r="BB431" s="311">
        <v>0.48060000000000003</v>
      </c>
      <c r="BC431" s="311">
        <v>0.55510000000000004</v>
      </c>
      <c r="BD431" s="311">
        <v>0.51539999999999997</v>
      </c>
      <c r="BE431" s="311">
        <v>0.60389999999999999</v>
      </c>
      <c r="BF431" s="311">
        <v>0.58109999999999995</v>
      </c>
      <c r="BG431" s="311">
        <v>0.60219999999999996</v>
      </c>
      <c r="BH431" s="311">
        <v>0.58430000000000004</v>
      </c>
      <c r="BI431" s="311">
        <v>0.59809999999999997</v>
      </c>
      <c r="BJ431" s="311">
        <v>0.57920000000000005</v>
      </c>
      <c r="BK431" s="311">
        <v>0.56779999999999997</v>
      </c>
    </row>
    <row r="432" spans="1:63" x14ac:dyDescent="0.25">
      <c r="A432" s="306">
        <v>211000</v>
      </c>
      <c r="B432" s="311" t="s">
        <v>693</v>
      </c>
      <c r="C432" s="311">
        <v>0.41049999999999998</v>
      </c>
      <c r="D432" s="311">
        <v>0.28539999999999999</v>
      </c>
      <c r="E432" s="311">
        <v>0.27560000000000001</v>
      </c>
      <c r="F432" s="311">
        <v>0.28510000000000002</v>
      </c>
      <c r="G432" s="311">
        <v>0.28189999999999998</v>
      </c>
      <c r="H432" s="311">
        <v>0.35859999999999997</v>
      </c>
      <c r="I432" s="311">
        <v>0.36399999999999999</v>
      </c>
      <c r="J432" s="311">
        <v>0.33550000000000002</v>
      </c>
      <c r="K432" s="311">
        <v>0</v>
      </c>
      <c r="L432" s="311">
        <v>0</v>
      </c>
      <c r="M432" s="311">
        <v>0.30740000000000001</v>
      </c>
      <c r="N432" s="311">
        <v>0</v>
      </c>
      <c r="O432" s="311">
        <v>0.30280000000000001</v>
      </c>
      <c r="P432" s="311">
        <v>0</v>
      </c>
      <c r="Q432" s="311">
        <v>0.29699999999999999</v>
      </c>
      <c r="R432" s="311">
        <v>0.33979999999999999</v>
      </c>
      <c r="S432" s="311">
        <v>0.29330000000000001</v>
      </c>
      <c r="T432" s="311">
        <v>0.29399999999999998</v>
      </c>
      <c r="U432" s="311">
        <v>0.30630000000000002</v>
      </c>
      <c r="V432" s="311">
        <v>0.31769999999999998</v>
      </c>
      <c r="W432" s="311">
        <v>0.30620000000000003</v>
      </c>
      <c r="X432" s="311">
        <v>0.3</v>
      </c>
      <c r="Y432" s="311">
        <v>0.29070000000000001</v>
      </c>
      <c r="Z432" s="311">
        <v>0.34560000000000002</v>
      </c>
      <c r="AA432" s="311">
        <v>0.34239999999999998</v>
      </c>
      <c r="AB432" s="311">
        <v>0.25600000000000001</v>
      </c>
      <c r="AC432" s="311">
        <v>0.26540000000000002</v>
      </c>
      <c r="AD432" s="311">
        <v>0.2797</v>
      </c>
      <c r="AE432" s="311">
        <v>0.2903</v>
      </c>
      <c r="AF432" s="311">
        <v>0.28199999999999997</v>
      </c>
      <c r="AG432" s="311">
        <v>0.2676</v>
      </c>
      <c r="AH432" s="311">
        <v>0</v>
      </c>
      <c r="AI432" s="311">
        <v>0.30919999999999997</v>
      </c>
      <c r="AJ432" s="311">
        <v>0.28589999999999999</v>
      </c>
      <c r="AK432" s="311">
        <v>0.3135</v>
      </c>
      <c r="AL432" s="311">
        <v>0.25290000000000001</v>
      </c>
      <c r="AM432" s="311">
        <v>0.32850000000000001</v>
      </c>
      <c r="AN432" s="311">
        <v>0.33129999999999998</v>
      </c>
      <c r="AO432" s="311">
        <v>0.31259999999999999</v>
      </c>
      <c r="AP432" s="311">
        <v>0.35659999999999997</v>
      </c>
      <c r="AQ432" s="311">
        <v>0.30909999999999999</v>
      </c>
      <c r="AR432" s="311">
        <v>0.3095</v>
      </c>
      <c r="AS432" s="311">
        <v>0.1085</v>
      </c>
      <c r="AT432" s="311">
        <v>0.31890000000000002</v>
      </c>
      <c r="AU432" s="311">
        <v>0.3614</v>
      </c>
      <c r="AV432" s="311">
        <v>0.34799999999999998</v>
      </c>
      <c r="AW432" s="311">
        <v>0.31290000000000001</v>
      </c>
      <c r="AX432" s="311">
        <v>0</v>
      </c>
      <c r="AY432" s="311">
        <v>0</v>
      </c>
      <c r="AZ432" s="311">
        <v>0.3342</v>
      </c>
      <c r="BA432" s="311">
        <v>0.2994</v>
      </c>
      <c r="BB432" s="311">
        <v>0.28589999999999999</v>
      </c>
      <c r="BC432" s="311">
        <v>0.3468</v>
      </c>
      <c r="BD432" s="311">
        <v>0.32550000000000001</v>
      </c>
      <c r="BE432" s="311">
        <v>0.35049999999999998</v>
      </c>
      <c r="BF432" s="311">
        <v>0.3327</v>
      </c>
      <c r="BG432" s="311">
        <v>0.3397</v>
      </c>
      <c r="BH432" s="311">
        <v>0.30249999999999999</v>
      </c>
      <c r="BI432" s="311">
        <v>0.36359999999999998</v>
      </c>
      <c r="BJ432" s="311">
        <v>0.35930000000000001</v>
      </c>
      <c r="BK432" s="311">
        <v>0.35930000000000001</v>
      </c>
    </row>
    <row r="433" spans="1:63" x14ac:dyDescent="0.25">
      <c r="A433" s="306">
        <v>212100</v>
      </c>
      <c r="B433" s="311" t="s">
        <v>694</v>
      </c>
      <c r="C433" s="311">
        <v>0.46689999999999998</v>
      </c>
      <c r="D433" s="311">
        <v>0.31059999999999999</v>
      </c>
      <c r="E433" s="311">
        <v>0.38100000000000001</v>
      </c>
      <c r="F433" s="311">
        <v>0.19040000000000001</v>
      </c>
      <c r="G433" s="311">
        <v>0.34820000000000001</v>
      </c>
      <c r="H433" s="311">
        <v>0.24590000000000001</v>
      </c>
      <c r="I433" s="311">
        <v>0.40439999999999998</v>
      </c>
      <c r="J433" s="311">
        <v>0</v>
      </c>
      <c r="K433" s="311">
        <v>0</v>
      </c>
      <c r="L433" s="311">
        <v>0</v>
      </c>
      <c r="M433" s="311">
        <v>0</v>
      </c>
      <c r="N433" s="311">
        <v>0.28489999999999999</v>
      </c>
      <c r="O433" s="311">
        <v>0</v>
      </c>
      <c r="P433" s="311">
        <v>0</v>
      </c>
      <c r="Q433" s="311">
        <v>0</v>
      </c>
      <c r="R433" s="311">
        <v>0.3947</v>
      </c>
      <c r="S433" s="311">
        <v>0.36470000000000002</v>
      </c>
      <c r="T433" s="311">
        <v>0.3357</v>
      </c>
      <c r="U433" s="311">
        <v>0.36330000000000001</v>
      </c>
      <c r="V433" s="311">
        <v>0.3024</v>
      </c>
      <c r="W433" s="311">
        <v>0</v>
      </c>
      <c r="X433" s="311">
        <v>0.27700000000000002</v>
      </c>
      <c r="Y433" s="311">
        <v>0</v>
      </c>
      <c r="Z433" s="311">
        <v>0</v>
      </c>
      <c r="AA433" s="311">
        <v>0</v>
      </c>
      <c r="AB433" s="311">
        <v>0.30509999999999998</v>
      </c>
      <c r="AC433" s="311">
        <v>0.31709999999999999</v>
      </c>
      <c r="AD433" s="311">
        <v>0.27229999999999999</v>
      </c>
      <c r="AE433" s="311">
        <v>0.33739999999999998</v>
      </c>
      <c r="AF433" s="311">
        <v>0.33279999999999998</v>
      </c>
      <c r="AG433" s="311">
        <v>0</v>
      </c>
      <c r="AH433" s="311">
        <v>0</v>
      </c>
      <c r="AI433" s="311">
        <v>0</v>
      </c>
      <c r="AJ433" s="311">
        <v>0.32700000000000001</v>
      </c>
      <c r="AK433" s="311">
        <v>0</v>
      </c>
      <c r="AL433" s="311">
        <v>0.33350000000000002</v>
      </c>
      <c r="AM433" s="311">
        <v>0.38290000000000002</v>
      </c>
      <c r="AN433" s="311">
        <v>0.3569</v>
      </c>
      <c r="AO433" s="311">
        <v>0</v>
      </c>
      <c r="AP433" s="311">
        <v>0.38969999999999999</v>
      </c>
      <c r="AQ433" s="311">
        <v>0</v>
      </c>
      <c r="AR433" s="311">
        <v>0.35220000000000001</v>
      </c>
      <c r="AS433" s="311">
        <v>0</v>
      </c>
      <c r="AT433" s="311">
        <v>0.34150000000000003</v>
      </c>
      <c r="AU433" s="311">
        <v>0.38729999999999998</v>
      </c>
      <c r="AV433" s="311">
        <v>0.40689999999999998</v>
      </c>
      <c r="AW433" s="311">
        <v>0.36020000000000002</v>
      </c>
      <c r="AX433" s="311">
        <v>0</v>
      </c>
      <c r="AY433" s="311">
        <v>0.3629</v>
      </c>
      <c r="AZ433" s="311">
        <v>0</v>
      </c>
      <c r="BA433" s="311">
        <v>0.33310000000000001</v>
      </c>
      <c r="BB433" s="311">
        <v>0.33410000000000001</v>
      </c>
      <c r="BC433" s="311">
        <v>0</v>
      </c>
      <c r="BD433" s="311">
        <v>0.3649</v>
      </c>
      <c r="BE433" s="311">
        <v>0.40100000000000002</v>
      </c>
      <c r="BF433" s="311">
        <v>0.33900000000000002</v>
      </c>
      <c r="BG433" s="311">
        <v>0.39269999999999999</v>
      </c>
      <c r="BH433" s="311">
        <v>0.38540000000000002</v>
      </c>
      <c r="BI433" s="311">
        <v>0.3921</v>
      </c>
      <c r="BJ433" s="311">
        <v>0.40100000000000002</v>
      </c>
      <c r="BK433" s="311">
        <v>0.36409999999999998</v>
      </c>
    </row>
    <row r="434" spans="1:63" x14ac:dyDescent="0.25">
      <c r="A434" s="306">
        <v>212210</v>
      </c>
      <c r="B434" s="311" t="s">
        <v>695</v>
      </c>
      <c r="C434" s="311">
        <v>0.48370000000000002</v>
      </c>
      <c r="D434" s="311">
        <v>0</v>
      </c>
      <c r="E434" s="311">
        <v>0.39250000000000002</v>
      </c>
      <c r="F434" s="311">
        <v>0</v>
      </c>
      <c r="G434" s="311">
        <v>0.35139999999999999</v>
      </c>
      <c r="H434" s="311">
        <v>0.30919999999999997</v>
      </c>
      <c r="I434" s="311">
        <v>0.3881</v>
      </c>
      <c r="J434" s="311">
        <v>0</v>
      </c>
      <c r="K434" s="311">
        <v>0</v>
      </c>
      <c r="L434" s="311">
        <v>0</v>
      </c>
      <c r="M434" s="311">
        <v>0.32319999999999999</v>
      </c>
      <c r="N434" s="311">
        <v>0</v>
      </c>
      <c r="O434" s="311">
        <v>0</v>
      </c>
      <c r="P434" s="311">
        <v>0</v>
      </c>
      <c r="Q434" s="311">
        <v>0</v>
      </c>
      <c r="R434" s="311">
        <v>0</v>
      </c>
      <c r="S434" s="311">
        <v>0</v>
      </c>
      <c r="T434" s="311">
        <v>0</v>
      </c>
      <c r="U434" s="311">
        <v>0</v>
      </c>
      <c r="V434" s="311">
        <v>0.3574</v>
      </c>
      <c r="W434" s="311">
        <v>0</v>
      </c>
      <c r="X434" s="311">
        <v>0</v>
      </c>
      <c r="Y434" s="311">
        <v>0</v>
      </c>
      <c r="Z434" s="311">
        <v>0.40379999999999999</v>
      </c>
      <c r="AA434" s="311">
        <v>0.37569999999999998</v>
      </c>
      <c r="AB434" s="311">
        <v>0</v>
      </c>
      <c r="AC434" s="311">
        <v>0</v>
      </c>
      <c r="AD434" s="311">
        <v>0.32100000000000001</v>
      </c>
      <c r="AE434" s="311">
        <v>0</v>
      </c>
      <c r="AF434" s="311">
        <v>0</v>
      </c>
      <c r="AG434" s="311">
        <v>0</v>
      </c>
      <c r="AH434" s="311">
        <v>0</v>
      </c>
      <c r="AI434" s="311">
        <v>0</v>
      </c>
      <c r="AJ434" s="311">
        <v>0</v>
      </c>
      <c r="AK434" s="311">
        <v>0.34250000000000003</v>
      </c>
      <c r="AL434" s="311">
        <v>0</v>
      </c>
      <c r="AM434" s="311">
        <v>0</v>
      </c>
      <c r="AN434" s="311">
        <v>0</v>
      </c>
      <c r="AO434" s="311">
        <v>0</v>
      </c>
      <c r="AP434" s="311">
        <v>0.41110000000000002</v>
      </c>
      <c r="AQ434" s="311">
        <v>0</v>
      </c>
      <c r="AR434" s="311">
        <v>0.35170000000000001</v>
      </c>
      <c r="AS434" s="311">
        <v>0</v>
      </c>
      <c r="AT434" s="311">
        <v>0</v>
      </c>
      <c r="AU434" s="311">
        <v>0.40870000000000001</v>
      </c>
      <c r="AV434" s="311">
        <v>0</v>
      </c>
      <c r="AW434" s="311">
        <v>0.35699999999999998</v>
      </c>
      <c r="AX434" s="311">
        <v>0</v>
      </c>
      <c r="AY434" s="311">
        <v>0.36530000000000001</v>
      </c>
      <c r="AZ434" s="311">
        <v>0</v>
      </c>
      <c r="BA434" s="311">
        <v>0.29120000000000001</v>
      </c>
      <c r="BB434" s="311">
        <v>0</v>
      </c>
      <c r="BC434" s="311">
        <v>0</v>
      </c>
      <c r="BD434" s="311">
        <v>0.38150000000000001</v>
      </c>
      <c r="BE434" s="311">
        <v>0.43020000000000003</v>
      </c>
      <c r="BF434" s="311">
        <v>0.38669999999999999</v>
      </c>
      <c r="BG434" s="311">
        <v>0.37740000000000001</v>
      </c>
      <c r="BH434" s="311">
        <v>0.40210000000000001</v>
      </c>
      <c r="BI434" s="311">
        <v>0.4123</v>
      </c>
      <c r="BJ434" s="311">
        <v>0.39019999999999999</v>
      </c>
      <c r="BK434" s="311">
        <v>0.34010000000000001</v>
      </c>
    </row>
    <row r="435" spans="1:63" x14ac:dyDescent="0.25">
      <c r="A435" s="306">
        <v>212230</v>
      </c>
      <c r="B435" s="311" t="s">
        <v>696</v>
      </c>
      <c r="C435" s="311">
        <v>0.41249999999999998</v>
      </c>
      <c r="D435" s="311">
        <v>0.29010000000000002</v>
      </c>
      <c r="E435" s="311">
        <v>0</v>
      </c>
      <c r="F435" s="311">
        <v>0</v>
      </c>
      <c r="G435" s="311">
        <v>0.31929999999999997</v>
      </c>
      <c r="H435" s="311">
        <v>0</v>
      </c>
      <c r="I435" s="311">
        <v>0.38390000000000002</v>
      </c>
      <c r="J435" s="311">
        <v>0</v>
      </c>
      <c r="K435" s="311">
        <v>0</v>
      </c>
      <c r="L435" s="311">
        <v>0</v>
      </c>
      <c r="M435" s="311">
        <v>0</v>
      </c>
      <c r="N435" s="311">
        <v>0</v>
      </c>
      <c r="O435" s="311">
        <v>0</v>
      </c>
      <c r="P435" s="311">
        <v>0</v>
      </c>
      <c r="Q435" s="311">
        <v>0.28699999999999998</v>
      </c>
      <c r="R435" s="311">
        <v>0</v>
      </c>
      <c r="S435" s="311">
        <v>0</v>
      </c>
      <c r="T435" s="311">
        <v>0</v>
      </c>
      <c r="U435" s="311">
        <v>0</v>
      </c>
      <c r="V435" s="311">
        <v>0.28560000000000002</v>
      </c>
      <c r="W435" s="311">
        <v>0</v>
      </c>
      <c r="X435" s="311">
        <v>0</v>
      </c>
      <c r="Y435" s="311">
        <v>0</v>
      </c>
      <c r="Z435" s="311">
        <v>0.32379999999999998</v>
      </c>
      <c r="AA435" s="311">
        <v>0.32219999999999999</v>
      </c>
      <c r="AB435" s="311">
        <v>0.31859999999999999</v>
      </c>
      <c r="AC435" s="311">
        <v>0</v>
      </c>
      <c r="AD435" s="311">
        <v>0.30470000000000003</v>
      </c>
      <c r="AE435" s="311">
        <v>0</v>
      </c>
      <c r="AF435" s="311">
        <v>0</v>
      </c>
      <c r="AG435" s="311">
        <v>0</v>
      </c>
      <c r="AH435" s="311">
        <v>0</v>
      </c>
      <c r="AI435" s="311">
        <v>0</v>
      </c>
      <c r="AJ435" s="311">
        <v>0.32079999999999997</v>
      </c>
      <c r="AK435" s="311">
        <v>0.33339999999999997</v>
      </c>
      <c r="AL435" s="311">
        <v>0.21560000000000001</v>
      </c>
      <c r="AM435" s="311">
        <v>0</v>
      </c>
      <c r="AN435" s="311">
        <v>0.31059999999999999</v>
      </c>
      <c r="AO435" s="311">
        <v>0</v>
      </c>
      <c r="AP435" s="311">
        <v>0</v>
      </c>
      <c r="AQ435" s="311">
        <v>0</v>
      </c>
      <c r="AR435" s="311">
        <v>0</v>
      </c>
      <c r="AS435" s="311">
        <v>0.29499999999999998</v>
      </c>
      <c r="AT435" s="311">
        <v>0.30170000000000002</v>
      </c>
      <c r="AU435" s="311">
        <v>0</v>
      </c>
      <c r="AV435" s="311">
        <v>0.37509999999999999</v>
      </c>
      <c r="AW435" s="311">
        <v>0</v>
      </c>
      <c r="AX435" s="311">
        <v>0.27229999999999999</v>
      </c>
      <c r="AY435" s="311">
        <v>0.33279999999999998</v>
      </c>
      <c r="AZ435" s="311">
        <v>0</v>
      </c>
      <c r="BA435" s="311">
        <v>0</v>
      </c>
      <c r="BB435" s="311">
        <v>0</v>
      </c>
      <c r="BC435" s="311">
        <v>0.33110000000000001</v>
      </c>
      <c r="BD435" s="311">
        <v>0.33360000000000001</v>
      </c>
      <c r="BE435" s="311">
        <v>0.33639999999999998</v>
      </c>
      <c r="BF435" s="311">
        <v>0.32179999999999997</v>
      </c>
      <c r="BG435" s="311">
        <v>0</v>
      </c>
      <c r="BH435" s="311">
        <v>0.30909999999999999</v>
      </c>
      <c r="BI435" s="311">
        <v>0.33139999999999997</v>
      </c>
      <c r="BJ435" s="311">
        <v>0.37630000000000002</v>
      </c>
      <c r="BK435" s="311">
        <v>0.31990000000000002</v>
      </c>
    </row>
    <row r="436" spans="1:63" x14ac:dyDescent="0.25">
      <c r="A436" s="306" t="s">
        <v>697</v>
      </c>
      <c r="B436" s="311" t="s">
        <v>698</v>
      </c>
      <c r="C436" s="311">
        <v>0.52300000000000002</v>
      </c>
      <c r="D436" s="311">
        <v>0.37380000000000002</v>
      </c>
      <c r="E436" s="311">
        <v>0.43059999999999998</v>
      </c>
      <c r="F436" s="311">
        <v>0.4451</v>
      </c>
      <c r="G436" s="311">
        <v>0.41210000000000002</v>
      </c>
      <c r="H436" s="311">
        <v>0.35310000000000002</v>
      </c>
      <c r="I436" s="311">
        <v>0.47189999999999999</v>
      </c>
      <c r="J436" s="311">
        <v>0</v>
      </c>
      <c r="K436" s="311">
        <v>0</v>
      </c>
      <c r="L436" s="311">
        <v>0</v>
      </c>
      <c r="M436" s="311">
        <v>0.41160000000000002</v>
      </c>
      <c r="N436" s="311">
        <v>0</v>
      </c>
      <c r="O436" s="311">
        <v>0</v>
      </c>
      <c r="P436" s="311">
        <v>0</v>
      </c>
      <c r="Q436" s="311">
        <v>0.38080000000000003</v>
      </c>
      <c r="R436" s="311">
        <v>0.35580000000000001</v>
      </c>
      <c r="S436" s="311">
        <v>0</v>
      </c>
      <c r="T436" s="311">
        <v>0</v>
      </c>
      <c r="U436" s="311">
        <v>0</v>
      </c>
      <c r="V436" s="311">
        <v>0.38650000000000001</v>
      </c>
      <c r="W436" s="311">
        <v>0</v>
      </c>
      <c r="X436" s="311">
        <v>0</v>
      </c>
      <c r="Y436" s="311">
        <v>0</v>
      </c>
      <c r="Z436" s="311">
        <v>0</v>
      </c>
      <c r="AA436" s="311">
        <v>0</v>
      </c>
      <c r="AB436" s="311">
        <v>0.43059999999999998</v>
      </c>
      <c r="AC436" s="311">
        <v>0</v>
      </c>
      <c r="AD436" s="311">
        <v>0.3962</v>
      </c>
      <c r="AE436" s="311">
        <v>0.41639999999999999</v>
      </c>
      <c r="AF436" s="311">
        <v>0</v>
      </c>
      <c r="AG436" s="311">
        <v>0.3836</v>
      </c>
      <c r="AH436" s="311">
        <v>0</v>
      </c>
      <c r="AI436" s="311">
        <v>0</v>
      </c>
      <c r="AJ436" s="311">
        <v>0.41899999999999998</v>
      </c>
      <c r="AK436" s="311">
        <v>0.44</v>
      </c>
      <c r="AL436" s="311">
        <v>0.26840000000000003</v>
      </c>
      <c r="AM436" s="311">
        <v>0</v>
      </c>
      <c r="AN436" s="311">
        <v>0.4259</v>
      </c>
      <c r="AO436" s="311">
        <v>0.40820000000000001</v>
      </c>
      <c r="AP436" s="311">
        <v>0.44290000000000002</v>
      </c>
      <c r="AQ436" s="311">
        <v>0</v>
      </c>
      <c r="AR436" s="311">
        <v>0.38350000000000001</v>
      </c>
      <c r="AS436" s="311">
        <v>0.41199999999999998</v>
      </c>
      <c r="AT436" s="311">
        <v>0</v>
      </c>
      <c r="AU436" s="311">
        <v>0.44040000000000001</v>
      </c>
      <c r="AV436" s="311">
        <v>0.47249999999999998</v>
      </c>
      <c r="AW436" s="311">
        <v>0.43390000000000001</v>
      </c>
      <c r="AX436" s="311">
        <v>0</v>
      </c>
      <c r="AY436" s="311">
        <v>0.4299</v>
      </c>
      <c r="AZ436" s="311">
        <v>0</v>
      </c>
      <c r="BA436" s="311">
        <v>0.30590000000000001</v>
      </c>
      <c r="BB436" s="311">
        <v>0.41289999999999999</v>
      </c>
      <c r="BC436" s="311">
        <v>0</v>
      </c>
      <c r="BD436" s="311">
        <v>0.43319999999999997</v>
      </c>
      <c r="BE436" s="311">
        <v>0.45079999999999998</v>
      </c>
      <c r="BF436" s="311">
        <v>0.43869999999999998</v>
      </c>
      <c r="BG436" s="311">
        <v>0.43319999999999997</v>
      </c>
      <c r="BH436" s="311">
        <v>0.42220000000000002</v>
      </c>
      <c r="BI436" s="311">
        <v>0.43719999999999998</v>
      </c>
      <c r="BJ436" s="311">
        <v>0.46929999999999999</v>
      </c>
      <c r="BK436" s="311">
        <v>0.39810000000000001</v>
      </c>
    </row>
    <row r="437" spans="1:63" x14ac:dyDescent="0.25">
      <c r="A437" s="306">
        <v>212310</v>
      </c>
      <c r="B437" s="311" t="s">
        <v>699</v>
      </c>
      <c r="C437" s="311">
        <v>0.48480000000000001</v>
      </c>
      <c r="D437" s="311">
        <v>0.34549999999999997</v>
      </c>
      <c r="E437" s="311">
        <v>0.4</v>
      </c>
      <c r="F437" s="311">
        <v>0.3871</v>
      </c>
      <c r="G437" s="311">
        <v>0.3977</v>
      </c>
      <c r="H437" s="311">
        <v>0.39510000000000001</v>
      </c>
      <c r="I437" s="311">
        <v>0.4229</v>
      </c>
      <c r="J437" s="311">
        <v>0.34720000000000001</v>
      </c>
      <c r="K437" s="311">
        <v>0</v>
      </c>
      <c r="L437" s="311">
        <v>0</v>
      </c>
      <c r="M437" s="311">
        <v>0.38</v>
      </c>
      <c r="N437" s="311">
        <v>0.41909999999999997</v>
      </c>
      <c r="O437" s="311">
        <v>0.35780000000000001</v>
      </c>
      <c r="P437" s="311">
        <v>0.3508</v>
      </c>
      <c r="Q437" s="311">
        <v>0.36509999999999998</v>
      </c>
      <c r="R437" s="311">
        <v>0.42699999999999999</v>
      </c>
      <c r="S437" s="311">
        <v>0.37990000000000002</v>
      </c>
      <c r="T437" s="311">
        <v>0.36</v>
      </c>
      <c r="U437" s="311">
        <v>0.38790000000000002</v>
      </c>
      <c r="V437" s="311">
        <v>0.36149999999999999</v>
      </c>
      <c r="W437" s="311">
        <v>0.34539999999999998</v>
      </c>
      <c r="X437" s="311">
        <v>0.33400000000000002</v>
      </c>
      <c r="Y437" s="311">
        <v>0.29509999999999997</v>
      </c>
      <c r="Z437" s="311">
        <v>0.40600000000000003</v>
      </c>
      <c r="AA437" s="311">
        <v>0.38950000000000001</v>
      </c>
      <c r="AB437" s="311">
        <v>0.39550000000000002</v>
      </c>
      <c r="AC437" s="311">
        <v>0.33429999999999999</v>
      </c>
      <c r="AD437" s="311">
        <v>0.33539999999999998</v>
      </c>
      <c r="AE437" s="311">
        <v>0.39219999999999999</v>
      </c>
      <c r="AF437" s="311">
        <v>0</v>
      </c>
      <c r="AG437" s="311">
        <v>0.36509999999999998</v>
      </c>
      <c r="AH437" s="311">
        <v>0.37219999999999998</v>
      </c>
      <c r="AI437" s="311">
        <v>0.36</v>
      </c>
      <c r="AJ437" s="311">
        <v>0.36330000000000001</v>
      </c>
      <c r="AK437" s="311">
        <v>0.3841</v>
      </c>
      <c r="AL437" s="311">
        <v>0.35870000000000002</v>
      </c>
      <c r="AM437" s="311">
        <v>0.42049999999999998</v>
      </c>
      <c r="AN437" s="311">
        <v>0.39860000000000001</v>
      </c>
      <c r="AO437" s="311">
        <v>0.38790000000000002</v>
      </c>
      <c r="AP437" s="311">
        <v>0.42399999999999999</v>
      </c>
      <c r="AQ437" s="311">
        <v>0.32300000000000001</v>
      </c>
      <c r="AR437" s="311">
        <v>0.38590000000000002</v>
      </c>
      <c r="AS437" s="311">
        <v>0.32840000000000003</v>
      </c>
      <c r="AT437" s="311">
        <v>0.40110000000000001</v>
      </c>
      <c r="AU437" s="311">
        <v>0.41149999999999998</v>
      </c>
      <c r="AV437" s="311">
        <v>0.42030000000000001</v>
      </c>
      <c r="AW437" s="311">
        <v>0.39629999999999999</v>
      </c>
      <c r="AX437" s="311">
        <v>0.31919999999999998</v>
      </c>
      <c r="AY437" s="311">
        <v>0.39650000000000002</v>
      </c>
      <c r="AZ437" s="311">
        <v>0.38350000000000001</v>
      </c>
      <c r="BA437" s="311">
        <v>0.33789999999999998</v>
      </c>
      <c r="BB437" s="311">
        <v>0.34449999999999997</v>
      </c>
      <c r="BC437" s="311">
        <v>0.38950000000000001</v>
      </c>
      <c r="BD437" s="311">
        <v>0.42130000000000001</v>
      </c>
      <c r="BE437" s="311">
        <v>0.43419999999999997</v>
      </c>
      <c r="BF437" s="311">
        <v>0.4022</v>
      </c>
      <c r="BG437" s="311">
        <v>0.43219999999999997</v>
      </c>
      <c r="BH437" s="311">
        <v>0.41099999999999998</v>
      </c>
      <c r="BI437" s="311">
        <v>0.42109999999999997</v>
      </c>
      <c r="BJ437" s="311">
        <v>0.42580000000000001</v>
      </c>
      <c r="BK437" s="311">
        <v>0.40339999999999998</v>
      </c>
    </row>
    <row r="438" spans="1:63" x14ac:dyDescent="0.25">
      <c r="A438" s="306">
        <v>212320</v>
      </c>
      <c r="B438" s="311" t="s">
        <v>700</v>
      </c>
      <c r="C438" s="311">
        <v>0.52070000000000005</v>
      </c>
      <c r="D438" s="311">
        <v>0.37440000000000001</v>
      </c>
      <c r="E438" s="311">
        <v>0.41510000000000002</v>
      </c>
      <c r="F438" s="311">
        <v>0.39660000000000001</v>
      </c>
      <c r="G438" s="311">
        <v>0.41670000000000001</v>
      </c>
      <c r="H438" s="311">
        <v>0.41789999999999999</v>
      </c>
      <c r="I438" s="311">
        <v>0.46360000000000001</v>
      </c>
      <c r="J438" s="311">
        <v>0.37759999999999999</v>
      </c>
      <c r="K438" s="311">
        <v>0</v>
      </c>
      <c r="L438" s="311">
        <v>0.29849999999999999</v>
      </c>
      <c r="M438" s="311">
        <v>0.39300000000000002</v>
      </c>
      <c r="N438" s="311">
        <v>0.43159999999999998</v>
      </c>
      <c r="O438" s="311">
        <v>0.3604</v>
      </c>
      <c r="P438" s="311">
        <v>0.36020000000000002</v>
      </c>
      <c r="Q438" s="311">
        <v>0.38740000000000002</v>
      </c>
      <c r="R438" s="311">
        <v>0.44550000000000001</v>
      </c>
      <c r="S438" s="311">
        <v>0.39529999999999998</v>
      </c>
      <c r="T438" s="311">
        <v>0.36809999999999998</v>
      </c>
      <c r="U438" s="311">
        <v>0.40639999999999998</v>
      </c>
      <c r="V438" s="311">
        <v>0.39739999999999998</v>
      </c>
      <c r="W438" s="311">
        <v>0.36780000000000002</v>
      </c>
      <c r="X438" s="311">
        <v>0.3604</v>
      </c>
      <c r="Y438" s="311">
        <v>0.30680000000000002</v>
      </c>
      <c r="Z438" s="311">
        <v>0.42959999999999998</v>
      </c>
      <c r="AA438" s="311">
        <v>0.41620000000000001</v>
      </c>
      <c r="AB438" s="311">
        <v>0.41539999999999999</v>
      </c>
      <c r="AC438" s="311">
        <v>0.35659999999999997</v>
      </c>
      <c r="AD438" s="311">
        <v>0.3569</v>
      </c>
      <c r="AE438" s="311">
        <v>0.3947</v>
      </c>
      <c r="AF438" s="311">
        <v>0.35820000000000002</v>
      </c>
      <c r="AG438" s="311">
        <v>0.38229999999999997</v>
      </c>
      <c r="AH438" s="311">
        <v>0.4052</v>
      </c>
      <c r="AI438" s="311">
        <v>0.37080000000000002</v>
      </c>
      <c r="AJ438" s="311">
        <v>0.39460000000000001</v>
      </c>
      <c r="AK438" s="311">
        <v>0.41699999999999998</v>
      </c>
      <c r="AL438" s="311">
        <v>0.37580000000000002</v>
      </c>
      <c r="AM438" s="311">
        <v>0.44679999999999997</v>
      </c>
      <c r="AN438" s="311">
        <v>0.41699999999999998</v>
      </c>
      <c r="AO438" s="311">
        <v>0.39710000000000001</v>
      </c>
      <c r="AP438" s="311">
        <v>0.45329999999999998</v>
      </c>
      <c r="AQ438" s="311">
        <v>0.34420000000000001</v>
      </c>
      <c r="AR438" s="311">
        <v>0.38850000000000001</v>
      </c>
      <c r="AS438" s="311">
        <v>0.33829999999999999</v>
      </c>
      <c r="AT438" s="311">
        <v>0.4224</v>
      </c>
      <c r="AU438" s="311">
        <v>0.436</v>
      </c>
      <c r="AV438" s="311">
        <v>0.46529999999999999</v>
      </c>
      <c r="AW438" s="311">
        <v>0.41189999999999999</v>
      </c>
      <c r="AX438" s="311">
        <v>0.32650000000000001</v>
      </c>
      <c r="AY438" s="311">
        <v>0.42649999999999999</v>
      </c>
      <c r="AZ438" s="311">
        <v>0.39760000000000001</v>
      </c>
      <c r="BA438" s="311">
        <v>0.3609</v>
      </c>
      <c r="BB438" s="311">
        <v>0.373</v>
      </c>
      <c r="BC438" s="311">
        <v>0.41839999999999999</v>
      </c>
      <c r="BD438" s="311">
        <v>0.43690000000000001</v>
      </c>
      <c r="BE438" s="311">
        <v>0.4577</v>
      </c>
      <c r="BF438" s="311">
        <v>0.41830000000000001</v>
      </c>
      <c r="BG438" s="311">
        <v>0.45569999999999999</v>
      </c>
      <c r="BH438" s="311">
        <v>0.43759999999999999</v>
      </c>
      <c r="BI438" s="311">
        <v>0.44159999999999999</v>
      </c>
      <c r="BJ438" s="311">
        <v>0.45590000000000003</v>
      </c>
      <c r="BK438" s="311">
        <v>0.42970000000000003</v>
      </c>
    </row>
    <row r="439" spans="1:63" x14ac:dyDescent="0.25">
      <c r="A439" s="306">
        <v>212390</v>
      </c>
      <c r="B439" s="311" t="s">
        <v>701</v>
      </c>
      <c r="C439" s="311">
        <v>0.4637</v>
      </c>
      <c r="D439" s="311">
        <v>0.33400000000000002</v>
      </c>
      <c r="E439" s="311">
        <v>0.36020000000000002</v>
      </c>
      <c r="F439" s="311">
        <v>0.34889999999999999</v>
      </c>
      <c r="G439" s="311">
        <v>0.36599999999999999</v>
      </c>
      <c r="H439" s="311">
        <v>0.36899999999999999</v>
      </c>
      <c r="I439" s="311">
        <v>0.41</v>
      </c>
      <c r="J439" s="311">
        <v>0.32119999999999999</v>
      </c>
      <c r="K439" s="311">
        <v>0</v>
      </c>
      <c r="L439" s="311">
        <v>0</v>
      </c>
      <c r="M439" s="311">
        <v>0.34849999999999998</v>
      </c>
      <c r="N439" s="311">
        <v>0.37659999999999999</v>
      </c>
      <c r="O439" s="311">
        <v>0.30909999999999999</v>
      </c>
      <c r="P439" s="311">
        <v>0.31169999999999998</v>
      </c>
      <c r="Q439" s="311">
        <v>0.33729999999999999</v>
      </c>
      <c r="R439" s="311">
        <v>0.38869999999999999</v>
      </c>
      <c r="S439" s="311">
        <v>0.34949999999999998</v>
      </c>
      <c r="T439" s="311">
        <v>0.32819999999999999</v>
      </c>
      <c r="U439" s="311">
        <v>0</v>
      </c>
      <c r="V439" s="311">
        <v>0.3604</v>
      </c>
      <c r="W439" s="311">
        <v>0</v>
      </c>
      <c r="X439" s="311">
        <v>0.31190000000000001</v>
      </c>
      <c r="Y439" s="311">
        <v>0.27410000000000001</v>
      </c>
      <c r="Z439" s="311">
        <v>0.37169999999999997</v>
      </c>
      <c r="AA439" s="311">
        <v>0.3604</v>
      </c>
      <c r="AB439" s="311">
        <v>0.35639999999999999</v>
      </c>
      <c r="AC439" s="311">
        <v>0.31459999999999999</v>
      </c>
      <c r="AD439" s="311">
        <v>0.32200000000000001</v>
      </c>
      <c r="AE439" s="311">
        <v>0.3493</v>
      </c>
      <c r="AF439" s="311">
        <v>0</v>
      </c>
      <c r="AG439" s="311">
        <v>0.33050000000000002</v>
      </c>
      <c r="AH439" s="311">
        <v>0.34399999999999997</v>
      </c>
      <c r="AI439" s="311">
        <v>0.32390000000000002</v>
      </c>
      <c r="AJ439" s="311">
        <v>0.35659999999999997</v>
      </c>
      <c r="AK439" s="311">
        <v>0.36180000000000001</v>
      </c>
      <c r="AL439" s="311">
        <v>0.3281</v>
      </c>
      <c r="AM439" s="311">
        <v>0.39429999999999998</v>
      </c>
      <c r="AN439" s="311">
        <v>0.37340000000000001</v>
      </c>
      <c r="AO439" s="311">
        <v>0.34849999999999998</v>
      </c>
      <c r="AP439" s="311">
        <v>0.39489999999999997</v>
      </c>
      <c r="AQ439" s="311">
        <v>0</v>
      </c>
      <c r="AR439" s="311">
        <v>0.34229999999999999</v>
      </c>
      <c r="AS439" s="311">
        <v>0.29459999999999997</v>
      </c>
      <c r="AT439" s="311">
        <v>0.3614</v>
      </c>
      <c r="AU439" s="311">
        <v>0.3916</v>
      </c>
      <c r="AV439" s="311">
        <v>0.41349999999999998</v>
      </c>
      <c r="AW439" s="311">
        <v>0.35410000000000003</v>
      </c>
      <c r="AX439" s="311">
        <v>0.29060000000000002</v>
      </c>
      <c r="AY439" s="311">
        <v>0.36509999999999998</v>
      </c>
      <c r="AZ439" s="311">
        <v>0.34820000000000001</v>
      </c>
      <c r="BA439" s="311">
        <v>0.32400000000000001</v>
      </c>
      <c r="BB439" s="311">
        <v>0.3367</v>
      </c>
      <c r="BC439" s="311">
        <v>0.36</v>
      </c>
      <c r="BD439" s="311">
        <v>0.38080000000000003</v>
      </c>
      <c r="BE439" s="311">
        <v>0.39939999999999998</v>
      </c>
      <c r="BF439" s="311">
        <v>0.36220000000000002</v>
      </c>
      <c r="BG439" s="311">
        <v>0.39910000000000001</v>
      </c>
      <c r="BH439" s="311">
        <v>0.377</v>
      </c>
      <c r="BI439" s="311">
        <v>0.39639999999999997</v>
      </c>
      <c r="BJ439" s="311">
        <v>0.4052</v>
      </c>
      <c r="BK439" s="311">
        <v>0.37640000000000001</v>
      </c>
    </row>
    <row r="440" spans="1:63" x14ac:dyDescent="0.25">
      <c r="A440" s="306">
        <v>213111</v>
      </c>
      <c r="B440" s="311" t="s">
        <v>20</v>
      </c>
      <c r="C440" s="311">
        <v>0.47820000000000001</v>
      </c>
      <c r="D440" s="311">
        <v>0.27579999999999999</v>
      </c>
      <c r="E440" s="311">
        <v>0.33239999999999997</v>
      </c>
      <c r="F440" s="311">
        <v>0.3347</v>
      </c>
      <c r="G440" s="311">
        <v>0.33169999999999999</v>
      </c>
      <c r="H440" s="311">
        <v>0.38750000000000001</v>
      </c>
      <c r="I440" s="311">
        <v>0.38890000000000002</v>
      </c>
      <c r="J440" s="311">
        <v>0.36940000000000001</v>
      </c>
      <c r="K440" s="311">
        <v>0</v>
      </c>
      <c r="L440" s="311">
        <v>0.318</v>
      </c>
      <c r="M440" s="311">
        <v>0.3377</v>
      </c>
      <c r="N440" s="311">
        <v>0.34520000000000001</v>
      </c>
      <c r="O440" s="311">
        <v>0</v>
      </c>
      <c r="P440" s="311">
        <v>0.3256</v>
      </c>
      <c r="Q440" s="311">
        <v>0.32529999999999998</v>
      </c>
      <c r="R440" s="311">
        <v>0.42020000000000002</v>
      </c>
      <c r="S440" s="311">
        <v>0.35849999999999999</v>
      </c>
      <c r="T440" s="311">
        <v>0.33989999999999998</v>
      </c>
      <c r="U440" s="311">
        <v>0.36349999999999999</v>
      </c>
      <c r="V440" s="311">
        <v>0.3649</v>
      </c>
      <c r="W440" s="311">
        <v>0.32919999999999999</v>
      </c>
      <c r="X440" s="311">
        <v>0.3523</v>
      </c>
      <c r="Y440" s="311">
        <v>0.33090000000000003</v>
      </c>
      <c r="Z440" s="311">
        <v>0.40960000000000002</v>
      </c>
      <c r="AA440" s="311">
        <v>0.36230000000000001</v>
      </c>
      <c r="AB440" s="311">
        <v>0.33560000000000001</v>
      </c>
      <c r="AC440" s="311">
        <v>0.33800000000000002</v>
      </c>
      <c r="AD440" s="311">
        <v>0.30640000000000001</v>
      </c>
      <c r="AE440" s="311">
        <v>0.34050000000000002</v>
      </c>
      <c r="AF440" s="311">
        <v>0.30230000000000001</v>
      </c>
      <c r="AG440" s="311">
        <v>0.2838</v>
      </c>
      <c r="AH440" s="311">
        <v>0.26190000000000002</v>
      </c>
      <c r="AI440" s="311">
        <v>0.36890000000000001</v>
      </c>
      <c r="AJ440" s="311">
        <v>0.31319999999999998</v>
      </c>
      <c r="AK440" s="311">
        <v>0.34060000000000001</v>
      </c>
      <c r="AL440" s="311">
        <v>0.30530000000000002</v>
      </c>
      <c r="AM440" s="311">
        <v>0.40360000000000001</v>
      </c>
      <c r="AN440" s="311">
        <v>0.36820000000000003</v>
      </c>
      <c r="AO440" s="311">
        <v>0.37440000000000001</v>
      </c>
      <c r="AP440" s="311">
        <v>0.40660000000000002</v>
      </c>
      <c r="AQ440" s="311">
        <v>0.25069999999999998</v>
      </c>
      <c r="AR440" s="311">
        <v>0.28989999999999999</v>
      </c>
      <c r="AS440" s="311">
        <v>0.28050000000000003</v>
      </c>
      <c r="AT440" s="311">
        <v>0.28000000000000003</v>
      </c>
      <c r="AU440" s="311">
        <v>0.41089999999999999</v>
      </c>
      <c r="AV440" s="311">
        <v>0.3931</v>
      </c>
      <c r="AW440" s="311">
        <v>0.34010000000000001</v>
      </c>
      <c r="AX440" s="311">
        <v>0</v>
      </c>
      <c r="AY440" s="311">
        <v>0.33629999999999999</v>
      </c>
      <c r="AZ440" s="311">
        <v>0.3639</v>
      </c>
      <c r="BA440" s="311">
        <v>0.3448</v>
      </c>
      <c r="BB440" s="311">
        <v>0.30780000000000002</v>
      </c>
      <c r="BC440" s="311">
        <v>0.38540000000000002</v>
      </c>
      <c r="BD440" s="311">
        <v>0.39829999999999999</v>
      </c>
      <c r="BE440" s="311">
        <v>0.42759999999999998</v>
      </c>
      <c r="BF440" s="311">
        <v>0.37590000000000001</v>
      </c>
      <c r="BG440" s="311">
        <v>0.38690000000000002</v>
      </c>
      <c r="BH440" s="311">
        <v>0.38350000000000001</v>
      </c>
      <c r="BI440" s="311">
        <v>0.41949999999999998</v>
      </c>
      <c r="BJ440" s="311">
        <v>0.3775</v>
      </c>
      <c r="BK440" s="311">
        <v>0.38429999999999997</v>
      </c>
    </row>
    <row r="441" spans="1:63" x14ac:dyDescent="0.25">
      <c r="A441" s="306">
        <v>213112</v>
      </c>
      <c r="B441" s="311" t="s">
        <v>21</v>
      </c>
      <c r="C441" s="311">
        <v>0.57130000000000003</v>
      </c>
      <c r="D441" s="311">
        <v>0.35249999999999998</v>
      </c>
      <c r="E441" s="311">
        <v>0.38519999999999999</v>
      </c>
      <c r="F441" s="311">
        <v>0.3886</v>
      </c>
      <c r="G441" s="311">
        <v>0.41560000000000002</v>
      </c>
      <c r="H441" s="311">
        <v>0.49099999999999999</v>
      </c>
      <c r="I441" s="311">
        <v>0.48980000000000001</v>
      </c>
      <c r="J441" s="311">
        <v>0.46560000000000001</v>
      </c>
      <c r="K441" s="311">
        <v>0</v>
      </c>
      <c r="L441" s="311">
        <v>0</v>
      </c>
      <c r="M441" s="311">
        <v>0.42520000000000002</v>
      </c>
      <c r="N441" s="311">
        <v>0.41830000000000001</v>
      </c>
      <c r="O441" s="311">
        <v>0.42309999999999998</v>
      </c>
      <c r="P441" s="311">
        <v>0.38419999999999999</v>
      </c>
      <c r="Q441" s="311">
        <v>0.40029999999999999</v>
      </c>
      <c r="R441" s="311">
        <v>0.50770000000000004</v>
      </c>
      <c r="S441" s="311">
        <v>0.4123</v>
      </c>
      <c r="T441" s="311">
        <v>0.4083</v>
      </c>
      <c r="U441" s="311">
        <v>0.42549999999999999</v>
      </c>
      <c r="V441" s="311">
        <v>0.41860000000000003</v>
      </c>
      <c r="W441" s="311">
        <v>0.42559999999999998</v>
      </c>
      <c r="X441" s="311">
        <v>0.44929999999999998</v>
      </c>
      <c r="Y441" s="311">
        <v>0</v>
      </c>
      <c r="Z441" s="311">
        <v>0.4849</v>
      </c>
      <c r="AA441" s="311">
        <v>0.44409999999999999</v>
      </c>
      <c r="AB441" s="311">
        <v>0.40329999999999999</v>
      </c>
      <c r="AC441" s="311">
        <v>0.39400000000000002</v>
      </c>
      <c r="AD441" s="311">
        <v>0.37509999999999999</v>
      </c>
      <c r="AE441" s="311">
        <v>0.40970000000000001</v>
      </c>
      <c r="AF441" s="311">
        <v>0.37159999999999999</v>
      </c>
      <c r="AG441" s="311">
        <v>0.34279999999999999</v>
      </c>
      <c r="AH441" s="311">
        <v>0</v>
      </c>
      <c r="AI441" s="311">
        <v>0.46060000000000001</v>
      </c>
      <c r="AJ441" s="311">
        <v>0.39150000000000001</v>
      </c>
      <c r="AK441" s="311">
        <v>0.4224</v>
      </c>
      <c r="AL441" s="311">
        <v>0.39169999999999999</v>
      </c>
      <c r="AM441" s="311">
        <v>0.46850000000000003</v>
      </c>
      <c r="AN441" s="311">
        <v>0.44030000000000002</v>
      </c>
      <c r="AO441" s="311">
        <v>0.4501</v>
      </c>
      <c r="AP441" s="311">
        <v>0.4819</v>
      </c>
      <c r="AQ441" s="311">
        <v>0</v>
      </c>
      <c r="AR441" s="311">
        <v>0.32679999999999998</v>
      </c>
      <c r="AS441" s="311">
        <v>0.3372</v>
      </c>
      <c r="AT441" s="311">
        <v>0.33229999999999998</v>
      </c>
      <c r="AU441" s="311">
        <v>0.48699999999999999</v>
      </c>
      <c r="AV441" s="311">
        <v>0.48199999999999998</v>
      </c>
      <c r="AW441" s="311">
        <v>0.41570000000000001</v>
      </c>
      <c r="AX441" s="311">
        <v>0</v>
      </c>
      <c r="AY441" s="311">
        <v>0.41920000000000002</v>
      </c>
      <c r="AZ441" s="311">
        <v>0.43580000000000002</v>
      </c>
      <c r="BA441" s="311">
        <v>0.40670000000000001</v>
      </c>
      <c r="BB441" s="311">
        <v>0.37309999999999999</v>
      </c>
      <c r="BC441" s="311">
        <v>0.48859999999999998</v>
      </c>
      <c r="BD441" s="311">
        <v>0.4914</v>
      </c>
      <c r="BE441" s="311">
        <v>0.503</v>
      </c>
      <c r="BF441" s="311">
        <v>0.44829999999999998</v>
      </c>
      <c r="BG441" s="311">
        <v>0.47099999999999997</v>
      </c>
      <c r="BH441" s="311">
        <v>0.44519999999999998</v>
      </c>
      <c r="BI441" s="311">
        <v>0.49070000000000003</v>
      </c>
      <c r="BJ441" s="311">
        <v>0.46939999999999998</v>
      </c>
      <c r="BK441" s="311">
        <v>0.48299999999999998</v>
      </c>
    </row>
    <row r="442" spans="1:63" x14ac:dyDescent="0.25">
      <c r="A442" s="306" t="s">
        <v>702</v>
      </c>
      <c r="B442" s="311" t="s">
        <v>22</v>
      </c>
      <c r="C442" s="311">
        <v>0.58940000000000003</v>
      </c>
      <c r="D442" s="311">
        <v>0.39029999999999998</v>
      </c>
      <c r="E442" s="311">
        <v>0.41799999999999998</v>
      </c>
      <c r="F442" s="311">
        <v>0.36299999999999999</v>
      </c>
      <c r="G442" s="311">
        <v>0.4415</v>
      </c>
      <c r="H442" s="311">
        <v>0.4879</v>
      </c>
      <c r="I442" s="311">
        <v>0.50939999999999996</v>
      </c>
      <c r="J442" s="311">
        <v>0.42849999999999999</v>
      </c>
      <c r="K442" s="311">
        <v>0</v>
      </c>
      <c r="L442" s="311">
        <v>0</v>
      </c>
      <c r="M442" s="311">
        <v>0.42259999999999998</v>
      </c>
      <c r="N442" s="311">
        <v>0.43469999999999998</v>
      </c>
      <c r="O442" s="311">
        <v>0</v>
      </c>
      <c r="P442" s="311">
        <v>0.35339999999999999</v>
      </c>
      <c r="Q442" s="311">
        <v>0.41320000000000001</v>
      </c>
      <c r="R442" s="311">
        <v>0.4914</v>
      </c>
      <c r="S442" s="311">
        <v>0.40699999999999997</v>
      </c>
      <c r="T442" s="311">
        <v>0.39350000000000002</v>
      </c>
      <c r="U442" s="311">
        <v>0.42649999999999999</v>
      </c>
      <c r="V442" s="311">
        <v>0.44309999999999999</v>
      </c>
      <c r="W442" s="311">
        <v>0.4199</v>
      </c>
      <c r="X442" s="311">
        <v>0.47139999999999999</v>
      </c>
      <c r="Y442" s="311">
        <v>0</v>
      </c>
      <c r="Z442" s="311">
        <v>0.49859999999999999</v>
      </c>
      <c r="AA442" s="311">
        <v>0.42170000000000002</v>
      </c>
      <c r="AB442" s="311">
        <v>0.4037</v>
      </c>
      <c r="AC442" s="311">
        <v>0.39550000000000002</v>
      </c>
      <c r="AD442" s="311">
        <v>0.39779999999999999</v>
      </c>
      <c r="AE442" s="311">
        <v>0.38990000000000002</v>
      </c>
      <c r="AF442" s="311">
        <v>0.35260000000000002</v>
      </c>
      <c r="AG442" s="311">
        <v>0.33800000000000002</v>
      </c>
      <c r="AH442" s="311">
        <v>0.33779999999999999</v>
      </c>
      <c r="AI442" s="311">
        <v>0.44350000000000001</v>
      </c>
      <c r="AJ442" s="311">
        <v>0.41660000000000003</v>
      </c>
      <c r="AK442" s="311">
        <v>0.441</v>
      </c>
      <c r="AL442" s="311">
        <v>0.36120000000000002</v>
      </c>
      <c r="AM442" s="311">
        <v>0.47920000000000001</v>
      </c>
      <c r="AN442" s="311">
        <v>0.45250000000000001</v>
      </c>
      <c r="AO442" s="311">
        <v>0.44940000000000002</v>
      </c>
      <c r="AP442" s="311">
        <v>0.50129999999999997</v>
      </c>
      <c r="AQ442" s="311">
        <v>0</v>
      </c>
      <c r="AR442" s="311">
        <v>0.35899999999999999</v>
      </c>
      <c r="AS442" s="311">
        <v>0.31740000000000002</v>
      </c>
      <c r="AT442" s="311">
        <v>0.36349999999999999</v>
      </c>
      <c r="AU442" s="311">
        <v>0.49840000000000001</v>
      </c>
      <c r="AV442" s="311">
        <v>0.5131</v>
      </c>
      <c r="AW442" s="311">
        <v>0.43309999999999998</v>
      </c>
      <c r="AX442" s="311">
        <v>0.3841</v>
      </c>
      <c r="AY442" s="311">
        <v>0.44750000000000001</v>
      </c>
      <c r="AZ442" s="311">
        <v>0.41670000000000001</v>
      </c>
      <c r="BA442" s="311">
        <v>0.41739999999999999</v>
      </c>
      <c r="BB442" s="311">
        <v>0.38340000000000002</v>
      </c>
      <c r="BC442" s="311">
        <v>0.4733</v>
      </c>
      <c r="BD442" s="311">
        <v>0.47689999999999999</v>
      </c>
      <c r="BE442" s="311">
        <v>0.51180000000000003</v>
      </c>
      <c r="BF442" s="311">
        <v>0.42830000000000001</v>
      </c>
      <c r="BG442" s="311">
        <v>0.4975</v>
      </c>
      <c r="BH442" s="311">
        <v>0.47799999999999998</v>
      </c>
      <c r="BI442" s="311">
        <v>0.50660000000000005</v>
      </c>
      <c r="BJ442" s="311">
        <v>0.49270000000000003</v>
      </c>
      <c r="BK442" s="311">
        <v>0.4884</v>
      </c>
    </row>
    <row r="443" spans="1:63" x14ac:dyDescent="0.25">
      <c r="A443" s="306" t="s">
        <v>602</v>
      </c>
      <c r="B443" s="311" t="s">
        <v>23</v>
      </c>
      <c r="C443" s="311">
        <v>0.3831</v>
      </c>
      <c r="D443" s="311">
        <v>0.30969999999999998</v>
      </c>
      <c r="E443" s="311">
        <v>0.32150000000000001</v>
      </c>
      <c r="F443" s="311">
        <v>0.2888</v>
      </c>
      <c r="G443" s="311">
        <v>0.30570000000000003</v>
      </c>
      <c r="H443" s="311">
        <v>0.3216</v>
      </c>
      <c r="I443" s="311">
        <v>0.35599999999999998</v>
      </c>
      <c r="J443" s="311">
        <v>0.27910000000000001</v>
      </c>
      <c r="K443" s="311">
        <v>5.3100000000000001E-2</v>
      </c>
      <c r="L443" s="311">
        <v>0.23649999999999999</v>
      </c>
      <c r="M443" s="311">
        <v>0.29949999999999999</v>
      </c>
      <c r="N443" s="311">
        <v>0.29930000000000001</v>
      </c>
      <c r="O443" s="311">
        <v>0.2868</v>
      </c>
      <c r="P443" s="311">
        <v>0.26190000000000002</v>
      </c>
      <c r="Q443" s="311">
        <v>0.28610000000000002</v>
      </c>
      <c r="R443" s="311">
        <v>0.32579999999999998</v>
      </c>
      <c r="S443" s="311">
        <v>0.30780000000000002</v>
      </c>
      <c r="T443" s="311">
        <v>0.2863</v>
      </c>
      <c r="U443" s="311">
        <v>0.30370000000000003</v>
      </c>
      <c r="V443" s="311">
        <v>0.31830000000000003</v>
      </c>
      <c r="W443" s="311">
        <v>0.28320000000000001</v>
      </c>
      <c r="X443" s="311">
        <v>0.27689999999999998</v>
      </c>
      <c r="Y443" s="311">
        <v>0.29210000000000003</v>
      </c>
      <c r="Z443" s="311">
        <v>0.29249999999999998</v>
      </c>
      <c r="AA443" s="311">
        <v>0.29189999999999999</v>
      </c>
      <c r="AB443" s="311">
        <v>0.28139999999999998</v>
      </c>
      <c r="AC443" s="311">
        <v>0.30049999999999999</v>
      </c>
      <c r="AD443" s="311">
        <v>0.31929999999999997</v>
      </c>
      <c r="AE443" s="311">
        <v>0.27910000000000001</v>
      </c>
      <c r="AF443" s="311">
        <v>0.30349999999999999</v>
      </c>
      <c r="AG443" s="311">
        <v>0.26129999999999998</v>
      </c>
      <c r="AH443" s="311">
        <v>0.2601</v>
      </c>
      <c r="AI443" s="311">
        <v>0.28050000000000003</v>
      </c>
      <c r="AJ443" s="311">
        <v>0.32790000000000002</v>
      </c>
      <c r="AK443" s="311">
        <v>0.27360000000000001</v>
      </c>
      <c r="AL443" s="311">
        <v>0.27439999999999998</v>
      </c>
      <c r="AM443" s="311">
        <v>0.30919999999999997</v>
      </c>
      <c r="AN443" s="311">
        <v>0.32040000000000002</v>
      </c>
      <c r="AO443" s="311">
        <v>0.27660000000000001</v>
      </c>
      <c r="AP443" s="311">
        <v>0.3291</v>
      </c>
      <c r="AQ443" s="311">
        <v>0.2412</v>
      </c>
      <c r="AR443" s="311">
        <v>0.26169999999999999</v>
      </c>
      <c r="AS443" s="311">
        <v>0.27039999999999997</v>
      </c>
      <c r="AT443" s="311">
        <v>0.28599999999999998</v>
      </c>
      <c r="AU443" s="311">
        <v>0.3453</v>
      </c>
      <c r="AV443" s="311">
        <v>0.34910000000000002</v>
      </c>
      <c r="AW443" s="311">
        <v>0.30830000000000002</v>
      </c>
      <c r="AX443" s="311">
        <v>0.23880000000000001</v>
      </c>
      <c r="AY443" s="311">
        <v>0.28799999999999998</v>
      </c>
      <c r="AZ443" s="311">
        <v>0.28839999999999999</v>
      </c>
      <c r="BA443" s="311">
        <v>0.30109999999999998</v>
      </c>
      <c r="BB443" s="311">
        <v>0.317</v>
      </c>
      <c r="BC443" s="311">
        <v>0.3014</v>
      </c>
      <c r="BD443" s="311">
        <v>0.31719999999999998</v>
      </c>
      <c r="BE443" s="311">
        <v>0.32369999999999999</v>
      </c>
      <c r="BF443" s="311">
        <v>0.2999</v>
      </c>
      <c r="BG443" s="311">
        <v>0.33489999999999998</v>
      </c>
      <c r="BH443" s="311">
        <v>0.32390000000000002</v>
      </c>
      <c r="BI443" s="311">
        <v>0.34329999999999999</v>
      </c>
      <c r="BJ443" s="311">
        <v>0.35549999999999998</v>
      </c>
      <c r="BK443" s="311">
        <v>0.3241</v>
      </c>
    </row>
    <row r="444" spans="1:63" x14ac:dyDescent="0.25">
      <c r="A444" s="306">
        <v>221200</v>
      </c>
      <c r="B444" s="311" t="s">
        <v>24</v>
      </c>
      <c r="C444" s="311">
        <v>0.37769999999999998</v>
      </c>
      <c r="D444" s="311">
        <v>0.28220000000000001</v>
      </c>
      <c r="E444" s="311">
        <v>0.2238</v>
      </c>
      <c r="F444" s="311">
        <v>0.223</v>
      </c>
      <c r="G444" s="311">
        <v>0.17280000000000001</v>
      </c>
      <c r="H444" s="311">
        <v>0.26719999999999999</v>
      </c>
      <c r="I444" s="311">
        <v>0.3377</v>
      </c>
      <c r="J444" s="311">
        <v>0.1678</v>
      </c>
      <c r="K444" s="311">
        <v>2.8000000000000001E-2</v>
      </c>
      <c r="L444" s="311">
        <v>0.12559999999999999</v>
      </c>
      <c r="M444" s="311">
        <v>0.16539999999999999</v>
      </c>
      <c r="N444" s="311">
        <v>0.1764</v>
      </c>
      <c r="O444" s="311">
        <v>0.1525</v>
      </c>
      <c r="P444" s="311">
        <v>0.1605</v>
      </c>
      <c r="Q444" s="311">
        <v>0.16639999999999999</v>
      </c>
      <c r="R444" s="311">
        <v>0.19639999999999999</v>
      </c>
      <c r="S444" s="311">
        <v>0.1789</v>
      </c>
      <c r="T444" s="311">
        <v>0.25269999999999998</v>
      </c>
      <c r="U444" s="311">
        <v>0.21479999999999999</v>
      </c>
      <c r="V444" s="311">
        <v>0.30669999999999997</v>
      </c>
      <c r="W444" s="311">
        <v>0.16370000000000001</v>
      </c>
      <c r="X444" s="311">
        <v>0.15110000000000001</v>
      </c>
      <c r="Y444" s="311">
        <v>0.1774</v>
      </c>
      <c r="Z444" s="311">
        <v>0.19900000000000001</v>
      </c>
      <c r="AA444" s="311">
        <v>0.1729</v>
      </c>
      <c r="AB444" s="311">
        <v>0.15989999999999999</v>
      </c>
      <c r="AC444" s="311">
        <v>0.245</v>
      </c>
      <c r="AD444" s="311">
        <v>0.25619999999999998</v>
      </c>
      <c r="AE444" s="311">
        <v>0.15820000000000001</v>
      </c>
      <c r="AF444" s="311">
        <v>0.24149999999999999</v>
      </c>
      <c r="AG444" s="311">
        <v>0.15529999999999999</v>
      </c>
      <c r="AH444" s="311">
        <v>0.1464</v>
      </c>
      <c r="AI444" s="311">
        <v>0.1653</v>
      </c>
      <c r="AJ444" s="311">
        <v>0.28699999999999998</v>
      </c>
      <c r="AK444" s="311">
        <v>0.14849999999999999</v>
      </c>
      <c r="AL444" s="311">
        <v>0.15509999999999999</v>
      </c>
      <c r="AM444" s="311">
        <v>0.21479999999999999</v>
      </c>
      <c r="AN444" s="311">
        <v>0.31669999999999998</v>
      </c>
      <c r="AO444" s="311">
        <v>0.1479</v>
      </c>
      <c r="AP444" s="311">
        <v>0.23599999999999999</v>
      </c>
      <c r="AQ444" s="311">
        <v>0.14219999999999999</v>
      </c>
      <c r="AR444" s="311">
        <v>0.14910000000000001</v>
      </c>
      <c r="AS444" s="311">
        <v>0.15240000000000001</v>
      </c>
      <c r="AT444" s="311">
        <v>0.18379999999999999</v>
      </c>
      <c r="AU444" s="311">
        <v>0.3463</v>
      </c>
      <c r="AV444" s="311">
        <v>0.29320000000000002</v>
      </c>
      <c r="AW444" s="311">
        <v>0.1691</v>
      </c>
      <c r="AX444" s="311">
        <v>0.13009999999999999</v>
      </c>
      <c r="AY444" s="311">
        <v>0.1618</v>
      </c>
      <c r="AZ444" s="311">
        <v>0.17069999999999999</v>
      </c>
      <c r="BA444" s="311">
        <v>0.27679999999999999</v>
      </c>
      <c r="BB444" s="311">
        <v>0.2777</v>
      </c>
      <c r="BC444" s="311">
        <v>0.17810000000000001</v>
      </c>
      <c r="BD444" s="311">
        <v>0.1918</v>
      </c>
      <c r="BE444" s="311">
        <v>0.20630000000000001</v>
      </c>
      <c r="BF444" s="311">
        <v>0.19769999999999999</v>
      </c>
      <c r="BG444" s="311">
        <v>0.19020000000000001</v>
      </c>
      <c r="BH444" s="311">
        <v>0.22819999999999999</v>
      </c>
      <c r="BI444" s="311">
        <v>0.34570000000000001</v>
      </c>
      <c r="BJ444" s="311">
        <v>0.33500000000000002</v>
      </c>
      <c r="BK444" s="311">
        <v>0.27210000000000001</v>
      </c>
    </row>
    <row r="445" spans="1:63" x14ac:dyDescent="0.25">
      <c r="A445" s="306">
        <v>221300</v>
      </c>
      <c r="B445" s="311" t="s">
        <v>703</v>
      </c>
      <c r="C445" s="311">
        <v>0.47139999999999999</v>
      </c>
      <c r="D445" s="311">
        <v>0.39750000000000002</v>
      </c>
      <c r="E445" s="311">
        <v>0.41360000000000002</v>
      </c>
      <c r="F445" s="311">
        <v>0.37669999999999998</v>
      </c>
      <c r="G445" s="311">
        <v>0.42659999999999998</v>
      </c>
      <c r="H445" s="311">
        <v>0.4451</v>
      </c>
      <c r="I445" s="311">
        <v>0.44319999999999998</v>
      </c>
      <c r="J445" s="311">
        <v>0.3911</v>
      </c>
      <c r="K445" s="311">
        <v>7.0400000000000004E-2</v>
      </c>
      <c r="L445" s="311">
        <v>0.33500000000000002</v>
      </c>
      <c r="M445" s="311">
        <v>0.43130000000000002</v>
      </c>
      <c r="N445" s="311">
        <v>0.4254</v>
      </c>
      <c r="O445" s="311">
        <v>0.41749999999999998</v>
      </c>
      <c r="P445" s="311">
        <v>0.34489999999999998</v>
      </c>
      <c r="Q445" s="311">
        <v>0.39539999999999997</v>
      </c>
      <c r="R445" s="311">
        <v>0.42430000000000001</v>
      </c>
      <c r="S445" s="311">
        <v>0.3952</v>
      </c>
      <c r="T445" s="311">
        <v>0.36930000000000002</v>
      </c>
      <c r="U445" s="311">
        <v>0.37580000000000002</v>
      </c>
      <c r="V445" s="311">
        <v>0.41210000000000002</v>
      </c>
      <c r="W445" s="311">
        <v>0.40610000000000002</v>
      </c>
      <c r="X445" s="311">
        <v>0.39879999999999999</v>
      </c>
      <c r="Y445" s="311">
        <v>0.40500000000000003</v>
      </c>
      <c r="Z445" s="311">
        <v>0.41110000000000002</v>
      </c>
      <c r="AA445" s="311">
        <v>0.3982</v>
      </c>
      <c r="AB445" s="311">
        <v>0.37969999999999998</v>
      </c>
      <c r="AC445" s="311">
        <v>0.39079999999999998</v>
      </c>
      <c r="AD445" s="311">
        <v>0.40539999999999998</v>
      </c>
      <c r="AE445" s="311">
        <v>0.39269999999999999</v>
      </c>
      <c r="AF445" s="311">
        <v>0.36120000000000002</v>
      </c>
      <c r="AG445" s="311">
        <v>0.34799999999999998</v>
      </c>
      <c r="AH445" s="311">
        <v>0.37830000000000003</v>
      </c>
      <c r="AI445" s="311">
        <v>0.40110000000000001</v>
      </c>
      <c r="AJ445" s="311">
        <v>0.4032</v>
      </c>
      <c r="AK445" s="311">
        <v>0.39510000000000001</v>
      </c>
      <c r="AL445" s="311">
        <v>0.37880000000000003</v>
      </c>
      <c r="AM445" s="311">
        <v>0.3967</v>
      </c>
      <c r="AN445" s="311">
        <v>0.41160000000000002</v>
      </c>
      <c r="AO445" s="311">
        <v>0.38769999999999999</v>
      </c>
      <c r="AP445" s="311">
        <v>0.42199999999999999</v>
      </c>
      <c r="AQ445" s="311">
        <v>0.34510000000000002</v>
      </c>
      <c r="AR445" s="311">
        <v>0.38080000000000003</v>
      </c>
      <c r="AS445" s="311">
        <v>0.35759999999999997</v>
      </c>
      <c r="AT445" s="311">
        <v>0.3987</v>
      </c>
      <c r="AU445" s="311">
        <v>0.44819999999999999</v>
      </c>
      <c r="AV445" s="311">
        <v>0.43359999999999999</v>
      </c>
      <c r="AW445" s="311">
        <v>0.40450000000000003</v>
      </c>
      <c r="AX445" s="311">
        <v>0.34470000000000001</v>
      </c>
      <c r="AY445" s="311">
        <v>0.41099999999999998</v>
      </c>
      <c r="AZ445" s="311">
        <v>0.40010000000000001</v>
      </c>
      <c r="BA445" s="311">
        <v>0.36649999999999999</v>
      </c>
      <c r="BB445" s="311">
        <v>0.38219999999999998</v>
      </c>
      <c r="BC445" s="311">
        <v>0.43140000000000001</v>
      </c>
      <c r="BD445" s="311">
        <v>0.42570000000000002</v>
      </c>
      <c r="BE445" s="311">
        <v>0.42799999999999999</v>
      </c>
      <c r="BF445" s="311">
        <v>0.39589999999999997</v>
      </c>
      <c r="BG445" s="311">
        <v>0.4456</v>
      </c>
      <c r="BH445" s="311">
        <v>0.4163</v>
      </c>
      <c r="BI445" s="311">
        <v>0.44600000000000001</v>
      </c>
      <c r="BJ445" s="311">
        <v>0.43940000000000001</v>
      </c>
      <c r="BK445" s="311">
        <v>0.44769999999999999</v>
      </c>
    </row>
    <row r="446" spans="1:63" x14ac:dyDescent="0.25">
      <c r="A446" s="306">
        <v>230000</v>
      </c>
      <c r="B446" s="311" t="s">
        <v>426</v>
      </c>
      <c r="C446" s="311">
        <v>0.63190000000000002</v>
      </c>
      <c r="D446" s="311">
        <v>0.47860000000000003</v>
      </c>
      <c r="E446" s="311">
        <v>0.54490000000000005</v>
      </c>
      <c r="F446" s="311">
        <v>0.49919999999999998</v>
      </c>
      <c r="G446" s="311">
        <v>0.53649999999999998</v>
      </c>
      <c r="H446" s="311">
        <v>0.55710000000000004</v>
      </c>
      <c r="I446" s="311">
        <v>0.55359999999999998</v>
      </c>
      <c r="J446" s="311">
        <v>0.49630000000000002</v>
      </c>
      <c r="K446" s="311">
        <v>8.2400000000000001E-2</v>
      </c>
      <c r="L446" s="311">
        <v>0.4083</v>
      </c>
      <c r="M446" s="311">
        <v>0.53659999999999997</v>
      </c>
      <c r="N446" s="311">
        <v>0.56000000000000005</v>
      </c>
      <c r="O446" s="311">
        <v>0.50060000000000004</v>
      </c>
      <c r="P446" s="311">
        <v>0.47889999999999999</v>
      </c>
      <c r="Q446" s="311">
        <v>0.49969999999999998</v>
      </c>
      <c r="R446" s="311">
        <v>0.55120000000000002</v>
      </c>
      <c r="S446" s="311">
        <v>0.52949999999999997</v>
      </c>
      <c r="T446" s="311">
        <v>0.46189999999999998</v>
      </c>
      <c r="U446" s="311">
        <v>0.50180000000000002</v>
      </c>
      <c r="V446" s="311">
        <v>0.52080000000000004</v>
      </c>
      <c r="W446" s="311">
        <v>0.49890000000000001</v>
      </c>
      <c r="X446" s="311">
        <v>0.47499999999999998</v>
      </c>
      <c r="Y446" s="311">
        <v>0.51670000000000005</v>
      </c>
      <c r="Z446" s="311">
        <v>0.55410000000000004</v>
      </c>
      <c r="AA446" s="311">
        <v>0.52800000000000002</v>
      </c>
      <c r="AB446" s="311">
        <v>0.51219999999999999</v>
      </c>
      <c r="AC446" s="311">
        <v>0.50119999999999998</v>
      </c>
      <c r="AD446" s="311">
        <v>0.50260000000000005</v>
      </c>
      <c r="AE446" s="311">
        <v>0.52929999999999999</v>
      </c>
      <c r="AF446" s="311">
        <v>0.43099999999999999</v>
      </c>
      <c r="AG446" s="311">
        <v>0.46279999999999999</v>
      </c>
      <c r="AH446" s="311">
        <v>0.49419999999999997</v>
      </c>
      <c r="AI446" s="311">
        <v>0.51039999999999996</v>
      </c>
      <c r="AJ446" s="311">
        <v>0.49130000000000001</v>
      </c>
      <c r="AK446" s="311">
        <v>0.51039999999999996</v>
      </c>
      <c r="AL446" s="311">
        <v>0.46479999999999999</v>
      </c>
      <c r="AM446" s="311">
        <v>0.55130000000000001</v>
      </c>
      <c r="AN446" s="311">
        <v>0.53510000000000002</v>
      </c>
      <c r="AO446" s="311">
        <v>0.51770000000000005</v>
      </c>
      <c r="AP446" s="311">
        <v>0.55679999999999996</v>
      </c>
      <c r="AQ446" s="311">
        <v>0.44790000000000002</v>
      </c>
      <c r="AR446" s="311">
        <v>0.53939999999999999</v>
      </c>
      <c r="AS446" s="311">
        <v>0.4662</v>
      </c>
      <c r="AT446" s="311">
        <v>0.52700000000000002</v>
      </c>
      <c r="AU446" s="311">
        <v>0.57650000000000001</v>
      </c>
      <c r="AV446" s="311">
        <v>0.56169999999999998</v>
      </c>
      <c r="AW446" s="311">
        <v>0.50329999999999997</v>
      </c>
      <c r="AX446" s="311">
        <v>0.4829</v>
      </c>
      <c r="AY446" s="311">
        <v>0.5413</v>
      </c>
      <c r="AZ446" s="311">
        <v>0.53690000000000004</v>
      </c>
      <c r="BA446" s="311">
        <v>0.46629999999999999</v>
      </c>
      <c r="BB446" s="311">
        <v>0.46279999999999999</v>
      </c>
      <c r="BC446" s="311">
        <v>0.54779999999999995</v>
      </c>
      <c r="BD446" s="311">
        <v>0.55010000000000003</v>
      </c>
      <c r="BE446" s="311">
        <v>0.58240000000000003</v>
      </c>
      <c r="BF446" s="311">
        <v>0.53749999999999998</v>
      </c>
      <c r="BG446" s="311">
        <v>0.57250000000000001</v>
      </c>
      <c r="BH446" s="311">
        <v>0.55659999999999998</v>
      </c>
      <c r="BI446" s="311">
        <v>0.58220000000000005</v>
      </c>
      <c r="BJ446" s="311">
        <v>0.55769999999999997</v>
      </c>
      <c r="BK446" s="311">
        <v>0.56830000000000003</v>
      </c>
    </row>
    <row r="447" spans="1:63" x14ac:dyDescent="0.25">
      <c r="A447" s="306">
        <v>311111</v>
      </c>
      <c r="B447" s="311" t="s">
        <v>25</v>
      </c>
      <c r="C447" s="311">
        <v>0.41749999999999998</v>
      </c>
      <c r="D447" s="311">
        <v>0.15040000000000001</v>
      </c>
      <c r="E447" s="311">
        <v>0.25679999999999997</v>
      </c>
      <c r="F447" s="311">
        <v>0.31040000000000001</v>
      </c>
      <c r="G447" s="311">
        <v>0.22309999999999999</v>
      </c>
      <c r="H447" s="311">
        <v>0.25679999999999997</v>
      </c>
      <c r="I447" s="311">
        <v>0.29530000000000001</v>
      </c>
      <c r="J447" s="311">
        <v>0</v>
      </c>
      <c r="K447" s="311">
        <v>0</v>
      </c>
      <c r="L447" s="311">
        <v>0.1699</v>
      </c>
      <c r="M447" s="311">
        <v>0.219</v>
      </c>
      <c r="N447" s="311">
        <v>0.29430000000000001</v>
      </c>
      <c r="O447" s="311">
        <v>0.19819999999999999</v>
      </c>
      <c r="P447" s="311">
        <v>0.27200000000000002</v>
      </c>
      <c r="Q447" s="311">
        <v>0</v>
      </c>
      <c r="R447" s="311">
        <v>0.35139999999999999</v>
      </c>
      <c r="S447" s="311">
        <v>0.31090000000000001</v>
      </c>
      <c r="T447" s="311">
        <v>0.27029999999999998</v>
      </c>
      <c r="U447" s="311">
        <v>0.29820000000000002</v>
      </c>
      <c r="V447" s="311">
        <v>0</v>
      </c>
      <c r="W447" s="311">
        <v>0.2266</v>
      </c>
      <c r="X447" s="311">
        <v>0.19869999999999999</v>
      </c>
      <c r="Y447" s="311">
        <v>0</v>
      </c>
      <c r="Z447" s="311">
        <v>0.27339999999999998</v>
      </c>
      <c r="AA447" s="311">
        <v>0.33500000000000002</v>
      </c>
      <c r="AB447" s="311">
        <v>0.32590000000000002</v>
      </c>
      <c r="AC447" s="311">
        <v>0.27129999999999999</v>
      </c>
      <c r="AD447" s="311">
        <v>0.2273</v>
      </c>
      <c r="AE447" s="311">
        <v>0.27979999999999999</v>
      </c>
      <c r="AF447" s="311">
        <v>0</v>
      </c>
      <c r="AG447" s="311">
        <v>0.25819999999999999</v>
      </c>
      <c r="AH447" s="311">
        <v>0.1928</v>
      </c>
      <c r="AI447" s="311">
        <v>0.2361</v>
      </c>
      <c r="AJ447" s="311">
        <v>0.18809999999999999</v>
      </c>
      <c r="AK447" s="311">
        <v>0.2024</v>
      </c>
      <c r="AL447" s="311">
        <v>0.20019999999999999</v>
      </c>
      <c r="AM447" s="311">
        <v>0.3236</v>
      </c>
      <c r="AN447" s="311">
        <v>0.29210000000000003</v>
      </c>
      <c r="AO447" s="311">
        <v>0.25069999999999998</v>
      </c>
      <c r="AP447" s="311">
        <v>0.28149999999999997</v>
      </c>
      <c r="AQ447" s="311">
        <v>0</v>
      </c>
      <c r="AR447" s="311">
        <v>0.25319999999999998</v>
      </c>
      <c r="AS447" s="311">
        <v>0.21790000000000001</v>
      </c>
      <c r="AT447" s="311">
        <v>0.28029999999999999</v>
      </c>
      <c r="AU447" s="311">
        <v>0.29520000000000002</v>
      </c>
      <c r="AV447" s="311">
        <v>0.27789999999999998</v>
      </c>
      <c r="AW447" s="311">
        <v>0.2495</v>
      </c>
      <c r="AX447" s="311">
        <v>0.16930000000000001</v>
      </c>
      <c r="AY447" s="311">
        <v>0.26829999999999998</v>
      </c>
      <c r="AZ447" s="311">
        <v>0.29980000000000001</v>
      </c>
      <c r="BA447" s="311">
        <v>0.193</v>
      </c>
      <c r="BB447" s="311">
        <v>0</v>
      </c>
      <c r="BC447" s="311">
        <v>0.2427</v>
      </c>
      <c r="BD447" s="311">
        <v>0.26300000000000001</v>
      </c>
      <c r="BE447" s="311">
        <v>0.36249999999999999</v>
      </c>
      <c r="BF447" s="311">
        <v>0.34389999999999998</v>
      </c>
      <c r="BG447" s="311">
        <v>0.27710000000000001</v>
      </c>
      <c r="BH447" s="311">
        <v>0.31690000000000002</v>
      </c>
      <c r="BI447" s="311">
        <v>0.32619999999999999</v>
      </c>
      <c r="BJ447" s="311">
        <v>0.27979999999999999</v>
      </c>
      <c r="BK447" s="311">
        <v>0.26369999999999999</v>
      </c>
    </row>
    <row r="448" spans="1:63" x14ac:dyDescent="0.25">
      <c r="A448" s="306">
        <v>311119</v>
      </c>
      <c r="B448" s="311" t="s">
        <v>26</v>
      </c>
      <c r="C448" s="311">
        <v>0.4884</v>
      </c>
      <c r="D448" s="311">
        <v>0</v>
      </c>
      <c r="E448" s="311">
        <v>0.27339999999999998</v>
      </c>
      <c r="F448" s="311">
        <v>0.36359999999999998</v>
      </c>
      <c r="G448" s="311">
        <v>0.2326</v>
      </c>
      <c r="H448" s="311">
        <v>0.27229999999999999</v>
      </c>
      <c r="I448" s="311">
        <v>0.32519999999999999</v>
      </c>
      <c r="J448" s="311">
        <v>0.21010000000000001</v>
      </c>
      <c r="K448" s="311">
        <v>0</v>
      </c>
      <c r="L448" s="311">
        <v>0.1915</v>
      </c>
      <c r="M448" s="311">
        <v>0.22570000000000001</v>
      </c>
      <c r="N448" s="311">
        <v>0.32229999999999998</v>
      </c>
      <c r="O448" s="311">
        <v>0</v>
      </c>
      <c r="P448" s="311">
        <v>0.32869999999999999</v>
      </c>
      <c r="Q448" s="311">
        <v>0.30299999999999999</v>
      </c>
      <c r="R448" s="311">
        <v>0.41410000000000002</v>
      </c>
      <c r="S448" s="311">
        <v>0.36609999999999998</v>
      </c>
      <c r="T448" s="311">
        <v>0.31940000000000002</v>
      </c>
      <c r="U448" s="311">
        <v>0.36249999999999999</v>
      </c>
      <c r="V448" s="311">
        <v>0.31</v>
      </c>
      <c r="W448" s="311">
        <v>0.23350000000000001</v>
      </c>
      <c r="X448" s="311">
        <v>0.2157</v>
      </c>
      <c r="Y448" s="311">
        <v>0.2311</v>
      </c>
      <c r="Z448" s="311">
        <v>0.30209999999999998</v>
      </c>
      <c r="AA448" s="311">
        <v>0.38269999999999998</v>
      </c>
      <c r="AB448" s="311">
        <v>0.38519999999999999</v>
      </c>
      <c r="AC448" s="311">
        <v>0.33169999999999999</v>
      </c>
      <c r="AD448" s="311">
        <v>0.307</v>
      </c>
      <c r="AE448" s="311">
        <v>0.30430000000000001</v>
      </c>
      <c r="AF448" s="311">
        <v>0.2979</v>
      </c>
      <c r="AG448" s="311">
        <v>0.31619999999999998</v>
      </c>
      <c r="AH448" s="311">
        <v>0.19670000000000001</v>
      </c>
      <c r="AI448" s="311">
        <v>0.23680000000000001</v>
      </c>
      <c r="AJ448" s="311">
        <v>0.22159999999999999</v>
      </c>
      <c r="AK448" s="311">
        <v>0.20599999999999999</v>
      </c>
      <c r="AL448" s="311">
        <v>0.20150000000000001</v>
      </c>
      <c r="AM448" s="311">
        <v>0.36840000000000001</v>
      </c>
      <c r="AN448" s="311">
        <v>0.35539999999999999</v>
      </c>
      <c r="AO448" s="311">
        <v>0.26989999999999997</v>
      </c>
      <c r="AP448" s="311">
        <v>0.27879999999999999</v>
      </c>
      <c r="AQ448" s="311">
        <v>0</v>
      </c>
      <c r="AR448" s="311">
        <v>0.2621</v>
      </c>
      <c r="AS448" s="311">
        <v>0.27100000000000002</v>
      </c>
      <c r="AT448" s="311">
        <v>0.30880000000000002</v>
      </c>
      <c r="AU448" s="311">
        <v>0.32240000000000002</v>
      </c>
      <c r="AV448" s="311">
        <v>0.29609999999999997</v>
      </c>
      <c r="AW448" s="311">
        <v>0.24879999999999999</v>
      </c>
      <c r="AX448" s="311">
        <v>0.18859999999999999</v>
      </c>
      <c r="AY448" s="311">
        <v>0.31419999999999998</v>
      </c>
      <c r="AZ448" s="311">
        <v>0.32719999999999999</v>
      </c>
      <c r="BA448" s="311">
        <v>0</v>
      </c>
      <c r="BB448" s="311">
        <v>0.20730000000000001</v>
      </c>
      <c r="BC448" s="311">
        <v>0.2472</v>
      </c>
      <c r="BD448" s="311">
        <v>0.27110000000000001</v>
      </c>
      <c r="BE448" s="311">
        <v>0.42130000000000001</v>
      </c>
      <c r="BF448" s="311">
        <v>0.40129999999999999</v>
      </c>
      <c r="BG448" s="311">
        <v>0.28839999999999999</v>
      </c>
      <c r="BH448" s="311">
        <v>0.36899999999999999</v>
      </c>
      <c r="BI448" s="311">
        <v>0.37909999999999999</v>
      </c>
      <c r="BJ448" s="311">
        <v>0.31719999999999998</v>
      </c>
      <c r="BK448" s="311">
        <v>0.28299999999999997</v>
      </c>
    </row>
    <row r="449" spans="1:63" x14ac:dyDescent="0.25">
      <c r="A449" s="306">
        <v>311210</v>
      </c>
      <c r="B449" s="311" t="s">
        <v>27</v>
      </c>
      <c r="C449" s="311">
        <v>0.47839999999999999</v>
      </c>
      <c r="D449" s="311">
        <v>0</v>
      </c>
      <c r="E449" s="311">
        <v>0.29580000000000001</v>
      </c>
      <c r="F449" s="311">
        <v>0.35149999999999998</v>
      </c>
      <c r="G449" s="311">
        <v>0.28849999999999998</v>
      </c>
      <c r="H449" s="311">
        <v>0.3054</v>
      </c>
      <c r="I449" s="311">
        <v>0.37480000000000002</v>
      </c>
      <c r="J449" s="311">
        <v>0</v>
      </c>
      <c r="K449" s="311">
        <v>0</v>
      </c>
      <c r="L449" s="311">
        <v>0</v>
      </c>
      <c r="M449" s="311">
        <v>0.28560000000000002</v>
      </c>
      <c r="N449" s="311">
        <v>0.32200000000000001</v>
      </c>
      <c r="O449" s="311">
        <v>0.24560000000000001</v>
      </c>
      <c r="P449" s="311">
        <v>0.31580000000000003</v>
      </c>
      <c r="Q449" s="311">
        <v>0.3286</v>
      </c>
      <c r="R449" s="311">
        <v>0.41770000000000002</v>
      </c>
      <c r="S449" s="311">
        <v>0.36890000000000001</v>
      </c>
      <c r="T449" s="311">
        <v>0.33069999999999999</v>
      </c>
      <c r="U449" s="311">
        <v>0.36</v>
      </c>
      <c r="V449" s="311">
        <v>0.3669</v>
      </c>
      <c r="W449" s="311">
        <v>0.26569999999999999</v>
      </c>
      <c r="X449" s="311">
        <v>0.2641</v>
      </c>
      <c r="Y449" s="311">
        <v>0.2576</v>
      </c>
      <c r="Z449" s="311">
        <v>0.35120000000000001</v>
      </c>
      <c r="AA449" s="311">
        <v>0.38140000000000002</v>
      </c>
      <c r="AB449" s="311">
        <v>0.37530000000000002</v>
      </c>
      <c r="AC449" s="311">
        <v>0.3387</v>
      </c>
      <c r="AD449" s="311">
        <v>0.3281</v>
      </c>
      <c r="AE449" s="311">
        <v>0.309</v>
      </c>
      <c r="AF449" s="311">
        <v>0.30020000000000002</v>
      </c>
      <c r="AG449" s="311">
        <v>0.31159999999999999</v>
      </c>
      <c r="AH449" s="311">
        <v>0</v>
      </c>
      <c r="AI449" s="311">
        <v>0.27250000000000002</v>
      </c>
      <c r="AJ449" s="311">
        <v>0</v>
      </c>
      <c r="AK449" s="311">
        <v>0</v>
      </c>
      <c r="AL449" s="311">
        <v>0.24540000000000001</v>
      </c>
      <c r="AM449" s="311">
        <v>0.38929999999999998</v>
      </c>
      <c r="AN449" s="311">
        <v>0.35210000000000002</v>
      </c>
      <c r="AO449" s="311">
        <v>0.32969999999999999</v>
      </c>
      <c r="AP449" s="311">
        <v>0.31509999999999999</v>
      </c>
      <c r="AQ449" s="311">
        <v>0.23330000000000001</v>
      </c>
      <c r="AR449" s="311">
        <v>0.29149999999999998</v>
      </c>
      <c r="AS449" s="311">
        <v>0</v>
      </c>
      <c r="AT449" s="311">
        <v>0.33079999999999998</v>
      </c>
      <c r="AU449" s="311">
        <v>0.36620000000000003</v>
      </c>
      <c r="AV449" s="311">
        <v>0.31809999999999999</v>
      </c>
      <c r="AW449" s="311">
        <v>0.29249999999999998</v>
      </c>
      <c r="AX449" s="311">
        <v>0</v>
      </c>
      <c r="AY449" s="311">
        <v>0.36109999999999998</v>
      </c>
      <c r="AZ449" s="311">
        <v>0.3735</v>
      </c>
      <c r="BA449" s="311">
        <v>0</v>
      </c>
      <c r="BB449" s="311">
        <v>0</v>
      </c>
      <c r="BC449" s="311">
        <v>0.28599999999999998</v>
      </c>
      <c r="BD449" s="311">
        <v>0.30859999999999999</v>
      </c>
      <c r="BE449" s="311">
        <v>0.41760000000000003</v>
      </c>
      <c r="BF449" s="311">
        <v>0.38619999999999999</v>
      </c>
      <c r="BG449" s="311">
        <v>0.33100000000000002</v>
      </c>
      <c r="BH449" s="311">
        <v>0.37</v>
      </c>
      <c r="BI449" s="311">
        <v>0.41070000000000001</v>
      </c>
      <c r="BJ449" s="311">
        <v>0.36470000000000002</v>
      </c>
      <c r="BK449" s="311">
        <v>0.3276</v>
      </c>
    </row>
    <row r="450" spans="1:63" x14ac:dyDescent="0.25">
      <c r="A450" s="306">
        <v>311221</v>
      </c>
      <c r="B450" s="311" t="s">
        <v>28</v>
      </c>
      <c r="C450" s="311">
        <v>0.4874</v>
      </c>
      <c r="D450" s="311">
        <v>0</v>
      </c>
      <c r="E450" s="311">
        <v>0.28989999999999999</v>
      </c>
      <c r="F450" s="311">
        <v>0.36209999999999998</v>
      </c>
      <c r="G450" s="311">
        <v>0</v>
      </c>
      <c r="H450" s="311">
        <v>0.30149999999999999</v>
      </c>
      <c r="I450" s="311">
        <v>0.37819999999999998</v>
      </c>
      <c r="J450" s="311">
        <v>0</v>
      </c>
      <c r="K450" s="311">
        <v>0</v>
      </c>
      <c r="L450" s="311">
        <v>0</v>
      </c>
      <c r="M450" s="311">
        <v>0.25969999999999999</v>
      </c>
      <c r="N450" s="311">
        <v>0</v>
      </c>
      <c r="O450" s="311">
        <v>0</v>
      </c>
      <c r="P450" s="311">
        <v>0.31630000000000003</v>
      </c>
      <c r="Q450" s="311">
        <v>0.33210000000000001</v>
      </c>
      <c r="R450" s="311">
        <v>0.41930000000000001</v>
      </c>
      <c r="S450" s="311">
        <v>0.36359999999999998</v>
      </c>
      <c r="T450" s="311">
        <v>0.34050000000000002</v>
      </c>
      <c r="U450" s="311">
        <v>0</v>
      </c>
      <c r="V450" s="311">
        <v>0</v>
      </c>
      <c r="W450" s="311">
        <v>0</v>
      </c>
      <c r="X450" s="311">
        <v>0</v>
      </c>
      <c r="Y450" s="311">
        <v>0.25269999999999998</v>
      </c>
      <c r="Z450" s="311">
        <v>0</v>
      </c>
      <c r="AA450" s="311">
        <v>0.379</v>
      </c>
      <c r="AB450" s="311">
        <v>0.37740000000000001</v>
      </c>
      <c r="AC450" s="311">
        <v>0</v>
      </c>
      <c r="AD450" s="311">
        <v>0</v>
      </c>
      <c r="AE450" s="311">
        <v>0.30149999999999999</v>
      </c>
      <c r="AF450" s="311">
        <v>0.30730000000000002</v>
      </c>
      <c r="AG450" s="311">
        <v>0</v>
      </c>
      <c r="AH450" s="311">
        <v>0</v>
      </c>
      <c r="AI450" s="311">
        <v>0.26600000000000001</v>
      </c>
      <c r="AJ450" s="311">
        <v>0</v>
      </c>
      <c r="AK450" s="311">
        <v>0</v>
      </c>
      <c r="AL450" s="311">
        <v>0</v>
      </c>
      <c r="AM450" s="311">
        <v>0.39839999999999998</v>
      </c>
      <c r="AN450" s="311">
        <v>0</v>
      </c>
      <c r="AO450" s="311">
        <v>0.318</v>
      </c>
      <c r="AP450" s="311">
        <v>0.3145</v>
      </c>
      <c r="AQ450" s="311">
        <v>0</v>
      </c>
      <c r="AR450" s="311">
        <v>0.28860000000000002</v>
      </c>
      <c r="AS450" s="311">
        <v>0</v>
      </c>
      <c r="AT450" s="311">
        <v>0.31180000000000002</v>
      </c>
      <c r="AU450" s="311">
        <v>0.36309999999999998</v>
      </c>
      <c r="AV450" s="311">
        <v>0</v>
      </c>
      <c r="AW450" s="311">
        <v>0</v>
      </c>
      <c r="AX450" s="311">
        <v>0</v>
      </c>
      <c r="AY450" s="311">
        <v>0.34749999999999998</v>
      </c>
      <c r="AZ450" s="311">
        <v>0</v>
      </c>
      <c r="BA450" s="311">
        <v>0</v>
      </c>
      <c r="BB450" s="311">
        <v>0</v>
      </c>
      <c r="BC450" s="311">
        <v>0.27339999999999998</v>
      </c>
      <c r="BD450" s="311">
        <v>0.29849999999999999</v>
      </c>
      <c r="BE450" s="311">
        <v>0.42130000000000001</v>
      </c>
      <c r="BF450" s="311">
        <v>0.39150000000000001</v>
      </c>
      <c r="BG450" s="311">
        <v>0.314</v>
      </c>
      <c r="BH450" s="311">
        <v>0.36349999999999999</v>
      </c>
      <c r="BI450" s="311">
        <v>0.41260000000000002</v>
      </c>
      <c r="BJ450" s="311">
        <v>0.37390000000000001</v>
      </c>
      <c r="BK450" s="311">
        <v>0.31769999999999998</v>
      </c>
    </row>
    <row r="451" spans="1:63" x14ac:dyDescent="0.25">
      <c r="A451" s="306">
        <v>311225</v>
      </c>
      <c r="B451" s="311" t="s">
        <v>30</v>
      </c>
      <c r="C451" s="311">
        <v>0.49880000000000002</v>
      </c>
      <c r="D451" s="311">
        <v>0</v>
      </c>
      <c r="E451" s="311">
        <v>0.2944</v>
      </c>
      <c r="F451" s="311">
        <v>0.38369999999999999</v>
      </c>
      <c r="G451" s="311">
        <v>0.2263</v>
      </c>
      <c r="H451" s="311">
        <v>0.2681</v>
      </c>
      <c r="I451" s="311">
        <v>0.24809999999999999</v>
      </c>
      <c r="J451" s="311">
        <v>0.19450000000000001</v>
      </c>
      <c r="K451" s="311">
        <v>0</v>
      </c>
      <c r="L451" s="311">
        <v>0.18540000000000001</v>
      </c>
      <c r="M451" s="311">
        <v>0.19239999999999999</v>
      </c>
      <c r="N451" s="311">
        <v>0.33689999999999998</v>
      </c>
      <c r="O451" s="311">
        <v>0</v>
      </c>
      <c r="P451" s="311">
        <v>0.30259999999999998</v>
      </c>
      <c r="Q451" s="311">
        <v>0</v>
      </c>
      <c r="R451" s="311">
        <v>0.4345</v>
      </c>
      <c r="S451" s="311">
        <v>0.38940000000000002</v>
      </c>
      <c r="T451" s="311">
        <v>0.31409999999999999</v>
      </c>
      <c r="U451" s="311">
        <v>0.37240000000000001</v>
      </c>
      <c r="V451" s="311">
        <v>0.29449999999999998</v>
      </c>
      <c r="W451" s="311">
        <v>0.22750000000000001</v>
      </c>
      <c r="X451" s="311">
        <v>0.19320000000000001</v>
      </c>
      <c r="Y451" s="311">
        <v>0</v>
      </c>
      <c r="Z451" s="311">
        <v>0.27329999999999999</v>
      </c>
      <c r="AA451" s="311">
        <v>0.40629999999999999</v>
      </c>
      <c r="AB451" s="311">
        <v>0.39900000000000002</v>
      </c>
      <c r="AC451" s="311">
        <v>0</v>
      </c>
      <c r="AD451" s="311">
        <v>0.26540000000000002</v>
      </c>
      <c r="AE451" s="311">
        <v>0</v>
      </c>
      <c r="AF451" s="311">
        <v>0.31769999999999998</v>
      </c>
      <c r="AG451" s="311">
        <v>0.28899999999999998</v>
      </c>
      <c r="AH451" s="311">
        <v>0</v>
      </c>
      <c r="AI451" s="311">
        <v>0.2281</v>
      </c>
      <c r="AJ451" s="311">
        <v>0</v>
      </c>
      <c r="AK451" s="311">
        <v>0</v>
      </c>
      <c r="AL451" s="311">
        <v>0.18340000000000001</v>
      </c>
      <c r="AM451" s="311">
        <v>0.34079999999999999</v>
      </c>
      <c r="AN451" s="311">
        <v>0.34029999999999999</v>
      </c>
      <c r="AO451" s="311">
        <v>0.25180000000000002</v>
      </c>
      <c r="AP451" s="311">
        <v>0.25119999999999998</v>
      </c>
      <c r="AQ451" s="311">
        <v>0</v>
      </c>
      <c r="AR451" s="311">
        <v>0.24759999999999999</v>
      </c>
      <c r="AS451" s="311">
        <v>0.25269999999999998</v>
      </c>
      <c r="AT451" s="311">
        <v>0.34360000000000002</v>
      </c>
      <c r="AU451" s="311">
        <v>0.29330000000000001</v>
      </c>
      <c r="AV451" s="311">
        <v>0</v>
      </c>
      <c r="AW451" s="311">
        <v>0.2306</v>
      </c>
      <c r="AX451" s="311">
        <v>0</v>
      </c>
      <c r="AY451" s="311">
        <v>0.27350000000000002</v>
      </c>
      <c r="AZ451" s="311">
        <v>0</v>
      </c>
      <c r="BA451" s="311">
        <v>0</v>
      </c>
      <c r="BB451" s="311">
        <v>0</v>
      </c>
      <c r="BC451" s="311">
        <v>0.2281</v>
      </c>
      <c r="BD451" s="311">
        <v>0.24460000000000001</v>
      </c>
      <c r="BE451" s="311">
        <v>0.44340000000000002</v>
      </c>
      <c r="BF451" s="311">
        <v>0.41839999999999999</v>
      </c>
      <c r="BG451" s="311">
        <v>0.2611</v>
      </c>
      <c r="BH451" s="311">
        <v>0.38940000000000002</v>
      </c>
      <c r="BI451" s="311">
        <v>0.36770000000000003</v>
      </c>
      <c r="BJ451" s="311">
        <v>0.25090000000000001</v>
      </c>
      <c r="BK451" s="311">
        <v>0.27089999999999997</v>
      </c>
    </row>
    <row r="452" spans="1:63" x14ac:dyDescent="0.25">
      <c r="A452" s="306" t="s">
        <v>704</v>
      </c>
      <c r="B452" s="311" t="s">
        <v>29</v>
      </c>
      <c r="C452" s="311">
        <v>0.496</v>
      </c>
      <c r="D452" s="311">
        <v>0</v>
      </c>
      <c r="E452" s="311">
        <v>0.24329999999999999</v>
      </c>
      <c r="F452" s="311">
        <v>0.38800000000000001</v>
      </c>
      <c r="G452" s="311">
        <v>0.216</v>
      </c>
      <c r="H452" s="311">
        <v>0.2351</v>
      </c>
      <c r="I452" s="311">
        <v>0.33160000000000001</v>
      </c>
      <c r="J452" s="311">
        <v>0</v>
      </c>
      <c r="K452" s="311">
        <v>0</v>
      </c>
      <c r="L452" s="311">
        <v>0</v>
      </c>
      <c r="M452" s="311">
        <v>0</v>
      </c>
      <c r="N452" s="311">
        <v>0.2651</v>
      </c>
      <c r="O452" s="311">
        <v>0.18890000000000001</v>
      </c>
      <c r="P452" s="311">
        <v>0.35189999999999999</v>
      </c>
      <c r="Q452" s="311">
        <v>0.3397</v>
      </c>
      <c r="R452" s="311">
        <v>0.42330000000000001</v>
      </c>
      <c r="S452" s="311">
        <v>0.37809999999999999</v>
      </c>
      <c r="T452" s="311">
        <v>0.34810000000000002</v>
      </c>
      <c r="U452" s="311">
        <v>0.37959999999999999</v>
      </c>
      <c r="V452" s="311">
        <v>0.35749999999999998</v>
      </c>
      <c r="W452" s="311">
        <v>0.18390000000000001</v>
      </c>
      <c r="X452" s="311">
        <v>0</v>
      </c>
      <c r="Y452" s="311">
        <v>0</v>
      </c>
      <c r="Z452" s="311">
        <v>0.31680000000000003</v>
      </c>
      <c r="AA452" s="311">
        <v>0.39550000000000002</v>
      </c>
      <c r="AB452" s="311">
        <v>0.3972</v>
      </c>
      <c r="AC452" s="311">
        <v>0.37319999999999998</v>
      </c>
      <c r="AD452" s="311">
        <v>0.35670000000000002</v>
      </c>
      <c r="AE452" s="311">
        <v>0.26979999999999998</v>
      </c>
      <c r="AF452" s="311">
        <v>0.3306</v>
      </c>
      <c r="AG452" s="311">
        <v>0.34200000000000003</v>
      </c>
      <c r="AH452" s="311">
        <v>0</v>
      </c>
      <c r="AI452" s="311">
        <v>0</v>
      </c>
      <c r="AJ452" s="311">
        <v>0</v>
      </c>
      <c r="AK452" s="311">
        <v>0.18</v>
      </c>
      <c r="AL452" s="311">
        <v>0.17499999999999999</v>
      </c>
      <c r="AM452" s="311">
        <v>0.3906</v>
      </c>
      <c r="AN452" s="311">
        <v>0.38450000000000001</v>
      </c>
      <c r="AO452" s="311">
        <v>0</v>
      </c>
      <c r="AP452" s="311">
        <v>0.23449999999999999</v>
      </c>
      <c r="AQ452" s="311">
        <v>0</v>
      </c>
      <c r="AR452" s="311">
        <v>0.2492</v>
      </c>
      <c r="AS452" s="311">
        <v>0.30659999999999998</v>
      </c>
      <c r="AT452" s="311">
        <v>0.29289999999999999</v>
      </c>
      <c r="AU452" s="311">
        <v>0.31159999999999999</v>
      </c>
      <c r="AV452" s="311">
        <v>0.23430000000000001</v>
      </c>
      <c r="AW452" s="311">
        <v>0</v>
      </c>
      <c r="AX452" s="311">
        <v>0.17119999999999999</v>
      </c>
      <c r="AY452" s="311">
        <v>0.33489999999999998</v>
      </c>
      <c r="AZ452" s="311">
        <v>0.36570000000000003</v>
      </c>
      <c r="BA452" s="311">
        <v>0</v>
      </c>
      <c r="BB452" s="311">
        <v>0</v>
      </c>
      <c r="BC452" s="311">
        <v>0.1943</v>
      </c>
      <c r="BD452" s="311">
        <v>0.2145</v>
      </c>
      <c r="BE452" s="311">
        <v>0.43009999999999998</v>
      </c>
      <c r="BF452" s="311">
        <v>0.41199999999999998</v>
      </c>
      <c r="BG452" s="311">
        <v>0.24840000000000001</v>
      </c>
      <c r="BH452" s="311">
        <v>0.36759999999999998</v>
      </c>
      <c r="BI452" s="311">
        <v>0.40060000000000001</v>
      </c>
      <c r="BJ452" s="311">
        <v>0.33310000000000001</v>
      </c>
      <c r="BK452" s="311">
        <v>0.25629999999999997</v>
      </c>
    </row>
    <row r="453" spans="1:63" x14ac:dyDescent="0.25">
      <c r="A453" s="306">
        <v>311230</v>
      </c>
      <c r="B453" s="311" t="s">
        <v>31</v>
      </c>
      <c r="C453" s="311">
        <v>0.35449999999999998</v>
      </c>
      <c r="D453" s="311">
        <v>0</v>
      </c>
      <c r="E453" s="311">
        <v>0</v>
      </c>
      <c r="F453" s="311">
        <v>0.26069999999999999</v>
      </c>
      <c r="G453" s="311">
        <v>0</v>
      </c>
      <c r="H453" s="311">
        <v>0.24859999999999999</v>
      </c>
      <c r="I453" s="311">
        <v>0.2452</v>
      </c>
      <c r="J453" s="311">
        <v>0.21010000000000001</v>
      </c>
      <c r="K453" s="311">
        <v>0</v>
      </c>
      <c r="L453" s="311">
        <v>0</v>
      </c>
      <c r="M453" s="311">
        <v>0</v>
      </c>
      <c r="N453" s="311">
        <v>0.27400000000000002</v>
      </c>
      <c r="O453" s="311">
        <v>0</v>
      </c>
      <c r="P453" s="311">
        <v>0.2167</v>
      </c>
      <c r="Q453" s="311">
        <v>0</v>
      </c>
      <c r="R453" s="311">
        <v>0.29249999999999998</v>
      </c>
      <c r="S453" s="311">
        <v>0</v>
      </c>
      <c r="T453" s="311">
        <v>0.22159999999999999</v>
      </c>
      <c r="U453" s="311">
        <v>0</v>
      </c>
      <c r="V453" s="311">
        <v>0</v>
      </c>
      <c r="W453" s="311">
        <v>0.22600000000000001</v>
      </c>
      <c r="X453" s="311">
        <v>0.1925</v>
      </c>
      <c r="Y453" s="311">
        <v>0</v>
      </c>
      <c r="Z453" s="311">
        <v>0.26690000000000003</v>
      </c>
      <c r="AA453" s="311">
        <v>0.28260000000000002</v>
      </c>
      <c r="AB453" s="311">
        <v>0.25890000000000002</v>
      </c>
      <c r="AC453" s="311">
        <v>0</v>
      </c>
      <c r="AD453" s="311">
        <v>0.19539999999999999</v>
      </c>
      <c r="AE453" s="311">
        <v>0.25309999999999999</v>
      </c>
      <c r="AF453" s="311">
        <v>0</v>
      </c>
      <c r="AG453" s="311">
        <v>0.22409999999999999</v>
      </c>
      <c r="AH453" s="311">
        <v>0</v>
      </c>
      <c r="AI453" s="311">
        <v>0.2175</v>
      </c>
      <c r="AJ453" s="311">
        <v>0.1731</v>
      </c>
      <c r="AK453" s="311">
        <v>0.19400000000000001</v>
      </c>
      <c r="AL453" s="311">
        <v>0</v>
      </c>
      <c r="AM453" s="311">
        <v>0.2802</v>
      </c>
      <c r="AN453" s="311">
        <v>0</v>
      </c>
      <c r="AO453" s="311">
        <v>0.23519999999999999</v>
      </c>
      <c r="AP453" s="311">
        <v>0.25009999999999999</v>
      </c>
      <c r="AQ453" s="311">
        <v>0</v>
      </c>
      <c r="AR453" s="311">
        <v>0</v>
      </c>
      <c r="AS453" s="311">
        <v>0</v>
      </c>
      <c r="AT453" s="311">
        <v>0.25009999999999999</v>
      </c>
      <c r="AU453" s="311">
        <v>0.25040000000000001</v>
      </c>
      <c r="AV453" s="311">
        <v>0.23710000000000001</v>
      </c>
      <c r="AW453" s="311">
        <v>0</v>
      </c>
      <c r="AX453" s="311">
        <v>0</v>
      </c>
      <c r="AY453" s="311">
        <v>0.24249999999999999</v>
      </c>
      <c r="AZ453" s="311">
        <v>0.25850000000000001</v>
      </c>
      <c r="BA453" s="311">
        <v>0</v>
      </c>
      <c r="BB453" s="311">
        <v>0.16259999999999999</v>
      </c>
      <c r="BC453" s="311">
        <v>0.23649999999999999</v>
      </c>
      <c r="BD453" s="311">
        <v>0.24590000000000001</v>
      </c>
      <c r="BE453" s="311">
        <v>0.30790000000000001</v>
      </c>
      <c r="BF453" s="311">
        <v>0.28110000000000002</v>
      </c>
      <c r="BG453" s="311">
        <v>0.26479999999999998</v>
      </c>
      <c r="BH453" s="311">
        <v>0.26490000000000002</v>
      </c>
      <c r="BI453" s="311">
        <v>0.2747</v>
      </c>
      <c r="BJ453" s="311">
        <v>0.2366</v>
      </c>
      <c r="BK453" s="311">
        <v>0.254</v>
      </c>
    </row>
    <row r="454" spans="1:63" x14ac:dyDescent="0.25">
      <c r="A454" s="306">
        <v>311313</v>
      </c>
      <c r="B454" s="311" t="s">
        <v>33</v>
      </c>
      <c r="C454" s="311">
        <v>0.50029999999999997</v>
      </c>
      <c r="D454" s="311">
        <v>0</v>
      </c>
      <c r="E454" s="311">
        <v>0</v>
      </c>
      <c r="F454" s="311">
        <v>0</v>
      </c>
      <c r="G454" s="311">
        <v>0</v>
      </c>
      <c r="H454" s="311">
        <v>0.39419999999999999</v>
      </c>
      <c r="I454" s="311">
        <v>0.3881</v>
      </c>
      <c r="J454" s="311">
        <v>0</v>
      </c>
      <c r="K454" s="311">
        <v>0</v>
      </c>
      <c r="L454" s="311">
        <v>0</v>
      </c>
      <c r="M454" s="311">
        <v>0</v>
      </c>
      <c r="N454" s="311">
        <v>0</v>
      </c>
      <c r="O454" s="311">
        <v>0</v>
      </c>
      <c r="P454" s="311">
        <v>0</v>
      </c>
      <c r="Q454" s="311">
        <v>0.32940000000000003</v>
      </c>
      <c r="R454" s="311">
        <v>0</v>
      </c>
      <c r="S454" s="311">
        <v>0</v>
      </c>
      <c r="T454" s="311">
        <v>0</v>
      </c>
      <c r="U454" s="311">
        <v>0.3669</v>
      </c>
      <c r="V454" s="311">
        <v>0.38440000000000002</v>
      </c>
      <c r="W454" s="311">
        <v>0</v>
      </c>
      <c r="X454" s="311">
        <v>0</v>
      </c>
      <c r="Y454" s="311">
        <v>0</v>
      </c>
      <c r="Z454" s="311">
        <v>0.34899999999999998</v>
      </c>
      <c r="AA454" s="311">
        <v>0.38219999999999998</v>
      </c>
      <c r="AB454" s="311">
        <v>0</v>
      </c>
      <c r="AC454" s="311">
        <v>0</v>
      </c>
      <c r="AD454" s="311">
        <v>0.32740000000000002</v>
      </c>
      <c r="AE454" s="311">
        <v>0</v>
      </c>
      <c r="AF454" s="311">
        <v>0.29609999999999997</v>
      </c>
      <c r="AG454" s="311">
        <v>0.32769999999999999</v>
      </c>
      <c r="AH454" s="311">
        <v>0</v>
      </c>
      <c r="AI454" s="311">
        <v>0.24640000000000001</v>
      </c>
      <c r="AJ454" s="311">
        <v>0</v>
      </c>
      <c r="AK454" s="311">
        <v>0</v>
      </c>
      <c r="AL454" s="311">
        <v>0.23200000000000001</v>
      </c>
      <c r="AM454" s="311">
        <v>0.30309999999999998</v>
      </c>
      <c r="AN454" s="311">
        <v>0</v>
      </c>
      <c r="AO454" s="311">
        <v>0.38129999999999997</v>
      </c>
      <c r="AP454" s="311">
        <v>0</v>
      </c>
      <c r="AQ454" s="311">
        <v>0</v>
      </c>
      <c r="AR454" s="311">
        <v>0</v>
      </c>
      <c r="AS454" s="311">
        <v>0.27360000000000001</v>
      </c>
      <c r="AT454" s="311">
        <v>0</v>
      </c>
      <c r="AU454" s="311">
        <v>0</v>
      </c>
      <c r="AV454" s="311">
        <v>0</v>
      </c>
      <c r="AW454" s="311">
        <v>0</v>
      </c>
      <c r="AX454" s="311">
        <v>0</v>
      </c>
      <c r="AY454" s="311">
        <v>0</v>
      </c>
      <c r="AZ454" s="311">
        <v>0</v>
      </c>
      <c r="BA454" s="311">
        <v>0</v>
      </c>
      <c r="BB454" s="311">
        <v>0.29389999999999999</v>
      </c>
      <c r="BC454" s="311">
        <v>0</v>
      </c>
      <c r="BD454" s="311">
        <v>0.29170000000000001</v>
      </c>
      <c r="BE454" s="311">
        <v>0.33150000000000002</v>
      </c>
      <c r="BF454" s="311">
        <v>0.39610000000000001</v>
      </c>
      <c r="BG454" s="311">
        <v>0</v>
      </c>
      <c r="BH454" s="311">
        <v>0.36420000000000002</v>
      </c>
      <c r="BI454" s="311">
        <v>0.42749999999999999</v>
      </c>
      <c r="BJ454" s="311">
        <v>0.3987</v>
      </c>
      <c r="BK454" s="311">
        <v>0.40179999999999999</v>
      </c>
    </row>
    <row r="455" spans="1:63" x14ac:dyDescent="0.25">
      <c r="A455" s="306" t="s">
        <v>705</v>
      </c>
      <c r="B455" s="311" t="s">
        <v>32</v>
      </c>
      <c r="C455" s="311">
        <v>0.50180000000000002</v>
      </c>
      <c r="D455" s="311">
        <v>0</v>
      </c>
      <c r="E455" s="311">
        <v>0.27389999999999998</v>
      </c>
      <c r="F455" s="311">
        <v>0</v>
      </c>
      <c r="G455" s="311">
        <v>0</v>
      </c>
      <c r="H455" s="311">
        <v>0.36330000000000001</v>
      </c>
      <c r="I455" s="311">
        <v>0</v>
      </c>
      <c r="J455" s="311">
        <v>0</v>
      </c>
      <c r="K455" s="311">
        <v>0</v>
      </c>
      <c r="L455" s="311">
        <v>0</v>
      </c>
      <c r="M455" s="311">
        <v>0.3407</v>
      </c>
      <c r="N455" s="311">
        <v>0.37440000000000001</v>
      </c>
      <c r="O455" s="311">
        <v>0.30930000000000002</v>
      </c>
      <c r="P455" s="311">
        <v>0</v>
      </c>
      <c r="Q455" s="311">
        <v>0</v>
      </c>
      <c r="R455" s="311">
        <v>0.25069999999999998</v>
      </c>
      <c r="S455" s="311">
        <v>0</v>
      </c>
      <c r="T455" s="311">
        <v>0</v>
      </c>
      <c r="U455" s="311">
        <v>0</v>
      </c>
      <c r="V455" s="311">
        <v>0.35589999999999999</v>
      </c>
      <c r="W455" s="311">
        <v>0</v>
      </c>
      <c r="X455" s="311">
        <v>0.2422</v>
      </c>
      <c r="Y455" s="311">
        <v>0</v>
      </c>
      <c r="Z455" s="311">
        <v>0.31190000000000001</v>
      </c>
      <c r="AA455" s="311">
        <v>0</v>
      </c>
      <c r="AB455" s="311">
        <v>0</v>
      </c>
      <c r="AC455" s="311">
        <v>0</v>
      </c>
      <c r="AD455" s="311">
        <v>0</v>
      </c>
      <c r="AE455" s="311">
        <v>0</v>
      </c>
      <c r="AF455" s="311">
        <v>0</v>
      </c>
      <c r="AG455" s="311">
        <v>0.26850000000000002</v>
      </c>
      <c r="AH455" s="311">
        <v>0.26329999999999998</v>
      </c>
      <c r="AI455" s="311">
        <v>0</v>
      </c>
      <c r="AJ455" s="311">
        <v>0</v>
      </c>
      <c r="AK455" s="311">
        <v>0</v>
      </c>
      <c r="AL455" s="311">
        <v>0.2341</v>
      </c>
      <c r="AM455" s="311">
        <v>0.26200000000000001</v>
      </c>
      <c r="AN455" s="311">
        <v>0</v>
      </c>
      <c r="AO455" s="311">
        <v>0</v>
      </c>
      <c r="AP455" s="311">
        <v>0</v>
      </c>
      <c r="AQ455" s="311">
        <v>0</v>
      </c>
      <c r="AR455" s="311">
        <v>0</v>
      </c>
      <c r="AS455" s="311">
        <v>0</v>
      </c>
      <c r="AT455" s="311">
        <v>0.23130000000000001</v>
      </c>
      <c r="AU455" s="311">
        <v>0.38740000000000002</v>
      </c>
      <c r="AV455" s="311">
        <v>0</v>
      </c>
      <c r="AW455" s="311">
        <v>0</v>
      </c>
      <c r="AX455" s="311">
        <v>0</v>
      </c>
      <c r="AY455" s="311">
        <v>0</v>
      </c>
      <c r="AZ455" s="311">
        <v>0</v>
      </c>
      <c r="BA455" s="311">
        <v>0</v>
      </c>
      <c r="BB455" s="311">
        <v>0</v>
      </c>
      <c r="BC455" s="311">
        <v>0.2356</v>
      </c>
      <c r="BD455" s="311">
        <v>0.26369999999999999</v>
      </c>
      <c r="BE455" s="311">
        <v>0.3019</v>
      </c>
      <c r="BF455" s="311">
        <v>0.32340000000000002</v>
      </c>
      <c r="BG455" s="311">
        <v>0.3679</v>
      </c>
      <c r="BH455" s="311">
        <v>0.27579999999999999</v>
      </c>
      <c r="BI455" s="311">
        <v>0.39410000000000001</v>
      </c>
      <c r="BJ455" s="311">
        <v>0</v>
      </c>
      <c r="BK455" s="311">
        <v>0.37130000000000002</v>
      </c>
    </row>
    <row r="456" spans="1:63" x14ac:dyDescent="0.25">
      <c r="A456" s="306">
        <v>311320</v>
      </c>
      <c r="B456" s="311" t="s">
        <v>34</v>
      </c>
      <c r="C456" s="311">
        <v>0.4617</v>
      </c>
      <c r="D456" s="311">
        <v>0</v>
      </c>
      <c r="E456" s="311">
        <v>0</v>
      </c>
      <c r="F456" s="311">
        <v>0.26889999999999997</v>
      </c>
      <c r="G456" s="311">
        <v>0</v>
      </c>
      <c r="H456" s="311">
        <v>0.35060000000000002</v>
      </c>
      <c r="I456" s="311">
        <v>0.2949</v>
      </c>
      <c r="J456" s="311">
        <v>0.24510000000000001</v>
      </c>
      <c r="K456" s="311">
        <v>0</v>
      </c>
      <c r="L456" s="311">
        <v>0</v>
      </c>
      <c r="M456" s="311">
        <v>0.2828</v>
      </c>
      <c r="N456" s="311">
        <v>0.3226</v>
      </c>
      <c r="O456" s="311">
        <v>0</v>
      </c>
      <c r="P456" s="311">
        <v>0</v>
      </c>
      <c r="Q456" s="311">
        <v>0</v>
      </c>
      <c r="R456" s="311">
        <v>0.33079999999999998</v>
      </c>
      <c r="S456" s="311">
        <v>0</v>
      </c>
      <c r="T456" s="311">
        <v>0</v>
      </c>
      <c r="U456" s="311">
        <v>0</v>
      </c>
      <c r="V456" s="311">
        <v>0</v>
      </c>
      <c r="W456" s="311">
        <v>0.27029999999999998</v>
      </c>
      <c r="X456" s="311">
        <v>0.22639999999999999</v>
      </c>
      <c r="Y456" s="311">
        <v>0</v>
      </c>
      <c r="Z456" s="311">
        <v>0.31790000000000002</v>
      </c>
      <c r="AA456" s="311">
        <v>0.31219999999999998</v>
      </c>
      <c r="AB456" s="311">
        <v>0.28370000000000001</v>
      </c>
      <c r="AC456" s="311">
        <v>0</v>
      </c>
      <c r="AD456" s="311">
        <v>0</v>
      </c>
      <c r="AE456" s="311">
        <v>0</v>
      </c>
      <c r="AF456" s="311">
        <v>0</v>
      </c>
      <c r="AG456" s="311">
        <v>0</v>
      </c>
      <c r="AH456" s="311">
        <v>0.26569999999999999</v>
      </c>
      <c r="AI456" s="311">
        <v>0.2646</v>
      </c>
      <c r="AJ456" s="311">
        <v>0.22220000000000001</v>
      </c>
      <c r="AK456" s="311">
        <v>0.23949999999999999</v>
      </c>
      <c r="AL456" s="311">
        <v>0.2384</v>
      </c>
      <c r="AM456" s="311">
        <v>0.3085</v>
      </c>
      <c r="AN456" s="311">
        <v>0.24560000000000001</v>
      </c>
      <c r="AO456" s="311">
        <v>0.30080000000000001</v>
      </c>
      <c r="AP456" s="311">
        <v>0.32490000000000002</v>
      </c>
      <c r="AQ456" s="311">
        <v>0</v>
      </c>
      <c r="AR456" s="311">
        <v>0</v>
      </c>
      <c r="AS456" s="311">
        <v>0</v>
      </c>
      <c r="AT456" s="311">
        <v>0.27800000000000002</v>
      </c>
      <c r="AU456" s="311">
        <v>0.308</v>
      </c>
      <c r="AV456" s="311">
        <v>0.29880000000000001</v>
      </c>
      <c r="AW456" s="311">
        <v>0</v>
      </c>
      <c r="AX456" s="311">
        <v>0</v>
      </c>
      <c r="AY456" s="311">
        <v>0.29220000000000002</v>
      </c>
      <c r="AZ456" s="311">
        <v>0.3266</v>
      </c>
      <c r="BA456" s="311">
        <v>0</v>
      </c>
      <c r="BB456" s="311">
        <v>0</v>
      </c>
      <c r="BC456" s="311">
        <v>0.30590000000000001</v>
      </c>
      <c r="BD456" s="311">
        <v>0.32179999999999997</v>
      </c>
      <c r="BE456" s="311">
        <v>0.36520000000000002</v>
      </c>
      <c r="BF456" s="311">
        <v>0.31559999999999999</v>
      </c>
      <c r="BG456" s="311">
        <v>0.32850000000000001</v>
      </c>
      <c r="BH456" s="311">
        <v>0.29759999999999998</v>
      </c>
      <c r="BI456" s="311">
        <v>0.31780000000000003</v>
      </c>
      <c r="BJ456" s="311">
        <v>0.28939999999999999</v>
      </c>
      <c r="BK456" s="311">
        <v>0.35460000000000003</v>
      </c>
    </row>
    <row r="457" spans="1:63" x14ac:dyDescent="0.25">
      <c r="A457" s="306">
        <v>311330</v>
      </c>
      <c r="B457" s="311" t="s">
        <v>35</v>
      </c>
      <c r="C457" s="311">
        <v>0.4249</v>
      </c>
      <c r="D457" s="311">
        <v>0.1595</v>
      </c>
      <c r="E457" s="311">
        <v>0.26450000000000001</v>
      </c>
      <c r="F457" s="311">
        <v>0.2717</v>
      </c>
      <c r="G457" s="311">
        <v>0.2417</v>
      </c>
      <c r="H457" s="311">
        <v>0.32619999999999999</v>
      </c>
      <c r="I457" s="311">
        <v>0.28870000000000001</v>
      </c>
      <c r="J457" s="311">
        <v>0.26350000000000001</v>
      </c>
      <c r="K457" s="311">
        <v>2.7199999999999998E-2</v>
      </c>
      <c r="L457" s="311">
        <v>0.1845</v>
      </c>
      <c r="M457" s="311">
        <v>0.26350000000000001</v>
      </c>
      <c r="N457" s="311">
        <v>0.31530000000000002</v>
      </c>
      <c r="O457" s="311">
        <v>0.2482</v>
      </c>
      <c r="P457" s="311">
        <v>0.22969999999999999</v>
      </c>
      <c r="Q457" s="311">
        <v>0.24010000000000001</v>
      </c>
      <c r="R457" s="311">
        <v>0.33119999999999999</v>
      </c>
      <c r="S457" s="311">
        <v>0.27829999999999999</v>
      </c>
      <c r="T457" s="311">
        <v>0.2424</v>
      </c>
      <c r="U457" s="311">
        <v>0.26950000000000002</v>
      </c>
      <c r="V457" s="311">
        <v>0.27810000000000001</v>
      </c>
      <c r="W457" s="311">
        <v>0.27889999999999998</v>
      </c>
      <c r="X457" s="311">
        <v>0.22509999999999999</v>
      </c>
      <c r="Y457" s="311">
        <v>0.25729999999999997</v>
      </c>
      <c r="Z457" s="311">
        <v>0.31769999999999998</v>
      </c>
      <c r="AA457" s="311">
        <v>0.30559999999999998</v>
      </c>
      <c r="AB457" s="311">
        <v>0.27610000000000001</v>
      </c>
      <c r="AC457" s="311">
        <v>0.23499999999999999</v>
      </c>
      <c r="AD457" s="311">
        <v>0.19700000000000001</v>
      </c>
      <c r="AE457" s="311">
        <v>0.29110000000000003</v>
      </c>
      <c r="AF457" s="311">
        <v>0.19750000000000001</v>
      </c>
      <c r="AG457" s="311">
        <v>0.22989999999999999</v>
      </c>
      <c r="AH457" s="311">
        <v>0.26019999999999999</v>
      </c>
      <c r="AI457" s="311">
        <v>0.2717</v>
      </c>
      <c r="AJ457" s="311">
        <v>0.20449999999999999</v>
      </c>
      <c r="AK457" s="311">
        <v>0.23799999999999999</v>
      </c>
      <c r="AL457" s="311">
        <v>0.2414</v>
      </c>
      <c r="AM457" s="311">
        <v>0.31979999999999997</v>
      </c>
      <c r="AN457" s="311">
        <v>0</v>
      </c>
      <c r="AO457" s="311">
        <v>0.28420000000000001</v>
      </c>
      <c r="AP457" s="311">
        <v>0.32940000000000003</v>
      </c>
      <c r="AQ457" s="311">
        <v>0.2407</v>
      </c>
      <c r="AR457" s="311">
        <v>0.2586</v>
      </c>
      <c r="AS457" s="311">
        <v>0.187</v>
      </c>
      <c r="AT457" s="311">
        <v>0.2843</v>
      </c>
      <c r="AU457" s="311">
        <v>0.2923</v>
      </c>
      <c r="AV457" s="311">
        <v>0.29399999999999998</v>
      </c>
      <c r="AW457" s="311">
        <v>0.27360000000000001</v>
      </c>
      <c r="AX457" s="311">
        <v>0.192</v>
      </c>
      <c r="AY457" s="311">
        <v>0.28029999999999999</v>
      </c>
      <c r="AZ457" s="311">
        <v>0.32600000000000001</v>
      </c>
      <c r="BA457" s="311">
        <v>0.1956</v>
      </c>
      <c r="BB457" s="311">
        <v>0.18029999999999999</v>
      </c>
      <c r="BC457" s="311">
        <v>0.30919999999999997</v>
      </c>
      <c r="BD457" s="311">
        <v>0.3241</v>
      </c>
      <c r="BE457" s="311">
        <v>0.35949999999999999</v>
      </c>
      <c r="BF457" s="311">
        <v>0.30740000000000001</v>
      </c>
      <c r="BG457" s="311">
        <v>0.32179999999999997</v>
      </c>
      <c r="BH457" s="311">
        <v>0.29459999999999997</v>
      </c>
      <c r="BI457" s="311">
        <v>0.30420000000000003</v>
      </c>
      <c r="BJ457" s="311">
        <v>0.27360000000000001</v>
      </c>
      <c r="BK457" s="311">
        <v>0.32969999999999999</v>
      </c>
    </row>
    <row r="458" spans="1:63" x14ac:dyDescent="0.25">
      <c r="A458" s="306">
        <v>311340</v>
      </c>
      <c r="B458" s="311" t="s">
        <v>36</v>
      </c>
      <c r="C458" s="311">
        <v>0.48230000000000001</v>
      </c>
      <c r="D458" s="311">
        <v>0.18659999999999999</v>
      </c>
      <c r="E458" s="311">
        <v>0.31530000000000002</v>
      </c>
      <c r="F458" s="311">
        <v>0.32640000000000002</v>
      </c>
      <c r="G458" s="311">
        <v>0.27089999999999997</v>
      </c>
      <c r="H458" s="311">
        <v>0.34179999999999999</v>
      </c>
      <c r="I458" s="311">
        <v>0.31879999999999997</v>
      </c>
      <c r="J458" s="311">
        <v>0.3004</v>
      </c>
      <c r="K458" s="311">
        <v>0</v>
      </c>
      <c r="L458" s="311">
        <v>0.22600000000000001</v>
      </c>
      <c r="M458" s="311">
        <v>0.29399999999999998</v>
      </c>
      <c r="N458" s="311">
        <v>0.37090000000000001</v>
      </c>
      <c r="O458" s="311">
        <v>0.26979999999999998</v>
      </c>
      <c r="P458" s="311">
        <v>0.28310000000000002</v>
      </c>
      <c r="Q458" s="311">
        <v>0.26619999999999999</v>
      </c>
      <c r="R458" s="311">
        <v>0.39269999999999999</v>
      </c>
      <c r="S458" s="311">
        <v>0.34229999999999999</v>
      </c>
      <c r="T458" s="311">
        <v>0.28470000000000001</v>
      </c>
      <c r="U458" s="311">
        <v>0.32250000000000001</v>
      </c>
      <c r="V458" s="311">
        <v>0.32690000000000002</v>
      </c>
      <c r="W458" s="311">
        <v>0.31340000000000001</v>
      </c>
      <c r="X458" s="311">
        <v>0.25929999999999997</v>
      </c>
      <c r="Y458" s="311">
        <v>0.28820000000000001</v>
      </c>
      <c r="Z458" s="311">
        <v>0.34339999999999998</v>
      </c>
      <c r="AA458" s="311">
        <v>0.36720000000000003</v>
      </c>
      <c r="AB458" s="311">
        <v>0.34429999999999999</v>
      </c>
      <c r="AC458" s="311">
        <v>0.28439999999999999</v>
      </c>
      <c r="AD458" s="311">
        <v>0.23469999999999999</v>
      </c>
      <c r="AE458" s="311">
        <v>0.34239999999999998</v>
      </c>
      <c r="AF458" s="311">
        <v>0</v>
      </c>
      <c r="AG458" s="311">
        <v>0.27579999999999999</v>
      </c>
      <c r="AH458" s="311">
        <v>0.28070000000000001</v>
      </c>
      <c r="AI458" s="311">
        <v>0.31390000000000001</v>
      </c>
      <c r="AJ458" s="311">
        <v>0.2235</v>
      </c>
      <c r="AK458" s="311">
        <v>0.26889999999999997</v>
      </c>
      <c r="AL458" s="311">
        <v>0.27050000000000002</v>
      </c>
      <c r="AM458" s="311">
        <v>0.38030000000000003</v>
      </c>
      <c r="AN458" s="311">
        <v>0.2838</v>
      </c>
      <c r="AO458" s="311">
        <v>0.30830000000000002</v>
      </c>
      <c r="AP458" s="311">
        <v>0.35089999999999999</v>
      </c>
      <c r="AQ458" s="311">
        <v>0</v>
      </c>
      <c r="AR458" s="311">
        <v>0.3049</v>
      </c>
      <c r="AS458" s="311">
        <v>0.22559999999999999</v>
      </c>
      <c r="AT458" s="311">
        <v>0.3301</v>
      </c>
      <c r="AU458" s="311">
        <v>0.33910000000000001</v>
      </c>
      <c r="AV458" s="311">
        <v>0.31929999999999997</v>
      </c>
      <c r="AW458" s="311">
        <v>0.31169999999999998</v>
      </c>
      <c r="AX458" s="311">
        <v>0.2122</v>
      </c>
      <c r="AY458" s="311">
        <v>0.30919999999999997</v>
      </c>
      <c r="AZ458" s="311">
        <v>0.34420000000000001</v>
      </c>
      <c r="BA458" s="311">
        <v>0.2344</v>
      </c>
      <c r="BB458" s="311">
        <v>0.21149999999999999</v>
      </c>
      <c r="BC458" s="311">
        <v>0.33729999999999999</v>
      </c>
      <c r="BD458" s="311">
        <v>0.3518</v>
      </c>
      <c r="BE458" s="311">
        <v>0.41289999999999999</v>
      </c>
      <c r="BF458" s="311">
        <v>0.37230000000000002</v>
      </c>
      <c r="BG458" s="311">
        <v>0.36559999999999998</v>
      </c>
      <c r="BH458" s="311">
        <v>0.35630000000000001</v>
      </c>
      <c r="BI458" s="311">
        <v>0.3599</v>
      </c>
      <c r="BJ458" s="311">
        <v>0.30209999999999998</v>
      </c>
      <c r="BK458" s="311">
        <v>0.34439999999999998</v>
      </c>
    </row>
    <row r="459" spans="1:63" x14ac:dyDescent="0.25">
      <c r="A459" s="306">
        <v>311410</v>
      </c>
      <c r="B459" s="311" t="s">
        <v>37</v>
      </c>
      <c r="C459" s="311">
        <v>0.48759999999999998</v>
      </c>
      <c r="D459" s="311">
        <v>0</v>
      </c>
      <c r="E459" s="311">
        <v>0</v>
      </c>
      <c r="F459" s="311">
        <v>0.3453</v>
      </c>
      <c r="G459" s="311">
        <v>0.27129999999999999</v>
      </c>
      <c r="H459" s="311">
        <v>0.35120000000000001</v>
      </c>
      <c r="I459" s="311">
        <v>0.3528</v>
      </c>
      <c r="J459" s="311">
        <v>0.2611</v>
      </c>
      <c r="K459" s="311">
        <v>0</v>
      </c>
      <c r="L459" s="311">
        <v>0.23150000000000001</v>
      </c>
      <c r="M459" s="311">
        <v>0.29580000000000001</v>
      </c>
      <c r="N459" s="311">
        <v>0.35449999999999998</v>
      </c>
      <c r="O459" s="311">
        <v>0.25829999999999997</v>
      </c>
      <c r="P459" s="311">
        <v>0.29609999999999997</v>
      </c>
      <c r="Q459" s="311">
        <v>0.31680000000000003</v>
      </c>
      <c r="R459" s="311">
        <v>0.3654</v>
      </c>
      <c r="S459" s="311">
        <v>0.3211</v>
      </c>
      <c r="T459" s="311">
        <v>0.2883</v>
      </c>
      <c r="U459" s="311">
        <v>0.3342</v>
      </c>
      <c r="V459" s="311">
        <v>0.30640000000000001</v>
      </c>
      <c r="W459" s="311">
        <v>0.27810000000000001</v>
      </c>
      <c r="X459" s="311">
        <v>0.24</v>
      </c>
      <c r="Y459" s="311">
        <v>0.3034</v>
      </c>
      <c r="Z459" s="311">
        <v>0.35399999999999998</v>
      </c>
      <c r="AA459" s="311">
        <v>0.39140000000000003</v>
      </c>
      <c r="AB459" s="311">
        <v>0.3528</v>
      </c>
      <c r="AC459" s="311">
        <v>0.3009</v>
      </c>
      <c r="AD459" s="311">
        <v>0</v>
      </c>
      <c r="AE459" s="311">
        <v>0.3392</v>
      </c>
      <c r="AF459" s="311">
        <v>0.24809999999999999</v>
      </c>
      <c r="AG459" s="311">
        <v>0.28560000000000002</v>
      </c>
      <c r="AH459" s="311">
        <v>0.24079999999999999</v>
      </c>
      <c r="AI459" s="311">
        <v>0.28649999999999998</v>
      </c>
      <c r="AJ459" s="311">
        <v>0.25779999999999997</v>
      </c>
      <c r="AK459" s="311">
        <v>0.2525</v>
      </c>
      <c r="AL459" s="311">
        <v>0.25819999999999999</v>
      </c>
      <c r="AM459" s="311">
        <v>0.35659999999999997</v>
      </c>
      <c r="AN459" s="311">
        <v>0.30220000000000002</v>
      </c>
      <c r="AO459" s="311">
        <v>0.33829999999999999</v>
      </c>
      <c r="AP459" s="311">
        <v>0.34760000000000002</v>
      </c>
      <c r="AQ459" s="311">
        <v>0.24440000000000001</v>
      </c>
      <c r="AR459" s="311">
        <v>0.31190000000000001</v>
      </c>
      <c r="AS459" s="311">
        <v>0.25140000000000001</v>
      </c>
      <c r="AT459" s="311">
        <v>0.3261</v>
      </c>
      <c r="AU459" s="311">
        <v>0.3377</v>
      </c>
      <c r="AV459" s="311">
        <v>0.35199999999999998</v>
      </c>
      <c r="AW459" s="311">
        <v>0.29509999999999997</v>
      </c>
      <c r="AX459" s="311">
        <v>0.22140000000000001</v>
      </c>
      <c r="AY459" s="311">
        <v>0.32979999999999998</v>
      </c>
      <c r="AZ459" s="311">
        <v>0.38790000000000002</v>
      </c>
      <c r="BA459" s="311">
        <v>0.21940000000000001</v>
      </c>
      <c r="BB459" s="311">
        <v>0</v>
      </c>
      <c r="BC459" s="311">
        <v>0.30170000000000002</v>
      </c>
      <c r="BD459" s="311">
        <v>0.32479999999999998</v>
      </c>
      <c r="BE459" s="311">
        <v>0.39710000000000001</v>
      </c>
      <c r="BF459" s="311">
        <v>0.38800000000000001</v>
      </c>
      <c r="BG459" s="311">
        <v>0.35920000000000002</v>
      </c>
      <c r="BH459" s="311">
        <v>0.34860000000000002</v>
      </c>
      <c r="BI459" s="311">
        <v>0.36799999999999999</v>
      </c>
      <c r="BJ459" s="311">
        <v>0.35010000000000002</v>
      </c>
      <c r="BK459" s="311">
        <v>0.35610000000000003</v>
      </c>
    </row>
    <row r="460" spans="1:63" x14ac:dyDescent="0.25">
      <c r="A460" s="306">
        <v>311420</v>
      </c>
      <c r="B460" s="311" t="s">
        <v>38</v>
      </c>
      <c r="C460" s="311">
        <v>0.43080000000000002</v>
      </c>
      <c r="D460" s="311">
        <v>0</v>
      </c>
      <c r="E460" s="311">
        <v>0.2636</v>
      </c>
      <c r="F460" s="311">
        <v>0.29530000000000001</v>
      </c>
      <c r="G460" s="311">
        <v>0.25290000000000001</v>
      </c>
      <c r="H460" s="311">
        <v>0.32979999999999998</v>
      </c>
      <c r="I460" s="311">
        <v>0.3054</v>
      </c>
      <c r="J460" s="311">
        <v>0.25090000000000001</v>
      </c>
      <c r="K460" s="311">
        <v>0</v>
      </c>
      <c r="L460" s="311">
        <v>0.18920000000000001</v>
      </c>
      <c r="M460" s="311">
        <v>0.28249999999999997</v>
      </c>
      <c r="N460" s="311">
        <v>0.32919999999999999</v>
      </c>
      <c r="O460" s="311">
        <v>0.25009999999999999</v>
      </c>
      <c r="P460" s="311">
        <v>0.2414</v>
      </c>
      <c r="Q460" s="311">
        <v>0.25409999999999999</v>
      </c>
      <c r="R460" s="311">
        <v>0.3291</v>
      </c>
      <c r="S460" s="311">
        <v>0.29830000000000001</v>
      </c>
      <c r="T460" s="311">
        <v>0.2397</v>
      </c>
      <c r="U460" s="311">
        <v>0.27879999999999999</v>
      </c>
      <c r="V460" s="311">
        <v>0.26910000000000001</v>
      </c>
      <c r="W460" s="311">
        <v>0.2671</v>
      </c>
      <c r="X460" s="311">
        <v>0.2283</v>
      </c>
      <c r="Y460" s="311">
        <v>0.26729999999999998</v>
      </c>
      <c r="Z460" s="311">
        <v>0.31669999999999998</v>
      </c>
      <c r="AA460" s="311">
        <v>0.32700000000000001</v>
      </c>
      <c r="AB460" s="311">
        <v>0.30030000000000001</v>
      </c>
      <c r="AC460" s="311">
        <v>0.24990000000000001</v>
      </c>
      <c r="AD460" s="311">
        <v>0.19670000000000001</v>
      </c>
      <c r="AE460" s="311">
        <v>0.308</v>
      </c>
      <c r="AF460" s="311">
        <v>0.19439999999999999</v>
      </c>
      <c r="AG460" s="311">
        <v>0.22220000000000001</v>
      </c>
      <c r="AH460" s="311">
        <v>0.21779999999999999</v>
      </c>
      <c r="AI460" s="311">
        <v>0.29120000000000001</v>
      </c>
      <c r="AJ460" s="311">
        <v>0.22020000000000001</v>
      </c>
      <c r="AK460" s="311">
        <v>0.2374</v>
      </c>
      <c r="AL460" s="311">
        <v>0.23899999999999999</v>
      </c>
      <c r="AM460" s="311">
        <v>0.33610000000000001</v>
      </c>
      <c r="AN460" s="311">
        <v>0.2576</v>
      </c>
      <c r="AO460" s="311">
        <v>0.30309999999999998</v>
      </c>
      <c r="AP460" s="311">
        <v>0.33310000000000001</v>
      </c>
      <c r="AQ460" s="311">
        <v>0.23669999999999999</v>
      </c>
      <c r="AR460" s="311">
        <v>0.27300000000000002</v>
      </c>
      <c r="AS460" s="311">
        <v>0</v>
      </c>
      <c r="AT460" s="311">
        <v>0.28460000000000002</v>
      </c>
      <c r="AU460" s="311">
        <v>0.2928</v>
      </c>
      <c r="AV460" s="311">
        <v>0.28939999999999999</v>
      </c>
      <c r="AW460" s="311">
        <v>0.27660000000000001</v>
      </c>
      <c r="AX460" s="311">
        <v>0.2016</v>
      </c>
      <c r="AY460" s="311">
        <v>0.30020000000000002</v>
      </c>
      <c r="AZ460" s="311">
        <v>0.3301</v>
      </c>
      <c r="BA460" s="311">
        <v>0.2041</v>
      </c>
      <c r="BB460" s="311">
        <v>0</v>
      </c>
      <c r="BC460" s="311">
        <v>0.28810000000000002</v>
      </c>
      <c r="BD460" s="311">
        <v>0.31859999999999999</v>
      </c>
      <c r="BE460" s="311">
        <v>0.35970000000000002</v>
      </c>
      <c r="BF460" s="311">
        <v>0.32100000000000001</v>
      </c>
      <c r="BG460" s="311">
        <v>0.34010000000000001</v>
      </c>
      <c r="BH460" s="311">
        <v>0.30640000000000001</v>
      </c>
      <c r="BI460" s="311">
        <v>0.31259999999999999</v>
      </c>
      <c r="BJ460" s="311">
        <v>0.29899999999999999</v>
      </c>
      <c r="BK460" s="311">
        <v>0.33119999999999999</v>
      </c>
    </row>
    <row r="461" spans="1:63" x14ac:dyDescent="0.25">
      <c r="A461" s="306">
        <v>311513</v>
      </c>
      <c r="B461" s="311" t="s">
        <v>40</v>
      </c>
      <c r="C461" s="311">
        <v>0.50590000000000002</v>
      </c>
      <c r="D461" s="311">
        <v>0</v>
      </c>
      <c r="E461" s="311">
        <v>0.21640000000000001</v>
      </c>
      <c r="F461" s="311">
        <v>0.22650000000000001</v>
      </c>
      <c r="G461" s="311">
        <v>0</v>
      </c>
      <c r="H461" s="311">
        <v>0.41320000000000001</v>
      </c>
      <c r="I461" s="311">
        <v>0.38400000000000001</v>
      </c>
      <c r="J461" s="311">
        <v>0.20760000000000001</v>
      </c>
      <c r="K461" s="311">
        <v>0</v>
      </c>
      <c r="L461" s="311">
        <v>0</v>
      </c>
      <c r="M461" s="311">
        <v>0.22090000000000001</v>
      </c>
      <c r="N461" s="311">
        <v>0.26019999999999999</v>
      </c>
      <c r="O461" s="311">
        <v>0.18729999999999999</v>
      </c>
      <c r="P461" s="311">
        <v>0.34760000000000002</v>
      </c>
      <c r="Q461" s="311">
        <v>0.37190000000000001</v>
      </c>
      <c r="R461" s="311">
        <v>0.29449999999999998</v>
      </c>
      <c r="S461" s="311">
        <v>0.35039999999999999</v>
      </c>
      <c r="T461" s="311">
        <v>0</v>
      </c>
      <c r="U461" s="311">
        <v>0.30659999999999998</v>
      </c>
      <c r="V461" s="311">
        <v>0.22750000000000001</v>
      </c>
      <c r="W461" s="311">
        <v>0.2046</v>
      </c>
      <c r="X461" s="311">
        <v>0.20599999999999999</v>
      </c>
      <c r="Y461" s="311">
        <v>0.29980000000000001</v>
      </c>
      <c r="Z461" s="311">
        <v>0.36199999999999999</v>
      </c>
      <c r="AA461" s="311">
        <v>0.42109999999999997</v>
      </c>
      <c r="AB461" s="311">
        <v>0.32490000000000002</v>
      </c>
      <c r="AC461" s="311">
        <v>0</v>
      </c>
      <c r="AD461" s="311">
        <v>0</v>
      </c>
      <c r="AE461" s="311">
        <v>0.25469999999999998</v>
      </c>
      <c r="AF461" s="311">
        <v>0.2465</v>
      </c>
      <c r="AG461" s="311">
        <v>0.2762</v>
      </c>
      <c r="AH461" s="311">
        <v>0</v>
      </c>
      <c r="AI461" s="311">
        <v>0.22320000000000001</v>
      </c>
      <c r="AJ461" s="311">
        <v>0.33760000000000001</v>
      </c>
      <c r="AK461" s="311">
        <v>0</v>
      </c>
      <c r="AL461" s="311">
        <v>0.28029999999999999</v>
      </c>
      <c r="AM461" s="311">
        <v>0.36230000000000001</v>
      </c>
      <c r="AN461" s="311">
        <v>0.254</v>
      </c>
      <c r="AO461" s="311">
        <v>0.374</v>
      </c>
      <c r="AP461" s="311">
        <v>0.40450000000000003</v>
      </c>
      <c r="AQ461" s="311">
        <v>0.193</v>
      </c>
      <c r="AR461" s="311">
        <v>0.2162</v>
      </c>
      <c r="AS461" s="311">
        <v>0.31919999999999998</v>
      </c>
      <c r="AT461" s="311">
        <v>0.25090000000000001</v>
      </c>
      <c r="AU461" s="311">
        <v>0.28939999999999999</v>
      </c>
      <c r="AV461" s="311">
        <v>0.4244</v>
      </c>
      <c r="AW461" s="311">
        <v>0</v>
      </c>
      <c r="AX461" s="311">
        <v>0.33400000000000002</v>
      </c>
      <c r="AY461" s="311">
        <v>0.32640000000000002</v>
      </c>
      <c r="AZ461" s="311">
        <v>0.4173</v>
      </c>
      <c r="BA461" s="311">
        <v>0</v>
      </c>
      <c r="BB461" s="311">
        <v>0</v>
      </c>
      <c r="BC461" s="311">
        <v>0.26340000000000002</v>
      </c>
      <c r="BD461" s="311">
        <v>0.34320000000000001</v>
      </c>
      <c r="BE461" s="311">
        <v>0.45240000000000002</v>
      </c>
      <c r="BF461" s="311">
        <v>0.43340000000000001</v>
      </c>
      <c r="BG461" s="311">
        <v>0.2571</v>
      </c>
      <c r="BH461" s="311">
        <v>0.26960000000000001</v>
      </c>
      <c r="BI461" s="311">
        <v>0.28889999999999999</v>
      </c>
      <c r="BJ461" s="311">
        <v>0.41470000000000001</v>
      </c>
      <c r="BK461" s="311">
        <v>0.4158</v>
      </c>
    </row>
    <row r="462" spans="1:63" x14ac:dyDescent="0.25">
      <c r="A462" s="306">
        <v>311514</v>
      </c>
      <c r="B462" s="311" t="s">
        <v>41</v>
      </c>
      <c r="C462" s="311">
        <v>0.4733</v>
      </c>
      <c r="D462" s="311">
        <v>0</v>
      </c>
      <c r="E462" s="311">
        <v>0</v>
      </c>
      <c r="F462" s="311">
        <v>0.24909999999999999</v>
      </c>
      <c r="G462" s="311">
        <v>0.30609999999999998</v>
      </c>
      <c r="H462" s="311">
        <v>0.36409999999999998</v>
      </c>
      <c r="I462" s="311">
        <v>0.3271</v>
      </c>
      <c r="J462" s="311">
        <v>0</v>
      </c>
      <c r="K462" s="311">
        <v>0</v>
      </c>
      <c r="L462" s="311">
        <v>0</v>
      </c>
      <c r="M462" s="311">
        <v>0.23419999999999999</v>
      </c>
      <c r="N462" s="311">
        <v>0.28050000000000003</v>
      </c>
      <c r="O462" s="311">
        <v>0</v>
      </c>
      <c r="P462" s="311">
        <v>0.31490000000000001</v>
      </c>
      <c r="Q462" s="311">
        <v>0.31369999999999998</v>
      </c>
      <c r="R462" s="311">
        <v>0.31369999999999998</v>
      </c>
      <c r="S462" s="311">
        <v>0.33960000000000001</v>
      </c>
      <c r="T462" s="311">
        <v>0.29339999999999999</v>
      </c>
      <c r="U462" s="311">
        <v>0.30130000000000001</v>
      </c>
      <c r="V462" s="311">
        <v>0.25190000000000001</v>
      </c>
      <c r="W462" s="311">
        <v>0.23089999999999999</v>
      </c>
      <c r="X462" s="311">
        <v>0.21840000000000001</v>
      </c>
      <c r="Y462" s="311">
        <v>0</v>
      </c>
      <c r="Z462" s="311">
        <v>0.35899999999999999</v>
      </c>
      <c r="AA462" s="311">
        <v>0.38429999999999997</v>
      </c>
      <c r="AB462" s="311">
        <v>0.3135</v>
      </c>
      <c r="AC462" s="311">
        <v>0</v>
      </c>
      <c r="AD462" s="311">
        <v>0</v>
      </c>
      <c r="AE462" s="311">
        <v>0</v>
      </c>
      <c r="AF462" s="311">
        <v>0</v>
      </c>
      <c r="AG462" s="311">
        <v>0.25929999999999997</v>
      </c>
      <c r="AH462" s="311">
        <v>0</v>
      </c>
      <c r="AI462" s="311">
        <v>0.24410000000000001</v>
      </c>
      <c r="AJ462" s="311">
        <v>0.2727</v>
      </c>
      <c r="AK462" s="311">
        <v>0</v>
      </c>
      <c r="AL462" s="311">
        <v>0.2601</v>
      </c>
      <c r="AM462" s="311">
        <v>0.36849999999999999</v>
      </c>
      <c r="AN462" s="311">
        <v>0.26419999999999999</v>
      </c>
      <c r="AO462" s="311">
        <v>0.3226</v>
      </c>
      <c r="AP462" s="311">
        <v>0.35970000000000002</v>
      </c>
      <c r="AQ462" s="311">
        <v>0</v>
      </c>
      <c r="AR462" s="311">
        <v>0</v>
      </c>
      <c r="AS462" s="311">
        <v>0.26669999999999999</v>
      </c>
      <c r="AT462" s="311">
        <v>0.28199999999999997</v>
      </c>
      <c r="AU462" s="311">
        <v>0.30780000000000002</v>
      </c>
      <c r="AV462" s="311">
        <v>0.37459999999999999</v>
      </c>
      <c r="AW462" s="311">
        <v>0.27679999999999999</v>
      </c>
      <c r="AX462" s="311">
        <v>0.27889999999999998</v>
      </c>
      <c r="AY462" s="311">
        <v>0.3362</v>
      </c>
      <c r="AZ462" s="311">
        <v>0.37490000000000001</v>
      </c>
      <c r="BA462" s="311">
        <v>0</v>
      </c>
      <c r="BB462" s="311">
        <v>0</v>
      </c>
      <c r="BC462" s="311">
        <v>0.28179999999999999</v>
      </c>
      <c r="BD462" s="311">
        <v>0.32719999999999999</v>
      </c>
      <c r="BE462" s="311">
        <v>0.42109999999999997</v>
      </c>
      <c r="BF462" s="311">
        <v>0.39460000000000001</v>
      </c>
      <c r="BG462" s="311">
        <v>0.2868</v>
      </c>
      <c r="BH462" s="311">
        <v>0.30230000000000001</v>
      </c>
      <c r="BI462" s="311">
        <v>0.31169999999999998</v>
      </c>
      <c r="BJ462" s="311">
        <v>0.35549999999999998</v>
      </c>
      <c r="BK462" s="311">
        <v>0.36599999999999999</v>
      </c>
    </row>
    <row r="463" spans="1:63" x14ac:dyDescent="0.25">
      <c r="A463" s="306" t="s">
        <v>706</v>
      </c>
      <c r="B463" s="311" t="s">
        <v>39</v>
      </c>
      <c r="C463" s="311">
        <v>0.4622</v>
      </c>
      <c r="D463" s="311">
        <v>0</v>
      </c>
      <c r="E463" s="311">
        <v>0.23860000000000001</v>
      </c>
      <c r="F463" s="311">
        <v>0.24010000000000001</v>
      </c>
      <c r="G463" s="311">
        <v>0.30680000000000002</v>
      </c>
      <c r="H463" s="311">
        <v>0.37190000000000001</v>
      </c>
      <c r="I463" s="311">
        <v>0.34770000000000001</v>
      </c>
      <c r="J463" s="311">
        <v>0.2218</v>
      </c>
      <c r="K463" s="311">
        <v>0</v>
      </c>
      <c r="L463" s="311">
        <v>0.16900000000000001</v>
      </c>
      <c r="M463" s="311">
        <v>0.2369</v>
      </c>
      <c r="N463" s="311">
        <v>0.26939999999999997</v>
      </c>
      <c r="O463" s="311">
        <v>0.20799999999999999</v>
      </c>
      <c r="P463" s="311">
        <v>0.32340000000000002</v>
      </c>
      <c r="Q463" s="311">
        <v>0.3291</v>
      </c>
      <c r="R463" s="311">
        <v>0.29139999999999999</v>
      </c>
      <c r="S463" s="311">
        <v>0.35260000000000002</v>
      </c>
      <c r="T463" s="311">
        <v>0.31269999999999998</v>
      </c>
      <c r="U463" s="311">
        <v>0.30020000000000002</v>
      </c>
      <c r="V463" s="311">
        <v>0.25</v>
      </c>
      <c r="W463" s="311">
        <v>0.2336</v>
      </c>
      <c r="X463" s="311">
        <v>0.22</v>
      </c>
      <c r="Y463" s="311">
        <v>0.32769999999999999</v>
      </c>
      <c r="Z463" s="311">
        <v>0.36420000000000002</v>
      </c>
      <c r="AA463" s="311">
        <v>0.37819999999999998</v>
      </c>
      <c r="AB463" s="311">
        <v>0.29039999999999999</v>
      </c>
      <c r="AC463" s="311">
        <v>0.23469999999999999</v>
      </c>
      <c r="AD463" s="311">
        <v>0.24640000000000001</v>
      </c>
      <c r="AE463" s="311">
        <v>0.27310000000000001</v>
      </c>
      <c r="AF463" s="311">
        <v>0.25969999999999999</v>
      </c>
      <c r="AG463" s="311">
        <v>0.27479999999999999</v>
      </c>
      <c r="AH463" s="311">
        <v>0.24310000000000001</v>
      </c>
      <c r="AI463" s="311">
        <v>0.22650000000000001</v>
      </c>
      <c r="AJ463" s="311">
        <v>0.29389999999999999</v>
      </c>
      <c r="AK463" s="311">
        <v>0.2407</v>
      </c>
      <c r="AL463" s="311">
        <v>0.27150000000000002</v>
      </c>
      <c r="AM463" s="311">
        <v>0.36</v>
      </c>
      <c r="AN463" s="311">
        <v>0.26879999999999998</v>
      </c>
      <c r="AO463" s="311">
        <v>0.3392</v>
      </c>
      <c r="AP463" s="311">
        <v>0.37369999999999998</v>
      </c>
      <c r="AQ463" s="311">
        <v>0.2046</v>
      </c>
      <c r="AR463" s="311">
        <v>0.2351</v>
      </c>
      <c r="AS463" s="311">
        <v>0.27829999999999999</v>
      </c>
      <c r="AT463" s="311">
        <v>0.26390000000000002</v>
      </c>
      <c r="AU463" s="311">
        <v>0.29970000000000002</v>
      </c>
      <c r="AV463" s="311">
        <v>0.37880000000000003</v>
      </c>
      <c r="AW463" s="311">
        <v>0.26629999999999998</v>
      </c>
      <c r="AX463" s="311">
        <v>0.29330000000000001</v>
      </c>
      <c r="AY463" s="311">
        <v>0.35010000000000002</v>
      </c>
      <c r="AZ463" s="311">
        <v>0.37380000000000002</v>
      </c>
      <c r="BA463" s="311">
        <v>0.1968</v>
      </c>
      <c r="BB463" s="311">
        <v>0.18820000000000001</v>
      </c>
      <c r="BC463" s="311">
        <v>0.28639999999999999</v>
      </c>
      <c r="BD463" s="311">
        <v>0.3342</v>
      </c>
      <c r="BE463" s="311">
        <v>0.4093</v>
      </c>
      <c r="BF463" s="311">
        <v>0.38729999999999998</v>
      </c>
      <c r="BG463" s="311">
        <v>0.2792</v>
      </c>
      <c r="BH463" s="311">
        <v>0.28439999999999999</v>
      </c>
      <c r="BI463" s="311">
        <v>0.30299999999999999</v>
      </c>
      <c r="BJ463" s="311">
        <v>0.36780000000000002</v>
      </c>
      <c r="BK463" s="311">
        <v>0.37530000000000002</v>
      </c>
    </row>
    <row r="464" spans="1:63" x14ac:dyDescent="0.25">
      <c r="A464" s="306">
        <v>311520</v>
      </c>
      <c r="B464" s="311" t="s">
        <v>42</v>
      </c>
      <c r="C464" s="311">
        <v>0.46350000000000002</v>
      </c>
      <c r="D464" s="311">
        <v>0.16139999999999999</v>
      </c>
      <c r="E464" s="311">
        <v>0.28620000000000001</v>
      </c>
      <c r="F464" s="311">
        <v>0.28620000000000001</v>
      </c>
      <c r="G464" s="311">
        <v>0.25790000000000002</v>
      </c>
      <c r="H464" s="311">
        <v>0.35270000000000001</v>
      </c>
      <c r="I464" s="311">
        <v>0.31840000000000002</v>
      </c>
      <c r="J464" s="311">
        <v>0.26569999999999999</v>
      </c>
      <c r="K464" s="311">
        <v>0</v>
      </c>
      <c r="L464" s="311">
        <v>0</v>
      </c>
      <c r="M464" s="311">
        <v>0.26529999999999998</v>
      </c>
      <c r="N464" s="311">
        <v>0.31469999999999998</v>
      </c>
      <c r="O464" s="311">
        <v>0.2462</v>
      </c>
      <c r="P464" s="311">
        <v>0.28139999999999998</v>
      </c>
      <c r="Q464" s="311">
        <v>0</v>
      </c>
      <c r="R464" s="311">
        <v>0.33839999999999998</v>
      </c>
      <c r="S464" s="311">
        <v>0.32550000000000001</v>
      </c>
      <c r="T464" s="311">
        <v>0</v>
      </c>
      <c r="U464" s="311">
        <v>0.308</v>
      </c>
      <c r="V464" s="311">
        <v>0</v>
      </c>
      <c r="W464" s="311">
        <v>0.29389999999999999</v>
      </c>
      <c r="X464" s="311">
        <v>0.253</v>
      </c>
      <c r="Y464" s="311">
        <v>0.2873</v>
      </c>
      <c r="Z464" s="311">
        <v>0.3488</v>
      </c>
      <c r="AA464" s="311">
        <v>0.35420000000000001</v>
      </c>
      <c r="AB464" s="311">
        <v>0.31850000000000001</v>
      </c>
      <c r="AC464" s="311">
        <v>0.2492</v>
      </c>
      <c r="AD464" s="311">
        <v>0.21479999999999999</v>
      </c>
      <c r="AE464" s="311">
        <v>0.29809999999999998</v>
      </c>
      <c r="AF464" s="311">
        <v>0</v>
      </c>
      <c r="AG464" s="311">
        <v>0.25159999999999999</v>
      </c>
      <c r="AH464" s="311">
        <v>0.25330000000000003</v>
      </c>
      <c r="AI464" s="311">
        <v>0.28039999999999998</v>
      </c>
      <c r="AJ464" s="311">
        <v>0</v>
      </c>
      <c r="AK464" s="311">
        <v>0.2485</v>
      </c>
      <c r="AL464" s="311">
        <v>0.26250000000000001</v>
      </c>
      <c r="AM464" s="311">
        <v>0.37040000000000001</v>
      </c>
      <c r="AN464" s="311">
        <v>0.25879999999999997</v>
      </c>
      <c r="AO464" s="311">
        <v>0.31640000000000001</v>
      </c>
      <c r="AP464" s="311">
        <v>0.3604</v>
      </c>
      <c r="AQ464" s="311">
        <v>0.23930000000000001</v>
      </c>
      <c r="AR464" s="311">
        <v>0.26939999999999997</v>
      </c>
      <c r="AS464" s="311">
        <v>0.222</v>
      </c>
      <c r="AT464" s="311">
        <v>0.30359999999999998</v>
      </c>
      <c r="AU464" s="311">
        <v>0.3105</v>
      </c>
      <c r="AV464" s="311">
        <v>0.35020000000000001</v>
      </c>
      <c r="AW464" s="311">
        <v>0.29220000000000002</v>
      </c>
      <c r="AX464" s="311">
        <v>0.2394</v>
      </c>
      <c r="AY464" s="311">
        <v>0.30819999999999997</v>
      </c>
      <c r="AZ464" s="311">
        <v>0.35720000000000002</v>
      </c>
      <c r="BA464" s="311">
        <v>0.20050000000000001</v>
      </c>
      <c r="BB464" s="311">
        <v>0</v>
      </c>
      <c r="BC464" s="311">
        <v>0.32600000000000001</v>
      </c>
      <c r="BD464" s="311">
        <v>0.34300000000000003</v>
      </c>
      <c r="BE464" s="311">
        <v>0.40150000000000002</v>
      </c>
      <c r="BF464" s="311">
        <v>0.3599</v>
      </c>
      <c r="BG464" s="311">
        <v>0.33539999999999998</v>
      </c>
      <c r="BH464" s="311">
        <v>0.32750000000000001</v>
      </c>
      <c r="BI464" s="311">
        <v>0.32400000000000001</v>
      </c>
      <c r="BJ464" s="311">
        <v>0.31490000000000001</v>
      </c>
      <c r="BK464" s="311">
        <v>0.35499999999999998</v>
      </c>
    </row>
    <row r="465" spans="1:63" x14ac:dyDescent="0.25">
      <c r="A465" s="306">
        <v>311615</v>
      </c>
      <c r="B465" s="311" t="s">
        <v>44</v>
      </c>
      <c r="C465" s="311">
        <v>0.5726</v>
      </c>
      <c r="D465" s="311">
        <v>0.19070000000000001</v>
      </c>
      <c r="E465" s="311">
        <v>0.41</v>
      </c>
      <c r="F465" s="311">
        <v>0.45100000000000001</v>
      </c>
      <c r="G465" s="311">
        <v>0.25330000000000003</v>
      </c>
      <c r="H465" s="311">
        <v>0.31669999999999998</v>
      </c>
      <c r="I465" s="311">
        <v>0.32419999999999999</v>
      </c>
      <c r="J465" s="311">
        <v>0.26119999999999999</v>
      </c>
      <c r="K465" s="311">
        <v>0</v>
      </c>
      <c r="L465" s="311">
        <v>0.31190000000000001</v>
      </c>
      <c r="M465" s="311">
        <v>0.26919999999999999</v>
      </c>
      <c r="N465" s="311">
        <v>0.46589999999999998</v>
      </c>
      <c r="O465" s="311">
        <v>0.2457</v>
      </c>
      <c r="P465" s="311">
        <v>0.39550000000000002</v>
      </c>
      <c r="Q465" s="311">
        <v>0.25069999999999998</v>
      </c>
      <c r="R465" s="311">
        <v>0.31569999999999998</v>
      </c>
      <c r="S465" s="311">
        <v>0.43009999999999998</v>
      </c>
      <c r="T465" s="311">
        <v>0.25640000000000002</v>
      </c>
      <c r="U465" s="311">
        <v>0.44059999999999999</v>
      </c>
      <c r="V465" s="311">
        <v>0.41539999999999999</v>
      </c>
      <c r="W465" s="311">
        <v>0.26910000000000001</v>
      </c>
      <c r="X465" s="311">
        <v>0.3241</v>
      </c>
      <c r="Y465" s="311">
        <v>0.35010000000000002</v>
      </c>
      <c r="Z465" s="311">
        <v>0.31309999999999999</v>
      </c>
      <c r="AA465" s="311">
        <v>0.48</v>
      </c>
      <c r="AB465" s="311">
        <v>0.4622</v>
      </c>
      <c r="AC465" s="311">
        <v>0.41239999999999999</v>
      </c>
      <c r="AD465" s="311">
        <v>0.21690000000000001</v>
      </c>
      <c r="AE465" s="311">
        <v>0.45269999999999999</v>
      </c>
      <c r="AF465" s="311">
        <v>0</v>
      </c>
      <c r="AG465" s="311">
        <v>0.31259999999999999</v>
      </c>
      <c r="AH465" s="311">
        <v>0</v>
      </c>
      <c r="AI465" s="311">
        <v>0.26779999999999998</v>
      </c>
      <c r="AJ465" s="311">
        <v>0.22109999999999999</v>
      </c>
      <c r="AK465" s="311">
        <v>0</v>
      </c>
      <c r="AL465" s="311">
        <v>0.2457</v>
      </c>
      <c r="AM465" s="311">
        <v>0.39879999999999999</v>
      </c>
      <c r="AN465" s="311">
        <v>0.4279</v>
      </c>
      <c r="AO465" s="311">
        <v>0.2898</v>
      </c>
      <c r="AP465" s="311">
        <v>0.38669999999999999</v>
      </c>
      <c r="AQ465" s="311">
        <v>0.2515</v>
      </c>
      <c r="AR465" s="311">
        <v>0.37959999999999999</v>
      </c>
      <c r="AS465" s="311">
        <v>0.32979999999999998</v>
      </c>
      <c r="AT465" s="311">
        <v>0.37069999999999997</v>
      </c>
      <c r="AU465" s="311">
        <v>0.38450000000000001</v>
      </c>
      <c r="AV465" s="311">
        <v>0.35649999999999998</v>
      </c>
      <c r="AW465" s="311">
        <v>0.3947</v>
      </c>
      <c r="AX465" s="311">
        <v>0</v>
      </c>
      <c r="AY465" s="311">
        <v>0.29470000000000002</v>
      </c>
      <c r="AZ465" s="311">
        <v>0.37780000000000002</v>
      </c>
      <c r="BA465" s="311">
        <v>0.31909999999999999</v>
      </c>
      <c r="BB465" s="311">
        <v>0</v>
      </c>
      <c r="BC465" s="311">
        <v>0.29330000000000001</v>
      </c>
      <c r="BD465" s="311">
        <v>0.31409999999999999</v>
      </c>
      <c r="BE465" s="311">
        <v>0.38750000000000001</v>
      </c>
      <c r="BF465" s="311">
        <v>0.48620000000000002</v>
      </c>
      <c r="BG465" s="311">
        <v>0.45200000000000001</v>
      </c>
      <c r="BH465" s="311">
        <v>0.45900000000000002</v>
      </c>
      <c r="BI465" s="311">
        <v>0.47839999999999999</v>
      </c>
      <c r="BJ465" s="311">
        <v>0.29409999999999997</v>
      </c>
      <c r="BK465" s="311">
        <v>0.31569999999999998</v>
      </c>
    </row>
    <row r="466" spans="1:63" x14ac:dyDescent="0.25">
      <c r="A466" s="306" t="s">
        <v>707</v>
      </c>
      <c r="B466" s="311" t="s">
        <v>43</v>
      </c>
      <c r="C466" s="311">
        <v>0.49740000000000001</v>
      </c>
      <c r="D466" s="311">
        <v>0.15570000000000001</v>
      </c>
      <c r="E466" s="311">
        <v>0.27639999999999998</v>
      </c>
      <c r="F466" s="311">
        <v>0.39910000000000001</v>
      </c>
      <c r="G466" s="311">
        <v>0.25919999999999999</v>
      </c>
      <c r="H466" s="311">
        <v>0.2482</v>
      </c>
      <c r="I466" s="311">
        <v>0.4264</v>
      </c>
      <c r="J466" s="311">
        <v>0.18279999999999999</v>
      </c>
      <c r="K466" s="311">
        <v>0</v>
      </c>
      <c r="L466" s="311">
        <v>0.1525</v>
      </c>
      <c r="M466" s="311">
        <v>0.2087</v>
      </c>
      <c r="N466" s="311">
        <v>0.26419999999999999</v>
      </c>
      <c r="O466" s="311">
        <v>0.2056</v>
      </c>
      <c r="P466" s="311">
        <v>0.3659</v>
      </c>
      <c r="Q466" s="311">
        <v>0.38109999999999999</v>
      </c>
      <c r="R466" s="311">
        <v>0.31540000000000001</v>
      </c>
      <c r="S466" s="311">
        <v>0.30199999999999999</v>
      </c>
      <c r="T466" s="311">
        <v>0.38</v>
      </c>
      <c r="U466" s="311">
        <v>0.40379999999999999</v>
      </c>
      <c r="V466" s="311">
        <v>0.2505</v>
      </c>
      <c r="W466" s="311">
        <v>0.20100000000000001</v>
      </c>
      <c r="X466" s="311">
        <v>0.18029999999999999</v>
      </c>
      <c r="Y466" s="311">
        <v>0.2208</v>
      </c>
      <c r="Z466" s="311">
        <v>0.27200000000000002</v>
      </c>
      <c r="AA466" s="311">
        <v>0.43109999999999998</v>
      </c>
      <c r="AB466" s="311">
        <v>0.41110000000000002</v>
      </c>
      <c r="AC466" s="311">
        <v>0.30740000000000001</v>
      </c>
      <c r="AD466" s="311">
        <v>0.33850000000000002</v>
      </c>
      <c r="AE466" s="311">
        <v>0.31440000000000001</v>
      </c>
      <c r="AF466" s="311">
        <v>0.31309999999999999</v>
      </c>
      <c r="AG466" s="311">
        <v>0.36759999999999998</v>
      </c>
      <c r="AH466" s="311">
        <v>0.18060000000000001</v>
      </c>
      <c r="AI466" s="311">
        <v>0.20369999999999999</v>
      </c>
      <c r="AJ466" s="311">
        <v>0.29239999999999999</v>
      </c>
      <c r="AK466" s="311">
        <v>0.21249999999999999</v>
      </c>
      <c r="AL466" s="311">
        <v>0.183</v>
      </c>
      <c r="AM466" s="311">
        <v>0.28710000000000002</v>
      </c>
      <c r="AN466" s="311">
        <v>0.40550000000000003</v>
      </c>
      <c r="AO466" s="311">
        <v>0.3246</v>
      </c>
      <c r="AP466" s="311">
        <v>0.28270000000000001</v>
      </c>
      <c r="AQ466" s="311">
        <v>0.18709999999999999</v>
      </c>
      <c r="AR466" s="311">
        <v>0.23139999999999999</v>
      </c>
      <c r="AS466" s="311">
        <v>0.33289999999999997</v>
      </c>
      <c r="AT466" s="311">
        <v>0.2727</v>
      </c>
      <c r="AU466" s="311">
        <v>0.41320000000000001</v>
      </c>
      <c r="AV466" s="311">
        <v>0.36809999999999998</v>
      </c>
      <c r="AW466" s="311">
        <v>0.2475</v>
      </c>
      <c r="AX466" s="311">
        <v>0.2049</v>
      </c>
      <c r="AY466" s="311">
        <v>0.27089999999999997</v>
      </c>
      <c r="AZ466" s="311">
        <v>0.36649999999999999</v>
      </c>
      <c r="BA466" s="311">
        <v>0.21240000000000001</v>
      </c>
      <c r="BB466" s="311">
        <v>0.2918</v>
      </c>
      <c r="BC466" s="311">
        <v>0.21249999999999999</v>
      </c>
      <c r="BD466" s="311">
        <v>0.23330000000000001</v>
      </c>
      <c r="BE466" s="311">
        <v>0.33129999999999998</v>
      </c>
      <c r="BF466" s="311">
        <v>0.43580000000000002</v>
      </c>
      <c r="BG466" s="311">
        <v>0.28539999999999999</v>
      </c>
      <c r="BH466" s="311">
        <v>0.3488</v>
      </c>
      <c r="BI466" s="311">
        <v>0.43569999999999998</v>
      </c>
      <c r="BJ466" s="311">
        <v>0.39589999999999997</v>
      </c>
      <c r="BK466" s="311">
        <v>0.25890000000000002</v>
      </c>
    </row>
    <row r="467" spans="1:63" x14ac:dyDescent="0.25">
      <c r="A467" s="306">
        <v>311700</v>
      </c>
      <c r="B467" s="311" t="s">
        <v>45</v>
      </c>
      <c r="C467" s="311">
        <v>0.3584</v>
      </c>
      <c r="D467" s="311">
        <v>0.21299999999999999</v>
      </c>
      <c r="E467" s="311">
        <v>0.26279999999999998</v>
      </c>
      <c r="F467" s="311">
        <v>0.25619999999999998</v>
      </c>
      <c r="G467" s="311">
        <v>0</v>
      </c>
      <c r="H467" s="311">
        <v>0.2868</v>
      </c>
      <c r="I467" s="311">
        <v>0.2923</v>
      </c>
      <c r="J467" s="311">
        <v>0.25269999999999998</v>
      </c>
      <c r="K467" s="311">
        <v>0</v>
      </c>
      <c r="L467" s="311">
        <v>0.1991</v>
      </c>
      <c r="M467" s="311">
        <v>0.27379999999999999</v>
      </c>
      <c r="N467" s="311">
        <v>0.29060000000000002</v>
      </c>
      <c r="O467" s="311">
        <v>0.25590000000000002</v>
      </c>
      <c r="P467" s="311">
        <v>0.2208</v>
      </c>
      <c r="Q467" s="311">
        <v>0.25169999999999998</v>
      </c>
      <c r="R467" s="311">
        <v>0.2979</v>
      </c>
      <c r="S467" s="311">
        <v>0.2545</v>
      </c>
      <c r="T467" s="311">
        <v>0</v>
      </c>
      <c r="U467" s="311">
        <v>0.2475</v>
      </c>
      <c r="V467" s="311">
        <v>0.28289999999999998</v>
      </c>
      <c r="W467" s="311">
        <v>0.28649999999999998</v>
      </c>
      <c r="X467" s="311">
        <v>0.2422</v>
      </c>
      <c r="Y467" s="311">
        <v>0.27829999999999999</v>
      </c>
      <c r="Z467" s="311">
        <v>0.2843</v>
      </c>
      <c r="AA467" s="311">
        <v>0.28420000000000001</v>
      </c>
      <c r="AB467" s="311">
        <v>0</v>
      </c>
      <c r="AC467" s="311">
        <v>0.25119999999999998</v>
      </c>
      <c r="AD467" s="311">
        <v>0.22320000000000001</v>
      </c>
      <c r="AE467" s="311">
        <v>0.27310000000000001</v>
      </c>
      <c r="AF467" s="311">
        <v>0.2031</v>
      </c>
      <c r="AG467" s="311">
        <v>0.22969999999999999</v>
      </c>
      <c r="AH467" s="311">
        <v>0.24660000000000001</v>
      </c>
      <c r="AI467" s="311">
        <v>0.26779999999999998</v>
      </c>
      <c r="AJ467" s="311">
        <v>0</v>
      </c>
      <c r="AK467" s="311">
        <v>0.26029999999999998</v>
      </c>
      <c r="AL467" s="311">
        <v>0.23760000000000001</v>
      </c>
      <c r="AM467" s="311">
        <v>0.28189999999999998</v>
      </c>
      <c r="AN467" s="311">
        <v>0</v>
      </c>
      <c r="AO467" s="311">
        <v>0.28449999999999998</v>
      </c>
      <c r="AP467" s="311">
        <v>0.2838</v>
      </c>
      <c r="AQ467" s="311">
        <v>0.25919999999999999</v>
      </c>
      <c r="AR467" s="311">
        <v>0.24660000000000001</v>
      </c>
      <c r="AS467" s="311">
        <v>0</v>
      </c>
      <c r="AT467" s="311">
        <v>0</v>
      </c>
      <c r="AU467" s="311">
        <v>0.28899999999999998</v>
      </c>
      <c r="AV467" s="311">
        <v>0</v>
      </c>
      <c r="AW467" s="311">
        <v>0.27229999999999999</v>
      </c>
      <c r="AX467" s="311">
        <v>0</v>
      </c>
      <c r="AY467" s="311">
        <v>0.2878</v>
      </c>
      <c r="AZ467" s="311">
        <v>0.27160000000000001</v>
      </c>
      <c r="BA467" s="311">
        <v>0</v>
      </c>
      <c r="BB467" s="311">
        <v>0</v>
      </c>
      <c r="BC467" s="311">
        <v>0.30470000000000003</v>
      </c>
      <c r="BD467" s="311">
        <v>0.2873</v>
      </c>
      <c r="BE467" s="311">
        <v>0.30020000000000002</v>
      </c>
      <c r="BF467" s="311">
        <v>0.2782</v>
      </c>
      <c r="BG467" s="311">
        <v>0.30630000000000002</v>
      </c>
      <c r="BH467" s="311">
        <v>0.27950000000000003</v>
      </c>
      <c r="BI467" s="311">
        <v>0.29859999999999998</v>
      </c>
      <c r="BJ467" s="311">
        <v>0.28410000000000002</v>
      </c>
      <c r="BK467" s="311">
        <v>0.30830000000000002</v>
      </c>
    </row>
    <row r="468" spans="1:63" x14ac:dyDescent="0.25">
      <c r="A468" s="306">
        <v>311810</v>
      </c>
      <c r="B468" s="311" t="s">
        <v>46</v>
      </c>
      <c r="C468" s="311">
        <v>0.58689999999999998</v>
      </c>
      <c r="D468" s="311">
        <v>0.31480000000000002</v>
      </c>
      <c r="E468" s="311">
        <v>0.41110000000000002</v>
      </c>
      <c r="F468" s="311">
        <v>0.43730000000000002</v>
      </c>
      <c r="G468" s="311">
        <v>0.42509999999999998</v>
      </c>
      <c r="H468" s="311">
        <v>0.48609999999999998</v>
      </c>
      <c r="I468" s="311">
        <v>0.48970000000000002</v>
      </c>
      <c r="J468" s="311">
        <v>0.40989999999999999</v>
      </c>
      <c r="K468" s="311">
        <v>6.6600000000000006E-2</v>
      </c>
      <c r="L468" s="311">
        <v>0.3271</v>
      </c>
      <c r="M468" s="311">
        <v>0.4471</v>
      </c>
      <c r="N468" s="311">
        <v>0.49299999999999999</v>
      </c>
      <c r="O468" s="311">
        <v>0.41649999999999998</v>
      </c>
      <c r="P468" s="311">
        <v>0.3785</v>
      </c>
      <c r="Q468" s="311">
        <v>0.41489999999999999</v>
      </c>
      <c r="R468" s="311">
        <v>0.52070000000000005</v>
      </c>
      <c r="S468" s="311">
        <v>0.44600000000000001</v>
      </c>
      <c r="T468" s="311">
        <v>0.40550000000000003</v>
      </c>
      <c r="U468" s="311">
        <v>0.41760000000000003</v>
      </c>
      <c r="V468" s="311">
        <v>0.44340000000000002</v>
      </c>
      <c r="W468" s="311">
        <v>0.44490000000000002</v>
      </c>
      <c r="X468" s="311">
        <v>0.39029999999999998</v>
      </c>
      <c r="Y468" s="311">
        <v>0.41520000000000001</v>
      </c>
      <c r="Z468" s="311">
        <v>0.48799999999999999</v>
      </c>
      <c r="AA468" s="311">
        <v>0.48970000000000002</v>
      </c>
      <c r="AB468" s="311">
        <v>0.45950000000000002</v>
      </c>
      <c r="AC468" s="311">
        <v>0.39629999999999999</v>
      </c>
      <c r="AD468" s="311">
        <v>0.37490000000000001</v>
      </c>
      <c r="AE468" s="311">
        <v>0.4587</v>
      </c>
      <c r="AF468" s="311">
        <v>0.3453</v>
      </c>
      <c r="AG468" s="311">
        <v>0.38929999999999998</v>
      </c>
      <c r="AH468" s="311">
        <v>0.39800000000000002</v>
      </c>
      <c r="AI468" s="311">
        <v>0.43680000000000002</v>
      </c>
      <c r="AJ468" s="311">
        <v>0.3679</v>
      </c>
      <c r="AK468" s="311">
        <v>0.42320000000000002</v>
      </c>
      <c r="AL468" s="311">
        <v>0.4158</v>
      </c>
      <c r="AM468" s="311">
        <v>0.49299999999999999</v>
      </c>
      <c r="AN468" s="311">
        <v>0.42559999999999998</v>
      </c>
      <c r="AO468" s="311">
        <v>0.45760000000000001</v>
      </c>
      <c r="AP468" s="311">
        <v>0.47849999999999998</v>
      </c>
      <c r="AQ468" s="311">
        <v>0.40050000000000002</v>
      </c>
      <c r="AR468" s="311">
        <v>0.41880000000000001</v>
      </c>
      <c r="AS468" s="311">
        <v>0.30809999999999998</v>
      </c>
      <c r="AT468" s="311">
        <v>0.44879999999999998</v>
      </c>
      <c r="AU468" s="311">
        <v>0.46820000000000001</v>
      </c>
      <c r="AV468" s="311">
        <v>0.48430000000000001</v>
      </c>
      <c r="AW468" s="311">
        <v>0.44330000000000003</v>
      </c>
      <c r="AX468" s="311">
        <v>0.34360000000000002</v>
      </c>
      <c r="AY468" s="311">
        <v>0.44769999999999999</v>
      </c>
      <c r="AZ468" s="311">
        <v>0.46910000000000002</v>
      </c>
      <c r="BA468" s="311">
        <v>0.33739999999999998</v>
      </c>
      <c r="BB468" s="311">
        <v>0.3337</v>
      </c>
      <c r="BC468" s="311">
        <v>0.46510000000000001</v>
      </c>
      <c r="BD468" s="311">
        <v>0.48909999999999998</v>
      </c>
      <c r="BE468" s="311">
        <v>0.53110000000000002</v>
      </c>
      <c r="BF468" s="311">
        <v>0.48620000000000002</v>
      </c>
      <c r="BG468" s="311">
        <v>0.49380000000000002</v>
      </c>
      <c r="BH468" s="311">
        <v>0.46289999999999998</v>
      </c>
      <c r="BI468" s="311">
        <v>0.48459999999999998</v>
      </c>
      <c r="BJ468" s="311">
        <v>0.47389999999999999</v>
      </c>
      <c r="BK468" s="311">
        <v>0.48930000000000001</v>
      </c>
    </row>
    <row r="469" spans="1:63" x14ac:dyDescent="0.25">
      <c r="A469" s="306">
        <v>311820</v>
      </c>
      <c r="B469" s="311" t="s">
        <v>47</v>
      </c>
      <c r="C469" s="311">
        <v>0.47310000000000002</v>
      </c>
      <c r="D469" s="311">
        <v>0</v>
      </c>
      <c r="E469" s="311">
        <v>0.28799999999999998</v>
      </c>
      <c r="F469" s="311">
        <v>0.3296</v>
      </c>
      <c r="G469" s="311">
        <v>0.27289999999999998</v>
      </c>
      <c r="H469" s="311">
        <v>0.35170000000000001</v>
      </c>
      <c r="I469" s="311">
        <v>0.33750000000000002</v>
      </c>
      <c r="J469" s="311">
        <v>0.28360000000000002</v>
      </c>
      <c r="K469" s="311">
        <v>3.4700000000000002E-2</v>
      </c>
      <c r="L469" s="311">
        <v>0</v>
      </c>
      <c r="M469" s="311">
        <v>0.30620000000000003</v>
      </c>
      <c r="N469" s="311">
        <v>0.36880000000000002</v>
      </c>
      <c r="O469" s="311">
        <v>0.2666</v>
      </c>
      <c r="P469" s="311">
        <v>0.26740000000000003</v>
      </c>
      <c r="Q469" s="311">
        <v>0.29099999999999998</v>
      </c>
      <c r="R469" s="311">
        <v>0.39219999999999999</v>
      </c>
      <c r="S469" s="311">
        <v>0.33579999999999999</v>
      </c>
      <c r="T469" s="311">
        <v>0.28820000000000001</v>
      </c>
      <c r="U469" s="311">
        <v>0.31230000000000002</v>
      </c>
      <c r="V469" s="311">
        <v>0.3352</v>
      </c>
      <c r="W469" s="311">
        <v>0.30840000000000001</v>
      </c>
      <c r="X469" s="311">
        <v>0.26469999999999999</v>
      </c>
      <c r="Y469" s="311">
        <v>0.2762</v>
      </c>
      <c r="Z469" s="311">
        <v>0.36409999999999998</v>
      </c>
      <c r="AA469" s="311">
        <v>0.37640000000000001</v>
      </c>
      <c r="AB469" s="311">
        <v>0.34860000000000002</v>
      </c>
      <c r="AC469" s="311">
        <v>0.28799999999999998</v>
      </c>
      <c r="AD469" s="311">
        <v>0.24829999999999999</v>
      </c>
      <c r="AE469" s="311">
        <v>0.34039999999999998</v>
      </c>
      <c r="AF469" s="311">
        <v>0.2447</v>
      </c>
      <c r="AG469" s="311">
        <v>0.28170000000000001</v>
      </c>
      <c r="AH469" s="311">
        <v>0.26179999999999998</v>
      </c>
      <c r="AI469" s="311">
        <v>0.30919999999999997</v>
      </c>
      <c r="AJ469" s="311">
        <v>0.2278</v>
      </c>
      <c r="AK469" s="311">
        <v>0.26269999999999999</v>
      </c>
      <c r="AL469" s="311">
        <v>0.28029999999999999</v>
      </c>
      <c r="AM469" s="311">
        <v>0.3619</v>
      </c>
      <c r="AN469" s="311">
        <v>0.29980000000000001</v>
      </c>
      <c r="AO469" s="311">
        <v>0.33679999999999999</v>
      </c>
      <c r="AP469" s="311">
        <v>0.34899999999999998</v>
      </c>
      <c r="AQ469" s="311">
        <v>0.26229999999999998</v>
      </c>
      <c r="AR469" s="311">
        <v>0.29659999999999997</v>
      </c>
      <c r="AS469" s="311">
        <v>0.20960000000000001</v>
      </c>
      <c r="AT469" s="311">
        <v>0.33360000000000001</v>
      </c>
      <c r="AU469" s="311">
        <v>0.34329999999999999</v>
      </c>
      <c r="AV469" s="311">
        <v>0.34410000000000002</v>
      </c>
      <c r="AW469" s="311">
        <v>0.30640000000000001</v>
      </c>
      <c r="AX469" s="311">
        <v>0.2079</v>
      </c>
      <c r="AY469" s="311">
        <v>0.31359999999999999</v>
      </c>
      <c r="AZ469" s="311">
        <v>0.35510000000000003</v>
      </c>
      <c r="BA469" s="311">
        <v>0.21079999999999999</v>
      </c>
      <c r="BB469" s="311">
        <v>0</v>
      </c>
      <c r="BC469" s="311">
        <v>0.32500000000000001</v>
      </c>
      <c r="BD469" s="311">
        <v>0.3508</v>
      </c>
      <c r="BE469" s="311">
        <v>0.41</v>
      </c>
      <c r="BF469" s="311">
        <v>0.37269999999999998</v>
      </c>
      <c r="BG469" s="311">
        <v>0.36399999999999999</v>
      </c>
      <c r="BH469" s="311">
        <v>0.35010000000000002</v>
      </c>
      <c r="BI469" s="311">
        <v>0.36659999999999998</v>
      </c>
      <c r="BJ469" s="311">
        <v>0.3281</v>
      </c>
      <c r="BK469" s="311">
        <v>0.35589999999999999</v>
      </c>
    </row>
    <row r="470" spans="1:63" x14ac:dyDescent="0.25">
      <c r="A470" s="306">
        <v>311830</v>
      </c>
      <c r="B470" s="311" t="s">
        <v>48</v>
      </c>
      <c r="C470" s="311">
        <v>0.5605</v>
      </c>
      <c r="D470" s="311">
        <v>0.29599999999999999</v>
      </c>
      <c r="E470" s="311">
        <v>0</v>
      </c>
      <c r="F470" s="311">
        <v>0.43190000000000001</v>
      </c>
      <c r="G470" s="311">
        <v>0.38800000000000001</v>
      </c>
      <c r="H470" s="311">
        <v>0.44719999999999999</v>
      </c>
      <c r="I470" s="311">
        <v>0.46410000000000001</v>
      </c>
      <c r="J470" s="311">
        <v>0</v>
      </c>
      <c r="K470" s="311">
        <v>0</v>
      </c>
      <c r="L470" s="311">
        <v>0</v>
      </c>
      <c r="M470" s="311">
        <v>0.41610000000000003</v>
      </c>
      <c r="N470" s="311">
        <v>0.46429999999999999</v>
      </c>
      <c r="O470" s="311">
        <v>0.375</v>
      </c>
      <c r="P470" s="311">
        <v>0</v>
      </c>
      <c r="Q470" s="311">
        <v>0.40799999999999997</v>
      </c>
      <c r="R470" s="311">
        <v>0.50539999999999996</v>
      </c>
      <c r="S470" s="311">
        <v>0.433</v>
      </c>
      <c r="T470" s="311">
        <v>0.40229999999999999</v>
      </c>
      <c r="U470" s="311">
        <v>0</v>
      </c>
      <c r="V470" s="311">
        <v>0</v>
      </c>
      <c r="W470" s="311">
        <v>0.4042</v>
      </c>
      <c r="X470" s="311">
        <v>0.35659999999999997</v>
      </c>
      <c r="Y470" s="311">
        <v>0</v>
      </c>
      <c r="Z470" s="311">
        <v>0.46510000000000001</v>
      </c>
      <c r="AA470" s="311">
        <v>0.47289999999999999</v>
      </c>
      <c r="AB470" s="311">
        <v>0.4471</v>
      </c>
      <c r="AC470" s="311">
        <v>0</v>
      </c>
      <c r="AD470" s="311">
        <v>0.38040000000000002</v>
      </c>
      <c r="AE470" s="311">
        <v>0.43559999999999999</v>
      </c>
      <c r="AF470" s="311">
        <v>0</v>
      </c>
      <c r="AG470" s="311">
        <v>0.39019999999999999</v>
      </c>
      <c r="AH470" s="311">
        <v>0</v>
      </c>
      <c r="AI470" s="311">
        <v>0.39319999999999999</v>
      </c>
      <c r="AJ470" s="311">
        <v>0.33410000000000001</v>
      </c>
      <c r="AK470" s="311">
        <v>0.38080000000000003</v>
      </c>
      <c r="AL470" s="311">
        <v>0.38219999999999998</v>
      </c>
      <c r="AM470" s="311">
        <v>0.45779999999999998</v>
      </c>
      <c r="AN470" s="311">
        <v>0.42159999999999997</v>
      </c>
      <c r="AO470" s="311">
        <v>0.434</v>
      </c>
      <c r="AP470" s="311">
        <v>0.44</v>
      </c>
      <c r="AQ470" s="311">
        <v>0.3589</v>
      </c>
      <c r="AR470" s="311">
        <v>0</v>
      </c>
      <c r="AS470" s="311">
        <v>0.29139999999999999</v>
      </c>
      <c r="AT470" s="311">
        <v>0.42549999999999999</v>
      </c>
      <c r="AU470" s="311">
        <v>0.46</v>
      </c>
      <c r="AV470" s="311">
        <v>0.45989999999999998</v>
      </c>
      <c r="AW470" s="311">
        <v>0.4027</v>
      </c>
      <c r="AX470" s="311">
        <v>0</v>
      </c>
      <c r="AY470" s="311">
        <v>0.42130000000000001</v>
      </c>
      <c r="AZ470" s="311">
        <v>0.45540000000000003</v>
      </c>
      <c r="BA470" s="311">
        <v>0</v>
      </c>
      <c r="BB470" s="311">
        <v>0</v>
      </c>
      <c r="BC470" s="311">
        <v>0.42030000000000001</v>
      </c>
      <c r="BD470" s="311">
        <v>0.4471</v>
      </c>
      <c r="BE470" s="311">
        <v>0.50649999999999995</v>
      </c>
      <c r="BF470" s="311">
        <v>0.47120000000000001</v>
      </c>
      <c r="BG470" s="311">
        <v>0.46029999999999999</v>
      </c>
      <c r="BH470" s="311">
        <v>0.44390000000000002</v>
      </c>
      <c r="BI470" s="311">
        <v>0.48020000000000002</v>
      </c>
      <c r="BJ470" s="311">
        <v>0.4546</v>
      </c>
      <c r="BK470" s="311">
        <v>0.45269999999999999</v>
      </c>
    </row>
    <row r="471" spans="1:63" x14ac:dyDescent="0.25">
      <c r="A471" s="306">
        <v>311910</v>
      </c>
      <c r="B471" s="311" t="s">
        <v>49</v>
      </c>
      <c r="C471" s="311">
        <v>0.41909999999999997</v>
      </c>
      <c r="D471" s="311">
        <v>0.15740000000000001</v>
      </c>
      <c r="E471" s="311">
        <v>0.28070000000000001</v>
      </c>
      <c r="F471" s="311">
        <v>0.28489999999999999</v>
      </c>
      <c r="G471" s="311">
        <v>0.26329999999999998</v>
      </c>
      <c r="H471" s="311">
        <v>0.31259999999999999</v>
      </c>
      <c r="I471" s="311">
        <v>0.29239999999999999</v>
      </c>
      <c r="J471" s="311">
        <v>0.2422</v>
      </c>
      <c r="K471" s="311">
        <v>0</v>
      </c>
      <c r="L471" s="311">
        <v>0</v>
      </c>
      <c r="M471" s="311">
        <v>0.2722</v>
      </c>
      <c r="N471" s="311">
        <v>0.33260000000000001</v>
      </c>
      <c r="O471" s="311">
        <v>0.2422</v>
      </c>
      <c r="P471" s="311">
        <v>0.2397</v>
      </c>
      <c r="Q471" s="311">
        <v>0.24790000000000001</v>
      </c>
      <c r="R471" s="311">
        <v>0.31919999999999998</v>
      </c>
      <c r="S471" s="311">
        <v>0.28489999999999999</v>
      </c>
      <c r="T471" s="311">
        <v>0.26090000000000002</v>
      </c>
      <c r="U471" s="311">
        <v>0.2913</v>
      </c>
      <c r="V471" s="311">
        <v>0.2893</v>
      </c>
      <c r="W471" s="311">
        <v>0.2525</v>
      </c>
      <c r="X471" s="311">
        <v>0.21529999999999999</v>
      </c>
      <c r="Y471" s="311">
        <v>0</v>
      </c>
      <c r="Z471" s="311">
        <v>0.3196</v>
      </c>
      <c r="AA471" s="311">
        <v>0.31130000000000002</v>
      </c>
      <c r="AB471" s="311">
        <v>0.29720000000000002</v>
      </c>
      <c r="AC471" s="311">
        <v>0.25950000000000001</v>
      </c>
      <c r="AD471" s="311">
        <v>0.22620000000000001</v>
      </c>
      <c r="AE471" s="311">
        <v>0.29520000000000002</v>
      </c>
      <c r="AF471" s="311">
        <v>0.22189999999999999</v>
      </c>
      <c r="AG471" s="311">
        <v>0.23449999999999999</v>
      </c>
      <c r="AH471" s="311">
        <v>0.23860000000000001</v>
      </c>
      <c r="AI471" s="311">
        <v>0.26450000000000001</v>
      </c>
      <c r="AJ471" s="311">
        <v>0.21510000000000001</v>
      </c>
      <c r="AK471" s="311">
        <v>0.23910000000000001</v>
      </c>
      <c r="AL471" s="311">
        <v>0.21840000000000001</v>
      </c>
      <c r="AM471" s="311">
        <v>0.30940000000000001</v>
      </c>
      <c r="AN471" s="311">
        <v>0.26669999999999999</v>
      </c>
      <c r="AO471" s="311">
        <v>0.28820000000000001</v>
      </c>
      <c r="AP471" s="311">
        <v>0.30370000000000003</v>
      </c>
      <c r="AQ471" s="311">
        <v>0.22359999999999999</v>
      </c>
      <c r="AR471" s="311">
        <v>0.28489999999999999</v>
      </c>
      <c r="AS471" s="311">
        <v>0.19620000000000001</v>
      </c>
      <c r="AT471" s="311">
        <v>0.2843</v>
      </c>
      <c r="AU471" s="311">
        <v>0.30370000000000003</v>
      </c>
      <c r="AV471" s="311">
        <v>0.28810000000000002</v>
      </c>
      <c r="AW471" s="311">
        <v>0.25850000000000001</v>
      </c>
      <c r="AX471" s="311">
        <v>0.20810000000000001</v>
      </c>
      <c r="AY471" s="311">
        <v>0.2913</v>
      </c>
      <c r="AZ471" s="311">
        <v>0.30780000000000002</v>
      </c>
      <c r="BA471" s="311">
        <v>0.2089</v>
      </c>
      <c r="BB471" s="311">
        <v>0</v>
      </c>
      <c r="BC471" s="311">
        <v>0.27879999999999999</v>
      </c>
      <c r="BD471" s="311">
        <v>0.29110000000000003</v>
      </c>
      <c r="BE471" s="311">
        <v>0.34279999999999999</v>
      </c>
      <c r="BF471" s="311">
        <v>0.32219999999999999</v>
      </c>
      <c r="BG471" s="311">
        <v>0.32529999999999998</v>
      </c>
      <c r="BH471" s="311">
        <v>0.314</v>
      </c>
      <c r="BI471" s="311">
        <v>0.3206</v>
      </c>
      <c r="BJ471" s="311">
        <v>0.28849999999999998</v>
      </c>
      <c r="BK471" s="311">
        <v>0.31409999999999999</v>
      </c>
    </row>
    <row r="472" spans="1:63" x14ac:dyDescent="0.25">
      <c r="A472" s="306">
        <v>311920</v>
      </c>
      <c r="B472" s="311" t="s">
        <v>50</v>
      </c>
      <c r="C472" s="311">
        <v>0.37880000000000003</v>
      </c>
      <c r="D472" s="311">
        <v>0.1764</v>
      </c>
      <c r="E472" s="311">
        <v>0.27700000000000002</v>
      </c>
      <c r="F472" s="311">
        <v>0.27550000000000002</v>
      </c>
      <c r="G472" s="311">
        <v>0.25940000000000002</v>
      </c>
      <c r="H472" s="311">
        <v>0.30280000000000001</v>
      </c>
      <c r="I472" s="311">
        <v>0.30280000000000001</v>
      </c>
      <c r="J472" s="311">
        <v>0.26350000000000001</v>
      </c>
      <c r="K472" s="311">
        <v>0</v>
      </c>
      <c r="L472" s="311">
        <v>0</v>
      </c>
      <c r="M472" s="311">
        <v>0.26379999999999998</v>
      </c>
      <c r="N472" s="311">
        <v>0.3236</v>
      </c>
      <c r="O472" s="311">
        <v>0.2293</v>
      </c>
      <c r="P472" s="311">
        <v>0.23050000000000001</v>
      </c>
      <c r="Q472" s="311">
        <v>0.2303</v>
      </c>
      <c r="R472" s="311">
        <v>0.3266</v>
      </c>
      <c r="S472" s="311">
        <v>0.28289999999999998</v>
      </c>
      <c r="T472" s="311">
        <v>0.24249999999999999</v>
      </c>
      <c r="U472" s="311">
        <v>0.26829999999999998</v>
      </c>
      <c r="V472" s="311">
        <v>0.26950000000000002</v>
      </c>
      <c r="W472" s="311">
        <v>0.27739999999999998</v>
      </c>
      <c r="X472" s="311">
        <v>0.23630000000000001</v>
      </c>
      <c r="Y472" s="311">
        <v>0.25779999999999997</v>
      </c>
      <c r="Z472" s="311">
        <v>0.30809999999999998</v>
      </c>
      <c r="AA472" s="311">
        <v>0.30370000000000003</v>
      </c>
      <c r="AB472" s="311">
        <v>0.29239999999999999</v>
      </c>
      <c r="AC472" s="311">
        <v>0</v>
      </c>
      <c r="AD472" s="311">
        <v>0.2039</v>
      </c>
      <c r="AE472" s="311">
        <v>0.29730000000000001</v>
      </c>
      <c r="AF472" s="311">
        <v>0</v>
      </c>
      <c r="AG472" s="311">
        <v>0.2324</v>
      </c>
      <c r="AH472" s="311">
        <v>0.24679999999999999</v>
      </c>
      <c r="AI472" s="311">
        <v>0.28349999999999997</v>
      </c>
      <c r="AJ472" s="311">
        <v>0</v>
      </c>
      <c r="AK472" s="311">
        <v>0.24890000000000001</v>
      </c>
      <c r="AL472" s="311">
        <v>0.2359</v>
      </c>
      <c r="AM472" s="311">
        <v>0.31950000000000001</v>
      </c>
      <c r="AN472" s="311">
        <v>0.25919999999999999</v>
      </c>
      <c r="AO472" s="311">
        <v>0.28789999999999999</v>
      </c>
      <c r="AP472" s="311">
        <v>0.32369999999999999</v>
      </c>
      <c r="AQ472" s="311">
        <v>0.24859999999999999</v>
      </c>
      <c r="AR472" s="311">
        <v>0.27710000000000001</v>
      </c>
      <c r="AS472" s="311">
        <v>0</v>
      </c>
      <c r="AT472" s="311">
        <v>0.27710000000000001</v>
      </c>
      <c r="AU472" s="311">
        <v>0.2974</v>
      </c>
      <c r="AV472" s="311">
        <v>0.30059999999999998</v>
      </c>
      <c r="AW472" s="311">
        <v>0.27910000000000001</v>
      </c>
      <c r="AX472" s="311">
        <v>0.20979999999999999</v>
      </c>
      <c r="AY472" s="311">
        <v>0.28260000000000002</v>
      </c>
      <c r="AZ472" s="311">
        <v>0.30520000000000003</v>
      </c>
      <c r="BA472" s="311">
        <v>0</v>
      </c>
      <c r="BB472" s="311">
        <v>0.20100000000000001</v>
      </c>
      <c r="BC472" s="311">
        <v>0.29820000000000002</v>
      </c>
      <c r="BD472" s="311">
        <v>0.31180000000000002</v>
      </c>
      <c r="BE472" s="311">
        <v>0.33589999999999998</v>
      </c>
      <c r="BF472" s="311">
        <v>0.30459999999999998</v>
      </c>
      <c r="BG472" s="311">
        <v>0.318</v>
      </c>
      <c r="BH472" s="311">
        <v>0.29189999999999999</v>
      </c>
      <c r="BI472" s="311">
        <v>0.30709999999999998</v>
      </c>
      <c r="BJ472" s="311">
        <v>0.28539999999999999</v>
      </c>
      <c r="BK472" s="311">
        <v>0.30520000000000003</v>
      </c>
    </row>
    <row r="473" spans="1:63" x14ac:dyDescent="0.25">
      <c r="A473" s="306">
        <v>311930</v>
      </c>
      <c r="B473" s="311" t="s">
        <v>51</v>
      </c>
      <c r="C473" s="311">
        <v>0.20660000000000001</v>
      </c>
      <c r="D473" s="311">
        <v>0</v>
      </c>
      <c r="E473" s="311">
        <v>0.1552</v>
      </c>
      <c r="F473" s="311">
        <v>0.1578</v>
      </c>
      <c r="G473" s="311">
        <v>0.15090000000000001</v>
      </c>
      <c r="H473" s="311">
        <v>0.17219999999999999</v>
      </c>
      <c r="I473" s="311">
        <v>0</v>
      </c>
      <c r="J473" s="311">
        <v>0.1462</v>
      </c>
      <c r="K473" s="311">
        <v>0</v>
      </c>
      <c r="L473" s="311">
        <v>0</v>
      </c>
      <c r="M473" s="311">
        <v>0.16089999999999999</v>
      </c>
      <c r="N473" s="311">
        <v>0.17560000000000001</v>
      </c>
      <c r="O473" s="311">
        <v>0.15440000000000001</v>
      </c>
      <c r="P473" s="311">
        <v>0</v>
      </c>
      <c r="Q473" s="311">
        <v>0</v>
      </c>
      <c r="R473" s="311">
        <v>0.17269999999999999</v>
      </c>
      <c r="S473" s="311">
        <v>0.16250000000000001</v>
      </c>
      <c r="T473" s="311">
        <v>0.1477</v>
      </c>
      <c r="U473" s="311">
        <v>0.15609999999999999</v>
      </c>
      <c r="V473" s="311">
        <v>0.16189999999999999</v>
      </c>
      <c r="W473" s="311">
        <v>0</v>
      </c>
      <c r="X473" s="311">
        <v>0.13780000000000001</v>
      </c>
      <c r="Y473" s="311">
        <v>0</v>
      </c>
      <c r="Z473" s="311">
        <v>0.1701</v>
      </c>
      <c r="AA473" s="311">
        <v>0</v>
      </c>
      <c r="AB473" s="311">
        <v>0.15679999999999999</v>
      </c>
      <c r="AC473" s="311">
        <v>0.14560000000000001</v>
      </c>
      <c r="AD473" s="311">
        <v>0</v>
      </c>
      <c r="AE473" s="311">
        <v>0.1623</v>
      </c>
      <c r="AF473" s="311">
        <v>0</v>
      </c>
      <c r="AG473" s="311">
        <v>0</v>
      </c>
      <c r="AH473" s="311">
        <v>0.14180000000000001</v>
      </c>
      <c r="AI473" s="311">
        <v>0.15870000000000001</v>
      </c>
      <c r="AJ473" s="311">
        <v>0</v>
      </c>
      <c r="AK473" s="311">
        <v>0.14749999999999999</v>
      </c>
      <c r="AL473" s="311">
        <v>0.1459</v>
      </c>
      <c r="AM473" s="311">
        <v>0.17879999999999999</v>
      </c>
      <c r="AN473" s="311">
        <v>0.14499999999999999</v>
      </c>
      <c r="AO473" s="311">
        <v>0.1615</v>
      </c>
      <c r="AP473" s="311">
        <v>0.16889999999999999</v>
      </c>
      <c r="AQ473" s="311">
        <v>0.14419999999999999</v>
      </c>
      <c r="AR473" s="311">
        <v>0</v>
      </c>
      <c r="AS473" s="311">
        <v>0</v>
      </c>
      <c r="AT473" s="311">
        <v>0.1522</v>
      </c>
      <c r="AU473" s="311">
        <v>0.16639999999999999</v>
      </c>
      <c r="AV473" s="311">
        <v>0</v>
      </c>
      <c r="AW473" s="311">
        <v>0</v>
      </c>
      <c r="AX473" s="311">
        <v>0</v>
      </c>
      <c r="AY473" s="311">
        <v>0.16289999999999999</v>
      </c>
      <c r="AZ473" s="311">
        <v>0.16850000000000001</v>
      </c>
      <c r="BA473" s="311">
        <v>0</v>
      </c>
      <c r="BB473" s="311">
        <v>0</v>
      </c>
      <c r="BC473" s="311">
        <v>0.16289999999999999</v>
      </c>
      <c r="BD473" s="311">
        <v>0.17319999999999999</v>
      </c>
      <c r="BE473" s="311">
        <v>0.18190000000000001</v>
      </c>
      <c r="BF473" s="311">
        <v>0.16619999999999999</v>
      </c>
      <c r="BG473" s="311">
        <v>0.182</v>
      </c>
      <c r="BH473" s="311">
        <v>0.1668</v>
      </c>
      <c r="BI473" s="311">
        <v>0.1696</v>
      </c>
      <c r="BJ473" s="311">
        <v>0.16</v>
      </c>
      <c r="BK473" s="311">
        <v>0.17269999999999999</v>
      </c>
    </row>
    <row r="474" spans="1:63" x14ac:dyDescent="0.25">
      <c r="A474" s="306">
        <v>311940</v>
      </c>
      <c r="B474" s="311" t="s">
        <v>52</v>
      </c>
      <c r="C474" s="311">
        <v>0.47939999999999999</v>
      </c>
      <c r="D474" s="311">
        <v>0</v>
      </c>
      <c r="E474" s="311">
        <v>0.29880000000000001</v>
      </c>
      <c r="F474" s="311">
        <v>0.31619999999999998</v>
      </c>
      <c r="G474" s="311">
        <v>0.27510000000000001</v>
      </c>
      <c r="H474" s="311">
        <v>0.35199999999999998</v>
      </c>
      <c r="I474" s="311">
        <v>0.32500000000000001</v>
      </c>
      <c r="J474" s="311">
        <v>0.2626</v>
      </c>
      <c r="K474" s="311">
        <v>0</v>
      </c>
      <c r="L474" s="311">
        <v>0.20449999999999999</v>
      </c>
      <c r="M474" s="311">
        <v>0.29370000000000002</v>
      </c>
      <c r="N474" s="311">
        <v>0.37580000000000002</v>
      </c>
      <c r="O474" s="311">
        <v>0.2631</v>
      </c>
      <c r="P474" s="311">
        <v>0.2646</v>
      </c>
      <c r="Q474" s="311">
        <v>0.27089999999999997</v>
      </c>
      <c r="R474" s="311">
        <v>0.3669</v>
      </c>
      <c r="S474" s="311">
        <v>0.32529999999999998</v>
      </c>
      <c r="T474" s="311">
        <v>0.28360000000000002</v>
      </c>
      <c r="U474" s="311">
        <v>0.33360000000000001</v>
      </c>
      <c r="V474" s="311">
        <v>0.32519999999999999</v>
      </c>
      <c r="W474" s="311">
        <v>0.2893</v>
      </c>
      <c r="X474" s="311">
        <v>0.25430000000000003</v>
      </c>
      <c r="Y474" s="311">
        <v>0.2767</v>
      </c>
      <c r="Z474" s="311">
        <v>0.34370000000000001</v>
      </c>
      <c r="AA474" s="311">
        <v>0.34870000000000001</v>
      </c>
      <c r="AB474" s="311">
        <v>0.3508</v>
      </c>
      <c r="AC474" s="311">
        <v>0.27129999999999999</v>
      </c>
      <c r="AD474" s="311">
        <v>0.22589999999999999</v>
      </c>
      <c r="AE474" s="311">
        <v>0.31080000000000002</v>
      </c>
      <c r="AF474" s="311">
        <v>0.22509999999999999</v>
      </c>
      <c r="AG474" s="311">
        <v>0.25969999999999999</v>
      </c>
      <c r="AH474" s="311">
        <v>0.25140000000000001</v>
      </c>
      <c r="AI474" s="311">
        <v>0.31230000000000002</v>
      </c>
      <c r="AJ474" s="311">
        <v>0.23519999999999999</v>
      </c>
      <c r="AK474" s="311">
        <v>0.2717</v>
      </c>
      <c r="AL474" s="311">
        <v>0.25659999999999999</v>
      </c>
      <c r="AM474" s="311">
        <v>0.36199999999999999</v>
      </c>
      <c r="AN474" s="311">
        <v>0.2833</v>
      </c>
      <c r="AO474" s="311">
        <v>0.31879999999999997</v>
      </c>
      <c r="AP474" s="311">
        <v>0.35249999999999998</v>
      </c>
      <c r="AQ474" s="311">
        <v>0.2409</v>
      </c>
      <c r="AR474" s="311">
        <v>0.28960000000000002</v>
      </c>
      <c r="AS474" s="311">
        <v>0.21010000000000001</v>
      </c>
      <c r="AT474" s="311">
        <v>0.30399999999999999</v>
      </c>
      <c r="AU474" s="311">
        <v>0.33650000000000002</v>
      </c>
      <c r="AV474" s="311">
        <v>0.32969999999999999</v>
      </c>
      <c r="AW474" s="311">
        <v>0.29380000000000001</v>
      </c>
      <c r="AX474" s="311">
        <v>0.22309999999999999</v>
      </c>
      <c r="AY474" s="311">
        <v>0.31219999999999998</v>
      </c>
      <c r="AZ474" s="311">
        <v>0.33289999999999997</v>
      </c>
      <c r="BA474" s="311">
        <v>0.2213</v>
      </c>
      <c r="BB474" s="311">
        <v>0.20860000000000001</v>
      </c>
      <c r="BC474" s="311">
        <v>0.30890000000000001</v>
      </c>
      <c r="BD474" s="311">
        <v>0.34460000000000002</v>
      </c>
      <c r="BE474" s="311">
        <v>0.3911</v>
      </c>
      <c r="BF474" s="311">
        <v>0.3669</v>
      </c>
      <c r="BG474" s="311">
        <v>0.3745</v>
      </c>
      <c r="BH474" s="311">
        <v>0.34620000000000001</v>
      </c>
      <c r="BI474" s="311">
        <v>0.35709999999999997</v>
      </c>
      <c r="BJ474" s="311">
        <v>0.31490000000000001</v>
      </c>
      <c r="BK474" s="311">
        <v>0.35139999999999999</v>
      </c>
    </row>
    <row r="475" spans="1:63" x14ac:dyDescent="0.25">
      <c r="A475" s="306">
        <v>311990</v>
      </c>
      <c r="B475" s="311" t="s">
        <v>53</v>
      </c>
      <c r="C475" s="311">
        <v>0.46289999999999998</v>
      </c>
      <c r="D475" s="311">
        <v>0.217</v>
      </c>
      <c r="E475" s="311">
        <v>0.30659999999999998</v>
      </c>
      <c r="F475" s="311">
        <v>0.31830000000000003</v>
      </c>
      <c r="G475" s="311">
        <v>0.31</v>
      </c>
      <c r="H475" s="311">
        <v>0.36370000000000002</v>
      </c>
      <c r="I475" s="311">
        <v>0.36430000000000001</v>
      </c>
      <c r="J475" s="311">
        <v>0.29260000000000003</v>
      </c>
      <c r="K475" s="311">
        <v>3.9699999999999999E-2</v>
      </c>
      <c r="L475" s="311">
        <v>0.23130000000000001</v>
      </c>
      <c r="M475" s="311">
        <v>0.3231</v>
      </c>
      <c r="N475" s="311">
        <v>0.373</v>
      </c>
      <c r="O475" s="311">
        <v>0.29559999999999997</v>
      </c>
      <c r="P475" s="311">
        <v>0.28249999999999997</v>
      </c>
      <c r="Q475" s="311">
        <v>0.30520000000000003</v>
      </c>
      <c r="R475" s="311">
        <v>0.38100000000000001</v>
      </c>
      <c r="S475" s="311">
        <v>0.33610000000000001</v>
      </c>
      <c r="T475" s="311">
        <v>0.29299999999999998</v>
      </c>
      <c r="U475" s="311">
        <v>0.3165</v>
      </c>
      <c r="V475" s="311">
        <v>0.32040000000000002</v>
      </c>
      <c r="W475" s="311">
        <v>0.317</v>
      </c>
      <c r="X475" s="311">
        <v>0.28179999999999999</v>
      </c>
      <c r="Y475" s="311">
        <v>0.315</v>
      </c>
      <c r="Z475" s="311">
        <v>0.35959999999999998</v>
      </c>
      <c r="AA475" s="311">
        <v>0.37330000000000002</v>
      </c>
      <c r="AB475" s="311">
        <v>0.34449999999999997</v>
      </c>
      <c r="AC475" s="311">
        <v>0.2928</v>
      </c>
      <c r="AD475" s="311">
        <v>0.26650000000000001</v>
      </c>
      <c r="AE475" s="311">
        <v>0.34799999999999998</v>
      </c>
      <c r="AF475" s="311">
        <v>0.25629999999999997</v>
      </c>
      <c r="AG475" s="311">
        <v>0.28610000000000002</v>
      </c>
      <c r="AH475" s="311">
        <v>0.2823</v>
      </c>
      <c r="AI475" s="311">
        <v>0.32169999999999999</v>
      </c>
      <c r="AJ475" s="311">
        <v>0.26939999999999997</v>
      </c>
      <c r="AK475" s="311">
        <v>0.28920000000000001</v>
      </c>
      <c r="AL475" s="311">
        <v>0.2888</v>
      </c>
      <c r="AM475" s="311">
        <v>0.36549999999999999</v>
      </c>
      <c r="AN475" s="311">
        <v>0.31230000000000002</v>
      </c>
      <c r="AO475" s="311">
        <v>0.34229999999999999</v>
      </c>
      <c r="AP475" s="311">
        <v>0.35730000000000001</v>
      </c>
      <c r="AQ475" s="311">
        <v>0.28110000000000002</v>
      </c>
      <c r="AR475" s="311">
        <v>0.3085</v>
      </c>
      <c r="AS475" s="311">
        <v>0.2281</v>
      </c>
      <c r="AT475" s="311">
        <v>0.3266</v>
      </c>
      <c r="AU475" s="311">
        <v>0.34389999999999998</v>
      </c>
      <c r="AV475" s="311">
        <v>0.35510000000000003</v>
      </c>
      <c r="AW475" s="311">
        <v>0.32040000000000002</v>
      </c>
      <c r="AX475" s="311">
        <v>0.24990000000000001</v>
      </c>
      <c r="AY475" s="311">
        <v>0.33560000000000001</v>
      </c>
      <c r="AZ475" s="311">
        <v>0.3589</v>
      </c>
      <c r="BA475" s="311">
        <v>0.23699999999999999</v>
      </c>
      <c r="BB475" s="311">
        <v>0</v>
      </c>
      <c r="BC475" s="311">
        <v>0.33789999999999998</v>
      </c>
      <c r="BD475" s="311">
        <v>0.35699999999999998</v>
      </c>
      <c r="BE475" s="311">
        <v>0.3982</v>
      </c>
      <c r="BF475" s="311">
        <v>0.36770000000000003</v>
      </c>
      <c r="BG475" s="311">
        <v>0.3785</v>
      </c>
      <c r="BH475" s="311">
        <v>0.34910000000000002</v>
      </c>
      <c r="BI475" s="311">
        <v>0.35959999999999998</v>
      </c>
      <c r="BJ475" s="311">
        <v>0.35149999999999998</v>
      </c>
      <c r="BK475" s="311">
        <v>0.36680000000000001</v>
      </c>
    </row>
    <row r="476" spans="1:63" x14ac:dyDescent="0.25">
      <c r="A476" s="306">
        <v>312110</v>
      </c>
      <c r="B476" s="311" t="s">
        <v>54</v>
      </c>
      <c r="C476" s="311">
        <v>0.41110000000000002</v>
      </c>
      <c r="D476" s="311">
        <v>0.16159999999999999</v>
      </c>
      <c r="E476" s="311">
        <v>0.27489999999999998</v>
      </c>
      <c r="F476" s="311">
        <v>0.27089999999999997</v>
      </c>
      <c r="G476" s="311">
        <v>0.24970000000000001</v>
      </c>
      <c r="H476" s="311">
        <v>0.30049999999999999</v>
      </c>
      <c r="I476" s="311">
        <v>0.25469999999999998</v>
      </c>
      <c r="J476" s="311">
        <v>0.248</v>
      </c>
      <c r="K476" s="311">
        <v>0</v>
      </c>
      <c r="L476" s="311">
        <v>0.1656</v>
      </c>
      <c r="M476" s="311">
        <v>0.23710000000000001</v>
      </c>
      <c r="N476" s="311">
        <v>0.31819999999999998</v>
      </c>
      <c r="O476" s="311">
        <v>0.20699999999999999</v>
      </c>
      <c r="P476" s="311">
        <v>0.24360000000000001</v>
      </c>
      <c r="Q476" s="311">
        <v>0.19400000000000001</v>
      </c>
      <c r="R476" s="311">
        <v>0.31890000000000002</v>
      </c>
      <c r="S476" s="311">
        <v>0.2984</v>
      </c>
      <c r="T476" s="311">
        <v>0.217</v>
      </c>
      <c r="U476" s="311">
        <v>0.2858</v>
      </c>
      <c r="V476" s="311">
        <v>0.26640000000000003</v>
      </c>
      <c r="W476" s="311">
        <v>0.2462</v>
      </c>
      <c r="X476" s="311">
        <v>0.23019999999999999</v>
      </c>
      <c r="Y476" s="311">
        <v>0.22650000000000001</v>
      </c>
      <c r="Z476" s="311">
        <v>0.31330000000000002</v>
      </c>
      <c r="AA476" s="311">
        <v>0.27439999999999998</v>
      </c>
      <c r="AB476" s="311">
        <v>0.30370000000000003</v>
      </c>
      <c r="AC476" s="311">
        <v>0.2462</v>
      </c>
      <c r="AD476" s="311">
        <v>0.1716</v>
      </c>
      <c r="AE476" s="311">
        <v>0.28149999999999997</v>
      </c>
      <c r="AF476" s="311">
        <v>0.1893</v>
      </c>
      <c r="AG476" s="311">
        <v>0.19570000000000001</v>
      </c>
      <c r="AH476" s="311">
        <v>0.24629999999999999</v>
      </c>
      <c r="AI476" s="311">
        <v>0.28139999999999998</v>
      </c>
      <c r="AJ476" s="311">
        <v>0.1772</v>
      </c>
      <c r="AK476" s="311">
        <v>0.2127</v>
      </c>
      <c r="AL476" s="311">
        <v>0.20130000000000001</v>
      </c>
      <c r="AM476" s="311">
        <v>0.34839999999999999</v>
      </c>
      <c r="AN476" s="311">
        <v>0.23230000000000001</v>
      </c>
      <c r="AO476" s="311">
        <v>0.26379999999999998</v>
      </c>
      <c r="AP476" s="311">
        <v>0.3211</v>
      </c>
      <c r="AQ476" s="311">
        <v>0.20599999999999999</v>
      </c>
      <c r="AR476" s="311">
        <v>0.28120000000000001</v>
      </c>
      <c r="AS476" s="311">
        <v>0.19980000000000001</v>
      </c>
      <c r="AT476" s="311">
        <v>0.29499999999999998</v>
      </c>
      <c r="AU476" s="311">
        <v>0.2913</v>
      </c>
      <c r="AV476" s="311">
        <v>0.26910000000000001</v>
      </c>
      <c r="AW476" s="311">
        <v>0.27629999999999999</v>
      </c>
      <c r="AX476" s="311">
        <v>0.16919999999999999</v>
      </c>
      <c r="AY476" s="311">
        <v>0.27100000000000002</v>
      </c>
      <c r="AZ476" s="311">
        <v>0.28689999999999999</v>
      </c>
      <c r="BA476" s="311">
        <v>0.20580000000000001</v>
      </c>
      <c r="BB476" s="311">
        <v>0.16739999999999999</v>
      </c>
      <c r="BC476" s="311">
        <v>0.27239999999999998</v>
      </c>
      <c r="BD476" s="311">
        <v>0.2959</v>
      </c>
      <c r="BE476" s="311">
        <v>0.35649999999999998</v>
      </c>
      <c r="BF476" s="311">
        <v>0.30680000000000002</v>
      </c>
      <c r="BG476" s="311">
        <v>0.32379999999999998</v>
      </c>
      <c r="BH476" s="311">
        <v>0.3145</v>
      </c>
      <c r="BI476" s="311">
        <v>0.30669999999999997</v>
      </c>
      <c r="BJ476" s="311">
        <v>0.25</v>
      </c>
      <c r="BK476" s="311">
        <v>0.3009</v>
      </c>
    </row>
    <row r="477" spans="1:63" x14ac:dyDescent="0.25">
      <c r="A477" s="306">
        <v>312120</v>
      </c>
      <c r="B477" s="311" t="s">
        <v>55</v>
      </c>
      <c r="C477" s="311">
        <v>0.37140000000000001</v>
      </c>
      <c r="D477" s="311">
        <v>0.15390000000000001</v>
      </c>
      <c r="E477" s="311">
        <v>0</v>
      </c>
      <c r="F477" s="311">
        <v>0.28349999999999997</v>
      </c>
      <c r="G477" s="311">
        <v>0.22170000000000001</v>
      </c>
      <c r="H477" s="311">
        <v>0.28539999999999999</v>
      </c>
      <c r="I477" s="311">
        <v>0.29099999999999998</v>
      </c>
      <c r="J477" s="311">
        <v>0.21740000000000001</v>
      </c>
      <c r="K477" s="311">
        <v>3.3300000000000003E-2</v>
      </c>
      <c r="L477" s="311">
        <v>0.1409</v>
      </c>
      <c r="M477" s="311">
        <v>0.22559999999999999</v>
      </c>
      <c r="N477" s="311">
        <v>0.29830000000000001</v>
      </c>
      <c r="O477" s="311">
        <v>0.1852</v>
      </c>
      <c r="P477" s="311">
        <v>0.21920000000000001</v>
      </c>
      <c r="Q477" s="311">
        <v>0.19020000000000001</v>
      </c>
      <c r="R477" s="311">
        <v>0.3145</v>
      </c>
      <c r="S477" s="311">
        <v>0.27650000000000002</v>
      </c>
      <c r="T477" s="311">
        <v>0.20710000000000001</v>
      </c>
      <c r="U477" s="311">
        <v>0.22520000000000001</v>
      </c>
      <c r="V477" s="311">
        <v>0.25209999999999999</v>
      </c>
      <c r="W477" s="311">
        <v>0.22869999999999999</v>
      </c>
      <c r="X477" s="311">
        <v>0.2029</v>
      </c>
      <c r="Y477" s="311">
        <v>0.19800000000000001</v>
      </c>
      <c r="Z477" s="311">
        <v>0.26500000000000001</v>
      </c>
      <c r="AA477" s="311">
        <v>0.2908</v>
      </c>
      <c r="AB477" s="311">
        <v>0.28360000000000002</v>
      </c>
      <c r="AC477" s="311">
        <v>0.22750000000000001</v>
      </c>
      <c r="AD477" s="311">
        <v>0.17519999999999999</v>
      </c>
      <c r="AE477" s="311">
        <v>0.27600000000000002</v>
      </c>
      <c r="AF477" s="311">
        <v>0</v>
      </c>
      <c r="AG477" s="311">
        <v>0.21379999999999999</v>
      </c>
      <c r="AH477" s="311">
        <v>0.1845</v>
      </c>
      <c r="AI477" s="311">
        <v>0.25559999999999999</v>
      </c>
      <c r="AJ477" s="311">
        <v>0.17610000000000001</v>
      </c>
      <c r="AK477" s="311">
        <v>0.1923</v>
      </c>
      <c r="AL477" s="311">
        <v>0.191</v>
      </c>
      <c r="AM477" s="311">
        <v>0.31490000000000001</v>
      </c>
      <c r="AN477" s="311">
        <v>0.26469999999999999</v>
      </c>
      <c r="AO477" s="311">
        <v>0.26079999999999998</v>
      </c>
      <c r="AP477" s="311">
        <v>0.30099999999999999</v>
      </c>
      <c r="AQ477" s="311">
        <v>0.2021</v>
      </c>
      <c r="AR477" s="311">
        <v>0.2445</v>
      </c>
      <c r="AS477" s="311">
        <v>0.1852</v>
      </c>
      <c r="AT477" s="311">
        <v>0.23549999999999999</v>
      </c>
      <c r="AU477" s="311">
        <v>0.26919999999999999</v>
      </c>
      <c r="AV477" s="311">
        <v>0.25519999999999998</v>
      </c>
      <c r="AW477" s="311">
        <v>0.2636</v>
      </c>
      <c r="AX477" s="311">
        <v>0.16009999999999999</v>
      </c>
      <c r="AY477" s="311">
        <v>0.25919999999999999</v>
      </c>
      <c r="AZ477" s="311">
        <v>0.29680000000000001</v>
      </c>
      <c r="BA477" s="311">
        <v>0.1767</v>
      </c>
      <c r="BB477" s="311">
        <v>0</v>
      </c>
      <c r="BC477" s="311">
        <v>0.2407</v>
      </c>
      <c r="BD477" s="311">
        <v>0.2722</v>
      </c>
      <c r="BE477" s="311">
        <v>0.3322</v>
      </c>
      <c r="BF477" s="311">
        <v>0.28510000000000002</v>
      </c>
      <c r="BG477" s="311">
        <v>0.28999999999999998</v>
      </c>
      <c r="BH477" s="311">
        <v>0.25600000000000001</v>
      </c>
      <c r="BI477" s="311">
        <v>0.29830000000000001</v>
      </c>
      <c r="BJ477" s="311">
        <v>0.26519999999999999</v>
      </c>
      <c r="BK477" s="311">
        <v>0.28570000000000001</v>
      </c>
    </row>
    <row r="478" spans="1:63" x14ac:dyDescent="0.25">
      <c r="A478" s="306">
        <v>312130</v>
      </c>
      <c r="B478" s="311" t="s">
        <v>56</v>
      </c>
      <c r="C478" s="311">
        <v>0.4481</v>
      </c>
      <c r="D478" s="311">
        <v>0.1961</v>
      </c>
      <c r="E478" s="311">
        <v>0.25600000000000001</v>
      </c>
      <c r="F478" s="311">
        <v>0.28399999999999997</v>
      </c>
      <c r="G478" s="311">
        <v>0.27</v>
      </c>
      <c r="H478" s="311">
        <v>0.3826</v>
      </c>
      <c r="I478" s="311">
        <v>0.31169999999999998</v>
      </c>
      <c r="J478" s="311">
        <v>0.27689999999999998</v>
      </c>
      <c r="K478" s="311">
        <v>0</v>
      </c>
      <c r="L478" s="311">
        <v>0</v>
      </c>
      <c r="M478" s="311">
        <v>0.29880000000000001</v>
      </c>
      <c r="N478" s="311">
        <v>0.32779999999999998</v>
      </c>
      <c r="O478" s="311">
        <v>0.2591</v>
      </c>
      <c r="P478" s="311">
        <v>0.23649999999999999</v>
      </c>
      <c r="Q478" s="311">
        <v>0.2427</v>
      </c>
      <c r="R478" s="311">
        <v>0.33379999999999999</v>
      </c>
      <c r="S478" s="311">
        <v>0.26690000000000003</v>
      </c>
      <c r="T478" s="311">
        <v>0.22159999999999999</v>
      </c>
      <c r="U478" s="311">
        <v>0.26300000000000001</v>
      </c>
      <c r="V478" s="311">
        <v>0.27339999999999998</v>
      </c>
      <c r="W478" s="311">
        <v>0.308</v>
      </c>
      <c r="X478" s="311">
        <v>0.24859999999999999</v>
      </c>
      <c r="Y478" s="311">
        <v>0.28589999999999999</v>
      </c>
      <c r="Z478" s="311">
        <v>0.3392</v>
      </c>
      <c r="AA478" s="311">
        <v>0.317</v>
      </c>
      <c r="AB478" s="311">
        <v>0.29530000000000001</v>
      </c>
      <c r="AC478" s="311">
        <v>0</v>
      </c>
      <c r="AD478" s="311">
        <v>0.21</v>
      </c>
      <c r="AE478" s="311">
        <v>0.31509999999999999</v>
      </c>
      <c r="AF478" s="311">
        <v>0.2218</v>
      </c>
      <c r="AG478" s="311">
        <v>0.24060000000000001</v>
      </c>
      <c r="AH478" s="311">
        <v>0.26150000000000001</v>
      </c>
      <c r="AI478" s="311">
        <v>0.30809999999999998</v>
      </c>
      <c r="AJ478" s="311">
        <v>0.24759999999999999</v>
      </c>
      <c r="AK478" s="311">
        <v>0</v>
      </c>
      <c r="AL478" s="311">
        <v>0.24479999999999999</v>
      </c>
      <c r="AM478" s="311">
        <v>0.32919999999999999</v>
      </c>
      <c r="AN478" s="311">
        <v>0.26169999999999999</v>
      </c>
      <c r="AO478" s="311">
        <v>0.34699999999999998</v>
      </c>
      <c r="AP478" s="311">
        <v>0.3296</v>
      </c>
      <c r="AQ478" s="311">
        <v>0.23469999999999999</v>
      </c>
      <c r="AR478" s="311">
        <v>0.27339999999999998</v>
      </c>
      <c r="AS478" s="311">
        <v>0.20599999999999999</v>
      </c>
      <c r="AT478" s="311">
        <v>0.26040000000000002</v>
      </c>
      <c r="AU478" s="311">
        <v>0.2959</v>
      </c>
      <c r="AV478" s="311">
        <v>0</v>
      </c>
      <c r="AW478" s="311">
        <v>0.30880000000000002</v>
      </c>
      <c r="AX478" s="311">
        <v>0.2195</v>
      </c>
      <c r="AY478" s="311">
        <v>0.3498</v>
      </c>
      <c r="AZ478" s="311">
        <v>0.33629999999999999</v>
      </c>
      <c r="BA478" s="311">
        <v>0.1961</v>
      </c>
      <c r="BB478" s="311">
        <v>0</v>
      </c>
      <c r="BC478" s="311">
        <v>0.31840000000000002</v>
      </c>
      <c r="BD478" s="311">
        <v>0.32440000000000002</v>
      </c>
      <c r="BE478" s="311">
        <v>0.34910000000000002</v>
      </c>
      <c r="BF478" s="311">
        <v>0.3039</v>
      </c>
      <c r="BG478" s="311">
        <v>0.34910000000000002</v>
      </c>
      <c r="BH478" s="311">
        <v>0.28010000000000002</v>
      </c>
      <c r="BI478" s="311">
        <v>0.30790000000000001</v>
      </c>
      <c r="BJ478" s="311">
        <v>0.29520000000000002</v>
      </c>
      <c r="BK478" s="311">
        <v>0.3826</v>
      </c>
    </row>
    <row r="479" spans="1:63" x14ac:dyDescent="0.25">
      <c r="A479" s="306">
        <v>312140</v>
      </c>
      <c r="B479" s="311" t="s">
        <v>57</v>
      </c>
      <c r="C479" s="311">
        <v>0.249</v>
      </c>
      <c r="D479" s="311">
        <v>0</v>
      </c>
      <c r="E479" s="311">
        <v>0</v>
      </c>
      <c r="F479" s="311">
        <v>0.2054</v>
      </c>
      <c r="G479" s="311">
        <v>0</v>
      </c>
      <c r="H479" s="311">
        <v>0.20200000000000001</v>
      </c>
      <c r="I479" s="311">
        <v>0.19670000000000001</v>
      </c>
      <c r="J479" s="311">
        <v>0.1774</v>
      </c>
      <c r="K479" s="311">
        <v>0</v>
      </c>
      <c r="L479" s="311">
        <v>0</v>
      </c>
      <c r="M479" s="311">
        <v>0.18310000000000001</v>
      </c>
      <c r="N479" s="311">
        <v>0.2046</v>
      </c>
      <c r="O479" s="311">
        <v>0.16009999999999999</v>
      </c>
      <c r="P479" s="311">
        <v>0.16500000000000001</v>
      </c>
      <c r="Q479" s="311">
        <v>0.16489999999999999</v>
      </c>
      <c r="R479" s="311">
        <v>0.21609999999999999</v>
      </c>
      <c r="S479" s="311">
        <v>0.20019999999999999</v>
      </c>
      <c r="T479" s="311">
        <v>0</v>
      </c>
      <c r="U479" s="311">
        <v>0.1895</v>
      </c>
      <c r="V479" s="311">
        <v>0</v>
      </c>
      <c r="W479" s="311">
        <v>0</v>
      </c>
      <c r="X479" s="311">
        <v>0.17799999999999999</v>
      </c>
      <c r="Y479" s="311">
        <v>0.18920000000000001</v>
      </c>
      <c r="Z479" s="311">
        <v>0.20019999999999999</v>
      </c>
      <c r="AA479" s="311">
        <v>0.20979999999999999</v>
      </c>
      <c r="AB479" s="311">
        <v>0.2051</v>
      </c>
      <c r="AC479" s="311">
        <v>0</v>
      </c>
      <c r="AD479" s="311">
        <v>0</v>
      </c>
      <c r="AE479" s="311">
        <v>0</v>
      </c>
      <c r="AF479" s="311">
        <v>0</v>
      </c>
      <c r="AG479" s="311">
        <v>0</v>
      </c>
      <c r="AH479" s="311">
        <v>0.1706</v>
      </c>
      <c r="AI479" s="311">
        <v>0.18490000000000001</v>
      </c>
      <c r="AJ479" s="311">
        <v>0</v>
      </c>
      <c r="AK479" s="311">
        <v>0</v>
      </c>
      <c r="AL479" s="311">
        <v>0.15570000000000001</v>
      </c>
      <c r="AM479" s="311">
        <v>0.21590000000000001</v>
      </c>
      <c r="AN479" s="311">
        <v>0</v>
      </c>
      <c r="AO479" s="311">
        <v>0.20130000000000001</v>
      </c>
      <c r="AP479" s="311">
        <v>0.20030000000000001</v>
      </c>
      <c r="AQ479" s="311">
        <v>0</v>
      </c>
      <c r="AR479" s="311">
        <v>0</v>
      </c>
      <c r="AS479" s="311">
        <v>0</v>
      </c>
      <c r="AT479" s="311">
        <v>0.19489999999999999</v>
      </c>
      <c r="AU479" s="311">
        <v>0.1933</v>
      </c>
      <c r="AV479" s="311">
        <v>0.18990000000000001</v>
      </c>
      <c r="AW479" s="311">
        <v>0</v>
      </c>
      <c r="AX479" s="311">
        <v>0</v>
      </c>
      <c r="AY479" s="311">
        <v>0.19070000000000001</v>
      </c>
      <c r="AZ479" s="311">
        <v>0.2009</v>
      </c>
      <c r="BA479" s="311">
        <v>0</v>
      </c>
      <c r="BB479" s="311">
        <v>0.1517</v>
      </c>
      <c r="BC479" s="311">
        <v>0.2014</v>
      </c>
      <c r="BD479" s="311">
        <v>0.19819999999999999</v>
      </c>
      <c r="BE479" s="311">
        <v>0.22109999999999999</v>
      </c>
      <c r="BF479" s="311">
        <v>0.20019999999999999</v>
      </c>
      <c r="BG479" s="311">
        <v>0.2077</v>
      </c>
      <c r="BH479" s="311">
        <v>0.20080000000000001</v>
      </c>
      <c r="BI479" s="311">
        <v>0.20710000000000001</v>
      </c>
      <c r="BJ479" s="311">
        <v>0.18629999999999999</v>
      </c>
      <c r="BK479" s="311">
        <v>0.20349999999999999</v>
      </c>
    </row>
    <row r="480" spans="1:63" x14ac:dyDescent="0.25">
      <c r="A480" s="306" t="s">
        <v>708</v>
      </c>
      <c r="B480" s="311" t="s">
        <v>58</v>
      </c>
      <c r="C480" s="311">
        <v>0.2167</v>
      </c>
      <c r="D480" s="311">
        <v>0</v>
      </c>
      <c r="E480" s="311">
        <v>0.16800000000000001</v>
      </c>
      <c r="F480" s="311">
        <v>0</v>
      </c>
      <c r="G480" s="311">
        <v>0</v>
      </c>
      <c r="H480" s="311">
        <v>0.16370000000000001</v>
      </c>
      <c r="I480" s="311">
        <v>0</v>
      </c>
      <c r="J480" s="311">
        <v>0.15290000000000001</v>
      </c>
      <c r="K480" s="311">
        <v>2.8299999999999999E-2</v>
      </c>
      <c r="L480" s="311">
        <v>0</v>
      </c>
      <c r="M480" s="311">
        <v>0.15720000000000001</v>
      </c>
      <c r="N480" s="311">
        <v>0.1857</v>
      </c>
      <c r="O480" s="311">
        <v>0</v>
      </c>
      <c r="P480" s="311">
        <v>0</v>
      </c>
      <c r="Q480" s="311">
        <v>0</v>
      </c>
      <c r="R480" s="311">
        <v>0.16639999999999999</v>
      </c>
      <c r="S480" s="311">
        <v>0.15260000000000001</v>
      </c>
      <c r="T480" s="311">
        <v>0</v>
      </c>
      <c r="U480" s="311">
        <v>0.1676</v>
      </c>
      <c r="V480" s="311">
        <v>0</v>
      </c>
      <c r="W480" s="311">
        <v>0</v>
      </c>
      <c r="X480" s="311">
        <v>0</v>
      </c>
      <c r="Y480" s="311">
        <v>0</v>
      </c>
      <c r="Z480" s="311">
        <v>0</v>
      </c>
      <c r="AA480" s="311">
        <v>0</v>
      </c>
      <c r="AB480" s="311">
        <v>0.15359999999999999</v>
      </c>
      <c r="AC480" s="311">
        <v>0</v>
      </c>
      <c r="AD480" s="311">
        <v>0</v>
      </c>
      <c r="AE480" s="311">
        <v>0.18859999999999999</v>
      </c>
      <c r="AF480" s="311">
        <v>0</v>
      </c>
      <c r="AG480" s="311">
        <v>0</v>
      </c>
      <c r="AH480" s="311">
        <v>0</v>
      </c>
      <c r="AI480" s="311">
        <v>0.15279999999999999</v>
      </c>
      <c r="AJ480" s="311">
        <v>0.13700000000000001</v>
      </c>
      <c r="AK480" s="311">
        <v>0</v>
      </c>
      <c r="AL480" s="311">
        <v>0.13</v>
      </c>
      <c r="AM480" s="311">
        <v>0</v>
      </c>
      <c r="AN480" s="311">
        <v>0.1525</v>
      </c>
      <c r="AO480" s="311">
        <v>0</v>
      </c>
      <c r="AP480" s="311">
        <v>0.17780000000000001</v>
      </c>
      <c r="AQ480" s="311">
        <v>0</v>
      </c>
      <c r="AR480" s="311">
        <v>0.1731</v>
      </c>
      <c r="AS480" s="311">
        <v>0</v>
      </c>
      <c r="AT480" s="311">
        <v>0.17630000000000001</v>
      </c>
      <c r="AU480" s="311">
        <v>0.1595</v>
      </c>
      <c r="AV480" s="311">
        <v>0.16450000000000001</v>
      </c>
      <c r="AW480" s="311">
        <v>0.17949999999999999</v>
      </c>
      <c r="AX480" s="311">
        <v>0</v>
      </c>
      <c r="AY480" s="311">
        <v>0.15570000000000001</v>
      </c>
      <c r="AZ480" s="311">
        <v>0.16800000000000001</v>
      </c>
      <c r="BA480" s="311">
        <v>0.126</v>
      </c>
      <c r="BB480" s="311">
        <v>0.13450000000000001</v>
      </c>
      <c r="BC480" s="311">
        <v>0.17100000000000001</v>
      </c>
      <c r="BD480" s="311">
        <v>0.1638</v>
      </c>
      <c r="BE480" s="311">
        <v>0.17580000000000001</v>
      </c>
      <c r="BF480" s="311">
        <v>0.15840000000000001</v>
      </c>
      <c r="BG480" s="311">
        <v>0.19520000000000001</v>
      </c>
      <c r="BH480" s="311">
        <v>0.1837</v>
      </c>
      <c r="BI480" s="311">
        <v>0.16489999999999999</v>
      </c>
      <c r="BJ480" s="311">
        <v>0.15740000000000001</v>
      </c>
      <c r="BK480" s="311">
        <v>0.16520000000000001</v>
      </c>
    </row>
    <row r="481" spans="1:63" x14ac:dyDescent="0.25">
      <c r="A481" s="306">
        <v>313100</v>
      </c>
      <c r="B481" s="311" t="s">
        <v>59</v>
      </c>
      <c r="C481" s="311">
        <v>0.51800000000000002</v>
      </c>
      <c r="D481" s="311">
        <v>0</v>
      </c>
      <c r="E481" s="311">
        <v>0.40089999999999998</v>
      </c>
      <c r="F481" s="311">
        <v>0</v>
      </c>
      <c r="G481" s="311">
        <v>0.315</v>
      </c>
      <c r="H481" s="311">
        <v>0.29909999999999998</v>
      </c>
      <c r="I481" s="311">
        <v>0</v>
      </c>
      <c r="J481" s="311">
        <v>0.25490000000000002</v>
      </c>
      <c r="K481" s="311">
        <v>0</v>
      </c>
      <c r="L481" s="311">
        <v>0</v>
      </c>
      <c r="M481" s="311">
        <v>0.29070000000000001</v>
      </c>
      <c r="N481" s="311">
        <v>0.40560000000000002</v>
      </c>
      <c r="O481" s="311">
        <v>0</v>
      </c>
      <c r="P481" s="311">
        <v>0</v>
      </c>
      <c r="Q481" s="311">
        <v>0.23050000000000001</v>
      </c>
      <c r="R481" s="311">
        <v>0.27429999999999999</v>
      </c>
      <c r="S481" s="311">
        <v>0.25319999999999998</v>
      </c>
      <c r="T481" s="311">
        <v>0.24970000000000001</v>
      </c>
      <c r="U481" s="311">
        <v>0</v>
      </c>
      <c r="V481" s="311">
        <v>0.3085</v>
      </c>
      <c r="W481" s="311">
        <v>0.26889999999999997</v>
      </c>
      <c r="X481" s="311">
        <v>0.2329</v>
      </c>
      <c r="Y481" s="311">
        <v>0.27329999999999999</v>
      </c>
      <c r="Z481" s="311">
        <v>0.25829999999999997</v>
      </c>
      <c r="AA481" s="311">
        <v>0</v>
      </c>
      <c r="AB481" s="311">
        <v>0</v>
      </c>
      <c r="AC481" s="311">
        <v>0.29420000000000002</v>
      </c>
      <c r="AD481" s="311">
        <v>0</v>
      </c>
      <c r="AE481" s="311">
        <v>0.4088</v>
      </c>
      <c r="AF481" s="311">
        <v>0</v>
      </c>
      <c r="AG481" s="311">
        <v>0.22720000000000001</v>
      </c>
      <c r="AH481" s="311">
        <v>0.24529999999999999</v>
      </c>
      <c r="AI481" s="311">
        <v>0.24970000000000001</v>
      </c>
      <c r="AJ481" s="311">
        <v>0.27150000000000002</v>
      </c>
      <c r="AK481" s="311">
        <v>0</v>
      </c>
      <c r="AL481" s="311">
        <v>0.2092</v>
      </c>
      <c r="AM481" s="311">
        <v>0.2913</v>
      </c>
      <c r="AN481" s="311">
        <v>0.27389999999999998</v>
      </c>
      <c r="AO481" s="311">
        <v>0.24610000000000001</v>
      </c>
      <c r="AP481" s="311">
        <v>0.28070000000000001</v>
      </c>
      <c r="AQ481" s="311">
        <v>0.25669999999999998</v>
      </c>
      <c r="AR481" s="311">
        <v>0.39950000000000002</v>
      </c>
      <c r="AS481" s="311">
        <v>0</v>
      </c>
      <c r="AT481" s="311">
        <v>0.39040000000000002</v>
      </c>
      <c r="AU481" s="311">
        <v>0.31240000000000001</v>
      </c>
      <c r="AV481" s="311">
        <v>0.26419999999999999</v>
      </c>
      <c r="AW481" s="311">
        <v>0.36320000000000002</v>
      </c>
      <c r="AX481" s="311">
        <v>0.2601</v>
      </c>
      <c r="AY481" s="311">
        <v>0.24779999999999999</v>
      </c>
      <c r="AZ481" s="311">
        <v>0.26889999999999997</v>
      </c>
      <c r="BA481" s="311">
        <v>0.20050000000000001</v>
      </c>
      <c r="BB481" s="311">
        <v>0.22189999999999999</v>
      </c>
      <c r="BC481" s="311">
        <v>0.30109999999999998</v>
      </c>
      <c r="BD481" s="311">
        <v>0.27250000000000002</v>
      </c>
      <c r="BE481" s="311">
        <v>0.28670000000000001</v>
      </c>
      <c r="BF481" s="311">
        <v>0.27600000000000002</v>
      </c>
      <c r="BG481" s="311">
        <v>0.44119999999999998</v>
      </c>
      <c r="BH481" s="311">
        <v>0.4219</v>
      </c>
      <c r="BI481" s="311">
        <v>0.31740000000000002</v>
      </c>
      <c r="BJ481" s="311">
        <v>0.28999999999999998</v>
      </c>
      <c r="BK481" s="311">
        <v>0.29709999999999998</v>
      </c>
    </row>
    <row r="482" spans="1:63" x14ac:dyDescent="0.25">
      <c r="A482" s="306">
        <v>313210</v>
      </c>
      <c r="B482" s="311" t="s">
        <v>60</v>
      </c>
      <c r="C482" s="311">
        <v>0.53210000000000002</v>
      </c>
      <c r="D482" s="311">
        <v>0</v>
      </c>
      <c r="E482" s="311">
        <v>0.4103</v>
      </c>
      <c r="F482" s="311">
        <v>0.32790000000000002</v>
      </c>
      <c r="G482" s="311">
        <v>0.35049999999999998</v>
      </c>
      <c r="H482" s="311">
        <v>0.38190000000000002</v>
      </c>
      <c r="I482" s="311">
        <v>0</v>
      </c>
      <c r="J482" s="311">
        <v>0.32540000000000002</v>
      </c>
      <c r="K482" s="311">
        <v>9.8100000000000007E-2</v>
      </c>
      <c r="L482" s="311">
        <v>0.27260000000000001</v>
      </c>
      <c r="M482" s="311">
        <v>0.34420000000000001</v>
      </c>
      <c r="N482" s="311">
        <v>0.433</v>
      </c>
      <c r="O482" s="311">
        <v>0</v>
      </c>
      <c r="P482" s="311">
        <v>0</v>
      </c>
      <c r="Q482" s="311">
        <v>0.29480000000000001</v>
      </c>
      <c r="R482" s="311">
        <v>0.3548</v>
      </c>
      <c r="S482" s="311">
        <v>0.31590000000000001</v>
      </c>
      <c r="T482" s="311">
        <v>0</v>
      </c>
      <c r="U482" s="311">
        <v>0.31109999999999999</v>
      </c>
      <c r="V482" s="311">
        <v>0.35389999999999999</v>
      </c>
      <c r="W482" s="311">
        <v>0.35320000000000001</v>
      </c>
      <c r="X482" s="311">
        <v>0.29270000000000002</v>
      </c>
      <c r="Y482" s="311">
        <v>0.34239999999999998</v>
      </c>
      <c r="Z482" s="311">
        <v>0.3367</v>
      </c>
      <c r="AA482" s="311">
        <v>0.33040000000000003</v>
      </c>
      <c r="AB482" s="311">
        <v>0.32169999999999999</v>
      </c>
      <c r="AC482" s="311">
        <v>0.34429999999999999</v>
      </c>
      <c r="AD482" s="311">
        <v>0.27989999999999998</v>
      </c>
      <c r="AE482" s="311">
        <v>0.43930000000000002</v>
      </c>
      <c r="AF482" s="311">
        <v>0.28310000000000002</v>
      </c>
      <c r="AG482" s="311">
        <v>0</v>
      </c>
      <c r="AH482" s="311">
        <v>0.31780000000000003</v>
      </c>
      <c r="AI482" s="311">
        <v>0.34820000000000001</v>
      </c>
      <c r="AJ482" s="311">
        <v>0.3095</v>
      </c>
      <c r="AK482" s="311">
        <v>0.28999999999999998</v>
      </c>
      <c r="AL482" s="311">
        <v>0.2969</v>
      </c>
      <c r="AM482" s="311">
        <v>0.36509999999999998</v>
      </c>
      <c r="AN482" s="311">
        <v>0.32879999999999998</v>
      </c>
      <c r="AO482" s="311">
        <v>0.32490000000000002</v>
      </c>
      <c r="AP482" s="311">
        <v>0.38319999999999999</v>
      </c>
      <c r="AQ482" s="311">
        <v>0.33329999999999999</v>
      </c>
      <c r="AR482" s="311">
        <v>0.41839999999999999</v>
      </c>
      <c r="AS482" s="311">
        <v>0</v>
      </c>
      <c r="AT482" s="311">
        <v>0.4093</v>
      </c>
      <c r="AU482" s="311">
        <v>0.36459999999999998</v>
      </c>
      <c r="AV482" s="311">
        <v>0.35909999999999997</v>
      </c>
      <c r="AW482" s="311">
        <v>0.39860000000000001</v>
      </c>
      <c r="AX482" s="311">
        <v>0.3029</v>
      </c>
      <c r="AY482" s="311">
        <v>0.32369999999999999</v>
      </c>
      <c r="AZ482" s="311">
        <v>0.34489999999999998</v>
      </c>
      <c r="BA482" s="311">
        <v>0</v>
      </c>
      <c r="BB482" s="311">
        <v>0</v>
      </c>
      <c r="BC482" s="311">
        <v>0.3982</v>
      </c>
      <c r="BD482" s="311">
        <v>0.38390000000000002</v>
      </c>
      <c r="BE482" s="311">
        <v>0.3679</v>
      </c>
      <c r="BF482" s="311">
        <v>0.33929999999999999</v>
      </c>
      <c r="BG482" s="311">
        <v>0.46929999999999999</v>
      </c>
      <c r="BH482" s="311">
        <v>0.43859999999999999</v>
      </c>
      <c r="BI482" s="311">
        <v>0.36859999999999998</v>
      </c>
      <c r="BJ482" s="311">
        <v>0.3483</v>
      </c>
      <c r="BK482" s="311">
        <v>0.38279999999999997</v>
      </c>
    </row>
    <row r="483" spans="1:63" x14ac:dyDescent="0.25">
      <c r="A483" s="306">
        <v>313220</v>
      </c>
      <c r="B483" s="311" t="s">
        <v>61</v>
      </c>
      <c r="C483" s="311">
        <v>0.58299999999999996</v>
      </c>
      <c r="D483" s="311">
        <v>0</v>
      </c>
      <c r="E483" s="311">
        <v>0.46550000000000002</v>
      </c>
      <c r="F483" s="311">
        <v>0</v>
      </c>
      <c r="G483" s="311">
        <v>0.40670000000000001</v>
      </c>
      <c r="H483" s="311">
        <v>0.4153</v>
      </c>
      <c r="I483" s="311">
        <v>0.3901</v>
      </c>
      <c r="J483" s="311">
        <v>0.40060000000000001</v>
      </c>
      <c r="K483" s="311">
        <v>0</v>
      </c>
      <c r="L483" s="311">
        <v>0</v>
      </c>
      <c r="M483" s="311">
        <v>0.40739999999999998</v>
      </c>
      <c r="N483" s="311">
        <v>0.48099999999999998</v>
      </c>
      <c r="O483" s="311">
        <v>0</v>
      </c>
      <c r="P483" s="311">
        <v>0</v>
      </c>
      <c r="Q483" s="311">
        <v>0.36909999999999998</v>
      </c>
      <c r="R483" s="311">
        <v>0.42130000000000001</v>
      </c>
      <c r="S483" s="311">
        <v>0</v>
      </c>
      <c r="T483" s="311">
        <v>0.33069999999999999</v>
      </c>
      <c r="U483" s="311">
        <v>0.37230000000000002</v>
      </c>
      <c r="V483" s="311">
        <v>0.4037</v>
      </c>
      <c r="W483" s="311">
        <v>0.4012</v>
      </c>
      <c r="X483" s="311">
        <v>0.3634</v>
      </c>
      <c r="Y483" s="311">
        <v>0.42899999999999999</v>
      </c>
      <c r="Z483" s="311">
        <v>0.39829999999999999</v>
      </c>
      <c r="AA483" s="311">
        <v>0.40060000000000001</v>
      </c>
      <c r="AB483" s="311">
        <v>0</v>
      </c>
      <c r="AC483" s="311">
        <v>0</v>
      </c>
      <c r="AD483" s="311">
        <v>0.34810000000000002</v>
      </c>
      <c r="AE483" s="311">
        <v>0.49459999999999998</v>
      </c>
      <c r="AF483" s="311">
        <v>0</v>
      </c>
      <c r="AG483" s="311">
        <v>0</v>
      </c>
      <c r="AH483" s="311">
        <v>0.39350000000000002</v>
      </c>
      <c r="AI483" s="311">
        <v>0.4017</v>
      </c>
      <c r="AJ483" s="311">
        <v>0.37109999999999999</v>
      </c>
      <c r="AK483" s="311">
        <v>0</v>
      </c>
      <c r="AL483" s="311">
        <v>0.33629999999999999</v>
      </c>
      <c r="AM483" s="311">
        <v>0.42470000000000002</v>
      </c>
      <c r="AN483" s="311">
        <v>0.38019999999999998</v>
      </c>
      <c r="AO483" s="311">
        <v>0</v>
      </c>
      <c r="AP483" s="311">
        <v>0.44240000000000002</v>
      </c>
      <c r="AQ483" s="311">
        <v>0.40600000000000003</v>
      </c>
      <c r="AR483" s="311">
        <v>0.47239999999999999</v>
      </c>
      <c r="AS483" s="311">
        <v>0</v>
      </c>
      <c r="AT483" s="311">
        <v>0.45960000000000001</v>
      </c>
      <c r="AU483" s="311">
        <v>0.41</v>
      </c>
      <c r="AV483" s="311">
        <v>0.41510000000000002</v>
      </c>
      <c r="AW483" s="311">
        <v>0.4793</v>
      </c>
      <c r="AX483" s="311">
        <v>0</v>
      </c>
      <c r="AY483" s="311">
        <v>0</v>
      </c>
      <c r="AZ483" s="311">
        <v>0</v>
      </c>
      <c r="BA483" s="311">
        <v>0</v>
      </c>
      <c r="BB483" s="311">
        <v>0</v>
      </c>
      <c r="BC483" s="311">
        <v>0.45400000000000001</v>
      </c>
      <c r="BD483" s="311">
        <v>0.43180000000000002</v>
      </c>
      <c r="BE483" s="311">
        <v>0.4274</v>
      </c>
      <c r="BF483" s="311">
        <v>0.39929999999999999</v>
      </c>
      <c r="BG483" s="311">
        <v>0.52490000000000003</v>
      </c>
      <c r="BH483" s="311">
        <v>0.48720000000000002</v>
      </c>
      <c r="BI483" s="311">
        <v>0.41249999999999998</v>
      </c>
      <c r="BJ483" s="311">
        <v>0.40329999999999999</v>
      </c>
      <c r="BK483" s="311">
        <v>0.41389999999999999</v>
      </c>
    </row>
    <row r="484" spans="1:63" x14ac:dyDescent="0.25">
      <c r="A484" s="306">
        <v>313230</v>
      </c>
      <c r="B484" s="311" t="s">
        <v>62</v>
      </c>
      <c r="C484" s="311">
        <v>0.45929999999999999</v>
      </c>
      <c r="D484" s="311">
        <v>0</v>
      </c>
      <c r="E484" s="311">
        <v>0.31929999999999997</v>
      </c>
      <c r="F484" s="311">
        <v>0.26579999999999998</v>
      </c>
      <c r="G484" s="311">
        <v>0.26450000000000001</v>
      </c>
      <c r="H484" s="311">
        <v>0.31109999999999999</v>
      </c>
      <c r="I484" s="311">
        <v>0</v>
      </c>
      <c r="J484" s="311">
        <v>0.27879999999999999</v>
      </c>
      <c r="K484" s="311">
        <v>0</v>
      </c>
      <c r="L484" s="311">
        <v>0.2319</v>
      </c>
      <c r="M484" s="311">
        <v>0.2681</v>
      </c>
      <c r="N484" s="311">
        <v>0.34699999999999998</v>
      </c>
      <c r="O484" s="311">
        <v>0</v>
      </c>
      <c r="P484" s="311">
        <v>0</v>
      </c>
      <c r="Q484" s="311">
        <v>0.2361</v>
      </c>
      <c r="R484" s="311">
        <v>0.33679999999999999</v>
      </c>
      <c r="S484" s="311">
        <v>0.30230000000000001</v>
      </c>
      <c r="T484" s="311">
        <v>0.24560000000000001</v>
      </c>
      <c r="U484" s="311">
        <v>0.2949</v>
      </c>
      <c r="V484" s="311">
        <v>0</v>
      </c>
      <c r="W484" s="311">
        <v>0.29399999999999998</v>
      </c>
      <c r="X484" s="311">
        <v>0.24390000000000001</v>
      </c>
      <c r="Y484" s="311">
        <v>0.27789999999999998</v>
      </c>
      <c r="Z484" s="311">
        <v>0</v>
      </c>
      <c r="AA484" s="311">
        <v>0</v>
      </c>
      <c r="AB484" s="311">
        <v>0.29420000000000002</v>
      </c>
      <c r="AC484" s="311">
        <v>0.28539999999999999</v>
      </c>
      <c r="AD484" s="311">
        <v>0</v>
      </c>
      <c r="AE484" s="311">
        <v>0.35110000000000002</v>
      </c>
      <c r="AF484" s="311">
        <v>0</v>
      </c>
      <c r="AG484" s="311">
        <v>0.23549999999999999</v>
      </c>
      <c r="AH484" s="311">
        <v>0.25109999999999999</v>
      </c>
      <c r="AI484" s="311">
        <v>0.30830000000000002</v>
      </c>
      <c r="AJ484" s="311">
        <v>0</v>
      </c>
      <c r="AK484" s="311">
        <v>0.2223</v>
      </c>
      <c r="AL484" s="311">
        <v>0.22939999999999999</v>
      </c>
      <c r="AM484" s="311">
        <v>0.34549999999999997</v>
      </c>
      <c r="AN484" s="311">
        <v>0.26200000000000001</v>
      </c>
      <c r="AO484" s="311">
        <v>0</v>
      </c>
      <c r="AP484" s="311">
        <v>0.33750000000000002</v>
      </c>
      <c r="AQ484" s="311">
        <v>0.28289999999999998</v>
      </c>
      <c r="AR484" s="311">
        <v>0.34310000000000002</v>
      </c>
      <c r="AS484" s="311">
        <v>0</v>
      </c>
      <c r="AT484" s="311">
        <v>0.33310000000000001</v>
      </c>
      <c r="AU484" s="311">
        <v>0.32779999999999998</v>
      </c>
      <c r="AV484" s="311">
        <v>0</v>
      </c>
      <c r="AW484" s="311">
        <v>0.30409999999999998</v>
      </c>
      <c r="AX484" s="311">
        <v>0</v>
      </c>
      <c r="AY484" s="311">
        <v>0.26250000000000001</v>
      </c>
      <c r="AZ484" s="311">
        <v>0.30480000000000002</v>
      </c>
      <c r="BA484" s="311">
        <v>0.2326</v>
      </c>
      <c r="BB484" s="311">
        <v>0</v>
      </c>
      <c r="BC484" s="311">
        <v>0.33150000000000002</v>
      </c>
      <c r="BD484" s="311">
        <v>0.32729999999999998</v>
      </c>
      <c r="BE484" s="311">
        <v>0.35270000000000001</v>
      </c>
      <c r="BF484" s="311">
        <v>0.2989</v>
      </c>
      <c r="BG484" s="311">
        <v>0.37630000000000002</v>
      </c>
      <c r="BH484" s="311">
        <v>0.35809999999999997</v>
      </c>
      <c r="BI484" s="311">
        <v>0.33289999999999997</v>
      </c>
      <c r="BJ484" s="311">
        <v>0.27679999999999999</v>
      </c>
      <c r="BK484" s="311">
        <v>0.3075</v>
      </c>
    </row>
    <row r="485" spans="1:63" x14ac:dyDescent="0.25">
      <c r="A485" s="306">
        <v>313240</v>
      </c>
      <c r="B485" s="311" t="s">
        <v>63</v>
      </c>
      <c r="C485" s="311">
        <v>0.55349999999999999</v>
      </c>
      <c r="D485" s="311">
        <v>0</v>
      </c>
      <c r="E485" s="311">
        <v>0.42880000000000001</v>
      </c>
      <c r="F485" s="311">
        <v>0</v>
      </c>
      <c r="G485" s="311">
        <v>0.33689999999999998</v>
      </c>
      <c r="H485" s="311">
        <v>0.3543</v>
      </c>
      <c r="I485" s="311">
        <v>0</v>
      </c>
      <c r="J485" s="311">
        <v>0</v>
      </c>
      <c r="K485" s="311">
        <v>0</v>
      </c>
      <c r="L485" s="311">
        <v>0</v>
      </c>
      <c r="M485" s="311">
        <v>0.32679999999999998</v>
      </c>
      <c r="N485" s="311">
        <v>0.4511</v>
      </c>
      <c r="O485" s="311">
        <v>0</v>
      </c>
      <c r="P485" s="311">
        <v>0.27310000000000001</v>
      </c>
      <c r="Q485" s="311">
        <v>0</v>
      </c>
      <c r="R485" s="311">
        <v>0.3387</v>
      </c>
      <c r="S485" s="311">
        <v>0.29830000000000001</v>
      </c>
      <c r="T485" s="311">
        <v>0.26619999999999999</v>
      </c>
      <c r="U485" s="311">
        <v>0.28810000000000002</v>
      </c>
      <c r="V485" s="311">
        <v>0</v>
      </c>
      <c r="W485" s="311">
        <v>0.34129999999999999</v>
      </c>
      <c r="X485" s="311">
        <v>0.30570000000000003</v>
      </c>
      <c r="Y485" s="311">
        <v>0.36509999999999998</v>
      </c>
      <c r="Z485" s="311">
        <v>0.31819999999999998</v>
      </c>
      <c r="AA485" s="311">
        <v>0.31190000000000001</v>
      </c>
      <c r="AB485" s="311">
        <v>0.29070000000000001</v>
      </c>
      <c r="AC485" s="311">
        <v>0.31030000000000002</v>
      </c>
      <c r="AD485" s="311">
        <v>0</v>
      </c>
      <c r="AE485" s="311">
        <v>0.45429999999999998</v>
      </c>
      <c r="AF485" s="311">
        <v>0</v>
      </c>
      <c r="AG485" s="311">
        <v>0</v>
      </c>
      <c r="AH485" s="311">
        <v>0.32390000000000002</v>
      </c>
      <c r="AI485" s="311">
        <v>0.33510000000000001</v>
      </c>
      <c r="AJ485" s="311">
        <v>0</v>
      </c>
      <c r="AK485" s="311">
        <v>0</v>
      </c>
      <c r="AL485" s="311">
        <v>0.2802</v>
      </c>
      <c r="AM485" s="311">
        <v>0</v>
      </c>
      <c r="AN485" s="311">
        <v>0</v>
      </c>
      <c r="AO485" s="311">
        <v>0</v>
      </c>
      <c r="AP485" s="311">
        <v>0.37040000000000001</v>
      </c>
      <c r="AQ485" s="311">
        <v>0.35770000000000002</v>
      </c>
      <c r="AR485" s="311">
        <v>0.43830000000000002</v>
      </c>
      <c r="AS485" s="311">
        <v>0</v>
      </c>
      <c r="AT485" s="311">
        <v>0.43120000000000003</v>
      </c>
      <c r="AU485" s="311">
        <v>0</v>
      </c>
      <c r="AV485" s="311">
        <v>0</v>
      </c>
      <c r="AW485" s="311">
        <v>0</v>
      </c>
      <c r="AX485" s="311">
        <v>0</v>
      </c>
      <c r="AY485" s="311">
        <v>0</v>
      </c>
      <c r="AZ485" s="311">
        <v>0.33300000000000002</v>
      </c>
      <c r="BA485" s="311">
        <v>0</v>
      </c>
      <c r="BB485" s="311">
        <v>0</v>
      </c>
      <c r="BC485" s="311">
        <v>0.38750000000000001</v>
      </c>
      <c r="BD485" s="311">
        <v>0.36280000000000001</v>
      </c>
      <c r="BE485" s="311">
        <v>0.34320000000000001</v>
      </c>
      <c r="BF485" s="311">
        <v>0.313</v>
      </c>
      <c r="BG485" s="311">
        <v>0.49130000000000001</v>
      </c>
      <c r="BH485" s="311">
        <v>0.45250000000000001</v>
      </c>
      <c r="BI485" s="311">
        <v>0</v>
      </c>
      <c r="BJ485" s="311">
        <v>0.33090000000000003</v>
      </c>
      <c r="BK485" s="311">
        <v>0.35370000000000001</v>
      </c>
    </row>
    <row r="486" spans="1:63" x14ac:dyDescent="0.25">
      <c r="A486" s="306">
        <v>313310</v>
      </c>
      <c r="B486" s="311" t="s">
        <v>64</v>
      </c>
      <c r="C486" s="311">
        <v>0.441</v>
      </c>
      <c r="D486" s="311">
        <v>0.221</v>
      </c>
      <c r="E486" s="311">
        <v>0.32390000000000002</v>
      </c>
      <c r="F486" s="311">
        <v>0.25559999999999999</v>
      </c>
      <c r="G486" s="311">
        <v>0.26369999999999999</v>
      </c>
      <c r="H486" s="311">
        <v>0.30659999999999998</v>
      </c>
      <c r="I486" s="311">
        <v>0.26700000000000002</v>
      </c>
      <c r="J486" s="311">
        <v>0.2636</v>
      </c>
      <c r="K486" s="311">
        <v>7.6200000000000004E-2</v>
      </c>
      <c r="L486" s="311">
        <v>0.2082</v>
      </c>
      <c r="M486" s="311">
        <v>0.26079999999999998</v>
      </c>
      <c r="N486" s="311">
        <v>0.3498</v>
      </c>
      <c r="O486" s="311">
        <v>0.2394</v>
      </c>
      <c r="P486" s="311">
        <v>0.24110000000000001</v>
      </c>
      <c r="Q486" s="311">
        <v>0.2361</v>
      </c>
      <c r="R486" s="311">
        <v>0.29370000000000002</v>
      </c>
      <c r="S486" s="311">
        <v>0.26939999999999997</v>
      </c>
      <c r="T486" s="311">
        <v>0.22739999999999999</v>
      </c>
      <c r="U486" s="311">
        <v>0.2636</v>
      </c>
      <c r="V486" s="311">
        <v>0.28960000000000002</v>
      </c>
      <c r="W486" s="311">
        <v>0.2979</v>
      </c>
      <c r="X486" s="311">
        <v>0.2397</v>
      </c>
      <c r="Y486" s="311">
        <v>0.29270000000000002</v>
      </c>
      <c r="Z486" s="311">
        <v>0.28260000000000002</v>
      </c>
      <c r="AA486" s="311">
        <v>0.2727</v>
      </c>
      <c r="AB486" s="311">
        <v>0.2462</v>
      </c>
      <c r="AC486" s="311">
        <v>0.28589999999999999</v>
      </c>
      <c r="AD486" s="311">
        <v>0.2276</v>
      </c>
      <c r="AE486" s="311">
        <v>0.3624</v>
      </c>
      <c r="AF486" s="311">
        <v>0.24709999999999999</v>
      </c>
      <c r="AG486" s="311">
        <v>0.22670000000000001</v>
      </c>
      <c r="AH486" s="311">
        <v>0.28299999999999997</v>
      </c>
      <c r="AI486" s="311">
        <v>0.29399999999999998</v>
      </c>
      <c r="AJ486" s="311">
        <v>0.23369999999999999</v>
      </c>
      <c r="AK486" s="311">
        <v>0</v>
      </c>
      <c r="AL486" s="311">
        <v>0.24990000000000001</v>
      </c>
      <c r="AM486" s="311">
        <v>0.29270000000000002</v>
      </c>
      <c r="AN486" s="311">
        <v>0.254</v>
      </c>
      <c r="AO486" s="311">
        <v>0.27310000000000001</v>
      </c>
      <c r="AP486" s="311">
        <v>0.35659999999999997</v>
      </c>
      <c r="AQ486" s="311">
        <v>0.28139999999999998</v>
      </c>
      <c r="AR486" s="311">
        <v>0.34660000000000002</v>
      </c>
      <c r="AS486" s="311">
        <v>0.21740000000000001</v>
      </c>
      <c r="AT486" s="311">
        <v>0.32319999999999999</v>
      </c>
      <c r="AU486" s="311">
        <v>0.30940000000000001</v>
      </c>
      <c r="AV486" s="311">
        <v>0.29670000000000002</v>
      </c>
      <c r="AW486" s="311">
        <v>0.31630000000000003</v>
      </c>
      <c r="AX486" s="311">
        <v>0.23139999999999999</v>
      </c>
      <c r="AY486" s="311">
        <v>0.26919999999999999</v>
      </c>
      <c r="AZ486" s="311">
        <v>0.308</v>
      </c>
      <c r="BA486" s="311">
        <v>0</v>
      </c>
      <c r="BB486" s="311">
        <v>0.22550000000000001</v>
      </c>
      <c r="BC486" s="311">
        <v>0.34699999999999998</v>
      </c>
      <c r="BD486" s="311">
        <v>0.33479999999999999</v>
      </c>
      <c r="BE486" s="311">
        <v>0.30940000000000001</v>
      </c>
      <c r="BF486" s="311">
        <v>0.27179999999999999</v>
      </c>
      <c r="BG486" s="311">
        <v>0.38850000000000001</v>
      </c>
      <c r="BH486" s="311">
        <v>0.3569</v>
      </c>
      <c r="BI486" s="311">
        <v>0.30919999999999997</v>
      </c>
      <c r="BJ486" s="311">
        <v>0.27350000000000002</v>
      </c>
      <c r="BK486" s="311">
        <v>0.30809999999999998</v>
      </c>
    </row>
    <row r="487" spans="1:63" x14ac:dyDescent="0.25">
      <c r="A487" s="306">
        <v>313320</v>
      </c>
      <c r="B487" s="311" t="s">
        <v>65</v>
      </c>
      <c r="C487" s="311">
        <v>0.52569999999999995</v>
      </c>
      <c r="D487" s="311">
        <v>0</v>
      </c>
      <c r="E487" s="311">
        <v>0</v>
      </c>
      <c r="F487" s="311">
        <v>0.34110000000000001</v>
      </c>
      <c r="G487" s="311">
        <v>0.30740000000000001</v>
      </c>
      <c r="H487" s="311">
        <v>0.35020000000000001</v>
      </c>
      <c r="I487" s="311">
        <v>0.31240000000000001</v>
      </c>
      <c r="J487" s="311">
        <v>0.33</v>
      </c>
      <c r="K487" s="311">
        <v>0</v>
      </c>
      <c r="L487" s="311">
        <v>0.28770000000000001</v>
      </c>
      <c r="M487" s="311">
        <v>0.31540000000000001</v>
      </c>
      <c r="N487" s="311">
        <v>0.41099999999999998</v>
      </c>
      <c r="O487" s="311">
        <v>0</v>
      </c>
      <c r="P487" s="311">
        <v>0</v>
      </c>
      <c r="Q487" s="311">
        <v>0</v>
      </c>
      <c r="R487" s="311">
        <v>0.37119999999999997</v>
      </c>
      <c r="S487" s="311">
        <v>0.3584</v>
      </c>
      <c r="T487" s="311">
        <v>0</v>
      </c>
      <c r="U487" s="311">
        <v>0</v>
      </c>
      <c r="V487" s="311">
        <v>0</v>
      </c>
      <c r="W487" s="311">
        <v>0.37519999999999998</v>
      </c>
      <c r="X487" s="311">
        <v>0.2742</v>
      </c>
      <c r="Y487" s="311">
        <v>0.3483</v>
      </c>
      <c r="Z487" s="311">
        <v>0.33910000000000001</v>
      </c>
      <c r="AA487" s="311">
        <v>0.33610000000000001</v>
      </c>
      <c r="AB487" s="311">
        <v>0.32979999999999998</v>
      </c>
      <c r="AC487" s="311">
        <v>0</v>
      </c>
      <c r="AD487" s="311">
        <v>0</v>
      </c>
      <c r="AE487" s="311">
        <v>0.4108</v>
      </c>
      <c r="AF487" s="311">
        <v>0</v>
      </c>
      <c r="AG487" s="311">
        <v>0</v>
      </c>
      <c r="AH487" s="311">
        <v>0.33700000000000002</v>
      </c>
      <c r="AI487" s="311">
        <v>0.35909999999999997</v>
      </c>
      <c r="AJ487" s="311">
        <v>0.26750000000000002</v>
      </c>
      <c r="AK487" s="311">
        <v>0.27489999999999998</v>
      </c>
      <c r="AL487" s="311">
        <v>0.27860000000000001</v>
      </c>
      <c r="AM487" s="311">
        <v>0.41289999999999999</v>
      </c>
      <c r="AN487" s="311">
        <v>0.30359999999999998</v>
      </c>
      <c r="AO487" s="311">
        <v>0</v>
      </c>
      <c r="AP487" s="311">
        <v>0.39639999999999997</v>
      </c>
      <c r="AQ487" s="311">
        <v>0.34889999999999999</v>
      </c>
      <c r="AR487" s="311">
        <v>0.40389999999999998</v>
      </c>
      <c r="AS487" s="311">
        <v>0</v>
      </c>
      <c r="AT487" s="311">
        <v>0.39319999999999999</v>
      </c>
      <c r="AU487" s="311">
        <v>0.37280000000000002</v>
      </c>
      <c r="AV487" s="311">
        <v>0.32940000000000003</v>
      </c>
      <c r="AW487" s="311">
        <v>0.38059999999999999</v>
      </c>
      <c r="AX487" s="311">
        <v>0</v>
      </c>
      <c r="AY487" s="311">
        <v>0.31790000000000002</v>
      </c>
      <c r="AZ487" s="311">
        <v>0.38440000000000002</v>
      </c>
      <c r="BA487" s="311">
        <v>0</v>
      </c>
      <c r="BB487" s="311">
        <v>0</v>
      </c>
      <c r="BC487" s="311">
        <v>0.42259999999999998</v>
      </c>
      <c r="BD487" s="311">
        <v>0.38479999999999998</v>
      </c>
      <c r="BE487" s="311">
        <v>0.41289999999999999</v>
      </c>
      <c r="BF487" s="311">
        <v>0.34310000000000002</v>
      </c>
      <c r="BG487" s="311">
        <v>0.43969999999999998</v>
      </c>
      <c r="BH487" s="311">
        <v>0.42459999999999998</v>
      </c>
      <c r="BI487" s="311">
        <v>0.37890000000000001</v>
      </c>
      <c r="BJ487" s="311">
        <v>0.31659999999999999</v>
      </c>
      <c r="BK487" s="311">
        <v>0.35120000000000001</v>
      </c>
    </row>
    <row r="488" spans="1:63" x14ac:dyDescent="0.25">
      <c r="A488" s="306">
        <v>314110</v>
      </c>
      <c r="B488" s="311" t="s">
        <v>66</v>
      </c>
      <c r="C488" s="311">
        <v>0.44309999999999999</v>
      </c>
      <c r="D488" s="311">
        <v>0</v>
      </c>
      <c r="E488" s="311">
        <v>0.33889999999999998</v>
      </c>
      <c r="F488" s="311">
        <v>0.18840000000000001</v>
      </c>
      <c r="G488" s="311">
        <v>0.21</v>
      </c>
      <c r="H488" s="311">
        <v>0.1963</v>
      </c>
      <c r="I488" s="311">
        <v>0.1807</v>
      </c>
      <c r="J488" s="311">
        <v>0.17849999999999999</v>
      </c>
      <c r="K488" s="311">
        <v>5.11E-2</v>
      </c>
      <c r="L488" s="311">
        <v>0</v>
      </c>
      <c r="M488" s="311">
        <v>0.2029</v>
      </c>
      <c r="N488" s="311">
        <v>0.34760000000000002</v>
      </c>
      <c r="O488" s="311">
        <v>0</v>
      </c>
      <c r="P488" s="311">
        <v>0.16450000000000001</v>
      </c>
      <c r="Q488" s="311">
        <v>0</v>
      </c>
      <c r="R488" s="311">
        <v>0.19839999999999999</v>
      </c>
      <c r="S488" s="311">
        <v>0.1948</v>
      </c>
      <c r="T488" s="311">
        <v>0.1908</v>
      </c>
      <c r="U488" s="311">
        <v>0.1981</v>
      </c>
      <c r="V488" s="311">
        <v>0</v>
      </c>
      <c r="W488" s="311">
        <v>0.20699999999999999</v>
      </c>
      <c r="X488" s="311">
        <v>0.19420000000000001</v>
      </c>
      <c r="Y488" s="311">
        <v>0.24440000000000001</v>
      </c>
      <c r="Z488" s="311">
        <v>0.191</v>
      </c>
      <c r="AA488" s="311">
        <v>0.18110000000000001</v>
      </c>
      <c r="AB488" s="311">
        <v>0.18160000000000001</v>
      </c>
      <c r="AC488" s="311">
        <v>0</v>
      </c>
      <c r="AD488" s="311">
        <v>0</v>
      </c>
      <c r="AE488" s="311">
        <v>0.3553</v>
      </c>
      <c r="AF488" s="311">
        <v>0</v>
      </c>
      <c r="AG488" s="311">
        <v>0.1663</v>
      </c>
      <c r="AH488" s="311">
        <v>0.20269999999999999</v>
      </c>
      <c r="AI488" s="311">
        <v>0.187</v>
      </c>
      <c r="AJ488" s="311">
        <v>0.16739999999999999</v>
      </c>
      <c r="AK488" s="311">
        <v>0</v>
      </c>
      <c r="AL488" s="311">
        <v>0.16339999999999999</v>
      </c>
      <c r="AM488" s="311">
        <v>0.2301</v>
      </c>
      <c r="AN488" s="311">
        <v>0.1739</v>
      </c>
      <c r="AO488" s="311">
        <v>0</v>
      </c>
      <c r="AP488" s="311">
        <v>0.22750000000000001</v>
      </c>
      <c r="AQ488" s="311">
        <v>0.23380000000000001</v>
      </c>
      <c r="AR488" s="311">
        <v>0.34710000000000002</v>
      </c>
      <c r="AS488" s="311">
        <v>0</v>
      </c>
      <c r="AT488" s="311">
        <v>0.32669999999999999</v>
      </c>
      <c r="AU488" s="311">
        <v>0.2059</v>
      </c>
      <c r="AV488" s="311">
        <v>0</v>
      </c>
      <c r="AW488" s="311">
        <v>0.31759999999999999</v>
      </c>
      <c r="AX488" s="311">
        <v>0.1842</v>
      </c>
      <c r="AY488" s="311">
        <v>0.17630000000000001</v>
      </c>
      <c r="AZ488" s="311">
        <v>0.21560000000000001</v>
      </c>
      <c r="BA488" s="311">
        <v>0</v>
      </c>
      <c r="BB488" s="311">
        <v>0</v>
      </c>
      <c r="BC488" s="311">
        <v>0.2487</v>
      </c>
      <c r="BD488" s="311">
        <v>0.20960000000000001</v>
      </c>
      <c r="BE488" s="311">
        <v>0.2225</v>
      </c>
      <c r="BF488" s="311">
        <v>0.19</v>
      </c>
      <c r="BG488" s="311">
        <v>0.37259999999999999</v>
      </c>
      <c r="BH488" s="311">
        <v>0.36370000000000002</v>
      </c>
      <c r="BI488" s="311">
        <v>0.2127</v>
      </c>
      <c r="BJ488" s="311">
        <v>0.19289999999999999</v>
      </c>
      <c r="BK488" s="311">
        <v>0.1958</v>
      </c>
    </row>
    <row r="489" spans="1:63" x14ac:dyDescent="0.25">
      <c r="A489" s="306">
        <v>314120</v>
      </c>
      <c r="B489" s="311" t="s">
        <v>67</v>
      </c>
      <c r="C489" s="311">
        <v>0.42280000000000001</v>
      </c>
      <c r="D489" s="311">
        <v>0</v>
      </c>
      <c r="E489" s="311">
        <v>0.3427</v>
      </c>
      <c r="F489" s="311">
        <v>0.25040000000000001</v>
      </c>
      <c r="G489" s="311">
        <v>0.26600000000000001</v>
      </c>
      <c r="H489" s="311">
        <v>0.2954</v>
      </c>
      <c r="I489" s="311">
        <v>0.26619999999999999</v>
      </c>
      <c r="J489" s="311">
        <v>0.27179999999999999</v>
      </c>
      <c r="K489" s="311">
        <v>8.1900000000000001E-2</v>
      </c>
      <c r="L489" s="311">
        <v>0.1729</v>
      </c>
      <c r="M489" s="311">
        <v>0.26490000000000002</v>
      </c>
      <c r="N489" s="311">
        <v>0.35460000000000003</v>
      </c>
      <c r="O489" s="311">
        <v>0.23699999999999999</v>
      </c>
      <c r="P489" s="311">
        <v>0.2351</v>
      </c>
      <c r="Q489" s="311">
        <v>0.24340000000000001</v>
      </c>
      <c r="R489" s="311">
        <v>0.28770000000000001</v>
      </c>
      <c r="S489" s="311">
        <v>0.26860000000000001</v>
      </c>
      <c r="T489" s="311">
        <v>0.2455</v>
      </c>
      <c r="U489" s="311">
        <v>0.26829999999999998</v>
      </c>
      <c r="V489" s="311">
        <v>0.27800000000000002</v>
      </c>
      <c r="W489" s="311">
        <v>0.27950000000000003</v>
      </c>
      <c r="X489" s="311">
        <v>0.25119999999999998</v>
      </c>
      <c r="Y489" s="311">
        <v>0.31740000000000002</v>
      </c>
      <c r="Z489" s="311">
        <v>0.27200000000000002</v>
      </c>
      <c r="AA489" s="311">
        <v>0.28089999999999998</v>
      </c>
      <c r="AB489" s="311">
        <v>0.25819999999999999</v>
      </c>
      <c r="AC489" s="311">
        <v>0.29630000000000001</v>
      </c>
      <c r="AD489" s="311">
        <v>0.23760000000000001</v>
      </c>
      <c r="AE489" s="311">
        <v>0.3624</v>
      </c>
      <c r="AF489" s="311">
        <v>0.24660000000000001</v>
      </c>
      <c r="AG489" s="311">
        <v>0.22470000000000001</v>
      </c>
      <c r="AH489" s="311">
        <v>0.28620000000000001</v>
      </c>
      <c r="AI489" s="311">
        <v>0.26679999999999998</v>
      </c>
      <c r="AJ489" s="311">
        <v>0.2306</v>
      </c>
      <c r="AK489" s="311">
        <v>0.2427</v>
      </c>
      <c r="AL489" s="311">
        <v>0.2601</v>
      </c>
      <c r="AM489" s="311">
        <v>0.29089999999999999</v>
      </c>
      <c r="AN489" s="311">
        <v>0.25940000000000002</v>
      </c>
      <c r="AO489" s="311">
        <v>0.26419999999999999</v>
      </c>
      <c r="AP489" s="311">
        <v>0.34370000000000001</v>
      </c>
      <c r="AQ489" s="311">
        <v>0.26079999999999998</v>
      </c>
      <c r="AR489" s="311">
        <v>0.3463</v>
      </c>
      <c r="AS489" s="311">
        <v>0.22900000000000001</v>
      </c>
      <c r="AT489" s="311">
        <v>0.2954</v>
      </c>
      <c r="AU489" s="311">
        <v>0.30380000000000001</v>
      </c>
      <c r="AV489" s="311">
        <v>0.2923</v>
      </c>
      <c r="AW489" s="311">
        <v>0.32869999999999999</v>
      </c>
      <c r="AX489" s="311">
        <v>0.2271</v>
      </c>
      <c r="AY489" s="311">
        <v>0.27279999999999999</v>
      </c>
      <c r="AZ489" s="311">
        <v>0.31290000000000001</v>
      </c>
      <c r="BA489" s="311">
        <v>0.21129999999999999</v>
      </c>
      <c r="BB489" s="311">
        <v>0.13009999999999999</v>
      </c>
      <c r="BC489" s="311">
        <v>0.34920000000000001</v>
      </c>
      <c r="BD489" s="311">
        <v>0.3206</v>
      </c>
      <c r="BE489" s="311">
        <v>0.3044</v>
      </c>
      <c r="BF489" s="311">
        <v>0.27250000000000002</v>
      </c>
      <c r="BG489" s="311">
        <v>0.37280000000000002</v>
      </c>
      <c r="BH489" s="311">
        <v>0.3624</v>
      </c>
      <c r="BI489" s="311">
        <v>0.30070000000000002</v>
      </c>
      <c r="BJ489" s="311">
        <v>0.27479999999999999</v>
      </c>
      <c r="BK489" s="311">
        <v>0.29709999999999998</v>
      </c>
    </row>
    <row r="490" spans="1:63" x14ac:dyDescent="0.25">
      <c r="A490" s="306">
        <v>314910</v>
      </c>
      <c r="B490" s="311" t="s">
        <v>68</v>
      </c>
      <c r="C490" s="311">
        <v>0.56189999999999996</v>
      </c>
      <c r="D490" s="311">
        <v>0.36230000000000001</v>
      </c>
      <c r="E490" s="311">
        <v>0.43990000000000001</v>
      </c>
      <c r="F490" s="311">
        <v>0.39319999999999999</v>
      </c>
      <c r="G490" s="311">
        <v>0.4304</v>
      </c>
      <c r="H490" s="311">
        <v>0.45379999999999998</v>
      </c>
      <c r="I490" s="311">
        <v>0.433</v>
      </c>
      <c r="J490" s="311">
        <v>0.4224</v>
      </c>
      <c r="K490" s="311">
        <v>0</v>
      </c>
      <c r="L490" s="311">
        <v>0.28610000000000002</v>
      </c>
      <c r="M490" s="311">
        <v>0.41810000000000003</v>
      </c>
      <c r="N490" s="311">
        <v>0.47889999999999999</v>
      </c>
      <c r="O490" s="311">
        <v>0.38779999999999998</v>
      </c>
      <c r="P490" s="311">
        <v>0.37980000000000003</v>
      </c>
      <c r="Q490" s="311">
        <v>0.38590000000000002</v>
      </c>
      <c r="R490" s="311">
        <v>0.45079999999999998</v>
      </c>
      <c r="S490" s="311">
        <v>0.4284</v>
      </c>
      <c r="T490" s="311">
        <v>0.38650000000000001</v>
      </c>
      <c r="U490" s="311">
        <v>0.41320000000000001</v>
      </c>
      <c r="V490" s="311">
        <v>0.41839999999999999</v>
      </c>
      <c r="W490" s="311">
        <v>0.42449999999999999</v>
      </c>
      <c r="X490" s="311">
        <v>0.39660000000000001</v>
      </c>
      <c r="Y490" s="311">
        <v>0.43640000000000001</v>
      </c>
      <c r="Z490" s="311">
        <v>0.44500000000000001</v>
      </c>
      <c r="AA490" s="311">
        <v>0.43120000000000003</v>
      </c>
      <c r="AB490" s="311">
        <v>0.43</v>
      </c>
      <c r="AC490" s="311">
        <v>0.39689999999999998</v>
      </c>
      <c r="AD490" s="311">
        <v>0.3755</v>
      </c>
      <c r="AE490" s="311">
        <v>0.4829</v>
      </c>
      <c r="AF490" s="311">
        <v>0.35439999999999999</v>
      </c>
      <c r="AG490" s="311">
        <v>0.36380000000000001</v>
      </c>
      <c r="AH490" s="311">
        <v>0.41160000000000002</v>
      </c>
      <c r="AI490" s="311">
        <v>0.42449999999999999</v>
      </c>
      <c r="AJ490" s="311">
        <v>0.379</v>
      </c>
      <c r="AK490" s="311">
        <v>0.40839999999999999</v>
      </c>
      <c r="AL490" s="311">
        <v>0.39689999999999998</v>
      </c>
      <c r="AM490" s="311">
        <v>0.46189999999999998</v>
      </c>
      <c r="AN490" s="311">
        <v>0.41189999999999999</v>
      </c>
      <c r="AO490" s="311">
        <v>0.40679999999999999</v>
      </c>
      <c r="AP490" s="311">
        <v>0.47899999999999998</v>
      </c>
      <c r="AQ490" s="311">
        <v>0.40389999999999998</v>
      </c>
      <c r="AR490" s="311">
        <v>0.47</v>
      </c>
      <c r="AS490" s="311">
        <v>0.36699999999999999</v>
      </c>
      <c r="AT490" s="311">
        <v>0.43190000000000001</v>
      </c>
      <c r="AU490" s="311">
        <v>0.4607</v>
      </c>
      <c r="AV490" s="311">
        <v>0.44190000000000002</v>
      </c>
      <c r="AW490" s="311">
        <v>0.45550000000000002</v>
      </c>
      <c r="AX490" s="311">
        <v>0.35610000000000003</v>
      </c>
      <c r="AY490" s="311">
        <v>0.42</v>
      </c>
      <c r="AZ490" s="311">
        <v>0.4461</v>
      </c>
      <c r="BA490" s="311">
        <v>0.33979999999999999</v>
      </c>
      <c r="BB490" s="311">
        <v>0.20449999999999999</v>
      </c>
      <c r="BC490" s="311">
        <v>0.4945</v>
      </c>
      <c r="BD490" s="311">
        <v>0.47499999999999998</v>
      </c>
      <c r="BE490" s="311">
        <v>0.47570000000000001</v>
      </c>
      <c r="BF490" s="311">
        <v>0.43809999999999999</v>
      </c>
      <c r="BG490" s="311">
        <v>0.50460000000000005</v>
      </c>
      <c r="BH490" s="311">
        <v>0.4849</v>
      </c>
      <c r="BI490" s="311">
        <v>0.45710000000000001</v>
      </c>
      <c r="BJ490" s="311">
        <v>0.43919999999999998</v>
      </c>
      <c r="BK490" s="311">
        <v>0.45290000000000002</v>
      </c>
    </row>
    <row r="491" spans="1:63" x14ac:dyDescent="0.25">
      <c r="A491" s="306">
        <v>314990</v>
      </c>
      <c r="B491" s="311" t="s">
        <v>69</v>
      </c>
      <c r="C491" s="311">
        <v>0.49709999999999999</v>
      </c>
      <c r="D491" s="311">
        <v>0.28599999999999998</v>
      </c>
      <c r="E491" s="311">
        <v>0.3997</v>
      </c>
      <c r="F491" s="311">
        <v>0.31759999999999999</v>
      </c>
      <c r="G491" s="311">
        <v>0.34420000000000001</v>
      </c>
      <c r="H491" s="311">
        <v>0.36520000000000002</v>
      </c>
      <c r="I491" s="311">
        <v>0.3478</v>
      </c>
      <c r="J491" s="311">
        <v>0.32229999999999998</v>
      </c>
      <c r="K491" s="311">
        <v>0</v>
      </c>
      <c r="L491" s="311">
        <v>0.249</v>
      </c>
      <c r="M491" s="311">
        <v>0.34989999999999999</v>
      </c>
      <c r="N491" s="311">
        <v>0.40970000000000001</v>
      </c>
      <c r="O491" s="311">
        <v>0.31090000000000001</v>
      </c>
      <c r="P491" s="311">
        <v>0.30480000000000002</v>
      </c>
      <c r="Q491" s="311">
        <v>0.30919999999999997</v>
      </c>
      <c r="R491" s="311">
        <v>0.3649</v>
      </c>
      <c r="S491" s="311">
        <v>0.33090000000000003</v>
      </c>
      <c r="T491" s="311">
        <v>0.32040000000000002</v>
      </c>
      <c r="U491" s="311">
        <v>0.33739999999999998</v>
      </c>
      <c r="V491" s="311">
        <v>0.34699999999999998</v>
      </c>
      <c r="W491" s="311">
        <v>0.33429999999999999</v>
      </c>
      <c r="X491" s="311">
        <v>0.3301</v>
      </c>
      <c r="Y491" s="311">
        <v>0.34839999999999999</v>
      </c>
      <c r="Z491" s="311">
        <v>0.34649999999999997</v>
      </c>
      <c r="AA491" s="311">
        <v>0.33689999999999998</v>
      </c>
      <c r="AB491" s="311">
        <v>0.33300000000000002</v>
      </c>
      <c r="AC491" s="311">
        <v>0.33150000000000002</v>
      </c>
      <c r="AD491" s="311">
        <v>0.30309999999999998</v>
      </c>
      <c r="AE491" s="311">
        <v>0.41199999999999998</v>
      </c>
      <c r="AF491" s="311">
        <v>0.27500000000000002</v>
      </c>
      <c r="AG491" s="311">
        <v>0.2969</v>
      </c>
      <c r="AH491" s="311">
        <v>0.30990000000000001</v>
      </c>
      <c r="AI491" s="311">
        <v>0.3352</v>
      </c>
      <c r="AJ491" s="311">
        <v>0.30309999999999998</v>
      </c>
      <c r="AK491" s="311">
        <v>0.30599999999999999</v>
      </c>
      <c r="AL491" s="311">
        <v>0.31390000000000001</v>
      </c>
      <c r="AM491" s="311">
        <v>0.36680000000000001</v>
      </c>
      <c r="AN491" s="311">
        <v>0.32969999999999999</v>
      </c>
      <c r="AO491" s="311">
        <v>0.32429999999999998</v>
      </c>
      <c r="AP491" s="311">
        <v>0.37409999999999999</v>
      </c>
      <c r="AQ491" s="311">
        <v>0.32700000000000001</v>
      </c>
      <c r="AR491" s="311">
        <v>0.40139999999999998</v>
      </c>
      <c r="AS491" s="311">
        <v>0.28799999999999998</v>
      </c>
      <c r="AT491" s="311">
        <v>0.38090000000000002</v>
      </c>
      <c r="AU491" s="311">
        <v>0.3629</v>
      </c>
      <c r="AV491" s="311">
        <v>0.35720000000000002</v>
      </c>
      <c r="AW491" s="311">
        <v>0.38829999999999998</v>
      </c>
      <c r="AX491" s="311">
        <v>0.30049999999999999</v>
      </c>
      <c r="AY491" s="311">
        <v>0.32790000000000002</v>
      </c>
      <c r="AZ491" s="311">
        <v>0.3377</v>
      </c>
      <c r="BA491" s="311">
        <v>0.27829999999999999</v>
      </c>
      <c r="BB491" s="311">
        <v>0.17610000000000001</v>
      </c>
      <c r="BC491" s="311">
        <v>0.38569999999999999</v>
      </c>
      <c r="BD491" s="311">
        <v>0.3765</v>
      </c>
      <c r="BE491" s="311">
        <v>0.37119999999999997</v>
      </c>
      <c r="BF491" s="311">
        <v>0.3402</v>
      </c>
      <c r="BG491" s="311">
        <v>0.43659999999999999</v>
      </c>
      <c r="BH491" s="311">
        <v>0.4199</v>
      </c>
      <c r="BI491" s="311">
        <v>0.36580000000000001</v>
      </c>
      <c r="BJ491" s="311">
        <v>0.3468</v>
      </c>
      <c r="BK491" s="311">
        <v>0.36509999999999998</v>
      </c>
    </row>
    <row r="492" spans="1:63" x14ac:dyDescent="0.25">
      <c r="A492" s="306">
        <v>315100</v>
      </c>
      <c r="B492" s="311" t="s">
        <v>70</v>
      </c>
      <c r="C492" s="311">
        <v>0.54700000000000004</v>
      </c>
      <c r="D492" s="311">
        <v>0</v>
      </c>
      <c r="E492" s="311">
        <v>0.44290000000000002</v>
      </c>
      <c r="F492" s="311">
        <v>0.34970000000000001</v>
      </c>
      <c r="G492" s="311">
        <v>0.36059999999999998</v>
      </c>
      <c r="H492" s="311">
        <v>0.41249999999999998</v>
      </c>
      <c r="I492" s="311">
        <v>0.36609999999999998</v>
      </c>
      <c r="J492" s="311">
        <v>0</v>
      </c>
      <c r="K492" s="311">
        <v>0</v>
      </c>
      <c r="L492" s="311">
        <v>0</v>
      </c>
      <c r="M492" s="311">
        <v>0.35049999999999998</v>
      </c>
      <c r="N492" s="311">
        <v>0.44469999999999998</v>
      </c>
      <c r="O492" s="311">
        <v>0</v>
      </c>
      <c r="P492" s="311">
        <v>0.3155</v>
      </c>
      <c r="Q492" s="311">
        <v>0</v>
      </c>
      <c r="R492" s="311">
        <v>0.37069999999999997</v>
      </c>
      <c r="S492" s="311">
        <v>0.34749999999999998</v>
      </c>
      <c r="T492" s="311">
        <v>0.30780000000000002</v>
      </c>
      <c r="U492" s="311">
        <v>0.36180000000000001</v>
      </c>
      <c r="V492" s="311">
        <v>0.35489999999999999</v>
      </c>
      <c r="W492" s="311">
        <v>0.3533</v>
      </c>
      <c r="X492" s="311">
        <v>0</v>
      </c>
      <c r="Y492" s="311">
        <v>0</v>
      </c>
      <c r="Z492" s="311">
        <v>0.37130000000000002</v>
      </c>
      <c r="AA492" s="311">
        <v>0.34300000000000003</v>
      </c>
      <c r="AB492" s="311">
        <v>0.35570000000000002</v>
      </c>
      <c r="AC492" s="311">
        <v>0.3392</v>
      </c>
      <c r="AD492" s="311">
        <v>0</v>
      </c>
      <c r="AE492" s="311">
        <v>0.45400000000000001</v>
      </c>
      <c r="AF492" s="311">
        <v>0</v>
      </c>
      <c r="AG492" s="311">
        <v>0</v>
      </c>
      <c r="AH492" s="311">
        <v>0</v>
      </c>
      <c r="AI492" s="311">
        <v>0.3463</v>
      </c>
      <c r="AJ492" s="311">
        <v>0.19259999999999999</v>
      </c>
      <c r="AK492" s="311">
        <v>0</v>
      </c>
      <c r="AL492" s="311">
        <v>0.31940000000000002</v>
      </c>
      <c r="AM492" s="311">
        <v>0.37269999999999998</v>
      </c>
      <c r="AN492" s="311">
        <v>0</v>
      </c>
      <c r="AO492" s="311">
        <v>0.33689999999999998</v>
      </c>
      <c r="AP492" s="311">
        <v>0.41499999999999998</v>
      </c>
      <c r="AQ492" s="311">
        <v>0.38629999999999998</v>
      </c>
      <c r="AR492" s="311">
        <v>0.43530000000000002</v>
      </c>
      <c r="AS492" s="311">
        <v>0</v>
      </c>
      <c r="AT492" s="311">
        <v>0.44929999999999998</v>
      </c>
      <c r="AU492" s="311">
        <v>0.3629</v>
      </c>
      <c r="AV492" s="311">
        <v>0.3634</v>
      </c>
      <c r="AW492" s="311">
        <v>0.40699999999999997</v>
      </c>
      <c r="AX492" s="311">
        <v>0.31659999999999999</v>
      </c>
      <c r="AY492" s="311">
        <v>0</v>
      </c>
      <c r="AZ492" s="311">
        <v>0.37959999999999999</v>
      </c>
      <c r="BA492" s="311">
        <v>0</v>
      </c>
      <c r="BB492" s="311">
        <v>0</v>
      </c>
      <c r="BC492" s="311">
        <v>0.39200000000000002</v>
      </c>
      <c r="BD492" s="311">
        <v>0.40620000000000001</v>
      </c>
      <c r="BE492" s="311">
        <v>0.38250000000000001</v>
      </c>
      <c r="BF492" s="311">
        <v>0.36330000000000001</v>
      </c>
      <c r="BG492" s="311">
        <v>0.4778</v>
      </c>
      <c r="BH492" s="311">
        <v>0.46550000000000002</v>
      </c>
      <c r="BI492" s="311">
        <v>0.3715</v>
      </c>
      <c r="BJ492" s="311">
        <v>0.35830000000000001</v>
      </c>
      <c r="BK492" s="311">
        <v>0.40910000000000002</v>
      </c>
    </row>
    <row r="493" spans="1:63" x14ac:dyDescent="0.25">
      <c r="A493" s="306">
        <v>315210</v>
      </c>
      <c r="B493" s="311" t="s">
        <v>71</v>
      </c>
      <c r="C493" s="311">
        <v>0.69840000000000002</v>
      </c>
      <c r="D493" s="311">
        <v>0</v>
      </c>
      <c r="E493" s="311">
        <v>0.59040000000000004</v>
      </c>
      <c r="F493" s="311">
        <v>0.56030000000000002</v>
      </c>
      <c r="G493" s="311">
        <v>0.58989999999999998</v>
      </c>
      <c r="H493" s="311">
        <v>0.64280000000000004</v>
      </c>
      <c r="I493" s="311">
        <v>0.63060000000000005</v>
      </c>
      <c r="J493" s="311">
        <v>0.56620000000000004</v>
      </c>
      <c r="K493" s="311">
        <v>9.9900000000000003E-2</v>
      </c>
      <c r="L493" s="311">
        <v>0.51690000000000003</v>
      </c>
      <c r="M493" s="311">
        <v>0.59819999999999995</v>
      </c>
      <c r="N493" s="311">
        <v>0.61309999999999998</v>
      </c>
      <c r="O493" s="311">
        <v>0.58430000000000004</v>
      </c>
      <c r="P493" s="311">
        <v>0.52580000000000005</v>
      </c>
      <c r="Q493" s="311">
        <v>0.56859999999999999</v>
      </c>
      <c r="R493" s="311">
        <v>0.61560000000000004</v>
      </c>
      <c r="S493" s="311">
        <v>0.5655</v>
      </c>
      <c r="T493" s="311">
        <v>0.49830000000000002</v>
      </c>
      <c r="U493" s="311">
        <v>0.56630000000000003</v>
      </c>
      <c r="V493" s="311">
        <v>0.57350000000000001</v>
      </c>
      <c r="W493" s="311">
        <v>0.58130000000000004</v>
      </c>
      <c r="X493" s="311">
        <v>0.53049999999999997</v>
      </c>
      <c r="Y493" s="311">
        <v>0.5958</v>
      </c>
      <c r="Z493" s="311">
        <v>0.61660000000000004</v>
      </c>
      <c r="AA493" s="311">
        <v>0.56430000000000002</v>
      </c>
      <c r="AB493" s="311">
        <v>0.59340000000000004</v>
      </c>
      <c r="AC493" s="311">
        <v>0.55379999999999996</v>
      </c>
      <c r="AD493" s="311">
        <v>0</v>
      </c>
      <c r="AE493" s="311">
        <v>0.62290000000000001</v>
      </c>
      <c r="AF493" s="311">
        <v>0.26590000000000003</v>
      </c>
      <c r="AG493" s="311">
        <v>0.48599999999999999</v>
      </c>
      <c r="AH493" s="311">
        <v>0.54179999999999995</v>
      </c>
      <c r="AI493" s="311">
        <v>0.55359999999999998</v>
      </c>
      <c r="AJ493" s="311">
        <v>0.3216</v>
      </c>
      <c r="AK493" s="311">
        <v>0.59360000000000002</v>
      </c>
      <c r="AL493" s="311">
        <v>0.52980000000000005</v>
      </c>
      <c r="AM493" s="311">
        <v>0.60909999999999997</v>
      </c>
      <c r="AN493" s="311">
        <v>0.58360000000000001</v>
      </c>
      <c r="AO493" s="311">
        <v>0.57179999999999997</v>
      </c>
      <c r="AP493" s="311">
        <v>0.628</v>
      </c>
      <c r="AQ493" s="311">
        <v>0.58779999999999999</v>
      </c>
      <c r="AR493" s="311">
        <v>0.58160000000000001</v>
      </c>
      <c r="AS493" s="311">
        <v>0.52749999999999997</v>
      </c>
      <c r="AT493" s="311">
        <v>0.59599999999999997</v>
      </c>
      <c r="AU493" s="311">
        <v>0.60219999999999996</v>
      </c>
      <c r="AV493" s="311">
        <v>0.61719999999999997</v>
      </c>
      <c r="AW493" s="311">
        <v>0.60319999999999996</v>
      </c>
      <c r="AX493" s="311">
        <v>0.50860000000000005</v>
      </c>
      <c r="AY493" s="311">
        <v>0.59619999999999995</v>
      </c>
      <c r="AZ493" s="311">
        <v>0.59650000000000003</v>
      </c>
      <c r="BA493" s="311">
        <v>0.50790000000000002</v>
      </c>
      <c r="BB493" s="311">
        <v>0</v>
      </c>
      <c r="BC493" s="311">
        <v>0.62839999999999996</v>
      </c>
      <c r="BD493" s="311">
        <v>0.64270000000000005</v>
      </c>
      <c r="BE493" s="311">
        <v>0.621</v>
      </c>
      <c r="BF493" s="311">
        <v>0.5968</v>
      </c>
      <c r="BG493" s="311">
        <v>0.6482</v>
      </c>
      <c r="BH493" s="311">
        <v>0.61309999999999998</v>
      </c>
      <c r="BI493" s="311">
        <v>0.60560000000000003</v>
      </c>
      <c r="BJ493" s="311">
        <v>0.6099</v>
      </c>
      <c r="BK493" s="311">
        <v>0.64239999999999997</v>
      </c>
    </row>
    <row r="494" spans="1:63" x14ac:dyDescent="0.25">
      <c r="A494" s="306">
        <v>315220</v>
      </c>
      <c r="B494" s="311" t="s">
        <v>72</v>
      </c>
      <c r="C494" s="311">
        <v>0.42070000000000002</v>
      </c>
      <c r="D494" s="311">
        <v>0</v>
      </c>
      <c r="E494" s="311">
        <v>0.32029999999999997</v>
      </c>
      <c r="F494" s="311">
        <v>0.2387</v>
      </c>
      <c r="G494" s="311">
        <v>0.25540000000000002</v>
      </c>
      <c r="H494" s="311">
        <v>0.33689999999999998</v>
      </c>
      <c r="I494" s="311">
        <v>0.2742</v>
      </c>
      <c r="J494" s="311">
        <v>0.25719999999999998</v>
      </c>
      <c r="K494" s="311">
        <v>4.3999999999999997E-2</v>
      </c>
      <c r="L494" s="311">
        <v>0</v>
      </c>
      <c r="M494" s="311">
        <v>0.28320000000000001</v>
      </c>
      <c r="N494" s="311">
        <v>0.3362</v>
      </c>
      <c r="O494" s="311">
        <v>0.24479999999999999</v>
      </c>
      <c r="P494" s="311">
        <v>0.223</v>
      </c>
      <c r="Q494" s="311">
        <v>0.2359</v>
      </c>
      <c r="R494" s="311">
        <v>0.29210000000000003</v>
      </c>
      <c r="S494" s="311">
        <v>0.24740000000000001</v>
      </c>
      <c r="T494" s="311">
        <v>0.2261</v>
      </c>
      <c r="U494" s="311">
        <v>0.2535</v>
      </c>
      <c r="V494" s="311">
        <v>0.2482</v>
      </c>
      <c r="W494" s="311">
        <v>0.30609999999999998</v>
      </c>
      <c r="X494" s="311">
        <v>0.25109999999999999</v>
      </c>
      <c r="Y494" s="311">
        <v>0.27489999999999998</v>
      </c>
      <c r="Z494" s="311">
        <v>0.2757</v>
      </c>
      <c r="AA494" s="311">
        <v>0.25140000000000001</v>
      </c>
      <c r="AB494" s="311">
        <v>0.2626</v>
      </c>
      <c r="AC494" s="311">
        <v>0.26879999999999998</v>
      </c>
      <c r="AD494" s="311">
        <v>0</v>
      </c>
      <c r="AE494" s="311">
        <v>0.34739999999999999</v>
      </c>
      <c r="AF494" s="311">
        <v>0</v>
      </c>
      <c r="AG494" s="311">
        <v>0.19850000000000001</v>
      </c>
      <c r="AH494" s="311">
        <v>0.26500000000000001</v>
      </c>
      <c r="AI494" s="311">
        <v>0.30430000000000001</v>
      </c>
      <c r="AJ494" s="311">
        <v>0.15210000000000001</v>
      </c>
      <c r="AK494" s="311">
        <v>0.24590000000000001</v>
      </c>
      <c r="AL494" s="311">
        <v>0.2747</v>
      </c>
      <c r="AM494" s="311">
        <v>0.29360000000000003</v>
      </c>
      <c r="AN494" s="311">
        <v>0.25779999999999997</v>
      </c>
      <c r="AO494" s="311">
        <v>0.25290000000000001</v>
      </c>
      <c r="AP494" s="311">
        <v>0.3322</v>
      </c>
      <c r="AQ494" s="311">
        <v>0.29659999999999997</v>
      </c>
      <c r="AR494" s="311">
        <v>0.32890000000000003</v>
      </c>
      <c r="AS494" s="311">
        <v>0</v>
      </c>
      <c r="AT494" s="311">
        <v>0.32829999999999998</v>
      </c>
      <c r="AU494" s="311">
        <v>0.27889999999999998</v>
      </c>
      <c r="AV494" s="311">
        <v>0.29170000000000001</v>
      </c>
      <c r="AW494" s="311">
        <v>0.29870000000000002</v>
      </c>
      <c r="AX494" s="311">
        <v>0.23780000000000001</v>
      </c>
      <c r="AY494" s="311">
        <v>0.25829999999999997</v>
      </c>
      <c r="AZ494" s="311">
        <v>0.26790000000000003</v>
      </c>
      <c r="BA494" s="311">
        <v>0.20469999999999999</v>
      </c>
      <c r="BB494" s="311">
        <v>0.21490000000000001</v>
      </c>
      <c r="BC494" s="311">
        <v>0.34200000000000003</v>
      </c>
      <c r="BD494" s="311">
        <v>0.35039999999999999</v>
      </c>
      <c r="BE494" s="311">
        <v>0.29380000000000001</v>
      </c>
      <c r="BF494" s="311">
        <v>0.26440000000000002</v>
      </c>
      <c r="BG494" s="311">
        <v>0.36980000000000002</v>
      </c>
      <c r="BH494" s="311">
        <v>0.34689999999999999</v>
      </c>
      <c r="BI494" s="311">
        <v>0.27879999999999999</v>
      </c>
      <c r="BJ494" s="311">
        <v>0.26989999999999997</v>
      </c>
      <c r="BK494" s="311">
        <v>0.3347</v>
      </c>
    </row>
    <row r="495" spans="1:63" x14ac:dyDescent="0.25">
      <c r="A495" s="306">
        <v>315230</v>
      </c>
      <c r="B495" s="311" t="s">
        <v>73</v>
      </c>
      <c r="C495" s="311">
        <v>0.46929999999999999</v>
      </c>
      <c r="D495" s="311">
        <v>0</v>
      </c>
      <c r="E495" s="311">
        <v>0.34320000000000001</v>
      </c>
      <c r="F495" s="311">
        <v>0.24990000000000001</v>
      </c>
      <c r="G495" s="311">
        <v>0.28899999999999998</v>
      </c>
      <c r="H495" s="311">
        <v>0.37140000000000001</v>
      </c>
      <c r="I495" s="311">
        <v>0.31259999999999999</v>
      </c>
      <c r="J495" s="311">
        <v>0.27910000000000001</v>
      </c>
      <c r="K495" s="311">
        <v>5.3100000000000001E-2</v>
      </c>
      <c r="L495" s="311">
        <v>0</v>
      </c>
      <c r="M495" s="311">
        <v>0.31409999999999999</v>
      </c>
      <c r="N495" s="311">
        <v>0.37640000000000001</v>
      </c>
      <c r="O495" s="311">
        <v>0.27239999999999998</v>
      </c>
      <c r="P495" s="311">
        <v>0.23150000000000001</v>
      </c>
      <c r="Q495" s="311">
        <v>0.25140000000000001</v>
      </c>
      <c r="R495" s="311">
        <v>0.32100000000000001</v>
      </c>
      <c r="S495" s="311">
        <v>0.26850000000000002</v>
      </c>
      <c r="T495" s="311">
        <v>0.24379999999999999</v>
      </c>
      <c r="U495" s="311">
        <v>0.2681</v>
      </c>
      <c r="V495" s="311">
        <v>0.27850000000000003</v>
      </c>
      <c r="W495" s="311">
        <v>0.34010000000000001</v>
      </c>
      <c r="X495" s="311">
        <v>0.27639999999999998</v>
      </c>
      <c r="Y495" s="311">
        <v>0.29559999999999997</v>
      </c>
      <c r="Z495" s="311">
        <v>0.30380000000000001</v>
      </c>
      <c r="AA495" s="311">
        <v>0.27679999999999999</v>
      </c>
      <c r="AB495" s="311">
        <v>0.28249999999999997</v>
      </c>
      <c r="AC495" s="311">
        <v>0.28470000000000001</v>
      </c>
      <c r="AD495" s="311">
        <v>0</v>
      </c>
      <c r="AE495" s="311">
        <v>0.37509999999999999</v>
      </c>
      <c r="AF495" s="311">
        <v>0.13980000000000001</v>
      </c>
      <c r="AG495" s="311">
        <v>0.21379999999999999</v>
      </c>
      <c r="AH495" s="311">
        <v>0.29210000000000003</v>
      </c>
      <c r="AI495" s="311">
        <v>0.3357</v>
      </c>
      <c r="AJ495" s="311">
        <v>0.1767</v>
      </c>
      <c r="AK495" s="311">
        <v>0.27639999999999998</v>
      </c>
      <c r="AL495" s="311">
        <v>0.3009</v>
      </c>
      <c r="AM495" s="311">
        <v>0.31519999999999998</v>
      </c>
      <c r="AN495" s="311">
        <v>0.27979999999999999</v>
      </c>
      <c r="AO495" s="311">
        <v>0.28220000000000001</v>
      </c>
      <c r="AP495" s="311">
        <v>0.3649</v>
      </c>
      <c r="AQ495" s="311">
        <v>0</v>
      </c>
      <c r="AR495" s="311">
        <v>0.35870000000000002</v>
      </c>
      <c r="AS495" s="311">
        <v>0</v>
      </c>
      <c r="AT495" s="311">
        <v>0.35720000000000002</v>
      </c>
      <c r="AU495" s="311">
        <v>0.31190000000000001</v>
      </c>
      <c r="AV495" s="311">
        <v>0.32129999999999997</v>
      </c>
      <c r="AW495" s="311">
        <v>0.32790000000000002</v>
      </c>
      <c r="AX495" s="311">
        <v>0.25030000000000002</v>
      </c>
      <c r="AY495" s="311">
        <v>0.2903</v>
      </c>
      <c r="AZ495" s="311">
        <v>0.29360000000000003</v>
      </c>
      <c r="BA495" s="311">
        <v>0</v>
      </c>
      <c r="BB495" s="311">
        <v>0.22939999999999999</v>
      </c>
      <c r="BC495" s="311">
        <v>0.37509999999999999</v>
      </c>
      <c r="BD495" s="311">
        <v>0.38190000000000002</v>
      </c>
      <c r="BE495" s="311">
        <v>0.32300000000000001</v>
      </c>
      <c r="BF495" s="311">
        <v>0.28310000000000002</v>
      </c>
      <c r="BG495" s="311">
        <v>0.41220000000000001</v>
      </c>
      <c r="BH495" s="311">
        <v>0.37009999999999998</v>
      </c>
      <c r="BI495" s="311">
        <v>0.31190000000000001</v>
      </c>
      <c r="BJ495" s="311">
        <v>0.30520000000000003</v>
      </c>
      <c r="BK495" s="311">
        <v>0.36899999999999999</v>
      </c>
    </row>
    <row r="496" spans="1:63" x14ac:dyDescent="0.25">
      <c r="A496" s="306">
        <v>315290</v>
      </c>
      <c r="B496" s="311" t="s">
        <v>74</v>
      </c>
      <c r="C496" s="311">
        <v>0.56040000000000001</v>
      </c>
      <c r="D496" s="311">
        <v>0</v>
      </c>
      <c r="E496" s="311">
        <v>0.43840000000000001</v>
      </c>
      <c r="F496" s="311">
        <v>0</v>
      </c>
      <c r="G496" s="311">
        <v>0.4214</v>
      </c>
      <c r="H496" s="311">
        <v>0.47689999999999999</v>
      </c>
      <c r="I496" s="311">
        <v>0.45040000000000002</v>
      </c>
      <c r="J496" s="311">
        <v>0.40560000000000002</v>
      </c>
      <c r="K496" s="311">
        <v>0</v>
      </c>
      <c r="L496" s="311">
        <v>0</v>
      </c>
      <c r="M496" s="311">
        <v>0.43059999999999998</v>
      </c>
      <c r="N496" s="311">
        <v>0.46800000000000003</v>
      </c>
      <c r="O496" s="311">
        <v>0.40050000000000002</v>
      </c>
      <c r="P496" s="311">
        <v>0.374</v>
      </c>
      <c r="Q496" s="311">
        <v>0.39240000000000003</v>
      </c>
      <c r="R496" s="311">
        <v>0.45350000000000001</v>
      </c>
      <c r="S496" s="311">
        <v>0.40479999999999999</v>
      </c>
      <c r="T496" s="311">
        <v>0.35039999999999999</v>
      </c>
      <c r="U496" s="311">
        <v>0.40079999999999999</v>
      </c>
      <c r="V496" s="311">
        <v>0.40710000000000002</v>
      </c>
      <c r="W496" s="311">
        <v>0.44600000000000001</v>
      </c>
      <c r="X496" s="311">
        <v>0.38240000000000002</v>
      </c>
      <c r="Y496" s="311">
        <v>0.432</v>
      </c>
      <c r="Z496" s="311">
        <v>0.43859999999999999</v>
      </c>
      <c r="AA496" s="311">
        <v>0.40939999999999999</v>
      </c>
      <c r="AB496" s="311">
        <v>0.41889999999999999</v>
      </c>
      <c r="AC496" s="311">
        <v>0.40150000000000002</v>
      </c>
      <c r="AD496" s="311">
        <v>0</v>
      </c>
      <c r="AE496" s="311">
        <v>0.49109999999999998</v>
      </c>
      <c r="AF496" s="311">
        <v>0</v>
      </c>
      <c r="AG496" s="311">
        <v>0.3352</v>
      </c>
      <c r="AH496" s="311">
        <v>0.41789999999999999</v>
      </c>
      <c r="AI496" s="311">
        <v>0.42349999999999999</v>
      </c>
      <c r="AJ496" s="311">
        <v>0.2364</v>
      </c>
      <c r="AK496" s="311">
        <v>0.41649999999999998</v>
      </c>
      <c r="AL496" s="311">
        <v>0.3901</v>
      </c>
      <c r="AM496" s="311">
        <v>0.43969999999999998</v>
      </c>
      <c r="AN496" s="311">
        <v>0.40949999999999998</v>
      </c>
      <c r="AO496" s="311">
        <v>0.40949999999999998</v>
      </c>
      <c r="AP496" s="311">
        <v>0.48089999999999999</v>
      </c>
      <c r="AQ496" s="311">
        <v>0.44190000000000002</v>
      </c>
      <c r="AR496" s="311">
        <v>0.45669999999999999</v>
      </c>
      <c r="AS496" s="311">
        <v>0.3533</v>
      </c>
      <c r="AT496" s="311">
        <v>0.45750000000000002</v>
      </c>
      <c r="AU496" s="311">
        <v>0.43880000000000002</v>
      </c>
      <c r="AV496" s="311">
        <v>0.4486</v>
      </c>
      <c r="AW496" s="311">
        <v>0.436</v>
      </c>
      <c r="AX496" s="311">
        <v>0.36070000000000002</v>
      </c>
      <c r="AY496" s="311">
        <v>0.4244</v>
      </c>
      <c r="AZ496" s="311">
        <v>0.43990000000000001</v>
      </c>
      <c r="BA496" s="311">
        <v>0</v>
      </c>
      <c r="BB496" s="311">
        <v>0</v>
      </c>
      <c r="BC496" s="311">
        <v>0.49009999999999998</v>
      </c>
      <c r="BD496" s="311">
        <v>0.48409999999999997</v>
      </c>
      <c r="BE496" s="311">
        <v>0.45579999999999998</v>
      </c>
      <c r="BF496" s="311">
        <v>0.42680000000000001</v>
      </c>
      <c r="BG496" s="311">
        <v>0.51559999999999995</v>
      </c>
      <c r="BH496" s="311">
        <v>0.46860000000000002</v>
      </c>
      <c r="BI496" s="311">
        <v>0.44019999999999998</v>
      </c>
      <c r="BJ496" s="311">
        <v>0.43869999999999998</v>
      </c>
      <c r="BK496" s="311">
        <v>0.47370000000000001</v>
      </c>
    </row>
    <row r="497" spans="1:63" x14ac:dyDescent="0.25">
      <c r="A497" s="306">
        <v>315900</v>
      </c>
      <c r="B497" s="311" t="s">
        <v>75</v>
      </c>
      <c r="C497" s="311">
        <v>0.58509999999999995</v>
      </c>
      <c r="D497" s="311">
        <v>0.36780000000000002</v>
      </c>
      <c r="E497" s="311">
        <v>0.46550000000000002</v>
      </c>
      <c r="F497" s="311">
        <v>0.40329999999999999</v>
      </c>
      <c r="G497" s="311">
        <v>0.42170000000000002</v>
      </c>
      <c r="H497" s="311">
        <v>0.4919</v>
      </c>
      <c r="I497" s="311">
        <v>0.45789999999999997</v>
      </c>
      <c r="J497" s="311">
        <v>0.41699999999999998</v>
      </c>
      <c r="K497" s="311">
        <v>0</v>
      </c>
      <c r="L497" s="311">
        <v>0.36420000000000002</v>
      </c>
      <c r="M497" s="311">
        <v>0.44140000000000001</v>
      </c>
      <c r="N497" s="311">
        <v>0.4869</v>
      </c>
      <c r="O497" s="311">
        <v>0.3982</v>
      </c>
      <c r="P497" s="311">
        <v>0.37519999999999998</v>
      </c>
      <c r="Q497" s="311">
        <v>0.40010000000000001</v>
      </c>
      <c r="R497" s="311">
        <v>0.46920000000000001</v>
      </c>
      <c r="S497" s="311">
        <v>0.40200000000000002</v>
      </c>
      <c r="T497" s="311">
        <v>0.34939999999999999</v>
      </c>
      <c r="U497" s="311">
        <v>0.41160000000000002</v>
      </c>
      <c r="V497" s="311">
        <v>0.41639999999999999</v>
      </c>
      <c r="W497" s="311">
        <v>0.44979999999999998</v>
      </c>
      <c r="X497" s="311">
        <v>0.39150000000000001</v>
      </c>
      <c r="Y497" s="311">
        <v>0.44479999999999997</v>
      </c>
      <c r="Z497" s="311">
        <v>0.4461</v>
      </c>
      <c r="AA497" s="311">
        <v>0.41510000000000002</v>
      </c>
      <c r="AB497" s="311">
        <v>0.43390000000000001</v>
      </c>
      <c r="AC497" s="311">
        <v>0.40820000000000001</v>
      </c>
      <c r="AD497" s="311">
        <v>0.3916</v>
      </c>
      <c r="AE497" s="311">
        <v>0.497</v>
      </c>
      <c r="AF497" s="311">
        <v>0.20230000000000001</v>
      </c>
      <c r="AG497" s="311">
        <v>0.34370000000000001</v>
      </c>
      <c r="AH497" s="311">
        <v>0.40570000000000001</v>
      </c>
      <c r="AI497" s="311">
        <v>0.43759999999999999</v>
      </c>
      <c r="AJ497" s="311">
        <v>0.24249999999999999</v>
      </c>
      <c r="AK497" s="311">
        <v>0.40820000000000001</v>
      </c>
      <c r="AL497" s="311">
        <v>0.40179999999999999</v>
      </c>
      <c r="AM497" s="311">
        <v>0.46400000000000002</v>
      </c>
      <c r="AN497" s="311">
        <v>0.41699999999999998</v>
      </c>
      <c r="AO497" s="311">
        <v>0.40960000000000002</v>
      </c>
      <c r="AP497" s="311">
        <v>0.49320000000000003</v>
      </c>
      <c r="AQ497" s="311">
        <v>0.44740000000000002</v>
      </c>
      <c r="AR497" s="311">
        <v>0.4577</v>
      </c>
      <c r="AS497" s="311">
        <v>0.34860000000000002</v>
      </c>
      <c r="AT497" s="311">
        <v>0.45729999999999998</v>
      </c>
      <c r="AU497" s="311">
        <v>0.46010000000000001</v>
      </c>
      <c r="AV497" s="311">
        <v>0.46300000000000002</v>
      </c>
      <c r="AW497" s="311">
        <v>0.45960000000000001</v>
      </c>
      <c r="AX497" s="311">
        <v>0.37040000000000001</v>
      </c>
      <c r="AY497" s="311">
        <v>0.42630000000000001</v>
      </c>
      <c r="AZ497" s="311">
        <v>0.43730000000000002</v>
      </c>
      <c r="BA497" s="311">
        <v>0.35220000000000001</v>
      </c>
      <c r="BB497" s="311">
        <v>0.37090000000000001</v>
      </c>
      <c r="BC497" s="311">
        <v>0.49659999999999999</v>
      </c>
      <c r="BD497" s="311">
        <v>0.50309999999999999</v>
      </c>
      <c r="BE497" s="311">
        <v>0.4718</v>
      </c>
      <c r="BF497" s="311">
        <v>0.43959999999999999</v>
      </c>
      <c r="BG497" s="311">
        <v>0.51839999999999997</v>
      </c>
      <c r="BH497" s="311">
        <v>0.48749999999999999</v>
      </c>
      <c r="BI497" s="311">
        <v>0.46039999999999998</v>
      </c>
      <c r="BJ497" s="311">
        <v>0.44419999999999998</v>
      </c>
      <c r="BK497" s="311">
        <v>0.49070000000000003</v>
      </c>
    </row>
    <row r="498" spans="1:63" x14ac:dyDescent="0.25">
      <c r="A498" s="306">
        <v>316100</v>
      </c>
      <c r="B498" s="311" t="s">
        <v>76</v>
      </c>
      <c r="C498" s="311">
        <v>0.51370000000000005</v>
      </c>
      <c r="D498" s="311">
        <v>0.1978</v>
      </c>
      <c r="E498" s="311">
        <v>0.2823</v>
      </c>
      <c r="F498" s="311">
        <v>0</v>
      </c>
      <c r="G498" s="311">
        <v>0.25659999999999999</v>
      </c>
      <c r="H498" s="311">
        <v>0.28710000000000002</v>
      </c>
      <c r="I498" s="311">
        <v>0.42549999999999999</v>
      </c>
      <c r="J498" s="311">
        <v>0</v>
      </c>
      <c r="K498" s="311">
        <v>0</v>
      </c>
      <c r="L498" s="311">
        <v>0</v>
      </c>
      <c r="M498" s="311">
        <v>0.24660000000000001</v>
      </c>
      <c r="N498" s="311">
        <v>0.32169999999999999</v>
      </c>
      <c r="O498" s="311">
        <v>0</v>
      </c>
      <c r="P498" s="311">
        <v>0.36940000000000001</v>
      </c>
      <c r="Q498" s="311">
        <v>0.3876</v>
      </c>
      <c r="R498" s="311">
        <v>0.39300000000000002</v>
      </c>
      <c r="S498" s="311">
        <v>0.34139999999999998</v>
      </c>
      <c r="T498" s="311">
        <v>0</v>
      </c>
      <c r="U498" s="311">
        <v>0.39219999999999999</v>
      </c>
      <c r="V498" s="311">
        <v>0.28849999999999998</v>
      </c>
      <c r="W498" s="311">
        <v>0.25280000000000002</v>
      </c>
      <c r="X498" s="311">
        <v>0.1973</v>
      </c>
      <c r="Y498" s="311">
        <v>0.22409999999999999</v>
      </c>
      <c r="Z498" s="311">
        <v>0.33300000000000002</v>
      </c>
      <c r="AA498" s="311">
        <v>0.3886</v>
      </c>
      <c r="AB498" s="311">
        <v>0.4254</v>
      </c>
      <c r="AC498" s="311">
        <v>0.28699999999999998</v>
      </c>
      <c r="AD498" s="311">
        <v>0.2762</v>
      </c>
      <c r="AE498" s="311">
        <v>0.3654</v>
      </c>
      <c r="AF498" s="311">
        <v>0</v>
      </c>
      <c r="AG498" s="311">
        <v>0.32350000000000001</v>
      </c>
      <c r="AH498" s="311">
        <v>0.19220000000000001</v>
      </c>
      <c r="AI498" s="311">
        <v>0.2707</v>
      </c>
      <c r="AJ498" s="311">
        <v>0</v>
      </c>
      <c r="AK498" s="311">
        <v>0</v>
      </c>
      <c r="AL498" s="311">
        <v>0.21529999999999999</v>
      </c>
      <c r="AM498" s="311">
        <v>0.34150000000000003</v>
      </c>
      <c r="AN498" s="311">
        <v>0.38429999999999997</v>
      </c>
      <c r="AO498" s="311">
        <v>0.27089999999999997</v>
      </c>
      <c r="AP498" s="311">
        <v>0.37109999999999999</v>
      </c>
      <c r="AQ498" s="311">
        <v>0</v>
      </c>
      <c r="AR498" s="311">
        <v>0.29399999999999998</v>
      </c>
      <c r="AS498" s="311">
        <v>0</v>
      </c>
      <c r="AT498" s="311">
        <v>0.33679999999999999</v>
      </c>
      <c r="AU498" s="311">
        <v>0.45219999999999999</v>
      </c>
      <c r="AV498" s="311">
        <v>0.3997</v>
      </c>
      <c r="AW498" s="311">
        <v>0</v>
      </c>
      <c r="AX498" s="311">
        <v>0</v>
      </c>
      <c r="AY498" s="311">
        <v>0.27729999999999999</v>
      </c>
      <c r="AZ498" s="311">
        <v>0.3967</v>
      </c>
      <c r="BA498" s="311">
        <v>0.2165</v>
      </c>
      <c r="BB498" s="311">
        <v>0.22320000000000001</v>
      </c>
      <c r="BC498" s="311">
        <v>0.26919999999999999</v>
      </c>
      <c r="BD498" s="311">
        <v>0.2999</v>
      </c>
      <c r="BE498" s="311">
        <v>0.41370000000000001</v>
      </c>
      <c r="BF498" s="311">
        <v>0.42</v>
      </c>
      <c r="BG498" s="311">
        <v>0.30930000000000002</v>
      </c>
      <c r="BH498" s="311">
        <v>0.36899999999999999</v>
      </c>
      <c r="BI498" s="311">
        <v>0.46179999999999999</v>
      </c>
      <c r="BJ498" s="311">
        <v>0.36049999999999999</v>
      </c>
      <c r="BK498" s="311">
        <v>0.28960000000000002</v>
      </c>
    </row>
    <row r="499" spans="1:63" x14ac:dyDescent="0.25">
      <c r="A499" s="306">
        <v>316200</v>
      </c>
      <c r="B499" s="311" t="s">
        <v>77</v>
      </c>
      <c r="C499" s="311">
        <v>0.50019999999999998</v>
      </c>
      <c r="D499" s="311">
        <v>0</v>
      </c>
      <c r="E499" s="311">
        <v>0</v>
      </c>
      <c r="F499" s="311">
        <v>0.37019999999999997</v>
      </c>
      <c r="G499" s="311">
        <v>0.37</v>
      </c>
      <c r="H499" s="311">
        <v>0.41060000000000002</v>
      </c>
      <c r="I499" s="311">
        <v>0.39739999999999998</v>
      </c>
      <c r="J499" s="311">
        <v>0</v>
      </c>
      <c r="K499" s="311">
        <v>0</v>
      </c>
      <c r="L499" s="311">
        <v>0</v>
      </c>
      <c r="M499" s="311">
        <v>0.37809999999999999</v>
      </c>
      <c r="N499" s="311">
        <v>0.41310000000000002</v>
      </c>
      <c r="O499" s="311">
        <v>0.34739999999999999</v>
      </c>
      <c r="P499" s="311">
        <v>0</v>
      </c>
      <c r="Q499" s="311">
        <v>0.36799999999999999</v>
      </c>
      <c r="R499" s="311">
        <v>0.42720000000000002</v>
      </c>
      <c r="S499" s="311">
        <v>0.35830000000000001</v>
      </c>
      <c r="T499" s="311">
        <v>0</v>
      </c>
      <c r="U499" s="311">
        <v>0.38140000000000002</v>
      </c>
      <c r="V499" s="311">
        <v>0</v>
      </c>
      <c r="W499" s="311">
        <v>0.40179999999999999</v>
      </c>
      <c r="X499" s="311">
        <v>0.30230000000000001</v>
      </c>
      <c r="Y499" s="311">
        <v>0.38500000000000001</v>
      </c>
      <c r="Z499" s="311">
        <v>0.42409999999999998</v>
      </c>
      <c r="AA499" s="311">
        <v>0.32940000000000003</v>
      </c>
      <c r="AB499" s="311">
        <v>0.41149999999999998</v>
      </c>
      <c r="AC499" s="311">
        <v>0</v>
      </c>
      <c r="AD499" s="311">
        <v>0.34160000000000001</v>
      </c>
      <c r="AE499" s="311">
        <v>0.4143</v>
      </c>
      <c r="AF499" s="311">
        <v>0.3306</v>
      </c>
      <c r="AG499" s="311">
        <v>0.27079999999999999</v>
      </c>
      <c r="AH499" s="311">
        <v>0.32519999999999999</v>
      </c>
      <c r="AI499" s="311">
        <v>0.39610000000000001</v>
      </c>
      <c r="AJ499" s="311">
        <v>0</v>
      </c>
      <c r="AK499" s="311">
        <v>0</v>
      </c>
      <c r="AL499" s="311">
        <v>0.3382</v>
      </c>
      <c r="AM499" s="311">
        <v>0.42209999999999998</v>
      </c>
      <c r="AN499" s="311">
        <v>0.35649999999999998</v>
      </c>
      <c r="AO499" s="311">
        <v>0.373</v>
      </c>
      <c r="AP499" s="311">
        <v>0.42549999999999999</v>
      </c>
      <c r="AQ499" s="311">
        <v>0</v>
      </c>
      <c r="AR499" s="311">
        <v>0.40300000000000002</v>
      </c>
      <c r="AS499" s="311">
        <v>0</v>
      </c>
      <c r="AT499" s="311">
        <v>0.40760000000000002</v>
      </c>
      <c r="AU499" s="311">
        <v>0.42380000000000001</v>
      </c>
      <c r="AV499" s="311">
        <v>0</v>
      </c>
      <c r="AW499" s="311">
        <v>0.38940000000000002</v>
      </c>
      <c r="AX499" s="311">
        <v>0</v>
      </c>
      <c r="AY499" s="311">
        <v>0.3523</v>
      </c>
      <c r="AZ499" s="311">
        <v>0.4052</v>
      </c>
      <c r="BA499" s="311">
        <v>0</v>
      </c>
      <c r="BB499" s="311">
        <v>0</v>
      </c>
      <c r="BC499" s="311">
        <v>0.4405</v>
      </c>
      <c r="BD499" s="311">
        <v>0.42520000000000002</v>
      </c>
      <c r="BE499" s="311">
        <v>0.44419999999999998</v>
      </c>
      <c r="BF499" s="311">
        <v>0.38550000000000001</v>
      </c>
      <c r="BG499" s="311">
        <v>0.4304</v>
      </c>
      <c r="BH499" s="311">
        <v>0.41849999999999998</v>
      </c>
      <c r="BI499" s="311">
        <v>0.42599999999999999</v>
      </c>
      <c r="BJ499" s="311">
        <v>0.38929999999999998</v>
      </c>
      <c r="BK499" s="311">
        <v>0.40799999999999997</v>
      </c>
    </row>
    <row r="500" spans="1:63" x14ac:dyDescent="0.25">
      <c r="A500" s="306">
        <v>316900</v>
      </c>
      <c r="B500" s="311" t="s">
        <v>78</v>
      </c>
      <c r="C500" s="311">
        <v>0.51239999999999997</v>
      </c>
      <c r="D500" s="311">
        <v>0</v>
      </c>
      <c r="E500" s="311">
        <v>0.38119999999999998</v>
      </c>
      <c r="F500" s="311">
        <v>0.36359999999999998</v>
      </c>
      <c r="G500" s="311">
        <v>0.37480000000000002</v>
      </c>
      <c r="H500" s="311">
        <v>0.43230000000000002</v>
      </c>
      <c r="I500" s="311">
        <v>0.42080000000000001</v>
      </c>
      <c r="J500" s="311">
        <v>0.37780000000000002</v>
      </c>
      <c r="K500" s="311">
        <v>0</v>
      </c>
      <c r="L500" s="311">
        <v>0.33239999999999997</v>
      </c>
      <c r="M500" s="311">
        <v>0.38469999999999999</v>
      </c>
      <c r="N500" s="311">
        <v>0.41599999999999998</v>
      </c>
      <c r="O500" s="311">
        <v>0</v>
      </c>
      <c r="P500" s="311">
        <v>0.35470000000000002</v>
      </c>
      <c r="Q500" s="311">
        <v>0.37609999999999999</v>
      </c>
      <c r="R500" s="311">
        <v>0.43619999999999998</v>
      </c>
      <c r="S500" s="311">
        <v>0.35699999999999998</v>
      </c>
      <c r="T500" s="311">
        <v>0.33750000000000002</v>
      </c>
      <c r="U500" s="311">
        <v>0.37719999999999998</v>
      </c>
      <c r="V500" s="311">
        <v>0.38129999999999997</v>
      </c>
      <c r="W500" s="311">
        <v>0.40260000000000001</v>
      </c>
      <c r="X500" s="311">
        <v>0.29970000000000002</v>
      </c>
      <c r="Y500" s="311">
        <v>0.37340000000000001</v>
      </c>
      <c r="Z500" s="311">
        <v>0.42670000000000002</v>
      </c>
      <c r="AA500" s="311">
        <v>0.3392</v>
      </c>
      <c r="AB500" s="311">
        <v>0.40910000000000002</v>
      </c>
      <c r="AC500" s="311">
        <v>0.34499999999999997</v>
      </c>
      <c r="AD500" s="311">
        <v>0.34460000000000002</v>
      </c>
      <c r="AE500" s="311">
        <v>0.41660000000000003</v>
      </c>
      <c r="AF500" s="311">
        <v>0.32329999999999998</v>
      </c>
      <c r="AG500" s="311">
        <v>0.27129999999999999</v>
      </c>
      <c r="AH500" s="311">
        <v>0.3165</v>
      </c>
      <c r="AI500" s="311">
        <v>0.39539999999999997</v>
      </c>
      <c r="AJ500" s="311">
        <v>0.33139999999999997</v>
      </c>
      <c r="AK500" s="311">
        <v>0.36890000000000001</v>
      </c>
      <c r="AL500" s="311">
        <v>0.34849999999999998</v>
      </c>
      <c r="AM500" s="311">
        <v>0.41909999999999997</v>
      </c>
      <c r="AN500" s="311">
        <v>0.36890000000000001</v>
      </c>
      <c r="AO500" s="311">
        <v>0.3679</v>
      </c>
      <c r="AP500" s="311">
        <v>0.42820000000000003</v>
      </c>
      <c r="AQ500" s="311">
        <v>0.3553</v>
      </c>
      <c r="AR500" s="311">
        <v>0.39600000000000002</v>
      </c>
      <c r="AS500" s="311">
        <v>0.26279999999999998</v>
      </c>
      <c r="AT500" s="311">
        <v>0.40839999999999999</v>
      </c>
      <c r="AU500" s="311">
        <v>0.42799999999999999</v>
      </c>
      <c r="AV500" s="311">
        <v>0.41860000000000003</v>
      </c>
      <c r="AW500" s="311">
        <v>0.38729999999999998</v>
      </c>
      <c r="AX500" s="311">
        <v>0.27800000000000002</v>
      </c>
      <c r="AY500" s="311">
        <v>0.35310000000000002</v>
      </c>
      <c r="AZ500" s="311">
        <v>0.40799999999999997</v>
      </c>
      <c r="BA500" s="311">
        <v>0</v>
      </c>
      <c r="BB500" s="311">
        <v>0.32629999999999998</v>
      </c>
      <c r="BC500" s="311">
        <v>0.44569999999999999</v>
      </c>
      <c r="BD500" s="311">
        <v>0.43219999999999997</v>
      </c>
      <c r="BE500" s="311">
        <v>0.44879999999999998</v>
      </c>
      <c r="BF500" s="311">
        <v>0.3881</v>
      </c>
      <c r="BG500" s="311">
        <v>0.43440000000000001</v>
      </c>
      <c r="BH500" s="311">
        <v>0.41510000000000002</v>
      </c>
      <c r="BI500" s="311">
        <v>0.4299</v>
      </c>
      <c r="BJ500" s="311">
        <v>0.40539999999999998</v>
      </c>
      <c r="BK500" s="311">
        <v>0.42709999999999998</v>
      </c>
    </row>
    <row r="501" spans="1:63" x14ac:dyDescent="0.25">
      <c r="A501" s="306">
        <v>321100</v>
      </c>
      <c r="B501" s="311" t="s">
        <v>79</v>
      </c>
      <c r="C501" s="311">
        <v>0.52170000000000005</v>
      </c>
      <c r="D501" s="311">
        <v>0.32119999999999999</v>
      </c>
      <c r="E501" s="311">
        <v>0.43959999999999999</v>
      </c>
      <c r="F501" s="311">
        <v>0.42930000000000001</v>
      </c>
      <c r="G501" s="311">
        <v>0.23749999999999999</v>
      </c>
      <c r="H501" s="311">
        <v>0.3004</v>
      </c>
      <c r="I501" s="311">
        <v>0.25690000000000002</v>
      </c>
      <c r="J501" s="311">
        <v>0.2069</v>
      </c>
      <c r="K501" s="311">
        <v>0</v>
      </c>
      <c r="L501" s="311">
        <v>0.18210000000000001</v>
      </c>
      <c r="M501" s="311">
        <v>0.3488</v>
      </c>
      <c r="N501" s="311">
        <v>0.45779999999999998</v>
      </c>
      <c r="O501" s="311">
        <v>0.20880000000000001</v>
      </c>
      <c r="P501" s="311">
        <v>0.20599999999999999</v>
      </c>
      <c r="Q501" s="311">
        <v>0.41789999999999999</v>
      </c>
      <c r="R501" s="311">
        <v>0.23760000000000001</v>
      </c>
      <c r="S501" s="311">
        <v>0.25169999999999998</v>
      </c>
      <c r="T501" s="311">
        <v>0.20449999999999999</v>
      </c>
      <c r="U501" s="311">
        <v>0.27479999999999999</v>
      </c>
      <c r="V501" s="311">
        <v>0.43030000000000002</v>
      </c>
      <c r="W501" s="311">
        <v>0.20860000000000001</v>
      </c>
      <c r="X501" s="311">
        <v>0.20760000000000001</v>
      </c>
      <c r="Y501" s="311">
        <v>0.42370000000000002</v>
      </c>
      <c r="Z501" s="311">
        <v>0.35089999999999999</v>
      </c>
      <c r="AA501" s="311">
        <v>0.31040000000000001</v>
      </c>
      <c r="AB501" s="311">
        <v>0.24979999999999999</v>
      </c>
      <c r="AC501" s="311">
        <v>0.41570000000000001</v>
      </c>
      <c r="AD501" s="311">
        <v>0.42649999999999999</v>
      </c>
      <c r="AE501" s="311">
        <v>0.41499999999999998</v>
      </c>
      <c r="AF501" s="311">
        <v>0.1835</v>
      </c>
      <c r="AG501" s="311">
        <v>0.20610000000000001</v>
      </c>
      <c r="AH501" s="311">
        <v>0.3548</v>
      </c>
      <c r="AI501" s="311">
        <v>0.19989999999999999</v>
      </c>
      <c r="AJ501" s="311">
        <v>0.21970000000000001</v>
      </c>
      <c r="AK501" s="311">
        <v>0.20880000000000001</v>
      </c>
      <c r="AL501" s="311">
        <v>0.20979999999999999</v>
      </c>
      <c r="AM501" s="311">
        <v>0.2505</v>
      </c>
      <c r="AN501" s="311">
        <v>0.27589999999999998</v>
      </c>
      <c r="AO501" s="311">
        <v>0.45269999999999999</v>
      </c>
      <c r="AP501" s="311">
        <v>0.27379999999999999</v>
      </c>
      <c r="AQ501" s="311">
        <v>0.19869999999999999</v>
      </c>
      <c r="AR501" s="311">
        <v>0.42870000000000003</v>
      </c>
      <c r="AS501" s="311">
        <v>0.28989999999999999</v>
      </c>
      <c r="AT501" s="311">
        <v>0.2999</v>
      </c>
      <c r="AU501" s="311">
        <v>0.31919999999999998</v>
      </c>
      <c r="AV501" s="311">
        <v>0.2525</v>
      </c>
      <c r="AW501" s="311">
        <v>0.36470000000000002</v>
      </c>
      <c r="AX501" s="311">
        <v>0.35799999999999998</v>
      </c>
      <c r="AY501" s="311">
        <v>0.45190000000000002</v>
      </c>
      <c r="AZ501" s="311">
        <v>0.32919999999999999</v>
      </c>
      <c r="BA501" s="311">
        <v>0.35780000000000001</v>
      </c>
      <c r="BB501" s="311">
        <v>0.26569999999999999</v>
      </c>
      <c r="BC501" s="311">
        <v>0.38</v>
      </c>
      <c r="BD501" s="311">
        <v>0.24790000000000001</v>
      </c>
      <c r="BE501" s="311">
        <v>0.28510000000000002</v>
      </c>
      <c r="BF501" s="311">
        <v>0.26140000000000002</v>
      </c>
      <c r="BG501" s="311">
        <v>0.46329999999999999</v>
      </c>
      <c r="BH501" s="311">
        <v>0.45290000000000002</v>
      </c>
      <c r="BI501" s="311">
        <v>0.47020000000000001</v>
      </c>
      <c r="BJ501" s="311">
        <v>0.36670000000000003</v>
      </c>
      <c r="BK501" s="311">
        <v>0.47160000000000002</v>
      </c>
    </row>
    <row r="502" spans="1:63" x14ac:dyDescent="0.25">
      <c r="A502" s="306">
        <v>321219</v>
      </c>
      <c r="B502" s="311" t="s">
        <v>82</v>
      </c>
      <c r="C502" s="311">
        <v>0.45800000000000002</v>
      </c>
      <c r="D502" s="311">
        <v>0</v>
      </c>
      <c r="E502" s="311">
        <v>0.36720000000000003</v>
      </c>
      <c r="F502" s="311">
        <v>0.34410000000000002</v>
      </c>
      <c r="G502" s="311">
        <v>0.25490000000000002</v>
      </c>
      <c r="H502" s="311">
        <v>0.29570000000000002</v>
      </c>
      <c r="I502" s="311">
        <v>0.2767</v>
      </c>
      <c r="J502" s="311">
        <v>0</v>
      </c>
      <c r="K502" s="311">
        <v>0</v>
      </c>
      <c r="L502" s="311">
        <v>0.22070000000000001</v>
      </c>
      <c r="M502" s="311">
        <v>0.28399999999999997</v>
      </c>
      <c r="N502" s="311">
        <v>0.38030000000000003</v>
      </c>
      <c r="O502" s="311">
        <v>0</v>
      </c>
      <c r="P502" s="311">
        <v>0</v>
      </c>
      <c r="Q502" s="311">
        <v>0.31469999999999998</v>
      </c>
      <c r="R502" s="311">
        <v>0.2853</v>
      </c>
      <c r="S502" s="311">
        <v>0.2797</v>
      </c>
      <c r="T502" s="311">
        <v>0</v>
      </c>
      <c r="U502" s="311">
        <v>0.29339999999999999</v>
      </c>
      <c r="V502" s="311">
        <v>0.36670000000000003</v>
      </c>
      <c r="W502" s="311">
        <v>0.25019999999999998</v>
      </c>
      <c r="X502" s="311">
        <v>0.22140000000000001</v>
      </c>
      <c r="Y502" s="311">
        <v>0.33450000000000002</v>
      </c>
      <c r="Z502" s="311">
        <v>0.33679999999999999</v>
      </c>
      <c r="AA502" s="311">
        <v>0.28620000000000001</v>
      </c>
      <c r="AB502" s="311">
        <v>0.28260000000000002</v>
      </c>
      <c r="AC502" s="311">
        <v>0.34039999999999998</v>
      </c>
      <c r="AD502" s="311">
        <v>0.32950000000000002</v>
      </c>
      <c r="AE502" s="311">
        <v>0.3548</v>
      </c>
      <c r="AF502" s="311">
        <v>0.20050000000000001</v>
      </c>
      <c r="AG502" s="311">
        <v>0</v>
      </c>
      <c r="AH502" s="311">
        <v>0.30430000000000001</v>
      </c>
      <c r="AI502" s="311">
        <v>0.2445</v>
      </c>
      <c r="AJ502" s="311">
        <v>0.2356</v>
      </c>
      <c r="AK502" s="311">
        <v>0.24299999999999999</v>
      </c>
      <c r="AL502" s="311">
        <v>0.22800000000000001</v>
      </c>
      <c r="AM502" s="311">
        <v>0.29899999999999999</v>
      </c>
      <c r="AN502" s="311">
        <v>0.28649999999999998</v>
      </c>
      <c r="AO502" s="311">
        <v>0.36059999999999998</v>
      </c>
      <c r="AP502" s="311">
        <v>0.32550000000000001</v>
      </c>
      <c r="AQ502" s="311">
        <v>0</v>
      </c>
      <c r="AR502" s="311">
        <v>0.36349999999999999</v>
      </c>
      <c r="AS502" s="311">
        <v>0.26869999999999999</v>
      </c>
      <c r="AT502" s="311">
        <v>0.31019999999999998</v>
      </c>
      <c r="AU502" s="311">
        <v>0.34320000000000001</v>
      </c>
      <c r="AV502" s="311">
        <v>0</v>
      </c>
      <c r="AW502" s="311">
        <v>0.32979999999999998</v>
      </c>
      <c r="AX502" s="311">
        <v>0</v>
      </c>
      <c r="AY502" s="311">
        <v>0.34250000000000003</v>
      </c>
      <c r="AZ502" s="311">
        <v>0.32140000000000002</v>
      </c>
      <c r="BA502" s="311">
        <v>0.32350000000000001</v>
      </c>
      <c r="BB502" s="311">
        <v>0</v>
      </c>
      <c r="BC502" s="311">
        <v>0.34010000000000001</v>
      </c>
      <c r="BD502" s="311">
        <v>0.28989999999999999</v>
      </c>
      <c r="BE502" s="311">
        <v>0.32679999999999998</v>
      </c>
      <c r="BF502" s="311">
        <v>0.28739999999999999</v>
      </c>
      <c r="BG502" s="311">
        <v>0.38940000000000002</v>
      </c>
      <c r="BH502" s="311">
        <v>0.38669999999999999</v>
      </c>
      <c r="BI502" s="311">
        <v>0.40720000000000001</v>
      </c>
      <c r="BJ502" s="311">
        <v>0.33200000000000002</v>
      </c>
      <c r="BK502" s="311">
        <v>0.37390000000000001</v>
      </c>
    </row>
    <row r="503" spans="1:63" x14ac:dyDescent="0.25">
      <c r="A503" s="306" t="s">
        <v>709</v>
      </c>
      <c r="B503" s="311" t="s">
        <v>80</v>
      </c>
      <c r="C503" s="311">
        <v>0.51749999999999996</v>
      </c>
      <c r="D503" s="311">
        <v>0.32129999999999997</v>
      </c>
      <c r="E503" s="311">
        <v>0.4405</v>
      </c>
      <c r="F503" s="311">
        <v>0.43169999999999997</v>
      </c>
      <c r="G503" s="311">
        <v>0.27400000000000002</v>
      </c>
      <c r="H503" s="311">
        <v>0.32340000000000002</v>
      </c>
      <c r="I503" s="311">
        <v>0.29110000000000003</v>
      </c>
      <c r="J503" s="311">
        <v>0</v>
      </c>
      <c r="K503" s="311">
        <v>0</v>
      </c>
      <c r="L503" s="311">
        <v>0.2218</v>
      </c>
      <c r="M503" s="311">
        <v>0.35959999999999998</v>
      </c>
      <c r="N503" s="311">
        <v>0.46179999999999999</v>
      </c>
      <c r="O503" s="311">
        <v>0.25080000000000002</v>
      </c>
      <c r="P503" s="311">
        <v>0.24510000000000001</v>
      </c>
      <c r="Q503" s="311">
        <v>0.41849999999999998</v>
      </c>
      <c r="R503" s="311">
        <v>0.27860000000000001</v>
      </c>
      <c r="S503" s="311">
        <v>0.30080000000000001</v>
      </c>
      <c r="T503" s="311">
        <v>0</v>
      </c>
      <c r="U503" s="311">
        <v>0.31879999999999997</v>
      </c>
      <c r="V503" s="311">
        <v>0.436</v>
      </c>
      <c r="W503" s="311">
        <v>0.2515</v>
      </c>
      <c r="X503" s="311">
        <v>0.23949999999999999</v>
      </c>
      <c r="Y503" s="311">
        <v>0.42930000000000001</v>
      </c>
      <c r="Z503" s="311">
        <v>0.37769999999999998</v>
      </c>
      <c r="AA503" s="311">
        <v>0.3221</v>
      </c>
      <c r="AB503" s="311">
        <v>0.27739999999999998</v>
      </c>
      <c r="AC503" s="311">
        <v>0.41980000000000001</v>
      </c>
      <c r="AD503" s="311">
        <v>0.42780000000000001</v>
      </c>
      <c r="AE503" s="311">
        <v>0.42659999999999998</v>
      </c>
      <c r="AF503" s="311">
        <v>0</v>
      </c>
      <c r="AG503" s="311">
        <v>0.24940000000000001</v>
      </c>
      <c r="AH503" s="311">
        <v>0.3427</v>
      </c>
      <c r="AI503" s="311">
        <v>0.23910000000000001</v>
      </c>
      <c r="AJ503" s="311">
        <v>0</v>
      </c>
      <c r="AK503" s="311">
        <v>0</v>
      </c>
      <c r="AL503" s="311">
        <v>0.24579999999999999</v>
      </c>
      <c r="AM503" s="311">
        <v>0.3004</v>
      </c>
      <c r="AN503" s="311">
        <v>0.2954</v>
      </c>
      <c r="AO503" s="311">
        <v>0.4572</v>
      </c>
      <c r="AP503" s="311">
        <v>0.3145</v>
      </c>
      <c r="AQ503" s="311">
        <v>0.2407</v>
      </c>
      <c r="AR503" s="311">
        <v>0.43359999999999999</v>
      </c>
      <c r="AS503" s="311">
        <v>0</v>
      </c>
      <c r="AT503" s="311">
        <v>0.317</v>
      </c>
      <c r="AU503" s="311">
        <v>0.3629</v>
      </c>
      <c r="AV503" s="311">
        <v>0.31190000000000001</v>
      </c>
      <c r="AW503" s="311">
        <v>0.38700000000000001</v>
      </c>
      <c r="AX503" s="311">
        <v>0.36380000000000001</v>
      </c>
      <c r="AY503" s="311">
        <v>0.44419999999999998</v>
      </c>
      <c r="AZ503" s="311">
        <v>0.36959999999999998</v>
      </c>
      <c r="BA503" s="311">
        <v>0.37969999999999998</v>
      </c>
      <c r="BB503" s="311">
        <v>0</v>
      </c>
      <c r="BC503" s="311">
        <v>0.38269999999999998</v>
      </c>
      <c r="BD503" s="311">
        <v>0.28920000000000001</v>
      </c>
      <c r="BE503" s="311">
        <v>0.34110000000000001</v>
      </c>
      <c r="BF503" s="311">
        <v>0.2944</v>
      </c>
      <c r="BG503" s="311">
        <v>0.46679999999999999</v>
      </c>
      <c r="BH503" s="311">
        <v>0.45729999999999998</v>
      </c>
      <c r="BI503" s="311">
        <v>0.47189999999999999</v>
      </c>
      <c r="BJ503" s="311">
        <v>0.38479999999999998</v>
      </c>
      <c r="BK503" s="311">
        <v>0.47110000000000002</v>
      </c>
    </row>
    <row r="504" spans="1:63" x14ac:dyDescent="0.25">
      <c r="A504" s="306" t="s">
        <v>710</v>
      </c>
      <c r="B504" s="311" t="s">
        <v>81</v>
      </c>
      <c r="C504" s="311">
        <v>0.52229999999999999</v>
      </c>
      <c r="D504" s="311">
        <v>0.32779999999999998</v>
      </c>
      <c r="E504" s="311">
        <v>0.44190000000000002</v>
      </c>
      <c r="F504" s="311">
        <v>0.42980000000000002</v>
      </c>
      <c r="G504" s="311">
        <v>0.3599</v>
      </c>
      <c r="H504" s="311">
        <v>0.39439999999999997</v>
      </c>
      <c r="I504" s="311">
        <v>0.3906</v>
      </c>
      <c r="J504" s="311">
        <v>0.33900000000000002</v>
      </c>
      <c r="K504" s="311">
        <v>0</v>
      </c>
      <c r="L504" s="311">
        <v>0.28660000000000002</v>
      </c>
      <c r="M504" s="311">
        <v>0.37280000000000002</v>
      </c>
      <c r="N504" s="311">
        <v>0.4657</v>
      </c>
      <c r="O504" s="311">
        <v>0.31530000000000002</v>
      </c>
      <c r="P504" s="311">
        <v>0.32829999999999998</v>
      </c>
      <c r="Q504" s="311">
        <v>0.41099999999999998</v>
      </c>
      <c r="R504" s="311">
        <v>0.37630000000000002</v>
      </c>
      <c r="S504" s="311">
        <v>0.37709999999999999</v>
      </c>
      <c r="T504" s="311">
        <v>0.31740000000000002</v>
      </c>
      <c r="U504" s="311">
        <v>0.3987</v>
      </c>
      <c r="V504" s="311">
        <v>0.43180000000000002</v>
      </c>
      <c r="W504" s="311">
        <v>0.33529999999999999</v>
      </c>
      <c r="X504" s="311">
        <v>0.30940000000000001</v>
      </c>
      <c r="Y504" s="311">
        <v>0.43690000000000001</v>
      </c>
      <c r="Z504" s="311">
        <v>0.41049999999999998</v>
      </c>
      <c r="AA504" s="311">
        <v>0.3533</v>
      </c>
      <c r="AB504" s="311">
        <v>0.39169999999999999</v>
      </c>
      <c r="AC504" s="311">
        <v>0.41449999999999998</v>
      </c>
      <c r="AD504" s="311">
        <v>0.41370000000000001</v>
      </c>
      <c r="AE504" s="311">
        <v>0.44390000000000002</v>
      </c>
      <c r="AF504" s="311">
        <v>0.26979999999999998</v>
      </c>
      <c r="AG504" s="311">
        <v>0.3226</v>
      </c>
      <c r="AH504" s="311">
        <v>0.39360000000000001</v>
      </c>
      <c r="AI504" s="311">
        <v>0.31569999999999998</v>
      </c>
      <c r="AJ504" s="311">
        <v>0.31630000000000003</v>
      </c>
      <c r="AK504" s="311">
        <v>0.33079999999999998</v>
      </c>
      <c r="AL504" s="311">
        <v>0.31659999999999999</v>
      </c>
      <c r="AM504" s="311">
        <v>0.39319999999999999</v>
      </c>
      <c r="AN504" s="311">
        <v>0.39560000000000001</v>
      </c>
      <c r="AO504" s="311">
        <v>0.46139999999999998</v>
      </c>
      <c r="AP504" s="311">
        <v>0.43049999999999999</v>
      </c>
      <c r="AQ504" s="311">
        <v>0.33029999999999998</v>
      </c>
      <c r="AR504" s="311">
        <v>0.44019999999999998</v>
      </c>
      <c r="AS504" s="311">
        <v>0.375</v>
      </c>
      <c r="AT504" s="311">
        <v>0.41299999999999998</v>
      </c>
      <c r="AU504" s="311">
        <v>0.41010000000000002</v>
      </c>
      <c r="AV504" s="311">
        <v>0.38669999999999999</v>
      </c>
      <c r="AW504" s="311">
        <v>0.42570000000000002</v>
      </c>
      <c r="AX504" s="311">
        <v>0.36919999999999997</v>
      </c>
      <c r="AY504" s="311">
        <v>0.44640000000000002</v>
      </c>
      <c r="AZ504" s="311">
        <v>0.43280000000000002</v>
      </c>
      <c r="BA504" s="311">
        <v>0.39229999999999998</v>
      </c>
      <c r="BB504" s="311">
        <v>0.34910000000000002</v>
      </c>
      <c r="BC504" s="311">
        <v>0.41639999999999999</v>
      </c>
      <c r="BD504" s="311">
        <v>0.38429999999999997</v>
      </c>
      <c r="BE504" s="311">
        <v>0.4178</v>
      </c>
      <c r="BF504" s="311">
        <v>0.37659999999999999</v>
      </c>
      <c r="BG504" s="311">
        <v>0.4733</v>
      </c>
      <c r="BH504" s="311">
        <v>0.4587</v>
      </c>
      <c r="BI504" s="311">
        <v>0.4728</v>
      </c>
      <c r="BJ504" s="311">
        <v>0.42620000000000002</v>
      </c>
      <c r="BK504" s="311">
        <v>0.47089999999999999</v>
      </c>
    </row>
    <row r="505" spans="1:63" x14ac:dyDescent="0.25">
      <c r="A505" s="306">
        <v>321910</v>
      </c>
      <c r="B505" s="311" t="s">
        <v>711</v>
      </c>
      <c r="C505" s="311">
        <v>0.52249999999999996</v>
      </c>
      <c r="D505" s="311">
        <v>0.30199999999999999</v>
      </c>
      <c r="E505" s="311">
        <v>0.42799999999999999</v>
      </c>
      <c r="F505" s="311">
        <v>0.41389999999999999</v>
      </c>
      <c r="G505" s="311">
        <v>0.34389999999999998</v>
      </c>
      <c r="H505" s="311">
        <v>0.38679999999999998</v>
      </c>
      <c r="I505" s="311">
        <v>0.37880000000000003</v>
      </c>
      <c r="J505" s="311">
        <v>0.32940000000000003</v>
      </c>
      <c r="K505" s="311">
        <v>0</v>
      </c>
      <c r="L505" s="311">
        <v>0.26729999999999998</v>
      </c>
      <c r="M505" s="311">
        <v>0.36309999999999998</v>
      </c>
      <c r="N505" s="311">
        <v>0.46250000000000002</v>
      </c>
      <c r="O505" s="311">
        <v>0.2964</v>
      </c>
      <c r="P505" s="311">
        <v>0.31740000000000002</v>
      </c>
      <c r="Q505" s="311">
        <v>0.39090000000000003</v>
      </c>
      <c r="R505" s="311">
        <v>0.37280000000000002</v>
      </c>
      <c r="S505" s="311">
        <v>0.37</v>
      </c>
      <c r="T505" s="311">
        <v>0.3044</v>
      </c>
      <c r="U505" s="311">
        <v>0.39229999999999998</v>
      </c>
      <c r="V505" s="311">
        <v>0.40360000000000001</v>
      </c>
      <c r="W505" s="311">
        <v>0.3256</v>
      </c>
      <c r="X505" s="311">
        <v>0.29430000000000001</v>
      </c>
      <c r="Y505" s="311">
        <v>0.41860000000000003</v>
      </c>
      <c r="Z505" s="311">
        <v>0.39760000000000001</v>
      </c>
      <c r="AA505" s="311">
        <v>0.35630000000000001</v>
      </c>
      <c r="AB505" s="311">
        <v>0.37569999999999998</v>
      </c>
      <c r="AC505" s="311">
        <v>0.40050000000000002</v>
      </c>
      <c r="AD505" s="311">
        <v>0.3876</v>
      </c>
      <c r="AE505" s="311">
        <v>0.43430000000000002</v>
      </c>
      <c r="AF505" s="311">
        <v>0.25700000000000001</v>
      </c>
      <c r="AG505" s="311">
        <v>0.2984</v>
      </c>
      <c r="AH505" s="311">
        <v>0.3735</v>
      </c>
      <c r="AI505" s="311">
        <v>0.31380000000000002</v>
      </c>
      <c r="AJ505" s="311">
        <v>0.29730000000000001</v>
      </c>
      <c r="AK505" s="311">
        <v>0.31390000000000001</v>
      </c>
      <c r="AL505" s="311">
        <v>0.30430000000000001</v>
      </c>
      <c r="AM505" s="311">
        <v>0.39460000000000001</v>
      </c>
      <c r="AN505" s="311">
        <v>0.37430000000000002</v>
      </c>
      <c r="AO505" s="311">
        <v>0.44619999999999999</v>
      </c>
      <c r="AP505" s="311">
        <v>0.41739999999999999</v>
      </c>
      <c r="AQ505" s="311">
        <v>0.32219999999999999</v>
      </c>
      <c r="AR505" s="311">
        <v>0.4269</v>
      </c>
      <c r="AS505" s="311">
        <v>0.3493</v>
      </c>
      <c r="AT505" s="311">
        <v>0.40350000000000003</v>
      </c>
      <c r="AU505" s="311">
        <v>0.40179999999999999</v>
      </c>
      <c r="AV505" s="311">
        <v>0.37730000000000002</v>
      </c>
      <c r="AW505" s="311">
        <v>0.40849999999999997</v>
      </c>
      <c r="AX505" s="311">
        <v>0.3533</v>
      </c>
      <c r="AY505" s="311">
        <v>0.43109999999999998</v>
      </c>
      <c r="AZ505" s="311">
        <v>0.42249999999999999</v>
      </c>
      <c r="BA505" s="311">
        <v>0.3755</v>
      </c>
      <c r="BB505" s="311">
        <v>0.31080000000000002</v>
      </c>
      <c r="BC505" s="311">
        <v>0.40600000000000003</v>
      </c>
      <c r="BD505" s="311">
        <v>0.37769999999999998</v>
      </c>
      <c r="BE505" s="311">
        <v>0.42049999999999998</v>
      </c>
      <c r="BF505" s="311">
        <v>0.37180000000000002</v>
      </c>
      <c r="BG505" s="311">
        <v>0.46379999999999999</v>
      </c>
      <c r="BH505" s="311">
        <v>0.45379999999999998</v>
      </c>
      <c r="BI505" s="311">
        <v>0.45800000000000002</v>
      </c>
      <c r="BJ505" s="311">
        <v>0.40789999999999998</v>
      </c>
      <c r="BK505" s="311">
        <v>0.4607</v>
      </c>
    </row>
    <row r="506" spans="1:63" x14ac:dyDescent="0.25">
      <c r="A506" s="306">
        <v>321920</v>
      </c>
      <c r="B506" s="311" t="s">
        <v>83</v>
      </c>
      <c r="C506" s="311">
        <v>0.53</v>
      </c>
      <c r="D506" s="311">
        <v>0.32540000000000002</v>
      </c>
      <c r="E506" s="311">
        <v>0.4325</v>
      </c>
      <c r="F506" s="311">
        <v>0.41199999999999998</v>
      </c>
      <c r="G506" s="311">
        <v>0.3584</v>
      </c>
      <c r="H506" s="311">
        <v>0.40660000000000002</v>
      </c>
      <c r="I506" s="311">
        <v>0.38779999999999998</v>
      </c>
      <c r="J506" s="311">
        <v>0.35089999999999999</v>
      </c>
      <c r="K506" s="311">
        <v>0</v>
      </c>
      <c r="L506" s="311">
        <v>0.29220000000000002</v>
      </c>
      <c r="M506" s="311">
        <v>0.37840000000000001</v>
      </c>
      <c r="N506" s="311">
        <v>0.46300000000000002</v>
      </c>
      <c r="O506" s="311">
        <v>0</v>
      </c>
      <c r="P506" s="311">
        <v>0.32800000000000001</v>
      </c>
      <c r="Q506" s="311">
        <v>0.3841</v>
      </c>
      <c r="R506" s="311">
        <v>0.39350000000000002</v>
      </c>
      <c r="S506" s="311">
        <v>0.38080000000000003</v>
      </c>
      <c r="T506" s="311">
        <v>0.32969999999999999</v>
      </c>
      <c r="U506" s="311">
        <v>0.39510000000000001</v>
      </c>
      <c r="V506" s="311">
        <v>0.41220000000000001</v>
      </c>
      <c r="W506" s="311">
        <v>0.35549999999999998</v>
      </c>
      <c r="X506" s="311">
        <v>0.32029999999999997</v>
      </c>
      <c r="Y506" s="311">
        <v>0.41470000000000001</v>
      </c>
      <c r="Z506" s="311">
        <v>0.41220000000000001</v>
      </c>
      <c r="AA506" s="311">
        <v>0.35830000000000001</v>
      </c>
      <c r="AB506" s="311">
        <v>0.38329999999999997</v>
      </c>
      <c r="AC506" s="311">
        <v>0.40479999999999999</v>
      </c>
      <c r="AD506" s="311">
        <v>0.38569999999999999</v>
      </c>
      <c r="AE506" s="311">
        <v>0.44650000000000001</v>
      </c>
      <c r="AF506" s="311">
        <v>0.26729999999999998</v>
      </c>
      <c r="AG506" s="311">
        <v>0.3271</v>
      </c>
      <c r="AH506" s="311">
        <v>0.37930000000000003</v>
      </c>
      <c r="AI506" s="311">
        <v>0.3397</v>
      </c>
      <c r="AJ506" s="311">
        <v>0.31630000000000003</v>
      </c>
      <c r="AK506" s="311">
        <v>0.3276</v>
      </c>
      <c r="AL506" s="311">
        <v>0.33450000000000002</v>
      </c>
      <c r="AM506" s="311">
        <v>0.40839999999999999</v>
      </c>
      <c r="AN506" s="311">
        <v>0.38119999999999998</v>
      </c>
      <c r="AO506" s="311">
        <v>0.43440000000000001</v>
      </c>
      <c r="AP506" s="311">
        <v>0.42680000000000001</v>
      </c>
      <c r="AQ506" s="311">
        <v>0.34720000000000001</v>
      </c>
      <c r="AR506" s="311">
        <v>0.4385</v>
      </c>
      <c r="AS506" s="311">
        <v>0.34710000000000002</v>
      </c>
      <c r="AT506" s="311">
        <v>0.41389999999999999</v>
      </c>
      <c r="AU506" s="311">
        <v>0.40970000000000001</v>
      </c>
      <c r="AV506" s="311">
        <v>0.39860000000000001</v>
      </c>
      <c r="AW506" s="311">
        <v>0.41510000000000002</v>
      </c>
      <c r="AX506" s="311">
        <v>0.36370000000000002</v>
      </c>
      <c r="AY506" s="311">
        <v>0.42759999999999998</v>
      </c>
      <c r="AZ506" s="311">
        <v>0.42259999999999998</v>
      </c>
      <c r="BA506" s="311">
        <v>0.37109999999999999</v>
      </c>
      <c r="BB506" s="311">
        <v>0.33610000000000001</v>
      </c>
      <c r="BC506" s="311">
        <v>0.42770000000000002</v>
      </c>
      <c r="BD506" s="311">
        <v>0.40400000000000003</v>
      </c>
      <c r="BE506" s="311">
        <v>0.42849999999999999</v>
      </c>
      <c r="BF506" s="311">
        <v>0.37590000000000001</v>
      </c>
      <c r="BG506" s="311">
        <v>0.47339999999999999</v>
      </c>
      <c r="BH506" s="311">
        <v>0.45979999999999999</v>
      </c>
      <c r="BI506" s="311">
        <v>0.45700000000000002</v>
      </c>
      <c r="BJ506" s="311">
        <v>0.41289999999999999</v>
      </c>
      <c r="BK506" s="311">
        <v>0.46250000000000002</v>
      </c>
    </row>
    <row r="507" spans="1:63" x14ac:dyDescent="0.25">
      <c r="A507" s="306">
        <v>321991</v>
      </c>
      <c r="B507" s="311" t="s">
        <v>84</v>
      </c>
      <c r="C507" s="311">
        <v>0.53949999999999998</v>
      </c>
      <c r="D507" s="311">
        <v>0</v>
      </c>
      <c r="E507" s="311">
        <v>0.4415</v>
      </c>
      <c r="F507" s="311">
        <v>0.39800000000000002</v>
      </c>
      <c r="G507" s="311">
        <v>0.38150000000000001</v>
      </c>
      <c r="H507" s="311">
        <v>0.4118</v>
      </c>
      <c r="I507" s="311">
        <v>0.39539999999999997</v>
      </c>
      <c r="J507" s="311">
        <v>0</v>
      </c>
      <c r="K507" s="311">
        <v>0</v>
      </c>
      <c r="L507" s="311">
        <v>0</v>
      </c>
      <c r="M507" s="311">
        <v>0.38069999999999998</v>
      </c>
      <c r="N507" s="311">
        <v>0.45469999999999999</v>
      </c>
      <c r="O507" s="311">
        <v>0</v>
      </c>
      <c r="P507" s="311">
        <v>0.35210000000000002</v>
      </c>
      <c r="Q507" s="311">
        <v>0.35639999999999999</v>
      </c>
      <c r="R507" s="311">
        <v>0.41410000000000002</v>
      </c>
      <c r="S507" s="311">
        <v>0.40570000000000001</v>
      </c>
      <c r="T507" s="311">
        <v>0.3448</v>
      </c>
      <c r="U507" s="311">
        <v>0.40820000000000001</v>
      </c>
      <c r="V507" s="311">
        <v>0.37409999999999999</v>
      </c>
      <c r="W507" s="311">
        <v>0</v>
      </c>
      <c r="X507" s="311">
        <v>0.32219999999999999</v>
      </c>
      <c r="Y507" s="311">
        <v>0.38100000000000001</v>
      </c>
      <c r="Z507" s="311">
        <v>0.42030000000000001</v>
      </c>
      <c r="AA507" s="311">
        <v>0.37690000000000001</v>
      </c>
      <c r="AB507" s="311">
        <v>0.3987</v>
      </c>
      <c r="AC507" s="311">
        <v>0.38469999999999999</v>
      </c>
      <c r="AD507" s="311">
        <v>0.34970000000000001</v>
      </c>
      <c r="AE507" s="311">
        <v>0.42520000000000002</v>
      </c>
      <c r="AF507" s="311">
        <v>0.27179999999999999</v>
      </c>
      <c r="AG507" s="311">
        <v>0.32340000000000002</v>
      </c>
      <c r="AH507" s="311">
        <v>0</v>
      </c>
      <c r="AI507" s="311">
        <v>0.3427</v>
      </c>
      <c r="AJ507" s="311">
        <v>0.32790000000000002</v>
      </c>
      <c r="AK507" s="311">
        <v>0</v>
      </c>
      <c r="AL507" s="311">
        <v>0.32869999999999999</v>
      </c>
      <c r="AM507" s="311">
        <v>0.43990000000000001</v>
      </c>
      <c r="AN507" s="311">
        <v>0.38650000000000001</v>
      </c>
      <c r="AO507" s="311">
        <v>0.42709999999999998</v>
      </c>
      <c r="AP507" s="311">
        <v>0.43959999999999999</v>
      </c>
      <c r="AQ507" s="311">
        <v>0</v>
      </c>
      <c r="AR507" s="311">
        <v>0.43430000000000002</v>
      </c>
      <c r="AS507" s="311">
        <v>0.33979999999999999</v>
      </c>
      <c r="AT507" s="311">
        <v>0.42799999999999999</v>
      </c>
      <c r="AU507" s="311">
        <v>0.43759999999999999</v>
      </c>
      <c r="AV507" s="311">
        <v>0.41470000000000001</v>
      </c>
      <c r="AW507" s="311">
        <v>0.40239999999999998</v>
      </c>
      <c r="AX507" s="311">
        <v>0.33810000000000001</v>
      </c>
      <c r="AY507" s="311">
        <v>0.40260000000000001</v>
      </c>
      <c r="AZ507" s="311">
        <v>0.42920000000000003</v>
      </c>
      <c r="BA507" s="311">
        <v>0.36420000000000002</v>
      </c>
      <c r="BB507" s="311">
        <v>0.31569999999999998</v>
      </c>
      <c r="BC507" s="311">
        <v>0.40889999999999999</v>
      </c>
      <c r="BD507" s="311">
        <v>0.40960000000000002</v>
      </c>
      <c r="BE507" s="311">
        <v>0.4667</v>
      </c>
      <c r="BF507" s="311">
        <v>0.40439999999999998</v>
      </c>
      <c r="BG507" s="311">
        <v>0.4642</v>
      </c>
      <c r="BH507" s="311">
        <v>0.46689999999999998</v>
      </c>
      <c r="BI507" s="311">
        <v>0.45629999999999998</v>
      </c>
      <c r="BJ507" s="311">
        <v>0.41370000000000001</v>
      </c>
      <c r="BK507" s="311">
        <v>0.44190000000000002</v>
      </c>
    </row>
    <row r="508" spans="1:63" x14ac:dyDescent="0.25">
      <c r="A508" s="306">
        <v>321992</v>
      </c>
      <c r="B508" s="311" t="s">
        <v>85</v>
      </c>
      <c r="C508" s="311">
        <v>0.53610000000000002</v>
      </c>
      <c r="D508" s="311">
        <v>0.30480000000000002</v>
      </c>
      <c r="E508" s="311">
        <v>0.44429999999999997</v>
      </c>
      <c r="F508" s="311">
        <v>0.42349999999999999</v>
      </c>
      <c r="G508" s="311">
        <v>0.37759999999999999</v>
      </c>
      <c r="H508" s="311">
        <v>0.40610000000000002</v>
      </c>
      <c r="I508" s="311">
        <v>0.40229999999999999</v>
      </c>
      <c r="J508" s="311">
        <v>0.35749999999999998</v>
      </c>
      <c r="K508" s="311">
        <v>0</v>
      </c>
      <c r="L508" s="311">
        <v>0.2863</v>
      </c>
      <c r="M508" s="311">
        <v>0.38119999999999998</v>
      </c>
      <c r="N508" s="311">
        <v>0.47470000000000001</v>
      </c>
      <c r="O508" s="311">
        <v>0.31309999999999999</v>
      </c>
      <c r="P508" s="311">
        <v>0.34499999999999997</v>
      </c>
      <c r="Q508" s="311">
        <v>0.39760000000000001</v>
      </c>
      <c r="R508" s="311">
        <v>0.39860000000000001</v>
      </c>
      <c r="S508" s="311">
        <v>0.39689999999999998</v>
      </c>
      <c r="T508" s="311">
        <v>0.33429999999999999</v>
      </c>
      <c r="U508" s="311">
        <v>0.40939999999999999</v>
      </c>
      <c r="V508" s="311">
        <v>0.4027</v>
      </c>
      <c r="W508" s="311">
        <v>0.34889999999999999</v>
      </c>
      <c r="X508" s="311">
        <v>0.31140000000000001</v>
      </c>
      <c r="Y508" s="311">
        <v>0.42320000000000002</v>
      </c>
      <c r="Z508" s="311">
        <v>0.41920000000000002</v>
      </c>
      <c r="AA508" s="311">
        <v>0.38090000000000002</v>
      </c>
      <c r="AB508" s="311">
        <v>0.40010000000000001</v>
      </c>
      <c r="AC508" s="311">
        <v>0.40720000000000001</v>
      </c>
      <c r="AD508" s="311">
        <v>0.3921</v>
      </c>
      <c r="AE508" s="311">
        <v>0.4405</v>
      </c>
      <c r="AF508" s="311">
        <v>0.27560000000000001</v>
      </c>
      <c r="AG508" s="311">
        <v>0.32400000000000001</v>
      </c>
      <c r="AH508" s="311">
        <v>0.39</v>
      </c>
      <c r="AI508" s="311">
        <v>0.33389999999999997</v>
      </c>
      <c r="AJ508" s="311">
        <v>0.31819999999999998</v>
      </c>
      <c r="AK508" s="311">
        <v>0.34839999999999999</v>
      </c>
      <c r="AL508" s="311">
        <v>0.32500000000000001</v>
      </c>
      <c r="AM508" s="311">
        <v>0.42330000000000001</v>
      </c>
      <c r="AN508" s="311">
        <v>0.3896</v>
      </c>
      <c r="AO508" s="311">
        <v>0.46060000000000001</v>
      </c>
      <c r="AP508" s="311">
        <v>0.44479999999999997</v>
      </c>
      <c r="AQ508" s="311">
        <v>0.34399999999999997</v>
      </c>
      <c r="AR508" s="311">
        <v>0.44069999999999998</v>
      </c>
      <c r="AS508" s="311">
        <v>0.36259999999999998</v>
      </c>
      <c r="AT508" s="311">
        <v>0.42249999999999999</v>
      </c>
      <c r="AU508" s="311">
        <v>0.42659999999999998</v>
      </c>
      <c r="AV508" s="311">
        <v>0.41299999999999998</v>
      </c>
      <c r="AW508" s="311">
        <v>0.42270000000000002</v>
      </c>
      <c r="AX508" s="311">
        <v>0.36180000000000001</v>
      </c>
      <c r="AY508" s="311">
        <v>0.43990000000000001</v>
      </c>
      <c r="AZ508" s="311">
        <v>0.44190000000000002</v>
      </c>
      <c r="BA508" s="311">
        <v>0.38369999999999999</v>
      </c>
      <c r="BB508" s="311">
        <v>0.31919999999999998</v>
      </c>
      <c r="BC508" s="311">
        <v>0.42180000000000001</v>
      </c>
      <c r="BD508" s="311">
        <v>0.40579999999999999</v>
      </c>
      <c r="BE508" s="311">
        <v>0.45029999999999998</v>
      </c>
      <c r="BF508" s="311">
        <v>0.39979999999999999</v>
      </c>
      <c r="BG508" s="311">
        <v>0.47199999999999998</v>
      </c>
      <c r="BH508" s="311">
        <v>0.46560000000000001</v>
      </c>
      <c r="BI508" s="311">
        <v>0.46479999999999999</v>
      </c>
      <c r="BJ508" s="311">
        <v>0.42930000000000001</v>
      </c>
      <c r="BK508" s="311">
        <v>0.46629999999999999</v>
      </c>
    </row>
    <row r="509" spans="1:63" x14ac:dyDescent="0.25">
      <c r="A509" s="306">
        <v>321999</v>
      </c>
      <c r="B509" s="311" t="s">
        <v>86</v>
      </c>
      <c r="C509" s="311">
        <v>0.5575</v>
      </c>
      <c r="D509" s="311">
        <v>0.3649</v>
      </c>
      <c r="E509" s="311">
        <v>0.46289999999999998</v>
      </c>
      <c r="F509" s="311">
        <v>0.4456</v>
      </c>
      <c r="G509" s="311">
        <v>0.39079999999999998</v>
      </c>
      <c r="H509" s="311">
        <v>0.43369999999999997</v>
      </c>
      <c r="I509" s="311">
        <v>0.42020000000000002</v>
      </c>
      <c r="J509" s="311">
        <v>0.37519999999999998</v>
      </c>
      <c r="K509" s="311">
        <v>0</v>
      </c>
      <c r="L509" s="311">
        <v>0</v>
      </c>
      <c r="M509" s="311">
        <v>0.41820000000000002</v>
      </c>
      <c r="N509" s="311">
        <v>0.49759999999999999</v>
      </c>
      <c r="O509" s="311">
        <v>0.35270000000000001</v>
      </c>
      <c r="P509" s="311">
        <v>0.34100000000000003</v>
      </c>
      <c r="Q509" s="311">
        <v>0.42599999999999999</v>
      </c>
      <c r="R509" s="311">
        <v>0.4153</v>
      </c>
      <c r="S509" s="311">
        <v>0.39489999999999997</v>
      </c>
      <c r="T509" s="311">
        <v>0.34110000000000001</v>
      </c>
      <c r="U509" s="311">
        <v>0.4163</v>
      </c>
      <c r="V509" s="311">
        <v>0.45469999999999999</v>
      </c>
      <c r="W509" s="311">
        <v>0.37030000000000002</v>
      </c>
      <c r="X509" s="311">
        <v>0.34449999999999997</v>
      </c>
      <c r="Y509" s="311">
        <v>0.45689999999999997</v>
      </c>
      <c r="Z509" s="311">
        <v>0.44040000000000001</v>
      </c>
      <c r="AA509" s="311">
        <v>0.3921</v>
      </c>
      <c r="AB509" s="311">
        <v>0.41</v>
      </c>
      <c r="AC509" s="311">
        <v>0.4325</v>
      </c>
      <c r="AD509" s="311">
        <v>0.42870000000000003</v>
      </c>
      <c r="AE509" s="311">
        <v>0.46439999999999998</v>
      </c>
      <c r="AF509" s="311">
        <v>0.2823</v>
      </c>
      <c r="AG509" s="311">
        <v>0.34229999999999999</v>
      </c>
      <c r="AH509" s="311">
        <v>0.41070000000000001</v>
      </c>
      <c r="AI509" s="311">
        <v>0.35749999999999998</v>
      </c>
      <c r="AJ509" s="311">
        <v>0.34799999999999998</v>
      </c>
      <c r="AK509" s="311">
        <v>0.36180000000000001</v>
      </c>
      <c r="AL509" s="311">
        <v>0.35210000000000002</v>
      </c>
      <c r="AM509" s="311">
        <v>0.42209999999999998</v>
      </c>
      <c r="AN509" s="311">
        <v>0.40720000000000001</v>
      </c>
      <c r="AO509" s="311">
        <v>0.48530000000000001</v>
      </c>
      <c r="AP509" s="311">
        <v>0.44330000000000003</v>
      </c>
      <c r="AQ509" s="311">
        <v>0.3574</v>
      </c>
      <c r="AR509" s="311">
        <v>0.46089999999999998</v>
      </c>
      <c r="AS509" s="311">
        <v>0.3745</v>
      </c>
      <c r="AT509" s="311">
        <v>0.43280000000000002</v>
      </c>
      <c r="AU509" s="311">
        <v>0.44579999999999997</v>
      </c>
      <c r="AV509" s="311">
        <v>0.42130000000000001</v>
      </c>
      <c r="AW509" s="311">
        <v>0.44929999999999998</v>
      </c>
      <c r="AX509" s="311">
        <v>0.39560000000000001</v>
      </c>
      <c r="AY509" s="311">
        <v>0.4733</v>
      </c>
      <c r="AZ509" s="311">
        <v>0.44429999999999997</v>
      </c>
      <c r="BA509" s="311">
        <v>0.40760000000000002</v>
      </c>
      <c r="BB509" s="311">
        <v>0.3579</v>
      </c>
      <c r="BC509" s="311">
        <v>0.45700000000000002</v>
      </c>
      <c r="BD509" s="311">
        <v>0.42359999999999998</v>
      </c>
      <c r="BE509" s="311">
        <v>0.44850000000000001</v>
      </c>
      <c r="BF509" s="311">
        <v>0.39839999999999998</v>
      </c>
      <c r="BG509" s="311">
        <v>0.50600000000000001</v>
      </c>
      <c r="BH509" s="311">
        <v>0.48299999999999998</v>
      </c>
      <c r="BI509" s="311">
        <v>0.50190000000000001</v>
      </c>
      <c r="BJ509" s="311">
        <v>0.45219999999999999</v>
      </c>
      <c r="BK509" s="311">
        <v>0.50290000000000001</v>
      </c>
    </row>
    <row r="510" spans="1:63" x14ac:dyDescent="0.25">
      <c r="A510" s="306">
        <v>322110</v>
      </c>
      <c r="B510" s="311" t="s">
        <v>87</v>
      </c>
      <c r="C510" s="311">
        <v>0.47199999999999998</v>
      </c>
      <c r="D510" s="311">
        <v>0</v>
      </c>
      <c r="E510" s="311">
        <v>0.38129999999999997</v>
      </c>
      <c r="F510" s="311">
        <v>0</v>
      </c>
      <c r="G510" s="311">
        <v>0.27900000000000003</v>
      </c>
      <c r="H510" s="311">
        <v>0.32450000000000001</v>
      </c>
      <c r="I510" s="311">
        <v>0</v>
      </c>
      <c r="J510" s="311">
        <v>0</v>
      </c>
      <c r="K510" s="311">
        <v>0</v>
      </c>
      <c r="L510" s="311">
        <v>0</v>
      </c>
      <c r="M510" s="311">
        <v>0.31090000000000001</v>
      </c>
      <c r="N510" s="311">
        <v>0.39290000000000003</v>
      </c>
      <c r="O510" s="311">
        <v>0</v>
      </c>
      <c r="P510" s="311">
        <v>0.24299999999999999</v>
      </c>
      <c r="Q510" s="311">
        <v>0</v>
      </c>
      <c r="R510" s="311">
        <v>0</v>
      </c>
      <c r="S510" s="311">
        <v>0</v>
      </c>
      <c r="T510" s="311">
        <v>0</v>
      </c>
      <c r="U510" s="311">
        <v>0</v>
      </c>
      <c r="V510" s="311">
        <v>0</v>
      </c>
      <c r="W510" s="311">
        <v>0</v>
      </c>
      <c r="X510" s="311">
        <v>0.24379999999999999</v>
      </c>
      <c r="Y510" s="311">
        <v>0.35549999999999998</v>
      </c>
      <c r="Z510" s="311">
        <v>0.34639999999999999</v>
      </c>
      <c r="AA510" s="311">
        <v>0</v>
      </c>
      <c r="AB510" s="311">
        <v>0</v>
      </c>
      <c r="AC510" s="311">
        <v>0.33910000000000001</v>
      </c>
      <c r="AD510" s="311">
        <v>0</v>
      </c>
      <c r="AE510" s="311">
        <v>0.3674</v>
      </c>
      <c r="AF510" s="311">
        <v>0</v>
      </c>
      <c r="AG510" s="311">
        <v>0</v>
      </c>
      <c r="AH510" s="311">
        <v>0</v>
      </c>
      <c r="AI510" s="311">
        <v>0</v>
      </c>
      <c r="AJ510" s="311">
        <v>0</v>
      </c>
      <c r="AK510" s="311">
        <v>0</v>
      </c>
      <c r="AL510" s="311">
        <v>0.25419999999999998</v>
      </c>
      <c r="AM510" s="311">
        <v>0.32419999999999999</v>
      </c>
      <c r="AN510" s="311">
        <v>0.30980000000000002</v>
      </c>
      <c r="AO510" s="311">
        <v>0.36820000000000003</v>
      </c>
      <c r="AP510" s="311">
        <v>0</v>
      </c>
      <c r="AQ510" s="311">
        <v>0</v>
      </c>
      <c r="AR510" s="311">
        <v>0.3654</v>
      </c>
      <c r="AS510" s="311">
        <v>0</v>
      </c>
      <c r="AT510" s="311">
        <v>0.32790000000000002</v>
      </c>
      <c r="AU510" s="311">
        <v>0.35020000000000001</v>
      </c>
      <c r="AV510" s="311">
        <v>0</v>
      </c>
      <c r="AW510" s="311">
        <v>0</v>
      </c>
      <c r="AX510" s="311">
        <v>0</v>
      </c>
      <c r="AY510" s="311">
        <v>0.37719999999999998</v>
      </c>
      <c r="AZ510" s="311">
        <v>0.3352</v>
      </c>
      <c r="BA510" s="311">
        <v>0.33429999999999999</v>
      </c>
      <c r="BB510" s="311">
        <v>0</v>
      </c>
      <c r="BC510" s="311">
        <v>0.35499999999999998</v>
      </c>
      <c r="BD510" s="311">
        <v>0.31269999999999998</v>
      </c>
      <c r="BE510" s="311">
        <v>0.34460000000000002</v>
      </c>
      <c r="BF510" s="311">
        <v>0.30180000000000001</v>
      </c>
      <c r="BG510" s="311">
        <v>0.40289999999999998</v>
      </c>
      <c r="BH510" s="311">
        <v>0.39500000000000002</v>
      </c>
      <c r="BI510" s="311">
        <v>0.41810000000000003</v>
      </c>
      <c r="BJ510" s="311">
        <v>0.35570000000000002</v>
      </c>
      <c r="BK510" s="311">
        <v>0.39939999999999998</v>
      </c>
    </row>
    <row r="511" spans="1:63" x14ac:dyDescent="0.25">
      <c r="A511" s="306">
        <v>322120</v>
      </c>
      <c r="B511" s="311" t="s">
        <v>88</v>
      </c>
      <c r="C511" s="311">
        <v>0.39750000000000002</v>
      </c>
      <c r="D511" s="311">
        <v>0</v>
      </c>
      <c r="E511" s="311">
        <v>0.30840000000000001</v>
      </c>
      <c r="F511" s="311">
        <v>0.29160000000000003</v>
      </c>
      <c r="G511" s="311">
        <v>0.25209999999999999</v>
      </c>
      <c r="H511" s="311">
        <v>0.28470000000000001</v>
      </c>
      <c r="I511" s="311">
        <v>0.27950000000000003</v>
      </c>
      <c r="J511" s="311">
        <v>0.25490000000000002</v>
      </c>
      <c r="K511" s="311">
        <v>0</v>
      </c>
      <c r="L511" s="311">
        <v>0</v>
      </c>
      <c r="M511" s="311">
        <v>0.26519999999999999</v>
      </c>
      <c r="N511" s="311">
        <v>0.32629999999999998</v>
      </c>
      <c r="O511" s="311">
        <v>0.22359999999999999</v>
      </c>
      <c r="P511" s="311">
        <v>0.22550000000000001</v>
      </c>
      <c r="Q511" s="311">
        <v>0.2369</v>
      </c>
      <c r="R511" s="311">
        <v>0.3009</v>
      </c>
      <c r="S511" s="311">
        <v>0.28050000000000003</v>
      </c>
      <c r="T511" s="311">
        <v>0.23130000000000001</v>
      </c>
      <c r="U511" s="311">
        <v>0.26869999999999999</v>
      </c>
      <c r="V511" s="311">
        <v>0.29880000000000001</v>
      </c>
      <c r="W511" s="311">
        <v>0.25840000000000002</v>
      </c>
      <c r="X511" s="311">
        <v>0.21809999999999999</v>
      </c>
      <c r="Y511" s="311">
        <v>0.28899999999999998</v>
      </c>
      <c r="Z511" s="311">
        <v>0.30669999999999997</v>
      </c>
      <c r="AA511" s="311">
        <v>0.28120000000000001</v>
      </c>
      <c r="AB511" s="311">
        <v>0.26450000000000001</v>
      </c>
      <c r="AC511" s="311">
        <v>0.27610000000000001</v>
      </c>
      <c r="AD511" s="311">
        <v>0</v>
      </c>
      <c r="AE511" s="311">
        <v>0.31119999999999998</v>
      </c>
      <c r="AF511" s="311">
        <v>0</v>
      </c>
      <c r="AG511" s="311">
        <v>0.21870000000000001</v>
      </c>
      <c r="AH511" s="311">
        <v>0.26100000000000001</v>
      </c>
      <c r="AI511" s="311">
        <v>0.25540000000000002</v>
      </c>
      <c r="AJ511" s="311">
        <v>0.22309999999999999</v>
      </c>
      <c r="AK511" s="311">
        <v>0</v>
      </c>
      <c r="AL511" s="311">
        <v>0.2351</v>
      </c>
      <c r="AM511" s="311">
        <v>0.30740000000000001</v>
      </c>
      <c r="AN511" s="311">
        <v>0.26390000000000002</v>
      </c>
      <c r="AO511" s="311">
        <v>0.29830000000000001</v>
      </c>
      <c r="AP511" s="311">
        <v>0.30030000000000001</v>
      </c>
      <c r="AQ511" s="311">
        <v>0</v>
      </c>
      <c r="AR511" s="311">
        <v>0.30259999999999998</v>
      </c>
      <c r="AS511" s="311">
        <v>0</v>
      </c>
      <c r="AT511" s="311">
        <v>0.29339999999999999</v>
      </c>
      <c r="AU511" s="311">
        <v>0.3029</v>
      </c>
      <c r="AV511" s="311">
        <v>0.28089999999999998</v>
      </c>
      <c r="AW511" s="311">
        <v>0.2853</v>
      </c>
      <c r="AX511" s="311">
        <v>0.19600000000000001</v>
      </c>
      <c r="AY511" s="311">
        <v>0.30120000000000002</v>
      </c>
      <c r="AZ511" s="311">
        <v>0.29730000000000001</v>
      </c>
      <c r="BA511" s="311">
        <v>0</v>
      </c>
      <c r="BB511" s="311">
        <v>0</v>
      </c>
      <c r="BC511" s="311">
        <v>0.30909999999999999</v>
      </c>
      <c r="BD511" s="311">
        <v>0.29120000000000001</v>
      </c>
      <c r="BE511" s="311">
        <v>0.32219999999999999</v>
      </c>
      <c r="BF511" s="311">
        <v>0.27939999999999998</v>
      </c>
      <c r="BG511" s="311">
        <v>0.33360000000000001</v>
      </c>
      <c r="BH511" s="311">
        <v>0.32890000000000003</v>
      </c>
      <c r="BI511" s="311">
        <v>0.33250000000000002</v>
      </c>
      <c r="BJ511" s="311">
        <v>0.28670000000000001</v>
      </c>
      <c r="BK511" s="311">
        <v>0.3165</v>
      </c>
    </row>
    <row r="512" spans="1:63" x14ac:dyDescent="0.25">
      <c r="A512" s="306">
        <v>322130</v>
      </c>
      <c r="B512" s="311" t="s">
        <v>712</v>
      </c>
      <c r="C512" s="311">
        <v>0.42520000000000002</v>
      </c>
      <c r="D512" s="311">
        <v>0</v>
      </c>
      <c r="E512" s="311">
        <v>0.33710000000000001</v>
      </c>
      <c r="F512" s="311">
        <v>0.32090000000000002</v>
      </c>
      <c r="G512" s="311">
        <v>0.26769999999999999</v>
      </c>
      <c r="H512" s="311">
        <v>0.30409999999999998</v>
      </c>
      <c r="I512" s="311">
        <v>0</v>
      </c>
      <c r="J512" s="311">
        <v>0.26129999999999998</v>
      </c>
      <c r="K512" s="311">
        <v>0</v>
      </c>
      <c r="L512" s="311">
        <v>0</v>
      </c>
      <c r="M512" s="311">
        <v>0.2833</v>
      </c>
      <c r="N512" s="311">
        <v>0.34749999999999998</v>
      </c>
      <c r="O512" s="311">
        <v>0</v>
      </c>
      <c r="P512" s="311">
        <v>0.23449999999999999</v>
      </c>
      <c r="Q512" s="311">
        <v>0.27129999999999999</v>
      </c>
      <c r="R512" s="311">
        <v>0.30909999999999999</v>
      </c>
      <c r="S512" s="311">
        <v>0.29509999999999997</v>
      </c>
      <c r="T512" s="311">
        <v>0.2414</v>
      </c>
      <c r="U512" s="311">
        <v>0.28270000000000001</v>
      </c>
      <c r="V512" s="311">
        <v>0.3342</v>
      </c>
      <c r="W512" s="311">
        <v>0.26150000000000001</v>
      </c>
      <c r="X512" s="311">
        <v>0.23080000000000001</v>
      </c>
      <c r="Y512" s="311">
        <v>0.31140000000000001</v>
      </c>
      <c r="Z512" s="311">
        <v>0.32419999999999999</v>
      </c>
      <c r="AA512" s="311">
        <v>0.29349999999999998</v>
      </c>
      <c r="AB512" s="311">
        <v>0.27960000000000002</v>
      </c>
      <c r="AC512" s="311">
        <v>0.30159999999999998</v>
      </c>
      <c r="AD512" s="311">
        <v>0.30380000000000001</v>
      </c>
      <c r="AE512" s="311">
        <v>0.32740000000000002</v>
      </c>
      <c r="AF512" s="311">
        <v>0</v>
      </c>
      <c r="AG512" s="311">
        <v>0</v>
      </c>
      <c r="AH512" s="311">
        <v>0</v>
      </c>
      <c r="AI512" s="311">
        <v>0.25829999999999997</v>
      </c>
      <c r="AJ512" s="311">
        <v>0</v>
      </c>
      <c r="AK512" s="311">
        <v>0</v>
      </c>
      <c r="AL512" s="311">
        <v>0.24410000000000001</v>
      </c>
      <c r="AM512" s="311">
        <v>0.31269999999999998</v>
      </c>
      <c r="AN512" s="311">
        <v>0.28749999999999998</v>
      </c>
      <c r="AO512" s="311">
        <v>0.32750000000000001</v>
      </c>
      <c r="AP512" s="311">
        <v>0.31680000000000003</v>
      </c>
      <c r="AQ512" s="311">
        <v>0.2281</v>
      </c>
      <c r="AR512" s="311">
        <v>0.32519999999999999</v>
      </c>
      <c r="AS512" s="311">
        <v>0</v>
      </c>
      <c r="AT512" s="311">
        <v>0.30330000000000001</v>
      </c>
      <c r="AU512" s="311">
        <v>0.32840000000000003</v>
      </c>
      <c r="AV512" s="311">
        <v>0</v>
      </c>
      <c r="AW512" s="311">
        <v>0.31059999999999999</v>
      </c>
      <c r="AX512" s="311">
        <v>0.23019999999999999</v>
      </c>
      <c r="AY512" s="311">
        <v>0.33110000000000001</v>
      </c>
      <c r="AZ512" s="311">
        <v>0.31</v>
      </c>
      <c r="BA512" s="311">
        <v>0.29430000000000001</v>
      </c>
      <c r="BB512" s="311">
        <v>0</v>
      </c>
      <c r="BC512" s="311">
        <v>0.3281</v>
      </c>
      <c r="BD512" s="311">
        <v>0.29949999999999999</v>
      </c>
      <c r="BE512" s="311">
        <v>0.33029999999999998</v>
      </c>
      <c r="BF512" s="311">
        <v>0.29049999999999998</v>
      </c>
      <c r="BG512" s="311">
        <v>0.3574</v>
      </c>
      <c r="BH512" s="311">
        <v>0.3523</v>
      </c>
      <c r="BI512" s="311">
        <v>0.37330000000000002</v>
      </c>
      <c r="BJ512" s="311">
        <v>0.3211</v>
      </c>
      <c r="BK512" s="311">
        <v>0.35399999999999998</v>
      </c>
    </row>
    <row r="513" spans="1:63" x14ac:dyDescent="0.25">
      <c r="A513" s="306">
        <v>322210</v>
      </c>
      <c r="B513" s="311" t="s">
        <v>89</v>
      </c>
      <c r="C513" s="311">
        <v>0.502</v>
      </c>
      <c r="D513" s="311">
        <v>0</v>
      </c>
      <c r="E513" s="311">
        <v>0.39560000000000001</v>
      </c>
      <c r="F513" s="311">
        <v>0.38650000000000001</v>
      </c>
      <c r="G513" s="311">
        <v>0.31169999999999998</v>
      </c>
      <c r="H513" s="311">
        <v>0.3347</v>
      </c>
      <c r="I513" s="311">
        <v>0.3226</v>
      </c>
      <c r="J513" s="311">
        <v>0.34250000000000003</v>
      </c>
      <c r="K513" s="311">
        <v>0</v>
      </c>
      <c r="L513" s="311">
        <v>0.25180000000000002</v>
      </c>
      <c r="M513" s="311">
        <v>0.3332</v>
      </c>
      <c r="N513" s="311">
        <v>0.43140000000000001</v>
      </c>
      <c r="O513" s="311">
        <v>0.27189999999999998</v>
      </c>
      <c r="P513" s="311">
        <v>0.26619999999999999</v>
      </c>
      <c r="Q513" s="311">
        <v>0.32350000000000001</v>
      </c>
      <c r="R513" s="311">
        <v>0.35189999999999999</v>
      </c>
      <c r="S513" s="311">
        <v>0.34150000000000003</v>
      </c>
      <c r="T513" s="311">
        <v>0.27279999999999999</v>
      </c>
      <c r="U513" s="311">
        <v>0.35210000000000002</v>
      </c>
      <c r="V513" s="311">
        <v>0.39529999999999998</v>
      </c>
      <c r="W513" s="311">
        <v>0.35060000000000002</v>
      </c>
      <c r="X513" s="311">
        <v>0.27189999999999998</v>
      </c>
      <c r="Y513" s="311">
        <v>0.34460000000000002</v>
      </c>
      <c r="Z513" s="311">
        <v>0.42399999999999999</v>
      </c>
      <c r="AA513" s="311">
        <v>0.36</v>
      </c>
      <c r="AB513" s="311">
        <v>0.29659999999999997</v>
      </c>
      <c r="AC513" s="311">
        <v>0.35520000000000002</v>
      </c>
      <c r="AD513" s="311">
        <v>0.31890000000000002</v>
      </c>
      <c r="AE513" s="311">
        <v>0.4052</v>
      </c>
      <c r="AF513" s="311">
        <v>0.24970000000000001</v>
      </c>
      <c r="AG513" s="311">
        <v>0.25519999999999998</v>
      </c>
      <c r="AH513" s="311">
        <v>0.31590000000000001</v>
      </c>
      <c r="AI513" s="311">
        <v>0.3044</v>
      </c>
      <c r="AJ513" s="311">
        <v>0.26379999999999998</v>
      </c>
      <c r="AK513" s="311">
        <v>0.29330000000000001</v>
      </c>
      <c r="AL513" s="311">
        <v>0.30559999999999998</v>
      </c>
      <c r="AM513" s="311">
        <v>0.41620000000000001</v>
      </c>
      <c r="AN513" s="311">
        <v>0.35639999999999999</v>
      </c>
      <c r="AO513" s="311">
        <v>0.40289999999999998</v>
      </c>
      <c r="AP513" s="311">
        <v>0.38269999999999998</v>
      </c>
      <c r="AQ513" s="311">
        <v>0.29699999999999999</v>
      </c>
      <c r="AR513" s="311">
        <v>0.38829999999999998</v>
      </c>
      <c r="AS513" s="311">
        <v>0.25469999999999998</v>
      </c>
      <c r="AT513" s="311">
        <v>0.40079999999999999</v>
      </c>
      <c r="AU513" s="311">
        <v>0.38150000000000001</v>
      </c>
      <c r="AV513" s="311">
        <v>0.32069999999999999</v>
      </c>
      <c r="AW513" s="311">
        <v>0.39539999999999997</v>
      </c>
      <c r="AX513" s="311">
        <v>0.25719999999999998</v>
      </c>
      <c r="AY513" s="311">
        <v>0.40749999999999997</v>
      </c>
      <c r="AZ513" s="311">
        <v>0.39989999999999998</v>
      </c>
      <c r="BA513" s="311">
        <v>0.27629999999999999</v>
      </c>
      <c r="BB513" s="311">
        <v>0</v>
      </c>
      <c r="BC513" s="311">
        <v>0.40510000000000002</v>
      </c>
      <c r="BD513" s="311">
        <v>0.36530000000000001</v>
      </c>
      <c r="BE513" s="311">
        <v>0.42909999999999998</v>
      </c>
      <c r="BF513" s="311">
        <v>0.33410000000000001</v>
      </c>
      <c r="BG513" s="311">
        <v>0.4269</v>
      </c>
      <c r="BH513" s="311">
        <v>0.4234</v>
      </c>
      <c r="BI513" s="311">
        <v>0.43709999999999999</v>
      </c>
      <c r="BJ513" s="311">
        <v>0.3387</v>
      </c>
      <c r="BK513" s="311">
        <v>0.38429999999999997</v>
      </c>
    </row>
    <row r="514" spans="1:63" x14ac:dyDescent="0.25">
      <c r="A514" s="306" t="s">
        <v>713</v>
      </c>
      <c r="B514" s="311" t="s">
        <v>90</v>
      </c>
      <c r="C514" s="311">
        <v>0.42709999999999998</v>
      </c>
      <c r="D514" s="311">
        <v>0</v>
      </c>
      <c r="E514" s="311">
        <v>0.31509999999999999</v>
      </c>
      <c r="F514" s="311">
        <v>0.30249999999999999</v>
      </c>
      <c r="G514" s="311">
        <v>0.26319999999999999</v>
      </c>
      <c r="H514" s="311">
        <v>0.29809999999999998</v>
      </c>
      <c r="I514" s="311">
        <v>0.2797</v>
      </c>
      <c r="J514" s="311">
        <v>0.30009999999999998</v>
      </c>
      <c r="K514" s="311">
        <v>0</v>
      </c>
      <c r="L514" s="311">
        <v>0.22370000000000001</v>
      </c>
      <c r="M514" s="311">
        <v>0.27139999999999997</v>
      </c>
      <c r="N514" s="311">
        <v>0.35570000000000002</v>
      </c>
      <c r="O514" s="311">
        <v>0</v>
      </c>
      <c r="P514" s="311">
        <v>0.2324</v>
      </c>
      <c r="Q514" s="311">
        <v>0</v>
      </c>
      <c r="R514" s="311">
        <v>0.32350000000000001</v>
      </c>
      <c r="S514" s="311">
        <v>0.30520000000000003</v>
      </c>
      <c r="T514" s="311">
        <v>0.2341</v>
      </c>
      <c r="U514" s="311">
        <v>0.3014</v>
      </c>
      <c r="V514" s="311">
        <v>0.31340000000000001</v>
      </c>
      <c r="W514" s="311">
        <v>0.30940000000000001</v>
      </c>
      <c r="X514" s="311">
        <v>0.23699999999999999</v>
      </c>
      <c r="Y514" s="311">
        <v>0</v>
      </c>
      <c r="Z514" s="311">
        <v>0.35070000000000001</v>
      </c>
      <c r="AA514" s="311">
        <v>0.31</v>
      </c>
      <c r="AB514" s="311">
        <v>0.27929999999999999</v>
      </c>
      <c r="AC514" s="311">
        <v>0.2853</v>
      </c>
      <c r="AD514" s="311">
        <v>0</v>
      </c>
      <c r="AE514" s="311">
        <v>0.3387</v>
      </c>
      <c r="AF514" s="311">
        <v>0</v>
      </c>
      <c r="AG514" s="311">
        <v>0.22389999999999999</v>
      </c>
      <c r="AH514" s="311">
        <v>0.27689999999999998</v>
      </c>
      <c r="AI514" s="311">
        <v>0.28439999999999999</v>
      </c>
      <c r="AJ514" s="311">
        <v>0.221</v>
      </c>
      <c r="AK514" s="311">
        <v>0.25319999999999998</v>
      </c>
      <c r="AL514" s="311">
        <v>0.25530000000000003</v>
      </c>
      <c r="AM514" s="311">
        <v>0.35870000000000002</v>
      </c>
      <c r="AN514" s="311">
        <v>0.29199999999999998</v>
      </c>
      <c r="AO514" s="311">
        <v>0.31509999999999999</v>
      </c>
      <c r="AP514" s="311">
        <v>0.3397</v>
      </c>
      <c r="AQ514" s="311">
        <v>0.25829999999999997</v>
      </c>
      <c r="AR514" s="311">
        <v>0.32579999999999998</v>
      </c>
      <c r="AS514" s="311">
        <v>0</v>
      </c>
      <c r="AT514" s="311">
        <v>0.33179999999999998</v>
      </c>
      <c r="AU514" s="311">
        <v>0.32829999999999998</v>
      </c>
      <c r="AV514" s="311">
        <v>0.27650000000000002</v>
      </c>
      <c r="AW514" s="311">
        <v>0.30930000000000002</v>
      </c>
      <c r="AX514" s="311">
        <v>0.19670000000000001</v>
      </c>
      <c r="AY514" s="311">
        <v>0.314</v>
      </c>
      <c r="AZ514" s="311">
        <v>0.3337</v>
      </c>
      <c r="BA514" s="311">
        <v>0</v>
      </c>
      <c r="BB514" s="311">
        <v>0</v>
      </c>
      <c r="BC514" s="311">
        <v>0.34760000000000002</v>
      </c>
      <c r="BD514" s="311">
        <v>0.32600000000000001</v>
      </c>
      <c r="BE514" s="311">
        <v>0.37069999999999997</v>
      </c>
      <c r="BF514" s="311">
        <v>0.3009</v>
      </c>
      <c r="BG514" s="311">
        <v>0.35449999999999998</v>
      </c>
      <c r="BH514" s="311">
        <v>0.35549999999999998</v>
      </c>
      <c r="BI514" s="311">
        <v>0.3574</v>
      </c>
      <c r="BJ514" s="311">
        <v>0.27760000000000001</v>
      </c>
      <c r="BK514" s="311">
        <v>0.3211</v>
      </c>
    </row>
    <row r="515" spans="1:63" x14ac:dyDescent="0.25">
      <c r="A515" s="306" t="s">
        <v>714</v>
      </c>
      <c r="B515" s="311" t="s">
        <v>91</v>
      </c>
      <c r="C515" s="311">
        <v>0.49340000000000001</v>
      </c>
      <c r="D515" s="311">
        <v>0</v>
      </c>
      <c r="E515" s="311">
        <v>0.37290000000000001</v>
      </c>
      <c r="F515" s="311">
        <v>0.36709999999999998</v>
      </c>
      <c r="G515" s="311">
        <v>0.31459999999999999</v>
      </c>
      <c r="H515" s="311">
        <v>0.34239999999999998</v>
      </c>
      <c r="I515" s="311">
        <v>0</v>
      </c>
      <c r="J515" s="311">
        <v>0.3468</v>
      </c>
      <c r="K515" s="311">
        <v>0</v>
      </c>
      <c r="L515" s="311">
        <v>0</v>
      </c>
      <c r="M515" s="311">
        <v>0.31929999999999997</v>
      </c>
      <c r="N515" s="311">
        <v>0.41460000000000002</v>
      </c>
      <c r="O515" s="311">
        <v>0.26989999999999997</v>
      </c>
      <c r="P515" s="311">
        <v>0.27760000000000001</v>
      </c>
      <c r="Q515" s="311">
        <v>0</v>
      </c>
      <c r="R515" s="311">
        <v>0.37509999999999999</v>
      </c>
      <c r="S515" s="311">
        <v>0.34970000000000001</v>
      </c>
      <c r="T515" s="311">
        <v>0.27589999999999998</v>
      </c>
      <c r="U515" s="311">
        <v>0.36580000000000001</v>
      </c>
      <c r="V515" s="311">
        <v>0.37290000000000001</v>
      </c>
      <c r="W515" s="311">
        <v>0.36020000000000002</v>
      </c>
      <c r="X515" s="311">
        <v>0</v>
      </c>
      <c r="Y515" s="311">
        <v>0.35039999999999999</v>
      </c>
      <c r="Z515" s="311">
        <v>0.40339999999999998</v>
      </c>
      <c r="AA515" s="311">
        <v>0.37569999999999998</v>
      </c>
      <c r="AB515" s="311">
        <v>0.3291</v>
      </c>
      <c r="AC515" s="311">
        <v>0.33729999999999999</v>
      </c>
      <c r="AD515" s="311">
        <v>0</v>
      </c>
      <c r="AE515" s="311">
        <v>0.38990000000000002</v>
      </c>
      <c r="AF515" s="311">
        <v>0</v>
      </c>
      <c r="AG515" s="311">
        <v>0.2611</v>
      </c>
      <c r="AH515" s="311">
        <v>0.33350000000000002</v>
      </c>
      <c r="AI515" s="311">
        <v>0.33400000000000002</v>
      </c>
      <c r="AJ515" s="311">
        <v>0</v>
      </c>
      <c r="AK515" s="311">
        <v>0.30149999999999999</v>
      </c>
      <c r="AL515" s="311">
        <v>0.30659999999999998</v>
      </c>
      <c r="AM515" s="311">
        <v>0.4199</v>
      </c>
      <c r="AN515" s="311">
        <v>0.35189999999999999</v>
      </c>
      <c r="AO515" s="311">
        <v>0.37409999999999999</v>
      </c>
      <c r="AP515" s="311">
        <v>0.40560000000000002</v>
      </c>
      <c r="AQ515" s="311">
        <v>0.28649999999999998</v>
      </c>
      <c r="AR515" s="311">
        <v>0.37890000000000001</v>
      </c>
      <c r="AS515" s="311">
        <v>0</v>
      </c>
      <c r="AT515" s="311">
        <v>0.38979999999999998</v>
      </c>
      <c r="AU515" s="311">
        <v>0.37309999999999999</v>
      </c>
      <c r="AV515" s="311">
        <v>0.33050000000000002</v>
      </c>
      <c r="AW515" s="311">
        <v>0.37769999999999998</v>
      </c>
      <c r="AX515" s="311">
        <v>0</v>
      </c>
      <c r="AY515" s="311">
        <v>0.37490000000000001</v>
      </c>
      <c r="AZ515" s="311">
        <v>0.39650000000000002</v>
      </c>
      <c r="BA515" s="311">
        <v>0.2833</v>
      </c>
      <c r="BB515" s="311">
        <v>0</v>
      </c>
      <c r="BC515" s="311">
        <v>0.40239999999999998</v>
      </c>
      <c r="BD515" s="311">
        <v>0.3871</v>
      </c>
      <c r="BE515" s="311">
        <v>0.43840000000000001</v>
      </c>
      <c r="BF515" s="311">
        <v>0.35930000000000001</v>
      </c>
      <c r="BG515" s="311">
        <v>0.4108</v>
      </c>
      <c r="BH515" s="311">
        <v>0.41299999999999998</v>
      </c>
      <c r="BI515" s="311">
        <v>0.42430000000000001</v>
      </c>
      <c r="BJ515" s="311">
        <v>0.32029999999999997</v>
      </c>
      <c r="BK515" s="311">
        <v>0.37330000000000002</v>
      </c>
    </row>
    <row r="516" spans="1:63" x14ac:dyDescent="0.25">
      <c r="A516" s="306">
        <v>322230</v>
      </c>
      <c r="B516" s="311" t="s">
        <v>92</v>
      </c>
      <c r="C516" s="311">
        <v>0.4929</v>
      </c>
      <c r="D516" s="311">
        <v>0</v>
      </c>
      <c r="E516" s="311">
        <v>0.38679999999999998</v>
      </c>
      <c r="F516" s="311">
        <v>0.37880000000000003</v>
      </c>
      <c r="G516" s="311">
        <v>0.32129999999999997</v>
      </c>
      <c r="H516" s="311">
        <v>0.35120000000000001</v>
      </c>
      <c r="I516" s="311">
        <v>0.3397</v>
      </c>
      <c r="J516" s="311">
        <v>0.35099999999999998</v>
      </c>
      <c r="K516" s="311">
        <v>0</v>
      </c>
      <c r="L516" s="311">
        <v>0</v>
      </c>
      <c r="M516" s="311">
        <v>0.3392</v>
      </c>
      <c r="N516" s="311">
        <v>0.42720000000000002</v>
      </c>
      <c r="O516" s="311">
        <v>0.28349999999999997</v>
      </c>
      <c r="P516" s="311">
        <v>0.28139999999999998</v>
      </c>
      <c r="Q516" s="311">
        <v>0.31380000000000002</v>
      </c>
      <c r="R516" s="311">
        <v>0.36930000000000002</v>
      </c>
      <c r="S516" s="311">
        <v>0.3498</v>
      </c>
      <c r="T516" s="311">
        <v>0.28410000000000002</v>
      </c>
      <c r="U516" s="311">
        <v>0.35410000000000003</v>
      </c>
      <c r="V516" s="311">
        <v>0.38769999999999999</v>
      </c>
      <c r="W516" s="311">
        <v>0.35930000000000001</v>
      </c>
      <c r="X516" s="311">
        <v>0.28339999999999999</v>
      </c>
      <c r="Y516" s="311">
        <v>0.35010000000000002</v>
      </c>
      <c r="Z516" s="311">
        <v>0.41820000000000002</v>
      </c>
      <c r="AA516" s="311">
        <v>0.36930000000000002</v>
      </c>
      <c r="AB516" s="311">
        <v>0.3165</v>
      </c>
      <c r="AC516" s="311">
        <v>0.35120000000000001</v>
      </c>
      <c r="AD516" s="311">
        <v>0</v>
      </c>
      <c r="AE516" s="311">
        <v>0.40239999999999998</v>
      </c>
      <c r="AF516" s="311">
        <v>0</v>
      </c>
      <c r="AG516" s="311">
        <v>0.26950000000000002</v>
      </c>
      <c r="AH516" s="311">
        <v>0.31950000000000001</v>
      </c>
      <c r="AI516" s="311">
        <v>0.32029999999999997</v>
      </c>
      <c r="AJ516" s="311">
        <v>0.27100000000000002</v>
      </c>
      <c r="AK516" s="311">
        <v>0.30459999999999998</v>
      </c>
      <c r="AL516" s="311">
        <v>0.31490000000000001</v>
      </c>
      <c r="AM516" s="311">
        <v>0.41510000000000002</v>
      </c>
      <c r="AN516" s="311">
        <v>0.35249999999999998</v>
      </c>
      <c r="AO516" s="311">
        <v>0.39079999999999998</v>
      </c>
      <c r="AP516" s="311">
        <v>0.38990000000000002</v>
      </c>
      <c r="AQ516" s="311">
        <v>0.30330000000000001</v>
      </c>
      <c r="AR516" s="311">
        <v>0.38569999999999999</v>
      </c>
      <c r="AS516" s="311">
        <v>0.27260000000000001</v>
      </c>
      <c r="AT516" s="311">
        <v>0.39760000000000001</v>
      </c>
      <c r="AU516" s="311">
        <v>0.3831</v>
      </c>
      <c r="AV516" s="311">
        <v>0.33939999999999998</v>
      </c>
      <c r="AW516" s="311">
        <v>0.39029999999999998</v>
      </c>
      <c r="AX516" s="311">
        <v>0</v>
      </c>
      <c r="AY516" s="311">
        <v>0.39950000000000002</v>
      </c>
      <c r="AZ516" s="311">
        <v>0.4007</v>
      </c>
      <c r="BA516" s="311">
        <v>0.28179999999999999</v>
      </c>
      <c r="BB516" s="311">
        <v>0</v>
      </c>
      <c r="BC516" s="311">
        <v>0.40699999999999997</v>
      </c>
      <c r="BD516" s="311">
        <v>0.3765</v>
      </c>
      <c r="BE516" s="311">
        <v>0.42930000000000001</v>
      </c>
      <c r="BF516" s="311">
        <v>0.34870000000000001</v>
      </c>
      <c r="BG516" s="311">
        <v>0.42630000000000001</v>
      </c>
      <c r="BH516" s="311">
        <v>0.41670000000000001</v>
      </c>
      <c r="BI516" s="311">
        <v>0.4274</v>
      </c>
      <c r="BJ516" s="311">
        <v>0.34289999999999998</v>
      </c>
      <c r="BK516" s="311">
        <v>0.3886</v>
      </c>
    </row>
    <row r="517" spans="1:63" x14ac:dyDescent="0.25">
      <c r="A517" s="306">
        <v>322291</v>
      </c>
      <c r="B517" s="311" t="s">
        <v>93</v>
      </c>
      <c r="C517" s="311">
        <v>0.2787</v>
      </c>
      <c r="D517" s="311">
        <v>0</v>
      </c>
      <c r="E517" s="311">
        <v>0</v>
      </c>
      <c r="F517" s="311">
        <v>0.19570000000000001</v>
      </c>
      <c r="G517" s="311">
        <v>0.1767</v>
      </c>
      <c r="H517" s="311">
        <v>0.19370000000000001</v>
      </c>
      <c r="I517" s="311">
        <v>0</v>
      </c>
      <c r="J517" s="311">
        <v>0</v>
      </c>
      <c r="K517" s="311">
        <v>0</v>
      </c>
      <c r="L517" s="311">
        <v>0.1522</v>
      </c>
      <c r="M517" s="311">
        <v>0.18340000000000001</v>
      </c>
      <c r="N517" s="311">
        <v>0.2283</v>
      </c>
      <c r="O517" s="311">
        <v>0</v>
      </c>
      <c r="P517" s="311">
        <v>0</v>
      </c>
      <c r="Q517" s="311">
        <v>0.15459999999999999</v>
      </c>
      <c r="R517" s="311">
        <v>0.2099</v>
      </c>
      <c r="S517" s="311">
        <v>0.1961</v>
      </c>
      <c r="T517" s="311">
        <v>0</v>
      </c>
      <c r="U517" s="311">
        <v>0.2009</v>
      </c>
      <c r="V517" s="311">
        <v>0</v>
      </c>
      <c r="W517" s="311">
        <v>0.20300000000000001</v>
      </c>
      <c r="X517" s="311">
        <v>0.15079999999999999</v>
      </c>
      <c r="Y517" s="311">
        <v>0.2084</v>
      </c>
      <c r="Z517" s="311">
        <v>0.21929999999999999</v>
      </c>
      <c r="AA517" s="311">
        <v>0.2009</v>
      </c>
      <c r="AB517" s="311">
        <v>0.18210000000000001</v>
      </c>
      <c r="AC517" s="311">
        <v>0.19500000000000001</v>
      </c>
      <c r="AD517" s="311">
        <v>0</v>
      </c>
      <c r="AE517" s="311">
        <v>0.2238</v>
      </c>
      <c r="AF517" s="311">
        <v>0</v>
      </c>
      <c r="AG517" s="311">
        <v>0.15409999999999999</v>
      </c>
      <c r="AH517" s="311">
        <v>0</v>
      </c>
      <c r="AI517" s="311">
        <v>0.184</v>
      </c>
      <c r="AJ517" s="311">
        <v>0.1492</v>
      </c>
      <c r="AK517" s="311">
        <v>0.16739999999999999</v>
      </c>
      <c r="AL517" s="311">
        <v>0.17019999999999999</v>
      </c>
      <c r="AM517" s="311">
        <v>0.23080000000000001</v>
      </c>
      <c r="AN517" s="311">
        <v>0</v>
      </c>
      <c r="AO517" s="311">
        <v>0.20300000000000001</v>
      </c>
      <c r="AP517" s="311">
        <v>0.22309999999999999</v>
      </c>
      <c r="AQ517" s="311">
        <v>0</v>
      </c>
      <c r="AR517" s="311">
        <v>0.21629999999999999</v>
      </c>
      <c r="AS517" s="311">
        <v>0</v>
      </c>
      <c r="AT517" s="311">
        <v>0.2198</v>
      </c>
      <c r="AU517" s="311">
        <v>0.2041</v>
      </c>
      <c r="AV517" s="311">
        <v>0.18759999999999999</v>
      </c>
      <c r="AW517" s="311">
        <v>0</v>
      </c>
      <c r="AX517" s="311">
        <v>0</v>
      </c>
      <c r="AY517" s="311">
        <v>0.20499999999999999</v>
      </c>
      <c r="AZ517" s="311">
        <v>0.223</v>
      </c>
      <c r="BA517" s="311">
        <v>0</v>
      </c>
      <c r="BB517" s="311">
        <v>0</v>
      </c>
      <c r="BC517" s="311">
        <v>0.22800000000000001</v>
      </c>
      <c r="BD517" s="311">
        <v>0.21110000000000001</v>
      </c>
      <c r="BE517" s="311">
        <v>0.23830000000000001</v>
      </c>
      <c r="BF517" s="311">
        <v>0.1956</v>
      </c>
      <c r="BG517" s="311">
        <v>0.2316</v>
      </c>
      <c r="BH517" s="311">
        <v>0.23269999999999999</v>
      </c>
      <c r="BI517" s="311">
        <v>0.22320000000000001</v>
      </c>
      <c r="BJ517" s="311">
        <v>0.17879999999999999</v>
      </c>
      <c r="BK517" s="311">
        <v>0.2064</v>
      </c>
    </row>
    <row r="518" spans="1:63" x14ac:dyDescent="0.25">
      <c r="A518" s="306">
        <v>322299</v>
      </c>
      <c r="B518" s="311" t="s">
        <v>94</v>
      </c>
      <c r="C518" s="311">
        <v>0.48270000000000002</v>
      </c>
      <c r="D518" s="311">
        <v>0.28039999999999998</v>
      </c>
      <c r="E518" s="311">
        <v>0.38469999999999999</v>
      </c>
      <c r="F518" s="311">
        <v>0.36370000000000002</v>
      </c>
      <c r="G518" s="311">
        <v>0.33150000000000002</v>
      </c>
      <c r="H518" s="311">
        <v>0.35759999999999997</v>
      </c>
      <c r="I518" s="311">
        <v>0.34570000000000001</v>
      </c>
      <c r="J518" s="311">
        <v>0.34429999999999999</v>
      </c>
      <c r="K518" s="311">
        <v>0</v>
      </c>
      <c r="L518" s="311">
        <v>0.2712</v>
      </c>
      <c r="M518" s="311">
        <v>0.34960000000000002</v>
      </c>
      <c r="N518" s="311">
        <v>0.41570000000000001</v>
      </c>
      <c r="O518" s="311">
        <v>0.29899999999999999</v>
      </c>
      <c r="P518" s="311">
        <v>0.2787</v>
      </c>
      <c r="Q518" s="311">
        <v>0.3019</v>
      </c>
      <c r="R518" s="311">
        <v>0.36990000000000001</v>
      </c>
      <c r="S518" s="311">
        <v>0.34139999999999998</v>
      </c>
      <c r="T518" s="311">
        <v>0.28299999999999997</v>
      </c>
      <c r="U518" s="311">
        <v>0.34560000000000002</v>
      </c>
      <c r="V518" s="311">
        <v>0.3775</v>
      </c>
      <c r="W518" s="311">
        <v>0.34799999999999998</v>
      </c>
      <c r="X518" s="311">
        <v>0.28689999999999999</v>
      </c>
      <c r="Y518" s="311">
        <v>0.35639999999999999</v>
      </c>
      <c r="Z518" s="311">
        <v>0.4032</v>
      </c>
      <c r="AA518" s="311">
        <v>0.35610000000000003</v>
      </c>
      <c r="AB518" s="311">
        <v>0.3155</v>
      </c>
      <c r="AC518" s="311">
        <v>0.34639999999999999</v>
      </c>
      <c r="AD518" s="311">
        <v>0.3125</v>
      </c>
      <c r="AE518" s="311">
        <v>0.39400000000000002</v>
      </c>
      <c r="AF518" s="311">
        <v>0.26450000000000001</v>
      </c>
      <c r="AG518" s="311">
        <v>0.2742</v>
      </c>
      <c r="AH518" s="311">
        <v>0.31740000000000002</v>
      </c>
      <c r="AI518" s="311">
        <v>0.32269999999999999</v>
      </c>
      <c r="AJ518" s="311">
        <v>0</v>
      </c>
      <c r="AK518" s="311">
        <v>0.3196</v>
      </c>
      <c r="AL518" s="311">
        <v>0.31480000000000002</v>
      </c>
      <c r="AM518" s="311">
        <v>0.40089999999999998</v>
      </c>
      <c r="AN518" s="311">
        <v>0.35310000000000002</v>
      </c>
      <c r="AO518" s="311">
        <v>0.38779999999999998</v>
      </c>
      <c r="AP518" s="311">
        <v>0.37709999999999999</v>
      </c>
      <c r="AQ518" s="311">
        <v>0.29709999999999998</v>
      </c>
      <c r="AR518" s="311">
        <v>0.38300000000000001</v>
      </c>
      <c r="AS518" s="311">
        <v>0</v>
      </c>
      <c r="AT518" s="311">
        <v>0.38969999999999999</v>
      </c>
      <c r="AU518" s="311">
        <v>0.37990000000000002</v>
      </c>
      <c r="AV518" s="311">
        <v>0.34670000000000001</v>
      </c>
      <c r="AW518" s="311">
        <v>0.37840000000000001</v>
      </c>
      <c r="AX518" s="311">
        <v>0</v>
      </c>
      <c r="AY518" s="311">
        <v>0.3957</v>
      </c>
      <c r="AZ518" s="311">
        <v>0.38379999999999997</v>
      </c>
      <c r="BA518" s="311">
        <v>0</v>
      </c>
      <c r="BB518" s="311">
        <v>0</v>
      </c>
      <c r="BC518" s="311">
        <v>0.39439999999999997</v>
      </c>
      <c r="BD518" s="311">
        <v>0.37290000000000001</v>
      </c>
      <c r="BE518" s="311">
        <v>0.41489999999999999</v>
      </c>
      <c r="BF518" s="311">
        <v>0.3417</v>
      </c>
      <c r="BG518" s="311">
        <v>0.41970000000000002</v>
      </c>
      <c r="BH518" s="311">
        <v>0.40789999999999998</v>
      </c>
      <c r="BI518" s="311">
        <v>0.41399999999999998</v>
      </c>
      <c r="BJ518" s="311">
        <v>0.3468</v>
      </c>
      <c r="BK518" s="311">
        <v>0.38890000000000002</v>
      </c>
    </row>
    <row r="519" spans="1:63" x14ac:dyDescent="0.25">
      <c r="A519" s="306">
        <v>323110</v>
      </c>
      <c r="B519" s="311" t="s">
        <v>95</v>
      </c>
      <c r="C519" s="311">
        <v>0.53890000000000005</v>
      </c>
      <c r="D519" s="311">
        <v>0.3629</v>
      </c>
      <c r="E519" s="311">
        <v>0.43490000000000001</v>
      </c>
      <c r="F519" s="311">
        <v>0.41820000000000002</v>
      </c>
      <c r="G519" s="311">
        <v>0.4289</v>
      </c>
      <c r="H519" s="311">
        <v>0.45290000000000002</v>
      </c>
      <c r="I519" s="311">
        <v>0.44130000000000003</v>
      </c>
      <c r="J519" s="311">
        <v>0.43120000000000003</v>
      </c>
      <c r="K519" s="311">
        <v>7.0199999999999999E-2</v>
      </c>
      <c r="L519" s="311">
        <v>0.33150000000000002</v>
      </c>
      <c r="M519" s="311">
        <v>0.43190000000000001</v>
      </c>
      <c r="N519" s="311">
        <v>0.48330000000000001</v>
      </c>
      <c r="O519" s="311">
        <v>0.3911</v>
      </c>
      <c r="P519" s="311">
        <v>0.38109999999999999</v>
      </c>
      <c r="Q519" s="311">
        <v>0.39510000000000001</v>
      </c>
      <c r="R519" s="311">
        <v>0.46650000000000003</v>
      </c>
      <c r="S519" s="311">
        <v>0.42230000000000001</v>
      </c>
      <c r="T519" s="311">
        <v>0.37630000000000002</v>
      </c>
      <c r="U519" s="311">
        <v>0.41639999999999999</v>
      </c>
      <c r="V519" s="311">
        <v>0.43530000000000002</v>
      </c>
      <c r="W519" s="311">
        <v>0.44130000000000003</v>
      </c>
      <c r="X519" s="311">
        <v>0.40160000000000001</v>
      </c>
      <c r="Y519" s="311">
        <v>0.41349999999999998</v>
      </c>
      <c r="Z519" s="311">
        <v>0.4773</v>
      </c>
      <c r="AA519" s="311">
        <v>0.46629999999999999</v>
      </c>
      <c r="AB519" s="311">
        <v>0.39450000000000002</v>
      </c>
      <c r="AC519" s="311">
        <v>0.39140000000000003</v>
      </c>
      <c r="AD519" s="311">
        <v>0.37540000000000001</v>
      </c>
      <c r="AE519" s="311">
        <v>0.45</v>
      </c>
      <c r="AF519" s="311">
        <v>0.30719999999999997</v>
      </c>
      <c r="AG519" s="311">
        <v>0.371</v>
      </c>
      <c r="AH519" s="311">
        <v>0.4073</v>
      </c>
      <c r="AI519" s="311">
        <v>0.42059999999999997</v>
      </c>
      <c r="AJ519" s="311">
        <v>0.38600000000000001</v>
      </c>
      <c r="AK519" s="311">
        <v>0.40460000000000002</v>
      </c>
      <c r="AL519" s="311">
        <v>0.3987</v>
      </c>
      <c r="AM519" s="311">
        <v>0.47549999999999998</v>
      </c>
      <c r="AN519" s="311">
        <v>0.43159999999999998</v>
      </c>
      <c r="AO519" s="311">
        <v>0.44319999999999998</v>
      </c>
      <c r="AP519" s="311">
        <v>0.46739999999999998</v>
      </c>
      <c r="AQ519" s="311">
        <v>0.38080000000000003</v>
      </c>
      <c r="AR519" s="311">
        <v>0.44350000000000001</v>
      </c>
      <c r="AS519" s="311">
        <v>0.3584</v>
      </c>
      <c r="AT519" s="311">
        <v>0.4451</v>
      </c>
      <c r="AU519" s="311">
        <v>0.4496</v>
      </c>
      <c r="AV519" s="311">
        <v>0.4461</v>
      </c>
      <c r="AW519" s="311">
        <v>0.4355</v>
      </c>
      <c r="AX519" s="311">
        <v>0.36520000000000002</v>
      </c>
      <c r="AY519" s="311">
        <v>0.44700000000000001</v>
      </c>
      <c r="AZ519" s="311">
        <v>0.4612</v>
      </c>
      <c r="BA519" s="311">
        <v>0.35099999999999998</v>
      </c>
      <c r="BB519" s="311">
        <v>0.3458</v>
      </c>
      <c r="BC519" s="311">
        <v>0.47960000000000003</v>
      </c>
      <c r="BD519" s="311">
        <v>0.4793</v>
      </c>
      <c r="BE519" s="311">
        <v>0.4955</v>
      </c>
      <c r="BF519" s="311">
        <v>0.44719999999999999</v>
      </c>
      <c r="BG519" s="311">
        <v>0.47860000000000003</v>
      </c>
      <c r="BH519" s="311">
        <v>0.45490000000000003</v>
      </c>
      <c r="BI519" s="311">
        <v>0.4728</v>
      </c>
      <c r="BJ519" s="311">
        <v>0.43780000000000002</v>
      </c>
      <c r="BK519" s="311">
        <v>0.4662</v>
      </c>
    </row>
    <row r="520" spans="1:63" x14ac:dyDescent="0.25">
      <c r="A520" s="306">
        <v>323120</v>
      </c>
      <c r="B520" s="311" t="s">
        <v>96</v>
      </c>
      <c r="C520" s="311">
        <v>0.64290000000000003</v>
      </c>
      <c r="D520" s="311">
        <v>0.49969999999999998</v>
      </c>
      <c r="E520" s="311">
        <v>0.54869999999999997</v>
      </c>
      <c r="F520" s="311">
        <v>0.53080000000000005</v>
      </c>
      <c r="G520" s="311">
        <v>0.57199999999999995</v>
      </c>
      <c r="H520" s="311">
        <v>0.59530000000000005</v>
      </c>
      <c r="I520" s="311">
        <v>0.58699999999999997</v>
      </c>
      <c r="J520" s="311">
        <v>0.55169999999999997</v>
      </c>
      <c r="K520" s="311">
        <v>9.7699999999999995E-2</v>
      </c>
      <c r="L520" s="311">
        <v>0.44219999999999998</v>
      </c>
      <c r="M520" s="311">
        <v>0.56730000000000003</v>
      </c>
      <c r="N520" s="311">
        <v>0.59179999999999999</v>
      </c>
      <c r="O520" s="311">
        <v>0.53659999999999997</v>
      </c>
      <c r="P520" s="311">
        <v>0.50849999999999995</v>
      </c>
      <c r="Q520" s="311">
        <v>0.5202</v>
      </c>
      <c r="R520" s="311">
        <v>0.5927</v>
      </c>
      <c r="S520" s="311">
        <v>0.54459999999999997</v>
      </c>
      <c r="T520" s="311">
        <v>0.50160000000000005</v>
      </c>
      <c r="U520" s="311">
        <v>0.51319999999999999</v>
      </c>
      <c r="V520" s="311">
        <v>0.55379999999999996</v>
      </c>
      <c r="W520" s="311">
        <v>0.55669999999999997</v>
      </c>
      <c r="X520" s="311">
        <v>0.52539999999999998</v>
      </c>
      <c r="Y520" s="311">
        <v>0.52580000000000005</v>
      </c>
      <c r="Z520" s="311">
        <v>0.59519999999999995</v>
      </c>
      <c r="AA520" s="311">
        <v>0.58220000000000005</v>
      </c>
      <c r="AB520" s="311">
        <v>0.50849999999999995</v>
      </c>
      <c r="AC520" s="311">
        <v>0.49540000000000001</v>
      </c>
      <c r="AD520" s="311">
        <v>0.51219999999999999</v>
      </c>
      <c r="AE520" s="311">
        <v>0.5625</v>
      </c>
      <c r="AF520" s="311">
        <v>0.42130000000000001</v>
      </c>
      <c r="AG520" s="311">
        <v>0.50670000000000004</v>
      </c>
      <c r="AH520" s="311">
        <v>0.51939999999999997</v>
      </c>
      <c r="AI520" s="311">
        <v>0.53200000000000003</v>
      </c>
      <c r="AJ520" s="311">
        <v>0.52180000000000004</v>
      </c>
      <c r="AK520" s="311">
        <v>0.54500000000000004</v>
      </c>
      <c r="AL520" s="311">
        <v>0.52210000000000001</v>
      </c>
      <c r="AM520" s="311">
        <v>0.5887</v>
      </c>
      <c r="AN520" s="311">
        <v>0.54810000000000003</v>
      </c>
      <c r="AO520" s="311">
        <v>0.55010000000000003</v>
      </c>
      <c r="AP520" s="311">
        <v>0.57950000000000002</v>
      </c>
      <c r="AQ520" s="311">
        <v>0.51280000000000003</v>
      </c>
      <c r="AR520" s="311">
        <v>0.54990000000000006</v>
      </c>
      <c r="AS520" s="311">
        <v>0</v>
      </c>
      <c r="AT520" s="311">
        <v>0.5444</v>
      </c>
      <c r="AU520" s="311">
        <v>0.58620000000000005</v>
      </c>
      <c r="AV520" s="311">
        <v>0.58450000000000002</v>
      </c>
      <c r="AW520" s="311">
        <v>0.54849999999999999</v>
      </c>
      <c r="AX520" s="311">
        <v>0.4869</v>
      </c>
      <c r="AY520" s="311">
        <v>0.56599999999999995</v>
      </c>
      <c r="AZ520" s="311">
        <v>0.57420000000000004</v>
      </c>
      <c r="BA520" s="311">
        <v>0</v>
      </c>
      <c r="BB520" s="311">
        <v>0</v>
      </c>
      <c r="BC520" s="311">
        <v>0.60089999999999999</v>
      </c>
      <c r="BD520" s="311">
        <v>0.6018</v>
      </c>
      <c r="BE520" s="311">
        <v>0.60550000000000004</v>
      </c>
      <c r="BF520" s="311">
        <v>0.57030000000000003</v>
      </c>
      <c r="BG520" s="311">
        <v>0.59670000000000001</v>
      </c>
      <c r="BH520" s="311">
        <v>0.55089999999999995</v>
      </c>
      <c r="BI520" s="311">
        <v>0.58899999999999997</v>
      </c>
      <c r="BJ520" s="311">
        <v>0.57930000000000004</v>
      </c>
      <c r="BK520" s="311">
        <v>0.59750000000000003</v>
      </c>
    </row>
    <row r="521" spans="1:63" x14ac:dyDescent="0.25">
      <c r="A521" s="306">
        <v>324110</v>
      </c>
      <c r="B521" s="311" t="s">
        <v>97</v>
      </c>
      <c r="C521" s="311">
        <v>0.3276</v>
      </c>
      <c r="D521" s="311">
        <v>0.23980000000000001</v>
      </c>
      <c r="E521" s="311">
        <v>0.1905</v>
      </c>
      <c r="F521" s="311">
        <v>0.19620000000000001</v>
      </c>
      <c r="G521" s="311">
        <v>0.16889999999999999</v>
      </c>
      <c r="H521" s="311">
        <v>0.25130000000000002</v>
      </c>
      <c r="I521" s="311">
        <v>0.28739999999999999</v>
      </c>
      <c r="J521" s="311">
        <v>0</v>
      </c>
      <c r="K521" s="311">
        <v>5.3400000000000003E-2</v>
      </c>
      <c r="L521" s="311">
        <v>0.14030000000000001</v>
      </c>
      <c r="M521" s="311">
        <v>0.16109999999999999</v>
      </c>
      <c r="N521" s="311">
        <v>0.1757</v>
      </c>
      <c r="O521" s="311">
        <v>0.17069999999999999</v>
      </c>
      <c r="P521" s="311">
        <v>0.125</v>
      </c>
      <c r="Q521" s="311">
        <v>0.13780000000000001</v>
      </c>
      <c r="R521" s="311">
        <v>0.19</v>
      </c>
      <c r="S521" s="311">
        <v>0.158</v>
      </c>
      <c r="T521" s="311">
        <v>0.2248</v>
      </c>
      <c r="U521" s="311">
        <v>0.17330000000000001</v>
      </c>
      <c r="V521" s="311">
        <v>0.27129999999999999</v>
      </c>
      <c r="W521" s="311">
        <v>0.1628</v>
      </c>
      <c r="X521" s="311">
        <v>0.1512</v>
      </c>
      <c r="Y521" s="311">
        <v>0.15359999999999999</v>
      </c>
      <c r="Z521" s="311">
        <v>0.18160000000000001</v>
      </c>
      <c r="AA521" s="311">
        <v>0.17530000000000001</v>
      </c>
      <c r="AB521" s="311">
        <v>0.15559999999999999</v>
      </c>
      <c r="AC521" s="311">
        <v>0.1895</v>
      </c>
      <c r="AD521" s="311">
        <v>0.2243</v>
      </c>
      <c r="AE521" s="311">
        <v>0.15939999999999999</v>
      </c>
      <c r="AF521" s="311">
        <v>0.21659999999999999</v>
      </c>
      <c r="AG521" s="311">
        <v>0.152</v>
      </c>
      <c r="AH521" s="311">
        <v>0.15540000000000001</v>
      </c>
      <c r="AI521" s="311">
        <v>0.17299999999999999</v>
      </c>
      <c r="AJ521" s="311">
        <v>0.24940000000000001</v>
      </c>
      <c r="AK521" s="311">
        <v>0.1578</v>
      </c>
      <c r="AL521" s="311">
        <v>0.14430000000000001</v>
      </c>
      <c r="AM521" s="311">
        <v>0.2079</v>
      </c>
      <c r="AN521" s="311">
        <v>0.27300000000000002</v>
      </c>
      <c r="AO521" s="311">
        <v>0.15609999999999999</v>
      </c>
      <c r="AP521" s="311">
        <v>0.1961</v>
      </c>
      <c r="AQ521" s="311">
        <v>0</v>
      </c>
      <c r="AR521" s="311">
        <v>0.1605</v>
      </c>
      <c r="AS521" s="311">
        <v>0.1489</v>
      </c>
      <c r="AT521" s="311">
        <v>0.15049999999999999</v>
      </c>
      <c r="AU521" s="311">
        <v>0.2969</v>
      </c>
      <c r="AV521" s="311">
        <v>0.26300000000000001</v>
      </c>
      <c r="AW521" s="311">
        <v>0.1522</v>
      </c>
      <c r="AX521" s="311">
        <v>0</v>
      </c>
      <c r="AY521" s="311">
        <v>0.1782</v>
      </c>
      <c r="AZ521" s="311">
        <v>0.157</v>
      </c>
      <c r="BA521" s="311">
        <v>0.21629999999999999</v>
      </c>
      <c r="BB521" s="311">
        <v>0.23980000000000001</v>
      </c>
      <c r="BC521" s="311">
        <v>0.17580000000000001</v>
      </c>
      <c r="BD521" s="311">
        <v>0.18590000000000001</v>
      </c>
      <c r="BE521" s="311">
        <v>0.1981</v>
      </c>
      <c r="BF521" s="311">
        <v>0.18529999999999999</v>
      </c>
      <c r="BG521" s="311">
        <v>0.17610000000000001</v>
      </c>
      <c r="BH521" s="311">
        <v>0.19359999999999999</v>
      </c>
      <c r="BI521" s="311">
        <v>0.29849999999999999</v>
      </c>
      <c r="BJ521" s="311">
        <v>0.2868</v>
      </c>
      <c r="BK521" s="311">
        <v>0.25330000000000003</v>
      </c>
    </row>
    <row r="522" spans="1:63" x14ac:dyDescent="0.25">
      <c r="A522" s="306">
        <v>324121</v>
      </c>
      <c r="B522" s="311" t="s">
        <v>98</v>
      </c>
      <c r="C522" s="311">
        <v>0.49120000000000003</v>
      </c>
      <c r="D522" s="311">
        <v>0.31669999999999998</v>
      </c>
      <c r="E522" s="311">
        <v>0.3246</v>
      </c>
      <c r="F522" s="311">
        <v>0.33019999999999999</v>
      </c>
      <c r="G522" s="311">
        <v>0.30669999999999997</v>
      </c>
      <c r="H522" s="311">
        <v>0.40089999999999998</v>
      </c>
      <c r="I522" s="311">
        <v>0.38579999999999998</v>
      </c>
      <c r="J522" s="311">
        <v>0.30020000000000002</v>
      </c>
      <c r="K522" s="311">
        <v>0</v>
      </c>
      <c r="L522" s="311">
        <v>0.27689999999999998</v>
      </c>
      <c r="M522" s="311">
        <v>0.29820000000000002</v>
      </c>
      <c r="N522" s="311">
        <v>0.34010000000000001</v>
      </c>
      <c r="O522" s="311">
        <v>0.33050000000000002</v>
      </c>
      <c r="P522" s="311">
        <v>0.2336</v>
      </c>
      <c r="Q522" s="311">
        <v>0.2417</v>
      </c>
      <c r="R522" s="311">
        <v>0.38319999999999999</v>
      </c>
      <c r="S522" s="311">
        <v>0.32379999999999998</v>
      </c>
      <c r="T522" s="311">
        <v>0.34760000000000002</v>
      </c>
      <c r="U522" s="311">
        <v>0.31319999999999998</v>
      </c>
      <c r="V522" s="311">
        <v>0.37659999999999999</v>
      </c>
      <c r="W522" s="311">
        <v>0.31190000000000001</v>
      </c>
      <c r="X522" s="311">
        <v>0.27979999999999999</v>
      </c>
      <c r="Y522" s="311">
        <v>0.27889999999999998</v>
      </c>
      <c r="Z522" s="311">
        <v>0.3427</v>
      </c>
      <c r="AA522" s="311">
        <v>0.35420000000000001</v>
      </c>
      <c r="AB522" s="311">
        <v>0.30370000000000003</v>
      </c>
      <c r="AC522" s="311">
        <v>0.29699999999999999</v>
      </c>
      <c r="AD522" s="311">
        <v>0.3281</v>
      </c>
      <c r="AE522" s="311">
        <v>0.32279999999999998</v>
      </c>
      <c r="AF522" s="311">
        <v>0</v>
      </c>
      <c r="AG522" s="311">
        <v>0</v>
      </c>
      <c r="AH522" s="311">
        <v>0.29730000000000001</v>
      </c>
      <c r="AI522" s="311">
        <v>0.34839999999999999</v>
      </c>
      <c r="AJ522" s="311">
        <v>0.3392</v>
      </c>
      <c r="AK522" s="311">
        <v>0.29170000000000001</v>
      </c>
      <c r="AL522" s="311">
        <v>0.27379999999999999</v>
      </c>
      <c r="AM522" s="311">
        <v>0.38119999999999998</v>
      </c>
      <c r="AN522" s="311">
        <v>0.37959999999999999</v>
      </c>
      <c r="AO522" s="311">
        <v>0.29959999999999998</v>
      </c>
      <c r="AP522" s="311">
        <v>0.35880000000000001</v>
      </c>
      <c r="AQ522" s="311">
        <v>0.2843</v>
      </c>
      <c r="AR522" s="311">
        <v>0.31340000000000001</v>
      </c>
      <c r="AS522" s="311">
        <v>0.26490000000000002</v>
      </c>
      <c r="AT522" s="311">
        <v>0.29520000000000002</v>
      </c>
      <c r="AU522" s="311">
        <v>0.41670000000000001</v>
      </c>
      <c r="AV522" s="311">
        <v>0.41370000000000001</v>
      </c>
      <c r="AW522" s="311">
        <v>0.28570000000000001</v>
      </c>
      <c r="AX522" s="311">
        <v>0.26939999999999997</v>
      </c>
      <c r="AY522" s="311">
        <v>0.35060000000000002</v>
      </c>
      <c r="AZ522" s="311">
        <v>0.312</v>
      </c>
      <c r="BA522" s="311">
        <v>0.27139999999999997</v>
      </c>
      <c r="BB522" s="311">
        <v>0.31869999999999998</v>
      </c>
      <c r="BC522" s="311">
        <v>0.34089999999999998</v>
      </c>
      <c r="BD522" s="311">
        <v>0.36049999999999999</v>
      </c>
      <c r="BE522" s="311">
        <v>0.39229999999999998</v>
      </c>
      <c r="BF522" s="311">
        <v>0.3478</v>
      </c>
      <c r="BG522" s="311">
        <v>0.33950000000000002</v>
      </c>
      <c r="BH522" s="311">
        <v>0.35780000000000001</v>
      </c>
      <c r="BI522" s="311">
        <v>0.42199999999999999</v>
      </c>
      <c r="BJ522" s="311">
        <v>0.39090000000000003</v>
      </c>
      <c r="BK522" s="311">
        <v>0.40379999999999999</v>
      </c>
    </row>
    <row r="523" spans="1:63" x14ac:dyDescent="0.25">
      <c r="A523" s="306">
        <v>324122</v>
      </c>
      <c r="B523" s="311" t="s">
        <v>99</v>
      </c>
      <c r="C523" s="311">
        <v>0.49390000000000001</v>
      </c>
      <c r="D523" s="311">
        <v>0</v>
      </c>
      <c r="E523" s="311">
        <v>0.34150000000000003</v>
      </c>
      <c r="F523" s="311">
        <v>0.3397</v>
      </c>
      <c r="G523" s="311">
        <v>0.33729999999999999</v>
      </c>
      <c r="H523" s="311">
        <v>0.40620000000000001</v>
      </c>
      <c r="I523" s="311">
        <v>0.39579999999999999</v>
      </c>
      <c r="J523" s="311">
        <v>0.31059999999999999</v>
      </c>
      <c r="K523" s="311">
        <v>0</v>
      </c>
      <c r="L523" s="311">
        <v>0.28549999999999998</v>
      </c>
      <c r="M523" s="311">
        <v>0.32850000000000001</v>
      </c>
      <c r="N523" s="311">
        <v>0.37730000000000002</v>
      </c>
      <c r="O523" s="311">
        <v>0</v>
      </c>
      <c r="P523" s="311">
        <v>0.2382</v>
      </c>
      <c r="Q523" s="311">
        <v>0.2571</v>
      </c>
      <c r="R523" s="311">
        <v>0.38059999999999999</v>
      </c>
      <c r="S523" s="311">
        <v>0.32879999999999998</v>
      </c>
      <c r="T523" s="311">
        <v>0.33850000000000002</v>
      </c>
      <c r="U523" s="311">
        <v>0</v>
      </c>
      <c r="V523" s="311">
        <v>0.38719999999999999</v>
      </c>
      <c r="W523" s="311">
        <v>0.33760000000000001</v>
      </c>
      <c r="X523" s="311">
        <v>0.3</v>
      </c>
      <c r="Y523" s="311">
        <v>0</v>
      </c>
      <c r="Z523" s="311">
        <v>0.35699999999999998</v>
      </c>
      <c r="AA523" s="311">
        <v>0.37790000000000001</v>
      </c>
      <c r="AB523" s="311">
        <v>0.32269999999999999</v>
      </c>
      <c r="AC523" s="311">
        <v>0.29039999999999999</v>
      </c>
      <c r="AD523" s="311">
        <v>0</v>
      </c>
      <c r="AE523" s="311">
        <v>0.35370000000000001</v>
      </c>
      <c r="AF523" s="311">
        <v>0</v>
      </c>
      <c r="AG523" s="311">
        <v>0.29389999999999999</v>
      </c>
      <c r="AH523" s="311">
        <v>0.3412</v>
      </c>
      <c r="AI523" s="311">
        <v>0.36220000000000002</v>
      </c>
      <c r="AJ523" s="311">
        <v>0</v>
      </c>
      <c r="AK523" s="311">
        <v>0.3241</v>
      </c>
      <c r="AL523" s="311">
        <v>0.29659999999999997</v>
      </c>
      <c r="AM523" s="311">
        <v>0.40610000000000002</v>
      </c>
      <c r="AN523" s="311">
        <v>0.38819999999999999</v>
      </c>
      <c r="AO523" s="311">
        <v>0.34179999999999999</v>
      </c>
      <c r="AP523" s="311">
        <v>0.38690000000000002</v>
      </c>
      <c r="AQ523" s="311">
        <v>0</v>
      </c>
      <c r="AR523" s="311">
        <v>0.33900000000000002</v>
      </c>
      <c r="AS523" s="311">
        <v>0</v>
      </c>
      <c r="AT523" s="311">
        <v>0.32179999999999997</v>
      </c>
      <c r="AU523" s="311">
        <v>0.42199999999999999</v>
      </c>
      <c r="AV523" s="311">
        <v>0.41249999999999998</v>
      </c>
      <c r="AW523" s="311">
        <v>0.30449999999999999</v>
      </c>
      <c r="AX523" s="311">
        <v>0</v>
      </c>
      <c r="AY523" s="311">
        <v>0.374</v>
      </c>
      <c r="AZ523" s="311">
        <v>0.32929999999999998</v>
      </c>
      <c r="BA523" s="311">
        <v>0</v>
      </c>
      <c r="BB523" s="311">
        <v>0.30380000000000001</v>
      </c>
      <c r="BC523" s="311">
        <v>0.37290000000000001</v>
      </c>
      <c r="BD523" s="311">
        <v>0.38740000000000002</v>
      </c>
      <c r="BE523" s="311">
        <v>0.42099999999999999</v>
      </c>
      <c r="BF523" s="311">
        <v>0.36499999999999999</v>
      </c>
      <c r="BG523" s="311">
        <v>0.37340000000000001</v>
      </c>
      <c r="BH523" s="311">
        <v>0.3715</v>
      </c>
      <c r="BI523" s="311">
        <v>0.43109999999999998</v>
      </c>
      <c r="BJ523" s="311">
        <v>0.3967</v>
      </c>
      <c r="BK523" s="311">
        <v>0.41539999999999999</v>
      </c>
    </row>
    <row r="524" spans="1:63" x14ac:dyDescent="0.25">
      <c r="A524" s="306">
        <v>324191</v>
      </c>
      <c r="B524" s="311" t="s">
        <v>100</v>
      </c>
      <c r="C524" s="311">
        <v>0.50509999999999999</v>
      </c>
      <c r="D524" s="311">
        <v>0</v>
      </c>
      <c r="E524" s="311">
        <v>0.32900000000000001</v>
      </c>
      <c r="F524" s="311">
        <v>0.33810000000000001</v>
      </c>
      <c r="G524" s="311">
        <v>0.3049</v>
      </c>
      <c r="H524" s="311">
        <v>0.41909999999999997</v>
      </c>
      <c r="I524" s="311">
        <v>0.39989999999999998</v>
      </c>
      <c r="J524" s="311">
        <v>0.30049999999999999</v>
      </c>
      <c r="K524" s="311">
        <v>0</v>
      </c>
      <c r="L524" s="311">
        <v>0.29670000000000002</v>
      </c>
      <c r="M524" s="311">
        <v>0.29630000000000001</v>
      </c>
      <c r="N524" s="311">
        <v>0.34</v>
      </c>
      <c r="O524" s="311">
        <v>0</v>
      </c>
      <c r="P524" s="311">
        <v>0.2306</v>
      </c>
      <c r="Q524" s="311">
        <v>0</v>
      </c>
      <c r="R524" s="311">
        <v>0.38679999999999998</v>
      </c>
      <c r="S524" s="311">
        <v>0.32369999999999999</v>
      </c>
      <c r="T524" s="311">
        <v>0.3644</v>
      </c>
      <c r="U524" s="311">
        <v>0.31469999999999998</v>
      </c>
      <c r="V524" s="311">
        <v>0.40949999999999998</v>
      </c>
      <c r="W524" s="311">
        <v>0.314</v>
      </c>
      <c r="X524" s="311">
        <v>0.28720000000000001</v>
      </c>
      <c r="Y524" s="311">
        <v>0</v>
      </c>
      <c r="Z524" s="311">
        <v>0.34179999999999999</v>
      </c>
      <c r="AA524" s="311">
        <v>0.3594</v>
      </c>
      <c r="AB524" s="311">
        <v>0.30249999999999999</v>
      </c>
      <c r="AC524" s="311">
        <v>0.31</v>
      </c>
      <c r="AD524" s="311">
        <v>0</v>
      </c>
      <c r="AE524" s="311">
        <v>0.31740000000000002</v>
      </c>
      <c r="AF524" s="311">
        <v>0</v>
      </c>
      <c r="AG524" s="311">
        <v>0.27910000000000001</v>
      </c>
      <c r="AH524" s="311">
        <v>0.29249999999999998</v>
      </c>
      <c r="AI524" s="311">
        <v>0.36709999999999998</v>
      </c>
      <c r="AJ524" s="311">
        <v>0.36699999999999999</v>
      </c>
      <c r="AK524" s="311">
        <v>0.2964</v>
      </c>
      <c r="AL524" s="311">
        <v>0.26960000000000001</v>
      </c>
      <c r="AM524" s="311">
        <v>0.38190000000000002</v>
      </c>
      <c r="AN524" s="311">
        <v>0.39360000000000001</v>
      </c>
      <c r="AO524" s="311">
        <v>0.29649999999999999</v>
      </c>
      <c r="AP524" s="311">
        <v>0.35970000000000002</v>
      </c>
      <c r="AQ524" s="311">
        <v>0</v>
      </c>
      <c r="AR524" s="311">
        <v>0.30719999999999997</v>
      </c>
      <c r="AS524" s="311">
        <v>0</v>
      </c>
      <c r="AT524" s="311">
        <v>0.28810000000000002</v>
      </c>
      <c r="AU524" s="311">
        <v>0.443</v>
      </c>
      <c r="AV524" s="311">
        <v>0.42599999999999999</v>
      </c>
      <c r="AW524" s="311">
        <v>0</v>
      </c>
      <c r="AX524" s="311">
        <v>0</v>
      </c>
      <c r="AY524" s="311">
        <v>0.36899999999999999</v>
      </c>
      <c r="AZ524" s="311">
        <v>0.30399999999999999</v>
      </c>
      <c r="BA524" s="311">
        <v>0.2843</v>
      </c>
      <c r="BB524" s="311">
        <v>0</v>
      </c>
      <c r="BC524" s="311">
        <v>0.33889999999999998</v>
      </c>
      <c r="BD524" s="311">
        <v>0.3629</v>
      </c>
      <c r="BE524" s="311">
        <v>0.39029999999999998</v>
      </c>
      <c r="BF524" s="311">
        <v>0.34739999999999999</v>
      </c>
      <c r="BG524" s="311">
        <v>0.33610000000000001</v>
      </c>
      <c r="BH524" s="311">
        <v>0.3599</v>
      </c>
      <c r="BI524" s="311">
        <v>0.44669999999999999</v>
      </c>
      <c r="BJ524" s="311">
        <v>0.40620000000000001</v>
      </c>
      <c r="BK524" s="311">
        <v>0.42149999999999999</v>
      </c>
    </row>
    <row r="525" spans="1:63" x14ac:dyDescent="0.25">
      <c r="A525" s="306">
        <v>324199</v>
      </c>
      <c r="B525" s="311" t="s">
        <v>101</v>
      </c>
      <c r="C525" s="311">
        <v>0.48060000000000003</v>
      </c>
      <c r="D525" s="311">
        <v>0</v>
      </c>
      <c r="E525" s="311">
        <v>0.30890000000000001</v>
      </c>
      <c r="F525" s="311">
        <v>0</v>
      </c>
      <c r="G525" s="311">
        <v>0</v>
      </c>
      <c r="H525" s="311">
        <v>0.40810000000000002</v>
      </c>
      <c r="I525" s="311">
        <v>0.39950000000000002</v>
      </c>
      <c r="J525" s="311">
        <v>0</v>
      </c>
      <c r="K525" s="311">
        <v>0</v>
      </c>
      <c r="L525" s="311">
        <v>0</v>
      </c>
      <c r="M525" s="311">
        <v>0.2878</v>
      </c>
      <c r="N525" s="311">
        <v>0.30980000000000002</v>
      </c>
      <c r="O525" s="311">
        <v>0</v>
      </c>
      <c r="P525" s="311">
        <v>0</v>
      </c>
      <c r="Q525" s="311">
        <v>0</v>
      </c>
      <c r="R525" s="311">
        <v>0.35420000000000001</v>
      </c>
      <c r="S525" s="311">
        <v>0.29749999999999999</v>
      </c>
      <c r="T525" s="311">
        <v>0</v>
      </c>
      <c r="U525" s="311">
        <v>0.29330000000000001</v>
      </c>
      <c r="V525" s="311">
        <v>0.40029999999999999</v>
      </c>
      <c r="W525" s="311">
        <v>0</v>
      </c>
      <c r="X525" s="311">
        <v>0</v>
      </c>
      <c r="Y525" s="311">
        <v>0</v>
      </c>
      <c r="Z525" s="311">
        <v>0.3175</v>
      </c>
      <c r="AA525" s="311">
        <v>0.33639999999999998</v>
      </c>
      <c r="AB525" s="311">
        <v>0</v>
      </c>
      <c r="AC525" s="311">
        <v>0.30080000000000001</v>
      </c>
      <c r="AD525" s="311">
        <v>0</v>
      </c>
      <c r="AE525" s="311">
        <v>0</v>
      </c>
      <c r="AF525" s="311">
        <v>0</v>
      </c>
      <c r="AG525" s="311">
        <v>0.26540000000000002</v>
      </c>
      <c r="AH525" s="311">
        <v>0</v>
      </c>
      <c r="AI525" s="311">
        <v>0.33479999999999999</v>
      </c>
      <c r="AJ525" s="311">
        <v>0</v>
      </c>
      <c r="AK525" s="311">
        <v>0</v>
      </c>
      <c r="AL525" s="311">
        <v>0.25700000000000001</v>
      </c>
      <c r="AM525" s="311">
        <v>0.3518</v>
      </c>
      <c r="AN525" s="311">
        <v>0.39460000000000001</v>
      </c>
      <c r="AO525" s="311">
        <v>0</v>
      </c>
      <c r="AP525" s="311">
        <v>0.33460000000000001</v>
      </c>
      <c r="AQ525" s="311">
        <v>0</v>
      </c>
      <c r="AR525" s="311">
        <v>0.2833</v>
      </c>
      <c r="AS525" s="311">
        <v>0</v>
      </c>
      <c r="AT525" s="311">
        <v>0.26579999999999998</v>
      </c>
      <c r="AU525" s="311">
        <v>0.43090000000000001</v>
      </c>
      <c r="AV525" s="311">
        <v>0.41499999999999998</v>
      </c>
      <c r="AW525" s="311">
        <v>0.27050000000000002</v>
      </c>
      <c r="AX525" s="311">
        <v>0</v>
      </c>
      <c r="AY525" s="311">
        <v>0</v>
      </c>
      <c r="AZ525" s="311">
        <v>0.2833</v>
      </c>
      <c r="BA525" s="311">
        <v>0.28079999999999999</v>
      </c>
      <c r="BB525" s="311">
        <v>0.34749999999999998</v>
      </c>
      <c r="BC525" s="311">
        <v>0</v>
      </c>
      <c r="BD525" s="311">
        <v>0.33239999999999997</v>
      </c>
      <c r="BE525" s="311">
        <v>0.35560000000000003</v>
      </c>
      <c r="BF525" s="311">
        <v>0.3236</v>
      </c>
      <c r="BG525" s="311">
        <v>0.30959999999999999</v>
      </c>
      <c r="BH525" s="311">
        <v>0.33389999999999997</v>
      </c>
      <c r="BI525" s="311">
        <v>0.43409999999999999</v>
      </c>
      <c r="BJ525" s="311">
        <v>0.40579999999999999</v>
      </c>
      <c r="BK525" s="311">
        <v>0.41089999999999999</v>
      </c>
    </row>
    <row r="526" spans="1:63" x14ac:dyDescent="0.25">
      <c r="A526" s="306">
        <v>325110</v>
      </c>
      <c r="B526" s="311" t="s">
        <v>102</v>
      </c>
      <c r="C526" s="311">
        <v>0.44979999999999998</v>
      </c>
      <c r="D526" s="311">
        <v>0</v>
      </c>
      <c r="E526" s="311">
        <v>0.30649999999999999</v>
      </c>
      <c r="F526" s="311">
        <v>0.26550000000000001</v>
      </c>
      <c r="G526" s="311">
        <v>0</v>
      </c>
      <c r="H526" s="311">
        <v>0.28589999999999999</v>
      </c>
      <c r="I526" s="311">
        <v>0</v>
      </c>
      <c r="J526" s="311">
        <v>0.25230000000000002</v>
      </c>
      <c r="K526" s="311">
        <v>0</v>
      </c>
      <c r="L526" s="311">
        <v>0.2321</v>
      </c>
      <c r="M526" s="311">
        <v>0.21510000000000001</v>
      </c>
      <c r="N526" s="311">
        <v>0.26050000000000001</v>
      </c>
      <c r="O526" s="311">
        <v>0</v>
      </c>
      <c r="P526" s="311">
        <v>0</v>
      </c>
      <c r="Q526" s="311">
        <v>0</v>
      </c>
      <c r="R526" s="311">
        <v>0.32019999999999998</v>
      </c>
      <c r="S526" s="311">
        <v>0</v>
      </c>
      <c r="T526" s="311">
        <v>0</v>
      </c>
      <c r="U526" s="311">
        <v>0</v>
      </c>
      <c r="V526" s="311">
        <v>0.34239999999999998</v>
      </c>
      <c r="W526" s="311">
        <v>0.23860000000000001</v>
      </c>
      <c r="X526" s="311">
        <v>0</v>
      </c>
      <c r="Y526" s="311">
        <v>0.19570000000000001</v>
      </c>
      <c r="Z526" s="311">
        <v>0.25790000000000002</v>
      </c>
      <c r="AA526" s="311">
        <v>0</v>
      </c>
      <c r="AB526" s="311">
        <v>0.2908</v>
      </c>
      <c r="AC526" s="311">
        <v>0.23580000000000001</v>
      </c>
      <c r="AD526" s="311">
        <v>0</v>
      </c>
      <c r="AE526" s="311">
        <v>0.26469999999999999</v>
      </c>
      <c r="AF526" s="311">
        <v>0</v>
      </c>
      <c r="AG526" s="311">
        <v>0</v>
      </c>
      <c r="AH526" s="311">
        <v>0</v>
      </c>
      <c r="AI526" s="311">
        <v>0.31569999999999998</v>
      </c>
      <c r="AJ526" s="311">
        <v>0</v>
      </c>
      <c r="AK526" s="311">
        <v>0</v>
      </c>
      <c r="AL526" s="311">
        <v>0.19259999999999999</v>
      </c>
      <c r="AM526" s="311">
        <v>0.3206</v>
      </c>
      <c r="AN526" s="311">
        <v>0</v>
      </c>
      <c r="AO526" s="311">
        <v>0</v>
      </c>
      <c r="AP526" s="311">
        <v>0.29630000000000001</v>
      </c>
      <c r="AQ526" s="311">
        <v>0</v>
      </c>
      <c r="AR526" s="311">
        <v>0.2717</v>
      </c>
      <c r="AS526" s="311">
        <v>0</v>
      </c>
      <c r="AT526" s="311">
        <v>0.2361</v>
      </c>
      <c r="AU526" s="311">
        <v>0.38350000000000001</v>
      </c>
      <c r="AV526" s="311">
        <v>0</v>
      </c>
      <c r="AW526" s="311">
        <v>0</v>
      </c>
      <c r="AX526" s="311">
        <v>0</v>
      </c>
      <c r="AY526" s="311">
        <v>0.25</v>
      </c>
      <c r="AZ526" s="311">
        <v>0</v>
      </c>
      <c r="BA526" s="311">
        <v>0.27239999999999998</v>
      </c>
      <c r="BB526" s="311">
        <v>0</v>
      </c>
      <c r="BC526" s="311">
        <v>0.25890000000000002</v>
      </c>
      <c r="BD526" s="311">
        <v>0.30130000000000001</v>
      </c>
      <c r="BE526" s="311">
        <v>0.33040000000000003</v>
      </c>
      <c r="BF526" s="311">
        <v>0.2873</v>
      </c>
      <c r="BG526" s="311">
        <v>0.28210000000000002</v>
      </c>
      <c r="BH526" s="311">
        <v>0.31019999999999998</v>
      </c>
      <c r="BI526" s="311">
        <v>0.38419999999999999</v>
      </c>
      <c r="BJ526" s="311">
        <v>0</v>
      </c>
      <c r="BK526" s="311">
        <v>0.28810000000000002</v>
      </c>
    </row>
    <row r="527" spans="1:63" x14ac:dyDescent="0.25">
      <c r="A527" s="306">
        <v>325120</v>
      </c>
      <c r="B527" s="311" t="s">
        <v>103</v>
      </c>
      <c r="C527" s="311">
        <v>0.39960000000000001</v>
      </c>
      <c r="D527" s="311">
        <v>0</v>
      </c>
      <c r="E527" s="311">
        <v>0.28570000000000001</v>
      </c>
      <c r="F527" s="311">
        <v>0.28089999999999998</v>
      </c>
      <c r="G527" s="311">
        <v>0.27229999999999999</v>
      </c>
      <c r="H527" s="311">
        <v>0.30719999999999997</v>
      </c>
      <c r="I527" s="311">
        <v>0.32919999999999999</v>
      </c>
      <c r="J527" s="311">
        <v>0.28160000000000002</v>
      </c>
      <c r="K527" s="311">
        <v>0</v>
      </c>
      <c r="L527" s="311">
        <v>0.224</v>
      </c>
      <c r="M527" s="311">
        <v>0.26219999999999999</v>
      </c>
      <c r="N527" s="311">
        <v>0.29570000000000002</v>
      </c>
      <c r="O527" s="311">
        <v>0.26989999999999997</v>
      </c>
      <c r="P527" s="311">
        <v>0.23019999999999999</v>
      </c>
      <c r="Q527" s="311">
        <v>0.2485</v>
      </c>
      <c r="R527" s="311">
        <v>0.32890000000000003</v>
      </c>
      <c r="S527" s="311">
        <v>0.2833</v>
      </c>
      <c r="T527" s="311">
        <v>0.25519999999999998</v>
      </c>
      <c r="U527" s="311">
        <v>0.26590000000000003</v>
      </c>
      <c r="V527" s="311">
        <v>0.3014</v>
      </c>
      <c r="W527" s="311">
        <v>0.2792</v>
      </c>
      <c r="X527" s="311">
        <v>0.25559999999999999</v>
      </c>
      <c r="Y527" s="311">
        <v>0.25750000000000001</v>
      </c>
      <c r="Z527" s="311">
        <v>0.31519999999999998</v>
      </c>
      <c r="AA527" s="311">
        <v>0.29680000000000001</v>
      </c>
      <c r="AB527" s="311">
        <v>0.28560000000000002</v>
      </c>
      <c r="AC527" s="311">
        <v>0.2495</v>
      </c>
      <c r="AD527" s="311">
        <v>0.25269999999999998</v>
      </c>
      <c r="AE527" s="311">
        <v>0.28989999999999999</v>
      </c>
      <c r="AF527" s="311">
        <v>0</v>
      </c>
      <c r="AG527" s="311">
        <v>0.25409999999999999</v>
      </c>
      <c r="AH527" s="311">
        <v>0</v>
      </c>
      <c r="AI527" s="311">
        <v>0.2802</v>
      </c>
      <c r="AJ527" s="311">
        <v>0.26950000000000002</v>
      </c>
      <c r="AK527" s="311">
        <v>0.2717</v>
      </c>
      <c r="AL527" s="311">
        <v>0.25180000000000002</v>
      </c>
      <c r="AM527" s="311">
        <v>0.32029999999999997</v>
      </c>
      <c r="AN527" s="311">
        <v>0.27610000000000001</v>
      </c>
      <c r="AO527" s="311">
        <v>0.28189999999999998</v>
      </c>
      <c r="AP527" s="311">
        <v>0.3246</v>
      </c>
      <c r="AQ527" s="311">
        <v>0.218</v>
      </c>
      <c r="AR527" s="311">
        <v>0.26279999999999998</v>
      </c>
      <c r="AS527" s="311">
        <v>0</v>
      </c>
      <c r="AT527" s="311">
        <v>0.27900000000000003</v>
      </c>
      <c r="AU527" s="311">
        <v>0.3261</v>
      </c>
      <c r="AV527" s="311">
        <v>0.32479999999999998</v>
      </c>
      <c r="AW527" s="311">
        <v>0.28489999999999999</v>
      </c>
      <c r="AX527" s="311">
        <v>0</v>
      </c>
      <c r="AY527" s="311">
        <v>0.2923</v>
      </c>
      <c r="AZ527" s="311">
        <v>0.28989999999999999</v>
      </c>
      <c r="BA527" s="311">
        <v>0.249</v>
      </c>
      <c r="BB527" s="311">
        <v>0.2414</v>
      </c>
      <c r="BC527" s="311">
        <v>0.3054</v>
      </c>
      <c r="BD527" s="311">
        <v>0.3236</v>
      </c>
      <c r="BE527" s="311">
        <v>0.3377</v>
      </c>
      <c r="BF527" s="311">
        <v>0.30220000000000002</v>
      </c>
      <c r="BG527" s="311">
        <v>0.31950000000000001</v>
      </c>
      <c r="BH527" s="311">
        <v>0.29599999999999999</v>
      </c>
      <c r="BI527" s="311">
        <v>0.32990000000000003</v>
      </c>
      <c r="BJ527" s="311">
        <v>0.32990000000000003</v>
      </c>
      <c r="BK527" s="311">
        <v>0.31480000000000002</v>
      </c>
    </row>
    <row r="528" spans="1:63" x14ac:dyDescent="0.25">
      <c r="A528" s="306">
        <v>325130</v>
      </c>
      <c r="B528" s="311" t="s">
        <v>104</v>
      </c>
      <c r="C528" s="311">
        <v>0.49370000000000003</v>
      </c>
      <c r="D528" s="311">
        <v>0</v>
      </c>
      <c r="E528" s="311">
        <v>0.3407</v>
      </c>
      <c r="F528" s="311">
        <v>0.33479999999999999</v>
      </c>
      <c r="G528" s="311">
        <v>0.31109999999999999</v>
      </c>
      <c r="H528" s="311">
        <v>0.38109999999999999</v>
      </c>
      <c r="I528" s="311">
        <v>0.38950000000000001</v>
      </c>
      <c r="J528" s="311">
        <v>0.35410000000000003</v>
      </c>
      <c r="K528" s="311">
        <v>0</v>
      </c>
      <c r="L528" s="311">
        <v>0.26800000000000002</v>
      </c>
      <c r="M528" s="311">
        <v>0.31119999999999998</v>
      </c>
      <c r="N528" s="311">
        <v>0.3619</v>
      </c>
      <c r="O528" s="311">
        <v>0</v>
      </c>
      <c r="P528" s="311">
        <v>0.2727</v>
      </c>
      <c r="Q528" s="311">
        <v>0.30420000000000003</v>
      </c>
      <c r="R528" s="311">
        <v>0.4113</v>
      </c>
      <c r="S528" s="311">
        <v>0.3463</v>
      </c>
      <c r="T528" s="311">
        <v>0.29770000000000002</v>
      </c>
      <c r="U528" s="311">
        <v>0.32200000000000001</v>
      </c>
      <c r="V528" s="311">
        <v>0.35820000000000002</v>
      </c>
      <c r="W528" s="311">
        <v>0.35639999999999999</v>
      </c>
      <c r="X528" s="311">
        <v>0.30359999999999998</v>
      </c>
      <c r="Y528" s="311">
        <v>0</v>
      </c>
      <c r="Z528" s="311">
        <v>0.38619999999999999</v>
      </c>
      <c r="AA528" s="311">
        <v>0.36330000000000001</v>
      </c>
      <c r="AB528" s="311">
        <v>0.35170000000000001</v>
      </c>
      <c r="AC528" s="311">
        <v>0.2898</v>
      </c>
      <c r="AD528" s="311">
        <v>0</v>
      </c>
      <c r="AE528" s="311">
        <v>0.36809999999999998</v>
      </c>
      <c r="AF528" s="311">
        <v>0</v>
      </c>
      <c r="AG528" s="311">
        <v>0</v>
      </c>
      <c r="AH528" s="311">
        <v>0.29480000000000001</v>
      </c>
      <c r="AI528" s="311">
        <v>0.37009999999999998</v>
      </c>
      <c r="AJ528" s="311">
        <v>0</v>
      </c>
      <c r="AK528" s="311">
        <v>0</v>
      </c>
      <c r="AL528" s="311">
        <v>0.29870000000000002</v>
      </c>
      <c r="AM528" s="311">
        <v>0.40100000000000002</v>
      </c>
      <c r="AN528" s="311">
        <v>0.31490000000000001</v>
      </c>
      <c r="AO528" s="311">
        <v>0.34079999999999999</v>
      </c>
      <c r="AP528" s="311">
        <v>0.39900000000000002</v>
      </c>
      <c r="AQ528" s="311">
        <v>0.28760000000000002</v>
      </c>
      <c r="AR528" s="311">
        <v>0.32719999999999999</v>
      </c>
      <c r="AS528" s="311">
        <v>0</v>
      </c>
      <c r="AT528" s="311">
        <v>0.33800000000000002</v>
      </c>
      <c r="AU528" s="311">
        <v>0.39829999999999999</v>
      </c>
      <c r="AV528" s="311">
        <v>0</v>
      </c>
      <c r="AW528" s="311">
        <v>0.35239999999999999</v>
      </c>
      <c r="AX528" s="311">
        <v>0</v>
      </c>
      <c r="AY528" s="311">
        <v>0.34210000000000002</v>
      </c>
      <c r="AZ528" s="311">
        <v>0.3533</v>
      </c>
      <c r="BA528" s="311">
        <v>0.28870000000000001</v>
      </c>
      <c r="BB528" s="311">
        <v>0</v>
      </c>
      <c r="BC528" s="311">
        <v>0.3861</v>
      </c>
      <c r="BD528" s="311">
        <v>0.40629999999999999</v>
      </c>
      <c r="BE528" s="311">
        <v>0.42199999999999999</v>
      </c>
      <c r="BF528" s="311">
        <v>0.36520000000000002</v>
      </c>
      <c r="BG528" s="311">
        <v>0.38669999999999999</v>
      </c>
      <c r="BH528" s="311">
        <v>0.35949999999999999</v>
      </c>
      <c r="BI528" s="311">
        <v>0.40239999999999998</v>
      </c>
      <c r="BJ528" s="311">
        <v>0.37459999999999999</v>
      </c>
      <c r="BK528" s="311">
        <v>0.3841</v>
      </c>
    </row>
    <row r="529" spans="1:63" x14ac:dyDescent="0.25">
      <c r="A529" s="306">
        <v>325181</v>
      </c>
      <c r="B529" s="311" t="s">
        <v>105</v>
      </c>
      <c r="C529" s="311">
        <v>0.52180000000000004</v>
      </c>
      <c r="D529" s="311">
        <v>0</v>
      </c>
      <c r="E529" s="311">
        <v>0.35720000000000002</v>
      </c>
      <c r="F529" s="311">
        <v>0</v>
      </c>
      <c r="G529" s="311">
        <v>0</v>
      </c>
      <c r="H529" s="311">
        <v>0.40960000000000002</v>
      </c>
      <c r="I529" s="311">
        <v>0.43569999999999998</v>
      </c>
      <c r="J529" s="311">
        <v>0</v>
      </c>
      <c r="K529" s="311">
        <v>0</v>
      </c>
      <c r="L529" s="311">
        <v>0.27679999999999999</v>
      </c>
      <c r="M529" s="311">
        <v>0.33400000000000002</v>
      </c>
      <c r="N529" s="311">
        <v>0.38329999999999997</v>
      </c>
      <c r="O529" s="311">
        <v>0</v>
      </c>
      <c r="P529" s="311">
        <v>0.2959</v>
      </c>
      <c r="Q529" s="311">
        <v>0</v>
      </c>
      <c r="R529" s="311">
        <v>0.43609999999999999</v>
      </c>
      <c r="S529" s="311">
        <v>0</v>
      </c>
      <c r="T529" s="311">
        <v>0.33229999999999998</v>
      </c>
      <c r="U529" s="311">
        <v>0</v>
      </c>
      <c r="V529" s="311">
        <v>0.3846</v>
      </c>
      <c r="W529" s="311">
        <v>0</v>
      </c>
      <c r="X529" s="311">
        <v>0.32619999999999999</v>
      </c>
      <c r="Y529" s="311">
        <v>0</v>
      </c>
      <c r="Z529" s="311">
        <v>0.42480000000000001</v>
      </c>
      <c r="AA529" s="311">
        <v>0</v>
      </c>
      <c r="AB529" s="311">
        <v>0</v>
      </c>
      <c r="AC529" s="311">
        <v>0.3271</v>
      </c>
      <c r="AD529" s="311">
        <v>0</v>
      </c>
      <c r="AE529" s="311">
        <v>0</v>
      </c>
      <c r="AF529" s="311">
        <v>0</v>
      </c>
      <c r="AG529" s="311">
        <v>0</v>
      </c>
      <c r="AH529" s="311">
        <v>0</v>
      </c>
      <c r="AI529" s="311">
        <v>0.37409999999999999</v>
      </c>
      <c r="AJ529" s="311">
        <v>0</v>
      </c>
      <c r="AK529" s="311">
        <v>0.34210000000000002</v>
      </c>
      <c r="AL529" s="311">
        <v>0.33650000000000002</v>
      </c>
      <c r="AM529" s="311">
        <v>0.42359999999999998</v>
      </c>
      <c r="AN529" s="311">
        <v>0.35959999999999998</v>
      </c>
      <c r="AO529" s="311">
        <v>0</v>
      </c>
      <c r="AP529" s="311">
        <v>0.43609999999999999</v>
      </c>
      <c r="AQ529" s="311">
        <v>0</v>
      </c>
      <c r="AR529" s="311">
        <v>0</v>
      </c>
      <c r="AS529" s="311">
        <v>0</v>
      </c>
      <c r="AT529" s="311">
        <v>0.36580000000000001</v>
      </c>
      <c r="AU529" s="311">
        <v>0.42399999999999999</v>
      </c>
      <c r="AV529" s="311">
        <v>0.41599999999999998</v>
      </c>
      <c r="AW529" s="311">
        <v>0.37709999999999999</v>
      </c>
      <c r="AX529" s="311">
        <v>0</v>
      </c>
      <c r="AY529" s="311">
        <v>0.37359999999999999</v>
      </c>
      <c r="AZ529" s="311">
        <v>0.37759999999999999</v>
      </c>
      <c r="BA529" s="311">
        <v>0.31309999999999999</v>
      </c>
      <c r="BB529" s="311">
        <v>0.309</v>
      </c>
      <c r="BC529" s="311">
        <v>0</v>
      </c>
      <c r="BD529" s="311">
        <v>0.42749999999999999</v>
      </c>
      <c r="BE529" s="311">
        <v>0.44400000000000001</v>
      </c>
      <c r="BF529" s="311">
        <v>0.39550000000000002</v>
      </c>
      <c r="BG529" s="311">
        <v>0.4118</v>
      </c>
      <c r="BH529" s="311">
        <v>0.38059999999999999</v>
      </c>
      <c r="BI529" s="311">
        <v>0.42730000000000001</v>
      </c>
      <c r="BJ529" s="311">
        <v>0.4219</v>
      </c>
      <c r="BK529" s="311">
        <v>0.41689999999999999</v>
      </c>
    </row>
    <row r="530" spans="1:63" x14ac:dyDescent="0.25">
      <c r="A530" s="306">
        <v>325182</v>
      </c>
      <c r="B530" s="311" t="s">
        <v>106</v>
      </c>
      <c r="C530" s="311">
        <v>0.39019999999999999</v>
      </c>
      <c r="D530" s="311">
        <v>0</v>
      </c>
      <c r="E530" s="311">
        <v>0.24959999999999999</v>
      </c>
      <c r="F530" s="311">
        <v>0</v>
      </c>
      <c r="G530" s="311">
        <v>0</v>
      </c>
      <c r="H530" s="311">
        <v>0</v>
      </c>
      <c r="I530" s="311">
        <v>0</v>
      </c>
      <c r="J530" s="311">
        <v>0</v>
      </c>
      <c r="K530" s="311">
        <v>0</v>
      </c>
      <c r="L530" s="311">
        <v>0</v>
      </c>
      <c r="M530" s="311">
        <v>0</v>
      </c>
      <c r="N530" s="311">
        <v>0.25319999999999998</v>
      </c>
      <c r="O530" s="311">
        <v>0</v>
      </c>
      <c r="P530" s="311">
        <v>0</v>
      </c>
      <c r="Q530" s="311">
        <v>0</v>
      </c>
      <c r="R530" s="311">
        <v>0</v>
      </c>
      <c r="S530" s="311">
        <v>0</v>
      </c>
      <c r="T530" s="311">
        <v>0.25540000000000002</v>
      </c>
      <c r="U530" s="311">
        <v>0.2419</v>
      </c>
      <c r="V530" s="311">
        <v>0.30020000000000002</v>
      </c>
      <c r="W530" s="311">
        <v>0</v>
      </c>
      <c r="X530" s="311">
        <v>0</v>
      </c>
      <c r="Y530" s="311">
        <v>0</v>
      </c>
      <c r="Z530" s="311">
        <v>0</v>
      </c>
      <c r="AA530" s="311">
        <v>0</v>
      </c>
      <c r="AB530" s="311">
        <v>0</v>
      </c>
      <c r="AC530" s="311">
        <v>0</v>
      </c>
      <c r="AD530" s="311">
        <v>0</v>
      </c>
      <c r="AE530" s="311">
        <v>0.25280000000000002</v>
      </c>
      <c r="AF530" s="311">
        <v>0</v>
      </c>
      <c r="AG530" s="311">
        <v>0</v>
      </c>
      <c r="AH530" s="311">
        <v>0</v>
      </c>
      <c r="AI530" s="311">
        <v>0</v>
      </c>
      <c r="AJ530" s="311">
        <v>0</v>
      </c>
      <c r="AK530" s="311">
        <v>0</v>
      </c>
      <c r="AL530" s="311">
        <v>0</v>
      </c>
      <c r="AM530" s="311">
        <v>0.28499999999999998</v>
      </c>
      <c r="AN530" s="311">
        <v>0.29409999999999997</v>
      </c>
      <c r="AO530" s="311">
        <v>0</v>
      </c>
      <c r="AP530" s="311">
        <v>0</v>
      </c>
      <c r="AQ530" s="311">
        <v>0</v>
      </c>
      <c r="AR530" s="311">
        <v>0</v>
      </c>
      <c r="AS530" s="311">
        <v>0</v>
      </c>
      <c r="AT530" s="311">
        <v>0</v>
      </c>
      <c r="AU530" s="311">
        <v>0.3306</v>
      </c>
      <c r="AV530" s="311">
        <v>0</v>
      </c>
      <c r="AW530" s="311">
        <v>0</v>
      </c>
      <c r="AX530" s="311">
        <v>0</v>
      </c>
      <c r="AY530" s="311">
        <v>0</v>
      </c>
      <c r="AZ530" s="311">
        <v>0</v>
      </c>
      <c r="BA530" s="311">
        <v>0.23089999999999999</v>
      </c>
      <c r="BB530" s="311">
        <v>0</v>
      </c>
      <c r="BC530" s="311">
        <v>0</v>
      </c>
      <c r="BD530" s="311">
        <v>0</v>
      </c>
      <c r="BE530" s="311">
        <v>0.2999</v>
      </c>
      <c r="BF530" s="311">
        <v>0.27229999999999999</v>
      </c>
      <c r="BG530" s="311">
        <v>0.27300000000000002</v>
      </c>
      <c r="BH530" s="311">
        <v>0.2671</v>
      </c>
      <c r="BI530" s="311">
        <v>0.3322</v>
      </c>
      <c r="BJ530" s="311">
        <v>0</v>
      </c>
      <c r="BK530" s="311">
        <v>0</v>
      </c>
    </row>
    <row r="531" spans="1:63" x14ac:dyDescent="0.25">
      <c r="A531" s="306">
        <v>325188</v>
      </c>
      <c r="B531" s="311" t="s">
        <v>107</v>
      </c>
      <c r="C531" s="311">
        <v>0.5534</v>
      </c>
      <c r="D531" s="311">
        <v>0</v>
      </c>
      <c r="E531" s="311">
        <v>0.41889999999999999</v>
      </c>
      <c r="F531" s="311">
        <v>0.3931</v>
      </c>
      <c r="G531" s="311">
        <v>0.41639999999999999</v>
      </c>
      <c r="H531" s="311">
        <v>0.44290000000000002</v>
      </c>
      <c r="I531" s="311">
        <v>0.45440000000000003</v>
      </c>
      <c r="J531" s="311">
        <v>0.39910000000000001</v>
      </c>
      <c r="K531" s="311">
        <v>0</v>
      </c>
      <c r="L531" s="311">
        <v>0.28889999999999999</v>
      </c>
      <c r="M531" s="311">
        <v>0.40039999999999998</v>
      </c>
      <c r="N531" s="311">
        <v>0.43120000000000003</v>
      </c>
      <c r="O531" s="311">
        <v>0.36730000000000002</v>
      </c>
      <c r="P531" s="311">
        <v>0.36159999999999998</v>
      </c>
      <c r="Q531" s="311">
        <v>0.37580000000000002</v>
      </c>
      <c r="R531" s="311">
        <v>0.45</v>
      </c>
      <c r="S531" s="311">
        <v>0.42520000000000002</v>
      </c>
      <c r="T531" s="311">
        <v>0.36599999999999999</v>
      </c>
      <c r="U531" s="311">
        <v>0.38490000000000002</v>
      </c>
      <c r="V531" s="311">
        <v>0.44550000000000001</v>
      </c>
      <c r="W531" s="311">
        <v>0.40010000000000001</v>
      </c>
      <c r="X531" s="311">
        <v>0.38059999999999999</v>
      </c>
      <c r="Y531" s="311">
        <v>0.38440000000000002</v>
      </c>
      <c r="Z531" s="311">
        <v>0.45319999999999999</v>
      </c>
      <c r="AA531" s="311">
        <v>0</v>
      </c>
      <c r="AB531" s="311">
        <v>0.4017</v>
      </c>
      <c r="AC531" s="311">
        <v>0.36959999999999998</v>
      </c>
      <c r="AD531" s="311">
        <v>0.3846</v>
      </c>
      <c r="AE531" s="311">
        <v>0.42380000000000001</v>
      </c>
      <c r="AF531" s="311">
        <v>0</v>
      </c>
      <c r="AG531" s="311">
        <v>0.36559999999999998</v>
      </c>
      <c r="AH531" s="311">
        <v>0</v>
      </c>
      <c r="AI531" s="311">
        <v>0.4027</v>
      </c>
      <c r="AJ531" s="311">
        <v>0.39889999999999998</v>
      </c>
      <c r="AK531" s="311">
        <v>0.39290000000000003</v>
      </c>
      <c r="AL531" s="311">
        <v>0.35289999999999999</v>
      </c>
      <c r="AM531" s="311">
        <v>0.45579999999999998</v>
      </c>
      <c r="AN531" s="311">
        <v>0.42420000000000002</v>
      </c>
      <c r="AO531" s="311">
        <v>0.40460000000000002</v>
      </c>
      <c r="AP531" s="311">
        <v>0.45350000000000001</v>
      </c>
      <c r="AQ531" s="311">
        <v>0.34279999999999999</v>
      </c>
      <c r="AR531" s="311">
        <v>0.41149999999999998</v>
      </c>
      <c r="AS531" s="311">
        <v>0</v>
      </c>
      <c r="AT531" s="311">
        <v>0.41959999999999997</v>
      </c>
      <c r="AU531" s="311">
        <v>0.47549999999999998</v>
      </c>
      <c r="AV531" s="311">
        <v>0.46010000000000001</v>
      </c>
      <c r="AW531" s="311">
        <v>0.39750000000000002</v>
      </c>
      <c r="AX531" s="311">
        <v>0</v>
      </c>
      <c r="AY531" s="311">
        <v>0.41720000000000002</v>
      </c>
      <c r="AZ531" s="311">
        <v>0.42080000000000001</v>
      </c>
      <c r="BA531" s="311">
        <v>0.36770000000000003</v>
      </c>
      <c r="BB531" s="311">
        <v>0.37080000000000002</v>
      </c>
      <c r="BC531" s="311">
        <v>0.43459999999999999</v>
      </c>
      <c r="BD531" s="311">
        <v>0.45200000000000001</v>
      </c>
      <c r="BE531" s="311">
        <v>0.47870000000000001</v>
      </c>
      <c r="BF531" s="311">
        <v>0.43509999999999999</v>
      </c>
      <c r="BG531" s="311">
        <v>0.45079999999999998</v>
      </c>
      <c r="BH531" s="311">
        <v>0.43409999999999999</v>
      </c>
      <c r="BI531" s="311">
        <v>0.47989999999999999</v>
      </c>
      <c r="BJ531" s="311">
        <v>0.46189999999999998</v>
      </c>
      <c r="BK531" s="311">
        <v>0.45169999999999999</v>
      </c>
    </row>
    <row r="532" spans="1:63" x14ac:dyDescent="0.25">
      <c r="A532" s="306">
        <v>325190</v>
      </c>
      <c r="B532" s="311" t="s">
        <v>108</v>
      </c>
      <c r="C532" s="311">
        <v>0.48699999999999999</v>
      </c>
      <c r="D532" s="311">
        <v>0</v>
      </c>
      <c r="E532" s="311">
        <v>0.33400000000000002</v>
      </c>
      <c r="F532" s="311">
        <v>0.30409999999999998</v>
      </c>
      <c r="G532" s="311">
        <v>0.25559999999999999</v>
      </c>
      <c r="H532" s="311">
        <v>0.33</v>
      </c>
      <c r="I532" s="311">
        <v>0.32319999999999999</v>
      </c>
      <c r="J532" s="311">
        <v>0.29210000000000003</v>
      </c>
      <c r="K532" s="311">
        <v>0</v>
      </c>
      <c r="L532" s="311">
        <v>0.24329999999999999</v>
      </c>
      <c r="M532" s="311">
        <v>0.25769999999999998</v>
      </c>
      <c r="N532" s="311">
        <v>0.31109999999999999</v>
      </c>
      <c r="O532" s="311">
        <v>0</v>
      </c>
      <c r="P532" s="311">
        <v>0.24340000000000001</v>
      </c>
      <c r="Q532" s="311">
        <v>0.2437</v>
      </c>
      <c r="R532" s="311">
        <v>0.36320000000000002</v>
      </c>
      <c r="S532" s="311">
        <v>0.32350000000000001</v>
      </c>
      <c r="T532" s="311">
        <v>0.2848</v>
      </c>
      <c r="U532" s="311">
        <v>0.3</v>
      </c>
      <c r="V532" s="311">
        <v>0.3644</v>
      </c>
      <c r="W532" s="311">
        <v>0.28310000000000002</v>
      </c>
      <c r="X532" s="311">
        <v>0.23799999999999999</v>
      </c>
      <c r="Y532" s="311">
        <v>0.2442</v>
      </c>
      <c r="Z532" s="311">
        <v>0.31619999999999998</v>
      </c>
      <c r="AA532" s="311">
        <v>0.315</v>
      </c>
      <c r="AB532" s="311">
        <v>0.32040000000000002</v>
      </c>
      <c r="AC532" s="311">
        <v>0.26869999999999999</v>
      </c>
      <c r="AD532" s="311">
        <v>0.2722</v>
      </c>
      <c r="AE532" s="311">
        <v>0.31130000000000002</v>
      </c>
      <c r="AF532" s="311">
        <v>0.23130000000000001</v>
      </c>
      <c r="AG532" s="311">
        <v>0.25419999999999998</v>
      </c>
      <c r="AH532" s="311">
        <v>0</v>
      </c>
      <c r="AI532" s="311">
        <v>0.33789999999999998</v>
      </c>
      <c r="AJ532" s="311">
        <v>0.26150000000000001</v>
      </c>
      <c r="AK532" s="311">
        <v>0.2472</v>
      </c>
      <c r="AL532" s="311">
        <v>0.23330000000000001</v>
      </c>
      <c r="AM532" s="311">
        <v>0.36409999999999998</v>
      </c>
      <c r="AN532" s="311">
        <v>0.29110000000000003</v>
      </c>
      <c r="AO532" s="311">
        <v>0.28189999999999998</v>
      </c>
      <c r="AP532" s="311">
        <v>0.34649999999999997</v>
      </c>
      <c r="AQ532" s="311">
        <v>0.2298</v>
      </c>
      <c r="AR532" s="311">
        <v>0.309</v>
      </c>
      <c r="AS532" s="311">
        <v>0.21879999999999999</v>
      </c>
      <c r="AT532" s="311">
        <v>0.2888</v>
      </c>
      <c r="AU532" s="311">
        <v>0.40649999999999997</v>
      </c>
      <c r="AV532" s="311">
        <v>0</v>
      </c>
      <c r="AW532" s="311">
        <v>0.29339999999999999</v>
      </c>
      <c r="AX532" s="311">
        <v>0</v>
      </c>
      <c r="AY532" s="311">
        <v>0.29210000000000003</v>
      </c>
      <c r="AZ532" s="311">
        <v>0.30220000000000002</v>
      </c>
      <c r="BA532" s="311">
        <v>0.28949999999999998</v>
      </c>
      <c r="BB532" s="311">
        <v>0.25609999999999999</v>
      </c>
      <c r="BC532" s="311">
        <v>0.31069999999999998</v>
      </c>
      <c r="BD532" s="311">
        <v>0.34460000000000002</v>
      </c>
      <c r="BE532" s="311">
        <v>0.379</v>
      </c>
      <c r="BF532" s="311">
        <v>0.32729999999999998</v>
      </c>
      <c r="BG532" s="311">
        <v>0.33019999999999999</v>
      </c>
      <c r="BH532" s="311">
        <v>0.34820000000000001</v>
      </c>
      <c r="BI532" s="311">
        <v>0.41149999999999998</v>
      </c>
      <c r="BJ532" s="311">
        <v>0.3236</v>
      </c>
      <c r="BK532" s="311">
        <v>0.33339999999999997</v>
      </c>
    </row>
    <row r="533" spans="1:63" x14ac:dyDescent="0.25">
      <c r="A533" s="306">
        <v>325211</v>
      </c>
      <c r="B533" s="311" t="s">
        <v>2</v>
      </c>
      <c r="C533" s="311">
        <v>0.47370000000000001</v>
      </c>
      <c r="D533" s="311">
        <v>0.19670000000000001</v>
      </c>
      <c r="E533" s="311">
        <v>0.32169999999999999</v>
      </c>
      <c r="F533" s="311">
        <v>0.29399999999999998</v>
      </c>
      <c r="G533" s="311">
        <v>0.22509999999999999</v>
      </c>
      <c r="H533" s="311">
        <v>0.29630000000000001</v>
      </c>
      <c r="I533" s="311">
        <v>0.29260000000000003</v>
      </c>
      <c r="J533" s="311">
        <v>0.29199999999999998</v>
      </c>
      <c r="K533" s="311">
        <v>0</v>
      </c>
      <c r="L533" s="311">
        <v>0.24890000000000001</v>
      </c>
      <c r="M533" s="311">
        <v>0.23580000000000001</v>
      </c>
      <c r="N533" s="311">
        <v>0.30099999999999999</v>
      </c>
      <c r="O533" s="311">
        <v>0</v>
      </c>
      <c r="P533" s="311">
        <v>0.23649999999999999</v>
      </c>
      <c r="Q533" s="311">
        <v>0.22140000000000001</v>
      </c>
      <c r="R533" s="311">
        <v>0.36259999999999998</v>
      </c>
      <c r="S533" s="311">
        <v>0.31459999999999999</v>
      </c>
      <c r="T533" s="311">
        <v>0.26429999999999998</v>
      </c>
      <c r="U533" s="311">
        <v>0.2908</v>
      </c>
      <c r="V533" s="311">
        <v>0.34660000000000002</v>
      </c>
      <c r="W533" s="311">
        <v>0.27550000000000002</v>
      </c>
      <c r="X533" s="311">
        <v>0.219</v>
      </c>
      <c r="Y533" s="311">
        <v>0.2223</v>
      </c>
      <c r="Z533" s="311">
        <v>0.3</v>
      </c>
      <c r="AA533" s="311">
        <v>0.30359999999999998</v>
      </c>
      <c r="AB533" s="311">
        <v>0.31869999999999998</v>
      </c>
      <c r="AC533" s="311">
        <v>0.24829999999999999</v>
      </c>
      <c r="AD533" s="311">
        <v>0.24560000000000001</v>
      </c>
      <c r="AE533" s="311">
        <v>0.30640000000000001</v>
      </c>
      <c r="AF533" s="311">
        <v>0</v>
      </c>
      <c r="AG533" s="311">
        <v>0.24940000000000001</v>
      </c>
      <c r="AH533" s="311">
        <v>0.2132</v>
      </c>
      <c r="AI533" s="311">
        <v>0.3357</v>
      </c>
      <c r="AJ533" s="311">
        <v>0.22739999999999999</v>
      </c>
      <c r="AK533" s="311">
        <v>0.22620000000000001</v>
      </c>
      <c r="AL533" s="311">
        <v>0.2195</v>
      </c>
      <c r="AM533" s="311">
        <v>0.36299999999999999</v>
      </c>
      <c r="AN533" s="311">
        <v>0.2462</v>
      </c>
      <c r="AO533" s="311">
        <v>0.26269999999999999</v>
      </c>
      <c r="AP533" s="311">
        <v>0.32890000000000003</v>
      </c>
      <c r="AQ533" s="311">
        <v>0.22059999999999999</v>
      </c>
      <c r="AR533" s="311">
        <v>0.30149999999999999</v>
      </c>
      <c r="AS533" s="311">
        <v>0.20799999999999999</v>
      </c>
      <c r="AT533" s="311">
        <v>0.2702</v>
      </c>
      <c r="AU533" s="311">
        <v>0.3846</v>
      </c>
      <c r="AV533" s="311">
        <v>0.28470000000000001</v>
      </c>
      <c r="AW533" s="311">
        <v>0.28949999999999998</v>
      </c>
      <c r="AX533" s="311">
        <v>0.1719</v>
      </c>
      <c r="AY533" s="311">
        <v>0.2651</v>
      </c>
      <c r="AZ533" s="311">
        <v>0.29649999999999999</v>
      </c>
      <c r="BA533" s="311">
        <v>0.27689999999999998</v>
      </c>
      <c r="BB533" s="311">
        <v>0</v>
      </c>
      <c r="BC533" s="311">
        <v>0.30299999999999999</v>
      </c>
      <c r="BD533" s="311">
        <v>0.33889999999999998</v>
      </c>
      <c r="BE533" s="311">
        <v>0.37769999999999998</v>
      </c>
      <c r="BF533" s="311">
        <v>0.31830000000000003</v>
      </c>
      <c r="BG533" s="311">
        <v>0.32240000000000002</v>
      </c>
      <c r="BH533" s="311">
        <v>0.33689999999999998</v>
      </c>
      <c r="BI533" s="311">
        <v>0.38850000000000001</v>
      </c>
      <c r="BJ533" s="311">
        <v>0.28599999999999998</v>
      </c>
      <c r="BK533" s="311">
        <v>0.29870000000000002</v>
      </c>
    </row>
    <row r="534" spans="1:63" x14ac:dyDescent="0.25">
      <c r="A534" s="306">
        <v>325212</v>
      </c>
      <c r="B534" s="311" t="s">
        <v>109</v>
      </c>
      <c r="C534" s="311">
        <v>0.46860000000000002</v>
      </c>
      <c r="D534" s="311">
        <v>0</v>
      </c>
      <c r="E534" s="311">
        <v>0.31469999999999998</v>
      </c>
      <c r="F534" s="311">
        <v>0</v>
      </c>
      <c r="G534" s="311">
        <v>0.2525</v>
      </c>
      <c r="H534" s="311">
        <v>0.3246</v>
      </c>
      <c r="I534" s="311">
        <v>0</v>
      </c>
      <c r="J534" s="311">
        <v>0.29770000000000002</v>
      </c>
      <c r="K534" s="311">
        <v>0</v>
      </c>
      <c r="L534" s="311">
        <v>0.24829999999999999</v>
      </c>
      <c r="M534" s="311">
        <v>0.2576</v>
      </c>
      <c r="N534" s="311">
        <v>0.3085</v>
      </c>
      <c r="O534" s="311">
        <v>0</v>
      </c>
      <c r="P534" s="311">
        <v>0</v>
      </c>
      <c r="Q534" s="311">
        <v>0</v>
      </c>
      <c r="R534" s="311">
        <v>0.35720000000000002</v>
      </c>
      <c r="S534" s="311">
        <v>0.30170000000000002</v>
      </c>
      <c r="T534" s="311">
        <v>0</v>
      </c>
      <c r="U534" s="311">
        <v>0.2833</v>
      </c>
      <c r="V534" s="311">
        <v>0.35120000000000001</v>
      </c>
      <c r="W534" s="311">
        <v>0.29380000000000001</v>
      </c>
      <c r="X534" s="311">
        <v>0.24229999999999999</v>
      </c>
      <c r="Y534" s="311">
        <v>0.24410000000000001</v>
      </c>
      <c r="Z534" s="311">
        <v>0.31730000000000003</v>
      </c>
      <c r="AA534" s="311">
        <v>0.31080000000000002</v>
      </c>
      <c r="AB534" s="311">
        <v>0</v>
      </c>
      <c r="AC534" s="311">
        <v>0.26040000000000002</v>
      </c>
      <c r="AD534" s="311">
        <v>0</v>
      </c>
      <c r="AE534" s="311">
        <v>0.31440000000000001</v>
      </c>
      <c r="AF534" s="311">
        <v>0</v>
      </c>
      <c r="AG534" s="311">
        <v>0</v>
      </c>
      <c r="AH534" s="311">
        <v>0.2334</v>
      </c>
      <c r="AI534" s="311">
        <v>0.34229999999999999</v>
      </c>
      <c r="AJ534" s="311">
        <v>0.25109999999999999</v>
      </c>
      <c r="AK534" s="311">
        <v>0</v>
      </c>
      <c r="AL534" s="311">
        <v>0.24210000000000001</v>
      </c>
      <c r="AM534" s="311">
        <v>0.35310000000000002</v>
      </c>
      <c r="AN534" s="311">
        <v>0.26879999999999998</v>
      </c>
      <c r="AO534" s="311">
        <v>0.27600000000000002</v>
      </c>
      <c r="AP534" s="311">
        <v>0.34439999999999998</v>
      </c>
      <c r="AQ534" s="311">
        <v>0.23619999999999999</v>
      </c>
      <c r="AR534" s="311">
        <v>0.29449999999999998</v>
      </c>
      <c r="AS534" s="311">
        <v>0</v>
      </c>
      <c r="AT534" s="311">
        <v>0.28220000000000001</v>
      </c>
      <c r="AU534" s="311">
        <v>0.38540000000000002</v>
      </c>
      <c r="AV534" s="311">
        <v>0.31540000000000001</v>
      </c>
      <c r="AW534" s="311">
        <v>0.2999</v>
      </c>
      <c r="AX534" s="311">
        <v>0</v>
      </c>
      <c r="AY534" s="311">
        <v>0.28849999999999998</v>
      </c>
      <c r="AZ534" s="311">
        <v>0.29399999999999998</v>
      </c>
      <c r="BA534" s="311">
        <v>0</v>
      </c>
      <c r="BB534" s="311">
        <v>0</v>
      </c>
      <c r="BC534" s="311">
        <v>0.31830000000000003</v>
      </c>
      <c r="BD534" s="311">
        <v>0.34689999999999999</v>
      </c>
      <c r="BE534" s="311">
        <v>0.36649999999999999</v>
      </c>
      <c r="BF534" s="311">
        <v>0.31580000000000003</v>
      </c>
      <c r="BG534" s="311">
        <v>0.3327</v>
      </c>
      <c r="BH534" s="311">
        <v>0.32769999999999999</v>
      </c>
      <c r="BI534" s="311">
        <v>0.38829999999999998</v>
      </c>
      <c r="BJ534" s="311">
        <v>0.3125</v>
      </c>
      <c r="BK534" s="311">
        <v>0.32640000000000002</v>
      </c>
    </row>
    <row r="535" spans="1:63" x14ac:dyDescent="0.25">
      <c r="A535" s="306">
        <v>325220</v>
      </c>
      <c r="B535" s="311" t="s">
        <v>110</v>
      </c>
      <c r="C535" s="311">
        <v>0.52190000000000003</v>
      </c>
      <c r="D535" s="311">
        <v>0</v>
      </c>
      <c r="E535" s="311">
        <v>0.37240000000000001</v>
      </c>
      <c r="F535" s="311">
        <v>0.33989999999999998</v>
      </c>
      <c r="G535" s="311">
        <v>0.29270000000000002</v>
      </c>
      <c r="H535" s="311">
        <v>0.35649999999999998</v>
      </c>
      <c r="I535" s="311">
        <v>0.35620000000000002</v>
      </c>
      <c r="J535" s="311">
        <v>0.3629</v>
      </c>
      <c r="K535" s="311">
        <v>0</v>
      </c>
      <c r="L535" s="311">
        <v>0.28949999999999998</v>
      </c>
      <c r="M535" s="311">
        <v>0.29899999999999999</v>
      </c>
      <c r="N535" s="311">
        <v>0.36399999999999999</v>
      </c>
      <c r="O535" s="311">
        <v>0.28539999999999999</v>
      </c>
      <c r="P535" s="311">
        <v>0.28760000000000002</v>
      </c>
      <c r="Q535" s="311">
        <v>0</v>
      </c>
      <c r="R535" s="311">
        <v>0.4214</v>
      </c>
      <c r="S535" s="311">
        <v>0</v>
      </c>
      <c r="T535" s="311">
        <v>0.29239999999999999</v>
      </c>
      <c r="U535" s="311">
        <v>0</v>
      </c>
      <c r="V535" s="311">
        <v>0</v>
      </c>
      <c r="W535" s="311">
        <v>0.36349999999999999</v>
      </c>
      <c r="X535" s="311">
        <v>0.28100000000000003</v>
      </c>
      <c r="Y535" s="311">
        <v>0</v>
      </c>
      <c r="Z535" s="311">
        <v>0.38879999999999998</v>
      </c>
      <c r="AA535" s="311">
        <v>0</v>
      </c>
      <c r="AB535" s="311">
        <v>0</v>
      </c>
      <c r="AC535" s="311">
        <v>0.3024</v>
      </c>
      <c r="AD535" s="311">
        <v>0</v>
      </c>
      <c r="AE535" s="311">
        <v>0.37530000000000002</v>
      </c>
      <c r="AF535" s="311">
        <v>0</v>
      </c>
      <c r="AG535" s="311">
        <v>0</v>
      </c>
      <c r="AH535" s="311">
        <v>0.27679999999999999</v>
      </c>
      <c r="AI535" s="311">
        <v>0.37609999999999999</v>
      </c>
      <c r="AJ535" s="311">
        <v>0.27139999999999997</v>
      </c>
      <c r="AK535" s="311">
        <v>0</v>
      </c>
      <c r="AL535" s="311">
        <v>0.28420000000000001</v>
      </c>
      <c r="AM535" s="311">
        <v>0.42009999999999997</v>
      </c>
      <c r="AN535" s="311">
        <v>0</v>
      </c>
      <c r="AO535" s="311">
        <v>0.32869999999999999</v>
      </c>
      <c r="AP535" s="311">
        <v>0.4002</v>
      </c>
      <c r="AQ535" s="311">
        <v>0</v>
      </c>
      <c r="AR535" s="311">
        <v>0.3543</v>
      </c>
      <c r="AS535" s="311">
        <v>0</v>
      </c>
      <c r="AT535" s="311">
        <v>0.34100000000000003</v>
      </c>
      <c r="AU535" s="311">
        <v>0.42099999999999999</v>
      </c>
      <c r="AV535" s="311">
        <v>0.34599999999999997</v>
      </c>
      <c r="AW535" s="311">
        <v>0.35510000000000003</v>
      </c>
      <c r="AX535" s="311">
        <v>0.2235</v>
      </c>
      <c r="AY535" s="311">
        <v>0</v>
      </c>
      <c r="AZ535" s="311">
        <v>0</v>
      </c>
      <c r="BA535" s="311">
        <v>0</v>
      </c>
      <c r="BB535" s="311">
        <v>0</v>
      </c>
      <c r="BC535" s="311">
        <v>0.39129999999999998</v>
      </c>
      <c r="BD535" s="311">
        <v>0.40229999999999999</v>
      </c>
      <c r="BE535" s="311">
        <v>0.44009999999999999</v>
      </c>
      <c r="BF535" s="311">
        <v>0.36870000000000003</v>
      </c>
      <c r="BG535" s="311">
        <v>0.3947</v>
      </c>
      <c r="BH535" s="311">
        <v>0.38240000000000002</v>
      </c>
      <c r="BI535" s="311">
        <v>0.42659999999999998</v>
      </c>
      <c r="BJ535" s="311">
        <v>0.34039999999999998</v>
      </c>
      <c r="BK535" s="311">
        <v>0.35880000000000001</v>
      </c>
    </row>
    <row r="536" spans="1:63" x14ac:dyDescent="0.25">
      <c r="A536" s="306">
        <v>325310</v>
      </c>
      <c r="B536" s="311" t="s">
        <v>111</v>
      </c>
      <c r="C536" s="311">
        <v>0.49249999999999999</v>
      </c>
      <c r="D536" s="311">
        <v>0.32150000000000001</v>
      </c>
      <c r="E536" s="311">
        <v>0.34670000000000001</v>
      </c>
      <c r="F536" s="311">
        <v>0.33839999999999998</v>
      </c>
      <c r="G536" s="311">
        <v>0.31219999999999998</v>
      </c>
      <c r="H536" s="311">
        <v>0.35720000000000002</v>
      </c>
      <c r="I536" s="311">
        <v>0.37069999999999997</v>
      </c>
      <c r="J536" s="311">
        <v>0.26879999999999998</v>
      </c>
      <c r="K536" s="311">
        <v>3.6999999999999998E-2</v>
      </c>
      <c r="L536" s="311">
        <v>0.2102</v>
      </c>
      <c r="M536" s="311">
        <v>0.30790000000000001</v>
      </c>
      <c r="N536" s="311">
        <v>0.34150000000000003</v>
      </c>
      <c r="O536" s="311">
        <v>0.27479999999999999</v>
      </c>
      <c r="P536" s="311">
        <v>0.26479999999999998</v>
      </c>
      <c r="Q536" s="311">
        <v>0.31879999999999997</v>
      </c>
      <c r="R536" s="311">
        <v>0.3463</v>
      </c>
      <c r="S536" s="311">
        <v>0.31630000000000003</v>
      </c>
      <c r="T536" s="311">
        <v>0.31080000000000002</v>
      </c>
      <c r="U536" s="311">
        <v>0.28420000000000001</v>
      </c>
      <c r="V536" s="311">
        <v>0.37819999999999998</v>
      </c>
      <c r="W536" s="311">
        <v>0.2762</v>
      </c>
      <c r="X536" s="311">
        <v>0.25650000000000001</v>
      </c>
      <c r="Y536" s="311">
        <v>0.29260000000000003</v>
      </c>
      <c r="Z536" s="311">
        <v>0.32879999999999998</v>
      </c>
      <c r="AA536" s="311">
        <v>0.29220000000000002</v>
      </c>
      <c r="AB536" s="311">
        <v>0.33129999999999998</v>
      </c>
      <c r="AC536" s="311">
        <v>0.29449999999999998</v>
      </c>
      <c r="AD536" s="311">
        <v>0.31530000000000002</v>
      </c>
      <c r="AE536" s="311">
        <v>0.35</v>
      </c>
      <c r="AF536" s="311">
        <v>0</v>
      </c>
      <c r="AG536" s="311">
        <v>0.28960000000000002</v>
      </c>
      <c r="AH536" s="311">
        <v>0</v>
      </c>
      <c r="AI536" s="311">
        <v>0.3296</v>
      </c>
      <c r="AJ536" s="311">
        <v>0.31459999999999999</v>
      </c>
      <c r="AK536" s="311">
        <v>0.29849999999999999</v>
      </c>
      <c r="AL536" s="311">
        <v>0.24279999999999999</v>
      </c>
      <c r="AM536" s="311">
        <v>0.38700000000000001</v>
      </c>
      <c r="AN536" s="311">
        <v>0.37559999999999999</v>
      </c>
      <c r="AO536" s="311">
        <v>0.33689999999999998</v>
      </c>
      <c r="AP536" s="311">
        <v>0.3553</v>
      </c>
      <c r="AQ536" s="311">
        <v>0</v>
      </c>
      <c r="AR536" s="311">
        <v>0.30690000000000001</v>
      </c>
      <c r="AS536" s="311">
        <v>0.25180000000000002</v>
      </c>
      <c r="AT536" s="311">
        <v>0.29049999999999998</v>
      </c>
      <c r="AU536" s="311">
        <v>0.40010000000000001</v>
      </c>
      <c r="AV536" s="311">
        <v>0.38159999999999999</v>
      </c>
      <c r="AW536" s="311">
        <v>0.29220000000000002</v>
      </c>
      <c r="AX536" s="311">
        <v>0.24379999999999999</v>
      </c>
      <c r="AY536" s="311">
        <v>0.308</v>
      </c>
      <c r="AZ536" s="311">
        <v>0.3276</v>
      </c>
      <c r="BA536" s="311">
        <v>0.28710000000000002</v>
      </c>
      <c r="BB536" s="311">
        <v>0.31619999999999998</v>
      </c>
      <c r="BC536" s="311">
        <v>0.3044</v>
      </c>
      <c r="BD536" s="311">
        <v>0.3352</v>
      </c>
      <c r="BE536" s="311">
        <v>0.39389999999999997</v>
      </c>
      <c r="BF536" s="311">
        <v>0.34860000000000002</v>
      </c>
      <c r="BG536" s="311">
        <v>0.371</v>
      </c>
      <c r="BH536" s="311">
        <v>0.34129999999999999</v>
      </c>
      <c r="BI536" s="311">
        <v>0.42809999999999998</v>
      </c>
      <c r="BJ536" s="311">
        <v>0.4128</v>
      </c>
      <c r="BK536" s="311">
        <v>0.36670000000000003</v>
      </c>
    </row>
    <row r="537" spans="1:63" x14ac:dyDescent="0.25">
      <c r="A537" s="306">
        <v>325320</v>
      </c>
      <c r="B537" s="311" t="s">
        <v>112</v>
      </c>
      <c r="C537" s="311">
        <v>0.38229999999999997</v>
      </c>
      <c r="D537" s="311">
        <v>0</v>
      </c>
      <c r="E537" s="311">
        <v>0.2621</v>
      </c>
      <c r="F537" s="311">
        <v>0.26040000000000002</v>
      </c>
      <c r="G537" s="311">
        <v>0.21809999999999999</v>
      </c>
      <c r="H537" s="311">
        <v>0.27229999999999999</v>
      </c>
      <c r="I537" s="311">
        <v>0.27760000000000001</v>
      </c>
      <c r="J537" s="311">
        <v>0.27239999999999998</v>
      </c>
      <c r="K537" s="311">
        <v>0</v>
      </c>
      <c r="L537" s="311">
        <v>0</v>
      </c>
      <c r="M537" s="311">
        <v>0.22489999999999999</v>
      </c>
      <c r="N537" s="311">
        <v>0.27739999999999998</v>
      </c>
      <c r="O537" s="311">
        <v>0</v>
      </c>
      <c r="P537" s="311">
        <v>0.2109</v>
      </c>
      <c r="Q537" s="311">
        <v>0.21790000000000001</v>
      </c>
      <c r="R537" s="311">
        <v>0.32100000000000001</v>
      </c>
      <c r="S537" s="311">
        <v>0.26629999999999998</v>
      </c>
      <c r="T537" s="311">
        <v>0.22639999999999999</v>
      </c>
      <c r="U537" s="311">
        <v>0.24740000000000001</v>
      </c>
      <c r="V537" s="311">
        <v>0.27329999999999999</v>
      </c>
      <c r="W537" s="311">
        <v>0.26440000000000002</v>
      </c>
      <c r="X537" s="311">
        <v>0.21510000000000001</v>
      </c>
      <c r="Y537" s="311">
        <v>0.22109999999999999</v>
      </c>
      <c r="Z537" s="311">
        <v>0.28239999999999998</v>
      </c>
      <c r="AA537" s="311">
        <v>0.2772</v>
      </c>
      <c r="AB537" s="311">
        <v>0.28310000000000002</v>
      </c>
      <c r="AC537" s="311">
        <v>0.20599999999999999</v>
      </c>
      <c r="AD537" s="311">
        <v>0.20330000000000001</v>
      </c>
      <c r="AE537" s="311">
        <v>0.28620000000000001</v>
      </c>
      <c r="AF537" s="311">
        <v>0.18240000000000001</v>
      </c>
      <c r="AG537" s="311">
        <v>0.2334</v>
      </c>
      <c r="AH537" s="311">
        <v>0</v>
      </c>
      <c r="AI537" s="311">
        <v>0.29139999999999999</v>
      </c>
      <c r="AJ537" s="311">
        <v>0.19750000000000001</v>
      </c>
      <c r="AK537" s="311">
        <v>0</v>
      </c>
      <c r="AL537" s="311">
        <v>0.2147</v>
      </c>
      <c r="AM537" s="311">
        <v>0.312</v>
      </c>
      <c r="AN537" s="311">
        <v>0.20960000000000001</v>
      </c>
      <c r="AO537" s="311">
        <v>0.2515</v>
      </c>
      <c r="AP537" s="311">
        <v>0.28810000000000002</v>
      </c>
      <c r="AQ537" s="311">
        <v>0</v>
      </c>
      <c r="AR537" s="311">
        <v>0.25030000000000002</v>
      </c>
      <c r="AS537" s="311">
        <v>0</v>
      </c>
      <c r="AT537" s="311">
        <v>0.24310000000000001</v>
      </c>
      <c r="AU537" s="311">
        <v>0.29899999999999999</v>
      </c>
      <c r="AV537" s="311">
        <v>0.26669999999999999</v>
      </c>
      <c r="AW537" s="311">
        <v>0.27289999999999998</v>
      </c>
      <c r="AX537" s="311">
        <v>0</v>
      </c>
      <c r="AY537" s="311">
        <v>0.2424</v>
      </c>
      <c r="AZ537" s="311">
        <v>0.27729999999999999</v>
      </c>
      <c r="BA537" s="311">
        <v>0.22109999999999999</v>
      </c>
      <c r="BB537" s="311">
        <v>0</v>
      </c>
      <c r="BC537" s="311">
        <v>0.2873</v>
      </c>
      <c r="BD537" s="311">
        <v>0.3085</v>
      </c>
      <c r="BE537" s="311">
        <v>0.33229999999999998</v>
      </c>
      <c r="BF537" s="311">
        <v>0.2883</v>
      </c>
      <c r="BG537" s="311">
        <v>0.29580000000000001</v>
      </c>
      <c r="BH537" s="311">
        <v>0.2772</v>
      </c>
      <c r="BI537" s="311">
        <v>0.30270000000000002</v>
      </c>
      <c r="BJ537" s="311">
        <v>0.26329999999999998</v>
      </c>
      <c r="BK537" s="311">
        <v>0.2727</v>
      </c>
    </row>
    <row r="538" spans="1:63" x14ac:dyDescent="0.25">
      <c r="A538" s="306">
        <v>325411</v>
      </c>
      <c r="B538" s="311" t="s">
        <v>113</v>
      </c>
      <c r="C538" s="311">
        <v>0.3523</v>
      </c>
      <c r="D538" s="311">
        <v>0</v>
      </c>
      <c r="E538" s="311">
        <v>0.21490000000000001</v>
      </c>
      <c r="F538" s="311">
        <v>0.20730000000000001</v>
      </c>
      <c r="G538" s="311">
        <v>0.21060000000000001</v>
      </c>
      <c r="H538" s="311">
        <v>0.28100000000000003</v>
      </c>
      <c r="I538" s="311">
        <v>0.29310000000000003</v>
      </c>
      <c r="J538" s="311">
        <v>0.26090000000000002</v>
      </c>
      <c r="K538" s="311">
        <v>0</v>
      </c>
      <c r="L538" s="311">
        <v>0</v>
      </c>
      <c r="M538" s="311">
        <v>0.21049999999999999</v>
      </c>
      <c r="N538" s="311">
        <v>0.24060000000000001</v>
      </c>
      <c r="O538" s="311">
        <v>0</v>
      </c>
      <c r="P538" s="311">
        <v>0.21809999999999999</v>
      </c>
      <c r="Q538" s="311">
        <v>0.21759999999999999</v>
      </c>
      <c r="R538" s="311">
        <v>0.27300000000000002</v>
      </c>
      <c r="S538" s="311">
        <v>0.2109</v>
      </c>
      <c r="T538" s="311">
        <v>0.18809999999999999</v>
      </c>
      <c r="U538" s="311">
        <v>0.21779999999999999</v>
      </c>
      <c r="V538" s="311">
        <v>0.20480000000000001</v>
      </c>
      <c r="W538" s="311">
        <v>0.28899999999999998</v>
      </c>
      <c r="X538" s="311">
        <v>0.22919999999999999</v>
      </c>
      <c r="Y538" s="311">
        <v>0.26400000000000001</v>
      </c>
      <c r="Z538" s="311">
        <v>0.27060000000000001</v>
      </c>
      <c r="AA538" s="311">
        <v>0.23430000000000001</v>
      </c>
      <c r="AB538" s="311">
        <v>0.27860000000000001</v>
      </c>
      <c r="AC538" s="311">
        <v>0.17680000000000001</v>
      </c>
      <c r="AD538" s="311">
        <v>0.1956</v>
      </c>
      <c r="AE538" s="311">
        <v>0.27600000000000002</v>
      </c>
      <c r="AF538" s="311">
        <v>0</v>
      </c>
      <c r="AG538" s="311">
        <v>0.21579999999999999</v>
      </c>
      <c r="AH538" s="311">
        <v>0.21729999999999999</v>
      </c>
      <c r="AI538" s="311">
        <v>0.2928</v>
      </c>
      <c r="AJ538" s="311">
        <v>0.18909999999999999</v>
      </c>
      <c r="AK538" s="311">
        <v>0.21240000000000001</v>
      </c>
      <c r="AL538" s="311">
        <v>0.2034</v>
      </c>
      <c r="AM538" s="311">
        <v>0.2389</v>
      </c>
      <c r="AN538" s="311">
        <v>0</v>
      </c>
      <c r="AO538" s="311">
        <v>0.22439999999999999</v>
      </c>
      <c r="AP538" s="311">
        <v>0.2722</v>
      </c>
      <c r="AQ538" s="311">
        <v>0</v>
      </c>
      <c r="AR538" s="311">
        <v>0.20319999999999999</v>
      </c>
      <c r="AS538" s="311">
        <v>0</v>
      </c>
      <c r="AT538" s="311">
        <v>0.2087</v>
      </c>
      <c r="AU538" s="311">
        <v>0.23619999999999999</v>
      </c>
      <c r="AV538" s="311">
        <v>0.27750000000000002</v>
      </c>
      <c r="AW538" s="311">
        <v>0.26279999999999998</v>
      </c>
      <c r="AX538" s="311">
        <v>0</v>
      </c>
      <c r="AY538" s="311">
        <v>0.24299999999999999</v>
      </c>
      <c r="AZ538" s="311">
        <v>0.25869999999999999</v>
      </c>
      <c r="BA538" s="311">
        <v>0.19769999999999999</v>
      </c>
      <c r="BB538" s="311">
        <v>0.17119999999999999</v>
      </c>
      <c r="BC538" s="311">
        <v>0.314</v>
      </c>
      <c r="BD538" s="311">
        <v>0.31900000000000001</v>
      </c>
      <c r="BE538" s="311">
        <v>0.2772</v>
      </c>
      <c r="BF538" s="311">
        <v>0.27579999999999999</v>
      </c>
      <c r="BG538" s="311">
        <v>0.28420000000000001</v>
      </c>
      <c r="BH538" s="311">
        <v>0.22750000000000001</v>
      </c>
      <c r="BI538" s="311">
        <v>0.2341</v>
      </c>
      <c r="BJ538" s="311">
        <v>0.2616</v>
      </c>
      <c r="BK538" s="311">
        <v>0.27660000000000001</v>
      </c>
    </row>
    <row r="539" spans="1:63" x14ac:dyDescent="0.25">
      <c r="A539" s="306">
        <v>325412</v>
      </c>
      <c r="B539" s="311" t="s">
        <v>114</v>
      </c>
      <c r="C539" s="311">
        <v>0.34320000000000001</v>
      </c>
      <c r="D539" s="311">
        <v>0</v>
      </c>
      <c r="E539" s="311">
        <v>0.21299999999999999</v>
      </c>
      <c r="F539" s="311">
        <v>0.218</v>
      </c>
      <c r="G539" s="311">
        <v>0.21440000000000001</v>
      </c>
      <c r="H539" s="311">
        <v>0.27879999999999999</v>
      </c>
      <c r="I539" s="311">
        <v>0.29289999999999999</v>
      </c>
      <c r="J539" s="311">
        <v>0.26860000000000001</v>
      </c>
      <c r="K539" s="311">
        <v>3.7199999999999997E-2</v>
      </c>
      <c r="L539" s="311">
        <v>0.18590000000000001</v>
      </c>
      <c r="M539" s="311">
        <v>0.221</v>
      </c>
      <c r="N539" s="311">
        <v>0.25330000000000003</v>
      </c>
      <c r="O539" s="311">
        <v>0.21629999999999999</v>
      </c>
      <c r="P539" s="311">
        <v>0.20050000000000001</v>
      </c>
      <c r="Q539" s="311">
        <v>0.21920000000000001</v>
      </c>
      <c r="R539" s="311">
        <v>0.28539999999999999</v>
      </c>
      <c r="S539" s="311">
        <v>0.21879999999999999</v>
      </c>
      <c r="T539" s="311">
        <v>0.1918</v>
      </c>
      <c r="U539" s="311">
        <v>0.2167</v>
      </c>
      <c r="V539" s="311">
        <v>0.2127</v>
      </c>
      <c r="W539" s="311">
        <v>0.28249999999999997</v>
      </c>
      <c r="X539" s="311">
        <v>0.22159999999999999</v>
      </c>
      <c r="Y539" s="311">
        <v>0.2495</v>
      </c>
      <c r="Z539" s="311">
        <v>0.27639999999999998</v>
      </c>
      <c r="AA539" s="311">
        <v>0.2482</v>
      </c>
      <c r="AB539" s="311">
        <v>0.26650000000000001</v>
      </c>
      <c r="AC539" s="311">
        <v>0.1799</v>
      </c>
      <c r="AD539" s="311">
        <v>0.18229999999999999</v>
      </c>
      <c r="AE539" s="311">
        <v>0.27289999999999998</v>
      </c>
      <c r="AF539" s="311">
        <v>0</v>
      </c>
      <c r="AG539" s="311">
        <v>0.21560000000000001</v>
      </c>
      <c r="AH539" s="311">
        <v>0.21249999999999999</v>
      </c>
      <c r="AI539" s="311">
        <v>0.28339999999999999</v>
      </c>
      <c r="AJ539" s="311">
        <v>0.19</v>
      </c>
      <c r="AK539" s="311">
        <v>0.22650000000000001</v>
      </c>
      <c r="AL539" s="311">
        <v>0.21690000000000001</v>
      </c>
      <c r="AM539" s="311">
        <v>0.25469999999999998</v>
      </c>
      <c r="AN539" s="311">
        <v>0.1946</v>
      </c>
      <c r="AO539" s="311">
        <v>0.2316</v>
      </c>
      <c r="AP539" s="311">
        <v>0.27329999999999999</v>
      </c>
      <c r="AQ539" s="311">
        <v>0.2056</v>
      </c>
      <c r="AR539" s="311">
        <v>0.20910000000000001</v>
      </c>
      <c r="AS539" s="311">
        <v>0.1643</v>
      </c>
      <c r="AT539" s="311">
        <v>0.21940000000000001</v>
      </c>
      <c r="AU539" s="311">
        <v>0.2422</v>
      </c>
      <c r="AV539" s="311">
        <v>0.28160000000000002</v>
      </c>
      <c r="AW539" s="311">
        <v>0.26779999999999998</v>
      </c>
      <c r="AX539" s="311">
        <v>0.15620000000000001</v>
      </c>
      <c r="AY539" s="311">
        <v>0.2384</v>
      </c>
      <c r="AZ539" s="311">
        <v>0.2515</v>
      </c>
      <c r="BA539" s="311">
        <v>0.1953</v>
      </c>
      <c r="BB539" s="311">
        <v>0.1658</v>
      </c>
      <c r="BC539" s="311">
        <v>0.30380000000000001</v>
      </c>
      <c r="BD539" s="311">
        <v>0.30959999999999999</v>
      </c>
      <c r="BE539" s="311">
        <v>0.28749999999999998</v>
      </c>
      <c r="BF539" s="311">
        <v>0.26600000000000001</v>
      </c>
      <c r="BG539" s="311">
        <v>0.28149999999999997</v>
      </c>
      <c r="BH539" s="311">
        <v>0.2283</v>
      </c>
      <c r="BI539" s="311">
        <v>0.2414</v>
      </c>
      <c r="BJ539" s="311">
        <v>0.2621</v>
      </c>
      <c r="BK539" s="311">
        <v>0.27629999999999999</v>
      </c>
    </row>
    <row r="540" spans="1:63" x14ac:dyDescent="0.25">
      <c r="A540" s="306">
        <v>325413</v>
      </c>
      <c r="B540" s="311" t="s">
        <v>115</v>
      </c>
      <c r="C540" s="311">
        <v>0.58979999999999999</v>
      </c>
      <c r="D540" s="311">
        <v>0</v>
      </c>
      <c r="E540" s="311">
        <v>0</v>
      </c>
      <c r="F540" s="311">
        <v>0.40260000000000001</v>
      </c>
      <c r="G540" s="311">
        <v>0</v>
      </c>
      <c r="H540" s="311">
        <v>0.52</v>
      </c>
      <c r="I540" s="311">
        <v>0.52270000000000005</v>
      </c>
      <c r="J540" s="311">
        <v>0.46860000000000002</v>
      </c>
      <c r="K540" s="311">
        <v>0</v>
      </c>
      <c r="L540" s="311">
        <v>0</v>
      </c>
      <c r="M540" s="311">
        <v>0.42420000000000002</v>
      </c>
      <c r="N540" s="311">
        <v>0.46</v>
      </c>
      <c r="O540" s="311">
        <v>0</v>
      </c>
      <c r="P540" s="311">
        <v>0.35920000000000002</v>
      </c>
      <c r="Q540" s="311">
        <v>0</v>
      </c>
      <c r="R540" s="311">
        <v>0.51270000000000004</v>
      </c>
      <c r="S540" s="311">
        <v>0.40429999999999999</v>
      </c>
      <c r="T540" s="311">
        <v>0.36330000000000001</v>
      </c>
      <c r="U540" s="311">
        <v>0.377</v>
      </c>
      <c r="V540" s="311">
        <v>0.40250000000000002</v>
      </c>
      <c r="W540" s="311">
        <v>0.51200000000000001</v>
      </c>
      <c r="X540" s="311">
        <v>0.43169999999999997</v>
      </c>
      <c r="Y540" s="311">
        <v>0.45419999999999999</v>
      </c>
      <c r="Z540" s="311">
        <v>0.50860000000000005</v>
      </c>
      <c r="AA540" s="311">
        <v>0.46820000000000001</v>
      </c>
      <c r="AB540" s="311">
        <v>0.46379999999999999</v>
      </c>
      <c r="AC540" s="311">
        <v>0</v>
      </c>
      <c r="AD540" s="311">
        <v>0</v>
      </c>
      <c r="AE540" s="311">
        <v>0.49959999999999999</v>
      </c>
      <c r="AF540" s="311">
        <v>0</v>
      </c>
      <c r="AG540" s="311">
        <v>0.42209999999999998</v>
      </c>
      <c r="AH540" s="311">
        <v>0</v>
      </c>
      <c r="AI540" s="311">
        <v>0.49790000000000001</v>
      </c>
      <c r="AJ540" s="311">
        <v>0.378</v>
      </c>
      <c r="AK540" s="311">
        <v>0</v>
      </c>
      <c r="AL540" s="311">
        <v>0.41589999999999999</v>
      </c>
      <c r="AM540" s="311">
        <v>0.46310000000000001</v>
      </c>
      <c r="AN540" s="311">
        <v>0.38619999999999999</v>
      </c>
      <c r="AO540" s="311">
        <v>0.43940000000000001</v>
      </c>
      <c r="AP540" s="311">
        <v>0.51559999999999995</v>
      </c>
      <c r="AQ540" s="311">
        <v>0.39240000000000003</v>
      </c>
      <c r="AR540" s="311">
        <v>0.38200000000000001</v>
      </c>
      <c r="AS540" s="311">
        <v>0</v>
      </c>
      <c r="AT540" s="311">
        <v>0.4148</v>
      </c>
      <c r="AU540" s="311">
        <v>0.44940000000000002</v>
      </c>
      <c r="AV540" s="311">
        <v>0.49769999999999998</v>
      </c>
      <c r="AW540" s="311">
        <v>0.47339999999999999</v>
      </c>
      <c r="AX540" s="311">
        <v>0.31879999999999997</v>
      </c>
      <c r="AY540" s="311">
        <v>0.4577</v>
      </c>
      <c r="AZ540" s="311">
        <v>0.46529999999999999</v>
      </c>
      <c r="BA540" s="311">
        <v>0</v>
      </c>
      <c r="BB540" s="311">
        <v>0</v>
      </c>
      <c r="BC540" s="311">
        <v>0.54090000000000005</v>
      </c>
      <c r="BD540" s="311">
        <v>0.54559999999999997</v>
      </c>
      <c r="BE540" s="311">
        <v>0.51910000000000001</v>
      </c>
      <c r="BF540" s="311">
        <v>0.47589999999999999</v>
      </c>
      <c r="BG540" s="311">
        <v>0.51749999999999996</v>
      </c>
      <c r="BH540" s="311">
        <v>0.40589999999999998</v>
      </c>
      <c r="BI540" s="311">
        <v>0.44769999999999999</v>
      </c>
      <c r="BJ540" s="311">
        <v>0.48039999999999999</v>
      </c>
      <c r="BK540" s="311">
        <v>0.51780000000000004</v>
      </c>
    </row>
    <row r="541" spans="1:63" x14ac:dyDescent="0.25">
      <c r="A541" s="306">
        <v>325414</v>
      </c>
      <c r="B541" s="311" t="s">
        <v>116</v>
      </c>
      <c r="C541" s="311">
        <v>0.4909</v>
      </c>
      <c r="D541" s="311">
        <v>0</v>
      </c>
      <c r="E541" s="311">
        <v>0.33479999999999999</v>
      </c>
      <c r="F541" s="311">
        <v>0.33139999999999997</v>
      </c>
      <c r="G541" s="311">
        <v>0.34420000000000001</v>
      </c>
      <c r="H541" s="311">
        <v>0.42799999999999999</v>
      </c>
      <c r="I541" s="311">
        <v>0.42559999999999998</v>
      </c>
      <c r="J541" s="311">
        <v>0.3785</v>
      </c>
      <c r="K541" s="311">
        <v>0</v>
      </c>
      <c r="L541" s="311">
        <v>0.29809999999999998</v>
      </c>
      <c r="M541" s="311">
        <v>0.34429999999999999</v>
      </c>
      <c r="N541" s="311">
        <v>0.37290000000000001</v>
      </c>
      <c r="O541" s="311">
        <v>0.34489999999999998</v>
      </c>
      <c r="P541" s="311">
        <v>0.30990000000000001</v>
      </c>
      <c r="Q541" s="311">
        <v>0</v>
      </c>
      <c r="R541" s="311">
        <v>0.42020000000000002</v>
      </c>
      <c r="S541" s="311">
        <v>0.33110000000000001</v>
      </c>
      <c r="T541" s="311">
        <v>0.30109999999999998</v>
      </c>
      <c r="U541" s="311">
        <v>0</v>
      </c>
      <c r="V541" s="311">
        <v>0.32679999999999998</v>
      </c>
      <c r="W541" s="311">
        <v>0.42549999999999999</v>
      </c>
      <c r="X541" s="311">
        <v>0.36149999999999999</v>
      </c>
      <c r="Y541" s="311">
        <v>0.38329999999999997</v>
      </c>
      <c r="Z541" s="311">
        <v>0.4173</v>
      </c>
      <c r="AA541" s="311">
        <v>0.37790000000000001</v>
      </c>
      <c r="AB541" s="311">
        <v>0.39179999999999998</v>
      </c>
      <c r="AC541" s="311">
        <v>0.28599999999999998</v>
      </c>
      <c r="AD541" s="311">
        <v>0.29020000000000001</v>
      </c>
      <c r="AE541" s="311">
        <v>0.42399999999999999</v>
      </c>
      <c r="AF541" s="311">
        <v>0</v>
      </c>
      <c r="AG541" s="311">
        <v>0.3523</v>
      </c>
      <c r="AH541" s="311">
        <v>0.35249999999999998</v>
      </c>
      <c r="AI541" s="311">
        <v>0.4143</v>
      </c>
      <c r="AJ541" s="311">
        <v>0</v>
      </c>
      <c r="AK541" s="311">
        <v>0</v>
      </c>
      <c r="AL541" s="311">
        <v>0.33389999999999997</v>
      </c>
      <c r="AM541" s="311">
        <v>0.37809999999999999</v>
      </c>
      <c r="AN541" s="311">
        <v>0.31459999999999999</v>
      </c>
      <c r="AO541" s="311">
        <v>0.36109999999999998</v>
      </c>
      <c r="AP541" s="311">
        <v>0.43120000000000003</v>
      </c>
      <c r="AQ541" s="311">
        <v>0</v>
      </c>
      <c r="AR541" s="311">
        <v>0.31559999999999999</v>
      </c>
      <c r="AS541" s="311">
        <v>0</v>
      </c>
      <c r="AT541" s="311">
        <v>0.33829999999999999</v>
      </c>
      <c r="AU541" s="311">
        <v>0.3695</v>
      </c>
      <c r="AV541" s="311">
        <v>0</v>
      </c>
      <c r="AW541" s="311">
        <v>0.38350000000000001</v>
      </c>
      <c r="AX541" s="311">
        <v>0.26440000000000002</v>
      </c>
      <c r="AY541" s="311">
        <v>0.38030000000000003</v>
      </c>
      <c r="AZ541" s="311">
        <v>0.39300000000000002</v>
      </c>
      <c r="BA541" s="311">
        <v>0</v>
      </c>
      <c r="BB541" s="311">
        <v>0</v>
      </c>
      <c r="BC541" s="311">
        <v>0.45090000000000002</v>
      </c>
      <c r="BD541" s="311">
        <v>0.45500000000000002</v>
      </c>
      <c r="BE541" s="311">
        <v>0.4289</v>
      </c>
      <c r="BF541" s="311">
        <v>0.39939999999999998</v>
      </c>
      <c r="BG541" s="311">
        <v>0.43180000000000002</v>
      </c>
      <c r="BH541" s="311">
        <v>0.33489999999999998</v>
      </c>
      <c r="BI541" s="311">
        <v>0.36749999999999999</v>
      </c>
      <c r="BJ541" s="311">
        <v>0.38929999999999998</v>
      </c>
      <c r="BK541" s="311">
        <v>0.42520000000000002</v>
      </c>
    </row>
    <row r="542" spans="1:63" x14ac:dyDescent="0.25">
      <c r="A542" s="306">
        <v>325510</v>
      </c>
      <c r="B542" s="311" t="s">
        <v>117</v>
      </c>
      <c r="C542" s="311">
        <v>0.47120000000000001</v>
      </c>
      <c r="D542" s="311">
        <v>0</v>
      </c>
      <c r="E542" s="311">
        <v>0.315</v>
      </c>
      <c r="F542" s="311">
        <v>0.29770000000000002</v>
      </c>
      <c r="G542" s="311">
        <v>0.26179999999999998</v>
      </c>
      <c r="H542" s="311">
        <v>0.31109999999999999</v>
      </c>
      <c r="I542" s="311">
        <v>0.313</v>
      </c>
      <c r="J542" s="311">
        <v>0.30669999999999997</v>
      </c>
      <c r="K542" s="311">
        <v>0</v>
      </c>
      <c r="L542" s="311">
        <v>0.2525</v>
      </c>
      <c r="M542" s="311">
        <v>0.25819999999999999</v>
      </c>
      <c r="N542" s="311">
        <v>0.34050000000000002</v>
      </c>
      <c r="O542" s="311">
        <v>0</v>
      </c>
      <c r="P542" s="311">
        <v>0.25319999999999998</v>
      </c>
      <c r="Q542" s="311">
        <v>0.25069999999999998</v>
      </c>
      <c r="R542" s="311">
        <v>0.37930000000000003</v>
      </c>
      <c r="S542" s="311">
        <v>0.3301</v>
      </c>
      <c r="T542" s="311">
        <v>0.25359999999999999</v>
      </c>
      <c r="U542" s="311">
        <v>0.308</v>
      </c>
      <c r="V542" s="311">
        <v>0.33360000000000001</v>
      </c>
      <c r="W542" s="311">
        <v>0.312</v>
      </c>
      <c r="X542" s="311">
        <v>0.26390000000000002</v>
      </c>
      <c r="Y542" s="311">
        <v>0</v>
      </c>
      <c r="Z542" s="311">
        <v>0.36220000000000002</v>
      </c>
      <c r="AA542" s="311">
        <v>0.31440000000000001</v>
      </c>
      <c r="AB542" s="311">
        <v>0.32429999999999998</v>
      </c>
      <c r="AC542" s="311">
        <v>0.27339999999999998</v>
      </c>
      <c r="AD542" s="311">
        <v>0</v>
      </c>
      <c r="AE542" s="311">
        <v>0.3422</v>
      </c>
      <c r="AF542" s="311">
        <v>0.1991</v>
      </c>
      <c r="AG542" s="311">
        <v>0.25490000000000002</v>
      </c>
      <c r="AH542" s="311">
        <v>0.24560000000000001</v>
      </c>
      <c r="AI542" s="311">
        <v>0.34389999999999998</v>
      </c>
      <c r="AJ542" s="311">
        <v>0.2336</v>
      </c>
      <c r="AK542" s="311">
        <v>0.2621</v>
      </c>
      <c r="AL542" s="311">
        <v>0.25559999999999999</v>
      </c>
      <c r="AM542" s="311">
        <v>0.38269999999999998</v>
      </c>
      <c r="AN542" s="311">
        <v>0.25559999999999999</v>
      </c>
      <c r="AO542" s="311">
        <v>0.30690000000000001</v>
      </c>
      <c r="AP542" s="311">
        <v>0.37390000000000001</v>
      </c>
      <c r="AQ542" s="311">
        <v>0.26669999999999999</v>
      </c>
      <c r="AR542" s="311">
        <v>0.31190000000000001</v>
      </c>
      <c r="AS542" s="311">
        <v>0.21199999999999999</v>
      </c>
      <c r="AT542" s="311">
        <v>0.32090000000000002</v>
      </c>
      <c r="AU542" s="311">
        <v>0.37619999999999998</v>
      </c>
      <c r="AV542" s="311">
        <v>0.30459999999999998</v>
      </c>
      <c r="AW542" s="311">
        <v>0.30859999999999999</v>
      </c>
      <c r="AX542" s="311">
        <v>0.19939999999999999</v>
      </c>
      <c r="AY542" s="311">
        <v>0.2843</v>
      </c>
      <c r="AZ542" s="311">
        <v>0.31790000000000002</v>
      </c>
      <c r="BA542" s="311">
        <v>0.27239999999999998</v>
      </c>
      <c r="BB542" s="311">
        <v>0</v>
      </c>
      <c r="BC542" s="311">
        <v>0.34160000000000001</v>
      </c>
      <c r="BD542" s="311">
        <v>0.374</v>
      </c>
      <c r="BE542" s="311">
        <v>0.40489999999999998</v>
      </c>
      <c r="BF542" s="311">
        <v>0.32540000000000002</v>
      </c>
      <c r="BG542" s="311">
        <v>0.35770000000000002</v>
      </c>
      <c r="BH542" s="311">
        <v>0.34699999999999998</v>
      </c>
      <c r="BI542" s="311">
        <v>0.37919999999999998</v>
      </c>
      <c r="BJ542" s="311">
        <v>0.30259999999999998</v>
      </c>
      <c r="BK542" s="311">
        <v>0.31819999999999998</v>
      </c>
    </row>
    <row r="543" spans="1:63" x14ac:dyDescent="0.25">
      <c r="A543" s="306">
        <v>325520</v>
      </c>
      <c r="B543" s="311" t="s">
        <v>118</v>
      </c>
      <c r="C543" s="311">
        <v>0.50080000000000002</v>
      </c>
      <c r="D543" s="311">
        <v>0</v>
      </c>
      <c r="E543" s="311">
        <v>0.34089999999999998</v>
      </c>
      <c r="F543" s="311">
        <v>0.32619999999999999</v>
      </c>
      <c r="G543" s="311">
        <v>0.30769999999999997</v>
      </c>
      <c r="H543" s="311">
        <v>0.38290000000000002</v>
      </c>
      <c r="I543" s="311">
        <v>0.378</v>
      </c>
      <c r="J543" s="311">
        <v>0.34639999999999999</v>
      </c>
      <c r="K543" s="311">
        <v>4.9700000000000001E-2</v>
      </c>
      <c r="L543" s="311">
        <v>0.27039999999999997</v>
      </c>
      <c r="M543" s="311">
        <v>0.31009999999999999</v>
      </c>
      <c r="N543" s="311">
        <v>0.36620000000000003</v>
      </c>
      <c r="O543" s="311">
        <v>0</v>
      </c>
      <c r="P543" s="311">
        <v>0.2757</v>
      </c>
      <c r="Q543" s="311">
        <v>0</v>
      </c>
      <c r="R543" s="311">
        <v>0.41670000000000001</v>
      </c>
      <c r="S543" s="311">
        <v>0.35120000000000001</v>
      </c>
      <c r="T543" s="311">
        <v>0.29659999999999997</v>
      </c>
      <c r="U543" s="311">
        <v>0.32750000000000001</v>
      </c>
      <c r="V543" s="311">
        <v>0.3674</v>
      </c>
      <c r="W543" s="311">
        <v>0.3513</v>
      </c>
      <c r="X543" s="311">
        <v>0.30170000000000002</v>
      </c>
      <c r="Y543" s="311">
        <v>0</v>
      </c>
      <c r="Z543" s="311">
        <v>0.38850000000000001</v>
      </c>
      <c r="AA543" s="311">
        <v>0.35439999999999999</v>
      </c>
      <c r="AB543" s="311">
        <v>0.35489999999999999</v>
      </c>
      <c r="AC543" s="311">
        <v>0.3029</v>
      </c>
      <c r="AD543" s="311">
        <v>0</v>
      </c>
      <c r="AE543" s="311">
        <v>0.37319999999999998</v>
      </c>
      <c r="AF543" s="311">
        <v>0.23530000000000001</v>
      </c>
      <c r="AG543" s="311">
        <v>0.29089999999999999</v>
      </c>
      <c r="AH543" s="311">
        <v>0.29349999999999998</v>
      </c>
      <c r="AI543" s="311">
        <v>0.37480000000000002</v>
      </c>
      <c r="AJ543" s="311">
        <v>0</v>
      </c>
      <c r="AK543" s="311">
        <v>0.31040000000000001</v>
      </c>
      <c r="AL543" s="311">
        <v>0.29089999999999999</v>
      </c>
      <c r="AM543" s="311">
        <v>0.40439999999999998</v>
      </c>
      <c r="AN543" s="311">
        <v>0.31390000000000001</v>
      </c>
      <c r="AO543" s="311">
        <v>0.3251</v>
      </c>
      <c r="AP543" s="311">
        <v>0.39960000000000001</v>
      </c>
      <c r="AQ543" s="311">
        <v>0.2853</v>
      </c>
      <c r="AR543" s="311">
        <v>0.33129999999999998</v>
      </c>
      <c r="AS543" s="311">
        <v>0</v>
      </c>
      <c r="AT543" s="311">
        <v>0.34189999999999998</v>
      </c>
      <c r="AU543" s="311">
        <v>0.3997</v>
      </c>
      <c r="AV543" s="311">
        <v>0.37690000000000001</v>
      </c>
      <c r="AW543" s="311">
        <v>0.35220000000000001</v>
      </c>
      <c r="AX543" s="311">
        <v>0.23400000000000001</v>
      </c>
      <c r="AY543" s="311">
        <v>0.34010000000000001</v>
      </c>
      <c r="AZ543" s="311">
        <v>0.35099999999999998</v>
      </c>
      <c r="BA543" s="311">
        <v>0.29520000000000002</v>
      </c>
      <c r="BB543" s="311">
        <v>0</v>
      </c>
      <c r="BC543" s="311">
        <v>0.38159999999999999</v>
      </c>
      <c r="BD543" s="311">
        <v>0.40260000000000001</v>
      </c>
      <c r="BE543" s="311">
        <v>0.42770000000000002</v>
      </c>
      <c r="BF543" s="311">
        <v>0.36399999999999999</v>
      </c>
      <c r="BG543" s="311">
        <v>0.38950000000000001</v>
      </c>
      <c r="BH543" s="311">
        <v>0.3664</v>
      </c>
      <c r="BI543" s="311">
        <v>0.40379999999999999</v>
      </c>
      <c r="BJ543" s="311">
        <v>0.3644</v>
      </c>
      <c r="BK543" s="311">
        <v>0.38290000000000002</v>
      </c>
    </row>
    <row r="544" spans="1:63" x14ac:dyDescent="0.25">
      <c r="A544" s="306">
        <v>325610</v>
      </c>
      <c r="B544" s="311" t="s">
        <v>119</v>
      </c>
      <c r="C544" s="311">
        <v>0.3634</v>
      </c>
      <c r="D544" s="311">
        <v>0.16259999999999999</v>
      </c>
      <c r="E544" s="311">
        <v>0.2346</v>
      </c>
      <c r="F544" s="311">
        <v>0.23599999999999999</v>
      </c>
      <c r="G544" s="311">
        <v>0.21529999999999999</v>
      </c>
      <c r="H544" s="311">
        <v>0.28410000000000002</v>
      </c>
      <c r="I544" s="311">
        <v>0.26429999999999998</v>
      </c>
      <c r="J544" s="311">
        <v>0.24879999999999999</v>
      </c>
      <c r="K544" s="311">
        <v>3.2199999999999999E-2</v>
      </c>
      <c r="L544" s="311">
        <v>0.18049999999999999</v>
      </c>
      <c r="M544" s="311">
        <v>0.21779999999999999</v>
      </c>
      <c r="N544" s="311">
        <v>0.28260000000000002</v>
      </c>
      <c r="O544" s="311">
        <v>0.20469999999999999</v>
      </c>
      <c r="P544" s="311">
        <v>0.19789999999999999</v>
      </c>
      <c r="Q544" s="311">
        <v>0.21260000000000001</v>
      </c>
      <c r="R544" s="311">
        <v>0.311</v>
      </c>
      <c r="S544" s="311">
        <v>0.26350000000000001</v>
      </c>
      <c r="T544" s="311">
        <v>0.22309999999999999</v>
      </c>
      <c r="U544" s="311">
        <v>0.24809999999999999</v>
      </c>
      <c r="V544" s="311">
        <v>0.255</v>
      </c>
      <c r="W544" s="311">
        <v>0.25130000000000002</v>
      </c>
      <c r="X544" s="311">
        <v>0.23200000000000001</v>
      </c>
      <c r="Y544" s="311">
        <v>0.22989999999999999</v>
      </c>
      <c r="Z544" s="311">
        <v>0.29620000000000002</v>
      </c>
      <c r="AA544" s="311">
        <v>0.25719999999999998</v>
      </c>
      <c r="AB544" s="311">
        <v>0.2707</v>
      </c>
      <c r="AC544" s="311">
        <v>0.217</v>
      </c>
      <c r="AD544" s="311">
        <v>0.182</v>
      </c>
      <c r="AE544" s="311">
        <v>0.29060000000000002</v>
      </c>
      <c r="AF544" s="311">
        <v>0</v>
      </c>
      <c r="AG544" s="311">
        <v>0.2026</v>
      </c>
      <c r="AH544" s="311">
        <v>0.20780000000000001</v>
      </c>
      <c r="AI544" s="311">
        <v>0.28179999999999999</v>
      </c>
      <c r="AJ544" s="311">
        <v>0.19220000000000001</v>
      </c>
      <c r="AK544" s="311">
        <v>0.21740000000000001</v>
      </c>
      <c r="AL544" s="311">
        <v>0.20660000000000001</v>
      </c>
      <c r="AM544" s="311">
        <v>0.30470000000000003</v>
      </c>
      <c r="AN544" s="311">
        <v>0.21629999999999999</v>
      </c>
      <c r="AO544" s="311">
        <v>0.23480000000000001</v>
      </c>
      <c r="AP544" s="311">
        <v>0.29220000000000002</v>
      </c>
      <c r="AQ544" s="311">
        <v>0.22220000000000001</v>
      </c>
      <c r="AR544" s="311">
        <v>0.25080000000000002</v>
      </c>
      <c r="AS544" s="311">
        <v>0.1739</v>
      </c>
      <c r="AT544" s="311">
        <v>0.2611</v>
      </c>
      <c r="AU544" s="311">
        <v>0.27550000000000002</v>
      </c>
      <c r="AV544" s="311">
        <v>0.2873</v>
      </c>
      <c r="AW544" s="311">
        <v>0.24679999999999999</v>
      </c>
      <c r="AX544" s="311">
        <v>0.18079999999999999</v>
      </c>
      <c r="AY544" s="311">
        <v>0.23799999999999999</v>
      </c>
      <c r="AZ544" s="311">
        <v>0.26979999999999998</v>
      </c>
      <c r="BA544" s="311">
        <v>0.20480000000000001</v>
      </c>
      <c r="BB544" s="311">
        <v>0.1736</v>
      </c>
      <c r="BC544" s="311">
        <v>0.27639999999999998</v>
      </c>
      <c r="BD544" s="311">
        <v>0.2994</v>
      </c>
      <c r="BE544" s="311">
        <v>0.32169999999999999</v>
      </c>
      <c r="BF544" s="311">
        <v>0.27429999999999999</v>
      </c>
      <c r="BG544" s="311">
        <v>0.29530000000000001</v>
      </c>
      <c r="BH544" s="311">
        <v>0.26700000000000002</v>
      </c>
      <c r="BI544" s="311">
        <v>0.27850000000000003</v>
      </c>
      <c r="BJ544" s="311">
        <v>0.25829999999999997</v>
      </c>
      <c r="BK544" s="311">
        <v>0.27879999999999999</v>
      </c>
    </row>
    <row r="545" spans="1:63" x14ac:dyDescent="0.25">
      <c r="A545" s="306">
        <v>325620</v>
      </c>
      <c r="B545" s="311" t="s">
        <v>120</v>
      </c>
      <c r="C545" s="311">
        <v>0.36420000000000002</v>
      </c>
      <c r="D545" s="311">
        <v>0</v>
      </c>
      <c r="E545" s="311">
        <v>0.24379999999999999</v>
      </c>
      <c r="F545" s="311">
        <v>0.25269999999999998</v>
      </c>
      <c r="G545" s="311">
        <v>0.23080000000000001</v>
      </c>
      <c r="H545" s="311">
        <v>0.29039999999999999</v>
      </c>
      <c r="I545" s="311">
        <v>0.29010000000000002</v>
      </c>
      <c r="J545" s="311">
        <v>0.27300000000000002</v>
      </c>
      <c r="K545" s="311">
        <v>0</v>
      </c>
      <c r="L545" s="311">
        <v>0.1956</v>
      </c>
      <c r="M545" s="311">
        <v>0.2359</v>
      </c>
      <c r="N545" s="311">
        <v>0.28100000000000003</v>
      </c>
      <c r="O545" s="311">
        <v>0.22750000000000001</v>
      </c>
      <c r="P545" s="311">
        <v>0.20830000000000001</v>
      </c>
      <c r="Q545" s="311">
        <v>0.2281</v>
      </c>
      <c r="R545" s="311">
        <v>0.31459999999999999</v>
      </c>
      <c r="S545" s="311">
        <v>0.253</v>
      </c>
      <c r="T545" s="311">
        <v>0.21279999999999999</v>
      </c>
      <c r="U545" s="311">
        <v>0.24110000000000001</v>
      </c>
      <c r="V545" s="311">
        <v>0.2455</v>
      </c>
      <c r="W545" s="311">
        <v>0.27810000000000001</v>
      </c>
      <c r="X545" s="311">
        <v>0.2298</v>
      </c>
      <c r="Y545" s="311">
        <v>0.23810000000000001</v>
      </c>
      <c r="Z545" s="311">
        <v>0.30049999999999999</v>
      </c>
      <c r="AA545" s="311">
        <v>0.28349999999999997</v>
      </c>
      <c r="AB545" s="311">
        <v>0.27360000000000001</v>
      </c>
      <c r="AC545" s="311">
        <v>0.21199999999999999</v>
      </c>
      <c r="AD545" s="311">
        <v>0.17960000000000001</v>
      </c>
      <c r="AE545" s="311">
        <v>0.28999999999999998</v>
      </c>
      <c r="AF545" s="311">
        <v>0.17069999999999999</v>
      </c>
      <c r="AG545" s="311">
        <v>0.2266</v>
      </c>
      <c r="AH545" s="311">
        <v>0.2311</v>
      </c>
      <c r="AI545" s="311">
        <v>0.28149999999999997</v>
      </c>
      <c r="AJ545" s="311">
        <v>0.19689999999999999</v>
      </c>
      <c r="AK545" s="311">
        <v>0.24329999999999999</v>
      </c>
      <c r="AL545" s="311">
        <v>0.2278</v>
      </c>
      <c r="AM545" s="311">
        <v>0.30309999999999998</v>
      </c>
      <c r="AN545" s="311">
        <v>0.22309999999999999</v>
      </c>
      <c r="AO545" s="311">
        <v>0.25750000000000001</v>
      </c>
      <c r="AP545" s="311">
        <v>0.30259999999999998</v>
      </c>
      <c r="AQ545" s="311">
        <v>0.2278</v>
      </c>
      <c r="AR545" s="311">
        <v>0.23949999999999999</v>
      </c>
      <c r="AS545" s="311">
        <v>0.1812</v>
      </c>
      <c r="AT545" s="311">
        <v>0.25750000000000001</v>
      </c>
      <c r="AU545" s="311">
        <v>0.27360000000000001</v>
      </c>
      <c r="AV545" s="311">
        <v>0.28749999999999998</v>
      </c>
      <c r="AW545" s="311">
        <v>0.27150000000000002</v>
      </c>
      <c r="AX545" s="311">
        <v>0.17580000000000001</v>
      </c>
      <c r="AY545" s="311">
        <v>0.25209999999999999</v>
      </c>
      <c r="AZ545" s="311">
        <v>0.27679999999999999</v>
      </c>
      <c r="BA545" s="311">
        <v>0</v>
      </c>
      <c r="BB545" s="311">
        <v>0.17299999999999999</v>
      </c>
      <c r="BC545" s="311">
        <v>0.30199999999999999</v>
      </c>
      <c r="BD545" s="311">
        <v>0.30719999999999997</v>
      </c>
      <c r="BE545" s="311">
        <v>0.32229999999999998</v>
      </c>
      <c r="BF545" s="311">
        <v>0.28310000000000002</v>
      </c>
      <c r="BG545" s="311">
        <v>0.29570000000000002</v>
      </c>
      <c r="BH545" s="311">
        <v>0.26219999999999999</v>
      </c>
      <c r="BI545" s="311">
        <v>0.27810000000000001</v>
      </c>
      <c r="BJ545" s="311">
        <v>0.27029999999999998</v>
      </c>
      <c r="BK545" s="311">
        <v>0.28939999999999999</v>
      </c>
    </row>
    <row r="546" spans="1:63" x14ac:dyDescent="0.25">
      <c r="A546" s="306">
        <v>325910</v>
      </c>
      <c r="B546" s="311" t="s">
        <v>121</v>
      </c>
      <c r="C546" s="311">
        <v>0.52</v>
      </c>
      <c r="D546" s="311">
        <v>0</v>
      </c>
      <c r="E546" s="311">
        <v>0.32519999999999999</v>
      </c>
      <c r="F546" s="311">
        <v>0.31280000000000002</v>
      </c>
      <c r="G546" s="311">
        <v>0.29520000000000002</v>
      </c>
      <c r="H546" s="311">
        <v>0.36359999999999998</v>
      </c>
      <c r="I546" s="311">
        <v>0.36370000000000002</v>
      </c>
      <c r="J546" s="311">
        <v>0.3266</v>
      </c>
      <c r="K546" s="311">
        <v>0</v>
      </c>
      <c r="L546" s="311">
        <v>0.29220000000000002</v>
      </c>
      <c r="M546" s="311">
        <v>0.29470000000000002</v>
      </c>
      <c r="N546" s="311">
        <v>0.38279999999999997</v>
      </c>
      <c r="O546" s="311">
        <v>0</v>
      </c>
      <c r="P546" s="311">
        <v>0.27139999999999997</v>
      </c>
      <c r="Q546" s="311">
        <v>0</v>
      </c>
      <c r="R546" s="311">
        <v>0.41049999999999998</v>
      </c>
      <c r="S546" s="311">
        <v>0.35630000000000001</v>
      </c>
      <c r="T546" s="311">
        <v>0.29349999999999998</v>
      </c>
      <c r="U546" s="311">
        <v>0.34179999999999999</v>
      </c>
      <c r="V546" s="311">
        <v>0.37119999999999997</v>
      </c>
      <c r="W546" s="311">
        <v>0.3453</v>
      </c>
      <c r="X546" s="311">
        <v>0.31859999999999999</v>
      </c>
      <c r="Y546" s="311">
        <v>0.28289999999999998</v>
      </c>
      <c r="Z546" s="311">
        <v>0.41070000000000001</v>
      </c>
      <c r="AA546" s="311">
        <v>0.35199999999999998</v>
      </c>
      <c r="AB546" s="311">
        <v>0.33910000000000001</v>
      </c>
      <c r="AC546" s="311">
        <v>0</v>
      </c>
      <c r="AD546" s="311">
        <v>0</v>
      </c>
      <c r="AE546" s="311">
        <v>0.39029999999999998</v>
      </c>
      <c r="AF546" s="311">
        <v>0</v>
      </c>
      <c r="AG546" s="311">
        <v>0.2717</v>
      </c>
      <c r="AH546" s="311">
        <v>0.27050000000000002</v>
      </c>
      <c r="AI546" s="311">
        <v>0.38819999999999999</v>
      </c>
      <c r="AJ546" s="311">
        <v>0.27650000000000002</v>
      </c>
      <c r="AK546" s="311">
        <v>0.30170000000000002</v>
      </c>
      <c r="AL546" s="311">
        <v>0.28889999999999999</v>
      </c>
      <c r="AM546" s="311">
        <v>0.41870000000000002</v>
      </c>
      <c r="AN546" s="311">
        <v>0.30990000000000001</v>
      </c>
      <c r="AO546" s="311">
        <v>0.35439999999999999</v>
      </c>
      <c r="AP546" s="311">
        <v>0.42130000000000001</v>
      </c>
      <c r="AQ546" s="311">
        <v>0.29520000000000002</v>
      </c>
      <c r="AR546" s="311">
        <v>0.32019999999999998</v>
      </c>
      <c r="AS546" s="311">
        <v>0</v>
      </c>
      <c r="AT546" s="311">
        <v>0.3553</v>
      </c>
      <c r="AU546" s="311">
        <v>0.42380000000000001</v>
      </c>
      <c r="AV546" s="311">
        <v>0.35830000000000001</v>
      </c>
      <c r="AW546" s="311">
        <v>0.34379999999999999</v>
      </c>
      <c r="AX546" s="311">
        <v>0</v>
      </c>
      <c r="AY546" s="311">
        <v>0.32419999999999999</v>
      </c>
      <c r="AZ546" s="311">
        <v>0.34179999999999999</v>
      </c>
      <c r="BA546" s="311">
        <v>0</v>
      </c>
      <c r="BB546" s="311">
        <v>0</v>
      </c>
      <c r="BC546" s="311">
        <v>0.37080000000000002</v>
      </c>
      <c r="BD546" s="311">
        <v>0.4199</v>
      </c>
      <c r="BE546" s="311">
        <v>0.43930000000000002</v>
      </c>
      <c r="BF546" s="311">
        <v>0.35210000000000002</v>
      </c>
      <c r="BG546" s="311">
        <v>0.4037</v>
      </c>
      <c r="BH546" s="311">
        <v>0.37690000000000001</v>
      </c>
      <c r="BI546" s="311">
        <v>0.42649999999999999</v>
      </c>
      <c r="BJ546" s="311">
        <v>0.35070000000000001</v>
      </c>
      <c r="BK546" s="311">
        <v>0.36990000000000001</v>
      </c>
    </row>
    <row r="547" spans="1:63" x14ac:dyDescent="0.25">
      <c r="A547" s="306" t="s">
        <v>715</v>
      </c>
      <c r="B547" s="311" t="s">
        <v>122</v>
      </c>
      <c r="C547" s="311">
        <v>0.52039999999999997</v>
      </c>
      <c r="D547" s="311">
        <v>0.2581</v>
      </c>
      <c r="E547" s="311">
        <v>0.36070000000000002</v>
      </c>
      <c r="F547" s="311">
        <v>0.35880000000000001</v>
      </c>
      <c r="G547" s="311">
        <v>0.32079999999999997</v>
      </c>
      <c r="H547" s="311">
        <v>0.39090000000000003</v>
      </c>
      <c r="I547" s="311">
        <v>0.39760000000000001</v>
      </c>
      <c r="J547" s="311">
        <v>0.37590000000000001</v>
      </c>
      <c r="K547" s="311">
        <v>0</v>
      </c>
      <c r="L547" s="311">
        <v>0.28639999999999999</v>
      </c>
      <c r="M547" s="311">
        <v>0.32279999999999998</v>
      </c>
      <c r="N547" s="311">
        <v>0.38990000000000002</v>
      </c>
      <c r="O547" s="311">
        <v>0.31680000000000003</v>
      </c>
      <c r="P547" s="311">
        <v>0.29039999999999999</v>
      </c>
      <c r="Q547" s="311">
        <v>0.32669999999999999</v>
      </c>
      <c r="R547" s="311">
        <v>0.43680000000000002</v>
      </c>
      <c r="S547" s="311">
        <v>0.36990000000000001</v>
      </c>
      <c r="T547" s="311">
        <v>0.30640000000000001</v>
      </c>
      <c r="U547" s="311">
        <v>0.34710000000000002</v>
      </c>
      <c r="V547" s="311">
        <v>0.38440000000000002</v>
      </c>
      <c r="W547" s="311">
        <v>0.38190000000000002</v>
      </c>
      <c r="X547" s="311">
        <v>0.31919999999999998</v>
      </c>
      <c r="Y547" s="311">
        <v>0.3236</v>
      </c>
      <c r="Z547" s="311">
        <v>0.41870000000000002</v>
      </c>
      <c r="AA547" s="311">
        <v>0.38009999999999999</v>
      </c>
      <c r="AB547" s="311">
        <v>0.37530000000000002</v>
      </c>
      <c r="AC547" s="311">
        <v>0.31719999999999998</v>
      </c>
      <c r="AD547" s="311">
        <v>0.27810000000000001</v>
      </c>
      <c r="AE547" s="311">
        <v>0.40379999999999999</v>
      </c>
      <c r="AF547" s="311">
        <v>0.23769999999999999</v>
      </c>
      <c r="AG547" s="311">
        <v>0.30790000000000001</v>
      </c>
      <c r="AH547" s="311">
        <v>0.3135</v>
      </c>
      <c r="AI547" s="311">
        <v>0.3977</v>
      </c>
      <c r="AJ547" s="311">
        <v>0.30130000000000001</v>
      </c>
      <c r="AK547" s="311">
        <v>0.3332</v>
      </c>
      <c r="AL547" s="311">
        <v>0.31740000000000002</v>
      </c>
      <c r="AM547" s="311">
        <v>0.42849999999999999</v>
      </c>
      <c r="AN547" s="311">
        <v>0.32319999999999999</v>
      </c>
      <c r="AO547" s="311">
        <v>0.3513</v>
      </c>
      <c r="AP547" s="311">
        <v>0.42959999999999998</v>
      </c>
      <c r="AQ547" s="311">
        <v>0.31469999999999998</v>
      </c>
      <c r="AR547" s="311">
        <v>0.35510000000000003</v>
      </c>
      <c r="AS547" s="311">
        <v>0.2641</v>
      </c>
      <c r="AT547" s="311">
        <v>0.36930000000000002</v>
      </c>
      <c r="AU547" s="311">
        <v>0.41699999999999998</v>
      </c>
      <c r="AV547" s="311">
        <v>0.38800000000000001</v>
      </c>
      <c r="AW547" s="311">
        <v>0.37490000000000001</v>
      </c>
      <c r="AX547" s="311">
        <v>0.24460000000000001</v>
      </c>
      <c r="AY547" s="311">
        <v>0.35709999999999997</v>
      </c>
      <c r="AZ547" s="311">
        <v>0.36969999999999997</v>
      </c>
      <c r="BA547" s="311">
        <v>0.30780000000000002</v>
      </c>
      <c r="BB547" s="311">
        <v>0.27300000000000002</v>
      </c>
      <c r="BC547" s="311">
        <v>0.41560000000000002</v>
      </c>
      <c r="BD547" s="311">
        <v>0.4335</v>
      </c>
      <c r="BE547" s="311">
        <v>0.45300000000000001</v>
      </c>
      <c r="BF547" s="311">
        <v>0.3831</v>
      </c>
      <c r="BG547" s="311">
        <v>0.41710000000000003</v>
      </c>
      <c r="BH547" s="311">
        <v>0.38590000000000002</v>
      </c>
      <c r="BI547" s="311">
        <v>0.42309999999999998</v>
      </c>
      <c r="BJ547" s="311">
        <v>0.38109999999999999</v>
      </c>
      <c r="BK547" s="311">
        <v>0.39319999999999999</v>
      </c>
    </row>
    <row r="548" spans="1:63" x14ac:dyDescent="0.25">
      <c r="A548" s="306">
        <v>326110</v>
      </c>
      <c r="B548" s="311" t="s">
        <v>123</v>
      </c>
      <c r="C548" s="311">
        <v>0.44400000000000001</v>
      </c>
      <c r="D548" s="311">
        <v>0</v>
      </c>
      <c r="E548" s="311">
        <v>0.33429999999999999</v>
      </c>
      <c r="F548" s="311">
        <v>0.27189999999999998</v>
      </c>
      <c r="G548" s="311">
        <v>0.25469999999999998</v>
      </c>
      <c r="H548" s="311">
        <v>0.29249999999999998</v>
      </c>
      <c r="I548" s="311">
        <v>0.27600000000000002</v>
      </c>
      <c r="J548" s="311">
        <v>0.30359999999999998</v>
      </c>
      <c r="K548" s="311">
        <v>0</v>
      </c>
      <c r="L548" s="311">
        <v>0.25619999999999998</v>
      </c>
      <c r="M548" s="311">
        <v>0.26100000000000001</v>
      </c>
      <c r="N548" s="311">
        <v>0.32040000000000002</v>
      </c>
      <c r="O548" s="311">
        <v>0.2266</v>
      </c>
      <c r="P548" s="311">
        <v>0.25829999999999997</v>
      </c>
      <c r="Q548" s="311">
        <v>0.24</v>
      </c>
      <c r="R548" s="311">
        <v>0.3609</v>
      </c>
      <c r="S548" s="311">
        <v>0.32190000000000002</v>
      </c>
      <c r="T548" s="311">
        <v>0.25979999999999998</v>
      </c>
      <c r="U548" s="311">
        <v>0.316</v>
      </c>
      <c r="V548" s="311">
        <v>0.34329999999999999</v>
      </c>
      <c r="W548" s="311">
        <v>0.31419999999999998</v>
      </c>
      <c r="X548" s="311">
        <v>0.2283</v>
      </c>
      <c r="Y548" s="311">
        <v>0.25190000000000001</v>
      </c>
      <c r="Z548" s="311">
        <v>0.33510000000000001</v>
      </c>
      <c r="AA548" s="311">
        <v>0.29370000000000002</v>
      </c>
      <c r="AB548" s="311">
        <v>0.32129999999999997</v>
      </c>
      <c r="AC548" s="311">
        <v>0.28370000000000001</v>
      </c>
      <c r="AD548" s="311">
        <v>0</v>
      </c>
      <c r="AE548" s="311">
        <v>0.31309999999999999</v>
      </c>
      <c r="AF548" s="311">
        <v>0.20380000000000001</v>
      </c>
      <c r="AG548" s="311">
        <v>0.246</v>
      </c>
      <c r="AH548" s="311">
        <v>0.25840000000000002</v>
      </c>
      <c r="AI548" s="311">
        <v>0.30840000000000001</v>
      </c>
      <c r="AJ548" s="311">
        <v>0.2293</v>
      </c>
      <c r="AK548" s="311">
        <v>0.2422</v>
      </c>
      <c r="AL548" s="311">
        <v>0.25440000000000002</v>
      </c>
      <c r="AM548" s="311">
        <v>0.36809999999999998</v>
      </c>
      <c r="AN548" s="311">
        <v>0.27150000000000002</v>
      </c>
      <c r="AO548" s="311">
        <v>0.27560000000000001</v>
      </c>
      <c r="AP548" s="311">
        <v>0.35639999999999999</v>
      </c>
      <c r="AQ548" s="311">
        <v>0.27160000000000001</v>
      </c>
      <c r="AR548" s="311">
        <v>0.33650000000000002</v>
      </c>
      <c r="AS548" s="311">
        <v>0.23300000000000001</v>
      </c>
      <c r="AT548" s="311">
        <v>0.32119999999999999</v>
      </c>
      <c r="AU548" s="311">
        <v>0.37819999999999998</v>
      </c>
      <c r="AV548" s="311">
        <v>0.27460000000000001</v>
      </c>
      <c r="AW548" s="311">
        <v>0.28050000000000003</v>
      </c>
      <c r="AX548" s="311">
        <v>0.20979999999999999</v>
      </c>
      <c r="AY548" s="311">
        <v>0.27750000000000002</v>
      </c>
      <c r="AZ548" s="311">
        <v>0.29780000000000001</v>
      </c>
      <c r="BA548" s="311">
        <v>0.2732</v>
      </c>
      <c r="BB548" s="311">
        <v>0</v>
      </c>
      <c r="BC548" s="311">
        <v>0.33950000000000002</v>
      </c>
      <c r="BD548" s="311">
        <v>0.33460000000000001</v>
      </c>
      <c r="BE548" s="311">
        <v>0.37669999999999998</v>
      </c>
      <c r="BF548" s="311">
        <v>0.30719999999999997</v>
      </c>
      <c r="BG548" s="311">
        <v>0.34279999999999999</v>
      </c>
      <c r="BH548" s="311">
        <v>0.35249999999999998</v>
      </c>
      <c r="BI548" s="311">
        <v>0.38429999999999997</v>
      </c>
      <c r="BJ548" s="311">
        <v>0.27089999999999997</v>
      </c>
      <c r="BK548" s="311">
        <v>0.29480000000000001</v>
      </c>
    </row>
    <row r="549" spans="1:63" x14ac:dyDescent="0.25">
      <c r="A549" s="306">
        <v>326121</v>
      </c>
      <c r="B549" s="311" t="s">
        <v>124</v>
      </c>
      <c r="C549" s="311">
        <v>0.4657</v>
      </c>
      <c r="D549" s="311">
        <v>0</v>
      </c>
      <c r="E549" s="311">
        <v>0.36509999999999998</v>
      </c>
      <c r="F549" s="311">
        <v>0.30249999999999999</v>
      </c>
      <c r="G549" s="311">
        <v>0.30209999999999998</v>
      </c>
      <c r="H549" s="311">
        <v>0.33339999999999997</v>
      </c>
      <c r="I549" s="311">
        <v>0.32529999999999998</v>
      </c>
      <c r="J549" s="311">
        <v>0.33960000000000001</v>
      </c>
      <c r="K549" s="311">
        <v>0</v>
      </c>
      <c r="L549" s="311">
        <v>0.28249999999999997</v>
      </c>
      <c r="M549" s="311">
        <v>0.30649999999999999</v>
      </c>
      <c r="N549" s="311">
        <v>0.35349999999999998</v>
      </c>
      <c r="O549" s="311">
        <v>0.27539999999999998</v>
      </c>
      <c r="P549" s="311">
        <v>0.2918</v>
      </c>
      <c r="Q549" s="311">
        <v>0.28649999999999998</v>
      </c>
      <c r="R549" s="311">
        <v>0.3916</v>
      </c>
      <c r="S549" s="311">
        <v>0.35010000000000002</v>
      </c>
      <c r="T549" s="311">
        <v>0.29599999999999999</v>
      </c>
      <c r="U549" s="311">
        <v>0.34360000000000002</v>
      </c>
      <c r="V549" s="311">
        <v>0.375</v>
      </c>
      <c r="W549" s="311">
        <v>0.34820000000000001</v>
      </c>
      <c r="X549" s="311">
        <v>0.26590000000000003</v>
      </c>
      <c r="Y549" s="311">
        <v>0</v>
      </c>
      <c r="Z549" s="311">
        <v>0.37269999999999998</v>
      </c>
      <c r="AA549" s="311">
        <v>0.32800000000000001</v>
      </c>
      <c r="AB549" s="311">
        <v>0.35020000000000001</v>
      </c>
      <c r="AC549" s="311">
        <v>0.31669999999999998</v>
      </c>
      <c r="AD549" s="311">
        <v>0.26869999999999999</v>
      </c>
      <c r="AE549" s="311">
        <v>0.34610000000000002</v>
      </c>
      <c r="AF549" s="311">
        <v>0.2419</v>
      </c>
      <c r="AG549" s="311">
        <v>0</v>
      </c>
      <c r="AH549" s="311">
        <v>0.3</v>
      </c>
      <c r="AI549" s="311">
        <v>0.33729999999999999</v>
      </c>
      <c r="AJ549" s="311">
        <v>0</v>
      </c>
      <c r="AK549" s="311">
        <v>0.28670000000000001</v>
      </c>
      <c r="AL549" s="311">
        <v>0.29980000000000001</v>
      </c>
      <c r="AM549" s="311">
        <v>0.39679999999999999</v>
      </c>
      <c r="AN549" s="311">
        <v>0.30990000000000001</v>
      </c>
      <c r="AO549" s="311">
        <v>0.316</v>
      </c>
      <c r="AP549" s="311">
        <v>0.39019999999999999</v>
      </c>
      <c r="AQ549" s="311">
        <v>0.3095</v>
      </c>
      <c r="AR549" s="311">
        <v>0.3664</v>
      </c>
      <c r="AS549" s="311">
        <v>0</v>
      </c>
      <c r="AT549" s="311">
        <v>0.35499999999999998</v>
      </c>
      <c r="AU549" s="311">
        <v>0.40639999999999998</v>
      </c>
      <c r="AV549" s="311">
        <v>0.31709999999999999</v>
      </c>
      <c r="AW549" s="311">
        <v>0.313</v>
      </c>
      <c r="AX549" s="311">
        <v>0</v>
      </c>
      <c r="AY549" s="311">
        <v>0.31940000000000002</v>
      </c>
      <c r="AZ549" s="311">
        <v>0.33150000000000002</v>
      </c>
      <c r="BA549" s="311">
        <v>0.3014</v>
      </c>
      <c r="BB549" s="311">
        <v>0</v>
      </c>
      <c r="BC549" s="311">
        <v>0.37640000000000001</v>
      </c>
      <c r="BD549" s="311">
        <v>0.37040000000000001</v>
      </c>
      <c r="BE549" s="311">
        <v>0.4052</v>
      </c>
      <c r="BF549" s="311">
        <v>0.33900000000000002</v>
      </c>
      <c r="BG549" s="311">
        <v>0.3755</v>
      </c>
      <c r="BH549" s="311">
        <v>0.37930000000000003</v>
      </c>
      <c r="BI549" s="311">
        <v>0.41170000000000001</v>
      </c>
      <c r="BJ549" s="311">
        <v>0.31769999999999998</v>
      </c>
      <c r="BK549" s="311">
        <v>0.33589999999999998</v>
      </c>
    </row>
    <row r="550" spans="1:63" x14ac:dyDescent="0.25">
      <c r="A550" s="306">
        <v>326122</v>
      </c>
      <c r="B550" s="311" t="s">
        <v>125</v>
      </c>
      <c r="C550" s="311">
        <v>0.42749999999999999</v>
      </c>
      <c r="D550" s="311">
        <v>0</v>
      </c>
      <c r="E550" s="311">
        <v>0.32069999999999999</v>
      </c>
      <c r="F550" s="311">
        <v>0.2384</v>
      </c>
      <c r="G550" s="311">
        <v>0.21709999999999999</v>
      </c>
      <c r="H550" s="311">
        <v>0.24510000000000001</v>
      </c>
      <c r="I550" s="311">
        <v>0.2334</v>
      </c>
      <c r="J550" s="311">
        <v>0.27689999999999998</v>
      </c>
      <c r="K550" s="311">
        <v>0</v>
      </c>
      <c r="L550" s="311">
        <v>0</v>
      </c>
      <c r="M550" s="311">
        <v>0.22140000000000001</v>
      </c>
      <c r="N550" s="311">
        <v>0.2752</v>
      </c>
      <c r="O550" s="311">
        <v>0</v>
      </c>
      <c r="P550" s="311">
        <v>0.2273</v>
      </c>
      <c r="Q550" s="311">
        <v>0.2029</v>
      </c>
      <c r="R550" s="311">
        <v>0.33300000000000002</v>
      </c>
      <c r="S550" s="311">
        <v>0.29709999999999998</v>
      </c>
      <c r="T550" s="311">
        <v>0.22140000000000001</v>
      </c>
      <c r="U550" s="311">
        <v>0.28870000000000001</v>
      </c>
      <c r="V550" s="311">
        <v>0.33310000000000001</v>
      </c>
      <c r="W550" s="311">
        <v>0.28499999999999998</v>
      </c>
      <c r="X550" s="311">
        <v>0.18679999999999999</v>
      </c>
      <c r="Y550" s="311">
        <v>0.2044</v>
      </c>
      <c r="Z550" s="311">
        <v>0.30780000000000002</v>
      </c>
      <c r="AA550" s="311">
        <v>0.24279999999999999</v>
      </c>
      <c r="AB550" s="311">
        <v>0.29420000000000002</v>
      </c>
      <c r="AC550" s="311">
        <v>0.26729999999999998</v>
      </c>
      <c r="AD550" s="311">
        <v>0.1905</v>
      </c>
      <c r="AE550" s="311">
        <v>0.2767</v>
      </c>
      <c r="AF550" s="311">
        <v>0.17199999999999999</v>
      </c>
      <c r="AG550" s="311">
        <v>0.21490000000000001</v>
      </c>
      <c r="AH550" s="311">
        <v>0.21920000000000001</v>
      </c>
      <c r="AI550" s="311">
        <v>0.2772</v>
      </c>
      <c r="AJ550" s="311">
        <v>0.19370000000000001</v>
      </c>
      <c r="AK550" s="311">
        <v>0.19719999999999999</v>
      </c>
      <c r="AL550" s="311">
        <v>0.21809999999999999</v>
      </c>
      <c r="AM550" s="311">
        <v>0.34360000000000002</v>
      </c>
      <c r="AN550" s="311">
        <v>0.22739999999999999</v>
      </c>
      <c r="AO550" s="311">
        <v>0.23069999999999999</v>
      </c>
      <c r="AP550" s="311">
        <v>0.3357</v>
      </c>
      <c r="AQ550" s="311">
        <v>0</v>
      </c>
      <c r="AR550" s="311">
        <v>0.31690000000000002</v>
      </c>
      <c r="AS550" s="311">
        <v>0</v>
      </c>
      <c r="AT550" s="311">
        <v>0.29360000000000003</v>
      </c>
      <c r="AU550" s="311">
        <v>0.36830000000000002</v>
      </c>
      <c r="AV550" s="311">
        <v>0.22939999999999999</v>
      </c>
      <c r="AW550" s="311">
        <v>0.2399</v>
      </c>
      <c r="AX550" s="311">
        <v>0.17949999999999999</v>
      </c>
      <c r="AY550" s="311">
        <v>0.2351</v>
      </c>
      <c r="AZ550" s="311">
        <v>0.24909999999999999</v>
      </c>
      <c r="BA550" s="311">
        <v>0.26929999999999998</v>
      </c>
      <c r="BB550" s="311">
        <v>0.17380000000000001</v>
      </c>
      <c r="BC550" s="311">
        <v>0.31069999999999998</v>
      </c>
      <c r="BD550" s="311">
        <v>0.29920000000000002</v>
      </c>
      <c r="BE550" s="311">
        <v>0.34860000000000002</v>
      </c>
      <c r="BF550" s="311">
        <v>0.26419999999999999</v>
      </c>
      <c r="BG550" s="311">
        <v>0.30620000000000003</v>
      </c>
      <c r="BH550" s="311">
        <v>0.32900000000000001</v>
      </c>
      <c r="BI550" s="311">
        <v>0.37109999999999999</v>
      </c>
      <c r="BJ550" s="311">
        <v>0.2286</v>
      </c>
      <c r="BK550" s="311">
        <v>0.2467</v>
      </c>
    </row>
    <row r="551" spans="1:63" x14ac:dyDescent="0.25">
      <c r="A551" s="306">
        <v>326130</v>
      </c>
      <c r="B551" s="311" t="s">
        <v>126</v>
      </c>
      <c r="C551" s="311">
        <v>0.48520000000000002</v>
      </c>
      <c r="D551" s="311">
        <v>0</v>
      </c>
      <c r="E551" s="311">
        <v>0.37530000000000002</v>
      </c>
      <c r="F551" s="311">
        <v>0.33439999999999998</v>
      </c>
      <c r="G551" s="311">
        <v>0.31809999999999999</v>
      </c>
      <c r="H551" s="311">
        <v>0.35499999999999998</v>
      </c>
      <c r="I551" s="311">
        <v>0.34350000000000003</v>
      </c>
      <c r="J551" s="311">
        <v>0.3553</v>
      </c>
      <c r="K551" s="311">
        <v>0</v>
      </c>
      <c r="L551" s="311">
        <v>0.27989999999999998</v>
      </c>
      <c r="M551" s="311">
        <v>0.3241</v>
      </c>
      <c r="N551" s="311">
        <v>0.39539999999999997</v>
      </c>
      <c r="O551" s="311">
        <v>0</v>
      </c>
      <c r="P551" s="311">
        <v>0.30349999999999999</v>
      </c>
      <c r="Q551" s="311">
        <v>0.31159999999999999</v>
      </c>
      <c r="R551" s="311">
        <v>0.40050000000000002</v>
      </c>
      <c r="S551" s="311">
        <v>0.36070000000000002</v>
      </c>
      <c r="T551" s="311">
        <v>0.31619999999999998</v>
      </c>
      <c r="U551" s="311">
        <v>0.36820000000000003</v>
      </c>
      <c r="V551" s="311">
        <v>0.37919999999999998</v>
      </c>
      <c r="W551" s="311">
        <v>0.3674</v>
      </c>
      <c r="X551" s="311">
        <v>0.28870000000000001</v>
      </c>
      <c r="Y551" s="311">
        <v>0.33210000000000001</v>
      </c>
      <c r="Z551" s="311">
        <v>0.38840000000000002</v>
      </c>
      <c r="AA551" s="311">
        <v>0.36959999999999998</v>
      </c>
      <c r="AB551" s="311">
        <v>0.35730000000000001</v>
      </c>
      <c r="AC551" s="311">
        <v>0.32929999999999998</v>
      </c>
      <c r="AD551" s="311">
        <v>0</v>
      </c>
      <c r="AE551" s="311">
        <v>0.37630000000000002</v>
      </c>
      <c r="AF551" s="311">
        <v>0</v>
      </c>
      <c r="AG551" s="311">
        <v>0.28989999999999999</v>
      </c>
      <c r="AH551" s="311">
        <v>0.33700000000000002</v>
      </c>
      <c r="AI551" s="311">
        <v>0.3599</v>
      </c>
      <c r="AJ551" s="311">
        <v>0</v>
      </c>
      <c r="AK551" s="311">
        <v>0</v>
      </c>
      <c r="AL551" s="311">
        <v>0.318</v>
      </c>
      <c r="AM551" s="311">
        <v>0.41880000000000001</v>
      </c>
      <c r="AN551" s="311">
        <v>0.3508</v>
      </c>
      <c r="AO551" s="311">
        <v>0.3508</v>
      </c>
      <c r="AP551" s="311">
        <v>0.41139999999999999</v>
      </c>
      <c r="AQ551" s="311">
        <v>0.31630000000000003</v>
      </c>
      <c r="AR551" s="311">
        <v>0.38200000000000001</v>
      </c>
      <c r="AS551" s="311">
        <v>0.28999999999999998</v>
      </c>
      <c r="AT551" s="311">
        <v>0.38179999999999997</v>
      </c>
      <c r="AU551" s="311">
        <v>0.40260000000000001</v>
      </c>
      <c r="AV551" s="311">
        <v>0.33960000000000001</v>
      </c>
      <c r="AW551" s="311">
        <v>0.34589999999999999</v>
      </c>
      <c r="AX551" s="311">
        <v>0.26219999999999999</v>
      </c>
      <c r="AY551" s="311">
        <v>0.35699999999999998</v>
      </c>
      <c r="AZ551" s="311">
        <v>0.37369999999999998</v>
      </c>
      <c r="BA551" s="311">
        <v>0</v>
      </c>
      <c r="BB551" s="311">
        <v>0.25109999999999999</v>
      </c>
      <c r="BC551" s="311">
        <v>0.40179999999999999</v>
      </c>
      <c r="BD551" s="311">
        <v>0.39810000000000001</v>
      </c>
      <c r="BE551" s="311">
        <v>0.43240000000000001</v>
      </c>
      <c r="BF551" s="311">
        <v>0.36770000000000003</v>
      </c>
      <c r="BG551" s="311">
        <v>0.40360000000000001</v>
      </c>
      <c r="BH551" s="311">
        <v>0.40450000000000003</v>
      </c>
      <c r="BI551" s="311">
        <v>0.42420000000000002</v>
      </c>
      <c r="BJ551" s="311">
        <v>0.33939999999999998</v>
      </c>
      <c r="BK551" s="311">
        <v>0.36670000000000003</v>
      </c>
    </row>
    <row r="552" spans="1:63" x14ac:dyDescent="0.25">
      <c r="A552" s="306">
        <v>326140</v>
      </c>
      <c r="B552" s="311" t="s">
        <v>127</v>
      </c>
      <c r="C552" s="311">
        <v>0.43359999999999999</v>
      </c>
      <c r="D552" s="311">
        <v>0.2069</v>
      </c>
      <c r="E552" s="311">
        <v>0.32329999999999998</v>
      </c>
      <c r="F552" s="311">
        <v>0.26179999999999998</v>
      </c>
      <c r="G552" s="311">
        <v>0.26090000000000002</v>
      </c>
      <c r="H552" s="311">
        <v>0.3024</v>
      </c>
      <c r="I552" s="311">
        <v>0.28189999999999998</v>
      </c>
      <c r="J552" s="311">
        <v>0.28939999999999999</v>
      </c>
      <c r="K552" s="311">
        <v>0</v>
      </c>
      <c r="L552" s="311">
        <v>0.23849999999999999</v>
      </c>
      <c r="M552" s="311">
        <v>0.27439999999999998</v>
      </c>
      <c r="N552" s="311">
        <v>0.32740000000000002</v>
      </c>
      <c r="O552" s="311">
        <v>0.23719999999999999</v>
      </c>
      <c r="P552" s="311">
        <v>0.24890000000000001</v>
      </c>
      <c r="Q552" s="311">
        <v>0.2432</v>
      </c>
      <c r="R552" s="311">
        <v>0.35420000000000001</v>
      </c>
      <c r="S552" s="311">
        <v>0.313</v>
      </c>
      <c r="T552" s="311">
        <v>0.25559999999999999</v>
      </c>
      <c r="U552" s="311">
        <v>0.31040000000000001</v>
      </c>
      <c r="V552" s="311">
        <v>0.34050000000000002</v>
      </c>
      <c r="W552" s="311">
        <v>0.3014</v>
      </c>
      <c r="X552" s="311">
        <v>0.23280000000000001</v>
      </c>
      <c r="Y552" s="311">
        <v>0.25879999999999997</v>
      </c>
      <c r="Z552" s="311">
        <v>0.32250000000000001</v>
      </c>
      <c r="AA552" s="311">
        <v>0.28520000000000001</v>
      </c>
      <c r="AB552" s="311">
        <v>0.30049999999999999</v>
      </c>
      <c r="AC552" s="311">
        <v>0.28549999999999998</v>
      </c>
      <c r="AD552" s="311">
        <v>0.2344</v>
      </c>
      <c r="AE552" s="311">
        <v>0.31680000000000003</v>
      </c>
      <c r="AF552" s="311">
        <v>0</v>
      </c>
      <c r="AG552" s="311">
        <v>0.24729999999999999</v>
      </c>
      <c r="AH552" s="311">
        <v>0.2535</v>
      </c>
      <c r="AI552" s="311">
        <v>0.29360000000000003</v>
      </c>
      <c r="AJ552" s="311">
        <v>0.2427</v>
      </c>
      <c r="AK552" s="311">
        <v>0.24440000000000001</v>
      </c>
      <c r="AL552" s="311">
        <v>0.26929999999999998</v>
      </c>
      <c r="AM552" s="311">
        <v>0.36070000000000002</v>
      </c>
      <c r="AN552" s="311">
        <v>0.26929999999999998</v>
      </c>
      <c r="AO552" s="311">
        <v>0.27429999999999999</v>
      </c>
      <c r="AP552" s="311">
        <v>0.34060000000000001</v>
      </c>
      <c r="AQ552" s="311">
        <v>0.2656</v>
      </c>
      <c r="AR552" s="311">
        <v>0.31790000000000002</v>
      </c>
      <c r="AS552" s="311">
        <v>0.23280000000000001</v>
      </c>
      <c r="AT552" s="311">
        <v>0.31009999999999999</v>
      </c>
      <c r="AU552" s="311">
        <v>0.36899999999999999</v>
      </c>
      <c r="AV552" s="311">
        <v>0.28010000000000002</v>
      </c>
      <c r="AW552" s="311">
        <v>0.27629999999999999</v>
      </c>
      <c r="AX552" s="311">
        <v>0</v>
      </c>
      <c r="AY552" s="311">
        <v>0.2782</v>
      </c>
      <c r="AZ552" s="311">
        <v>0.29260000000000003</v>
      </c>
      <c r="BA552" s="311">
        <v>0.25509999999999999</v>
      </c>
      <c r="BB552" s="311">
        <v>0</v>
      </c>
      <c r="BC552" s="311">
        <v>0.32369999999999999</v>
      </c>
      <c r="BD552" s="311">
        <v>0.33889999999999998</v>
      </c>
      <c r="BE552" s="311">
        <v>0.36880000000000002</v>
      </c>
      <c r="BF552" s="311">
        <v>0.29399999999999998</v>
      </c>
      <c r="BG552" s="311">
        <v>0.33950000000000002</v>
      </c>
      <c r="BH552" s="311">
        <v>0.34770000000000001</v>
      </c>
      <c r="BI552" s="311">
        <v>0.37540000000000001</v>
      </c>
      <c r="BJ552" s="311">
        <v>0.27739999999999998</v>
      </c>
      <c r="BK552" s="311">
        <v>0.30330000000000001</v>
      </c>
    </row>
    <row r="553" spans="1:63" x14ac:dyDescent="0.25">
      <c r="A553" s="306">
        <v>326150</v>
      </c>
      <c r="B553" s="311" t="s">
        <v>128</v>
      </c>
      <c r="C553" s="311">
        <v>0.44529999999999997</v>
      </c>
      <c r="D553" s="311">
        <v>0.19769999999999999</v>
      </c>
      <c r="E553" s="311">
        <v>0.32669999999999999</v>
      </c>
      <c r="F553" s="311">
        <v>0.28160000000000002</v>
      </c>
      <c r="G553" s="311">
        <v>0.25969999999999999</v>
      </c>
      <c r="H553" s="311">
        <v>0.3034</v>
      </c>
      <c r="I553" s="311">
        <v>0.2913</v>
      </c>
      <c r="J553" s="311">
        <v>0.30409999999999998</v>
      </c>
      <c r="K553" s="311">
        <v>0</v>
      </c>
      <c r="L553" s="311">
        <v>0.23810000000000001</v>
      </c>
      <c r="M553" s="311">
        <v>0.2717</v>
      </c>
      <c r="N553" s="311">
        <v>0.3397</v>
      </c>
      <c r="O553" s="311">
        <v>0</v>
      </c>
      <c r="P553" s="311">
        <v>0.26369999999999999</v>
      </c>
      <c r="Q553" s="311">
        <v>0</v>
      </c>
      <c r="R553" s="311">
        <v>0.36780000000000002</v>
      </c>
      <c r="S553" s="311">
        <v>0.32890000000000003</v>
      </c>
      <c r="T553" s="311">
        <v>0.2762</v>
      </c>
      <c r="U553" s="311">
        <v>0.31950000000000001</v>
      </c>
      <c r="V553" s="311">
        <v>0.3266</v>
      </c>
      <c r="W553" s="311">
        <v>0.30359999999999998</v>
      </c>
      <c r="X553" s="311">
        <v>0.2351</v>
      </c>
      <c r="Y553" s="311">
        <v>0.25130000000000002</v>
      </c>
      <c r="Z553" s="311">
        <v>0.3236</v>
      </c>
      <c r="AA553" s="311">
        <v>0.32140000000000002</v>
      </c>
      <c r="AB553" s="311">
        <v>0.31719999999999998</v>
      </c>
      <c r="AC553" s="311">
        <v>0.2712</v>
      </c>
      <c r="AD553" s="311">
        <v>0</v>
      </c>
      <c r="AE553" s="311">
        <v>0.32179999999999997</v>
      </c>
      <c r="AF553" s="311">
        <v>0</v>
      </c>
      <c r="AG553" s="311">
        <v>0.25619999999999998</v>
      </c>
      <c r="AH553" s="311">
        <v>0.2676</v>
      </c>
      <c r="AI553" s="311">
        <v>0.32050000000000001</v>
      </c>
      <c r="AJ553" s="311">
        <v>0.23619999999999999</v>
      </c>
      <c r="AK553" s="311">
        <v>0.24629999999999999</v>
      </c>
      <c r="AL553" s="311">
        <v>0.26600000000000001</v>
      </c>
      <c r="AM553" s="311">
        <v>0.37540000000000001</v>
      </c>
      <c r="AN553" s="311">
        <v>0.27339999999999998</v>
      </c>
      <c r="AO553" s="311">
        <v>0.28949999999999998</v>
      </c>
      <c r="AP553" s="311">
        <v>0.34610000000000002</v>
      </c>
      <c r="AQ553" s="311">
        <v>0.2631</v>
      </c>
      <c r="AR553" s="311">
        <v>0.33</v>
      </c>
      <c r="AS553" s="311">
        <v>0</v>
      </c>
      <c r="AT553" s="311">
        <v>0.31919999999999998</v>
      </c>
      <c r="AU553" s="311">
        <v>0.36890000000000001</v>
      </c>
      <c r="AV553" s="311">
        <v>0.28460000000000002</v>
      </c>
      <c r="AW553" s="311">
        <v>0.28899999999999998</v>
      </c>
      <c r="AX553" s="311">
        <v>0</v>
      </c>
      <c r="AY553" s="311">
        <v>0.27800000000000002</v>
      </c>
      <c r="AZ553" s="311">
        <v>0.31759999999999999</v>
      </c>
      <c r="BA553" s="311">
        <v>0.2576</v>
      </c>
      <c r="BB553" s="311">
        <v>0</v>
      </c>
      <c r="BC553" s="311">
        <v>0.33410000000000001</v>
      </c>
      <c r="BD553" s="311">
        <v>0.35210000000000002</v>
      </c>
      <c r="BE553" s="311">
        <v>0.38669999999999999</v>
      </c>
      <c r="BF553" s="311">
        <v>0.32769999999999999</v>
      </c>
      <c r="BG553" s="311">
        <v>0.34439999999999998</v>
      </c>
      <c r="BH553" s="311">
        <v>0.35880000000000001</v>
      </c>
      <c r="BI553" s="311">
        <v>0.37319999999999998</v>
      </c>
      <c r="BJ553" s="311">
        <v>0.28510000000000002</v>
      </c>
      <c r="BK553" s="311">
        <v>0.30459999999999998</v>
      </c>
    </row>
    <row r="554" spans="1:63" x14ac:dyDescent="0.25">
      <c r="A554" s="306">
        <v>326160</v>
      </c>
      <c r="B554" s="311" t="s">
        <v>129</v>
      </c>
      <c r="C554" s="311">
        <v>0.40939999999999999</v>
      </c>
      <c r="D554" s="311">
        <v>0</v>
      </c>
      <c r="E554" s="311">
        <v>0.31630000000000003</v>
      </c>
      <c r="F554" s="311">
        <v>0.25430000000000003</v>
      </c>
      <c r="G554" s="311">
        <v>0.23089999999999999</v>
      </c>
      <c r="H554" s="311">
        <v>0.2596</v>
      </c>
      <c r="I554" s="311">
        <v>0.2492</v>
      </c>
      <c r="J554" s="311">
        <v>0.2797</v>
      </c>
      <c r="K554" s="311">
        <v>0</v>
      </c>
      <c r="L554" s="311">
        <v>0.2409</v>
      </c>
      <c r="M554" s="311">
        <v>0.23530000000000001</v>
      </c>
      <c r="N554" s="311">
        <v>0.29310000000000003</v>
      </c>
      <c r="O554" s="311">
        <v>0.2084</v>
      </c>
      <c r="P554" s="311">
        <v>0.24279999999999999</v>
      </c>
      <c r="Q554" s="311">
        <v>0</v>
      </c>
      <c r="R554" s="311">
        <v>0.33250000000000002</v>
      </c>
      <c r="S554" s="311">
        <v>0.3004</v>
      </c>
      <c r="T554" s="311">
        <v>0.2414</v>
      </c>
      <c r="U554" s="311">
        <v>0.29330000000000001</v>
      </c>
      <c r="V554" s="311">
        <v>0.32469999999999999</v>
      </c>
      <c r="W554" s="311">
        <v>0.28310000000000002</v>
      </c>
      <c r="X554" s="311">
        <v>0.20580000000000001</v>
      </c>
      <c r="Y554" s="311">
        <v>0.22689999999999999</v>
      </c>
      <c r="Z554" s="311">
        <v>0.30869999999999997</v>
      </c>
      <c r="AA554" s="311">
        <v>0.26579999999999998</v>
      </c>
      <c r="AB554" s="311">
        <v>0.29580000000000001</v>
      </c>
      <c r="AC554" s="311">
        <v>0.26850000000000002</v>
      </c>
      <c r="AD554" s="311">
        <v>0.2107</v>
      </c>
      <c r="AE554" s="311">
        <v>0.28489999999999999</v>
      </c>
      <c r="AF554" s="311">
        <v>0.1918</v>
      </c>
      <c r="AG554" s="311">
        <v>0</v>
      </c>
      <c r="AH554" s="311">
        <v>0.2346</v>
      </c>
      <c r="AI554" s="311">
        <v>0.2797</v>
      </c>
      <c r="AJ554" s="311">
        <v>0</v>
      </c>
      <c r="AK554" s="311">
        <v>0.2177</v>
      </c>
      <c r="AL554" s="311">
        <v>0.23050000000000001</v>
      </c>
      <c r="AM554" s="311">
        <v>0.34129999999999999</v>
      </c>
      <c r="AN554" s="311">
        <v>0.245</v>
      </c>
      <c r="AO554" s="311">
        <v>0.24829999999999999</v>
      </c>
      <c r="AP554" s="311">
        <v>0.3296</v>
      </c>
      <c r="AQ554" s="311">
        <v>0.25019999999999998</v>
      </c>
      <c r="AR554" s="311">
        <v>0.316</v>
      </c>
      <c r="AS554" s="311">
        <v>0.2172</v>
      </c>
      <c r="AT554" s="311">
        <v>0.2974</v>
      </c>
      <c r="AU554" s="311">
        <v>0.35070000000000001</v>
      </c>
      <c r="AV554" s="311">
        <v>0.2462</v>
      </c>
      <c r="AW554" s="311">
        <v>0.255</v>
      </c>
      <c r="AX554" s="311">
        <v>0.1898</v>
      </c>
      <c r="AY554" s="311">
        <v>0.25380000000000003</v>
      </c>
      <c r="AZ554" s="311">
        <v>0.27350000000000002</v>
      </c>
      <c r="BA554" s="311">
        <v>0.25890000000000002</v>
      </c>
      <c r="BB554" s="311">
        <v>0.18859999999999999</v>
      </c>
      <c r="BC554" s="311">
        <v>0.30809999999999998</v>
      </c>
      <c r="BD554" s="311">
        <v>0.30399999999999999</v>
      </c>
      <c r="BE554" s="311">
        <v>0.3483</v>
      </c>
      <c r="BF554" s="311">
        <v>0.28129999999999999</v>
      </c>
      <c r="BG554" s="311">
        <v>0.31330000000000002</v>
      </c>
      <c r="BH554" s="311">
        <v>0.32900000000000001</v>
      </c>
      <c r="BI554" s="311">
        <v>0.35670000000000002</v>
      </c>
      <c r="BJ554" s="311">
        <v>0.24440000000000001</v>
      </c>
      <c r="BK554" s="311">
        <v>0.26269999999999999</v>
      </c>
    </row>
    <row r="555" spans="1:63" x14ac:dyDescent="0.25">
      <c r="A555" s="306" t="s">
        <v>716</v>
      </c>
      <c r="B555" s="311" t="s">
        <v>130</v>
      </c>
      <c r="C555" s="311">
        <v>0.49680000000000002</v>
      </c>
      <c r="D555" s="311">
        <v>0.26579999999999998</v>
      </c>
      <c r="E555" s="311">
        <v>0.3831</v>
      </c>
      <c r="F555" s="311">
        <v>0.33029999999999998</v>
      </c>
      <c r="G555" s="311">
        <v>0.33860000000000001</v>
      </c>
      <c r="H555" s="311">
        <v>0.37569999999999998</v>
      </c>
      <c r="I555" s="311">
        <v>0.3669</v>
      </c>
      <c r="J555" s="311">
        <v>0.36940000000000001</v>
      </c>
      <c r="K555" s="311">
        <v>0</v>
      </c>
      <c r="L555" s="311">
        <v>0.29459999999999997</v>
      </c>
      <c r="M555" s="311">
        <v>0.34399999999999997</v>
      </c>
      <c r="N555" s="311">
        <v>0.39410000000000001</v>
      </c>
      <c r="O555" s="311">
        <v>0.3049</v>
      </c>
      <c r="P555" s="311">
        <v>0.31819999999999998</v>
      </c>
      <c r="Q555" s="311">
        <v>0.31790000000000002</v>
      </c>
      <c r="R555" s="311">
        <v>0.4234</v>
      </c>
      <c r="S555" s="311">
        <v>0.37669999999999998</v>
      </c>
      <c r="T555" s="311">
        <v>0.32619999999999999</v>
      </c>
      <c r="U555" s="311">
        <v>0.3715</v>
      </c>
      <c r="V555" s="311">
        <v>0.38479999999999998</v>
      </c>
      <c r="W555" s="311">
        <v>0.379</v>
      </c>
      <c r="X555" s="311">
        <v>0.2994</v>
      </c>
      <c r="Y555" s="311">
        <v>0.33350000000000002</v>
      </c>
      <c r="Z555" s="311">
        <v>0.40210000000000001</v>
      </c>
      <c r="AA555" s="311">
        <v>0.37240000000000001</v>
      </c>
      <c r="AB555" s="311">
        <v>0.37809999999999999</v>
      </c>
      <c r="AC555" s="311">
        <v>0.3387</v>
      </c>
      <c r="AD555" s="311">
        <v>0.29559999999999997</v>
      </c>
      <c r="AE555" s="311">
        <v>0.38009999999999999</v>
      </c>
      <c r="AF555" s="311">
        <v>0.26800000000000002</v>
      </c>
      <c r="AG555" s="311">
        <v>0.31280000000000002</v>
      </c>
      <c r="AH555" s="311">
        <v>0.34339999999999998</v>
      </c>
      <c r="AI555" s="311">
        <v>0.36890000000000001</v>
      </c>
      <c r="AJ555" s="311">
        <v>0.30009999999999998</v>
      </c>
      <c r="AK555" s="311">
        <v>0.32429999999999998</v>
      </c>
      <c r="AL555" s="311">
        <v>0.33360000000000001</v>
      </c>
      <c r="AM555" s="311">
        <v>0.42409999999999998</v>
      </c>
      <c r="AN555" s="311">
        <v>0.34949999999999998</v>
      </c>
      <c r="AO555" s="311">
        <v>0.35589999999999999</v>
      </c>
      <c r="AP555" s="311">
        <v>0.42399999999999999</v>
      </c>
      <c r="AQ555" s="311">
        <v>0.33650000000000002</v>
      </c>
      <c r="AR555" s="311">
        <v>0.39019999999999999</v>
      </c>
      <c r="AS555" s="311">
        <v>0.3004</v>
      </c>
      <c r="AT555" s="311">
        <v>0.3851</v>
      </c>
      <c r="AU555" s="311">
        <v>0.42720000000000002</v>
      </c>
      <c r="AV555" s="311">
        <v>0.35770000000000002</v>
      </c>
      <c r="AW555" s="311">
        <v>0.35099999999999998</v>
      </c>
      <c r="AX555" s="311">
        <v>0.28160000000000002</v>
      </c>
      <c r="AY555" s="311">
        <v>0.3579</v>
      </c>
      <c r="AZ555" s="311">
        <v>0.37259999999999999</v>
      </c>
      <c r="BA555" s="311">
        <v>0.31540000000000001</v>
      </c>
      <c r="BB555" s="311">
        <v>0.26829999999999998</v>
      </c>
      <c r="BC555" s="311">
        <v>0.41239999999999999</v>
      </c>
      <c r="BD555" s="311">
        <v>0.40899999999999997</v>
      </c>
      <c r="BE555" s="311">
        <v>0.43869999999999998</v>
      </c>
      <c r="BF555" s="311">
        <v>0.37730000000000002</v>
      </c>
      <c r="BG555" s="311">
        <v>0.41249999999999998</v>
      </c>
      <c r="BH555" s="311">
        <v>0.40689999999999998</v>
      </c>
      <c r="BI555" s="311">
        <v>0.43269999999999997</v>
      </c>
      <c r="BJ555" s="311">
        <v>0.35820000000000002</v>
      </c>
      <c r="BK555" s="311">
        <v>0.38059999999999999</v>
      </c>
    </row>
    <row r="556" spans="1:63" x14ac:dyDescent="0.25">
      <c r="A556" s="306">
        <v>326210</v>
      </c>
      <c r="B556" s="311" t="s">
        <v>131</v>
      </c>
      <c r="C556" s="311">
        <v>0.49180000000000001</v>
      </c>
      <c r="D556" s="311">
        <v>0</v>
      </c>
      <c r="E556" s="311">
        <v>0.3841</v>
      </c>
      <c r="F556" s="311">
        <v>0.32969999999999999</v>
      </c>
      <c r="G556" s="311">
        <v>0.34549999999999997</v>
      </c>
      <c r="H556" s="311">
        <v>0.37159999999999999</v>
      </c>
      <c r="I556" s="311">
        <v>0.36659999999999998</v>
      </c>
      <c r="J556" s="311">
        <v>0.3372</v>
      </c>
      <c r="K556" s="311">
        <v>0</v>
      </c>
      <c r="L556" s="311">
        <v>0.27410000000000001</v>
      </c>
      <c r="M556" s="311">
        <v>0.35320000000000001</v>
      </c>
      <c r="N556" s="311">
        <v>0.41060000000000002</v>
      </c>
      <c r="O556" s="311">
        <v>0.30840000000000001</v>
      </c>
      <c r="P556" s="311">
        <v>0.30480000000000002</v>
      </c>
      <c r="Q556" s="311">
        <v>0.31230000000000002</v>
      </c>
      <c r="R556" s="311">
        <v>0.40310000000000001</v>
      </c>
      <c r="S556" s="311">
        <v>0.36820000000000003</v>
      </c>
      <c r="T556" s="311">
        <v>0.34029999999999999</v>
      </c>
      <c r="U556" s="311">
        <v>0.3735</v>
      </c>
      <c r="V556" s="311">
        <v>0.37790000000000001</v>
      </c>
      <c r="W556" s="311">
        <v>0.35189999999999999</v>
      </c>
      <c r="X556" s="311">
        <v>0.29699999999999999</v>
      </c>
      <c r="Y556" s="311">
        <v>0.3402</v>
      </c>
      <c r="Z556" s="311">
        <v>0.36980000000000002</v>
      </c>
      <c r="AA556" s="311">
        <v>0.3589</v>
      </c>
      <c r="AB556" s="311">
        <v>0.35949999999999999</v>
      </c>
      <c r="AC556" s="311">
        <v>0.33850000000000002</v>
      </c>
      <c r="AD556" s="311">
        <v>0.30919999999999997</v>
      </c>
      <c r="AE556" s="311">
        <v>0.3886</v>
      </c>
      <c r="AF556" s="311">
        <v>0.26779999999999998</v>
      </c>
      <c r="AG556" s="311">
        <v>0.3115</v>
      </c>
      <c r="AH556" s="311">
        <v>0.32</v>
      </c>
      <c r="AI556" s="311">
        <v>0.34889999999999999</v>
      </c>
      <c r="AJ556" s="311">
        <v>0.30499999999999999</v>
      </c>
      <c r="AK556" s="311">
        <v>0.31879999999999997</v>
      </c>
      <c r="AL556" s="311">
        <v>0.33960000000000001</v>
      </c>
      <c r="AM556" s="311">
        <v>0.42480000000000001</v>
      </c>
      <c r="AN556" s="311">
        <v>0.35820000000000002</v>
      </c>
      <c r="AO556" s="311">
        <v>0.35449999999999998</v>
      </c>
      <c r="AP556" s="311">
        <v>0.3916</v>
      </c>
      <c r="AQ556" s="311">
        <v>0</v>
      </c>
      <c r="AR556" s="311">
        <v>0.37530000000000002</v>
      </c>
      <c r="AS556" s="311">
        <v>0.29289999999999999</v>
      </c>
      <c r="AT556" s="311">
        <v>0.37080000000000002</v>
      </c>
      <c r="AU556" s="311">
        <v>0.41439999999999999</v>
      </c>
      <c r="AV556" s="311">
        <v>0.35139999999999999</v>
      </c>
      <c r="AW556" s="311">
        <v>0.35360000000000003</v>
      </c>
      <c r="AX556" s="311">
        <v>0</v>
      </c>
      <c r="AY556" s="311">
        <v>0.3468</v>
      </c>
      <c r="AZ556" s="311">
        <v>0.36230000000000001</v>
      </c>
      <c r="BA556" s="311">
        <v>0.29239999999999999</v>
      </c>
      <c r="BB556" s="311">
        <v>0</v>
      </c>
      <c r="BC556" s="311">
        <v>0.38069999999999998</v>
      </c>
      <c r="BD556" s="311">
        <v>0.40310000000000001</v>
      </c>
      <c r="BE556" s="311">
        <v>0.42280000000000001</v>
      </c>
      <c r="BF556" s="311">
        <v>0.37480000000000002</v>
      </c>
      <c r="BG556" s="311">
        <v>0.41830000000000001</v>
      </c>
      <c r="BH556" s="311">
        <v>0.41439999999999999</v>
      </c>
      <c r="BI556" s="311">
        <v>0.42920000000000003</v>
      </c>
      <c r="BJ556" s="311">
        <v>0.3569</v>
      </c>
      <c r="BK556" s="311">
        <v>0.37409999999999999</v>
      </c>
    </row>
    <row r="557" spans="1:63" x14ac:dyDescent="0.25">
      <c r="A557" s="306">
        <v>326220</v>
      </c>
      <c r="B557" s="311" t="s">
        <v>132</v>
      </c>
      <c r="C557" s="311">
        <v>0.43819999999999998</v>
      </c>
      <c r="D557" s="311">
        <v>0</v>
      </c>
      <c r="E557" s="311">
        <v>0.34050000000000002</v>
      </c>
      <c r="F557" s="311">
        <v>0.29980000000000001</v>
      </c>
      <c r="G557" s="311">
        <v>0.29820000000000002</v>
      </c>
      <c r="H557" s="311">
        <v>0.33900000000000002</v>
      </c>
      <c r="I557" s="311">
        <v>0.3241</v>
      </c>
      <c r="J557" s="311">
        <v>0.33079999999999998</v>
      </c>
      <c r="K557" s="311">
        <v>0</v>
      </c>
      <c r="L557" s="311">
        <v>0.2477</v>
      </c>
      <c r="M557" s="311">
        <v>0.3135</v>
      </c>
      <c r="N557" s="311">
        <v>0.35210000000000002</v>
      </c>
      <c r="O557" s="311">
        <v>0</v>
      </c>
      <c r="P557" s="311">
        <v>0.29220000000000002</v>
      </c>
      <c r="Q557" s="311">
        <v>0.28100000000000003</v>
      </c>
      <c r="R557" s="311">
        <v>0.38059999999999999</v>
      </c>
      <c r="S557" s="311">
        <v>0.34160000000000001</v>
      </c>
      <c r="T557" s="311">
        <v>0.28499999999999998</v>
      </c>
      <c r="U557" s="311">
        <v>0.34029999999999999</v>
      </c>
      <c r="V557" s="311">
        <v>0.33639999999999998</v>
      </c>
      <c r="W557" s="311">
        <v>0.3266</v>
      </c>
      <c r="X557" s="311">
        <v>0.2641</v>
      </c>
      <c r="Y557" s="311">
        <v>0</v>
      </c>
      <c r="Z557" s="311">
        <v>0.36020000000000002</v>
      </c>
      <c r="AA557" s="311">
        <v>0.33929999999999999</v>
      </c>
      <c r="AB557" s="311">
        <v>0.33579999999999999</v>
      </c>
      <c r="AC557" s="311">
        <v>0.30549999999999999</v>
      </c>
      <c r="AD557" s="311">
        <v>0</v>
      </c>
      <c r="AE557" s="311">
        <v>0.3463</v>
      </c>
      <c r="AF557" s="311">
        <v>0.2424</v>
      </c>
      <c r="AG557" s="311">
        <v>0.30270000000000002</v>
      </c>
      <c r="AH557" s="311">
        <v>0.30669999999999997</v>
      </c>
      <c r="AI557" s="311">
        <v>0.31640000000000001</v>
      </c>
      <c r="AJ557" s="311">
        <v>0</v>
      </c>
      <c r="AK557" s="311">
        <v>0.28120000000000001</v>
      </c>
      <c r="AL557" s="311">
        <v>0.29530000000000001</v>
      </c>
      <c r="AM557" s="311">
        <v>0.38350000000000001</v>
      </c>
      <c r="AN557" s="311">
        <v>0.32540000000000002</v>
      </c>
      <c r="AO557" s="311">
        <v>0.31430000000000002</v>
      </c>
      <c r="AP557" s="311">
        <v>0.36659999999999998</v>
      </c>
      <c r="AQ557" s="311">
        <v>0.28849999999999998</v>
      </c>
      <c r="AR557" s="311">
        <v>0.34460000000000002</v>
      </c>
      <c r="AS557" s="311">
        <v>0</v>
      </c>
      <c r="AT557" s="311">
        <v>0.33810000000000001</v>
      </c>
      <c r="AU557" s="311">
        <v>0.37480000000000002</v>
      </c>
      <c r="AV557" s="311">
        <v>0.32200000000000001</v>
      </c>
      <c r="AW557" s="311">
        <v>0.31080000000000002</v>
      </c>
      <c r="AX557" s="311">
        <v>0</v>
      </c>
      <c r="AY557" s="311">
        <v>0.30149999999999999</v>
      </c>
      <c r="AZ557" s="311">
        <v>0.34320000000000001</v>
      </c>
      <c r="BA557" s="311">
        <v>0.28070000000000001</v>
      </c>
      <c r="BB557" s="311">
        <v>0</v>
      </c>
      <c r="BC557" s="311">
        <v>0.35780000000000001</v>
      </c>
      <c r="BD557" s="311">
        <v>0.35730000000000001</v>
      </c>
      <c r="BE557" s="311">
        <v>0.39269999999999999</v>
      </c>
      <c r="BF557" s="311">
        <v>0.34289999999999998</v>
      </c>
      <c r="BG557" s="311">
        <v>0.36320000000000002</v>
      </c>
      <c r="BH557" s="311">
        <v>0.36759999999999998</v>
      </c>
      <c r="BI557" s="311">
        <v>0.38229999999999997</v>
      </c>
      <c r="BJ557" s="311">
        <v>0.31580000000000003</v>
      </c>
      <c r="BK557" s="311">
        <v>0.33610000000000001</v>
      </c>
    </row>
    <row r="558" spans="1:63" x14ac:dyDescent="0.25">
      <c r="A558" s="306">
        <v>326290</v>
      </c>
      <c r="B558" s="311" t="s">
        <v>133</v>
      </c>
      <c r="C558" s="311">
        <v>0.50190000000000001</v>
      </c>
      <c r="D558" s="311">
        <v>0</v>
      </c>
      <c r="E558" s="311">
        <v>0.38479999999999998</v>
      </c>
      <c r="F558" s="311">
        <v>0.33789999999999998</v>
      </c>
      <c r="G558" s="311">
        <v>0.34089999999999998</v>
      </c>
      <c r="H558" s="311">
        <v>0.3876</v>
      </c>
      <c r="I558" s="311">
        <v>0.36259999999999998</v>
      </c>
      <c r="J558" s="311">
        <v>0.37359999999999999</v>
      </c>
      <c r="K558" s="311">
        <v>0</v>
      </c>
      <c r="L558" s="311">
        <v>0.27489999999999998</v>
      </c>
      <c r="M558" s="311">
        <v>0.3543</v>
      </c>
      <c r="N558" s="311">
        <v>0.39939999999999998</v>
      </c>
      <c r="O558" s="311">
        <v>0</v>
      </c>
      <c r="P558" s="311">
        <v>0.32969999999999999</v>
      </c>
      <c r="Q558" s="311">
        <v>0.31030000000000002</v>
      </c>
      <c r="R558" s="311">
        <v>0.433</v>
      </c>
      <c r="S558" s="311">
        <v>0.38669999999999999</v>
      </c>
      <c r="T558" s="311">
        <v>0.32600000000000001</v>
      </c>
      <c r="U558" s="311">
        <v>0.38400000000000001</v>
      </c>
      <c r="V558" s="311">
        <v>0.37740000000000001</v>
      </c>
      <c r="W558" s="311">
        <v>0.37290000000000001</v>
      </c>
      <c r="X558" s="311">
        <v>0.30030000000000001</v>
      </c>
      <c r="Y558" s="311">
        <v>0.33019999999999999</v>
      </c>
      <c r="Z558" s="311">
        <v>0.40679999999999999</v>
      </c>
      <c r="AA558" s="311">
        <v>0.38700000000000001</v>
      </c>
      <c r="AB558" s="311">
        <v>0.37769999999999998</v>
      </c>
      <c r="AC558" s="311">
        <v>0.33810000000000001</v>
      </c>
      <c r="AD558" s="311">
        <v>0.30420000000000003</v>
      </c>
      <c r="AE558" s="311">
        <v>0.38990000000000002</v>
      </c>
      <c r="AF558" s="311">
        <v>0</v>
      </c>
      <c r="AG558" s="311">
        <v>0.33639999999999998</v>
      </c>
      <c r="AH558" s="311">
        <v>0.35099999999999998</v>
      </c>
      <c r="AI558" s="311">
        <v>0.35909999999999997</v>
      </c>
      <c r="AJ558" s="311">
        <v>0.3201</v>
      </c>
      <c r="AK558" s="311">
        <v>0.31719999999999998</v>
      </c>
      <c r="AL558" s="311">
        <v>0.33710000000000001</v>
      </c>
      <c r="AM558" s="311">
        <v>0.43730000000000002</v>
      </c>
      <c r="AN558" s="311">
        <v>0.36720000000000003</v>
      </c>
      <c r="AO558" s="311">
        <v>0.36199999999999999</v>
      </c>
      <c r="AP558" s="311">
        <v>0.41670000000000001</v>
      </c>
      <c r="AQ558" s="311">
        <v>0.32629999999999998</v>
      </c>
      <c r="AR558" s="311">
        <v>0.3881</v>
      </c>
      <c r="AS558" s="311">
        <v>0.31640000000000001</v>
      </c>
      <c r="AT558" s="311">
        <v>0.38059999999999999</v>
      </c>
      <c r="AU558" s="311">
        <v>0.4234</v>
      </c>
      <c r="AV558" s="311">
        <v>0.3669</v>
      </c>
      <c r="AW558" s="311">
        <v>0.3503</v>
      </c>
      <c r="AX558" s="311">
        <v>0.29260000000000003</v>
      </c>
      <c r="AY558" s="311">
        <v>0.34160000000000001</v>
      </c>
      <c r="AZ558" s="311">
        <v>0.3911</v>
      </c>
      <c r="BA558" s="311">
        <v>0.31580000000000003</v>
      </c>
      <c r="BB558" s="311">
        <v>0.27150000000000002</v>
      </c>
      <c r="BC558" s="311">
        <v>0.40579999999999999</v>
      </c>
      <c r="BD558" s="311">
        <v>0.41249999999999998</v>
      </c>
      <c r="BE558" s="311">
        <v>0.44740000000000002</v>
      </c>
      <c r="BF558" s="311">
        <v>0.39069999999999999</v>
      </c>
      <c r="BG558" s="311">
        <v>0.41060000000000002</v>
      </c>
      <c r="BH558" s="311">
        <v>0.41830000000000001</v>
      </c>
      <c r="BI558" s="311">
        <v>0.43140000000000001</v>
      </c>
      <c r="BJ558" s="311">
        <v>0.35639999999999999</v>
      </c>
      <c r="BK558" s="311">
        <v>0.38569999999999999</v>
      </c>
    </row>
    <row r="559" spans="1:63" x14ac:dyDescent="0.25">
      <c r="A559" s="306" t="s">
        <v>717</v>
      </c>
      <c r="B559" s="311" t="s">
        <v>134</v>
      </c>
      <c r="C559" s="311">
        <v>0.58069999999999999</v>
      </c>
      <c r="D559" s="311">
        <v>0</v>
      </c>
      <c r="E559" s="311">
        <v>0.46860000000000002</v>
      </c>
      <c r="F559" s="311">
        <v>0.45569999999999999</v>
      </c>
      <c r="G559" s="311">
        <v>0.45669999999999999</v>
      </c>
      <c r="H559" s="311">
        <v>0.50629999999999997</v>
      </c>
      <c r="I559" s="311">
        <v>0.4909</v>
      </c>
      <c r="J559" s="311">
        <v>0.46860000000000002</v>
      </c>
      <c r="K559" s="311">
        <v>0.152</v>
      </c>
      <c r="L559" s="311">
        <v>0.3705</v>
      </c>
      <c r="M559" s="311">
        <v>0.45540000000000003</v>
      </c>
      <c r="N559" s="311">
        <v>0.50370000000000004</v>
      </c>
      <c r="O559" s="311">
        <v>0.4229</v>
      </c>
      <c r="P559" s="311">
        <v>0.41760000000000003</v>
      </c>
      <c r="Q559" s="311">
        <v>0.43169999999999997</v>
      </c>
      <c r="R559" s="311">
        <v>0.50649999999999995</v>
      </c>
      <c r="S559" s="311">
        <v>0.47539999999999999</v>
      </c>
      <c r="T559" s="311">
        <v>0.4128</v>
      </c>
      <c r="U559" s="311">
        <v>0.46860000000000002</v>
      </c>
      <c r="V559" s="311">
        <v>0.45989999999999998</v>
      </c>
      <c r="W559" s="311">
        <v>0.4667</v>
      </c>
      <c r="X559" s="311">
        <v>0.4123</v>
      </c>
      <c r="Y559" s="311">
        <v>0.4415</v>
      </c>
      <c r="Z559" s="311">
        <v>0.51649999999999996</v>
      </c>
      <c r="AA559" s="311">
        <v>0.47799999999999998</v>
      </c>
      <c r="AB559" s="311">
        <v>0.4849</v>
      </c>
      <c r="AC559" s="311">
        <v>0.43230000000000002</v>
      </c>
      <c r="AD559" s="311">
        <v>0.41070000000000001</v>
      </c>
      <c r="AE559" s="311">
        <v>0.49020000000000002</v>
      </c>
      <c r="AF559" s="311">
        <v>0.37530000000000002</v>
      </c>
      <c r="AG559" s="311">
        <v>0.43</v>
      </c>
      <c r="AH559" s="311">
        <v>0.41820000000000002</v>
      </c>
      <c r="AI559" s="311">
        <v>0.47370000000000001</v>
      </c>
      <c r="AJ559" s="311">
        <v>0.42309999999999998</v>
      </c>
      <c r="AK559" s="311">
        <v>0.44309999999999999</v>
      </c>
      <c r="AL559" s="311">
        <v>0.45219999999999999</v>
      </c>
      <c r="AM559" s="311">
        <v>0.51670000000000005</v>
      </c>
      <c r="AN559" s="311">
        <v>0.4521</v>
      </c>
      <c r="AO559" s="311">
        <v>0.47489999999999999</v>
      </c>
      <c r="AP559" s="311">
        <v>0.52339999999999998</v>
      </c>
      <c r="AQ559" s="311">
        <v>0.3856</v>
      </c>
      <c r="AR559" s="311">
        <v>0.46050000000000002</v>
      </c>
      <c r="AS559" s="311">
        <v>0.40639999999999998</v>
      </c>
      <c r="AT559" s="311">
        <v>0.47899999999999998</v>
      </c>
      <c r="AU559" s="311">
        <v>0.49669999999999997</v>
      </c>
      <c r="AV559" s="311">
        <v>0.49730000000000002</v>
      </c>
      <c r="AW559" s="311">
        <v>0.45079999999999998</v>
      </c>
      <c r="AX559" s="311">
        <v>0.3972</v>
      </c>
      <c r="AY559" s="311">
        <v>0.46250000000000002</v>
      </c>
      <c r="AZ559" s="311">
        <v>0.48530000000000001</v>
      </c>
      <c r="BA559" s="311">
        <v>0.38129999999999997</v>
      </c>
      <c r="BB559" s="311">
        <v>0.4032</v>
      </c>
      <c r="BC559" s="311">
        <v>0.51229999999999998</v>
      </c>
      <c r="BD559" s="311">
        <v>0.51770000000000005</v>
      </c>
      <c r="BE559" s="311">
        <v>0.53520000000000001</v>
      </c>
      <c r="BF559" s="311">
        <v>0.49259999999999998</v>
      </c>
      <c r="BG559" s="311">
        <v>0.50690000000000002</v>
      </c>
      <c r="BH559" s="311">
        <v>0.49170000000000003</v>
      </c>
      <c r="BI559" s="311">
        <v>0.50260000000000005</v>
      </c>
      <c r="BJ559" s="311">
        <v>0.48199999999999998</v>
      </c>
      <c r="BK559" s="311">
        <v>0.50719999999999998</v>
      </c>
    </row>
    <row r="560" spans="1:63" x14ac:dyDescent="0.25">
      <c r="A560" s="306" t="s">
        <v>718</v>
      </c>
      <c r="B560" s="311" t="s">
        <v>135</v>
      </c>
      <c r="C560" s="311">
        <v>0.46589999999999998</v>
      </c>
      <c r="D560" s="311">
        <v>0</v>
      </c>
      <c r="E560" s="311">
        <v>0.37969999999999998</v>
      </c>
      <c r="F560" s="311">
        <v>0.36809999999999998</v>
      </c>
      <c r="G560" s="311">
        <v>0.36809999999999998</v>
      </c>
      <c r="H560" s="311">
        <v>0.39939999999999998</v>
      </c>
      <c r="I560" s="311">
        <v>0.40329999999999999</v>
      </c>
      <c r="J560" s="311">
        <v>0.37009999999999998</v>
      </c>
      <c r="K560" s="311">
        <v>0</v>
      </c>
      <c r="L560" s="311">
        <v>0</v>
      </c>
      <c r="M560" s="311">
        <v>0.36840000000000001</v>
      </c>
      <c r="N560" s="311">
        <v>0.39100000000000001</v>
      </c>
      <c r="O560" s="311">
        <v>0.34589999999999999</v>
      </c>
      <c r="P560" s="311">
        <v>0.3301</v>
      </c>
      <c r="Q560" s="311">
        <v>0.35439999999999999</v>
      </c>
      <c r="R560" s="311">
        <v>0.40179999999999999</v>
      </c>
      <c r="S560" s="311">
        <v>0.37609999999999999</v>
      </c>
      <c r="T560" s="311">
        <v>0.33279999999999998</v>
      </c>
      <c r="U560" s="311">
        <v>0.3679</v>
      </c>
      <c r="V560" s="311">
        <v>0.37940000000000002</v>
      </c>
      <c r="W560" s="311">
        <v>0.3609</v>
      </c>
      <c r="X560" s="311">
        <v>0.32729999999999998</v>
      </c>
      <c r="Y560" s="311">
        <v>0.3629</v>
      </c>
      <c r="Z560" s="311">
        <v>0.40100000000000002</v>
      </c>
      <c r="AA560" s="311">
        <v>0.38009999999999999</v>
      </c>
      <c r="AB560" s="311">
        <v>0.38300000000000001</v>
      </c>
      <c r="AC560" s="311">
        <v>0.34939999999999999</v>
      </c>
      <c r="AD560" s="311">
        <v>0.35449999999999998</v>
      </c>
      <c r="AE560" s="311">
        <v>0.3841</v>
      </c>
      <c r="AF560" s="311">
        <v>0.314</v>
      </c>
      <c r="AG560" s="311">
        <v>0.34889999999999999</v>
      </c>
      <c r="AH560" s="311">
        <v>0.33160000000000001</v>
      </c>
      <c r="AI560" s="311">
        <v>0.37169999999999997</v>
      </c>
      <c r="AJ560" s="311">
        <v>0.34720000000000001</v>
      </c>
      <c r="AK560" s="311">
        <v>0</v>
      </c>
      <c r="AL560" s="311">
        <v>0.35060000000000002</v>
      </c>
      <c r="AM560" s="311">
        <v>0.40529999999999999</v>
      </c>
      <c r="AN560" s="311">
        <v>0.37709999999999999</v>
      </c>
      <c r="AO560" s="311">
        <v>0.38879999999999998</v>
      </c>
      <c r="AP560" s="311">
        <v>0.41139999999999999</v>
      </c>
      <c r="AQ560" s="311">
        <v>0</v>
      </c>
      <c r="AR560" s="311">
        <v>0.36820000000000003</v>
      </c>
      <c r="AS560" s="311">
        <v>0</v>
      </c>
      <c r="AT560" s="311">
        <v>0.3679</v>
      </c>
      <c r="AU560" s="311">
        <v>0.41060000000000002</v>
      </c>
      <c r="AV560" s="311">
        <v>0.41060000000000002</v>
      </c>
      <c r="AW560" s="311">
        <v>0.3679</v>
      </c>
      <c r="AX560" s="311">
        <v>0.32050000000000001</v>
      </c>
      <c r="AY560" s="311">
        <v>0.3765</v>
      </c>
      <c r="AZ560" s="311">
        <v>0.38490000000000002</v>
      </c>
      <c r="BA560" s="311">
        <v>0.31459999999999999</v>
      </c>
      <c r="BB560" s="311">
        <v>0</v>
      </c>
      <c r="BC560" s="311">
        <v>0.39679999999999999</v>
      </c>
      <c r="BD560" s="311">
        <v>0.40289999999999998</v>
      </c>
      <c r="BE560" s="311">
        <v>0.41889999999999999</v>
      </c>
      <c r="BF560" s="311">
        <v>0.38940000000000002</v>
      </c>
      <c r="BG560" s="311">
        <v>0.40110000000000001</v>
      </c>
      <c r="BH560" s="311">
        <v>0.38829999999999998</v>
      </c>
      <c r="BI560" s="311">
        <v>0.41610000000000003</v>
      </c>
      <c r="BJ560" s="311">
        <v>0.4012</v>
      </c>
      <c r="BK560" s="311">
        <v>0.40820000000000001</v>
      </c>
    </row>
    <row r="561" spans="1:63" x14ac:dyDescent="0.25">
      <c r="A561" s="306" t="s">
        <v>719</v>
      </c>
      <c r="B561" s="311" t="s">
        <v>136</v>
      </c>
      <c r="C561" s="311">
        <v>0.52449999999999997</v>
      </c>
      <c r="D561" s="311">
        <v>0</v>
      </c>
      <c r="E561" s="311">
        <v>0.4148</v>
      </c>
      <c r="F561" s="311">
        <v>0</v>
      </c>
      <c r="G561" s="311">
        <v>0.36909999999999998</v>
      </c>
      <c r="H561" s="311">
        <v>0.42830000000000001</v>
      </c>
      <c r="I561" s="311">
        <v>0.39029999999999998</v>
      </c>
      <c r="J561" s="311">
        <v>0</v>
      </c>
      <c r="K561" s="311">
        <v>0</v>
      </c>
      <c r="L561" s="311">
        <v>0.28320000000000001</v>
      </c>
      <c r="M561" s="311">
        <v>0.36470000000000002</v>
      </c>
      <c r="N561" s="311">
        <v>0.43469999999999998</v>
      </c>
      <c r="O561" s="311">
        <v>0</v>
      </c>
      <c r="P561" s="311">
        <v>0.31569999999999998</v>
      </c>
      <c r="Q561" s="311">
        <v>0.33900000000000002</v>
      </c>
      <c r="R561" s="311">
        <v>0.42649999999999999</v>
      </c>
      <c r="S561" s="311">
        <v>0.41799999999999998</v>
      </c>
      <c r="T561" s="311">
        <v>0.34720000000000001</v>
      </c>
      <c r="U561" s="311">
        <v>0.40820000000000001</v>
      </c>
      <c r="V561" s="311">
        <v>0.38269999999999998</v>
      </c>
      <c r="W561" s="311">
        <v>0.3977</v>
      </c>
      <c r="X561" s="311">
        <v>0.33350000000000002</v>
      </c>
      <c r="Y561" s="311">
        <v>0</v>
      </c>
      <c r="Z561" s="311">
        <v>0.45100000000000001</v>
      </c>
      <c r="AA561" s="311">
        <v>0.37890000000000001</v>
      </c>
      <c r="AB561" s="311">
        <v>0.42349999999999999</v>
      </c>
      <c r="AC561" s="311">
        <v>0.33279999999999998</v>
      </c>
      <c r="AD561" s="311">
        <v>0</v>
      </c>
      <c r="AE561" s="311">
        <v>0.4194</v>
      </c>
      <c r="AF561" s="311">
        <v>0</v>
      </c>
      <c r="AG561" s="311">
        <v>0</v>
      </c>
      <c r="AH561" s="311">
        <v>0</v>
      </c>
      <c r="AI561" s="311">
        <v>0.39069999999999999</v>
      </c>
      <c r="AJ561" s="311">
        <v>0.34050000000000002</v>
      </c>
      <c r="AK561" s="311">
        <v>0.34549999999999997</v>
      </c>
      <c r="AL561" s="311">
        <v>0.38140000000000002</v>
      </c>
      <c r="AM561" s="311">
        <v>0.4506</v>
      </c>
      <c r="AN561" s="311">
        <v>0.37980000000000003</v>
      </c>
      <c r="AO561" s="311">
        <v>0.39779999999999999</v>
      </c>
      <c r="AP561" s="311">
        <v>0.46</v>
      </c>
      <c r="AQ561" s="311">
        <v>0</v>
      </c>
      <c r="AR561" s="311">
        <v>0.38540000000000002</v>
      </c>
      <c r="AS561" s="311">
        <v>0.30880000000000002</v>
      </c>
      <c r="AT561" s="311">
        <v>0.40720000000000001</v>
      </c>
      <c r="AU561" s="311">
        <v>0.42820000000000003</v>
      </c>
      <c r="AV561" s="311">
        <v>0.41439999999999999</v>
      </c>
      <c r="AW561" s="311">
        <v>0.35460000000000003</v>
      </c>
      <c r="AX561" s="311">
        <v>0.32019999999999998</v>
      </c>
      <c r="AY561" s="311">
        <v>0.3795</v>
      </c>
      <c r="AZ561" s="311">
        <v>0.39279999999999998</v>
      </c>
      <c r="BA561" s="311">
        <v>0.32600000000000001</v>
      </c>
      <c r="BB561" s="311">
        <v>0</v>
      </c>
      <c r="BC561" s="311">
        <v>0.437</v>
      </c>
      <c r="BD561" s="311">
        <v>0.4501</v>
      </c>
      <c r="BE561" s="311">
        <v>0.47470000000000001</v>
      </c>
      <c r="BF561" s="311">
        <v>0.4108</v>
      </c>
      <c r="BG561" s="311">
        <v>0.42970000000000003</v>
      </c>
      <c r="BH561" s="311">
        <v>0.43219999999999997</v>
      </c>
      <c r="BI561" s="311">
        <v>0.43030000000000002</v>
      </c>
      <c r="BJ561" s="311">
        <v>0.39400000000000002</v>
      </c>
      <c r="BK561" s="311">
        <v>0.43569999999999998</v>
      </c>
    </row>
    <row r="562" spans="1:63" x14ac:dyDescent="0.25">
      <c r="A562" s="306">
        <v>327211</v>
      </c>
      <c r="B562" s="311" t="s">
        <v>137</v>
      </c>
      <c r="C562" s="311">
        <v>0.43990000000000001</v>
      </c>
      <c r="D562" s="311">
        <v>0</v>
      </c>
      <c r="E562" s="311">
        <v>0</v>
      </c>
      <c r="F562" s="311">
        <v>0</v>
      </c>
      <c r="G562" s="311">
        <v>0.32940000000000003</v>
      </c>
      <c r="H562" s="311">
        <v>0.36130000000000001</v>
      </c>
      <c r="I562" s="311">
        <v>0.37040000000000001</v>
      </c>
      <c r="J562" s="311">
        <v>0.31919999999999998</v>
      </c>
      <c r="K562" s="311">
        <v>0</v>
      </c>
      <c r="L562" s="311">
        <v>0</v>
      </c>
      <c r="M562" s="311">
        <v>0.31819999999999998</v>
      </c>
      <c r="N562" s="311">
        <v>0.36409999999999998</v>
      </c>
      <c r="O562" s="311">
        <v>0</v>
      </c>
      <c r="P562" s="311">
        <v>0.28799999999999998</v>
      </c>
      <c r="Q562" s="311">
        <v>0</v>
      </c>
      <c r="R562" s="311">
        <v>0.36580000000000001</v>
      </c>
      <c r="S562" s="311">
        <v>0.33939999999999998</v>
      </c>
      <c r="T562" s="311">
        <v>0.30790000000000001</v>
      </c>
      <c r="U562" s="311">
        <v>0.32829999999999998</v>
      </c>
      <c r="V562" s="311">
        <v>0</v>
      </c>
      <c r="W562" s="311">
        <v>0.31730000000000003</v>
      </c>
      <c r="X562" s="311">
        <v>0.28749999999999998</v>
      </c>
      <c r="Y562" s="311">
        <v>0.30869999999999997</v>
      </c>
      <c r="Z562" s="311">
        <v>0.35670000000000002</v>
      </c>
      <c r="AA562" s="311">
        <v>0.3337</v>
      </c>
      <c r="AB562" s="311">
        <v>0</v>
      </c>
      <c r="AC562" s="311">
        <v>0</v>
      </c>
      <c r="AD562" s="311">
        <v>0</v>
      </c>
      <c r="AE562" s="311">
        <v>0.33510000000000001</v>
      </c>
      <c r="AF562" s="311">
        <v>0</v>
      </c>
      <c r="AG562" s="311">
        <v>0</v>
      </c>
      <c r="AH562" s="311">
        <v>0.28749999999999998</v>
      </c>
      <c r="AI562" s="311">
        <v>0.3256</v>
      </c>
      <c r="AJ562" s="311">
        <v>0</v>
      </c>
      <c r="AK562" s="311">
        <v>0</v>
      </c>
      <c r="AL562" s="311">
        <v>0.30859999999999999</v>
      </c>
      <c r="AM562" s="311">
        <v>0.37330000000000002</v>
      </c>
      <c r="AN562" s="311">
        <v>0.34250000000000003</v>
      </c>
      <c r="AO562" s="311">
        <v>0.34320000000000001</v>
      </c>
      <c r="AP562" s="311">
        <v>0.37380000000000002</v>
      </c>
      <c r="AQ562" s="311">
        <v>0</v>
      </c>
      <c r="AR562" s="311">
        <v>0.3231</v>
      </c>
      <c r="AS562" s="311">
        <v>0</v>
      </c>
      <c r="AT562" s="311">
        <v>0.3412</v>
      </c>
      <c r="AU562" s="311">
        <v>0.38690000000000002</v>
      </c>
      <c r="AV562" s="311">
        <v>0</v>
      </c>
      <c r="AW562" s="311">
        <v>0.3221</v>
      </c>
      <c r="AX562" s="311">
        <v>0</v>
      </c>
      <c r="AY562" s="311">
        <v>0.33389999999999997</v>
      </c>
      <c r="AZ562" s="311">
        <v>0.3397</v>
      </c>
      <c r="BA562" s="311">
        <v>0.29870000000000002</v>
      </c>
      <c r="BB562" s="311">
        <v>0</v>
      </c>
      <c r="BC562" s="311">
        <v>0.35070000000000001</v>
      </c>
      <c r="BD562" s="311">
        <v>0.36199999999999999</v>
      </c>
      <c r="BE562" s="311">
        <v>0.3831</v>
      </c>
      <c r="BF562" s="311">
        <v>0.3523</v>
      </c>
      <c r="BG562" s="311">
        <v>0.36730000000000002</v>
      </c>
      <c r="BH562" s="311">
        <v>0.36070000000000002</v>
      </c>
      <c r="BI562" s="311">
        <v>0.3891</v>
      </c>
      <c r="BJ562" s="311">
        <v>0.37219999999999998</v>
      </c>
      <c r="BK562" s="311">
        <v>0.36609999999999998</v>
      </c>
    </row>
    <row r="563" spans="1:63" x14ac:dyDescent="0.25">
      <c r="A563" s="306">
        <v>327212</v>
      </c>
      <c r="B563" s="311" t="s">
        <v>138</v>
      </c>
      <c r="C563" s="311">
        <v>0.50780000000000003</v>
      </c>
      <c r="D563" s="311">
        <v>0.34570000000000001</v>
      </c>
      <c r="E563" s="311">
        <v>0.40260000000000001</v>
      </c>
      <c r="F563" s="311">
        <v>0.39589999999999997</v>
      </c>
      <c r="G563" s="311">
        <v>0.39450000000000002</v>
      </c>
      <c r="H563" s="311">
        <v>0.42530000000000001</v>
      </c>
      <c r="I563" s="311">
        <v>0.43769999999999998</v>
      </c>
      <c r="J563" s="311">
        <v>0.39679999999999999</v>
      </c>
      <c r="K563" s="311">
        <v>0</v>
      </c>
      <c r="L563" s="311">
        <v>0.31419999999999998</v>
      </c>
      <c r="M563" s="311">
        <v>0.3871</v>
      </c>
      <c r="N563" s="311">
        <v>0.43319999999999997</v>
      </c>
      <c r="O563" s="311">
        <v>0.36840000000000001</v>
      </c>
      <c r="P563" s="311">
        <v>0.3533</v>
      </c>
      <c r="Q563" s="311">
        <v>0.37609999999999999</v>
      </c>
      <c r="R563" s="311">
        <v>0.43940000000000001</v>
      </c>
      <c r="S563" s="311">
        <v>0.40260000000000001</v>
      </c>
      <c r="T563" s="311">
        <v>0.35620000000000002</v>
      </c>
      <c r="U563" s="311">
        <v>0.39350000000000002</v>
      </c>
      <c r="V563" s="311">
        <v>0.4148</v>
      </c>
      <c r="W563" s="311">
        <v>0.38679999999999998</v>
      </c>
      <c r="X563" s="311">
        <v>0</v>
      </c>
      <c r="Y563" s="311">
        <v>0</v>
      </c>
      <c r="Z563" s="311">
        <v>0.43149999999999999</v>
      </c>
      <c r="AA563" s="311">
        <v>0.40860000000000002</v>
      </c>
      <c r="AB563" s="311">
        <v>0.40710000000000002</v>
      </c>
      <c r="AC563" s="311">
        <v>0.376</v>
      </c>
      <c r="AD563" s="311">
        <v>0</v>
      </c>
      <c r="AE563" s="311">
        <v>0.40839999999999999</v>
      </c>
      <c r="AF563" s="311">
        <v>0.32950000000000002</v>
      </c>
      <c r="AG563" s="311">
        <v>0.37</v>
      </c>
      <c r="AH563" s="311">
        <v>0.3553</v>
      </c>
      <c r="AI563" s="311">
        <v>0.40200000000000002</v>
      </c>
      <c r="AJ563" s="311">
        <v>0.37609999999999999</v>
      </c>
      <c r="AK563" s="311">
        <v>0.38769999999999999</v>
      </c>
      <c r="AL563" s="311">
        <v>0.37769999999999998</v>
      </c>
      <c r="AM563" s="311">
        <v>0.43959999999999999</v>
      </c>
      <c r="AN563" s="311">
        <v>0.3977</v>
      </c>
      <c r="AO563" s="311">
        <v>0.4083</v>
      </c>
      <c r="AP563" s="311">
        <v>0.44290000000000002</v>
      </c>
      <c r="AQ563" s="311">
        <v>0.32590000000000002</v>
      </c>
      <c r="AR563" s="311">
        <v>0.39439999999999997</v>
      </c>
      <c r="AS563" s="311">
        <v>0</v>
      </c>
      <c r="AT563" s="311">
        <v>0.40839999999999999</v>
      </c>
      <c r="AU563" s="311">
        <v>0.44740000000000002</v>
      </c>
      <c r="AV563" s="311">
        <v>0.43690000000000001</v>
      </c>
      <c r="AW563" s="311">
        <v>0.39219999999999999</v>
      </c>
      <c r="AX563" s="311">
        <v>0.33389999999999997</v>
      </c>
      <c r="AY563" s="311">
        <v>0.40570000000000001</v>
      </c>
      <c r="AZ563" s="311">
        <v>0.41270000000000001</v>
      </c>
      <c r="BA563" s="311">
        <v>0.33339999999999997</v>
      </c>
      <c r="BB563" s="311">
        <v>0</v>
      </c>
      <c r="BC563" s="311">
        <v>0.42649999999999999</v>
      </c>
      <c r="BD563" s="311">
        <v>0.438</v>
      </c>
      <c r="BE563" s="311">
        <v>0.45650000000000002</v>
      </c>
      <c r="BF563" s="311">
        <v>0.41760000000000003</v>
      </c>
      <c r="BG563" s="311">
        <v>0.43769999999999998</v>
      </c>
      <c r="BH563" s="311">
        <v>0.42259999999999998</v>
      </c>
      <c r="BI563" s="311">
        <v>0.45190000000000002</v>
      </c>
      <c r="BJ563" s="311">
        <v>0.43230000000000002</v>
      </c>
      <c r="BK563" s="311">
        <v>0.43380000000000002</v>
      </c>
    </row>
    <row r="564" spans="1:63" x14ac:dyDescent="0.25">
      <c r="A564" s="306">
        <v>327213</v>
      </c>
      <c r="B564" s="311" t="s">
        <v>139</v>
      </c>
      <c r="C564" s="311">
        <v>0.4425</v>
      </c>
      <c r="D564" s="311">
        <v>0</v>
      </c>
      <c r="E564" s="311">
        <v>0</v>
      </c>
      <c r="F564" s="311">
        <v>0.3332</v>
      </c>
      <c r="G564" s="311">
        <v>0.3206</v>
      </c>
      <c r="H564" s="311">
        <v>0.3574</v>
      </c>
      <c r="I564" s="311">
        <v>0.35599999999999998</v>
      </c>
      <c r="J564" s="311">
        <v>0</v>
      </c>
      <c r="K564" s="311">
        <v>0</v>
      </c>
      <c r="L564" s="311">
        <v>0</v>
      </c>
      <c r="M564" s="311">
        <v>0.31519999999999998</v>
      </c>
      <c r="N564" s="311">
        <v>0.36709999999999998</v>
      </c>
      <c r="O564" s="311">
        <v>0</v>
      </c>
      <c r="P564" s="311">
        <v>0</v>
      </c>
      <c r="Q564" s="311">
        <v>0</v>
      </c>
      <c r="R564" s="311">
        <v>0.37309999999999999</v>
      </c>
      <c r="S564" s="311">
        <v>0.34649999999999997</v>
      </c>
      <c r="T564" s="311">
        <v>0</v>
      </c>
      <c r="U564" s="311">
        <v>0</v>
      </c>
      <c r="V564" s="311">
        <v>0.34949999999999998</v>
      </c>
      <c r="W564" s="311">
        <v>0.3221</v>
      </c>
      <c r="X564" s="311">
        <v>0</v>
      </c>
      <c r="Y564" s="311">
        <v>0</v>
      </c>
      <c r="Z564" s="311">
        <v>0.36969999999999997</v>
      </c>
      <c r="AA564" s="311">
        <v>0.3468</v>
      </c>
      <c r="AB564" s="311">
        <v>0.34899999999999998</v>
      </c>
      <c r="AC564" s="311">
        <v>0</v>
      </c>
      <c r="AD564" s="311">
        <v>0</v>
      </c>
      <c r="AE564" s="311">
        <v>0.34100000000000003</v>
      </c>
      <c r="AF564" s="311">
        <v>0</v>
      </c>
      <c r="AG564" s="311">
        <v>0.30159999999999998</v>
      </c>
      <c r="AH564" s="311">
        <v>0</v>
      </c>
      <c r="AI564" s="311">
        <v>0.32840000000000003</v>
      </c>
      <c r="AJ564" s="311">
        <v>0</v>
      </c>
      <c r="AK564" s="311">
        <v>0</v>
      </c>
      <c r="AL564" s="311">
        <v>0.30740000000000001</v>
      </c>
      <c r="AM564" s="311">
        <v>0.38090000000000002</v>
      </c>
      <c r="AN564" s="311">
        <v>0.32619999999999999</v>
      </c>
      <c r="AO564" s="311">
        <v>0.33410000000000001</v>
      </c>
      <c r="AP564" s="311">
        <v>0.38129999999999997</v>
      </c>
      <c r="AQ564" s="311">
        <v>0</v>
      </c>
      <c r="AR564" s="311">
        <v>0</v>
      </c>
      <c r="AS564" s="311">
        <v>0</v>
      </c>
      <c r="AT564" s="311">
        <v>0.35189999999999999</v>
      </c>
      <c r="AU564" s="311">
        <v>0.37030000000000002</v>
      </c>
      <c r="AV564" s="311">
        <v>0</v>
      </c>
      <c r="AW564" s="311">
        <v>0.32390000000000002</v>
      </c>
      <c r="AX564" s="311">
        <v>0</v>
      </c>
      <c r="AY564" s="311">
        <v>0.33750000000000002</v>
      </c>
      <c r="AZ564" s="311">
        <v>0.35460000000000003</v>
      </c>
      <c r="BA564" s="311">
        <v>0</v>
      </c>
      <c r="BB564" s="311">
        <v>0</v>
      </c>
      <c r="BC564" s="311">
        <v>0.35680000000000001</v>
      </c>
      <c r="BD564" s="311">
        <v>0.3659</v>
      </c>
      <c r="BE564" s="311">
        <v>0.39179999999999998</v>
      </c>
      <c r="BF564" s="311">
        <v>0.35930000000000001</v>
      </c>
      <c r="BG564" s="311">
        <v>0.37119999999999997</v>
      </c>
      <c r="BH564" s="311">
        <v>0.3669</v>
      </c>
      <c r="BI564" s="311">
        <v>0.37869999999999998</v>
      </c>
      <c r="BJ564" s="311">
        <v>0.35470000000000002</v>
      </c>
      <c r="BK564" s="311">
        <v>0.36230000000000001</v>
      </c>
    </row>
    <row r="565" spans="1:63" x14ac:dyDescent="0.25">
      <c r="A565" s="306">
        <v>327215</v>
      </c>
      <c r="B565" s="311" t="s">
        <v>140</v>
      </c>
      <c r="C565" s="311">
        <v>0.48949999999999999</v>
      </c>
      <c r="D565" s="311">
        <v>0</v>
      </c>
      <c r="E565" s="311">
        <v>0.35339999999999999</v>
      </c>
      <c r="F565" s="311">
        <v>0.32340000000000002</v>
      </c>
      <c r="G565" s="311">
        <v>0.35549999999999998</v>
      </c>
      <c r="H565" s="311">
        <v>0.39979999999999999</v>
      </c>
      <c r="I565" s="311">
        <v>0.3916</v>
      </c>
      <c r="J565" s="311">
        <v>0.34370000000000001</v>
      </c>
      <c r="K565" s="311">
        <v>0</v>
      </c>
      <c r="L565" s="311">
        <v>0.26900000000000002</v>
      </c>
      <c r="M565" s="311">
        <v>0.3508</v>
      </c>
      <c r="N565" s="311">
        <v>0.40479999999999999</v>
      </c>
      <c r="O565" s="311">
        <v>0.31280000000000002</v>
      </c>
      <c r="P565" s="311">
        <v>0.32269999999999999</v>
      </c>
      <c r="Q565" s="311">
        <v>0.3115</v>
      </c>
      <c r="R565" s="311">
        <v>0.39550000000000002</v>
      </c>
      <c r="S565" s="311">
        <v>0.35930000000000001</v>
      </c>
      <c r="T565" s="311">
        <v>0.32379999999999998</v>
      </c>
      <c r="U565" s="311">
        <v>0.39119999999999999</v>
      </c>
      <c r="V565" s="311">
        <v>0.35589999999999999</v>
      </c>
      <c r="W565" s="311">
        <v>0.36870000000000003</v>
      </c>
      <c r="X565" s="311">
        <v>0.30640000000000001</v>
      </c>
      <c r="Y565" s="311">
        <v>0.3412</v>
      </c>
      <c r="Z565" s="311">
        <v>0.39689999999999998</v>
      </c>
      <c r="AA565" s="311">
        <v>0.36380000000000001</v>
      </c>
      <c r="AB565" s="311">
        <v>0.36099999999999999</v>
      </c>
      <c r="AC565" s="311">
        <v>0.32079999999999997</v>
      </c>
      <c r="AD565" s="311">
        <v>0.29770000000000002</v>
      </c>
      <c r="AE565" s="311">
        <v>0.40689999999999998</v>
      </c>
      <c r="AF565" s="311">
        <v>0.28549999999999998</v>
      </c>
      <c r="AG565" s="311">
        <v>0.30509999999999998</v>
      </c>
      <c r="AH565" s="311">
        <v>0.34279999999999999</v>
      </c>
      <c r="AI565" s="311">
        <v>0.3952</v>
      </c>
      <c r="AJ565" s="311">
        <v>0.31669999999999998</v>
      </c>
      <c r="AK565" s="311">
        <v>0.3306</v>
      </c>
      <c r="AL565" s="311">
        <v>0.35549999999999998</v>
      </c>
      <c r="AM565" s="311">
        <v>0.43130000000000002</v>
      </c>
      <c r="AN565" s="311">
        <v>0.37630000000000002</v>
      </c>
      <c r="AO565" s="311">
        <v>0.3977</v>
      </c>
      <c r="AP565" s="311">
        <v>0.43890000000000001</v>
      </c>
      <c r="AQ565" s="311">
        <v>0.29480000000000001</v>
      </c>
      <c r="AR565" s="311">
        <v>0.36969999999999997</v>
      </c>
      <c r="AS565" s="311">
        <v>0.28939999999999999</v>
      </c>
      <c r="AT565" s="311">
        <v>0.40279999999999999</v>
      </c>
      <c r="AU565" s="311">
        <v>0.41210000000000002</v>
      </c>
      <c r="AV565" s="311">
        <v>0.38400000000000001</v>
      </c>
      <c r="AW565" s="311">
        <v>0.34960000000000002</v>
      </c>
      <c r="AX565" s="311">
        <v>0.30620000000000003</v>
      </c>
      <c r="AY565" s="311">
        <v>0.37990000000000002</v>
      </c>
      <c r="AZ565" s="311">
        <v>0.38440000000000002</v>
      </c>
      <c r="BA565" s="311">
        <v>0.31130000000000002</v>
      </c>
      <c r="BB565" s="311">
        <v>0</v>
      </c>
      <c r="BC565" s="311">
        <v>0.40739999999999998</v>
      </c>
      <c r="BD565" s="311">
        <v>0.43830000000000002</v>
      </c>
      <c r="BE565" s="311">
        <v>0.44850000000000001</v>
      </c>
      <c r="BF565" s="311">
        <v>0.38590000000000002</v>
      </c>
      <c r="BG565" s="311">
        <v>0.4143</v>
      </c>
      <c r="BH565" s="311">
        <v>0.41299999999999998</v>
      </c>
      <c r="BI565" s="311">
        <v>0.41489999999999999</v>
      </c>
      <c r="BJ565" s="311">
        <v>0.37440000000000001</v>
      </c>
      <c r="BK565" s="311">
        <v>0.40539999999999998</v>
      </c>
    </row>
    <row r="566" spans="1:63" x14ac:dyDescent="0.25">
      <c r="A566" s="306">
        <v>327310</v>
      </c>
      <c r="B566" s="311" t="s">
        <v>141</v>
      </c>
      <c r="C566" s="311">
        <v>0.36880000000000002</v>
      </c>
      <c r="D566" s="311">
        <v>0</v>
      </c>
      <c r="E566" s="311">
        <v>0.2868</v>
      </c>
      <c r="F566" s="311">
        <v>0.26400000000000001</v>
      </c>
      <c r="G566" s="311">
        <v>0.27489999999999998</v>
      </c>
      <c r="H566" s="311">
        <v>0.29260000000000003</v>
      </c>
      <c r="I566" s="311">
        <v>0.30209999999999998</v>
      </c>
      <c r="J566" s="311">
        <v>0</v>
      </c>
      <c r="K566" s="311">
        <v>0</v>
      </c>
      <c r="L566" s="311">
        <v>0</v>
      </c>
      <c r="M566" s="311">
        <v>0.26369999999999999</v>
      </c>
      <c r="N566" s="311">
        <v>0.2959</v>
      </c>
      <c r="O566" s="311">
        <v>0.23710000000000001</v>
      </c>
      <c r="P566" s="311">
        <v>0.22570000000000001</v>
      </c>
      <c r="Q566" s="311">
        <v>0.23810000000000001</v>
      </c>
      <c r="R566" s="311">
        <v>0.30280000000000001</v>
      </c>
      <c r="S566" s="311">
        <v>0.28289999999999998</v>
      </c>
      <c r="T566" s="311">
        <v>0.24460000000000001</v>
      </c>
      <c r="U566" s="311">
        <v>0.27210000000000001</v>
      </c>
      <c r="V566" s="311">
        <v>0.28100000000000003</v>
      </c>
      <c r="W566" s="311">
        <v>0.25640000000000002</v>
      </c>
      <c r="X566" s="311">
        <v>0.23669999999999999</v>
      </c>
      <c r="Y566" s="311">
        <v>0.24859999999999999</v>
      </c>
      <c r="Z566" s="311">
        <v>0.2974</v>
      </c>
      <c r="AA566" s="311">
        <v>0</v>
      </c>
      <c r="AB566" s="311">
        <v>0.28029999999999999</v>
      </c>
      <c r="AC566" s="311">
        <v>0.24640000000000001</v>
      </c>
      <c r="AD566" s="311">
        <v>0.24929999999999999</v>
      </c>
      <c r="AE566" s="311">
        <v>0.26129999999999998</v>
      </c>
      <c r="AF566" s="311">
        <v>0.21740000000000001</v>
      </c>
      <c r="AG566" s="311">
        <v>0.23949999999999999</v>
      </c>
      <c r="AH566" s="311">
        <v>0.2341</v>
      </c>
      <c r="AI566" s="311">
        <v>0.25929999999999997</v>
      </c>
      <c r="AJ566" s="311">
        <v>0.26429999999999998</v>
      </c>
      <c r="AK566" s="311">
        <v>0.2581</v>
      </c>
      <c r="AL566" s="311">
        <v>0.25309999999999999</v>
      </c>
      <c r="AM566" s="311">
        <v>0.30270000000000002</v>
      </c>
      <c r="AN566" s="311">
        <v>0.27929999999999999</v>
      </c>
      <c r="AO566" s="311">
        <v>0.27579999999999999</v>
      </c>
      <c r="AP566" s="311">
        <v>0.31580000000000003</v>
      </c>
      <c r="AQ566" s="311">
        <v>0</v>
      </c>
      <c r="AR566" s="311">
        <v>0.2651</v>
      </c>
      <c r="AS566" s="311">
        <v>0.22120000000000001</v>
      </c>
      <c r="AT566" s="311">
        <v>0.27800000000000002</v>
      </c>
      <c r="AU566" s="311">
        <v>0.32300000000000001</v>
      </c>
      <c r="AV566" s="311">
        <v>0.30559999999999998</v>
      </c>
      <c r="AW566" s="311">
        <v>0.26440000000000002</v>
      </c>
      <c r="AX566" s="311">
        <v>0</v>
      </c>
      <c r="AY566" s="311">
        <v>0.27300000000000002</v>
      </c>
      <c r="AZ566" s="311">
        <v>0</v>
      </c>
      <c r="BA566" s="311">
        <v>0.23780000000000001</v>
      </c>
      <c r="BB566" s="311">
        <v>0.24610000000000001</v>
      </c>
      <c r="BC566" s="311">
        <v>0.28139999999999998</v>
      </c>
      <c r="BD566" s="311">
        <v>0.30230000000000001</v>
      </c>
      <c r="BE566" s="311">
        <v>0.32079999999999997</v>
      </c>
      <c r="BF566" s="311">
        <v>0.28339999999999999</v>
      </c>
      <c r="BG566" s="311">
        <v>0.3019</v>
      </c>
      <c r="BH566" s="311">
        <v>0.29459999999999997</v>
      </c>
      <c r="BI566" s="311">
        <v>0.32350000000000001</v>
      </c>
      <c r="BJ566" s="311">
        <v>0.307</v>
      </c>
      <c r="BK566" s="311">
        <v>0.30099999999999999</v>
      </c>
    </row>
    <row r="567" spans="1:63" x14ac:dyDescent="0.25">
      <c r="A567" s="306">
        <v>327320</v>
      </c>
      <c r="B567" s="311" t="s">
        <v>142</v>
      </c>
      <c r="C567" s="311">
        <v>0.50170000000000003</v>
      </c>
      <c r="D567" s="311">
        <v>0.31290000000000001</v>
      </c>
      <c r="E567" s="311">
        <v>0.40439999999999998</v>
      </c>
      <c r="F567" s="311">
        <v>0.38869999999999999</v>
      </c>
      <c r="G567" s="311">
        <v>0.40100000000000002</v>
      </c>
      <c r="H567" s="311">
        <v>0.39069999999999999</v>
      </c>
      <c r="I567" s="311">
        <v>0.43240000000000001</v>
      </c>
      <c r="J567" s="311">
        <v>0.3226</v>
      </c>
      <c r="K567" s="311">
        <v>9.1899999999999996E-2</v>
      </c>
      <c r="L567" s="311">
        <v>0.2492</v>
      </c>
      <c r="M567" s="311">
        <v>0.37040000000000001</v>
      </c>
      <c r="N567" s="311">
        <v>0.41899999999999998</v>
      </c>
      <c r="O567" s="311">
        <v>0.33210000000000001</v>
      </c>
      <c r="P567" s="311">
        <v>0.35320000000000001</v>
      </c>
      <c r="Q567" s="311">
        <v>0.37840000000000001</v>
      </c>
      <c r="R567" s="311">
        <v>0.4168</v>
      </c>
      <c r="S567" s="311">
        <v>0.40160000000000001</v>
      </c>
      <c r="T567" s="311">
        <v>0.35089999999999999</v>
      </c>
      <c r="U567" s="311">
        <v>0.37369999999999998</v>
      </c>
      <c r="V567" s="311">
        <v>0.38009999999999999</v>
      </c>
      <c r="W567" s="311">
        <v>0.33019999999999999</v>
      </c>
      <c r="X567" s="311">
        <v>0.33800000000000002</v>
      </c>
      <c r="Y567" s="311">
        <v>0.3579</v>
      </c>
      <c r="Z567" s="311">
        <v>0.42309999999999998</v>
      </c>
      <c r="AA567" s="311">
        <v>0.35849999999999999</v>
      </c>
      <c r="AB567" s="311">
        <v>0.40620000000000001</v>
      </c>
      <c r="AC567" s="311">
        <v>0.35610000000000003</v>
      </c>
      <c r="AD567" s="311">
        <v>0.37459999999999999</v>
      </c>
      <c r="AE567" s="311">
        <v>0.35549999999999998</v>
      </c>
      <c r="AF567" s="311">
        <v>0.30170000000000002</v>
      </c>
      <c r="AG567" s="311">
        <v>0.36449999999999999</v>
      </c>
      <c r="AH567" s="311">
        <v>0.3206</v>
      </c>
      <c r="AI567" s="311">
        <v>0.35489999999999999</v>
      </c>
      <c r="AJ567" s="311">
        <v>0.3659</v>
      </c>
      <c r="AK567" s="311">
        <v>0.37569999999999998</v>
      </c>
      <c r="AL567" s="311">
        <v>0.32079999999999997</v>
      </c>
      <c r="AM567" s="311">
        <v>0.40870000000000001</v>
      </c>
      <c r="AN567" s="311">
        <v>0.40620000000000001</v>
      </c>
      <c r="AO567" s="311">
        <v>0.39</v>
      </c>
      <c r="AP567" s="311">
        <v>0.42220000000000002</v>
      </c>
      <c r="AQ567" s="311">
        <v>0.27750000000000002</v>
      </c>
      <c r="AR567" s="311">
        <v>0.3967</v>
      </c>
      <c r="AS567" s="311">
        <v>0.34770000000000001</v>
      </c>
      <c r="AT567" s="311">
        <v>0.40089999999999998</v>
      </c>
      <c r="AU567" s="311">
        <v>0.443</v>
      </c>
      <c r="AV567" s="311">
        <v>0.43330000000000002</v>
      </c>
      <c r="AW567" s="311">
        <v>0.36680000000000001</v>
      </c>
      <c r="AX567" s="311">
        <v>0.307</v>
      </c>
      <c r="AY567" s="311">
        <v>0.38719999999999999</v>
      </c>
      <c r="AZ567" s="311">
        <v>0.36730000000000002</v>
      </c>
      <c r="BA567" s="311">
        <v>0.33929999999999999</v>
      </c>
      <c r="BB567" s="311">
        <v>0.36120000000000002</v>
      </c>
      <c r="BC567" s="311">
        <v>0.36759999999999998</v>
      </c>
      <c r="BD567" s="311">
        <v>0.40479999999999999</v>
      </c>
      <c r="BE567" s="311">
        <v>0.45350000000000001</v>
      </c>
      <c r="BF567" s="311">
        <v>0.41870000000000002</v>
      </c>
      <c r="BG567" s="311">
        <v>0.42509999999999998</v>
      </c>
      <c r="BH567" s="311">
        <v>0.42120000000000002</v>
      </c>
      <c r="BI567" s="311">
        <v>0.44719999999999999</v>
      </c>
      <c r="BJ567" s="311">
        <v>0.43809999999999999</v>
      </c>
      <c r="BK567" s="311">
        <v>0.40329999999999999</v>
      </c>
    </row>
    <row r="568" spans="1:63" x14ac:dyDescent="0.25">
      <c r="A568" s="306">
        <v>327330</v>
      </c>
      <c r="B568" s="311" t="s">
        <v>143</v>
      </c>
      <c r="C568" s="311">
        <v>0.49469999999999997</v>
      </c>
      <c r="D568" s="311">
        <v>0.3165</v>
      </c>
      <c r="E568" s="311">
        <v>0.39700000000000002</v>
      </c>
      <c r="F568" s="311">
        <v>0.38129999999999997</v>
      </c>
      <c r="G568" s="311">
        <v>0.39500000000000002</v>
      </c>
      <c r="H568" s="311">
        <v>0.41810000000000003</v>
      </c>
      <c r="I568" s="311">
        <v>0.42159999999999997</v>
      </c>
      <c r="J568" s="311">
        <v>0.36080000000000001</v>
      </c>
      <c r="K568" s="311">
        <v>0</v>
      </c>
      <c r="L568" s="311">
        <v>0.29270000000000002</v>
      </c>
      <c r="M568" s="311">
        <v>0.39729999999999999</v>
      </c>
      <c r="N568" s="311">
        <v>0.41220000000000001</v>
      </c>
      <c r="O568" s="311">
        <v>0.34510000000000002</v>
      </c>
      <c r="P568" s="311">
        <v>0.3417</v>
      </c>
      <c r="Q568" s="311">
        <v>0.3599</v>
      </c>
      <c r="R568" s="311">
        <v>0.42259999999999998</v>
      </c>
      <c r="S568" s="311">
        <v>0.39379999999999998</v>
      </c>
      <c r="T568" s="311">
        <v>0.34010000000000001</v>
      </c>
      <c r="U568" s="311">
        <v>0.3906</v>
      </c>
      <c r="V568" s="311">
        <v>0.38450000000000001</v>
      </c>
      <c r="W568" s="311">
        <v>0.3619</v>
      </c>
      <c r="X568" s="311">
        <v>0.35780000000000001</v>
      </c>
      <c r="Y568" s="311">
        <v>0.37740000000000001</v>
      </c>
      <c r="Z568" s="311">
        <v>0.4264</v>
      </c>
      <c r="AA568" s="311">
        <v>0.37569999999999998</v>
      </c>
      <c r="AB568" s="311">
        <v>0.4042</v>
      </c>
      <c r="AC568" s="311">
        <v>0.36530000000000001</v>
      </c>
      <c r="AD568" s="311">
        <v>0.35</v>
      </c>
      <c r="AE568" s="311">
        <v>0.3821</v>
      </c>
      <c r="AF568" s="311">
        <v>0.29780000000000001</v>
      </c>
      <c r="AG568" s="311">
        <v>0.35870000000000002</v>
      </c>
      <c r="AH568" s="311">
        <v>0.33279999999999998</v>
      </c>
      <c r="AI568" s="311">
        <v>0.38200000000000001</v>
      </c>
      <c r="AJ568" s="311">
        <v>0.3639</v>
      </c>
      <c r="AK568" s="311">
        <v>0.38279999999999997</v>
      </c>
      <c r="AL568" s="311">
        <v>0.3548</v>
      </c>
      <c r="AM568" s="311">
        <v>0.41830000000000001</v>
      </c>
      <c r="AN568" s="311">
        <v>0.40050000000000002</v>
      </c>
      <c r="AO568" s="311">
        <v>0.40060000000000001</v>
      </c>
      <c r="AP568" s="311">
        <v>0.43259999999999998</v>
      </c>
      <c r="AQ568" s="311">
        <v>0.29780000000000001</v>
      </c>
      <c r="AR568" s="311">
        <v>0.39979999999999999</v>
      </c>
      <c r="AS568" s="311">
        <v>0.32829999999999998</v>
      </c>
      <c r="AT568" s="311">
        <v>0.39910000000000001</v>
      </c>
      <c r="AU568" s="311">
        <v>0.43890000000000001</v>
      </c>
      <c r="AV568" s="311">
        <v>0.43130000000000002</v>
      </c>
      <c r="AW568" s="311">
        <v>0.38169999999999998</v>
      </c>
      <c r="AX568" s="311">
        <v>0.313</v>
      </c>
      <c r="AY568" s="311">
        <v>0.3906</v>
      </c>
      <c r="AZ568" s="311">
        <v>0.3755</v>
      </c>
      <c r="BA568" s="311">
        <v>0.31979999999999997</v>
      </c>
      <c r="BB568" s="311">
        <v>0.33989999999999998</v>
      </c>
      <c r="BC568" s="311">
        <v>0.39589999999999997</v>
      </c>
      <c r="BD568" s="311">
        <v>0.42899999999999999</v>
      </c>
      <c r="BE568" s="311">
        <v>0.44919999999999999</v>
      </c>
      <c r="BF568" s="311">
        <v>0.40679999999999999</v>
      </c>
      <c r="BG568" s="311">
        <v>0.42599999999999999</v>
      </c>
      <c r="BH568" s="311">
        <v>0.41420000000000001</v>
      </c>
      <c r="BI568" s="311">
        <v>0.44209999999999999</v>
      </c>
      <c r="BJ568" s="311">
        <v>0.4173</v>
      </c>
      <c r="BK568" s="311">
        <v>0.42059999999999997</v>
      </c>
    </row>
    <row r="569" spans="1:63" x14ac:dyDescent="0.25">
      <c r="A569" s="306">
        <v>327390</v>
      </c>
      <c r="B569" s="311" t="s">
        <v>144</v>
      </c>
      <c r="C569" s="311">
        <v>0.53869999999999996</v>
      </c>
      <c r="D569" s="311">
        <v>0.34539999999999998</v>
      </c>
      <c r="E569" s="311">
        <v>0.43630000000000002</v>
      </c>
      <c r="F569" s="311">
        <v>0.41980000000000001</v>
      </c>
      <c r="G569" s="311">
        <v>0.42620000000000002</v>
      </c>
      <c r="H569" s="311">
        <v>0.45190000000000002</v>
      </c>
      <c r="I569" s="311">
        <v>0.45989999999999998</v>
      </c>
      <c r="J569" s="311">
        <v>0.41189999999999999</v>
      </c>
      <c r="K569" s="311">
        <v>0</v>
      </c>
      <c r="L569" s="311">
        <v>0.32569999999999999</v>
      </c>
      <c r="M569" s="311">
        <v>0.42920000000000003</v>
      </c>
      <c r="N569" s="311">
        <v>0.44990000000000002</v>
      </c>
      <c r="O569" s="311">
        <v>0.38090000000000002</v>
      </c>
      <c r="P569" s="311">
        <v>0.38469999999999999</v>
      </c>
      <c r="Q569" s="311">
        <v>0.39900000000000002</v>
      </c>
      <c r="R569" s="311">
        <v>0.4733</v>
      </c>
      <c r="S569" s="311">
        <v>0.43919999999999998</v>
      </c>
      <c r="T569" s="311">
        <v>0.37440000000000001</v>
      </c>
      <c r="U569" s="311">
        <v>0.43020000000000003</v>
      </c>
      <c r="V569" s="311">
        <v>0.4178</v>
      </c>
      <c r="W569" s="311">
        <v>0.4052</v>
      </c>
      <c r="X569" s="311">
        <v>0.38990000000000002</v>
      </c>
      <c r="Y569" s="311">
        <v>0.41399999999999998</v>
      </c>
      <c r="Z569" s="311">
        <v>0.47389999999999999</v>
      </c>
      <c r="AA569" s="311">
        <v>0.43340000000000001</v>
      </c>
      <c r="AB569" s="311">
        <v>0.44750000000000001</v>
      </c>
      <c r="AC569" s="311">
        <v>0.40200000000000002</v>
      </c>
      <c r="AD569" s="311">
        <v>0.38059999999999999</v>
      </c>
      <c r="AE569" s="311">
        <v>0.43519999999999998</v>
      </c>
      <c r="AF569" s="311">
        <v>0.33429999999999999</v>
      </c>
      <c r="AG569" s="311">
        <v>0.39950000000000002</v>
      </c>
      <c r="AH569" s="311">
        <v>0.38229999999999997</v>
      </c>
      <c r="AI569" s="311">
        <v>0.4214</v>
      </c>
      <c r="AJ569" s="311">
        <v>0.38440000000000002</v>
      </c>
      <c r="AK569" s="311">
        <v>0.41449999999999998</v>
      </c>
      <c r="AL569" s="311">
        <v>0.3921</v>
      </c>
      <c r="AM569" s="311">
        <v>0.46860000000000002</v>
      </c>
      <c r="AN569" s="311">
        <v>0.43719999999999998</v>
      </c>
      <c r="AO569" s="311">
        <v>0.44629999999999997</v>
      </c>
      <c r="AP569" s="311">
        <v>0.48130000000000001</v>
      </c>
      <c r="AQ569" s="311">
        <v>0.34260000000000002</v>
      </c>
      <c r="AR569" s="311">
        <v>0.43840000000000001</v>
      </c>
      <c r="AS569" s="311">
        <v>0.36570000000000003</v>
      </c>
      <c r="AT569" s="311">
        <v>0.43790000000000001</v>
      </c>
      <c r="AU569" s="311">
        <v>0.47060000000000002</v>
      </c>
      <c r="AV569" s="311">
        <v>0.46920000000000001</v>
      </c>
      <c r="AW569" s="311">
        <v>0.41449999999999998</v>
      </c>
      <c r="AX569" s="311">
        <v>0.35649999999999998</v>
      </c>
      <c r="AY569" s="311">
        <v>0.42670000000000002</v>
      </c>
      <c r="AZ569" s="311">
        <v>0.43859999999999999</v>
      </c>
      <c r="BA569" s="311">
        <v>0.34860000000000002</v>
      </c>
      <c r="BB569" s="311">
        <v>0.37119999999999997</v>
      </c>
      <c r="BC569" s="311">
        <v>0.44719999999999999</v>
      </c>
      <c r="BD569" s="311">
        <v>0.46929999999999999</v>
      </c>
      <c r="BE569" s="311">
        <v>0.49709999999999999</v>
      </c>
      <c r="BF569" s="311">
        <v>0.45240000000000002</v>
      </c>
      <c r="BG569" s="311">
        <v>0.46289999999999998</v>
      </c>
      <c r="BH569" s="311">
        <v>0.45379999999999998</v>
      </c>
      <c r="BI569" s="311">
        <v>0.47620000000000001</v>
      </c>
      <c r="BJ569" s="311">
        <v>0.45079999999999998</v>
      </c>
      <c r="BK569" s="311">
        <v>0.45729999999999998</v>
      </c>
    </row>
    <row r="570" spans="1:63" x14ac:dyDescent="0.25">
      <c r="A570" s="306" t="s">
        <v>720</v>
      </c>
      <c r="B570" s="311" t="s">
        <v>145</v>
      </c>
      <c r="C570" s="311">
        <v>0.42370000000000002</v>
      </c>
      <c r="D570" s="311">
        <v>0</v>
      </c>
      <c r="E570" s="311">
        <v>0.32540000000000002</v>
      </c>
      <c r="F570" s="311">
        <v>0.31390000000000001</v>
      </c>
      <c r="G570" s="311">
        <v>0.28639999999999999</v>
      </c>
      <c r="H570" s="311">
        <v>0.30790000000000001</v>
      </c>
      <c r="I570" s="311">
        <v>0.32</v>
      </c>
      <c r="J570" s="311">
        <v>0.25850000000000001</v>
      </c>
      <c r="K570" s="311">
        <v>0</v>
      </c>
      <c r="L570" s="311">
        <v>0.21010000000000001</v>
      </c>
      <c r="M570" s="311">
        <v>0.28220000000000001</v>
      </c>
      <c r="N570" s="311">
        <v>0.3402</v>
      </c>
      <c r="O570" s="311">
        <v>0</v>
      </c>
      <c r="P570" s="311">
        <v>0.24759999999999999</v>
      </c>
      <c r="Q570" s="311">
        <v>0.29609999999999997</v>
      </c>
      <c r="R570" s="311">
        <v>0.32379999999999998</v>
      </c>
      <c r="S570" s="311">
        <v>0.31669999999999998</v>
      </c>
      <c r="T570" s="311">
        <v>0.26840000000000003</v>
      </c>
      <c r="U570" s="311">
        <v>0.2908</v>
      </c>
      <c r="V570" s="311">
        <v>0.3372</v>
      </c>
      <c r="W570" s="311">
        <v>0.25790000000000002</v>
      </c>
      <c r="X570" s="311">
        <v>0.23730000000000001</v>
      </c>
      <c r="Y570" s="311">
        <v>0</v>
      </c>
      <c r="Z570" s="311">
        <v>0.32950000000000002</v>
      </c>
      <c r="AA570" s="311">
        <v>0</v>
      </c>
      <c r="AB570" s="311">
        <v>0.29039999999999999</v>
      </c>
      <c r="AC570" s="311">
        <v>0.28589999999999999</v>
      </c>
      <c r="AD570" s="311">
        <v>0.30819999999999997</v>
      </c>
      <c r="AE570" s="311">
        <v>0.31879999999999997</v>
      </c>
      <c r="AF570" s="311">
        <v>0</v>
      </c>
      <c r="AG570" s="311">
        <v>0.25559999999999999</v>
      </c>
      <c r="AH570" s="311">
        <v>0.23050000000000001</v>
      </c>
      <c r="AI570" s="311">
        <v>0.28010000000000002</v>
      </c>
      <c r="AJ570" s="311">
        <v>0.29099999999999998</v>
      </c>
      <c r="AK570" s="311">
        <v>0.27560000000000001</v>
      </c>
      <c r="AL570" s="311">
        <v>0.25619999999999998</v>
      </c>
      <c r="AM570" s="311">
        <v>0.34839999999999999</v>
      </c>
      <c r="AN570" s="311">
        <v>0.31740000000000002</v>
      </c>
      <c r="AO570" s="311">
        <v>0.32100000000000001</v>
      </c>
      <c r="AP570" s="311">
        <v>0.3231</v>
      </c>
      <c r="AQ570" s="311">
        <v>0</v>
      </c>
      <c r="AR570" s="311">
        <v>0.3095</v>
      </c>
      <c r="AS570" s="311">
        <v>0.23769999999999999</v>
      </c>
      <c r="AT570" s="311">
        <v>0.31359999999999999</v>
      </c>
      <c r="AU570" s="311">
        <v>0.36449999999999999</v>
      </c>
      <c r="AV570" s="311">
        <v>0.32819999999999999</v>
      </c>
      <c r="AW570" s="311">
        <v>0.30249999999999999</v>
      </c>
      <c r="AX570" s="311">
        <v>0</v>
      </c>
      <c r="AY570" s="311">
        <v>0.31230000000000002</v>
      </c>
      <c r="AZ570" s="311">
        <v>0.30620000000000003</v>
      </c>
      <c r="BA570" s="311">
        <v>0.26690000000000003</v>
      </c>
      <c r="BB570" s="311">
        <v>0.27460000000000001</v>
      </c>
      <c r="BC570" s="311">
        <v>0.29709999999999998</v>
      </c>
      <c r="BD570" s="311">
        <v>0.30649999999999999</v>
      </c>
      <c r="BE570" s="311">
        <v>0.35249999999999998</v>
      </c>
      <c r="BF570" s="311">
        <v>0.29949999999999999</v>
      </c>
      <c r="BG570" s="311">
        <v>0.34499999999999997</v>
      </c>
      <c r="BH570" s="311">
        <v>0.33339999999999997</v>
      </c>
      <c r="BI570" s="311">
        <v>0.373</v>
      </c>
      <c r="BJ570" s="311">
        <v>0.34250000000000003</v>
      </c>
      <c r="BK570" s="311">
        <v>0.32819999999999999</v>
      </c>
    </row>
    <row r="571" spans="1:63" x14ac:dyDescent="0.25">
      <c r="A571" s="306">
        <v>327910</v>
      </c>
      <c r="B571" s="311" t="s">
        <v>146</v>
      </c>
      <c r="C571" s="311">
        <v>0.42649999999999999</v>
      </c>
      <c r="D571" s="311">
        <v>0</v>
      </c>
      <c r="E571" s="311">
        <v>0.34379999999999999</v>
      </c>
      <c r="F571" s="311">
        <v>0.3296</v>
      </c>
      <c r="G571" s="311">
        <v>0.33889999999999998</v>
      </c>
      <c r="H571" s="311">
        <v>0.35439999999999999</v>
      </c>
      <c r="I571" s="311">
        <v>0.35680000000000001</v>
      </c>
      <c r="J571" s="311">
        <v>0.35010000000000002</v>
      </c>
      <c r="K571" s="311">
        <v>0</v>
      </c>
      <c r="L571" s="311">
        <v>0</v>
      </c>
      <c r="M571" s="311">
        <v>0.3296</v>
      </c>
      <c r="N571" s="311">
        <v>0.36990000000000001</v>
      </c>
      <c r="O571" s="311">
        <v>0</v>
      </c>
      <c r="P571" s="311">
        <v>0.28749999999999998</v>
      </c>
      <c r="Q571" s="311">
        <v>0.31040000000000001</v>
      </c>
      <c r="R571" s="311">
        <v>0.37769999999999998</v>
      </c>
      <c r="S571" s="311">
        <v>0.33360000000000001</v>
      </c>
      <c r="T571" s="311">
        <v>0.28760000000000002</v>
      </c>
      <c r="U571" s="311">
        <v>0.33019999999999999</v>
      </c>
      <c r="V571" s="311">
        <v>0.32990000000000003</v>
      </c>
      <c r="W571" s="311">
        <v>0.34300000000000003</v>
      </c>
      <c r="X571" s="311">
        <v>0.29959999999999998</v>
      </c>
      <c r="Y571" s="311">
        <v>0</v>
      </c>
      <c r="Z571" s="311">
        <v>0.37490000000000001</v>
      </c>
      <c r="AA571" s="311">
        <v>0.35460000000000003</v>
      </c>
      <c r="AB571" s="311">
        <v>0.3538</v>
      </c>
      <c r="AC571" s="311">
        <v>0.32129999999999997</v>
      </c>
      <c r="AD571" s="311">
        <v>0</v>
      </c>
      <c r="AE571" s="311">
        <v>0.36259999999999998</v>
      </c>
      <c r="AF571" s="311">
        <v>0</v>
      </c>
      <c r="AG571" s="311">
        <v>0</v>
      </c>
      <c r="AH571" s="311">
        <v>0.31869999999999998</v>
      </c>
      <c r="AI571" s="311">
        <v>0.34560000000000002</v>
      </c>
      <c r="AJ571" s="311">
        <v>0</v>
      </c>
      <c r="AK571" s="311">
        <v>0</v>
      </c>
      <c r="AL571" s="311">
        <v>0.33439999999999998</v>
      </c>
      <c r="AM571" s="311">
        <v>0.37730000000000002</v>
      </c>
      <c r="AN571" s="311">
        <v>0</v>
      </c>
      <c r="AO571" s="311">
        <v>0.35770000000000002</v>
      </c>
      <c r="AP571" s="311">
        <v>0.3695</v>
      </c>
      <c r="AQ571" s="311">
        <v>0.29110000000000003</v>
      </c>
      <c r="AR571" s="311">
        <v>0.32979999999999998</v>
      </c>
      <c r="AS571" s="311">
        <v>0</v>
      </c>
      <c r="AT571" s="311">
        <v>0.32990000000000003</v>
      </c>
      <c r="AU571" s="311">
        <v>0.37730000000000002</v>
      </c>
      <c r="AV571" s="311">
        <v>0.35349999999999998</v>
      </c>
      <c r="AW571" s="311">
        <v>0.3478</v>
      </c>
      <c r="AX571" s="311">
        <v>0.29759999999999998</v>
      </c>
      <c r="AY571" s="311">
        <v>0.33810000000000001</v>
      </c>
      <c r="AZ571" s="311">
        <v>0.35670000000000002</v>
      </c>
      <c r="BA571" s="311">
        <v>0</v>
      </c>
      <c r="BB571" s="311">
        <v>0</v>
      </c>
      <c r="BC571" s="311">
        <v>0.37669999999999998</v>
      </c>
      <c r="BD571" s="311">
        <v>0.3805</v>
      </c>
      <c r="BE571" s="311">
        <v>0.39029999999999998</v>
      </c>
      <c r="BF571" s="311">
        <v>0.3503</v>
      </c>
      <c r="BG571" s="311">
        <v>0.36899999999999999</v>
      </c>
      <c r="BH571" s="311">
        <v>0.35310000000000002</v>
      </c>
      <c r="BI571" s="311">
        <v>0.3745</v>
      </c>
      <c r="BJ571" s="311">
        <v>0.3528</v>
      </c>
      <c r="BK571" s="311">
        <v>0.36009999999999998</v>
      </c>
    </row>
    <row r="572" spans="1:63" x14ac:dyDescent="0.25">
      <c r="A572" s="306">
        <v>327991</v>
      </c>
      <c r="B572" s="311" t="s">
        <v>147</v>
      </c>
      <c r="C572" s="311">
        <v>0.61760000000000004</v>
      </c>
      <c r="D572" s="311">
        <v>0.43509999999999999</v>
      </c>
      <c r="E572" s="311">
        <v>0.49249999999999999</v>
      </c>
      <c r="F572" s="311">
        <v>0.48870000000000002</v>
      </c>
      <c r="G572" s="311">
        <v>0.50749999999999995</v>
      </c>
      <c r="H572" s="311">
        <v>0.52990000000000004</v>
      </c>
      <c r="I572" s="311">
        <v>0.55010000000000003</v>
      </c>
      <c r="J572" s="311">
        <v>0.49409999999999998</v>
      </c>
      <c r="K572" s="311">
        <v>0</v>
      </c>
      <c r="L572" s="311">
        <v>0.38979999999999998</v>
      </c>
      <c r="M572" s="311">
        <v>0.50519999999999998</v>
      </c>
      <c r="N572" s="311">
        <v>0.54549999999999998</v>
      </c>
      <c r="O572" s="311">
        <v>0.4738</v>
      </c>
      <c r="P572" s="311">
        <v>0.4521</v>
      </c>
      <c r="Q572" s="311">
        <v>0.4849</v>
      </c>
      <c r="R572" s="311">
        <v>0.55110000000000003</v>
      </c>
      <c r="S572" s="311">
        <v>0.50070000000000003</v>
      </c>
      <c r="T572" s="311">
        <v>0.45090000000000002</v>
      </c>
      <c r="U572" s="311">
        <v>0.48909999999999998</v>
      </c>
      <c r="V572" s="311">
        <v>0.48849999999999999</v>
      </c>
      <c r="W572" s="311">
        <v>0.48749999999999999</v>
      </c>
      <c r="X572" s="311">
        <v>0.44429999999999997</v>
      </c>
      <c r="Y572" s="311">
        <v>0.48830000000000001</v>
      </c>
      <c r="Z572" s="311">
        <v>0.53900000000000003</v>
      </c>
      <c r="AA572" s="311">
        <v>0.51380000000000003</v>
      </c>
      <c r="AB572" s="311">
        <v>0.50990000000000002</v>
      </c>
      <c r="AC572" s="311">
        <v>0.44940000000000002</v>
      </c>
      <c r="AD572" s="311">
        <v>0.47799999999999998</v>
      </c>
      <c r="AE572" s="311">
        <v>0.53039999999999998</v>
      </c>
      <c r="AF572" s="311">
        <v>0.4032</v>
      </c>
      <c r="AG572" s="311">
        <v>0.46739999999999998</v>
      </c>
      <c r="AH572" s="311">
        <v>0.45069999999999999</v>
      </c>
      <c r="AI572" s="311">
        <v>0.50670000000000004</v>
      </c>
      <c r="AJ572" s="311">
        <v>0.46089999999999998</v>
      </c>
      <c r="AK572" s="311">
        <v>0.49049999999999999</v>
      </c>
      <c r="AL572" s="311">
        <v>0.47839999999999999</v>
      </c>
      <c r="AM572" s="311">
        <v>0.54800000000000004</v>
      </c>
      <c r="AN572" s="311">
        <v>0.495</v>
      </c>
      <c r="AO572" s="311">
        <v>0.52190000000000003</v>
      </c>
      <c r="AP572" s="311">
        <v>0.5464</v>
      </c>
      <c r="AQ572" s="311">
        <v>0.41909999999999997</v>
      </c>
      <c r="AR572" s="311">
        <v>0.50449999999999995</v>
      </c>
      <c r="AS572" s="311">
        <v>0.43780000000000002</v>
      </c>
      <c r="AT572" s="311">
        <v>0.50949999999999995</v>
      </c>
      <c r="AU572" s="311">
        <v>0.5383</v>
      </c>
      <c r="AV572" s="311">
        <v>0.53920000000000001</v>
      </c>
      <c r="AW572" s="311">
        <v>0.50129999999999997</v>
      </c>
      <c r="AX572" s="311">
        <v>0.45019999999999999</v>
      </c>
      <c r="AY572" s="311">
        <v>0.49919999999999998</v>
      </c>
      <c r="AZ572" s="311">
        <v>0.52600000000000002</v>
      </c>
      <c r="BA572" s="311">
        <v>0.40379999999999999</v>
      </c>
      <c r="BB572" s="311">
        <v>0.45190000000000002</v>
      </c>
      <c r="BC572" s="311">
        <v>0.53710000000000002</v>
      </c>
      <c r="BD572" s="311">
        <v>0.54869999999999997</v>
      </c>
      <c r="BE572" s="311">
        <v>0.56810000000000005</v>
      </c>
      <c r="BF572" s="311">
        <v>0.52690000000000003</v>
      </c>
      <c r="BG572" s="311">
        <v>0.55379999999999996</v>
      </c>
      <c r="BH572" s="311">
        <v>0.51580000000000004</v>
      </c>
      <c r="BI572" s="311">
        <v>0.54479999999999995</v>
      </c>
      <c r="BJ572" s="311">
        <v>0.54249999999999998</v>
      </c>
      <c r="BK572" s="311">
        <v>0.5383</v>
      </c>
    </row>
    <row r="573" spans="1:63" x14ac:dyDescent="0.25">
      <c r="A573" s="306">
        <v>327992</v>
      </c>
      <c r="B573" s="311" t="s">
        <v>148</v>
      </c>
      <c r="C573" s="311">
        <v>0.3599</v>
      </c>
      <c r="D573" s="311">
        <v>0</v>
      </c>
      <c r="E573" s="311">
        <v>0.27710000000000001</v>
      </c>
      <c r="F573" s="311">
        <v>0.2702</v>
      </c>
      <c r="G573" s="311">
        <v>0.28120000000000001</v>
      </c>
      <c r="H573" s="311">
        <v>0.2873</v>
      </c>
      <c r="I573" s="311">
        <v>0.30470000000000003</v>
      </c>
      <c r="J573" s="311">
        <v>0</v>
      </c>
      <c r="K573" s="311">
        <v>0</v>
      </c>
      <c r="L573" s="311">
        <v>0</v>
      </c>
      <c r="M573" s="311">
        <v>0.26479999999999998</v>
      </c>
      <c r="N573" s="311">
        <v>0.2989</v>
      </c>
      <c r="O573" s="311">
        <v>0</v>
      </c>
      <c r="P573" s="311">
        <v>0</v>
      </c>
      <c r="Q573" s="311">
        <v>0</v>
      </c>
      <c r="R573" s="311">
        <v>0.3049</v>
      </c>
      <c r="S573" s="311">
        <v>0.27960000000000002</v>
      </c>
      <c r="T573" s="311">
        <v>0</v>
      </c>
      <c r="U573" s="311">
        <v>0.26819999999999999</v>
      </c>
      <c r="V573" s="311">
        <v>0.28310000000000002</v>
      </c>
      <c r="W573" s="311">
        <v>0.248</v>
      </c>
      <c r="X573" s="311">
        <v>0</v>
      </c>
      <c r="Y573" s="311">
        <v>0.25440000000000002</v>
      </c>
      <c r="Z573" s="311">
        <v>0.29409999999999997</v>
      </c>
      <c r="AA573" s="311">
        <v>0.26769999999999999</v>
      </c>
      <c r="AB573" s="311">
        <v>0.27739999999999998</v>
      </c>
      <c r="AC573" s="311">
        <v>0</v>
      </c>
      <c r="AD573" s="311">
        <v>0</v>
      </c>
      <c r="AE573" s="311">
        <v>0.27860000000000001</v>
      </c>
      <c r="AF573" s="311">
        <v>0</v>
      </c>
      <c r="AG573" s="311">
        <v>0</v>
      </c>
      <c r="AH573" s="311">
        <v>0</v>
      </c>
      <c r="AI573" s="311">
        <v>0.27</v>
      </c>
      <c r="AJ573" s="311">
        <v>0.27129999999999999</v>
      </c>
      <c r="AK573" s="311">
        <v>0.26619999999999999</v>
      </c>
      <c r="AL573" s="311">
        <v>0.2475</v>
      </c>
      <c r="AM573" s="311">
        <v>0.30359999999999998</v>
      </c>
      <c r="AN573" s="311">
        <v>0.28620000000000001</v>
      </c>
      <c r="AO573" s="311">
        <v>0.2828</v>
      </c>
      <c r="AP573" s="311">
        <v>0.30220000000000002</v>
      </c>
      <c r="AQ573" s="311">
        <v>0</v>
      </c>
      <c r="AR573" s="311">
        <v>0.27100000000000002</v>
      </c>
      <c r="AS573" s="311">
        <v>0</v>
      </c>
      <c r="AT573" s="311">
        <v>0.27650000000000002</v>
      </c>
      <c r="AU573" s="311">
        <v>0.315</v>
      </c>
      <c r="AV573" s="311">
        <v>0</v>
      </c>
      <c r="AW573" s="311">
        <v>0.26769999999999999</v>
      </c>
      <c r="AX573" s="311">
        <v>0</v>
      </c>
      <c r="AY573" s="311">
        <v>0.27550000000000002</v>
      </c>
      <c r="AZ573" s="311">
        <v>0.28210000000000002</v>
      </c>
      <c r="BA573" s="311">
        <v>0</v>
      </c>
      <c r="BB573" s="311">
        <v>0.2576</v>
      </c>
      <c r="BC573" s="311">
        <v>0.27429999999999999</v>
      </c>
      <c r="BD573" s="311">
        <v>0.29670000000000002</v>
      </c>
      <c r="BE573" s="311">
        <v>0.31509999999999999</v>
      </c>
      <c r="BF573" s="311">
        <v>0.28139999999999998</v>
      </c>
      <c r="BG573" s="311">
        <v>0.30320000000000003</v>
      </c>
      <c r="BH573" s="311">
        <v>0.2858</v>
      </c>
      <c r="BI573" s="311">
        <v>0.31990000000000002</v>
      </c>
      <c r="BJ573" s="311">
        <v>0.313</v>
      </c>
      <c r="BK573" s="311">
        <v>0.2974</v>
      </c>
    </row>
    <row r="574" spans="1:63" x14ac:dyDescent="0.25">
      <c r="A574" s="306">
        <v>327993</v>
      </c>
      <c r="B574" s="311" t="s">
        <v>149</v>
      </c>
      <c r="C574" s="311">
        <v>0.43680000000000002</v>
      </c>
      <c r="D574" s="311">
        <v>0</v>
      </c>
      <c r="E574" s="311">
        <v>0.33379999999999999</v>
      </c>
      <c r="F574" s="311">
        <v>0.3145</v>
      </c>
      <c r="G574" s="311">
        <v>0.32040000000000002</v>
      </c>
      <c r="H574" s="311">
        <v>0.3468</v>
      </c>
      <c r="I574" s="311">
        <v>0.34689999999999999</v>
      </c>
      <c r="J574" s="311">
        <v>0.31669999999999998</v>
      </c>
      <c r="K574" s="311">
        <v>0</v>
      </c>
      <c r="L574" s="311">
        <v>0</v>
      </c>
      <c r="M574" s="311">
        <v>0.31540000000000001</v>
      </c>
      <c r="N574" s="311">
        <v>0.35589999999999999</v>
      </c>
      <c r="O574" s="311">
        <v>0.28570000000000001</v>
      </c>
      <c r="P574" s="311">
        <v>0.28000000000000003</v>
      </c>
      <c r="Q574" s="311">
        <v>0.29389999999999999</v>
      </c>
      <c r="R574" s="311">
        <v>0.36430000000000001</v>
      </c>
      <c r="S574" s="311">
        <v>0.33250000000000002</v>
      </c>
      <c r="T574" s="311">
        <v>0.28349999999999997</v>
      </c>
      <c r="U574" s="311">
        <v>0.33189999999999997</v>
      </c>
      <c r="V574" s="311">
        <v>0.33650000000000002</v>
      </c>
      <c r="W574" s="311">
        <v>0.31590000000000001</v>
      </c>
      <c r="X574" s="311">
        <v>0</v>
      </c>
      <c r="Y574" s="311">
        <v>0.30769999999999997</v>
      </c>
      <c r="Z574" s="311">
        <v>0.35489999999999999</v>
      </c>
      <c r="AA574" s="311">
        <v>0.33460000000000001</v>
      </c>
      <c r="AB574" s="311">
        <v>0.3357</v>
      </c>
      <c r="AC574" s="311">
        <v>0.30609999999999998</v>
      </c>
      <c r="AD574" s="311">
        <v>0</v>
      </c>
      <c r="AE574" s="311">
        <v>0.34539999999999998</v>
      </c>
      <c r="AF574" s="311">
        <v>0.25829999999999997</v>
      </c>
      <c r="AG574" s="311">
        <v>0.2903</v>
      </c>
      <c r="AH574" s="311">
        <v>0</v>
      </c>
      <c r="AI574" s="311">
        <v>0.33850000000000002</v>
      </c>
      <c r="AJ574" s="311">
        <v>0.2994</v>
      </c>
      <c r="AK574" s="311">
        <v>0.30280000000000001</v>
      </c>
      <c r="AL574" s="311">
        <v>0.30230000000000001</v>
      </c>
      <c r="AM574" s="311">
        <v>0.37440000000000001</v>
      </c>
      <c r="AN574" s="311">
        <v>0.32979999999999998</v>
      </c>
      <c r="AO574" s="311">
        <v>0.34329999999999999</v>
      </c>
      <c r="AP574" s="311">
        <v>0.37259999999999999</v>
      </c>
      <c r="AQ574" s="311">
        <v>0.26869999999999999</v>
      </c>
      <c r="AR574" s="311">
        <v>0.33700000000000002</v>
      </c>
      <c r="AS574" s="311">
        <v>0.26769999999999999</v>
      </c>
      <c r="AT574" s="311">
        <v>0.33689999999999998</v>
      </c>
      <c r="AU574" s="311">
        <v>0.37759999999999999</v>
      </c>
      <c r="AV574" s="311">
        <v>0.3569</v>
      </c>
      <c r="AW574" s="311">
        <v>0.32669999999999999</v>
      </c>
      <c r="AX574" s="311">
        <v>0</v>
      </c>
      <c r="AY574" s="311">
        <v>0.32690000000000002</v>
      </c>
      <c r="AZ574" s="311">
        <v>0.33839999999999998</v>
      </c>
      <c r="BA574" s="311">
        <v>0.27789999999999998</v>
      </c>
      <c r="BB574" s="311">
        <v>0</v>
      </c>
      <c r="BC574" s="311">
        <v>0.3513</v>
      </c>
      <c r="BD574" s="311">
        <v>0.36570000000000003</v>
      </c>
      <c r="BE574" s="311">
        <v>0.38619999999999999</v>
      </c>
      <c r="BF574" s="311">
        <v>0.3417</v>
      </c>
      <c r="BG574" s="311">
        <v>0.36670000000000003</v>
      </c>
      <c r="BH574" s="311">
        <v>0.35580000000000001</v>
      </c>
      <c r="BI574" s="311">
        <v>0.37969999999999998</v>
      </c>
      <c r="BJ574" s="311">
        <v>0.34799999999999998</v>
      </c>
      <c r="BK574" s="311">
        <v>0.3528</v>
      </c>
    </row>
    <row r="575" spans="1:63" x14ac:dyDescent="0.25">
      <c r="A575" s="306">
        <v>327999</v>
      </c>
      <c r="B575" s="311" t="s">
        <v>721</v>
      </c>
      <c r="C575" s="311">
        <v>0.4758</v>
      </c>
      <c r="D575" s="311">
        <v>0</v>
      </c>
      <c r="E575" s="311">
        <v>0.36480000000000001</v>
      </c>
      <c r="F575" s="311">
        <v>0.34649999999999997</v>
      </c>
      <c r="G575" s="311">
        <v>0.35870000000000002</v>
      </c>
      <c r="H575" s="311">
        <v>0.38240000000000002</v>
      </c>
      <c r="I575" s="311">
        <v>0.38869999999999999</v>
      </c>
      <c r="J575" s="311">
        <v>0.31759999999999999</v>
      </c>
      <c r="K575" s="311">
        <v>9.4299999999999995E-2</v>
      </c>
      <c r="L575" s="311">
        <v>0.25969999999999999</v>
      </c>
      <c r="M575" s="311">
        <v>0.35799999999999998</v>
      </c>
      <c r="N575" s="311">
        <v>0.39529999999999998</v>
      </c>
      <c r="O575" s="311">
        <v>0.29339999999999999</v>
      </c>
      <c r="P575" s="311">
        <v>0.31209999999999999</v>
      </c>
      <c r="Q575" s="311">
        <v>0.32129999999999997</v>
      </c>
      <c r="R575" s="311">
        <v>0.39810000000000001</v>
      </c>
      <c r="S575" s="311">
        <v>0.37569999999999998</v>
      </c>
      <c r="T575" s="311">
        <v>0.31190000000000001</v>
      </c>
      <c r="U575" s="311">
        <v>0.35930000000000001</v>
      </c>
      <c r="V575" s="311">
        <v>0.35349999999999998</v>
      </c>
      <c r="W575" s="311">
        <v>0.32800000000000001</v>
      </c>
      <c r="X575" s="311">
        <v>0.31809999999999999</v>
      </c>
      <c r="Y575" s="311">
        <v>0.3448</v>
      </c>
      <c r="Z575" s="311">
        <v>0.38979999999999998</v>
      </c>
      <c r="AA575" s="311">
        <v>0.35470000000000002</v>
      </c>
      <c r="AB575" s="311">
        <v>0.37730000000000002</v>
      </c>
      <c r="AC575" s="311">
        <v>0</v>
      </c>
      <c r="AD575" s="311">
        <v>0.31380000000000002</v>
      </c>
      <c r="AE575" s="311">
        <v>0.3553</v>
      </c>
      <c r="AF575" s="311">
        <v>0</v>
      </c>
      <c r="AG575" s="311">
        <v>0.32919999999999999</v>
      </c>
      <c r="AH575" s="311">
        <v>0.30609999999999998</v>
      </c>
      <c r="AI575" s="311">
        <v>0.35199999999999998</v>
      </c>
      <c r="AJ575" s="311">
        <v>0.32790000000000002</v>
      </c>
      <c r="AK575" s="311">
        <v>0.34179999999999999</v>
      </c>
      <c r="AL575" s="311">
        <v>0.3135</v>
      </c>
      <c r="AM575" s="311">
        <v>0.3972</v>
      </c>
      <c r="AN575" s="311">
        <v>0.36309999999999998</v>
      </c>
      <c r="AO575" s="311">
        <v>0.37090000000000001</v>
      </c>
      <c r="AP575" s="311">
        <v>0.41360000000000002</v>
      </c>
      <c r="AQ575" s="311">
        <v>0.2732</v>
      </c>
      <c r="AR575" s="311">
        <v>0.36909999999999998</v>
      </c>
      <c r="AS575" s="311">
        <v>0.30470000000000003</v>
      </c>
      <c r="AT575" s="311">
        <v>0.37369999999999998</v>
      </c>
      <c r="AU575" s="311">
        <v>0.4118</v>
      </c>
      <c r="AV575" s="311">
        <v>0.40450000000000003</v>
      </c>
      <c r="AW575" s="311">
        <v>0.34960000000000002</v>
      </c>
      <c r="AX575" s="311">
        <v>0.28060000000000002</v>
      </c>
      <c r="AY575" s="311">
        <v>0.3543</v>
      </c>
      <c r="AZ575" s="311">
        <v>0.35349999999999998</v>
      </c>
      <c r="BA575" s="311">
        <v>0.30330000000000001</v>
      </c>
      <c r="BB575" s="311">
        <v>0</v>
      </c>
      <c r="BC575" s="311">
        <v>0.3624</v>
      </c>
      <c r="BD575" s="311">
        <v>0.39400000000000002</v>
      </c>
      <c r="BE575" s="311">
        <v>0.4279</v>
      </c>
      <c r="BF575" s="311">
        <v>0.3871</v>
      </c>
      <c r="BG575" s="311">
        <v>0.40210000000000001</v>
      </c>
      <c r="BH575" s="311">
        <v>0.3891</v>
      </c>
      <c r="BI575" s="311">
        <v>0.41439999999999999</v>
      </c>
      <c r="BJ575" s="311">
        <v>0.39150000000000001</v>
      </c>
      <c r="BK575" s="311">
        <v>0.38729999999999998</v>
      </c>
    </row>
    <row r="576" spans="1:63" x14ac:dyDescent="0.25">
      <c r="A576" s="306">
        <v>331110</v>
      </c>
      <c r="B576" s="311" t="s">
        <v>150</v>
      </c>
      <c r="C576" s="311">
        <v>0.45219999999999999</v>
      </c>
      <c r="D576" s="311">
        <v>0.23419999999999999</v>
      </c>
      <c r="E576" s="311">
        <v>0.35270000000000001</v>
      </c>
      <c r="F576" s="311">
        <v>0.3004</v>
      </c>
      <c r="G576" s="311">
        <v>0.29339999999999999</v>
      </c>
      <c r="H576" s="311">
        <v>0.32019999999999998</v>
      </c>
      <c r="I576" s="311">
        <v>0.34350000000000003</v>
      </c>
      <c r="J576" s="311">
        <v>0.29380000000000001</v>
      </c>
      <c r="K576" s="311">
        <v>0.1158</v>
      </c>
      <c r="L576" s="311">
        <v>0.2074</v>
      </c>
      <c r="M576" s="311">
        <v>0.29010000000000002</v>
      </c>
      <c r="N576" s="311">
        <v>0.31340000000000001</v>
      </c>
      <c r="O576" s="311">
        <v>0.17749999999999999</v>
      </c>
      <c r="P576" s="311">
        <v>0.248</v>
      </c>
      <c r="Q576" s="311">
        <v>0.24299999999999999</v>
      </c>
      <c r="R576" s="311">
        <v>0.36840000000000001</v>
      </c>
      <c r="S576" s="311">
        <v>0.34310000000000002</v>
      </c>
      <c r="T576" s="311">
        <v>0.26950000000000002</v>
      </c>
      <c r="U576" s="311">
        <v>0.32269999999999999</v>
      </c>
      <c r="V576" s="311">
        <v>0.31319999999999998</v>
      </c>
      <c r="W576" s="311">
        <v>0.28189999999999998</v>
      </c>
      <c r="X576" s="311">
        <v>0.28589999999999999</v>
      </c>
      <c r="Y576" s="311">
        <v>0</v>
      </c>
      <c r="Z576" s="311">
        <v>0.36570000000000003</v>
      </c>
      <c r="AA576" s="311">
        <v>0.31990000000000002</v>
      </c>
      <c r="AB576" s="311">
        <v>0.3105</v>
      </c>
      <c r="AC576" s="311">
        <v>0.29680000000000001</v>
      </c>
      <c r="AD576" s="311">
        <v>0.2636</v>
      </c>
      <c r="AE576" s="311">
        <v>0.30349999999999999</v>
      </c>
      <c r="AF576" s="311">
        <v>0.2306</v>
      </c>
      <c r="AG576" s="311">
        <v>0.2676</v>
      </c>
      <c r="AH576" s="311">
        <v>0.27229999999999999</v>
      </c>
      <c r="AI576" s="311">
        <v>0.29299999999999998</v>
      </c>
      <c r="AJ576" s="311">
        <v>0.23530000000000001</v>
      </c>
      <c r="AK576" s="311">
        <v>0</v>
      </c>
      <c r="AL576" s="311">
        <v>0.2727</v>
      </c>
      <c r="AM576" s="311">
        <v>0.37059999999999998</v>
      </c>
      <c r="AN576" s="311">
        <v>0.32719999999999999</v>
      </c>
      <c r="AO576" s="311">
        <v>0.31359999999999999</v>
      </c>
      <c r="AP576" s="311">
        <v>0.37759999999999999</v>
      </c>
      <c r="AQ576" s="311">
        <v>0.25269999999999998</v>
      </c>
      <c r="AR576" s="311">
        <v>0.3291</v>
      </c>
      <c r="AS576" s="311">
        <v>0</v>
      </c>
      <c r="AT576" s="311">
        <v>0.33</v>
      </c>
      <c r="AU576" s="311">
        <v>0.36430000000000001</v>
      </c>
      <c r="AV576" s="311">
        <v>0.36249999999999999</v>
      </c>
      <c r="AW576" s="311">
        <v>0.30599999999999999</v>
      </c>
      <c r="AX576" s="311">
        <v>0.2366</v>
      </c>
      <c r="AY576" s="311">
        <v>0.29430000000000001</v>
      </c>
      <c r="AZ576" s="311">
        <v>0.31090000000000001</v>
      </c>
      <c r="BA576" s="311">
        <v>0.26369999999999999</v>
      </c>
      <c r="BB576" s="311">
        <v>0</v>
      </c>
      <c r="BC576" s="311">
        <v>0.31759999999999999</v>
      </c>
      <c r="BD576" s="311">
        <v>0.35920000000000002</v>
      </c>
      <c r="BE576" s="311">
        <v>0.40079999999999999</v>
      </c>
      <c r="BF576" s="311">
        <v>0.32650000000000001</v>
      </c>
      <c r="BG576" s="311">
        <v>0.33760000000000001</v>
      </c>
      <c r="BH576" s="311">
        <v>0.3604</v>
      </c>
      <c r="BI576" s="311">
        <v>0.37230000000000002</v>
      </c>
      <c r="BJ576" s="311">
        <v>0.33510000000000001</v>
      </c>
      <c r="BK576" s="311">
        <v>0.32790000000000002</v>
      </c>
    </row>
    <row r="577" spans="1:63" x14ac:dyDescent="0.25">
      <c r="A577" s="306">
        <v>331200</v>
      </c>
      <c r="B577" s="311" t="s">
        <v>151</v>
      </c>
      <c r="C577" s="311">
        <v>0.47920000000000001</v>
      </c>
      <c r="D577" s="311">
        <v>0.22320000000000001</v>
      </c>
      <c r="E577" s="311">
        <v>0.38109999999999999</v>
      </c>
      <c r="F577" s="311">
        <v>0.33400000000000002</v>
      </c>
      <c r="G577" s="311">
        <v>0.2833</v>
      </c>
      <c r="H577" s="311">
        <v>0.32990000000000003</v>
      </c>
      <c r="I577" s="311">
        <v>0.34339999999999998</v>
      </c>
      <c r="J577" s="311">
        <v>0.31490000000000001</v>
      </c>
      <c r="K577" s="311">
        <v>0</v>
      </c>
      <c r="L577" s="311">
        <v>0.23050000000000001</v>
      </c>
      <c r="M577" s="311">
        <v>0.29330000000000001</v>
      </c>
      <c r="N577" s="311">
        <v>0.30830000000000002</v>
      </c>
      <c r="O577" s="311">
        <v>0.16550000000000001</v>
      </c>
      <c r="P577" s="311">
        <v>0.26700000000000002</v>
      </c>
      <c r="Q577" s="311">
        <v>0.23880000000000001</v>
      </c>
      <c r="R577" s="311">
        <v>0.41389999999999999</v>
      </c>
      <c r="S577" s="311">
        <v>0.37719999999999998</v>
      </c>
      <c r="T577" s="311">
        <v>0.26590000000000003</v>
      </c>
      <c r="U577" s="311">
        <v>0.35620000000000002</v>
      </c>
      <c r="V577" s="311">
        <v>0.3281</v>
      </c>
      <c r="W577" s="311">
        <v>0.2918</v>
      </c>
      <c r="X577" s="311">
        <v>0.32450000000000001</v>
      </c>
      <c r="Y577" s="311">
        <v>0.26979999999999998</v>
      </c>
      <c r="Z577" s="311">
        <v>0.4052</v>
      </c>
      <c r="AA577" s="311">
        <v>0.3211</v>
      </c>
      <c r="AB577" s="311">
        <v>0.30780000000000002</v>
      </c>
      <c r="AC577" s="311">
        <v>0.33310000000000001</v>
      </c>
      <c r="AD577" s="311">
        <v>0.24299999999999999</v>
      </c>
      <c r="AE577" s="311">
        <v>0.32440000000000002</v>
      </c>
      <c r="AF577" s="311">
        <v>0</v>
      </c>
      <c r="AG577" s="311">
        <v>0.28179999999999999</v>
      </c>
      <c r="AH577" s="311">
        <v>0.2873</v>
      </c>
      <c r="AI577" s="311">
        <v>0.30509999999999998</v>
      </c>
      <c r="AJ577" s="311">
        <v>0</v>
      </c>
      <c r="AK577" s="311">
        <v>0.25740000000000002</v>
      </c>
      <c r="AL577" s="311">
        <v>0.27729999999999999</v>
      </c>
      <c r="AM577" s="311">
        <v>0.4103</v>
      </c>
      <c r="AN577" s="311">
        <v>0.36980000000000002</v>
      </c>
      <c r="AO577" s="311">
        <v>0.34420000000000001</v>
      </c>
      <c r="AP577" s="311">
        <v>0.4173</v>
      </c>
      <c r="AQ577" s="311">
        <v>0.26669999999999999</v>
      </c>
      <c r="AR577" s="311">
        <v>0.37580000000000002</v>
      </c>
      <c r="AS577" s="311">
        <v>0.2271</v>
      </c>
      <c r="AT577" s="311">
        <v>0.35420000000000001</v>
      </c>
      <c r="AU577" s="311">
        <v>0.38669999999999999</v>
      </c>
      <c r="AV577" s="311">
        <v>0.37819999999999998</v>
      </c>
      <c r="AW577" s="311">
        <v>0.29930000000000001</v>
      </c>
      <c r="AX577" s="311">
        <v>0.23549999999999999</v>
      </c>
      <c r="AY577" s="311">
        <v>0.2908</v>
      </c>
      <c r="AZ577" s="311">
        <v>0.32200000000000001</v>
      </c>
      <c r="BA577" s="311">
        <v>0.26450000000000001</v>
      </c>
      <c r="BB577" s="311">
        <v>0</v>
      </c>
      <c r="BC577" s="311">
        <v>0.33339999999999997</v>
      </c>
      <c r="BD577" s="311">
        <v>0.40679999999999999</v>
      </c>
      <c r="BE577" s="311">
        <v>0.43209999999999998</v>
      </c>
      <c r="BF577" s="311">
        <v>0.31940000000000002</v>
      </c>
      <c r="BG577" s="311">
        <v>0.34339999999999998</v>
      </c>
      <c r="BH577" s="311">
        <v>0.39169999999999999</v>
      </c>
      <c r="BI577" s="311">
        <v>0.40970000000000001</v>
      </c>
      <c r="BJ577" s="311">
        <v>0.31819999999999998</v>
      </c>
      <c r="BK577" s="311">
        <v>0.33450000000000002</v>
      </c>
    </row>
    <row r="578" spans="1:63" x14ac:dyDescent="0.25">
      <c r="A578" s="306">
        <v>331314</v>
      </c>
      <c r="B578" s="311" t="s">
        <v>153</v>
      </c>
      <c r="C578" s="311">
        <v>0.40039999999999998</v>
      </c>
      <c r="D578" s="311">
        <v>0</v>
      </c>
      <c r="E578" s="311">
        <v>0.28920000000000001</v>
      </c>
      <c r="F578" s="311">
        <v>0.2843</v>
      </c>
      <c r="G578" s="311">
        <v>0</v>
      </c>
      <c r="H578" s="311">
        <v>0.29599999999999999</v>
      </c>
      <c r="I578" s="311">
        <v>0</v>
      </c>
      <c r="J578" s="311">
        <v>0</v>
      </c>
      <c r="K578" s="311">
        <v>0</v>
      </c>
      <c r="L578" s="311">
        <v>0</v>
      </c>
      <c r="M578" s="311">
        <v>0.26200000000000001</v>
      </c>
      <c r="N578" s="311">
        <v>0.28539999999999999</v>
      </c>
      <c r="O578" s="311">
        <v>0</v>
      </c>
      <c r="P578" s="311">
        <v>0.21340000000000001</v>
      </c>
      <c r="Q578" s="311">
        <v>0.21920000000000001</v>
      </c>
      <c r="R578" s="311">
        <v>0.31040000000000001</v>
      </c>
      <c r="S578" s="311">
        <v>0.31690000000000002</v>
      </c>
      <c r="T578" s="311">
        <v>0.2296</v>
      </c>
      <c r="U578" s="311">
        <v>0.29670000000000002</v>
      </c>
      <c r="V578" s="311">
        <v>0.29160000000000003</v>
      </c>
      <c r="W578" s="311">
        <v>0.25309999999999999</v>
      </c>
      <c r="X578" s="311">
        <v>0.24479999999999999</v>
      </c>
      <c r="Y578" s="311">
        <v>0</v>
      </c>
      <c r="Z578" s="311">
        <v>0.30480000000000002</v>
      </c>
      <c r="AA578" s="311">
        <v>0.28589999999999999</v>
      </c>
      <c r="AB578" s="311">
        <v>0.3019</v>
      </c>
      <c r="AC578" s="311">
        <v>0</v>
      </c>
      <c r="AD578" s="311">
        <v>0</v>
      </c>
      <c r="AE578" s="311">
        <v>0.27060000000000001</v>
      </c>
      <c r="AF578" s="311">
        <v>0</v>
      </c>
      <c r="AG578" s="311">
        <v>0</v>
      </c>
      <c r="AH578" s="311">
        <v>0</v>
      </c>
      <c r="AI578" s="311">
        <v>0.26600000000000001</v>
      </c>
      <c r="AJ578" s="311">
        <v>0</v>
      </c>
      <c r="AK578" s="311">
        <v>0</v>
      </c>
      <c r="AL578" s="311">
        <v>0.2601</v>
      </c>
      <c r="AM578" s="311">
        <v>0.34350000000000003</v>
      </c>
      <c r="AN578" s="311">
        <v>0.26500000000000001</v>
      </c>
      <c r="AO578" s="311">
        <v>0.2762</v>
      </c>
      <c r="AP578" s="311">
        <v>0.31879999999999997</v>
      </c>
      <c r="AQ578" s="311">
        <v>0</v>
      </c>
      <c r="AR578" s="311">
        <v>0.29509999999999997</v>
      </c>
      <c r="AS578" s="311">
        <v>0</v>
      </c>
      <c r="AT578" s="311">
        <v>0.3211</v>
      </c>
      <c r="AU578" s="311">
        <v>0.32879999999999998</v>
      </c>
      <c r="AV578" s="311">
        <v>0</v>
      </c>
      <c r="AW578" s="311">
        <v>0</v>
      </c>
      <c r="AX578" s="311">
        <v>0</v>
      </c>
      <c r="AY578" s="311">
        <v>0.2802</v>
      </c>
      <c r="AZ578" s="311">
        <v>0.28089999999999998</v>
      </c>
      <c r="BA578" s="311">
        <v>0</v>
      </c>
      <c r="BB578" s="311">
        <v>0</v>
      </c>
      <c r="BC578" s="311">
        <v>0.28160000000000002</v>
      </c>
      <c r="BD578" s="311">
        <v>0.31969999999999998</v>
      </c>
      <c r="BE578" s="311">
        <v>0.3584</v>
      </c>
      <c r="BF578" s="311">
        <v>0.30199999999999999</v>
      </c>
      <c r="BG578" s="311">
        <v>0.29959999999999998</v>
      </c>
      <c r="BH578" s="311">
        <v>0.33150000000000002</v>
      </c>
      <c r="BI578" s="311">
        <v>0.34410000000000002</v>
      </c>
      <c r="BJ578" s="311">
        <v>0.2823</v>
      </c>
      <c r="BK578" s="311">
        <v>0.30880000000000002</v>
      </c>
    </row>
    <row r="579" spans="1:63" x14ac:dyDescent="0.25">
      <c r="A579" s="306" t="s">
        <v>722</v>
      </c>
      <c r="B579" s="311" t="s">
        <v>152</v>
      </c>
      <c r="C579" s="311">
        <v>0.42099999999999999</v>
      </c>
      <c r="D579" s="311">
        <v>0</v>
      </c>
      <c r="E579" s="311">
        <v>0.31269999999999998</v>
      </c>
      <c r="F579" s="311">
        <v>0.31040000000000001</v>
      </c>
      <c r="G579" s="311">
        <v>0.28039999999999998</v>
      </c>
      <c r="H579" s="311">
        <v>0.29780000000000001</v>
      </c>
      <c r="I579" s="311">
        <v>0</v>
      </c>
      <c r="J579" s="311">
        <v>0</v>
      </c>
      <c r="K579" s="311">
        <v>0</v>
      </c>
      <c r="L579" s="311">
        <v>0</v>
      </c>
      <c r="M579" s="311">
        <v>0.27010000000000001</v>
      </c>
      <c r="N579" s="311">
        <v>0.28620000000000001</v>
      </c>
      <c r="O579" s="311">
        <v>0</v>
      </c>
      <c r="P579" s="311">
        <v>0</v>
      </c>
      <c r="Q579" s="311">
        <v>0.23089999999999999</v>
      </c>
      <c r="R579" s="311">
        <v>0.31169999999999998</v>
      </c>
      <c r="S579" s="311">
        <v>0.3201</v>
      </c>
      <c r="T579" s="311">
        <v>0</v>
      </c>
      <c r="U579" s="311">
        <v>0.31519999999999998</v>
      </c>
      <c r="V579" s="311">
        <v>0.32229999999999998</v>
      </c>
      <c r="W579" s="311">
        <v>0.2505</v>
      </c>
      <c r="X579" s="311">
        <v>0.25769999999999998</v>
      </c>
      <c r="Y579" s="311">
        <v>0</v>
      </c>
      <c r="Z579" s="311">
        <v>0</v>
      </c>
      <c r="AA579" s="311">
        <v>0.28999999999999998</v>
      </c>
      <c r="AB579" s="311">
        <v>0.30890000000000001</v>
      </c>
      <c r="AC579" s="311">
        <v>0</v>
      </c>
      <c r="AD579" s="311">
        <v>0.2802</v>
      </c>
      <c r="AE579" s="311">
        <v>0.27979999999999999</v>
      </c>
      <c r="AF579" s="311">
        <v>0</v>
      </c>
      <c r="AG579" s="311">
        <v>0</v>
      </c>
      <c r="AH579" s="311">
        <v>0.25590000000000002</v>
      </c>
      <c r="AI579" s="311">
        <v>0.26140000000000002</v>
      </c>
      <c r="AJ579" s="311">
        <v>0</v>
      </c>
      <c r="AK579" s="311">
        <v>0</v>
      </c>
      <c r="AL579" s="311">
        <v>0.28770000000000001</v>
      </c>
      <c r="AM579" s="311">
        <v>0.35959999999999998</v>
      </c>
      <c r="AN579" s="311">
        <v>0.2928</v>
      </c>
      <c r="AO579" s="311">
        <v>0.29099999999999998</v>
      </c>
      <c r="AP579" s="311">
        <v>0.33860000000000001</v>
      </c>
      <c r="AQ579" s="311">
        <v>0</v>
      </c>
      <c r="AR579" s="311">
        <v>0.30690000000000001</v>
      </c>
      <c r="AS579" s="311">
        <v>0</v>
      </c>
      <c r="AT579" s="311">
        <v>0.3291</v>
      </c>
      <c r="AU579" s="311">
        <v>0.3569</v>
      </c>
      <c r="AV579" s="311">
        <v>0</v>
      </c>
      <c r="AW579" s="311">
        <v>0</v>
      </c>
      <c r="AX579" s="311">
        <v>0</v>
      </c>
      <c r="AY579" s="311">
        <v>0.28889999999999999</v>
      </c>
      <c r="AZ579" s="311">
        <v>0</v>
      </c>
      <c r="BA579" s="311">
        <v>0.25340000000000001</v>
      </c>
      <c r="BB579" s="311">
        <v>0</v>
      </c>
      <c r="BC579" s="311">
        <v>0.28000000000000003</v>
      </c>
      <c r="BD579" s="311">
        <v>0.33529999999999999</v>
      </c>
      <c r="BE579" s="311">
        <v>0.37269999999999998</v>
      </c>
      <c r="BF579" s="311">
        <v>0.31359999999999999</v>
      </c>
      <c r="BG579" s="311">
        <v>0.31680000000000003</v>
      </c>
      <c r="BH579" s="311">
        <v>0.3478</v>
      </c>
      <c r="BI579" s="311">
        <v>0.37040000000000001</v>
      </c>
      <c r="BJ579" s="311">
        <v>0.32450000000000001</v>
      </c>
      <c r="BK579" s="311">
        <v>0.31680000000000003</v>
      </c>
    </row>
    <row r="580" spans="1:63" x14ac:dyDescent="0.25">
      <c r="A580" s="306" t="s">
        <v>723</v>
      </c>
      <c r="B580" s="311" t="s">
        <v>154</v>
      </c>
      <c r="C580" s="311">
        <v>0.40100000000000002</v>
      </c>
      <c r="D580" s="311">
        <v>0</v>
      </c>
      <c r="E580" s="311">
        <v>0.2792</v>
      </c>
      <c r="F580" s="311">
        <v>0.28160000000000002</v>
      </c>
      <c r="G580" s="311">
        <v>0.26600000000000001</v>
      </c>
      <c r="H580" s="311">
        <v>0.29609999999999997</v>
      </c>
      <c r="I580" s="311">
        <v>0.2465</v>
      </c>
      <c r="J580" s="311">
        <v>0.2457</v>
      </c>
      <c r="K580" s="311">
        <v>0</v>
      </c>
      <c r="L580" s="311">
        <v>0</v>
      </c>
      <c r="M580" s="311">
        <v>0.2404</v>
      </c>
      <c r="N580" s="311">
        <v>0.26150000000000001</v>
      </c>
      <c r="O580" s="311">
        <v>0</v>
      </c>
      <c r="P580" s="311">
        <v>0.2059</v>
      </c>
      <c r="Q580" s="311">
        <v>0</v>
      </c>
      <c r="R580" s="311">
        <v>0.27510000000000001</v>
      </c>
      <c r="S580" s="311">
        <v>0.3115</v>
      </c>
      <c r="T580" s="311">
        <v>0.20369999999999999</v>
      </c>
      <c r="U580" s="311">
        <v>0.29310000000000003</v>
      </c>
      <c r="V580" s="311">
        <v>0.27700000000000002</v>
      </c>
      <c r="W580" s="311">
        <v>0.23300000000000001</v>
      </c>
      <c r="X580" s="311">
        <v>0.21579999999999999</v>
      </c>
      <c r="Y580" s="311">
        <v>0</v>
      </c>
      <c r="Z580" s="311">
        <v>0.29470000000000002</v>
      </c>
      <c r="AA580" s="311">
        <v>0.2606</v>
      </c>
      <c r="AB580" s="311">
        <v>0.29799999999999999</v>
      </c>
      <c r="AC580" s="311">
        <v>0.22700000000000001</v>
      </c>
      <c r="AD580" s="311">
        <v>0</v>
      </c>
      <c r="AE580" s="311">
        <v>0.24660000000000001</v>
      </c>
      <c r="AF580" s="311">
        <v>0</v>
      </c>
      <c r="AG580" s="311">
        <v>0</v>
      </c>
      <c r="AH580" s="311">
        <v>0.2404</v>
      </c>
      <c r="AI580" s="311">
        <v>0.2412</v>
      </c>
      <c r="AJ580" s="311">
        <v>0</v>
      </c>
      <c r="AK580" s="311">
        <v>0.1953</v>
      </c>
      <c r="AL580" s="311">
        <v>0.25459999999999999</v>
      </c>
      <c r="AM580" s="311">
        <v>0.34179999999999999</v>
      </c>
      <c r="AN580" s="311">
        <v>0.24260000000000001</v>
      </c>
      <c r="AO580" s="311">
        <v>0.2737</v>
      </c>
      <c r="AP580" s="311">
        <v>0.31009999999999999</v>
      </c>
      <c r="AQ580" s="311">
        <v>0</v>
      </c>
      <c r="AR580" s="311">
        <v>0.28820000000000001</v>
      </c>
      <c r="AS580" s="311">
        <v>0.20810000000000001</v>
      </c>
      <c r="AT580" s="311">
        <v>0.30940000000000001</v>
      </c>
      <c r="AU580" s="311">
        <v>0.32640000000000002</v>
      </c>
      <c r="AV580" s="311">
        <v>0.26250000000000001</v>
      </c>
      <c r="AW580" s="311">
        <v>0.24879999999999999</v>
      </c>
      <c r="AX580" s="311">
        <v>0</v>
      </c>
      <c r="AY580" s="311">
        <v>0.27660000000000001</v>
      </c>
      <c r="AZ580" s="311">
        <v>0.25359999999999999</v>
      </c>
      <c r="BA580" s="311">
        <v>0.21609999999999999</v>
      </c>
      <c r="BB580" s="311">
        <v>0</v>
      </c>
      <c r="BC580" s="311">
        <v>0.26219999999999999</v>
      </c>
      <c r="BD580" s="311">
        <v>0.307</v>
      </c>
      <c r="BE580" s="311">
        <v>0.35339999999999999</v>
      </c>
      <c r="BF580" s="311">
        <v>0.30149999999999999</v>
      </c>
      <c r="BG580" s="311">
        <v>0.2802</v>
      </c>
      <c r="BH580" s="311">
        <v>0.32269999999999999</v>
      </c>
      <c r="BI580" s="311">
        <v>0.34789999999999999</v>
      </c>
      <c r="BJ580" s="311">
        <v>0.26140000000000002</v>
      </c>
      <c r="BK580" s="311">
        <v>0.31019999999999998</v>
      </c>
    </row>
    <row r="581" spans="1:63" x14ac:dyDescent="0.25">
      <c r="A581" s="306">
        <v>331411</v>
      </c>
      <c r="B581" s="311" t="s">
        <v>155</v>
      </c>
      <c r="C581" s="311">
        <v>0.33289999999999997</v>
      </c>
      <c r="D581" s="311">
        <v>0</v>
      </c>
      <c r="E581" s="311">
        <v>0</v>
      </c>
      <c r="F581" s="311">
        <v>0</v>
      </c>
      <c r="G581" s="311">
        <v>0.25929999999999997</v>
      </c>
      <c r="H581" s="311">
        <v>0</v>
      </c>
      <c r="I581" s="311">
        <v>0</v>
      </c>
      <c r="J581" s="311">
        <v>0</v>
      </c>
      <c r="K581" s="311">
        <v>0</v>
      </c>
      <c r="L581" s="311">
        <v>0</v>
      </c>
      <c r="M581" s="311">
        <v>0</v>
      </c>
      <c r="N581" s="311">
        <v>0</v>
      </c>
      <c r="O581" s="311">
        <v>0</v>
      </c>
      <c r="P581" s="311">
        <v>0</v>
      </c>
      <c r="Q581" s="311">
        <v>0</v>
      </c>
      <c r="R581" s="311">
        <v>0</v>
      </c>
      <c r="S581" s="311">
        <v>0</v>
      </c>
      <c r="T581" s="311">
        <v>0</v>
      </c>
      <c r="U581" s="311">
        <v>0</v>
      </c>
      <c r="V581" s="311">
        <v>0</v>
      </c>
      <c r="W581" s="311">
        <v>0</v>
      </c>
      <c r="X581" s="311">
        <v>0</v>
      </c>
      <c r="Y581" s="311">
        <v>0</v>
      </c>
      <c r="Z581" s="311">
        <v>0.22359999999999999</v>
      </c>
      <c r="AA581" s="311">
        <v>0</v>
      </c>
      <c r="AB581" s="311">
        <v>0</v>
      </c>
      <c r="AC581" s="311">
        <v>0</v>
      </c>
      <c r="AD581" s="311">
        <v>0</v>
      </c>
      <c r="AE581" s="311">
        <v>0</v>
      </c>
      <c r="AF581" s="311">
        <v>0</v>
      </c>
      <c r="AG581" s="311">
        <v>0</v>
      </c>
      <c r="AH581" s="311">
        <v>0</v>
      </c>
      <c r="AI581" s="311">
        <v>0</v>
      </c>
      <c r="AJ581" s="311">
        <v>0</v>
      </c>
      <c r="AK581" s="311">
        <v>0</v>
      </c>
      <c r="AL581" s="311">
        <v>0</v>
      </c>
      <c r="AM581" s="311">
        <v>0</v>
      </c>
      <c r="AN581" s="311">
        <v>0</v>
      </c>
      <c r="AO581" s="311">
        <v>0</v>
      </c>
      <c r="AP581" s="311">
        <v>0</v>
      </c>
      <c r="AQ581" s="311">
        <v>0.18679999999999999</v>
      </c>
      <c r="AR581" s="311">
        <v>0</v>
      </c>
      <c r="AS581" s="311">
        <v>0</v>
      </c>
      <c r="AT581" s="311">
        <v>0</v>
      </c>
      <c r="AU581" s="311">
        <v>0.24</v>
      </c>
      <c r="AV581" s="311">
        <v>0.29049999999999998</v>
      </c>
      <c r="AW581" s="311">
        <v>0</v>
      </c>
      <c r="AX581" s="311">
        <v>0</v>
      </c>
      <c r="AY581" s="311">
        <v>0</v>
      </c>
      <c r="AZ581" s="311">
        <v>0</v>
      </c>
      <c r="BA581" s="311">
        <v>0</v>
      </c>
      <c r="BB581" s="311">
        <v>0</v>
      </c>
      <c r="BC581" s="311">
        <v>0.19470000000000001</v>
      </c>
      <c r="BD581" s="311">
        <v>0</v>
      </c>
      <c r="BE581" s="311">
        <v>0.20930000000000001</v>
      </c>
      <c r="BF581" s="311">
        <v>0</v>
      </c>
      <c r="BG581" s="311">
        <v>0</v>
      </c>
      <c r="BH581" s="311">
        <v>0</v>
      </c>
      <c r="BI581" s="311">
        <v>0.24829999999999999</v>
      </c>
      <c r="BJ581" s="311">
        <v>0.28060000000000002</v>
      </c>
      <c r="BK581" s="311">
        <v>0</v>
      </c>
    </row>
    <row r="582" spans="1:63" x14ac:dyDescent="0.25">
      <c r="A582" s="306">
        <v>331419</v>
      </c>
      <c r="B582" s="311" t="s">
        <v>156</v>
      </c>
      <c r="C582" s="311">
        <v>0.47089999999999999</v>
      </c>
      <c r="D582" s="311">
        <v>0</v>
      </c>
      <c r="E582" s="311">
        <v>0.31719999999999998</v>
      </c>
      <c r="F582" s="311">
        <v>0.30990000000000001</v>
      </c>
      <c r="G582" s="311">
        <v>0.30830000000000002</v>
      </c>
      <c r="H582" s="311">
        <v>0.31730000000000003</v>
      </c>
      <c r="I582" s="311">
        <v>0.39</v>
      </c>
      <c r="J582" s="311">
        <v>0.29339999999999999</v>
      </c>
      <c r="K582" s="311">
        <v>0</v>
      </c>
      <c r="L582" s="311">
        <v>0</v>
      </c>
      <c r="M582" s="311">
        <v>0.30470000000000003</v>
      </c>
      <c r="N582" s="311">
        <v>0</v>
      </c>
      <c r="O582" s="311">
        <v>0</v>
      </c>
      <c r="P582" s="311">
        <v>0</v>
      </c>
      <c r="Q582" s="311">
        <v>0.31240000000000001</v>
      </c>
      <c r="R582" s="311">
        <v>0.31219999999999998</v>
      </c>
      <c r="S582" s="311">
        <v>0</v>
      </c>
      <c r="T582" s="311">
        <v>0.25440000000000002</v>
      </c>
      <c r="U582" s="311">
        <v>0</v>
      </c>
      <c r="V582" s="311">
        <v>0</v>
      </c>
      <c r="W582" s="311">
        <v>0.2863</v>
      </c>
      <c r="X582" s="311">
        <v>0</v>
      </c>
      <c r="Y582" s="311">
        <v>0</v>
      </c>
      <c r="Z582" s="311">
        <v>0.31530000000000002</v>
      </c>
      <c r="AA582" s="311">
        <v>0.3019</v>
      </c>
      <c r="AB582" s="311">
        <v>0.31440000000000001</v>
      </c>
      <c r="AC582" s="311">
        <v>0</v>
      </c>
      <c r="AD582" s="311">
        <v>0.3402</v>
      </c>
      <c r="AE582" s="311">
        <v>0.29730000000000001</v>
      </c>
      <c r="AF582" s="311">
        <v>0.2326</v>
      </c>
      <c r="AG582" s="311">
        <v>0</v>
      </c>
      <c r="AH582" s="311">
        <v>0</v>
      </c>
      <c r="AI582" s="311">
        <v>0.29360000000000003</v>
      </c>
      <c r="AJ582" s="311">
        <v>0.3044</v>
      </c>
      <c r="AK582" s="311">
        <v>0.36880000000000002</v>
      </c>
      <c r="AL582" s="311">
        <v>0.28949999999999998</v>
      </c>
      <c r="AM582" s="311">
        <v>0.32100000000000001</v>
      </c>
      <c r="AN582" s="311">
        <v>0</v>
      </c>
      <c r="AO582" s="311">
        <v>0.2898</v>
      </c>
      <c r="AP582" s="311">
        <v>0.33360000000000001</v>
      </c>
      <c r="AQ582" s="311">
        <v>0.27289999999999998</v>
      </c>
      <c r="AR582" s="311">
        <v>0.29709999999999998</v>
      </c>
      <c r="AS582" s="311">
        <v>0.3125</v>
      </c>
      <c r="AT582" s="311">
        <v>0.31369999999999998</v>
      </c>
      <c r="AU582" s="311">
        <v>0.3392</v>
      </c>
      <c r="AV582" s="311">
        <v>0.42359999999999998</v>
      </c>
      <c r="AW582" s="311">
        <v>0</v>
      </c>
      <c r="AX582" s="311">
        <v>0</v>
      </c>
      <c r="AY582" s="311">
        <v>0.31259999999999999</v>
      </c>
      <c r="AZ582" s="311">
        <v>0</v>
      </c>
      <c r="BA582" s="311">
        <v>0</v>
      </c>
      <c r="BB582" s="311">
        <v>0</v>
      </c>
      <c r="BC582" s="311">
        <v>0.32219999999999999</v>
      </c>
      <c r="BD582" s="311">
        <v>0.33500000000000002</v>
      </c>
      <c r="BE582" s="311">
        <v>0.33529999999999999</v>
      </c>
      <c r="BF582" s="311">
        <v>0.31409999999999999</v>
      </c>
      <c r="BG582" s="311">
        <v>0.31719999999999998</v>
      </c>
      <c r="BH582" s="311">
        <v>0.32600000000000001</v>
      </c>
      <c r="BI582" s="311">
        <v>0.33960000000000001</v>
      </c>
      <c r="BJ582" s="311">
        <v>0.41670000000000001</v>
      </c>
      <c r="BK582" s="311">
        <v>0.36820000000000003</v>
      </c>
    </row>
    <row r="583" spans="1:63" x14ac:dyDescent="0.25">
      <c r="A583" s="306">
        <v>331420</v>
      </c>
      <c r="B583" s="311" t="s">
        <v>157</v>
      </c>
      <c r="C583" s="311">
        <v>0.40889999999999999</v>
      </c>
      <c r="D583" s="311">
        <v>0</v>
      </c>
      <c r="E583" s="311">
        <v>0.29549999999999998</v>
      </c>
      <c r="F583" s="311">
        <v>0.26850000000000002</v>
      </c>
      <c r="G583" s="311">
        <v>0.27960000000000002</v>
      </c>
      <c r="H583" s="311">
        <v>0.27139999999999997</v>
      </c>
      <c r="I583" s="311">
        <v>0.25750000000000001</v>
      </c>
      <c r="J583" s="311">
        <v>0.29849999999999999</v>
      </c>
      <c r="K583" s="311">
        <v>0</v>
      </c>
      <c r="L583" s="311">
        <v>0.15939999999999999</v>
      </c>
      <c r="M583" s="311">
        <v>0.24110000000000001</v>
      </c>
      <c r="N583" s="311">
        <v>0.30649999999999999</v>
      </c>
      <c r="O583" s="311">
        <v>0</v>
      </c>
      <c r="P583" s="311">
        <v>0.2268</v>
      </c>
      <c r="Q583" s="311">
        <v>0</v>
      </c>
      <c r="R583" s="311">
        <v>0.32279999999999998</v>
      </c>
      <c r="S583" s="311">
        <v>0.29360000000000003</v>
      </c>
      <c r="T583" s="311">
        <v>0.251</v>
      </c>
      <c r="U583" s="311">
        <v>0.28060000000000002</v>
      </c>
      <c r="V583" s="311">
        <v>0.23749999999999999</v>
      </c>
      <c r="W583" s="311">
        <v>0.29270000000000002</v>
      </c>
      <c r="X583" s="311">
        <v>0.21940000000000001</v>
      </c>
      <c r="Y583" s="311">
        <v>0.2248</v>
      </c>
      <c r="Z583" s="311">
        <v>0.3054</v>
      </c>
      <c r="AA583" s="311">
        <v>0.24890000000000001</v>
      </c>
      <c r="AB583" s="311">
        <v>0.27760000000000001</v>
      </c>
      <c r="AC583" s="311">
        <v>0.25900000000000001</v>
      </c>
      <c r="AD583" s="311">
        <v>0</v>
      </c>
      <c r="AE583" s="311">
        <v>0.29949999999999999</v>
      </c>
      <c r="AF583" s="311">
        <v>0</v>
      </c>
      <c r="AG583" s="311">
        <v>0.23710000000000001</v>
      </c>
      <c r="AH583" s="311">
        <v>0.27529999999999999</v>
      </c>
      <c r="AI583" s="311">
        <v>0.2752</v>
      </c>
      <c r="AJ583" s="311">
        <v>0.17960000000000001</v>
      </c>
      <c r="AK583" s="311">
        <v>0</v>
      </c>
      <c r="AL583" s="311">
        <v>0.27429999999999999</v>
      </c>
      <c r="AM583" s="311">
        <v>0.31519999999999998</v>
      </c>
      <c r="AN583" s="311">
        <v>0.2787</v>
      </c>
      <c r="AO583" s="311">
        <v>0.2288</v>
      </c>
      <c r="AP583" s="311">
        <v>0.32490000000000002</v>
      </c>
      <c r="AQ583" s="311">
        <v>0.2772</v>
      </c>
      <c r="AR583" s="311">
        <v>0.29649999999999999</v>
      </c>
      <c r="AS583" s="311">
        <v>0</v>
      </c>
      <c r="AT583" s="311">
        <v>0.27650000000000002</v>
      </c>
      <c r="AU583" s="311">
        <v>0.31759999999999999</v>
      </c>
      <c r="AV583" s="311">
        <v>0.31090000000000001</v>
      </c>
      <c r="AW583" s="311">
        <v>0.25519999999999998</v>
      </c>
      <c r="AX583" s="311">
        <v>0.24479999999999999</v>
      </c>
      <c r="AY583" s="311">
        <v>0</v>
      </c>
      <c r="AZ583" s="311">
        <v>0.2611</v>
      </c>
      <c r="BA583" s="311">
        <v>0.1903</v>
      </c>
      <c r="BB583" s="311">
        <v>0</v>
      </c>
      <c r="BC583" s="311">
        <v>0.32429999999999998</v>
      </c>
      <c r="BD583" s="311">
        <v>0.32250000000000001</v>
      </c>
      <c r="BE583" s="311">
        <v>0.33650000000000002</v>
      </c>
      <c r="BF583" s="311">
        <v>0.27189999999999998</v>
      </c>
      <c r="BG583" s="311">
        <v>0.28920000000000001</v>
      </c>
      <c r="BH583" s="311">
        <v>0.30470000000000003</v>
      </c>
      <c r="BI583" s="311">
        <v>0.32219999999999999</v>
      </c>
      <c r="BJ583" s="311">
        <v>0.28360000000000002</v>
      </c>
      <c r="BK583" s="311">
        <v>0.26769999999999999</v>
      </c>
    </row>
    <row r="584" spans="1:63" x14ac:dyDescent="0.25">
      <c r="A584" s="306">
        <v>331490</v>
      </c>
      <c r="B584" s="311" t="s">
        <v>158</v>
      </c>
      <c r="C584" s="311">
        <v>0.44230000000000003</v>
      </c>
      <c r="D584" s="311">
        <v>0</v>
      </c>
      <c r="E584" s="311">
        <v>0.34300000000000003</v>
      </c>
      <c r="F584" s="311">
        <v>0.30709999999999998</v>
      </c>
      <c r="G584" s="311">
        <v>0.30719999999999997</v>
      </c>
      <c r="H584" s="311">
        <v>0.33989999999999998</v>
      </c>
      <c r="I584" s="311">
        <v>0.34289999999999998</v>
      </c>
      <c r="J584" s="311">
        <v>0.32990000000000003</v>
      </c>
      <c r="K584" s="311">
        <v>0</v>
      </c>
      <c r="L584" s="311">
        <v>0</v>
      </c>
      <c r="M584" s="311">
        <v>0.31069999999999998</v>
      </c>
      <c r="N584" s="311">
        <v>0.3296</v>
      </c>
      <c r="O584" s="311">
        <v>0</v>
      </c>
      <c r="P584" s="311">
        <v>0</v>
      </c>
      <c r="Q584" s="311">
        <v>0.27679999999999999</v>
      </c>
      <c r="R584" s="311">
        <v>0.35320000000000001</v>
      </c>
      <c r="S584" s="311">
        <v>0.33250000000000002</v>
      </c>
      <c r="T584" s="311">
        <v>0</v>
      </c>
      <c r="U584" s="311">
        <v>0.31709999999999999</v>
      </c>
      <c r="V584" s="311">
        <v>0.31419999999999998</v>
      </c>
      <c r="W584" s="311">
        <v>0.31919999999999998</v>
      </c>
      <c r="X584" s="311">
        <v>0.28610000000000002</v>
      </c>
      <c r="Y584" s="311">
        <v>0.30370000000000003</v>
      </c>
      <c r="Z584" s="311">
        <v>0.34770000000000001</v>
      </c>
      <c r="AA584" s="311">
        <v>0.32729999999999998</v>
      </c>
      <c r="AB584" s="311">
        <v>0.3301</v>
      </c>
      <c r="AC584" s="311">
        <v>0</v>
      </c>
      <c r="AD584" s="311">
        <v>0.28499999999999998</v>
      </c>
      <c r="AE584" s="311">
        <v>0.33650000000000002</v>
      </c>
      <c r="AF584" s="311">
        <v>0</v>
      </c>
      <c r="AG584" s="311">
        <v>0</v>
      </c>
      <c r="AH584" s="311">
        <v>0.30520000000000003</v>
      </c>
      <c r="AI584" s="311">
        <v>0.3135</v>
      </c>
      <c r="AJ584" s="311">
        <v>0.24</v>
      </c>
      <c r="AK584" s="311">
        <v>0.30509999999999998</v>
      </c>
      <c r="AL584" s="311">
        <v>0.30769999999999997</v>
      </c>
      <c r="AM584" s="311">
        <v>0.36199999999999999</v>
      </c>
      <c r="AN584" s="311">
        <v>0.30819999999999997</v>
      </c>
      <c r="AO584" s="311">
        <v>0.31119999999999998</v>
      </c>
      <c r="AP584" s="311">
        <v>0.37380000000000002</v>
      </c>
      <c r="AQ584" s="311">
        <v>0.30070000000000002</v>
      </c>
      <c r="AR584" s="311">
        <v>0.33550000000000002</v>
      </c>
      <c r="AS584" s="311">
        <v>0</v>
      </c>
      <c r="AT584" s="311">
        <v>0.33510000000000001</v>
      </c>
      <c r="AU584" s="311">
        <v>0.35709999999999997</v>
      </c>
      <c r="AV584" s="311">
        <v>0.37030000000000002</v>
      </c>
      <c r="AW584" s="311">
        <v>0.31269999999999998</v>
      </c>
      <c r="AX584" s="311">
        <v>0</v>
      </c>
      <c r="AY584" s="311">
        <v>0.30630000000000002</v>
      </c>
      <c r="AZ584" s="311">
        <v>0.32269999999999999</v>
      </c>
      <c r="BA584" s="311">
        <v>0.2392</v>
      </c>
      <c r="BB584" s="311">
        <v>0</v>
      </c>
      <c r="BC584" s="311">
        <v>0.36159999999999998</v>
      </c>
      <c r="BD584" s="311">
        <v>0.36990000000000001</v>
      </c>
      <c r="BE584" s="311">
        <v>0.37930000000000003</v>
      </c>
      <c r="BF584" s="311">
        <v>0.32650000000000001</v>
      </c>
      <c r="BG584" s="311">
        <v>0.3427</v>
      </c>
      <c r="BH584" s="311">
        <v>0.35349999999999998</v>
      </c>
      <c r="BI584" s="311">
        <v>0.35970000000000002</v>
      </c>
      <c r="BJ584" s="311">
        <v>0.35149999999999998</v>
      </c>
      <c r="BK584" s="311">
        <v>0.35120000000000001</v>
      </c>
    </row>
    <row r="585" spans="1:63" x14ac:dyDescent="0.25">
      <c r="A585" s="306">
        <v>331510</v>
      </c>
      <c r="B585" s="311" t="s">
        <v>159</v>
      </c>
      <c r="C585" s="311">
        <v>0.54259999999999997</v>
      </c>
      <c r="D585" s="311">
        <v>0</v>
      </c>
      <c r="E585" s="311">
        <v>0.45900000000000002</v>
      </c>
      <c r="F585" s="311">
        <v>0.41370000000000001</v>
      </c>
      <c r="G585" s="311">
        <v>0.43330000000000002</v>
      </c>
      <c r="H585" s="311">
        <v>0.47549999999999998</v>
      </c>
      <c r="I585" s="311">
        <v>0.48080000000000001</v>
      </c>
      <c r="J585" s="311">
        <v>0.44829999999999998</v>
      </c>
      <c r="K585" s="311">
        <v>0</v>
      </c>
      <c r="L585" s="311">
        <v>0</v>
      </c>
      <c r="M585" s="311">
        <v>0.44729999999999998</v>
      </c>
      <c r="N585" s="311">
        <v>0.45069999999999999</v>
      </c>
      <c r="O585" s="311">
        <v>0</v>
      </c>
      <c r="P585" s="311">
        <v>0.36080000000000001</v>
      </c>
      <c r="Q585" s="311">
        <v>0.38429999999999997</v>
      </c>
      <c r="R585" s="311">
        <v>0.47589999999999999</v>
      </c>
      <c r="S585" s="311">
        <v>0.44879999999999998</v>
      </c>
      <c r="T585" s="311">
        <v>0.39679999999999999</v>
      </c>
      <c r="U585" s="311">
        <v>0.42499999999999999</v>
      </c>
      <c r="V585" s="311">
        <v>0.44569999999999999</v>
      </c>
      <c r="W585" s="311">
        <v>0.43419999999999997</v>
      </c>
      <c r="X585" s="311">
        <v>0.41570000000000001</v>
      </c>
      <c r="Y585" s="311">
        <v>0.42770000000000002</v>
      </c>
      <c r="Z585" s="311">
        <v>0.48330000000000001</v>
      </c>
      <c r="AA585" s="311">
        <v>0.45779999999999998</v>
      </c>
      <c r="AB585" s="311">
        <v>0.44319999999999998</v>
      </c>
      <c r="AC585" s="311">
        <v>0.41770000000000002</v>
      </c>
      <c r="AD585" s="311">
        <v>0.40479999999999999</v>
      </c>
      <c r="AE585" s="311">
        <v>0.44900000000000001</v>
      </c>
      <c r="AF585" s="311">
        <v>0</v>
      </c>
      <c r="AG585" s="311">
        <v>0.41520000000000001</v>
      </c>
      <c r="AH585" s="311">
        <v>0.41930000000000001</v>
      </c>
      <c r="AI585" s="311">
        <v>0.4299</v>
      </c>
      <c r="AJ585" s="311">
        <v>0.33389999999999997</v>
      </c>
      <c r="AK585" s="311">
        <v>0.4239</v>
      </c>
      <c r="AL585" s="311">
        <v>0.43669999999999998</v>
      </c>
      <c r="AM585" s="311">
        <v>0.48099999999999998</v>
      </c>
      <c r="AN585" s="311">
        <v>0.44819999999999999</v>
      </c>
      <c r="AO585" s="311">
        <v>0.43340000000000001</v>
      </c>
      <c r="AP585" s="311">
        <v>0.48949999999999999</v>
      </c>
      <c r="AQ585" s="311">
        <v>0.40629999999999999</v>
      </c>
      <c r="AR585" s="311">
        <v>0.4511</v>
      </c>
      <c r="AS585" s="311">
        <v>0.38529999999999998</v>
      </c>
      <c r="AT585" s="311">
        <v>0.44879999999999998</v>
      </c>
      <c r="AU585" s="311">
        <v>0.48070000000000002</v>
      </c>
      <c r="AV585" s="311">
        <v>0.48480000000000001</v>
      </c>
      <c r="AW585" s="311">
        <v>0.44540000000000002</v>
      </c>
      <c r="AX585" s="311">
        <v>0.38450000000000001</v>
      </c>
      <c r="AY585" s="311">
        <v>0.43149999999999999</v>
      </c>
      <c r="AZ585" s="311">
        <v>0.45219999999999999</v>
      </c>
      <c r="BA585" s="311">
        <v>0.33029999999999998</v>
      </c>
      <c r="BB585" s="311">
        <v>0</v>
      </c>
      <c r="BC585" s="311">
        <v>0.48089999999999999</v>
      </c>
      <c r="BD585" s="311">
        <v>0.48949999999999999</v>
      </c>
      <c r="BE585" s="311">
        <v>0.50149999999999995</v>
      </c>
      <c r="BF585" s="311">
        <v>0.44829999999999998</v>
      </c>
      <c r="BG585" s="311">
        <v>0.46079999999999999</v>
      </c>
      <c r="BH585" s="311">
        <v>0.46389999999999998</v>
      </c>
      <c r="BI585" s="311">
        <v>0.4819</v>
      </c>
      <c r="BJ585" s="311">
        <v>0.46779999999999999</v>
      </c>
      <c r="BK585" s="311">
        <v>0.47820000000000001</v>
      </c>
    </row>
    <row r="586" spans="1:63" x14ac:dyDescent="0.25">
      <c r="A586" s="306">
        <v>331520</v>
      </c>
      <c r="B586" s="311" t="s">
        <v>160</v>
      </c>
      <c r="C586" s="311">
        <v>0.55579999999999996</v>
      </c>
      <c r="D586" s="311">
        <v>0</v>
      </c>
      <c r="E586" s="311">
        <v>0.43269999999999997</v>
      </c>
      <c r="F586" s="311">
        <v>0.40610000000000002</v>
      </c>
      <c r="G586" s="311">
        <v>0.41170000000000001</v>
      </c>
      <c r="H586" s="311">
        <v>0.45850000000000002</v>
      </c>
      <c r="I586" s="311">
        <v>0.4425</v>
      </c>
      <c r="J586" s="311">
        <v>0.43530000000000002</v>
      </c>
      <c r="K586" s="311">
        <v>0</v>
      </c>
      <c r="L586" s="311">
        <v>0</v>
      </c>
      <c r="M586" s="311">
        <v>0.41899999999999998</v>
      </c>
      <c r="N586" s="311">
        <v>0.42870000000000003</v>
      </c>
      <c r="O586" s="311">
        <v>0</v>
      </c>
      <c r="P586" s="311">
        <v>0.34250000000000003</v>
      </c>
      <c r="Q586" s="311">
        <v>0.36149999999999999</v>
      </c>
      <c r="R586" s="311">
        <v>0.4672</v>
      </c>
      <c r="S586" s="311">
        <v>0.44940000000000002</v>
      </c>
      <c r="T586" s="311">
        <v>0.3705</v>
      </c>
      <c r="U586" s="311">
        <v>0.42849999999999999</v>
      </c>
      <c r="V586" s="311">
        <v>0.43120000000000003</v>
      </c>
      <c r="W586" s="311">
        <v>0.41689999999999999</v>
      </c>
      <c r="X586" s="311">
        <v>0.38550000000000001</v>
      </c>
      <c r="Y586" s="311">
        <v>0.40060000000000001</v>
      </c>
      <c r="Z586" s="311">
        <v>0.46949999999999997</v>
      </c>
      <c r="AA586" s="311">
        <v>0.44529999999999997</v>
      </c>
      <c r="AB586" s="311">
        <v>0.44900000000000001</v>
      </c>
      <c r="AC586" s="311">
        <v>0.38190000000000002</v>
      </c>
      <c r="AD586" s="311">
        <v>0.379</v>
      </c>
      <c r="AE586" s="311">
        <v>0.4325</v>
      </c>
      <c r="AF586" s="311">
        <v>0</v>
      </c>
      <c r="AG586" s="311">
        <v>0.38179999999999997</v>
      </c>
      <c r="AH586" s="311">
        <v>0.40089999999999998</v>
      </c>
      <c r="AI586" s="311">
        <v>0.41880000000000001</v>
      </c>
      <c r="AJ586" s="311">
        <v>0.30840000000000001</v>
      </c>
      <c r="AK586" s="311">
        <v>0.39119999999999999</v>
      </c>
      <c r="AL586" s="311">
        <v>0.43240000000000001</v>
      </c>
      <c r="AM586" s="311">
        <v>0.4879</v>
      </c>
      <c r="AN586" s="311">
        <v>0.4209</v>
      </c>
      <c r="AO586" s="311">
        <v>0.40789999999999998</v>
      </c>
      <c r="AP586" s="311">
        <v>0.48159999999999997</v>
      </c>
      <c r="AQ586" s="311">
        <v>0.39379999999999998</v>
      </c>
      <c r="AR586" s="311">
        <v>0.44130000000000003</v>
      </c>
      <c r="AS586" s="311">
        <v>0.35149999999999998</v>
      </c>
      <c r="AT586" s="311">
        <v>0.45140000000000002</v>
      </c>
      <c r="AU586" s="311">
        <v>0.46529999999999999</v>
      </c>
      <c r="AV586" s="311">
        <v>0.44919999999999999</v>
      </c>
      <c r="AW586" s="311">
        <v>0.4148</v>
      </c>
      <c r="AX586" s="311">
        <v>0</v>
      </c>
      <c r="AY586" s="311">
        <v>0.41889999999999999</v>
      </c>
      <c r="AZ586" s="311">
        <v>0.43519999999999998</v>
      </c>
      <c r="BA586" s="311">
        <v>0.31009999999999999</v>
      </c>
      <c r="BB586" s="311">
        <v>0.34499999999999997</v>
      </c>
      <c r="BC586" s="311">
        <v>0.46560000000000001</v>
      </c>
      <c r="BD586" s="311">
        <v>0.4849</v>
      </c>
      <c r="BE586" s="311">
        <v>0.50929999999999997</v>
      </c>
      <c r="BF586" s="311">
        <v>0.44740000000000002</v>
      </c>
      <c r="BG586" s="311">
        <v>0.4425</v>
      </c>
      <c r="BH586" s="311">
        <v>0.4657</v>
      </c>
      <c r="BI586" s="311">
        <v>0.4728</v>
      </c>
      <c r="BJ586" s="311">
        <v>0.44009999999999999</v>
      </c>
      <c r="BK586" s="311">
        <v>0.46579999999999999</v>
      </c>
    </row>
    <row r="587" spans="1:63" x14ac:dyDescent="0.25">
      <c r="A587" s="306">
        <v>332114</v>
      </c>
      <c r="B587" s="311" t="s">
        <v>162</v>
      </c>
      <c r="C587" s="311">
        <v>0.48409999999999997</v>
      </c>
      <c r="D587" s="311">
        <v>0.23710000000000001</v>
      </c>
      <c r="E587" s="311">
        <v>0.37759999999999999</v>
      </c>
      <c r="F587" s="311">
        <v>0.34360000000000002</v>
      </c>
      <c r="G587" s="311">
        <v>0</v>
      </c>
      <c r="H587" s="311">
        <v>0.34429999999999999</v>
      </c>
      <c r="I587" s="311">
        <v>0.3478</v>
      </c>
      <c r="J587" s="311">
        <v>0.31950000000000001</v>
      </c>
      <c r="K587" s="311">
        <v>0</v>
      </c>
      <c r="L587" s="311">
        <v>0</v>
      </c>
      <c r="M587" s="311">
        <v>0.2984</v>
      </c>
      <c r="N587" s="311">
        <v>0.32069999999999999</v>
      </c>
      <c r="O587" s="311">
        <v>0</v>
      </c>
      <c r="P587" s="311">
        <v>0</v>
      </c>
      <c r="Q587" s="311">
        <v>0.25280000000000002</v>
      </c>
      <c r="R587" s="311">
        <v>0.41749999999999998</v>
      </c>
      <c r="S587" s="311">
        <v>0.37930000000000003</v>
      </c>
      <c r="T587" s="311">
        <v>0.26250000000000001</v>
      </c>
      <c r="U587" s="311">
        <v>0.36309999999999998</v>
      </c>
      <c r="V587" s="311">
        <v>0.3332</v>
      </c>
      <c r="W587" s="311">
        <v>0.3014</v>
      </c>
      <c r="X587" s="311">
        <v>0.32269999999999999</v>
      </c>
      <c r="Y587" s="311">
        <v>0</v>
      </c>
      <c r="Z587" s="311">
        <v>0.4083</v>
      </c>
      <c r="AA587" s="311">
        <v>0.3155</v>
      </c>
      <c r="AB587" s="311">
        <v>0.30640000000000001</v>
      </c>
      <c r="AC587" s="311">
        <v>0.32069999999999999</v>
      </c>
      <c r="AD587" s="311">
        <v>0</v>
      </c>
      <c r="AE587" s="311">
        <v>0.32</v>
      </c>
      <c r="AF587" s="311">
        <v>0</v>
      </c>
      <c r="AG587" s="311">
        <v>0.28079999999999999</v>
      </c>
      <c r="AH587" s="311">
        <v>0.29249999999999998</v>
      </c>
      <c r="AI587" s="311">
        <v>0.30420000000000003</v>
      </c>
      <c r="AJ587" s="311">
        <v>0.25459999999999999</v>
      </c>
      <c r="AK587" s="311">
        <v>0.2707</v>
      </c>
      <c r="AL587" s="311">
        <v>0.28589999999999999</v>
      </c>
      <c r="AM587" s="311">
        <v>0.4153</v>
      </c>
      <c r="AN587" s="311">
        <v>0.36349999999999999</v>
      </c>
      <c r="AO587" s="311">
        <v>0.35930000000000001</v>
      </c>
      <c r="AP587" s="311">
        <v>0.41620000000000001</v>
      </c>
      <c r="AQ587" s="311">
        <v>0</v>
      </c>
      <c r="AR587" s="311">
        <v>0.37019999999999997</v>
      </c>
      <c r="AS587" s="311">
        <v>0</v>
      </c>
      <c r="AT587" s="311">
        <v>0.36030000000000001</v>
      </c>
      <c r="AU587" s="311">
        <v>0.39179999999999998</v>
      </c>
      <c r="AV587" s="311">
        <v>0</v>
      </c>
      <c r="AW587" s="311">
        <v>0</v>
      </c>
      <c r="AX587" s="311">
        <v>0</v>
      </c>
      <c r="AY587" s="311">
        <v>0.30580000000000002</v>
      </c>
      <c r="AZ587" s="311">
        <v>0.3231</v>
      </c>
      <c r="BA587" s="311">
        <v>0.29630000000000001</v>
      </c>
      <c r="BB587" s="311">
        <v>0</v>
      </c>
      <c r="BC587" s="311">
        <v>0.33079999999999998</v>
      </c>
      <c r="BD587" s="311">
        <v>0.41449999999999998</v>
      </c>
      <c r="BE587" s="311">
        <v>0.4375</v>
      </c>
      <c r="BF587" s="311">
        <v>0.32319999999999999</v>
      </c>
      <c r="BG587" s="311">
        <v>0.35589999999999999</v>
      </c>
      <c r="BH587" s="311">
        <v>0.3962</v>
      </c>
      <c r="BI587" s="311">
        <v>0.41749999999999998</v>
      </c>
      <c r="BJ587" s="311">
        <v>0.32529999999999998</v>
      </c>
      <c r="BK587" s="311">
        <v>0.3498</v>
      </c>
    </row>
    <row r="588" spans="1:63" x14ac:dyDescent="0.25">
      <c r="A588" s="306" t="s">
        <v>724</v>
      </c>
      <c r="B588" s="311" t="s">
        <v>161</v>
      </c>
      <c r="C588" s="311">
        <v>0.54390000000000005</v>
      </c>
      <c r="D588" s="311">
        <v>0.31440000000000001</v>
      </c>
      <c r="E588" s="311">
        <v>0.43009999999999998</v>
      </c>
      <c r="F588" s="311">
        <v>0.3876</v>
      </c>
      <c r="G588" s="311">
        <v>0.38080000000000003</v>
      </c>
      <c r="H588" s="311">
        <v>0.42280000000000001</v>
      </c>
      <c r="I588" s="311">
        <v>0.41980000000000001</v>
      </c>
      <c r="J588" s="311">
        <v>0.40820000000000001</v>
      </c>
      <c r="K588" s="311">
        <v>0</v>
      </c>
      <c r="L588" s="311">
        <v>0</v>
      </c>
      <c r="M588" s="311">
        <v>0.37640000000000001</v>
      </c>
      <c r="N588" s="311">
        <v>0.3957</v>
      </c>
      <c r="O588" s="311">
        <v>0</v>
      </c>
      <c r="P588" s="311">
        <v>0.34260000000000002</v>
      </c>
      <c r="Q588" s="311">
        <v>0.32390000000000002</v>
      </c>
      <c r="R588" s="311">
        <v>0.47270000000000001</v>
      </c>
      <c r="S588" s="311">
        <v>0.43580000000000002</v>
      </c>
      <c r="T588" s="311">
        <v>0.32579999999999998</v>
      </c>
      <c r="U588" s="311">
        <v>0.4128</v>
      </c>
      <c r="V588" s="311">
        <v>0.40749999999999997</v>
      </c>
      <c r="W588" s="311">
        <v>0.38979999999999998</v>
      </c>
      <c r="X588" s="311">
        <v>0.37230000000000002</v>
      </c>
      <c r="Y588" s="311">
        <v>0</v>
      </c>
      <c r="Z588" s="311">
        <v>0.4713</v>
      </c>
      <c r="AA588" s="311">
        <v>0.38090000000000002</v>
      </c>
      <c r="AB588" s="311">
        <v>0.38340000000000002</v>
      </c>
      <c r="AC588" s="311">
        <v>0.36499999999999999</v>
      </c>
      <c r="AD588" s="311">
        <v>0.33129999999999998</v>
      </c>
      <c r="AE588" s="311">
        <v>0.39939999999999998</v>
      </c>
      <c r="AF588" s="311">
        <v>0</v>
      </c>
      <c r="AG588" s="311">
        <v>0.3412</v>
      </c>
      <c r="AH588" s="311">
        <v>0</v>
      </c>
      <c r="AI588" s="311">
        <v>0.37969999999999998</v>
      </c>
      <c r="AJ588" s="311">
        <v>0.34760000000000002</v>
      </c>
      <c r="AK588" s="311">
        <v>0.37130000000000002</v>
      </c>
      <c r="AL588" s="311">
        <v>0.37280000000000002</v>
      </c>
      <c r="AM588" s="311">
        <v>0.47460000000000002</v>
      </c>
      <c r="AN588" s="311">
        <v>0.40839999999999999</v>
      </c>
      <c r="AO588" s="311">
        <v>0.40500000000000003</v>
      </c>
      <c r="AP588" s="311">
        <v>0.47639999999999999</v>
      </c>
      <c r="AQ588" s="311">
        <v>0.34770000000000001</v>
      </c>
      <c r="AR588" s="311">
        <v>0.43059999999999998</v>
      </c>
      <c r="AS588" s="311">
        <v>0.30599999999999999</v>
      </c>
      <c r="AT588" s="311">
        <v>0.42820000000000003</v>
      </c>
      <c r="AU588" s="311">
        <v>0.45390000000000003</v>
      </c>
      <c r="AV588" s="311">
        <v>0.44829999999999998</v>
      </c>
      <c r="AW588" s="311">
        <v>0.37719999999999998</v>
      </c>
      <c r="AX588" s="311">
        <v>0.31719999999999998</v>
      </c>
      <c r="AY588" s="311">
        <v>0.38080000000000003</v>
      </c>
      <c r="AZ588" s="311">
        <v>0.39889999999999998</v>
      </c>
      <c r="BA588" s="311">
        <v>0.34449999999999997</v>
      </c>
      <c r="BB588" s="311">
        <v>0.3266</v>
      </c>
      <c r="BC588" s="311">
        <v>0.42709999999999998</v>
      </c>
      <c r="BD588" s="311">
        <v>0.47960000000000003</v>
      </c>
      <c r="BE588" s="311">
        <v>0.496</v>
      </c>
      <c r="BF588" s="311">
        <v>0.38750000000000001</v>
      </c>
      <c r="BG588" s="311">
        <v>0.42870000000000003</v>
      </c>
      <c r="BH588" s="311">
        <v>0.45390000000000003</v>
      </c>
      <c r="BI588" s="311">
        <v>0.46889999999999998</v>
      </c>
      <c r="BJ588" s="311">
        <v>0.41389999999999999</v>
      </c>
      <c r="BK588" s="311">
        <v>0.42509999999999998</v>
      </c>
    </row>
    <row r="589" spans="1:63" x14ac:dyDescent="0.25">
      <c r="A589" s="306" t="s">
        <v>725</v>
      </c>
      <c r="B589" s="311" t="s">
        <v>163</v>
      </c>
      <c r="C589" s="311">
        <v>0.57150000000000001</v>
      </c>
      <c r="D589" s="311">
        <v>0</v>
      </c>
      <c r="E589" s="311">
        <v>0.46600000000000003</v>
      </c>
      <c r="F589" s="311">
        <v>0.42659999999999998</v>
      </c>
      <c r="G589" s="311">
        <v>0.41170000000000001</v>
      </c>
      <c r="H589" s="311">
        <v>0.44850000000000001</v>
      </c>
      <c r="I589" s="311">
        <v>0.44</v>
      </c>
      <c r="J589" s="311">
        <v>0.43419999999999997</v>
      </c>
      <c r="K589" s="311">
        <v>6.6400000000000001E-2</v>
      </c>
      <c r="L589" s="311">
        <v>0.3347</v>
      </c>
      <c r="M589" s="311">
        <v>0.39900000000000002</v>
      </c>
      <c r="N589" s="311">
        <v>0.42349999999999999</v>
      </c>
      <c r="O589" s="311">
        <v>0</v>
      </c>
      <c r="P589" s="311">
        <v>0.39500000000000002</v>
      </c>
      <c r="Q589" s="311">
        <v>0</v>
      </c>
      <c r="R589" s="311">
        <v>0.50870000000000004</v>
      </c>
      <c r="S589" s="311">
        <v>0.46350000000000002</v>
      </c>
      <c r="T589" s="311">
        <v>0.36109999999999998</v>
      </c>
      <c r="U589" s="311">
        <v>0.44040000000000001</v>
      </c>
      <c r="V589" s="311">
        <v>0</v>
      </c>
      <c r="W589" s="311">
        <v>0.40970000000000001</v>
      </c>
      <c r="X589" s="311">
        <v>0.39839999999999998</v>
      </c>
      <c r="Y589" s="311">
        <v>0.35699999999999998</v>
      </c>
      <c r="Z589" s="311">
        <v>0.49840000000000001</v>
      </c>
      <c r="AA589" s="311">
        <v>0.41689999999999999</v>
      </c>
      <c r="AB589" s="311">
        <v>0.41720000000000002</v>
      </c>
      <c r="AC589" s="311">
        <v>0.40050000000000002</v>
      </c>
      <c r="AD589" s="311">
        <v>0.35980000000000001</v>
      </c>
      <c r="AE589" s="311">
        <v>0.43070000000000003</v>
      </c>
      <c r="AF589" s="311">
        <v>0.31309999999999999</v>
      </c>
      <c r="AG589" s="311">
        <v>0.3785</v>
      </c>
      <c r="AH589" s="311">
        <v>0.39539999999999997</v>
      </c>
      <c r="AI589" s="311">
        <v>0.40760000000000002</v>
      </c>
      <c r="AJ589" s="311">
        <v>0.36320000000000002</v>
      </c>
      <c r="AK589" s="311">
        <v>0.37659999999999999</v>
      </c>
      <c r="AL589" s="311">
        <v>0.39560000000000001</v>
      </c>
      <c r="AM589" s="311">
        <v>0.49890000000000001</v>
      </c>
      <c r="AN589" s="311">
        <v>0.44529999999999997</v>
      </c>
      <c r="AO589" s="311">
        <v>0.43309999999999998</v>
      </c>
      <c r="AP589" s="311">
        <v>0.49569999999999997</v>
      </c>
      <c r="AQ589" s="311">
        <v>0.3755</v>
      </c>
      <c r="AR589" s="311">
        <v>0.45479999999999998</v>
      </c>
      <c r="AS589" s="311">
        <v>0.34439999999999998</v>
      </c>
      <c r="AT589" s="311">
        <v>0.45379999999999998</v>
      </c>
      <c r="AU589" s="311">
        <v>0.47610000000000002</v>
      </c>
      <c r="AV589" s="311">
        <v>0.46779999999999999</v>
      </c>
      <c r="AW589" s="311">
        <v>0.40699999999999997</v>
      </c>
      <c r="AX589" s="311">
        <v>0.36380000000000001</v>
      </c>
      <c r="AY589" s="311">
        <v>0.40629999999999999</v>
      </c>
      <c r="AZ589" s="311">
        <v>0.44190000000000002</v>
      </c>
      <c r="BA589" s="311">
        <v>0.37490000000000001</v>
      </c>
      <c r="BB589" s="311">
        <v>0</v>
      </c>
      <c r="BC589" s="311">
        <v>0.4516</v>
      </c>
      <c r="BD589" s="311">
        <v>0.49519999999999997</v>
      </c>
      <c r="BE589" s="311">
        <v>0.52300000000000002</v>
      </c>
      <c r="BF589" s="311">
        <v>0.4299</v>
      </c>
      <c r="BG589" s="311">
        <v>0.45429999999999998</v>
      </c>
      <c r="BH589" s="311">
        <v>0.4793</v>
      </c>
      <c r="BI589" s="311">
        <v>0.48959999999999998</v>
      </c>
      <c r="BJ589" s="311">
        <v>0.42880000000000001</v>
      </c>
      <c r="BK589" s="311">
        <v>0.45069999999999999</v>
      </c>
    </row>
    <row r="590" spans="1:63" x14ac:dyDescent="0.25">
      <c r="A590" s="306" t="s">
        <v>726</v>
      </c>
      <c r="B590" s="311" t="s">
        <v>164</v>
      </c>
      <c r="C590" s="311">
        <v>0.36809999999999998</v>
      </c>
      <c r="D590" s="311">
        <v>0.21240000000000001</v>
      </c>
      <c r="E590" s="311">
        <v>0.29210000000000003</v>
      </c>
      <c r="F590" s="311">
        <v>0.27800000000000002</v>
      </c>
      <c r="G590" s="311">
        <v>0.26150000000000001</v>
      </c>
      <c r="H590" s="311">
        <v>0.29149999999999998</v>
      </c>
      <c r="I590" s="311">
        <v>0.27679999999999999</v>
      </c>
      <c r="J590" s="311">
        <v>0.27729999999999999</v>
      </c>
      <c r="K590" s="311">
        <v>0</v>
      </c>
      <c r="L590" s="311">
        <v>0</v>
      </c>
      <c r="M590" s="311">
        <v>0.26079999999999998</v>
      </c>
      <c r="N590" s="311">
        <v>0.27779999999999999</v>
      </c>
      <c r="O590" s="311">
        <v>0</v>
      </c>
      <c r="P590" s="311">
        <v>0.24690000000000001</v>
      </c>
      <c r="Q590" s="311">
        <v>0.2301</v>
      </c>
      <c r="R590" s="311">
        <v>0.31790000000000002</v>
      </c>
      <c r="S590" s="311">
        <v>0.29799999999999999</v>
      </c>
      <c r="T590" s="311">
        <v>0.23469999999999999</v>
      </c>
      <c r="U590" s="311">
        <v>0.28370000000000001</v>
      </c>
      <c r="V590" s="311">
        <v>0</v>
      </c>
      <c r="W590" s="311">
        <v>0.2666</v>
      </c>
      <c r="X590" s="311">
        <v>0.25409999999999999</v>
      </c>
      <c r="Y590" s="311">
        <v>0</v>
      </c>
      <c r="Z590" s="311">
        <v>0.31590000000000001</v>
      </c>
      <c r="AA590" s="311">
        <v>0.27779999999999999</v>
      </c>
      <c r="AB590" s="311">
        <v>0.27889999999999998</v>
      </c>
      <c r="AC590" s="311">
        <v>0</v>
      </c>
      <c r="AD590" s="311">
        <v>0.2311</v>
      </c>
      <c r="AE590" s="311">
        <v>0.27889999999999998</v>
      </c>
      <c r="AF590" s="311">
        <v>0.19620000000000001</v>
      </c>
      <c r="AG590" s="311">
        <v>0.2394</v>
      </c>
      <c r="AH590" s="311">
        <v>0.248</v>
      </c>
      <c r="AI590" s="311">
        <v>0.26979999999999998</v>
      </c>
      <c r="AJ590" s="311">
        <v>0.2298</v>
      </c>
      <c r="AK590" s="311">
        <v>0</v>
      </c>
      <c r="AL590" s="311">
        <v>0.25519999999999998</v>
      </c>
      <c r="AM590" s="311">
        <v>0.32519999999999999</v>
      </c>
      <c r="AN590" s="311">
        <v>0.2767</v>
      </c>
      <c r="AO590" s="311">
        <v>0.28339999999999999</v>
      </c>
      <c r="AP590" s="311">
        <v>0.31909999999999999</v>
      </c>
      <c r="AQ590" s="311">
        <v>0</v>
      </c>
      <c r="AR590" s="311">
        <v>0.29420000000000002</v>
      </c>
      <c r="AS590" s="311">
        <v>0</v>
      </c>
      <c r="AT590" s="311">
        <v>0.29070000000000001</v>
      </c>
      <c r="AU590" s="311">
        <v>0.30740000000000001</v>
      </c>
      <c r="AV590" s="311">
        <v>0</v>
      </c>
      <c r="AW590" s="311">
        <v>0.26040000000000002</v>
      </c>
      <c r="AX590" s="311">
        <v>0.22090000000000001</v>
      </c>
      <c r="AY590" s="311">
        <v>0.27110000000000001</v>
      </c>
      <c r="AZ590" s="311">
        <v>0.28789999999999999</v>
      </c>
      <c r="BA590" s="311">
        <v>0.2291</v>
      </c>
      <c r="BB590" s="311">
        <v>0</v>
      </c>
      <c r="BC590" s="311">
        <v>0.29110000000000003</v>
      </c>
      <c r="BD590" s="311">
        <v>0.31269999999999998</v>
      </c>
      <c r="BE590" s="311">
        <v>0.3377</v>
      </c>
      <c r="BF590" s="311">
        <v>0.28689999999999999</v>
      </c>
      <c r="BG590" s="311">
        <v>0.29599999999999999</v>
      </c>
      <c r="BH590" s="311">
        <v>0.30620000000000003</v>
      </c>
      <c r="BI590" s="311">
        <v>0.31859999999999999</v>
      </c>
      <c r="BJ590" s="311">
        <v>0.2717</v>
      </c>
      <c r="BK590" s="311">
        <v>0.29670000000000002</v>
      </c>
    </row>
    <row r="591" spans="1:63" x14ac:dyDescent="0.25">
      <c r="A591" s="306" t="s">
        <v>727</v>
      </c>
      <c r="B591" s="311" t="s">
        <v>165</v>
      </c>
      <c r="C591" s="311">
        <v>0.51090000000000002</v>
      </c>
      <c r="D591" s="311">
        <v>0.32590000000000002</v>
      </c>
      <c r="E591" s="311">
        <v>0.41810000000000003</v>
      </c>
      <c r="F591" s="311">
        <v>0.38919999999999999</v>
      </c>
      <c r="G591" s="311">
        <v>0.38500000000000001</v>
      </c>
      <c r="H591" s="311">
        <v>0.42080000000000001</v>
      </c>
      <c r="I591" s="311">
        <v>0.41610000000000003</v>
      </c>
      <c r="J591" s="311">
        <v>0.40699999999999997</v>
      </c>
      <c r="K591" s="311">
        <v>0</v>
      </c>
      <c r="L591" s="311">
        <v>0.3115</v>
      </c>
      <c r="M591" s="311">
        <v>0.38219999999999998</v>
      </c>
      <c r="N591" s="311">
        <v>0.40239999999999998</v>
      </c>
      <c r="O591" s="311">
        <v>0</v>
      </c>
      <c r="P591" s="311">
        <v>0.3569</v>
      </c>
      <c r="Q591" s="311">
        <v>0.34189999999999998</v>
      </c>
      <c r="R591" s="311">
        <v>0.45639999999999997</v>
      </c>
      <c r="S591" s="311">
        <v>0.41489999999999999</v>
      </c>
      <c r="T591" s="311">
        <v>0.34279999999999999</v>
      </c>
      <c r="U591" s="311">
        <v>0.39360000000000001</v>
      </c>
      <c r="V591" s="311">
        <v>0.39419999999999999</v>
      </c>
      <c r="W591" s="311">
        <v>0.3931</v>
      </c>
      <c r="X591" s="311">
        <v>0.3715</v>
      </c>
      <c r="Y591" s="311">
        <v>0.3503</v>
      </c>
      <c r="Z591" s="311">
        <v>0.44919999999999999</v>
      </c>
      <c r="AA591" s="311">
        <v>0.39700000000000002</v>
      </c>
      <c r="AB591" s="311">
        <v>0.38619999999999999</v>
      </c>
      <c r="AC591" s="311">
        <v>0.36170000000000002</v>
      </c>
      <c r="AD591" s="311">
        <v>0.34420000000000001</v>
      </c>
      <c r="AE591" s="311">
        <v>0.40450000000000003</v>
      </c>
      <c r="AF591" s="311">
        <v>0.29680000000000001</v>
      </c>
      <c r="AG591" s="311">
        <v>0.35670000000000002</v>
      </c>
      <c r="AH591" s="311">
        <v>0.37359999999999999</v>
      </c>
      <c r="AI591" s="311">
        <v>0.38600000000000001</v>
      </c>
      <c r="AJ591" s="311">
        <v>0.34639999999999999</v>
      </c>
      <c r="AK591" s="311">
        <v>0.37040000000000001</v>
      </c>
      <c r="AL591" s="311">
        <v>0.37669999999999998</v>
      </c>
      <c r="AM591" s="311">
        <v>0.44929999999999998</v>
      </c>
      <c r="AN591" s="311">
        <v>0.4017</v>
      </c>
      <c r="AO591" s="311">
        <v>0.40560000000000002</v>
      </c>
      <c r="AP591" s="311">
        <v>0.45200000000000001</v>
      </c>
      <c r="AQ591" s="311">
        <v>0.36399999999999999</v>
      </c>
      <c r="AR591" s="311">
        <v>0.40989999999999999</v>
      </c>
      <c r="AS591" s="311">
        <v>0.32850000000000001</v>
      </c>
      <c r="AT591" s="311">
        <v>0.4113</v>
      </c>
      <c r="AU591" s="311">
        <v>0.43430000000000002</v>
      </c>
      <c r="AV591" s="311">
        <v>0.43469999999999998</v>
      </c>
      <c r="AW591" s="311">
        <v>0.38450000000000001</v>
      </c>
      <c r="AX591" s="311">
        <v>0.33439999999999998</v>
      </c>
      <c r="AY591" s="311">
        <v>0.38600000000000001</v>
      </c>
      <c r="AZ591" s="311">
        <v>0.41139999999999999</v>
      </c>
      <c r="BA591" s="311">
        <v>0.33760000000000001</v>
      </c>
      <c r="BB591" s="311">
        <v>0.33389999999999997</v>
      </c>
      <c r="BC591" s="311">
        <v>0.43</v>
      </c>
      <c r="BD591" s="311">
        <v>0.4556</v>
      </c>
      <c r="BE591" s="311">
        <v>0.47039999999999998</v>
      </c>
      <c r="BF591" s="311">
        <v>0.39929999999999999</v>
      </c>
      <c r="BG591" s="311">
        <v>0.42649999999999999</v>
      </c>
      <c r="BH591" s="311">
        <v>0.42949999999999999</v>
      </c>
      <c r="BI591" s="311">
        <v>0.44429999999999997</v>
      </c>
      <c r="BJ591" s="311">
        <v>0.40510000000000002</v>
      </c>
      <c r="BK591" s="311">
        <v>0.42480000000000001</v>
      </c>
    </row>
    <row r="592" spans="1:63" x14ac:dyDescent="0.25">
      <c r="A592" s="306">
        <v>332310</v>
      </c>
      <c r="B592" s="311" t="s">
        <v>166</v>
      </c>
      <c r="C592" s="311">
        <v>0.52539999999999998</v>
      </c>
      <c r="D592" s="311">
        <v>0.3039</v>
      </c>
      <c r="E592" s="311">
        <v>0.42080000000000001</v>
      </c>
      <c r="F592" s="311">
        <v>0.3831</v>
      </c>
      <c r="G592" s="311">
        <v>0.38100000000000001</v>
      </c>
      <c r="H592" s="311">
        <v>0.41570000000000001</v>
      </c>
      <c r="I592" s="311">
        <v>0.41620000000000001</v>
      </c>
      <c r="J592" s="311">
        <v>0.39340000000000003</v>
      </c>
      <c r="K592" s="311">
        <v>6.2600000000000003E-2</v>
      </c>
      <c r="L592" s="311">
        <v>0.31169999999999998</v>
      </c>
      <c r="M592" s="311">
        <v>0.37430000000000002</v>
      </c>
      <c r="N592" s="311">
        <v>0.39329999999999998</v>
      </c>
      <c r="O592" s="311">
        <v>0.32950000000000002</v>
      </c>
      <c r="P592" s="311">
        <v>0.3468</v>
      </c>
      <c r="Q592" s="311">
        <v>0.32179999999999997</v>
      </c>
      <c r="R592" s="311">
        <v>0.47089999999999999</v>
      </c>
      <c r="S592" s="311">
        <v>0.42009999999999997</v>
      </c>
      <c r="T592" s="311">
        <v>0.33100000000000002</v>
      </c>
      <c r="U592" s="311">
        <v>0.39539999999999997</v>
      </c>
      <c r="V592" s="311">
        <v>0.39150000000000001</v>
      </c>
      <c r="W592" s="311">
        <v>0.37669999999999998</v>
      </c>
      <c r="X592" s="311">
        <v>0.371</v>
      </c>
      <c r="Y592" s="311">
        <v>0.32919999999999999</v>
      </c>
      <c r="Z592" s="311">
        <v>0.45989999999999998</v>
      </c>
      <c r="AA592" s="311">
        <v>0.38550000000000001</v>
      </c>
      <c r="AB592" s="311">
        <v>0.37540000000000001</v>
      </c>
      <c r="AC592" s="311">
        <v>0.36199999999999999</v>
      </c>
      <c r="AD592" s="311">
        <v>0.32200000000000001</v>
      </c>
      <c r="AE592" s="311">
        <v>0.39029999999999998</v>
      </c>
      <c r="AF592" s="311">
        <v>0.27439999999999998</v>
      </c>
      <c r="AG592" s="311">
        <v>0.33929999999999999</v>
      </c>
      <c r="AH592" s="311">
        <v>0.3654</v>
      </c>
      <c r="AI592" s="311">
        <v>0.37680000000000002</v>
      </c>
      <c r="AJ592" s="311">
        <v>0.32719999999999999</v>
      </c>
      <c r="AK592" s="311">
        <v>0.35020000000000001</v>
      </c>
      <c r="AL592" s="311">
        <v>0.35639999999999999</v>
      </c>
      <c r="AM592" s="311">
        <v>0.46079999999999999</v>
      </c>
      <c r="AN592" s="311">
        <v>0.41870000000000002</v>
      </c>
      <c r="AO592" s="311">
        <v>0.41189999999999999</v>
      </c>
      <c r="AP592" s="311">
        <v>0.4627</v>
      </c>
      <c r="AQ592" s="311">
        <v>0.34100000000000003</v>
      </c>
      <c r="AR592" s="311">
        <v>0.41739999999999999</v>
      </c>
      <c r="AS592" s="311">
        <v>0.30299999999999999</v>
      </c>
      <c r="AT592" s="311">
        <v>0.41099999999999998</v>
      </c>
      <c r="AU592" s="311">
        <v>0.44850000000000001</v>
      </c>
      <c r="AV592" s="311">
        <v>0.43430000000000002</v>
      </c>
      <c r="AW592" s="311">
        <v>0.37630000000000002</v>
      </c>
      <c r="AX592" s="311">
        <v>0.31840000000000002</v>
      </c>
      <c r="AY592" s="311">
        <v>0.37390000000000001</v>
      </c>
      <c r="AZ592" s="311">
        <v>0.40039999999999998</v>
      </c>
      <c r="BA592" s="311">
        <v>0.33579999999999999</v>
      </c>
      <c r="BB592" s="311">
        <v>0.31309999999999999</v>
      </c>
      <c r="BC592" s="311">
        <v>0.4123</v>
      </c>
      <c r="BD592" s="311">
        <v>0.45910000000000001</v>
      </c>
      <c r="BE592" s="311">
        <v>0.48270000000000002</v>
      </c>
      <c r="BF592" s="311">
        <v>0.39019999999999999</v>
      </c>
      <c r="BG592" s="311">
        <v>0.41949999999999998</v>
      </c>
      <c r="BH592" s="311">
        <v>0.43530000000000002</v>
      </c>
      <c r="BI592" s="311">
        <v>0.46189999999999998</v>
      </c>
      <c r="BJ592" s="311">
        <v>0.3992</v>
      </c>
      <c r="BK592" s="311">
        <v>0.41820000000000002</v>
      </c>
    </row>
    <row r="593" spans="1:63" x14ac:dyDescent="0.25">
      <c r="A593" s="306">
        <v>332320</v>
      </c>
      <c r="B593" s="311" t="s">
        <v>167</v>
      </c>
      <c r="C593" s="311">
        <v>0.54920000000000002</v>
      </c>
      <c r="D593" s="311">
        <v>0.3201</v>
      </c>
      <c r="E593" s="311">
        <v>0.43690000000000001</v>
      </c>
      <c r="F593" s="311">
        <v>0.40400000000000003</v>
      </c>
      <c r="G593" s="311">
        <v>0.40339999999999998</v>
      </c>
      <c r="H593" s="311">
        <v>0.44800000000000001</v>
      </c>
      <c r="I593" s="311">
        <v>0.43230000000000002</v>
      </c>
      <c r="J593" s="311">
        <v>0.42180000000000001</v>
      </c>
      <c r="K593" s="311">
        <v>6.2199999999999998E-2</v>
      </c>
      <c r="L593" s="311">
        <v>0.31769999999999998</v>
      </c>
      <c r="M593" s="311">
        <v>0.39560000000000001</v>
      </c>
      <c r="N593" s="311">
        <v>0.42770000000000002</v>
      </c>
      <c r="O593" s="311">
        <v>0.34789999999999999</v>
      </c>
      <c r="P593" s="311">
        <v>0.37059999999999998</v>
      </c>
      <c r="Q593" s="311">
        <v>0.34260000000000002</v>
      </c>
      <c r="R593" s="311">
        <v>0.48199999999999998</v>
      </c>
      <c r="S593" s="311">
        <v>0.43890000000000001</v>
      </c>
      <c r="T593" s="311">
        <v>0.35110000000000002</v>
      </c>
      <c r="U593" s="311">
        <v>0.42209999999999998</v>
      </c>
      <c r="V593" s="311">
        <v>0.39939999999999998</v>
      </c>
      <c r="W593" s="311">
        <v>0.4017</v>
      </c>
      <c r="X593" s="311">
        <v>0.38150000000000001</v>
      </c>
      <c r="Y593" s="311">
        <v>0.34860000000000002</v>
      </c>
      <c r="Z593" s="311">
        <v>0.4768</v>
      </c>
      <c r="AA593" s="311">
        <v>0.4123</v>
      </c>
      <c r="AB593" s="311">
        <v>0.40339999999999998</v>
      </c>
      <c r="AC593" s="311">
        <v>0.37569999999999998</v>
      </c>
      <c r="AD593" s="311">
        <v>0.33629999999999999</v>
      </c>
      <c r="AE593" s="311">
        <v>0.4113</v>
      </c>
      <c r="AF593" s="311">
        <v>0.29210000000000003</v>
      </c>
      <c r="AG593" s="311">
        <v>0.34860000000000002</v>
      </c>
      <c r="AH593" s="311">
        <v>0.39360000000000001</v>
      </c>
      <c r="AI593" s="311">
        <v>0.40150000000000002</v>
      </c>
      <c r="AJ593" s="311">
        <v>0.34260000000000002</v>
      </c>
      <c r="AK593" s="311">
        <v>0.37209999999999999</v>
      </c>
      <c r="AL593" s="311">
        <v>0.38250000000000001</v>
      </c>
      <c r="AM593" s="311">
        <v>0.4829</v>
      </c>
      <c r="AN593" s="311">
        <v>0.42709999999999998</v>
      </c>
      <c r="AO593" s="311">
        <v>0.42780000000000001</v>
      </c>
      <c r="AP593" s="311">
        <v>0.48209999999999997</v>
      </c>
      <c r="AQ593" s="311">
        <v>0.36580000000000001</v>
      </c>
      <c r="AR593" s="311">
        <v>0.43240000000000001</v>
      </c>
      <c r="AS593" s="311">
        <v>0.33229999999999998</v>
      </c>
      <c r="AT593" s="311">
        <v>0.4375</v>
      </c>
      <c r="AU593" s="311">
        <v>0.46739999999999998</v>
      </c>
      <c r="AV593" s="311">
        <v>0.44400000000000001</v>
      </c>
      <c r="AW593" s="311">
        <v>0.3977</v>
      </c>
      <c r="AX593" s="311">
        <v>0.33539999999999998</v>
      </c>
      <c r="AY593" s="311">
        <v>0.40250000000000002</v>
      </c>
      <c r="AZ593" s="311">
        <v>0.42280000000000001</v>
      </c>
      <c r="BA593" s="311">
        <v>0.35160000000000002</v>
      </c>
      <c r="BB593" s="311">
        <v>0.3306</v>
      </c>
      <c r="BC593" s="311">
        <v>0.44219999999999998</v>
      </c>
      <c r="BD593" s="311">
        <v>0.4798</v>
      </c>
      <c r="BE593" s="311">
        <v>0.50429999999999997</v>
      </c>
      <c r="BF593" s="311">
        <v>0.41980000000000001</v>
      </c>
      <c r="BG593" s="311">
        <v>0.44409999999999999</v>
      </c>
      <c r="BH593" s="311">
        <v>0.46010000000000001</v>
      </c>
      <c r="BI593" s="311">
        <v>0.47939999999999999</v>
      </c>
      <c r="BJ593" s="311">
        <v>0.41689999999999999</v>
      </c>
      <c r="BK593" s="311">
        <v>0.45069999999999999</v>
      </c>
    </row>
    <row r="594" spans="1:63" x14ac:dyDescent="0.25">
      <c r="A594" s="306">
        <v>332410</v>
      </c>
      <c r="B594" s="311" t="s">
        <v>168</v>
      </c>
      <c r="C594" s="311">
        <v>0.5363</v>
      </c>
      <c r="D594" s="311">
        <v>0</v>
      </c>
      <c r="E594" s="311">
        <v>0.43480000000000002</v>
      </c>
      <c r="F594" s="311">
        <v>0</v>
      </c>
      <c r="G594" s="311">
        <v>0</v>
      </c>
      <c r="H594" s="311">
        <v>0.4274</v>
      </c>
      <c r="I594" s="311">
        <v>0.41770000000000002</v>
      </c>
      <c r="J594" s="311">
        <v>0.41909999999999997</v>
      </c>
      <c r="K594" s="311">
        <v>0</v>
      </c>
      <c r="L594" s="311">
        <v>0.31180000000000002</v>
      </c>
      <c r="M594" s="311">
        <v>0.38080000000000003</v>
      </c>
      <c r="N594" s="311">
        <v>0.40839999999999999</v>
      </c>
      <c r="O594" s="311">
        <v>0</v>
      </c>
      <c r="P594" s="311">
        <v>0.36170000000000002</v>
      </c>
      <c r="Q594" s="311">
        <v>0</v>
      </c>
      <c r="R594" s="311">
        <v>0.46910000000000002</v>
      </c>
      <c r="S594" s="311">
        <v>0.43390000000000001</v>
      </c>
      <c r="T594" s="311">
        <v>0.35</v>
      </c>
      <c r="U594" s="311">
        <v>0.40539999999999998</v>
      </c>
      <c r="V594" s="311">
        <v>0.40899999999999997</v>
      </c>
      <c r="W594" s="311">
        <v>0.39739999999999998</v>
      </c>
      <c r="X594" s="311">
        <v>0</v>
      </c>
      <c r="Y594" s="311">
        <v>0</v>
      </c>
      <c r="Z594" s="311">
        <v>0.4672</v>
      </c>
      <c r="AA594" s="311">
        <v>0.40820000000000001</v>
      </c>
      <c r="AB594" s="311">
        <v>0.39489999999999997</v>
      </c>
      <c r="AC594" s="311">
        <v>0.37390000000000001</v>
      </c>
      <c r="AD594" s="311">
        <v>0</v>
      </c>
      <c r="AE594" s="311">
        <v>0.40589999999999998</v>
      </c>
      <c r="AF594" s="311">
        <v>0</v>
      </c>
      <c r="AG594" s="311">
        <v>0</v>
      </c>
      <c r="AH594" s="311">
        <v>0.38550000000000001</v>
      </c>
      <c r="AI594" s="311">
        <v>0.39040000000000002</v>
      </c>
      <c r="AJ594" s="311">
        <v>0.34229999999999999</v>
      </c>
      <c r="AK594" s="311">
        <v>0.36349999999999999</v>
      </c>
      <c r="AL594" s="311">
        <v>0.3775</v>
      </c>
      <c r="AM594" s="311">
        <v>0.4768</v>
      </c>
      <c r="AN594" s="311">
        <v>0.4279</v>
      </c>
      <c r="AO594" s="311">
        <v>0.4178</v>
      </c>
      <c r="AP594" s="311">
        <v>0.4768</v>
      </c>
      <c r="AQ594" s="311">
        <v>0.36099999999999999</v>
      </c>
      <c r="AR594" s="311">
        <v>0.43020000000000003</v>
      </c>
      <c r="AS594" s="311">
        <v>0.33129999999999998</v>
      </c>
      <c r="AT594" s="311">
        <v>0.42970000000000003</v>
      </c>
      <c r="AU594" s="311">
        <v>0.4627</v>
      </c>
      <c r="AV594" s="311">
        <v>0</v>
      </c>
      <c r="AW594" s="311">
        <v>0.38990000000000002</v>
      </c>
      <c r="AX594" s="311">
        <v>0</v>
      </c>
      <c r="AY594" s="311">
        <v>0.38629999999999998</v>
      </c>
      <c r="AZ594" s="311">
        <v>0.42880000000000001</v>
      </c>
      <c r="BA594" s="311">
        <v>0.33750000000000002</v>
      </c>
      <c r="BB594" s="311">
        <v>0</v>
      </c>
      <c r="BC594" s="311">
        <v>0.43709999999999999</v>
      </c>
      <c r="BD594" s="311">
        <v>0.46739999999999998</v>
      </c>
      <c r="BE594" s="311">
        <v>0.49609999999999999</v>
      </c>
      <c r="BF594" s="311">
        <v>0.41039999999999999</v>
      </c>
      <c r="BG594" s="311">
        <v>0.42470000000000002</v>
      </c>
      <c r="BH594" s="311">
        <v>0.4516</v>
      </c>
      <c r="BI594" s="311">
        <v>0.47260000000000002</v>
      </c>
      <c r="BJ594" s="311">
        <v>0.40570000000000001</v>
      </c>
      <c r="BK594" s="311">
        <v>0.42949999999999999</v>
      </c>
    </row>
    <row r="595" spans="1:63" x14ac:dyDescent="0.25">
      <c r="A595" s="306">
        <v>332420</v>
      </c>
      <c r="B595" s="311" t="s">
        <v>169</v>
      </c>
      <c r="C595" s="311">
        <v>0.55059999999999998</v>
      </c>
      <c r="D595" s="311">
        <v>0</v>
      </c>
      <c r="E595" s="311">
        <v>0.4491</v>
      </c>
      <c r="F595" s="311">
        <v>0.41560000000000002</v>
      </c>
      <c r="G595" s="311">
        <v>0.39939999999999998</v>
      </c>
      <c r="H595" s="311">
        <v>0.43540000000000001</v>
      </c>
      <c r="I595" s="311">
        <v>0.4405</v>
      </c>
      <c r="J595" s="311">
        <v>0.41799999999999998</v>
      </c>
      <c r="K595" s="311">
        <v>0</v>
      </c>
      <c r="L595" s="311">
        <v>0.3402</v>
      </c>
      <c r="M595" s="311">
        <v>0.39550000000000002</v>
      </c>
      <c r="N595" s="311">
        <v>0.41260000000000002</v>
      </c>
      <c r="O595" s="311">
        <v>0</v>
      </c>
      <c r="P595" s="311">
        <v>0.36480000000000001</v>
      </c>
      <c r="Q595" s="311">
        <v>0.34570000000000001</v>
      </c>
      <c r="R595" s="311">
        <v>0.4854</v>
      </c>
      <c r="S595" s="311">
        <v>0.44690000000000002</v>
      </c>
      <c r="T595" s="311">
        <v>0.35149999999999998</v>
      </c>
      <c r="U595" s="311">
        <v>0.41189999999999999</v>
      </c>
      <c r="V595" s="311">
        <v>0.42649999999999999</v>
      </c>
      <c r="W595" s="311">
        <v>0.39600000000000002</v>
      </c>
      <c r="X595" s="311">
        <v>0.38979999999999998</v>
      </c>
      <c r="Y595" s="311">
        <v>0.3493</v>
      </c>
      <c r="Z595" s="311">
        <v>0.48570000000000002</v>
      </c>
      <c r="AA595" s="311">
        <v>0.41470000000000001</v>
      </c>
      <c r="AB595" s="311">
        <v>0.40010000000000001</v>
      </c>
      <c r="AC595" s="311">
        <v>0.38490000000000002</v>
      </c>
      <c r="AD595" s="311">
        <v>0</v>
      </c>
      <c r="AE595" s="311">
        <v>0.41339999999999999</v>
      </c>
      <c r="AF595" s="311">
        <v>0.29959999999999998</v>
      </c>
      <c r="AG595" s="311">
        <v>0.36549999999999999</v>
      </c>
      <c r="AH595" s="311">
        <v>0</v>
      </c>
      <c r="AI595" s="311">
        <v>0.39829999999999999</v>
      </c>
      <c r="AJ595" s="311">
        <v>0.3548</v>
      </c>
      <c r="AK595" s="311">
        <v>0.37390000000000001</v>
      </c>
      <c r="AL595" s="311">
        <v>0.37769999999999998</v>
      </c>
      <c r="AM595" s="311">
        <v>0.48699999999999999</v>
      </c>
      <c r="AN595" s="311">
        <v>0.44529999999999997</v>
      </c>
      <c r="AO595" s="311">
        <v>0.43830000000000002</v>
      </c>
      <c r="AP595" s="311">
        <v>0.48970000000000002</v>
      </c>
      <c r="AQ595" s="311">
        <v>0.36099999999999999</v>
      </c>
      <c r="AR595" s="311">
        <v>0.44400000000000001</v>
      </c>
      <c r="AS595" s="311">
        <v>0.33189999999999997</v>
      </c>
      <c r="AT595" s="311">
        <v>0.43959999999999999</v>
      </c>
      <c r="AU595" s="311">
        <v>0.47739999999999999</v>
      </c>
      <c r="AV595" s="311">
        <v>0.46150000000000002</v>
      </c>
      <c r="AW595" s="311">
        <v>0.39810000000000001</v>
      </c>
      <c r="AX595" s="311">
        <v>0</v>
      </c>
      <c r="AY595" s="311">
        <v>0.39600000000000002</v>
      </c>
      <c r="AZ595" s="311">
        <v>0.43169999999999997</v>
      </c>
      <c r="BA595" s="311">
        <v>0.34620000000000001</v>
      </c>
      <c r="BB595" s="311">
        <v>0.3412</v>
      </c>
      <c r="BC595" s="311">
        <v>0.43309999999999998</v>
      </c>
      <c r="BD595" s="311">
        <v>0.4824</v>
      </c>
      <c r="BE595" s="311">
        <v>0.50870000000000004</v>
      </c>
      <c r="BF595" s="311">
        <v>0.4123</v>
      </c>
      <c r="BG595" s="311">
        <v>0.44030000000000002</v>
      </c>
      <c r="BH595" s="311">
        <v>0.4637</v>
      </c>
      <c r="BI595" s="311">
        <v>0.49130000000000001</v>
      </c>
      <c r="BJ595" s="311">
        <v>0.42130000000000001</v>
      </c>
      <c r="BK595" s="311">
        <v>0.43830000000000002</v>
      </c>
    </row>
    <row r="596" spans="1:63" x14ac:dyDescent="0.25">
      <c r="A596" s="306">
        <v>332430</v>
      </c>
      <c r="B596" s="311" t="s">
        <v>170</v>
      </c>
      <c r="C596" s="311">
        <v>0.42180000000000001</v>
      </c>
      <c r="D596" s="311">
        <v>0</v>
      </c>
      <c r="E596" s="311">
        <v>0.3196</v>
      </c>
      <c r="F596" s="311">
        <v>0.29830000000000001</v>
      </c>
      <c r="G596" s="311">
        <v>0.2702</v>
      </c>
      <c r="H596" s="311">
        <v>0.30470000000000003</v>
      </c>
      <c r="I596" s="311">
        <v>0.2732</v>
      </c>
      <c r="J596" s="311">
        <v>0.27379999999999999</v>
      </c>
      <c r="K596" s="311">
        <v>0</v>
      </c>
      <c r="L596" s="311">
        <v>0.17730000000000001</v>
      </c>
      <c r="M596" s="311">
        <v>0.2467</v>
      </c>
      <c r="N596" s="311">
        <v>0.29709999999999998</v>
      </c>
      <c r="O596" s="311">
        <v>0.184</v>
      </c>
      <c r="P596" s="311">
        <v>0.25490000000000002</v>
      </c>
      <c r="Q596" s="311">
        <v>0.18190000000000001</v>
      </c>
      <c r="R596" s="311">
        <v>0.33450000000000002</v>
      </c>
      <c r="S596" s="311">
        <v>0.33069999999999999</v>
      </c>
      <c r="T596" s="311">
        <v>0.21929999999999999</v>
      </c>
      <c r="U596" s="311">
        <v>0.29949999999999999</v>
      </c>
      <c r="V596" s="311">
        <v>0.24299999999999999</v>
      </c>
      <c r="W596" s="311">
        <v>0.23480000000000001</v>
      </c>
      <c r="X596" s="311">
        <v>0.23749999999999999</v>
      </c>
      <c r="Y596" s="311">
        <v>0.19</v>
      </c>
      <c r="Z596" s="311">
        <v>0.31919999999999998</v>
      </c>
      <c r="AA596" s="311">
        <v>0.2772</v>
      </c>
      <c r="AB596" s="311">
        <v>0.2949</v>
      </c>
      <c r="AC596" s="311">
        <v>0.26590000000000003</v>
      </c>
      <c r="AD596" s="311">
        <v>0</v>
      </c>
      <c r="AE596" s="311">
        <v>0.25879999999999997</v>
      </c>
      <c r="AF596" s="311">
        <v>0.15920000000000001</v>
      </c>
      <c r="AG596" s="311">
        <v>0.19639999999999999</v>
      </c>
      <c r="AH596" s="311">
        <v>0.2359</v>
      </c>
      <c r="AI596" s="311">
        <v>0.25819999999999999</v>
      </c>
      <c r="AJ596" s="311">
        <v>0.1857</v>
      </c>
      <c r="AK596" s="311">
        <v>0.20610000000000001</v>
      </c>
      <c r="AL596" s="311">
        <v>0.2281</v>
      </c>
      <c r="AM596" s="311">
        <v>0.36170000000000002</v>
      </c>
      <c r="AN596" s="311">
        <v>0.28449999999999998</v>
      </c>
      <c r="AO596" s="311">
        <v>0.29120000000000001</v>
      </c>
      <c r="AP596" s="311">
        <v>0.35449999999999998</v>
      </c>
      <c r="AQ596" s="311">
        <v>0.2165</v>
      </c>
      <c r="AR596" s="311">
        <v>0.31309999999999999</v>
      </c>
      <c r="AS596" s="311">
        <v>0.20480000000000001</v>
      </c>
      <c r="AT596" s="311">
        <v>0.30509999999999998</v>
      </c>
      <c r="AU596" s="311">
        <v>0.32700000000000001</v>
      </c>
      <c r="AV596" s="311">
        <v>0.29599999999999999</v>
      </c>
      <c r="AW596" s="311">
        <v>0.2651</v>
      </c>
      <c r="AX596" s="311">
        <v>0.19089999999999999</v>
      </c>
      <c r="AY596" s="311">
        <v>0.27200000000000002</v>
      </c>
      <c r="AZ596" s="311">
        <v>0.28589999999999999</v>
      </c>
      <c r="BA596" s="311">
        <v>0.24729999999999999</v>
      </c>
      <c r="BB596" s="311">
        <v>0.189</v>
      </c>
      <c r="BC596" s="311">
        <v>0.26879999999999998</v>
      </c>
      <c r="BD596" s="311">
        <v>0.3291</v>
      </c>
      <c r="BE596" s="311">
        <v>0.37959999999999999</v>
      </c>
      <c r="BF596" s="311">
        <v>0.30609999999999998</v>
      </c>
      <c r="BG596" s="311">
        <v>0.30309999999999998</v>
      </c>
      <c r="BH596" s="311">
        <v>0.33779999999999999</v>
      </c>
      <c r="BI596" s="311">
        <v>0.34699999999999998</v>
      </c>
      <c r="BJ596" s="311">
        <v>0.27060000000000001</v>
      </c>
      <c r="BK596" s="311">
        <v>0.30769999999999997</v>
      </c>
    </row>
    <row r="597" spans="1:63" x14ac:dyDescent="0.25">
      <c r="A597" s="306">
        <v>332500</v>
      </c>
      <c r="B597" s="311" t="s">
        <v>173</v>
      </c>
      <c r="C597" s="311">
        <v>0.47560000000000002</v>
      </c>
      <c r="D597" s="311">
        <v>0</v>
      </c>
      <c r="E597" s="311">
        <v>0.3785</v>
      </c>
      <c r="F597" s="311">
        <v>0.35270000000000001</v>
      </c>
      <c r="G597" s="311">
        <v>0.3412</v>
      </c>
      <c r="H597" s="311">
        <v>0.38490000000000002</v>
      </c>
      <c r="I597" s="311">
        <v>0.3654</v>
      </c>
      <c r="J597" s="311">
        <v>0.37719999999999998</v>
      </c>
      <c r="K597" s="311">
        <v>0</v>
      </c>
      <c r="L597" s="311">
        <v>0.27239999999999998</v>
      </c>
      <c r="M597" s="311">
        <v>0.32900000000000001</v>
      </c>
      <c r="N597" s="311">
        <v>0.35830000000000001</v>
      </c>
      <c r="O597" s="311">
        <v>0.2984</v>
      </c>
      <c r="P597" s="311">
        <v>0.32900000000000001</v>
      </c>
      <c r="Q597" s="311">
        <v>0.29680000000000001</v>
      </c>
      <c r="R597" s="311">
        <v>0.42709999999999998</v>
      </c>
      <c r="S597" s="311">
        <v>0.3841</v>
      </c>
      <c r="T597" s="311">
        <v>0.29509999999999997</v>
      </c>
      <c r="U597" s="311">
        <v>0.36559999999999998</v>
      </c>
      <c r="V597" s="311">
        <v>0.3281</v>
      </c>
      <c r="W597" s="311">
        <v>0.3543</v>
      </c>
      <c r="X597" s="311">
        <v>0.31319999999999998</v>
      </c>
      <c r="Y597" s="311">
        <v>0.29449999999999998</v>
      </c>
      <c r="Z597" s="311">
        <v>0.4143</v>
      </c>
      <c r="AA597" s="311">
        <v>0.37240000000000001</v>
      </c>
      <c r="AB597" s="311">
        <v>0.3473</v>
      </c>
      <c r="AC597" s="311">
        <v>0.32169999999999999</v>
      </c>
      <c r="AD597" s="311">
        <v>0.28939999999999999</v>
      </c>
      <c r="AE597" s="311">
        <v>0.35970000000000002</v>
      </c>
      <c r="AF597" s="311">
        <v>0</v>
      </c>
      <c r="AG597" s="311">
        <v>0.30080000000000001</v>
      </c>
      <c r="AH597" s="311">
        <v>0.34749999999999998</v>
      </c>
      <c r="AI597" s="311">
        <v>0.34539999999999998</v>
      </c>
      <c r="AJ597" s="311">
        <v>0</v>
      </c>
      <c r="AK597" s="311">
        <v>0.316</v>
      </c>
      <c r="AL597" s="311">
        <v>0.33</v>
      </c>
      <c r="AM597" s="311">
        <v>0.41749999999999998</v>
      </c>
      <c r="AN597" s="311">
        <v>0.35460000000000003</v>
      </c>
      <c r="AO597" s="311">
        <v>0.35099999999999998</v>
      </c>
      <c r="AP597" s="311">
        <v>0.4173</v>
      </c>
      <c r="AQ597" s="311">
        <v>0.33739999999999998</v>
      </c>
      <c r="AR597" s="311">
        <v>0.36699999999999999</v>
      </c>
      <c r="AS597" s="311">
        <v>0.28910000000000002</v>
      </c>
      <c r="AT597" s="311">
        <v>0.38080000000000003</v>
      </c>
      <c r="AU597" s="311">
        <v>0.38340000000000002</v>
      </c>
      <c r="AV597" s="311">
        <v>0.36649999999999999</v>
      </c>
      <c r="AW597" s="311">
        <v>0.3367</v>
      </c>
      <c r="AX597" s="311">
        <v>0</v>
      </c>
      <c r="AY597" s="311">
        <v>0.33179999999999998</v>
      </c>
      <c r="AZ597" s="311">
        <v>0.38540000000000002</v>
      </c>
      <c r="BA597" s="311">
        <v>0.29360000000000003</v>
      </c>
      <c r="BB597" s="311">
        <v>0</v>
      </c>
      <c r="BC597" s="311">
        <v>0.39910000000000001</v>
      </c>
      <c r="BD597" s="311">
        <v>0.40679999999999999</v>
      </c>
      <c r="BE597" s="311">
        <v>0.43680000000000002</v>
      </c>
      <c r="BF597" s="311">
        <v>0.36969999999999997</v>
      </c>
      <c r="BG597" s="311">
        <v>0.37430000000000002</v>
      </c>
      <c r="BH597" s="311">
        <v>0.39479999999999998</v>
      </c>
      <c r="BI597" s="311">
        <v>0.39179999999999998</v>
      </c>
      <c r="BJ597" s="311">
        <v>0.35120000000000001</v>
      </c>
      <c r="BK597" s="311">
        <v>0.38429999999999997</v>
      </c>
    </row>
    <row r="598" spans="1:63" x14ac:dyDescent="0.25">
      <c r="A598" s="306">
        <v>332600</v>
      </c>
      <c r="B598" s="311" t="s">
        <v>174</v>
      </c>
      <c r="C598" s="311">
        <v>0.50429999999999997</v>
      </c>
      <c r="D598" s="311">
        <v>0</v>
      </c>
      <c r="E598" s="311">
        <v>0.41420000000000001</v>
      </c>
      <c r="F598" s="311">
        <v>0.38600000000000001</v>
      </c>
      <c r="G598" s="311">
        <v>0.36720000000000003</v>
      </c>
      <c r="H598" s="311">
        <v>0.4</v>
      </c>
      <c r="I598" s="311">
        <v>0.39700000000000002</v>
      </c>
      <c r="J598" s="311">
        <v>0.39800000000000002</v>
      </c>
      <c r="K598" s="311">
        <v>0</v>
      </c>
      <c r="L598" s="311">
        <v>0.29780000000000001</v>
      </c>
      <c r="M598" s="311">
        <v>0.36020000000000002</v>
      </c>
      <c r="N598" s="311">
        <v>0.37559999999999999</v>
      </c>
      <c r="O598" s="311">
        <v>0</v>
      </c>
      <c r="P598" s="311">
        <v>0.34489999999999998</v>
      </c>
      <c r="Q598" s="311">
        <v>0.31590000000000001</v>
      </c>
      <c r="R598" s="311">
        <v>0.45579999999999998</v>
      </c>
      <c r="S598" s="311">
        <v>0.41120000000000001</v>
      </c>
      <c r="T598" s="311">
        <v>0.32679999999999998</v>
      </c>
      <c r="U598" s="311">
        <v>0.39429999999999998</v>
      </c>
      <c r="V598" s="311">
        <v>0.3745</v>
      </c>
      <c r="W598" s="311">
        <v>0.36880000000000002</v>
      </c>
      <c r="X598" s="311">
        <v>0.37280000000000002</v>
      </c>
      <c r="Y598" s="311">
        <v>0.33150000000000002</v>
      </c>
      <c r="Z598" s="311">
        <v>0.44340000000000002</v>
      </c>
      <c r="AA598" s="311">
        <v>0.38479999999999998</v>
      </c>
      <c r="AB598" s="311">
        <v>0.37530000000000002</v>
      </c>
      <c r="AC598" s="311">
        <v>0.36309999999999998</v>
      </c>
      <c r="AD598" s="311">
        <v>0</v>
      </c>
      <c r="AE598" s="311">
        <v>0.38500000000000001</v>
      </c>
      <c r="AF598" s="311">
        <v>0.27600000000000002</v>
      </c>
      <c r="AG598" s="311">
        <v>0.33189999999999997</v>
      </c>
      <c r="AH598" s="311">
        <v>0.3609</v>
      </c>
      <c r="AI598" s="311">
        <v>0.37919999999999998</v>
      </c>
      <c r="AJ598" s="311">
        <v>0.32169999999999999</v>
      </c>
      <c r="AK598" s="311">
        <v>0.34179999999999999</v>
      </c>
      <c r="AL598" s="311">
        <v>0.3493</v>
      </c>
      <c r="AM598" s="311">
        <v>0.4451</v>
      </c>
      <c r="AN598" s="311">
        <v>0.41239999999999999</v>
      </c>
      <c r="AO598" s="311">
        <v>0.39400000000000002</v>
      </c>
      <c r="AP598" s="311">
        <v>0.44900000000000001</v>
      </c>
      <c r="AQ598" s="311">
        <v>0.35199999999999998</v>
      </c>
      <c r="AR598" s="311">
        <v>0.41070000000000001</v>
      </c>
      <c r="AS598" s="311">
        <v>0.30530000000000002</v>
      </c>
      <c r="AT598" s="311">
        <v>0.4032</v>
      </c>
      <c r="AU598" s="311">
        <v>0.4355</v>
      </c>
      <c r="AV598" s="311">
        <v>0.40679999999999999</v>
      </c>
      <c r="AW598" s="311">
        <v>0.35389999999999999</v>
      </c>
      <c r="AX598" s="311">
        <v>0.30959999999999999</v>
      </c>
      <c r="AY598" s="311">
        <v>0.36270000000000002</v>
      </c>
      <c r="AZ598" s="311">
        <v>0.39950000000000002</v>
      </c>
      <c r="BA598" s="311">
        <v>0.32569999999999999</v>
      </c>
      <c r="BB598" s="311">
        <v>0</v>
      </c>
      <c r="BC598" s="311">
        <v>0.41570000000000001</v>
      </c>
      <c r="BD598" s="311">
        <v>0.4456</v>
      </c>
      <c r="BE598" s="311">
        <v>0.46429999999999999</v>
      </c>
      <c r="BF598" s="311">
        <v>0.3881</v>
      </c>
      <c r="BG598" s="311">
        <v>0.40329999999999999</v>
      </c>
      <c r="BH598" s="311">
        <v>0.42599999999999999</v>
      </c>
      <c r="BI598" s="311">
        <v>0.4486</v>
      </c>
      <c r="BJ598" s="311">
        <v>0.3805</v>
      </c>
      <c r="BK598" s="311">
        <v>0.40139999999999998</v>
      </c>
    </row>
    <row r="599" spans="1:63" x14ac:dyDescent="0.25">
      <c r="A599" s="306">
        <v>332710</v>
      </c>
      <c r="B599" s="311" t="s">
        <v>175</v>
      </c>
      <c r="C599" s="311">
        <v>0.624</v>
      </c>
      <c r="D599" s="311">
        <v>0.434</v>
      </c>
      <c r="E599" s="311">
        <v>0.51839999999999997</v>
      </c>
      <c r="F599" s="311">
        <v>0.48559999999999998</v>
      </c>
      <c r="G599" s="311">
        <v>0.51270000000000004</v>
      </c>
      <c r="H599" s="311">
        <v>0.54669999999999996</v>
      </c>
      <c r="I599" s="311">
        <v>0.53439999999999999</v>
      </c>
      <c r="J599" s="311">
        <v>0.52270000000000005</v>
      </c>
      <c r="K599" s="311">
        <v>0</v>
      </c>
      <c r="L599" s="311">
        <v>0.39229999999999998</v>
      </c>
      <c r="M599" s="311">
        <v>0.49590000000000001</v>
      </c>
      <c r="N599" s="311">
        <v>0.51080000000000003</v>
      </c>
      <c r="O599" s="311">
        <v>0.4612</v>
      </c>
      <c r="P599" s="311">
        <v>0.46629999999999999</v>
      </c>
      <c r="Q599" s="311">
        <v>0.44879999999999998</v>
      </c>
      <c r="R599" s="311">
        <v>0.56999999999999995</v>
      </c>
      <c r="S599" s="311">
        <v>0.51680000000000004</v>
      </c>
      <c r="T599" s="311">
        <v>0.44600000000000001</v>
      </c>
      <c r="U599" s="311">
        <v>0.48909999999999998</v>
      </c>
      <c r="V599" s="311">
        <v>0.49830000000000002</v>
      </c>
      <c r="W599" s="311">
        <v>0.50339999999999996</v>
      </c>
      <c r="X599" s="311">
        <v>0.46250000000000002</v>
      </c>
      <c r="Y599" s="311">
        <v>0.45789999999999997</v>
      </c>
      <c r="Z599" s="311">
        <v>0.56120000000000003</v>
      </c>
      <c r="AA599" s="311">
        <v>0.51200000000000001</v>
      </c>
      <c r="AB599" s="311">
        <v>0.49909999999999999</v>
      </c>
      <c r="AC599" s="311">
        <v>0.44900000000000001</v>
      </c>
      <c r="AD599" s="311">
        <v>0.45490000000000003</v>
      </c>
      <c r="AE599" s="311">
        <v>0.51080000000000003</v>
      </c>
      <c r="AF599" s="311">
        <v>0.38769999999999999</v>
      </c>
      <c r="AG599" s="311">
        <v>0.45700000000000002</v>
      </c>
      <c r="AH599" s="311">
        <v>0.49509999999999998</v>
      </c>
      <c r="AI599" s="311">
        <v>0.49130000000000001</v>
      </c>
      <c r="AJ599" s="311">
        <v>0.45479999999999998</v>
      </c>
      <c r="AK599" s="311">
        <v>0.48280000000000001</v>
      </c>
      <c r="AL599" s="311">
        <v>0.48420000000000002</v>
      </c>
      <c r="AM599" s="311">
        <v>0.55940000000000001</v>
      </c>
      <c r="AN599" s="311">
        <v>0.51690000000000003</v>
      </c>
      <c r="AO599" s="311">
        <v>0.5161</v>
      </c>
      <c r="AP599" s="311">
        <v>0.56189999999999996</v>
      </c>
      <c r="AQ599" s="311">
        <v>0.47020000000000001</v>
      </c>
      <c r="AR599" s="311">
        <v>0.51170000000000004</v>
      </c>
      <c r="AS599" s="311">
        <v>0.43830000000000002</v>
      </c>
      <c r="AT599" s="311">
        <v>0.51459999999999995</v>
      </c>
      <c r="AU599" s="311">
        <v>0.54979999999999996</v>
      </c>
      <c r="AV599" s="311">
        <v>0.5454</v>
      </c>
      <c r="AW599" s="311">
        <v>0.50060000000000004</v>
      </c>
      <c r="AX599" s="311">
        <v>0.44319999999999998</v>
      </c>
      <c r="AY599" s="311">
        <v>0.50180000000000002</v>
      </c>
      <c r="AZ599" s="311">
        <v>0.53359999999999996</v>
      </c>
      <c r="BA599" s="311">
        <v>0.42759999999999998</v>
      </c>
      <c r="BB599" s="311">
        <v>0.45379999999999998</v>
      </c>
      <c r="BC599" s="311">
        <v>0.54969999999999997</v>
      </c>
      <c r="BD599" s="311">
        <v>0.55859999999999999</v>
      </c>
      <c r="BE599" s="311">
        <v>0.58140000000000003</v>
      </c>
      <c r="BF599" s="311">
        <v>0.52029999999999998</v>
      </c>
      <c r="BG599" s="311">
        <v>0.53280000000000005</v>
      </c>
      <c r="BH599" s="311">
        <v>0.53129999999999999</v>
      </c>
      <c r="BI599" s="311">
        <v>0.55489999999999995</v>
      </c>
      <c r="BJ599" s="311">
        <v>0.52690000000000003</v>
      </c>
      <c r="BK599" s="311">
        <v>0.54920000000000002</v>
      </c>
    </row>
    <row r="600" spans="1:63" x14ac:dyDescent="0.25">
      <c r="A600" s="306">
        <v>332720</v>
      </c>
      <c r="B600" s="311" t="s">
        <v>176</v>
      </c>
      <c r="C600" s="311">
        <v>0.55220000000000002</v>
      </c>
      <c r="D600" s="311">
        <v>0</v>
      </c>
      <c r="E600" s="311">
        <v>0.45440000000000003</v>
      </c>
      <c r="F600" s="311">
        <v>0.42620000000000002</v>
      </c>
      <c r="G600" s="311">
        <v>0.42530000000000001</v>
      </c>
      <c r="H600" s="311">
        <v>0.46210000000000001</v>
      </c>
      <c r="I600" s="311">
        <v>0.45250000000000001</v>
      </c>
      <c r="J600" s="311">
        <v>0.45760000000000001</v>
      </c>
      <c r="K600" s="311">
        <v>0</v>
      </c>
      <c r="L600" s="311">
        <v>0.33079999999999998</v>
      </c>
      <c r="M600" s="311">
        <v>0.4123</v>
      </c>
      <c r="N600" s="311">
        <v>0.42759999999999998</v>
      </c>
      <c r="O600" s="311">
        <v>0</v>
      </c>
      <c r="P600" s="311">
        <v>0.40389999999999998</v>
      </c>
      <c r="Q600" s="311">
        <v>0.37359999999999999</v>
      </c>
      <c r="R600" s="311">
        <v>0.50370000000000004</v>
      </c>
      <c r="S600" s="311">
        <v>0.46029999999999999</v>
      </c>
      <c r="T600" s="311">
        <v>0.37340000000000001</v>
      </c>
      <c r="U600" s="311">
        <v>0.43830000000000002</v>
      </c>
      <c r="V600" s="311">
        <v>0.41470000000000001</v>
      </c>
      <c r="W600" s="311">
        <v>0.42830000000000001</v>
      </c>
      <c r="X600" s="311">
        <v>0.39750000000000002</v>
      </c>
      <c r="Y600" s="311">
        <v>0.38069999999999998</v>
      </c>
      <c r="Z600" s="311">
        <v>0.496</v>
      </c>
      <c r="AA600" s="311">
        <v>0.4415</v>
      </c>
      <c r="AB600" s="311">
        <v>0.42409999999999998</v>
      </c>
      <c r="AC600" s="311">
        <v>0.39410000000000001</v>
      </c>
      <c r="AD600" s="311">
        <v>0.37490000000000001</v>
      </c>
      <c r="AE600" s="311">
        <v>0.43890000000000001</v>
      </c>
      <c r="AF600" s="311">
        <v>0</v>
      </c>
      <c r="AG600" s="311">
        <v>0.3871</v>
      </c>
      <c r="AH600" s="311">
        <v>0.41909999999999997</v>
      </c>
      <c r="AI600" s="311">
        <v>0.41710000000000003</v>
      </c>
      <c r="AJ600" s="311">
        <v>0.37559999999999999</v>
      </c>
      <c r="AK600" s="311">
        <v>0.40089999999999998</v>
      </c>
      <c r="AL600" s="311">
        <v>0.4083</v>
      </c>
      <c r="AM600" s="311">
        <v>0.49509999999999998</v>
      </c>
      <c r="AN600" s="311">
        <v>0.44900000000000001</v>
      </c>
      <c r="AO600" s="311">
        <v>0.43780000000000002</v>
      </c>
      <c r="AP600" s="311">
        <v>0.4975</v>
      </c>
      <c r="AQ600" s="311">
        <v>0.40770000000000001</v>
      </c>
      <c r="AR600" s="311">
        <v>0.44979999999999998</v>
      </c>
      <c r="AS600" s="311">
        <v>0.36480000000000001</v>
      </c>
      <c r="AT600" s="311">
        <v>0.45040000000000002</v>
      </c>
      <c r="AU600" s="311">
        <v>0.46750000000000003</v>
      </c>
      <c r="AV600" s="311">
        <v>0.46400000000000002</v>
      </c>
      <c r="AW600" s="311">
        <v>0.41070000000000001</v>
      </c>
      <c r="AX600" s="311">
        <v>0.36980000000000002</v>
      </c>
      <c r="AY600" s="311">
        <v>0.41789999999999999</v>
      </c>
      <c r="AZ600" s="311">
        <v>0.46050000000000002</v>
      </c>
      <c r="BA600" s="311">
        <v>0.36009999999999998</v>
      </c>
      <c r="BB600" s="311">
        <v>0</v>
      </c>
      <c r="BC600" s="311">
        <v>0.47670000000000001</v>
      </c>
      <c r="BD600" s="311">
        <v>0.49159999999999998</v>
      </c>
      <c r="BE600" s="311">
        <v>0.51480000000000004</v>
      </c>
      <c r="BF600" s="311">
        <v>0.44340000000000002</v>
      </c>
      <c r="BG600" s="311">
        <v>0.4506</v>
      </c>
      <c r="BH600" s="311">
        <v>0.47110000000000002</v>
      </c>
      <c r="BI600" s="311">
        <v>0.47739999999999999</v>
      </c>
      <c r="BJ600" s="311">
        <v>0.438</v>
      </c>
      <c r="BK600" s="311">
        <v>0.46289999999999998</v>
      </c>
    </row>
    <row r="601" spans="1:63" x14ac:dyDescent="0.25">
      <c r="A601" s="306">
        <v>332800</v>
      </c>
      <c r="B601" s="311" t="s">
        <v>177</v>
      </c>
      <c r="C601" s="311">
        <v>0.52559999999999996</v>
      </c>
      <c r="D601" s="311">
        <v>0.32869999999999999</v>
      </c>
      <c r="E601" s="311">
        <v>0.41839999999999999</v>
      </c>
      <c r="F601" s="311">
        <v>0.3871</v>
      </c>
      <c r="G601" s="311">
        <v>0.38390000000000002</v>
      </c>
      <c r="H601" s="311">
        <v>0.42480000000000001</v>
      </c>
      <c r="I601" s="311">
        <v>0.42249999999999999</v>
      </c>
      <c r="J601" s="311">
        <v>0.41270000000000001</v>
      </c>
      <c r="K601" s="311">
        <v>0</v>
      </c>
      <c r="L601" s="311">
        <v>0.31840000000000002</v>
      </c>
      <c r="M601" s="311">
        <v>0.37809999999999999</v>
      </c>
      <c r="N601" s="311">
        <v>0.40670000000000001</v>
      </c>
      <c r="O601" s="311">
        <v>0.35049999999999998</v>
      </c>
      <c r="P601" s="311">
        <v>0.35099999999999998</v>
      </c>
      <c r="Q601" s="311">
        <v>0.33829999999999999</v>
      </c>
      <c r="R601" s="311">
        <v>0.46750000000000003</v>
      </c>
      <c r="S601" s="311">
        <v>0.42159999999999997</v>
      </c>
      <c r="T601" s="311">
        <v>0.3478</v>
      </c>
      <c r="U601" s="311">
        <v>0.40279999999999999</v>
      </c>
      <c r="V601" s="311">
        <v>0.41210000000000002</v>
      </c>
      <c r="W601" s="311">
        <v>0.39200000000000002</v>
      </c>
      <c r="X601" s="311">
        <v>0.37009999999999998</v>
      </c>
      <c r="Y601" s="311">
        <v>0.33779999999999999</v>
      </c>
      <c r="Z601" s="311">
        <v>0.4541</v>
      </c>
      <c r="AA601" s="311">
        <v>0.40539999999999998</v>
      </c>
      <c r="AB601" s="311">
        <v>0.3916</v>
      </c>
      <c r="AC601" s="311">
        <v>0.37219999999999998</v>
      </c>
      <c r="AD601" s="311">
        <v>0.34060000000000001</v>
      </c>
      <c r="AE601" s="311">
        <v>0.40629999999999999</v>
      </c>
      <c r="AF601" s="311">
        <v>0.29609999999999997</v>
      </c>
      <c r="AG601" s="311">
        <v>0.34799999999999998</v>
      </c>
      <c r="AH601" s="311">
        <v>0.36859999999999998</v>
      </c>
      <c r="AI601" s="311">
        <v>0.39750000000000002</v>
      </c>
      <c r="AJ601" s="311">
        <v>0.34860000000000002</v>
      </c>
      <c r="AK601" s="311">
        <v>0.36399999999999999</v>
      </c>
      <c r="AL601" s="311">
        <v>0.37369999999999998</v>
      </c>
      <c r="AM601" s="311">
        <v>0.45860000000000001</v>
      </c>
      <c r="AN601" s="311">
        <v>0.41410000000000002</v>
      </c>
      <c r="AO601" s="311">
        <v>0.40620000000000001</v>
      </c>
      <c r="AP601" s="311">
        <v>0.46089999999999998</v>
      </c>
      <c r="AQ601" s="311">
        <v>0.36109999999999998</v>
      </c>
      <c r="AR601" s="311">
        <v>0.4128</v>
      </c>
      <c r="AS601" s="311">
        <v>0.3241</v>
      </c>
      <c r="AT601" s="311">
        <v>0.41220000000000001</v>
      </c>
      <c r="AU601" s="311">
        <v>0.45889999999999997</v>
      </c>
      <c r="AV601" s="311">
        <v>0.42859999999999998</v>
      </c>
      <c r="AW601" s="311">
        <v>0.3866</v>
      </c>
      <c r="AX601" s="311">
        <v>0.33189999999999997</v>
      </c>
      <c r="AY601" s="311">
        <v>0.37859999999999999</v>
      </c>
      <c r="AZ601" s="311">
        <v>0.40910000000000002</v>
      </c>
      <c r="BA601" s="311">
        <v>0.34860000000000002</v>
      </c>
      <c r="BB601" s="311">
        <v>0.34350000000000003</v>
      </c>
      <c r="BC601" s="311">
        <v>0.43190000000000001</v>
      </c>
      <c r="BD601" s="311">
        <v>0.45960000000000001</v>
      </c>
      <c r="BE601" s="311">
        <v>0.47739999999999999</v>
      </c>
      <c r="BF601" s="311">
        <v>0.40339999999999998</v>
      </c>
      <c r="BG601" s="311">
        <v>0.42709999999999998</v>
      </c>
      <c r="BH601" s="311">
        <v>0.43640000000000001</v>
      </c>
      <c r="BI601" s="311">
        <v>0.46850000000000003</v>
      </c>
      <c r="BJ601" s="311">
        <v>0.4073</v>
      </c>
      <c r="BK601" s="311">
        <v>0.42480000000000001</v>
      </c>
    </row>
    <row r="602" spans="1:63" x14ac:dyDescent="0.25">
      <c r="A602" s="306">
        <v>332913</v>
      </c>
      <c r="B602" s="311" t="s">
        <v>8</v>
      </c>
      <c r="C602" s="311">
        <v>0.4229</v>
      </c>
      <c r="D602" s="311">
        <v>0</v>
      </c>
      <c r="E602" s="311">
        <v>0</v>
      </c>
      <c r="F602" s="311">
        <v>0.29849999999999999</v>
      </c>
      <c r="G602" s="311">
        <v>0.2883</v>
      </c>
      <c r="H602" s="311">
        <v>0.32669999999999999</v>
      </c>
      <c r="I602" s="311">
        <v>0.29139999999999999</v>
      </c>
      <c r="J602" s="311">
        <v>0.32679999999999998</v>
      </c>
      <c r="K602" s="311">
        <v>0</v>
      </c>
      <c r="L602" s="311">
        <v>0.2152</v>
      </c>
      <c r="M602" s="311">
        <v>0.2712</v>
      </c>
      <c r="N602" s="311">
        <v>0.31590000000000001</v>
      </c>
      <c r="O602" s="311">
        <v>0</v>
      </c>
      <c r="P602" s="311">
        <v>0</v>
      </c>
      <c r="Q602" s="311">
        <v>0.24199999999999999</v>
      </c>
      <c r="R602" s="311">
        <v>0.3644</v>
      </c>
      <c r="S602" s="311">
        <v>0.31900000000000001</v>
      </c>
      <c r="T602" s="311">
        <v>0.24099999999999999</v>
      </c>
      <c r="U602" s="311">
        <v>0.3075</v>
      </c>
      <c r="V602" s="311">
        <v>0</v>
      </c>
      <c r="W602" s="311">
        <v>0.31840000000000002</v>
      </c>
      <c r="X602" s="311">
        <v>0</v>
      </c>
      <c r="Y602" s="311">
        <v>0</v>
      </c>
      <c r="Z602" s="311">
        <v>0.33450000000000002</v>
      </c>
      <c r="AA602" s="311">
        <v>0.3054</v>
      </c>
      <c r="AB602" s="311">
        <v>0.3004</v>
      </c>
      <c r="AC602" s="311">
        <v>0</v>
      </c>
      <c r="AD602" s="311">
        <v>0</v>
      </c>
      <c r="AE602" s="311">
        <v>0.31569999999999998</v>
      </c>
      <c r="AF602" s="311">
        <v>0</v>
      </c>
      <c r="AG602" s="311">
        <v>0</v>
      </c>
      <c r="AH602" s="311">
        <v>0.3075</v>
      </c>
      <c r="AI602" s="311">
        <v>0.2883</v>
      </c>
      <c r="AJ602" s="311">
        <v>0</v>
      </c>
      <c r="AK602" s="311">
        <v>0.2525</v>
      </c>
      <c r="AL602" s="311">
        <v>0.27279999999999999</v>
      </c>
      <c r="AM602" s="311">
        <v>0.34420000000000001</v>
      </c>
      <c r="AN602" s="311">
        <v>0.27010000000000001</v>
      </c>
      <c r="AO602" s="311">
        <v>0.29139999999999999</v>
      </c>
      <c r="AP602" s="311">
        <v>0.36280000000000001</v>
      </c>
      <c r="AQ602" s="311">
        <v>0.29449999999999998</v>
      </c>
      <c r="AR602" s="311">
        <v>0.31900000000000001</v>
      </c>
      <c r="AS602" s="311">
        <v>0</v>
      </c>
      <c r="AT602" s="311">
        <v>0.31330000000000002</v>
      </c>
      <c r="AU602" s="311">
        <v>0.3362</v>
      </c>
      <c r="AV602" s="311">
        <v>0</v>
      </c>
      <c r="AW602" s="311">
        <v>0.29649999999999999</v>
      </c>
      <c r="AX602" s="311">
        <v>0</v>
      </c>
      <c r="AY602" s="311">
        <v>0.27129999999999999</v>
      </c>
      <c r="AZ602" s="311">
        <v>0.32400000000000001</v>
      </c>
      <c r="BA602" s="311">
        <v>0</v>
      </c>
      <c r="BB602" s="311">
        <v>0</v>
      </c>
      <c r="BC602" s="311">
        <v>0.35420000000000001</v>
      </c>
      <c r="BD602" s="311">
        <v>0.33939999999999998</v>
      </c>
      <c r="BE602" s="311">
        <v>0.36759999999999998</v>
      </c>
      <c r="BF602" s="311">
        <v>0.30759999999999998</v>
      </c>
      <c r="BG602" s="311">
        <v>0.3246</v>
      </c>
      <c r="BH602" s="311">
        <v>0.32850000000000001</v>
      </c>
      <c r="BI602" s="311">
        <v>0.33889999999999998</v>
      </c>
      <c r="BJ602" s="311">
        <v>0.2903</v>
      </c>
      <c r="BK602" s="311">
        <v>0.32500000000000001</v>
      </c>
    </row>
    <row r="603" spans="1:63" x14ac:dyDescent="0.25">
      <c r="A603" s="306" t="s">
        <v>601</v>
      </c>
      <c r="B603" s="311" t="s">
        <v>612</v>
      </c>
      <c r="C603" s="311">
        <v>0.48680000000000001</v>
      </c>
      <c r="D603" s="311">
        <v>0</v>
      </c>
      <c r="E603" s="311">
        <v>0.39789999999999998</v>
      </c>
      <c r="F603" s="311">
        <v>0.36080000000000001</v>
      </c>
      <c r="G603" s="311">
        <v>0.36680000000000001</v>
      </c>
      <c r="H603" s="311">
        <v>0.39200000000000002</v>
      </c>
      <c r="I603" s="311">
        <v>0.36770000000000003</v>
      </c>
      <c r="J603" s="311">
        <v>0.3836</v>
      </c>
      <c r="K603" s="311">
        <v>5.4100000000000002E-2</v>
      </c>
      <c r="L603" s="311">
        <v>0</v>
      </c>
      <c r="M603" s="311">
        <v>0.34060000000000001</v>
      </c>
      <c r="N603" s="311">
        <v>0.35670000000000002</v>
      </c>
      <c r="O603" s="311">
        <v>0</v>
      </c>
      <c r="P603" s="311">
        <v>0.34289999999999998</v>
      </c>
      <c r="Q603" s="311">
        <v>0.30890000000000001</v>
      </c>
      <c r="R603" s="311">
        <v>0.43680000000000002</v>
      </c>
      <c r="S603" s="311">
        <v>0.39679999999999999</v>
      </c>
      <c r="T603" s="311">
        <v>0.3251</v>
      </c>
      <c r="U603" s="311">
        <v>0.35970000000000002</v>
      </c>
      <c r="V603" s="311">
        <v>0.35160000000000002</v>
      </c>
      <c r="W603" s="311">
        <v>0.36499999999999999</v>
      </c>
      <c r="X603" s="311">
        <v>0.31909999999999999</v>
      </c>
      <c r="Y603" s="311">
        <v>0.31009999999999999</v>
      </c>
      <c r="Z603" s="311">
        <v>0.4289</v>
      </c>
      <c r="AA603" s="311">
        <v>0.38250000000000001</v>
      </c>
      <c r="AB603" s="311">
        <v>0.36459999999999998</v>
      </c>
      <c r="AC603" s="311">
        <v>0.3226</v>
      </c>
      <c r="AD603" s="311">
        <v>0.30480000000000002</v>
      </c>
      <c r="AE603" s="311">
        <v>0.37159999999999999</v>
      </c>
      <c r="AF603" s="311">
        <v>0.26340000000000002</v>
      </c>
      <c r="AG603" s="311">
        <v>0.3246</v>
      </c>
      <c r="AH603" s="311">
        <v>0.37280000000000002</v>
      </c>
      <c r="AI603" s="311">
        <v>0.35089999999999999</v>
      </c>
      <c r="AJ603" s="311">
        <v>0.3034</v>
      </c>
      <c r="AK603" s="311">
        <v>0.33800000000000002</v>
      </c>
      <c r="AL603" s="311">
        <v>0.33929999999999999</v>
      </c>
      <c r="AM603" s="311">
        <v>0.43180000000000002</v>
      </c>
      <c r="AN603" s="311">
        <v>0.37919999999999998</v>
      </c>
      <c r="AO603" s="311">
        <v>0.37780000000000002</v>
      </c>
      <c r="AP603" s="311">
        <v>0.434</v>
      </c>
      <c r="AQ603" s="311">
        <v>0.34989999999999999</v>
      </c>
      <c r="AR603" s="311">
        <v>0.38059999999999999</v>
      </c>
      <c r="AS603" s="311">
        <v>0.29759999999999998</v>
      </c>
      <c r="AT603" s="311">
        <v>0.39269999999999999</v>
      </c>
      <c r="AU603" s="311">
        <v>0.40629999999999999</v>
      </c>
      <c r="AV603" s="311">
        <v>0.3977</v>
      </c>
      <c r="AW603" s="311">
        <v>0.35089999999999999</v>
      </c>
      <c r="AX603" s="311">
        <v>0.31140000000000001</v>
      </c>
      <c r="AY603" s="311">
        <v>0.34939999999999999</v>
      </c>
      <c r="AZ603" s="311">
        <v>0.40510000000000002</v>
      </c>
      <c r="BA603" s="311">
        <v>0.29949999999999999</v>
      </c>
      <c r="BB603" s="311">
        <v>0.30199999999999999</v>
      </c>
      <c r="BC603" s="311">
        <v>0.40720000000000001</v>
      </c>
      <c r="BD603" s="311">
        <v>0.41510000000000002</v>
      </c>
      <c r="BE603" s="311">
        <v>0.45</v>
      </c>
      <c r="BF603" s="311">
        <v>0.38600000000000001</v>
      </c>
      <c r="BG603" s="311">
        <v>0.37659999999999999</v>
      </c>
      <c r="BH603" s="311">
        <v>0.40939999999999999</v>
      </c>
      <c r="BI603" s="311">
        <v>0.41220000000000001</v>
      </c>
      <c r="BJ603" s="311">
        <v>0.37230000000000002</v>
      </c>
      <c r="BK603" s="311">
        <v>0.39950000000000002</v>
      </c>
    </row>
    <row r="604" spans="1:63" x14ac:dyDescent="0.25">
      <c r="A604" s="306">
        <v>332991</v>
      </c>
      <c r="B604" s="311" t="s">
        <v>178</v>
      </c>
      <c r="C604" s="311">
        <v>0.46800000000000003</v>
      </c>
      <c r="D604" s="311">
        <v>0</v>
      </c>
      <c r="E604" s="311">
        <v>0.36330000000000001</v>
      </c>
      <c r="F604" s="311">
        <v>0</v>
      </c>
      <c r="G604" s="311">
        <v>0</v>
      </c>
      <c r="H604" s="311">
        <v>0.36349999999999999</v>
      </c>
      <c r="I604" s="311">
        <v>0</v>
      </c>
      <c r="J604" s="311">
        <v>0.38379999999999997</v>
      </c>
      <c r="K604" s="311">
        <v>0</v>
      </c>
      <c r="L604" s="311">
        <v>0.26269999999999999</v>
      </c>
      <c r="M604" s="311">
        <v>0.31909999999999999</v>
      </c>
      <c r="N604" s="311">
        <v>0.36549999999999999</v>
      </c>
      <c r="O604" s="311">
        <v>0</v>
      </c>
      <c r="P604" s="311">
        <v>0.33350000000000002</v>
      </c>
      <c r="Q604" s="311">
        <v>0</v>
      </c>
      <c r="R604" s="311">
        <v>0.42809999999999998</v>
      </c>
      <c r="S604" s="311">
        <v>0.38950000000000001</v>
      </c>
      <c r="T604" s="311">
        <v>0.29139999999999999</v>
      </c>
      <c r="U604" s="311">
        <v>0.36470000000000002</v>
      </c>
      <c r="V604" s="311">
        <v>0</v>
      </c>
      <c r="W604" s="311">
        <v>0.3392</v>
      </c>
      <c r="X604" s="311">
        <v>0.30819999999999997</v>
      </c>
      <c r="Y604" s="311">
        <v>0</v>
      </c>
      <c r="Z604" s="311">
        <v>0.4158</v>
      </c>
      <c r="AA604" s="311">
        <v>0</v>
      </c>
      <c r="AB604" s="311">
        <v>0.33029999999999998</v>
      </c>
      <c r="AC604" s="311">
        <v>0.30990000000000001</v>
      </c>
      <c r="AD604" s="311">
        <v>0</v>
      </c>
      <c r="AE604" s="311">
        <v>0.36859999999999998</v>
      </c>
      <c r="AF604" s="311">
        <v>0</v>
      </c>
      <c r="AG604" s="311">
        <v>0</v>
      </c>
      <c r="AH604" s="311">
        <v>0.34300000000000003</v>
      </c>
      <c r="AI604" s="311">
        <v>0.32300000000000001</v>
      </c>
      <c r="AJ604" s="311">
        <v>0</v>
      </c>
      <c r="AK604" s="311">
        <v>0.3175</v>
      </c>
      <c r="AL604" s="311">
        <v>0.32640000000000002</v>
      </c>
      <c r="AM604" s="311">
        <v>0.41889999999999999</v>
      </c>
      <c r="AN604" s="311">
        <v>0.34060000000000001</v>
      </c>
      <c r="AO604" s="311">
        <v>0</v>
      </c>
      <c r="AP604" s="311">
        <v>0.40920000000000001</v>
      </c>
      <c r="AQ604" s="311">
        <v>0.30590000000000001</v>
      </c>
      <c r="AR604" s="311">
        <v>0.37990000000000002</v>
      </c>
      <c r="AS604" s="311">
        <v>0</v>
      </c>
      <c r="AT604" s="311">
        <v>0.38190000000000002</v>
      </c>
      <c r="AU604" s="311">
        <v>0.3755</v>
      </c>
      <c r="AV604" s="311">
        <v>0</v>
      </c>
      <c r="AW604" s="311">
        <v>0.34370000000000001</v>
      </c>
      <c r="AX604" s="311">
        <v>0</v>
      </c>
      <c r="AY604" s="311">
        <v>0</v>
      </c>
      <c r="AZ604" s="311">
        <v>0.36670000000000003</v>
      </c>
      <c r="BA604" s="311">
        <v>0</v>
      </c>
      <c r="BB604" s="311">
        <v>0.30180000000000001</v>
      </c>
      <c r="BC604" s="311">
        <v>0.40139999999999998</v>
      </c>
      <c r="BD604" s="311">
        <v>0.39979999999999999</v>
      </c>
      <c r="BE604" s="311">
        <v>0.43590000000000001</v>
      </c>
      <c r="BF604" s="311">
        <v>0.34210000000000002</v>
      </c>
      <c r="BG604" s="311">
        <v>0.38200000000000001</v>
      </c>
      <c r="BH604" s="311">
        <v>0.39510000000000001</v>
      </c>
      <c r="BI604" s="311">
        <v>0.38109999999999999</v>
      </c>
      <c r="BJ604" s="311">
        <v>0.34150000000000003</v>
      </c>
      <c r="BK604" s="311">
        <v>0.36299999999999999</v>
      </c>
    </row>
    <row r="605" spans="1:63" x14ac:dyDescent="0.25">
      <c r="A605" s="306">
        <v>332996</v>
      </c>
      <c r="B605" s="311" t="s">
        <v>179</v>
      </c>
      <c r="C605" s="311">
        <v>0.52370000000000005</v>
      </c>
      <c r="D605" s="311">
        <v>0.30869999999999997</v>
      </c>
      <c r="E605" s="311">
        <v>0.42959999999999998</v>
      </c>
      <c r="F605" s="311">
        <v>0.39460000000000001</v>
      </c>
      <c r="G605" s="311">
        <v>0.3755</v>
      </c>
      <c r="H605" s="311">
        <v>0.4083</v>
      </c>
      <c r="I605" s="311">
        <v>0.40500000000000003</v>
      </c>
      <c r="J605" s="311">
        <v>0.39910000000000001</v>
      </c>
      <c r="K605" s="311">
        <v>0</v>
      </c>
      <c r="L605" s="311">
        <v>0.3125</v>
      </c>
      <c r="M605" s="311">
        <v>0.36059999999999998</v>
      </c>
      <c r="N605" s="311">
        <v>0.3745</v>
      </c>
      <c r="O605" s="311">
        <v>0</v>
      </c>
      <c r="P605" s="311">
        <v>0.34820000000000001</v>
      </c>
      <c r="Q605" s="311">
        <v>0.31730000000000003</v>
      </c>
      <c r="R605" s="311">
        <v>0.46179999999999999</v>
      </c>
      <c r="S605" s="311">
        <v>0.42780000000000001</v>
      </c>
      <c r="T605" s="311">
        <v>0.33310000000000001</v>
      </c>
      <c r="U605" s="311">
        <v>0.38400000000000001</v>
      </c>
      <c r="V605" s="311">
        <v>0.4012</v>
      </c>
      <c r="W605" s="311">
        <v>0.37330000000000002</v>
      </c>
      <c r="X605" s="311">
        <v>0.35299999999999998</v>
      </c>
      <c r="Y605" s="311">
        <v>0.32650000000000001</v>
      </c>
      <c r="Z605" s="311">
        <v>0.46360000000000001</v>
      </c>
      <c r="AA605" s="311">
        <v>0.39439999999999997</v>
      </c>
      <c r="AB605" s="311">
        <v>0.37119999999999997</v>
      </c>
      <c r="AC605" s="311">
        <v>0.3609</v>
      </c>
      <c r="AD605" s="311">
        <v>0.31809999999999999</v>
      </c>
      <c r="AE605" s="311">
        <v>0.38550000000000001</v>
      </c>
      <c r="AF605" s="311">
        <v>0</v>
      </c>
      <c r="AG605" s="311">
        <v>0.34470000000000001</v>
      </c>
      <c r="AH605" s="311">
        <v>0.36699999999999999</v>
      </c>
      <c r="AI605" s="311">
        <v>0.36609999999999998</v>
      </c>
      <c r="AJ605" s="311">
        <v>0.3236</v>
      </c>
      <c r="AK605" s="311">
        <v>0.34499999999999997</v>
      </c>
      <c r="AL605" s="311">
        <v>0.34889999999999999</v>
      </c>
      <c r="AM605" s="311">
        <v>0.46439999999999998</v>
      </c>
      <c r="AN605" s="311">
        <v>0.42499999999999999</v>
      </c>
      <c r="AO605" s="311">
        <v>0.4133</v>
      </c>
      <c r="AP605" s="311">
        <v>0.46820000000000001</v>
      </c>
      <c r="AQ605" s="311">
        <v>0.33960000000000001</v>
      </c>
      <c r="AR605" s="311">
        <v>0.42199999999999999</v>
      </c>
      <c r="AS605" s="311">
        <v>0.30669999999999997</v>
      </c>
      <c r="AT605" s="311">
        <v>0.4163</v>
      </c>
      <c r="AU605" s="311">
        <v>0.45040000000000002</v>
      </c>
      <c r="AV605" s="311">
        <v>0.43780000000000002</v>
      </c>
      <c r="AW605" s="311">
        <v>0.36870000000000003</v>
      </c>
      <c r="AX605" s="311">
        <v>0</v>
      </c>
      <c r="AY605" s="311">
        <v>0.36580000000000001</v>
      </c>
      <c r="AZ605" s="311">
        <v>0.41510000000000002</v>
      </c>
      <c r="BA605" s="311">
        <v>0.32379999999999998</v>
      </c>
      <c r="BB605" s="311">
        <v>0.31850000000000001</v>
      </c>
      <c r="BC605" s="311">
        <v>0.41160000000000002</v>
      </c>
      <c r="BD605" s="311">
        <v>0.45269999999999999</v>
      </c>
      <c r="BE605" s="311">
        <v>0.48470000000000002</v>
      </c>
      <c r="BF605" s="311">
        <v>0.3896</v>
      </c>
      <c r="BG605" s="311">
        <v>0.40439999999999998</v>
      </c>
      <c r="BH605" s="311">
        <v>0.44219999999999998</v>
      </c>
      <c r="BI605" s="311">
        <v>0.4632</v>
      </c>
      <c r="BJ605" s="311">
        <v>0.3906</v>
      </c>
      <c r="BK605" s="311">
        <v>0.4123</v>
      </c>
    </row>
    <row r="606" spans="1:63" x14ac:dyDescent="0.25">
      <c r="A606" s="306" t="s">
        <v>728</v>
      </c>
      <c r="B606" s="311" t="s">
        <v>171</v>
      </c>
      <c r="C606" s="311">
        <v>0.45939999999999998</v>
      </c>
      <c r="D606" s="311">
        <v>0</v>
      </c>
      <c r="E606" s="311">
        <v>0.37669999999999998</v>
      </c>
      <c r="F606" s="311">
        <v>0.3614</v>
      </c>
      <c r="G606" s="311">
        <v>0</v>
      </c>
      <c r="H606" s="311">
        <v>0.3896</v>
      </c>
      <c r="I606" s="311">
        <v>0</v>
      </c>
      <c r="J606" s="311">
        <v>0.38600000000000001</v>
      </c>
      <c r="K606" s="311">
        <v>0</v>
      </c>
      <c r="L606" s="311">
        <v>0</v>
      </c>
      <c r="M606" s="311">
        <v>0.34720000000000001</v>
      </c>
      <c r="N606" s="311">
        <v>0.37359999999999999</v>
      </c>
      <c r="O606" s="311">
        <v>0</v>
      </c>
      <c r="P606" s="311">
        <v>0.3362</v>
      </c>
      <c r="Q606" s="311">
        <v>0.32540000000000002</v>
      </c>
      <c r="R606" s="311">
        <v>0.41599999999999998</v>
      </c>
      <c r="S606" s="311">
        <v>0.38</v>
      </c>
      <c r="T606" s="311">
        <v>0.32590000000000002</v>
      </c>
      <c r="U606" s="311">
        <v>0.36130000000000001</v>
      </c>
      <c r="V606" s="311">
        <v>0</v>
      </c>
      <c r="W606" s="311">
        <v>0.37019999999999997</v>
      </c>
      <c r="X606" s="311">
        <v>0.32469999999999999</v>
      </c>
      <c r="Y606" s="311">
        <v>0</v>
      </c>
      <c r="Z606" s="311">
        <v>0.40839999999999999</v>
      </c>
      <c r="AA606" s="311">
        <v>0.37169999999999997</v>
      </c>
      <c r="AB606" s="311">
        <v>0.36380000000000001</v>
      </c>
      <c r="AC606" s="311">
        <v>0.32919999999999999</v>
      </c>
      <c r="AD606" s="311">
        <v>0.3196</v>
      </c>
      <c r="AE606" s="311">
        <v>0.37740000000000001</v>
      </c>
      <c r="AF606" s="311">
        <v>0</v>
      </c>
      <c r="AG606" s="311">
        <v>0.3261</v>
      </c>
      <c r="AH606" s="311">
        <v>0</v>
      </c>
      <c r="AI606" s="311">
        <v>0</v>
      </c>
      <c r="AJ606" s="311">
        <v>0.3206</v>
      </c>
      <c r="AK606" s="311">
        <v>0.34060000000000001</v>
      </c>
      <c r="AL606" s="311">
        <v>0</v>
      </c>
      <c r="AM606" s="311">
        <v>0.41420000000000001</v>
      </c>
      <c r="AN606" s="311">
        <v>0</v>
      </c>
      <c r="AO606" s="311">
        <v>0.36199999999999999</v>
      </c>
      <c r="AP606" s="311">
        <v>0.4118</v>
      </c>
      <c r="AQ606" s="311">
        <v>0</v>
      </c>
      <c r="AR606" s="311">
        <v>0.374</v>
      </c>
      <c r="AS606" s="311">
        <v>0.31640000000000001</v>
      </c>
      <c r="AT606" s="311">
        <v>0.37709999999999999</v>
      </c>
      <c r="AU606" s="311">
        <v>0.3957</v>
      </c>
      <c r="AV606" s="311">
        <v>0.37859999999999999</v>
      </c>
      <c r="AW606" s="311">
        <v>0.35759999999999997</v>
      </c>
      <c r="AX606" s="311">
        <v>0</v>
      </c>
      <c r="AY606" s="311">
        <v>0.35060000000000002</v>
      </c>
      <c r="AZ606" s="311">
        <v>0.38779999999999998</v>
      </c>
      <c r="BA606" s="311">
        <v>0.30930000000000002</v>
      </c>
      <c r="BB606" s="311">
        <v>0</v>
      </c>
      <c r="BC606" s="311">
        <v>0.40870000000000001</v>
      </c>
      <c r="BD606" s="311">
        <v>0.40579999999999999</v>
      </c>
      <c r="BE606" s="311">
        <v>0.4279</v>
      </c>
      <c r="BF606" s="311">
        <v>0.37719999999999998</v>
      </c>
      <c r="BG606" s="311">
        <v>0.38500000000000001</v>
      </c>
      <c r="BH606" s="311">
        <v>0.39219999999999999</v>
      </c>
      <c r="BI606" s="311">
        <v>0.40060000000000001</v>
      </c>
      <c r="BJ606" s="311">
        <v>0.37090000000000001</v>
      </c>
      <c r="BK606" s="311">
        <v>0.38990000000000002</v>
      </c>
    </row>
    <row r="607" spans="1:63" x14ac:dyDescent="0.25">
      <c r="A607" s="306" t="s">
        <v>729</v>
      </c>
      <c r="B607" s="311" t="s">
        <v>172</v>
      </c>
      <c r="C607" s="311">
        <v>0.46089999999999998</v>
      </c>
      <c r="D607" s="311">
        <v>0</v>
      </c>
      <c r="E607" s="311">
        <v>0.37430000000000002</v>
      </c>
      <c r="F607" s="311">
        <v>0.35210000000000002</v>
      </c>
      <c r="G607" s="311">
        <v>0.36259999999999998</v>
      </c>
      <c r="H607" s="311">
        <v>0.39500000000000002</v>
      </c>
      <c r="I607" s="311">
        <v>0.3795</v>
      </c>
      <c r="J607" s="311">
        <v>0.38219999999999998</v>
      </c>
      <c r="K607" s="311">
        <v>0</v>
      </c>
      <c r="L607" s="311">
        <v>0</v>
      </c>
      <c r="M607" s="311">
        <v>0.35110000000000002</v>
      </c>
      <c r="N607" s="311">
        <v>0.37330000000000002</v>
      </c>
      <c r="O607" s="311">
        <v>0</v>
      </c>
      <c r="P607" s="311">
        <v>0.3291</v>
      </c>
      <c r="Q607" s="311">
        <v>0.3201</v>
      </c>
      <c r="R607" s="311">
        <v>0.41499999999999998</v>
      </c>
      <c r="S607" s="311">
        <v>0.3745</v>
      </c>
      <c r="T607" s="311">
        <v>0.3206</v>
      </c>
      <c r="U607" s="311">
        <v>0.35630000000000001</v>
      </c>
      <c r="V607" s="311">
        <v>0</v>
      </c>
      <c r="W607" s="311">
        <v>0.37040000000000001</v>
      </c>
      <c r="X607" s="311">
        <v>0.33050000000000002</v>
      </c>
      <c r="Y607" s="311">
        <v>0.32519999999999999</v>
      </c>
      <c r="Z607" s="311">
        <v>0.40760000000000002</v>
      </c>
      <c r="AA607" s="311">
        <v>0.37069999999999997</v>
      </c>
      <c r="AB607" s="311">
        <v>0.35599999999999998</v>
      </c>
      <c r="AC607" s="311">
        <v>0.32469999999999999</v>
      </c>
      <c r="AD607" s="311">
        <v>0.32140000000000002</v>
      </c>
      <c r="AE607" s="311">
        <v>0.37190000000000001</v>
      </c>
      <c r="AF607" s="311">
        <v>0</v>
      </c>
      <c r="AG607" s="311">
        <v>0.32379999999999998</v>
      </c>
      <c r="AH607" s="311">
        <v>0.35580000000000001</v>
      </c>
      <c r="AI607" s="311">
        <v>0.35370000000000001</v>
      </c>
      <c r="AJ607" s="311">
        <v>0</v>
      </c>
      <c r="AK607" s="311">
        <v>0.34239999999999998</v>
      </c>
      <c r="AL607" s="311">
        <v>0.34939999999999999</v>
      </c>
      <c r="AM607" s="311">
        <v>0.41010000000000002</v>
      </c>
      <c r="AN607" s="311">
        <v>0.36349999999999999</v>
      </c>
      <c r="AO607" s="311">
        <v>0.36609999999999998</v>
      </c>
      <c r="AP607" s="311">
        <v>0.41</v>
      </c>
      <c r="AQ607" s="311">
        <v>0</v>
      </c>
      <c r="AR607" s="311">
        <v>0.37130000000000002</v>
      </c>
      <c r="AS607" s="311">
        <v>0.30840000000000001</v>
      </c>
      <c r="AT607" s="311">
        <v>0.37569999999999998</v>
      </c>
      <c r="AU607" s="311">
        <v>0.39679999999999999</v>
      </c>
      <c r="AV607" s="311">
        <v>0.38290000000000002</v>
      </c>
      <c r="AW607" s="311">
        <v>0.3553</v>
      </c>
      <c r="AX607" s="311">
        <v>0.32179999999999997</v>
      </c>
      <c r="AY607" s="311">
        <v>0.35720000000000002</v>
      </c>
      <c r="AZ607" s="311">
        <v>0.38719999999999999</v>
      </c>
      <c r="BA607" s="311">
        <v>0.30459999999999998</v>
      </c>
      <c r="BB607" s="311">
        <v>0.31769999999999998</v>
      </c>
      <c r="BC607" s="311">
        <v>0.40749999999999997</v>
      </c>
      <c r="BD607" s="311">
        <v>0.40810000000000002</v>
      </c>
      <c r="BE607" s="311">
        <v>0.42680000000000001</v>
      </c>
      <c r="BF607" s="311">
        <v>0.37269999999999998</v>
      </c>
      <c r="BG607" s="311">
        <v>0.38569999999999999</v>
      </c>
      <c r="BH607" s="311">
        <v>0.39019999999999999</v>
      </c>
      <c r="BI607" s="311">
        <v>0.4027</v>
      </c>
      <c r="BJ607" s="311">
        <v>0.37459999999999999</v>
      </c>
      <c r="BK607" s="311">
        <v>0.39889999999999998</v>
      </c>
    </row>
    <row r="608" spans="1:63" x14ac:dyDescent="0.25">
      <c r="A608" s="306" t="s">
        <v>600</v>
      </c>
      <c r="B608" s="311" t="s">
        <v>7</v>
      </c>
      <c r="C608" s="311">
        <v>0.5</v>
      </c>
      <c r="D608" s="311">
        <v>0.2949</v>
      </c>
      <c r="E608" s="311">
        <v>0.40429999999999999</v>
      </c>
      <c r="F608" s="311">
        <v>0.37809999999999999</v>
      </c>
      <c r="G608" s="311">
        <v>0.37059999999999998</v>
      </c>
      <c r="H608" s="311">
        <v>0.4022</v>
      </c>
      <c r="I608" s="311">
        <v>0.38300000000000001</v>
      </c>
      <c r="J608" s="311">
        <v>0.38840000000000002</v>
      </c>
      <c r="K608" s="311">
        <v>0</v>
      </c>
      <c r="L608" s="311">
        <v>0</v>
      </c>
      <c r="M608" s="311">
        <v>0.35659999999999997</v>
      </c>
      <c r="N608" s="311">
        <v>0.38169999999999998</v>
      </c>
      <c r="O608" s="311">
        <v>0</v>
      </c>
      <c r="P608" s="311">
        <v>0.34949999999999998</v>
      </c>
      <c r="Q608" s="311">
        <v>0.31409999999999999</v>
      </c>
      <c r="R608" s="311">
        <v>0.43930000000000002</v>
      </c>
      <c r="S608" s="311">
        <v>0.40699999999999997</v>
      </c>
      <c r="T608" s="311">
        <v>0.3251</v>
      </c>
      <c r="U608" s="311">
        <v>0.38590000000000002</v>
      </c>
      <c r="V608" s="311">
        <v>0.36420000000000002</v>
      </c>
      <c r="W608" s="311">
        <v>0.36570000000000003</v>
      </c>
      <c r="X608" s="311">
        <v>0.33960000000000001</v>
      </c>
      <c r="Y608" s="311">
        <v>0.31730000000000003</v>
      </c>
      <c r="Z608" s="311">
        <v>0.43519999999999998</v>
      </c>
      <c r="AA608" s="311">
        <v>0.38400000000000001</v>
      </c>
      <c r="AB608" s="311">
        <v>0.37730000000000002</v>
      </c>
      <c r="AC608" s="311">
        <v>0.34660000000000002</v>
      </c>
      <c r="AD608" s="311">
        <v>0.31290000000000001</v>
      </c>
      <c r="AE608" s="311">
        <v>0.38100000000000001</v>
      </c>
      <c r="AF608" s="311">
        <v>0.27589999999999998</v>
      </c>
      <c r="AG608" s="311">
        <v>0.32669999999999999</v>
      </c>
      <c r="AH608" s="311">
        <v>0.36149999999999999</v>
      </c>
      <c r="AI608" s="311">
        <v>0.36659999999999998</v>
      </c>
      <c r="AJ608" s="311">
        <v>0.31530000000000002</v>
      </c>
      <c r="AK608" s="311">
        <v>0.33839999999999998</v>
      </c>
      <c r="AL608" s="311">
        <v>0.34639999999999999</v>
      </c>
      <c r="AM608" s="311">
        <v>0.44180000000000003</v>
      </c>
      <c r="AN608" s="311">
        <v>0.38729999999999998</v>
      </c>
      <c r="AO608" s="311">
        <v>0.39190000000000003</v>
      </c>
      <c r="AP608" s="311">
        <v>0.4415</v>
      </c>
      <c r="AQ608" s="311">
        <v>0.34150000000000003</v>
      </c>
      <c r="AR608" s="311">
        <v>0.39500000000000002</v>
      </c>
      <c r="AS608" s="311">
        <v>0.313</v>
      </c>
      <c r="AT608" s="311">
        <v>0.39829999999999999</v>
      </c>
      <c r="AU608" s="311">
        <v>0.42249999999999999</v>
      </c>
      <c r="AV608" s="311">
        <v>0.40500000000000003</v>
      </c>
      <c r="AW608" s="311">
        <v>0.36320000000000002</v>
      </c>
      <c r="AX608" s="311">
        <v>0.31159999999999999</v>
      </c>
      <c r="AY608" s="311">
        <v>0.36880000000000002</v>
      </c>
      <c r="AZ608" s="311">
        <v>0.4012</v>
      </c>
      <c r="BA608" s="311">
        <v>0.31890000000000002</v>
      </c>
      <c r="BB608" s="311">
        <v>0.30919999999999997</v>
      </c>
      <c r="BC608" s="311">
        <v>0.40500000000000003</v>
      </c>
      <c r="BD608" s="311">
        <v>0.4299</v>
      </c>
      <c r="BE608" s="311">
        <v>0.45939999999999998</v>
      </c>
      <c r="BF608" s="311">
        <v>0.39500000000000002</v>
      </c>
      <c r="BG608" s="311">
        <v>0.3992</v>
      </c>
      <c r="BH608" s="311">
        <v>0.41880000000000001</v>
      </c>
      <c r="BI608" s="311">
        <v>0.43359999999999999</v>
      </c>
      <c r="BJ608" s="311">
        <v>0.37809999999999999</v>
      </c>
      <c r="BK608" s="311">
        <v>0.40639999999999998</v>
      </c>
    </row>
    <row r="609" spans="1:63" x14ac:dyDescent="0.25">
      <c r="A609" s="306">
        <v>333111</v>
      </c>
      <c r="B609" s="311" t="s">
        <v>180</v>
      </c>
      <c r="C609" s="311">
        <v>0.44829999999999998</v>
      </c>
      <c r="D609" s="311">
        <v>0</v>
      </c>
      <c r="E609" s="311">
        <v>0.33879999999999999</v>
      </c>
      <c r="F609" s="311">
        <v>0.315</v>
      </c>
      <c r="G609" s="311">
        <v>0.28749999999999998</v>
      </c>
      <c r="H609" s="311">
        <v>0.32500000000000001</v>
      </c>
      <c r="I609" s="311">
        <v>0.30880000000000002</v>
      </c>
      <c r="J609" s="311">
        <v>0</v>
      </c>
      <c r="K609" s="311">
        <v>0</v>
      </c>
      <c r="L609" s="311">
        <v>0</v>
      </c>
      <c r="M609" s="311">
        <v>0.28160000000000002</v>
      </c>
      <c r="N609" s="311">
        <v>0.32119999999999999</v>
      </c>
      <c r="O609" s="311">
        <v>0.20960000000000001</v>
      </c>
      <c r="P609" s="311">
        <v>0.3029</v>
      </c>
      <c r="Q609" s="311">
        <v>0.246</v>
      </c>
      <c r="R609" s="311">
        <v>0.3952</v>
      </c>
      <c r="S609" s="311">
        <v>0.35980000000000001</v>
      </c>
      <c r="T609" s="311">
        <v>0.26190000000000002</v>
      </c>
      <c r="U609" s="311">
        <v>0.33150000000000002</v>
      </c>
      <c r="V609" s="311">
        <v>0.2787</v>
      </c>
      <c r="W609" s="311">
        <v>0.3024</v>
      </c>
      <c r="X609" s="311">
        <v>0.25850000000000001</v>
      </c>
      <c r="Y609" s="311">
        <v>0.26500000000000001</v>
      </c>
      <c r="Z609" s="311">
        <v>0.38279999999999997</v>
      </c>
      <c r="AA609" s="311">
        <v>0.33510000000000001</v>
      </c>
      <c r="AB609" s="311">
        <v>0.32229999999999998</v>
      </c>
      <c r="AC609" s="311">
        <v>0.29239999999999999</v>
      </c>
      <c r="AD609" s="311">
        <v>0.22589999999999999</v>
      </c>
      <c r="AE609" s="311">
        <v>0.33129999999999998</v>
      </c>
      <c r="AF609" s="311">
        <v>0.2268</v>
      </c>
      <c r="AG609" s="311">
        <v>0.2792</v>
      </c>
      <c r="AH609" s="311">
        <v>0.2959</v>
      </c>
      <c r="AI609" s="311">
        <v>0.29339999999999999</v>
      </c>
      <c r="AJ609" s="311">
        <v>0.23119999999999999</v>
      </c>
      <c r="AK609" s="311">
        <v>0.26290000000000002</v>
      </c>
      <c r="AL609" s="311">
        <v>0.27989999999999998</v>
      </c>
      <c r="AM609" s="311">
        <v>0.39019999999999999</v>
      </c>
      <c r="AN609" s="311">
        <v>0.32140000000000002</v>
      </c>
      <c r="AO609" s="311">
        <v>0.30930000000000002</v>
      </c>
      <c r="AP609" s="311">
        <v>0.378</v>
      </c>
      <c r="AQ609" s="311">
        <v>0</v>
      </c>
      <c r="AR609" s="311">
        <v>0.34129999999999999</v>
      </c>
      <c r="AS609" s="311">
        <v>0.24099999999999999</v>
      </c>
      <c r="AT609" s="311">
        <v>0.35060000000000002</v>
      </c>
      <c r="AU609" s="311">
        <v>0.33500000000000002</v>
      </c>
      <c r="AV609" s="311">
        <v>0.34179999999999999</v>
      </c>
      <c r="AW609" s="311">
        <v>0.28620000000000001</v>
      </c>
      <c r="AX609" s="311">
        <v>0</v>
      </c>
      <c r="AY609" s="311">
        <v>0.27639999999999998</v>
      </c>
      <c r="AZ609" s="311">
        <v>0.35759999999999997</v>
      </c>
      <c r="BA609" s="311">
        <v>0</v>
      </c>
      <c r="BB609" s="311">
        <v>0.21679999999999999</v>
      </c>
      <c r="BC609" s="311">
        <v>0.34129999999999999</v>
      </c>
      <c r="BD609" s="311">
        <v>0.35610000000000003</v>
      </c>
      <c r="BE609" s="311">
        <v>0.41039999999999999</v>
      </c>
      <c r="BF609" s="311">
        <v>0.34920000000000001</v>
      </c>
      <c r="BG609" s="311">
        <v>0.33360000000000001</v>
      </c>
      <c r="BH609" s="311">
        <v>0.36570000000000003</v>
      </c>
      <c r="BI609" s="311">
        <v>0.34720000000000001</v>
      </c>
      <c r="BJ609" s="311">
        <v>0.30230000000000001</v>
      </c>
      <c r="BK609" s="311">
        <v>0.32550000000000001</v>
      </c>
    </row>
    <row r="610" spans="1:63" x14ac:dyDescent="0.25">
      <c r="A610" s="306">
        <v>333112</v>
      </c>
      <c r="B610" s="311" t="s">
        <v>181</v>
      </c>
      <c r="C610" s="311">
        <v>0.42180000000000001</v>
      </c>
      <c r="D610" s="311">
        <v>0</v>
      </c>
      <c r="E610" s="311">
        <v>0.31979999999999997</v>
      </c>
      <c r="F610" s="311">
        <v>0.26939999999999997</v>
      </c>
      <c r="G610" s="311">
        <v>0.23130000000000001</v>
      </c>
      <c r="H610" s="311">
        <v>0.26400000000000001</v>
      </c>
      <c r="I610" s="311">
        <v>0.26419999999999999</v>
      </c>
      <c r="J610" s="311">
        <v>0.26319999999999999</v>
      </c>
      <c r="K610" s="311">
        <v>0</v>
      </c>
      <c r="L610" s="311">
        <v>0</v>
      </c>
      <c r="M610" s="311">
        <v>0.2243</v>
      </c>
      <c r="N610" s="311">
        <v>0.26779999999999998</v>
      </c>
      <c r="O610" s="311">
        <v>0</v>
      </c>
      <c r="P610" s="311">
        <v>0.27429999999999999</v>
      </c>
      <c r="Q610" s="311">
        <v>0.19400000000000001</v>
      </c>
      <c r="R610" s="311">
        <v>0.36499999999999999</v>
      </c>
      <c r="S610" s="311">
        <v>0.33279999999999998</v>
      </c>
      <c r="T610" s="311">
        <v>0.21640000000000001</v>
      </c>
      <c r="U610" s="311">
        <v>0.30570000000000003</v>
      </c>
      <c r="V610" s="311">
        <v>0.22289999999999999</v>
      </c>
      <c r="W610" s="311">
        <v>0.24229999999999999</v>
      </c>
      <c r="X610" s="311">
        <v>0.22109999999999999</v>
      </c>
      <c r="Y610" s="311">
        <v>0.21099999999999999</v>
      </c>
      <c r="Z610" s="311">
        <v>0.35880000000000001</v>
      </c>
      <c r="AA610" s="311">
        <v>0.26939999999999997</v>
      </c>
      <c r="AB610" s="311">
        <v>0.29899999999999999</v>
      </c>
      <c r="AC610" s="311">
        <v>0.25519999999999998</v>
      </c>
      <c r="AD610" s="311">
        <v>0</v>
      </c>
      <c r="AE610" s="311">
        <v>0.30370000000000003</v>
      </c>
      <c r="AF610" s="311">
        <v>0</v>
      </c>
      <c r="AG610" s="311">
        <v>0.22850000000000001</v>
      </c>
      <c r="AH610" s="311">
        <v>0</v>
      </c>
      <c r="AI610" s="311">
        <v>0.23300000000000001</v>
      </c>
      <c r="AJ610" s="311">
        <v>0</v>
      </c>
      <c r="AK610" s="311">
        <v>0</v>
      </c>
      <c r="AL610" s="311">
        <v>0.23599999999999999</v>
      </c>
      <c r="AM610" s="311">
        <v>0.36099999999999999</v>
      </c>
      <c r="AN610" s="311">
        <v>0.27989999999999998</v>
      </c>
      <c r="AO610" s="311">
        <v>0.25380000000000003</v>
      </c>
      <c r="AP610" s="311">
        <v>0.31929999999999997</v>
      </c>
      <c r="AQ610" s="311">
        <v>0</v>
      </c>
      <c r="AR610" s="311">
        <v>0.31659999999999999</v>
      </c>
      <c r="AS610" s="311">
        <v>0.19059999999999999</v>
      </c>
      <c r="AT610" s="311">
        <v>0.32550000000000001</v>
      </c>
      <c r="AU610" s="311">
        <v>0.2782</v>
      </c>
      <c r="AV610" s="311">
        <v>0.30840000000000001</v>
      </c>
      <c r="AW610" s="311">
        <v>0.2319</v>
      </c>
      <c r="AX610" s="311">
        <v>0</v>
      </c>
      <c r="AY610" s="311">
        <v>0.22239999999999999</v>
      </c>
      <c r="AZ610" s="311">
        <v>0.33350000000000002</v>
      </c>
      <c r="BA610" s="311">
        <v>0.21410000000000001</v>
      </c>
      <c r="BB610" s="311">
        <v>0</v>
      </c>
      <c r="BC610" s="311">
        <v>0.27679999999999999</v>
      </c>
      <c r="BD610" s="311">
        <v>0.29799999999999999</v>
      </c>
      <c r="BE610" s="311">
        <v>0.38429999999999997</v>
      </c>
      <c r="BF610" s="311">
        <v>0.30630000000000002</v>
      </c>
      <c r="BG610" s="311">
        <v>0.28470000000000001</v>
      </c>
      <c r="BH610" s="311">
        <v>0.3382</v>
      </c>
      <c r="BI610" s="311">
        <v>0.29039999999999999</v>
      </c>
      <c r="BJ610" s="311">
        <v>0.25380000000000003</v>
      </c>
      <c r="BK610" s="311">
        <v>0.26519999999999999</v>
      </c>
    </row>
    <row r="611" spans="1:63" x14ac:dyDescent="0.25">
      <c r="A611" s="306">
        <v>333120</v>
      </c>
      <c r="B611" s="311" t="s">
        <v>182</v>
      </c>
      <c r="C611" s="311">
        <v>0.45700000000000002</v>
      </c>
      <c r="D611" s="311">
        <v>0</v>
      </c>
      <c r="E611" s="311">
        <v>0.34739999999999999</v>
      </c>
      <c r="F611" s="311">
        <v>0.31680000000000003</v>
      </c>
      <c r="G611" s="311">
        <v>0.28910000000000002</v>
      </c>
      <c r="H611" s="311">
        <v>0.32419999999999999</v>
      </c>
      <c r="I611" s="311">
        <v>0.31830000000000003</v>
      </c>
      <c r="J611" s="311">
        <v>0.31080000000000002</v>
      </c>
      <c r="K611" s="311">
        <v>0</v>
      </c>
      <c r="L611" s="311">
        <v>0</v>
      </c>
      <c r="M611" s="311">
        <v>0.28179999999999999</v>
      </c>
      <c r="N611" s="311">
        <v>0.32500000000000001</v>
      </c>
      <c r="O611" s="311">
        <v>0</v>
      </c>
      <c r="P611" s="311">
        <v>0.30759999999999998</v>
      </c>
      <c r="Q611" s="311">
        <v>0.24890000000000001</v>
      </c>
      <c r="R611" s="311">
        <v>0.40060000000000001</v>
      </c>
      <c r="S611" s="311">
        <v>0.36399999999999999</v>
      </c>
      <c r="T611" s="311">
        <v>0.27589999999999998</v>
      </c>
      <c r="U611" s="311">
        <v>0.32740000000000002</v>
      </c>
      <c r="V611" s="311">
        <v>0.28520000000000001</v>
      </c>
      <c r="W611" s="311">
        <v>0.29099999999999998</v>
      </c>
      <c r="X611" s="311">
        <v>0.25309999999999999</v>
      </c>
      <c r="Y611" s="311">
        <v>0.26790000000000003</v>
      </c>
      <c r="Z611" s="311">
        <v>0.38690000000000002</v>
      </c>
      <c r="AA611" s="311">
        <v>0.33239999999999997</v>
      </c>
      <c r="AB611" s="311">
        <v>0.32829999999999998</v>
      </c>
      <c r="AC611" s="311">
        <v>0.29920000000000002</v>
      </c>
      <c r="AD611" s="311">
        <v>0.2248</v>
      </c>
      <c r="AE611" s="311">
        <v>0.34360000000000002</v>
      </c>
      <c r="AF611" s="311">
        <v>0.22509999999999999</v>
      </c>
      <c r="AG611" s="311">
        <v>0.2792</v>
      </c>
      <c r="AH611" s="311">
        <v>0.29249999999999998</v>
      </c>
      <c r="AI611" s="311">
        <v>0.28449999999999998</v>
      </c>
      <c r="AJ611" s="311">
        <v>0.22550000000000001</v>
      </c>
      <c r="AK611" s="311">
        <v>0</v>
      </c>
      <c r="AL611" s="311">
        <v>0.27739999999999998</v>
      </c>
      <c r="AM611" s="311">
        <v>0.39979999999999999</v>
      </c>
      <c r="AN611" s="311">
        <v>0.33779999999999999</v>
      </c>
      <c r="AO611" s="311">
        <v>0.31490000000000001</v>
      </c>
      <c r="AP611" s="311">
        <v>0.37859999999999999</v>
      </c>
      <c r="AQ611" s="311">
        <v>0.25140000000000001</v>
      </c>
      <c r="AR611" s="311">
        <v>0.34820000000000001</v>
      </c>
      <c r="AS611" s="311">
        <v>0.24329999999999999</v>
      </c>
      <c r="AT611" s="311">
        <v>0.3538</v>
      </c>
      <c r="AU611" s="311">
        <v>0.34010000000000001</v>
      </c>
      <c r="AV611" s="311">
        <v>0.35570000000000002</v>
      </c>
      <c r="AW611" s="311">
        <v>0.29449999999999998</v>
      </c>
      <c r="AX611" s="311">
        <v>0.23480000000000001</v>
      </c>
      <c r="AY611" s="311">
        <v>0.28470000000000001</v>
      </c>
      <c r="AZ611" s="311">
        <v>0.3705</v>
      </c>
      <c r="BA611" s="311">
        <v>0.25540000000000002</v>
      </c>
      <c r="BB611" s="311">
        <v>0.21329999999999999</v>
      </c>
      <c r="BC611" s="311">
        <v>0.33040000000000003</v>
      </c>
      <c r="BD611" s="311">
        <v>0.35049999999999998</v>
      </c>
      <c r="BE611" s="311">
        <v>0.42</v>
      </c>
      <c r="BF611" s="311">
        <v>0.35670000000000002</v>
      </c>
      <c r="BG611" s="311">
        <v>0.34</v>
      </c>
      <c r="BH611" s="311">
        <v>0.37069999999999997</v>
      </c>
      <c r="BI611" s="311">
        <v>0.3553</v>
      </c>
      <c r="BJ611" s="311">
        <v>0.31290000000000001</v>
      </c>
      <c r="BK611" s="311">
        <v>0.32879999999999998</v>
      </c>
    </row>
    <row r="612" spans="1:63" x14ac:dyDescent="0.25">
      <c r="A612" s="306">
        <v>333130</v>
      </c>
      <c r="B612" s="311" t="s">
        <v>183</v>
      </c>
      <c r="C612" s="311">
        <v>0.56969999999999998</v>
      </c>
      <c r="D612" s="311">
        <v>0.31430000000000002</v>
      </c>
      <c r="E612" s="311">
        <v>0.44369999999999998</v>
      </c>
      <c r="F612" s="311">
        <v>0.40150000000000002</v>
      </c>
      <c r="G612" s="311">
        <v>0.40889999999999999</v>
      </c>
      <c r="H612" s="311">
        <v>0.44919999999999999</v>
      </c>
      <c r="I612" s="311">
        <v>0.439</v>
      </c>
      <c r="J612" s="311">
        <v>0.4239</v>
      </c>
      <c r="K612" s="311">
        <v>0</v>
      </c>
      <c r="L612" s="311">
        <v>0</v>
      </c>
      <c r="M612" s="311">
        <v>0.3947</v>
      </c>
      <c r="N612" s="311">
        <v>0.41849999999999998</v>
      </c>
      <c r="O612" s="311">
        <v>0</v>
      </c>
      <c r="P612" s="311">
        <v>0.38519999999999999</v>
      </c>
      <c r="Q612" s="311">
        <v>0.3553</v>
      </c>
      <c r="R612" s="311">
        <v>0.50519999999999998</v>
      </c>
      <c r="S612" s="311">
        <v>0.45739999999999997</v>
      </c>
      <c r="T612" s="311">
        <v>0.36270000000000002</v>
      </c>
      <c r="U612" s="311">
        <v>0.4163</v>
      </c>
      <c r="V612" s="311">
        <v>0.41599999999999998</v>
      </c>
      <c r="W612" s="311">
        <v>0.4143</v>
      </c>
      <c r="X612" s="311">
        <v>0.3553</v>
      </c>
      <c r="Y612" s="311">
        <v>0</v>
      </c>
      <c r="Z612" s="311">
        <v>0.49590000000000001</v>
      </c>
      <c r="AA612" s="311">
        <v>0.44490000000000002</v>
      </c>
      <c r="AB612" s="311">
        <v>0.41370000000000001</v>
      </c>
      <c r="AC612" s="311">
        <v>0.38009999999999999</v>
      </c>
      <c r="AD612" s="311">
        <v>0</v>
      </c>
      <c r="AE612" s="311">
        <v>0.42859999999999998</v>
      </c>
      <c r="AF612" s="311">
        <v>0.31419999999999998</v>
      </c>
      <c r="AG612" s="311">
        <v>0.36870000000000003</v>
      </c>
      <c r="AH612" s="311">
        <v>0.3977</v>
      </c>
      <c r="AI612" s="311">
        <v>0.3886</v>
      </c>
      <c r="AJ612" s="311">
        <v>0.33090000000000003</v>
      </c>
      <c r="AK612" s="311">
        <v>0.38150000000000001</v>
      </c>
      <c r="AL612" s="311">
        <v>0.38950000000000001</v>
      </c>
      <c r="AM612" s="311">
        <v>0.499</v>
      </c>
      <c r="AN612" s="311">
        <v>0.4461</v>
      </c>
      <c r="AO612" s="311">
        <v>0.42809999999999998</v>
      </c>
      <c r="AP612" s="311">
        <v>0.49719999999999998</v>
      </c>
      <c r="AQ612" s="311">
        <v>0</v>
      </c>
      <c r="AR612" s="311">
        <v>0.44640000000000002</v>
      </c>
      <c r="AS612" s="311">
        <v>0</v>
      </c>
      <c r="AT612" s="311">
        <v>0.4446</v>
      </c>
      <c r="AU612" s="311">
        <v>0.4733</v>
      </c>
      <c r="AV612" s="311">
        <v>0.47399999999999998</v>
      </c>
      <c r="AW612" s="311">
        <v>0.3952</v>
      </c>
      <c r="AX612" s="311">
        <v>0.33550000000000002</v>
      </c>
      <c r="AY612" s="311">
        <v>0.39850000000000002</v>
      </c>
      <c r="AZ612" s="311">
        <v>0.46110000000000001</v>
      </c>
      <c r="BA612" s="311">
        <v>0.34689999999999999</v>
      </c>
      <c r="BB612" s="311">
        <v>0.32369999999999999</v>
      </c>
      <c r="BC612" s="311">
        <v>0.45950000000000002</v>
      </c>
      <c r="BD612" s="311">
        <v>0.4778</v>
      </c>
      <c r="BE612" s="311">
        <v>0.52080000000000004</v>
      </c>
      <c r="BF612" s="311">
        <v>0.44540000000000002</v>
      </c>
      <c r="BG612" s="311">
        <v>0.44180000000000003</v>
      </c>
      <c r="BH612" s="311">
        <v>0.46589999999999998</v>
      </c>
      <c r="BI612" s="311">
        <v>0.4824</v>
      </c>
      <c r="BJ612" s="311">
        <v>0.43190000000000001</v>
      </c>
      <c r="BK612" s="311">
        <v>0.45329999999999998</v>
      </c>
    </row>
    <row r="613" spans="1:63" x14ac:dyDescent="0.25">
      <c r="A613" s="306">
        <v>333220</v>
      </c>
      <c r="B613" s="311" t="s">
        <v>185</v>
      </c>
      <c r="C613" s="311">
        <v>0.59060000000000001</v>
      </c>
      <c r="D613" s="311">
        <v>0</v>
      </c>
      <c r="E613" s="311">
        <v>0.45879999999999999</v>
      </c>
      <c r="F613" s="311">
        <v>0.43130000000000002</v>
      </c>
      <c r="G613" s="311">
        <v>0.44469999999999998</v>
      </c>
      <c r="H613" s="311">
        <v>0.48520000000000002</v>
      </c>
      <c r="I613" s="311">
        <v>0.46400000000000002</v>
      </c>
      <c r="J613" s="311">
        <v>0.4662</v>
      </c>
      <c r="K613" s="311">
        <v>0</v>
      </c>
      <c r="L613" s="311">
        <v>0</v>
      </c>
      <c r="M613" s="311">
        <v>0.4325</v>
      </c>
      <c r="N613" s="311">
        <v>0.44840000000000002</v>
      </c>
      <c r="O613" s="311">
        <v>0</v>
      </c>
      <c r="P613" s="311">
        <v>0.41639999999999999</v>
      </c>
      <c r="Q613" s="311">
        <v>0</v>
      </c>
      <c r="R613" s="311">
        <v>0.53449999999999998</v>
      </c>
      <c r="S613" s="311">
        <v>0.47399999999999998</v>
      </c>
      <c r="T613" s="311">
        <v>0.40110000000000001</v>
      </c>
      <c r="U613" s="311">
        <v>0.4335</v>
      </c>
      <c r="V613" s="311">
        <v>0.43109999999999998</v>
      </c>
      <c r="W613" s="311">
        <v>0.45469999999999999</v>
      </c>
      <c r="X613" s="311">
        <v>0.37859999999999999</v>
      </c>
      <c r="Y613" s="311">
        <v>0</v>
      </c>
      <c r="Z613" s="311">
        <v>0.52459999999999996</v>
      </c>
      <c r="AA613" s="311">
        <v>0.48709999999999998</v>
      </c>
      <c r="AB613" s="311">
        <v>0.438</v>
      </c>
      <c r="AC613" s="311">
        <v>0.3997</v>
      </c>
      <c r="AD613" s="311">
        <v>0</v>
      </c>
      <c r="AE613" s="311">
        <v>0.45960000000000001</v>
      </c>
      <c r="AF613" s="311">
        <v>0.34339999999999998</v>
      </c>
      <c r="AG613" s="311">
        <v>0.40579999999999999</v>
      </c>
      <c r="AH613" s="311">
        <v>0.43769999999999998</v>
      </c>
      <c r="AI613" s="311">
        <v>0.43049999999999999</v>
      </c>
      <c r="AJ613" s="311">
        <v>0.35809999999999997</v>
      </c>
      <c r="AK613" s="311">
        <v>0</v>
      </c>
      <c r="AL613" s="311">
        <v>0.43049999999999999</v>
      </c>
      <c r="AM613" s="311">
        <v>0.52790000000000004</v>
      </c>
      <c r="AN613" s="311">
        <v>0.4652</v>
      </c>
      <c r="AO613" s="311">
        <v>0.45889999999999997</v>
      </c>
      <c r="AP613" s="311">
        <v>0.52329999999999999</v>
      </c>
      <c r="AQ613" s="311">
        <v>0.38719999999999999</v>
      </c>
      <c r="AR613" s="311">
        <v>0.46</v>
      </c>
      <c r="AS613" s="311">
        <v>0</v>
      </c>
      <c r="AT613" s="311">
        <v>0.46379999999999999</v>
      </c>
      <c r="AU613" s="311">
        <v>0.4995</v>
      </c>
      <c r="AV613" s="311">
        <v>0.49120000000000003</v>
      </c>
      <c r="AW613" s="311">
        <v>0.43969999999999998</v>
      </c>
      <c r="AX613" s="311">
        <v>0.36849999999999999</v>
      </c>
      <c r="AY613" s="311">
        <v>0.43919999999999998</v>
      </c>
      <c r="AZ613" s="311">
        <v>0.49769999999999998</v>
      </c>
      <c r="BA613" s="311">
        <v>0.36270000000000002</v>
      </c>
      <c r="BB613" s="311">
        <v>0</v>
      </c>
      <c r="BC613" s="311">
        <v>0.50360000000000005</v>
      </c>
      <c r="BD613" s="311">
        <v>0.51359999999999995</v>
      </c>
      <c r="BE613" s="311">
        <v>0.54910000000000003</v>
      </c>
      <c r="BF613" s="311">
        <v>0.48010000000000003</v>
      </c>
      <c r="BG613" s="311">
        <v>0.47720000000000001</v>
      </c>
      <c r="BH613" s="311">
        <v>0.48080000000000001</v>
      </c>
      <c r="BI613" s="311">
        <v>0.50560000000000005</v>
      </c>
      <c r="BJ613" s="311">
        <v>0.45839999999999997</v>
      </c>
      <c r="BK613" s="311">
        <v>0.49049999999999999</v>
      </c>
    </row>
    <row r="614" spans="1:63" x14ac:dyDescent="0.25">
      <c r="A614" s="306">
        <v>333295</v>
      </c>
      <c r="B614" s="311" t="s">
        <v>186</v>
      </c>
      <c r="C614" s="311">
        <v>0.5625</v>
      </c>
      <c r="D614" s="311">
        <v>0</v>
      </c>
      <c r="E614" s="311">
        <v>0.4168</v>
      </c>
      <c r="F614" s="311">
        <v>0.40350000000000003</v>
      </c>
      <c r="G614" s="311">
        <v>0.44400000000000001</v>
      </c>
      <c r="H614" s="311">
        <v>0.49</v>
      </c>
      <c r="I614" s="311">
        <v>0.45119999999999999</v>
      </c>
      <c r="J614" s="311">
        <v>0.45750000000000002</v>
      </c>
      <c r="K614" s="311">
        <v>0</v>
      </c>
      <c r="L614" s="311">
        <v>0</v>
      </c>
      <c r="M614" s="311">
        <v>0.42449999999999999</v>
      </c>
      <c r="N614" s="311">
        <v>0.43769999999999998</v>
      </c>
      <c r="O614" s="311">
        <v>0</v>
      </c>
      <c r="P614" s="311">
        <v>0.38100000000000001</v>
      </c>
      <c r="Q614" s="311">
        <v>0.38469999999999999</v>
      </c>
      <c r="R614" s="311">
        <v>0.48380000000000001</v>
      </c>
      <c r="S614" s="311">
        <v>0</v>
      </c>
      <c r="T614" s="311">
        <v>0</v>
      </c>
      <c r="U614" s="311">
        <v>0.4042</v>
      </c>
      <c r="V614" s="311">
        <v>0</v>
      </c>
      <c r="W614" s="311">
        <v>0.46</v>
      </c>
      <c r="X614" s="311">
        <v>0.36820000000000003</v>
      </c>
      <c r="Y614" s="311">
        <v>0</v>
      </c>
      <c r="Z614" s="311">
        <v>0.47199999999999998</v>
      </c>
      <c r="AA614" s="311">
        <v>0.46879999999999999</v>
      </c>
      <c r="AB614" s="311">
        <v>0</v>
      </c>
      <c r="AC614" s="311">
        <v>0</v>
      </c>
      <c r="AD614" s="311">
        <v>0.37140000000000001</v>
      </c>
      <c r="AE614" s="311">
        <v>0.43290000000000001</v>
      </c>
      <c r="AF614" s="311">
        <v>0</v>
      </c>
      <c r="AG614" s="311">
        <v>0</v>
      </c>
      <c r="AH614" s="311">
        <v>0.42299999999999999</v>
      </c>
      <c r="AI614" s="311">
        <v>0.41649999999999998</v>
      </c>
      <c r="AJ614" s="311">
        <v>0</v>
      </c>
      <c r="AK614" s="311">
        <v>0</v>
      </c>
      <c r="AL614" s="311">
        <v>0.4173</v>
      </c>
      <c r="AM614" s="311">
        <v>0.47499999999999998</v>
      </c>
      <c r="AN614" s="311">
        <v>0</v>
      </c>
      <c r="AO614" s="311">
        <v>0.44919999999999999</v>
      </c>
      <c r="AP614" s="311">
        <v>0.49180000000000001</v>
      </c>
      <c r="AQ614" s="311">
        <v>0</v>
      </c>
      <c r="AR614" s="311">
        <v>0</v>
      </c>
      <c r="AS614" s="311">
        <v>0</v>
      </c>
      <c r="AT614" s="311">
        <v>0.42799999999999999</v>
      </c>
      <c r="AU614" s="311">
        <v>0.4703</v>
      </c>
      <c r="AV614" s="311">
        <v>0.45829999999999999</v>
      </c>
      <c r="AW614" s="311">
        <v>0.4224</v>
      </c>
      <c r="AX614" s="311">
        <v>0.37480000000000002</v>
      </c>
      <c r="AY614" s="311">
        <v>0</v>
      </c>
      <c r="AZ614" s="311">
        <v>0.45279999999999998</v>
      </c>
      <c r="BA614" s="311">
        <v>0</v>
      </c>
      <c r="BB614" s="311">
        <v>0</v>
      </c>
      <c r="BC614" s="311">
        <v>0.50219999999999998</v>
      </c>
      <c r="BD614" s="311">
        <v>0.48120000000000002</v>
      </c>
      <c r="BE614" s="311">
        <v>0.49459999999999998</v>
      </c>
      <c r="BF614" s="311">
        <v>0.45090000000000002</v>
      </c>
      <c r="BG614" s="311">
        <v>0.45779999999999998</v>
      </c>
      <c r="BH614" s="311">
        <v>0.43530000000000002</v>
      </c>
      <c r="BI614" s="311">
        <v>0.47149999999999997</v>
      </c>
      <c r="BJ614" s="311">
        <v>0.45669999999999999</v>
      </c>
      <c r="BK614" s="311">
        <v>0.49030000000000001</v>
      </c>
    </row>
    <row r="615" spans="1:63" x14ac:dyDescent="0.25">
      <c r="A615" s="306" t="s">
        <v>730</v>
      </c>
      <c r="B615" s="311" t="s">
        <v>184</v>
      </c>
      <c r="C615" s="311">
        <v>0.60129999999999995</v>
      </c>
      <c r="D615" s="311">
        <v>0</v>
      </c>
      <c r="E615" s="311">
        <v>0.47260000000000002</v>
      </c>
      <c r="F615" s="311">
        <v>0.45240000000000002</v>
      </c>
      <c r="G615" s="311">
        <v>0.45</v>
      </c>
      <c r="H615" s="311">
        <v>0.498</v>
      </c>
      <c r="I615" s="311">
        <v>0.48080000000000001</v>
      </c>
      <c r="J615" s="311">
        <v>0.47939999999999999</v>
      </c>
      <c r="K615" s="311">
        <v>0</v>
      </c>
      <c r="L615" s="311">
        <v>0.34439999999999998</v>
      </c>
      <c r="M615" s="311">
        <v>0.44240000000000002</v>
      </c>
      <c r="N615" s="311">
        <v>0.47139999999999999</v>
      </c>
      <c r="O615" s="311">
        <v>0</v>
      </c>
      <c r="P615" s="311">
        <v>0.42680000000000001</v>
      </c>
      <c r="Q615" s="311">
        <v>0.40920000000000001</v>
      </c>
      <c r="R615" s="311">
        <v>0.54359999999999997</v>
      </c>
      <c r="S615" s="311">
        <v>0.49399999999999999</v>
      </c>
      <c r="T615" s="311">
        <v>0.40689999999999998</v>
      </c>
      <c r="U615" s="311">
        <v>0.45650000000000002</v>
      </c>
      <c r="V615" s="311">
        <v>0.44950000000000001</v>
      </c>
      <c r="W615" s="311">
        <v>0.46929999999999999</v>
      </c>
      <c r="X615" s="311">
        <v>0.39400000000000002</v>
      </c>
      <c r="Y615" s="311">
        <v>0.42899999999999999</v>
      </c>
      <c r="Z615" s="311">
        <v>0.53520000000000001</v>
      </c>
      <c r="AA615" s="311">
        <v>0.50309999999999999</v>
      </c>
      <c r="AB615" s="311">
        <v>0.4617</v>
      </c>
      <c r="AC615" s="311">
        <v>0.40970000000000001</v>
      </c>
      <c r="AD615" s="311">
        <v>0.37630000000000002</v>
      </c>
      <c r="AE615" s="311">
        <v>0.4748</v>
      </c>
      <c r="AF615" s="311">
        <v>0.35610000000000003</v>
      </c>
      <c r="AG615" s="311">
        <v>0.41349999999999998</v>
      </c>
      <c r="AH615" s="311">
        <v>0.45090000000000002</v>
      </c>
      <c r="AI615" s="311">
        <v>0.44280000000000003</v>
      </c>
      <c r="AJ615" s="311">
        <v>0.37119999999999997</v>
      </c>
      <c r="AK615" s="311">
        <v>0.41760000000000003</v>
      </c>
      <c r="AL615" s="311">
        <v>0.44529999999999997</v>
      </c>
      <c r="AM615" s="311">
        <v>0.53849999999999998</v>
      </c>
      <c r="AN615" s="311">
        <v>0.47299999999999998</v>
      </c>
      <c r="AO615" s="311">
        <v>0.47649999999999998</v>
      </c>
      <c r="AP615" s="311">
        <v>0.53500000000000003</v>
      </c>
      <c r="AQ615" s="311">
        <v>0.40670000000000001</v>
      </c>
      <c r="AR615" s="311">
        <v>0.48159999999999997</v>
      </c>
      <c r="AS615" s="311">
        <v>0.376</v>
      </c>
      <c r="AT615" s="311">
        <v>0.47760000000000002</v>
      </c>
      <c r="AU615" s="311">
        <v>0.50670000000000004</v>
      </c>
      <c r="AV615" s="311">
        <v>0.49909999999999999</v>
      </c>
      <c r="AW615" s="311">
        <v>0.44600000000000001</v>
      </c>
      <c r="AX615" s="311">
        <v>0.38159999999999999</v>
      </c>
      <c r="AY615" s="311">
        <v>0.4516</v>
      </c>
      <c r="AZ615" s="311">
        <v>0.50529999999999997</v>
      </c>
      <c r="BA615" s="311">
        <v>0.37759999999999999</v>
      </c>
      <c r="BB615" s="311">
        <v>0.36309999999999998</v>
      </c>
      <c r="BC615" s="311">
        <v>0.5181</v>
      </c>
      <c r="BD615" s="311">
        <v>0.52590000000000003</v>
      </c>
      <c r="BE615" s="311">
        <v>0.55920000000000003</v>
      </c>
      <c r="BF615" s="311">
        <v>0.49590000000000001</v>
      </c>
      <c r="BG615" s="311">
        <v>0.49159999999999998</v>
      </c>
      <c r="BH615" s="311">
        <v>0.49530000000000002</v>
      </c>
      <c r="BI615" s="311">
        <v>0.51449999999999996</v>
      </c>
      <c r="BJ615" s="311">
        <v>0.4677</v>
      </c>
      <c r="BK615" s="311">
        <v>0.50239999999999996</v>
      </c>
    </row>
    <row r="616" spans="1:63" x14ac:dyDescent="0.25">
      <c r="A616" s="306">
        <v>333314</v>
      </c>
      <c r="B616" s="311" t="s">
        <v>188</v>
      </c>
      <c r="C616" s="311">
        <v>0.60399999999999998</v>
      </c>
      <c r="D616" s="311">
        <v>0</v>
      </c>
      <c r="E616" s="311">
        <v>0.4748</v>
      </c>
      <c r="F616" s="311">
        <v>0.45319999999999999</v>
      </c>
      <c r="G616" s="311">
        <v>0.48570000000000002</v>
      </c>
      <c r="H616" s="311">
        <v>0.53100000000000003</v>
      </c>
      <c r="I616" s="311">
        <v>0.51629999999999998</v>
      </c>
      <c r="J616" s="311">
        <v>0.48930000000000001</v>
      </c>
      <c r="K616" s="311">
        <v>0</v>
      </c>
      <c r="L616" s="311">
        <v>0.36730000000000002</v>
      </c>
      <c r="M616" s="311">
        <v>0.48630000000000001</v>
      </c>
      <c r="N616" s="311">
        <v>0.50690000000000002</v>
      </c>
      <c r="O616" s="311">
        <v>0.38490000000000002</v>
      </c>
      <c r="P616" s="311">
        <v>0.42509999999999998</v>
      </c>
      <c r="Q616" s="311">
        <v>0.43390000000000001</v>
      </c>
      <c r="R616" s="311">
        <v>0.53269999999999995</v>
      </c>
      <c r="S616" s="311">
        <v>0.48309999999999997</v>
      </c>
      <c r="T616" s="311">
        <v>0.41649999999999998</v>
      </c>
      <c r="U616" s="311">
        <v>0.46189999999999998</v>
      </c>
      <c r="V616" s="311">
        <v>0.46160000000000001</v>
      </c>
      <c r="W616" s="311">
        <v>0.49859999999999999</v>
      </c>
      <c r="X616" s="311">
        <v>0.42199999999999999</v>
      </c>
      <c r="Y616" s="311">
        <v>0.45250000000000001</v>
      </c>
      <c r="Z616" s="311">
        <v>0.52459999999999996</v>
      </c>
      <c r="AA616" s="311">
        <v>0.51470000000000005</v>
      </c>
      <c r="AB616" s="311">
        <v>0.47320000000000001</v>
      </c>
      <c r="AC616" s="311">
        <v>0.41820000000000002</v>
      </c>
      <c r="AD616" s="311">
        <v>0.40620000000000001</v>
      </c>
      <c r="AE616" s="311">
        <v>0.49099999999999999</v>
      </c>
      <c r="AF616" s="311">
        <v>0.39450000000000002</v>
      </c>
      <c r="AG616" s="311">
        <v>0.42780000000000001</v>
      </c>
      <c r="AH616" s="311">
        <v>0.46820000000000001</v>
      </c>
      <c r="AI616" s="311">
        <v>0.48530000000000001</v>
      </c>
      <c r="AJ616" s="311">
        <v>0.41110000000000002</v>
      </c>
      <c r="AK616" s="311">
        <v>0.45800000000000002</v>
      </c>
      <c r="AL616" s="311">
        <v>0.47620000000000001</v>
      </c>
      <c r="AM616" s="311">
        <v>0.52910000000000001</v>
      </c>
      <c r="AN616" s="311">
        <v>0.47439999999999999</v>
      </c>
      <c r="AO616" s="311">
        <v>0.49719999999999998</v>
      </c>
      <c r="AP616" s="311">
        <v>0.53539999999999999</v>
      </c>
      <c r="AQ616" s="311">
        <v>0.4229</v>
      </c>
      <c r="AR616" s="311">
        <v>0</v>
      </c>
      <c r="AS616" s="311">
        <v>0</v>
      </c>
      <c r="AT616" s="311">
        <v>0.48649999999999999</v>
      </c>
      <c r="AU616" s="311">
        <v>0.52329999999999999</v>
      </c>
      <c r="AV616" s="311">
        <v>0.51559999999999995</v>
      </c>
      <c r="AW616" s="311">
        <v>0.46920000000000001</v>
      </c>
      <c r="AX616" s="311">
        <v>0.40500000000000003</v>
      </c>
      <c r="AY616" s="311">
        <v>0.48409999999999997</v>
      </c>
      <c r="AZ616" s="311">
        <v>0.50460000000000005</v>
      </c>
      <c r="BA616" s="311">
        <v>0.39550000000000002</v>
      </c>
      <c r="BB616" s="311">
        <v>0</v>
      </c>
      <c r="BC616" s="311">
        <v>0.54320000000000002</v>
      </c>
      <c r="BD616" s="311">
        <v>0.54630000000000001</v>
      </c>
      <c r="BE616" s="311">
        <v>0.55220000000000002</v>
      </c>
      <c r="BF616" s="311">
        <v>0.50239999999999996</v>
      </c>
      <c r="BG616" s="311">
        <v>0.5232</v>
      </c>
      <c r="BH616" s="311">
        <v>0.49619999999999997</v>
      </c>
      <c r="BI616" s="311">
        <v>0.52439999999999998</v>
      </c>
      <c r="BJ616" s="311">
        <v>0.50439999999999996</v>
      </c>
      <c r="BK616" s="311">
        <v>0.53349999999999997</v>
      </c>
    </row>
    <row r="617" spans="1:63" x14ac:dyDescent="0.25">
      <c r="A617" s="306">
        <v>333315</v>
      </c>
      <c r="B617" s="311" t="s">
        <v>189</v>
      </c>
      <c r="C617" s="311">
        <v>0.4476</v>
      </c>
      <c r="D617" s="311">
        <v>0</v>
      </c>
      <c r="E617" s="311">
        <v>0.3463</v>
      </c>
      <c r="F617" s="311">
        <v>0</v>
      </c>
      <c r="G617" s="311">
        <v>0.33139999999999997</v>
      </c>
      <c r="H617" s="311">
        <v>0.36799999999999999</v>
      </c>
      <c r="I617" s="311">
        <v>0.35580000000000001</v>
      </c>
      <c r="J617" s="311">
        <v>0.35399999999999998</v>
      </c>
      <c r="K617" s="311">
        <v>0</v>
      </c>
      <c r="L617" s="311">
        <v>0</v>
      </c>
      <c r="M617" s="311">
        <v>0.32829999999999998</v>
      </c>
      <c r="N617" s="311">
        <v>0.3589</v>
      </c>
      <c r="O617" s="311">
        <v>0</v>
      </c>
      <c r="P617" s="311">
        <v>0</v>
      </c>
      <c r="Q617" s="311">
        <v>0.31259999999999999</v>
      </c>
      <c r="R617" s="311">
        <v>0.38579999999999998</v>
      </c>
      <c r="S617" s="311">
        <v>0.36049999999999999</v>
      </c>
      <c r="T617" s="311">
        <v>0.29530000000000001</v>
      </c>
      <c r="U617" s="311">
        <v>0.33860000000000001</v>
      </c>
      <c r="V617" s="311">
        <v>0</v>
      </c>
      <c r="W617" s="311">
        <v>0.35749999999999998</v>
      </c>
      <c r="X617" s="311">
        <v>0.28220000000000001</v>
      </c>
      <c r="Y617" s="311">
        <v>0.31969999999999998</v>
      </c>
      <c r="Z617" s="311">
        <v>0.3821</v>
      </c>
      <c r="AA617" s="311">
        <v>0.36799999999999999</v>
      </c>
      <c r="AB617" s="311">
        <v>0.3397</v>
      </c>
      <c r="AC617" s="311">
        <v>0</v>
      </c>
      <c r="AD617" s="311">
        <v>0.28070000000000001</v>
      </c>
      <c r="AE617" s="311">
        <v>0.3609</v>
      </c>
      <c r="AF617" s="311">
        <v>0.27229999999999999</v>
      </c>
      <c r="AG617" s="311">
        <v>0.30199999999999999</v>
      </c>
      <c r="AH617" s="311">
        <v>0.32</v>
      </c>
      <c r="AI617" s="311">
        <v>0.3357</v>
      </c>
      <c r="AJ617" s="311">
        <v>0.28270000000000001</v>
      </c>
      <c r="AK617" s="311">
        <v>0</v>
      </c>
      <c r="AL617" s="311">
        <v>0.32840000000000003</v>
      </c>
      <c r="AM617" s="311">
        <v>0.39379999999999998</v>
      </c>
      <c r="AN617" s="311">
        <v>0.32379999999999998</v>
      </c>
      <c r="AO617" s="311">
        <v>0.34989999999999999</v>
      </c>
      <c r="AP617" s="311">
        <v>0.3856</v>
      </c>
      <c r="AQ617" s="311">
        <v>0</v>
      </c>
      <c r="AR617" s="311">
        <v>0.3543</v>
      </c>
      <c r="AS617" s="311">
        <v>0</v>
      </c>
      <c r="AT617" s="311">
        <v>0.35189999999999999</v>
      </c>
      <c r="AU617" s="311">
        <v>0.3826</v>
      </c>
      <c r="AV617" s="311">
        <v>0.36349999999999999</v>
      </c>
      <c r="AW617" s="311">
        <v>0.33379999999999999</v>
      </c>
      <c r="AX617" s="311">
        <v>0</v>
      </c>
      <c r="AY617" s="311">
        <v>0.33040000000000003</v>
      </c>
      <c r="AZ617" s="311">
        <v>0.3674</v>
      </c>
      <c r="BA617" s="311">
        <v>0</v>
      </c>
      <c r="BB617" s="311">
        <v>0</v>
      </c>
      <c r="BC617" s="311">
        <v>0.39350000000000002</v>
      </c>
      <c r="BD617" s="311">
        <v>0.3866</v>
      </c>
      <c r="BE617" s="311">
        <v>0.40350000000000003</v>
      </c>
      <c r="BF617" s="311">
        <v>0.35970000000000002</v>
      </c>
      <c r="BG617" s="311">
        <v>0.36909999999999998</v>
      </c>
      <c r="BH617" s="311">
        <v>0.36649999999999999</v>
      </c>
      <c r="BI617" s="311">
        <v>0.38850000000000001</v>
      </c>
      <c r="BJ617" s="311">
        <v>0.34899999999999998</v>
      </c>
      <c r="BK617" s="311">
        <v>0.36919999999999997</v>
      </c>
    </row>
    <row r="618" spans="1:63" x14ac:dyDescent="0.25">
      <c r="A618" s="306">
        <v>333319</v>
      </c>
      <c r="B618" s="311" t="s">
        <v>190</v>
      </c>
      <c r="C618" s="311">
        <v>0.48930000000000001</v>
      </c>
      <c r="D618" s="311">
        <v>0</v>
      </c>
      <c r="E618" s="311">
        <v>0.371</v>
      </c>
      <c r="F618" s="311">
        <v>0.35589999999999999</v>
      </c>
      <c r="G618" s="311">
        <v>0.34870000000000001</v>
      </c>
      <c r="H618" s="311">
        <v>0.40129999999999999</v>
      </c>
      <c r="I618" s="311">
        <v>0.373</v>
      </c>
      <c r="J618" s="311">
        <v>0.37630000000000002</v>
      </c>
      <c r="K618" s="311">
        <v>0</v>
      </c>
      <c r="L618" s="311">
        <v>0</v>
      </c>
      <c r="M618" s="311">
        <v>0.3518</v>
      </c>
      <c r="N618" s="311">
        <v>0.37609999999999999</v>
      </c>
      <c r="O618" s="311">
        <v>0.26429999999999998</v>
      </c>
      <c r="P618" s="311">
        <v>0.32190000000000002</v>
      </c>
      <c r="Q618" s="311">
        <v>0.30859999999999999</v>
      </c>
      <c r="R618" s="311">
        <v>0.43059999999999998</v>
      </c>
      <c r="S618" s="311">
        <v>0.38469999999999999</v>
      </c>
      <c r="T618" s="311">
        <v>0.312</v>
      </c>
      <c r="U618" s="311">
        <v>0.36180000000000001</v>
      </c>
      <c r="V618" s="311">
        <v>0.3453</v>
      </c>
      <c r="W618" s="311">
        <v>0.37290000000000001</v>
      </c>
      <c r="X618" s="311">
        <v>0.30380000000000001</v>
      </c>
      <c r="Y618" s="311">
        <v>0.3332</v>
      </c>
      <c r="Z618" s="311">
        <v>0.40689999999999998</v>
      </c>
      <c r="AA618" s="311">
        <v>0.39450000000000002</v>
      </c>
      <c r="AB618" s="311">
        <v>0.36209999999999998</v>
      </c>
      <c r="AC618" s="311">
        <v>0.31900000000000001</v>
      </c>
      <c r="AD618" s="311">
        <v>0.28499999999999998</v>
      </c>
      <c r="AE618" s="311">
        <v>0.37440000000000001</v>
      </c>
      <c r="AF618" s="311">
        <v>0.2732</v>
      </c>
      <c r="AG618" s="311">
        <v>0.31790000000000002</v>
      </c>
      <c r="AH618" s="311">
        <v>0.35289999999999999</v>
      </c>
      <c r="AI618" s="311">
        <v>0.35389999999999999</v>
      </c>
      <c r="AJ618" s="311">
        <v>0.28570000000000001</v>
      </c>
      <c r="AK618" s="311">
        <v>0.3281</v>
      </c>
      <c r="AL618" s="311">
        <v>0.3448</v>
      </c>
      <c r="AM618" s="311">
        <v>0.42149999999999999</v>
      </c>
      <c r="AN618" s="311">
        <v>0.36670000000000003</v>
      </c>
      <c r="AO618" s="311">
        <v>0.36270000000000002</v>
      </c>
      <c r="AP618" s="311">
        <v>0.42299999999999999</v>
      </c>
      <c r="AQ618" s="311">
        <v>0.31909999999999999</v>
      </c>
      <c r="AR618" s="311">
        <v>0.37390000000000001</v>
      </c>
      <c r="AS618" s="311">
        <v>0.28610000000000002</v>
      </c>
      <c r="AT618" s="311">
        <v>0.3755</v>
      </c>
      <c r="AU618" s="311">
        <v>0.40760000000000002</v>
      </c>
      <c r="AV618" s="311">
        <v>0.39100000000000001</v>
      </c>
      <c r="AW618" s="311">
        <v>0.34460000000000002</v>
      </c>
      <c r="AX618" s="311">
        <v>0.2964</v>
      </c>
      <c r="AY618" s="311">
        <v>0.3453</v>
      </c>
      <c r="AZ618" s="311">
        <v>0.3957</v>
      </c>
      <c r="BA618" s="311">
        <v>0</v>
      </c>
      <c r="BB618" s="311">
        <v>0.27460000000000001</v>
      </c>
      <c r="BC618" s="311">
        <v>0.41210000000000002</v>
      </c>
      <c r="BD618" s="311">
        <v>0.41570000000000001</v>
      </c>
      <c r="BE618" s="311">
        <v>0.44130000000000003</v>
      </c>
      <c r="BF618" s="311">
        <v>0.3876</v>
      </c>
      <c r="BG618" s="311">
        <v>0.3931</v>
      </c>
      <c r="BH618" s="311">
        <v>0.39150000000000001</v>
      </c>
      <c r="BI618" s="311">
        <v>0.41420000000000001</v>
      </c>
      <c r="BJ618" s="311">
        <v>0.3679</v>
      </c>
      <c r="BK618" s="311">
        <v>0.39989999999999998</v>
      </c>
    </row>
    <row r="619" spans="1:63" x14ac:dyDescent="0.25">
      <c r="A619" s="306" t="s">
        <v>731</v>
      </c>
      <c r="B619" s="311" t="s">
        <v>187</v>
      </c>
      <c r="C619" s="311">
        <v>0.54700000000000004</v>
      </c>
      <c r="D619" s="311">
        <v>0</v>
      </c>
      <c r="E619" s="311">
        <v>0.39739999999999998</v>
      </c>
      <c r="F619" s="311">
        <v>0.3745</v>
      </c>
      <c r="G619" s="311">
        <v>0.3841</v>
      </c>
      <c r="H619" s="311">
        <v>0.4395</v>
      </c>
      <c r="I619" s="311">
        <v>0.41510000000000002</v>
      </c>
      <c r="J619" s="311">
        <v>0.41889999999999999</v>
      </c>
      <c r="K619" s="311">
        <v>0</v>
      </c>
      <c r="L619" s="311">
        <v>0</v>
      </c>
      <c r="M619" s="311">
        <v>0.38850000000000001</v>
      </c>
      <c r="N619" s="311">
        <v>0.41560000000000002</v>
      </c>
      <c r="O619" s="311">
        <v>0</v>
      </c>
      <c r="P619" s="311">
        <v>0.34329999999999999</v>
      </c>
      <c r="Q619" s="311">
        <v>0.3256</v>
      </c>
      <c r="R619" s="311">
        <v>0.48080000000000001</v>
      </c>
      <c r="S619" s="311">
        <v>0.41299999999999998</v>
      </c>
      <c r="T619" s="311">
        <v>0.32519999999999999</v>
      </c>
      <c r="U619" s="311">
        <v>0.3861</v>
      </c>
      <c r="V619" s="311">
        <v>0.37959999999999999</v>
      </c>
      <c r="W619" s="311">
        <v>0.41599999999999998</v>
      </c>
      <c r="X619" s="311">
        <v>0.3407</v>
      </c>
      <c r="Y619" s="311">
        <v>0</v>
      </c>
      <c r="Z619" s="311">
        <v>0.44829999999999998</v>
      </c>
      <c r="AA619" s="311">
        <v>0.43780000000000002</v>
      </c>
      <c r="AB619" s="311">
        <v>0.40179999999999999</v>
      </c>
      <c r="AC619" s="311">
        <v>0</v>
      </c>
      <c r="AD619" s="311">
        <v>0.2984</v>
      </c>
      <c r="AE619" s="311">
        <v>0.41959999999999997</v>
      </c>
      <c r="AF619" s="311">
        <v>0</v>
      </c>
      <c r="AG619" s="311">
        <v>0.33360000000000001</v>
      </c>
      <c r="AH619" s="311">
        <v>0.38729999999999998</v>
      </c>
      <c r="AI619" s="311">
        <v>0.4017</v>
      </c>
      <c r="AJ619" s="311">
        <v>0</v>
      </c>
      <c r="AK619" s="311">
        <v>0</v>
      </c>
      <c r="AL619" s="311">
        <v>0.37759999999999999</v>
      </c>
      <c r="AM619" s="311">
        <v>0.4597</v>
      </c>
      <c r="AN619" s="311">
        <v>0.3906</v>
      </c>
      <c r="AO619" s="311">
        <v>0.38190000000000002</v>
      </c>
      <c r="AP619" s="311">
        <v>0.47320000000000001</v>
      </c>
      <c r="AQ619" s="311">
        <v>0</v>
      </c>
      <c r="AR619" s="311">
        <v>0.4148</v>
      </c>
      <c r="AS619" s="311">
        <v>0</v>
      </c>
      <c r="AT619" s="311">
        <v>0.41689999999999999</v>
      </c>
      <c r="AU619" s="311">
        <v>0.45629999999999998</v>
      </c>
      <c r="AV619" s="311">
        <v>0.41920000000000002</v>
      </c>
      <c r="AW619" s="311">
        <v>0.38319999999999999</v>
      </c>
      <c r="AX619" s="311">
        <v>0</v>
      </c>
      <c r="AY619" s="311">
        <v>0.3674</v>
      </c>
      <c r="AZ619" s="311">
        <v>0.4269</v>
      </c>
      <c r="BA619" s="311">
        <v>0.30649999999999999</v>
      </c>
      <c r="BB619" s="311">
        <v>0.28860000000000002</v>
      </c>
      <c r="BC619" s="311">
        <v>0.45860000000000001</v>
      </c>
      <c r="BD619" s="311">
        <v>0.46660000000000001</v>
      </c>
      <c r="BE619" s="311">
        <v>0.4924</v>
      </c>
      <c r="BF619" s="311">
        <v>0.42230000000000001</v>
      </c>
      <c r="BG619" s="311">
        <v>0.44280000000000003</v>
      </c>
      <c r="BH619" s="311">
        <v>0.42720000000000002</v>
      </c>
      <c r="BI619" s="311">
        <v>0.46089999999999998</v>
      </c>
      <c r="BJ619" s="311">
        <v>0.4032</v>
      </c>
      <c r="BK619" s="311">
        <v>0.43340000000000001</v>
      </c>
    </row>
    <row r="620" spans="1:63" x14ac:dyDescent="0.25">
      <c r="A620" s="306">
        <v>333414</v>
      </c>
      <c r="B620" s="311" t="s">
        <v>5</v>
      </c>
      <c r="C620" s="311">
        <v>0.52270000000000005</v>
      </c>
      <c r="D620" s="311">
        <v>0.29139999999999999</v>
      </c>
      <c r="E620" s="311">
        <v>0.3977</v>
      </c>
      <c r="F620" s="311">
        <v>0</v>
      </c>
      <c r="G620" s="311">
        <v>0.36859999999999998</v>
      </c>
      <c r="H620" s="311">
        <v>0.41070000000000001</v>
      </c>
      <c r="I620" s="311">
        <v>0.38829999999999998</v>
      </c>
      <c r="J620" s="311">
        <v>0.38800000000000001</v>
      </c>
      <c r="K620" s="311">
        <v>0</v>
      </c>
      <c r="L620" s="311">
        <v>0.28749999999999998</v>
      </c>
      <c r="M620" s="311">
        <v>0.35809999999999997</v>
      </c>
      <c r="N620" s="311">
        <v>0.3982</v>
      </c>
      <c r="O620" s="311">
        <v>0.27860000000000001</v>
      </c>
      <c r="P620" s="311">
        <v>0.33879999999999999</v>
      </c>
      <c r="Q620" s="311">
        <v>0.32050000000000001</v>
      </c>
      <c r="R620" s="311">
        <v>0.46389999999999998</v>
      </c>
      <c r="S620" s="311">
        <v>0.41360000000000002</v>
      </c>
      <c r="T620" s="311">
        <v>0.32579999999999998</v>
      </c>
      <c r="U620" s="311">
        <v>0.3735</v>
      </c>
      <c r="V620" s="311">
        <v>0.36809999999999998</v>
      </c>
      <c r="W620" s="311">
        <v>0.38690000000000002</v>
      </c>
      <c r="X620" s="311">
        <v>0.33189999999999997</v>
      </c>
      <c r="Y620" s="311">
        <v>0.34200000000000003</v>
      </c>
      <c r="Z620" s="311">
        <v>0.44979999999999998</v>
      </c>
      <c r="AA620" s="311">
        <v>0.42270000000000002</v>
      </c>
      <c r="AB620" s="311">
        <v>0.38719999999999999</v>
      </c>
      <c r="AC620" s="311">
        <v>0.33929999999999999</v>
      </c>
      <c r="AD620" s="311">
        <v>0</v>
      </c>
      <c r="AE620" s="311">
        <v>0.39</v>
      </c>
      <c r="AF620" s="311">
        <v>0.27900000000000003</v>
      </c>
      <c r="AG620" s="311">
        <v>0.33069999999999999</v>
      </c>
      <c r="AH620" s="311">
        <v>0.3644</v>
      </c>
      <c r="AI620" s="311">
        <v>0.3715</v>
      </c>
      <c r="AJ620" s="311">
        <v>0.30109999999999998</v>
      </c>
      <c r="AK620" s="311">
        <v>0.34010000000000001</v>
      </c>
      <c r="AL620" s="311">
        <v>0.35199999999999998</v>
      </c>
      <c r="AM620" s="311">
        <v>0.45429999999999998</v>
      </c>
      <c r="AN620" s="311">
        <v>0.39140000000000003</v>
      </c>
      <c r="AO620" s="311">
        <v>0.39290000000000003</v>
      </c>
      <c r="AP620" s="311">
        <v>0.44829999999999998</v>
      </c>
      <c r="AQ620" s="311">
        <v>0.33100000000000002</v>
      </c>
      <c r="AR620" s="311">
        <v>0.38729999999999998</v>
      </c>
      <c r="AS620" s="311">
        <v>0.28770000000000001</v>
      </c>
      <c r="AT620" s="311">
        <v>0.4088</v>
      </c>
      <c r="AU620" s="311">
        <v>0.42749999999999999</v>
      </c>
      <c r="AV620" s="311">
        <v>0.42130000000000001</v>
      </c>
      <c r="AW620" s="311">
        <v>0.36620000000000003</v>
      </c>
      <c r="AX620" s="311">
        <v>0.29909999999999998</v>
      </c>
      <c r="AY620" s="311">
        <v>0.36499999999999999</v>
      </c>
      <c r="AZ620" s="311">
        <v>0.41399999999999998</v>
      </c>
      <c r="BA620" s="311">
        <v>0</v>
      </c>
      <c r="BB620" s="311">
        <v>0</v>
      </c>
      <c r="BC620" s="311">
        <v>0.42759999999999998</v>
      </c>
      <c r="BD620" s="311">
        <v>0.44140000000000001</v>
      </c>
      <c r="BE620" s="311">
        <v>0.4763</v>
      </c>
      <c r="BF620" s="311">
        <v>0.41060000000000002</v>
      </c>
      <c r="BG620" s="311">
        <v>0.40720000000000001</v>
      </c>
      <c r="BH620" s="311">
        <v>0.41920000000000002</v>
      </c>
      <c r="BI620" s="311">
        <v>0.43509999999999999</v>
      </c>
      <c r="BJ620" s="311">
        <v>0.38690000000000002</v>
      </c>
      <c r="BK620" s="311">
        <v>0.41599999999999998</v>
      </c>
    </row>
    <row r="621" spans="1:63" x14ac:dyDescent="0.25">
      <c r="A621" s="306">
        <v>333415</v>
      </c>
      <c r="B621" s="311" t="s">
        <v>192</v>
      </c>
      <c r="C621" s="311">
        <v>0.4541</v>
      </c>
      <c r="D621" s="311">
        <v>0</v>
      </c>
      <c r="E621" s="311">
        <v>0.3478</v>
      </c>
      <c r="F621" s="311">
        <v>0.33350000000000002</v>
      </c>
      <c r="G621" s="311">
        <v>0.31209999999999999</v>
      </c>
      <c r="H621" s="311">
        <v>0.33450000000000002</v>
      </c>
      <c r="I621" s="311">
        <v>0.33040000000000003</v>
      </c>
      <c r="J621" s="311">
        <v>0.3236</v>
      </c>
      <c r="K621" s="311">
        <v>0</v>
      </c>
      <c r="L621" s="311">
        <v>0.23180000000000001</v>
      </c>
      <c r="M621" s="311">
        <v>0.29899999999999999</v>
      </c>
      <c r="N621" s="311">
        <v>0.34899999999999998</v>
      </c>
      <c r="O621" s="311">
        <v>0</v>
      </c>
      <c r="P621" s="311">
        <v>0.30249999999999999</v>
      </c>
      <c r="Q621" s="311">
        <v>0.2651</v>
      </c>
      <c r="R621" s="311">
        <v>0.39019999999999999</v>
      </c>
      <c r="S621" s="311">
        <v>0.36580000000000001</v>
      </c>
      <c r="T621" s="311">
        <v>0.2898</v>
      </c>
      <c r="U621" s="311">
        <v>0.33860000000000001</v>
      </c>
      <c r="V621" s="311">
        <v>0.30230000000000001</v>
      </c>
      <c r="W621" s="311">
        <v>0.31490000000000001</v>
      </c>
      <c r="X621" s="311">
        <v>0.26939999999999997</v>
      </c>
      <c r="Y621" s="311">
        <v>0.27650000000000002</v>
      </c>
      <c r="Z621" s="311">
        <v>0.38369999999999999</v>
      </c>
      <c r="AA621" s="311">
        <v>0.36199999999999999</v>
      </c>
      <c r="AB621" s="311">
        <v>0.34100000000000003</v>
      </c>
      <c r="AC621" s="311">
        <v>0.30199999999999999</v>
      </c>
      <c r="AD621" s="311">
        <v>0</v>
      </c>
      <c r="AE621" s="311">
        <v>0.3382</v>
      </c>
      <c r="AF621" s="311">
        <v>0.2407</v>
      </c>
      <c r="AG621" s="311">
        <v>0.27410000000000001</v>
      </c>
      <c r="AH621" s="311">
        <v>0.31480000000000002</v>
      </c>
      <c r="AI621" s="311">
        <v>0.30499999999999999</v>
      </c>
      <c r="AJ621" s="311">
        <v>0.23910000000000001</v>
      </c>
      <c r="AK621" s="311">
        <v>0.27610000000000001</v>
      </c>
      <c r="AL621" s="311">
        <v>0.2984</v>
      </c>
      <c r="AM621" s="311">
        <v>0.40089999999999998</v>
      </c>
      <c r="AN621" s="311">
        <v>0.3417</v>
      </c>
      <c r="AO621" s="311">
        <v>0.31819999999999998</v>
      </c>
      <c r="AP621" s="311">
        <v>0.39329999999999998</v>
      </c>
      <c r="AQ621" s="311">
        <v>0.27</v>
      </c>
      <c r="AR621" s="311">
        <v>0.35439999999999999</v>
      </c>
      <c r="AS621" s="311">
        <v>0.24429999999999999</v>
      </c>
      <c r="AT621" s="311">
        <v>0.35830000000000001</v>
      </c>
      <c r="AU621" s="311">
        <v>0.36919999999999997</v>
      </c>
      <c r="AV621" s="311">
        <v>0.33939999999999998</v>
      </c>
      <c r="AW621" s="311">
        <v>0.32250000000000001</v>
      </c>
      <c r="AX621" s="311">
        <v>0.2442</v>
      </c>
      <c r="AY621" s="311">
        <v>0.29930000000000001</v>
      </c>
      <c r="AZ621" s="311">
        <v>0.36470000000000002</v>
      </c>
      <c r="BA621" s="311">
        <v>0</v>
      </c>
      <c r="BB621" s="311">
        <v>0</v>
      </c>
      <c r="BC621" s="311">
        <v>0.3513</v>
      </c>
      <c r="BD621" s="311">
        <v>0.37180000000000002</v>
      </c>
      <c r="BE621" s="311">
        <v>0.41789999999999999</v>
      </c>
      <c r="BF621" s="311">
        <v>0.36349999999999999</v>
      </c>
      <c r="BG621" s="311">
        <v>0.35589999999999999</v>
      </c>
      <c r="BH621" s="311">
        <v>0.3725</v>
      </c>
      <c r="BI621" s="311">
        <v>0.37909999999999999</v>
      </c>
      <c r="BJ621" s="311">
        <v>0.31900000000000001</v>
      </c>
      <c r="BK621" s="311">
        <v>0.33729999999999999</v>
      </c>
    </row>
    <row r="622" spans="1:63" x14ac:dyDescent="0.25">
      <c r="A622" s="306" t="s">
        <v>599</v>
      </c>
      <c r="B622" s="311" t="s">
        <v>191</v>
      </c>
      <c r="C622" s="311">
        <v>0.53949999999999998</v>
      </c>
      <c r="D622" s="311">
        <v>0</v>
      </c>
      <c r="E622" s="311">
        <v>0.42520000000000002</v>
      </c>
      <c r="F622" s="311">
        <v>0.41420000000000001</v>
      </c>
      <c r="G622" s="311">
        <v>0.38790000000000002</v>
      </c>
      <c r="H622" s="311">
        <v>0.41930000000000001</v>
      </c>
      <c r="I622" s="311">
        <v>0.40889999999999999</v>
      </c>
      <c r="J622" s="311">
        <v>0.41439999999999999</v>
      </c>
      <c r="K622" s="311">
        <v>0</v>
      </c>
      <c r="L622" s="311">
        <v>0</v>
      </c>
      <c r="M622" s="311">
        <v>0.38290000000000002</v>
      </c>
      <c r="N622" s="311">
        <v>0.4254</v>
      </c>
      <c r="O622" s="311">
        <v>0.2954</v>
      </c>
      <c r="P622" s="311">
        <v>0.36620000000000003</v>
      </c>
      <c r="Q622" s="311">
        <v>0.34460000000000002</v>
      </c>
      <c r="R622" s="311">
        <v>0.47189999999999999</v>
      </c>
      <c r="S622" s="311">
        <v>0.43390000000000001</v>
      </c>
      <c r="T622" s="311">
        <v>0.34820000000000001</v>
      </c>
      <c r="U622" s="311">
        <v>0.40749999999999997</v>
      </c>
      <c r="V622" s="311">
        <v>0.38100000000000001</v>
      </c>
      <c r="W622" s="311">
        <v>0.40150000000000002</v>
      </c>
      <c r="X622" s="311">
        <v>0.33410000000000001</v>
      </c>
      <c r="Y622" s="311">
        <v>0</v>
      </c>
      <c r="Z622" s="311">
        <v>0.4556</v>
      </c>
      <c r="AA622" s="311">
        <v>0.4244</v>
      </c>
      <c r="AB622" s="311">
        <v>0.41099999999999998</v>
      </c>
      <c r="AC622" s="311">
        <v>0.3695</v>
      </c>
      <c r="AD622" s="311">
        <v>0</v>
      </c>
      <c r="AE622" s="311">
        <v>0.43030000000000002</v>
      </c>
      <c r="AF622" s="311">
        <v>0</v>
      </c>
      <c r="AG622" s="311">
        <v>0.35830000000000001</v>
      </c>
      <c r="AH622" s="311">
        <v>0.38629999999999998</v>
      </c>
      <c r="AI622" s="311">
        <v>0.38600000000000001</v>
      </c>
      <c r="AJ622" s="311">
        <v>0.31230000000000002</v>
      </c>
      <c r="AK622" s="311">
        <v>0.3624</v>
      </c>
      <c r="AL622" s="311">
        <v>0.37959999999999999</v>
      </c>
      <c r="AM622" s="311">
        <v>0.47689999999999999</v>
      </c>
      <c r="AN622" s="311">
        <v>0.41410000000000002</v>
      </c>
      <c r="AO622" s="311">
        <v>0.39800000000000002</v>
      </c>
      <c r="AP622" s="311">
        <v>0.47</v>
      </c>
      <c r="AQ622" s="311">
        <v>0</v>
      </c>
      <c r="AR622" s="311">
        <v>0.43049999999999999</v>
      </c>
      <c r="AS622" s="311">
        <v>0.3196</v>
      </c>
      <c r="AT622" s="311">
        <v>0.42759999999999998</v>
      </c>
      <c r="AU622" s="311">
        <v>0.44350000000000001</v>
      </c>
      <c r="AV622" s="311">
        <v>0.42799999999999999</v>
      </c>
      <c r="AW622" s="311">
        <v>0.39539999999999997</v>
      </c>
      <c r="AX622" s="311">
        <v>0.31900000000000001</v>
      </c>
      <c r="AY622" s="311">
        <v>0.37669999999999998</v>
      </c>
      <c r="AZ622" s="311">
        <v>0.43919999999999998</v>
      </c>
      <c r="BA622" s="311">
        <v>0</v>
      </c>
      <c r="BB622" s="311">
        <v>0.31009999999999999</v>
      </c>
      <c r="BC622" s="311">
        <v>0.44679999999999997</v>
      </c>
      <c r="BD622" s="311">
        <v>0.45679999999999998</v>
      </c>
      <c r="BE622" s="311">
        <v>0.49399999999999999</v>
      </c>
      <c r="BF622" s="311">
        <v>0.43149999999999999</v>
      </c>
      <c r="BG622" s="311">
        <v>0.44219999999999998</v>
      </c>
      <c r="BH622" s="311">
        <v>0.44679999999999997</v>
      </c>
      <c r="BI622" s="311">
        <v>0.45579999999999998</v>
      </c>
      <c r="BJ622" s="311">
        <v>0.40250000000000002</v>
      </c>
      <c r="BK622" s="311">
        <v>0.42030000000000001</v>
      </c>
    </row>
    <row r="623" spans="1:63" x14ac:dyDescent="0.25">
      <c r="A623" s="306">
        <v>333511</v>
      </c>
      <c r="B623" s="311" t="s">
        <v>193</v>
      </c>
      <c r="C623" s="311">
        <v>0.67520000000000002</v>
      </c>
      <c r="D623" s="311">
        <v>0</v>
      </c>
      <c r="E623" s="311">
        <v>0.56599999999999995</v>
      </c>
      <c r="F623" s="311">
        <v>0.54269999999999996</v>
      </c>
      <c r="G623" s="311">
        <v>0.55400000000000005</v>
      </c>
      <c r="H623" s="311">
        <v>0.59130000000000005</v>
      </c>
      <c r="I623" s="311">
        <v>0.5796</v>
      </c>
      <c r="J623" s="311">
        <v>0.55779999999999996</v>
      </c>
      <c r="K623" s="311">
        <v>0</v>
      </c>
      <c r="L623" s="311">
        <v>0</v>
      </c>
      <c r="M623" s="311">
        <v>0.54549999999999998</v>
      </c>
      <c r="N623" s="311">
        <v>0.5635</v>
      </c>
      <c r="O623" s="311">
        <v>0</v>
      </c>
      <c r="P623" s="311">
        <v>0.51549999999999996</v>
      </c>
      <c r="Q623" s="311">
        <v>0.51580000000000004</v>
      </c>
      <c r="R623" s="311">
        <v>0.61639999999999995</v>
      </c>
      <c r="S623" s="311">
        <v>0.57579999999999998</v>
      </c>
      <c r="T623" s="311">
        <v>0.48359999999999997</v>
      </c>
      <c r="U623" s="311">
        <v>0.54039999999999999</v>
      </c>
      <c r="V623" s="311">
        <v>0.53839999999999999</v>
      </c>
      <c r="W623" s="311">
        <v>0.54720000000000002</v>
      </c>
      <c r="X623" s="311">
        <v>0.4904</v>
      </c>
      <c r="Y623" s="311">
        <v>0.52749999999999997</v>
      </c>
      <c r="Z623" s="311">
        <v>0.61370000000000002</v>
      </c>
      <c r="AA623" s="311">
        <v>0.58350000000000002</v>
      </c>
      <c r="AB623" s="311">
        <v>0.54869999999999997</v>
      </c>
      <c r="AC623" s="311">
        <v>0.50149999999999995</v>
      </c>
      <c r="AD623" s="311">
        <v>0</v>
      </c>
      <c r="AE623" s="311">
        <v>0.55169999999999997</v>
      </c>
      <c r="AF623" s="311">
        <v>0</v>
      </c>
      <c r="AG623" s="311">
        <v>0.51800000000000002</v>
      </c>
      <c r="AH623" s="311">
        <v>0.5272</v>
      </c>
      <c r="AI623" s="311">
        <v>0.52610000000000001</v>
      </c>
      <c r="AJ623" s="311">
        <v>0.47599999999999998</v>
      </c>
      <c r="AK623" s="311">
        <v>0.52680000000000005</v>
      </c>
      <c r="AL623" s="311">
        <v>0.5373</v>
      </c>
      <c r="AM623" s="311">
        <v>0.61319999999999997</v>
      </c>
      <c r="AN623" s="311">
        <v>0.56079999999999997</v>
      </c>
      <c r="AO623" s="311">
        <v>0.5595</v>
      </c>
      <c r="AP623" s="311">
        <v>0.6129</v>
      </c>
      <c r="AQ623" s="311">
        <v>0.48659999999999998</v>
      </c>
      <c r="AR623" s="311">
        <v>0.56340000000000001</v>
      </c>
      <c r="AS623" s="311">
        <v>0.47589999999999999</v>
      </c>
      <c r="AT623" s="311">
        <v>0.56179999999999997</v>
      </c>
      <c r="AU623" s="311">
        <v>0.59109999999999996</v>
      </c>
      <c r="AV623" s="311">
        <v>0.5948</v>
      </c>
      <c r="AW623" s="311">
        <v>0.53759999999999997</v>
      </c>
      <c r="AX623" s="311">
        <v>0.47299999999999998</v>
      </c>
      <c r="AY623" s="311">
        <v>0.54690000000000005</v>
      </c>
      <c r="AZ623" s="311">
        <v>0.58109999999999995</v>
      </c>
      <c r="BA623" s="311">
        <v>0.46889999999999998</v>
      </c>
      <c r="BB623" s="311">
        <v>0</v>
      </c>
      <c r="BC623" s="311">
        <v>0.5998</v>
      </c>
      <c r="BD623" s="311">
        <v>0.61419999999999997</v>
      </c>
      <c r="BE623" s="311">
        <v>0.63360000000000005</v>
      </c>
      <c r="BF623" s="311">
        <v>0.57789999999999997</v>
      </c>
      <c r="BG623" s="311">
        <v>0.58130000000000004</v>
      </c>
      <c r="BH623" s="311">
        <v>0.58130000000000004</v>
      </c>
      <c r="BI623" s="311">
        <v>0.59719999999999995</v>
      </c>
      <c r="BJ623" s="311">
        <v>0.56920000000000004</v>
      </c>
      <c r="BK623" s="311">
        <v>0.59460000000000002</v>
      </c>
    </row>
    <row r="624" spans="1:63" x14ac:dyDescent="0.25">
      <c r="A624" s="306">
        <v>333514</v>
      </c>
      <c r="B624" s="311" t="s">
        <v>195</v>
      </c>
      <c r="C624" s="311">
        <v>0.67579999999999996</v>
      </c>
      <c r="D624" s="311">
        <v>0</v>
      </c>
      <c r="E624" s="311">
        <v>0.55730000000000002</v>
      </c>
      <c r="F624" s="311">
        <v>0.53400000000000003</v>
      </c>
      <c r="G624" s="311">
        <v>0.54630000000000001</v>
      </c>
      <c r="H624" s="311">
        <v>0.58220000000000005</v>
      </c>
      <c r="I624" s="311">
        <v>0.57550000000000001</v>
      </c>
      <c r="J624" s="311">
        <v>0.55969999999999998</v>
      </c>
      <c r="K624" s="311">
        <v>0</v>
      </c>
      <c r="L624" s="311">
        <v>0</v>
      </c>
      <c r="M624" s="311">
        <v>0.53559999999999997</v>
      </c>
      <c r="N624" s="311">
        <v>0.54630000000000001</v>
      </c>
      <c r="O624" s="311">
        <v>0</v>
      </c>
      <c r="P624" s="311">
        <v>0.5101</v>
      </c>
      <c r="Q624" s="311">
        <v>0.50349999999999995</v>
      </c>
      <c r="R624" s="311">
        <v>0.61829999999999996</v>
      </c>
      <c r="S624" s="311">
        <v>0.57499999999999996</v>
      </c>
      <c r="T624" s="311">
        <v>0.4788</v>
      </c>
      <c r="U624" s="311">
        <v>0.53300000000000003</v>
      </c>
      <c r="V624" s="311">
        <v>0.53039999999999998</v>
      </c>
      <c r="W624" s="311">
        <v>0.54220000000000002</v>
      </c>
      <c r="X624" s="311">
        <v>0.47720000000000001</v>
      </c>
      <c r="Y624" s="311">
        <v>0.52610000000000001</v>
      </c>
      <c r="Z624" s="311">
        <v>0.61619999999999997</v>
      </c>
      <c r="AA624" s="311">
        <v>0.57720000000000005</v>
      </c>
      <c r="AB624" s="311">
        <v>0.54269999999999996</v>
      </c>
      <c r="AC624" s="311">
        <v>0.49309999999999998</v>
      </c>
      <c r="AD624" s="311">
        <v>0</v>
      </c>
      <c r="AE624" s="311">
        <v>0.54049999999999998</v>
      </c>
      <c r="AF624" s="311">
        <v>0.44890000000000002</v>
      </c>
      <c r="AG624" s="311">
        <v>0.51190000000000002</v>
      </c>
      <c r="AH624" s="311">
        <v>0.51500000000000001</v>
      </c>
      <c r="AI624" s="311">
        <v>0.51480000000000004</v>
      </c>
      <c r="AJ624" s="311">
        <v>0.46779999999999999</v>
      </c>
      <c r="AK624" s="311">
        <v>0.51629999999999998</v>
      </c>
      <c r="AL624" s="311">
        <v>0.53349999999999997</v>
      </c>
      <c r="AM624" s="311">
        <v>0.61329999999999996</v>
      </c>
      <c r="AN624" s="311">
        <v>0.55920000000000003</v>
      </c>
      <c r="AO624" s="311">
        <v>0.54620000000000002</v>
      </c>
      <c r="AP624" s="311">
        <v>0.61370000000000002</v>
      </c>
      <c r="AQ624" s="311">
        <v>0.48480000000000001</v>
      </c>
      <c r="AR624" s="311">
        <v>0.55079999999999996</v>
      </c>
      <c r="AS624" s="311">
        <v>0.47</v>
      </c>
      <c r="AT624" s="311">
        <v>0.56079999999999997</v>
      </c>
      <c r="AU624" s="311">
        <v>0.58150000000000002</v>
      </c>
      <c r="AV624" s="311">
        <v>0.58420000000000005</v>
      </c>
      <c r="AW624" s="311">
        <v>0.52210000000000001</v>
      </c>
      <c r="AX624" s="311">
        <v>0.46139999999999998</v>
      </c>
      <c r="AY624" s="311">
        <v>0.54020000000000001</v>
      </c>
      <c r="AZ624" s="311">
        <v>0.58020000000000005</v>
      </c>
      <c r="BA624" s="311">
        <v>0.45760000000000001</v>
      </c>
      <c r="BB624" s="311">
        <v>0</v>
      </c>
      <c r="BC624" s="311">
        <v>0.59709999999999996</v>
      </c>
      <c r="BD624" s="311">
        <v>0.61660000000000004</v>
      </c>
      <c r="BE624" s="311">
        <v>0.63460000000000005</v>
      </c>
      <c r="BF624" s="311">
        <v>0.57310000000000005</v>
      </c>
      <c r="BG624" s="311">
        <v>0.56759999999999999</v>
      </c>
      <c r="BH624" s="311">
        <v>0.57779999999999998</v>
      </c>
      <c r="BI624" s="311">
        <v>0.58879999999999999</v>
      </c>
      <c r="BJ624" s="311">
        <v>0.56040000000000001</v>
      </c>
      <c r="BK624" s="311">
        <v>0.58520000000000005</v>
      </c>
    </row>
    <row r="625" spans="1:63" x14ac:dyDescent="0.25">
      <c r="A625" s="306">
        <v>333515</v>
      </c>
      <c r="B625" s="311" t="s">
        <v>196</v>
      </c>
      <c r="C625" s="311">
        <v>0.59799999999999998</v>
      </c>
      <c r="D625" s="311">
        <v>0</v>
      </c>
      <c r="E625" s="311">
        <v>0.48570000000000002</v>
      </c>
      <c r="F625" s="311">
        <v>0.47710000000000002</v>
      </c>
      <c r="G625" s="311">
        <v>0.48039999999999999</v>
      </c>
      <c r="H625" s="311">
        <v>0.51929999999999998</v>
      </c>
      <c r="I625" s="311">
        <v>0.51470000000000005</v>
      </c>
      <c r="J625" s="311">
        <v>0.495</v>
      </c>
      <c r="K625" s="311">
        <v>0</v>
      </c>
      <c r="L625" s="311">
        <v>0</v>
      </c>
      <c r="M625" s="311">
        <v>0.48010000000000003</v>
      </c>
      <c r="N625" s="311">
        <v>0.4945</v>
      </c>
      <c r="O625" s="311">
        <v>0</v>
      </c>
      <c r="P625" s="311">
        <v>0.43740000000000001</v>
      </c>
      <c r="Q625" s="311">
        <v>0.45100000000000001</v>
      </c>
      <c r="R625" s="311">
        <v>0.53680000000000005</v>
      </c>
      <c r="S625" s="311">
        <v>0.50180000000000002</v>
      </c>
      <c r="T625" s="311">
        <v>0.41720000000000002</v>
      </c>
      <c r="U625" s="311">
        <v>0.4738</v>
      </c>
      <c r="V625" s="311">
        <v>0.47799999999999998</v>
      </c>
      <c r="W625" s="311">
        <v>0.48620000000000002</v>
      </c>
      <c r="X625" s="311">
        <v>0.42020000000000002</v>
      </c>
      <c r="Y625" s="311">
        <v>0.4748</v>
      </c>
      <c r="Z625" s="311">
        <v>0.53979999999999995</v>
      </c>
      <c r="AA625" s="311">
        <v>0.504</v>
      </c>
      <c r="AB625" s="311">
        <v>0.48199999999999998</v>
      </c>
      <c r="AC625" s="311">
        <v>0.42980000000000002</v>
      </c>
      <c r="AD625" s="311">
        <v>0.43030000000000002</v>
      </c>
      <c r="AE625" s="311">
        <v>0.49959999999999999</v>
      </c>
      <c r="AF625" s="311">
        <v>0</v>
      </c>
      <c r="AG625" s="311">
        <v>0.45450000000000002</v>
      </c>
      <c r="AH625" s="311">
        <v>0.45750000000000002</v>
      </c>
      <c r="AI625" s="311">
        <v>0.46760000000000002</v>
      </c>
      <c r="AJ625" s="311">
        <v>0.42559999999999998</v>
      </c>
      <c r="AK625" s="311">
        <v>0.4758</v>
      </c>
      <c r="AL625" s="311">
        <v>0.48130000000000001</v>
      </c>
      <c r="AM625" s="311">
        <v>0.5403</v>
      </c>
      <c r="AN625" s="311">
        <v>0.48309999999999997</v>
      </c>
      <c r="AO625" s="311">
        <v>0.48480000000000001</v>
      </c>
      <c r="AP625" s="311">
        <v>0.5403</v>
      </c>
      <c r="AQ625" s="311">
        <v>0.43359999999999999</v>
      </c>
      <c r="AR625" s="311">
        <v>0.49530000000000002</v>
      </c>
      <c r="AS625" s="311">
        <v>0.40910000000000002</v>
      </c>
      <c r="AT625" s="311">
        <v>0.49120000000000003</v>
      </c>
      <c r="AU625" s="311">
        <v>0.51470000000000005</v>
      </c>
      <c r="AV625" s="311">
        <v>0.53790000000000004</v>
      </c>
      <c r="AW625" s="311">
        <v>0.46960000000000002</v>
      </c>
      <c r="AX625" s="311">
        <v>0.40500000000000003</v>
      </c>
      <c r="AY625" s="311">
        <v>0.47039999999999998</v>
      </c>
      <c r="AZ625" s="311">
        <v>0.50380000000000003</v>
      </c>
      <c r="BA625" s="311">
        <v>0</v>
      </c>
      <c r="BB625" s="311">
        <v>0</v>
      </c>
      <c r="BC625" s="311">
        <v>0.5333</v>
      </c>
      <c r="BD625" s="311">
        <v>0.54459999999999997</v>
      </c>
      <c r="BE625" s="311">
        <v>0.55889999999999995</v>
      </c>
      <c r="BF625" s="311">
        <v>0.49909999999999999</v>
      </c>
      <c r="BG625" s="311">
        <v>0.52039999999999997</v>
      </c>
      <c r="BH625" s="311">
        <v>0.50529999999999997</v>
      </c>
      <c r="BI625" s="311">
        <v>0.52180000000000004</v>
      </c>
      <c r="BJ625" s="311">
        <v>0.51139999999999997</v>
      </c>
      <c r="BK625" s="311">
        <v>0.51890000000000003</v>
      </c>
    </row>
    <row r="626" spans="1:63" x14ac:dyDescent="0.25">
      <c r="A626" s="306" t="s">
        <v>732</v>
      </c>
      <c r="B626" s="311" t="s">
        <v>194</v>
      </c>
      <c r="C626" s="311">
        <v>0.63329999999999997</v>
      </c>
      <c r="D626" s="311">
        <v>0</v>
      </c>
      <c r="E626" s="311">
        <v>0.49440000000000001</v>
      </c>
      <c r="F626" s="311">
        <v>0.47099999999999997</v>
      </c>
      <c r="G626" s="311">
        <v>0.48920000000000002</v>
      </c>
      <c r="H626" s="311">
        <v>0.53859999999999997</v>
      </c>
      <c r="I626" s="311">
        <v>0.51900000000000002</v>
      </c>
      <c r="J626" s="311">
        <v>0.51559999999999995</v>
      </c>
      <c r="K626" s="311">
        <v>0</v>
      </c>
      <c r="L626" s="311">
        <v>0.37859999999999999</v>
      </c>
      <c r="M626" s="311">
        <v>0.48139999999999999</v>
      </c>
      <c r="N626" s="311">
        <v>0.50409999999999999</v>
      </c>
      <c r="O626" s="311">
        <v>0</v>
      </c>
      <c r="P626" s="311">
        <v>0.45700000000000002</v>
      </c>
      <c r="Q626" s="311">
        <v>0.44230000000000003</v>
      </c>
      <c r="R626" s="311">
        <v>0.57789999999999997</v>
      </c>
      <c r="S626" s="311">
        <v>0.51249999999999996</v>
      </c>
      <c r="T626" s="311">
        <v>0.43559999999999999</v>
      </c>
      <c r="U626" s="311">
        <v>0.47939999999999999</v>
      </c>
      <c r="V626" s="311">
        <v>0.47639999999999999</v>
      </c>
      <c r="W626" s="311">
        <v>0.49980000000000002</v>
      </c>
      <c r="X626" s="311">
        <v>0.42730000000000001</v>
      </c>
      <c r="Y626" s="311">
        <v>0</v>
      </c>
      <c r="Z626" s="311">
        <v>0.56589999999999996</v>
      </c>
      <c r="AA626" s="311">
        <v>0.54049999999999998</v>
      </c>
      <c r="AB626" s="311">
        <v>0.4909</v>
      </c>
      <c r="AC626" s="311">
        <v>0.4415</v>
      </c>
      <c r="AD626" s="311">
        <v>0.41160000000000002</v>
      </c>
      <c r="AE626" s="311">
        <v>0.51019999999999999</v>
      </c>
      <c r="AF626" s="311">
        <v>0</v>
      </c>
      <c r="AG626" s="311">
        <v>0.45090000000000002</v>
      </c>
      <c r="AH626" s="311">
        <v>0.48299999999999998</v>
      </c>
      <c r="AI626" s="311">
        <v>0.47399999999999998</v>
      </c>
      <c r="AJ626" s="311">
        <v>0.40579999999999999</v>
      </c>
      <c r="AK626" s="311">
        <v>0.46039999999999998</v>
      </c>
      <c r="AL626" s="311">
        <v>0.48209999999999997</v>
      </c>
      <c r="AM626" s="311">
        <v>0.5675</v>
      </c>
      <c r="AN626" s="311">
        <v>0.50639999999999996</v>
      </c>
      <c r="AO626" s="311">
        <v>0.50249999999999995</v>
      </c>
      <c r="AP626" s="311">
        <v>0.5645</v>
      </c>
      <c r="AQ626" s="311">
        <v>0.43430000000000002</v>
      </c>
      <c r="AR626" s="311">
        <v>0.50770000000000004</v>
      </c>
      <c r="AS626" s="311">
        <v>0.41320000000000001</v>
      </c>
      <c r="AT626" s="311">
        <v>0.50119999999999998</v>
      </c>
      <c r="AU626" s="311">
        <v>0.53420000000000001</v>
      </c>
      <c r="AV626" s="311">
        <v>0.53029999999999999</v>
      </c>
      <c r="AW626" s="311">
        <v>0.4854</v>
      </c>
      <c r="AX626" s="311">
        <v>0.4133</v>
      </c>
      <c r="AY626" s="311">
        <v>0.48980000000000001</v>
      </c>
      <c r="AZ626" s="311">
        <v>0.53900000000000003</v>
      </c>
      <c r="BA626" s="311">
        <v>0</v>
      </c>
      <c r="BB626" s="311">
        <v>0.39550000000000002</v>
      </c>
      <c r="BC626" s="311">
        <v>0.55500000000000005</v>
      </c>
      <c r="BD626" s="311">
        <v>0.56130000000000002</v>
      </c>
      <c r="BE626" s="311">
        <v>0.5897</v>
      </c>
      <c r="BF626" s="311">
        <v>0.52629999999999999</v>
      </c>
      <c r="BG626" s="311">
        <v>0.5292</v>
      </c>
      <c r="BH626" s="311">
        <v>0.51849999999999996</v>
      </c>
      <c r="BI626" s="311">
        <v>0.53910000000000002</v>
      </c>
      <c r="BJ626" s="311">
        <v>0.504</v>
      </c>
      <c r="BK626" s="311">
        <v>0.54100000000000004</v>
      </c>
    </row>
    <row r="627" spans="1:63" x14ac:dyDescent="0.25">
      <c r="A627" s="306" t="s">
        <v>733</v>
      </c>
      <c r="B627" s="311" t="s">
        <v>197</v>
      </c>
      <c r="C627" s="311">
        <v>0.60289999999999999</v>
      </c>
      <c r="D627" s="311">
        <v>0</v>
      </c>
      <c r="E627" s="311">
        <v>0.46310000000000001</v>
      </c>
      <c r="F627" s="311">
        <v>0.44269999999999998</v>
      </c>
      <c r="G627" s="311">
        <v>0.46479999999999999</v>
      </c>
      <c r="H627" s="311">
        <v>0.50609999999999999</v>
      </c>
      <c r="I627" s="311">
        <v>0.497</v>
      </c>
      <c r="J627" s="311">
        <v>0.49359999999999998</v>
      </c>
      <c r="K627" s="311">
        <v>0</v>
      </c>
      <c r="L627" s="311">
        <v>0</v>
      </c>
      <c r="M627" s="311">
        <v>0.4546</v>
      </c>
      <c r="N627" s="311">
        <v>0.47520000000000001</v>
      </c>
      <c r="O627" s="311">
        <v>0</v>
      </c>
      <c r="P627" s="311">
        <v>0.42599999999999999</v>
      </c>
      <c r="Q627" s="311">
        <v>0.4163</v>
      </c>
      <c r="R627" s="311">
        <v>0.55159999999999998</v>
      </c>
      <c r="S627" s="311">
        <v>0.48959999999999998</v>
      </c>
      <c r="T627" s="311">
        <v>0.41980000000000001</v>
      </c>
      <c r="U627" s="311">
        <v>0.4446</v>
      </c>
      <c r="V627" s="311">
        <v>0</v>
      </c>
      <c r="W627" s="311">
        <v>0.48049999999999998</v>
      </c>
      <c r="X627" s="311">
        <v>0.39939999999999998</v>
      </c>
      <c r="Y627" s="311">
        <v>0.44290000000000002</v>
      </c>
      <c r="Z627" s="311">
        <v>0.53839999999999999</v>
      </c>
      <c r="AA627" s="311">
        <v>0.50519999999999998</v>
      </c>
      <c r="AB627" s="311">
        <v>0.46739999999999998</v>
      </c>
      <c r="AC627" s="311">
        <v>0.41139999999999999</v>
      </c>
      <c r="AD627" s="311">
        <v>0</v>
      </c>
      <c r="AE627" s="311">
        <v>0.48099999999999998</v>
      </c>
      <c r="AF627" s="311">
        <v>0</v>
      </c>
      <c r="AG627" s="311">
        <v>0.42870000000000003</v>
      </c>
      <c r="AH627" s="311">
        <v>0.45889999999999997</v>
      </c>
      <c r="AI627" s="311">
        <v>0.44490000000000002</v>
      </c>
      <c r="AJ627" s="311">
        <v>0</v>
      </c>
      <c r="AK627" s="311">
        <v>0</v>
      </c>
      <c r="AL627" s="311">
        <v>0.4597</v>
      </c>
      <c r="AM627" s="311">
        <v>0.54049999999999998</v>
      </c>
      <c r="AN627" s="311">
        <v>0.47949999999999998</v>
      </c>
      <c r="AO627" s="311">
        <v>0</v>
      </c>
      <c r="AP627" s="311">
        <v>0.53610000000000002</v>
      </c>
      <c r="AQ627" s="311">
        <v>0.41670000000000001</v>
      </c>
      <c r="AR627" s="311">
        <v>0.47610000000000002</v>
      </c>
      <c r="AS627" s="311">
        <v>0.39290000000000003</v>
      </c>
      <c r="AT627" s="311">
        <v>0.47970000000000002</v>
      </c>
      <c r="AU627" s="311">
        <v>0.50319999999999998</v>
      </c>
      <c r="AV627" s="311">
        <v>0.49759999999999999</v>
      </c>
      <c r="AW627" s="311">
        <v>0.45579999999999998</v>
      </c>
      <c r="AX627" s="311">
        <v>0</v>
      </c>
      <c r="AY627" s="311">
        <v>0.46879999999999999</v>
      </c>
      <c r="AZ627" s="311">
        <v>0.5151</v>
      </c>
      <c r="BA627" s="311">
        <v>0.37790000000000001</v>
      </c>
      <c r="BB627" s="311">
        <v>0</v>
      </c>
      <c r="BC627" s="311">
        <v>0.53320000000000001</v>
      </c>
      <c r="BD627" s="311">
        <v>0.53500000000000003</v>
      </c>
      <c r="BE627" s="311">
        <v>0.56240000000000001</v>
      </c>
      <c r="BF627" s="311">
        <v>0.49969999999999998</v>
      </c>
      <c r="BG627" s="311">
        <v>0.499</v>
      </c>
      <c r="BH627" s="311">
        <v>0.49</v>
      </c>
      <c r="BI627" s="311">
        <v>0.50719999999999998</v>
      </c>
      <c r="BJ627" s="311">
        <v>0.47699999999999998</v>
      </c>
      <c r="BK627" s="311">
        <v>0.5091</v>
      </c>
    </row>
    <row r="628" spans="1:63" x14ac:dyDescent="0.25">
      <c r="A628" s="306">
        <v>333611</v>
      </c>
      <c r="B628" s="311" t="s">
        <v>198</v>
      </c>
      <c r="C628" s="311">
        <v>0.31359999999999999</v>
      </c>
      <c r="D628" s="311">
        <v>0</v>
      </c>
      <c r="E628" s="311">
        <v>0.23350000000000001</v>
      </c>
      <c r="F628" s="311">
        <v>0.1961</v>
      </c>
      <c r="G628" s="311">
        <v>0.21560000000000001</v>
      </c>
      <c r="H628" s="311">
        <v>0.24110000000000001</v>
      </c>
      <c r="I628" s="311">
        <v>0.22409999999999999</v>
      </c>
      <c r="J628" s="311">
        <v>0.22489999999999999</v>
      </c>
      <c r="K628" s="311">
        <v>3.6200000000000003E-2</v>
      </c>
      <c r="L628" s="311">
        <v>0</v>
      </c>
      <c r="M628" s="311">
        <v>0.2049</v>
      </c>
      <c r="N628" s="311">
        <v>0.22159999999999999</v>
      </c>
      <c r="O628" s="311">
        <v>0</v>
      </c>
      <c r="P628" s="311">
        <v>0.19400000000000001</v>
      </c>
      <c r="Q628" s="311">
        <v>0.17760000000000001</v>
      </c>
      <c r="R628" s="311">
        <v>0.27850000000000003</v>
      </c>
      <c r="S628" s="311">
        <v>0.24909999999999999</v>
      </c>
      <c r="T628" s="311">
        <v>0.185</v>
      </c>
      <c r="U628" s="311">
        <v>0.21490000000000001</v>
      </c>
      <c r="V628" s="311">
        <v>0.2203</v>
      </c>
      <c r="W628" s="311">
        <v>0.22159999999999999</v>
      </c>
      <c r="X628" s="311">
        <v>0</v>
      </c>
      <c r="Y628" s="311">
        <v>0.18190000000000001</v>
      </c>
      <c r="Z628" s="311">
        <v>0.27550000000000002</v>
      </c>
      <c r="AA628" s="311">
        <v>0.23150000000000001</v>
      </c>
      <c r="AB628" s="311">
        <v>0.2092</v>
      </c>
      <c r="AC628" s="311">
        <v>0.20069999999999999</v>
      </c>
      <c r="AD628" s="311">
        <v>0</v>
      </c>
      <c r="AE628" s="311">
        <v>0.21870000000000001</v>
      </c>
      <c r="AF628" s="311">
        <v>0.14410000000000001</v>
      </c>
      <c r="AG628" s="311">
        <v>0</v>
      </c>
      <c r="AH628" s="311">
        <v>0.2039</v>
      </c>
      <c r="AI628" s="311">
        <v>0.20280000000000001</v>
      </c>
      <c r="AJ628" s="311">
        <v>0</v>
      </c>
      <c r="AK628" s="311">
        <v>0.20710000000000001</v>
      </c>
      <c r="AL628" s="311">
        <v>0.1991</v>
      </c>
      <c r="AM628" s="311">
        <v>0.27660000000000001</v>
      </c>
      <c r="AN628" s="311">
        <v>0.22570000000000001</v>
      </c>
      <c r="AO628" s="311">
        <v>0</v>
      </c>
      <c r="AP628" s="311">
        <v>0.26979999999999998</v>
      </c>
      <c r="AQ628" s="311">
        <v>0</v>
      </c>
      <c r="AR628" s="311">
        <v>0.24060000000000001</v>
      </c>
      <c r="AS628" s="311">
        <v>0.15390000000000001</v>
      </c>
      <c r="AT628" s="311">
        <v>0.24779999999999999</v>
      </c>
      <c r="AU628" s="311">
        <v>0.26079999999999998</v>
      </c>
      <c r="AV628" s="311">
        <v>0.24079999999999999</v>
      </c>
      <c r="AW628" s="311">
        <v>0.20669999999999999</v>
      </c>
      <c r="AX628" s="311">
        <v>0.16270000000000001</v>
      </c>
      <c r="AY628" s="311">
        <v>0.2112</v>
      </c>
      <c r="AZ628" s="311">
        <v>0.249</v>
      </c>
      <c r="BA628" s="311">
        <v>0</v>
      </c>
      <c r="BB628" s="311">
        <v>0.16500000000000001</v>
      </c>
      <c r="BC628" s="311">
        <v>0.24560000000000001</v>
      </c>
      <c r="BD628" s="311">
        <v>0.26190000000000002</v>
      </c>
      <c r="BE628" s="311">
        <v>0.28839999999999999</v>
      </c>
      <c r="BF628" s="311">
        <v>0.22539999999999999</v>
      </c>
      <c r="BG628" s="311">
        <v>0.22850000000000001</v>
      </c>
      <c r="BH628" s="311">
        <v>0.2576</v>
      </c>
      <c r="BI628" s="311">
        <v>0.26340000000000002</v>
      </c>
      <c r="BJ628" s="311">
        <v>0.22570000000000001</v>
      </c>
      <c r="BK628" s="311">
        <v>0.24629999999999999</v>
      </c>
    </row>
    <row r="629" spans="1:63" x14ac:dyDescent="0.25">
      <c r="A629" s="306">
        <v>333612</v>
      </c>
      <c r="B629" s="311" t="s">
        <v>199</v>
      </c>
      <c r="C629" s="311">
        <v>0.56679999999999997</v>
      </c>
      <c r="D629" s="311">
        <v>0</v>
      </c>
      <c r="E629" s="311">
        <v>0.4577</v>
      </c>
      <c r="F629" s="311">
        <v>0</v>
      </c>
      <c r="G629" s="311">
        <v>0.43419999999999997</v>
      </c>
      <c r="H629" s="311">
        <v>0.47199999999999998</v>
      </c>
      <c r="I629" s="311">
        <v>0</v>
      </c>
      <c r="J629" s="311">
        <v>0.45889999999999997</v>
      </c>
      <c r="K629" s="311">
        <v>0</v>
      </c>
      <c r="L629" s="311">
        <v>0</v>
      </c>
      <c r="M629" s="311">
        <v>0.4284</v>
      </c>
      <c r="N629" s="311">
        <v>0.4622</v>
      </c>
      <c r="O629" s="311">
        <v>0</v>
      </c>
      <c r="P629" s="311">
        <v>0.40200000000000002</v>
      </c>
      <c r="Q629" s="311">
        <v>0.39879999999999999</v>
      </c>
      <c r="R629" s="311">
        <v>0.51790000000000003</v>
      </c>
      <c r="S629" s="311">
        <v>0.47439999999999999</v>
      </c>
      <c r="T629" s="311">
        <v>0.39040000000000002</v>
      </c>
      <c r="U629" s="311">
        <v>0.43669999999999998</v>
      </c>
      <c r="V629" s="311">
        <v>0.4304</v>
      </c>
      <c r="W629" s="311">
        <v>0.44409999999999999</v>
      </c>
      <c r="X629" s="311">
        <v>0.3861</v>
      </c>
      <c r="Y629" s="311">
        <v>0.40129999999999999</v>
      </c>
      <c r="Z629" s="311">
        <v>0.51229999999999998</v>
      </c>
      <c r="AA629" s="311">
        <v>0.46610000000000001</v>
      </c>
      <c r="AB629" s="311">
        <v>0.42949999999999999</v>
      </c>
      <c r="AC629" s="311">
        <v>0.39850000000000002</v>
      </c>
      <c r="AD629" s="311">
        <v>0</v>
      </c>
      <c r="AE629" s="311">
        <v>0.45469999999999999</v>
      </c>
      <c r="AF629" s="311">
        <v>0</v>
      </c>
      <c r="AG629" s="311">
        <v>0.40760000000000002</v>
      </c>
      <c r="AH629" s="311">
        <v>0.4239</v>
      </c>
      <c r="AI629" s="311">
        <v>0.42409999999999998</v>
      </c>
      <c r="AJ629" s="311">
        <v>0.36880000000000002</v>
      </c>
      <c r="AK629" s="311">
        <v>0</v>
      </c>
      <c r="AL629" s="311">
        <v>0.43330000000000002</v>
      </c>
      <c r="AM629" s="311">
        <v>0.51139999999999997</v>
      </c>
      <c r="AN629" s="311">
        <v>0.44340000000000002</v>
      </c>
      <c r="AO629" s="311">
        <v>0.4506</v>
      </c>
      <c r="AP629" s="311">
        <v>0.50590000000000002</v>
      </c>
      <c r="AQ629" s="311">
        <v>0</v>
      </c>
      <c r="AR629" s="311">
        <v>0.45739999999999997</v>
      </c>
      <c r="AS629" s="311">
        <v>0.35920000000000002</v>
      </c>
      <c r="AT629" s="311">
        <v>0.46460000000000001</v>
      </c>
      <c r="AU629" s="311">
        <v>0.48530000000000001</v>
      </c>
      <c r="AV629" s="311">
        <v>0.46960000000000002</v>
      </c>
      <c r="AW629" s="311">
        <v>0.43140000000000001</v>
      </c>
      <c r="AX629" s="311">
        <v>0</v>
      </c>
      <c r="AY629" s="311">
        <v>0.42849999999999999</v>
      </c>
      <c r="AZ629" s="311">
        <v>0.47939999999999999</v>
      </c>
      <c r="BA629" s="311">
        <v>0</v>
      </c>
      <c r="BB629" s="311">
        <v>0</v>
      </c>
      <c r="BC629" s="311">
        <v>0.49299999999999999</v>
      </c>
      <c r="BD629" s="311">
        <v>0.50419999999999998</v>
      </c>
      <c r="BE629" s="311">
        <v>0.53049999999999997</v>
      </c>
      <c r="BF629" s="311">
        <v>0.46100000000000002</v>
      </c>
      <c r="BG629" s="311">
        <v>0.4713</v>
      </c>
      <c r="BH629" s="311">
        <v>0.48020000000000002</v>
      </c>
      <c r="BI629" s="311">
        <v>0.49109999999999998</v>
      </c>
      <c r="BJ629" s="311">
        <v>0.4501</v>
      </c>
      <c r="BK629" s="311">
        <v>0.47649999999999998</v>
      </c>
    </row>
    <row r="630" spans="1:63" x14ac:dyDescent="0.25">
      <c r="A630" s="306">
        <v>333613</v>
      </c>
      <c r="B630" s="311" t="s">
        <v>200</v>
      </c>
      <c r="C630" s="311">
        <v>0.55920000000000003</v>
      </c>
      <c r="D630" s="311">
        <v>0</v>
      </c>
      <c r="E630" s="311">
        <v>0.44409999999999999</v>
      </c>
      <c r="F630" s="311">
        <v>0.4073</v>
      </c>
      <c r="G630" s="311">
        <v>0</v>
      </c>
      <c r="H630" s="311">
        <v>0.45300000000000001</v>
      </c>
      <c r="I630" s="311">
        <v>0</v>
      </c>
      <c r="J630" s="311">
        <v>0.4385</v>
      </c>
      <c r="K630" s="311">
        <v>0</v>
      </c>
      <c r="L630" s="311">
        <v>0</v>
      </c>
      <c r="M630" s="311">
        <v>0.40410000000000001</v>
      </c>
      <c r="N630" s="311">
        <v>0.43590000000000001</v>
      </c>
      <c r="O630" s="311">
        <v>0</v>
      </c>
      <c r="P630" s="311">
        <v>0</v>
      </c>
      <c r="Q630" s="311">
        <v>0</v>
      </c>
      <c r="R630" s="311">
        <v>0.5071</v>
      </c>
      <c r="S630" s="311">
        <v>0.46260000000000001</v>
      </c>
      <c r="T630" s="311">
        <v>0.37040000000000001</v>
      </c>
      <c r="U630" s="311">
        <v>0.4214</v>
      </c>
      <c r="V630" s="311">
        <v>0.41099999999999998</v>
      </c>
      <c r="W630" s="311">
        <v>0.42370000000000002</v>
      </c>
      <c r="X630" s="311">
        <v>0.36919999999999997</v>
      </c>
      <c r="Y630" s="311">
        <v>0</v>
      </c>
      <c r="Z630" s="311">
        <v>0.4985</v>
      </c>
      <c r="AA630" s="311">
        <v>0.4461</v>
      </c>
      <c r="AB630" s="311">
        <v>0.41199999999999998</v>
      </c>
      <c r="AC630" s="311">
        <v>0.38300000000000001</v>
      </c>
      <c r="AD630" s="311">
        <v>0</v>
      </c>
      <c r="AE630" s="311">
        <v>0.43519999999999998</v>
      </c>
      <c r="AF630" s="311">
        <v>0</v>
      </c>
      <c r="AG630" s="311">
        <v>0.3846</v>
      </c>
      <c r="AH630" s="311">
        <v>0.40820000000000001</v>
      </c>
      <c r="AI630" s="311">
        <v>0.4022</v>
      </c>
      <c r="AJ630" s="311">
        <v>0</v>
      </c>
      <c r="AK630" s="311">
        <v>0</v>
      </c>
      <c r="AL630" s="311">
        <v>0.40760000000000002</v>
      </c>
      <c r="AM630" s="311">
        <v>0.49780000000000002</v>
      </c>
      <c r="AN630" s="311">
        <v>0.43409999999999999</v>
      </c>
      <c r="AO630" s="311">
        <v>0.43459999999999999</v>
      </c>
      <c r="AP630" s="311">
        <v>0.49380000000000002</v>
      </c>
      <c r="AQ630" s="311">
        <v>0.36330000000000001</v>
      </c>
      <c r="AR630" s="311">
        <v>0.44290000000000002</v>
      </c>
      <c r="AS630" s="311">
        <v>0</v>
      </c>
      <c r="AT630" s="311">
        <v>0.44619999999999999</v>
      </c>
      <c r="AU630" s="311">
        <v>0.47010000000000002</v>
      </c>
      <c r="AV630" s="311">
        <v>0</v>
      </c>
      <c r="AW630" s="311">
        <v>0</v>
      </c>
      <c r="AX630" s="311">
        <v>0</v>
      </c>
      <c r="AY630" s="311">
        <v>0.40820000000000001</v>
      </c>
      <c r="AZ630" s="311">
        <v>0.45939999999999998</v>
      </c>
      <c r="BA630" s="311">
        <v>0.34250000000000003</v>
      </c>
      <c r="BB630" s="311">
        <v>0</v>
      </c>
      <c r="BC630" s="311">
        <v>0.47299999999999998</v>
      </c>
      <c r="BD630" s="311">
        <v>0.48720000000000002</v>
      </c>
      <c r="BE630" s="311">
        <v>0.51900000000000002</v>
      </c>
      <c r="BF630" s="311">
        <v>0.44409999999999999</v>
      </c>
      <c r="BG630" s="311">
        <v>0.45240000000000002</v>
      </c>
      <c r="BH630" s="311">
        <v>0.4652</v>
      </c>
      <c r="BI630" s="311">
        <v>0.47599999999999998</v>
      </c>
      <c r="BJ630" s="311">
        <v>0</v>
      </c>
      <c r="BK630" s="311">
        <v>0.45760000000000001</v>
      </c>
    </row>
    <row r="631" spans="1:63" x14ac:dyDescent="0.25">
      <c r="A631" s="306">
        <v>333618</v>
      </c>
      <c r="B631" s="311" t="s">
        <v>201</v>
      </c>
      <c r="C631" s="311">
        <v>0.44840000000000002</v>
      </c>
      <c r="D631" s="311">
        <v>0</v>
      </c>
      <c r="E631" s="311">
        <v>0.3392</v>
      </c>
      <c r="F631" s="311">
        <v>0.2928</v>
      </c>
      <c r="G631" s="311">
        <v>0.26790000000000003</v>
      </c>
      <c r="H631" s="311">
        <v>0.30030000000000001</v>
      </c>
      <c r="I631" s="311">
        <v>0.28699999999999998</v>
      </c>
      <c r="J631" s="311">
        <v>0.29959999999999998</v>
      </c>
      <c r="K631" s="311">
        <v>0</v>
      </c>
      <c r="L631" s="311">
        <v>0</v>
      </c>
      <c r="M631" s="311">
        <v>0.25380000000000003</v>
      </c>
      <c r="N631" s="311">
        <v>0.30430000000000001</v>
      </c>
      <c r="O631" s="311">
        <v>0.18079999999999999</v>
      </c>
      <c r="P631" s="311">
        <v>0.28110000000000002</v>
      </c>
      <c r="Q631" s="311">
        <v>0</v>
      </c>
      <c r="R631" s="311">
        <v>0.38419999999999999</v>
      </c>
      <c r="S631" s="311">
        <v>0.35770000000000002</v>
      </c>
      <c r="T631" s="311">
        <v>0.25140000000000001</v>
      </c>
      <c r="U631" s="311">
        <v>0.32040000000000002</v>
      </c>
      <c r="V631" s="311">
        <v>0.25619999999999998</v>
      </c>
      <c r="W631" s="311">
        <v>0.27889999999999998</v>
      </c>
      <c r="X631" s="311">
        <v>0.23180000000000001</v>
      </c>
      <c r="Y631" s="311">
        <v>0</v>
      </c>
      <c r="Z631" s="311">
        <v>0.37380000000000002</v>
      </c>
      <c r="AA631" s="311">
        <v>0.31240000000000001</v>
      </c>
      <c r="AB631" s="311">
        <v>0.31069999999999998</v>
      </c>
      <c r="AC631" s="311">
        <v>0.27289999999999998</v>
      </c>
      <c r="AD631" s="311">
        <v>0</v>
      </c>
      <c r="AE631" s="311">
        <v>0.32450000000000001</v>
      </c>
      <c r="AF631" s="311">
        <v>0.19470000000000001</v>
      </c>
      <c r="AG631" s="311">
        <v>0</v>
      </c>
      <c r="AH631" s="311">
        <v>0</v>
      </c>
      <c r="AI631" s="311">
        <v>0.26229999999999998</v>
      </c>
      <c r="AJ631" s="311">
        <v>0.19919999999999999</v>
      </c>
      <c r="AK631" s="311">
        <v>0.24390000000000001</v>
      </c>
      <c r="AL631" s="311">
        <v>0.25459999999999999</v>
      </c>
      <c r="AM631" s="311">
        <v>0.38390000000000002</v>
      </c>
      <c r="AN631" s="311">
        <v>0.2999</v>
      </c>
      <c r="AO631" s="311">
        <v>0.29849999999999999</v>
      </c>
      <c r="AP631" s="311">
        <v>0.36809999999999998</v>
      </c>
      <c r="AQ631" s="311">
        <v>0</v>
      </c>
      <c r="AR631" s="311">
        <v>0.33550000000000002</v>
      </c>
      <c r="AS631" s="311">
        <v>0.21640000000000001</v>
      </c>
      <c r="AT631" s="311">
        <v>0.34599999999999997</v>
      </c>
      <c r="AU631" s="311">
        <v>0.3332</v>
      </c>
      <c r="AV631" s="311">
        <v>0.32490000000000002</v>
      </c>
      <c r="AW631" s="311">
        <v>0.26850000000000002</v>
      </c>
      <c r="AX631" s="311">
        <v>0</v>
      </c>
      <c r="AY631" s="311">
        <v>0.26640000000000003</v>
      </c>
      <c r="AZ631" s="311">
        <v>0.36349999999999999</v>
      </c>
      <c r="BA631" s="311">
        <v>0</v>
      </c>
      <c r="BB631" s="311">
        <v>0</v>
      </c>
      <c r="BC631" s="311">
        <v>0.32340000000000002</v>
      </c>
      <c r="BD631" s="311">
        <v>0.33410000000000001</v>
      </c>
      <c r="BE631" s="311">
        <v>0.40660000000000002</v>
      </c>
      <c r="BF631" s="311">
        <v>0.33179999999999998</v>
      </c>
      <c r="BG631" s="311">
        <v>0.31319999999999998</v>
      </c>
      <c r="BH631" s="311">
        <v>0.36680000000000001</v>
      </c>
      <c r="BI631" s="311">
        <v>0.34279999999999999</v>
      </c>
      <c r="BJ631" s="311">
        <v>0.28899999999999998</v>
      </c>
      <c r="BK631" s="311">
        <v>0.31169999999999998</v>
      </c>
    </row>
    <row r="632" spans="1:63" x14ac:dyDescent="0.25">
      <c r="A632" s="306">
        <v>333911</v>
      </c>
      <c r="B632" s="311" t="s">
        <v>202</v>
      </c>
      <c r="C632" s="311">
        <v>0.52080000000000004</v>
      </c>
      <c r="D632" s="311">
        <v>0</v>
      </c>
      <c r="E632" s="311">
        <v>0.40860000000000002</v>
      </c>
      <c r="F632" s="311">
        <v>0.37269999999999998</v>
      </c>
      <c r="G632" s="311">
        <v>0.37019999999999997</v>
      </c>
      <c r="H632" s="311">
        <v>0.40670000000000001</v>
      </c>
      <c r="I632" s="311">
        <v>0.38479999999999998</v>
      </c>
      <c r="J632" s="311">
        <v>0.39360000000000001</v>
      </c>
      <c r="K632" s="311">
        <v>0</v>
      </c>
      <c r="L632" s="311">
        <v>0.27489999999999998</v>
      </c>
      <c r="M632" s="311">
        <v>0.35289999999999999</v>
      </c>
      <c r="N632" s="311">
        <v>0.39079999999999998</v>
      </c>
      <c r="O632" s="311">
        <v>0</v>
      </c>
      <c r="P632" s="311">
        <v>0.35970000000000002</v>
      </c>
      <c r="Q632" s="311">
        <v>0</v>
      </c>
      <c r="R632" s="311">
        <v>0.46850000000000003</v>
      </c>
      <c r="S632" s="311">
        <v>0.4254</v>
      </c>
      <c r="T632" s="311">
        <v>0.34439999999999998</v>
      </c>
      <c r="U632" s="311">
        <v>0.38129999999999997</v>
      </c>
      <c r="V632" s="311">
        <v>0.36409999999999998</v>
      </c>
      <c r="W632" s="311">
        <v>0.38059999999999999</v>
      </c>
      <c r="X632" s="311">
        <v>0.312</v>
      </c>
      <c r="Y632" s="311">
        <v>0.34239999999999998</v>
      </c>
      <c r="Z632" s="311">
        <v>0.4551</v>
      </c>
      <c r="AA632" s="311">
        <v>0.42659999999999998</v>
      </c>
      <c r="AB632" s="311">
        <v>0.3896</v>
      </c>
      <c r="AC632" s="311">
        <v>0.34560000000000002</v>
      </c>
      <c r="AD632" s="311">
        <v>0.29830000000000001</v>
      </c>
      <c r="AE632" s="311">
        <v>0.39879999999999999</v>
      </c>
      <c r="AF632" s="311">
        <v>0</v>
      </c>
      <c r="AG632" s="311">
        <v>0.33779999999999999</v>
      </c>
      <c r="AH632" s="311">
        <v>0.38119999999999998</v>
      </c>
      <c r="AI632" s="311">
        <v>0.3594</v>
      </c>
      <c r="AJ632" s="311">
        <v>0.29420000000000002</v>
      </c>
      <c r="AK632" s="311">
        <v>0.34379999999999999</v>
      </c>
      <c r="AL632" s="311">
        <v>0.3523</v>
      </c>
      <c r="AM632" s="311">
        <v>0.46329999999999999</v>
      </c>
      <c r="AN632" s="311">
        <v>0.40389999999999998</v>
      </c>
      <c r="AO632" s="311">
        <v>0.39939999999999998</v>
      </c>
      <c r="AP632" s="311">
        <v>0.45619999999999999</v>
      </c>
      <c r="AQ632" s="311">
        <v>0.32990000000000003</v>
      </c>
      <c r="AR632" s="311">
        <v>0.4007</v>
      </c>
      <c r="AS632" s="311">
        <v>0.29909999999999998</v>
      </c>
      <c r="AT632" s="311">
        <v>0.41249999999999998</v>
      </c>
      <c r="AU632" s="311">
        <v>0.42859999999999998</v>
      </c>
      <c r="AV632" s="311">
        <v>0.42509999999999998</v>
      </c>
      <c r="AW632" s="311">
        <v>0.37790000000000001</v>
      </c>
      <c r="AX632" s="311">
        <v>0.30370000000000003</v>
      </c>
      <c r="AY632" s="311">
        <v>0.36770000000000003</v>
      </c>
      <c r="AZ632" s="311">
        <v>0.43759999999999999</v>
      </c>
      <c r="BA632" s="311">
        <v>0.3201</v>
      </c>
      <c r="BB632" s="311">
        <v>0.29530000000000001</v>
      </c>
      <c r="BC632" s="311">
        <v>0.42680000000000001</v>
      </c>
      <c r="BD632" s="311">
        <v>0.43290000000000001</v>
      </c>
      <c r="BE632" s="311">
        <v>0.48280000000000001</v>
      </c>
      <c r="BF632" s="311">
        <v>0.42280000000000001</v>
      </c>
      <c r="BG632" s="311">
        <v>0.40539999999999998</v>
      </c>
      <c r="BH632" s="311">
        <v>0.42949999999999999</v>
      </c>
      <c r="BI632" s="311">
        <v>0.43690000000000001</v>
      </c>
      <c r="BJ632" s="311">
        <v>0.3831</v>
      </c>
      <c r="BK632" s="311">
        <v>0.41570000000000001</v>
      </c>
    </row>
    <row r="633" spans="1:63" x14ac:dyDescent="0.25">
      <c r="A633" s="306">
        <v>333912</v>
      </c>
      <c r="B633" s="311" t="s">
        <v>203</v>
      </c>
      <c r="C633" s="311">
        <v>0.55810000000000004</v>
      </c>
      <c r="D633" s="311">
        <v>0</v>
      </c>
      <c r="E633" s="311">
        <v>0.42659999999999998</v>
      </c>
      <c r="F633" s="311">
        <v>0.37640000000000001</v>
      </c>
      <c r="G633" s="311">
        <v>0</v>
      </c>
      <c r="H633" s="311">
        <v>0.43219999999999997</v>
      </c>
      <c r="I633" s="311">
        <v>0.41220000000000001</v>
      </c>
      <c r="J633" s="311">
        <v>0.41959999999999997</v>
      </c>
      <c r="K633" s="311">
        <v>0</v>
      </c>
      <c r="L633" s="311">
        <v>0</v>
      </c>
      <c r="M633" s="311">
        <v>0.37509999999999999</v>
      </c>
      <c r="N633" s="311">
        <v>0.4073</v>
      </c>
      <c r="O633" s="311">
        <v>0</v>
      </c>
      <c r="P633" s="311">
        <v>0.36709999999999998</v>
      </c>
      <c r="Q633" s="311">
        <v>0</v>
      </c>
      <c r="R633" s="311">
        <v>0.50139999999999996</v>
      </c>
      <c r="S633" s="311">
        <v>0.443</v>
      </c>
      <c r="T633" s="311">
        <v>0.35560000000000003</v>
      </c>
      <c r="U633" s="311">
        <v>0.39779999999999999</v>
      </c>
      <c r="V633" s="311">
        <v>0.38879999999999998</v>
      </c>
      <c r="W633" s="311">
        <v>0.41199999999999998</v>
      </c>
      <c r="X633" s="311">
        <v>0.33439999999999998</v>
      </c>
      <c r="Y633" s="311">
        <v>0</v>
      </c>
      <c r="Z633" s="311">
        <v>0.48099999999999998</v>
      </c>
      <c r="AA633" s="311">
        <v>0.44479999999999997</v>
      </c>
      <c r="AB633" s="311">
        <v>0.41339999999999999</v>
      </c>
      <c r="AC633" s="311">
        <v>0.3498</v>
      </c>
      <c r="AD633" s="311">
        <v>0</v>
      </c>
      <c r="AE633" s="311">
        <v>0.42180000000000001</v>
      </c>
      <c r="AF633" s="311">
        <v>0</v>
      </c>
      <c r="AG633" s="311">
        <v>0.34250000000000003</v>
      </c>
      <c r="AH633" s="311">
        <v>0.40039999999999998</v>
      </c>
      <c r="AI633" s="311">
        <v>0.38569999999999999</v>
      </c>
      <c r="AJ633" s="311">
        <v>0.30990000000000001</v>
      </c>
      <c r="AK633" s="311">
        <v>0.35610000000000003</v>
      </c>
      <c r="AL633" s="311">
        <v>0.37830000000000003</v>
      </c>
      <c r="AM633" s="311">
        <v>0.48799999999999999</v>
      </c>
      <c r="AN633" s="311">
        <v>0.4254</v>
      </c>
      <c r="AO633" s="311">
        <v>0.4078</v>
      </c>
      <c r="AP633" s="311">
        <v>0.4849</v>
      </c>
      <c r="AQ633" s="311">
        <v>0.34610000000000002</v>
      </c>
      <c r="AR633" s="311">
        <v>0.41920000000000002</v>
      </c>
      <c r="AS633" s="311">
        <v>0.31459999999999999</v>
      </c>
      <c r="AT633" s="311">
        <v>0.436</v>
      </c>
      <c r="AU633" s="311">
        <v>0.45760000000000001</v>
      </c>
      <c r="AV633" s="311">
        <v>0.44040000000000001</v>
      </c>
      <c r="AW633" s="311">
        <v>0.38640000000000002</v>
      </c>
      <c r="AX633" s="311">
        <v>0</v>
      </c>
      <c r="AY633" s="311">
        <v>0.38</v>
      </c>
      <c r="AZ633" s="311">
        <v>0.46</v>
      </c>
      <c r="BA633" s="311">
        <v>0.32140000000000002</v>
      </c>
      <c r="BB633" s="311">
        <v>0</v>
      </c>
      <c r="BC633" s="311">
        <v>0.4582</v>
      </c>
      <c r="BD633" s="311">
        <v>0.46489999999999998</v>
      </c>
      <c r="BE633" s="311">
        <v>0.51229999999999998</v>
      </c>
      <c r="BF633" s="311">
        <v>0.44040000000000001</v>
      </c>
      <c r="BG633" s="311">
        <v>0.43059999999999998</v>
      </c>
      <c r="BH633" s="311">
        <v>0.45129999999999998</v>
      </c>
      <c r="BI633" s="311">
        <v>0.4627</v>
      </c>
      <c r="BJ633" s="311">
        <v>0.40710000000000002</v>
      </c>
      <c r="BK633" s="311">
        <v>0.43669999999999998</v>
      </c>
    </row>
    <row r="634" spans="1:63" x14ac:dyDescent="0.25">
      <c r="A634" s="306">
        <v>333920</v>
      </c>
      <c r="B634" s="311" t="s">
        <v>204</v>
      </c>
      <c r="C634" s="311">
        <v>0.56330000000000002</v>
      </c>
      <c r="D634" s="311">
        <v>0.29699999999999999</v>
      </c>
      <c r="E634" s="311">
        <v>0.43880000000000002</v>
      </c>
      <c r="F634" s="311">
        <v>0.40920000000000001</v>
      </c>
      <c r="G634" s="311">
        <v>0.38590000000000002</v>
      </c>
      <c r="H634" s="311">
        <v>0.43430000000000002</v>
      </c>
      <c r="I634" s="311">
        <v>0.42080000000000001</v>
      </c>
      <c r="J634" s="311">
        <v>0.42080000000000001</v>
      </c>
      <c r="K634" s="311">
        <v>5.6800000000000003E-2</v>
      </c>
      <c r="L634" s="311">
        <v>0.30020000000000002</v>
      </c>
      <c r="M634" s="311">
        <v>0.38350000000000001</v>
      </c>
      <c r="N634" s="311">
        <v>0.41520000000000001</v>
      </c>
      <c r="O634" s="311">
        <v>0</v>
      </c>
      <c r="P634" s="311">
        <v>0.38800000000000001</v>
      </c>
      <c r="Q634" s="311">
        <v>0.34260000000000002</v>
      </c>
      <c r="R634" s="311">
        <v>0.50609999999999999</v>
      </c>
      <c r="S634" s="311">
        <v>0.4587</v>
      </c>
      <c r="T634" s="311">
        <v>0.36380000000000001</v>
      </c>
      <c r="U634" s="311">
        <v>0.41899999999999998</v>
      </c>
      <c r="V634" s="311">
        <v>0.39229999999999998</v>
      </c>
      <c r="W634" s="311">
        <v>0.3992</v>
      </c>
      <c r="X634" s="311">
        <v>0.34160000000000001</v>
      </c>
      <c r="Y634" s="311">
        <v>0.36459999999999998</v>
      </c>
      <c r="Z634" s="311">
        <v>0.49430000000000002</v>
      </c>
      <c r="AA634" s="311">
        <v>0.44309999999999999</v>
      </c>
      <c r="AB634" s="311">
        <v>0.40400000000000003</v>
      </c>
      <c r="AC634" s="311">
        <v>0.37540000000000001</v>
      </c>
      <c r="AD634" s="311">
        <v>0</v>
      </c>
      <c r="AE634" s="311">
        <v>0.4274</v>
      </c>
      <c r="AF634" s="311">
        <v>0.30819999999999997</v>
      </c>
      <c r="AG634" s="311">
        <v>0.37269999999999998</v>
      </c>
      <c r="AH634" s="311">
        <v>0.39140000000000003</v>
      </c>
      <c r="AI634" s="311">
        <v>0.3861</v>
      </c>
      <c r="AJ634" s="311">
        <v>0.30980000000000002</v>
      </c>
      <c r="AK634" s="311">
        <v>0.35830000000000001</v>
      </c>
      <c r="AL634" s="311">
        <v>0.38419999999999999</v>
      </c>
      <c r="AM634" s="311">
        <v>0.50219999999999998</v>
      </c>
      <c r="AN634" s="311">
        <v>0.43080000000000002</v>
      </c>
      <c r="AO634" s="311">
        <v>0.42270000000000002</v>
      </c>
      <c r="AP634" s="311">
        <v>0.4899</v>
      </c>
      <c r="AQ634" s="311">
        <v>0.34029999999999999</v>
      </c>
      <c r="AR634" s="311">
        <v>0.44550000000000001</v>
      </c>
      <c r="AS634" s="311">
        <v>0.32490000000000002</v>
      </c>
      <c r="AT634" s="311">
        <v>0.44030000000000002</v>
      </c>
      <c r="AU634" s="311">
        <v>0.45629999999999998</v>
      </c>
      <c r="AV634" s="311">
        <v>0.45479999999999998</v>
      </c>
      <c r="AW634" s="311">
        <v>0.39219999999999999</v>
      </c>
      <c r="AX634" s="311">
        <v>0</v>
      </c>
      <c r="AY634" s="311">
        <v>0.3906</v>
      </c>
      <c r="AZ634" s="311">
        <v>0.45839999999999997</v>
      </c>
      <c r="BA634" s="311">
        <v>0.33450000000000002</v>
      </c>
      <c r="BB634" s="311">
        <v>0</v>
      </c>
      <c r="BC634" s="311">
        <v>0.4486</v>
      </c>
      <c r="BD634" s="311">
        <v>0.47360000000000002</v>
      </c>
      <c r="BE634" s="311">
        <v>0.52270000000000005</v>
      </c>
      <c r="BF634" s="311">
        <v>0.44540000000000002</v>
      </c>
      <c r="BG634" s="311">
        <v>0.43919999999999998</v>
      </c>
      <c r="BH634" s="311">
        <v>0.46339999999999998</v>
      </c>
      <c r="BI634" s="311">
        <v>0.47120000000000001</v>
      </c>
      <c r="BJ634" s="311">
        <v>0.40870000000000001</v>
      </c>
      <c r="BK634" s="311">
        <v>0.44119999999999998</v>
      </c>
    </row>
    <row r="635" spans="1:63" x14ac:dyDescent="0.25">
      <c r="A635" s="306">
        <v>333991</v>
      </c>
      <c r="B635" s="311" t="s">
        <v>205</v>
      </c>
      <c r="C635" s="311">
        <v>0.39760000000000001</v>
      </c>
      <c r="D635" s="311">
        <v>0</v>
      </c>
      <c r="E635" s="311">
        <v>0.29149999999999998</v>
      </c>
      <c r="F635" s="311">
        <v>0.27810000000000001</v>
      </c>
      <c r="G635" s="311">
        <v>0.251</v>
      </c>
      <c r="H635" s="311">
        <v>0.28589999999999999</v>
      </c>
      <c r="I635" s="311">
        <v>0.25919999999999999</v>
      </c>
      <c r="J635" s="311">
        <v>0.28820000000000001</v>
      </c>
      <c r="K635" s="311">
        <v>0</v>
      </c>
      <c r="L635" s="311">
        <v>0</v>
      </c>
      <c r="M635" s="311">
        <v>0.23469999999999999</v>
      </c>
      <c r="N635" s="311">
        <v>0.2853</v>
      </c>
      <c r="O635" s="311">
        <v>0</v>
      </c>
      <c r="P635" s="311">
        <v>0.26569999999999999</v>
      </c>
      <c r="Q635" s="311">
        <v>0.22220000000000001</v>
      </c>
      <c r="R635" s="311">
        <v>0.35049999999999998</v>
      </c>
      <c r="S635" s="311">
        <v>0.32100000000000001</v>
      </c>
      <c r="T635" s="311">
        <v>0.23419999999999999</v>
      </c>
      <c r="U635" s="311">
        <v>0</v>
      </c>
      <c r="V635" s="311">
        <v>0.2409</v>
      </c>
      <c r="W635" s="311">
        <v>0.27410000000000001</v>
      </c>
      <c r="X635" s="311">
        <v>0.2072</v>
      </c>
      <c r="Y635" s="311">
        <v>0</v>
      </c>
      <c r="Z635" s="311">
        <v>0.33260000000000001</v>
      </c>
      <c r="AA635" s="311">
        <v>0.30459999999999998</v>
      </c>
      <c r="AB635" s="311">
        <v>0.28949999999999998</v>
      </c>
      <c r="AC635" s="311">
        <v>0.24210000000000001</v>
      </c>
      <c r="AD635" s="311">
        <v>0</v>
      </c>
      <c r="AE635" s="311">
        <v>0.2959</v>
      </c>
      <c r="AF635" s="311">
        <v>0</v>
      </c>
      <c r="AG635" s="311">
        <v>0.2233</v>
      </c>
      <c r="AH635" s="311">
        <v>0</v>
      </c>
      <c r="AI635" s="311">
        <v>0.25330000000000003</v>
      </c>
      <c r="AJ635" s="311">
        <v>0</v>
      </c>
      <c r="AK635" s="311">
        <v>0.2286</v>
      </c>
      <c r="AL635" s="311">
        <v>0.2366</v>
      </c>
      <c r="AM635" s="311">
        <v>0.35170000000000001</v>
      </c>
      <c r="AN635" s="311">
        <v>0.2666</v>
      </c>
      <c r="AO635" s="311">
        <v>0.28170000000000001</v>
      </c>
      <c r="AP635" s="311">
        <v>0.34160000000000001</v>
      </c>
      <c r="AQ635" s="311">
        <v>0.2427</v>
      </c>
      <c r="AR635" s="311">
        <v>0.30570000000000003</v>
      </c>
      <c r="AS635" s="311">
        <v>0</v>
      </c>
      <c r="AT635" s="311">
        <v>0.31119999999999998</v>
      </c>
      <c r="AU635" s="311">
        <v>0.30020000000000002</v>
      </c>
      <c r="AV635" s="311">
        <v>0</v>
      </c>
      <c r="AW635" s="311">
        <v>0.26519999999999999</v>
      </c>
      <c r="AX635" s="311">
        <v>0.20369999999999999</v>
      </c>
      <c r="AY635" s="311">
        <v>0.25219999999999998</v>
      </c>
      <c r="AZ635" s="311">
        <v>0.32219999999999999</v>
      </c>
      <c r="BA635" s="311">
        <v>0</v>
      </c>
      <c r="BB635" s="311">
        <v>0</v>
      </c>
      <c r="BC635" s="311">
        <v>0.31440000000000001</v>
      </c>
      <c r="BD635" s="311">
        <v>0.31019999999999998</v>
      </c>
      <c r="BE635" s="311">
        <v>0.3649</v>
      </c>
      <c r="BF635" s="311">
        <v>0.30869999999999997</v>
      </c>
      <c r="BG635" s="311">
        <v>0.29570000000000002</v>
      </c>
      <c r="BH635" s="311">
        <v>0.3251</v>
      </c>
      <c r="BI635" s="311">
        <v>0.30819999999999997</v>
      </c>
      <c r="BJ635" s="311">
        <v>0.25629999999999997</v>
      </c>
      <c r="BK635" s="311">
        <v>0.29210000000000003</v>
      </c>
    </row>
    <row r="636" spans="1:63" x14ac:dyDescent="0.25">
      <c r="A636" s="306">
        <v>333993</v>
      </c>
      <c r="B636" s="311" t="s">
        <v>207</v>
      </c>
      <c r="C636" s="311">
        <v>0.61419999999999997</v>
      </c>
      <c r="D636" s="311">
        <v>0</v>
      </c>
      <c r="E636" s="311">
        <v>0.46200000000000002</v>
      </c>
      <c r="F636" s="311">
        <v>0.45050000000000001</v>
      </c>
      <c r="G636" s="311">
        <v>0.4516</v>
      </c>
      <c r="H636" s="311">
        <v>0.51600000000000001</v>
      </c>
      <c r="I636" s="311">
        <v>0.48359999999999997</v>
      </c>
      <c r="J636" s="311">
        <v>0.48970000000000002</v>
      </c>
      <c r="K636" s="311">
        <v>0</v>
      </c>
      <c r="L636" s="311">
        <v>0</v>
      </c>
      <c r="M636" s="311">
        <v>0.45989999999999998</v>
      </c>
      <c r="N636" s="311">
        <v>0.48909999999999998</v>
      </c>
      <c r="O636" s="311">
        <v>0</v>
      </c>
      <c r="P636" s="311">
        <v>0.43030000000000002</v>
      </c>
      <c r="Q636" s="311">
        <v>0</v>
      </c>
      <c r="R636" s="311">
        <v>0.5544</v>
      </c>
      <c r="S636" s="311">
        <v>0.48</v>
      </c>
      <c r="T636" s="311">
        <v>0.41160000000000002</v>
      </c>
      <c r="U636" s="311">
        <v>0.46150000000000002</v>
      </c>
      <c r="V636" s="311">
        <v>0.44479999999999997</v>
      </c>
      <c r="W636" s="311">
        <v>0.49059999999999998</v>
      </c>
      <c r="X636" s="311">
        <v>0.39710000000000001</v>
      </c>
      <c r="Y636" s="311">
        <v>0.44030000000000002</v>
      </c>
      <c r="Z636" s="311">
        <v>0.53449999999999998</v>
      </c>
      <c r="AA636" s="311">
        <v>0.51529999999999998</v>
      </c>
      <c r="AB636" s="311">
        <v>0.4627</v>
      </c>
      <c r="AC636" s="311">
        <v>0.4088</v>
      </c>
      <c r="AD636" s="311">
        <v>0.38390000000000002</v>
      </c>
      <c r="AE636" s="311">
        <v>0.49020000000000002</v>
      </c>
      <c r="AF636" s="311">
        <v>0.36530000000000001</v>
      </c>
      <c r="AG636" s="311">
        <v>0.42280000000000001</v>
      </c>
      <c r="AH636" s="311">
        <v>0.45900000000000002</v>
      </c>
      <c r="AI636" s="311">
        <v>0.4592</v>
      </c>
      <c r="AJ636" s="311">
        <v>0.37319999999999998</v>
      </c>
      <c r="AK636" s="311">
        <v>0.42299999999999999</v>
      </c>
      <c r="AL636" s="311">
        <v>0.4551</v>
      </c>
      <c r="AM636" s="311">
        <v>0.54569999999999996</v>
      </c>
      <c r="AN636" s="311">
        <v>0.4587</v>
      </c>
      <c r="AO636" s="311">
        <v>0.46589999999999998</v>
      </c>
      <c r="AP636" s="311">
        <v>0.53369999999999995</v>
      </c>
      <c r="AQ636" s="311">
        <v>0</v>
      </c>
      <c r="AR636" s="311">
        <v>0.48680000000000001</v>
      </c>
      <c r="AS636" s="311">
        <v>0</v>
      </c>
      <c r="AT636" s="311">
        <v>0.47760000000000002</v>
      </c>
      <c r="AU636" s="311">
        <v>0.49919999999999998</v>
      </c>
      <c r="AV636" s="311">
        <v>0.50119999999999998</v>
      </c>
      <c r="AW636" s="311">
        <v>0.46610000000000001</v>
      </c>
      <c r="AX636" s="311">
        <v>0</v>
      </c>
      <c r="AY636" s="311">
        <v>0.45839999999999997</v>
      </c>
      <c r="AZ636" s="311">
        <v>0.52110000000000001</v>
      </c>
      <c r="BA636" s="311">
        <v>0</v>
      </c>
      <c r="BB636" s="311">
        <v>0</v>
      </c>
      <c r="BC636" s="311">
        <v>0.53890000000000005</v>
      </c>
      <c r="BD636" s="311">
        <v>0.52980000000000005</v>
      </c>
      <c r="BE636" s="311">
        <v>0.56699999999999995</v>
      </c>
      <c r="BF636" s="311">
        <v>0.50829999999999997</v>
      </c>
      <c r="BG636" s="311">
        <v>0.51280000000000003</v>
      </c>
      <c r="BH636" s="311">
        <v>0.50219999999999998</v>
      </c>
      <c r="BI636" s="311">
        <v>0.50519999999999998</v>
      </c>
      <c r="BJ636" s="311">
        <v>0.47</v>
      </c>
      <c r="BK636" s="311">
        <v>0.51670000000000005</v>
      </c>
    </row>
    <row r="637" spans="1:63" x14ac:dyDescent="0.25">
      <c r="A637" s="306">
        <v>333994</v>
      </c>
      <c r="B637" s="311" t="s">
        <v>208</v>
      </c>
      <c r="C637" s="311">
        <v>0.5867</v>
      </c>
      <c r="D637" s="311">
        <v>0</v>
      </c>
      <c r="E637" s="311">
        <v>0.47799999999999998</v>
      </c>
      <c r="F637" s="311">
        <v>0</v>
      </c>
      <c r="G637" s="311">
        <v>0.46960000000000002</v>
      </c>
      <c r="H637" s="311">
        <v>0.51580000000000004</v>
      </c>
      <c r="I637" s="311">
        <v>0.49490000000000001</v>
      </c>
      <c r="J637" s="311">
        <v>0.48130000000000001</v>
      </c>
      <c r="K637" s="311">
        <v>0</v>
      </c>
      <c r="L637" s="311">
        <v>0</v>
      </c>
      <c r="M637" s="311">
        <v>0.4632</v>
      </c>
      <c r="N637" s="311">
        <v>0.47939999999999999</v>
      </c>
      <c r="O637" s="311">
        <v>0</v>
      </c>
      <c r="P637" s="311">
        <v>0.43630000000000002</v>
      </c>
      <c r="Q637" s="311">
        <v>0.44359999999999999</v>
      </c>
      <c r="R637" s="311">
        <v>0.5353</v>
      </c>
      <c r="S637" s="311">
        <v>0.48089999999999999</v>
      </c>
      <c r="T637" s="311">
        <v>0.42480000000000001</v>
      </c>
      <c r="U637" s="311">
        <v>0.4471</v>
      </c>
      <c r="V637" s="311">
        <v>0.45550000000000002</v>
      </c>
      <c r="W637" s="311">
        <v>0.48599999999999999</v>
      </c>
      <c r="X637" s="311">
        <v>0.40839999999999999</v>
      </c>
      <c r="Y637" s="311">
        <v>0</v>
      </c>
      <c r="Z637" s="311">
        <v>0.52910000000000001</v>
      </c>
      <c r="AA637" s="311">
        <v>0.51319999999999999</v>
      </c>
      <c r="AB637" s="311">
        <v>0.47510000000000002</v>
      </c>
      <c r="AC637" s="311">
        <v>0</v>
      </c>
      <c r="AD637" s="311">
        <v>0</v>
      </c>
      <c r="AE637" s="311">
        <v>0.4677</v>
      </c>
      <c r="AF637" s="311">
        <v>0</v>
      </c>
      <c r="AG637" s="311">
        <v>0</v>
      </c>
      <c r="AH637" s="311">
        <v>0.4577</v>
      </c>
      <c r="AI637" s="311">
        <v>0.46710000000000002</v>
      </c>
      <c r="AJ637" s="311">
        <v>0</v>
      </c>
      <c r="AK637" s="311">
        <v>0.44650000000000001</v>
      </c>
      <c r="AL637" s="311">
        <v>0.46779999999999999</v>
      </c>
      <c r="AM637" s="311">
        <v>0.5262</v>
      </c>
      <c r="AN637" s="311">
        <v>0.48699999999999999</v>
      </c>
      <c r="AO637" s="311">
        <v>0.48830000000000001</v>
      </c>
      <c r="AP637" s="311">
        <v>0.53010000000000002</v>
      </c>
      <c r="AQ637" s="311">
        <v>0.42330000000000001</v>
      </c>
      <c r="AR637" s="311">
        <v>0.46970000000000001</v>
      </c>
      <c r="AS637" s="311">
        <v>0</v>
      </c>
      <c r="AT637" s="311">
        <v>0.46410000000000001</v>
      </c>
      <c r="AU637" s="311">
        <v>0.49919999999999998</v>
      </c>
      <c r="AV637" s="311">
        <v>0</v>
      </c>
      <c r="AW637" s="311">
        <v>0</v>
      </c>
      <c r="AX637" s="311">
        <v>0</v>
      </c>
      <c r="AY637" s="311">
        <v>0.4592</v>
      </c>
      <c r="AZ637" s="311">
        <v>0.50600000000000001</v>
      </c>
      <c r="BA637" s="311">
        <v>0.3997</v>
      </c>
      <c r="BB637" s="311">
        <v>0</v>
      </c>
      <c r="BC637" s="311">
        <v>0.52829999999999999</v>
      </c>
      <c r="BD637" s="311">
        <v>0.53820000000000001</v>
      </c>
      <c r="BE637" s="311">
        <v>0.54820000000000002</v>
      </c>
      <c r="BF637" s="311">
        <v>0.50409999999999999</v>
      </c>
      <c r="BG637" s="311">
        <v>0.49409999999999998</v>
      </c>
      <c r="BH637" s="311">
        <v>0.47989999999999999</v>
      </c>
      <c r="BI637" s="311">
        <v>0.51549999999999996</v>
      </c>
      <c r="BJ637" s="311">
        <v>0.48230000000000001</v>
      </c>
      <c r="BK637" s="311">
        <v>0.51529999999999998</v>
      </c>
    </row>
    <row r="638" spans="1:63" x14ac:dyDescent="0.25">
      <c r="A638" s="306" t="s">
        <v>734</v>
      </c>
      <c r="B638" s="311" t="s">
        <v>206</v>
      </c>
      <c r="C638" s="311">
        <v>0.56059999999999999</v>
      </c>
      <c r="D638" s="311">
        <v>0.32890000000000003</v>
      </c>
      <c r="E638" s="311">
        <v>0.43769999999999998</v>
      </c>
      <c r="F638" s="311">
        <v>0.4173</v>
      </c>
      <c r="G638" s="311">
        <v>0.41489999999999999</v>
      </c>
      <c r="H638" s="311">
        <v>0.46379999999999999</v>
      </c>
      <c r="I638" s="311">
        <v>0.44069999999999998</v>
      </c>
      <c r="J638" s="311">
        <v>0.44030000000000002</v>
      </c>
      <c r="K638" s="311">
        <v>0</v>
      </c>
      <c r="L638" s="311">
        <v>0.32200000000000001</v>
      </c>
      <c r="M638" s="311">
        <v>0.41389999999999999</v>
      </c>
      <c r="N638" s="311">
        <v>0.4415</v>
      </c>
      <c r="O638" s="311">
        <v>0</v>
      </c>
      <c r="P638" s="311">
        <v>0.38979999999999998</v>
      </c>
      <c r="Q638" s="311">
        <v>0.3795</v>
      </c>
      <c r="R638" s="311">
        <v>0.49880000000000002</v>
      </c>
      <c r="S638" s="311">
        <v>0.45279999999999998</v>
      </c>
      <c r="T638" s="311">
        <v>0.37159999999999999</v>
      </c>
      <c r="U638" s="311">
        <v>0.4244</v>
      </c>
      <c r="V638" s="311">
        <v>0.41089999999999999</v>
      </c>
      <c r="W638" s="311">
        <v>0.43669999999999998</v>
      </c>
      <c r="X638" s="311">
        <v>0.36919999999999997</v>
      </c>
      <c r="Y638" s="311">
        <v>0.3992</v>
      </c>
      <c r="Z638" s="311">
        <v>0.48980000000000001</v>
      </c>
      <c r="AA638" s="311">
        <v>0.46610000000000001</v>
      </c>
      <c r="AB638" s="311">
        <v>0.42770000000000002</v>
      </c>
      <c r="AC638" s="311">
        <v>0.38169999999999998</v>
      </c>
      <c r="AD638" s="311">
        <v>0.34499999999999997</v>
      </c>
      <c r="AE638" s="311">
        <v>0.44080000000000003</v>
      </c>
      <c r="AF638" s="311">
        <v>0</v>
      </c>
      <c r="AG638" s="311">
        <v>0.38679999999999998</v>
      </c>
      <c r="AH638" s="311">
        <v>0.4153</v>
      </c>
      <c r="AI638" s="311">
        <v>0.41339999999999999</v>
      </c>
      <c r="AJ638" s="311">
        <v>0.3422</v>
      </c>
      <c r="AK638" s="311">
        <v>0.3967</v>
      </c>
      <c r="AL638" s="311">
        <v>0.41260000000000002</v>
      </c>
      <c r="AM638" s="311">
        <v>0.49740000000000001</v>
      </c>
      <c r="AN638" s="311">
        <v>0.43159999999999998</v>
      </c>
      <c r="AO638" s="311">
        <v>0.438</v>
      </c>
      <c r="AP638" s="311">
        <v>0.49320000000000003</v>
      </c>
      <c r="AQ638" s="311">
        <v>0.37969999999999998</v>
      </c>
      <c r="AR638" s="311">
        <v>0.44169999999999998</v>
      </c>
      <c r="AS638" s="311">
        <v>0.34710000000000002</v>
      </c>
      <c r="AT638" s="311">
        <v>0.44529999999999997</v>
      </c>
      <c r="AU638" s="311">
        <v>0.46839999999999998</v>
      </c>
      <c r="AV638" s="311">
        <v>0.45850000000000002</v>
      </c>
      <c r="AW638" s="311">
        <v>0.41120000000000001</v>
      </c>
      <c r="AX638" s="311">
        <v>0.35039999999999999</v>
      </c>
      <c r="AY638" s="311">
        <v>0.4143</v>
      </c>
      <c r="AZ638" s="311">
        <v>0.46600000000000003</v>
      </c>
      <c r="BA638" s="311">
        <v>0.34860000000000002</v>
      </c>
      <c r="BB638" s="311">
        <v>0.33239999999999997</v>
      </c>
      <c r="BC638" s="311">
        <v>0.48110000000000003</v>
      </c>
      <c r="BD638" s="311">
        <v>0.48830000000000001</v>
      </c>
      <c r="BE638" s="311">
        <v>0.51680000000000004</v>
      </c>
      <c r="BF638" s="311">
        <v>0.45810000000000001</v>
      </c>
      <c r="BG638" s="311">
        <v>0.45729999999999998</v>
      </c>
      <c r="BH638" s="311">
        <v>0.46110000000000001</v>
      </c>
      <c r="BI638" s="311">
        <v>0.47539999999999999</v>
      </c>
      <c r="BJ638" s="311">
        <v>0.432</v>
      </c>
      <c r="BK638" s="311">
        <v>0.46710000000000002</v>
      </c>
    </row>
    <row r="639" spans="1:63" x14ac:dyDescent="0.25">
      <c r="A639" s="306" t="s">
        <v>735</v>
      </c>
      <c r="B639" s="311" t="s">
        <v>736</v>
      </c>
      <c r="C639" s="311">
        <v>0.56259999999999999</v>
      </c>
      <c r="D639" s="311">
        <v>0</v>
      </c>
      <c r="E639" s="311">
        <v>0.4476</v>
      </c>
      <c r="F639" s="311">
        <v>0.41370000000000001</v>
      </c>
      <c r="G639" s="311">
        <v>0.4123</v>
      </c>
      <c r="H639" s="311">
        <v>0.4637</v>
      </c>
      <c r="I639" s="311">
        <v>0.44230000000000003</v>
      </c>
      <c r="J639" s="311">
        <v>0.44219999999999998</v>
      </c>
      <c r="K639" s="311">
        <v>0</v>
      </c>
      <c r="L639" s="311">
        <v>0.31440000000000001</v>
      </c>
      <c r="M639" s="311">
        <v>0.4007</v>
      </c>
      <c r="N639" s="311">
        <v>0.4249</v>
      </c>
      <c r="O639" s="311">
        <v>0</v>
      </c>
      <c r="P639" s="311">
        <v>0.39560000000000001</v>
      </c>
      <c r="Q639" s="311">
        <v>0.37440000000000001</v>
      </c>
      <c r="R639" s="311">
        <v>0.50870000000000004</v>
      </c>
      <c r="S639" s="311">
        <v>0.4657</v>
      </c>
      <c r="T639" s="311">
        <v>0.37130000000000002</v>
      </c>
      <c r="U639" s="311">
        <v>0.42920000000000003</v>
      </c>
      <c r="V639" s="311">
        <v>0.4148</v>
      </c>
      <c r="W639" s="311">
        <v>0.4304</v>
      </c>
      <c r="X639" s="311">
        <v>0</v>
      </c>
      <c r="Y639" s="311">
        <v>0.3931</v>
      </c>
      <c r="Z639" s="311">
        <v>0.50470000000000004</v>
      </c>
      <c r="AA639" s="311">
        <v>0.46239999999999998</v>
      </c>
      <c r="AB639" s="311">
        <v>0.41880000000000001</v>
      </c>
      <c r="AC639" s="311">
        <v>0.379</v>
      </c>
      <c r="AD639" s="311">
        <v>0.34620000000000001</v>
      </c>
      <c r="AE639" s="311">
        <v>0.43190000000000001</v>
      </c>
      <c r="AF639" s="311">
        <v>0</v>
      </c>
      <c r="AG639" s="311">
        <v>0.38440000000000002</v>
      </c>
      <c r="AH639" s="311">
        <v>0.41899999999999998</v>
      </c>
      <c r="AI639" s="311">
        <v>0.39860000000000001</v>
      </c>
      <c r="AJ639" s="311">
        <v>0.33939999999999998</v>
      </c>
      <c r="AK639" s="311">
        <v>0.39190000000000003</v>
      </c>
      <c r="AL639" s="311">
        <v>0.40620000000000001</v>
      </c>
      <c r="AM639" s="311">
        <v>0.50519999999999998</v>
      </c>
      <c r="AN639" s="311">
        <v>0.43909999999999999</v>
      </c>
      <c r="AO639" s="311">
        <v>0.4415</v>
      </c>
      <c r="AP639" s="311">
        <v>0.50070000000000003</v>
      </c>
      <c r="AQ639" s="311">
        <v>0</v>
      </c>
      <c r="AR639" s="311">
        <v>0.4451</v>
      </c>
      <c r="AS639" s="311">
        <v>0.34229999999999999</v>
      </c>
      <c r="AT639" s="311">
        <v>0.44779999999999998</v>
      </c>
      <c r="AU639" s="311">
        <v>0.47189999999999999</v>
      </c>
      <c r="AV639" s="311">
        <v>0.46529999999999999</v>
      </c>
      <c r="AW639" s="311">
        <v>0.4098</v>
      </c>
      <c r="AX639" s="311">
        <v>0.34699999999999998</v>
      </c>
      <c r="AY639" s="311">
        <v>0.4078</v>
      </c>
      <c r="AZ639" s="311">
        <v>0.46960000000000002</v>
      </c>
      <c r="BA639" s="311">
        <v>0.35549999999999998</v>
      </c>
      <c r="BB639" s="311">
        <v>0.33700000000000002</v>
      </c>
      <c r="BC639" s="311">
        <v>0.47920000000000001</v>
      </c>
      <c r="BD639" s="311">
        <v>0.48830000000000001</v>
      </c>
      <c r="BE639" s="311">
        <v>0.52410000000000001</v>
      </c>
      <c r="BF639" s="311">
        <v>0.45369999999999999</v>
      </c>
      <c r="BG639" s="311">
        <v>0.44529999999999997</v>
      </c>
      <c r="BH639" s="311">
        <v>0.46779999999999999</v>
      </c>
      <c r="BI639" s="311">
        <v>0.4798</v>
      </c>
      <c r="BJ639" s="311">
        <v>0.43140000000000001</v>
      </c>
      <c r="BK639" s="311">
        <v>0.46760000000000002</v>
      </c>
    </row>
    <row r="640" spans="1:63" x14ac:dyDescent="0.25">
      <c r="A640" s="306">
        <v>334111</v>
      </c>
      <c r="B640" s="311" t="s">
        <v>209</v>
      </c>
      <c r="C640" s="311">
        <v>0.36520000000000002</v>
      </c>
      <c r="D640" s="311">
        <v>0</v>
      </c>
      <c r="E640" s="311">
        <v>0.21360000000000001</v>
      </c>
      <c r="F640" s="311">
        <v>0</v>
      </c>
      <c r="G640" s="311">
        <v>0.25009999999999999</v>
      </c>
      <c r="H640" s="311">
        <v>0.32819999999999999</v>
      </c>
      <c r="I640" s="311">
        <v>0.32250000000000001</v>
      </c>
      <c r="J640" s="311">
        <v>0.24279999999999999</v>
      </c>
      <c r="K640" s="311">
        <v>3.0599999999999999E-2</v>
      </c>
      <c r="L640" s="311">
        <v>0</v>
      </c>
      <c r="M640" s="311">
        <v>0.24249999999999999</v>
      </c>
      <c r="N640" s="311">
        <v>0.26619999999999999</v>
      </c>
      <c r="O640" s="311">
        <v>0.1759</v>
      </c>
      <c r="P640" s="311">
        <v>0.17899999999999999</v>
      </c>
      <c r="Q640" s="311">
        <v>0.22939999999999999</v>
      </c>
      <c r="R640" s="311">
        <v>0.26179999999999998</v>
      </c>
      <c r="S640" s="311">
        <v>0.216</v>
      </c>
      <c r="T640" s="311">
        <v>0.18629999999999999</v>
      </c>
      <c r="U640" s="311">
        <v>0.2019</v>
      </c>
      <c r="V640" s="311">
        <v>0.19059999999999999</v>
      </c>
      <c r="W640" s="311">
        <v>0.30370000000000003</v>
      </c>
      <c r="X640" s="311">
        <v>0.2044</v>
      </c>
      <c r="Y640" s="311">
        <v>0</v>
      </c>
      <c r="Z640" s="311">
        <v>0.26750000000000002</v>
      </c>
      <c r="AA640" s="311">
        <v>0.29859999999999998</v>
      </c>
      <c r="AB640" s="311">
        <v>0.2248</v>
      </c>
      <c r="AC640" s="311">
        <v>0.1724</v>
      </c>
      <c r="AD640" s="311">
        <v>0.15740000000000001</v>
      </c>
      <c r="AE640" s="311">
        <v>0.27129999999999999</v>
      </c>
      <c r="AF640" s="311">
        <v>0.19470000000000001</v>
      </c>
      <c r="AG640" s="311">
        <v>0</v>
      </c>
      <c r="AH640" s="311">
        <v>0.26129999999999998</v>
      </c>
      <c r="AI640" s="311">
        <v>0.2427</v>
      </c>
      <c r="AJ640" s="311">
        <v>0.1938</v>
      </c>
      <c r="AK640" s="311">
        <v>0.20760000000000001</v>
      </c>
      <c r="AL640" s="311">
        <v>0.21820000000000001</v>
      </c>
      <c r="AM640" s="311">
        <v>0.25790000000000002</v>
      </c>
      <c r="AN640" s="311">
        <v>0.20699999999999999</v>
      </c>
      <c r="AO640" s="311">
        <v>0.28199999999999997</v>
      </c>
      <c r="AP640" s="311">
        <v>0.26019999999999999</v>
      </c>
      <c r="AQ640" s="311">
        <v>0</v>
      </c>
      <c r="AR640" s="311">
        <v>0.2001</v>
      </c>
      <c r="AS640" s="311">
        <v>0</v>
      </c>
      <c r="AT640" s="311">
        <v>0.22309999999999999</v>
      </c>
      <c r="AU640" s="311">
        <v>0.28489999999999999</v>
      </c>
      <c r="AV640" s="311">
        <v>0.28589999999999999</v>
      </c>
      <c r="AW640" s="311">
        <v>0.23730000000000001</v>
      </c>
      <c r="AX640" s="311">
        <v>0</v>
      </c>
      <c r="AY640" s="311">
        <v>0.26429999999999998</v>
      </c>
      <c r="AZ640" s="311">
        <v>0.27110000000000001</v>
      </c>
      <c r="BA640" s="311">
        <v>0</v>
      </c>
      <c r="BB640" s="311">
        <v>0</v>
      </c>
      <c r="BC640" s="311">
        <v>0.33079999999999998</v>
      </c>
      <c r="BD640" s="311">
        <v>0.26939999999999997</v>
      </c>
      <c r="BE640" s="311">
        <v>0.27210000000000001</v>
      </c>
      <c r="BF640" s="311">
        <v>0.26700000000000002</v>
      </c>
      <c r="BG640" s="311">
        <v>0.27260000000000001</v>
      </c>
      <c r="BH640" s="311">
        <v>0.2235</v>
      </c>
      <c r="BI640" s="311">
        <v>0.2772</v>
      </c>
      <c r="BJ640" s="311">
        <v>0.30869999999999997</v>
      </c>
      <c r="BK640" s="311">
        <v>0.32869999999999999</v>
      </c>
    </row>
    <row r="641" spans="1:63" x14ac:dyDescent="0.25">
      <c r="A641" s="306">
        <v>334112</v>
      </c>
      <c r="B641" s="311" t="s">
        <v>210</v>
      </c>
      <c r="C641" s="311">
        <v>0.51529999999999998</v>
      </c>
      <c r="D641" s="311">
        <v>0</v>
      </c>
      <c r="E641" s="311">
        <v>0.33200000000000002</v>
      </c>
      <c r="F641" s="311">
        <v>0</v>
      </c>
      <c r="G641" s="311">
        <v>0.36309999999999998</v>
      </c>
      <c r="H641" s="311">
        <v>0.46310000000000001</v>
      </c>
      <c r="I641" s="311">
        <v>0.4592</v>
      </c>
      <c r="J641" s="311">
        <v>0.36940000000000001</v>
      </c>
      <c r="K641" s="311">
        <v>0</v>
      </c>
      <c r="L641" s="311">
        <v>0</v>
      </c>
      <c r="M641" s="311">
        <v>0.3594</v>
      </c>
      <c r="N641" s="311">
        <v>0.41370000000000001</v>
      </c>
      <c r="O641" s="311">
        <v>0</v>
      </c>
      <c r="P641" s="311">
        <v>0.29320000000000002</v>
      </c>
      <c r="Q641" s="311">
        <v>0.34670000000000001</v>
      </c>
      <c r="R641" s="311">
        <v>0.39810000000000001</v>
      </c>
      <c r="S641" s="311">
        <v>0</v>
      </c>
      <c r="T641" s="311">
        <v>0.29849999999999999</v>
      </c>
      <c r="U641" s="311">
        <v>0</v>
      </c>
      <c r="V641" s="311">
        <v>0</v>
      </c>
      <c r="W641" s="311">
        <v>0.4254</v>
      </c>
      <c r="X641" s="311">
        <v>0.32350000000000001</v>
      </c>
      <c r="Y641" s="311">
        <v>0</v>
      </c>
      <c r="Z641" s="311">
        <v>0.40670000000000001</v>
      </c>
      <c r="AA641" s="311">
        <v>0.43369999999999997</v>
      </c>
      <c r="AB641" s="311">
        <v>0</v>
      </c>
      <c r="AC641" s="311">
        <v>0</v>
      </c>
      <c r="AD641" s="311">
        <v>0</v>
      </c>
      <c r="AE641" s="311">
        <v>0</v>
      </c>
      <c r="AF641" s="311">
        <v>0</v>
      </c>
      <c r="AG641" s="311">
        <v>0</v>
      </c>
      <c r="AH641" s="311">
        <v>0.3795</v>
      </c>
      <c r="AI641" s="311">
        <v>0.37019999999999997</v>
      </c>
      <c r="AJ641" s="311">
        <v>0</v>
      </c>
      <c r="AK641" s="311">
        <v>0</v>
      </c>
      <c r="AL641" s="311">
        <v>0.32579999999999998</v>
      </c>
      <c r="AM641" s="311">
        <v>0</v>
      </c>
      <c r="AN641" s="311">
        <v>0.3301</v>
      </c>
      <c r="AO641" s="311">
        <v>0</v>
      </c>
      <c r="AP641" s="311">
        <v>0.39379999999999998</v>
      </c>
      <c r="AQ641" s="311">
        <v>0</v>
      </c>
      <c r="AR641" s="311">
        <v>0</v>
      </c>
      <c r="AS641" s="311">
        <v>0.22090000000000001</v>
      </c>
      <c r="AT641" s="311">
        <v>0.34889999999999999</v>
      </c>
      <c r="AU641" s="311">
        <v>0.4037</v>
      </c>
      <c r="AV641" s="311">
        <v>0.42059999999999997</v>
      </c>
      <c r="AW641" s="311">
        <v>0.3654</v>
      </c>
      <c r="AX641" s="311">
        <v>0</v>
      </c>
      <c r="AY641" s="311">
        <v>0.39379999999999998</v>
      </c>
      <c r="AZ641" s="311">
        <v>0.41110000000000002</v>
      </c>
      <c r="BA641" s="311">
        <v>0</v>
      </c>
      <c r="BB641" s="311">
        <v>0</v>
      </c>
      <c r="BC641" s="311">
        <v>0.46879999999999999</v>
      </c>
      <c r="BD641" s="311">
        <v>0.39960000000000001</v>
      </c>
      <c r="BE641" s="311">
        <v>0.4128</v>
      </c>
      <c r="BF641" s="311">
        <v>0.40229999999999999</v>
      </c>
      <c r="BG641" s="311">
        <v>0.4108</v>
      </c>
      <c r="BH641" s="311">
        <v>0.34720000000000001</v>
      </c>
      <c r="BI641" s="311">
        <v>0.39450000000000002</v>
      </c>
      <c r="BJ641" s="311">
        <v>0.44190000000000002</v>
      </c>
      <c r="BK641" s="311">
        <v>0.46379999999999999</v>
      </c>
    </row>
    <row r="642" spans="1:63" x14ac:dyDescent="0.25">
      <c r="A642" s="306" t="s">
        <v>737</v>
      </c>
      <c r="B642" s="311" t="s">
        <v>211</v>
      </c>
      <c r="C642" s="311">
        <v>0.55020000000000002</v>
      </c>
      <c r="D642" s="311">
        <v>0</v>
      </c>
      <c r="E642" s="311">
        <v>0.38150000000000001</v>
      </c>
      <c r="F642" s="311">
        <v>0.37940000000000002</v>
      </c>
      <c r="G642" s="311">
        <v>0.39860000000000001</v>
      </c>
      <c r="H642" s="311">
        <v>0.47599999999999998</v>
      </c>
      <c r="I642" s="311">
        <v>0.46660000000000001</v>
      </c>
      <c r="J642" s="311">
        <v>0.42359999999999998</v>
      </c>
      <c r="K642" s="311">
        <v>5.67E-2</v>
      </c>
      <c r="L642" s="311">
        <v>0.2601</v>
      </c>
      <c r="M642" s="311">
        <v>0.39860000000000001</v>
      </c>
      <c r="N642" s="311">
        <v>0.44690000000000002</v>
      </c>
      <c r="O642" s="311">
        <v>0</v>
      </c>
      <c r="P642" s="311">
        <v>0.3407</v>
      </c>
      <c r="Q642" s="311">
        <v>0.36199999999999999</v>
      </c>
      <c r="R642" s="311">
        <v>0.46500000000000002</v>
      </c>
      <c r="S642" s="311">
        <v>0.4027</v>
      </c>
      <c r="T642" s="311">
        <v>0.33539999999999998</v>
      </c>
      <c r="U642" s="311">
        <v>0.3851</v>
      </c>
      <c r="V642" s="311">
        <v>0.37159999999999999</v>
      </c>
      <c r="W642" s="311">
        <v>0.44340000000000002</v>
      </c>
      <c r="X642" s="311">
        <v>0.35820000000000002</v>
      </c>
      <c r="Y642" s="311">
        <v>0</v>
      </c>
      <c r="Z642" s="311">
        <v>0.45669999999999999</v>
      </c>
      <c r="AA642" s="311">
        <v>0.45219999999999999</v>
      </c>
      <c r="AB642" s="311">
        <v>0.39529999999999998</v>
      </c>
      <c r="AC642" s="311">
        <v>0.33979999999999999</v>
      </c>
      <c r="AD642" s="311">
        <v>0.29759999999999998</v>
      </c>
      <c r="AE642" s="311">
        <v>0.44219999999999998</v>
      </c>
      <c r="AF642" s="311">
        <v>0.31469999999999998</v>
      </c>
      <c r="AG642" s="311">
        <v>0.34420000000000001</v>
      </c>
      <c r="AH642" s="311">
        <v>0.38579999999999998</v>
      </c>
      <c r="AI642" s="311">
        <v>0.40610000000000002</v>
      </c>
      <c r="AJ642" s="311">
        <v>0.33600000000000002</v>
      </c>
      <c r="AK642" s="311">
        <v>0.3674</v>
      </c>
      <c r="AL642" s="311">
        <v>0.37009999999999998</v>
      </c>
      <c r="AM642" s="311">
        <v>0.45550000000000002</v>
      </c>
      <c r="AN642" s="311">
        <v>0.36959999999999998</v>
      </c>
      <c r="AO642" s="311">
        <v>0.434</v>
      </c>
      <c r="AP642" s="311">
        <v>0.4607</v>
      </c>
      <c r="AQ642" s="311">
        <v>0.35570000000000002</v>
      </c>
      <c r="AR642" s="311">
        <v>0.39190000000000003</v>
      </c>
      <c r="AS642" s="311">
        <v>0.2361</v>
      </c>
      <c r="AT642" s="311">
        <v>0.4133</v>
      </c>
      <c r="AU642" s="311">
        <v>0.45910000000000001</v>
      </c>
      <c r="AV642" s="311">
        <v>0.44969999999999999</v>
      </c>
      <c r="AW642" s="311">
        <v>0.40310000000000001</v>
      </c>
      <c r="AX642" s="311">
        <v>0.3306</v>
      </c>
      <c r="AY642" s="311">
        <v>0.42</v>
      </c>
      <c r="AZ642" s="311">
        <v>0.43630000000000002</v>
      </c>
      <c r="BA642" s="311">
        <v>0</v>
      </c>
      <c r="BB642" s="311">
        <v>0.316</v>
      </c>
      <c r="BC642" s="311">
        <v>0.49209999999999998</v>
      </c>
      <c r="BD642" s="311">
        <v>0.46379999999999999</v>
      </c>
      <c r="BE642" s="311">
        <v>0.4758</v>
      </c>
      <c r="BF642" s="311">
        <v>0.42570000000000002</v>
      </c>
      <c r="BG642" s="311">
        <v>0.45490000000000003</v>
      </c>
      <c r="BH642" s="311">
        <v>0.41460000000000002</v>
      </c>
      <c r="BI642" s="311">
        <v>0.45569999999999999</v>
      </c>
      <c r="BJ642" s="311">
        <v>0.44829999999999998</v>
      </c>
      <c r="BK642" s="311">
        <v>0.47760000000000002</v>
      </c>
    </row>
    <row r="643" spans="1:63" x14ac:dyDescent="0.25">
      <c r="A643" s="306">
        <v>334210</v>
      </c>
      <c r="B643" s="311" t="s">
        <v>212</v>
      </c>
      <c r="C643" s="311">
        <v>0.41760000000000003</v>
      </c>
      <c r="D643" s="311">
        <v>0</v>
      </c>
      <c r="E643" s="311">
        <v>0.26150000000000001</v>
      </c>
      <c r="F643" s="311">
        <v>0.25779999999999997</v>
      </c>
      <c r="G643" s="311">
        <v>0.30359999999999998</v>
      </c>
      <c r="H643" s="311">
        <v>0.36940000000000001</v>
      </c>
      <c r="I643" s="311">
        <v>0.3342</v>
      </c>
      <c r="J643" s="311">
        <v>0.30399999999999999</v>
      </c>
      <c r="K643" s="311">
        <v>3.7699999999999997E-2</v>
      </c>
      <c r="L643" s="311">
        <v>0.1857</v>
      </c>
      <c r="M643" s="311">
        <v>0.30730000000000002</v>
      </c>
      <c r="N643" s="311">
        <v>0.31630000000000003</v>
      </c>
      <c r="O643" s="311">
        <v>0</v>
      </c>
      <c r="P643" s="311">
        <v>0</v>
      </c>
      <c r="Q643" s="311">
        <v>0.26600000000000001</v>
      </c>
      <c r="R643" s="311">
        <v>0.3498</v>
      </c>
      <c r="S643" s="311">
        <v>0</v>
      </c>
      <c r="T643" s="311">
        <v>0.24840000000000001</v>
      </c>
      <c r="U643" s="311">
        <v>0.25209999999999999</v>
      </c>
      <c r="V643" s="311">
        <v>0.2427</v>
      </c>
      <c r="W643" s="311">
        <v>0.32840000000000003</v>
      </c>
      <c r="X643" s="311">
        <v>0.2742</v>
      </c>
      <c r="Y643" s="311">
        <v>0</v>
      </c>
      <c r="Z643" s="311">
        <v>0.30659999999999998</v>
      </c>
      <c r="AA643" s="311">
        <v>0.32069999999999999</v>
      </c>
      <c r="AB643" s="311">
        <v>0.27310000000000001</v>
      </c>
      <c r="AC643" s="311">
        <v>0.22309999999999999</v>
      </c>
      <c r="AD643" s="311">
        <v>0</v>
      </c>
      <c r="AE643" s="311">
        <v>0.3296</v>
      </c>
      <c r="AF643" s="311">
        <v>0</v>
      </c>
      <c r="AG643" s="311">
        <v>0.23599999999999999</v>
      </c>
      <c r="AH643" s="311">
        <v>0.29609999999999997</v>
      </c>
      <c r="AI643" s="311">
        <v>0.31509999999999999</v>
      </c>
      <c r="AJ643" s="311">
        <v>0.25180000000000002</v>
      </c>
      <c r="AK643" s="311">
        <v>0.254</v>
      </c>
      <c r="AL643" s="311">
        <v>0.27639999999999998</v>
      </c>
      <c r="AM643" s="311">
        <v>0.31780000000000003</v>
      </c>
      <c r="AN643" s="311">
        <v>0.25269999999999998</v>
      </c>
      <c r="AO643" s="311">
        <v>0.31230000000000002</v>
      </c>
      <c r="AP643" s="311">
        <v>0.32390000000000002</v>
      </c>
      <c r="AQ643" s="311">
        <v>0.26050000000000001</v>
      </c>
      <c r="AR643" s="311">
        <v>0.25580000000000003</v>
      </c>
      <c r="AS643" s="311">
        <v>0</v>
      </c>
      <c r="AT643" s="311">
        <v>0.26800000000000002</v>
      </c>
      <c r="AU643" s="311">
        <v>0.3508</v>
      </c>
      <c r="AV643" s="311">
        <v>0.34760000000000002</v>
      </c>
      <c r="AW643" s="311">
        <v>0.30330000000000001</v>
      </c>
      <c r="AX643" s="311">
        <v>0</v>
      </c>
      <c r="AY643" s="311">
        <v>0.29270000000000002</v>
      </c>
      <c r="AZ643" s="311">
        <v>0.29780000000000001</v>
      </c>
      <c r="BA643" s="311">
        <v>0</v>
      </c>
      <c r="BB643" s="311">
        <v>0</v>
      </c>
      <c r="BC643" s="311">
        <v>0.37</v>
      </c>
      <c r="BD643" s="311">
        <v>0.34089999999999998</v>
      </c>
      <c r="BE643" s="311">
        <v>0.34379999999999999</v>
      </c>
      <c r="BF643" s="311">
        <v>0.30859999999999999</v>
      </c>
      <c r="BG643" s="311">
        <v>0.33860000000000001</v>
      </c>
      <c r="BH643" s="311">
        <v>0.27050000000000002</v>
      </c>
      <c r="BI643" s="311">
        <v>0.34429999999999999</v>
      </c>
      <c r="BJ643" s="311">
        <v>0.32969999999999999</v>
      </c>
      <c r="BK643" s="311">
        <v>0.36940000000000001</v>
      </c>
    </row>
    <row r="644" spans="1:63" x14ac:dyDescent="0.25">
      <c r="A644" s="306">
        <v>334220</v>
      </c>
      <c r="B644" s="311" t="s">
        <v>738</v>
      </c>
      <c r="C644" s="311">
        <v>0.51519999999999999</v>
      </c>
      <c r="D644" s="311">
        <v>0</v>
      </c>
      <c r="E644" s="311">
        <v>0.31769999999999998</v>
      </c>
      <c r="F644" s="311">
        <v>0.31040000000000001</v>
      </c>
      <c r="G644" s="311">
        <v>0.38479999999999998</v>
      </c>
      <c r="H644" s="311">
        <v>0.46379999999999999</v>
      </c>
      <c r="I644" s="311">
        <v>0.42180000000000001</v>
      </c>
      <c r="J644" s="311">
        <v>0.37240000000000001</v>
      </c>
      <c r="K644" s="311">
        <v>5.33E-2</v>
      </c>
      <c r="L644" s="311">
        <v>0</v>
      </c>
      <c r="M644" s="311">
        <v>0.39119999999999999</v>
      </c>
      <c r="N644" s="311">
        <v>0.40460000000000002</v>
      </c>
      <c r="O644" s="311">
        <v>0</v>
      </c>
      <c r="P644" s="311">
        <v>0.2802</v>
      </c>
      <c r="Q644" s="311">
        <v>0.32369999999999999</v>
      </c>
      <c r="R644" s="311">
        <v>0.4254</v>
      </c>
      <c r="S644" s="311">
        <v>0.35139999999999999</v>
      </c>
      <c r="T644" s="311">
        <v>0.31040000000000001</v>
      </c>
      <c r="U644" s="311">
        <v>0</v>
      </c>
      <c r="V644" s="311">
        <v>0.29870000000000002</v>
      </c>
      <c r="W644" s="311">
        <v>0.40550000000000003</v>
      </c>
      <c r="X644" s="311">
        <v>0.34610000000000002</v>
      </c>
      <c r="Y644" s="311">
        <v>0.35260000000000002</v>
      </c>
      <c r="Z644" s="311">
        <v>0.37869999999999998</v>
      </c>
      <c r="AA644" s="311">
        <v>0.39350000000000002</v>
      </c>
      <c r="AB644" s="311">
        <v>0.33989999999999998</v>
      </c>
      <c r="AC644" s="311">
        <v>0.2722</v>
      </c>
      <c r="AD644" s="311">
        <v>0.25330000000000003</v>
      </c>
      <c r="AE644" s="311">
        <v>0.40429999999999999</v>
      </c>
      <c r="AF644" s="311">
        <v>0.26150000000000001</v>
      </c>
      <c r="AG644" s="311">
        <v>0.2898</v>
      </c>
      <c r="AH644" s="311">
        <v>0.37040000000000001</v>
      </c>
      <c r="AI644" s="311">
        <v>0.39429999999999998</v>
      </c>
      <c r="AJ644" s="311">
        <v>0.31040000000000001</v>
      </c>
      <c r="AK644" s="311">
        <v>0.3155</v>
      </c>
      <c r="AL644" s="311">
        <v>0.34589999999999999</v>
      </c>
      <c r="AM644" s="311">
        <v>0.38500000000000001</v>
      </c>
      <c r="AN644" s="311">
        <v>0.31580000000000003</v>
      </c>
      <c r="AO644" s="311">
        <v>0.38879999999999998</v>
      </c>
      <c r="AP644" s="311">
        <v>0.39240000000000003</v>
      </c>
      <c r="AQ644" s="311">
        <v>0.32969999999999999</v>
      </c>
      <c r="AR644" s="311">
        <v>0.31119999999999998</v>
      </c>
      <c r="AS644" s="311">
        <v>0.2155</v>
      </c>
      <c r="AT644" s="311">
        <v>0.32940000000000003</v>
      </c>
      <c r="AU644" s="311">
        <v>0.43080000000000002</v>
      </c>
      <c r="AV644" s="311">
        <v>0.43990000000000001</v>
      </c>
      <c r="AW644" s="311">
        <v>0.38240000000000002</v>
      </c>
      <c r="AX644" s="311">
        <v>0.28949999999999998</v>
      </c>
      <c r="AY644" s="311">
        <v>0.37069999999999997</v>
      </c>
      <c r="AZ644" s="311">
        <v>0.36159999999999998</v>
      </c>
      <c r="BA644" s="311">
        <v>0</v>
      </c>
      <c r="BB644" s="311">
        <v>0</v>
      </c>
      <c r="BC644" s="311">
        <v>0.45450000000000002</v>
      </c>
      <c r="BD644" s="311">
        <v>0.42099999999999999</v>
      </c>
      <c r="BE644" s="311">
        <v>0.42120000000000002</v>
      </c>
      <c r="BF644" s="311">
        <v>0.38129999999999997</v>
      </c>
      <c r="BG644" s="311">
        <v>0.42580000000000001</v>
      </c>
      <c r="BH644" s="311">
        <v>0.32750000000000001</v>
      </c>
      <c r="BI644" s="311">
        <v>0.42070000000000002</v>
      </c>
      <c r="BJ644" s="311">
        <v>0.41720000000000002</v>
      </c>
      <c r="BK644" s="311">
        <v>0.46450000000000002</v>
      </c>
    </row>
    <row r="645" spans="1:63" x14ac:dyDescent="0.25">
      <c r="A645" s="306">
        <v>334290</v>
      </c>
      <c r="B645" s="311" t="s">
        <v>213</v>
      </c>
      <c r="C645" s="311">
        <v>0.55200000000000005</v>
      </c>
      <c r="D645" s="311">
        <v>0.2462</v>
      </c>
      <c r="E645" s="311">
        <v>0.36909999999999998</v>
      </c>
      <c r="F645" s="311">
        <v>0</v>
      </c>
      <c r="G645" s="311">
        <v>0.4042</v>
      </c>
      <c r="H645" s="311">
        <v>0.49359999999999998</v>
      </c>
      <c r="I645" s="311">
        <v>0.48080000000000001</v>
      </c>
      <c r="J645" s="311">
        <v>0.4239</v>
      </c>
      <c r="K645" s="311">
        <v>0</v>
      </c>
      <c r="L645" s="311">
        <v>0</v>
      </c>
      <c r="M645" s="311">
        <v>0.40579999999999999</v>
      </c>
      <c r="N645" s="311">
        <v>0.4587</v>
      </c>
      <c r="O645" s="311">
        <v>0</v>
      </c>
      <c r="P645" s="311">
        <v>0.33410000000000001</v>
      </c>
      <c r="Q645" s="311">
        <v>0.36020000000000002</v>
      </c>
      <c r="R645" s="311">
        <v>0.45900000000000002</v>
      </c>
      <c r="S645" s="311">
        <v>0.38679999999999998</v>
      </c>
      <c r="T645" s="311">
        <v>0.33939999999999998</v>
      </c>
      <c r="U645" s="311">
        <v>0.35709999999999997</v>
      </c>
      <c r="V645" s="311">
        <v>0.34520000000000001</v>
      </c>
      <c r="W645" s="311">
        <v>0.45490000000000003</v>
      </c>
      <c r="X645" s="311">
        <v>0.3654</v>
      </c>
      <c r="Y645" s="311">
        <v>0.36649999999999999</v>
      </c>
      <c r="Z645" s="311">
        <v>0.45929999999999999</v>
      </c>
      <c r="AA645" s="311">
        <v>0.4657</v>
      </c>
      <c r="AB645" s="311">
        <v>0.39250000000000002</v>
      </c>
      <c r="AC645" s="311">
        <v>0.31740000000000002</v>
      </c>
      <c r="AD645" s="311">
        <v>0.28789999999999999</v>
      </c>
      <c r="AE645" s="311">
        <v>0.44679999999999997</v>
      </c>
      <c r="AF645" s="311">
        <v>0</v>
      </c>
      <c r="AG645" s="311">
        <v>0.34310000000000002</v>
      </c>
      <c r="AH645" s="311">
        <v>0.41039999999999999</v>
      </c>
      <c r="AI645" s="311">
        <v>0.41839999999999999</v>
      </c>
      <c r="AJ645" s="311">
        <v>0.33289999999999997</v>
      </c>
      <c r="AK645" s="311">
        <v>0.36409999999999998</v>
      </c>
      <c r="AL645" s="311">
        <v>0.36699999999999999</v>
      </c>
      <c r="AM645" s="311">
        <v>0.43590000000000001</v>
      </c>
      <c r="AN645" s="311">
        <v>0.35560000000000003</v>
      </c>
      <c r="AO645" s="311">
        <v>0.45129999999999998</v>
      </c>
      <c r="AP645" s="311">
        <v>0.44840000000000002</v>
      </c>
      <c r="AQ645" s="311">
        <v>0.37840000000000001</v>
      </c>
      <c r="AR645" s="311">
        <v>0.3659</v>
      </c>
      <c r="AS645" s="311">
        <v>0.23669999999999999</v>
      </c>
      <c r="AT645" s="311">
        <v>0.39560000000000001</v>
      </c>
      <c r="AU645" s="311">
        <v>0.45639999999999997</v>
      </c>
      <c r="AV645" s="311">
        <v>0.47810000000000002</v>
      </c>
      <c r="AW645" s="311">
        <v>0.41489999999999999</v>
      </c>
      <c r="AX645" s="311">
        <v>0</v>
      </c>
      <c r="AY645" s="311">
        <v>0.433</v>
      </c>
      <c r="AZ645" s="311">
        <v>0.44419999999999998</v>
      </c>
      <c r="BA645" s="311">
        <v>0</v>
      </c>
      <c r="BB645" s="311">
        <v>0</v>
      </c>
      <c r="BC645" s="311">
        <v>0.50270000000000004</v>
      </c>
      <c r="BD645" s="311">
        <v>0.4511</v>
      </c>
      <c r="BE645" s="311">
        <v>0.46660000000000001</v>
      </c>
      <c r="BF645" s="311">
        <v>0.43230000000000002</v>
      </c>
      <c r="BG645" s="311">
        <v>0.46029999999999999</v>
      </c>
      <c r="BH645" s="311">
        <v>0.38690000000000002</v>
      </c>
      <c r="BI645" s="311">
        <v>0.44280000000000003</v>
      </c>
      <c r="BJ645" s="311">
        <v>0.46579999999999999</v>
      </c>
      <c r="BK645" s="311">
        <v>0.49509999999999998</v>
      </c>
    </row>
    <row r="646" spans="1:63" x14ac:dyDescent="0.25">
      <c r="A646" s="306">
        <v>334300</v>
      </c>
      <c r="B646" s="311" t="s">
        <v>214</v>
      </c>
      <c r="C646" s="311">
        <v>0.44469999999999998</v>
      </c>
      <c r="D646" s="311">
        <v>0</v>
      </c>
      <c r="E646" s="311">
        <v>0.26919999999999999</v>
      </c>
      <c r="F646" s="311">
        <v>0.2656</v>
      </c>
      <c r="G646" s="311">
        <v>0.28310000000000002</v>
      </c>
      <c r="H646" s="311">
        <v>0.37469999999999998</v>
      </c>
      <c r="I646" s="311">
        <v>0.31169999999999998</v>
      </c>
      <c r="J646" s="311">
        <v>0.29189999999999999</v>
      </c>
      <c r="K646" s="311">
        <v>3.5499999999999997E-2</v>
      </c>
      <c r="L646" s="311">
        <v>0.1817</v>
      </c>
      <c r="M646" s="311">
        <v>0.28149999999999997</v>
      </c>
      <c r="N646" s="311">
        <v>0.31940000000000002</v>
      </c>
      <c r="O646" s="311">
        <v>0</v>
      </c>
      <c r="P646" s="311">
        <v>0.2258</v>
      </c>
      <c r="Q646" s="311">
        <v>0.2402</v>
      </c>
      <c r="R646" s="311">
        <v>0.34720000000000001</v>
      </c>
      <c r="S646" s="311">
        <v>0.28860000000000002</v>
      </c>
      <c r="T646" s="311">
        <v>0.22459999999999999</v>
      </c>
      <c r="U646" s="311">
        <v>0.28589999999999999</v>
      </c>
      <c r="V646" s="311">
        <v>0.2306</v>
      </c>
      <c r="W646" s="311">
        <v>0.34739999999999999</v>
      </c>
      <c r="X646" s="311">
        <v>0.25019999999999998</v>
      </c>
      <c r="Y646" s="311">
        <v>0.25419999999999998</v>
      </c>
      <c r="Z646" s="311">
        <v>0.34549999999999997</v>
      </c>
      <c r="AA646" s="311">
        <v>0.3211</v>
      </c>
      <c r="AB646" s="311">
        <v>0.28439999999999999</v>
      </c>
      <c r="AC646" s="311">
        <v>0.22650000000000001</v>
      </c>
      <c r="AD646" s="311">
        <v>0</v>
      </c>
      <c r="AE646" s="311">
        <v>0.31190000000000001</v>
      </c>
      <c r="AF646" s="311">
        <v>0.20319999999999999</v>
      </c>
      <c r="AG646" s="311">
        <v>0.22459999999999999</v>
      </c>
      <c r="AH646" s="311">
        <v>0.28349999999999997</v>
      </c>
      <c r="AI646" s="311">
        <v>0.32329999999999998</v>
      </c>
      <c r="AJ646" s="311">
        <v>0.2286</v>
      </c>
      <c r="AK646" s="311">
        <v>0.23630000000000001</v>
      </c>
      <c r="AL646" s="311">
        <v>0.2646</v>
      </c>
      <c r="AM646" s="311">
        <v>0.33879999999999999</v>
      </c>
      <c r="AN646" s="311">
        <v>0.2452</v>
      </c>
      <c r="AO646" s="311">
        <v>0.3034</v>
      </c>
      <c r="AP646" s="311">
        <v>0.34749999999999998</v>
      </c>
      <c r="AQ646" s="311">
        <v>0.23960000000000001</v>
      </c>
      <c r="AR646" s="311">
        <v>0.27700000000000002</v>
      </c>
      <c r="AS646" s="311">
        <v>0</v>
      </c>
      <c r="AT646" s="311">
        <v>0.29120000000000001</v>
      </c>
      <c r="AU646" s="311">
        <v>0.32950000000000002</v>
      </c>
      <c r="AV646" s="311">
        <v>0.3281</v>
      </c>
      <c r="AW646" s="311">
        <v>0.26869999999999999</v>
      </c>
      <c r="AX646" s="311">
        <v>0.22819999999999999</v>
      </c>
      <c r="AY646" s="311">
        <v>0.28610000000000002</v>
      </c>
      <c r="AZ646" s="311">
        <v>0.3135</v>
      </c>
      <c r="BA646" s="311">
        <v>0.19089999999999999</v>
      </c>
      <c r="BB646" s="311">
        <v>0.1837</v>
      </c>
      <c r="BC646" s="311">
        <v>0.38140000000000002</v>
      </c>
      <c r="BD646" s="311">
        <v>0.34660000000000002</v>
      </c>
      <c r="BE646" s="311">
        <v>0.3594</v>
      </c>
      <c r="BF646" s="311">
        <v>0.30280000000000001</v>
      </c>
      <c r="BG646" s="311">
        <v>0.32950000000000002</v>
      </c>
      <c r="BH646" s="311">
        <v>0.30790000000000001</v>
      </c>
      <c r="BI646" s="311">
        <v>0.3261</v>
      </c>
      <c r="BJ646" s="311">
        <v>0.31480000000000002</v>
      </c>
      <c r="BK646" s="311">
        <v>0.37730000000000002</v>
      </c>
    </row>
    <row r="647" spans="1:63" x14ac:dyDescent="0.25">
      <c r="A647" s="306">
        <v>334411</v>
      </c>
      <c r="B647" s="311" t="s">
        <v>215</v>
      </c>
      <c r="C647" s="311">
        <v>0.50329999999999997</v>
      </c>
      <c r="D647" s="311">
        <v>0</v>
      </c>
      <c r="E647" s="311">
        <v>0</v>
      </c>
      <c r="F647" s="311">
        <v>0</v>
      </c>
      <c r="G647" s="311">
        <v>0</v>
      </c>
      <c r="H647" s="311">
        <v>0.40339999999999998</v>
      </c>
      <c r="I647" s="311">
        <v>0.371</v>
      </c>
      <c r="J647" s="311">
        <v>0</v>
      </c>
      <c r="K647" s="311">
        <v>0</v>
      </c>
      <c r="L647" s="311">
        <v>0</v>
      </c>
      <c r="M647" s="311">
        <v>0.33350000000000002</v>
      </c>
      <c r="N647" s="311">
        <v>0</v>
      </c>
      <c r="O647" s="311">
        <v>0</v>
      </c>
      <c r="P647" s="311">
        <v>0</v>
      </c>
      <c r="Q647" s="311">
        <v>0</v>
      </c>
      <c r="R647" s="311">
        <v>0.40889999999999999</v>
      </c>
      <c r="S647" s="311">
        <v>0</v>
      </c>
      <c r="T647" s="311">
        <v>0</v>
      </c>
      <c r="U647" s="311">
        <v>0.38250000000000001</v>
      </c>
      <c r="V647" s="311">
        <v>0.31990000000000002</v>
      </c>
      <c r="W647" s="311">
        <v>0.35339999999999999</v>
      </c>
      <c r="X647" s="311">
        <v>0.30109999999999998</v>
      </c>
      <c r="Y647" s="311">
        <v>0</v>
      </c>
      <c r="Z647" s="311">
        <v>0.40770000000000001</v>
      </c>
      <c r="AA647" s="311">
        <v>0</v>
      </c>
      <c r="AB647" s="311">
        <v>0.33250000000000002</v>
      </c>
      <c r="AC647" s="311">
        <v>0.31009999999999999</v>
      </c>
      <c r="AD647" s="311">
        <v>0</v>
      </c>
      <c r="AE647" s="311">
        <v>0</v>
      </c>
      <c r="AF647" s="311">
        <v>0</v>
      </c>
      <c r="AG647" s="311">
        <v>0</v>
      </c>
      <c r="AH647" s="311">
        <v>0</v>
      </c>
      <c r="AI647" s="311">
        <v>0.38869999999999999</v>
      </c>
      <c r="AJ647" s="311">
        <v>0</v>
      </c>
      <c r="AK647" s="311">
        <v>0</v>
      </c>
      <c r="AL647" s="311">
        <v>0.32590000000000002</v>
      </c>
      <c r="AM647" s="311">
        <v>0.437</v>
      </c>
      <c r="AN647" s="311">
        <v>0</v>
      </c>
      <c r="AO647" s="311">
        <v>0</v>
      </c>
      <c r="AP647" s="311">
        <v>0.44359999999999999</v>
      </c>
      <c r="AQ647" s="311">
        <v>0</v>
      </c>
      <c r="AR647" s="311">
        <v>0.37</v>
      </c>
      <c r="AS647" s="311">
        <v>0</v>
      </c>
      <c r="AT647" s="311">
        <v>0</v>
      </c>
      <c r="AU647" s="311">
        <v>0.39529999999999998</v>
      </c>
      <c r="AV647" s="311">
        <v>0</v>
      </c>
      <c r="AW647" s="311">
        <v>0</v>
      </c>
      <c r="AX647" s="311">
        <v>0</v>
      </c>
      <c r="AY647" s="311">
        <v>0</v>
      </c>
      <c r="AZ647" s="311">
        <v>0.39379999999999998</v>
      </c>
      <c r="BA647" s="311">
        <v>0</v>
      </c>
      <c r="BB647" s="311">
        <v>0</v>
      </c>
      <c r="BC647" s="311">
        <v>0.40920000000000001</v>
      </c>
      <c r="BD647" s="311">
        <v>0.43719999999999998</v>
      </c>
      <c r="BE647" s="311">
        <v>0.4551</v>
      </c>
      <c r="BF647" s="311">
        <v>0.3881</v>
      </c>
      <c r="BG647" s="311">
        <v>0.39190000000000003</v>
      </c>
      <c r="BH647" s="311">
        <v>0.41220000000000001</v>
      </c>
      <c r="BI647" s="311">
        <v>0.3962</v>
      </c>
      <c r="BJ647" s="311">
        <v>0.36849999999999999</v>
      </c>
      <c r="BK647" s="311">
        <v>0.41289999999999999</v>
      </c>
    </row>
    <row r="648" spans="1:63" x14ac:dyDescent="0.25">
      <c r="A648" s="306">
        <v>334412</v>
      </c>
      <c r="B648" s="311" t="s">
        <v>216</v>
      </c>
      <c r="C648" s="311">
        <v>0.55710000000000004</v>
      </c>
      <c r="D648" s="311">
        <v>0</v>
      </c>
      <c r="E648" s="311">
        <v>0.42330000000000001</v>
      </c>
      <c r="F648" s="311">
        <v>0.39979999999999999</v>
      </c>
      <c r="G648" s="311">
        <v>0.44950000000000001</v>
      </c>
      <c r="H648" s="311">
        <v>0.49109999999999998</v>
      </c>
      <c r="I648" s="311">
        <v>0.47949999999999998</v>
      </c>
      <c r="J648" s="311">
        <v>0.4425</v>
      </c>
      <c r="K648" s="311">
        <v>0</v>
      </c>
      <c r="L648" s="311">
        <v>0</v>
      </c>
      <c r="M648" s="311">
        <v>0.44040000000000001</v>
      </c>
      <c r="N648" s="311">
        <v>0.4476</v>
      </c>
      <c r="O648" s="311">
        <v>0</v>
      </c>
      <c r="P648" s="311">
        <v>0.37159999999999999</v>
      </c>
      <c r="Q648" s="311">
        <v>0.39700000000000002</v>
      </c>
      <c r="R648" s="311">
        <v>0.48530000000000001</v>
      </c>
      <c r="S648" s="311">
        <v>0.42149999999999999</v>
      </c>
      <c r="T648" s="311">
        <v>0.36159999999999998</v>
      </c>
      <c r="U648" s="311">
        <v>0.40050000000000002</v>
      </c>
      <c r="V648" s="311">
        <v>0.39979999999999999</v>
      </c>
      <c r="W648" s="311">
        <v>0.4471</v>
      </c>
      <c r="X648" s="311">
        <v>0.38479999999999998</v>
      </c>
      <c r="Y648" s="311">
        <v>0.40410000000000001</v>
      </c>
      <c r="Z648" s="311">
        <v>0.4667</v>
      </c>
      <c r="AA648" s="311">
        <v>0.4647</v>
      </c>
      <c r="AB648" s="311">
        <v>0.40989999999999999</v>
      </c>
      <c r="AC648" s="311">
        <v>0.36420000000000002</v>
      </c>
      <c r="AD648" s="311">
        <v>0</v>
      </c>
      <c r="AE648" s="311">
        <v>0.46100000000000002</v>
      </c>
      <c r="AF648" s="311">
        <v>0.33429999999999999</v>
      </c>
      <c r="AG648" s="311">
        <v>0.36780000000000002</v>
      </c>
      <c r="AH648" s="311">
        <v>0.40510000000000002</v>
      </c>
      <c r="AI648" s="311">
        <v>0.43680000000000002</v>
      </c>
      <c r="AJ648" s="311">
        <v>0.38729999999999998</v>
      </c>
      <c r="AK648" s="311">
        <v>0.38440000000000002</v>
      </c>
      <c r="AL648" s="311">
        <v>0.40600000000000003</v>
      </c>
      <c r="AM648" s="311">
        <v>0.46489999999999998</v>
      </c>
      <c r="AN648" s="311">
        <v>0.40400000000000003</v>
      </c>
      <c r="AO648" s="311">
        <v>0.44740000000000002</v>
      </c>
      <c r="AP648" s="311">
        <v>0.47349999999999998</v>
      </c>
      <c r="AQ648" s="311">
        <v>0.36759999999999998</v>
      </c>
      <c r="AR648" s="311">
        <v>0.41170000000000001</v>
      </c>
      <c r="AS648" s="311">
        <v>0.26929999999999998</v>
      </c>
      <c r="AT648" s="311">
        <v>0.43130000000000002</v>
      </c>
      <c r="AU648" s="311">
        <v>0.48420000000000002</v>
      </c>
      <c r="AV648" s="311">
        <v>0.47570000000000001</v>
      </c>
      <c r="AW648" s="311">
        <v>0.41660000000000003</v>
      </c>
      <c r="AX648" s="311">
        <v>0.38390000000000002</v>
      </c>
      <c r="AY648" s="311">
        <v>0.42759999999999998</v>
      </c>
      <c r="AZ648" s="311">
        <v>0.44259999999999999</v>
      </c>
      <c r="BA648" s="311">
        <v>0</v>
      </c>
      <c r="BB648" s="311">
        <v>0</v>
      </c>
      <c r="BC648" s="311">
        <v>0.50160000000000005</v>
      </c>
      <c r="BD648" s="311">
        <v>0.48359999999999997</v>
      </c>
      <c r="BE648" s="311">
        <v>0.4894</v>
      </c>
      <c r="BF648" s="311">
        <v>0.45500000000000002</v>
      </c>
      <c r="BG648" s="311">
        <v>0.47820000000000001</v>
      </c>
      <c r="BH648" s="311">
        <v>0.43809999999999999</v>
      </c>
      <c r="BI648" s="311">
        <v>0.48320000000000002</v>
      </c>
      <c r="BJ648" s="311">
        <v>0.4753</v>
      </c>
      <c r="BK648" s="311">
        <v>0.49390000000000001</v>
      </c>
    </row>
    <row r="649" spans="1:63" x14ac:dyDescent="0.25">
      <c r="A649" s="306">
        <v>334413</v>
      </c>
      <c r="B649" s="311" t="s">
        <v>217</v>
      </c>
      <c r="C649" s="311">
        <v>0.41560000000000002</v>
      </c>
      <c r="D649" s="311">
        <v>0</v>
      </c>
      <c r="E649" s="311">
        <v>0.30180000000000001</v>
      </c>
      <c r="F649" s="311">
        <v>0.3019</v>
      </c>
      <c r="G649" s="311">
        <v>0.3145</v>
      </c>
      <c r="H649" s="311">
        <v>0.35370000000000001</v>
      </c>
      <c r="I649" s="311">
        <v>0.35589999999999999</v>
      </c>
      <c r="J649" s="311">
        <v>0.31809999999999999</v>
      </c>
      <c r="K649" s="311">
        <v>4.4699999999999997E-2</v>
      </c>
      <c r="L649" s="311">
        <v>0.22170000000000001</v>
      </c>
      <c r="M649" s="311">
        <v>0.30959999999999999</v>
      </c>
      <c r="N649" s="311">
        <v>0.33850000000000002</v>
      </c>
      <c r="O649" s="311">
        <v>0.26790000000000003</v>
      </c>
      <c r="P649" s="311">
        <v>0.2596</v>
      </c>
      <c r="Q649" s="311">
        <v>0.28910000000000002</v>
      </c>
      <c r="R649" s="311">
        <v>0.3629</v>
      </c>
      <c r="S649" s="311">
        <v>0.30669999999999997</v>
      </c>
      <c r="T649" s="311">
        <v>0.26640000000000003</v>
      </c>
      <c r="U649" s="311">
        <v>0.29520000000000002</v>
      </c>
      <c r="V649" s="311">
        <v>0</v>
      </c>
      <c r="W649" s="311">
        <v>0.32500000000000001</v>
      </c>
      <c r="X649" s="311">
        <v>0.28910000000000002</v>
      </c>
      <c r="Y649" s="311">
        <v>0.29880000000000001</v>
      </c>
      <c r="Z649" s="311">
        <v>0.34389999999999998</v>
      </c>
      <c r="AA649" s="311">
        <v>0.32840000000000003</v>
      </c>
      <c r="AB649" s="311">
        <v>0.31440000000000001</v>
      </c>
      <c r="AC649" s="311">
        <v>0.26300000000000001</v>
      </c>
      <c r="AD649" s="311">
        <v>0.24510000000000001</v>
      </c>
      <c r="AE649" s="311">
        <v>0.33960000000000001</v>
      </c>
      <c r="AF649" s="311">
        <v>0</v>
      </c>
      <c r="AG649" s="311">
        <v>0.26869999999999999</v>
      </c>
      <c r="AH649" s="311">
        <v>0.28239999999999998</v>
      </c>
      <c r="AI649" s="311">
        <v>0.33069999999999999</v>
      </c>
      <c r="AJ649" s="311">
        <v>0.28289999999999998</v>
      </c>
      <c r="AK649" s="311">
        <v>0.29709999999999998</v>
      </c>
      <c r="AL649" s="311">
        <v>0.29210000000000003</v>
      </c>
      <c r="AM649" s="311">
        <v>0.35489999999999999</v>
      </c>
      <c r="AN649" s="311">
        <v>0.29110000000000003</v>
      </c>
      <c r="AO649" s="311">
        <v>0.3281</v>
      </c>
      <c r="AP649" s="311">
        <v>0.35620000000000002</v>
      </c>
      <c r="AQ649" s="311">
        <v>0.27160000000000001</v>
      </c>
      <c r="AR649" s="311">
        <v>0.2984</v>
      </c>
      <c r="AS649" s="311">
        <v>0.1812</v>
      </c>
      <c r="AT649" s="311">
        <v>0.31459999999999999</v>
      </c>
      <c r="AU649" s="311">
        <v>0.34899999999999998</v>
      </c>
      <c r="AV649" s="311">
        <v>0.3609</v>
      </c>
      <c r="AW649" s="311">
        <v>0.31169999999999998</v>
      </c>
      <c r="AX649" s="311">
        <v>0.2495</v>
      </c>
      <c r="AY649" s="311">
        <v>0.32</v>
      </c>
      <c r="AZ649" s="311">
        <v>0.31380000000000002</v>
      </c>
      <c r="BA649" s="311">
        <v>0.23599999999999999</v>
      </c>
      <c r="BB649" s="311">
        <v>0</v>
      </c>
      <c r="BC649" s="311">
        <v>0.36199999999999999</v>
      </c>
      <c r="BD649" s="311">
        <v>0.3644</v>
      </c>
      <c r="BE649" s="311">
        <v>0.36709999999999998</v>
      </c>
      <c r="BF649" s="311">
        <v>0.3261</v>
      </c>
      <c r="BG649" s="311">
        <v>0.35709999999999997</v>
      </c>
      <c r="BH649" s="311">
        <v>0.31730000000000003</v>
      </c>
      <c r="BI649" s="311">
        <v>0.34949999999999998</v>
      </c>
      <c r="BJ649" s="311">
        <v>0.3508</v>
      </c>
      <c r="BK649" s="311">
        <v>0.3579</v>
      </c>
    </row>
    <row r="650" spans="1:63" x14ac:dyDescent="0.25">
      <c r="A650" s="306">
        <v>334417</v>
      </c>
      <c r="B650" s="311" t="s">
        <v>219</v>
      </c>
      <c r="C650" s="311">
        <v>0.59330000000000005</v>
      </c>
      <c r="D650" s="311">
        <v>0</v>
      </c>
      <c r="E650" s="311">
        <v>0.44280000000000003</v>
      </c>
      <c r="F650" s="311">
        <v>0.44579999999999997</v>
      </c>
      <c r="G650" s="311">
        <v>0.44109999999999999</v>
      </c>
      <c r="H650" s="311">
        <v>0.50929999999999997</v>
      </c>
      <c r="I650" s="311">
        <v>0.49380000000000002</v>
      </c>
      <c r="J650" s="311">
        <v>0.48149999999999998</v>
      </c>
      <c r="K650" s="311">
        <v>0</v>
      </c>
      <c r="L650" s="311">
        <v>0.3135</v>
      </c>
      <c r="M650" s="311">
        <v>0.43680000000000002</v>
      </c>
      <c r="N650" s="311">
        <v>0.47360000000000002</v>
      </c>
      <c r="O650" s="311">
        <v>0</v>
      </c>
      <c r="P650" s="311">
        <v>0.39479999999999998</v>
      </c>
      <c r="Q650" s="311">
        <v>0</v>
      </c>
      <c r="R650" s="311">
        <v>0.53669999999999995</v>
      </c>
      <c r="S650" s="311">
        <v>0.45879999999999999</v>
      </c>
      <c r="T650" s="311">
        <v>0.3846</v>
      </c>
      <c r="U650" s="311">
        <v>0</v>
      </c>
      <c r="V650" s="311">
        <v>0</v>
      </c>
      <c r="W650" s="311">
        <v>0.47460000000000002</v>
      </c>
      <c r="X650" s="311">
        <v>0.4078</v>
      </c>
      <c r="Y650" s="311">
        <v>0.42120000000000002</v>
      </c>
      <c r="Z650" s="311">
        <v>0.50680000000000003</v>
      </c>
      <c r="AA650" s="311">
        <v>0.49409999999999998</v>
      </c>
      <c r="AB650" s="311">
        <v>0.45650000000000002</v>
      </c>
      <c r="AC650" s="311">
        <v>0.38650000000000001</v>
      </c>
      <c r="AD650" s="311">
        <v>0</v>
      </c>
      <c r="AE650" s="311">
        <v>0.48459999999999998</v>
      </c>
      <c r="AF650" s="311">
        <v>0</v>
      </c>
      <c r="AG650" s="311">
        <v>0.40179999999999999</v>
      </c>
      <c r="AH650" s="311">
        <v>0.42670000000000002</v>
      </c>
      <c r="AI650" s="311">
        <v>0.4743</v>
      </c>
      <c r="AJ650" s="311">
        <v>0</v>
      </c>
      <c r="AK650" s="311">
        <v>0.4264</v>
      </c>
      <c r="AL650" s="311">
        <v>0.43290000000000001</v>
      </c>
      <c r="AM650" s="311">
        <v>0.5131</v>
      </c>
      <c r="AN650" s="311">
        <v>0.42549999999999999</v>
      </c>
      <c r="AO650" s="311">
        <v>0.46800000000000003</v>
      </c>
      <c r="AP650" s="311">
        <v>0.5262</v>
      </c>
      <c r="AQ650" s="311">
        <v>0.41549999999999998</v>
      </c>
      <c r="AR650" s="311">
        <v>0.43309999999999998</v>
      </c>
      <c r="AS650" s="311">
        <v>0</v>
      </c>
      <c r="AT650" s="311">
        <v>0.45789999999999997</v>
      </c>
      <c r="AU650" s="311">
        <v>0.48720000000000002</v>
      </c>
      <c r="AV650" s="311">
        <v>0.4889</v>
      </c>
      <c r="AW650" s="311">
        <v>0.442</v>
      </c>
      <c r="AX650" s="311">
        <v>0</v>
      </c>
      <c r="AY650" s="311">
        <v>0.44729999999999998</v>
      </c>
      <c r="AZ650" s="311">
        <v>0</v>
      </c>
      <c r="BA650" s="311">
        <v>0</v>
      </c>
      <c r="BB650" s="311">
        <v>0</v>
      </c>
      <c r="BC650" s="311">
        <v>0.53359999999999996</v>
      </c>
      <c r="BD650" s="311">
        <v>0.52969999999999995</v>
      </c>
      <c r="BE650" s="311">
        <v>0.53969999999999996</v>
      </c>
      <c r="BF650" s="311">
        <v>0.48349999999999999</v>
      </c>
      <c r="BG650" s="311">
        <v>0.49809999999999999</v>
      </c>
      <c r="BH650" s="311">
        <v>0.46410000000000001</v>
      </c>
      <c r="BI650" s="311">
        <v>0.49009999999999998</v>
      </c>
      <c r="BJ650" s="311">
        <v>0.47960000000000003</v>
      </c>
      <c r="BK650" s="311">
        <v>0.51019999999999999</v>
      </c>
    </row>
    <row r="651" spans="1:63" x14ac:dyDescent="0.25">
      <c r="A651" s="306">
        <v>334418</v>
      </c>
      <c r="B651" s="311" t="s">
        <v>220</v>
      </c>
      <c r="C651" s="311">
        <v>0.4355</v>
      </c>
      <c r="D651" s="311">
        <v>0</v>
      </c>
      <c r="E651" s="311">
        <v>0.27810000000000001</v>
      </c>
      <c r="F651" s="311">
        <v>0.2908</v>
      </c>
      <c r="G651" s="311">
        <v>0.34160000000000001</v>
      </c>
      <c r="H651" s="311">
        <v>0.38550000000000001</v>
      </c>
      <c r="I651" s="311">
        <v>0.36749999999999999</v>
      </c>
      <c r="J651" s="311">
        <v>0.3175</v>
      </c>
      <c r="K651" s="311">
        <v>0</v>
      </c>
      <c r="L651" s="311">
        <v>0</v>
      </c>
      <c r="M651" s="311">
        <v>0.32550000000000001</v>
      </c>
      <c r="N651" s="311">
        <v>0.30080000000000001</v>
      </c>
      <c r="O651" s="311">
        <v>0</v>
      </c>
      <c r="P651" s="311">
        <v>0.24790000000000001</v>
      </c>
      <c r="Q651" s="311">
        <v>0.29620000000000002</v>
      </c>
      <c r="R651" s="311">
        <v>0.3483</v>
      </c>
      <c r="S651" s="311">
        <v>0.29449999999999998</v>
      </c>
      <c r="T651" s="311">
        <v>0.24829999999999999</v>
      </c>
      <c r="U651" s="311">
        <v>0.27610000000000001</v>
      </c>
      <c r="V651" s="311">
        <v>0.25580000000000003</v>
      </c>
      <c r="W651" s="311">
        <v>0.35630000000000001</v>
      </c>
      <c r="X651" s="311">
        <v>0.26029999999999998</v>
      </c>
      <c r="Y651" s="311">
        <v>0.31979999999999997</v>
      </c>
      <c r="Z651" s="311">
        <v>0.33400000000000002</v>
      </c>
      <c r="AA651" s="311">
        <v>0.34139999999999998</v>
      </c>
      <c r="AB651" s="311">
        <v>0.29559999999999997</v>
      </c>
      <c r="AC651" s="311">
        <v>0.23980000000000001</v>
      </c>
      <c r="AD651" s="311">
        <v>0.22070000000000001</v>
      </c>
      <c r="AE651" s="311">
        <v>0.34060000000000001</v>
      </c>
      <c r="AF651" s="311">
        <v>0.23</v>
      </c>
      <c r="AG651" s="311">
        <v>0.24510000000000001</v>
      </c>
      <c r="AH651" s="311">
        <v>0.30130000000000001</v>
      </c>
      <c r="AI651" s="311">
        <v>0.31569999999999998</v>
      </c>
      <c r="AJ651" s="311">
        <v>0.28739999999999999</v>
      </c>
      <c r="AK651" s="311">
        <v>0.27650000000000002</v>
      </c>
      <c r="AL651" s="311">
        <v>0.29310000000000003</v>
      </c>
      <c r="AM651" s="311">
        <v>0.3518</v>
      </c>
      <c r="AN651" s="311">
        <v>0.27010000000000001</v>
      </c>
      <c r="AO651" s="311">
        <v>0.36080000000000001</v>
      </c>
      <c r="AP651" s="311">
        <v>0.34589999999999999</v>
      </c>
      <c r="AQ651" s="311">
        <v>0.24879999999999999</v>
      </c>
      <c r="AR651" s="311">
        <v>0.26569999999999999</v>
      </c>
      <c r="AS651" s="311">
        <v>0.18729999999999999</v>
      </c>
      <c r="AT651" s="311">
        <v>0.2903</v>
      </c>
      <c r="AU651" s="311">
        <v>0.36959999999999998</v>
      </c>
      <c r="AV651" s="311">
        <v>0.35980000000000001</v>
      </c>
      <c r="AW651" s="311">
        <v>0.29920000000000002</v>
      </c>
      <c r="AX651" s="311">
        <v>0.27879999999999999</v>
      </c>
      <c r="AY651" s="311">
        <v>0.31069999999999998</v>
      </c>
      <c r="AZ651" s="311">
        <v>0.31869999999999998</v>
      </c>
      <c r="BA651" s="311">
        <v>0.21179999999999999</v>
      </c>
      <c r="BB651" s="311">
        <v>0</v>
      </c>
      <c r="BC651" s="311">
        <v>0.39710000000000001</v>
      </c>
      <c r="BD651" s="311">
        <v>0.35489999999999999</v>
      </c>
      <c r="BE651" s="311">
        <v>0.35449999999999998</v>
      </c>
      <c r="BF651" s="311">
        <v>0.32269999999999999</v>
      </c>
      <c r="BG651" s="311">
        <v>0.33910000000000001</v>
      </c>
      <c r="BH651" s="311">
        <v>0.29110000000000003</v>
      </c>
      <c r="BI651" s="311">
        <v>0.36980000000000002</v>
      </c>
      <c r="BJ651" s="311">
        <v>0.36770000000000003</v>
      </c>
      <c r="BK651" s="311">
        <v>0.38729999999999998</v>
      </c>
    </row>
    <row r="652" spans="1:63" x14ac:dyDescent="0.25">
      <c r="A652" s="306">
        <v>334419</v>
      </c>
      <c r="B652" s="311" t="s">
        <v>221</v>
      </c>
      <c r="C652" s="311">
        <v>0.5948</v>
      </c>
      <c r="D652" s="311">
        <v>0</v>
      </c>
      <c r="E652" s="311">
        <v>0.45079999999999998</v>
      </c>
      <c r="F652" s="311">
        <v>0.4541</v>
      </c>
      <c r="G652" s="311">
        <v>0.46879999999999999</v>
      </c>
      <c r="H652" s="311">
        <v>0.52749999999999997</v>
      </c>
      <c r="I652" s="311">
        <v>0.51559999999999995</v>
      </c>
      <c r="J652" s="311">
        <v>0.48599999999999999</v>
      </c>
      <c r="K652" s="311">
        <v>0</v>
      </c>
      <c r="L652" s="311">
        <v>0.31659999999999999</v>
      </c>
      <c r="M652" s="311">
        <v>0.4642</v>
      </c>
      <c r="N652" s="311">
        <v>0.48730000000000001</v>
      </c>
      <c r="O652" s="311">
        <v>0</v>
      </c>
      <c r="P652" s="311">
        <v>0.40849999999999997</v>
      </c>
      <c r="Q652" s="311">
        <v>0.435</v>
      </c>
      <c r="R652" s="311">
        <v>0.54059999999999997</v>
      </c>
      <c r="S652" s="311">
        <v>0.46650000000000003</v>
      </c>
      <c r="T652" s="311">
        <v>0.39839999999999998</v>
      </c>
      <c r="U652" s="311">
        <v>0.44540000000000002</v>
      </c>
      <c r="V652" s="311">
        <v>0.43099999999999999</v>
      </c>
      <c r="W652" s="311">
        <v>0.4834</v>
      </c>
      <c r="X652" s="311">
        <v>0.42409999999999998</v>
      </c>
      <c r="Y652" s="311">
        <v>0.44219999999999998</v>
      </c>
      <c r="Z652" s="311">
        <v>0.51349999999999996</v>
      </c>
      <c r="AA652" s="311">
        <v>0.50680000000000003</v>
      </c>
      <c r="AB652" s="311">
        <v>0.45960000000000001</v>
      </c>
      <c r="AC652" s="311">
        <v>0.39589999999999997</v>
      </c>
      <c r="AD652" s="311">
        <v>0.36430000000000001</v>
      </c>
      <c r="AE652" s="311">
        <v>0.49780000000000002</v>
      </c>
      <c r="AF652" s="311">
        <v>0.35870000000000002</v>
      </c>
      <c r="AG652" s="311">
        <v>0.41299999999999998</v>
      </c>
      <c r="AH652" s="311">
        <v>0.43780000000000002</v>
      </c>
      <c r="AI652" s="311">
        <v>0.48089999999999999</v>
      </c>
      <c r="AJ652" s="311">
        <v>0.41510000000000002</v>
      </c>
      <c r="AK652" s="311">
        <v>0.43340000000000001</v>
      </c>
      <c r="AL652" s="311">
        <v>0.44119999999999998</v>
      </c>
      <c r="AM652" s="311">
        <v>0.51600000000000001</v>
      </c>
      <c r="AN652" s="311">
        <v>0.43940000000000001</v>
      </c>
      <c r="AO652" s="311">
        <v>0.4884</v>
      </c>
      <c r="AP652" s="311">
        <v>0.52470000000000006</v>
      </c>
      <c r="AQ652" s="311">
        <v>0.4138</v>
      </c>
      <c r="AR652" s="311">
        <v>0.44209999999999999</v>
      </c>
      <c r="AS652" s="311">
        <v>0.28549999999999998</v>
      </c>
      <c r="AT652" s="311">
        <v>0.46379999999999999</v>
      </c>
      <c r="AU652" s="311">
        <v>0.505</v>
      </c>
      <c r="AV652" s="311">
        <v>0.51039999999999996</v>
      </c>
      <c r="AW652" s="311">
        <v>0.45319999999999999</v>
      </c>
      <c r="AX652" s="311">
        <v>0.39539999999999997</v>
      </c>
      <c r="AY652" s="311">
        <v>0.46500000000000002</v>
      </c>
      <c r="AZ652" s="311">
        <v>0.48899999999999999</v>
      </c>
      <c r="BA652" s="311">
        <v>0.3493</v>
      </c>
      <c r="BB652" s="311">
        <v>0</v>
      </c>
      <c r="BC652" s="311">
        <v>0.54169999999999996</v>
      </c>
      <c r="BD652" s="311">
        <v>0.53220000000000001</v>
      </c>
      <c r="BE652" s="311">
        <v>0.54179999999999995</v>
      </c>
      <c r="BF652" s="311">
        <v>0.49399999999999999</v>
      </c>
      <c r="BG652" s="311">
        <v>0.51229999999999998</v>
      </c>
      <c r="BH652" s="311">
        <v>0.46839999999999998</v>
      </c>
      <c r="BI652" s="311">
        <v>0.50629999999999997</v>
      </c>
      <c r="BJ652" s="311">
        <v>0.50049999999999994</v>
      </c>
      <c r="BK652" s="311">
        <v>0.52780000000000005</v>
      </c>
    </row>
    <row r="653" spans="1:63" x14ac:dyDescent="0.25">
      <c r="A653" s="306" t="s">
        <v>739</v>
      </c>
      <c r="B653" s="311" t="s">
        <v>218</v>
      </c>
      <c r="C653" s="311">
        <v>0.59309999999999996</v>
      </c>
      <c r="D653" s="311">
        <v>0</v>
      </c>
      <c r="E653" s="311">
        <v>0.46860000000000002</v>
      </c>
      <c r="F653" s="311">
        <v>0.46910000000000002</v>
      </c>
      <c r="G653" s="311">
        <v>0.4733</v>
      </c>
      <c r="H653" s="311">
        <v>0.51900000000000002</v>
      </c>
      <c r="I653" s="311">
        <v>0.51700000000000002</v>
      </c>
      <c r="J653" s="311">
        <v>0.49009999999999998</v>
      </c>
      <c r="K653" s="311">
        <v>0</v>
      </c>
      <c r="L653" s="311">
        <v>0</v>
      </c>
      <c r="M653" s="311">
        <v>0.46870000000000001</v>
      </c>
      <c r="N653" s="311">
        <v>0.50019999999999998</v>
      </c>
      <c r="O653" s="311">
        <v>0</v>
      </c>
      <c r="P653" s="311">
        <v>0.42380000000000001</v>
      </c>
      <c r="Q653" s="311">
        <v>0</v>
      </c>
      <c r="R653" s="311">
        <v>0.5393</v>
      </c>
      <c r="S653" s="311">
        <v>0.4798</v>
      </c>
      <c r="T653" s="311">
        <v>0.40760000000000002</v>
      </c>
      <c r="U653" s="311">
        <v>0.46400000000000002</v>
      </c>
      <c r="V653" s="311">
        <v>0.45519999999999999</v>
      </c>
      <c r="W653" s="311">
        <v>0.47789999999999999</v>
      </c>
      <c r="X653" s="311">
        <v>0.43419999999999997</v>
      </c>
      <c r="Y653" s="311">
        <v>0.4506</v>
      </c>
      <c r="Z653" s="311">
        <v>0.5222</v>
      </c>
      <c r="AA653" s="311">
        <v>0.50339999999999996</v>
      </c>
      <c r="AB653" s="311">
        <v>0.47039999999999998</v>
      </c>
      <c r="AC653" s="311">
        <v>0.41560000000000002</v>
      </c>
      <c r="AD653" s="311">
        <v>0</v>
      </c>
      <c r="AE653" s="311">
        <v>0.50449999999999995</v>
      </c>
      <c r="AF653" s="311">
        <v>0</v>
      </c>
      <c r="AG653" s="311">
        <v>0.43259999999999998</v>
      </c>
      <c r="AH653" s="311">
        <v>0.43459999999999999</v>
      </c>
      <c r="AI653" s="311">
        <v>0.48370000000000002</v>
      </c>
      <c r="AJ653" s="311">
        <v>0.42470000000000002</v>
      </c>
      <c r="AK653" s="311">
        <v>0.442</v>
      </c>
      <c r="AL653" s="311">
        <v>0.4516</v>
      </c>
      <c r="AM653" s="311">
        <v>0.52600000000000002</v>
      </c>
      <c r="AN653" s="311">
        <v>0</v>
      </c>
      <c r="AO653" s="311">
        <v>0.4879</v>
      </c>
      <c r="AP653" s="311">
        <v>0.53210000000000002</v>
      </c>
      <c r="AQ653" s="311">
        <v>0.42720000000000002</v>
      </c>
      <c r="AR653" s="311">
        <v>0.4642</v>
      </c>
      <c r="AS653" s="311">
        <v>0.2898</v>
      </c>
      <c r="AT653" s="311">
        <v>0.48099999999999998</v>
      </c>
      <c r="AU653" s="311">
        <v>0.504</v>
      </c>
      <c r="AV653" s="311">
        <v>0.51570000000000005</v>
      </c>
      <c r="AW653" s="311">
        <v>0.46139999999999998</v>
      </c>
      <c r="AX653" s="311">
        <v>0.40560000000000002</v>
      </c>
      <c r="AY653" s="311">
        <v>0.46750000000000003</v>
      </c>
      <c r="AZ653" s="311">
        <v>0.48749999999999999</v>
      </c>
      <c r="BA653" s="311">
        <v>0.36559999999999998</v>
      </c>
      <c r="BB653" s="311">
        <v>0</v>
      </c>
      <c r="BC653" s="311">
        <v>0.53590000000000004</v>
      </c>
      <c r="BD653" s="311">
        <v>0.54090000000000005</v>
      </c>
      <c r="BE653" s="311">
        <v>0.5474</v>
      </c>
      <c r="BF653" s="311">
        <v>0.49909999999999999</v>
      </c>
      <c r="BG653" s="311">
        <v>0.52239999999999998</v>
      </c>
      <c r="BH653" s="311">
        <v>0.48799999999999999</v>
      </c>
      <c r="BI653" s="311">
        <v>0.50770000000000004</v>
      </c>
      <c r="BJ653" s="311">
        <v>0.50370000000000004</v>
      </c>
      <c r="BK653" s="311">
        <v>0.52039999999999997</v>
      </c>
    </row>
    <row r="654" spans="1:63" x14ac:dyDescent="0.25">
      <c r="A654" s="306">
        <v>334510</v>
      </c>
      <c r="B654" s="311" t="s">
        <v>222</v>
      </c>
      <c r="C654" s="311">
        <v>0.50390000000000001</v>
      </c>
      <c r="D654" s="311">
        <v>0</v>
      </c>
      <c r="E654" s="311">
        <v>0</v>
      </c>
      <c r="F654" s="311">
        <v>0</v>
      </c>
      <c r="G654" s="311">
        <v>0.36359999999999998</v>
      </c>
      <c r="H654" s="311">
        <v>0.43459999999999999</v>
      </c>
      <c r="I654" s="311">
        <v>0.41799999999999998</v>
      </c>
      <c r="J654" s="311">
        <v>0.39169999999999999</v>
      </c>
      <c r="K654" s="311">
        <v>0</v>
      </c>
      <c r="L654" s="311">
        <v>0.24790000000000001</v>
      </c>
      <c r="M654" s="311">
        <v>0.36870000000000003</v>
      </c>
      <c r="N654" s="311">
        <v>0.40310000000000001</v>
      </c>
      <c r="O654" s="311">
        <v>0.2984</v>
      </c>
      <c r="P654" s="311">
        <v>0.31109999999999999</v>
      </c>
      <c r="Q654" s="311">
        <v>0.3322</v>
      </c>
      <c r="R654" s="311">
        <v>0.43659999999999999</v>
      </c>
      <c r="S654" s="311">
        <v>0.36709999999999998</v>
      </c>
      <c r="T654" s="311">
        <v>0.30880000000000002</v>
      </c>
      <c r="U654" s="311">
        <v>0.3503</v>
      </c>
      <c r="V654" s="311">
        <v>0.33610000000000001</v>
      </c>
      <c r="W654" s="311">
        <v>0.4017</v>
      </c>
      <c r="X654" s="311">
        <v>0.32919999999999999</v>
      </c>
      <c r="Y654" s="311">
        <v>0.3382</v>
      </c>
      <c r="Z654" s="311">
        <v>0.4194</v>
      </c>
      <c r="AA654" s="311">
        <v>0.41720000000000002</v>
      </c>
      <c r="AB654" s="311">
        <v>0.37109999999999999</v>
      </c>
      <c r="AC654" s="311">
        <v>0</v>
      </c>
      <c r="AD654" s="311">
        <v>0.2671</v>
      </c>
      <c r="AE654" s="311">
        <v>0.40639999999999998</v>
      </c>
      <c r="AF654" s="311">
        <v>0</v>
      </c>
      <c r="AG654" s="311">
        <v>0</v>
      </c>
      <c r="AH654" s="311">
        <v>0.35680000000000001</v>
      </c>
      <c r="AI654" s="311">
        <v>0.38929999999999998</v>
      </c>
      <c r="AJ654" s="311">
        <v>0.3125</v>
      </c>
      <c r="AK654" s="311">
        <v>0</v>
      </c>
      <c r="AL654" s="311">
        <v>0.34599999999999997</v>
      </c>
      <c r="AM654" s="311">
        <v>0.4204</v>
      </c>
      <c r="AN654" s="311">
        <v>0.34079999999999999</v>
      </c>
      <c r="AO654" s="311">
        <v>0.3931</v>
      </c>
      <c r="AP654" s="311">
        <v>0.42430000000000001</v>
      </c>
      <c r="AQ654" s="311">
        <v>0.3322</v>
      </c>
      <c r="AR654" s="311">
        <v>0.35139999999999999</v>
      </c>
      <c r="AS654" s="311">
        <v>0.2172</v>
      </c>
      <c r="AT654" s="311">
        <v>0.37459999999999999</v>
      </c>
      <c r="AU654" s="311">
        <v>0.40899999999999997</v>
      </c>
      <c r="AV654" s="311">
        <v>0.40510000000000002</v>
      </c>
      <c r="AW654" s="311">
        <v>0.36899999999999999</v>
      </c>
      <c r="AX654" s="311">
        <v>0.2994</v>
      </c>
      <c r="AY654" s="311">
        <v>0.37480000000000002</v>
      </c>
      <c r="AZ654" s="311">
        <v>0.40329999999999999</v>
      </c>
      <c r="BA654" s="311">
        <v>0</v>
      </c>
      <c r="BB654" s="311">
        <v>0</v>
      </c>
      <c r="BC654" s="311">
        <v>0.44819999999999999</v>
      </c>
      <c r="BD654" s="311">
        <v>0.42799999999999999</v>
      </c>
      <c r="BE654" s="311">
        <v>0.44390000000000002</v>
      </c>
      <c r="BF654" s="311">
        <v>0.40139999999999998</v>
      </c>
      <c r="BG654" s="311">
        <v>0.42020000000000002</v>
      </c>
      <c r="BH654" s="311">
        <v>0.37419999999999998</v>
      </c>
      <c r="BI654" s="311">
        <v>0.40679999999999999</v>
      </c>
      <c r="BJ654" s="311">
        <v>0.40260000000000001</v>
      </c>
      <c r="BK654" s="311">
        <v>0.4335</v>
      </c>
    </row>
    <row r="655" spans="1:63" x14ac:dyDescent="0.25">
      <c r="A655" s="306">
        <v>334511</v>
      </c>
      <c r="B655" s="311" t="s">
        <v>223</v>
      </c>
      <c r="C655" s="311">
        <v>0.60680000000000001</v>
      </c>
      <c r="D655" s="311">
        <v>0</v>
      </c>
      <c r="E655" s="311">
        <v>0.44590000000000002</v>
      </c>
      <c r="F655" s="311">
        <v>0.45040000000000002</v>
      </c>
      <c r="G655" s="311">
        <v>0.48480000000000001</v>
      </c>
      <c r="H655" s="311">
        <v>0.55120000000000002</v>
      </c>
      <c r="I655" s="311">
        <v>0.54420000000000002</v>
      </c>
      <c r="J655" s="311">
        <v>0.49430000000000002</v>
      </c>
      <c r="K655" s="311">
        <v>7.3700000000000002E-2</v>
      </c>
      <c r="L655" s="311">
        <v>0</v>
      </c>
      <c r="M655" s="311">
        <v>0.48430000000000001</v>
      </c>
      <c r="N655" s="311">
        <v>0.50690000000000002</v>
      </c>
      <c r="O655" s="311">
        <v>0.41439999999999999</v>
      </c>
      <c r="P655" s="311">
        <v>0.40689999999999998</v>
      </c>
      <c r="Q655" s="311">
        <v>0.44700000000000001</v>
      </c>
      <c r="R655" s="311">
        <v>0.54059999999999997</v>
      </c>
      <c r="S655" s="311">
        <v>0.45900000000000002</v>
      </c>
      <c r="T655" s="311">
        <v>0.40410000000000001</v>
      </c>
      <c r="U655" s="311">
        <v>0.43740000000000001</v>
      </c>
      <c r="V655" s="311">
        <v>0.43469999999999998</v>
      </c>
      <c r="W655" s="311">
        <v>0.50480000000000003</v>
      </c>
      <c r="X655" s="311">
        <v>0.44190000000000002</v>
      </c>
      <c r="Y655" s="311">
        <v>0.45350000000000001</v>
      </c>
      <c r="Z655" s="311">
        <v>0.51939999999999997</v>
      </c>
      <c r="AA655" s="311">
        <v>0.51970000000000005</v>
      </c>
      <c r="AB655" s="311">
        <v>0.46800000000000003</v>
      </c>
      <c r="AC655" s="311">
        <v>0.3977</v>
      </c>
      <c r="AD655" s="311">
        <v>0.37109999999999999</v>
      </c>
      <c r="AE655" s="311">
        <v>0.51090000000000002</v>
      </c>
      <c r="AF655" s="311">
        <v>0</v>
      </c>
      <c r="AG655" s="311">
        <v>0.42849999999999999</v>
      </c>
      <c r="AH655" s="311">
        <v>0.45</v>
      </c>
      <c r="AI655" s="311">
        <v>0.49409999999999998</v>
      </c>
      <c r="AJ655" s="311">
        <v>0.43090000000000001</v>
      </c>
      <c r="AK655" s="311">
        <v>0.44819999999999999</v>
      </c>
      <c r="AL655" s="311">
        <v>0.45490000000000003</v>
      </c>
      <c r="AM655" s="311">
        <v>0.51659999999999995</v>
      </c>
      <c r="AN655" s="311">
        <v>0.44350000000000001</v>
      </c>
      <c r="AO655" s="311">
        <v>0.50509999999999999</v>
      </c>
      <c r="AP655" s="311">
        <v>0.52629999999999999</v>
      </c>
      <c r="AQ655" s="311">
        <v>0.42759999999999998</v>
      </c>
      <c r="AR655" s="311">
        <v>0.43930000000000002</v>
      </c>
      <c r="AS655" s="311">
        <v>0.28249999999999997</v>
      </c>
      <c r="AT655" s="311">
        <v>0.46160000000000001</v>
      </c>
      <c r="AU655" s="311">
        <v>0.51639999999999997</v>
      </c>
      <c r="AV655" s="311">
        <v>0.53169999999999995</v>
      </c>
      <c r="AW655" s="311">
        <v>0.48020000000000002</v>
      </c>
      <c r="AX655" s="311">
        <v>0.40550000000000003</v>
      </c>
      <c r="AY655" s="311">
        <v>0.48859999999999998</v>
      </c>
      <c r="AZ655" s="311">
        <v>0.4945</v>
      </c>
      <c r="BA655" s="311">
        <v>0</v>
      </c>
      <c r="BB655" s="311">
        <v>0.3841</v>
      </c>
      <c r="BC655" s="311">
        <v>0.56089999999999995</v>
      </c>
      <c r="BD655" s="311">
        <v>0.54039999999999999</v>
      </c>
      <c r="BE655" s="311">
        <v>0.54100000000000004</v>
      </c>
      <c r="BF655" s="311">
        <v>0.50209999999999999</v>
      </c>
      <c r="BG655" s="311">
        <v>0.53269999999999995</v>
      </c>
      <c r="BH655" s="311">
        <v>0.46189999999999998</v>
      </c>
      <c r="BI655" s="311">
        <v>0.51270000000000004</v>
      </c>
      <c r="BJ655" s="311">
        <v>0.52780000000000005</v>
      </c>
      <c r="BK655" s="311">
        <v>0.55159999999999998</v>
      </c>
    </row>
    <row r="656" spans="1:63" x14ac:dyDescent="0.25">
      <c r="A656" s="306">
        <v>334512</v>
      </c>
      <c r="B656" s="311" t="s">
        <v>224</v>
      </c>
      <c r="C656" s="311">
        <v>0.5282</v>
      </c>
      <c r="D656" s="311">
        <v>0.24940000000000001</v>
      </c>
      <c r="E656" s="311">
        <v>0.37790000000000001</v>
      </c>
      <c r="F656" s="311">
        <v>0.38030000000000003</v>
      </c>
      <c r="G656" s="311">
        <v>0.39410000000000001</v>
      </c>
      <c r="H656" s="311">
        <v>0.45689999999999997</v>
      </c>
      <c r="I656" s="311">
        <v>0.44469999999999998</v>
      </c>
      <c r="J656" s="311">
        <v>0.41930000000000001</v>
      </c>
      <c r="K656" s="311">
        <v>0</v>
      </c>
      <c r="L656" s="311">
        <v>0</v>
      </c>
      <c r="M656" s="311">
        <v>0.3866</v>
      </c>
      <c r="N656" s="311">
        <v>0.42530000000000001</v>
      </c>
      <c r="O656" s="311">
        <v>0</v>
      </c>
      <c r="P656" s="311">
        <v>0.34050000000000002</v>
      </c>
      <c r="Q656" s="311">
        <v>0</v>
      </c>
      <c r="R656" s="311">
        <v>0.4622</v>
      </c>
      <c r="S656" s="311">
        <v>0.39169999999999999</v>
      </c>
      <c r="T656" s="311">
        <v>0.33289999999999997</v>
      </c>
      <c r="U656" s="311">
        <v>0.37430000000000002</v>
      </c>
      <c r="V656" s="311">
        <v>0.35220000000000001</v>
      </c>
      <c r="W656" s="311">
        <v>0.42909999999999998</v>
      </c>
      <c r="X656" s="311">
        <v>0.35310000000000002</v>
      </c>
      <c r="Y656" s="311">
        <v>0.36799999999999999</v>
      </c>
      <c r="Z656" s="311">
        <v>0.44850000000000001</v>
      </c>
      <c r="AA656" s="311">
        <v>0.43640000000000001</v>
      </c>
      <c r="AB656" s="311">
        <v>0.3916</v>
      </c>
      <c r="AC656" s="311">
        <v>0</v>
      </c>
      <c r="AD656" s="311">
        <v>0</v>
      </c>
      <c r="AE656" s="311">
        <v>0.43219999999999997</v>
      </c>
      <c r="AF656" s="311">
        <v>0</v>
      </c>
      <c r="AG656" s="311">
        <v>0.3463</v>
      </c>
      <c r="AH656" s="311">
        <v>0.38219999999999998</v>
      </c>
      <c r="AI656" s="311">
        <v>0.40899999999999997</v>
      </c>
      <c r="AJ656" s="311">
        <v>0.33589999999999998</v>
      </c>
      <c r="AK656" s="311">
        <v>0.36320000000000002</v>
      </c>
      <c r="AL656" s="311">
        <v>0.37009999999999998</v>
      </c>
      <c r="AM656" s="311">
        <v>0.44479999999999997</v>
      </c>
      <c r="AN656" s="311">
        <v>0.35749999999999998</v>
      </c>
      <c r="AO656" s="311">
        <v>0.41799999999999998</v>
      </c>
      <c r="AP656" s="311">
        <v>0.45069999999999999</v>
      </c>
      <c r="AQ656" s="311">
        <v>0.35909999999999997</v>
      </c>
      <c r="AR656" s="311">
        <v>0.3725</v>
      </c>
      <c r="AS656" s="311">
        <v>0.23219999999999999</v>
      </c>
      <c r="AT656" s="311">
        <v>0.39650000000000002</v>
      </c>
      <c r="AU656" s="311">
        <v>0.43190000000000001</v>
      </c>
      <c r="AV656" s="311">
        <v>0.44290000000000002</v>
      </c>
      <c r="AW656" s="311">
        <v>0.39360000000000001</v>
      </c>
      <c r="AX656" s="311">
        <v>0</v>
      </c>
      <c r="AY656" s="311">
        <v>0.3987</v>
      </c>
      <c r="AZ656" s="311">
        <v>0.42170000000000002</v>
      </c>
      <c r="BA656" s="311">
        <v>0.28649999999999998</v>
      </c>
      <c r="BB656" s="311">
        <v>0.30270000000000002</v>
      </c>
      <c r="BC656" s="311">
        <v>0.47799999999999998</v>
      </c>
      <c r="BD656" s="311">
        <v>0.45440000000000003</v>
      </c>
      <c r="BE656" s="311">
        <v>0.46710000000000002</v>
      </c>
      <c r="BF656" s="311">
        <v>0.42259999999999998</v>
      </c>
      <c r="BG656" s="311">
        <v>0.441</v>
      </c>
      <c r="BH656" s="311">
        <v>0.39710000000000001</v>
      </c>
      <c r="BI656" s="311">
        <v>0.42959999999999998</v>
      </c>
      <c r="BJ656" s="311">
        <v>0.43219999999999997</v>
      </c>
      <c r="BK656" s="311">
        <v>0.45650000000000002</v>
      </c>
    </row>
    <row r="657" spans="1:63" x14ac:dyDescent="0.25">
      <c r="A657" s="306">
        <v>334513</v>
      </c>
      <c r="B657" s="311" t="s">
        <v>6</v>
      </c>
      <c r="C657" s="311">
        <v>0.59389999999999998</v>
      </c>
      <c r="D657" s="311">
        <v>0.30549999999999999</v>
      </c>
      <c r="E657" s="311">
        <v>0.43980000000000002</v>
      </c>
      <c r="F657" s="311">
        <v>0.42670000000000002</v>
      </c>
      <c r="G657" s="311">
        <v>0.46050000000000002</v>
      </c>
      <c r="H657" s="311">
        <v>0.52590000000000003</v>
      </c>
      <c r="I657" s="311">
        <v>0.51519999999999999</v>
      </c>
      <c r="J657" s="311">
        <v>0.47310000000000002</v>
      </c>
      <c r="K657" s="311">
        <v>0</v>
      </c>
      <c r="L657" s="311">
        <v>0.29809999999999998</v>
      </c>
      <c r="M657" s="311">
        <v>0.45019999999999999</v>
      </c>
      <c r="N657" s="311">
        <v>0.48120000000000002</v>
      </c>
      <c r="O657" s="311">
        <v>0.37530000000000002</v>
      </c>
      <c r="P657" s="311">
        <v>0.39550000000000002</v>
      </c>
      <c r="Q657" s="311">
        <v>0.41010000000000002</v>
      </c>
      <c r="R657" s="311">
        <v>0.52270000000000005</v>
      </c>
      <c r="S657" s="311">
        <v>0.44940000000000002</v>
      </c>
      <c r="T657" s="311">
        <v>0.38529999999999998</v>
      </c>
      <c r="U657" s="311">
        <v>0.42509999999999998</v>
      </c>
      <c r="V657" s="311">
        <v>0.41820000000000002</v>
      </c>
      <c r="W657" s="311">
        <v>0.48020000000000002</v>
      </c>
      <c r="X657" s="311">
        <v>0.41549999999999998</v>
      </c>
      <c r="Y657" s="311">
        <v>0.41909999999999997</v>
      </c>
      <c r="Z657" s="311">
        <v>0.50690000000000002</v>
      </c>
      <c r="AA657" s="311">
        <v>0.50219999999999998</v>
      </c>
      <c r="AB657" s="311">
        <v>0.44</v>
      </c>
      <c r="AC657" s="311">
        <v>0.38109999999999999</v>
      </c>
      <c r="AD657" s="311">
        <v>0.35149999999999998</v>
      </c>
      <c r="AE657" s="311">
        <v>0.48280000000000001</v>
      </c>
      <c r="AF657" s="311">
        <v>0</v>
      </c>
      <c r="AG657" s="311">
        <v>0.39929999999999999</v>
      </c>
      <c r="AH657" s="311">
        <v>0.43519999999999998</v>
      </c>
      <c r="AI657" s="311">
        <v>0.46579999999999999</v>
      </c>
      <c r="AJ657" s="311">
        <v>0.39539999999999997</v>
      </c>
      <c r="AK657" s="311">
        <v>0.41510000000000002</v>
      </c>
      <c r="AL657" s="311">
        <v>0.42570000000000002</v>
      </c>
      <c r="AM657" s="311">
        <v>0.501</v>
      </c>
      <c r="AN657" s="311">
        <v>0.43190000000000001</v>
      </c>
      <c r="AO657" s="311">
        <v>0.48309999999999997</v>
      </c>
      <c r="AP657" s="311">
        <v>0.51070000000000004</v>
      </c>
      <c r="AQ657" s="311">
        <v>0.40749999999999997</v>
      </c>
      <c r="AR657" s="311">
        <v>0.42709999999999998</v>
      </c>
      <c r="AS657" s="311">
        <v>0.27389999999999998</v>
      </c>
      <c r="AT657" s="311">
        <v>0.45319999999999999</v>
      </c>
      <c r="AU657" s="311">
        <v>0.49969999999999998</v>
      </c>
      <c r="AV657" s="311">
        <v>0.50619999999999998</v>
      </c>
      <c r="AW657" s="311">
        <v>0.44500000000000001</v>
      </c>
      <c r="AX657" s="311">
        <v>0.38840000000000002</v>
      </c>
      <c r="AY657" s="311">
        <v>0.46310000000000001</v>
      </c>
      <c r="AZ657" s="311">
        <v>0.47899999999999998</v>
      </c>
      <c r="BA657" s="311">
        <v>0.33550000000000002</v>
      </c>
      <c r="BB657" s="311">
        <v>0</v>
      </c>
      <c r="BC657" s="311">
        <v>0.53590000000000004</v>
      </c>
      <c r="BD657" s="311">
        <v>0.5171</v>
      </c>
      <c r="BE657" s="311">
        <v>0.52700000000000002</v>
      </c>
      <c r="BF657" s="311">
        <v>0.48270000000000002</v>
      </c>
      <c r="BG657" s="311">
        <v>0.50260000000000005</v>
      </c>
      <c r="BH657" s="311">
        <v>0.45519999999999999</v>
      </c>
      <c r="BI657" s="311">
        <v>0.49669999999999997</v>
      </c>
      <c r="BJ657" s="311">
        <v>0.49819999999999998</v>
      </c>
      <c r="BK657" s="311">
        <v>0.52729999999999999</v>
      </c>
    </row>
    <row r="658" spans="1:63" x14ac:dyDescent="0.25">
      <c r="A658" s="306">
        <v>334514</v>
      </c>
      <c r="B658" s="311" t="s">
        <v>225</v>
      </c>
      <c r="C658" s="311">
        <v>0.51470000000000005</v>
      </c>
      <c r="D658" s="311">
        <v>0</v>
      </c>
      <c r="E658" s="311">
        <v>0.32619999999999999</v>
      </c>
      <c r="F658" s="311">
        <v>0.29930000000000001</v>
      </c>
      <c r="G658" s="311">
        <v>0.35089999999999999</v>
      </c>
      <c r="H658" s="311">
        <v>0.4385</v>
      </c>
      <c r="I658" s="311">
        <v>0.41589999999999999</v>
      </c>
      <c r="J658" s="311">
        <v>0.36409999999999998</v>
      </c>
      <c r="K658" s="311">
        <v>0</v>
      </c>
      <c r="L658" s="311">
        <v>0</v>
      </c>
      <c r="M658" s="311">
        <v>0.33739999999999998</v>
      </c>
      <c r="N658" s="311">
        <v>0.38540000000000002</v>
      </c>
      <c r="O658" s="311">
        <v>0</v>
      </c>
      <c r="P658" s="311">
        <v>0.27600000000000002</v>
      </c>
      <c r="Q658" s="311">
        <v>0.29110000000000003</v>
      </c>
      <c r="R658" s="311">
        <v>0.39989999999999998</v>
      </c>
      <c r="S658" s="311">
        <v>0.3362</v>
      </c>
      <c r="T658" s="311">
        <v>0</v>
      </c>
      <c r="U658" s="311">
        <v>0.29920000000000002</v>
      </c>
      <c r="V658" s="311">
        <v>0.2727</v>
      </c>
      <c r="W658" s="311">
        <v>0.41010000000000002</v>
      </c>
      <c r="X658" s="311">
        <v>0.29870000000000002</v>
      </c>
      <c r="Y658" s="311">
        <v>0</v>
      </c>
      <c r="Z658" s="311">
        <v>0.40839999999999999</v>
      </c>
      <c r="AA658" s="311">
        <v>0.41339999999999999</v>
      </c>
      <c r="AB658" s="311">
        <v>0.32969999999999999</v>
      </c>
      <c r="AC658" s="311">
        <v>0</v>
      </c>
      <c r="AD658" s="311">
        <v>0</v>
      </c>
      <c r="AE658" s="311">
        <v>0.3881</v>
      </c>
      <c r="AF658" s="311">
        <v>0</v>
      </c>
      <c r="AG658" s="311">
        <v>0.2722</v>
      </c>
      <c r="AH658" s="311">
        <v>0</v>
      </c>
      <c r="AI658" s="311">
        <v>0.3523</v>
      </c>
      <c r="AJ658" s="311">
        <v>0.26700000000000002</v>
      </c>
      <c r="AK658" s="311">
        <v>0.2908</v>
      </c>
      <c r="AL658" s="311">
        <v>0.29659999999999997</v>
      </c>
      <c r="AM658" s="311">
        <v>0.38569999999999999</v>
      </c>
      <c r="AN658" s="311">
        <v>0.29270000000000002</v>
      </c>
      <c r="AO658" s="311">
        <v>0.4083</v>
      </c>
      <c r="AP658" s="311">
        <v>0.39660000000000001</v>
      </c>
      <c r="AQ658" s="311">
        <v>0</v>
      </c>
      <c r="AR658" s="311">
        <v>0.31319999999999998</v>
      </c>
      <c r="AS658" s="311">
        <v>0</v>
      </c>
      <c r="AT658" s="311">
        <v>0</v>
      </c>
      <c r="AU658" s="311">
        <v>0.4103</v>
      </c>
      <c r="AV658" s="311">
        <v>0</v>
      </c>
      <c r="AW658" s="311">
        <v>0.3468</v>
      </c>
      <c r="AX658" s="311">
        <v>0.28210000000000002</v>
      </c>
      <c r="AY658" s="311">
        <v>0.37840000000000001</v>
      </c>
      <c r="AZ658" s="311">
        <v>0.39639999999999997</v>
      </c>
      <c r="BA658" s="311">
        <v>0.22969999999999999</v>
      </c>
      <c r="BB658" s="311">
        <v>0</v>
      </c>
      <c r="BC658" s="311">
        <v>0.45519999999999999</v>
      </c>
      <c r="BD658" s="311">
        <v>0.38469999999999999</v>
      </c>
      <c r="BE658" s="311">
        <v>0.41289999999999999</v>
      </c>
      <c r="BF658" s="311">
        <v>0.37590000000000001</v>
      </c>
      <c r="BG658" s="311">
        <v>0.3911</v>
      </c>
      <c r="BH658" s="311">
        <v>0.3387</v>
      </c>
      <c r="BI658" s="311">
        <v>0.39539999999999997</v>
      </c>
      <c r="BJ658" s="311">
        <v>0.4118</v>
      </c>
      <c r="BK658" s="311">
        <v>0.44309999999999999</v>
      </c>
    </row>
    <row r="659" spans="1:63" x14ac:dyDescent="0.25">
      <c r="A659" s="306">
        <v>334515</v>
      </c>
      <c r="B659" s="311" t="s">
        <v>4</v>
      </c>
      <c r="C659" s="311">
        <v>0.61250000000000004</v>
      </c>
      <c r="D659" s="311">
        <v>0</v>
      </c>
      <c r="E659" s="311">
        <v>0.48699999999999999</v>
      </c>
      <c r="F659" s="311">
        <v>0.44919999999999999</v>
      </c>
      <c r="G659" s="311">
        <v>0.52380000000000004</v>
      </c>
      <c r="H659" s="311">
        <v>0.57550000000000001</v>
      </c>
      <c r="I659" s="311">
        <v>0.55800000000000005</v>
      </c>
      <c r="J659" s="311">
        <v>0.49009999999999998</v>
      </c>
      <c r="K659" s="311">
        <v>7.6600000000000001E-2</v>
      </c>
      <c r="L659" s="311">
        <v>0.30020000000000002</v>
      </c>
      <c r="M659" s="311">
        <v>0.50549999999999995</v>
      </c>
      <c r="N659" s="311">
        <v>0.51500000000000001</v>
      </c>
      <c r="O659" s="311">
        <v>0</v>
      </c>
      <c r="P659" s="311">
        <v>0.44519999999999998</v>
      </c>
      <c r="Q659" s="311">
        <v>0.45550000000000002</v>
      </c>
      <c r="R659" s="311">
        <v>0.5262</v>
      </c>
      <c r="S659" s="311">
        <v>0.4844</v>
      </c>
      <c r="T659" s="311">
        <v>0.43490000000000001</v>
      </c>
      <c r="U659" s="311">
        <v>0.45150000000000001</v>
      </c>
      <c r="V659" s="311">
        <v>0.45150000000000001</v>
      </c>
      <c r="W659" s="311">
        <v>0.51129999999999998</v>
      </c>
      <c r="X659" s="311">
        <v>0.46600000000000003</v>
      </c>
      <c r="Y659" s="311">
        <v>0</v>
      </c>
      <c r="Z659" s="311">
        <v>0.51680000000000004</v>
      </c>
      <c r="AA659" s="311">
        <v>0.53359999999999996</v>
      </c>
      <c r="AB659" s="311">
        <v>0.44979999999999998</v>
      </c>
      <c r="AC659" s="311">
        <v>0.4229</v>
      </c>
      <c r="AD659" s="311">
        <v>0.41789999999999999</v>
      </c>
      <c r="AE659" s="311">
        <v>0.51990000000000003</v>
      </c>
      <c r="AF659" s="311">
        <v>0</v>
      </c>
      <c r="AG659" s="311">
        <v>0.43840000000000001</v>
      </c>
      <c r="AH659" s="311">
        <v>0.47699999999999998</v>
      </c>
      <c r="AI659" s="311">
        <v>0.48930000000000001</v>
      </c>
      <c r="AJ659" s="311">
        <v>0.46179999999999999</v>
      </c>
      <c r="AK659" s="311">
        <v>0.43099999999999999</v>
      </c>
      <c r="AL659" s="311">
        <v>0.45519999999999999</v>
      </c>
      <c r="AM659" s="311">
        <v>0.51200000000000001</v>
      </c>
      <c r="AN659" s="311">
        <v>0.46960000000000002</v>
      </c>
      <c r="AO659" s="311">
        <v>0.53180000000000005</v>
      </c>
      <c r="AP659" s="311">
        <v>0.51219999999999999</v>
      </c>
      <c r="AQ659" s="311">
        <v>0.42759999999999998</v>
      </c>
      <c r="AR659" s="311">
        <v>0.46439999999999998</v>
      </c>
      <c r="AS659" s="311">
        <v>0.32279999999999998</v>
      </c>
      <c r="AT659" s="311">
        <v>0.47799999999999998</v>
      </c>
      <c r="AU659" s="311">
        <v>0.54790000000000005</v>
      </c>
      <c r="AV659" s="311">
        <v>0.5484</v>
      </c>
      <c r="AW659" s="311">
        <v>0.4672</v>
      </c>
      <c r="AX659" s="311">
        <v>0.47189999999999999</v>
      </c>
      <c r="AY659" s="311">
        <v>0.51770000000000005</v>
      </c>
      <c r="AZ659" s="311">
        <v>0.50690000000000002</v>
      </c>
      <c r="BA659" s="311">
        <v>0.36849999999999999</v>
      </c>
      <c r="BB659" s="311">
        <v>0</v>
      </c>
      <c r="BC659" s="311">
        <v>0.5736</v>
      </c>
      <c r="BD659" s="311">
        <v>0.52480000000000004</v>
      </c>
      <c r="BE659" s="311">
        <v>0.53200000000000003</v>
      </c>
      <c r="BF659" s="311">
        <v>0.50670000000000004</v>
      </c>
      <c r="BG659" s="311">
        <v>0.52969999999999995</v>
      </c>
      <c r="BH659" s="311">
        <v>0.48509999999999998</v>
      </c>
      <c r="BI659" s="311">
        <v>0.53659999999999997</v>
      </c>
      <c r="BJ659" s="311">
        <v>0.55349999999999999</v>
      </c>
      <c r="BK659" s="311">
        <v>0.57540000000000002</v>
      </c>
    </row>
    <row r="660" spans="1:63" x14ac:dyDescent="0.25">
      <c r="A660" s="306">
        <v>334516</v>
      </c>
      <c r="B660" s="311" t="s">
        <v>226</v>
      </c>
      <c r="C660" s="311">
        <v>0.59140000000000004</v>
      </c>
      <c r="D660" s="311">
        <v>0</v>
      </c>
      <c r="E660" s="311">
        <v>0.40589999999999998</v>
      </c>
      <c r="F660" s="311">
        <v>0</v>
      </c>
      <c r="G660" s="311">
        <v>0.43790000000000001</v>
      </c>
      <c r="H660" s="311">
        <v>0.52539999999999998</v>
      </c>
      <c r="I660" s="311">
        <v>0.5212</v>
      </c>
      <c r="J660" s="311">
        <v>0.46400000000000002</v>
      </c>
      <c r="K660" s="311">
        <v>6.8599999999999994E-2</v>
      </c>
      <c r="L660" s="311">
        <v>0.28899999999999998</v>
      </c>
      <c r="M660" s="311">
        <v>0.4375</v>
      </c>
      <c r="N660" s="311">
        <v>0.49540000000000001</v>
      </c>
      <c r="O660" s="311">
        <v>0</v>
      </c>
      <c r="P660" s="311">
        <v>0</v>
      </c>
      <c r="Q660" s="311">
        <v>0.3972</v>
      </c>
      <c r="R660" s="311">
        <v>0.502</v>
      </c>
      <c r="S660" s="311">
        <v>0.4204</v>
      </c>
      <c r="T660" s="311">
        <v>0</v>
      </c>
      <c r="U660" s="311">
        <v>0.40139999999999998</v>
      </c>
      <c r="V660" s="311">
        <v>0.38990000000000002</v>
      </c>
      <c r="W660" s="311">
        <v>0.4894</v>
      </c>
      <c r="X660" s="311">
        <v>0.40229999999999999</v>
      </c>
      <c r="Y660" s="311">
        <v>0.40329999999999999</v>
      </c>
      <c r="Z660" s="311">
        <v>0.49940000000000001</v>
      </c>
      <c r="AA660" s="311">
        <v>0.50219999999999998</v>
      </c>
      <c r="AB660" s="311">
        <v>0.4355</v>
      </c>
      <c r="AC660" s="311">
        <v>0.35699999999999998</v>
      </c>
      <c r="AD660" s="311">
        <v>0.3226</v>
      </c>
      <c r="AE660" s="311">
        <v>0.48620000000000002</v>
      </c>
      <c r="AF660" s="311">
        <v>0</v>
      </c>
      <c r="AG660" s="311">
        <v>0.38179999999999997</v>
      </c>
      <c r="AH660" s="311">
        <v>0.43880000000000002</v>
      </c>
      <c r="AI660" s="311">
        <v>0.4627</v>
      </c>
      <c r="AJ660" s="311">
        <v>0.3695</v>
      </c>
      <c r="AK660" s="311">
        <v>0.40560000000000002</v>
      </c>
      <c r="AL660" s="311">
        <v>0.4088</v>
      </c>
      <c r="AM660" s="311">
        <v>0.48060000000000003</v>
      </c>
      <c r="AN660" s="311">
        <v>0.39650000000000002</v>
      </c>
      <c r="AO660" s="311">
        <v>0.48659999999999998</v>
      </c>
      <c r="AP660" s="311">
        <v>0.49399999999999999</v>
      </c>
      <c r="AQ660" s="311">
        <v>0.41099999999999998</v>
      </c>
      <c r="AR660" s="311">
        <v>0.40699999999999997</v>
      </c>
      <c r="AS660" s="311">
        <v>0</v>
      </c>
      <c r="AT660" s="311">
        <v>0.43590000000000001</v>
      </c>
      <c r="AU660" s="311">
        <v>0.4899</v>
      </c>
      <c r="AV660" s="311">
        <v>0.50880000000000003</v>
      </c>
      <c r="AW660" s="311">
        <v>0.45150000000000001</v>
      </c>
      <c r="AX660" s="311">
        <v>0.36180000000000001</v>
      </c>
      <c r="AY660" s="311">
        <v>0.46860000000000002</v>
      </c>
      <c r="AZ660" s="311">
        <v>0.47770000000000001</v>
      </c>
      <c r="BA660" s="311">
        <v>0</v>
      </c>
      <c r="BB660" s="311">
        <v>0.33639999999999998</v>
      </c>
      <c r="BC660" s="311">
        <v>0.54159999999999997</v>
      </c>
      <c r="BD660" s="311">
        <v>0.499</v>
      </c>
      <c r="BE660" s="311">
        <v>0.5101</v>
      </c>
      <c r="BF660" s="311">
        <v>0.47010000000000002</v>
      </c>
      <c r="BG660" s="311">
        <v>0.50160000000000005</v>
      </c>
      <c r="BH660" s="311">
        <v>0.4279</v>
      </c>
      <c r="BI660" s="311">
        <v>0.47839999999999999</v>
      </c>
      <c r="BJ660" s="311">
        <v>0.50060000000000004</v>
      </c>
      <c r="BK660" s="311">
        <v>0.52559999999999996</v>
      </c>
    </row>
    <row r="661" spans="1:63" x14ac:dyDescent="0.25">
      <c r="A661" s="306">
        <v>334517</v>
      </c>
      <c r="B661" s="311" t="s">
        <v>227</v>
      </c>
      <c r="C661" s="311">
        <v>0.45050000000000001</v>
      </c>
      <c r="D661" s="311">
        <v>0.19389999999999999</v>
      </c>
      <c r="E661" s="311">
        <v>0.30249999999999999</v>
      </c>
      <c r="F661" s="311">
        <v>0</v>
      </c>
      <c r="G661" s="311">
        <v>0.31630000000000003</v>
      </c>
      <c r="H661" s="311">
        <v>0.39150000000000001</v>
      </c>
      <c r="I661" s="311">
        <v>0.37180000000000002</v>
      </c>
      <c r="J661" s="311">
        <v>0.34749999999999998</v>
      </c>
      <c r="K661" s="311">
        <v>0</v>
      </c>
      <c r="L661" s="311">
        <v>0</v>
      </c>
      <c r="M661" s="311">
        <v>0.31169999999999998</v>
      </c>
      <c r="N661" s="311">
        <v>0.3463</v>
      </c>
      <c r="O661" s="311">
        <v>0</v>
      </c>
      <c r="P661" s="311">
        <v>0.27379999999999999</v>
      </c>
      <c r="Q661" s="311">
        <v>0</v>
      </c>
      <c r="R661" s="311">
        <v>0.38119999999999998</v>
      </c>
      <c r="S661" s="311">
        <v>0.32529999999999998</v>
      </c>
      <c r="T661" s="311">
        <v>0.26469999999999999</v>
      </c>
      <c r="U661" s="311">
        <v>0.314</v>
      </c>
      <c r="V661" s="311">
        <v>0.29149999999999998</v>
      </c>
      <c r="W661" s="311">
        <v>0.3654</v>
      </c>
      <c r="X661" s="311">
        <v>0.2787</v>
      </c>
      <c r="Y661" s="311">
        <v>0</v>
      </c>
      <c r="Z661" s="311">
        <v>0.38240000000000002</v>
      </c>
      <c r="AA661" s="311">
        <v>0.3669</v>
      </c>
      <c r="AB661" s="311">
        <v>0.31619999999999998</v>
      </c>
      <c r="AC661" s="311">
        <v>0</v>
      </c>
      <c r="AD661" s="311">
        <v>0</v>
      </c>
      <c r="AE661" s="311">
        <v>0.3493</v>
      </c>
      <c r="AF661" s="311">
        <v>0</v>
      </c>
      <c r="AG661" s="311">
        <v>0</v>
      </c>
      <c r="AH661" s="311">
        <v>0</v>
      </c>
      <c r="AI661" s="311">
        <v>0.32950000000000002</v>
      </c>
      <c r="AJ661" s="311">
        <v>0.2636</v>
      </c>
      <c r="AK661" s="311">
        <v>0</v>
      </c>
      <c r="AL661" s="311">
        <v>0.29899999999999999</v>
      </c>
      <c r="AM661" s="311">
        <v>0.37119999999999997</v>
      </c>
      <c r="AN661" s="311">
        <v>0.2908</v>
      </c>
      <c r="AO661" s="311">
        <v>0.3478</v>
      </c>
      <c r="AP661" s="311">
        <v>0.378</v>
      </c>
      <c r="AQ661" s="311">
        <v>0.29120000000000001</v>
      </c>
      <c r="AR661" s="311">
        <v>0</v>
      </c>
      <c r="AS661" s="311">
        <v>0</v>
      </c>
      <c r="AT661" s="311">
        <v>0.33019999999999999</v>
      </c>
      <c r="AU661" s="311">
        <v>0.36349999999999999</v>
      </c>
      <c r="AV661" s="311">
        <v>0.35830000000000001</v>
      </c>
      <c r="AW661" s="311">
        <v>0</v>
      </c>
      <c r="AX661" s="311">
        <v>0.26190000000000002</v>
      </c>
      <c r="AY661" s="311">
        <v>0.32919999999999999</v>
      </c>
      <c r="AZ661" s="311">
        <v>0.35749999999999998</v>
      </c>
      <c r="BA661" s="311">
        <v>0.22720000000000001</v>
      </c>
      <c r="BB661" s="311">
        <v>0</v>
      </c>
      <c r="BC661" s="311">
        <v>0.40589999999999998</v>
      </c>
      <c r="BD661" s="311">
        <v>0.3785</v>
      </c>
      <c r="BE661" s="311">
        <v>0.3896</v>
      </c>
      <c r="BF661" s="311">
        <v>0.34399999999999997</v>
      </c>
      <c r="BG661" s="311">
        <v>0.35510000000000003</v>
      </c>
      <c r="BH661" s="311">
        <v>0.33289999999999997</v>
      </c>
      <c r="BI661" s="311">
        <v>0.3589</v>
      </c>
      <c r="BJ661" s="311">
        <v>0.35520000000000002</v>
      </c>
      <c r="BK661" s="311">
        <v>0.38990000000000002</v>
      </c>
    </row>
    <row r="662" spans="1:63" x14ac:dyDescent="0.25">
      <c r="A662" s="306" t="s">
        <v>740</v>
      </c>
      <c r="B662" s="311" t="s">
        <v>228</v>
      </c>
      <c r="C662" s="311">
        <v>0.60270000000000001</v>
      </c>
      <c r="D662" s="311">
        <v>0</v>
      </c>
      <c r="E662" s="311">
        <v>0.43240000000000001</v>
      </c>
      <c r="F662" s="311">
        <v>0.42799999999999999</v>
      </c>
      <c r="G662" s="311">
        <v>0.46429999999999999</v>
      </c>
      <c r="H662" s="311">
        <v>0.54220000000000002</v>
      </c>
      <c r="I662" s="311">
        <v>0.53749999999999998</v>
      </c>
      <c r="J662" s="311">
        <v>0.47889999999999999</v>
      </c>
      <c r="K662" s="311">
        <v>0</v>
      </c>
      <c r="L662" s="311">
        <v>0</v>
      </c>
      <c r="M662" s="311">
        <v>0.46089999999999998</v>
      </c>
      <c r="N662" s="311">
        <v>0.50439999999999996</v>
      </c>
      <c r="O662" s="311">
        <v>0</v>
      </c>
      <c r="P662" s="311">
        <v>0.39360000000000001</v>
      </c>
      <c r="Q662" s="311">
        <v>0.42030000000000001</v>
      </c>
      <c r="R662" s="311">
        <v>0.52129999999999999</v>
      </c>
      <c r="S662" s="311">
        <v>0.44600000000000001</v>
      </c>
      <c r="T662" s="311">
        <v>0.3906</v>
      </c>
      <c r="U662" s="311">
        <v>0.42309999999999998</v>
      </c>
      <c r="V662" s="311">
        <v>0.41789999999999999</v>
      </c>
      <c r="W662" s="311">
        <v>0.49830000000000002</v>
      </c>
      <c r="X662" s="311">
        <v>0.42220000000000002</v>
      </c>
      <c r="Y662" s="311">
        <v>0.4244</v>
      </c>
      <c r="Z662" s="311">
        <v>0.51549999999999996</v>
      </c>
      <c r="AA662" s="311">
        <v>0.51549999999999996</v>
      </c>
      <c r="AB662" s="311">
        <v>0.44869999999999999</v>
      </c>
      <c r="AC662" s="311">
        <v>0.38040000000000002</v>
      </c>
      <c r="AD662" s="311">
        <v>0.3523</v>
      </c>
      <c r="AE662" s="311">
        <v>0.49690000000000001</v>
      </c>
      <c r="AF662" s="311">
        <v>0.36570000000000003</v>
      </c>
      <c r="AG662" s="311">
        <v>0.40560000000000002</v>
      </c>
      <c r="AH662" s="311">
        <v>0.44800000000000001</v>
      </c>
      <c r="AI662" s="311">
        <v>0.47470000000000001</v>
      </c>
      <c r="AJ662" s="311">
        <v>0.39879999999999999</v>
      </c>
      <c r="AK662" s="311">
        <v>0.4244</v>
      </c>
      <c r="AL662" s="311">
        <v>0.43080000000000002</v>
      </c>
      <c r="AM662" s="311">
        <v>0.50019999999999998</v>
      </c>
      <c r="AN662" s="311">
        <v>0.42659999999999998</v>
      </c>
      <c r="AO662" s="311">
        <v>0.50219999999999998</v>
      </c>
      <c r="AP662" s="311">
        <v>0.51049999999999995</v>
      </c>
      <c r="AQ662" s="311">
        <v>0.42220000000000002</v>
      </c>
      <c r="AR662" s="311">
        <v>0.42770000000000002</v>
      </c>
      <c r="AS662" s="311">
        <v>0</v>
      </c>
      <c r="AT662" s="311">
        <v>0.45619999999999999</v>
      </c>
      <c r="AU662" s="311">
        <v>0.50860000000000005</v>
      </c>
      <c r="AV662" s="311">
        <v>0.52449999999999997</v>
      </c>
      <c r="AW662" s="311">
        <v>0.46279999999999999</v>
      </c>
      <c r="AX662" s="311">
        <v>0.3901</v>
      </c>
      <c r="AY662" s="311">
        <v>0.48330000000000001</v>
      </c>
      <c r="AZ662" s="311">
        <v>0.48959999999999998</v>
      </c>
      <c r="BA662" s="311">
        <v>0.33160000000000001</v>
      </c>
      <c r="BB662" s="311">
        <v>0.36730000000000002</v>
      </c>
      <c r="BC662" s="311">
        <v>0.55179999999999996</v>
      </c>
      <c r="BD662" s="311">
        <v>0.51770000000000005</v>
      </c>
      <c r="BE662" s="311">
        <v>0.52649999999999997</v>
      </c>
      <c r="BF662" s="311">
        <v>0.48659999999999998</v>
      </c>
      <c r="BG662" s="311">
        <v>0.51439999999999997</v>
      </c>
      <c r="BH662" s="311">
        <v>0.45140000000000002</v>
      </c>
      <c r="BI662" s="311">
        <v>0.49919999999999998</v>
      </c>
      <c r="BJ662" s="311">
        <v>0.5181</v>
      </c>
      <c r="BK662" s="311">
        <v>0.54290000000000005</v>
      </c>
    </row>
    <row r="663" spans="1:63" x14ac:dyDescent="0.25">
      <c r="A663" s="306">
        <v>334613</v>
      </c>
      <c r="B663" s="311" t="s">
        <v>229</v>
      </c>
      <c r="C663" s="311">
        <v>0.41360000000000002</v>
      </c>
      <c r="D663" s="311">
        <v>0</v>
      </c>
      <c r="E663" s="311">
        <v>0.26279999999999998</v>
      </c>
      <c r="F663" s="311">
        <v>0</v>
      </c>
      <c r="G663" s="311">
        <v>0.25169999999999998</v>
      </c>
      <c r="H663" s="311">
        <v>0.3276</v>
      </c>
      <c r="I663" s="311">
        <v>0.30980000000000002</v>
      </c>
      <c r="J663" s="311">
        <v>0.29289999999999999</v>
      </c>
      <c r="K663" s="311">
        <v>3.6299999999999999E-2</v>
      </c>
      <c r="L663" s="311">
        <v>0</v>
      </c>
      <c r="M663" s="311">
        <v>0.25140000000000001</v>
      </c>
      <c r="N663" s="311">
        <v>0.33079999999999998</v>
      </c>
      <c r="O663" s="311">
        <v>0</v>
      </c>
      <c r="P663" s="311">
        <v>0</v>
      </c>
      <c r="Q663" s="311">
        <v>0</v>
      </c>
      <c r="R663" s="311">
        <v>0.32340000000000002</v>
      </c>
      <c r="S663" s="311">
        <v>0</v>
      </c>
      <c r="T663" s="311">
        <v>0.22470000000000001</v>
      </c>
      <c r="U663" s="311">
        <v>0</v>
      </c>
      <c r="V663" s="311">
        <v>0</v>
      </c>
      <c r="W663" s="311">
        <v>0.31459999999999999</v>
      </c>
      <c r="X663" s="311">
        <v>0.23380000000000001</v>
      </c>
      <c r="Y663" s="311">
        <v>0.23769999999999999</v>
      </c>
      <c r="Z663" s="311">
        <v>0</v>
      </c>
      <c r="AA663" s="311">
        <v>0.3256</v>
      </c>
      <c r="AB663" s="311">
        <v>0</v>
      </c>
      <c r="AC663" s="311">
        <v>0</v>
      </c>
      <c r="AD663" s="311">
        <v>0</v>
      </c>
      <c r="AE663" s="311">
        <v>0.3125</v>
      </c>
      <c r="AF663" s="311">
        <v>0.2099</v>
      </c>
      <c r="AG663" s="311">
        <v>0</v>
      </c>
      <c r="AH663" s="311">
        <v>0</v>
      </c>
      <c r="AI663" s="311">
        <v>0.28810000000000002</v>
      </c>
      <c r="AJ663" s="311">
        <v>0</v>
      </c>
      <c r="AK663" s="311">
        <v>0.23330000000000001</v>
      </c>
      <c r="AL663" s="311">
        <v>0.23300000000000001</v>
      </c>
      <c r="AM663" s="311">
        <v>0</v>
      </c>
      <c r="AN663" s="311">
        <v>0.2387</v>
      </c>
      <c r="AO663" s="311">
        <v>0</v>
      </c>
      <c r="AP663" s="311">
        <v>0</v>
      </c>
      <c r="AQ663" s="311">
        <v>0</v>
      </c>
      <c r="AR663" s="311">
        <v>0</v>
      </c>
      <c r="AS663" s="311">
        <v>0</v>
      </c>
      <c r="AT663" s="311">
        <v>0</v>
      </c>
      <c r="AU663" s="311">
        <v>0.32700000000000001</v>
      </c>
      <c r="AV663" s="311">
        <v>0.31019999999999998</v>
      </c>
      <c r="AW663" s="311">
        <v>0</v>
      </c>
      <c r="AX663" s="311">
        <v>0</v>
      </c>
      <c r="AY663" s="311">
        <v>0.28970000000000001</v>
      </c>
      <c r="AZ663" s="311">
        <v>0</v>
      </c>
      <c r="BA663" s="311">
        <v>0</v>
      </c>
      <c r="BB663" s="311">
        <v>0</v>
      </c>
      <c r="BC663" s="311">
        <v>0.35270000000000001</v>
      </c>
      <c r="BD663" s="311">
        <v>0.312</v>
      </c>
      <c r="BE663" s="311">
        <v>0.34100000000000003</v>
      </c>
      <c r="BF663" s="311">
        <v>0.30259999999999998</v>
      </c>
      <c r="BG663" s="311">
        <v>0.3211</v>
      </c>
      <c r="BH663" s="311">
        <v>0.29360000000000003</v>
      </c>
      <c r="BI663" s="311">
        <v>0.31969999999999998</v>
      </c>
      <c r="BJ663" s="311">
        <v>0.2984</v>
      </c>
      <c r="BK663" s="311">
        <v>0.3291</v>
      </c>
    </row>
    <row r="664" spans="1:63" x14ac:dyDescent="0.25">
      <c r="A664" s="306" t="s">
        <v>741</v>
      </c>
      <c r="B664" s="311" t="s">
        <v>742</v>
      </c>
      <c r="C664" s="311">
        <v>0.53939999999999999</v>
      </c>
      <c r="D664" s="311">
        <v>0</v>
      </c>
      <c r="E664" s="311">
        <v>0.39240000000000003</v>
      </c>
      <c r="F664" s="311">
        <v>0.37569999999999998</v>
      </c>
      <c r="G664" s="311">
        <v>0.37790000000000001</v>
      </c>
      <c r="H664" s="311">
        <v>0.44879999999999998</v>
      </c>
      <c r="I664" s="311">
        <v>0.43909999999999999</v>
      </c>
      <c r="J664" s="311">
        <v>0.4098</v>
      </c>
      <c r="K664" s="311">
        <v>5.7799999999999997E-2</v>
      </c>
      <c r="L664" s="311">
        <v>0.2707</v>
      </c>
      <c r="M664" s="311">
        <v>0.38109999999999999</v>
      </c>
      <c r="N664" s="311">
        <v>0.44550000000000001</v>
      </c>
      <c r="O664" s="311">
        <v>0</v>
      </c>
      <c r="P664" s="311">
        <v>0.32890000000000003</v>
      </c>
      <c r="Q664" s="311">
        <v>0.3599</v>
      </c>
      <c r="R664" s="311">
        <v>0.4511</v>
      </c>
      <c r="S664" s="311">
        <v>0.3836</v>
      </c>
      <c r="T664" s="311">
        <v>0.32650000000000001</v>
      </c>
      <c r="U664" s="311">
        <v>0.36609999999999998</v>
      </c>
      <c r="V664" s="311">
        <v>0.37519999999999998</v>
      </c>
      <c r="W664" s="311">
        <v>0.4249</v>
      </c>
      <c r="X664" s="311">
        <v>0.3548</v>
      </c>
      <c r="Y664" s="311">
        <v>0.36420000000000002</v>
      </c>
      <c r="Z664" s="311">
        <v>0.44400000000000001</v>
      </c>
      <c r="AA664" s="311">
        <v>0.43519999999999998</v>
      </c>
      <c r="AB664" s="311">
        <v>0.39119999999999999</v>
      </c>
      <c r="AC664" s="311">
        <v>0</v>
      </c>
      <c r="AD664" s="311">
        <v>0.29959999999999998</v>
      </c>
      <c r="AE664" s="311">
        <v>0.439</v>
      </c>
      <c r="AF664" s="311">
        <v>0</v>
      </c>
      <c r="AG664" s="311">
        <v>0.3402</v>
      </c>
      <c r="AH664" s="311">
        <v>0.35749999999999998</v>
      </c>
      <c r="AI664" s="311">
        <v>0.40799999999999997</v>
      </c>
      <c r="AJ664" s="311">
        <v>0.32469999999999999</v>
      </c>
      <c r="AK664" s="311">
        <v>0.35759999999999997</v>
      </c>
      <c r="AL664" s="311">
        <v>0.36059999999999998</v>
      </c>
      <c r="AM664" s="311">
        <v>0.43619999999999998</v>
      </c>
      <c r="AN664" s="311">
        <v>0.36809999999999998</v>
      </c>
      <c r="AO664" s="311">
        <v>0.41299999999999998</v>
      </c>
      <c r="AP664" s="311">
        <v>0.44180000000000003</v>
      </c>
      <c r="AQ664" s="311">
        <v>0.36199999999999999</v>
      </c>
      <c r="AR664" s="311">
        <v>0.37769999999999998</v>
      </c>
      <c r="AS664" s="311">
        <v>0</v>
      </c>
      <c r="AT664" s="311">
        <v>0.40150000000000002</v>
      </c>
      <c r="AU664" s="311">
        <v>0.44130000000000003</v>
      </c>
      <c r="AV664" s="311">
        <v>0.4355</v>
      </c>
      <c r="AW664" s="311">
        <v>0.40450000000000003</v>
      </c>
      <c r="AX664" s="311">
        <v>0.32390000000000002</v>
      </c>
      <c r="AY664" s="311">
        <v>0.40400000000000003</v>
      </c>
      <c r="AZ664" s="311">
        <v>0.41049999999999998</v>
      </c>
      <c r="BA664" s="311">
        <v>0.29499999999999998</v>
      </c>
      <c r="BB664" s="311">
        <v>0</v>
      </c>
      <c r="BC664" s="311">
        <v>0.46989999999999998</v>
      </c>
      <c r="BD664" s="311">
        <v>0.44230000000000003</v>
      </c>
      <c r="BE664" s="311">
        <v>0.45879999999999999</v>
      </c>
      <c r="BF664" s="311">
        <v>0.41570000000000001</v>
      </c>
      <c r="BG664" s="311">
        <v>0.45639999999999997</v>
      </c>
      <c r="BH664" s="311">
        <v>0.41260000000000002</v>
      </c>
      <c r="BI664" s="311">
        <v>0.44059999999999999</v>
      </c>
      <c r="BJ664" s="311">
        <v>0.42720000000000002</v>
      </c>
      <c r="BK664" s="311">
        <v>0.45469999999999999</v>
      </c>
    </row>
    <row r="665" spans="1:63" x14ac:dyDescent="0.25">
      <c r="A665" s="306">
        <v>335110</v>
      </c>
      <c r="B665" s="311" t="s">
        <v>230</v>
      </c>
      <c r="C665" s="311">
        <v>0.41620000000000001</v>
      </c>
      <c r="D665" s="311">
        <v>0</v>
      </c>
      <c r="E665" s="311">
        <v>0.3256</v>
      </c>
      <c r="F665" s="311">
        <v>0.29349999999999998</v>
      </c>
      <c r="G665" s="311">
        <v>0.30890000000000001</v>
      </c>
      <c r="H665" s="311">
        <v>0.3463</v>
      </c>
      <c r="I665" s="311">
        <v>0.3397</v>
      </c>
      <c r="J665" s="311">
        <v>0.32340000000000002</v>
      </c>
      <c r="K665" s="311">
        <v>0</v>
      </c>
      <c r="L665" s="311">
        <v>0</v>
      </c>
      <c r="M665" s="311">
        <v>0.31290000000000001</v>
      </c>
      <c r="N665" s="311">
        <v>0</v>
      </c>
      <c r="O665" s="311">
        <v>0</v>
      </c>
      <c r="P665" s="311">
        <v>0.29099999999999998</v>
      </c>
      <c r="Q665" s="311">
        <v>0</v>
      </c>
      <c r="R665" s="311">
        <v>0.35570000000000002</v>
      </c>
      <c r="S665" s="311">
        <v>0.33179999999999998</v>
      </c>
      <c r="T665" s="311">
        <v>0</v>
      </c>
      <c r="U665" s="311">
        <v>0.33610000000000001</v>
      </c>
      <c r="V665" s="311">
        <v>0.3115</v>
      </c>
      <c r="W665" s="311">
        <v>0.31409999999999999</v>
      </c>
      <c r="X665" s="311">
        <v>0.2858</v>
      </c>
      <c r="Y665" s="311">
        <v>0.31540000000000001</v>
      </c>
      <c r="Z665" s="311">
        <v>0</v>
      </c>
      <c r="AA665" s="311">
        <v>0</v>
      </c>
      <c r="AB665" s="311">
        <v>0.32340000000000002</v>
      </c>
      <c r="AC665" s="311">
        <v>0</v>
      </c>
      <c r="AD665" s="311">
        <v>0</v>
      </c>
      <c r="AE665" s="311">
        <v>0.3533</v>
      </c>
      <c r="AF665" s="311">
        <v>0</v>
      </c>
      <c r="AG665" s="311">
        <v>0</v>
      </c>
      <c r="AH665" s="311">
        <v>0.31269999999999998</v>
      </c>
      <c r="AI665" s="311">
        <v>0.33950000000000002</v>
      </c>
      <c r="AJ665" s="311">
        <v>0</v>
      </c>
      <c r="AK665" s="311">
        <v>0</v>
      </c>
      <c r="AL665" s="311">
        <v>0.312</v>
      </c>
      <c r="AM665" s="311">
        <v>0.37690000000000001</v>
      </c>
      <c r="AN665" s="311">
        <v>0</v>
      </c>
      <c r="AO665" s="311">
        <v>0.31390000000000001</v>
      </c>
      <c r="AP665" s="311">
        <v>0.37730000000000002</v>
      </c>
      <c r="AQ665" s="311">
        <v>0</v>
      </c>
      <c r="AR665" s="311">
        <v>0.32790000000000002</v>
      </c>
      <c r="AS665" s="311">
        <v>0</v>
      </c>
      <c r="AT665" s="311">
        <v>0.34520000000000001</v>
      </c>
      <c r="AU665" s="311">
        <v>0.33960000000000001</v>
      </c>
      <c r="AV665" s="311">
        <v>0</v>
      </c>
      <c r="AW665" s="311">
        <v>0.31219999999999998</v>
      </c>
      <c r="AX665" s="311">
        <v>0.26950000000000002</v>
      </c>
      <c r="AY665" s="311">
        <v>0</v>
      </c>
      <c r="AZ665" s="311">
        <v>0</v>
      </c>
      <c r="BA665" s="311">
        <v>0.2797</v>
      </c>
      <c r="BB665" s="311">
        <v>0</v>
      </c>
      <c r="BC665" s="311">
        <v>0.36249999999999999</v>
      </c>
      <c r="BD665" s="311">
        <v>0.37769999999999998</v>
      </c>
      <c r="BE665" s="311">
        <v>0.38819999999999999</v>
      </c>
      <c r="BF665" s="311">
        <v>0.34</v>
      </c>
      <c r="BG665" s="311">
        <v>0.35699999999999998</v>
      </c>
      <c r="BH665" s="311">
        <v>0.35709999999999997</v>
      </c>
      <c r="BI665" s="311">
        <v>0.34589999999999999</v>
      </c>
      <c r="BJ665" s="311">
        <v>0.32940000000000003</v>
      </c>
      <c r="BK665" s="311">
        <v>0.34989999999999999</v>
      </c>
    </row>
    <row r="666" spans="1:63" x14ac:dyDescent="0.25">
      <c r="A666" s="306">
        <v>335120</v>
      </c>
      <c r="B666" s="311" t="s">
        <v>231</v>
      </c>
      <c r="C666" s="311">
        <v>0.45660000000000001</v>
      </c>
      <c r="D666" s="311">
        <v>0</v>
      </c>
      <c r="E666" s="311">
        <v>0.35039999999999999</v>
      </c>
      <c r="F666" s="311">
        <v>0.32440000000000002</v>
      </c>
      <c r="G666" s="311">
        <v>0.3246</v>
      </c>
      <c r="H666" s="311">
        <v>0.3735</v>
      </c>
      <c r="I666" s="311">
        <v>0.3513</v>
      </c>
      <c r="J666" s="311">
        <v>0.34089999999999998</v>
      </c>
      <c r="K666" s="311">
        <v>0</v>
      </c>
      <c r="L666" s="311">
        <v>0.24940000000000001</v>
      </c>
      <c r="M666" s="311">
        <v>0.32940000000000003</v>
      </c>
      <c r="N666" s="311">
        <v>0.36099999999999999</v>
      </c>
      <c r="O666" s="311">
        <v>0.28770000000000001</v>
      </c>
      <c r="P666" s="311">
        <v>0.30280000000000001</v>
      </c>
      <c r="Q666" s="311">
        <v>0.28029999999999999</v>
      </c>
      <c r="R666" s="311">
        <v>0.40479999999999999</v>
      </c>
      <c r="S666" s="311">
        <v>0.35320000000000001</v>
      </c>
      <c r="T666" s="311">
        <v>0.29880000000000001</v>
      </c>
      <c r="U666" s="311">
        <v>0.34989999999999999</v>
      </c>
      <c r="V666" s="311">
        <v>0.32279999999999998</v>
      </c>
      <c r="W666" s="311">
        <v>0.33760000000000001</v>
      </c>
      <c r="X666" s="311">
        <v>0.29959999999999998</v>
      </c>
      <c r="Y666" s="311">
        <v>0.31469999999999998</v>
      </c>
      <c r="Z666" s="311">
        <v>0.37940000000000002</v>
      </c>
      <c r="AA666" s="311">
        <v>0.3674</v>
      </c>
      <c r="AB666" s="311">
        <v>0.35639999999999999</v>
      </c>
      <c r="AC666" s="311">
        <v>0.31559999999999999</v>
      </c>
      <c r="AD666" s="311">
        <v>0.25940000000000002</v>
      </c>
      <c r="AE666" s="311">
        <v>0.36030000000000001</v>
      </c>
      <c r="AF666" s="311">
        <v>0</v>
      </c>
      <c r="AG666" s="311">
        <v>0.29060000000000002</v>
      </c>
      <c r="AH666" s="311">
        <v>0.33379999999999999</v>
      </c>
      <c r="AI666" s="311">
        <v>0.34799999999999998</v>
      </c>
      <c r="AJ666" s="311">
        <v>0.2752</v>
      </c>
      <c r="AK666" s="311">
        <v>0.30370000000000003</v>
      </c>
      <c r="AL666" s="311">
        <v>0.31390000000000001</v>
      </c>
      <c r="AM666" s="311">
        <v>0.40389999999999998</v>
      </c>
      <c r="AN666" s="311">
        <v>0.3256</v>
      </c>
      <c r="AO666" s="311">
        <v>0.33300000000000002</v>
      </c>
      <c r="AP666" s="311">
        <v>0.39929999999999999</v>
      </c>
      <c r="AQ666" s="311">
        <v>0.3029</v>
      </c>
      <c r="AR666" s="311">
        <v>0.34460000000000002</v>
      </c>
      <c r="AS666" s="311">
        <v>0.26</v>
      </c>
      <c r="AT666" s="311">
        <v>0.3669</v>
      </c>
      <c r="AU666" s="311">
        <v>0.3695</v>
      </c>
      <c r="AV666" s="311">
        <v>0.35370000000000001</v>
      </c>
      <c r="AW666" s="311">
        <v>0.33810000000000001</v>
      </c>
      <c r="AX666" s="311">
        <v>0.2787</v>
      </c>
      <c r="AY666" s="311">
        <v>0.33360000000000001</v>
      </c>
      <c r="AZ666" s="311">
        <v>0.37040000000000001</v>
      </c>
      <c r="BA666" s="311">
        <v>0.28029999999999999</v>
      </c>
      <c r="BB666" s="311">
        <v>0.23219999999999999</v>
      </c>
      <c r="BC666" s="311">
        <v>0.38640000000000002</v>
      </c>
      <c r="BD666" s="311">
        <v>0.39300000000000002</v>
      </c>
      <c r="BE666" s="311">
        <v>0.41930000000000001</v>
      </c>
      <c r="BF666" s="311">
        <v>0.36720000000000003</v>
      </c>
      <c r="BG666" s="311">
        <v>0.37459999999999999</v>
      </c>
      <c r="BH666" s="311">
        <v>0.37669999999999998</v>
      </c>
      <c r="BI666" s="311">
        <v>0.37930000000000003</v>
      </c>
      <c r="BJ666" s="311">
        <v>0.33679999999999999</v>
      </c>
      <c r="BK666" s="311">
        <v>0.37540000000000001</v>
      </c>
    </row>
    <row r="667" spans="1:63" x14ac:dyDescent="0.25">
      <c r="A667" s="306">
        <v>335210</v>
      </c>
      <c r="B667" s="311" t="s">
        <v>232</v>
      </c>
      <c r="C667" s="311">
        <v>0.41170000000000001</v>
      </c>
      <c r="D667" s="311">
        <v>0</v>
      </c>
      <c r="E667" s="311">
        <v>0.31719999999999998</v>
      </c>
      <c r="F667" s="311">
        <v>0.29160000000000003</v>
      </c>
      <c r="G667" s="311">
        <v>0.26490000000000002</v>
      </c>
      <c r="H667" s="311">
        <v>0.30669999999999997</v>
      </c>
      <c r="I667" s="311">
        <v>0.2928</v>
      </c>
      <c r="J667" s="311">
        <v>0.30409999999999998</v>
      </c>
      <c r="K667" s="311">
        <v>0</v>
      </c>
      <c r="L667" s="311">
        <v>0</v>
      </c>
      <c r="M667" s="311">
        <v>0.26700000000000002</v>
      </c>
      <c r="N667" s="311">
        <v>0</v>
      </c>
      <c r="O667" s="311">
        <v>0</v>
      </c>
      <c r="P667" s="311">
        <v>0.27410000000000001</v>
      </c>
      <c r="Q667" s="311">
        <v>0.2286</v>
      </c>
      <c r="R667" s="311">
        <v>0.36209999999999998</v>
      </c>
      <c r="S667" s="311">
        <v>0.3231</v>
      </c>
      <c r="T667" s="311">
        <v>0.26200000000000001</v>
      </c>
      <c r="U667" s="311">
        <v>0.31269999999999998</v>
      </c>
      <c r="V667" s="311">
        <v>0</v>
      </c>
      <c r="W667" s="311">
        <v>0.29430000000000001</v>
      </c>
      <c r="X667" s="311">
        <v>0.25069999999999998</v>
      </c>
      <c r="Y667" s="311">
        <v>0</v>
      </c>
      <c r="Z667" s="311">
        <v>0.33810000000000001</v>
      </c>
      <c r="AA667" s="311">
        <v>0.32850000000000001</v>
      </c>
      <c r="AB667" s="311">
        <v>0.3211</v>
      </c>
      <c r="AC667" s="311">
        <v>0.27800000000000002</v>
      </c>
      <c r="AD667" s="311">
        <v>0</v>
      </c>
      <c r="AE667" s="311">
        <v>0.32769999999999999</v>
      </c>
      <c r="AF667" s="311">
        <v>0</v>
      </c>
      <c r="AG667" s="311">
        <v>0</v>
      </c>
      <c r="AH667" s="311">
        <v>0</v>
      </c>
      <c r="AI667" s="311">
        <v>0.30109999999999998</v>
      </c>
      <c r="AJ667" s="311">
        <v>0</v>
      </c>
      <c r="AK667" s="311">
        <v>0</v>
      </c>
      <c r="AL667" s="311">
        <v>0.26300000000000001</v>
      </c>
      <c r="AM667" s="311">
        <v>0.36149999999999999</v>
      </c>
      <c r="AN667" s="311">
        <v>0</v>
      </c>
      <c r="AO667" s="311">
        <v>0</v>
      </c>
      <c r="AP667" s="311">
        <v>0.3498</v>
      </c>
      <c r="AQ667" s="311">
        <v>0</v>
      </c>
      <c r="AR667" s="311">
        <v>0.31840000000000002</v>
      </c>
      <c r="AS667" s="311">
        <v>0.21640000000000001</v>
      </c>
      <c r="AT667" s="311">
        <v>0.32969999999999999</v>
      </c>
      <c r="AU667" s="311">
        <v>0.32219999999999999</v>
      </c>
      <c r="AV667" s="311">
        <v>0.30659999999999998</v>
      </c>
      <c r="AW667" s="311">
        <v>0.28839999999999999</v>
      </c>
      <c r="AX667" s="311">
        <v>0</v>
      </c>
      <c r="AY667" s="311">
        <v>0.2797</v>
      </c>
      <c r="AZ667" s="311">
        <v>0.32840000000000003</v>
      </c>
      <c r="BA667" s="311">
        <v>0</v>
      </c>
      <c r="BB667" s="311">
        <v>0</v>
      </c>
      <c r="BC667" s="311">
        <v>0.33960000000000001</v>
      </c>
      <c r="BD667" s="311">
        <v>0.33479999999999999</v>
      </c>
      <c r="BE667" s="311">
        <v>0.37390000000000001</v>
      </c>
      <c r="BF667" s="311">
        <v>0.32829999999999998</v>
      </c>
      <c r="BG667" s="311">
        <v>0.33229999999999998</v>
      </c>
      <c r="BH667" s="311">
        <v>0.33689999999999998</v>
      </c>
      <c r="BI667" s="311">
        <v>0.33350000000000002</v>
      </c>
      <c r="BJ667" s="311">
        <v>0.28239999999999998</v>
      </c>
      <c r="BK667" s="311">
        <v>0.30790000000000001</v>
      </c>
    </row>
    <row r="668" spans="1:63" x14ac:dyDescent="0.25">
      <c r="A668" s="306">
        <v>335221</v>
      </c>
      <c r="B668" s="311" t="s">
        <v>233</v>
      </c>
      <c r="C668" s="311">
        <v>0.45279999999999998</v>
      </c>
      <c r="D668" s="311">
        <v>0</v>
      </c>
      <c r="E668" s="311">
        <v>0</v>
      </c>
      <c r="F668" s="311">
        <v>0</v>
      </c>
      <c r="G668" s="311">
        <v>0.26540000000000002</v>
      </c>
      <c r="H668" s="311">
        <v>0.32029999999999997</v>
      </c>
      <c r="I668" s="311">
        <v>0</v>
      </c>
      <c r="J668" s="311">
        <v>0.307</v>
      </c>
      <c r="K668" s="311">
        <v>0</v>
      </c>
      <c r="L668" s="311">
        <v>0</v>
      </c>
      <c r="M668" s="311">
        <v>0.25119999999999998</v>
      </c>
      <c r="N668" s="311">
        <v>0.30790000000000001</v>
      </c>
      <c r="O668" s="311">
        <v>0</v>
      </c>
      <c r="P668" s="311">
        <v>0.2717</v>
      </c>
      <c r="Q668" s="311">
        <v>0.20979999999999999</v>
      </c>
      <c r="R668" s="311">
        <v>0.38419999999999999</v>
      </c>
      <c r="S668" s="311">
        <v>0.34770000000000001</v>
      </c>
      <c r="T668" s="311">
        <v>0.2482</v>
      </c>
      <c r="U668" s="311">
        <v>0.32519999999999999</v>
      </c>
      <c r="V668" s="311">
        <v>0.24540000000000001</v>
      </c>
      <c r="W668" s="311">
        <v>0</v>
      </c>
      <c r="X668" s="311">
        <v>0.23949999999999999</v>
      </c>
      <c r="Y668" s="311">
        <v>0</v>
      </c>
      <c r="Z668" s="311">
        <v>0</v>
      </c>
      <c r="AA668" s="311">
        <v>0</v>
      </c>
      <c r="AB668" s="311">
        <v>0.31230000000000002</v>
      </c>
      <c r="AC668" s="311">
        <v>0.27229999999999999</v>
      </c>
      <c r="AD668" s="311">
        <v>0.183</v>
      </c>
      <c r="AE668" s="311">
        <v>0.31240000000000001</v>
      </c>
      <c r="AF668" s="311">
        <v>0</v>
      </c>
      <c r="AG668" s="311">
        <v>0</v>
      </c>
      <c r="AH668" s="311">
        <v>0</v>
      </c>
      <c r="AI668" s="311">
        <v>0.30220000000000002</v>
      </c>
      <c r="AJ668" s="311">
        <v>0</v>
      </c>
      <c r="AK668" s="311">
        <v>0.23180000000000001</v>
      </c>
      <c r="AL668" s="311">
        <v>0.25390000000000001</v>
      </c>
      <c r="AM668" s="311">
        <v>0.39240000000000003</v>
      </c>
      <c r="AN668" s="311">
        <v>0.2656</v>
      </c>
      <c r="AO668" s="311">
        <v>0.29699999999999999</v>
      </c>
      <c r="AP668" s="311">
        <v>0.3841</v>
      </c>
      <c r="AQ668" s="311">
        <v>0</v>
      </c>
      <c r="AR668" s="311">
        <v>0.31630000000000003</v>
      </c>
      <c r="AS668" s="311">
        <v>0</v>
      </c>
      <c r="AT668" s="311">
        <v>0.33960000000000001</v>
      </c>
      <c r="AU668" s="311">
        <v>0.32390000000000002</v>
      </c>
      <c r="AV668" s="311">
        <v>0.31090000000000001</v>
      </c>
      <c r="AW668" s="311">
        <v>0</v>
      </c>
      <c r="AX668" s="311">
        <v>0</v>
      </c>
      <c r="AY668" s="311">
        <v>0</v>
      </c>
      <c r="AZ668" s="311">
        <v>0.34310000000000002</v>
      </c>
      <c r="BA668" s="311">
        <v>0</v>
      </c>
      <c r="BB668" s="311">
        <v>0</v>
      </c>
      <c r="BC668" s="311">
        <v>0.35110000000000002</v>
      </c>
      <c r="BD668" s="311">
        <v>0.36109999999999998</v>
      </c>
      <c r="BE668" s="311">
        <v>0.4073</v>
      </c>
      <c r="BF668" s="311">
        <v>0.34329999999999999</v>
      </c>
      <c r="BG668" s="311">
        <v>0.317</v>
      </c>
      <c r="BH668" s="311">
        <v>0.35320000000000001</v>
      </c>
      <c r="BI668" s="311">
        <v>0.33150000000000002</v>
      </c>
      <c r="BJ668" s="311">
        <v>0.27410000000000001</v>
      </c>
      <c r="BK668" s="311">
        <v>0.3216</v>
      </c>
    </row>
    <row r="669" spans="1:63" x14ac:dyDescent="0.25">
      <c r="A669" s="306">
        <v>335222</v>
      </c>
      <c r="B669" s="311" t="s">
        <v>234</v>
      </c>
      <c r="C669" s="311">
        <v>0.46539999999999998</v>
      </c>
      <c r="D669" s="311">
        <v>0</v>
      </c>
      <c r="E669" s="311">
        <v>0.34710000000000002</v>
      </c>
      <c r="F669" s="311">
        <v>0.3246</v>
      </c>
      <c r="G669" s="311">
        <v>0.28089999999999998</v>
      </c>
      <c r="H669" s="311">
        <v>0.32469999999999999</v>
      </c>
      <c r="I669" s="311">
        <v>0</v>
      </c>
      <c r="J669" s="311">
        <v>0</v>
      </c>
      <c r="K669" s="311">
        <v>0</v>
      </c>
      <c r="L669" s="311">
        <v>0</v>
      </c>
      <c r="M669" s="311">
        <v>0.28420000000000001</v>
      </c>
      <c r="N669" s="311">
        <v>0</v>
      </c>
      <c r="O669" s="311">
        <v>0</v>
      </c>
      <c r="P669" s="311">
        <v>0.3009</v>
      </c>
      <c r="Q669" s="311">
        <v>0</v>
      </c>
      <c r="R669" s="311">
        <v>0.39760000000000001</v>
      </c>
      <c r="S669" s="311">
        <v>0.36549999999999999</v>
      </c>
      <c r="T669" s="311">
        <v>0</v>
      </c>
      <c r="U669" s="311">
        <v>0.3513</v>
      </c>
      <c r="V669" s="311">
        <v>0</v>
      </c>
      <c r="W669" s="311">
        <v>0</v>
      </c>
      <c r="X669" s="311">
        <v>0</v>
      </c>
      <c r="Y669" s="311">
        <v>0</v>
      </c>
      <c r="Z669" s="311">
        <v>0.3785</v>
      </c>
      <c r="AA669" s="311">
        <v>0.3609</v>
      </c>
      <c r="AB669" s="311">
        <v>0</v>
      </c>
      <c r="AC669" s="311">
        <v>0.31559999999999999</v>
      </c>
      <c r="AD669" s="311">
        <v>0</v>
      </c>
      <c r="AE669" s="311">
        <v>0</v>
      </c>
      <c r="AF669" s="311">
        <v>0</v>
      </c>
      <c r="AG669" s="311">
        <v>0</v>
      </c>
      <c r="AH669" s="311">
        <v>0</v>
      </c>
      <c r="AI669" s="311">
        <v>0</v>
      </c>
      <c r="AJ669" s="311">
        <v>0</v>
      </c>
      <c r="AK669" s="311">
        <v>0</v>
      </c>
      <c r="AL669" s="311">
        <v>0</v>
      </c>
      <c r="AM669" s="311">
        <v>0.40970000000000001</v>
      </c>
      <c r="AN669" s="311">
        <v>0</v>
      </c>
      <c r="AO669" s="311">
        <v>0</v>
      </c>
      <c r="AP669" s="311">
        <v>0</v>
      </c>
      <c r="AQ669" s="311">
        <v>0</v>
      </c>
      <c r="AR669" s="311">
        <v>0.35880000000000001</v>
      </c>
      <c r="AS669" s="311">
        <v>0</v>
      </c>
      <c r="AT669" s="311">
        <v>0</v>
      </c>
      <c r="AU669" s="311">
        <v>0.36670000000000003</v>
      </c>
      <c r="AV669" s="311">
        <v>0</v>
      </c>
      <c r="AW669" s="311">
        <v>0</v>
      </c>
      <c r="AX669" s="311">
        <v>0</v>
      </c>
      <c r="AY669" s="311">
        <v>0.29409999999999997</v>
      </c>
      <c r="AZ669" s="311">
        <v>0.36049999999999999</v>
      </c>
      <c r="BA669" s="311">
        <v>0</v>
      </c>
      <c r="BB669" s="311">
        <v>0</v>
      </c>
      <c r="BC669" s="311">
        <v>0</v>
      </c>
      <c r="BD669" s="311">
        <v>0</v>
      </c>
      <c r="BE669" s="311">
        <v>0.42320000000000002</v>
      </c>
      <c r="BF669" s="311">
        <v>0.35880000000000001</v>
      </c>
      <c r="BG669" s="311">
        <v>0.3654</v>
      </c>
      <c r="BH669" s="311">
        <v>0.37959999999999999</v>
      </c>
      <c r="BI669" s="311">
        <v>0.38119999999999998</v>
      </c>
      <c r="BJ669" s="311">
        <v>0.29680000000000001</v>
      </c>
      <c r="BK669" s="311">
        <v>0.32500000000000001</v>
      </c>
    </row>
    <row r="670" spans="1:63" x14ac:dyDescent="0.25">
      <c r="A670" s="306">
        <v>335224</v>
      </c>
      <c r="B670" s="311" t="s">
        <v>235</v>
      </c>
      <c r="C670" s="311">
        <v>0.45419999999999999</v>
      </c>
      <c r="D670" s="311">
        <v>0</v>
      </c>
      <c r="E670" s="311">
        <v>0</v>
      </c>
      <c r="F670" s="311">
        <v>0</v>
      </c>
      <c r="G670" s="311">
        <v>0</v>
      </c>
      <c r="H670" s="311">
        <v>0.3387</v>
      </c>
      <c r="I670" s="311">
        <v>0</v>
      </c>
      <c r="J670" s="311">
        <v>0</v>
      </c>
      <c r="K670" s="311">
        <v>0</v>
      </c>
      <c r="L670" s="311">
        <v>0</v>
      </c>
      <c r="M670" s="311">
        <v>0.29449999999999998</v>
      </c>
      <c r="N670" s="311">
        <v>0</v>
      </c>
      <c r="O670" s="311">
        <v>0</v>
      </c>
      <c r="P670" s="311">
        <v>0.30049999999999999</v>
      </c>
      <c r="Q670" s="311">
        <v>0</v>
      </c>
      <c r="R670" s="311">
        <v>0.40139999999999998</v>
      </c>
      <c r="S670" s="311">
        <v>0</v>
      </c>
      <c r="T670" s="311">
        <v>0</v>
      </c>
      <c r="U670" s="311">
        <v>0</v>
      </c>
      <c r="V670" s="311">
        <v>0</v>
      </c>
      <c r="W670" s="311">
        <v>0</v>
      </c>
      <c r="X670" s="311">
        <v>0</v>
      </c>
      <c r="Y670" s="311">
        <v>0</v>
      </c>
      <c r="Z670" s="311">
        <v>0.37859999999999999</v>
      </c>
      <c r="AA670" s="311">
        <v>0</v>
      </c>
      <c r="AB670" s="311">
        <v>0</v>
      </c>
      <c r="AC670" s="311">
        <v>0</v>
      </c>
      <c r="AD670" s="311">
        <v>0</v>
      </c>
      <c r="AE670" s="311">
        <v>0</v>
      </c>
      <c r="AF670" s="311">
        <v>0</v>
      </c>
      <c r="AG670" s="311">
        <v>0</v>
      </c>
      <c r="AH670" s="311">
        <v>0</v>
      </c>
      <c r="AI670" s="311">
        <v>0.31569999999999998</v>
      </c>
      <c r="AJ670" s="311">
        <v>0</v>
      </c>
      <c r="AK670" s="311">
        <v>0</v>
      </c>
      <c r="AL670" s="311">
        <v>0.28599999999999998</v>
      </c>
      <c r="AM670" s="311">
        <v>0.40629999999999999</v>
      </c>
      <c r="AN670" s="311">
        <v>0</v>
      </c>
      <c r="AO670" s="311">
        <v>0</v>
      </c>
      <c r="AP670" s="311">
        <v>0</v>
      </c>
      <c r="AQ670" s="311">
        <v>0</v>
      </c>
      <c r="AR670" s="311">
        <v>0</v>
      </c>
      <c r="AS670" s="311">
        <v>0</v>
      </c>
      <c r="AT670" s="311">
        <v>0</v>
      </c>
      <c r="AU670" s="311">
        <v>0</v>
      </c>
      <c r="AV670" s="311">
        <v>0</v>
      </c>
      <c r="AW670" s="311">
        <v>0.31380000000000002</v>
      </c>
      <c r="AX670" s="311">
        <v>0</v>
      </c>
      <c r="AY670" s="311">
        <v>0</v>
      </c>
      <c r="AZ670" s="311">
        <v>0</v>
      </c>
      <c r="BA670" s="311">
        <v>0</v>
      </c>
      <c r="BB670" s="311">
        <v>0</v>
      </c>
      <c r="BC670" s="311">
        <v>0</v>
      </c>
      <c r="BD670" s="311">
        <v>0.36969999999999997</v>
      </c>
      <c r="BE670" s="311">
        <v>0.41789999999999999</v>
      </c>
      <c r="BF670" s="311">
        <v>0.36109999999999998</v>
      </c>
      <c r="BG670" s="311">
        <v>0.35580000000000001</v>
      </c>
      <c r="BH670" s="311">
        <v>0</v>
      </c>
      <c r="BI670" s="311">
        <v>0</v>
      </c>
      <c r="BJ670" s="311">
        <v>0</v>
      </c>
      <c r="BK670" s="311">
        <v>0.34229999999999999</v>
      </c>
    </row>
    <row r="671" spans="1:63" x14ac:dyDescent="0.25">
      <c r="A671" s="306">
        <v>335228</v>
      </c>
      <c r="B671" s="311" t="s">
        <v>236</v>
      </c>
      <c r="C671" s="311">
        <v>0.42270000000000002</v>
      </c>
      <c r="D671" s="311">
        <v>0</v>
      </c>
      <c r="E671" s="311">
        <v>0.30780000000000002</v>
      </c>
      <c r="F671" s="311">
        <v>0</v>
      </c>
      <c r="G671" s="311">
        <v>0</v>
      </c>
      <c r="H671" s="311">
        <v>0.31369999999999998</v>
      </c>
      <c r="I671" s="311">
        <v>0</v>
      </c>
      <c r="J671" s="311">
        <v>0.2984</v>
      </c>
      <c r="K671" s="311">
        <v>0</v>
      </c>
      <c r="L671" s="311">
        <v>0</v>
      </c>
      <c r="M671" s="311">
        <v>0.26490000000000002</v>
      </c>
      <c r="N671" s="311">
        <v>0</v>
      </c>
      <c r="O671" s="311">
        <v>0</v>
      </c>
      <c r="P671" s="311">
        <v>0</v>
      </c>
      <c r="Q671" s="311">
        <v>0</v>
      </c>
      <c r="R671" s="311">
        <v>0</v>
      </c>
      <c r="S671" s="311">
        <v>0</v>
      </c>
      <c r="T671" s="311">
        <v>0</v>
      </c>
      <c r="U671" s="311">
        <v>0.30449999999999999</v>
      </c>
      <c r="V671" s="311">
        <v>0.26450000000000001</v>
      </c>
      <c r="W671" s="311">
        <v>0.29630000000000001</v>
      </c>
      <c r="X671" s="311">
        <v>0.25650000000000001</v>
      </c>
      <c r="Y671" s="311">
        <v>0</v>
      </c>
      <c r="Z671" s="311">
        <v>0.34599999999999997</v>
      </c>
      <c r="AA671" s="311">
        <v>0.32900000000000001</v>
      </c>
      <c r="AB671" s="311">
        <v>0</v>
      </c>
      <c r="AC671" s="311">
        <v>0.26619999999999999</v>
      </c>
      <c r="AD671" s="311">
        <v>0</v>
      </c>
      <c r="AE671" s="311">
        <v>0.31419999999999998</v>
      </c>
      <c r="AF671" s="311">
        <v>0</v>
      </c>
      <c r="AG671" s="311">
        <v>0</v>
      </c>
      <c r="AH671" s="311">
        <v>0.2878</v>
      </c>
      <c r="AI671" s="311">
        <v>0.2999</v>
      </c>
      <c r="AJ671" s="311">
        <v>0</v>
      </c>
      <c r="AK671" s="311">
        <v>0</v>
      </c>
      <c r="AL671" s="311">
        <v>0.25819999999999999</v>
      </c>
      <c r="AM671" s="311">
        <v>0.36409999999999998</v>
      </c>
      <c r="AN671" s="311">
        <v>0</v>
      </c>
      <c r="AO671" s="311">
        <v>0</v>
      </c>
      <c r="AP671" s="311">
        <v>0.35210000000000002</v>
      </c>
      <c r="AQ671" s="311">
        <v>0</v>
      </c>
      <c r="AR671" s="311">
        <v>0.30669999999999997</v>
      </c>
      <c r="AS671" s="311">
        <v>0</v>
      </c>
      <c r="AT671" s="311">
        <v>0.32519999999999999</v>
      </c>
      <c r="AU671" s="311">
        <v>0.32229999999999998</v>
      </c>
      <c r="AV671" s="311">
        <v>0</v>
      </c>
      <c r="AW671" s="311">
        <v>0</v>
      </c>
      <c r="AX671" s="311">
        <v>0</v>
      </c>
      <c r="AY671" s="311">
        <v>0.27379999999999999</v>
      </c>
      <c r="AZ671" s="311">
        <v>0.31850000000000001</v>
      </c>
      <c r="BA671" s="311">
        <v>0</v>
      </c>
      <c r="BB671" s="311">
        <v>0</v>
      </c>
      <c r="BC671" s="311">
        <v>0.34320000000000001</v>
      </c>
      <c r="BD671" s="311">
        <v>0.3412</v>
      </c>
      <c r="BE671" s="311">
        <v>0.37909999999999999</v>
      </c>
      <c r="BF671" s="311">
        <v>0.3236</v>
      </c>
      <c r="BG671" s="311">
        <v>0.32179999999999997</v>
      </c>
      <c r="BH671" s="311">
        <v>0.33</v>
      </c>
      <c r="BI671" s="311">
        <v>0.33119999999999999</v>
      </c>
      <c r="BJ671" s="311">
        <v>0</v>
      </c>
      <c r="BK671" s="311">
        <v>0.31309999999999999</v>
      </c>
    </row>
    <row r="672" spans="1:63" x14ac:dyDescent="0.25">
      <c r="A672" s="306">
        <v>335311</v>
      </c>
      <c r="B672" s="311" t="s">
        <v>237</v>
      </c>
      <c r="C672" s="311">
        <v>0.4783</v>
      </c>
      <c r="D672" s="311">
        <v>0.27610000000000001</v>
      </c>
      <c r="E672" s="311">
        <v>0.37659999999999999</v>
      </c>
      <c r="F672" s="311">
        <v>0.35199999999999998</v>
      </c>
      <c r="G672" s="311">
        <v>0.33439999999999998</v>
      </c>
      <c r="H672" s="311">
        <v>0.37109999999999999</v>
      </c>
      <c r="I672" s="311">
        <v>0.37090000000000001</v>
      </c>
      <c r="J672" s="311">
        <v>0.35060000000000002</v>
      </c>
      <c r="K672" s="311">
        <v>0</v>
      </c>
      <c r="L672" s="311">
        <v>0</v>
      </c>
      <c r="M672" s="311">
        <v>0.33379999999999999</v>
      </c>
      <c r="N672" s="311">
        <v>0.37519999999999998</v>
      </c>
      <c r="O672" s="311">
        <v>0</v>
      </c>
      <c r="P672" s="311">
        <v>0.3221</v>
      </c>
      <c r="Q672" s="311">
        <v>0.28000000000000003</v>
      </c>
      <c r="R672" s="311">
        <v>0.42470000000000002</v>
      </c>
      <c r="S672" s="311">
        <v>0.37909999999999999</v>
      </c>
      <c r="T672" s="311">
        <v>0.31590000000000001</v>
      </c>
      <c r="U672" s="311">
        <v>0.3674</v>
      </c>
      <c r="V672" s="311">
        <v>0.34210000000000002</v>
      </c>
      <c r="W672" s="311">
        <v>0.3412</v>
      </c>
      <c r="X672" s="311">
        <v>0.32269999999999999</v>
      </c>
      <c r="Y672" s="311">
        <v>0</v>
      </c>
      <c r="Z672" s="311">
        <v>0.39800000000000002</v>
      </c>
      <c r="AA672" s="311">
        <v>0.36109999999999998</v>
      </c>
      <c r="AB672" s="311">
        <v>0.35699999999999998</v>
      </c>
      <c r="AC672" s="311">
        <v>0.34760000000000002</v>
      </c>
      <c r="AD672" s="311">
        <v>0</v>
      </c>
      <c r="AE672" s="311">
        <v>0.37840000000000001</v>
      </c>
      <c r="AF672" s="311">
        <v>0</v>
      </c>
      <c r="AG672" s="311">
        <v>0</v>
      </c>
      <c r="AH672" s="311">
        <v>0.33989999999999998</v>
      </c>
      <c r="AI672" s="311">
        <v>0.35659999999999997</v>
      </c>
      <c r="AJ672" s="311">
        <v>0.29110000000000003</v>
      </c>
      <c r="AK672" s="311">
        <v>0</v>
      </c>
      <c r="AL672" s="311">
        <v>0.33479999999999999</v>
      </c>
      <c r="AM672" s="311">
        <v>0.42159999999999997</v>
      </c>
      <c r="AN672" s="311">
        <v>0.36930000000000002</v>
      </c>
      <c r="AO672" s="311">
        <v>0.34460000000000002</v>
      </c>
      <c r="AP672" s="311">
        <v>0.42559999999999998</v>
      </c>
      <c r="AQ672" s="311">
        <v>0</v>
      </c>
      <c r="AR672" s="311">
        <v>0.3775</v>
      </c>
      <c r="AS672" s="311">
        <v>0.2571</v>
      </c>
      <c r="AT672" s="311">
        <v>0.37340000000000001</v>
      </c>
      <c r="AU672" s="311">
        <v>0.3911</v>
      </c>
      <c r="AV672" s="311">
        <v>0.38650000000000001</v>
      </c>
      <c r="AW672" s="311">
        <v>0.33510000000000001</v>
      </c>
      <c r="AX672" s="311">
        <v>0.2954</v>
      </c>
      <c r="AY672" s="311">
        <v>0.3352</v>
      </c>
      <c r="AZ672" s="311">
        <v>0.36209999999999998</v>
      </c>
      <c r="BA672" s="311">
        <v>0.30499999999999999</v>
      </c>
      <c r="BB672" s="311">
        <v>0</v>
      </c>
      <c r="BC672" s="311">
        <v>0.38840000000000002</v>
      </c>
      <c r="BD672" s="311">
        <v>0.42449999999999999</v>
      </c>
      <c r="BE672" s="311">
        <v>0.43809999999999999</v>
      </c>
      <c r="BF672" s="311">
        <v>0.36770000000000003</v>
      </c>
      <c r="BG672" s="311">
        <v>0.3876</v>
      </c>
      <c r="BH672" s="311">
        <v>0.39300000000000002</v>
      </c>
      <c r="BI672" s="311">
        <v>0.4078</v>
      </c>
      <c r="BJ672" s="311">
        <v>0.35389999999999999</v>
      </c>
      <c r="BK672" s="311">
        <v>0.37259999999999999</v>
      </c>
    </row>
    <row r="673" spans="1:63" x14ac:dyDescent="0.25">
      <c r="A673" s="306">
        <v>335312</v>
      </c>
      <c r="B673" s="311" t="s">
        <v>238</v>
      </c>
      <c r="C673" s="311">
        <v>0.47089999999999999</v>
      </c>
      <c r="D673" s="311">
        <v>0</v>
      </c>
      <c r="E673" s="311">
        <v>0.37590000000000001</v>
      </c>
      <c r="F673" s="311">
        <v>0.3392</v>
      </c>
      <c r="G673" s="311">
        <v>0.3261</v>
      </c>
      <c r="H673" s="311">
        <v>0.36220000000000002</v>
      </c>
      <c r="I673" s="311">
        <v>0.35470000000000002</v>
      </c>
      <c r="J673" s="311">
        <v>0.35170000000000001</v>
      </c>
      <c r="K673" s="311">
        <v>0</v>
      </c>
      <c r="L673" s="311">
        <v>0.26179999999999998</v>
      </c>
      <c r="M673" s="311">
        <v>0.32190000000000002</v>
      </c>
      <c r="N673" s="311">
        <v>0.36059999999999998</v>
      </c>
      <c r="O673" s="311">
        <v>0</v>
      </c>
      <c r="P673" s="311">
        <v>0.33250000000000002</v>
      </c>
      <c r="Q673" s="311">
        <v>0.27739999999999998</v>
      </c>
      <c r="R673" s="311">
        <v>0.42359999999999998</v>
      </c>
      <c r="S673" s="311">
        <v>0.3836</v>
      </c>
      <c r="T673" s="311">
        <v>0.30990000000000001</v>
      </c>
      <c r="U673" s="311">
        <v>0.37019999999999997</v>
      </c>
      <c r="V673" s="311">
        <v>0.318</v>
      </c>
      <c r="W673" s="311">
        <v>0.33</v>
      </c>
      <c r="X673" s="311">
        <v>0.3019</v>
      </c>
      <c r="Y673" s="311">
        <v>0.31590000000000001</v>
      </c>
      <c r="Z673" s="311">
        <v>0.40210000000000001</v>
      </c>
      <c r="AA673" s="311">
        <v>0.36830000000000002</v>
      </c>
      <c r="AB673" s="311">
        <v>0.3614</v>
      </c>
      <c r="AC673" s="311">
        <v>0.33729999999999999</v>
      </c>
      <c r="AD673" s="311">
        <v>0.26669999999999999</v>
      </c>
      <c r="AE673" s="311">
        <v>0.37730000000000002</v>
      </c>
      <c r="AF673" s="311">
        <v>0</v>
      </c>
      <c r="AG673" s="311">
        <v>0.31009999999999999</v>
      </c>
      <c r="AH673" s="311">
        <v>0.34179999999999999</v>
      </c>
      <c r="AI673" s="311">
        <v>0.3372</v>
      </c>
      <c r="AJ673" s="311">
        <v>0.28439999999999999</v>
      </c>
      <c r="AK673" s="311">
        <v>0.30669999999999997</v>
      </c>
      <c r="AL673" s="311">
        <v>0.32390000000000002</v>
      </c>
      <c r="AM673" s="311">
        <v>0.42099999999999999</v>
      </c>
      <c r="AN673" s="311">
        <v>0.3553</v>
      </c>
      <c r="AO673" s="311">
        <v>0.32829999999999998</v>
      </c>
      <c r="AP673" s="311">
        <v>0.41199999999999998</v>
      </c>
      <c r="AQ673" s="311">
        <v>0</v>
      </c>
      <c r="AR673" s="311">
        <v>0.37069999999999997</v>
      </c>
      <c r="AS673" s="311">
        <v>0</v>
      </c>
      <c r="AT673" s="311">
        <v>0.38</v>
      </c>
      <c r="AU673" s="311">
        <v>0.3725</v>
      </c>
      <c r="AV673" s="311">
        <v>0.37209999999999999</v>
      </c>
      <c r="AW673" s="311">
        <v>0.33239999999999997</v>
      </c>
      <c r="AX673" s="311">
        <v>0</v>
      </c>
      <c r="AY673" s="311">
        <v>0.32690000000000002</v>
      </c>
      <c r="AZ673" s="311">
        <v>0.38690000000000002</v>
      </c>
      <c r="BA673" s="311">
        <v>0.30130000000000001</v>
      </c>
      <c r="BB673" s="311">
        <v>0.2412</v>
      </c>
      <c r="BC673" s="311">
        <v>0.38590000000000002</v>
      </c>
      <c r="BD673" s="311">
        <v>0.39929999999999999</v>
      </c>
      <c r="BE673" s="311">
        <v>0.43709999999999999</v>
      </c>
      <c r="BF673" s="311">
        <v>0.37459999999999999</v>
      </c>
      <c r="BG673" s="311">
        <v>0.37519999999999998</v>
      </c>
      <c r="BH673" s="311">
        <v>0.39400000000000002</v>
      </c>
      <c r="BI673" s="311">
        <v>0.38450000000000001</v>
      </c>
      <c r="BJ673" s="311">
        <v>0.34239999999999998</v>
      </c>
      <c r="BK673" s="311">
        <v>0.3644</v>
      </c>
    </row>
    <row r="674" spans="1:63" x14ac:dyDescent="0.25">
      <c r="A674" s="306">
        <v>335313</v>
      </c>
      <c r="B674" s="311" t="s">
        <v>239</v>
      </c>
      <c r="C674" s="311">
        <v>0.42780000000000001</v>
      </c>
      <c r="D674" s="311">
        <v>0.25740000000000002</v>
      </c>
      <c r="E674" s="311">
        <v>0.32800000000000001</v>
      </c>
      <c r="F674" s="311">
        <v>0.2898</v>
      </c>
      <c r="G674" s="311">
        <v>0.31069999999999998</v>
      </c>
      <c r="H674" s="311">
        <v>0.34860000000000002</v>
      </c>
      <c r="I674" s="311">
        <v>0.3342</v>
      </c>
      <c r="J674" s="311">
        <v>0.34150000000000003</v>
      </c>
      <c r="K674" s="311">
        <v>0</v>
      </c>
      <c r="L674" s="311">
        <v>0.23980000000000001</v>
      </c>
      <c r="M674" s="311">
        <v>0.31900000000000001</v>
      </c>
      <c r="N674" s="311">
        <v>0.33479999999999999</v>
      </c>
      <c r="O674" s="311">
        <v>0</v>
      </c>
      <c r="P674" s="311">
        <v>0.2959</v>
      </c>
      <c r="Q674" s="311">
        <v>0</v>
      </c>
      <c r="R674" s="311">
        <v>0.38500000000000001</v>
      </c>
      <c r="S674" s="311">
        <v>0.33489999999999998</v>
      </c>
      <c r="T674" s="311">
        <v>0.2944</v>
      </c>
      <c r="U674" s="311">
        <v>0.32450000000000001</v>
      </c>
      <c r="V674" s="311">
        <v>0.30420000000000003</v>
      </c>
      <c r="W674" s="311">
        <v>0.32640000000000002</v>
      </c>
      <c r="X674" s="311">
        <v>0.28610000000000002</v>
      </c>
      <c r="Y674" s="311">
        <v>0.31590000000000001</v>
      </c>
      <c r="Z674" s="311">
        <v>0.36030000000000001</v>
      </c>
      <c r="AA674" s="311">
        <v>0.35859999999999997</v>
      </c>
      <c r="AB674" s="311">
        <v>0.33150000000000002</v>
      </c>
      <c r="AC674" s="311">
        <v>0.30259999999999998</v>
      </c>
      <c r="AD674" s="311">
        <v>0</v>
      </c>
      <c r="AE674" s="311">
        <v>0.3543</v>
      </c>
      <c r="AF674" s="311">
        <v>0</v>
      </c>
      <c r="AG674" s="311">
        <v>0.28789999999999999</v>
      </c>
      <c r="AH674" s="311">
        <v>0.31929999999999997</v>
      </c>
      <c r="AI674" s="311">
        <v>0.3175</v>
      </c>
      <c r="AJ674" s="311">
        <v>0.26929999999999998</v>
      </c>
      <c r="AK674" s="311">
        <v>0.29530000000000001</v>
      </c>
      <c r="AL674" s="311">
        <v>0.30420000000000003</v>
      </c>
      <c r="AM674" s="311">
        <v>0.38290000000000002</v>
      </c>
      <c r="AN674" s="311">
        <v>0.31830000000000003</v>
      </c>
      <c r="AO674" s="311">
        <v>0.31130000000000002</v>
      </c>
      <c r="AP674" s="311">
        <v>0.38390000000000002</v>
      </c>
      <c r="AQ674" s="311">
        <v>0</v>
      </c>
      <c r="AR674" s="311">
        <v>0.3387</v>
      </c>
      <c r="AS674" s="311">
        <v>0.25</v>
      </c>
      <c r="AT674" s="311">
        <v>0.33860000000000001</v>
      </c>
      <c r="AU674" s="311">
        <v>0.35630000000000001</v>
      </c>
      <c r="AV674" s="311">
        <v>0.33810000000000001</v>
      </c>
      <c r="AW674" s="311">
        <v>0.3206</v>
      </c>
      <c r="AX674" s="311">
        <v>0</v>
      </c>
      <c r="AY674" s="311">
        <v>0.32669999999999999</v>
      </c>
      <c r="AZ674" s="311">
        <v>0.36270000000000002</v>
      </c>
      <c r="BA674" s="311">
        <v>0.28029999999999999</v>
      </c>
      <c r="BB674" s="311">
        <v>0.22800000000000001</v>
      </c>
      <c r="BC674" s="311">
        <v>0.3765</v>
      </c>
      <c r="BD674" s="311">
        <v>0.37269999999999998</v>
      </c>
      <c r="BE674" s="311">
        <v>0.39650000000000002</v>
      </c>
      <c r="BF674" s="311">
        <v>0.34789999999999999</v>
      </c>
      <c r="BG674" s="311">
        <v>0.36130000000000001</v>
      </c>
      <c r="BH674" s="311">
        <v>0.34539999999999998</v>
      </c>
      <c r="BI674" s="311">
        <v>0.36109999999999998</v>
      </c>
      <c r="BJ674" s="311">
        <v>0.32440000000000002</v>
      </c>
      <c r="BK674" s="311">
        <v>0.35120000000000001</v>
      </c>
    </row>
    <row r="675" spans="1:63" x14ac:dyDescent="0.25">
      <c r="A675" s="306">
        <v>335314</v>
      </c>
      <c r="B675" s="311" t="s">
        <v>9</v>
      </c>
      <c r="C675" s="311">
        <v>0.47499999999999998</v>
      </c>
      <c r="D675" s="311">
        <v>0.29620000000000002</v>
      </c>
      <c r="E675" s="311">
        <v>0.36249999999999999</v>
      </c>
      <c r="F675" s="311">
        <v>0.3261</v>
      </c>
      <c r="G675" s="311">
        <v>0.35899999999999999</v>
      </c>
      <c r="H675" s="311">
        <v>0.4017</v>
      </c>
      <c r="I675" s="311">
        <v>0.39150000000000001</v>
      </c>
      <c r="J675" s="311">
        <v>0.39450000000000002</v>
      </c>
      <c r="K675" s="311">
        <v>0</v>
      </c>
      <c r="L675" s="311">
        <v>0.26850000000000002</v>
      </c>
      <c r="M675" s="311">
        <v>0.37319999999999998</v>
      </c>
      <c r="N675" s="311">
        <v>0.3735</v>
      </c>
      <c r="O675" s="311">
        <v>0</v>
      </c>
      <c r="P675" s="311">
        <v>0.32690000000000002</v>
      </c>
      <c r="Q675" s="311">
        <v>0.30049999999999999</v>
      </c>
      <c r="R675" s="311">
        <v>0.43530000000000002</v>
      </c>
      <c r="S675" s="311">
        <v>0.36909999999999998</v>
      </c>
      <c r="T675" s="311">
        <v>0.33360000000000001</v>
      </c>
      <c r="U675" s="311">
        <v>0.35570000000000002</v>
      </c>
      <c r="V675" s="311">
        <v>0.34370000000000001</v>
      </c>
      <c r="W675" s="311">
        <v>0.38019999999999998</v>
      </c>
      <c r="X675" s="311">
        <v>0.3221</v>
      </c>
      <c r="Y675" s="311">
        <v>0.36520000000000002</v>
      </c>
      <c r="Z675" s="311">
        <v>0.40679999999999999</v>
      </c>
      <c r="AA675" s="311">
        <v>0.41789999999999999</v>
      </c>
      <c r="AB675" s="311">
        <v>0.36759999999999998</v>
      </c>
      <c r="AC675" s="311">
        <v>0.3362</v>
      </c>
      <c r="AD675" s="311">
        <v>0</v>
      </c>
      <c r="AE675" s="311">
        <v>0.41160000000000002</v>
      </c>
      <c r="AF675" s="311">
        <v>0.18859999999999999</v>
      </c>
      <c r="AG675" s="311">
        <v>0.32650000000000001</v>
      </c>
      <c r="AH675" s="311">
        <v>0.37430000000000002</v>
      </c>
      <c r="AI675" s="311">
        <v>0.36159999999999998</v>
      </c>
      <c r="AJ675" s="311">
        <v>0.31319999999999998</v>
      </c>
      <c r="AK675" s="311">
        <v>0.34089999999999998</v>
      </c>
      <c r="AL675" s="311">
        <v>0.35499999999999998</v>
      </c>
      <c r="AM675" s="311">
        <v>0.42720000000000002</v>
      </c>
      <c r="AN675" s="311">
        <v>0.3543</v>
      </c>
      <c r="AO675" s="311">
        <v>0.35570000000000002</v>
      </c>
      <c r="AP675" s="311">
        <v>0.42949999999999999</v>
      </c>
      <c r="AQ675" s="311">
        <v>0.32540000000000002</v>
      </c>
      <c r="AR675" s="311">
        <v>0.37990000000000002</v>
      </c>
      <c r="AS675" s="311">
        <v>0.29320000000000002</v>
      </c>
      <c r="AT675" s="311">
        <v>0.37240000000000001</v>
      </c>
      <c r="AU675" s="311">
        <v>0.39729999999999999</v>
      </c>
      <c r="AV675" s="311">
        <v>0.3861</v>
      </c>
      <c r="AW675" s="311">
        <v>0.37069999999999997</v>
      </c>
      <c r="AX675" s="311">
        <v>0.31929999999999997</v>
      </c>
      <c r="AY675" s="311">
        <v>0.38269999999999998</v>
      </c>
      <c r="AZ675" s="311">
        <v>0.4178</v>
      </c>
      <c r="BA675" s="311">
        <v>0.3165</v>
      </c>
      <c r="BB675" s="311">
        <v>0.25969999999999999</v>
      </c>
      <c r="BC675" s="311">
        <v>0.43680000000000002</v>
      </c>
      <c r="BD675" s="311">
        <v>0.42330000000000001</v>
      </c>
      <c r="BE675" s="311">
        <v>0.44330000000000003</v>
      </c>
      <c r="BF675" s="311">
        <v>0.39379999999999998</v>
      </c>
      <c r="BG675" s="311">
        <v>0.41570000000000001</v>
      </c>
      <c r="BH675" s="311">
        <v>0.37809999999999999</v>
      </c>
      <c r="BI675" s="311">
        <v>0.40100000000000002</v>
      </c>
      <c r="BJ675" s="311">
        <v>0.37480000000000002</v>
      </c>
      <c r="BK675" s="311">
        <v>0.40500000000000003</v>
      </c>
    </row>
    <row r="676" spans="1:63" x14ac:dyDescent="0.25">
      <c r="A676" s="306">
        <v>335911</v>
      </c>
      <c r="B676" s="311" t="s">
        <v>240</v>
      </c>
      <c r="C676" s="311">
        <v>0.47120000000000001</v>
      </c>
      <c r="D676" s="311">
        <v>0</v>
      </c>
      <c r="E676" s="311">
        <v>0</v>
      </c>
      <c r="F676" s="311">
        <v>0.32250000000000001</v>
      </c>
      <c r="G676" s="311">
        <v>0.34289999999999998</v>
      </c>
      <c r="H676" s="311">
        <v>0.3785</v>
      </c>
      <c r="I676" s="311">
        <v>0.37519999999999998</v>
      </c>
      <c r="J676" s="311">
        <v>0.35610000000000003</v>
      </c>
      <c r="K676" s="311">
        <v>0</v>
      </c>
      <c r="L676" s="311">
        <v>0.2717</v>
      </c>
      <c r="M676" s="311">
        <v>0.34570000000000001</v>
      </c>
      <c r="N676" s="311">
        <v>0.37880000000000003</v>
      </c>
      <c r="O676" s="311">
        <v>0</v>
      </c>
      <c r="P676" s="311">
        <v>0.30990000000000001</v>
      </c>
      <c r="Q676" s="311">
        <v>0</v>
      </c>
      <c r="R676" s="311">
        <v>0.40100000000000002</v>
      </c>
      <c r="S676" s="311">
        <v>0.36020000000000002</v>
      </c>
      <c r="T676" s="311">
        <v>0.311</v>
      </c>
      <c r="U676" s="311">
        <v>0.35339999999999999</v>
      </c>
      <c r="V676" s="311">
        <v>0</v>
      </c>
      <c r="W676" s="311">
        <v>0</v>
      </c>
      <c r="X676" s="311">
        <v>0</v>
      </c>
      <c r="Y676" s="311">
        <v>0</v>
      </c>
      <c r="Z676" s="311">
        <v>0.38500000000000001</v>
      </c>
      <c r="AA676" s="311">
        <v>0.38009999999999999</v>
      </c>
      <c r="AB676" s="311">
        <v>0.37940000000000002</v>
      </c>
      <c r="AC676" s="311">
        <v>0.32229999999999998</v>
      </c>
      <c r="AD676" s="311">
        <v>0</v>
      </c>
      <c r="AE676" s="311">
        <v>0.37909999999999999</v>
      </c>
      <c r="AF676" s="311">
        <v>0</v>
      </c>
      <c r="AG676" s="311">
        <v>0</v>
      </c>
      <c r="AH676" s="311">
        <v>0</v>
      </c>
      <c r="AI676" s="311">
        <v>0.37130000000000002</v>
      </c>
      <c r="AJ676" s="311">
        <v>0</v>
      </c>
      <c r="AK676" s="311">
        <v>0</v>
      </c>
      <c r="AL676" s="311">
        <v>0</v>
      </c>
      <c r="AM676" s="311">
        <v>0.40889999999999999</v>
      </c>
      <c r="AN676" s="311">
        <v>0.33660000000000001</v>
      </c>
      <c r="AO676" s="311">
        <v>0.34360000000000002</v>
      </c>
      <c r="AP676" s="311">
        <v>0.41439999999999999</v>
      </c>
      <c r="AQ676" s="311">
        <v>0.33800000000000002</v>
      </c>
      <c r="AR676" s="311">
        <v>0.36149999999999999</v>
      </c>
      <c r="AS676" s="311">
        <v>0</v>
      </c>
      <c r="AT676" s="311">
        <v>0.37630000000000002</v>
      </c>
      <c r="AU676" s="311">
        <v>0.38850000000000001</v>
      </c>
      <c r="AV676" s="311">
        <v>0.40210000000000001</v>
      </c>
      <c r="AW676" s="311">
        <v>0</v>
      </c>
      <c r="AX676" s="311">
        <v>0</v>
      </c>
      <c r="AY676" s="311">
        <v>0.3629</v>
      </c>
      <c r="AZ676" s="311">
        <v>0.36630000000000001</v>
      </c>
      <c r="BA676" s="311">
        <v>0.30570000000000003</v>
      </c>
      <c r="BB676" s="311">
        <v>0</v>
      </c>
      <c r="BC676" s="311">
        <v>0.40439999999999998</v>
      </c>
      <c r="BD676" s="311">
        <v>0.41310000000000002</v>
      </c>
      <c r="BE676" s="311">
        <v>0.42170000000000002</v>
      </c>
      <c r="BF676" s="311">
        <v>0.37790000000000001</v>
      </c>
      <c r="BG676" s="311">
        <v>0.39340000000000003</v>
      </c>
      <c r="BH676" s="311">
        <v>0.38819999999999999</v>
      </c>
      <c r="BI676" s="311">
        <v>0.38990000000000002</v>
      </c>
      <c r="BJ676" s="311">
        <v>0.38290000000000002</v>
      </c>
      <c r="BK676" s="311">
        <v>0.39190000000000003</v>
      </c>
    </row>
    <row r="677" spans="1:63" x14ac:dyDescent="0.25">
      <c r="A677" s="306">
        <v>335912</v>
      </c>
      <c r="B677" s="311" t="s">
        <v>241</v>
      </c>
      <c r="C677" s="311">
        <v>0.31709999999999999</v>
      </c>
      <c r="D677" s="311">
        <v>0</v>
      </c>
      <c r="E677" s="311">
        <v>0.24329999999999999</v>
      </c>
      <c r="F677" s="311">
        <v>0</v>
      </c>
      <c r="G677" s="311">
        <v>0.20449999999999999</v>
      </c>
      <c r="H677" s="311">
        <v>0.23580000000000001</v>
      </c>
      <c r="I677" s="311">
        <v>0.21340000000000001</v>
      </c>
      <c r="J677" s="311">
        <v>0.2339</v>
      </c>
      <c r="K677" s="311">
        <v>0</v>
      </c>
      <c r="L677" s="311">
        <v>0</v>
      </c>
      <c r="M677" s="311">
        <v>0.19470000000000001</v>
      </c>
      <c r="N677" s="311">
        <v>0.22209999999999999</v>
      </c>
      <c r="O677" s="311">
        <v>0</v>
      </c>
      <c r="P677" s="311">
        <v>0.20780000000000001</v>
      </c>
      <c r="Q677" s="311">
        <v>0</v>
      </c>
      <c r="R677" s="311">
        <v>0.26719999999999999</v>
      </c>
      <c r="S677" s="311">
        <v>0.24709999999999999</v>
      </c>
      <c r="T677" s="311">
        <v>0</v>
      </c>
      <c r="U677" s="311">
        <v>0.24229999999999999</v>
      </c>
      <c r="V677" s="311">
        <v>0</v>
      </c>
      <c r="W677" s="311">
        <v>0.22309999999999999</v>
      </c>
      <c r="X677" s="311">
        <v>0</v>
      </c>
      <c r="Y677" s="311">
        <v>0</v>
      </c>
      <c r="Z677" s="311">
        <v>0</v>
      </c>
      <c r="AA677" s="311">
        <v>0.2402</v>
      </c>
      <c r="AB677" s="311">
        <v>0.22900000000000001</v>
      </c>
      <c r="AC677" s="311">
        <v>0</v>
      </c>
      <c r="AD677" s="311">
        <v>0</v>
      </c>
      <c r="AE677" s="311">
        <v>0.2394</v>
      </c>
      <c r="AF677" s="311">
        <v>0</v>
      </c>
      <c r="AG677" s="311">
        <v>0</v>
      </c>
      <c r="AH677" s="311">
        <v>0</v>
      </c>
      <c r="AI677" s="311">
        <v>0.22639999999999999</v>
      </c>
      <c r="AJ677" s="311">
        <v>0</v>
      </c>
      <c r="AK677" s="311">
        <v>0.1875</v>
      </c>
      <c r="AL677" s="311">
        <v>0.20230000000000001</v>
      </c>
      <c r="AM677" s="311">
        <v>0</v>
      </c>
      <c r="AN677" s="311">
        <v>0</v>
      </c>
      <c r="AO677" s="311">
        <v>0</v>
      </c>
      <c r="AP677" s="311">
        <v>0.27929999999999999</v>
      </c>
      <c r="AQ677" s="311">
        <v>0</v>
      </c>
      <c r="AR677" s="311">
        <v>0.23719999999999999</v>
      </c>
      <c r="AS677" s="311">
        <v>0</v>
      </c>
      <c r="AT677" s="311">
        <v>0.25359999999999999</v>
      </c>
      <c r="AU677" s="311">
        <v>0.23649999999999999</v>
      </c>
      <c r="AV677" s="311">
        <v>0</v>
      </c>
      <c r="AW677" s="311">
        <v>0</v>
      </c>
      <c r="AX677" s="311">
        <v>0.1885</v>
      </c>
      <c r="AY677" s="311">
        <v>0</v>
      </c>
      <c r="AZ677" s="311">
        <v>0.25130000000000002</v>
      </c>
      <c r="BA677" s="311">
        <v>0</v>
      </c>
      <c r="BB677" s="311">
        <v>0</v>
      </c>
      <c r="BC677" s="311">
        <v>0.26140000000000002</v>
      </c>
      <c r="BD677" s="311">
        <v>0.26790000000000003</v>
      </c>
      <c r="BE677" s="311">
        <v>0.2893</v>
      </c>
      <c r="BF677" s="311">
        <v>0.24099999999999999</v>
      </c>
      <c r="BG677" s="311">
        <v>0.2399</v>
      </c>
      <c r="BH677" s="311">
        <v>0.26140000000000002</v>
      </c>
      <c r="BI677" s="311">
        <v>0.24360000000000001</v>
      </c>
      <c r="BJ677" s="311">
        <v>0.21840000000000001</v>
      </c>
      <c r="BK677" s="311">
        <v>0.23480000000000001</v>
      </c>
    </row>
    <row r="678" spans="1:63" x14ac:dyDescent="0.25">
      <c r="A678" s="306">
        <v>335920</v>
      </c>
      <c r="B678" s="311" t="s">
        <v>242</v>
      </c>
      <c r="C678" s="311">
        <v>0.45729999999999998</v>
      </c>
      <c r="D678" s="311">
        <v>0</v>
      </c>
      <c r="E678" s="311">
        <v>0.34410000000000002</v>
      </c>
      <c r="F678" s="311">
        <v>0.31130000000000002</v>
      </c>
      <c r="G678" s="311">
        <v>0.30030000000000001</v>
      </c>
      <c r="H678" s="311">
        <v>0.32250000000000001</v>
      </c>
      <c r="I678" s="311">
        <v>0.29509999999999997</v>
      </c>
      <c r="J678" s="311">
        <v>0.33689999999999998</v>
      </c>
      <c r="K678" s="311">
        <v>0</v>
      </c>
      <c r="L678" s="311">
        <v>0.2263</v>
      </c>
      <c r="M678" s="311">
        <v>0.28439999999999999</v>
      </c>
      <c r="N678" s="311">
        <v>0.36320000000000002</v>
      </c>
      <c r="O678" s="311">
        <v>0</v>
      </c>
      <c r="P678" s="311">
        <v>0.28089999999999998</v>
      </c>
      <c r="Q678" s="311">
        <v>0.2339</v>
      </c>
      <c r="R678" s="311">
        <v>0.37880000000000003</v>
      </c>
      <c r="S678" s="311">
        <v>0.3427</v>
      </c>
      <c r="T678" s="311">
        <v>0</v>
      </c>
      <c r="U678" s="311">
        <v>0.3412</v>
      </c>
      <c r="V678" s="311">
        <v>0</v>
      </c>
      <c r="W678" s="311">
        <v>0.32550000000000001</v>
      </c>
      <c r="X678" s="311">
        <v>0.25459999999999999</v>
      </c>
      <c r="Y678" s="311">
        <v>0.27339999999999998</v>
      </c>
      <c r="Z678" s="311">
        <v>0.33950000000000002</v>
      </c>
      <c r="AA678" s="311">
        <v>0.30719999999999997</v>
      </c>
      <c r="AB678" s="311">
        <v>0.32900000000000001</v>
      </c>
      <c r="AC678" s="311">
        <v>0.30559999999999998</v>
      </c>
      <c r="AD678" s="311">
        <v>0.22839999999999999</v>
      </c>
      <c r="AE678" s="311">
        <v>0.35730000000000001</v>
      </c>
      <c r="AF678" s="311">
        <v>0.14990000000000001</v>
      </c>
      <c r="AG678" s="311">
        <v>0.27029999999999998</v>
      </c>
      <c r="AH678" s="311">
        <v>0.3231</v>
      </c>
      <c r="AI678" s="311">
        <v>0.32490000000000002</v>
      </c>
      <c r="AJ678" s="311">
        <v>0.24199999999999999</v>
      </c>
      <c r="AK678" s="311">
        <v>0.25640000000000002</v>
      </c>
      <c r="AL678" s="311">
        <v>0.30020000000000002</v>
      </c>
      <c r="AM678" s="311">
        <v>0.37530000000000002</v>
      </c>
      <c r="AN678" s="311">
        <v>0</v>
      </c>
      <c r="AO678" s="311">
        <v>0.27700000000000002</v>
      </c>
      <c r="AP678" s="311">
        <v>0.38979999999999998</v>
      </c>
      <c r="AQ678" s="311">
        <v>0.30620000000000003</v>
      </c>
      <c r="AR678" s="311">
        <v>0.34920000000000001</v>
      </c>
      <c r="AS678" s="311">
        <v>0</v>
      </c>
      <c r="AT678" s="311">
        <v>0.33210000000000001</v>
      </c>
      <c r="AU678" s="311">
        <v>0.35880000000000001</v>
      </c>
      <c r="AV678" s="311">
        <v>0.3276</v>
      </c>
      <c r="AW678" s="311">
        <v>0.30030000000000001</v>
      </c>
      <c r="AX678" s="311">
        <v>0.27560000000000001</v>
      </c>
      <c r="AY678" s="311">
        <v>0.28560000000000002</v>
      </c>
      <c r="AZ678" s="311">
        <v>0.32419999999999999</v>
      </c>
      <c r="BA678" s="311">
        <v>0</v>
      </c>
      <c r="BB678" s="311">
        <v>0.2026</v>
      </c>
      <c r="BC678" s="311">
        <v>0.375</v>
      </c>
      <c r="BD678" s="311">
        <v>0.37490000000000001</v>
      </c>
      <c r="BE678" s="311">
        <v>0.39500000000000002</v>
      </c>
      <c r="BF678" s="311">
        <v>0.32940000000000003</v>
      </c>
      <c r="BG678" s="311">
        <v>0.35539999999999999</v>
      </c>
      <c r="BH678" s="311">
        <v>0.35930000000000001</v>
      </c>
      <c r="BI678" s="311">
        <v>0.36530000000000001</v>
      </c>
      <c r="BJ678" s="311">
        <v>0.30070000000000002</v>
      </c>
      <c r="BK678" s="311">
        <v>0.32090000000000002</v>
      </c>
    </row>
    <row r="679" spans="1:63" x14ac:dyDescent="0.25">
      <c r="A679" s="306">
        <v>335930</v>
      </c>
      <c r="B679" s="311" t="s">
        <v>243</v>
      </c>
      <c r="C679" s="311">
        <v>0.43969999999999998</v>
      </c>
      <c r="D679" s="311">
        <v>0.26650000000000001</v>
      </c>
      <c r="E679" s="311">
        <v>0.34820000000000001</v>
      </c>
      <c r="F679" s="311">
        <v>0.311</v>
      </c>
      <c r="G679" s="311">
        <v>0.318</v>
      </c>
      <c r="H679" s="311">
        <v>0.35339999999999999</v>
      </c>
      <c r="I679" s="311">
        <v>0.34039999999999998</v>
      </c>
      <c r="J679" s="311">
        <v>0.33600000000000002</v>
      </c>
      <c r="K679" s="311">
        <v>0</v>
      </c>
      <c r="L679" s="311">
        <v>0.25580000000000003</v>
      </c>
      <c r="M679" s="311">
        <v>0.31719999999999998</v>
      </c>
      <c r="N679" s="311">
        <v>0.33650000000000002</v>
      </c>
      <c r="O679" s="311">
        <v>0</v>
      </c>
      <c r="P679" s="311">
        <v>0.30299999999999999</v>
      </c>
      <c r="Q679" s="311">
        <v>0.27139999999999997</v>
      </c>
      <c r="R679" s="311">
        <v>0.39069999999999999</v>
      </c>
      <c r="S679" s="311">
        <v>0.3483</v>
      </c>
      <c r="T679" s="311">
        <v>0.2908</v>
      </c>
      <c r="U679" s="311">
        <v>0.3372</v>
      </c>
      <c r="V679" s="311">
        <v>0</v>
      </c>
      <c r="W679" s="311">
        <v>0.3246</v>
      </c>
      <c r="X679" s="311">
        <v>0.2873</v>
      </c>
      <c r="Y679" s="311">
        <v>0.311</v>
      </c>
      <c r="Z679" s="311">
        <v>0.36899999999999999</v>
      </c>
      <c r="AA679" s="311">
        <v>0.35339999999999999</v>
      </c>
      <c r="AB679" s="311">
        <v>0.33929999999999999</v>
      </c>
      <c r="AC679" s="311">
        <v>0.31059999999999999</v>
      </c>
      <c r="AD679" s="311">
        <v>0.26369999999999999</v>
      </c>
      <c r="AE679" s="311">
        <v>0.34549999999999997</v>
      </c>
      <c r="AF679" s="311">
        <v>0.16020000000000001</v>
      </c>
      <c r="AG679" s="311">
        <v>0.29399999999999998</v>
      </c>
      <c r="AH679" s="311">
        <v>0.31990000000000002</v>
      </c>
      <c r="AI679" s="311">
        <v>0.33250000000000002</v>
      </c>
      <c r="AJ679" s="311">
        <v>0.27939999999999998</v>
      </c>
      <c r="AK679" s="311">
        <v>0.3024</v>
      </c>
      <c r="AL679" s="311">
        <v>0.31190000000000001</v>
      </c>
      <c r="AM679" s="311">
        <v>0.38769999999999999</v>
      </c>
      <c r="AN679" s="311">
        <v>0.3246</v>
      </c>
      <c r="AO679" s="311">
        <v>0.31330000000000002</v>
      </c>
      <c r="AP679" s="311">
        <v>0.38769999999999999</v>
      </c>
      <c r="AQ679" s="311">
        <v>0.307</v>
      </c>
      <c r="AR679" s="311">
        <v>0.33989999999999998</v>
      </c>
      <c r="AS679" s="311">
        <v>0</v>
      </c>
      <c r="AT679" s="311">
        <v>0.3508</v>
      </c>
      <c r="AU679" s="311">
        <v>0.36449999999999999</v>
      </c>
      <c r="AV679" s="311">
        <v>0.34989999999999999</v>
      </c>
      <c r="AW679" s="311">
        <v>0.3155</v>
      </c>
      <c r="AX679" s="311">
        <v>0</v>
      </c>
      <c r="AY679" s="311">
        <v>0.31909999999999999</v>
      </c>
      <c r="AZ679" s="311">
        <v>0.3503</v>
      </c>
      <c r="BA679" s="311">
        <v>0</v>
      </c>
      <c r="BB679" s="311">
        <v>0</v>
      </c>
      <c r="BC679" s="311">
        <v>0.37380000000000002</v>
      </c>
      <c r="BD679" s="311">
        <v>0.38229999999999997</v>
      </c>
      <c r="BE679" s="311">
        <v>0.40060000000000001</v>
      </c>
      <c r="BF679" s="311">
        <v>0.34910000000000002</v>
      </c>
      <c r="BG679" s="311">
        <v>0.35639999999999999</v>
      </c>
      <c r="BH679" s="311">
        <v>0.36209999999999998</v>
      </c>
      <c r="BI679" s="311">
        <v>0.37169999999999997</v>
      </c>
      <c r="BJ679" s="311">
        <v>0.33100000000000002</v>
      </c>
      <c r="BK679" s="311">
        <v>0.35620000000000002</v>
      </c>
    </row>
    <row r="680" spans="1:63" x14ac:dyDescent="0.25">
      <c r="A680" s="306">
        <v>335991</v>
      </c>
      <c r="B680" s="311" t="s">
        <v>0</v>
      </c>
      <c r="C680" s="311">
        <v>0.48549999999999999</v>
      </c>
      <c r="D680" s="311">
        <v>0</v>
      </c>
      <c r="E680" s="311">
        <v>0.37780000000000002</v>
      </c>
      <c r="F680" s="311">
        <v>0.33860000000000001</v>
      </c>
      <c r="G680" s="311">
        <v>0.34089999999999998</v>
      </c>
      <c r="H680" s="311">
        <v>0.38540000000000002</v>
      </c>
      <c r="I680" s="311">
        <v>0.38419999999999999</v>
      </c>
      <c r="J680" s="311">
        <v>0.33310000000000001</v>
      </c>
      <c r="K680" s="311">
        <v>0</v>
      </c>
      <c r="L680" s="311">
        <v>0</v>
      </c>
      <c r="M680" s="311">
        <v>0.34260000000000002</v>
      </c>
      <c r="N680" s="311">
        <v>0</v>
      </c>
      <c r="O680" s="311">
        <v>0</v>
      </c>
      <c r="P680" s="311">
        <v>0.317</v>
      </c>
      <c r="Q680" s="311">
        <v>0</v>
      </c>
      <c r="R680" s="311">
        <v>0.41849999999999998</v>
      </c>
      <c r="S680" s="311">
        <v>0</v>
      </c>
      <c r="T680" s="311">
        <v>0</v>
      </c>
      <c r="U680" s="311">
        <v>0.37190000000000001</v>
      </c>
      <c r="V680" s="311">
        <v>0</v>
      </c>
      <c r="W680" s="311">
        <v>0.32340000000000002</v>
      </c>
      <c r="X680" s="311">
        <v>0</v>
      </c>
      <c r="Y680" s="311">
        <v>0.34139999999999998</v>
      </c>
      <c r="Z680" s="311">
        <v>0.37640000000000001</v>
      </c>
      <c r="AA680" s="311">
        <v>0.38</v>
      </c>
      <c r="AB680" s="311">
        <v>0.36549999999999999</v>
      </c>
      <c r="AC680" s="311">
        <v>0</v>
      </c>
      <c r="AD680" s="311">
        <v>0</v>
      </c>
      <c r="AE680" s="311">
        <v>0.36940000000000001</v>
      </c>
      <c r="AF680" s="311">
        <v>0</v>
      </c>
      <c r="AG680" s="311">
        <v>0</v>
      </c>
      <c r="AH680" s="311">
        <v>0.32179999999999997</v>
      </c>
      <c r="AI680" s="311">
        <v>0.35780000000000001</v>
      </c>
      <c r="AJ680" s="311">
        <v>0</v>
      </c>
      <c r="AK680" s="311">
        <v>0</v>
      </c>
      <c r="AL680" s="311">
        <v>0.32840000000000003</v>
      </c>
      <c r="AM680" s="311">
        <v>0.42049999999999998</v>
      </c>
      <c r="AN680" s="311">
        <v>0</v>
      </c>
      <c r="AO680" s="311">
        <v>0.3357</v>
      </c>
      <c r="AP680" s="311">
        <v>0.41449999999999998</v>
      </c>
      <c r="AQ680" s="311">
        <v>0</v>
      </c>
      <c r="AR680" s="311">
        <v>0.3599</v>
      </c>
      <c r="AS680" s="311">
        <v>0</v>
      </c>
      <c r="AT680" s="311">
        <v>0.36370000000000002</v>
      </c>
      <c r="AU680" s="311">
        <v>0.41860000000000003</v>
      </c>
      <c r="AV680" s="311">
        <v>0.38440000000000002</v>
      </c>
      <c r="AW680" s="311">
        <v>0.35289999999999999</v>
      </c>
      <c r="AX680" s="311">
        <v>0.2974</v>
      </c>
      <c r="AY680" s="311">
        <v>0</v>
      </c>
      <c r="AZ680" s="311">
        <v>0.37709999999999999</v>
      </c>
      <c r="BA680" s="311">
        <v>0.33069999999999999</v>
      </c>
      <c r="BB680" s="311">
        <v>0.3014</v>
      </c>
      <c r="BC680" s="311">
        <v>0.37430000000000002</v>
      </c>
      <c r="BD680" s="311">
        <v>0.40629999999999999</v>
      </c>
      <c r="BE680" s="311">
        <v>0.43140000000000001</v>
      </c>
      <c r="BF680" s="311">
        <v>0.3755</v>
      </c>
      <c r="BG680" s="311">
        <v>0.39579999999999999</v>
      </c>
      <c r="BH680" s="311">
        <v>0.39610000000000001</v>
      </c>
      <c r="BI680" s="311">
        <v>0.43309999999999998</v>
      </c>
      <c r="BJ680" s="311">
        <v>0.38629999999999998</v>
      </c>
      <c r="BK680" s="311">
        <v>0.3901</v>
      </c>
    </row>
    <row r="681" spans="1:63" x14ac:dyDescent="0.25">
      <c r="A681" s="306">
        <v>335999</v>
      </c>
      <c r="B681" s="311" t="s">
        <v>3</v>
      </c>
      <c r="C681" s="311">
        <v>0.50990000000000002</v>
      </c>
      <c r="D681" s="311">
        <v>0</v>
      </c>
      <c r="E681" s="311">
        <v>0.3871</v>
      </c>
      <c r="F681" s="311">
        <v>0.35870000000000002</v>
      </c>
      <c r="G681" s="311">
        <v>0.40450000000000003</v>
      </c>
      <c r="H681" s="311">
        <v>0.45340000000000003</v>
      </c>
      <c r="I681" s="311">
        <v>0.43619999999999998</v>
      </c>
      <c r="J681" s="311">
        <v>0.41299999999999998</v>
      </c>
      <c r="K681" s="311">
        <v>0</v>
      </c>
      <c r="L681" s="311">
        <v>0</v>
      </c>
      <c r="M681" s="311">
        <v>0.41249999999999998</v>
      </c>
      <c r="N681" s="311">
        <v>0.41470000000000001</v>
      </c>
      <c r="O681" s="311">
        <v>0</v>
      </c>
      <c r="P681" s="311">
        <v>0.34570000000000001</v>
      </c>
      <c r="Q681" s="311">
        <v>0.33550000000000002</v>
      </c>
      <c r="R681" s="311">
        <v>0.46100000000000002</v>
      </c>
      <c r="S681" s="311">
        <v>0.39429999999999998</v>
      </c>
      <c r="T681" s="311">
        <v>0.35010000000000002</v>
      </c>
      <c r="U681" s="311">
        <v>0.37880000000000003</v>
      </c>
      <c r="V681" s="311">
        <v>0.36580000000000001</v>
      </c>
      <c r="W681" s="311">
        <v>0.40810000000000002</v>
      </c>
      <c r="X681" s="311">
        <v>0.3629</v>
      </c>
      <c r="Y681" s="311">
        <v>0.38979999999999998</v>
      </c>
      <c r="Z681" s="311">
        <v>0.42680000000000001</v>
      </c>
      <c r="AA681" s="311">
        <v>0.43869999999999998</v>
      </c>
      <c r="AB681" s="311">
        <v>0.40250000000000002</v>
      </c>
      <c r="AC681" s="311">
        <v>0.35160000000000002</v>
      </c>
      <c r="AD681" s="311">
        <v>0.32729999999999998</v>
      </c>
      <c r="AE681" s="311">
        <v>0.41610000000000003</v>
      </c>
      <c r="AF681" s="311">
        <v>0</v>
      </c>
      <c r="AG681" s="311">
        <v>0.35899999999999999</v>
      </c>
      <c r="AH681" s="311">
        <v>0.39660000000000001</v>
      </c>
      <c r="AI681" s="311">
        <v>0.4133</v>
      </c>
      <c r="AJ681" s="311">
        <v>0.35299999999999998</v>
      </c>
      <c r="AK681" s="311">
        <v>0.38400000000000001</v>
      </c>
      <c r="AL681" s="311">
        <v>0.39529999999999998</v>
      </c>
      <c r="AM681" s="311">
        <v>0.43940000000000001</v>
      </c>
      <c r="AN681" s="311">
        <v>0.38429999999999997</v>
      </c>
      <c r="AO681" s="311">
        <v>0.38490000000000002</v>
      </c>
      <c r="AP681" s="311">
        <v>0.45200000000000001</v>
      </c>
      <c r="AQ681" s="311">
        <v>0.36799999999999999</v>
      </c>
      <c r="AR681" s="311">
        <v>0.38640000000000002</v>
      </c>
      <c r="AS681" s="311">
        <v>0</v>
      </c>
      <c r="AT681" s="311">
        <v>0.4007</v>
      </c>
      <c r="AU681" s="311">
        <v>0.43059999999999998</v>
      </c>
      <c r="AV681" s="311">
        <v>0.4289</v>
      </c>
      <c r="AW681" s="311">
        <v>0.3891</v>
      </c>
      <c r="AX681" s="311">
        <v>0.34429999999999999</v>
      </c>
      <c r="AY681" s="311">
        <v>0.4032</v>
      </c>
      <c r="AZ681" s="311">
        <v>0.42359999999999998</v>
      </c>
      <c r="BA681" s="311">
        <v>0.32200000000000001</v>
      </c>
      <c r="BB681" s="311">
        <v>0</v>
      </c>
      <c r="BC681" s="311">
        <v>0.46389999999999998</v>
      </c>
      <c r="BD681" s="311">
        <v>0.46050000000000002</v>
      </c>
      <c r="BE681" s="311">
        <v>0.46339999999999998</v>
      </c>
      <c r="BF681" s="311">
        <v>0.42130000000000001</v>
      </c>
      <c r="BG681" s="311">
        <v>0.43759999999999999</v>
      </c>
      <c r="BH681" s="311">
        <v>0.40210000000000001</v>
      </c>
      <c r="BI681" s="311">
        <v>0.434</v>
      </c>
      <c r="BJ681" s="311">
        <v>0.4214</v>
      </c>
      <c r="BK681" s="311">
        <v>0.45369999999999999</v>
      </c>
    </row>
    <row r="682" spans="1:63" x14ac:dyDescent="0.25">
      <c r="A682" s="306">
        <v>336111</v>
      </c>
      <c r="B682" s="311" t="s">
        <v>244</v>
      </c>
      <c r="C682" s="311">
        <v>0.4204</v>
      </c>
      <c r="D682" s="311">
        <v>0</v>
      </c>
      <c r="E682" s="311">
        <v>0.32550000000000001</v>
      </c>
      <c r="F682" s="311">
        <v>0</v>
      </c>
      <c r="G682" s="311">
        <v>0.21329999999999999</v>
      </c>
      <c r="H682" s="311">
        <v>0.2258</v>
      </c>
      <c r="I682" s="311">
        <v>0.20780000000000001</v>
      </c>
      <c r="J682" s="311">
        <v>0</v>
      </c>
      <c r="K682" s="311">
        <v>0</v>
      </c>
      <c r="L682" s="311">
        <v>0.12970000000000001</v>
      </c>
      <c r="M682" s="311">
        <v>0.19089999999999999</v>
      </c>
      <c r="N682" s="311">
        <v>0.26479999999999998</v>
      </c>
      <c r="O682" s="311">
        <v>0</v>
      </c>
      <c r="P682" s="311">
        <v>0.28489999999999999</v>
      </c>
      <c r="Q682" s="311">
        <v>0</v>
      </c>
      <c r="R682" s="311">
        <v>0.32990000000000003</v>
      </c>
      <c r="S682" s="311">
        <v>0.33239999999999997</v>
      </c>
      <c r="T682" s="311">
        <v>0.20319999999999999</v>
      </c>
      <c r="U682" s="311">
        <v>0.31619999999999998</v>
      </c>
      <c r="V682" s="311">
        <v>0.17510000000000001</v>
      </c>
      <c r="W682" s="311">
        <v>0.19040000000000001</v>
      </c>
      <c r="X682" s="311">
        <v>0.16539999999999999</v>
      </c>
      <c r="Y682" s="311">
        <v>0</v>
      </c>
      <c r="Z682" s="311">
        <v>0.36049999999999999</v>
      </c>
      <c r="AA682" s="311">
        <v>0.217</v>
      </c>
      <c r="AB682" s="311">
        <v>0.2984</v>
      </c>
      <c r="AC682" s="311">
        <v>0</v>
      </c>
      <c r="AD682" s="311">
        <v>0</v>
      </c>
      <c r="AE682" s="311">
        <v>0.32929999999999998</v>
      </c>
      <c r="AF682" s="311">
        <v>0.17019999999999999</v>
      </c>
      <c r="AG682" s="311">
        <v>0</v>
      </c>
      <c r="AH682" s="311">
        <v>0</v>
      </c>
      <c r="AI682" s="311">
        <v>0.18410000000000001</v>
      </c>
      <c r="AJ682" s="311">
        <v>0</v>
      </c>
      <c r="AK682" s="311">
        <v>0.17979999999999999</v>
      </c>
      <c r="AL682" s="311">
        <v>0.22489999999999999</v>
      </c>
      <c r="AM682" s="311">
        <v>0.3664</v>
      </c>
      <c r="AN682" s="311">
        <v>0.24299999999999999</v>
      </c>
      <c r="AO682" s="311">
        <v>0.21690000000000001</v>
      </c>
      <c r="AP682" s="311">
        <v>0.25419999999999998</v>
      </c>
      <c r="AQ682" s="311">
        <v>0</v>
      </c>
      <c r="AR682" s="311">
        <v>0.32390000000000002</v>
      </c>
      <c r="AS682" s="311">
        <v>0.16880000000000001</v>
      </c>
      <c r="AT682" s="311">
        <v>0.3392</v>
      </c>
      <c r="AU682" s="311">
        <v>0.2379</v>
      </c>
      <c r="AV682" s="311">
        <v>0</v>
      </c>
      <c r="AW682" s="311">
        <v>0.21940000000000001</v>
      </c>
      <c r="AX682" s="311">
        <v>0</v>
      </c>
      <c r="AY682" s="311">
        <v>0.1991</v>
      </c>
      <c r="AZ682" s="311">
        <v>0.34200000000000003</v>
      </c>
      <c r="BA682" s="311">
        <v>0</v>
      </c>
      <c r="BB682" s="311">
        <v>0</v>
      </c>
      <c r="BC682" s="311">
        <v>0.2329</v>
      </c>
      <c r="BD682" s="311">
        <v>0.25480000000000003</v>
      </c>
      <c r="BE682" s="311">
        <v>0.38379999999999997</v>
      </c>
      <c r="BF682" s="311">
        <v>0.27989999999999998</v>
      </c>
      <c r="BG682" s="311">
        <v>0.2702</v>
      </c>
      <c r="BH682" s="311">
        <v>0.34749999999999998</v>
      </c>
      <c r="BI682" s="311">
        <v>0.24890000000000001</v>
      </c>
      <c r="BJ682" s="311">
        <v>0.21759999999999999</v>
      </c>
      <c r="BK682" s="311">
        <v>0.2258</v>
      </c>
    </row>
    <row r="683" spans="1:63" x14ac:dyDescent="0.25">
      <c r="A683" s="306">
        <v>336112</v>
      </c>
      <c r="B683" s="311" t="s">
        <v>245</v>
      </c>
      <c r="C683" s="311">
        <v>0.43880000000000002</v>
      </c>
      <c r="D683" s="311">
        <v>0</v>
      </c>
      <c r="E683" s="311">
        <v>0.3367</v>
      </c>
      <c r="F683" s="311">
        <v>0</v>
      </c>
      <c r="G683" s="311">
        <v>0.21840000000000001</v>
      </c>
      <c r="H683" s="311">
        <v>0.23200000000000001</v>
      </c>
      <c r="I683" s="311">
        <v>0</v>
      </c>
      <c r="J683" s="311">
        <v>0</v>
      </c>
      <c r="K683" s="311">
        <v>0</v>
      </c>
      <c r="L683" s="311">
        <v>0</v>
      </c>
      <c r="M683" s="311">
        <v>0</v>
      </c>
      <c r="N683" s="311">
        <v>0.27150000000000002</v>
      </c>
      <c r="O683" s="311">
        <v>0</v>
      </c>
      <c r="P683" s="311">
        <v>0</v>
      </c>
      <c r="Q683" s="311">
        <v>0.17180000000000001</v>
      </c>
      <c r="R683" s="311">
        <v>0.34439999999999998</v>
      </c>
      <c r="S683" s="311">
        <v>0.34560000000000002</v>
      </c>
      <c r="T683" s="311">
        <v>0.20730000000000001</v>
      </c>
      <c r="U683" s="311">
        <v>0.32679999999999998</v>
      </c>
      <c r="V683" s="311">
        <v>0.17780000000000001</v>
      </c>
      <c r="W683" s="311">
        <v>0.19439999999999999</v>
      </c>
      <c r="X683" s="311">
        <v>0.17050000000000001</v>
      </c>
      <c r="Y683" s="311">
        <v>0</v>
      </c>
      <c r="Z683" s="311">
        <v>0.37369999999999998</v>
      </c>
      <c r="AA683" s="311">
        <v>0.2213</v>
      </c>
      <c r="AB683" s="311">
        <v>0.30830000000000002</v>
      </c>
      <c r="AC683" s="311">
        <v>0.28060000000000002</v>
      </c>
      <c r="AD683" s="311">
        <v>0</v>
      </c>
      <c r="AE683" s="311">
        <v>0.34079999999999999</v>
      </c>
      <c r="AF683" s="311">
        <v>0</v>
      </c>
      <c r="AG683" s="311">
        <v>0</v>
      </c>
      <c r="AH683" s="311">
        <v>0</v>
      </c>
      <c r="AI683" s="311">
        <v>0.18729999999999999</v>
      </c>
      <c r="AJ683" s="311">
        <v>0</v>
      </c>
      <c r="AK683" s="311">
        <v>0</v>
      </c>
      <c r="AL683" s="311">
        <v>0.22850000000000001</v>
      </c>
      <c r="AM683" s="311">
        <v>0.38109999999999999</v>
      </c>
      <c r="AN683" s="311">
        <v>0.25080000000000002</v>
      </c>
      <c r="AO683" s="311">
        <v>0.2238</v>
      </c>
      <c r="AP683" s="311">
        <v>0.26390000000000002</v>
      </c>
      <c r="AQ683" s="311">
        <v>0</v>
      </c>
      <c r="AR683" s="311">
        <v>0.33610000000000001</v>
      </c>
      <c r="AS683" s="311">
        <v>0</v>
      </c>
      <c r="AT683" s="311">
        <v>0</v>
      </c>
      <c r="AU683" s="311">
        <v>0.24640000000000001</v>
      </c>
      <c r="AV683" s="311">
        <v>0.32429999999999998</v>
      </c>
      <c r="AW683" s="311">
        <v>0.22359999999999999</v>
      </c>
      <c r="AX683" s="311">
        <v>0</v>
      </c>
      <c r="AY683" s="311">
        <v>0.20050000000000001</v>
      </c>
      <c r="AZ683" s="311">
        <v>0.35360000000000003</v>
      </c>
      <c r="BA683" s="311">
        <v>0</v>
      </c>
      <c r="BB683" s="311">
        <v>0</v>
      </c>
      <c r="BC683" s="311">
        <v>0.23930000000000001</v>
      </c>
      <c r="BD683" s="311">
        <v>0.26229999999999998</v>
      </c>
      <c r="BE683" s="311">
        <v>0.39989999999999998</v>
      </c>
      <c r="BF683" s="311">
        <v>0.2898</v>
      </c>
      <c r="BG683" s="311">
        <v>0.27850000000000003</v>
      </c>
      <c r="BH683" s="311">
        <v>0.36080000000000001</v>
      </c>
      <c r="BI683" s="311">
        <v>0.25890000000000002</v>
      </c>
      <c r="BJ683" s="311">
        <v>0.22409999999999999</v>
      </c>
      <c r="BK683" s="311">
        <v>0.23139999999999999</v>
      </c>
    </row>
    <row r="684" spans="1:63" x14ac:dyDescent="0.25">
      <c r="A684" s="306">
        <v>336120</v>
      </c>
      <c r="B684" s="311" t="s">
        <v>246</v>
      </c>
      <c r="C684" s="311">
        <v>0.46839999999999998</v>
      </c>
      <c r="D684" s="311">
        <v>0</v>
      </c>
      <c r="E684" s="311">
        <v>0.35470000000000002</v>
      </c>
      <c r="F684" s="311">
        <v>0.29670000000000002</v>
      </c>
      <c r="G684" s="311">
        <v>0.21740000000000001</v>
      </c>
      <c r="H684" s="311">
        <v>0.2442</v>
      </c>
      <c r="I684" s="311">
        <v>0.26469999999999999</v>
      </c>
      <c r="J684" s="311">
        <v>0.26190000000000002</v>
      </c>
      <c r="K684" s="311">
        <v>0</v>
      </c>
      <c r="L684" s="311">
        <v>0</v>
      </c>
      <c r="M684" s="311">
        <v>0.20799999999999999</v>
      </c>
      <c r="N684" s="311">
        <v>0.29089999999999999</v>
      </c>
      <c r="O684" s="311">
        <v>0</v>
      </c>
      <c r="P684" s="311">
        <v>0.30099999999999999</v>
      </c>
      <c r="Q684" s="311">
        <v>0.17649999999999999</v>
      </c>
      <c r="R684" s="311">
        <v>0.38019999999999998</v>
      </c>
      <c r="S684" s="311">
        <v>0.37019999999999997</v>
      </c>
      <c r="T684" s="311">
        <v>0.22539999999999999</v>
      </c>
      <c r="U684" s="311">
        <v>0.34449999999999997</v>
      </c>
      <c r="V684" s="311">
        <v>0.19389999999999999</v>
      </c>
      <c r="W684" s="311">
        <v>0</v>
      </c>
      <c r="X684" s="311">
        <v>0.2155</v>
      </c>
      <c r="Y684" s="311">
        <v>0</v>
      </c>
      <c r="Z684" s="311">
        <v>0.39760000000000001</v>
      </c>
      <c r="AA684" s="311">
        <v>0.24490000000000001</v>
      </c>
      <c r="AB684" s="311">
        <v>0.32550000000000001</v>
      </c>
      <c r="AC684" s="311">
        <v>0.28920000000000001</v>
      </c>
      <c r="AD684" s="311">
        <v>0.1613</v>
      </c>
      <c r="AE684" s="311">
        <v>0.3543</v>
      </c>
      <c r="AF684" s="311">
        <v>0.1739</v>
      </c>
      <c r="AG684" s="311">
        <v>0.2429</v>
      </c>
      <c r="AH684" s="311">
        <v>0</v>
      </c>
      <c r="AI684" s="311">
        <v>0.2107</v>
      </c>
      <c r="AJ684" s="311">
        <v>0.1673</v>
      </c>
      <c r="AK684" s="311">
        <v>0</v>
      </c>
      <c r="AL684" s="311">
        <v>0.2404</v>
      </c>
      <c r="AM684" s="311">
        <v>0.39650000000000002</v>
      </c>
      <c r="AN684" s="311">
        <v>0.28520000000000001</v>
      </c>
      <c r="AO684" s="311">
        <v>0.23350000000000001</v>
      </c>
      <c r="AP684" s="311">
        <v>0.30780000000000002</v>
      </c>
      <c r="AQ684" s="311">
        <v>0</v>
      </c>
      <c r="AR684" s="311">
        <v>0.35210000000000002</v>
      </c>
      <c r="AS684" s="311">
        <v>0.18909999999999999</v>
      </c>
      <c r="AT684" s="311">
        <v>0.36919999999999997</v>
      </c>
      <c r="AU684" s="311">
        <v>0.27389999999999998</v>
      </c>
      <c r="AV684" s="311">
        <v>0</v>
      </c>
      <c r="AW684" s="311">
        <v>0.22950000000000001</v>
      </c>
      <c r="AX684" s="311">
        <v>0</v>
      </c>
      <c r="AY684" s="311">
        <v>0.21029999999999999</v>
      </c>
      <c r="AZ684" s="311">
        <v>0.38009999999999999</v>
      </c>
      <c r="BA684" s="311">
        <v>0.2203</v>
      </c>
      <c r="BB684" s="311">
        <v>0</v>
      </c>
      <c r="BC684" s="311">
        <v>0.26269999999999999</v>
      </c>
      <c r="BD684" s="311">
        <v>0.28560000000000002</v>
      </c>
      <c r="BE684" s="311">
        <v>0.42570000000000002</v>
      </c>
      <c r="BF684" s="311">
        <v>0.3201</v>
      </c>
      <c r="BG684" s="311">
        <v>0.29859999999999998</v>
      </c>
      <c r="BH684" s="311">
        <v>0.38119999999999998</v>
      </c>
      <c r="BI684" s="311">
        <v>0.28820000000000001</v>
      </c>
      <c r="BJ684" s="311">
        <v>0.24909999999999999</v>
      </c>
      <c r="BK684" s="311">
        <v>0.24399999999999999</v>
      </c>
    </row>
    <row r="685" spans="1:63" x14ac:dyDescent="0.25">
      <c r="A685" s="306">
        <v>336211</v>
      </c>
      <c r="B685" s="311" t="s">
        <v>247</v>
      </c>
      <c r="C685" s="311">
        <v>0.46660000000000001</v>
      </c>
      <c r="D685" s="311">
        <v>0.2185</v>
      </c>
      <c r="E685" s="311">
        <v>0.3569</v>
      </c>
      <c r="F685" s="311">
        <v>0.33710000000000001</v>
      </c>
      <c r="G685" s="311">
        <v>0.30830000000000002</v>
      </c>
      <c r="H685" s="311">
        <v>0.35470000000000002</v>
      </c>
      <c r="I685" s="311">
        <v>0.33139999999999997</v>
      </c>
      <c r="J685" s="311">
        <v>0.32500000000000001</v>
      </c>
      <c r="K685" s="311">
        <v>0</v>
      </c>
      <c r="L685" s="311">
        <v>0.2145</v>
      </c>
      <c r="M685" s="311">
        <v>0.3044</v>
      </c>
      <c r="N685" s="311">
        <v>0.34389999999999998</v>
      </c>
      <c r="O685" s="311">
        <v>0.25530000000000003</v>
      </c>
      <c r="P685" s="311">
        <v>0.2999</v>
      </c>
      <c r="Q685" s="311">
        <v>0.26279999999999998</v>
      </c>
      <c r="R685" s="311">
        <v>0.37740000000000001</v>
      </c>
      <c r="S685" s="311">
        <v>0.36699999999999999</v>
      </c>
      <c r="T685" s="311">
        <v>0.28520000000000001</v>
      </c>
      <c r="U685" s="311">
        <v>0.35570000000000002</v>
      </c>
      <c r="V685" s="311">
        <v>0.29699999999999999</v>
      </c>
      <c r="W685" s="311">
        <v>0.3115</v>
      </c>
      <c r="X685" s="311">
        <v>0.26019999999999999</v>
      </c>
      <c r="Y685" s="311">
        <v>0</v>
      </c>
      <c r="Z685" s="311">
        <v>0.39910000000000001</v>
      </c>
      <c r="AA685" s="311">
        <v>0.34610000000000002</v>
      </c>
      <c r="AB685" s="311">
        <v>0.33700000000000002</v>
      </c>
      <c r="AC685" s="311">
        <v>0.29580000000000001</v>
      </c>
      <c r="AD685" s="311">
        <v>0.2417</v>
      </c>
      <c r="AE685" s="311">
        <v>0.36509999999999998</v>
      </c>
      <c r="AF685" s="311">
        <v>0.2316</v>
      </c>
      <c r="AG685" s="311">
        <v>0.2898</v>
      </c>
      <c r="AH685" s="311">
        <v>0.3034</v>
      </c>
      <c r="AI685" s="311">
        <v>0.30099999999999999</v>
      </c>
      <c r="AJ685" s="311">
        <v>0.24460000000000001</v>
      </c>
      <c r="AK685" s="311">
        <v>0.28999999999999998</v>
      </c>
      <c r="AL685" s="311">
        <v>0.29859999999999998</v>
      </c>
      <c r="AM685" s="311">
        <v>0.40839999999999999</v>
      </c>
      <c r="AN685" s="311">
        <v>0.3246</v>
      </c>
      <c r="AO685" s="311">
        <v>0.32550000000000001</v>
      </c>
      <c r="AP685" s="311">
        <v>0.38219999999999998</v>
      </c>
      <c r="AQ685" s="311">
        <v>0.25490000000000002</v>
      </c>
      <c r="AR685" s="311">
        <v>0.34770000000000001</v>
      </c>
      <c r="AS685" s="311">
        <v>0.2586</v>
      </c>
      <c r="AT685" s="311">
        <v>0.3725</v>
      </c>
      <c r="AU685" s="311">
        <v>0.34689999999999999</v>
      </c>
      <c r="AV685" s="311">
        <v>0.35249999999999998</v>
      </c>
      <c r="AW685" s="311">
        <v>0.3165</v>
      </c>
      <c r="AX685" s="311">
        <v>0.25380000000000003</v>
      </c>
      <c r="AY685" s="311">
        <v>0.31840000000000002</v>
      </c>
      <c r="AZ685" s="311">
        <v>0.37859999999999999</v>
      </c>
      <c r="BA685" s="311">
        <v>0.25969999999999999</v>
      </c>
      <c r="BB685" s="311">
        <v>0.23419999999999999</v>
      </c>
      <c r="BC685" s="311">
        <v>0.35070000000000001</v>
      </c>
      <c r="BD685" s="311">
        <v>0.36969999999999997</v>
      </c>
      <c r="BE685" s="311">
        <v>0.42849999999999999</v>
      </c>
      <c r="BF685" s="311">
        <v>0.36080000000000001</v>
      </c>
      <c r="BG685" s="311">
        <v>0.3634</v>
      </c>
      <c r="BH685" s="311">
        <v>0.38169999999999998</v>
      </c>
      <c r="BI685" s="311">
        <v>0.36859999999999998</v>
      </c>
      <c r="BJ685" s="311">
        <v>0.32379999999999998</v>
      </c>
      <c r="BK685" s="311">
        <v>0.36070000000000002</v>
      </c>
    </row>
    <row r="686" spans="1:63" x14ac:dyDescent="0.25">
      <c r="A686" s="306">
        <v>336212</v>
      </c>
      <c r="B686" s="311" t="s">
        <v>248</v>
      </c>
      <c r="C686" s="311">
        <v>0.53139999999999998</v>
      </c>
      <c r="D686" s="311">
        <v>0.24560000000000001</v>
      </c>
      <c r="E686" s="311">
        <v>0.4017</v>
      </c>
      <c r="F686" s="311">
        <v>0.4022</v>
      </c>
      <c r="G686" s="311">
        <v>0.34489999999999998</v>
      </c>
      <c r="H686" s="311">
        <v>0.38690000000000002</v>
      </c>
      <c r="I686" s="311">
        <v>0.36909999999999998</v>
      </c>
      <c r="J686" s="311">
        <v>0</v>
      </c>
      <c r="K686" s="311">
        <v>0</v>
      </c>
      <c r="L686" s="311">
        <v>0.23469999999999999</v>
      </c>
      <c r="M686" s="311">
        <v>0.33350000000000002</v>
      </c>
      <c r="N686" s="311">
        <v>0.40510000000000002</v>
      </c>
      <c r="O686" s="311">
        <v>0</v>
      </c>
      <c r="P686" s="311">
        <v>0.35699999999999998</v>
      </c>
      <c r="Q686" s="311">
        <v>0.30049999999999999</v>
      </c>
      <c r="R686" s="311">
        <v>0.41770000000000002</v>
      </c>
      <c r="S686" s="311">
        <v>0.4204</v>
      </c>
      <c r="T686" s="311">
        <v>0.3206</v>
      </c>
      <c r="U686" s="311">
        <v>0.38750000000000001</v>
      </c>
      <c r="V686" s="311">
        <v>0.3216</v>
      </c>
      <c r="W686" s="311">
        <v>0.3301</v>
      </c>
      <c r="X686" s="311">
        <v>0</v>
      </c>
      <c r="Y686" s="311">
        <v>0.31159999999999999</v>
      </c>
      <c r="Z686" s="311">
        <v>0.44479999999999997</v>
      </c>
      <c r="AA686" s="311">
        <v>0.37140000000000001</v>
      </c>
      <c r="AB686" s="311">
        <v>0.38800000000000001</v>
      </c>
      <c r="AC686" s="311">
        <v>0.35239999999999999</v>
      </c>
      <c r="AD686" s="311">
        <v>0.27500000000000002</v>
      </c>
      <c r="AE686" s="311">
        <v>0.3967</v>
      </c>
      <c r="AF686" s="311">
        <v>0.25280000000000002</v>
      </c>
      <c r="AG686" s="311">
        <v>0.31879999999999997</v>
      </c>
      <c r="AH686" s="311">
        <v>0</v>
      </c>
      <c r="AI686" s="311">
        <v>0.32429999999999998</v>
      </c>
      <c r="AJ686" s="311">
        <v>0.2722</v>
      </c>
      <c r="AK686" s="311">
        <v>0</v>
      </c>
      <c r="AL686" s="311">
        <v>0.33029999999999998</v>
      </c>
      <c r="AM686" s="311">
        <v>0.46100000000000002</v>
      </c>
      <c r="AN686" s="311">
        <v>0.37209999999999999</v>
      </c>
      <c r="AO686" s="311">
        <v>0.37030000000000002</v>
      </c>
      <c r="AP686" s="311">
        <v>0.41970000000000002</v>
      </c>
      <c r="AQ686" s="311">
        <v>0.27029999999999998</v>
      </c>
      <c r="AR686" s="311">
        <v>0.40949999999999998</v>
      </c>
      <c r="AS686" s="311">
        <v>0.28760000000000002</v>
      </c>
      <c r="AT686" s="311">
        <v>0.42480000000000001</v>
      </c>
      <c r="AU686" s="311">
        <v>0.39729999999999999</v>
      </c>
      <c r="AV686" s="311">
        <v>0.40639999999999998</v>
      </c>
      <c r="AW686" s="311">
        <v>0.3644</v>
      </c>
      <c r="AX686" s="311">
        <v>0</v>
      </c>
      <c r="AY686" s="311">
        <v>0.35659999999999997</v>
      </c>
      <c r="AZ686" s="311">
        <v>0.40510000000000002</v>
      </c>
      <c r="BA686" s="311">
        <v>0.3034</v>
      </c>
      <c r="BB686" s="311">
        <v>0</v>
      </c>
      <c r="BC686" s="311">
        <v>0.37790000000000001</v>
      </c>
      <c r="BD686" s="311">
        <v>0.4047</v>
      </c>
      <c r="BE686" s="311">
        <v>0.48520000000000002</v>
      </c>
      <c r="BF686" s="311">
        <v>0.4123</v>
      </c>
      <c r="BG686" s="311">
        <v>0.41149999999999998</v>
      </c>
      <c r="BH686" s="311">
        <v>0.43059999999999998</v>
      </c>
      <c r="BI686" s="311">
        <v>0.42159999999999997</v>
      </c>
      <c r="BJ686" s="311">
        <v>0.36499999999999999</v>
      </c>
      <c r="BK686" s="311">
        <v>0.39800000000000002</v>
      </c>
    </row>
    <row r="687" spans="1:63" x14ac:dyDescent="0.25">
      <c r="A687" s="306">
        <v>336213</v>
      </c>
      <c r="B687" s="311" t="s">
        <v>249</v>
      </c>
      <c r="C687" s="311">
        <v>0.4672</v>
      </c>
      <c r="D687" s="311">
        <v>0</v>
      </c>
      <c r="E687" s="311">
        <v>0.35139999999999999</v>
      </c>
      <c r="F687" s="311">
        <v>0</v>
      </c>
      <c r="G687" s="311">
        <v>0.27250000000000002</v>
      </c>
      <c r="H687" s="311">
        <v>0.307</v>
      </c>
      <c r="I687" s="311">
        <v>0</v>
      </c>
      <c r="J687" s="311">
        <v>0</v>
      </c>
      <c r="K687" s="311">
        <v>0</v>
      </c>
      <c r="L687" s="311">
        <v>0</v>
      </c>
      <c r="M687" s="311">
        <v>0.27060000000000001</v>
      </c>
      <c r="N687" s="311">
        <v>0</v>
      </c>
      <c r="O687" s="311">
        <v>0</v>
      </c>
      <c r="P687" s="311">
        <v>0.26340000000000002</v>
      </c>
      <c r="Q687" s="311">
        <v>0</v>
      </c>
      <c r="R687" s="311">
        <v>0</v>
      </c>
      <c r="S687" s="311">
        <v>0.35170000000000001</v>
      </c>
      <c r="T687" s="311">
        <v>0</v>
      </c>
      <c r="U687" s="311">
        <v>0</v>
      </c>
      <c r="V687" s="311">
        <v>0</v>
      </c>
      <c r="W687" s="311">
        <v>0</v>
      </c>
      <c r="X687" s="311">
        <v>0</v>
      </c>
      <c r="Y687" s="311">
        <v>0</v>
      </c>
      <c r="Z687" s="311">
        <v>0.34960000000000002</v>
      </c>
      <c r="AA687" s="311">
        <v>0.33079999999999998</v>
      </c>
      <c r="AB687" s="311">
        <v>0.30980000000000002</v>
      </c>
      <c r="AC687" s="311">
        <v>0.27700000000000002</v>
      </c>
      <c r="AD687" s="311">
        <v>0</v>
      </c>
      <c r="AE687" s="311">
        <v>0</v>
      </c>
      <c r="AF687" s="311">
        <v>0</v>
      </c>
      <c r="AG687" s="311">
        <v>0</v>
      </c>
      <c r="AH687" s="311">
        <v>0</v>
      </c>
      <c r="AI687" s="311">
        <v>0</v>
      </c>
      <c r="AJ687" s="311">
        <v>0</v>
      </c>
      <c r="AK687" s="311">
        <v>0</v>
      </c>
      <c r="AL687" s="311">
        <v>0.251</v>
      </c>
      <c r="AM687" s="311">
        <v>0.39229999999999998</v>
      </c>
      <c r="AN687" s="311">
        <v>0.29770000000000002</v>
      </c>
      <c r="AO687" s="311">
        <v>0.31069999999999998</v>
      </c>
      <c r="AP687" s="311">
        <v>0.3599</v>
      </c>
      <c r="AQ687" s="311">
        <v>0</v>
      </c>
      <c r="AR687" s="311">
        <v>0.3276</v>
      </c>
      <c r="AS687" s="311">
        <v>0</v>
      </c>
      <c r="AT687" s="311">
        <v>0</v>
      </c>
      <c r="AU687" s="311">
        <v>0.30819999999999997</v>
      </c>
      <c r="AV687" s="311">
        <v>0.30270000000000002</v>
      </c>
      <c r="AW687" s="311">
        <v>0.30769999999999997</v>
      </c>
      <c r="AX687" s="311">
        <v>0</v>
      </c>
      <c r="AY687" s="311">
        <v>0</v>
      </c>
      <c r="AZ687" s="311">
        <v>0.37230000000000002</v>
      </c>
      <c r="BA687" s="311">
        <v>0</v>
      </c>
      <c r="BB687" s="311">
        <v>0</v>
      </c>
      <c r="BC687" s="311">
        <v>0</v>
      </c>
      <c r="BD687" s="311">
        <v>0.32419999999999999</v>
      </c>
      <c r="BE687" s="311">
        <v>0.41760000000000003</v>
      </c>
      <c r="BF687" s="311">
        <v>0.3357</v>
      </c>
      <c r="BG687" s="311">
        <v>0.35699999999999998</v>
      </c>
      <c r="BH687" s="311">
        <v>0.38109999999999999</v>
      </c>
      <c r="BI687" s="311">
        <v>0.34439999999999998</v>
      </c>
      <c r="BJ687" s="311">
        <v>0.2873</v>
      </c>
      <c r="BK687" s="311">
        <v>0.33810000000000001</v>
      </c>
    </row>
    <row r="688" spans="1:63" x14ac:dyDescent="0.25">
      <c r="A688" s="306">
        <v>336214</v>
      </c>
      <c r="B688" s="311" t="s">
        <v>250</v>
      </c>
      <c r="C688" s="311">
        <v>0.54679999999999995</v>
      </c>
      <c r="D688" s="311">
        <v>0.26150000000000001</v>
      </c>
      <c r="E688" s="311">
        <v>0.40710000000000002</v>
      </c>
      <c r="F688" s="311">
        <v>0.40160000000000001</v>
      </c>
      <c r="G688" s="311">
        <v>0.3528</v>
      </c>
      <c r="H688" s="311">
        <v>0.39290000000000003</v>
      </c>
      <c r="I688" s="311">
        <v>0.37219999999999998</v>
      </c>
      <c r="J688" s="311">
        <v>0.35560000000000003</v>
      </c>
      <c r="K688" s="311">
        <v>0</v>
      </c>
      <c r="L688" s="311">
        <v>0</v>
      </c>
      <c r="M688" s="311">
        <v>0.35160000000000002</v>
      </c>
      <c r="N688" s="311">
        <v>0.41439999999999999</v>
      </c>
      <c r="O688" s="311">
        <v>0</v>
      </c>
      <c r="P688" s="311">
        <v>0.35410000000000003</v>
      </c>
      <c r="Q688" s="311">
        <v>0.3196</v>
      </c>
      <c r="R688" s="311">
        <v>0.4113</v>
      </c>
      <c r="S688" s="311">
        <v>0.42530000000000001</v>
      </c>
      <c r="T688" s="311">
        <v>0.32850000000000001</v>
      </c>
      <c r="U688" s="311">
        <v>0.39539999999999997</v>
      </c>
      <c r="V688" s="311">
        <v>0.34179999999999999</v>
      </c>
      <c r="W688" s="311">
        <v>0.34760000000000002</v>
      </c>
      <c r="X688" s="311">
        <v>0.29959999999999998</v>
      </c>
      <c r="Y688" s="311">
        <v>0.3301</v>
      </c>
      <c r="Z688" s="311">
        <v>0.43480000000000002</v>
      </c>
      <c r="AA688" s="311">
        <v>0.39019999999999999</v>
      </c>
      <c r="AB688" s="311">
        <v>0.39129999999999998</v>
      </c>
      <c r="AC688" s="311">
        <v>0.34589999999999999</v>
      </c>
      <c r="AD688" s="311">
        <v>0.30170000000000002</v>
      </c>
      <c r="AE688" s="311">
        <v>0.4088</v>
      </c>
      <c r="AF688" s="311">
        <v>0.26479999999999998</v>
      </c>
      <c r="AG688" s="311">
        <v>0.31919999999999998</v>
      </c>
      <c r="AH688" s="311">
        <v>0.34399999999999997</v>
      </c>
      <c r="AI688" s="311">
        <v>0.34720000000000001</v>
      </c>
      <c r="AJ688" s="311">
        <v>0.29580000000000001</v>
      </c>
      <c r="AK688" s="311">
        <v>0.3231</v>
      </c>
      <c r="AL688" s="311">
        <v>0.33939999999999998</v>
      </c>
      <c r="AM688" s="311">
        <v>0.45960000000000001</v>
      </c>
      <c r="AN688" s="311">
        <v>0.38279999999999997</v>
      </c>
      <c r="AO688" s="311">
        <v>0.37540000000000001</v>
      </c>
      <c r="AP688" s="311">
        <v>0.42659999999999998</v>
      </c>
      <c r="AQ688" s="311">
        <v>0</v>
      </c>
      <c r="AR688" s="311">
        <v>0.42430000000000001</v>
      </c>
      <c r="AS688" s="311">
        <v>0.28760000000000002</v>
      </c>
      <c r="AT688" s="311">
        <v>0.42849999999999999</v>
      </c>
      <c r="AU688" s="311">
        <v>0.41649999999999998</v>
      </c>
      <c r="AV688" s="311">
        <v>0.41039999999999999</v>
      </c>
      <c r="AW688" s="311">
        <v>0.36099999999999999</v>
      </c>
      <c r="AX688" s="311">
        <v>0.30919999999999997</v>
      </c>
      <c r="AY688" s="311">
        <v>0.37159999999999999</v>
      </c>
      <c r="AZ688" s="311">
        <v>0.41660000000000003</v>
      </c>
      <c r="BA688" s="311">
        <v>0</v>
      </c>
      <c r="BB688" s="311">
        <v>0.27600000000000002</v>
      </c>
      <c r="BC688" s="311">
        <v>0.3967</v>
      </c>
      <c r="BD688" s="311">
        <v>0.41570000000000001</v>
      </c>
      <c r="BE688" s="311">
        <v>0.49</v>
      </c>
      <c r="BF688" s="311">
        <v>0.4138</v>
      </c>
      <c r="BG688" s="311">
        <v>0.43030000000000002</v>
      </c>
      <c r="BH688" s="311">
        <v>0.44330000000000003</v>
      </c>
      <c r="BI688" s="311">
        <v>0.43630000000000002</v>
      </c>
      <c r="BJ688" s="311">
        <v>0.37980000000000003</v>
      </c>
      <c r="BK688" s="311">
        <v>0.41249999999999998</v>
      </c>
    </row>
    <row r="689" spans="1:63" x14ac:dyDescent="0.25">
      <c r="A689" s="306">
        <v>336300</v>
      </c>
      <c r="B689" s="311" t="s">
        <v>251</v>
      </c>
      <c r="C689" s="311">
        <v>0.51400000000000001</v>
      </c>
      <c r="D689" s="311">
        <v>0.23649999999999999</v>
      </c>
      <c r="E689" s="311">
        <v>0.3926</v>
      </c>
      <c r="F689" s="311">
        <v>0.36909999999999998</v>
      </c>
      <c r="G689" s="311">
        <v>0.33250000000000002</v>
      </c>
      <c r="H689" s="311">
        <v>0.37330000000000002</v>
      </c>
      <c r="I689" s="311">
        <v>0.35039999999999999</v>
      </c>
      <c r="J689" s="311">
        <v>0.36049999999999999</v>
      </c>
      <c r="K689" s="311">
        <v>0</v>
      </c>
      <c r="L689" s="311">
        <v>0.2336</v>
      </c>
      <c r="M689" s="311">
        <v>0.31430000000000002</v>
      </c>
      <c r="N689" s="311">
        <v>0.3609</v>
      </c>
      <c r="O689" s="311">
        <v>0.26729999999999998</v>
      </c>
      <c r="P689" s="311">
        <v>0.33850000000000002</v>
      </c>
      <c r="Q689" s="311">
        <v>0.28960000000000002</v>
      </c>
      <c r="R689" s="311">
        <v>0.43240000000000001</v>
      </c>
      <c r="S689" s="311">
        <v>0.40279999999999999</v>
      </c>
      <c r="T689" s="311">
        <v>0.307</v>
      </c>
      <c r="U689" s="311">
        <v>0.37709999999999999</v>
      </c>
      <c r="V689" s="311">
        <v>0.314</v>
      </c>
      <c r="W689" s="311">
        <v>0.3392</v>
      </c>
      <c r="X689" s="311">
        <v>0.28139999999999998</v>
      </c>
      <c r="Y689" s="311">
        <v>0.29909999999999998</v>
      </c>
      <c r="Z689" s="311">
        <v>0.44369999999999998</v>
      </c>
      <c r="AA689" s="311">
        <v>0.37440000000000001</v>
      </c>
      <c r="AB689" s="311">
        <v>0.3715</v>
      </c>
      <c r="AC689" s="311">
        <v>0.32429999999999998</v>
      </c>
      <c r="AD689" s="311">
        <v>0.26600000000000001</v>
      </c>
      <c r="AE689" s="311">
        <v>0.38700000000000001</v>
      </c>
      <c r="AF689" s="311">
        <v>0.24229999999999999</v>
      </c>
      <c r="AG689" s="311">
        <v>0.31780000000000003</v>
      </c>
      <c r="AH689" s="311">
        <v>0.34250000000000003</v>
      </c>
      <c r="AI689" s="311">
        <v>0.3231</v>
      </c>
      <c r="AJ689" s="311">
        <v>0.2646</v>
      </c>
      <c r="AK689" s="311">
        <v>0.31119999999999998</v>
      </c>
      <c r="AL689" s="311">
        <v>0.32119999999999999</v>
      </c>
      <c r="AM689" s="311">
        <v>0.44619999999999999</v>
      </c>
      <c r="AN689" s="311">
        <v>0.35349999999999998</v>
      </c>
      <c r="AO689" s="311">
        <v>0.35539999999999999</v>
      </c>
      <c r="AP689" s="311">
        <v>0.41810000000000003</v>
      </c>
      <c r="AQ689" s="311">
        <v>0.28870000000000001</v>
      </c>
      <c r="AR689" s="311">
        <v>0.38619999999999999</v>
      </c>
      <c r="AS689" s="311">
        <v>0.26640000000000003</v>
      </c>
      <c r="AT689" s="311">
        <v>0.4052</v>
      </c>
      <c r="AU689" s="311">
        <v>0.38429999999999997</v>
      </c>
      <c r="AV689" s="311">
        <v>0.3997</v>
      </c>
      <c r="AW689" s="311">
        <v>0.3402</v>
      </c>
      <c r="AX689" s="311">
        <v>0.28110000000000002</v>
      </c>
      <c r="AY689" s="311">
        <v>0.33639999999999998</v>
      </c>
      <c r="AZ689" s="311">
        <v>0.40910000000000002</v>
      </c>
      <c r="BA689" s="311">
        <v>0.29830000000000001</v>
      </c>
      <c r="BB689" s="311">
        <v>0.25540000000000002</v>
      </c>
      <c r="BC689" s="311">
        <v>0.39150000000000001</v>
      </c>
      <c r="BD689" s="311">
        <v>0.40389999999999998</v>
      </c>
      <c r="BE689" s="311">
        <v>0.46949999999999997</v>
      </c>
      <c r="BF689" s="311">
        <v>0.38919999999999999</v>
      </c>
      <c r="BG689" s="311">
        <v>0.37959999999999999</v>
      </c>
      <c r="BH689" s="311">
        <v>0.41839999999999999</v>
      </c>
      <c r="BI689" s="311">
        <v>0.39300000000000002</v>
      </c>
      <c r="BJ689" s="311">
        <v>0.35</v>
      </c>
      <c r="BK689" s="311">
        <v>0.38150000000000001</v>
      </c>
    </row>
    <row r="690" spans="1:63" x14ac:dyDescent="0.25">
      <c r="A690" s="306">
        <v>336411</v>
      </c>
      <c r="B690" s="311" t="s">
        <v>252</v>
      </c>
      <c r="C690" s="311">
        <v>0.45669999999999999</v>
      </c>
      <c r="D690" s="311">
        <v>0.20880000000000001</v>
      </c>
      <c r="E690" s="311">
        <v>0.3125</v>
      </c>
      <c r="F690" s="311">
        <v>0.30230000000000001</v>
      </c>
      <c r="G690" s="311">
        <v>0.3599</v>
      </c>
      <c r="H690" s="311">
        <v>0.38119999999999998</v>
      </c>
      <c r="I690" s="311">
        <v>0.33339999999999997</v>
      </c>
      <c r="J690" s="311">
        <v>0.35039999999999999</v>
      </c>
      <c r="K690" s="311">
        <v>0</v>
      </c>
      <c r="L690" s="311">
        <v>0.21099999999999999</v>
      </c>
      <c r="M690" s="311">
        <v>0.33660000000000001</v>
      </c>
      <c r="N690" s="311">
        <v>0.314</v>
      </c>
      <c r="O690" s="311">
        <v>0</v>
      </c>
      <c r="P690" s="311">
        <v>0.27489999999999998</v>
      </c>
      <c r="Q690" s="311">
        <v>0.24210000000000001</v>
      </c>
      <c r="R690" s="311">
        <v>0.32179999999999997</v>
      </c>
      <c r="S690" s="311">
        <v>0.32079999999999997</v>
      </c>
      <c r="T690" s="311">
        <v>0.30809999999999998</v>
      </c>
      <c r="U690" s="311">
        <v>0.28079999999999999</v>
      </c>
      <c r="V690" s="311">
        <v>0.25580000000000003</v>
      </c>
      <c r="W690" s="311">
        <v>0.32850000000000001</v>
      </c>
      <c r="X690" s="311">
        <v>0.28910000000000002</v>
      </c>
      <c r="Y690" s="311">
        <v>0.2666</v>
      </c>
      <c r="Z690" s="311">
        <v>0.3372</v>
      </c>
      <c r="AA690" s="311">
        <v>0.30880000000000002</v>
      </c>
      <c r="AB690" s="311">
        <v>0.30459999999999998</v>
      </c>
      <c r="AC690" s="311">
        <v>0.24529999999999999</v>
      </c>
      <c r="AD690" s="311">
        <v>0.22839999999999999</v>
      </c>
      <c r="AE690" s="311">
        <v>0.32229999999999998</v>
      </c>
      <c r="AF690" s="311">
        <v>0</v>
      </c>
      <c r="AG690" s="311">
        <v>0</v>
      </c>
      <c r="AH690" s="311">
        <v>0.30990000000000001</v>
      </c>
      <c r="AI690" s="311">
        <v>0.30020000000000002</v>
      </c>
      <c r="AJ690" s="311">
        <v>0.27750000000000002</v>
      </c>
      <c r="AK690" s="311">
        <v>0.27310000000000001</v>
      </c>
      <c r="AL690" s="311">
        <v>0.30359999999999998</v>
      </c>
      <c r="AM690" s="311">
        <v>0.3674</v>
      </c>
      <c r="AN690" s="311">
        <v>0.30959999999999999</v>
      </c>
      <c r="AO690" s="311">
        <v>0.31330000000000002</v>
      </c>
      <c r="AP690" s="311">
        <v>0.31490000000000001</v>
      </c>
      <c r="AQ690" s="311">
        <v>0</v>
      </c>
      <c r="AR690" s="311">
        <v>0.28749999999999998</v>
      </c>
      <c r="AS690" s="311">
        <v>0.22020000000000001</v>
      </c>
      <c r="AT690" s="311">
        <v>0.31469999999999998</v>
      </c>
      <c r="AU690" s="311">
        <v>0.36180000000000001</v>
      </c>
      <c r="AV690" s="311">
        <v>0.36930000000000002</v>
      </c>
      <c r="AW690" s="311">
        <v>0.29870000000000002</v>
      </c>
      <c r="AX690" s="311">
        <v>0</v>
      </c>
      <c r="AY690" s="311">
        <v>0.3246</v>
      </c>
      <c r="AZ690" s="311">
        <v>0.2893</v>
      </c>
      <c r="BA690" s="311">
        <v>0.25340000000000001</v>
      </c>
      <c r="BB690" s="311">
        <v>0.21529999999999999</v>
      </c>
      <c r="BC690" s="311">
        <v>0.40600000000000003</v>
      </c>
      <c r="BD690" s="311">
        <v>0.34539999999999998</v>
      </c>
      <c r="BE690" s="311">
        <v>0.37030000000000002</v>
      </c>
      <c r="BF690" s="311">
        <v>0.35899999999999999</v>
      </c>
      <c r="BG690" s="311">
        <v>0.35289999999999999</v>
      </c>
      <c r="BH690" s="311">
        <v>0.31569999999999998</v>
      </c>
      <c r="BI690" s="311">
        <v>0.35699999999999998</v>
      </c>
      <c r="BJ690" s="311">
        <v>0.37959999999999999</v>
      </c>
      <c r="BK690" s="311">
        <v>0.37980000000000003</v>
      </c>
    </row>
    <row r="691" spans="1:63" x14ac:dyDescent="0.25">
      <c r="A691" s="306">
        <v>336412</v>
      </c>
      <c r="B691" s="311" t="s">
        <v>253</v>
      </c>
      <c r="C691" s="311">
        <v>0.48830000000000001</v>
      </c>
      <c r="D691" s="311">
        <v>0.25169999999999998</v>
      </c>
      <c r="E691" s="311">
        <v>0.3367</v>
      </c>
      <c r="F691" s="311">
        <v>0.31840000000000002</v>
      </c>
      <c r="G691" s="311">
        <v>0.39190000000000003</v>
      </c>
      <c r="H691" s="311">
        <v>0.38269999999999998</v>
      </c>
      <c r="I691" s="311">
        <v>0.35399999999999998</v>
      </c>
      <c r="J691" s="311">
        <v>0.39860000000000001</v>
      </c>
      <c r="K691" s="311">
        <v>0</v>
      </c>
      <c r="L691" s="311">
        <v>0</v>
      </c>
      <c r="M691" s="311">
        <v>0.38350000000000001</v>
      </c>
      <c r="N691" s="311">
        <v>0.37109999999999999</v>
      </c>
      <c r="O691" s="311">
        <v>0</v>
      </c>
      <c r="P691" s="311">
        <v>0.29920000000000002</v>
      </c>
      <c r="Q691" s="311">
        <v>0.28299999999999997</v>
      </c>
      <c r="R691" s="311">
        <v>0.37669999999999998</v>
      </c>
      <c r="S691" s="311">
        <v>0.37730000000000002</v>
      </c>
      <c r="T691" s="311">
        <v>0.34289999999999998</v>
      </c>
      <c r="U691" s="311">
        <v>0.34970000000000001</v>
      </c>
      <c r="V691" s="311">
        <v>0.315</v>
      </c>
      <c r="W691" s="311">
        <v>0.38929999999999998</v>
      </c>
      <c r="X691" s="311">
        <v>0.28489999999999999</v>
      </c>
      <c r="Y691" s="311">
        <v>0.33879999999999999</v>
      </c>
      <c r="Z691" s="311">
        <v>0.3962</v>
      </c>
      <c r="AA691" s="311">
        <v>0.33889999999999998</v>
      </c>
      <c r="AB691" s="311">
        <v>0.31790000000000002</v>
      </c>
      <c r="AC691" s="311">
        <v>0.27229999999999999</v>
      </c>
      <c r="AD691" s="311">
        <v>0</v>
      </c>
      <c r="AE691" s="311">
        <v>0.39650000000000002</v>
      </c>
      <c r="AF691" s="311">
        <v>0</v>
      </c>
      <c r="AG691" s="311">
        <v>0.29210000000000003</v>
      </c>
      <c r="AH691" s="311">
        <v>0.36580000000000001</v>
      </c>
      <c r="AI691" s="311">
        <v>0.32419999999999999</v>
      </c>
      <c r="AJ691" s="311">
        <v>0.3342</v>
      </c>
      <c r="AK691" s="311">
        <v>0.34589999999999999</v>
      </c>
      <c r="AL691" s="311">
        <v>0.32640000000000002</v>
      </c>
      <c r="AM691" s="311">
        <v>0.42399999999999999</v>
      </c>
      <c r="AN691" s="311">
        <v>0.3417</v>
      </c>
      <c r="AO691" s="311">
        <v>0.30719999999999997</v>
      </c>
      <c r="AP691" s="311">
        <v>0.36509999999999998</v>
      </c>
      <c r="AQ691" s="311">
        <v>0</v>
      </c>
      <c r="AR691" s="311">
        <v>0.3266</v>
      </c>
      <c r="AS691" s="311">
        <v>0.25369999999999998</v>
      </c>
      <c r="AT691" s="311">
        <v>0.35260000000000002</v>
      </c>
      <c r="AU691" s="311">
        <v>0.38080000000000003</v>
      </c>
      <c r="AV691" s="311">
        <v>0.40310000000000001</v>
      </c>
      <c r="AW691" s="311">
        <v>0.32079999999999997</v>
      </c>
      <c r="AX691" s="311">
        <v>0.3155</v>
      </c>
      <c r="AY691" s="311">
        <v>0.32819999999999999</v>
      </c>
      <c r="AZ691" s="311">
        <v>0.33200000000000002</v>
      </c>
      <c r="BA691" s="311">
        <v>0.29480000000000001</v>
      </c>
      <c r="BB691" s="311">
        <v>0.25409999999999999</v>
      </c>
      <c r="BC691" s="311">
        <v>0.44159999999999999</v>
      </c>
      <c r="BD691" s="311">
        <v>0.37390000000000001</v>
      </c>
      <c r="BE691" s="311">
        <v>0.4456</v>
      </c>
      <c r="BF691" s="311">
        <v>0.35420000000000001</v>
      </c>
      <c r="BG691" s="311">
        <v>0.38929999999999998</v>
      </c>
      <c r="BH691" s="311">
        <v>0.3538</v>
      </c>
      <c r="BI691" s="311">
        <v>0.37740000000000001</v>
      </c>
      <c r="BJ691" s="311">
        <v>0.41520000000000001</v>
      </c>
      <c r="BK691" s="311">
        <v>0.37780000000000002</v>
      </c>
    </row>
    <row r="692" spans="1:63" x14ac:dyDescent="0.25">
      <c r="A692" s="306">
        <v>336413</v>
      </c>
      <c r="B692" s="311" t="s">
        <v>254</v>
      </c>
      <c r="C692" s="311">
        <v>0.59279999999999999</v>
      </c>
      <c r="D692" s="311">
        <v>0.36430000000000001</v>
      </c>
      <c r="E692" s="311">
        <v>0.46639999999999998</v>
      </c>
      <c r="F692" s="311">
        <v>0.46610000000000001</v>
      </c>
      <c r="G692" s="311">
        <v>0.46460000000000001</v>
      </c>
      <c r="H692" s="311">
        <v>0.50749999999999995</v>
      </c>
      <c r="I692" s="311">
        <v>0.49619999999999997</v>
      </c>
      <c r="J692" s="311">
        <v>0.47249999999999998</v>
      </c>
      <c r="K692" s="311">
        <v>0</v>
      </c>
      <c r="L692" s="311">
        <v>0.32769999999999999</v>
      </c>
      <c r="M692" s="311">
        <v>0.45100000000000001</v>
      </c>
      <c r="N692" s="311">
        <v>0.48780000000000001</v>
      </c>
      <c r="O692" s="311">
        <v>0.4153</v>
      </c>
      <c r="P692" s="311">
        <v>0.4118</v>
      </c>
      <c r="Q692" s="311">
        <v>0.40849999999999997</v>
      </c>
      <c r="R692" s="311">
        <v>0.50149999999999995</v>
      </c>
      <c r="S692" s="311">
        <v>0.46689999999999998</v>
      </c>
      <c r="T692" s="311">
        <v>0.41810000000000003</v>
      </c>
      <c r="U692" s="311">
        <v>0.44469999999999998</v>
      </c>
      <c r="V692" s="311">
        <v>0.43259999999999998</v>
      </c>
      <c r="W692" s="311">
        <v>0.45679999999999998</v>
      </c>
      <c r="X692" s="311">
        <v>0.40100000000000002</v>
      </c>
      <c r="Y692" s="311">
        <v>0</v>
      </c>
      <c r="Z692" s="311">
        <v>0.52049999999999996</v>
      </c>
      <c r="AA692" s="311">
        <v>0.47820000000000001</v>
      </c>
      <c r="AB692" s="311">
        <v>0.46800000000000003</v>
      </c>
      <c r="AC692" s="311">
        <v>0.4022</v>
      </c>
      <c r="AD692" s="311">
        <v>0.39019999999999999</v>
      </c>
      <c r="AE692" s="311">
        <v>0.48089999999999999</v>
      </c>
      <c r="AF692" s="311">
        <v>0.35249999999999998</v>
      </c>
      <c r="AG692" s="311">
        <v>0.42309999999999998</v>
      </c>
      <c r="AH692" s="311">
        <v>0.43830000000000002</v>
      </c>
      <c r="AI692" s="311">
        <v>0.44119999999999998</v>
      </c>
      <c r="AJ692" s="311">
        <v>0.39550000000000002</v>
      </c>
      <c r="AK692" s="311">
        <v>0.45190000000000002</v>
      </c>
      <c r="AL692" s="311">
        <v>0.44</v>
      </c>
      <c r="AM692" s="311">
        <v>0.52200000000000002</v>
      </c>
      <c r="AN692" s="311">
        <v>0.45329999999999998</v>
      </c>
      <c r="AO692" s="311">
        <v>0.45979999999999999</v>
      </c>
      <c r="AP692" s="311">
        <v>0.50409999999999999</v>
      </c>
      <c r="AQ692" s="311">
        <v>0</v>
      </c>
      <c r="AR692" s="311">
        <v>0.46260000000000001</v>
      </c>
      <c r="AS692" s="311">
        <v>0.37430000000000002</v>
      </c>
      <c r="AT692" s="311">
        <v>0.48909999999999998</v>
      </c>
      <c r="AU692" s="311">
        <v>0.50370000000000004</v>
      </c>
      <c r="AV692" s="311">
        <v>0.50880000000000003</v>
      </c>
      <c r="AW692" s="311">
        <v>0.45800000000000002</v>
      </c>
      <c r="AX692" s="311">
        <v>0.38400000000000001</v>
      </c>
      <c r="AY692" s="311">
        <v>0.47249999999999998</v>
      </c>
      <c r="AZ692" s="311">
        <v>0.48520000000000002</v>
      </c>
      <c r="BA692" s="311">
        <v>0.37790000000000001</v>
      </c>
      <c r="BB692" s="311">
        <v>0.37869999999999998</v>
      </c>
      <c r="BC692" s="311">
        <v>0.52010000000000001</v>
      </c>
      <c r="BD692" s="311">
        <v>0.51080000000000003</v>
      </c>
      <c r="BE692" s="311">
        <v>0.54349999999999998</v>
      </c>
      <c r="BF692" s="311">
        <v>0.49380000000000002</v>
      </c>
      <c r="BG692" s="311">
        <v>0.50290000000000001</v>
      </c>
      <c r="BH692" s="311">
        <v>0.4869</v>
      </c>
      <c r="BI692" s="311">
        <v>0.50660000000000005</v>
      </c>
      <c r="BJ692" s="311">
        <v>0.49809999999999999</v>
      </c>
      <c r="BK692" s="311">
        <v>0.51100000000000001</v>
      </c>
    </row>
    <row r="693" spans="1:63" x14ac:dyDescent="0.25">
      <c r="A693" s="306">
        <v>336414</v>
      </c>
      <c r="B693" s="311" t="s">
        <v>255</v>
      </c>
      <c r="C693" s="311">
        <v>0.6179</v>
      </c>
      <c r="D693" s="311">
        <v>0</v>
      </c>
      <c r="E693" s="311">
        <v>0.46610000000000001</v>
      </c>
      <c r="F693" s="311">
        <v>0.39660000000000001</v>
      </c>
      <c r="G693" s="311">
        <v>0.50160000000000005</v>
      </c>
      <c r="H693" s="311">
        <v>0.55400000000000005</v>
      </c>
      <c r="I693" s="311">
        <v>0.51959999999999995</v>
      </c>
      <c r="J693" s="311">
        <v>0</v>
      </c>
      <c r="K693" s="311">
        <v>0</v>
      </c>
      <c r="L693" s="311">
        <v>0</v>
      </c>
      <c r="M693" s="311">
        <v>0.51500000000000001</v>
      </c>
      <c r="N693" s="311">
        <v>0.4602</v>
      </c>
      <c r="O693" s="311">
        <v>0</v>
      </c>
      <c r="P693" s="311">
        <v>0</v>
      </c>
      <c r="Q693" s="311">
        <v>0</v>
      </c>
      <c r="R693" s="311">
        <v>0</v>
      </c>
      <c r="S693" s="311">
        <v>0.40799999999999997</v>
      </c>
      <c r="T693" s="311">
        <v>0</v>
      </c>
      <c r="U693" s="311">
        <v>0</v>
      </c>
      <c r="V693" s="311">
        <v>0</v>
      </c>
      <c r="W693" s="311">
        <v>0.51039999999999996</v>
      </c>
      <c r="X693" s="311">
        <v>0</v>
      </c>
      <c r="Y693" s="311">
        <v>0</v>
      </c>
      <c r="Z693" s="311">
        <v>0</v>
      </c>
      <c r="AA693" s="311">
        <v>0</v>
      </c>
      <c r="AB693" s="311">
        <v>0</v>
      </c>
      <c r="AC693" s="311">
        <v>0</v>
      </c>
      <c r="AD693" s="311">
        <v>0</v>
      </c>
      <c r="AE693" s="311">
        <v>0</v>
      </c>
      <c r="AF693" s="311">
        <v>0</v>
      </c>
      <c r="AG693" s="311">
        <v>0</v>
      </c>
      <c r="AH693" s="311">
        <v>0</v>
      </c>
      <c r="AI693" s="311">
        <v>0</v>
      </c>
      <c r="AJ693" s="311">
        <v>0.40139999999999998</v>
      </c>
      <c r="AK693" s="311">
        <v>0.43070000000000003</v>
      </c>
      <c r="AL693" s="311">
        <v>0</v>
      </c>
      <c r="AM693" s="311">
        <v>0</v>
      </c>
      <c r="AN693" s="311">
        <v>0.41870000000000002</v>
      </c>
      <c r="AO693" s="311">
        <v>0</v>
      </c>
      <c r="AP693" s="311">
        <v>0</v>
      </c>
      <c r="AQ693" s="311">
        <v>0</v>
      </c>
      <c r="AR693" s="311">
        <v>0</v>
      </c>
      <c r="AS693" s="311">
        <v>0</v>
      </c>
      <c r="AT693" s="311">
        <v>0</v>
      </c>
      <c r="AU693" s="311">
        <v>0.48549999999999999</v>
      </c>
      <c r="AV693" s="311">
        <v>0.50529999999999997</v>
      </c>
      <c r="AW693" s="311">
        <v>0.4335</v>
      </c>
      <c r="AX693" s="311">
        <v>0</v>
      </c>
      <c r="AY693" s="311">
        <v>0</v>
      </c>
      <c r="AZ693" s="311">
        <v>0</v>
      </c>
      <c r="BA693" s="311">
        <v>0</v>
      </c>
      <c r="BB693" s="311">
        <v>0</v>
      </c>
      <c r="BC693" s="311">
        <v>0.55189999999999995</v>
      </c>
      <c r="BD693" s="311">
        <v>0</v>
      </c>
      <c r="BE693" s="311">
        <v>0.4919</v>
      </c>
      <c r="BF693" s="311">
        <v>0</v>
      </c>
      <c r="BG693" s="311">
        <v>0.52639999999999998</v>
      </c>
      <c r="BH693" s="311">
        <v>0.49199999999999999</v>
      </c>
      <c r="BI693" s="311">
        <v>0.50409999999999999</v>
      </c>
      <c r="BJ693" s="311">
        <v>0.53800000000000003</v>
      </c>
      <c r="BK693" s="311">
        <v>0.55310000000000004</v>
      </c>
    </row>
    <row r="694" spans="1:63" x14ac:dyDescent="0.25">
      <c r="A694" s="306" t="s">
        <v>743</v>
      </c>
      <c r="B694" s="311" t="s">
        <v>744</v>
      </c>
      <c r="C694" s="311">
        <v>0.68679999999999997</v>
      </c>
      <c r="D694" s="311">
        <v>0</v>
      </c>
      <c r="E694" s="311">
        <v>0.56610000000000005</v>
      </c>
      <c r="F694" s="311">
        <v>0</v>
      </c>
      <c r="G694" s="311">
        <v>0.58220000000000005</v>
      </c>
      <c r="H694" s="311">
        <v>0.63600000000000001</v>
      </c>
      <c r="I694" s="311">
        <v>0.59799999999999998</v>
      </c>
      <c r="J694" s="311">
        <v>0</v>
      </c>
      <c r="K694" s="311">
        <v>0</v>
      </c>
      <c r="L694" s="311">
        <v>0</v>
      </c>
      <c r="M694" s="311">
        <v>0.59260000000000002</v>
      </c>
      <c r="N694" s="311">
        <v>0.54810000000000003</v>
      </c>
      <c r="O694" s="311">
        <v>0</v>
      </c>
      <c r="P694" s="311">
        <v>0</v>
      </c>
      <c r="Q694" s="311">
        <v>0</v>
      </c>
      <c r="R694" s="311">
        <v>0</v>
      </c>
      <c r="S694" s="311">
        <v>0</v>
      </c>
      <c r="T694" s="311">
        <v>0</v>
      </c>
      <c r="U694" s="311">
        <v>0</v>
      </c>
      <c r="V694" s="311">
        <v>0.51980000000000004</v>
      </c>
      <c r="W694" s="311">
        <v>0.5806</v>
      </c>
      <c r="X694" s="311">
        <v>0.48559999999999998</v>
      </c>
      <c r="Y694" s="311">
        <v>0.49790000000000001</v>
      </c>
      <c r="Z694" s="311">
        <v>0.58589999999999998</v>
      </c>
      <c r="AA694" s="311">
        <v>0</v>
      </c>
      <c r="AB694" s="311">
        <v>0</v>
      </c>
      <c r="AC694" s="311">
        <v>0.47889999999999999</v>
      </c>
      <c r="AD694" s="311">
        <v>0</v>
      </c>
      <c r="AE694" s="311">
        <v>0</v>
      </c>
      <c r="AF694" s="311">
        <v>0</v>
      </c>
      <c r="AG694" s="311">
        <v>0</v>
      </c>
      <c r="AH694" s="311">
        <v>0</v>
      </c>
      <c r="AI694" s="311">
        <v>0</v>
      </c>
      <c r="AJ694" s="311">
        <v>0</v>
      </c>
      <c r="AK694" s="311">
        <v>0</v>
      </c>
      <c r="AL694" s="311">
        <v>0.51439999999999997</v>
      </c>
      <c r="AM694" s="311">
        <v>0.5413</v>
      </c>
      <c r="AN694" s="311">
        <v>0.51359999999999995</v>
      </c>
      <c r="AO694" s="311">
        <v>0</v>
      </c>
      <c r="AP694" s="311">
        <v>0.56000000000000005</v>
      </c>
      <c r="AQ694" s="311">
        <v>0</v>
      </c>
      <c r="AR694" s="311">
        <v>0</v>
      </c>
      <c r="AS694" s="311">
        <v>0.45140000000000002</v>
      </c>
      <c r="AT694" s="311">
        <v>0</v>
      </c>
      <c r="AU694" s="311">
        <v>0.56869999999999998</v>
      </c>
      <c r="AV694" s="311">
        <v>0.59470000000000001</v>
      </c>
      <c r="AW694" s="311">
        <v>0.52400000000000002</v>
      </c>
      <c r="AX694" s="311">
        <v>0</v>
      </c>
      <c r="AY694" s="311">
        <v>0.57010000000000005</v>
      </c>
      <c r="AZ694" s="311">
        <v>0.53459999999999996</v>
      </c>
      <c r="BA694" s="311">
        <v>0.44219999999999998</v>
      </c>
      <c r="BB694" s="311">
        <v>0</v>
      </c>
      <c r="BC694" s="311">
        <v>0.63719999999999999</v>
      </c>
      <c r="BD694" s="311">
        <v>0.57540000000000002</v>
      </c>
      <c r="BE694" s="311">
        <v>0.57350000000000001</v>
      </c>
      <c r="BF694" s="311">
        <v>0.52980000000000005</v>
      </c>
      <c r="BG694" s="311">
        <v>0.60909999999999997</v>
      </c>
      <c r="BH694" s="311">
        <v>0.58460000000000001</v>
      </c>
      <c r="BI694" s="311">
        <v>0.58950000000000002</v>
      </c>
      <c r="BJ694" s="311">
        <v>0.62370000000000003</v>
      </c>
      <c r="BK694" s="311">
        <v>0.63690000000000002</v>
      </c>
    </row>
    <row r="695" spans="1:63" x14ac:dyDescent="0.25">
      <c r="A695" s="306">
        <v>336500</v>
      </c>
      <c r="B695" s="311" t="s">
        <v>256</v>
      </c>
      <c r="C695" s="311">
        <v>0.44340000000000002</v>
      </c>
      <c r="D695" s="311">
        <v>0</v>
      </c>
      <c r="E695" s="311">
        <v>0.32500000000000001</v>
      </c>
      <c r="F695" s="311">
        <v>0.32329999999999998</v>
      </c>
      <c r="G695" s="311">
        <v>0.2903</v>
      </c>
      <c r="H695" s="311">
        <v>0.3271</v>
      </c>
      <c r="I695" s="311">
        <v>0.32800000000000001</v>
      </c>
      <c r="J695" s="311">
        <v>0.31040000000000001</v>
      </c>
      <c r="K695" s="311">
        <v>0</v>
      </c>
      <c r="L695" s="311">
        <v>0.21079999999999999</v>
      </c>
      <c r="M695" s="311">
        <v>0.2883</v>
      </c>
      <c r="N695" s="311">
        <v>0.33960000000000001</v>
      </c>
      <c r="O695" s="311">
        <v>0</v>
      </c>
      <c r="P695" s="311">
        <v>0.2979</v>
      </c>
      <c r="Q695" s="311">
        <v>0.27550000000000002</v>
      </c>
      <c r="R695" s="311">
        <v>0.38329999999999997</v>
      </c>
      <c r="S695" s="311">
        <v>0.34410000000000002</v>
      </c>
      <c r="T695" s="311">
        <v>0.28339999999999999</v>
      </c>
      <c r="U695" s="311">
        <v>0.3115</v>
      </c>
      <c r="V695" s="311">
        <v>0.31169999999999998</v>
      </c>
      <c r="W695" s="311">
        <v>0</v>
      </c>
      <c r="X695" s="311">
        <v>0.25519999999999998</v>
      </c>
      <c r="Y695" s="311">
        <v>0.2707</v>
      </c>
      <c r="Z695" s="311">
        <v>0.35920000000000002</v>
      </c>
      <c r="AA695" s="311">
        <v>0.32840000000000003</v>
      </c>
      <c r="AB695" s="311">
        <v>0.3261</v>
      </c>
      <c r="AC695" s="311">
        <v>0</v>
      </c>
      <c r="AD695" s="311">
        <v>0</v>
      </c>
      <c r="AE695" s="311">
        <v>0.33910000000000001</v>
      </c>
      <c r="AF695" s="311">
        <v>0</v>
      </c>
      <c r="AG695" s="311">
        <v>0.28960000000000002</v>
      </c>
      <c r="AH695" s="311">
        <v>0</v>
      </c>
      <c r="AI695" s="311">
        <v>0.28189999999999998</v>
      </c>
      <c r="AJ695" s="311">
        <v>0</v>
      </c>
      <c r="AK695" s="311">
        <v>0.28189999999999998</v>
      </c>
      <c r="AL695" s="311">
        <v>0.30480000000000002</v>
      </c>
      <c r="AM695" s="311">
        <v>0.36480000000000001</v>
      </c>
      <c r="AN695" s="311">
        <v>0.31659999999999999</v>
      </c>
      <c r="AO695" s="311">
        <v>0.32450000000000001</v>
      </c>
      <c r="AP695" s="311">
        <v>0.3785</v>
      </c>
      <c r="AQ695" s="311">
        <v>0</v>
      </c>
      <c r="AR695" s="311">
        <v>0.34350000000000003</v>
      </c>
      <c r="AS695" s="311">
        <v>0</v>
      </c>
      <c r="AT695" s="311">
        <v>0.32340000000000002</v>
      </c>
      <c r="AU695" s="311">
        <v>0.36270000000000002</v>
      </c>
      <c r="AV695" s="311">
        <v>0.33410000000000001</v>
      </c>
      <c r="AW695" s="311">
        <v>0.3327</v>
      </c>
      <c r="AX695" s="311">
        <v>0.24049999999999999</v>
      </c>
      <c r="AY695" s="311">
        <v>0.31559999999999999</v>
      </c>
      <c r="AZ695" s="311">
        <v>0.3503</v>
      </c>
      <c r="BA695" s="311">
        <v>0.2641</v>
      </c>
      <c r="BB695" s="311">
        <v>0</v>
      </c>
      <c r="BC695" s="311">
        <v>0.33960000000000001</v>
      </c>
      <c r="BD695" s="311">
        <v>0.37240000000000001</v>
      </c>
      <c r="BE695" s="311">
        <v>0.39460000000000001</v>
      </c>
      <c r="BF695" s="311">
        <v>0.34</v>
      </c>
      <c r="BG695" s="311">
        <v>0.35270000000000001</v>
      </c>
      <c r="BH695" s="311">
        <v>0.3337</v>
      </c>
      <c r="BI695" s="311">
        <v>0.36820000000000003</v>
      </c>
      <c r="BJ695" s="311">
        <v>0.32379999999999998</v>
      </c>
      <c r="BK695" s="311">
        <v>0.33560000000000001</v>
      </c>
    </row>
    <row r="696" spans="1:63" x14ac:dyDescent="0.25">
      <c r="A696" s="306">
        <v>336611</v>
      </c>
      <c r="B696" s="311" t="s">
        <v>257</v>
      </c>
      <c r="C696" s="311">
        <v>0.59909999999999997</v>
      </c>
      <c r="D696" s="311">
        <v>0.38119999999999998</v>
      </c>
      <c r="E696" s="311">
        <v>0.47070000000000001</v>
      </c>
      <c r="F696" s="311">
        <v>0.43940000000000001</v>
      </c>
      <c r="G696" s="311">
        <v>0</v>
      </c>
      <c r="H696" s="311">
        <v>0.51280000000000003</v>
      </c>
      <c r="I696" s="311">
        <v>0</v>
      </c>
      <c r="J696" s="311">
        <v>0.47070000000000001</v>
      </c>
      <c r="K696" s="311">
        <v>8.0699999999999994E-2</v>
      </c>
      <c r="L696" s="311">
        <v>0.32540000000000002</v>
      </c>
      <c r="M696" s="311">
        <v>0.47070000000000001</v>
      </c>
      <c r="N696" s="311">
        <v>0.4869</v>
      </c>
      <c r="O696" s="311">
        <v>0.41739999999999999</v>
      </c>
      <c r="P696" s="311">
        <v>0</v>
      </c>
      <c r="Q696" s="311">
        <v>0</v>
      </c>
      <c r="R696" s="311">
        <v>0.51729999999999998</v>
      </c>
      <c r="S696" s="311">
        <v>0.47360000000000002</v>
      </c>
      <c r="T696" s="311">
        <v>0</v>
      </c>
      <c r="U696" s="311">
        <v>0.44990000000000002</v>
      </c>
      <c r="V696" s="311">
        <v>0.43819999999999998</v>
      </c>
      <c r="W696" s="311">
        <v>0.4748</v>
      </c>
      <c r="X696" s="311">
        <v>0.42820000000000003</v>
      </c>
      <c r="Y696" s="311">
        <v>0.41439999999999999</v>
      </c>
      <c r="Z696" s="311">
        <v>0.52559999999999996</v>
      </c>
      <c r="AA696" s="311">
        <v>0</v>
      </c>
      <c r="AB696" s="311">
        <v>0.45529999999999998</v>
      </c>
      <c r="AC696" s="311">
        <v>0.40720000000000001</v>
      </c>
      <c r="AD696" s="311">
        <v>0</v>
      </c>
      <c r="AE696" s="311">
        <v>0.49080000000000001</v>
      </c>
      <c r="AF696" s="311">
        <v>0</v>
      </c>
      <c r="AG696" s="311">
        <v>0</v>
      </c>
      <c r="AH696" s="311">
        <v>0.4425</v>
      </c>
      <c r="AI696" s="311">
        <v>0.45540000000000003</v>
      </c>
      <c r="AJ696" s="311">
        <v>0</v>
      </c>
      <c r="AK696" s="311">
        <v>0</v>
      </c>
      <c r="AL696" s="311">
        <v>0.46200000000000002</v>
      </c>
      <c r="AM696" s="311">
        <v>0.51280000000000003</v>
      </c>
      <c r="AN696" s="311">
        <v>0</v>
      </c>
      <c r="AO696" s="311">
        <v>0.43709999999999999</v>
      </c>
      <c r="AP696" s="311">
        <v>0.50729999999999997</v>
      </c>
      <c r="AQ696" s="311">
        <v>0.37840000000000001</v>
      </c>
      <c r="AR696" s="311">
        <v>0.4793</v>
      </c>
      <c r="AS696" s="311">
        <v>0</v>
      </c>
      <c r="AT696" s="311">
        <v>0.49790000000000001</v>
      </c>
      <c r="AU696" s="311">
        <v>0.51470000000000005</v>
      </c>
      <c r="AV696" s="311">
        <v>0.50060000000000004</v>
      </c>
      <c r="AW696" s="311">
        <v>0.45629999999999998</v>
      </c>
      <c r="AX696" s="311">
        <v>0</v>
      </c>
      <c r="AY696" s="311">
        <v>0.47199999999999998</v>
      </c>
      <c r="AZ696" s="311">
        <v>0.49030000000000001</v>
      </c>
      <c r="BA696" s="311">
        <v>0</v>
      </c>
      <c r="BB696" s="311">
        <v>0</v>
      </c>
      <c r="BC696" s="311">
        <v>0.52359999999999995</v>
      </c>
      <c r="BD696" s="311">
        <v>0.52810000000000001</v>
      </c>
      <c r="BE696" s="311">
        <v>0.54769999999999996</v>
      </c>
      <c r="BF696" s="311">
        <v>0.48309999999999997</v>
      </c>
      <c r="BG696" s="311">
        <v>0.51439999999999997</v>
      </c>
      <c r="BH696" s="311">
        <v>0.49509999999999998</v>
      </c>
      <c r="BI696" s="311">
        <v>0.51539999999999997</v>
      </c>
      <c r="BJ696" s="311">
        <v>0.49459999999999998</v>
      </c>
      <c r="BK696" s="311">
        <v>0.51329999999999998</v>
      </c>
    </row>
    <row r="697" spans="1:63" x14ac:dyDescent="0.25">
      <c r="A697" s="306">
        <v>336612</v>
      </c>
      <c r="B697" s="311" t="s">
        <v>258</v>
      </c>
      <c r="C697" s="311">
        <v>0.52129999999999999</v>
      </c>
      <c r="D697" s="311">
        <v>0.27329999999999999</v>
      </c>
      <c r="E697" s="311">
        <v>0.39329999999999998</v>
      </c>
      <c r="F697" s="311">
        <v>0.37069999999999997</v>
      </c>
      <c r="G697" s="311">
        <v>0.35070000000000001</v>
      </c>
      <c r="H697" s="311">
        <v>0.39639999999999997</v>
      </c>
      <c r="I697" s="311">
        <v>0.39400000000000002</v>
      </c>
      <c r="J697" s="311">
        <v>0.3755</v>
      </c>
      <c r="K697" s="311">
        <v>0</v>
      </c>
      <c r="L697" s="311">
        <v>0.2505</v>
      </c>
      <c r="M697" s="311">
        <v>0.35499999999999998</v>
      </c>
      <c r="N697" s="311">
        <v>0.40760000000000002</v>
      </c>
      <c r="O697" s="311">
        <v>0.30769999999999997</v>
      </c>
      <c r="P697" s="311">
        <v>0.34079999999999999</v>
      </c>
      <c r="Q697" s="311">
        <v>0.30880000000000002</v>
      </c>
      <c r="R697" s="311">
        <v>0.42070000000000002</v>
      </c>
      <c r="S697" s="311">
        <v>0.39960000000000001</v>
      </c>
      <c r="T697" s="311">
        <v>0.316</v>
      </c>
      <c r="U697" s="311">
        <v>0.38540000000000002</v>
      </c>
      <c r="V697" s="311">
        <v>0.33929999999999999</v>
      </c>
      <c r="W697" s="311">
        <v>0.36020000000000002</v>
      </c>
      <c r="X697" s="311">
        <v>0.31119999999999998</v>
      </c>
      <c r="Y697" s="311">
        <v>0.3216</v>
      </c>
      <c r="Z697" s="311">
        <v>0.44419999999999998</v>
      </c>
      <c r="AA697" s="311">
        <v>0.3735</v>
      </c>
      <c r="AB697" s="311">
        <v>0.39079999999999998</v>
      </c>
      <c r="AC697" s="311">
        <v>0.34079999999999999</v>
      </c>
      <c r="AD697" s="311">
        <v>0.29330000000000001</v>
      </c>
      <c r="AE697" s="311">
        <v>0.41460000000000002</v>
      </c>
      <c r="AF697" s="311">
        <v>0.27050000000000002</v>
      </c>
      <c r="AG697" s="311">
        <v>0.32100000000000001</v>
      </c>
      <c r="AH697" s="311">
        <v>0.34420000000000001</v>
      </c>
      <c r="AI697" s="311">
        <v>0.35</v>
      </c>
      <c r="AJ697" s="311">
        <v>0</v>
      </c>
      <c r="AK697" s="311">
        <v>0.33500000000000002</v>
      </c>
      <c r="AL697" s="311">
        <v>0.34739999999999999</v>
      </c>
      <c r="AM697" s="311">
        <v>0.43690000000000001</v>
      </c>
      <c r="AN697" s="311">
        <v>0.35610000000000003</v>
      </c>
      <c r="AO697" s="311">
        <v>0.36130000000000001</v>
      </c>
      <c r="AP697" s="311">
        <v>0.40579999999999999</v>
      </c>
      <c r="AQ697" s="311">
        <v>0.30320000000000003</v>
      </c>
      <c r="AR697" s="311">
        <v>0.39639999999999997</v>
      </c>
      <c r="AS697" s="311">
        <v>0</v>
      </c>
      <c r="AT697" s="311">
        <v>0.41420000000000001</v>
      </c>
      <c r="AU697" s="311">
        <v>0.39789999999999998</v>
      </c>
      <c r="AV697" s="311">
        <v>0.41389999999999999</v>
      </c>
      <c r="AW697" s="311">
        <v>0.37309999999999999</v>
      </c>
      <c r="AX697" s="311">
        <v>0.30170000000000002</v>
      </c>
      <c r="AY697" s="311">
        <v>0.371</v>
      </c>
      <c r="AZ697" s="311">
        <v>0.41849999999999998</v>
      </c>
      <c r="BA697" s="311">
        <v>0.3024</v>
      </c>
      <c r="BB697" s="311">
        <v>0</v>
      </c>
      <c r="BC697" s="311">
        <v>0.41210000000000002</v>
      </c>
      <c r="BD697" s="311">
        <v>0.4078</v>
      </c>
      <c r="BE697" s="311">
        <v>0.46539999999999998</v>
      </c>
      <c r="BF697" s="311">
        <v>0.39779999999999999</v>
      </c>
      <c r="BG697" s="311">
        <v>0.42130000000000001</v>
      </c>
      <c r="BH697" s="311">
        <v>0.41899999999999998</v>
      </c>
      <c r="BI697" s="311">
        <v>0.40400000000000003</v>
      </c>
      <c r="BJ697" s="311">
        <v>0.38240000000000002</v>
      </c>
      <c r="BK697" s="311">
        <v>0.40389999999999998</v>
      </c>
    </row>
    <row r="698" spans="1:63" x14ac:dyDescent="0.25">
      <c r="A698" s="306">
        <v>336991</v>
      </c>
      <c r="B698" s="311" t="s">
        <v>259</v>
      </c>
      <c r="C698" s="311">
        <v>0.44219999999999998</v>
      </c>
      <c r="D698" s="311">
        <v>0</v>
      </c>
      <c r="E698" s="311">
        <v>0.31730000000000003</v>
      </c>
      <c r="F698" s="311">
        <v>0.30209999999999998</v>
      </c>
      <c r="G698" s="311">
        <v>0.30149999999999999</v>
      </c>
      <c r="H698" s="311">
        <v>0.34860000000000002</v>
      </c>
      <c r="I698" s="311">
        <v>0.32400000000000001</v>
      </c>
      <c r="J698" s="311">
        <v>0.31709999999999999</v>
      </c>
      <c r="K698" s="311">
        <v>0</v>
      </c>
      <c r="L698" s="311">
        <v>0</v>
      </c>
      <c r="M698" s="311">
        <v>0.28270000000000001</v>
      </c>
      <c r="N698" s="311">
        <v>0.32719999999999999</v>
      </c>
      <c r="O698" s="311">
        <v>0</v>
      </c>
      <c r="P698" s="311">
        <v>0.2651</v>
      </c>
      <c r="Q698" s="311">
        <v>0.24959999999999999</v>
      </c>
      <c r="R698" s="311">
        <v>0.35160000000000002</v>
      </c>
      <c r="S698" s="311">
        <v>0.32600000000000001</v>
      </c>
      <c r="T698" s="311">
        <v>0.26629999999999998</v>
      </c>
      <c r="U698" s="311">
        <v>0.30530000000000002</v>
      </c>
      <c r="V698" s="311">
        <v>0.28199999999999997</v>
      </c>
      <c r="W698" s="311">
        <v>0.30220000000000002</v>
      </c>
      <c r="X698" s="311">
        <v>0.25340000000000001</v>
      </c>
      <c r="Y698" s="311">
        <v>0.25069999999999998</v>
      </c>
      <c r="Z698" s="311">
        <v>0.36170000000000002</v>
      </c>
      <c r="AA698" s="311">
        <v>0.32069999999999999</v>
      </c>
      <c r="AB698" s="311">
        <v>0.3115</v>
      </c>
      <c r="AC698" s="311">
        <v>0</v>
      </c>
      <c r="AD698" s="311">
        <v>0.23150000000000001</v>
      </c>
      <c r="AE698" s="311">
        <v>0.31059999999999999</v>
      </c>
      <c r="AF698" s="311">
        <v>0</v>
      </c>
      <c r="AG698" s="311">
        <v>0.25679999999999997</v>
      </c>
      <c r="AH698" s="311">
        <v>0.29399999999999998</v>
      </c>
      <c r="AI698" s="311">
        <v>0.28149999999999997</v>
      </c>
      <c r="AJ698" s="311">
        <v>0.2271</v>
      </c>
      <c r="AK698" s="311">
        <v>0.26529999999999998</v>
      </c>
      <c r="AL698" s="311">
        <v>0.2742</v>
      </c>
      <c r="AM698" s="311">
        <v>0.37359999999999999</v>
      </c>
      <c r="AN698" s="311">
        <v>0.2979</v>
      </c>
      <c r="AO698" s="311">
        <v>0.33110000000000001</v>
      </c>
      <c r="AP698" s="311">
        <v>0.36580000000000001</v>
      </c>
      <c r="AQ698" s="311">
        <v>0.2495</v>
      </c>
      <c r="AR698" s="311">
        <v>0.31440000000000001</v>
      </c>
      <c r="AS698" s="311">
        <v>0.2339</v>
      </c>
      <c r="AT698" s="311">
        <v>0.33389999999999997</v>
      </c>
      <c r="AU698" s="311">
        <v>0.34499999999999997</v>
      </c>
      <c r="AV698" s="311">
        <v>0.3362</v>
      </c>
      <c r="AW698" s="311">
        <v>0.30070000000000002</v>
      </c>
      <c r="AX698" s="311">
        <v>0</v>
      </c>
      <c r="AY698" s="311">
        <v>0.3125</v>
      </c>
      <c r="AZ698" s="311">
        <v>0.3337</v>
      </c>
      <c r="BA698" s="311">
        <v>0</v>
      </c>
      <c r="BB698" s="311">
        <v>0</v>
      </c>
      <c r="BC698" s="311">
        <v>0.3417</v>
      </c>
      <c r="BD698" s="311">
        <v>0.36070000000000002</v>
      </c>
      <c r="BE698" s="311">
        <v>0.39489999999999997</v>
      </c>
      <c r="BF698" s="311">
        <v>0.3357</v>
      </c>
      <c r="BG698" s="311">
        <v>0.33260000000000001</v>
      </c>
      <c r="BH698" s="311">
        <v>0.33829999999999999</v>
      </c>
      <c r="BI698" s="311">
        <v>0.35399999999999998</v>
      </c>
      <c r="BJ698" s="311">
        <v>0.31609999999999999</v>
      </c>
      <c r="BK698" s="311">
        <v>0.35349999999999998</v>
      </c>
    </row>
    <row r="699" spans="1:63" x14ac:dyDescent="0.25">
      <c r="A699" s="306">
        <v>336992</v>
      </c>
      <c r="B699" s="311" t="s">
        <v>260</v>
      </c>
      <c r="C699" s="311">
        <v>0.5081</v>
      </c>
      <c r="D699" s="311">
        <v>0</v>
      </c>
      <c r="E699" s="311">
        <v>0.39879999999999999</v>
      </c>
      <c r="F699" s="311">
        <v>0</v>
      </c>
      <c r="G699" s="311">
        <v>0.3846</v>
      </c>
      <c r="H699" s="311">
        <v>0.42370000000000002</v>
      </c>
      <c r="I699" s="311">
        <v>0</v>
      </c>
      <c r="J699" s="311">
        <v>0</v>
      </c>
      <c r="K699" s="311">
        <v>0</v>
      </c>
      <c r="L699" s="311">
        <v>0</v>
      </c>
      <c r="M699" s="311">
        <v>0.36499999999999999</v>
      </c>
      <c r="N699" s="311">
        <v>0.39910000000000001</v>
      </c>
      <c r="O699" s="311">
        <v>0</v>
      </c>
      <c r="P699" s="311">
        <v>0</v>
      </c>
      <c r="Q699" s="311">
        <v>0</v>
      </c>
      <c r="R699" s="311">
        <v>0.43409999999999999</v>
      </c>
      <c r="S699" s="311">
        <v>0</v>
      </c>
      <c r="T699" s="311">
        <v>0</v>
      </c>
      <c r="U699" s="311">
        <v>0</v>
      </c>
      <c r="V699" s="311">
        <v>0.34300000000000003</v>
      </c>
      <c r="W699" s="311">
        <v>0</v>
      </c>
      <c r="X699" s="311">
        <v>0.311</v>
      </c>
      <c r="Y699" s="311">
        <v>0</v>
      </c>
      <c r="Z699" s="311">
        <v>0.4375</v>
      </c>
      <c r="AA699" s="311">
        <v>0.4047</v>
      </c>
      <c r="AB699" s="311">
        <v>0</v>
      </c>
      <c r="AC699" s="311">
        <v>0</v>
      </c>
      <c r="AD699" s="311">
        <v>0</v>
      </c>
      <c r="AE699" s="311">
        <v>0.38379999999999997</v>
      </c>
      <c r="AF699" s="311">
        <v>0</v>
      </c>
      <c r="AG699" s="311">
        <v>0</v>
      </c>
      <c r="AH699" s="311">
        <v>0</v>
      </c>
      <c r="AI699" s="311">
        <v>0.37169999999999997</v>
      </c>
      <c r="AJ699" s="311">
        <v>0</v>
      </c>
      <c r="AK699" s="311">
        <v>0</v>
      </c>
      <c r="AL699" s="311">
        <v>0.35920000000000002</v>
      </c>
      <c r="AM699" s="311">
        <v>0.44790000000000002</v>
      </c>
      <c r="AN699" s="311">
        <v>0.38119999999999998</v>
      </c>
      <c r="AO699" s="311">
        <v>0</v>
      </c>
      <c r="AP699" s="311">
        <v>0.44219999999999998</v>
      </c>
      <c r="AQ699" s="311">
        <v>0</v>
      </c>
      <c r="AR699" s="311">
        <v>0.37569999999999998</v>
      </c>
      <c r="AS699" s="311">
        <v>0</v>
      </c>
      <c r="AT699" s="311">
        <v>0.40639999999999998</v>
      </c>
      <c r="AU699" s="311">
        <v>0.41410000000000002</v>
      </c>
      <c r="AV699" s="311">
        <v>0</v>
      </c>
      <c r="AW699" s="311">
        <v>0.35370000000000001</v>
      </c>
      <c r="AX699" s="311">
        <v>0</v>
      </c>
      <c r="AY699" s="311">
        <v>0</v>
      </c>
      <c r="AZ699" s="311">
        <v>0.40839999999999999</v>
      </c>
      <c r="BA699" s="311">
        <v>0</v>
      </c>
      <c r="BB699" s="311">
        <v>0</v>
      </c>
      <c r="BC699" s="311">
        <v>0</v>
      </c>
      <c r="BD699" s="311">
        <v>0.44800000000000001</v>
      </c>
      <c r="BE699" s="311">
        <v>0.47099999999999997</v>
      </c>
      <c r="BF699" s="311">
        <v>0.40539999999999998</v>
      </c>
      <c r="BG699" s="311">
        <v>0.39989999999999998</v>
      </c>
      <c r="BH699" s="311">
        <v>0.41930000000000001</v>
      </c>
      <c r="BI699" s="311">
        <v>0.42680000000000001</v>
      </c>
      <c r="BJ699" s="311">
        <v>0.39319999999999999</v>
      </c>
      <c r="BK699" s="311">
        <v>0.42759999999999998</v>
      </c>
    </row>
    <row r="700" spans="1:63" x14ac:dyDescent="0.25">
      <c r="A700" s="306">
        <v>336999</v>
      </c>
      <c r="B700" s="311" t="s">
        <v>261</v>
      </c>
      <c r="C700" s="311">
        <v>0.42659999999999998</v>
      </c>
      <c r="D700" s="311">
        <v>0</v>
      </c>
      <c r="E700" s="311">
        <v>0.30620000000000003</v>
      </c>
      <c r="F700" s="311">
        <v>0.2944</v>
      </c>
      <c r="G700" s="311">
        <v>0.2346</v>
      </c>
      <c r="H700" s="311">
        <v>0.2777</v>
      </c>
      <c r="I700" s="311">
        <v>0.25259999999999999</v>
      </c>
      <c r="J700" s="311">
        <v>0.2742</v>
      </c>
      <c r="K700" s="311">
        <v>0</v>
      </c>
      <c r="L700" s="311">
        <v>0.16839999999999999</v>
      </c>
      <c r="M700" s="311">
        <v>0.23730000000000001</v>
      </c>
      <c r="N700" s="311">
        <v>0.29160000000000003</v>
      </c>
      <c r="O700" s="311">
        <v>0</v>
      </c>
      <c r="P700" s="311">
        <v>0.26829999999999998</v>
      </c>
      <c r="Q700" s="311">
        <v>0.19989999999999999</v>
      </c>
      <c r="R700" s="311">
        <v>0.34370000000000001</v>
      </c>
      <c r="S700" s="311">
        <v>0.3347</v>
      </c>
      <c r="T700" s="311">
        <v>0.2243</v>
      </c>
      <c r="U700" s="311">
        <v>0.30559999999999998</v>
      </c>
      <c r="V700" s="311">
        <v>0.2457</v>
      </c>
      <c r="W700" s="311">
        <v>0</v>
      </c>
      <c r="X700" s="311">
        <v>0.21460000000000001</v>
      </c>
      <c r="Y700" s="311">
        <v>0</v>
      </c>
      <c r="Z700" s="311">
        <v>0.35420000000000001</v>
      </c>
      <c r="AA700" s="311">
        <v>0.2994</v>
      </c>
      <c r="AB700" s="311">
        <v>0.30249999999999999</v>
      </c>
      <c r="AC700" s="311">
        <v>0.25509999999999999</v>
      </c>
      <c r="AD700" s="311">
        <v>0</v>
      </c>
      <c r="AE700" s="311">
        <v>0.31909999999999999</v>
      </c>
      <c r="AF700" s="311">
        <v>0</v>
      </c>
      <c r="AG700" s="311">
        <v>0.245</v>
      </c>
      <c r="AH700" s="311">
        <v>0.25059999999999999</v>
      </c>
      <c r="AI700" s="311">
        <v>0.25090000000000001</v>
      </c>
      <c r="AJ700" s="311">
        <v>0</v>
      </c>
      <c r="AK700" s="311">
        <v>0.21829999999999999</v>
      </c>
      <c r="AL700" s="311">
        <v>0.22700000000000001</v>
      </c>
      <c r="AM700" s="311">
        <v>0.3548</v>
      </c>
      <c r="AN700" s="311">
        <v>0.27989999999999998</v>
      </c>
      <c r="AO700" s="311">
        <v>0.27010000000000001</v>
      </c>
      <c r="AP700" s="311">
        <v>0.32419999999999999</v>
      </c>
      <c r="AQ700" s="311">
        <v>0</v>
      </c>
      <c r="AR700" s="311">
        <v>0.32350000000000001</v>
      </c>
      <c r="AS700" s="311">
        <v>0.19819999999999999</v>
      </c>
      <c r="AT700" s="311">
        <v>0.31540000000000001</v>
      </c>
      <c r="AU700" s="311">
        <v>0.29670000000000002</v>
      </c>
      <c r="AV700" s="311">
        <v>0.31890000000000002</v>
      </c>
      <c r="AW700" s="311">
        <v>0.25609999999999999</v>
      </c>
      <c r="AX700" s="311">
        <v>0.2082</v>
      </c>
      <c r="AY700" s="311">
        <v>0.24610000000000001</v>
      </c>
      <c r="AZ700" s="311">
        <v>0.33589999999999998</v>
      </c>
      <c r="BA700" s="311">
        <v>0</v>
      </c>
      <c r="BB700" s="311">
        <v>0.17530000000000001</v>
      </c>
      <c r="BC700" s="311">
        <v>0.29680000000000001</v>
      </c>
      <c r="BD700" s="311">
        <v>0.3019</v>
      </c>
      <c r="BE700" s="311">
        <v>0.38329999999999997</v>
      </c>
      <c r="BF700" s="311">
        <v>0.31509999999999999</v>
      </c>
      <c r="BG700" s="311">
        <v>0.30880000000000002</v>
      </c>
      <c r="BH700" s="311">
        <v>0.33100000000000002</v>
      </c>
      <c r="BI700" s="311">
        <v>0.31069999999999998</v>
      </c>
      <c r="BJ700" s="311">
        <v>0.25180000000000002</v>
      </c>
      <c r="BK700" s="311">
        <v>0.28029999999999999</v>
      </c>
    </row>
    <row r="701" spans="1:63" x14ac:dyDescent="0.25">
      <c r="A701" s="306">
        <v>337110</v>
      </c>
      <c r="B701" s="311" t="s">
        <v>262</v>
      </c>
      <c r="C701" s="311">
        <v>0.56859999999999999</v>
      </c>
      <c r="D701" s="311">
        <v>0.374</v>
      </c>
      <c r="E701" s="311">
        <v>0.45119999999999999</v>
      </c>
      <c r="F701" s="311">
        <v>0.4093</v>
      </c>
      <c r="G701" s="311">
        <v>0.4214</v>
      </c>
      <c r="H701" s="311">
        <v>0.4698</v>
      </c>
      <c r="I701" s="311">
        <v>0.46250000000000002</v>
      </c>
      <c r="J701" s="311">
        <v>0.41349999999999998</v>
      </c>
      <c r="K701" s="311">
        <v>9.64E-2</v>
      </c>
      <c r="L701" s="311">
        <v>0.31929999999999997</v>
      </c>
      <c r="M701" s="311">
        <v>0.43580000000000002</v>
      </c>
      <c r="N701" s="311">
        <v>0.49430000000000002</v>
      </c>
      <c r="O701" s="311">
        <v>0.3921</v>
      </c>
      <c r="P701" s="311">
        <v>0.35399999999999998</v>
      </c>
      <c r="Q701" s="311">
        <v>0.4153</v>
      </c>
      <c r="R701" s="311">
        <v>0.46510000000000001</v>
      </c>
      <c r="S701" s="311">
        <v>0.42170000000000002</v>
      </c>
      <c r="T701" s="311">
        <v>0.35659999999999997</v>
      </c>
      <c r="U701" s="311">
        <v>0.43049999999999999</v>
      </c>
      <c r="V701" s="311">
        <v>0.43490000000000001</v>
      </c>
      <c r="W701" s="311">
        <v>0.4244</v>
      </c>
      <c r="X701" s="311">
        <v>0.40050000000000002</v>
      </c>
      <c r="Y701" s="311">
        <v>0.44180000000000003</v>
      </c>
      <c r="Z701" s="311">
        <v>0.46579999999999999</v>
      </c>
      <c r="AA701" s="311">
        <v>0.45040000000000002</v>
      </c>
      <c r="AB701" s="311">
        <v>0.43680000000000002</v>
      </c>
      <c r="AC701" s="311">
        <v>0.42280000000000001</v>
      </c>
      <c r="AD701" s="311">
        <v>0.41210000000000002</v>
      </c>
      <c r="AE701" s="311">
        <v>0.46989999999999998</v>
      </c>
      <c r="AF701" s="311">
        <v>0.33660000000000001</v>
      </c>
      <c r="AG701" s="311">
        <v>0.3412</v>
      </c>
      <c r="AH701" s="311">
        <v>0.40870000000000001</v>
      </c>
      <c r="AI701" s="311">
        <v>0.42549999999999999</v>
      </c>
      <c r="AJ701" s="311">
        <v>0.37109999999999999</v>
      </c>
      <c r="AK701" s="311">
        <v>0.40300000000000002</v>
      </c>
      <c r="AL701" s="311">
        <v>0.39200000000000002</v>
      </c>
      <c r="AM701" s="311">
        <v>0.44269999999999998</v>
      </c>
      <c r="AN701" s="311">
        <v>0.4163</v>
      </c>
      <c r="AO701" s="311">
        <v>0.46810000000000002</v>
      </c>
      <c r="AP701" s="311">
        <v>0.48020000000000002</v>
      </c>
      <c r="AQ701" s="311">
        <v>0.38440000000000002</v>
      </c>
      <c r="AR701" s="311">
        <v>0.45179999999999998</v>
      </c>
      <c r="AS701" s="311">
        <v>0.37309999999999999</v>
      </c>
      <c r="AT701" s="311">
        <v>0.44319999999999998</v>
      </c>
      <c r="AU701" s="311">
        <v>0.48359999999999997</v>
      </c>
      <c r="AV701" s="311">
        <v>0.45850000000000002</v>
      </c>
      <c r="AW701" s="311">
        <v>0.46429999999999999</v>
      </c>
      <c r="AX701" s="311">
        <v>0.36659999999999998</v>
      </c>
      <c r="AY701" s="311">
        <v>0.45700000000000002</v>
      </c>
      <c r="AZ701" s="311">
        <v>0.45550000000000002</v>
      </c>
      <c r="BA701" s="311">
        <v>0.38669999999999999</v>
      </c>
      <c r="BB701" s="311">
        <v>0.37090000000000001</v>
      </c>
      <c r="BC701" s="311">
        <v>0.4778</v>
      </c>
      <c r="BD701" s="311">
        <v>0.47310000000000002</v>
      </c>
      <c r="BE701" s="311">
        <v>0.4844</v>
      </c>
      <c r="BF701" s="311">
        <v>0.44059999999999999</v>
      </c>
      <c r="BG701" s="311">
        <v>0.51200000000000001</v>
      </c>
      <c r="BH701" s="311">
        <v>0.47470000000000001</v>
      </c>
      <c r="BI701" s="311">
        <v>0.49980000000000002</v>
      </c>
      <c r="BJ701" s="311">
        <v>0.47399999999999998</v>
      </c>
      <c r="BK701" s="311">
        <v>0.50560000000000005</v>
      </c>
    </row>
    <row r="702" spans="1:63" x14ac:dyDescent="0.25">
      <c r="A702" s="306">
        <v>337121</v>
      </c>
      <c r="B702" s="311" t="s">
        <v>263</v>
      </c>
      <c r="C702" s="311">
        <v>0.499</v>
      </c>
      <c r="D702" s="311">
        <v>0</v>
      </c>
      <c r="E702" s="311">
        <v>0.39300000000000002</v>
      </c>
      <c r="F702" s="311">
        <v>0.35709999999999997</v>
      </c>
      <c r="G702" s="311">
        <v>0.34870000000000001</v>
      </c>
      <c r="H702" s="311">
        <v>0.3931</v>
      </c>
      <c r="I702" s="311">
        <v>0.37540000000000001</v>
      </c>
      <c r="J702" s="311">
        <v>0.37009999999999998</v>
      </c>
      <c r="K702" s="311">
        <v>7.5700000000000003E-2</v>
      </c>
      <c r="L702" s="311">
        <v>0</v>
      </c>
      <c r="M702" s="311">
        <v>0.35310000000000002</v>
      </c>
      <c r="N702" s="311">
        <v>0.4284</v>
      </c>
      <c r="O702" s="311">
        <v>0</v>
      </c>
      <c r="P702" s="311">
        <v>0.32669999999999999</v>
      </c>
      <c r="Q702" s="311">
        <v>0.31919999999999998</v>
      </c>
      <c r="R702" s="311">
        <v>0.40139999999999998</v>
      </c>
      <c r="S702" s="311">
        <v>0.38300000000000001</v>
      </c>
      <c r="T702" s="311">
        <v>0.31169999999999998</v>
      </c>
      <c r="U702" s="311">
        <v>0.38069999999999998</v>
      </c>
      <c r="V702" s="311">
        <v>0</v>
      </c>
      <c r="W702" s="311">
        <v>0.3755</v>
      </c>
      <c r="X702" s="311">
        <v>0.32769999999999999</v>
      </c>
      <c r="Y702" s="311">
        <v>0</v>
      </c>
      <c r="Z702" s="311">
        <v>0.40189999999999998</v>
      </c>
      <c r="AA702" s="311">
        <v>0.3785</v>
      </c>
      <c r="AB702" s="311">
        <v>0.36899999999999999</v>
      </c>
      <c r="AC702" s="311">
        <v>0.38650000000000001</v>
      </c>
      <c r="AD702" s="311">
        <v>0.32119999999999999</v>
      </c>
      <c r="AE702" s="311">
        <v>0.42899999999999999</v>
      </c>
      <c r="AF702" s="311">
        <v>0</v>
      </c>
      <c r="AG702" s="311">
        <v>0</v>
      </c>
      <c r="AH702" s="311">
        <v>0</v>
      </c>
      <c r="AI702" s="311">
        <v>0.35849999999999999</v>
      </c>
      <c r="AJ702" s="311">
        <v>0.31269999999999998</v>
      </c>
      <c r="AK702" s="311">
        <v>0.33339999999999997</v>
      </c>
      <c r="AL702" s="311">
        <v>0.33200000000000002</v>
      </c>
      <c r="AM702" s="311">
        <v>0.40279999999999999</v>
      </c>
      <c r="AN702" s="311">
        <v>0.34389999999999998</v>
      </c>
      <c r="AO702" s="311">
        <v>0.37419999999999998</v>
      </c>
      <c r="AP702" s="311">
        <v>0.42820000000000003</v>
      </c>
      <c r="AQ702" s="311">
        <v>0.3513</v>
      </c>
      <c r="AR702" s="311">
        <v>0.41830000000000001</v>
      </c>
      <c r="AS702" s="311">
        <v>0.30840000000000001</v>
      </c>
      <c r="AT702" s="311">
        <v>0.39539999999999997</v>
      </c>
      <c r="AU702" s="311">
        <v>0.40989999999999999</v>
      </c>
      <c r="AV702" s="311">
        <v>0.37309999999999999</v>
      </c>
      <c r="AW702" s="311">
        <v>0.39410000000000001</v>
      </c>
      <c r="AX702" s="311">
        <v>0</v>
      </c>
      <c r="AY702" s="311">
        <v>0.38069999999999998</v>
      </c>
      <c r="AZ702" s="311">
        <v>0.41239999999999999</v>
      </c>
      <c r="BA702" s="311">
        <v>0</v>
      </c>
      <c r="BB702" s="311">
        <v>0.30509999999999998</v>
      </c>
      <c r="BC702" s="311">
        <v>0.4269</v>
      </c>
      <c r="BD702" s="311">
        <v>0.41320000000000001</v>
      </c>
      <c r="BE702" s="311">
        <v>0.42680000000000001</v>
      </c>
      <c r="BF702" s="311">
        <v>0.37519999999999998</v>
      </c>
      <c r="BG702" s="311">
        <v>0.4415</v>
      </c>
      <c r="BH702" s="311">
        <v>0.43759999999999999</v>
      </c>
      <c r="BI702" s="311">
        <v>0.41660000000000003</v>
      </c>
      <c r="BJ702" s="311">
        <v>0.3695</v>
      </c>
      <c r="BK702" s="311">
        <v>0.40570000000000001</v>
      </c>
    </row>
    <row r="703" spans="1:63" x14ac:dyDescent="0.25">
      <c r="A703" s="306">
        <v>337122</v>
      </c>
      <c r="B703" s="311" t="s">
        <v>264</v>
      </c>
      <c r="C703" s="311">
        <v>0.48499999999999999</v>
      </c>
      <c r="D703" s="311">
        <v>0.32550000000000001</v>
      </c>
      <c r="E703" s="311">
        <v>0.40629999999999999</v>
      </c>
      <c r="F703" s="311">
        <v>0.37690000000000001</v>
      </c>
      <c r="G703" s="311">
        <v>0.35970000000000002</v>
      </c>
      <c r="H703" s="311">
        <v>0.39489999999999997</v>
      </c>
      <c r="I703" s="311">
        <v>0.38540000000000002</v>
      </c>
      <c r="J703" s="311">
        <v>0.35439999999999999</v>
      </c>
      <c r="K703" s="311">
        <v>0</v>
      </c>
      <c r="L703" s="311">
        <v>0.27910000000000001</v>
      </c>
      <c r="M703" s="311">
        <v>0.37109999999999999</v>
      </c>
      <c r="N703" s="311">
        <v>0.43630000000000002</v>
      </c>
      <c r="O703" s="311">
        <v>0.33700000000000002</v>
      </c>
      <c r="P703" s="311">
        <v>0.32750000000000001</v>
      </c>
      <c r="Q703" s="311">
        <v>0.36759999999999998</v>
      </c>
      <c r="R703" s="311">
        <v>0.39479999999999998</v>
      </c>
      <c r="S703" s="311">
        <v>0.37619999999999998</v>
      </c>
      <c r="T703" s="311">
        <v>0.31780000000000003</v>
      </c>
      <c r="U703" s="311">
        <v>0.38600000000000001</v>
      </c>
      <c r="V703" s="311">
        <v>0.38779999999999998</v>
      </c>
      <c r="W703" s="311">
        <v>0.35920000000000002</v>
      </c>
      <c r="X703" s="311">
        <v>0.33939999999999998</v>
      </c>
      <c r="Y703" s="311">
        <v>0.39</v>
      </c>
      <c r="Z703" s="311">
        <v>0.41420000000000001</v>
      </c>
      <c r="AA703" s="311">
        <v>0.39329999999999998</v>
      </c>
      <c r="AB703" s="311">
        <v>0.37419999999999998</v>
      </c>
      <c r="AC703" s="311">
        <v>0.39090000000000003</v>
      </c>
      <c r="AD703" s="311">
        <v>0.371</v>
      </c>
      <c r="AE703" s="311">
        <v>0.4214</v>
      </c>
      <c r="AF703" s="311">
        <v>0.3125</v>
      </c>
      <c r="AG703" s="311">
        <v>0.30330000000000001</v>
      </c>
      <c r="AH703" s="311">
        <v>0.35399999999999998</v>
      </c>
      <c r="AI703" s="311">
        <v>0.35809999999999997</v>
      </c>
      <c r="AJ703" s="311">
        <v>0.31840000000000002</v>
      </c>
      <c r="AK703" s="311">
        <v>0.35199999999999998</v>
      </c>
      <c r="AL703" s="311">
        <v>0.33729999999999999</v>
      </c>
      <c r="AM703" s="311">
        <v>0.38940000000000002</v>
      </c>
      <c r="AN703" s="311">
        <v>0.36470000000000002</v>
      </c>
      <c r="AO703" s="311">
        <v>0.41049999999999998</v>
      </c>
      <c r="AP703" s="311">
        <v>0.41739999999999999</v>
      </c>
      <c r="AQ703" s="311">
        <v>0.33560000000000001</v>
      </c>
      <c r="AR703" s="311">
        <v>0.40660000000000002</v>
      </c>
      <c r="AS703" s="311">
        <v>0.3483</v>
      </c>
      <c r="AT703" s="311">
        <v>0.39240000000000003</v>
      </c>
      <c r="AU703" s="311">
        <v>0.41089999999999999</v>
      </c>
      <c r="AV703" s="311">
        <v>0.38790000000000002</v>
      </c>
      <c r="AW703" s="311">
        <v>0.40139999999999998</v>
      </c>
      <c r="AX703" s="311">
        <v>0.31269999999999998</v>
      </c>
      <c r="AY703" s="311">
        <v>0.39500000000000002</v>
      </c>
      <c r="AZ703" s="311">
        <v>0.41270000000000001</v>
      </c>
      <c r="BA703" s="311">
        <v>0.35110000000000002</v>
      </c>
      <c r="BB703" s="311">
        <v>0.33210000000000001</v>
      </c>
      <c r="BC703" s="311">
        <v>0.40600000000000003</v>
      </c>
      <c r="BD703" s="311">
        <v>0.40110000000000001</v>
      </c>
      <c r="BE703" s="311">
        <v>0.4239</v>
      </c>
      <c r="BF703" s="311">
        <v>0.3891</v>
      </c>
      <c r="BG703" s="311">
        <v>0.44059999999999999</v>
      </c>
      <c r="BH703" s="311">
        <v>0.42720000000000002</v>
      </c>
      <c r="BI703" s="311">
        <v>0.43140000000000001</v>
      </c>
      <c r="BJ703" s="311">
        <v>0.40039999999999998</v>
      </c>
      <c r="BK703" s="311">
        <v>0.43020000000000003</v>
      </c>
    </row>
    <row r="704" spans="1:63" x14ac:dyDescent="0.25">
      <c r="A704" s="306">
        <v>337127</v>
      </c>
      <c r="B704" s="311" t="s">
        <v>266</v>
      </c>
      <c r="C704" s="311">
        <v>0.51280000000000003</v>
      </c>
      <c r="D704" s="311">
        <v>0</v>
      </c>
      <c r="E704" s="311">
        <v>0.41449999999999998</v>
      </c>
      <c r="F704" s="311">
        <v>0.37980000000000003</v>
      </c>
      <c r="G704" s="311">
        <v>0.38009999999999999</v>
      </c>
      <c r="H704" s="311">
        <v>0.41799999999999998</v>
      </c>
      <c r="I704" s="311">
        <v>0.41010000000000002</v>
      </c>
      <c r="J704" s="311">
        <v>0.37790000000000001</v>
      </c>
      <c r="K704" s="311">
        <v>0</v>
      </c>
      <c r="L704" s="311">
        <v>0.29139999999999999</v>
      </c>
      <c r="M704" s="311">
        <v>0.38269999999999998</v>
      </c>
      <c r="N704" s="311">
        <v>0.43070000000000003</v>
      </c>
      <c r="O704" s="311">
        <v>0</v>
      </c>
      <c r="P704" s="311">
        <v>0.33600000000000002</v>
      </c>
      <c r="Q704" s="311">
        <v>0.3488</v>
      </c>
      <c r="R704" s="311">
        <v>0.44240000000000002</v>
      </c>
      <c r="S704" s="311">
        <v>0.40620000000000001</v>
      </c>
      <c r="T704" s="311">
        <v>0.33429999999999999</v>
      </c>
      <c r="U704" s="311">
        <v>0.40400000000000003</v>
      </c>
      <c r="V704" s="311">
        <v>0.37059999999999998</v>
      </c>
      <c r="W704" s="311">
        <v>0.38440000000000002</v>
      </c>
      <c r="X704" s="311">
        <v>0.36099999999999999</v>
      </c>
      <c r="Y704" s="311">
        <v>0.38169999999999998</v>
      </c>
      <c r="Z704" s="311">
        <v>0.43830000000000002</v>
      </c>
      <c r="AA704" s="311">
        <v>0.41310000000000002</v>
      </c>
      <c r="AB704" s="311">
        <v>0.3962</v>
      </c>
      <c r="AC704" s="311">
        <v>0.39200000000000002</v>
      </c>
      <c r="AD704" s="311">
        <v>0.34460000000000002</v>
      </c>
      <c r="AE704" s="311">
        <v>0.41789999999999999</v>
      </c>
      <c r="AF704" s="311">
        <v>0.30980000000000002</v>
      </c>
      <c r="AG704" s="311">
        <v>0.31719999999999998</v>
      </c>
      <c r="AH704" s="311">
        <v>0.36230000000000001</v>
      </c>
      <c r="AI704" s="311">
        <v>0.38119999999999998</v>
      </c>
      <c r="AJ704" s="311">
        <v>0.3251</v>
      </c>
      <c r="AK704" s="311">
        <v>0.35799999999999998</v>
      </c>
      <c r="AL704" s="311">
        <v>0.35510000000000003</v>
      </c>
      <c r="AM704" s="311">
        <v>0.42830000000000001</v>
      </c>
      <c r="AN704" s="311">
        <v>0.38150000000000001</v>
      </c>
      <c r="AO704" s="311">
        <v>0.41799999999999998</v>
      </c>
      <c r="AP704" s="311">
        <v>0.44569999999999999</v>
      </c>
      <c r="AQ704" s="311">
        <v>0</v>
      </c>
      <c r="AR704" s="311">
        <v>0.41120000000000001</v>
      </c>
      <c r="AS704" s="311">
        <v>0</v>
      </c>
      <c r="AT704" s="311">
        <v>0.4118</v>
      </c>
      <c r="AU704" s="311">
        <v>0.4365</v>
      </c>
      <c r="AV704" s="311">
        <v>0.42270000000000002</v>
      </c>
      <c r="AW704" s="311">
        <v>0.39989999999999998</v>
      </c>
      <c r="AX704" s="311">
        <v>0.31459999999999999</v>
      </c>
      <c r="AY704" s="311">
        <v>0.39650000000000002</v>
      </c>
      <c r="AZ704" s="311">
        <v>0.41410000000000002</v>
      </c>
      <c r="BA704" s="311">
        <v>0</v>
      </c>
      <c r="BB704" s="311">
        <v>0</v>
      </c>
      <c r="BC704" s="311">
        <v>0.42430000000000001</v>
      </c>
      <c r="BD704" s="311">
        <v>0.43730000000000002</v>
      </c>
      <c r="BE704" s="311">
        <v>0.45950000000000002</v>
      </c>
      <c r="BF704" s="311">
        <v>0.40710000000000002</v>
      </c>
      <c r="BG704" s="311">
        <v>0.43890000000000001</v>
      </c>
      <c r="BH704" s="311">
        <v>0.43780000000000002</v>
      </c>
      <c r="BI704" s="311">
        <v>0.44800000000000001</v>
      </c>
      <c r="BJ704" s="311">
        <v>0.40720000000000001</v>
      </c>
      <c r="BK704" s="311">
        <v>0.43269999999999997</v>
      </c>
    </row>
    <row r="705" spans="1:63" x14ac:dyDescent="0.25">
      <c r="A705" s="306" t="s">
        <v>745</v>
      </c>
      <c r="B705" s="311" t="s">
        <v>265</v>
      </c>
      <c r="C705" s="311">
        <v>0.48459999999999998</v>
      </c>
      <c r="D705" s="311">
        <v>0.27289999999999998</v>
      </c>
      <c r="E705" s="311">
        <v>0.37869999999999998</v>
      </c>
      <c r="F705" s="311">
        <v>0.33360000000000001</v>
      </c>
      <c r="G705" s="311">
        <v>0.3357</v>
      </c>
      <c r="H705" s="311">
        <v>0.37619999999999998</v>
      </c>
      <c r="I705" s="311">
        <v>0.35589999999999999</v>
      </c>
      <c r="J705" s="311">
        <v>0.35339999999999999</v>
      </c>
      <c r="K705" s="311">
        <v>7.1199999999999999E-2</v>
      </c>
      <c r="L705" s="311">
        <v>0.26889999999999997</v>
      </c>
      <c r="M705" s="311">
        <v>0.33329999999999999</v>
      </c>
      <c r="N705" s="311">
        <v>0.37809999999999999</v>
      </c>
      <c r="O705" s="311">
        <v>0.28649999999999998</v>
      </c>
      <c r="P705" s="311">
        <v>0.31119999999999998</v>
      </c>
      <c r="Q705" s="311">
        <v>0.29480000000000001</v>
      </c>
      <c r="R705" s="311">
        <v>0.40260000000000001</v>
      </c>
      <c r="S705" s="311">
        <v>0.37390000000000001</v>
      </c>
      <c r="T705" s="311">
        <v>0.2969</v>
      </c>
      <c r="U705" s="311">
        <v>0.36509999999999998</v>
      </c>
      <c r="V705" s="311">
        <v>0</v>
      </c>
      <c r="W705" s="311">
        <v>0.35220000000000001</v>
      </c>
      <c r="X705" s="311">
        <v>0.30869999999999997</v>
      </c>
      <c r="Y705" s="311">
        <v>0</v>
      </c>
      <c r="Z705" s="311">
        <v>0.39900000000000002</v>
      </c>
      <c r="AA705" s="311">
        <v>0.36299999999999999</v>
      </c>
      <c r="AB705" s="311">
        <v>0.3599</v>
      </c>
      <c r="AC705" s="311">
        <v>0.34549999999999997</v>
      </c>
      <c r="AD705" s="311">
        <v>0.28810000000000002</v>
      </c>
      <c r="AE705" s="311">
        <v>0.37319999999999998</v>
      </c>
      <c r="AF705" s="311">
        <v>0</v>
      </c>
      <c r="AG705" s="311">
        <v>0.27110000000000001</v>
      </c>
      <c r="AH705" s="311">
        <v>0.32469999999999999</v>
      </c>
      <c r="AI705" s="311">
        <v>0.34810000000000002</v>
      </c>
      <c r="AJ705" s="311">
        <v>0.2787</v>
      </c>
      <c r="AK705" s="311">
        <v>0.30270000000000002</v>
      </c>
      <c r="AL705" s="311">
        <v>0.31219999999999998</v>
      </c>
      <c r="AM705" s="311">
        <v>0.40339999999999998</v>
      </c>
      <c r="AN705" s="311">
        <v>0.33629999999999999</v>
      </c>
      <c r="AO705" s="311">
        <v>0.35949999999999999</v>
      </c>
      <c r="AP705" s="311">
        <v>0.41449999999999998</v>
      </c>
      <c r="AQ705" s="311">
        <v>0</v>
      </c>
      <c r="AR705" s="311">
        <v>0.3805</v>
      </c>
      <c r="AS705" s="311">
        <v>0</v>
      </c>
      <c r="AT705" s="311">
        <v>0.37919999999999998</v>
      </c>
      <c r="AU705" s="311">
        <v>0.40770000000000001</v>
      </c>
      <c r="AV705" s="311">
        <v>0.3654</v>
      </c>
      <c r="AW705" s="311">
        <v>0.35070000000000001</v>
      </c>
      <c r="AX705" s="311">
        <v>0.26900000000000002</v>
      </c>
      <c r="AY705" s="311">
        <v>0.34520000000000001</v>
      </c>
      <c r="AZ705" s="311">
        <v>0.36570000000000003</v>
      </c>
      <c r="BA705" s="311">
        <v>0</v>
      </c>
      <c r="BB705" s="311">
        <v>0.27979999999999999</v>
      </c>
      <c r="BC705" s="311">
        <v>0.39029999999999998</v>
      </c>
      <c r="BD705" s="311">
        <v>0.40050000000000002</v>
      </c>
      <c r="BE705" s="311">
        <v>0.42699999999999999</v>
      </c>
      <c r="BF705" s="311">
        <v>0.36559999999999998</v>
      </c>
      <c r="BG705" s="311">
        <v>0.39660000000000001</v>
      </c>
      <c r="BH705" s="311">
        <v>0.40379999999999999</v>
      </c>
      <c r="BI705" s="311">
        <v>0.4148</v>
      </c>
      <c r="BJ705" s="311">
        <v>0.3488</v>
      </c>
      <c r="BK705" s="311">
        <v>0.38269999999999998</v>
      </c>
    </row>
    <row r="706" spans="1:63" x14ac:dyDescent="0.25">
      <c r="A706" s="306">
        <v>337212</v>
      </c>
      <c r="B706" s="311" t="s">
        <v>268</v>
      </c>
      <c r="C706" s="311">
        <v>0.4798</v>
      </c>
      <c r="D706" s="311">
        <v>0</v>
      </c>
      <c r="E706" s="311">
        <v>0.39279999999999998</v>
      </c>
      <c r="F706" s="311">
        <v>0.35930000000000001</v>
      </c>
      <c r="G706" s="311">
        <v>0.3574</v>
      </c>
      <c r="H706" s="311">
        <v>0.39179999999999998</v>
      </c>
      <c r="I706" s="311">
        <v>0.38250000000000001</v>
      </c>
      <c r="J706" s="311">
        <v>0.36380000000000001</v>
      </c>
      <c r="K706" s="311">
        <v>7.9500000000000001E-2</v>
      </c>
      <c r="L706" s="311">
        <v>0.28510000000000002</v>
      </c>
      <c r="M706" s="311">
        <v>0.36109999999999998</v>
      </c>
      <c r="N706" s="311">
        <v>0.41099999999999998</v>
      </c>
      <c r="O706" s="311">
        <v>0.3271</v>
      </c>
      <c r="P706" s="311">
        <v>0.32919999999999999</v>
      </c>
      <c r="Q706" s="311">
        <v>0.3392</v>
      </c>
      <c r="R706" s="311">
        <v>0.4083</v>
      </c>
      <c r="S706" s="311">
        <v>0.38159999999999999</v>
      </c>
      <c r="T706" s="311">
        <v>0.31609999999999999</v>
      </c>
      <c r="U706" s="311">
        <v>0.3821</v>
      </c>
      <c r="V706" s="311">
        <v>0.36009999999999998</v>
      </c>
      <c r="W706" s="311">
        <v>0.36499999999999999</v>
      </c>
      <c r="X706" s="311">
        <v>0.3387</v>
      </c>
      <c r="Y706" s="311">
        <v>0.36349999999999999</v>
      </c>
      <c r="Z706" s="311">
        <v>0.41270000000000001</v>
      </c>
      <c r="AA706" s="311">
        <v>0.38929999999999998</v>
      </c>
      <c r="AB706" s="311">
        <v>0.36930000000000002</v>
      </c>
      <c r="AC706" s="311">
        <v>0.3735</v>
      </c>
      <c r="AD706" s="311">
        <v>0.33589999999999998</v>
      </c>
      <c r="AE706" s="311">
        <v>0.4037</v>
      </c>
      <c r="AF706" s="311">
        <v>0.30070000000000002</v>
      </c>
      <c r="AG706" s="311">
        <v>0.2994</v>
      </c>
      <c r="AH706" s="311">
        <v>0.34539999999999998</v>
      </c>
      <c r="AI706" s="311">
        <v>0.3619</v>
      </c>
      <c r="AJ706" s="311">
        <v>0.31</v>
      </c>
      <c r="AK706" s="311">
        <v>0.34570000000000001</v>
      </c>
      <c r="AL706" s="311">
        <v>0.33450000000000002</v>
      </c>
      <c r="AM706" s="311">
        <v>0.40050000000000002</v>
      </c>
      <c r="AN706" s="311">
        <v>0.35799999999999998</v>
      </c>
      <c r="AO706" s="311">
        <v>0.38919999999999999</v>
      </c>
      <c r="AP706" s="311">
        <v>0.41959999999999997</v>
      </c>
      <c r="AQ706" s="311">
        <v>0.34010000000000001</v>
      </c>
      <c r="AR706" s="311">
        <v>0.3952</v>
      </c>
      <c r="AS706" s="311">
        <v>0.32340000000000002</v>
      </c>
      <c r="AT706" s="311">
        <v>0.38800000000000001</v>
      </c>
      <c r="AU706" s="311">
        <v>0.40899999999999997</v>
      </c>
      <c r="AV706" s="311">
        <v>0.39069999999999999</v>
      </c>
      <c r="AW706" s="311">
        <v>0.38150000000000001</v>
      </c>
      <c r="AX706" s="311">
        <v>0.2999</v>
      </c>
      <c r="AY706" s="311">
        <v>0.37109999999999999</v>
      </c>
      <c r="AZ706" s="311">
        <v>0.39589999999999997</v>
      </c>
      <c r="BA706" s="311">
        <v>0.33310000000000001</v>
      </c>
      <c r="BB706" s="311">
        <v>0</v>
      </c>
      <c r="BC706" s="311">
        <v>0.40479999999999999</v>
      </c>
      <c r="BD706" s="311">
        <v>0.41039999999999999</v>
      </c>
      <c r="BE706" s="311">
        <v>0.43059999999999998</v>
      </c>
      <c r="BF706" s="311">
        <v>0.38469999999999999</v>
      </c>
      <c r="BG706" s="311">
        <v>0.41930000000000001</v>
      </c>
      <c r="BH706" s="311">
        <v>0.41599999999999998</v>
      </c>
      <c r="BI706" s="311">
        <v>0.41739999999999999</v>
      </c>
      <c r="BJ706" s="311">
        <v>0.38300000000000001</v>
      </c>
      <c r="BK706" s="311">
        <v>0.40749999999999997</v>
      </c>
    </row>
    <row r="707" spans="1:63" x14ac:dyDescent="0.25">
      <c r="A707" s="306">
        <v>337215</v>
      </c>
      <c r="B707" s="311" t="s">
        <v>269</v>
      </c>
      <c r="C707" s="311">
        <v>0.55679999999999996</v>
      </c>
      <c r="D707" s="311">
        <v>0.34599999999999997</v>
      </c>
      <c r="E707" s="311">
        <v>0.45739999999999997</v>
      </c>
      <c r="F707" s="311">
        <v>0.41289999999999999</v>
      </c>
      <c r="G707" s="311">
        <v>0.39779999999999999</v>
      </c>
      <c r="H707" s="311">
        <v>0.43890000000000001</v>
      </c>
      <c r="I707" s="311">
        <v>0.432</v>
      </c>
      <c r="J707" s="311">
        <v>0.39989999999999998</v>
      </c>
      <c r="K707" s="311">
        <v>0</v>
      </c>
      <c r="L707" s="311">
        <v>0</v>
      </c>
      <c r="M707" s="311">
        <v>0.40350000000000003</v>
      </c>
      <c r="N707" s="311">
        <v>0.45419999999999999</v>
      </c>
      <c r="O707" s="311">
        <v>0.36130000000000001</v>
      </c>
      <c r="P707" s="311">
        <v>0.3669</v>
      </c>
      <c r="Q707" s="311">
        <v>0.36880000000000002</v>
      </c>
      <c r="R707" s="311">
        <v>0.47570000000000001</v>
      </c>
      <c r="S707" s="311">
        <v>0.43780000000000002</v>
      </c>
      <c r="T707" s="311">
        <v>0.35299999999999998</v>
      </c>
      <c r="U707" s="311">
        <v>0.43990000000000001</v>
      </c>
      <c r="V707" s="311">
        <v>0.41589999999999999</v>
      </c>
      <c r="W707" s="311">
        <v>0.40239999999999998</v>
      </c>
      <c r="X707" s="311">
        <v>0.3881</v>
      </c>
      <c r="Y707" s="311">
        <v>0.3962</v>
      </c>
      <c r="Z707" s="311">
        <v>0.47570000000000001</v>
      </c>
      <c r="AA707" s="311">
        <v>0.43259999999999998</v>
      </c>
      <c r="AB707" s="311">
        <v>0.4123</v>
      </c>
      <c r="AC707" s="311">
        <v>0.43120000000000003</v>
      </c>
      <c r="AD707" s="311">
        <v>0.37</v>
      </c>
      <c r="AE707" s="311">
        <v>0.44829999999999998</v>
      </c>
      <c r="AF707" s="311">
        <v>0.33439999999999998</v>
      </c>
      <c r="AG707" s="311">
        <v>0.3417</v>
      </c>
      <c r="AH707" s="311">
        <v>0.377</v>
      </c>
      <c r="AI707" s="311">
        <v>0.40479999999999999</v>
      </c>
      <c r="AJ707" s="311">
        <v>0.34420000000000001</v>
      </c>
      <c r="AK707" s="311">
        <v>0.3775</v>
      </c>
      <c r="AL707" s="311">
        <v>0.37459999999999999</v>
      </c>
      <c r="AM707" s="311">
        <v>0.46260000000000001</v>
      </c>
      <c r="AN707" s="311">
        <v>0.41909999999999997</v>
      </c>
      <c r="AO707" s="311">
        <v>0.44569999999999999</v>
      </c>
      <c r="AP707" s="311">
        <v>0.48480000000000001</v>
      </c>
      <c r="AQ707" s="311">
        <v>0.3715</v>
      </c>
      <c r="AR707" s="311">
        <v>0.4541</v>
      </c>
      <c r="AS707" s="311">
        <v>0.35759999999999997</v>
      </c>
      <c r="AT707" s="311">
        <v>0.44269999999999998</v>
      </c>
      <c r="AU707" s="311">
        <v>0.4713</v>
      </c>
      <c r="AV707" s="311">
        <v>0.45050000000000001</v>
      </c>
      <c r="AW707" s="311">
        <v>0.42670000000000002</v>
      </c>
      <c r="AX707" s="311">
        <v>0.32940000000000003</v>
      </c>
      <c r="AY707" s="311">
        <v>0.41389999999999999</v>
      </c>
      <c r="AZ707" s="311">
        <v>0.436</v>
      </c>
      <c r="BA707" s="311">
        <v>0.38059999999999999</v>
      </c>
      <c r="BB707" s="311">
        <v>0.34899999999999998</v>
      </c>
      <c r="BC707" s="311">
        <v>0.44390000000000002</v>
      </c>
      <c r="BD707" s="311">
        <v>0.47599999999999998</v>
      </c>
      <c r="BE707" s="311">
        <v>0.49659999999999999</v>
      </c>
      <c r="BF707" s="311">
        <v>0.42949999999999999</v>
      </c>
      <c r="BG707" s="311">
        <v>0.47289999999999999</v>
      </c>
      <c r="BH707" s="311">
        <v>0.4793</v>
      </c>
      <c r="BI707" s="311">
        <v>0.4884</v>
      </c>
      <c r="BJ707" s="311">
        <v>0.4279</v>
      </c>
      <c r="BK707" s="311">
        <v>0.45619999999999999</v>
      </c>
    </row>
    <row r="708" spans="1:63" x14ac:dyDescent="0.25">
      <c r="A708" s="306" t="s">
        <v>746</v>
      </c>
      <c r="B708" s="311" t="s">
        <v>267</v>
      </c>
      <c r="C708" s="311">
        <v>0.4</v>
      </c>
      <c r="D708" s="311">
        <v>0</v>
      </c>
      <c r="E708" s="311">
        <v>0</v>
      </c>
      <c r="F708" s="311">
        <v>0.31330000000000002</v>
      </c>
      <c r="G708" s="311">
        <v>0.28749999999999998</v>
      </c>
      <c r="H708" s="311">
        <v>0.311</v>
      </c>
      <c r="I708" s="311">
        <v>0</v>
      </c>
      <c r="J708" s="311">
        <v>0.27489999999999998</v>
      </c>
      <c r="K708" s="311">
        <v>0</v>
      </c>
      <c r="L708" s="311">
        <v>0</v>
      </c>
      <c r="M708" s="311">
        <v>0.29659999999999997</v>
      </c>
      <c r="N708" s="311">
        <v>0.36020000000000002</v>
      </c>
      <c r="O708" s="311">
        <v>0.26850000000000002</v>
      </c>
      <c r="P708" s="311">
        <v>0.25459999999999999</v>
      </c>
      <c r="Q708" s="311">
        <v>0.30909999999999999</v>
      </c>
      <c r="R708" s="311">
        <v>0.31030000000000002</v>
      </c>
      <c r="S708" s="311">
        <v>0.29599999999999999</v>
      </c>
      <c r="T708" s="311">
        <v>0.25040000000000001</v>
      </c>
      <c r="U708" s="311">
        <v>0</v>
      </c>
      <c r="V708" s="311">
        <v>0.32950000000000002</v>
      </c>
      <c r="W708" s="311">
        <v>0.2828</v>
      </c>
      <c r="X708" s="311">
        <v>0.26729999999999998</v>
      </c>
      <c r="Y708" s="311">
        <v>0.3246</v>
      </c>
      <c r="Z708" s="311">
        <v>0.34449999999999997</v>
      </c>
      <c r="AA708" s="311">
        <v>0.32400000000000001</v>
      </c>
      <c r="AB708" s="311">
        <v>0.28999999999999998</v>
      </c>
      <c r="AC708" s="311">
        <v>0</v>
      </c>
      <c r="AD708" s="311">
        <v>0.31259999999999999</v>
      </c>
      <c r="AE708" s="311">
        <v>0.34789999999999999</v>
      </c>
      <c r="AF708" s="311">
        <v>0</v>
      </c>
      <c r="AG708" s="311">
        <v>0.23880000000000001</v>
      </c>
      <c r="AH708" s="311">
        <v>0</v>
      </c>
      <c r="AI708" s="311">
        <v>0.28449999999999998</v>
      </c>
      <c r="AJ708" s="311">
        <v>0.25679999999999997</v>
      </c>
      <c r="AK708" s="311">
        <v>0.29720000000000002</v>
      </c>
      <c r="AL708" s="311">
        <v>0.26469999999999999</v>
      </c>
      <c r="AM708" s="311">
        <v>0.30680000000000002</v>
      </c>
      <c r="AN708" s="311">
        <v>0.29310000000000003</v>
      </c>
      <c r="AO708" s="311">
        <v>0.34439999999999998</v>
      </c>
      <c r="AP708" s="311">
        <v>0.3402</v>
      </c>
      <c r="AQ708" s="311">
        <v>0</v>
      </c>
      <c r="AR708" s="311">
        <v>0.34010000000000001</v>
      </c>
      <c r="AS708" s="311">
        <v>0</v>
      </c>
      <c r="AT708" s="311">
        <v>0.31019999999999998</v>
      </c>
      <c r="AU708" s="311">
        <v>0.34789999999999999</v>
      </c>
      <c r="AV708" s="311">
        <v>0.3095</v>
      </c>
      <c r="AW708" s="311">
        <v>0.33260000000000001</v>
      </c>
      <c r="AX708" s="311">
        <v>0</v>
      </c>
      <c r="AY708" s="311">
        <v>0.31080000000000002</v>
      </c>
      <c r="AZ708" s="311">
        <v>0.3402</v>
      </c>
      <c r="BA708" s="311">
        <v>0</v>
      </c>
      <c r="BB708" s="311">
        <v>0.25940000000000002</v>
      </c>
      <c r="BC708" s="311">
        <v>0.3216</v>
      </c>
      <c r="BD708" s="311">
        <v>0.3175</v>
      </c>
      <c r="BE708" s="311">
        <v>0.34589999999999999</v>
      </c>
      <c r="BF708" s="311">
        <v>0.31759999999999999</v>
      </c>
      <c r="BG708" s="311">
        <v>0.36299999999999999</v>
      </c>
      <c r="BH708" s="311">
        <v>0.35360000000000003</v>
      </c>
      <c r="BI708" s="311">
        <v>0.36359999999999998</v>
      </c>
      <c r="BJ708" s="311">
        <v>0.33179999999999998</v>
      </c>
      <c r="BK708" s="311">
        <v>0.35020000000000001</v>
      </c>
    </row>
    <row r="709" spans="1:63" x14ac:dyDescent="0.25">
      <c r="A709" s="306">
        <v>337910</v>
      </c>
      <c r="B709" s="311" t="s">
        <v>270</v>
      </c>
      <c r="C709" s="311">
        <v>0.46910000000000002</v>
      </c>
      <c r="D709" s="311">
        <v>0</v>
      </c>
      <c r="E709" s="311">
        <v>0.33660000000000001</v>
      </c>
      <c r="F709" s="311">
        <v>0.31109999999999999</v>
      </c>
      <c r="G709" s="311">
        <v>0.29959999999999998</v>
      </c>
      <c r="H709" s="311">
        <v>0.35410000000000003</v>
      </c>
      <c r="I709" s="311">
        <v>0.32629999999999998</v>
      </c>
      <c r="J709" s="311">
        <v>0.34749999999999998</v>
      </c>
      <c r="K709" s="311">
        <v>0</v>
      </c>
      <c r="L709" s="311">
        <v>0</v>
      </c>
      <c r="M709" s="311">
        <v>0.3029</v>
      </c>
      <c r="N709" s="311">
        <v>0.35809999999999997</v>
      </c>
      <c r="O709" s="311">
        <v>0.24990000000000001</v>
      </c>
      <c r="P709" s="311">
        <v>0.28160000000000002</v>
      </c>
      <c r="Q709" s="311">
        <v>0.23599999999999999</v>
      </c>
      <c r="R709" s="311">
        <v>0.39179999999999998</v>
      </c>
      <c r="S709" s="311">
        <v>0.34870000000000001</v>
      </c>
      <c r="T709" s="311">
        <v>0.2611</v>
      </c>
      <c r="U709" s="311">
        <v>0.35210000000000002</v>
      </c>
      <c r="V709" s="311">
        <v>0.2802</v>
      </c>
      <c r="W709" s="311">
        <v>0.32850000000000001</v>
      </c>
      <c r="X709" s="311">
        <v>0.30909999999999999</v>
      </c>
      <c r="Y709" s="311">
        <v>0.31780000000000003</v>
      </c>
      <c r="Z709" s="311">
        <v>0.36770000000000003</v>
      </c>
      <c r="AA709" s="311">
        <v>0.34389999999999998</v>
      </c>
      <c r="AB709" s="311">
        <v>0.34320000000000001</v>
      </c>
      <c r="AC709" s="311">
        <v>0.32619999999999999</v>
      </c>
      <c r="AD709" s="311">
        <v>0.2359</v>
      </c>
      <c r="AE709" s="311">
        <v>0.35959999999999998</v>
      </c>
      <c r="AF709" s="311">
        <v>0.2208</v>
      </c>
      <c r="AG709" s="311">
        <v>0.23200000000000001</v>
      </c>
      <c r="AH709" s="311">
        <v>0.313</v>
      </c>
      <c r="AI709" s="311">
        <v>0.33929999999999999</v>
      </c>
      <c r="AJ709" s="311">
        <v>0.26240000000000002</v>
      </c>
      <c r="AK709" s="311">
        <v>0.27500000000000002</v>
      </c>
      <c r="AL709" s="311">
        <v>0.27579999999999999</v>
      </c>
      <c r="AM709" s="311">
        <v>0.38040000000000002</v>
      </c>
      <c r="AN709" s="311">
        <v>0.3221</v>
      </c>
      <c r="AO709" s="311">
        <v>0.33350000000000002</v>
      </c>
      <c r="AP709" s="311">
        <v>0.38879999999999998</v>
      </c>
      <c r="AQ709" s="311">
        <v>0</v>
      </c>
      <c r="AR709" s="311">
        <v>0.37280000000000002</v>
      </c>
      <c r="AS709" s="311">
        <v>0</v>
      </c>
      <c r="AT709" s="311">
        <v>0.36509999999999998</v>
      </c>
      <c r="AU709" s="311">
        <v>0.3921</v>
      </c>
      <c r="AV709" s="311">
        <v>0.31540000000000001</v>
      </c>
      <c r="AW709" s="311">
        <v>0.32200000000000001</v>
      </c>
      <c r="AX709" s="311">
        <v>0</v>
      </c>
      <c r="AY709" s="311">
        <v>0.32650000000000001</v>
      </c>
      <c r="AZ709" s="311">
        <v>0.36520000000000002</v>
      </c>
      <c r="BA709" s="311">
        <v>0.2747</v>
      </c>
      <c r="BB709" s="311">
        <v>0</v>
      </c>
      <c r="BC709" s="311">
        <v>0.38719999999999999</v>
      </c>
      <c r="BD709" s="311">
        <v>0.3826</v>
      </c>
      <c r="BE709" s="311">
        <v>0.40529999999999999</v>
      </c>
      <c r="BF709" s="311">
        <v>0.34</v>
      </c>
      <c r="BG709" s="311">
        <v>0.37919999999999998</v>
      </c>
      <c r="BH709" s="311">
        <v>0.38940000000000002</v>
      </c>
      <c r="BI709" s="311">
        <v>0.3901</v>
      </c>
      <c r="BJ709" s="311">
        <v>0.30909999999999999</v>
      </c>
      <c r="BK709" s="311">
        <v>0.35699999999999998</v>
      </c>
    </row>
    <row r="710" spans="1:63" x14ac:dyDescent="0.25">
      <c r="A710" s="306">
        <v>337920</v>
      </c>
      <c r="B710" s="311" t="s">
        <v>271</v>
      </c>
      <c r="C710" s="311">
        <v>0.5373</v>
      </c>
      <c r="D710" s="311">
        <v>0.31140000000000001</v>
      </c>
      <c r="E710" s="311">
        <v>0.4007</v>
      </c>
      <c r="F710" s="311">
        <v>0</v>
      </c>
      <c r="G710" s="311">
        <v>0.39739999999999998</v>
      </c>
      <c r="H710" s="311">
        <v>0.4284</v>
      </c>
      <c r="I710" s="311">
        <v>0.3957</v>
      </c>
      <c r="J710" s="311">
        <v>0.41039999999999999</v>
      </c>
      <c r="K710" s="311">
        <v>0</v>
      </c>
      <c r="L710" s="311">
        <v>0.29320000000000002</v>
      </c>
      <c r="M710" s="311">
        <v>0.38080000000000003</v>
      </c>
      <c r="N710" s="311">
        <v>0.45079999999999998</v>
      </c>
      <c r="O710" s="311">
        <v>0.3322</v>
      </c>
      <c r="P710" s="311">
        <v>0.34720000000000001</v>
      </c>
      <c r="Q710" s="311">
        <v>0</v>
      </c>
      <c r="R710" s="311">
        <v>0.44550000000000001</v>
      </c>
      <c r="S710" s="311">
        <v>0.43080000000000002</v>
      </c>
      <c r="T710" s="311">
        <v>0.33079999999999998</v>
      </c>
      <c r="U710" s="311">
        <v>0.40429999999999999</v>
      </c>
      <c r="V710" s="311">
        <v>0.371</v>
      </c>
      <c r="W710" s="311">
        <v>0.41449999999999998</v>
      </c>
      <c r="X710" s="311">
        <v>0.35089999999999999</v>
      </c>
      <c r="Y710" s="311">
        <v>0</v>
      </c>
      <c r="Z710" s="311">
        <v>0.44340000000000002</v>
      </c>
      <c r="AA710" s="311">
        <v>0.42009999999999997</v>
      </c>
      <c r="AB710" s="311">
        <v>0.42449999999999999</v>
      </c>
      <c r="AC710" s="311">
        <v>0.37940000000000002</v>
      </c>
      <c r="AD710" s="311">
        <v>0</v>
      </c>
      <c r="AE710" s="311">
        <v>0.43490000000000001</v>
      </c>
      <c r="AF710" s="311">
        <v>0.29820000000000002</v>
      </c>
      <c r="AG710" s="311">
        <v>0.30769999999999997</v>
      </c>
      <c r="AH710" s="311">
        <v>0.38840000000000002</v>
      </c>
      <c r="AI710" s="311">
        <v>0.41120000000000001</v>
      </c>
      <c r="AJ710" s="311">
        <v>0.3216</v>
      </c>
      <c r="AK710" s="311">
        <v>0.36780000000000002</v>
      </c>
      <c r="AL710" s="311">
        <v>0.36380000000000001</v>
      </c>
      <c r="AM710" s="311">
        <v>0.46039999999999998</v>
      </c>
      <c r="AN710" s="311">
        <v>0.376</v>
      </c>
      <c r="AO710" s="311">
        <v>0.39240000000000003</v>
      </c>
      <c r="AP710" s="311">
        <v>0.46389999999999998</v>
      </c>
      <c r="AQ710" s="311">
        <v>0.37630000000000002</v>
      </c>
      <c r="AR710" s="311">
        <v>0.43540000000000001</v>
      </c>
      <c r="AS710" s="311">
        <v>0.34489999999999998</v>
      </c>
      <c r="AT710" s="311">
        <v>0.44140000000000001</v>
      </c>
      <c r="AU710" s="311">
        <v>0.4471</v>
      </c>
      <c r="AV710" s="311">
        <v>0.40610000000000002</v>
      </c>
      <c r="AW710" s="311">
        <v>0.40889999999999999</v>
      </c>
      <c r="AX710" s="311">
        <v>0.29470000000000002</v>
      </c>
      <c r="AY710" s="311">
        <v>0.39700000000000002</v>
      </c>
      <c r="AZ710" s="311">
        <v>0.42449999999999999</v>
      </c>
      <c r="BA710" s="311">
        <v>0</v>
      </c>
      <c r="BB710" s="311">
        <v>0</v>
      </c>
      <c r="BC710" s="311">
        <v>0.45219999999999999</v>
      </c>
      <c r="BD710" s="311">
        <v>0.4577</v>
      </c>
      <c r="BE710" s="311">
        <v>0.48709999999999998</v>
      </c>
      <c r="BF710" s="311">
        <v>0.43130000000000002</v>
      </c>
      <c r="BG710" s="311">
        <v>0.46489999999999998</v>
      </c>
      <c r="BH710" s="311">
        <v>0.45889999999999997</v>
      </c>
      <c r="BI710" s="311">
        <v>0.44990000000000002</v>
      </c>
      <c r="BJ710" s="311">
        <v>0.39950000000000002</v>
      </c>
      <c r="BK710" s="311">
        <v>0.42949999999999999</v>
      </c>
    </row>
    <row r="711" spans="1:63" x14ac:dyDescent="0.25">
      <c r="A711" s="306">
        <v>339112</v>
      </c>
      <c r="B711" s="311" t="s">
        <v>747</v>
      </c>
      <c r="C711" s="311">
        <v>0.51229999999999998</v>
      </c>
      <c r="D711" s="311">
        <v>0.32179999999999997</v>
      </c>
      <c r="E711" s="311">
        <v>0.40889999999999999</v>
      </c>
      <c r="F711" s="311">
        <v>0.39300000000000002</v>
      </c>
      <c r="G711" s="311">
        <v>0.40960000000000002</v>
      </c>
      <c r="H711" s="311">
        <v>0.45779999999999998</v>
      </c>
      <c r="I711" s="311">
        <v>0.44350000000000001</v>
      </c>
      <c r="J711" s="311">
        <v>0.4163</v>
      </c>
      <c r="K711" s="311">
        <v>0</v>
      </c>
      <c r="L711" s="311">
        <v>0</v>
      </c>
      <c r="M711" s="311">
        <v>0.42809999999999998</v>
      </c>
      <c r="N711" s="311">
        <v>0.438</v>
      </c>
      <c r="O711" s="311">
        <v>0</v>
      </c>
      <c r="P711" s="311">
        <v>0.36570000000000003</v>
      </c>
      <c r="Q711" s="311">
        <v>0.36809999999999998</v>
      </c>
      <c r="R711" s="311">
        <v>0.46400000000000002</v>
      </c>
      <c r="S711" s="311">
        <v>0.4234</v>
      </c>
      <c r="T711" s="311">
        <v>0.3548</v>
      </c>
      <c r="U711" s="311">
        <v>0.39729999999999999</v>
      </c>
      <c r="V711" s="311">
        <v>0.3962</v>
      </c>
      <c r="W711" s="311">
        <v>0.42880000000000001</v>
      </c>
      <c r="X711" s="311">
        <v>0.36770000000000003</v>
      </c>
      <c r="Y711" s="311">
        <v>0.40050000000000002</v>
      </c>
      <c r="Z711" s="311">
        <v>0.44409999999999999</v>
      </c>
      <c r="AA711" s="311">
        <v>0.44419999999999998</v>
      </c>
      <c r="AB711" s="311">
        <v>0.41020000000000001</v>
      </c>
      <c r="AC711" s="311">
        <v>0.372</v>
      </c>
      <c r="AD711" s="311">
        <v>0.36480000000000001</v>
      </c>
      <c r="AE711" s="311">
        <v>0.43159999999999998</v>
      </c>
      <c r="AF711" s="311">
        <v>0.32650000000000001</v>
      </c>
      <c r="AG711" s="311">
        <v>0.38690000000000002</v>
      </c>
      <c r="AH711" s="311">
        <v>0.3947</v>
      </c>
      <c r="AI711" s="311">
        <v>0.41880000000000001</v>
      </c>
      <c r="AJ711" s="311">
        <v>0</v>
      </c>
      <c r="AK711" s="311">
        <v>0.38829999999999998</v>
      </c>
      <c r="AL711" s="311">
        <v>0.39079999999999998</v>
      </c>
      <c r="AM711" s="311">
        <v>0.44259999999999999</v>
      </c>
      <c r="AN711" s="311">
        <v>0.39779999999999999</v>
      </c>
      <c r="AO711" s="311">
        <v>0.4113</v>
      </c>
      <c r="AP711" s="311">
        <v>0.45540000000000003</v>
      </c>
      <c r="AQ711" s="311">
        <v>0.40060000000000001</v>
      </c>
      <c r="AR711" s="311">
        <v>0.42480000000000001</v>
      </c>
      <c r="AS711" s="311">
        <v>0.36530000000000001</v>
      </c>
      <c r="AT711" s="311">
        <v>0.41799999999999998</v>
      </c>
      <c r="AU711" s="311">
        <v>0.4375</v>
      </c>
      <c r="AV711" s="311">
        <v>0.44629999999999997</v>
      </c>
      <c r="AW711" s="311">
        <v>0.4002</v>
      </c>
      <c r="AX711" s="311">
        <v>0.37280000000000002</v>
      </c>
      <c r="AY711" s="311">
        <v>0.40849999999999997</v>
      </c>
      <c r="AZ711" s="311">
        <v>0.42099999999999999</v>
      </c>
      <c r="BA711" s="311">
        <v>0</v>
      </c>
      <c r="BB711" s="311">
        <v>0</v>
      </c>
      <c r="BC711" s="311">
        <v>0.46779999999999999</v>
      </c>
      <c r="BD711" s="311">
        <v>0.46579999999999999</v>
      </c>
      <c r="BE711" s="311">
        <v>0.47289999999999999</v>
      </c>
      <c r="BF711" s="311">
        <v>0.43640000000000001</v>
      </c>
      <c r="BG711" s="311">
        <v>0.44990000000000002</v>
      </c>
      <c r="BH711" s="311">
        <v>0.42830000000000001</v>
      </c>
      <c r="BI711" s="311">
        <v>0.437</v>
      </c>
      <c r="BJ711" s="311">
        <v>0.43380000000000002</v>
      </c>
      <c r="BK711" s="311">
        <v>0.45850000000000002</v>
      </c>
    </row>
    <row r="712" spans="1:63" x14ac:dyDescent="0.25">
      <c r="A712" s="306">
        <v>339114</v>
      </c>
      <c r="B712" s="311" t="s">
        <v>272</v>
      </c>
      <c r="C712" s="311">
        <v>0.52739999999999998</v>
      </c>
      <c r="D712" s="311">
        <v>0</v>
      </c>
      <c r="E712" s="311">
        <v>0.43269999999999997</v>
      </c>
      <c r="F712" s="311">
        <v>0.40710000000000002</v>
      </c>
      <c r="G712" s="311">
        <v>0.43020000000000003</v>
      </c>
      <c r="H712" s="311">
        <v>0.46489999999999998</v>
      </c>
      <c r="I712" s="311">
        <v>0.45590000000000003</v>
      </c>
      <c r="J712" s="311">
        <v>0.4219</v>
      </c>
      <c r="K712" s="311">
        <v>0</v>
      </c>
      <c r="L712" s="311">
        <v>0.32340000000000002</v>
      </c>
      <c r="M712" s="311">
        <v>0.43740000000000001</v>
      </c>
      <c r="N712" s="311">
        <v>0.44940000000000002</v>
      </c>
      <c r="O712" s="311">
        <v>0</v>
      </c>
      <c r="P712" s="311">
        <v>0</v>
      </c>
      <c r="Q712" s="311">
        <v>0.3881</v>
      </c>
      <c r="R712" s="311">
        <v>0.46829999999999999</v>
      </c>
      <c r="S712" s="311">
        <v>0.4269</v>
      </c>
      <c r="T712" s="311">
        <v>0.37359999999999999</v>
      </c>
      <c r="U712" s="311">
        <v>0.4158</v>
      </c>
      <c r="V712" s="311">
        <v>0</v>
      </c>
      <c r="W712" s="311">
        <v>0.4239</v>
      </c>
      <c r="X712" s="311">
        <v>0.38519999999999999</v>
      </c>
      <c r="Y712" s="311">
        <v>0</v>
      </c>
      <c r="Z712" s="311">
        <v>0.45679999999999998</v>
      </c>
      <c r="AA712" s="311">
        <v>0.44490000000000002</v>
      </c>
      <c r="AB712" s="311">
        <v>0.4274</v>
      </c>
      <c r="AC712" s="311">
        <v>0.377</v>
      </c>
      <c r="AD712" s="311">
        <v>0.3871</v>
      </c>
      <c r="AE712" s="311">
        <v>0.4304</v>
      </c>
      <c r="AF712" s="311">
        <v>0.34360000000000002</v>
      </c>
      <c r="AG712" s="311">
        <v>0</v>
      </c>
      <c r="AH712" s="311">
        <v>0</v>
      </c>
      <c r="AI712" s="311">
        <v>0.42020000000000002</v>
      </c>
      <c r="AJ712" s="311">
        <v>0.39079999999999998</v>
      </c>
      <c r="AK712" s="311">
        <v>0.41870000000000002</v>
      </c>
      <c r="AL712" s="311">
        <v>0.4052</v>
      </c>
      <c r="AM712" s="311">
        <v>0.45929999999999999</v>
      </c>
      <c r="AN712" s="311">
        <v>0.41899999999999998</v>
      </c>
      <c r="AO712" s="311">
        <v>0.43880000000000002</v>
      </c>
      <c r="AP712" s="311">
        <v>0.46400000000000002</v>
      </c>
      <c r="AQ712" s="311">
        <v>0.39539999999999997</v>
      </c>
      <c r="AR712" s="311">
        <v>0.42399999999999999</v>
      </c>
      <c r="AS712" s="311">
        <v>0.38250000000000001</v>
      </c>
      <c r="AT712" s="311">
        <v>0.43569999999999998</v>
      </c>
      <c r="AU712" s="311">
        <v>0.46210000000000001</v>
      </c>
      <c r="AV712" s="311">
        <v>0.46899999999999997</v>
      </c>
      <c r="AW712" s="311">
        <v>0</v>
      </c>
      <c r="AX712" s="311">
        <v>0</v>
      </c>
      <c r="AY712" s="311">
        <v>0.43490000000000001</v>
      </c>
      <c r="AZ712" s="311">
        <v>0.43330000000000002</v>
      </c>
      <c r="BA712" s="311">
        <v>0</v>
      </c>
      <c r="BB712" s="311">
        <v>0</v>
      </c>
      <c r="BC712" s="311">
        <v>0.46629999999999999</v>
      </c>
      <c r="BD712" s="311">
        <v>0.47410000000000002</v>
      </c>
      <c r="BE712" s="311">
        <v>0.4824</v>
      </c>
      <c r="BF712" s="311">
        <v>0.4451</v>
      </c>
      <c r="BG712" s="311">
        <v>0.4637</v>
      </c>
      <c r="BH712" s="311">
        <v>0.44790000000000002</v>
      </c>
      <c r="BI712" s="311">
        <v>0.46200000000000002</v>
      </c>
      <c r="BJ712" s="311">
        <v>0.45860000000000001</v>
      </c>
      <c r="BK712" s="311">
        <v>0.47220000000000001</v>
      </c>
    </row>
    <row r="713" spans="1:63" x14ac:dyDescent="0.25">
      <c r="A713" s="306">
        <v>339115</v>
      </c>
      <c r="B713" s="311" t="s">
        <v>273</v>
      </c>
      <c r="C713" s="311">
        <v>0.47399999999999998</v>
      </c>
      <c r="D713" s="311">
        <v>0</v>
      </c>
      <c r="E713" s="311">
        <v>0.3795</v>
      </c>
      <c r="F713" s="311">
        <v>0.37269999999999998</v>
      </c>
      <c r="G713" s="311">
        <v>0.37909999999999999</v>
      </c>
      <c r="H713" s="311">
        <v>0.4249</v>
      </c>
      <c r="I713" s="311">
        <v>0.41420000000000001</v>
      </c>
      <c r="J713" s="311">
        <v>0.38769999999999999</v>
      </c>
      <c r="K713" s="311">
        <v>0</v>
      </c>
      <c r="L713" s="311">
        <v>0</v>
      </c>
      <c r="M713" s="311">
        <v>0.40039999999999998</v>
      </c>
      <c r="N713" s="311">
        <v>0.40510000000000002</v>
      </c>
      <c r="O713" s="311">
        <v>0.34789999999999999</v>
      </c>
      <c r="P713" s="311">
        <v>0.34289999999999998</v>
      </c>
      <c r="Q713" s="311">
        <v>0.34570000000000001</v>
      </c>
      <c r="R713" s="311">
        <v>0.42859999999999998</v>
      </c>
      <c r="S713" s="311">
        <v>0.4007</v>
      </c>
      <c r="T713" s="311">
        <v>0.33100000000000002</v>
      </c>
      <c r="U713" s="311">
        <v>0.37030000000000002</v>
      </c>
      <c r="V713" s="311">
        <v>0.3695</v>
      </c>
      <c r="W713" s="311">
        <v>0.39629999999999999</v>
      </c>
      <c r="X713" s="311">
        <v>0.3367</v>
      </c>
      <c r="Y713" s="311">
        <v>0.37259999999999999</v>
      </c>
      <c r="Z713" s="311">
        <v>0.41260000000000002</v>
      </c>
      <c r="AA713" s="311">
        <v>0.41460000000000002</v>
      </c>
      <c r="AB713" s="311">
        <v>0.38440000000000002</v>
      </c>
      <c r="AC713" s="311">
        <v>0.34760000000000002</v>
      </c>
      <c r="AD713" s="311">
        <v>0.34379999999999999</v>
      </c>
      <c r="AE713" s="311">
        <v>0.40160000000000001</v>
      </c>
      <c r="AF713" s="311">
        <v>0</v>
      </c>
      <c r="AG713" s="311">
        <v>0.36770000000000003</v>
      </c>
      <c r="AH713" s="311">
        <v>0.36620000000000003</v>
      </c>
      <c r="AI713" s="311">
        <v>0.38550000000000001</v>
      </c>
      <c r="AJ713" s="311">
        <v>0.33750000000000002</v>
      </c>
      <c r="AK713" s="311">
        <v>0.35980000000000001</v>
      </c>
      <c r="AL713" s="311">
        <v>0.36080000000000001</v>
      </c>
      <c r="AM713" s="311">
        <v>0.41139999999999999</v>
      </c>
      <c r="AN713" s="311">
        <v>0.3679</v>
      </c>
      <c r="AO713" s="311">
        <v>0.38229999999999997</v>
      </c>
      <c r="AP713" s="311">
        <v>0.42259999999999998</v>
      </c>
      <c r="AQ713" s="311">
        <v>0.3735</v>
      </c>
      <c r="AR713" s="311">
        <v>0.39729999999999999</v>
      </c>
      <c r="AS713" s="311">
        <v>0.34439999999999998</v>
      </c>
      <c r="AT713" s="311">
        <v>0.38800000000000001</v>
      </c>
      <c r="AU713" s="311">
        <v>0.40289999999999998</v>
      </c>
      <c r="AV713" s="311">
        <v>0.41789999999999999</v>
      </c>
      <c r="AW713" s="311">
        <v>0.36899999999999999</v>
      </c>
      <c r="AX713" s="311">
        <v>0.35139999999999999</v>
      </c>
      <c r="AY713" s="311">
        <v>0.38019999999999998</v>
      </c>
      <c r="AZ713" s="311">
        <v>0.39429999999999998</v>
      </c>
      <c r="BA713" s="311">
        <v>0.32479999999999998</v>
      </c>
      <c r="BB713" s="311">
        <v>0.3291</v>
      </c>
      <c r="BC713" s="311">
        <v>0.43390000000000001</v>
      </c>
      <c r="BD713" s="311">
        <v>0.43</v>
      </c>
      <c r="BE713" s="311">
        <v>0.4405</v>
      </c>
      <c r="BF713" s="311">
        <v>0.4108</v>
      </c>
      <c r="BG713" s="311">
        <v>0.41649999999999998</v>
      </c>
      <c r="BH713" s="311">
        <v>0.39610000000000001</v>
      </c>
      <c r="BI713" s="311">
        <v>0.40339999999999998</v>
      </c>
      <c r="BJ713" s="311">
        <v>0.40649999999999997</v>
      </c>
      <c r="BK713" s="311">
        <v>0.42630000000000001</v>
      </c>
    </row>
    <row r="714" spans="1:63" x14ac:dyDescent="0.25">
      <c r="A714" s="306">
        <v>339116</v>
      </c>
      <c r="B714" s="311" t="s">
        <v>748</v>
      </c>
      <c r="C714" s="311">
        <v>0.7298</v>
      </c>
      <c r="D714" s="311">
        <v>0.5343</v>
      </c>
      <c r="E714" s="311">
        <v>0.62129999999999996</v>
      </c>
      <c r="F714" s="311">
        <v>0.61799999999999999</v>
      </c>
      <c r="G714" s="311">
        <v>0.63900000000000001</v>
      </c>
      <c r="H714" s="311">
        <v>0.68959999999999999</v>
      </c>
      <c r="I714" s="311">
        <v>0.68689999999999996</v>
      </c>
      <c r="J714" s="311">
        <v>0.63339999999999996</v>
      </c>
      <c r="K714" s="311">
        <v>0.1792</v>
      </c>
      <c r="L714" s="311">
        <v>0.5121</v>
      </c>
      <c r="M714" s="311">
        <v>0.66459999999999997</v>
      </c>
      <c r="N714" s="311">
        <v>0.6472</v>
      </c>
      <c r="O714" s="311">
        <v>0.61919999999999997</v>
      </c>
      <c r="P714" s="311">
        <v>0.57620000000000005</v>
      </c>
      <c r="Q714" s="311">
        <v>0.59850000000000003</v>
      </c>
      <c r="R714" s="311">
        <v>0.68279999999999996</v>
      </c>
      <c r="S714" s="311">
        <v>0.626</v>
      </c>
      <c r="T714" s="311">
        <v>0.56169999999999998</v>
      </c>
      <c r="U714" s="311">
        <v>0.62309999999999999</v>
      </c>
      <c r="V714" s="311">
        <v>0.62719999999999998</v>
      </c>
      <c r="W714" s="311">
        <v>0.6331</v>
      </c>
      <c r="X714" s="311">
        <v>0.56920000000000004</v>
      </c>
      <c r="Y714" s="311">
        <v>0.61819999999999997</v>
      </c>
      <c r="Z714" s="311">
        <v>0.67859999999999998</v>
      </c>
      <c r="AA714" s="311">
        <v>0.6694</v>
      </c>
      <c r="AB714" s="311">
        <v>0.62239999999999995</v>
      </c>
      <c r="AC714" s="311">
        <v>0.58009999999999995</v>
      </c>
      <c r="AD714" s="311">
        <v>0.62190000000000001</v>
      </c>
      <c r="AE714" s="311">
        <v>0.64600000000000002</v>
      </c>
      <c r="AF714" s="311">
        <v>0.5464</v>
      </c>
      <c r="AG714" s="311">
        <v>0.60029999999999994</v>
      </c>
      <c r="AH714" s="311">
        <v>0.57089999999999996</v>
      </c>
      <c r="AI714" s="311">
        <v>0.62319999999999998</v>
      </c>
      <c r="AJ714" s="311">
        <v>0.59560000000000002</v>
      </c>
      <c r="AK714" s="311">
        <v>0.62819999999999998</v>
      </c>
      <c r="AL714" s="311">
        <v>0.61919999999999997</v>
      </c>
      <c r="AM714" s="311">
        <v>0.65180000000000005</v>
      </c>
      <c r="AN714" s="311">
        <v>0.63139999999999996</v>
      </c>
      <c r="AO714" s="311">
        <v>0.65580000000000005</v>
      </c>
      <c r="AP714" s="311">
        <v>0.66869999999999996</v>
      </c>
      <c r="AQ714" s="311">
        <v>0.59089999999999998</v>
      </c>
      <c r="AR714" s="311">
        <v>0.61419999999999997</v>
      </c>
      <c r="AS714" s="311">
        <v>0.59360000000000002</v>
      </c>
      <c r="AT714" s="311">
        <v>0.63160000000000005</v>
      </c>
      <c r="AU714" s="311">
        <v>0.65290000000000004</v>
      </c>
      <c r="AV714" s="311">
        <v>0.69069999999999998</v>
      </c>
      <c r="AW714" s="311">
        <v>0.61939999999999995</v>
      </c>
      <c r="AX714" s="311">
        <v>0.56389999999999996</v>
      </c>
      <c r="AY714" s="311">
        <v>0.64249999999999996</v>
      </c>
      <c r="AZ714" s="311">
        <v>0.65400000000000003</v>
      </c>
      <c r="BA714" s="311">
        <v>0.53539999999999999</v>
      </c>
      <c r="BB714" s="311">
        <v>0.58440000000000003</v>
      </c>
      <c r="BC714" s="311">
        <v>0.6855</v>
      </c>
      <c r="BD714" s="311">
        <v>0.69469999999999998</v>
      </c>
      <c r="BE714" s="311">
        <v>0.69340000000000002</v>
      </c>
      <c r="BF714" s="311">
        <v>0.65129999999999999</v>
      </c>
      <c r="BG714" s="311">
        <v>0.67320000000000002</v>
      </c>
      <c r="BH714" s="311">
        <v>0.64280000000000004</v>
      </c>
      <c r="BI714" s="311">
        <v>0.65529999999999999</v>
      </c>
      <c r="BJ714" s="311">
        <v>0.67859999999999998</v>
      </c>
      <c r="BK714" s="311">
        <v>0.69169999999999998</v>
      </c>
    </row>
    <row r="715" spans="1:63" x14ac:dyDescent="0.25">
      <c r="A715" s="306" t="s">
        <v>749</v>
      </c>
      <c r="B715" s="311" t="s">
        <v>750</v>
      </c>
      <c r="C715" s="311">
        <v>0.50360000000000005</v>
      </c>
      <c r="D715" s="311">
        <v>0.30590000000000001</v>
      </c>
      <c r="E715" s="311">
        <v>0.40010000000000001</v>
      </c>
      <c r="F715" s="311">
        <v>0.37419999999999998</v>
      </c>
      <c r="G715" s="311">
        <v>0.3957</v>
      </c>
      <c r="H715" s="311">
        <v>0.44030000000000002</v>
      </c>
      <c r="I715" s="311">
        <v>0.42099999999999999</v>
      </c>
      <c r="J715" s="311">
        <v>0.39529999999999998</v>
      </c>
      <c r="K715" s="311">
        <v>0</v>
      </c>
      <c r="L715" s="311">
        <v>0.30209999999999998</v>
      </c>
      <c r="M715" s="311">
        <v>0.40789999999999998</v>
      </c>
      <c r="N715" s="311">
        <v>0.42559999999999998</v>
      </c>
      <c r="O715" s="311">
        <v>0.35289999999999999</v>
      </c>
      <c r="P715" s="311">
        <v>0.35</v>
      </c>
      <c r="Q715" s="311">
        <v>0.3498</v>
      </c>
      <c r="R715" s="311">
        <v>0.44419999999999998</v>
      </c>
      <c r="S715" s="311">
        <v>0.4047</v>
      </c>
      <c r="T715" s="311">
        <v>0.34029999999999999</v>
      </c>
      <c r="U715" s="311">
        <v>0.3841</v>
      </c>
      <c r="V715" s="311">
        <v>0.38440000000000002</v>
      </c>
      <c r="W715" s="311">
        <v>0.40799999999999997</v>
      </c>
      <c r="X715" s="311">
        <v>0.35160000000000002</v>
      </c>
      <c r="Y715" s="311">
        <v>0.38419999999999999</v>
      </c>
      <c r="Z715" s="311">
        <v>0.42899999999999999</v>
      </c>
      <c r="AA715" s="311">
        <v>0.42170000000000002</v>
      </c>
      <c r="AB715" s="311">
        <v>0.3886</v>
      </c>
      <c r="AC715" s="311">
        <v>0.36009999999999998</v>
      </c>
      <c r="AD715" s="311">
        <v>0.34799999999999998</v>
      </c>
      <c r="AE715" s="311">
        <v>0.41399999999999998</v>
      </c>
      <c r="AF715" s="311">
        <v>0.30909999999999999</v>
      </c>
      <c r="AG715" s="311">
        <v>0.36130000000000001</v>
      </c>
      <c r="AH715" s="311">
        <v>0.3765</v>
      </c>
      <c r="AI715" s="311">
        <v>0.39739999999999998</v>
      </c>
      <c r="AJ715" s="311">
        <v>0.34739999999999999</v>
      </c>
      <c r="AK715" s="311">
        <v>0.37059999999999998</v>
      </c>
      <c r="AL715" s="311">
        <v>0.37480000000000002</v>
      </c>
      <c r="AM715" s="311">
        <v>0.43009999999999998</v>
      </c>
      <c r="AN715" s="311">
        <v>0.38390000000000002</v>
      </c>
      <c r="AO715" s="311">
        <v>0.39979999999999999</v>
      </c>
      <c r="AP715" s="311">
        <v>0.43880000000000002</v>
      </c>
      <c r="AQ715" s="311">
        <v>0.37590000000000001</v>
      </c>
      <c r="AR715" s="311">
        <v>0.40960000000000002</v>
      </c>
      <c r="AS715" s="311">
        <v>0.34599999999999997</v>
      </c>
      <c r="AT715" s="311">
        <v>0.41010000000000002</v>
      </c>
      <c r="AU715" s="311">
        <v>0.42630000000000001</v>
      </c>
      <c r="AV715" s="311">
        <v>0.42820000000000003</v>
      </c>
      <c r="AW715" s="311">
        <v>0.38929999999999998</v>
      </c>
      <c r="AX715" s="311">
        <v>0.3498</v>
      </c>
      <c r="AY715" s="311">
        <v>0.39539999999999997</v>
      </c>
      <c r="AZ715" s="311">
        <v>0.4083</v>
      </c>
      <c r="BA715" s="311">
        <v>0.33339999999999997</v>
      </c>
      <c r="BB715" s="311">
        <v>0.3352</v>
      </c>
      <c r="BC715" s="311">
        <v>0.44769999999999999</v>
      </c>
      <c r="BD715" s="311">
        <v>0.44829999999999998</v>
      </c>
      <c r="BE715" s="311">
        <v>0.45639999999999997</v>
      </c>
      <c r="BF715" s="311">
        <v>0.41499999999999998</v>
      </c>
      <c r="BG715" s="311">
        <v>0.43940000000000001</v>
      </c>
      <c r="BH715" s="311">
        <v>0.42270000000000002</v>
      </c>
      <c r="BI715" s="311">
        <v>0.42720000000000002</v>
      </c>
      <c r="BJ715" s="311">
        <v>0.41399999999999998</v>
      </c>
      <c r="BK715" s="311">
        <v>0.44340000000000002</v>
      </c>
    </row>
    <row r="716" spans="1:63" x14ac:dyDescent="0.25">
      <c r="A716" s="306">
        <v>339910</v>
      </c>
      <c r="B716" s="311" t="s">
        <v>274</v>
      </c>
      <c r="C716" s="311">
        <v>0.4672</v>
      </c>
      <c r="D716" s="311">
        <v>0.28310000000000002</v>
      </c>
      <c r="E716" s="311">
        <v>0.36499999999999999</v>
      </c>
      <c r="F716" s="311">
        <v>0.33119999999999999</v>
      </c>
      <c r="G716" s="311">
        <v>0.36520000000000002</v>
      </c>
      <c r="H716" s="311">
        <v>0.39689999999999998</v>
      </c>
      <c r="I716" s="311">
        <v>0.39800000000000002</v>
      </c>
      <c r="J716" s="311">
        <v>0.36049999999999999</v>
      </c>
      <c r="K716" s="311">
        <v>0</v>
      </c>
      <c r="L716" s="311">
        <v>0.26579999999999998</v>
      </c>
      <c r="M716" s="311">
        <v>0.36309999999999998</v>
      </c>
      <c r="N716" s="311">
        <v>0.37009999999999998</v>
      </c>
      <c r="O716" s="311">
        <v>0.34150000000000003</v>
      </c>
      <c r="P716" s="311">
        <v>0.31109999999999999</v>
      </c>
      <c r="Q716" s="311">
        <v>0.33079999999999998</v>
      </c>
      <c r="R716" s="311">
        <v>0.3967</v>
      </c>
      <c r="S716" s="311">
        <v>0.35980000000000001</v>
      </c>
      <c r="T716" s="311">
        <v>0.30590000000000001</v>
      </c>
      <c r="U716" s="311">
        <v>0.34710000000000002</v>
      </c>
      <c r="V716" s="311">
        <v>0.37019999999999997</v>
      </c>
      <c r="W716" s="311">
        <v>0.37109999999999999</v>
      </c>
      <c r="X716" s="311">
        <v>0.31530000000000002</v>
      </c>
      <c r="Y716" s="311">
        <v>0.35170000000000001</v>
      </c>
      <c r="Z716" s="311">
        <v>0.39629999999999999</v>
      </c>
      <c r="AA716" s="311">
        <v>0.3931</v>
      </c>
      <c r="AB716" s="311">
        <v>0.36259999999999998</v>
      </c>
      <c r="AC716" s="311">
        <v>0.315</v>
      </c>
      <c r="AD716" s="311">
        <v>0.34179999999999999</v>
      </c>
      <c r="AE716" s="311">
        <v>0.36680000000000001</v>
      </c>
      <c r="AF716" s="311">
        <v>0.29649999999999999</v>
      </c>
      <c r="AG716" s="311">
        <v>0.31559999999999999</v>
      </c>
      <c r="AH716" s="311">
        <v>0.33529999999999999</v>
      </c>
      <c r="AI716" s="311">
        <v>0.3715</v>
      </c>
      <c r="AJ716" s="311">
        <v>0.34100000000000003</v>
      </c>
      <c r="AK716" s="311">
        <v>0.35630000000000001</v>
      </c>
      <c r="AL716" s="311">
        <v>0.35649999999999998</v>
      </c>
      <c r="AM716" s="311">
        <v>0.39350000000000002</v>
      </c>
      <c r="AN716" s="311">
        <v>0.36530000000000001</v>
      </c>
      <c r="AO716" s="311">
        <v>0.37140000000000001</v>
      </c>
      <c r="AP716" s="311">
        <v>0.41039999999999999</v>
      </c>
      <c r="AQ716" s="311">
        <v>0.35410000000000003</v>
      </c>
      <c r="AR716" s="311">
        <v>0.35930000000000001</v>
      </c>
      <c r="AS716" s="311">
        <v>0.32590000000000002</v>
      </c>
      <c r="AT716" s="311">
        <v>0.3654</v>
      </c>
      <c r="AU716" s="311">
        <v>0.4022</v>
      </c>
      <c r="AV716" s="311">
        <v>0.41899999999999998</v>
      </c>
      <c r="AW716" s="311">
        <v>0.34549999999999997</v>
      </c>
      <c r="AX716" s="311">
        <v>0.32550000000000001</v>
      </c>
      <c r="AY716" s="311">
        <v>0.36730000000000002</v>
      </c>
      <c r="AZ716" s="311">
        <v>0.36370000000000002</v>
      </c>
      <c r="BA716" s="311">
        <v>0.29680000000000001</v>
      </c>
      <c r="BB716" s="311">
        <v>0.3075</v>
      </c>
      <c r="BC716" s="311">
        <v>0.41199999999999998</v>
      </c>
      <c r="BD716" s="311">
        <v>0.4204</v>
      </c>
      <c r="BE716" s="311">
        <v>0.41210000000000002</v>
      </c>
      <c r="BF716" s="311">
        <v>0.38040000000000002</v>
      </c>
      <c r="BG716" s="311">
        <v>0.38419999999999999</v>
      </c>
      <c r="BH716" s="311">
        <v>0.37719999999999998</v>
      </c>
      <c r="BI716" s="311">
        <v>0.40360000000000001</v>
      </c>
      <c r="BJ716" s="311">
        <v>0.40989999999999999</v>
      </c>
      <c r="BK716" s="311">
        <v>0.40489999999999998</v>
      </c>
    </row>
    <row r="717" spans="1:63" x14ac:dyDescent="0.25">
      <c r="A717" s="306">
        <v>339920</v>
      </c>
      <c r="B717" s="311" t="s">
        <v>275</v>
      </c>
      <c r="C717" s="311">
        <v>0.53300000000000003</v>
      </c>
      <c r="D717" s="311">
        <v>0</v>
      </c>
      <c r="E717" s="311">
        <v>0.41689999999999999</v>
      </c>
      <c r="F717" s="311">
        <v>0.38679999999999998</v>
      </c>
      <c r="G717" s="311">
        <v>0.3926</v>
      </c>
      <c r="H717" s="311">
        <v>0.4405</v>
      </c>
      <c r="I717" s="311">
        <v>0.41720000000000002</v>
      </c>
      <c r="J717" s="311">
        <v>0.38840000000000002</v>
      </c>
      <c r="K717" s="311">
        <v>0</v>
      </c>
      <c r="L717" s="311">
        <v>0.28739999999999999</v>
      </c>
      <c r="M717" s="311">
        <v>0.3886</v>
      </c>
      <c r="N717" s="311">
        <v>0.41959999999999997</v>
      </c>
      <c r="O717" s="311">
        <v>0.3407</v>
      </c>
      <c r="P717" s="311">
        <v>0.36</v>
      </c>
      <c r="Q717" s="311">
        <v>0.34720000000000001</v>
      </c>
      <c r="R717" s="311">
        <v>0.46610000000000001</v>
      </c>
      <c r="S717" s="311">
        <v>0.41139999999999999</v>
      </c>
      <c r="T717" s="311">
        <v>0.33939999999999998</v>
      </c>
      <c r="U717" s="311">
        <v>0.40699999999999997</v>
      </c>
      <c r="V717" s="311">
        <v>0.39450000000000002</v>
      </c>
      <c r="W717" s="311">
        <v>0.4027</v>
      </c>
      <c r="X717" s="311">
        <v>0.34200000000000003</v>
      </c>
      <c r="Y717" s="311">
        <v>0.36680000000000001</v>
      </c>
      <c r="Z717" s="311">
        <v>0.44140000000000001</v>
      </c>
      <c r="AA717" s="311">
        <v>0.42359999999999998</v>
      </c>
      <c r="AB717" s="311">
        <v>0.4047</v>
      </c>
      <c r="AC717" s="311">
        <v>0.37030000000000002</v>
      </c>
      <c r="AD717" s="311">
        <v>0.34849999999999998</v>
      </c>
      <c r="AE717" s="311">
        <v>0.4022</v>
      </c>
      <c r="AF717" s="311">
        <v>0.29160000000000003</v>
      </c>
      <c r="AG717" s="311">
        <v>0.34470000000000001</v>
      </c>
      <c r="AH717" s="311">
        <v>0.36109999999999998</v>
      </c>
      <c r="AI717" s="311">
        <v>0.38329999999999997</v>
      </c>
      <c r="AJ717" s="311">
        <v>0.32640000000000002</v>
      </c>
      <c r="AK717" s="311">
        <v>0.35610000000000003</v>
      </c>
      <c r="AL717" s="311">
        <v>0.3659</v>
      </c>
      <c r="AM717" s="311">
        <v>0.44080000000000003</v>
      </c>
      <c r="AN717" s="311">
        <v>0.39090000000000003</v>
      </c>
      <c r="AO717" s="311">
        <v>0.41320000000000001</v>
      </c>
      <c r="AP717" s="311">
        <v>0.4461</v>
      </c>
      <c r="AQ717" s="311">
        <v>0.36</v>
      </c>
      <c r="AR717" s="311">
        <v>0.40649999999999997</v>
      </c>
      <c r="AS717" s="311">
        <v>0</v>
      </c>
      <c r="AT717" s="311">
        <v>0.42499999999999999</v>
      </c>
      <c r="AU717" s="311">
        <v>0.43980000000000002</v>
      </c>
      <c r="AV717" s="311">
        <v>0.4264</v>
      </c>
      <c r="AW717" s="311">
        <v>0.39739999999999998</v>
      </c>
      <c r="AX717" s="311">
        <v>0.34160000000000001</v>
      </c>
      <c r="AY717" s="311">
        <v>0.40060000000000001</v>
      </c>
      <c r="AZ717" s="311">
        <v>0.41649999999999998</v>
      </c>
      <c r="BA717" s="311">
        <v>0.32240000000000002</v>
      </c>
      <c r="BB717" s="311">
        <v>0.32100000000000001</v>
      </c>
      <c r="BC717" s="311">
        <v>0.44579999999999997</v>
      </c>
      <c r="BD717" s="311">
        <v>0.4486</v>
      </c>
      <c r="BE717" s="311">
        <v>0.47460000000000002</v>
      </c>
      <c r="BF717" s="311">
        <v>0.41749999999999998</v>
      </c>
      <c r="BG717" s="311">
        <v>0.43419999999999997</v>
      </c>
      <c r="BH717" s="311">
        <v>0.44190000000000002</v>
      </c>
      <c r="BI717" s="311">
        <v>0.4471</v>
      </c>
      <c r="BJ717" s="311">
        <v>0.40920000000000001</v>
      </c>
      <c r="BK717" s="311">
        <v>0.4461</v>
      </c>
    </row>
    <row r="718" spans="1:63" x14ac:dyDescent="0.25">
      <c r="A718" s="306">
        <v>339930</v>
      </c>
      <c r="B718" s="311" t="s">
        <v>276</v>
      </c>
      <c r="C718" s="311">
        <v>0.4456</v>
      </c>
      <c r="D718" s="311">
        <v>0.23880000000000001</v>
      </c>
      <c r="E718" s="311">
        <v>0</v>
      </c>
      <c r="F718" s="311">
        <v>0.32490000000000002</v>
      </c>
      <c r="G718" s="311">
        <v>0.30620000000000003</v>
      </c>
      <c r="H718" s="311">
        <v>0.35220000000000001</v>
      </c>
      <c r="I718" s="311">
        <v>0.32919999999999999</v>
      </c>
      <c r="J718" s="311">
        <v>0.33579999999999999</v>
      </c>
      <c r="K718" s="311">
        <v>0</v>
      </c>
      <c r="L718" s="311">
        <v>0.25209999999999999</v>
      </c>
      <c r="M718" s="311">
        <v>0.31819999999999998</v>
      </c>
      <c r="N718" s="311">
        <v>0.3659</v>
      </c>
      <c r="O718" s="311">
        <v>0</v>
      </c>
      <c r="P718" s="311">
        <v>0.29659999999999997</v>
      </c>
      <c r="Q718" s="311">
        <v>0.28910000000000002</v>
      </c>
      <c r="R718" s="311">
        <v>0.37709999999999999</v>
      </c>
      <c r="S718" s="311">
        <v>0.34439999999999998</v>
      </c>
      <c r="T718" s="311">
        <v>0.2848</v>
      </c>
      <c r="U718" s="311">
        <v>0.33329999999999999</v>
      </c>
      <c r="V718" s="311">
        <v>0.3483</v>
      </c>
      <c r="W718" s="311">
        <v>0.34389999999999998</v>
      </c>
      <c r="X718" s="311">
        <v>0.28129999999999999</v>
      </c>
      <c r="Y718" s="311">
        <v>0.3155</v>
      </c>
      <c r="Z718" s="311">
        <v>0.36890000000000001</v>
      </c>
      <c r="AA718" s="311">
        <v>0.34499999999999997</v>
      </c>
      <c r="AB718" s="311">
        <v>0.33129999999999998</v>
      </c>
      <c r="AC718" s="311">
        <v>0.31879999999999997</v>
      </c>
      <c r="AD718" s="311">
        <v>0.2782</v>
      </c>
      <c r="AE718" s="311">
        <v>0.3574</v>
      </c>
      <c r="AF718" s="311">
        <v>0</v>
      </c>
      <c r="AG718" s="311">
        <v>0.28260000000000002</v>
      </c>
      <c r="AH718" s="311">
        <v>0.30030000000000001</v>
      </c>
      <c r="AI718" s="311">
        <v>0.32969999999999999</v>
      </c>
      <c r="AJ718" s="311">
        <v>0.2707</v>
      </c>
      <c r="AK718" s="311">
        <v>0.29449999999999998</v>
      </c>
      <c r="AL718" s="311">
        <v>0.30049999999999999</v>
      </c>
      <c r="AM718" s="311">
        <v>0.37659999999999999</v>
      </c>
      <c r="AN718" s="311">
        <v>0.31769999999999998</v>
      </c>
      <c r="AO718" s="311">
        <v>0.3286</v>
      </c>
      <c r="AP718" s="311">
        <v>0.37409999999999999</v>
      </c>
      <c r="AQ718" s="311">
        <v>0.315</v>
      </c>
      <c r="AR718" s="311">
        <v>0</v>
      </c>
      <c r="AS718" s="311">
        <v>0.2848</v>
      </c>
      <c r="AT718" s="311">
        <v>0.35560000000000003</v>
      </c>
      <c r="AU718" s="311">
        <v>0.374</v>
      </c>
      <c r="AV718" s="311">
        <v>0.33639999999999998</v>
      </c>
      <c r="AW718" s="311">
        <v>0.33239999999999997</v>
      </c>
      <c r="AX718" s="311">
        <v>0.27810000000000001</v>
      </c>
      <c r="AY718" s="311">
        <v>0.33589999999999998</v>
      </c>
      <c r="AZ718" s="311">
        <v>0.3483</v>
      </c>
      <c r="BA718" s="311">
        <v>0.27660000000000001</v>
      </c>
      <c r="BB718" s="311">
        <v>0.2631</v>
      </c>
      <c r="BC718" s="311">
        <v>0.37980000000000003</v>
      </c>
      <c r="BD718" s="311">
        <v>0.36759999999999998</v>
      </c>
      <c r="BE718" s="311">
        <v>0.39140000000000003</v>
      </c>
      <c r="BF718" s="311">
        <v>0.34160000000000001</v>
      </c>
      <c r="BG718" s="311">
        <v>0.37940000000000002</v>
      </c>
      <c r="BH718" s="311">
        <v>0.37130000000000002</v>
      </c>
      <c r="BI718" s="311">
        <v>0.38179999999999997</v>
      </c>
      <c r="BJ718" s="311">
        <v>0.32419999999999999</v>
      </c>
      <c r="BK718" s="311">
        <v>0.35809999999999997</v>
      </c>
    </row>
    <row r="719" spans="1:63" x14ac:dyDescent="0.25">
      <c r="A719" s="306">
        <v>339940</v>
      </c>
      <c r="B719" s="311" t="s">
        <v>277</v>
      </c>
      <c r="C719" s="311">
        <v>0.4753</v>
      </c>
      <c r="D719" s="311">
        <v>0.29270000000000002</v>
      </c>
      <c r="E719" s="311">
        <v>0.37759999999999999</v>
      </c>
      <c r="F719" s="311">
        <v>0.37619999999999998</v>
      </c>
      <c r="G719" s="311">
        <v>0.3599</v>
      </c>
      <c r="H719" s="311">
        <v>0.39179999999999998</v>
      </c>
      <c r="I719" s="311">
        <v>0.38690000000000002</v>
      </c>
      <c r="J719" s="311">
        <v>0.3639</v>
      </c>
      <c r="K719" s="311">
        <v>9.3299999999999994E-2</v>
      </c>
      <c r="L719" s="311">
        <v>0.29199999999999998</v>
      </c>
      <c r="M719" s="311">
        <v>0.37109999999999999</v>
      </c>
      <c r="N719" s="311">
        <v>0.40749999999999997</v>
      </c>
      <c r="O719" s="311">
        <v>0.3306</v>
      </c>
      <c r="P719" s="311">
        <v>0.34549999999999997</v>
      </c>
      <c r="Q719" s="311">
        <v>0.3478</v>
      </c>
      <c r="R719" s="311">
        <v>0.41410000000000002</v>
      </c>
      <c r="S719" s="311">
        <v>0.38929999999999998</v>
      </c>
      <c r="T719" s="311">
        <v>0.32919999999999999</v>
      </c>
      <c r="U719" s="311">
        <v>0.37069999999999997</v>
      </c>
      <c r="V719" s="311">
        <v>0.38129999999999997</v>
      </c>
      <c r="W719" s="311">
        <v>0.36430000000000001</v>
      </c>
      <c r="X719" s="311">
        <v>0.32579999999999998</v>
      </c>
      <c r="Y719" s="311">
        <v>0.36380000000000001</v>
      </c>
      <c r="Z719" s="311">
        <v>0.40500000000000003</v>
      </c>
      <c r="AA719" s="311">
        <v>0.38550000000000001</v>
      </c>
      <c r="AB719" s="311">
        <v>0.37380000000000002</v>
      </c>
      <c r="AC719" s="311">
        <v>0.35220000000000001</v>
      </c>
      <c r="AD719" s="311">
        <v>0.34110000000000001</v>
      </c>
      <c r="AE719" s="311">
        <v>0.39579999999999999</v>
      </c>
      <c r="AF719" s="311">
        <v>0.30499999999999999</v>
      </c>
      <c r="AG719" s="311">
        <v>0.3372</v>
      </c>
      <c r="AH719" s="311">
        <v>0.33700000000000002</v>
      </c>
      <c r="AI719" s="311">
        <v>0.37259999999999999</v>
      </c>
      <c r="AJ719" s="311">
        <v>0.33400000000000002</v>
      </c>
      <c r="AK719" s="311">
        <v>0.34989999999999999</v>
      </c>
      <c r="AL719" s="311">
        <v>0.34849999999999998</v>
      </c>
      <c r="AM719" s="311">
        <v>0.41239999999999999</v>
      </c>
      <c r="AN719" s="311">
        <v>0.3659</v>
      </c>
      <c r="AO719" s="311">
        <v>0.3831</v>
      </c>
      <c r="AP719" s="311">
        <v>0.4098</v>
      </c>
      <c r="AQ719" s="311">
        <v>0.34870000000000001</v>
      </c>
      <c r="AR719" s="311">
        <v>0.39439999999999997</v>
      </c>
      <c r="AS719" s="311">
        <v>0.33400000000000002</v>
      </c>
      <c r="AT719" s="311">
        <v>0.39250000000000002</v>
      </c>
      <c r="AU719" s="311">
        <v>0.41210000000000002</v>
      </c>
      <c r="AV719" s="311">
        <v>0.3931</v>
      </c>
      <c r="AW719" s="311">
        <v>0.36919999999999997</v>
      </c>
      <c r="AX719" s="311">
        <v>0</v>
      </c>
      <c r="AY719" s="311">
        <v>0.37619999999999998</v>
      </c>
      <c r="AZ719" s="311">
        <v>0.39400000000000002</v>
      </c>
      <c r="BA719" s="311">
        <v>0.33139999999999997</v>
      </c>
      <c r="BB719" s="311">
        <v>0.32669999999999999</v>
      </c>
      <c r="BC719" s="311">
        <v>0.41049999999999998</v>
      </c>
      <c r="BD719" s="311">
        <v>0.41370000000000001</v>
      </c>
      <c r="BE719" s="311">
        <v>0.43130000000000002</v>
      </c>
      <c r="BF719" s="311">
        <v>0.38650000000000001</v>
      </c>
      <c r="BG719" s="311">
        <v>0.41720000000000002</v>
      </c>
      <c r="BH719" s="311">
        <v>0.40920000000000001</v>
      </c>
      <c r="BI719" s="311">
        <v>0.4194</v>
      </c>
      <c r="BJ719" s="311">
        <v>0.3836</v>
      </c>
      <c r="BK719" s="311">
        <v>0.39810000000000001</v>
      </c>
    </row>
    <row r="720" spans="1:63" x14ac:dyDescent="0.25">
      <c r="A720" s="306">
        <v>339950</v>
      </c>
      <c r="B720" s="311" t="s">
        <v>278</v>
      </c>
      <c r="C720" s="311">
        <v>0.61260000000000003</v>
      </c>
      <c r="D720" s="311">
        <v>0.35539999999999999</v>
      </c>
      <c r="E720" s="311">
        <v>0.48970000000000002</v>
      </c>
      <c r="F720" s="311">
        <v>0.45700000000000002</v>
      </c>
      <c r="G720" s="311">
        <v>0.45290000000000002</v>
      </c>
      <c r="H720" s="311">
        <v>0.5081</v>
      </c>
      <c r="I720" s="311">
        <v>0.48920000000000002</v>
      </c>
      <c r="J720" s="311">
        <v>0.4708</v>
      </c>
      <c r="K720" s="311">
        <v>0.1125</v>
      </c>
      <c r="L720" s="311">
        <v>0.35349999999999998</v>
      </c>
      <c r="M720" s="311">
        <v>0.45950000000000002</v>
      </c>
      <c r="N720" s="311">
        <v>0.51880000000000004</v>
      </c>
      <c r="O720" s="311">
        <v>0.40860000000000002</v>
      </c>
      <c r="P720" s="311">
        <v>0.42009999999999997</v>
      </c>
      <c r="Q720" s="311">
        <v>0.41970000000000002</v>
      </c>
      <c r="R720" s="311">
        <v>0.53700000000000003</v>
      </c>
      <c r="S720" s="311">
        <v>0.48680000000000001</v>
      </c>
      <c r="T720" s="311">
        <v>0.40489999999999998</v>
      </c>
      <c r="U720" s="311">
        <v>0.4793</v>
      </c>
      <c r="V720" s="311">
        <v>0.45629999999999998</v>
      </c>
      <c r="W720" s="311">
        <v>0.48020000000000002</v>
      </c>
      <c r="X720" s="311">
        <v>0.42120000000000002</v>
      </c>
      <c r="Y720" s="311">
        <v>0.45910000000000001</v>
      </c>
      <c r="Z720" s="311">
        <v>0.52370000000000005</v>
      </c>
      <c r="AA720" s="311">
        <v>0.50360000000000005</v>
      </c>
      <c r="AB720" s="311">
        <v>0.4788</v>
      </c>
      <c r="AC720" s="311">
        <v>0.43930000000000002</v>
      </c>
      <c r="AD720" s="311">
        <v>0.40529999999999999</v>
      </c>
      <c r="AE720" s="311">
        <v>0.49969999999999998</v>
      </c>
      <c r="AF720" s="311">
        <v>0.36049999999999999</v>
      </c>
      <c r="AG720" s="311">
        <v>0.41539999999999999</v>
      </c>
      <c r="AH720" s="311">
        <v>0.44429999999999997</v>
      </c>
      <c r="AI720" s="311">
        <v>0.46800000000000003</v>
      </c>
      <c r="AJ720" s="311">
        <v>0.39140000000000003</v>
      </c>
      <c r="AK720" s="311">
        <v>0.44359999999999999</v>
      </c>
      <c r="AL720" s="311">
        <v>0.43409999999999999</v>
      </c>
      <c r="AM720" s="311">
        <v>0.52880000000000005</v>
      </c>
      <c r="AN720" s="311">
        <v>0.4602</v>
      </c>
      <c r="AO720" s="311">
        <v>0.48549999999999999</v>
      </c>
      <c r="AP720" s="311">
        <v>0.52680000000000005</v>
      </c>
      <c r="AQ720" s="311">
        <v>0.45029999999999998</v>
      </c>
      <c r="AR720" s="311">
        <v>0.4985</v>
      </c>
      <c r="AS720" s="311">
        <v>0.40439999999999998</v>
      </c>
      <c r="AT720" s="311">
        <v>0.49830000000000002</v>
      </c>
      <c r="AU720" s="311">
        <v>0.51449999999999996</v>
      </c>
      <c r="AV720" s="311">
        <v>0.49780000000000002</v>
      </c>
      <c r="AW720" s="311">
        <v>0.47399999999999998</v>
      </c>
      <c r="AX720" s="311">
        <v>0.40849999999999997</v>
      </c>
      <c r="AY720" s="311">
        <v>0.47449999999999998</v>
      </c>
      <c r="AZ720" s="311">
        <v>0.49719999999999998</v>
      </c>
      <c r="BA720" s="311">
        <v>0.39369999999999999</v>
      </c>
      <c r="BB720" s="311">
        <v>0.38629999999999998</v>
      </c>
      <c r="BC720" s="311">
        <v>0.53200000000000003</v>
      </c>
      <c r="BD720" s="311">
        <v>0.52539999999999998</v>
      </c>
      <c r="BE720" s="311">
        <v>0.5524</v>
      </c>
      <c r="BF720" s="311">
        <v>0.49590000000000001</v>
      </c>
      <c r="BG720" s="311">
        <v>0.52629999999999999</v>
      </c>
      <c r="BH720" s="311">
        <v>0.51849999999999996</v>
      </c>
      <c r="BI720" s="311">
        <v>0.51919999999999999</v>
      </c>
      <c r="BJ720" s="311">
        <v>0.47889999999999999</v>
      </c>
      <c r="BK720" s="311">
        <v>0.51490000000000002</v>
      </c>
    </row>
    <row r="721" spans="1:63" x14ac:dyDescent="0.25">
      <c r="A721" s="306">
        <v>339991</v>
      </c>
      <c r="B721" s="311" t="s">
        <v>1</v>
      </c>
      <c r="C721" s="311">
        <v>0.61260000000000003</v>
      </c>
      <c r="D721" s="311">
        <v>0</v>
      </c>
      <c r="E721" s="311">
        <v>0.50570000000000004</v>
      </c>
      <c r="F721" s="311">
        <v>0.45590000000000003</v>
      </c>
      <c r="G721" s="311">
        <v>0.45760000000000001</v>
      </c>
      <c r="H721" s="311">
        <v>0.504</v>
      </c>
      <c r="I721" s="311">
        <v>0.49299999999999999</v>
      </c>
      <c r="J721" s="311">
        <v>0.48220000000000002</v>
      </c>
      <c r="K721" s="311">
        <v>0</v>
      </c>
      <c r="L721" s="311">
        <v>0.35620000000000002</v>
      </c>
      <c r="M721" s="311">
        <v>0.46350000000000002</v>
      </c>
      <c r="N721" s="311">
        <v>0.48930000000000001</v>
      </c>
      <c r="O721" s="311">
        <v>0</v>
      </c>
      <c r="P721" s="311">
        <v>0.42770000000000002</v>
      </c>
      <c r="Q721" s="311">
        <v>0</v>
      </c>
      <c r="R721" s="311">
        <v>0.55420000000000003</v>
      </c>
      <c r="S721" s="311">
        <v>0.51200000000000001</v>
      </c>
      <c r="T721" s="311">
        <v>0.42209999999999998</v>
      </c>
      <c r="U721" s="311">
        <v>0.50019999999999998</v>
      </c>
      <c r="V721" s="311">
        <v>0.51459999999999995</v>
      </c>
      <c r="W721" s="311">
        <v>0.48849999999999999</v>
      </c>
      <c r="X721" s="311">
        <v>0.41170000000000001</v>
      </c>
      <c r="Y721" s="311">
        <v>0.46379999999999999</v>
      </c>
      <c r="Z721" s="311">
        <v>0.53920000000000001</v>
      </c>
      <c r="AA721" s="311">
        <v>0.49919999999999998</v>
      </c>
      <c r="AB721" s="311">
        <v>0.48199999999999998</v>
      </c>
      <c r="AC721" s="311">
        <v>0.43759999999999999</v>
      </c>
      <c r="AD721" s="311">
        <v>0.43280000000000002</v>
      </c>
      <c r="AE721" s="311">
        <v>0.504</v>
      </c>
      <c r="AF721" s="311">
        <v>0</v>
      </c>
      <c r="AG721" s="311">
        <v>0.42849999999999999</v>
      </c>
      <c r="AH721" s="311">
        <v>0.45129999999999998</v>
      </c>
      <c r="AI721" s="311">
        <v>0.45600000000000002</v>
      </c>
      <c r="AJ721" s="311">
        <v>0.4209</v>
      </c>
      <c r="AK721" s="311">
        <v>0.4481</v>
      </c>
      <c r="AL721" s="311">
        <v>0.45710000000000001</v>
      </c>
      <c r="AM721" s="311">
        <v>0.54430000000000001</v>
      </c>
      <c r="AN721" s="311">
        <v>0.50139999999999996</v>
      </c>
      <c r="AO721" s="311">
        <v>0.49880000000000002</v>
      </c>
      <c r="AP721" s="311">
        <v>0.53720000000000001</v>
      </c>
      <c r="AQ721" s="311">
        <v>0.4632</v>
      </c>
      <c r="AR721" s="311">
        <v>0.50690000000000002</v>
      </c>
      <c r="AS721" s="311">
        <v>0</v>
      </c>
      <c r="AT721" s="311">
        <v>0.48949999999999999</v>
      </c>
      <c r="AU721" s="311">
        <v>0.55589999999999995</v>
      </c>
      <c r="AV721" s="311">
        <v>0.52010000000000001</v>
      </c>
      <c r="AW721" s="311">
        <v>0.46650000000000003</v>
      </c>
      <c r="AX721" s="311">
        <v>0.436</v>
      </c>
      <c r="AY721" s="311">
        <v>0.47210000000000002</v>
      </c>
      <c r="AZ721" s="311">
        <v>0.5101</v>
      </c>
      <c r="BA721" s="311">
        <v>0.43</v>
      </c>
      <c r="BB721" s="311">
        <v>0</v>
      </c>
      <c r="BC721" s="311">
        <v>0.53639999999999999</v>
      </c>
      <c r="BD721" s="311">
        <v>0.5363</v>
      </c>
      <c r="BE721" s="311">
        <v>0.56659999999999999</v>
      </c>
      <c r="BF721" s="311">
        <v>0.48949999999999999</v>
      </c>
      <c r="BG721" s="311">
        <v>0.5121</v>
      </c>
      <c r="BH721" s="311">
        <v>0.52610000000000001</v>
      </c>
      <c r="BI721" s="311">
        <v>0.55959999999999999</v>
      </c>
      <c r="BJ721" s="311">
        <v>0.48459999999999998</v>
      </c>
      <c r="BK721" s="311">
        <v>0.50629999999999997</v>
      </c>
    </row>
    <row r="722" spans="1:63" x14ac:dyDescent="0.25">
      <c r="A722" s="306">
        <v>339992</v>
      </c>
      <c r="B722" s="311" t="s">
        <v>279</v>
      </c>
      <c r="C722" s="311">
        <v>0.58799999999999997</v>
      </c>
      <c r="D722" s="311">
        <v>0</v>
      </c>
      <c r="E722" s="311">
        <v>0</v>
      </c>
      <c r="F722" s="311">
        <v>0.46779999999999999</v>
      </c>
      <c r="G722" s="311">
        <v>0.47839999999999999</v>
      </c>
      <c r="H722" s="311">
        <v>0.53120000000000001</v>
      </c>
      <c r="I722" s="311">
        <v>0.49490000000000001</v>
      </c>
      <c r="J722" s="311">
        <v>0.46489999999999998</v>
      </c>
      <c r="K722" s="311">
        <v>0</v>
      </c>
      <c r="L722" s="311">
        <v>0</v>
      </c>
      <c r="M722" s="311">
        <v>0.47899999999999998</v>
      </c>
      <c r="N722" s="311">
        <v>0.49509999999999998</v>
      </c>
      <c r="O722" s="311">
        <v>0.4612</v>
      </c>
      <c r="P722" s="311">
        <v>0.41889999999999999</v>
      </c>
      <c r="Q722" s="311">
        <v>0.44369999999999998</v>
      </c>
      <c r="R722" s="311">
        <v>0.52569999999999995</v>
      </c>
      <c r="S722" s="311">
        <v>0.48530000000000001</v>
      </c>
      <c r="T722" s="311">
        <v>0.4113</v>
      </c>
      <c r="U722" s="311">
        <v>0.45129999999999998</v>
      </c>
      <c r="V722" s="311">
        <v>0.46989999999999998</v>
      </c>
      <c r="W722" s="311">
        <v>0.4839</v>
      </c>
      <c r="X722" s="311">
        <v>0.43969999999999998</v>
      </c>
      <c r="Y722" s="311">
        <v>0.47099999999999997</v>
      </c>
      <c r="Z722" s="311">
        <v>0.50649999999999995</v>
      </c>
      <c r="AA722" s="311">
        <v>0.48509999999999998</v>
      </c>
      <c r="AB722" s="311">
        <v>0.46</v>
      </c>
      <c r="AC722" s="311">
        <v>0.43369999999999997</v>
      </c>
      <c r="AD722" s="311">
        <v>0.46529999999999999</v>
      </c>
      <c r="AE722" s="311">
        <v>0.48749999999999999</v>
      </c>
      <c r="AF722" s="311">
        <v>0.38369999999999999</v>
      </c>
      <c r="AG722" s="311">
        <v>0.42699999999999999</v>
      </c>
      <c r="AH722" s="311">
        <v>0.43409999999999999</v>
      </c>
      <c r="AI722" s="311">
        <v>0.4471</v>
      </c>
      <c r="AJ722" s="311">
        <v>0.42909999999999998</v>
      </c>
      <c r="AK722" s="311">
        <v>0.44490000000000002</v>
      </c>
      <c r="AL722" s="311">
        <v>0.46129999999999999</v>
      </c>
      <c r="AM722" s="311">
        <v>0.50929999999999997</v>
      </c>
      <c r="AN722" s="311">
        <v>0.46110000000000001</v>
      </c>
      <c r="AO722" s="311">
        <v>0.50960000000000005</v>
      </c>
      <c r="AP722" s="311">
        <v>0.51829999999999998</v>
      </c>
      <c r="AQ722" s="311">
        <v>0.42349999999999999</v>
      </c>
      <c r="AR722" s="311">
        <v>0.4642</v>
      </c>
      <c r="AS722" s="311">
        <v>0.42559999999999998</v>
      </c>
      <c r="AT722" s="311">
        <v>0.49580000000000002</v>
      </c>
      <c r="AU722" s="311">
        <v>0.50739999999999996</v>
      </c>
      <c r="AV722" s="311">
        <v>0.49890000000000001</v>
      </c>
      <c r="AW722" s="311">
        <v>0.4647</v>
      </c>
      <c r="AX722" s="311">
        <v>0.44379999999999997</v>
      </c>
      <c r="AY722" s="311">
        <v>0.50039999999999996</v>
      </c>
      <c r="AZ722" s="311">
        <v>0.497</v>
      </c>
      <c r="BA722" s="311">
        <v>0.39429999999999998</v>
      </c>
      <c r="BB722" s="311">
        <v>0</v>
      </c>
      <c r="BC722" s="311">
        <v>0.5323</v>
      </c>
      <c r="BD722" s="311">
        <v>0.52610000000000001</v>
      </c>
      <c r="BE722" s="311">
        <v>0.53539999999999999</v>
      </c>
      <c r="BF722" s="311">
        <v>0.47799999999999998</v>
      </c>
      <c r="BG722" s="311">
        <v>0.51259999999999994</v>
      </c>
      <c r="BH722" s="311">
        <v>0.50549999999999995</v>
      </c>
      <c r="BI722" s="311">
        <v>0.51639999999999997</v>
      </c>
      <c r="BJ722" s="311">
        <v>0.50180000000000002</v>
      </c>
      <c r="BK722" s="311">
        <v>0.54290000000000005</v>
      </c>
    </row>
    <row r="723" spans="1:63" x14ac:dyDescent="0.25">
      <c r="A723" s="306">
        <v>339994</v>
      </c>
      <c r="B723" s="311" t="s">
        <v>281</v>
      </c>
      <c r="C723" s="311">
        <v>0.52239999999999998</v>
      </c>
      <c r="D723" s="311">
        <v>0</v>
      </c>
      <c r="E723" s="311">
        <v>0.4405</v>
      </c>
      <c r="F723" s="311">
        <v>0.40989999999999999</v>
      </c>
      <c r="G723" s="311">
        <v>0</v>
      </c>
      <c r="H723" s="311">
        <v>0.42249999999999999</v>
      </c>
      <c r="I723" s="311">
        <v>0.42009999999999997</v>
      </c>
      <c r="J723" s="311">
        <v>0.376</v>
      </c>
      <c r="K723" s="311">
        <v>0</v>
      </c>
      <c r="L723" s="311">
        <v>0.30449999999999999</v>
      </c>
      <c r="M723" s="311">
        <v>0.39329999999999998</v>
      </c>
      <c r="N723" s="311">
        <v>0.46150000000000002</v>
      </c>
      <c r="O723" s="311">
        <v>0</v>
      </c>
      <c r="P723" s="311">
        <v>0.38240000000000002</v>
      </c>
      <c r="Q723" s="311">
        <v>0</v>
      </c>
      <c r="R723" s="311">
        <v>0.45219999999999999</v>
      </c>
      <c r="S723" s="311">
        <v>0.4214</v>
      </c>
      <c r="T723" s="311">
        <v>0.37090000000000001</v>
      </c>
      <c r="U723" s="311">
        <v>0.41149999999999998</v>
      </c>
      <c r="V723" s="311">
        <v>0.4284</v>
      </c>
      <c r="W723" s="311">
        <v>0.3795</v>
      </c>
      <c r="X723" s="311">
        <v>0.3614</v>
      </c>
      <c r="Y723" s="311">
        <v>0</v>
      </c>
      <c r="Z723" s="311">
        <v>0.44650000000000001</v>
      </c>
      <c r="AA723" s="311">
        <v>0.42059999999999997</v>
      </c>
      <c r="AB723" s="311">
        <v>0.41270000000000001</v>
      </c>
      <c r="AC723" s="311">
        <v>0.40410000000000001</v>
      </c>
      <c r="AD723" s="311">
        <v>0</v>
      </c>
      <c r="AE723" s="311">
        <v>0.45050000000000001</v>
      </c>
      <c r="AF723" s="311">
        <v>0</v>
      </c>
      <c r="AG723" s="311">
        <v>0.3775</v>
      </c>
      <c r="AH723" s="311">
        <v>0.36799999999999999</v>
      </c>
      <c r="AI723" s="311">
        <v>0.40570000000000001</v>
      </c>
      <c r="AJ723" s="311">
        <v>0</v>
      </c>
      <c r="AK723" s="311">
        <v>0.38119999999999998</v>
      </c>
      <c r="AL723" s="311">
        <v>0.35859999999999997</v>
      </c>
      <c r="AM723" s="311">
        <v>0.4486</v>
      </c>
      <c r="AN723" s="311">
        <v>0.41360000000000002</v>
      </c>
      <c r="AO723" s="311">
        <v>0.42170000000000002</v>
      </c>
      <c r="AP723" s="311">
        <v>0.44900000000000001</v>
      </c>
      <c r="AQ723" s="311">
        <v>0.3745</v>
      </c>
      <c r="AR723" s="311">
        <v>0.44650000000000001</v>
      </c>
      <c r="AS723" s="311">
        <v>0.37840000000000001</v>
      </c>
      <c r="AT723" s="311">
        <v>0.44340000000000002</v>
      </c>
      <c r="AU723" s="311">
        <v>0.44679999999999997</v>
      </c>
      <c r="AV723" s="311">
        <v>0</v>
      </c>
      <c r="AW723" s="311">
        <v>0.4163</v>
      </c>
      <c r="AX723" s="311">
        <v>0.3654</v>
      </c>
      <c r="AY723" s="311">
        <v>0.40989999999999999</v>
      </c>
      <c r="AZ723" s="311">
        <v>0.4325</v>
      </c>
      <c r="BA723" s="311">
        <v>0</v>
      </c>
      <c r="BB723" s="311">
        <v>0</v>
      </c>
      <c r="BC723" s="311">
        <v>0.42509999999999998</v>
      </c>
      <c r="BD723" s="311">
        <v>0.43680000000000002</v>
      </c>
      <c r="BE723" s="311">
        <v>0.46679999999999999</v>
      </c>
      <c r="BF723" s="311">
        <v>0.43030000000000002</v>
      </c>
      <c r="BG723" s="311">
        <v>0.46350000000000002</v>
      </c>
      <c r="BH723" s="311">
        <v>0.46</v>
      </c>
      <c r="BI723" s="311">
        <v>0.45200000000000001</v>
      </c>
      <c r="BJ723" s="311">
        <v>0.42649999999999999</v>
      </c>
      <c r="BK723" s="311">
        <v>0.42899999999999999</v>
      </c>
    </row>
    <row r="724" spans="1:63" x14ac:dyDescent="0.25">
      <c r="A724" s="306" t="s">
        <v>751</v>
      </c>
      <c r="B724" s="311" t="s">
        <v>280</v>
      </c>
      <c r="C724" s="311">
        <v>0.56859999999999999</v>
      </c>
      <c r="D724" s="311">
        <v>0.33850000000000002</v>
      </c>
      <c r="E724" s="311">
        <v>0.4677</v>
      </c>
      <c r="F724" s="311">
        <v>0.43519999999999998</v>
      </c>
      <c r="G724" s="311">
        <v>0.43619999999999998</v>
      </c>
      <c r="H724" s="311">
        <v>0.47860000000000003</v>
      </c>
      <c r="I724" s="311">
        <v>0.45350000000000001</v>
      </c>
      <c r="J724" s="311">
        <v>0.44159999999999999</v>
      </c>
      <c r="K724" s="311">
        <v>0</v>
      </c>
      <c r="L724" s="311">
        <v>0</v>
      </c>
      <c r="M724" s="311">
        <v>0.43530000000000002</v>
      </c>
      <c r="N724" s="311">
        <v>0.47260000000000002</v>
      </c>
      <c r="O724" s="311">
        <v>0.38890000000000002</v>
      </c>
      <c r="P724" s="311">
        <v>0.40060000000000001</v>
      </c>
      <c r="Q724" s="311">
        <v>0.40029999999999999</v>
      </c>
      <c r="R724" s="311">
        <v>0.50149999999999995</v>
      </c>
      <c r="S724" s="311">
        <v>0.46489999999999998</v>
      </c>
      <c r="T724" s="311">
        <v>0.38450000000000001</v>
      </c>
      <c r="U724" s="311">
        <v>0.45269999999999999</v>
      </c>
      <c r="V724" s="311">
        <v>0.45340000000000003</v>
      </c>
      <c r="W724" s="311">
        <v>0.43209999999999998</v>
      </c>
      <c r="X724" s="311">
        <v>0.39079999999999998</v>
      </c>
      <c r="Y724" s="311">
        <v>0.43219999999999997</v>
      </c>
      <c r="Z724" s="311">
        <v>0.48759999999999998</v>
      </c>
      <c r="AA724" s="311">
        <v>0.46879999999999999</v>
      </c>
      <c r="AB724" s="311">
        <v>0.43580000000000002</v>
      </c>
      <c r="AC724" s="311">
        <v>0.42659999999999998</v>
      </c>
      <c r="AD724" s="311">
        <v>0.39900000000000002</v>
      </c>
      <c r="AE724" s="311">
        <v>0.46629999999999999</v>
      </c>
      <c r="AF724" s="311">
        <v>0.34320000000000001</v>
      </c>
      <c r="AG724" s="311">
        <v>0.38819999999999999</v>
      </c>
      <c r="AH724" s="311">
        <v>0.41099999999999998</v>
      </c>
      <c r="AI724" s="311">
        <v>0.4234</v>
      </c>
      <c r="AJ724" s="311">
        <v>0.38169999999999998</v>
      </c>
      <c r="AK724" s="311">
        <v>0.41410000000000002</v>
      </c>
      <c r="AL724" s="311">
        <v>0.41060000000000002</v>
      </c>
      <c r="AM724" s="311">
        <v>0.49469999999999997</v>
      </c>
      <c r="AN724" s="311">
        <v>0.45250000000000001</v>
      </c>
      <c r="AO724" s="311">
        <v>0.45729999999999998</v>
      </c>
      <c r="AP724" s="311">
        <v>0.49719999999999998</v>
      </c>
      <c r="AQ724" s="311">
        <v>0.4083</v>
      </c>
      <c r="AR724" s="311">
        <v>0.46279999999999999</v>
      </c>
      <c r="AS724" s="311">
        <v>0.39350000000000002</v>
      </c>
      <c r="AT724" s="311">
        <v>0.45860000000000001</v>
      </c>
      <c r="AU724" s="311">
        <v>0.49249999999999999</v>
      </c>
      <c r="AV724" s="311">
        <v>0.46329999999999999</v>
      </c>
      <c r="AW724" s="311">
        <v>0.43099999999999999</v>
      </c>
      <c r="AX724" s="311">
        <v>0.38479999999999998</v>
      </c>
      <c r="AY724" s="311">
        <v>0.4425</v>
      </c>
      <c r="AZ724" s="311">
        <v>0.46660000000000001</v>
      </c>
      <c r="BA724" s="311">
        <v>0.379</v>
      </c>
      <c r="BB724" s="311">
        <v>0.37890000000000001</v>
      </c>
      <c r="BC724" s="311">
        <v>0.48480000000000001</v>
      </c>
      <c r="BD724" s="311">
        <v>0.49399999999999999</v>
      </c>
      <c r="BE724" s="311">
        <v>0.51970000000000005</v>
      </c>
      <c r="BF724" s="311">
        <v>0.46</v>
      </c>
      <c r="BG724" s="311">
        <v>0.4819</v>
      </c>
      <c r="BH724" s="311">
        <v>0.48909999999999998</v>
      </c>
      <c r="BI724" s="311">
        <v>0.50280000000000002</v>
      </c>
      <c r="BJ724" s="311">
        <v>0.45579999999999998</v>
      </c>
      <c r="BK724" s="311">
        <v>0.48449999999999999</v>
      </c>
    </row>
    <row r="725" spans="1:63" x14ac:dyDescent="0.25">
      <c r="A725" s="306">
        <v>420000</v>
      </c>
      <c r="B725" s="311" t="s">
        <v>425</v>
      </c>
      <c r="C725" s="311">
        <v>0.4839</v>
      </c>
      <c r="D725" s="311">
        <v>0.37480000000000002</v>
      </c>
      <c r="E725" s="311">
        <v>0.40910000000000002</v>
      </c>
      <c r="F725" s="311">
        <v>0.39939999999999998</v>
      </c>
      <c r="G725" s="311">
        <v>0.42599999999999999</v>
      </c>
      <c r="H725" s="311">
        <v>0.45050000000000001</v>
      </c>
      <c r="I725" s="311">
        <v>0.45079999999999998</v>
      </c>
      <c r="J725" s="311">
        <v>0.40350000000000003</v>
      </c>
      <c r="K725" s="311">
        <v>8.6699999999999999E-2</v>
      </c>
      <c r="L725" s="311">
        <v>0.32529999999999998</v>
      </c>
      <c r="M725" s="311">
        <v>0.43419999999999997</v>
      </c>
      <c r="N725" s="311">
        <v>0.44600000000000001</v>
      </c>
      <c r="O725" s="311">
        <v>0.41120000000000001</v>
      </c>
      <c r="P725" s="311">
        <v>0.38059999999999999</v>
      </c>
      <c r="Q725" s="311">
        <v>0.39219999999999999</v>
      </c>
      <c r="R725" s="311">
        <v>0.44729999999999998</v>
      </c>
      <c r="S725" s="311">
        <v>0.4083</v>
      </c>
      <c r="T725" s="311">
        <v>0.3634</v>
      </c>
      <c r="U725" s="311">
        <v>0.38969999999999999</v>
      </c>
      <c r="V725" s="311">
        <v>0.4078</v>
      </c>
      <c r="W725" s="311">
        <v>0.41320000000000001</v>
      </c>
      <c r="X725" s="311">
        <v>0.39989999999999998</v>
      </c>
      <c r="Y725" s="311">
        <v>0.41449999999999998</v>
      </c>
      <c r="Z725" s="311">
        <v>0.4375</v>
      </c>
      <c r="AA725" s="311">
        <v>0.43059999999999998</v>
      </c>
      <c r="AB725" s="311">
        <v>0.4002</v>
      </c>
      <c r="AC725" s="311">
        <v>0.38500000000000001</v>
      </c>
      <c r="AD725" s="311">
        <v>0.38590000000000002</v>
      </c>
      <c r="AE725" s="311">
        <v>0.42159999999999997</v>
      </c>
      <c r="AF725" s="311">
        <v>0.34570000000000001</v>
      </c>
      <c r="AG725" s="311">
        <v>0.38640000000000002</v>
      </c>
      <c r="AH725" s="311">
        <v>0.38390000000000002</v>
      </c>
      <c r="AI725" s="311">
        <v>0.40849999999999997</v>
      </c>
      <c r="AJ725" s="311">
        <v>0.38900000000000001</v>
      </c>
      <c r="AK725" s="311">
        <v>0.41099999999999998</v>
      </c>
      <c r="AL725" s="311">
        <v>0.38729999999999998</v>
      </c>
      <c r="AM725" s="311">
        <v>0.43280000000000002</v>
      </c>
      <c r="AN725" s="311">
        <v>0.41270000000000001</v>
      </c>
      <c r="AO725" s="311">
        <v>0.40839999999999999</v>
      </c>
      <c r="AP725" s="311">
        <v>0.42920000000000003</v>
      </c>
      <c r="AQ725" s="311">
        <v>0.3745</v>
      </c>
      <c r="AR725" s="311">
        <v>0.40739999999999998</v>
      </c>
      <c r="AS725" s="311">
        <v>0.3654</v>
      </c>
      <c r="AT725" s="311">
        <v>0.41689999999999999</v>
      </c>
      <c r="AU725" s="311">
        <v>0.44390000000000002</v>
      </c>
      <c r="AV725" s="311">
        <v>0.44440000000000002</v>
      </c>
      <c r="AW725" s="311">
        <v>0.41539999999999999</v>
      </c>
      <c r="AX725" s="311">
        <v>0.35449999999999998</v>
      </c>
      <c r="AY725" s="311">
        <v>0.42309999999999998</v>
      </c>
      <c r="AZ725" s="311">
        <v>0.42159999999999997</v>
      </c>
      <c r="BA725" s="311">
        <v>0.35589999999999999</v>
      </c>
      <c r="BB725" s="311">
        <v>0.3594</v>
      </c>
      <c r="BC725" s="311">
        <v>0.44369999999999998</v>
      </c>
      <c r="BD725" s="311">
        <v>0.45140000000000002</v>
      </c>
      <c r="BE725" s="311">
        <v>0.45200000000000001</v>
      </c>
      <c r="BF725" s="311">
        <v>0.42630000000000001</v>
      </c>
      <c r="BG725" s="311">
        <v>0.45269999999999999</v>
      </c>
      <c r="BH725" s="311">
        <v>0.4204</v>
      </c>
      <c r="BI725" s="311">
        <v>0.44369999999999998</v>
      </c>
      <c r="BJ725" s="311">
        <v>0.4395</v>
      </c>
      <c r="BK725" s="311">
        <v>0.45090000000000002</v>
      </c>
    </row>
    <row r="726" spans="1:63" x14ac:dyDescent="0.25">
      <c r="A726" s="306">
        <v>481000</v>
      </c>
      <c r="B726" s="311" t="s">
        <v>752</v>
      </c>
      <c r="C726" s="311">
        <v>0.58260000000000001</v>
      </c>
      <c r="D726" s="311">
        <v>0.47139999999999999</v>
      </c>
      <c r="E726" s="311">
        <v>0.45660000000000001</v>
      </c>
      <c r="F726" s="311">
        <v>0.44800000000000001</v>
      </c>
      <c r="G726" s="311">
        <v>0.47139999999999999</v>
      </c>
      <c r="H726" s="311">
        <v>0.52890000000000004</v>
      </c>
      <c r="I726" s="311">
        <v>0.50070000000000003</v>
      </c>
      <c r="J726" s="311">
        <v>0.42730000000000001</v>
      </c>
      <c r="K726" s="311">
        <v>7.9699999999999993E-2</v>
      </c>
      <c r="L726" s="311">
        <v>0.37140000000000001</v>
      </c>
      <c r="M726" s="311">
        <v>0.49349999999999999</v>
      </c>
      <c r="N726" s="311">
        <v>0.47249999999999998</v>
      </c>
      <c r="O726" s="311">
        <v>0.47599999999999998</v>
      </c>
      <c r="P726" s="311">
        <v>0.38229999999999997</v>
      </c>
      <c r="Q726" s="311">
        <v>0.42249999999999999</v>
      </c>
      <c r="R726" s="311">
        <v>0.44940000000000002</v>
      </c>
      <c r="S726" s="311">
        <v>0.4602</v>
      </c>
      <c r="T726" s="311">
        <v>0.36159999999999998</v>
      </c>
      <c r="U726" s="311">
        <v>0.3332</v>
      </c>
      <c r="V726" s="311">
        <v>0.45519999999999999</v>
      </c>
      <c r="W726" s="311">
        <v>0.40010000000000001</v>
      </c>
      <c r="X726" s="311">
        <v>0.4224</v>
      </c>
      <c r="Y726" s="311">
        <v>0.46039999999999998</v>
      </c>
      <c r="Z726" s="311">
        <v>0.3841</v>
      </c>
      <c r="AA726" s="311">
        <v>0.43070000000000003</v>
      </c>
      <c r="AB726" s="311">
        <v>0.3952</v>
      </c>
      <c r="AC726" s="311">
        <v>0.45050000000000001</v>
      </c>
      <c r="AD726" s="311">
        <v>0.4703</v>
      </c>
      <c r="AE726" s="311">
        <v>0.41439999999999999</v>
      </c>
      <c r="AF726" s="311">
        <v>0.3458</v>
      </c>
      <c r="AG726" s="311">
        <v>0.36699999999999999</v>
      </c>
      <c r="AH726" s="311">
        <v>0.42530000000000001</v>
      </c>
      <c r="AI726" s="311">
        <v>0.3826</v>
      </c>
      <c r="AJ726" s="311">
        <v>0.48870000000000002</v>
      </c>
      <c r="AK726" s="311">
        <v>0.46960000000000002</v>
      </c>
      <c r="AL726" s="311">
        <v>0.38279999999999997</v>
      </c>
      <c r="AM726" s="311">
        <v>0.42830000000000001</v>
      </c>
      <c r="AN726" s="311">
        <v>0.52390000000000003</v>
      </c>
      <c r="AO726" s="311">
        <v>0.3463</v>
      </c>
      <c r="AP726" s="311">
        <v>0.38900000000000001</v>
      </c>
      <c r="AQ726" s="311">
        <v>0.41070000000000001</v>
      </c>
      <c r="AR726" s="311">
        <v>0.45860000000000001</v>
      </c>
      <c r="AS726" s="311">
        <v>0.40770000000000001</v>
      </c>
      <c r="AT726" s="311">
        <v>0.41970000000000002</v>
      </c>
      <c r="AU726" s="311">
        <v>0.53010000000000002</v>
      </c>
      <c r="AV726" s="311">
        <v>0.49659999999999999</v>
      </c>
      <c r="AW726" s="311">
        <v>0.40960000000000002</v>
      </c>
      <c r="AX726" s="311">
        <v>0.42820000000000003</v>
      </c>
      <c r="AY726" s="311">
        <v>0.51580000000000004</v>
      </c>
      <c r="AZ726" s="311">
        <v>0.41670000000000001</v>
      </c>
      <c r="BA726" s="311">
        <v>0.42499999999999999</v>
      </c>
      <c r="BB726" s="311">
        <v>0.4173</v>
      </c>
      <c r="BC726" s="311">
        <v>0.47970000000000002</v>
      </c>
      <c r="BD726" s="311">
        <v>0.44140000000000001</v>
      </c>
      <c r="BE726" s="311">
        <v>0.45619999999999999</v>
      </c>
      <c r="BF726" s="311">
        <v>0.42930000000000001</v>
      </c>
      <c r="BG726" s="311">
        <v>0.50190000000000001</v>
      </c>
      <c r="BH726" s="311">
        <v>0.42</v>
      </c>
      <c r="BI726" s="311">
        <v>0.53310000000000002</v>
      </c>
      <c r="BJ726" s="311">
        <v>0.51</v>
      </c>
      <c r="BK726" s="311">
        <v>0.54</v>
      </c>
    </row>
    <row r="727" spans="1:63" x14ac:dyDescent="0.25">
      <c r="A727" s="306">
        <v>482000</v>
      </c>
      <c r="B727" s="311" t="s">
        <v>753</v>
      </c>
      <c r="C727" s="311">
        <v>0.45390000000000003</v>
      </c>
      <c r="D727" s="311">
        <v>0</v>
      </c>
      <c r="E727" s="311">
        <v>0.34010000000000001</v>
      </c>
      <c r="F727" s="311">
        <v>0.3085</v>
      </c>
      <c r="G727" s="311">
        <v>0.34870000000000001</v>
      </c>
      <c r="H727" s="311">
        <v>0.39090000000000003</v>
      </c>
      <c r="I727" s="311">
        <v>0.38540000000000002</v>
      </c>
      <c r="J727" s="311">
        <v>0.32869999999999999</v>
      </c>
      <c r="K727" s="311">
        <v>6.13E-2</v>
      </c>
      <c r="L727" s="311">
        <v>0.27379999999999999</v>
      </c>
      <c r="M727" s="311">
        <v>0.3644</v>
      </c>
      <c r="N727" s="311">
        <v>0.36730000000000002</v>
      </c>
      <c r="O727" s="311">
        <v>0</v>
      </c>
      <c r="P727" s="311">
        <v>0.26290000000000002</v>
      </c>
      <c r="Q727" s="311">
        <v>0.30830000000000002</v>
      </c>
      <c r="R727" s="311">
        <v>0.3876</v>
      </c>
      <c r="S727" s="311">
        <v>0.32</v>
      </c>
      <c r="T727" s="311">
        <v>0.27039999999999997</v>
      </c>
      <c r="U727" s="311">
        <v>0.30380000000000001</v>
      </c>
      <c r="V727" s="311">
        <v>0.3306</v>
      </c>
      <c r="W727" s="311">
        <v>0.3211</v>
      </c>
      <c r="X727" s="311">
        <v>0.31409999999999999</v>
      </c>
      <c r="Y727" s="311">
        <v>0.3251</v>
      </c>
      <c r="Z727" s="311">
        <v>0.33929999999999999</v>
      </c>
      <c r="AA727" s="311">
        <v>0.33100000000000002</v>
      </c>
      <c r="AB727" s="311">
        <v>0.31319999999999998</v>
      </c>
      <c r="AC727" s="311">
        <v>0.31209999999999999</v>
      </c>
      <c r="AD727" s="311">
        <v>0.31380000000000002</v>
      </c>
      <c r="AE727" s="311">
        <v>0.32269999999999999</v>
      </c>
      <c r="AF727" s="311">
        <v>0.27529999999999999</v>
      </c>
      <c r="AG727" s="311">
        <v>0.27979999999999999</v>
      </c>
      <c r="AH727" s="311">
        <v>0.33129999999999998</v>
      </c>
      <c r="AI727" s="311">
        <v>0.33129999999999998</v>
      </c>
      <c r="AJ727" s="311">
        <v>0.30070000000000002</v>
      </c>
      <c r="AK727" s="311">
        <v>0.33339999999999997</v>
      </c>
      <c r="AL727" s="311">
        <v>0.31929999999999997</v>
      </c>
      <c r="AM727" s="311">
        <v>0.33</v>
      </c>
      <c r="AN727" s="311">
        <v>0.32219999999999999</v>
      </c>
      <c r="AO727" s="311">
        <v>0.3261</v>
      </c>
      <c r="AP727" s="311">
        <v>0.35460000000000003</v>
      </c>
      <c r="AQ727" s="311">
        <v>0.27779999999999999</v>
      </c>
      <c r="AR727" s="311">
        <v>0.34160000000000001</v>
      </c>
      <c r="AS727" s="311">
        <v>0.26569999999999999</v>
      </c>
      <c r="AT727" s="311">
        <v>0.32229999999999998</v>
      </c>
      <c r="AU727" s="311">
        <v>0.39889999999999998</v>
      </c>
      <c r="AV727" s="311">
        <v>0.37819999999999998</v>
      </c>
      <c r="AW727" s="311">
        <v>0.35410000000000003</v>
      </c>
      <c r="AX727" s="311">
        <v>0.29139999999999999</v>
      </c>
      <c r="AY727" s="311">
        <v>0.35880000000000001</v>
      </c>
      <c r="AZ727" s="311">
        <v>0.30459999999999998</v>
      </c>
      <c r="BA727" s="311">
        <v>0.25690000000000002</v>
      </c>
      <c r="BB727" s="311">
        <v>0.27550000000000002</v>
      </c>
      <c r="BC727" s="311">
        <v>0.36930000000000002</v>
      </c>
      <c r="BD727" s="311">
        <v>0.38529999999999998</v>
      </c>
      <c r="BE727" s="311">
        <v>0.372</v>
      </c>
      <c r="BF727" s="311">
        <v>0.33200000000000002</v>
      </c>
      <c r="BG727" s="311">
        <v>0.38369999999999999</v>
      </c>
      <c r="BH727" s="311">
        <v>0.34970000000000001</v>
      </c>
      <c r="BI727" s="311">
        <v>0.39750000000000002</v>
      </c>
      <c r="BJ727" s="311">
        <v>0.38019999999999998</v>
      </c>
      <c r="BK727" s="311">
        <v>0.39910000000000001</v>
      </c>
    </row>
    <row r="728" spans="1:63" x14ac:dyDescent="0.25">
      <c r="A728" s="306">
        <v>483000</v>
      </c>
      <c r="B728" s="311" t="s">
        <v>754</v>
      </c>
      <c r="C728" s="311">
        <v>0.437</v>
      </c>
      <c r="D728" s="311">
        <v>0.25819999999999999</v>
      </c>
      <c r="E728" s="311">
        <v>0.32190000000000002</v>
      </c>
      <c r="F728" s="311">
        <v>0.28199999999999997</v>
      </c>
      <c r="G728" s="311">
        <v>0.3206</v>
      </c>
      <c r="H728" s="311">
        <v>0.36620000000000003</v>
      </c>
      <c r="I728" s="311">
        <v>0</v>
      </c>
      <c r="J728" s="311">
        <v>0.32569999999999999</v>
      </c>
      <c r="K728" s="311">
        <v>4.6199999999999998E-2</v>
      </c>
      <c r="L728" s="311">
        <v>0.26529999999999998</v>
      </c>
      <c r="M728" s="311">
        <v>0.34820000000000001</v>
      </c>
      <c r="N728" s="311">
        <v>0.35489999999999999</v>
      </c>
      <c r="O728" s="311">
        <v>0.30220000000000002</v>
      </c>
      <c r="P728" s="311">
        <v>0.22570000000000001</v>
      </c>
      <c r="Q728" s="311">
        <v>0</v>
      </c>
      <c r="R728" s="311">
        <v>0.34499999999999997</v>
      </c>
      <c r="S728" s="311">
        <v>0.25900000000000001</v>
      </c>
      <c r="T728" s="311">
        <v>0</v>
      </c>
      <c r="U728" s="311">
        <v>0.28249999999999997</v>
      </c>
      <c r="V728" s="311">
        <v>0.318</v>
      </c>
      <c r="W728" s="311">
        <v>0.29310000000000003</v>
      </c>
      <c r="X728" s="311">
        <v>0.30280000000000001</v>
      </c>
      <c r="Y728" s="311">
        <v>0.33</v>
      </c>
      <c r="Z728" s="311">
        <v>0.31909999999999999</v>
      </c>
      <c r="AA728" s="311">
        <v>0.27360000000000001</v>
      </c>
      <c r="AB728" s="311">
        <v>0.28210000000000002</v>
      </c>
      <c r="AC728" s="311">
        <v>0.26169999999999999</v>
      </c>
      <c r="AD728" s="311">
        <v>0</v>
      </c>
      <c r="AE728" s="311">
        <v>0.3054</v>
      </c>
      <c r="AF728" s="311">
        <v>0</v>
      </c>
      <c r="AG728" s="311">
        <v>0</v>
      </c>
      <c r="AH728" s="311">
        <v>0</v>
      </c>
      <c r="AI728" s="311">
        <v>0.31840000000000002</v>
      </c>
      <c r="AJ728" s="311">
        <v>0.2974</v>
      </c>
      <c r="AK728" s="311">
        <v>0.32469999999999999</v>
      </c>
      <c r="AL728" s="311">
        <v>0.26800000000000002</v>
      </c>
      <c r="AM728" s="311">
        <v>0.3115</v>
      </c>
      <c r="AN728" s="311">
        <v>0</v>
      </c>
      <c r="AO728" s="311">
        <v>0.32669999999999999</v>
      </c>
      <c r="AP728" s="311">
        <v>0.30249999999999999</v>
      </c>
      <c r="AQ728" s="311">
        <v>0.28770000000000001</v>
      </c>
      <c r="AR728" s="311">
        <v>0.34499999999999997</v>
      </c>
      <c r="AS728" s="311">
        <v>0</v>
      </c>
      <c r="AT728" s="311">
        <v>0.31530000000000002</v>
      </c>
      <c r="AU728" s="311">
        <v>0.36799999999999999</v>
      </c>
      <c r="AV728" s="311">
        <v>0.36180000000000001</v>
      </c>
      <c r="AW728" s="311">
        <v>0.33860000000000001</v>
      </c>
      <c r="AX728" s="311">
        <v>0.27779999999999999</v>
      </c>
      <c r="AY728" s="311">
        <v>0.35060000000000002</v>
      </c>
      <c r="AZ728" s="311">
        <v>0.28270000000000001</v>
      </c>
      <c r="BA728" s="311">
        <v>0.2167</v>
      </c>
      <c r="BB728" s="311">
        <v>0.25030000000000002</v>
      </c>
      <c r="BC728" s="311">
        <v>0.3493</v>
      </c>
      <c r="BD728" s="311">
        <v>0.34870000000000001</v>
      </c>
      <c r="BE728" s="311">
        <v>0.33629999999999999</v>
      </c>
      <c r="BF728" s="311">
        <v>0.27679999999999999</v>
      </c>
      <c r="BG728" s="311">
        <v>0.379</v>
      </c>
      <c r="BH728" s="311">
        <v>0.33090000000000003</v>
      </c>
      <c r="BI728" s="311">
        <v>0.36940000000000001</v>
      </c>
      <c r="BJ728" s="311">
        <v>0.33829999999999999</v>
      </c>
      <c r="BK728" s="311">
        <v>0.37909999999999999</v>
      </c>
    </row>
    <row r="729" spans="1:63" x14ac:dyDescent="0.25">
      <c r="A729" s="306">
        <v>484000</v>
      </c>
      <c r="B729" s="311" t="s">
        <v>755</v>
      </c>
      <c r="C729" s="311">
        <v>0.58950000000000002</v>
      </c>
      <c r="D729" s="311">
        <v>0.44929999999999998</v>
      </c>
      <c r="E729" s="311">
        <v>0.47020000000000001</v>
      </c>
      <c r="F729" s="311">
        <v>0.41749999999999998</v>
      </c>
      <c r="G729" s="311">
        <v>0.4662</v>
      </c>
      <c r="H729" s="311">
        <v>0.52190000000000003</v>
      </c>
      <c r="I729" s="311">
        <v>0.50880000000000003</v>
      </c>
      <c r="J729" s="311">
        <v>0.4551</v>
      </c>
      <c r="K729" s="311">
        <v>8.4599999999999995E-2</v>
      </c>
      <c r="L729" s="311">
        <v>0.37590000000000001</v>
      </c>
      <c r="M729" s="311">
        <v>0.49009999999999998</v>
      </c>
      <c r="N729" s="311">
        <v>0.51060000000000005</v>
      </c>
      <c r="O729" s="311">
        <v>0.47849999999999998</v>
      </c>
      <c r="P729" s="311">
        <v>0.40250000000000002</v>
      </c>
      <c r="Q729" s="311">
        <v>0.42649999999999999</v>
      </c>
      <c r="R729" s="311">
        <v>0.5141</v>
      </c>
      <c r="S729" s="311">
        <v>0.47010000000000002</v>
      </c>
      <c r="T729" s="311">
        <v>0.39660000000000001</v>
      </c>
      <c r="U729" s="311">
        <v>0.46260000000000001</v>
      </c>
      <c r="V729" s="311">
        <v>0.48299999999999998</v>
      </c>
      <c r="W729" s="311">
        <v>0.44729999999999998</v>
      </c>
      <c r="X729" s="311">
        <v>0.4572</v>
      </c>
      <c r="Y729" s="311">
        <v>0.47399999999999998</v>
      </c>
      <c r="Z729" s="311">
        <v>0.50149999999999995</v>
      </c>
      <c r="AA729" s="311">
        <v>0.46189999999999998</v>
      </c>
      <c r="AB729" s="311">
        <v>0.4446</v>
      </c>
      <c r="AC729" s="311">
        <v>0.44669999999999999</v>
      </c>
      <c r="AD729" s="311">
        <v>0.44330000000000003</v>
      </c>
      <c r="AE729" s="311">
        <v>0.48</v>
      </c>
      <c r="AF729" s="311">
        <v>0.37619999999999998</v>
      </c>
      <c r="AG729" s="311">
        <v>0.36919999999999997</v>
      </c>
      <c r="AH729" s="311">
        <v>0.43009999999999998</v>
      </c>
      <c r="AI729" s="311">
        <v>0.47949999999999998</v>
      </c>
      <c r="AJ729" s="311">
        <v>0.45879999999999999</v>
      </c>
      <c r="AK729" s="311">
        <v>0.44440000000000002</v>
      </c>
      <c r="AL729" s="311">
        <v>0.43940000000000001</v>
      </c>
      <c r="AM729" s="311">
        <v>0.50660000000000005</v>
      </c>
      <c r="AN729" s="311">
        <v>0.4849</v>
      </c>
      <c r="AO729" s="311">
        <v>0.44919999999999999</v>
      </c>
      <c r="AP729" s="311">
        <v>0.49170000000000003</v>
      </c>
      <c r="AQ729" s="311">
        <v>0.42249999999999999</v>
      </c>
      <c r="AR729" s="311">
        <v>0.48899999999999999</v>
      </c>
      <c r="AS729" s="311">
        <v>0.38169999999999998</v>
      </c>
      <c r="AT729" s="311">
        <v>0.46329999999999999</v>
      </c>
      <c r="AU729" s="311">
        <v>0.53169999999999995</v>
      </c>
      <c r="AV729" s="311">
        <v>0.49769999999999998</v>
      </c>
      <c r="AW729" s="311">
        <v>0.46489999999999998</v>
      </c>
      <c r="AX729" s="311">
        <v>0.39700000000000002</v>
      </c>
      <c r="AY729" s="311">
        <v>0.47820000000000001</v>
      </c>
      <c r="AZ729" s="311">
        <v>0.45739999999999997</v>
      </c>
      <c r="BA729" s="311">
        <v>0.4158</v>
      </c>
      <c r="BB729" s="311">
        <v>0.41670000000000001</v>
      </c>
      <c r="BC729" s="311">
        <v>0.49109999999999998</v>
      </c>
      <c r="BD729" s="311">
        <v>0.51</v>
      </c>
      <c r="BE729" s="311">
        <v>0.5282</v>
      </c>
      <c r="BF729" s="311">
        <v>0.46589999999999998</v>
      </c>
      <c r="BG729" s="311">
        <v>0.52029999999999998</v>
      </c>
      <c r="BH729" s="311">
        <v>0.496</v>
      </c>
      <c r="BI729" s="311">
        <v>0.5282</v>
      </c>
      <c r="BJ729" s="311">
        <v>0.50590000000000002</v>
      </c>
      <c r="BK729" s="311">
        <v>0.52449999999999997</v>
      </c>
    </row>
    <row r="730" spans="1:63" x14ac:dyDescent="0.25">
      <c r="A730" s="306" t="s">
        <v>756</v>
      </c>
      <c r="B730" s="311" t="s">
        <v>282</v>
      </c>
      <c r="C730" s="311">
        <v>0.624</v>
      </c>
      <c r="D730" s="311">
        <v>0.44429999999999997</v>
      </c>
      <c r="E730" s="311">
        <v>0.4889</v>
      </c>
      <c r="F730" s="311">
        <v>0.45</v>
      </c>
      <c r="G730" s="311">
        <v>0.47520000000000001</v>
      </c>
      <c r="H730" s="311">
        <v>0.53659999999999997</v>
      </c>
      <c r="I730" s="311">
        <v>0.52180000000000004</v>
      </c>
      <c r="J730" s="311">
        <v>0.48120000000000002</v>
      </c>
      <c r="K730" s="311">
        <v>8.5000000000000006E-2</v>
      </c>
      <c r="L730" s="311">
        <v>0.41360000000000002</v>
      </c>
      <c r="M730" s="311">
        <v>0.48120000000000002</v>
      </c>
      <c r="N730" s="311">
        <v>0.51529999999999998</v>
      </c>
      <c r="O730" s="311">
        <v>0.46679999999999999</v>
      </c>
      <c r="P730" s="311">
        <v>0.42699999999999999</v>
      </c>
      <c r="Q730" s="311">
        <v>0.42780000000000001</v>
      </c>
      <c r="R730" s="311">
        <v>0.54990000000000006</v>
      </c>
      <c r="S730" s="311">
        <v>0.49170000000000003</v>
      </c>
      <c r="T730" s="311">
        <v>0.42870000000000003</v>
      </c>
      <c r="U730" s="311">
        <v>0.4652</v>
      </c>
      <c r="V730" s="311">
        <v>0.48720000000000002</v>
      </c>
      <c r="W730" s="311">
        <v>0.4854</v>
      </c>
      <c r="X730" s="311">
        <v>0.4592</v>
      </c>
      <c r="Y730" s="311">
        <v>0.4526</v>
      </c>
      <c r="Z730" s="311">
        <v>0.51759999999999995</v>
      </c>
      <c r="AA730" s="311">
        <v>0.49480000000000002</v>
      </c>
      <c r="AB730" s="311">
        <v>0.46989999999999998</v>
      </c>
      <c r="AC730" s="311">
        <v>0.4662</v>
      </c>
      <c r="AD730" s="311">
        <v>0.44719999999999999</v>
      </c>
      <c r="AE730" s="311">
        <v>0.48509999999999998</v>
      </c>
      <c r="AF730" s="311">
        <v>0.39879999999999999</v>
      </c>
      <c r="AG730" s="311">
        <v>0.4128</v>
      </c>
      <c r="AH730" s="311">
        <v>0.46489999999999998</v>
      </c>
      <c r="AI730" s="311">
        <v>0.49180000000000001</v>
      </c>
      <c r="AJ730" s="311">
        <v>0.4617</v>
      </c>
      <c r="AK730" s="311">
        <v>0.45040000000000002</v>
      </c>
      <c r="AL730" s="311">
        <v>0.4526</v>
      </c>
      <c r="AM730" s="311">
        <v>0.52849999999999997</v>
      </c>
      <c r="AN730" s="311">
        <v>0.48670000000000002</v>
      </c>
      <c r="AO730" s="311">
        <v>0.4652</v>
      </c>
      <c r="AP730" s="311">
        <v>0.51719999999999999</v>
      </c>
      <c r="AQ730" s="311">
        <v>0.41760000000000003</v>
      </c>
      <c r="AR730" s="311">
        <v>0.49299999999999999</v>
      </c>
      <c r="AS730" s="311">
        <v>0.40160000000000001</v>
      </c>
      <c r="AT730" s="311">
        <v>0.49669999999999997</v>
      </c>
      <c r="AU730" s="311">
        <v>0.54759999999999998</v>
      </c>
      <c r="AV730" s="311">
        <v>0.54049999999999998</v>
      </c>
      <c r="AW730" s="311">
        <v>0.42459999999999998</v>
      </c>
      <c r="AX730" s="311">
        <v>0.4229</v>
      </c>
      <c r="AY730" s="311">
        <v>0.49070000000000003</v>
      </c>
      <c r="AZ730" s="311">
        <v>0.49990000000000001</v>
      </c>
      <c r="BA730" s="311">
        <v>0.42880000000000001</v>
      </c>
      <c r="BB730" s="311">
        <v>0.39240000000000003</v>
      </c>
      <c r="BC730" s="311">
        <v>0.51029999999999998</v>
      </c>
      <c r="BD730" s="311">
        <v>0.52329999999999999</v>
      </c>
      <c r="BE730" s="311">
        <v>0.55640000000000001</v>
      </c>
      <c r="BF730" s="311">
        <v>0.48930000000000001</v>
      </c>
      <c r="BG730" s="311">
        <v>0.52310000000000001</v>
      </c>
      <c r="BH730" s="311">
        <v>0.51490000000000002</v>
      </c>
      <c r="BI730" s="311">
        <v>0.54649999999999999</v>
      </c>
      <c r="BJ730" s="311">
        <v>0.51670000000000005</v>
      </c>
      <c r="BK730" s="311">
        <v>0.53580000000000005</v>
      </c>
    </row>
    <row r="731" spans="1:63" x14ac:dyDescent="0.25">
      <c r="A731" s="306">
        <v>486000</v>
      </c>
      <c r="B731" s="311" t="s">
        <v>757</v>
      </c>
      <c r="C731" s="311">
        <v>0.55600000000000005</v>
      </c>
      <c r="D731" s="311">
        <v>0.39129999999999998</v>
      </c>
      <c r="E731" s="311">
        <v>0.41089999999999999</v>
      </c>
      <c r="F731" s="311">
        <v>0.36070000000000002</v>
      </c>
      <c r="G731" s="311">
        <v>0.41570000000000001</v>
      </c>
      <c r="H731" s="311">
        <v>0.47389999999999999</v>
      </c>
      <c r="I731" s="311">
        <v>0.46729999999999999</v>
      </c>
      <c r="J731" s="311">
        <v>0.3891</v>
      </c>
      <c r="K731" s="311">
        <v>7.7399999999999997E-2</v>
      </c>
      <c r="L731" s="311">
        <v>0.3493</v>
      </c>
      <c r="M731" s="311">
        <v>0.4199</v>
      </c>
      <c r="N731" s="311">
        <v>0.43290000000000001</v>
      </c>
      <c r="O731" s="311">
        <v>0</v>
      </c>
      <c r="P731" s="311">
        <v>0.33479999999999999</v>
      </c>
      <c r="Q731" s="311">
        <v>0.37190000000000001</v>
      </c>
      <c r="R731" s="311">
        <v>0.44350000000000001</v>
      </c>
      <c r="S731" s="311">
        <v>0.41849999999999998</v>
      </c>
      <c r="T731" s="311">
        <v>0.3931</v>
      </c>
      <c r="U731" s="311">
        <v>0.40670000000000001</v>
      </c>
      <c r="V731" s="311">
        <v>0.45069999999999999</v>
      </c>
      <c r="W731" s="311">
        <v>0.40920000000000001</v>
      </c>
      <c r="X731" s="311">
        <v>0.41110000000000002</v>
      </c>
      <c r="Y731" s="311">
        <v>0.33350000000000002</v>
      </c>
      <c r="Z731" s="311">
        <v>0.43319999999999997</v>
      </c>
      <c r="AA731" s="311">
        <v>0.38100000000000001</v>
      </c>
      <c r="AB731" s="311">
        <v>0.4032</v>
      </c>
      <c r="AC731" s="311">
        <v>0.39129999999999998</v>
      </c>
      <c r="AD731" s="311">
        <v>0.39169999999999999</v>
      </c>
      <c r="AE731" s="311">
        <v>0.39300000000000002</v>
      </c>
      <c r="AF731" s="311">
        <v>0.34899999999999998</v>
      </c>
      <c r="AG731" s="311">
        <v>0.34649999999999997</v>
      </c>
      <c r="AH731" s="311">
        <v>0.27200000000000002</v>
      </c>
      <c r="AI731" s="311">
        <v>0.43380000000000002</v>
      </c>
      <c r="AJ731" s="311">
        <v>0.41560000000000002</v>
      </c>
      <c r="AK731" s="311">
        <v>0.38550000000000001</v>
      </c>
      <c r="AL731" s="311">
        <v>0.36809999999999998</v>
      </c>
      <c r="AM731" s="311">
        <v>0.43909999999999999</v>
      </c>
      <c r="AN731" s="311">
        <v>0.45169999999999999</v>
      </c>
      <c r="AO731" s="311">
        <v>0.41849999999999998</v>
      </c>
      <c r="AP731" s="311">
        <v>0.45329999999999998</v>
      </c>
      <c r="AQ731" s="311">
        <v>0.37559999999999999</v>
      </c>
      <c r="AR731" s="311">
        <v>0.4219</v>
      </c>
      <c r="AS731" s="311">
        <v>0.31659999999999999</v>
      </c>
      <c r="AT731" s="311">
        <v>0.3972</v>
      </c>
      <c r="AU731" s="311">
        <v>0.5111</v>
      </c>
      <c r="AV731" s="311">
        <v>0.46989999999999998</v>
      </c>
      <c r="AW731" s="311">
        <v>0.40400000000000003</v>
      </c>
      <c r="AX731" s="311">
        <v>0</v>
      </c>
      <c r="AY731" s="311">
        <v>0.4017</v>
      </c>
      <c r="AZ731" s="311">
        <v>0.38169999999999998</v>
      </c>
      <c r="BA731" s="311">
        <v>0.36630000000000001</v>
      </c>
      <c r="BB731" s="311">
        <v>0.378</v>
      </c>
      <c r="BC731" s="311">
        <v>0.42049999999999998</v>
      </c>
      <c r="BD731" s="311">
        <v>0.44090000000000001</v>
      </c>
      <c r="BE731" s="311">
        <v>0.46500000000000002</v>
      </c>
      <c r="BF731" s="311">
        <v>0.40600000000000003</v>
      </c>
      <c r="BG731" s="311">
        <v>0.45929999999999999</v>
      </c>
      <c r="BH731" s="311">
        <v>0.44119999999999998</v>
      </c>
      <c r="BI731" s="311">
        <v>0.50849999999999995</v>
      </c>
      <c r="BJ731" s="311">
        <v>0.47099999999999997</v>
      </c>
      <c r="BK731" s="311">
        <v>0.47960000000000003</v>
      </c>
    </row>
    <row r="732" spans="1:63" x14ac:dyDescent="0.25">
      <c r="A732" s="306" t="s">
        <v>758</v>
      </c>
      <c r="B732" s="311" t="s">
        <v>283</v>
      </c>
      <c r="C732" s="311">
        <v>0.68020000000000003</v>
      </c>
      <c r="D732" s="311">
        <v>0.53590000000000004</v>
      </c>
      <c r="E732" s="311">
        <v>0.57740000000000002</v>
      </c>
      <c r="F732" s="311">
        <v>0.55940000000000001</v>
      </c>
      <c r="G732" s="311">
        <v>0.60240000000000005</v>
      </c>
      <c r="H732" s="311">
        <v>0.63649999999999995</v>
      </c>
      <c r="I732" s="311">
        <v>0.62519999999999998</v>
      </c>
      <c r="J732" s="311">
        <v>0.53369999999999995</v>
      </c>
      <c r="K732" s="311">
        <v>0.1028</v>
      </c>
      <c r="L732" s="311">
        <v>0.49490000000000001</v>
      </c>
      <c r="M732" s="311">
        <v>0.61980000000000002</v>
      </c>
      <c r="N732" s="311">
        <v>0.62470000000000003</v>
      </c>
      <c r="O732" s="311">
        <v>0.60029999999999994</v>
      </c>
      <c r="P732" s="311">
        <v>0.48799999999999999</v>
      </c>
      <c r="Q732" s="311">
        <v>0.55069999999999997</v>
      </c>
      <c r="R732" s="311">
        <v>0.61099999999999999</v>
      </c>
      <c r="S732" s="311">
        <v>0.56599999999999995</v>
      </c>
      <c r="T732" s="311">
        <v>0.51170000000000004</v>
      </c>
      <c r="U732" s="311">
        <v>0.50660000000000005</v>
      </c>
      <c r="V732" s="311">
        <v>0.57609999999999995</v>
      </c>
      <c r="W732" s="311">
        <v>0.55420000000000003</v>
      </c>
      <c r="X732" s="311">
        <v>0.58140000000000003</v>
      </c>
      <c r="Y732" s="311">
        <v>0.58179999999999998</v>
      </c>
      <c r="Z732" s="311">
        <v>0.60189999999999999</v>
      </c>
      <c r="AA732" s="311">
        <v>0.57969999999999999</v>
      </c>
      <c r="AB732" s="311">
        <v>0.53049999999999997</v>
      </c>
      <c r="AC732" s="311">
        <v>0.53269999999999995</v>
      </c>
      <c r="AD732" s="311">
        <v>0.5675</v>
      </c>
      <c r="AE732" s="311">
        <v>0.58630000000000004</v>
      </c>
      <c r="AF732" s="311">
        <v>0.47</v>
      </c>
      <c r="AG732" s="311">
        <v>0.51819999999999999</v>
      </c>
      <c r="AH732" s="311">
        <v>0.54300000000000004</v>
      </c>
      <c r="AI732" s="311">
        <v>0.58089999999999997</v>
      </c>
      <c r="AJ732" s="311">
        <v>0.58240000000000003</v>
      </c>
      <c r="AK732" s="311">
        <v>0.58069999999999999</v>
      </c>
      <c r="AL732" s="311">
        <v>0.54859999999999998</v>
      </c>
      <c r="AM732" s="311">
        <v>0.61040000000000005</v>
      </c>
      <c r="AN732" s="311">
        <v>0.59699999999999998</v>
      </c>
      <c r="AO732" s="311">
        <v>0.53890000000000005</v>
      </c>
      <c r="AP732" s="311">
        <v>0.57120000000000004</v>
      </c>
      <c r="AQ732" s="311">
        <v>0.52569999999999995</v>
      </c>
      <c r="AR732" s="311">
        <v>0.59540000000000004</v>
      </c>
      <c r="AS732" s="311">
        <v>0.48959999999999998</v>
      </c>
      <c r="AT732" s="311">
        <v>0.55459999999999998</v>
      </c>
      <c r="AU732" s="311">
        <v>0.63119999999999998</v>
      </c>
      <c r="AV732" s="311">
        <v>0.625</v>
      </c>
      <c r="AW732" s="311">
        <v>0.57130000000000003</v>
      </c>
      <c r="AX732" s="311">
        <v>0.54069999999999996</v>
      </c>
      <c r="AY732" s="311">
        <v>0.60509999999999997</v>
      </c>
      <c r="AZ732" s="311">
        <v>0.56710000000000005</v>
      </c>
      <c r="BA732" s="311">
        <v>0.49419999999999997</v>
      </c>
      <c r="BB732" s="311">
        <v>0.48170000000000002</v>
      </c>
      <c r="BC732" s="311">
        <v>0.60199999999999998</v>
      </c>
      <c r="BD732" s="311">
        <v>0.62649999999999995</v>
      </c>
      <c r="BE732" s="311">
        <v>0.62719999999999998</v>
      </c>
      <c r="BF732" s="311">
        <v>0.57140000000000002</v>
      </c>
      <c r="BG732" s="311">
        <v>0.6381</v>
      </c>
      <c r="BH732" s="311">
        <v>0.58720000000000006</v>
      </c>
      <c r="BI732" s="311">
        <v>0.62760000000000005</v>
      </c>
      <c r="BJ732" s="311">
        <v>0.62039999999999995</v>
      </c>
      <c r="BK732" s="311">
        <v>0.63970000000000005</v>
      </c>
    </row>
    <row r="733" spans="1:63" x14ac:dyDescent="0.25">
      <c r="A733" s="306">
        <v>491000</v>
      </c>
      <c r="B733" s="311" t="s">
        <v>759</v>
      </c>
      <c r="C733" s="311">
        <v>0.72130000000000005</v>
      </c>
      <c r="D733" s="311">
        <v>0.66749999999999998</v>
      </c>
      <c r="E733" s="311">
        <v>0.67020000000000002</v>
      </c>
      <c r="F733" s="311">
        <v>0.64980000000000004</v>
      </c>
      <c r="G733" s="311">
        <v>0.68320000000000003</v>
      </c>
      <c r="H733" s="311">
        <v>0.69569999999999999</v>
      </c>
      <c r="I733" s="311">
        <v>0.69289999999999996</v>
      </c>
      <c r="J733" s="311">
        <v>0.66539999999999999</v>
      </c>
      <c r="K733" s="311">
        <v>0.11849999999999999</v>
      </c>
      <c r="L733" s="311">
        <v>0.61580000000000001</v>
      </c>
      <c r="M733" s="311">
        <v>0.68759999999999999</v>
      </c>
      <c r="N733" s="311">
        <v>0.67930000000000001</v>
      </c>
      <c r="O733" s="311">
        <v>0.67710000000000004</v>
      </c>
      <c r="P733" s="311">
        <v>0.6431</v>
      </c>
      <c r="Q733" s="311">
        <v>0.65739999999999998</v>
      </c>
      <c r="R733" s="311">
        <v>0.68659999999999999</v>
      </c>
      <c r="S733" s="311">
        <v>0.66180000000000005</v>
      </c>
      <c r="T733" s="311">
        <v>0.61250000000000004</v>
      </c>
      <c r="U733" s="311">
        <v>0.63970000000000005</v>
      </c>
      <c r="V733" s="311">
        <v>0.67030000000000001</v>
      </c>
      <c r="W733" s="311">
        <v>0.66080000000000005</v>
      </c>
      <c r="X733" s="311">
        <v>0.65069999999999995</v>
      </c>
      <c r="Y733" s="311">
        <v>0.66949999999999998</v>
      </c>
      <c r="Z733" s="311">
        <v>0.68689999999999996</v>
      </c>
      <c r="AA733" s="311">
        <v>0.66830000000000001</v>
      </c>
      <c r="AB733" s="311">
        <v>0.62539999999999996</v>
      </c>
      <c r="AC733" s="311">
        <v>0.66159999999999997</v>
      </c>
      <c r="AD733" s="311">
        <v>0.66739999999999999</v>
      </c>
      <c r="AE733" s="311">
        <v>0.6734</v>
      </c>
      <c r="AF733" s="311">
        <v>0.61609999999999998</v>
      </c>
      <c r="AG733" s="311">
        <v>0.62490000000000001</v>
      </c>
      <c r="AH733" s="311">
        <v>0.63260000000000005</v>
      </c>
      <c r="AI733" s="311">
        <v>0.66239999999999999</v>
      </c>
      <c r="AJ733" s="311">
        <v>0.66710000000000003</v>
      </c>
      <c r="AK733" s="311">
        <v>0.67500000000000004</v>
      </c>
      <c r="AL733" s="311">
        <v>0.65959999999999996</v>
      </c>
      <c r="AM733" s="311">
        <v>0.66579999999999995</v>
      </c>
      <c r="AN733" s="311">
        <v>0.67789999999999995</v>
      </c>
      <c r="AO733" s="311">
        <v>0.64700000000000002</v>
      </c>
      <c r="AP733" s="311">
        <v>0.66579999999999995</v>
      </c>
      <c r="AQ733" s="311">
        <v>0.61760000000000004</v>
      </c>
      <c r="AR733" s="311">
        <v>0.66490000000000005</v>
      </c>
      <c r="AS733" s="311">
        <v>0.64349999999999996</v>
      </c>
      <c r="AT733" s="311">
        <v>0.65559999999999996</v>
      </c>
      <c r="AU733" s="311">
        <v>0.6986</v>
      </c>
      <c r="AV733" s="311">
        <v>0.69740000000000002</v>
      </c>
      <c r="AW733" s="311">
        <v>0.62760000000000005</v>
      </c>
      <c r="AX733" s="311">
        <v>0.59219999999999995</v>
      </c>
      <c r="AY733" s="311">
        <v>0.67610000000000003</v>
      </c>
      <c r="AZ733" s="311">
        <v>0.67249999999999999</v>
      </c>
      <c r="BA733" s="311">
        <v>0.62660000000000005</v>
      </c>
      <c r="BB733" s="311">
        <v>0.64439999999999997</v>
      </c>
      <c r="BC733" s="311">
        <v>0.68730000000000002</v>
      </c>
      <c r="BD733" s="311">
        <v>0.69369999999999998</v>
      </c>
      <c r="BE733" s="311">
        <v>0.69199999999999995</v>
      </c>
      <c r="BF733" s="311">
        <v>0.66779999999999995</v>
      </c>
      <c r="BG733" s="311">
        <v>0.69479999999999997</v>
      </c>
      <c r="BH733" s="311">
        <v>0.66890000000000005</v>
      </c>
      <c r="BI733" s="311">
        <v>0.69669999999999999</v>
      </c>
      <c r="BJ733" s="311">
        <v>0.69230000000000003</v>
      </c>
      <c r="BK733" s="311">
        <v>0.69620000000000004</v>
      </c>
    </row>
    <row r="734" spans="1:63" x14ac:dyDescent="0.25">
      <c r="A734" s="306">
        <v>492000</v>
      </c>
      <c r="B734" s="311" t="s">
        <v>284</v>
      </c>
      <c r="C734" s="311">
        <v>0.50880000000000003</v>
      </c>
      <c r="D734" s="311">
        <v>0.39100000000000001</v>
      </c>
      <c r="E734" s="311">
        <v>0.42020000000000002</v>
      </c>
      <c r="F734" s="311">
        <v>0.40699999999999997</v>
      </c>
      <c r="G734" s="311">
        <v>0.43149999999999999</v>
      </c>
      <c r="H734" s="311">
        <v>0.46899999999999997</v>
      </c>
      <c r="I734" s="311">
        <v>0.45960000000000001</v>
      </c>
      <c r="J734" s="311">
        <v>0.4128</v>
      </c>
      <c r="K734" s="311">
        <v>8.77E-2</v>
      </c>
      <c r="L734" s="311">
        <v>0.3463</v>
      </c>
      <c r="M734" s="311">
        <v>0.44390000000000002</v>
      </c>
      <c r="N734" s="311">
        <v>0.4531</v>
      </c>
      <c r="O734" s="311">
        <v>0.439</v>
      </c>
      <c r="P734" s="311">
        <v>0.37669999999999998</v>
      </c>
      <c r="Q734" s="311">
        <v>0.38500000000000001</v>
      </c>
      <c r="R734" s="311">
        <v>0.45660000000000001</v>
      </c>
      <c r="S734" s="311">
        <v>0.42809999999999998</v>
      </c>
      <c r="T734" s="311">
        <v>0.33550000000000002</v>
      </c>
      <c r="U734" s="311">
        <v>0.37559999999999999</v>
      </c>
      <c r="V734" s="311">
        <v>0.44700000000000001</v>
      </c>
      <c r="W734" s="311">
        <v>0.41149999999999998</v>
      </c>
      <c r="X734" s="311">
        <v>0.4153</v>
      </c>
      <c r="Y734" s="311">
        <v>0.41420000000000001</v>
      </c>
      <c r="Z734" s="311">
        <v>0.43859999999999999</v>
      </c>
      <c r="AA734" s="311">
        <v>0.42870000000000003</v>
      </c>
      <c r="AB734" s="311">
        <v>0.40939999999999999</v>
      </c>
      <c r="AC734" s="311">
        <v>0.40439999999999998</v>
      </c>
      <c r="AD734" s="311">
        <v>0.40210000000000001</v>
      </c>
      <c r="AE734" s="311">
        <v>0.4335</v>
      </c>
      <c r="AF734" s="311">
        <v>0.34060000000000001</v>
      </c>
      <c r="AG734" s="311">
        <v>0.35720000000000002</v>
      </c>
      <c r="AH734" s="311">
        <v>0.40970000000000001</v>
      </c>
      <c r="AI734" s="311">
        <v>0.42280000000000001</v>
      </c>
      <c r="AJ734" s="311">
        <v>0.40229999999999999</v>
      </c>
      <c r="AK734" s="311">
        <v>0.42309999999999998</v>
      </c>
      <c r="AL734" s="311">
        <v>0.3957</v>
      </c>
      <c r="AM734" s="311">
        <v>0.43869999999999998</v>
      </c>
      <c r="AN734" s="311">
        <v>0.44390000000000002</v>
      </c>
      <c r="AO734" s="311">
        <v>0.39560000000000001</v>
      </c>
      <c r="AP734" s="311">
        <v>0.42730000000000001</v>
      </c>
      <c r="AQ734" s="311">
        <v>0.3775</v>
      </c>
      <c r="AR734" s="311">
        <v>0.43230000000000002</v>
      </c>
      <c r="AS734" s="311">
        <v>0.35770000000000002</v>
      </c>
      <c r="AT734" s="311">
        <v>0.38600000000000001</v>
      </c>
      <c r="AU734" s="311">
        <v>0.47049999999999997</v>
      </c>
      <c r="AV734" s="311">
        <v>0.46760000000000002</v>
      </c>
      <c r="AW734" s="311">
        <v>0.41310000000000002</v>
      </c>
      <c r="AX734" s="311">
        <v>0.3826</v>
      </c>
      <c r="AY734" s="311">
        <v>0.43830000000000002</v>
      </c>
      <c r="AZ734" s="311">
        <v>0.42180000000000001</v>
      </c>
      <c r="BA734" s="311">
        <v>0.36890000000000001</v>
      </c>
      <c r="BB734" s="311">
        <v>0.3846</v>
      </c>
      <c r="BC734" s="311">
        <v>0.4405</v>
      </c>
      <c r="BD734" s="311">
        <v>0.45469999999999999</v>
      </c>
      <c r="BE734" s="311">
        <v>0.45900000000000002</v>
      </c>
      <c r="BF734" s="311">
        <v>0.42480000000000001</v>
      </c>
      <c r="BG734" s="311">
        <v>0.45960000000000001</v>
      </c>
      <c r="BH734" s="311">
        <v>0.40589999999999998</v>
      </c>
      <c r="BI734" s="311">
        <v>0.47139999999999999</v>
      </c>
      <c r="BJ734" s="311">
        <v>0.4572</v>
      </c>
      <c r="BK734" s="311">
        <v>0.47070000000000001</v>
      </c>
    </row>
    <row r="735" spans="1:63" x14ac:dyDescent="0.25">
      <c r="A735" s="306">
        <v>493000</v>
      </c>
      <c r="B735" s="311" t="s">
        <v>285</v>
      </c>
      <c r="C735" s="311">
        <v>0.62039999999999995</v>
      </c>
      <c r="D735" s="311">
        <v>0.50409999999999999</v>
      </c>
      <c r="E735" s="311">
        <v>0.54310000000000003</v>
      </c>
      <c r="F735" s="311">
        <v>0.52</v>
      </c>
      <c r="G735" s="311">
        <v>0.54869999999999997</v>
      </c>
      <c r="H735" s="311">
        <v>0.58260000000000001</v>
      </c>
      <c r="I735" s="311">
        <v>0.57569999999999999</v>
      </c>
      <c r="J735" s="311">
        <v>0.50319999999999998</v>
      </c>
      <c r="K735" s="311">
        <v>0.11940000000000001</v>
      </c>
      <c r="L735" s="311">
        <v>0.43740000000000001</v>
      </c>
      <c r="M735" s="311">
        <v>0.56230000000000002</v>
      </c>
      <c r="N735" s="311">
        <v>0.58220000000000005</v>
      </c>
      <c r="O735" s="311">
        <v>0.53220000000000001</v>
      </c>
      <c r="P735" s="311">
        <v>0.51400000000000001</v>
      </c>
      <c r="Q735" s="311">
        <v>0.50439999999999996</v>
      </c>
      <c r="R735" s="311">
        <v>0.57140000000000002</v>
      </c>
      <c r="S735" s="311">
        <v>0.54449999999999998</v>
      </c>
      <c r="T735" s="311">
        <v>0.50549999999999995</v>
      </c>
      <c r="U735" s="311">
        <v>0.51400000000000001</v>
      </c>
      <c r="V735" s="311">
        <v>0.55259999999999998</v>
      </c>
      <c r="W735" s="311">
        <v>0.49509999999999998</v>
      </c>
      <c r="X735" s="311">
        <v>0.53369999999999995</v>
      </c>
      <c r="Y735" s="311">
        <v>0.53139999999999998</v>
      </c>
      <c r="Z735" s="311">
        <v>0.56420000000000003</v>
      </c>
      <c r="AA735" s="311">
        <v>0.5444</v>
      </c>
      <c r="AB735" s="311">
        <v>0.51249999999999996</v>
      </c>
      <c r="AC735" s="311">
        <v>0.50290000000000001</v>
      </c>
      <c r="AD735" s="311">
        <v>0.503</v>
      </c>
      <c r="AE735" s="311">
        <v>0.53859999999999997</v>
      </c>
      <c r="AF735" s="311">
        <v>0.48180000000000001</v>
      </c>
      <c r="AG735" s="311">
        <v>0.50509999999999999</v>
      </c>
      <c r="AH735" s="311">
        <v>0.54379999999999995</v>
      </c>
      <c r="AI735" s="311">
        <v>0.53710000000000002</v>
      </c>
      <c r="AJ735" s="311">
        <v>0.48849999999999999</v>
      </c>
      <c r="AK735" s="311">
        <v>0.54359999999999997</v>
      </c>
      <c r="AL735" s="311">
        <v>0.50680000000000003</v>
      </c>
      <c r="AM735" s="311">
        <v>0.57399999999999995</v>
      </c>
      <c r="AN735" s="311">
        <v>0.53749999999999998</v>
      </c>
      <c r="AO735" s="311">
        <v>0.51280000000000003</v>
      </c>
      <c r="AP735" s="311">
        <v>0.55710000000000004</v>
      </c>
      <c r="AQ735" s="311">
        <v>0.53200000000000003</v>
      </c>
      <c r="AR735" s="311">
        <v>0.54830000000000001</v>
      </c>
      <c r="AS735" s="311">
        <v>0.48110000000000003</v>
      </c>
      <c r="AT735" s="311">
        <v>0.53339999999999999</v>
      </c>
      <c r="AU735" s="311">
        <v>0.58660000000000001</v>
      </c>
      <c r="AV735" s="311">
        <v>0.57289999999999996</v>
      </c>
      <c r="AW735" s="311">
        <v>0.53849999999999998</v>
      </c>
      <c r="AX735" s="311">
        <v>0.40160000000000001</v>
      </c>
      <c r="AY735" s="311">
        <v>0.55459999999999998</v>
      </c>
      <c r="AZ735" s="311">
        <v>0.55920000000000003</v>
      </c>
      <c r="BA735" s="311">
        <v>0.49980000000000002</v>
      </c>
      <c r="BB735" s="311">
        <v>0.47960000000000003</v>
      </c>
      <c r="BC735" s="311">
        <v>0.57089999999999996</v>
      </c>
      <c r="BD735" s="311">
        <v>0.58179999999999998</v>
      </c>
      <c r="BE735" s="311">
        <v>0.58540000000000003</v>
      </c>
      <c r="BF735" s="311">
        <v>0.54930000000000001</v>
      </c>
      <c r="BG735" s="311">
        <v>0.58660000000000001</v>
      </c>
      <c r="BH735" s="311">
        <v>0.55159999999999998</v>
      </c>
      <c r="BI735" s="311">
        <v>0.58420000000000005</v>
      </c>
      <c r="BJ735" s="311">
        <v>0.56659999999999999</v>
      </c>
      <c r="BK735" s="311">
        <v>0.58220000000000005</v>
      </c>
    </row>
    <row r="736" spans="1:63" x14ac:dyDescent="0.25">
      <c r="A736" s="306" t="s">
        <v>760</v>
      </c>
      <c r="B736" s="311" t="s">
        <v>761</v>
      </c>
      <c r="C736" s="311">
        <v>0.50780000000000003</v>
      </c>
      <c r="D736" s="311">
        <v>0.41220000000000001</v>
      </c>
      <c r="E736" s="311">
        <v>0.43769999999999998</v>
      </c>
      <c r="F736" s="311">
        <v>0.42170000000000002</v>
      </c>
      <c r="G736" s="311">
        <v>0.4496</v>
      </c>
      <c r="H736" s="311">
        <v>0.47120000000000001</v>
      </c>
      <c r="I736" s="311">
        <v>0.46899999999999997</v>
      </c>
      <c r="J736" s="311">
        <v>0.43059999999999998</v>
      </c>
      <c r="K736" s="311">
        <v>0.12859999999999999</v>
      </c>
      <c r="L736" s="311">
        <v>0.35970000000000002</v>
      </c>
      <c r="M736" s="311">
        <v>0.45760000000000001</v>
      </c>
      <c r="N736" s="311">
        <v>0.4703</v>
      </c>
      <c r="O736" s="311">
        <v>0.4355</v>
      </c>
      <c r="P736" s="311">
        <v>0.41049999999999998</v>
      </c>
      <c r="Q736" s="311">
        <v>0.41289999999999999</v>
      </c>
      <c r="R736" s="311">
        <v>0.47060000000000002</v>
      </c>
      <c r="S736" s="311">
        <v>0.43619999999999998</v>
      </c>
      <c r="T736" s="311">
        <v>0.39750000000000002</v>
      </c>
      <c r="U736" s="311">
        <v>0.42349999999999999</v>
      </c>
      <c r="V736" s="311">
        <v>0.4335</v>
      </c>
      <c r="W736" s="311">
        <v>0.43330000000000002</v>
      </c>
      <c r="X736" s="311">
        <v>0.42370000000000002</v>
      </c>
      <c r="Y736" s="311">
        <v>0.43890000000000001</v>
      </c>
      <c r="Z736" s="311">
        <v>0.45910000000000001</v>
      </c>
      <c r="AA736" s="311">
        <v>0.44969999999999999</v>
      </c>
      <c r="AB736" s="311">
        <v>0.42859999999999998</v>
      </c>
      <c r="AC736" s="311">
        <v>0.41270000000000001</v>
      </c>
      <c r="AD736" s="311">
        <v>0.41670000000000001</v>
      </c>
      <c r="AE736" s="311">
        <v>0.44550000000000001</v>
      </c>
      <c r="AF736" s="311">
        <v>0.37859999999999999</v>
      </c>
      <c r="AG736" s="311">
        <v>0.41549999999999998</v>
      </c>
      <c r="AH736" s="311">
        <v>0.40570000000000001</v>
      </c>
      <c r="AI736" s="311">
        <v>0.43480000000000002</v>
      </c>
      <c r="AJ736" s="311">
        <v>0.41889999999999999</v>
      </c>
      <c r="AK736" s="311">
        <v>0.43580000000000002</v>
      </c>
      <c r="AL736" s="311">
        <v>0.42099999999999999</v>
      </c>
      <c r="AM736" s="311">
        <v>0.45739999999999997</v>
      </c>
      <c r="AN736" s="311">
        <v>0.43940000000000001</v>
      </c>
      <c r="AO736" s="311">
        <v>0.43619999999999998</v>
      </c>
      <c r="AP736" s="311">
        <v>0.45200000000000001</v>
      </c>
      <c r="AQ736" s="311">
        <v>0.39269999999999999</v>
      </c>
      <c r="AR736" s="311">
        <v>0.44280000000000003</v>
      </c>
      <c r="AS736" s="311">
        <v>0.39529999999999998</v>
      </c>
      <c r="AT736" s="311">
        <v>0.4461</v>
      </c>
      <c r="AU736" s="311">
        <v>0.46960000000000002</v>
      </c>
      <c r="AV736" s="311">
        <v>0.46889999999999998</v>
      </c>
      <c r="AW736" s="311">
        <v>0.432</v>
      </c>
      <c r="AX736" s="311">
        <v>0.40079999999999999</v>
      </c>
      <c r="AY736" s="311">
        <v>0.44679999999999997</v>
      </c>
      <c r="AZ736" s="311">
        <v>0.4466</v>
      </c>
      <c r="BA736" s="311">
        <v>0.39079999999999998</v>
      </c>
      <c r="BB736" s="311">
        <v>0.3962</v>
      </c>
      <c r="BC736" s="311">
        <v>0.46239999999999998</v>
      </c>
      <c r="BD736" s="311">
        <v>0.47349999999999998</v>
      </c>
      <c r="BE736" s="311">
        <v>0.47410000000000002</v>
      </c>
      <c r="BF736" s="311">
        <v>0.44829999999999998</v>
      </c>
      <c r="BG736" s="311">
        <v>0.47499999999999998</v>
      </c>
      <c r="BH736" s="311">
        <v>0.44940000000000002</v>
      </c>
      <c r="BI736" s="311">
        <v>0.46850000000000003</v>
      </c>
      <c r="BJ736" s="311">
        <v>0.4617</v>
      </c>
      <c r="BK736" s="311">
        <v>0.47199999999999998</v>
      </c>
    </row>
    <row r="737" spans="1:63" x14ac:dyDescent="0.25">
      <c r="A737" s="306">
        <v>511110</v>
      </c>
      <c r="B737" s="311" t="s">
        <v>286</v>
      </c>
      <c r="C737" s="311">
        <v>0.51749999999999996</v>
      </c>
      <c r="D737" s="311">
        <v>0.39250000000000002</v>
      </c>
      <c r="E737" s="311">
        <v>0.42530000000000001</v>
      </c>
      <c r="F737" s="311">
        <v>0.42430000000000001</v>
      </c>
      <c r="G737" s="311">
        <v>0.43730000000000002</v>
      </c>
      <c r="H737" s="311">
        <v>0.47099999999999997</v>
      </c>
      <c r="I737" s="311">
        <v>0.46410000000000001</v>
      </c>
      <c r="J737" s="311">
        <v>0.41639999999999999</v>
      </c>
      <c r="K737" s="311">
        <v>0.12139999999999999</v>
      </c>
      <c r="L737" s="311">
        <v>0.35299999999999998</v>
      </c>
      <c r="M737" s="311">
        <v>0.45190000000000002</v>
      </c>
      <c r="N737" s="311">
        <v>0.47560000000000002</v>
      </c>
      <c r="O737" s="311">
        <v>0.41660000000000003</v>
      </c>
      <c r="P737" s="311">
        <v>0.39589999999999997</v>
      </c>
      <c r="Q737" s="311">
        <v>0.39379999999999998</v>
      </c>
      <c r="R737" s="311">
        <v>0.47249999999999998</v>
      </c>
      <c r="S737" s="311">
        <v>0.42570000000000002</v>
      </c>
      <c r="T737" s="311">
        <v>0.38640000000000002</v>
      </c>
      <c r="U737" s="311">
        <v>0.41470000000000001</v>
      </c>
      <c r="V737" s="311">
        <v>0.42680000000000001</v>
      </c>
      <c r="W737" s="311">
        <v>0.4526</v>
      </c>
      <c r="X737" s="311">
        <v>0.41410000000000002</v>
      </c>
      <c r="Y737" s="311">
        <v>0.44130000000000003</v>
      </c>
      <c r="Z737" s="311">
        <v>0.46010000000000001</v>
      </c>
      <c r="AA737" s="311">
        <v>0.45779999999999998</v>
      </c>
      <c r="AB737" s="311">
        <v>0.40439999999999998</v>
      </c>
      <c r="AC737" s="311">
        <v>0.38650000000000001</v>
      </c>
      <c r="AD737" s="311">
        <v>0.39960000000000001</v>
      </c>
      <c r="AE737" s="311">
        <v>0.44750000000000001</v>
      </c>
      <c r="AF737" s="311">
        <v>0.35420000000000001</v>
      </c>
      <c r="AG737" s="311">
        <v>0.40949999999999998</v>
      </c>
      <c r="AH737" s="311">
        <v>0.41149999999999998</v>
      </c>
      <c r="AI737" s="311">
        <v>0.41880000000000001</v>
      </c>
      <c r="AJ737" s="311">
        <v>0.40110000000000001</v>
      </c>
      <c r="AK737" s="311">
        <v>0.40960000000000002</v>
      </c>
      <c r="AL737" s="311">
        <v>0.38800000000000001</v>
      </c>
      <c r="AM737" s="311">
        <v>0.46129999999999999</v>
      </c>
      <c r="AN737" s="311">
        <v>0.4294</v>
      </c>
      <c r="AO737" s="311">
        <v>0.44929999999999998</v>
      </c>
      <c r="AP737" s="311">
        <v>0.4486</v>
      </c>
      <c r="AQ737" s="311">
        <v>0.40839999999999999</v>
      </c>
      <c r="AR737" s="311">
        <v>0.43</v>
      </c>
      <c r="AS737" s="311">
        <v>0.3775</v>
      </c>
      <c r="AT737" s="311">
        <v>0.443</v>
      </c>
      <c r="AU737" s="311">
        <v>0.4637</v>
      </c>
      <c r="AV737" s="311">
        <v>0.46860000000000002</v>
      </c>
      <c r="AW737" s="311">
        <v>0.41310000000000002</v>
      </c>
      <c r="AX737" s="311">
        <v>0.39179999999999998</v>
      </c>
      <c r="AY737" s="311">
        <v>0.45069999999999999</v>
      </c>
      <c r="AZ737" s="311">
        <v>0.44500000000000001</v>
      </c>
      <c r="BA737" s="311">
        <v>0.37480000000000002</v>
      </c>
      <c r="BB737" s="311">
        <v>0.38019999999999998</v>
      </c>
      <c r="BC737" s="311">
        <v>0.47189999999999999</v>
      </c>
      <c r="BD737" s="311">
        <v>0.47349999999999998</v>
      </c>
      <c r="BE737" s="311">
        <v>0.47860000000000003</v>
      </c>
      <c r="BF737" s="311">
        <v>0.44950000000000001</v>
      </c>
      <c r="BG737" s="311">
        <v>0.48089999999999999</v>
      </c>
      <c r="BH737" s="311">
        <v>0.44009999999999999</v>
      </c>
      <c r="BI737" s="311">
        <v>0.4672</v>
      </c>
      <c r="BJ737" s="311">
        <v>0.45369999999999999</v>
      </c>
      <c r="BK737" s="311">
        <v>0.4753</v>
      </c>
    </row>
    <row r="738" spans="1:63" x14ac:dyDescent="0.25">
      <c r="A738" s="306">
        <v>511120</v>
      </c>
      <c r="B738" s="311" t="s">
        <v>287</v>
      </c>
      <c r="C738" s="311">
        <v>0.50970000000000004</v>
      </c>
      <c r="D738" s="311">
        <v>0.33639999999999998</v>
      </c>
      <c r="E738" s="311">
        <v>0.37309999999999999</v>
      </c>
      <c r="F738" s="311">
        <v>0.37430000000000002</v>
      </c>
      <c r="G738" s="311">
        <v>0.39510000000000001</v>
      </c>
      <c r="H738" s="311">
        <v>0.44540000000000002</v>
      </c>
      <c r="I738" s="311">
        <v>0.43390000000000001</v>
      </c>
      <c r="J738" s="311">
        <v>0.39860000000000001</v>
      </c>
      <c r="K738" s="311">
        <v>0.1066</v>
      </c>
      <c r="L738" s="311">
        <v>0.29880000000000001</v>
      </c>
      <c r="M738" s="311">
        <v>0.4194</v>
      </c>
      <c r="N738" s="311">
        <v>0.46139999999999998</v>
      </c>
      <c r="O738" s="311">
        <v>0.35930000000000001</v>
      </c>
      <c r="P738" s="311">
        <v>0.35039999999999999</v>
      </c>
      <c r="Q738" s="311">
        <v>0.3347</v>
      </c>
      <c r="R738" s="311">
        <v>0.4592</v>
      </c>
      <c r="S738" s="311">
        <v>0.39910000000000001</v>
      </c>
      <c r="T738" s="311">
        <v>0.35709999999999997</v>
      </c>
      <c r="U738" s="311">
        <v>0.38550000000000001</v>
      </c>
      <c r="V738" s="311">
        <v>0.37040000000000001</v>
      </c>
      <c r="W738" s="311">
        <v>0.43169999999999997</v>
      </c>
      <c r="X738" s="311">
        <v>0.3992</v>
      </c>
      <c r="Y738" s="311">
        <v>0.40010000000000001</v>
      </c>
      <c r="Z738" s="311">
        <v>0.43719999999999998</v>
      </c>
      <c r="AA738" s="311">
        <v>0.43680000000000002</v>
      </c>
      <c r="AB738" s="311">
        <v>0.38669999999999999</v>
      </c>
      <c r="AC738" s="311">
        <v>0.32869999999999999</v>
      </c>
      <c r="AD738" s="311">
        <v>0.3468</v>
      </c>
      <c r="AE738" s="311">
        <v>0.40760000000000002</v>
      </c>
      <c r="AF738" s="311">
        <v>0.28849999999999998</v>
      </c>
      <c r="AG738" s="311">
        <v>0.36080000000000001</v>
      </c>
      <c r="AH738" s="311">
        <v>0.38469999999999999</v>
      </c>
      <c r="AI738" s="311">
        <v>0.41420000000000001</v>
      </c>
      <c r="AJ738" s="311">
        <v>0.3377</v>
      </c>
      <c r="AK738" s="311">
        <v>0.37519999999999998</v>
      </c>
      <c r="AL738" s="311">
        <v>0.36420000000000002</v>
      </c>
      <c r="AM738" s="311">
        <v>0.436</v>
      </c>
      <c r="AN738" s="311">
        <v>0.38190000000000002</v>
      </c>
      <c r="AO738" s="311">
        <v>0.41860000000000003</v>
      </c>
      <c r="AP738" s="311">
        <v>0.43159999999999998</v>
      </c>
      <c r="AQ738" s="311">
        <v>0.3725</v>
      </c>
      <c r="AR738" s="311">
        <v>0.38440000000000002</v>
      </c>
      <c r="AS738" s="311">
        <v>0.3201</v>
      </c>
      <c r="AT738" s="311">
        <v>0.4199</v>
      </c>
      <c r="AU738" s="311">
        <v>0.43390000000000001</v>
      </c>
      <c r="AV738" s="311">
        <v>0.44779999999999998</v>
      </c>
      <c r="AW738" s="311">
        <v>0.39279999999999998</v>
      </c>
      <c r="AX738" s="311">
        <v>0.35930000000000001</v>
      </c>
      <c r="AY738" s="311">
        <v>0.40110000000000001</v>
      </c>
      <c r="AZ738" s="311">
        <v>0.41360000000000002</v>
      </c>
      <c r="BA738" s="311">
        <v>0.31690000000000002</v>
      </c>
      <c r="BB738" s="311">
        <v>0.311</v>
      </c>
      <c r="BC738" s="311">
        <v>0.45219999999999999</v>
      </c>
      <c r="BD738" s="311">
        <v>0.46450000000000002</v>
      </c>
      <c r="BE738" s="311">
        <v>0.45989999999999998</v>
      </c>
      <c r="BF738" s="311">
        <v>0.42199999999999999</v>
      </c>
      <c r="BG738" s="311">
        <v>0.46050000000000002</v>
      </c>
      <c r="BH738" s="311">
        <v>0.4143</v>
      </c>
      <c r="BI738" s="311">
        <v>0.43070000000000003</v>
      </c>
      <c r="BJ738" s="311">
        <v>0.41870000000000002</v>
      </c>
      <c r="BK738" s="311">
        <v>0.44640000000000002</v>
      </c>
    </row>
    <row r="739" spans="1:63" x14ac:dyDescent="0.25">
      <c r="A739" s="306">
        <v>511130</v>
      </c>
      <c r="B739" s="311" t="s">
        <v>288</v>
      </c>
      <c r="C739" s="311">
        <v>0.43430000000000002</v>
      </c>
      <c r="D739" s="311">
        <v>0.2833</v>
      </c>
      <c r="E739" s="311">
        <v>0.31390000000000001</v>
      </c>
      <c r="F739" s="311">
        <v>0.30480000000000002</v>
      </c>
      <c r="G739" s="311">
        <v>0.34539999999999998</v>
      </c>
      <c r="H739" s="311">
        <v>0.38450000000000001</v>
      </c>
      <c r="I739" s="311">
        <v>0.3669</v>
      </c>
      <c r="J739" s="311">
        <v>0.34289999999999998</v>
      </c>
      <c r="K739" s="311">
        <v>9.0399999999999994E-2</v>
      </c>
      <c r="L739" s="311">
        <v>0.25240000000000001</v>
      </c>
      <c r="M739" s="311">
        <v>0.35630000000000001</v>
      </c>
      <c r="N739" s="311">
        <v>0.38969999999999999</v>
      </c>
      <c r="O739" s="311">
        <v>0.30259999999999998</v>
      </c>
      <c r="P739" s="311">
        <v>0.29389999999999999</v>
      </c>
      <c r="Q739" s="311">
        <v>0.28310000000000002</v>
      </c>
      <c r="R739" s="311">
        <v>0.39229999999999998</v>
      </c>
      <c r="S739" s="311">
        <v>0.33510000000000001</v>
      </c>
      <c r="T739" s="311">
        <v>0.30170000000000002</v>
      </c>
      <c r="U739" s="311">
        <v>0.32569999999999999</v>
      </c>
      <c r="V739" s="311">
        <v>0.31459999999999999</v>
      </c>
      <c r="W739" s="311">
        <v>0.36969999999999997</v>
      </c>
      <c r="X739" s="311">
        <v>0.3347</v>
      </c>
      <c r="Y739" s="311">
        <v>0.33019999999999999</v>
      </c>
      <c r="Z739" s="311">
        <v>0.37040000000000001</v>
      </c>
      <c r="AA739" s="311">
        <v>0.37219999999999998</v>
      </c>
      <c r="AB739" s="311">
        <v>0.32929999999999998</v>
      </c>
      <c r="AC739" s="311">
        <v>0.27579999999999999</v>
      </c>
      <c r="AD739" s="311">
        <v>0.28639999999999999</v>
      </c>
      <c r="AE739" s="311">
        <v>0.34660000000000002</v>
      </c>
      <c r="AF739" s="311">
        <v>0.25259999999999999</v>
      </c>
      <c r="AG739" s="311">
        <v>0.30430000000000001</v>
      </c>
      <c r="AH739" s="311">
        <v>0.3286</v>
      </c>
      <c r="AI739" s="311">
        <v>0.34949999999999998</v>
      </c>
      <c r="AJ739" s="311">
        <v>0.28660000000000002</v>
      </c>
      <c r="AK739" s="311">
        <v>0.31</v>
      </c>
      <c r="AL739" s="311">
        <v>0.31380000000000002</v>
      </c>
      <c r="AM739" s="311">
        <v>0.37009999999999998</v>
      </c>
      <c r="AN739" s="311">
        <v>0.31850000000000001</v>
      </c>
      <c r="AO739" s="311">
        <v>0.35599999999999998</v>
      </c>
      <c r="AP739" s="311">
        <v>0.36840000000000001</v>
      </c>
      <c r="AQ739" s="311">
        <v>0.31909999999999999</v>
      </c>
      <c r="AR739" s="311">
        <v>0.31850000000000001</v>
      </c>
      <c r="AS739" s="311">
        <v>0.26500000000000001</v>
      </c>
      <c r="AT739" s="311">
        <v>0.35010000000000002</v>
      </c>
      <c r="AU739" s="311">
        <v>0.36659999999999998</v>
      </c>
      <c r="AV739" s="311">
        <v>0.37819999999999998</v>
      </c>
      <c r="AW739" s="311">
        <v>0.32790000000000002</v>
      </c>
      <c r="AX739" s="311">
        <v>0.30659999999999998</v>
      </c>
      <c r="AY739" s="311">
        <v>0.34010000000000001</v>
      </c>
      <c r="AZ739" s="311">
        <v>0.35110000000000002</v>
      </c>
      <c r="BA739" s="311">
        <v>0.26540000000000002</v>
      </c>
      <c r="BB739" s="311">
        <v>0.2641</v>
      </c>
      <c r="BC739" s="311">
        <v>0.38819999999999999</v>
      </c>
      <c r="BD739" s="311">
        <v>0.3952</v>
      </c>
      <c r="BE739" s="311">
        <v>0.39119999999999999</v>
      </c>
      <c r="BF739" s="311">
        <v>0.35820000000000002</v>
      </c>
      <c r="BG739" s="311">
        <v>0.38690000000000002</v>
      </c>
      <c r="BH739" s="311">
        <v>0.34370000000000001</v>
      </c>
      <c r="BI739" s="311">
        <v>0.3629</v>
      </c>
      <c r="BJ739" s="311">
        <v>0.35630000000000001</v>
      </c>
      <c r="BK739" s="311">
        <v>0.3841</v>
      </c>
    </row>
    <row r="740" spans="1:63" x14ac:dyDescent="0.25">
      <c r="A740" s="306" t="s">
        <v>762</v>
      </c>
      <c r="B740" s="311" t="s">
        <v>289</v>
      </c>
      <c r="C740" s="311">
        <v>0.42259999999999998</v>
      </c>
      <c r="D740" s="311">
        <v>0.26079999999999998</v>
      </c>
      <c r="E740" s="311">
        <v>0.2974</v>
      </c>
      <c r="F740" s="311">
        <v>0.29759999999999998</v>
      </c>
      <c r="G740" s="311">
        <v>0.31919999999999998</v>
      </c>
      <c r="H740" s="311">
        <v>0.36170000000000002</v>
      </c>
      <c r="I740" s="311">
        <v>0.35510000000000003</v>
      </c>
      <c r="J740" s="311">
        <v>0.32840000000000003</v>
      </c>
      <c r="K740" s="311">
        <v>8.6800000000000002E-2</v>
      </c>
      <c r="L740" s="311">
        <v>0.23380000000000001</v>
      </c>
      <c r="M740" s="311">
        <v>0.34150000000000003</v>
      </c>
      <c r="N740" s="311">
        <v>0.37630000000000002</v>
      </c>
      <c r="O740" s="311">
        <v>0.2823</v>
      </c>
      <c r="P740" s="311">
        <v>0.27950000000000003</v>
      </c>
      <c r="Q740" s="311">
        <v>0.26579999999999998</v>
      </c>
      <c r="R740" s="311">
        <v>0.38129999999999997</v>
      </c>
      <c r="S740" s="311">
        <v>0.32329999999999998</v>
      </c>
      <c r="T740" s="311">
        <v>0.28720000000000001</v>
      </c>
      <c r="U740" s="311">
        <v>0.31369999999999998</v>
      </c>
      <c r="V740" s="311">
        <v>0.29220000000000002</v>
      </c>
      <c r="W740" s="311">
        <v>0.35699999999999998</v>
      </c>
      <c r="X740" s="311">
        <v>0.3261</v>
      </c>
      <c r="Y740" s="311">
        <v>0.32269999999999999</v>
      </c>
      <c r="Z740" s="311">
        <v>0.35560000000000003</v>
      </c>
      <c r="AA740" s="311">
        <v>0.35809999999999997</v>
      </c>
      <c r="AB740" s="311">
        <v>0.31919999999999998</v>
      </c>
      <c r="AC740" s="311">
        <v>0.25800000000000001</v>
      </c>
      <c r="AD740" s="311">
        <v>0.26879999999999998</v>
      </c>
      <c r="AE740" s="311">
        <v>0.33079999999999998</v>
      </c>
      <c r="AF740" s="311">
        <v>0.222</v>
      </c>
      <c r="AG740" s="311">
        <v>0.29189999999999999</v>
      </c>
      <c r="AH740" s="311">
        <v>0.31780000000000003</v>
      </c>
      <c r="AI740" s="311">
        <v>0.34129999999999999</v>
      </c>
      <c r="AJ740" s="311">
        <v>0.26790000000000003</v>
      </c>
      <c r="AK740" s="311">
        <v>0.29830000000000001</v>
      </c>
      <c r="AL740" s="311">
        <v>0.29599999999999999</v>
      </c>
      <c r="AM740" s="311">
        <v>0.3574</v>
      </c>
      <c r="AN740" s="311">
        <v>0.3029</v>
      </c>
      <c r="AO740" s="311">
        <v>0.3417</v>
      </c>
      <c r="AP740" s="311">
        <v>0.35899999999999999</v>
      </c>
      <c r="AQ740" s="311">
        <v>0.30130000000000001</v>
      </c>
      <c r="AR740" s="311">
        <v>0.3085</v>
      </c>
      <c r="AS740" s="311">
        <v>0.2487</v>
      </c>
      <c r="AT740" s="311">
        <v>0.33739999999999998</v>
      </c>
      <c r="AU740" s="311">
        <v>0.35659999999999997</v>
      </c>
      <c r="AV740" s="311">
        <v>0.36909999999999998</v>
      </c>
      <c r="AW740" s="311">
        <v>0.32150000000000001</v>
      </c>
      <c r="AX740" s="311">
        <v>0.29330000000000001</v>
      </c>
      <c r="AY740" s="311">
        <v>0.32200000000000001</v>
      </c>
      <c r="AZ740" s="311">
        <v>0.33350000000000002</v>
      </c>
      <c r="BA740" s="311">
        <v>0.25169999999999998</v>
      </c>
      <c r="BB740" s="311">
        <v>0.24199999999999999</v>
      </c>
      <c r="BC740" s="311">
        <v>0.37509999999999999</v>
      </c>
      <c r="BD740" s="311">
        <v>0.38140000000000002</v>
      </c>
      <c r="BE740" s="311">
        <v>0.37930000000000003</v>
      </c>
      <c r="BF740" s="311">
        <v>0.34510000000000002</v>
      </c>
      <c r="BG740" s="311">
        <v>0.37790000000000001</v>
      </c>
      <c r="BH740" s="311">
        <v>0.33450000000000002</v>
      </c>
      <c r="BI740" s="311">
        <v>0.35220000000000001</v>
      </c>
      <c r="BJ740" s="311">
        <v>0.34179999999999999</v>
      </c>
      <c r="BK740" s="311">
        <v>0.36230000000000001</v>
      </c>
    </row>
    <row r="741" spans="1:63" x14ac:dyDescent="0.25">
      <c r="A741" s="306">
        <v>511200</v>
      </c>
      <c r="B741" s="311" t="s">
        <v>290</v>
      </c>
      <c r="C741" s="311">
        <v>0.53120000000000001</v>
      </c>
      <c r="D741" s="311">
        <v>0.41560000000000002</v>
      </c>
      <c r="E741" s="311">
        <v>0.44190000000000002</v>
      </c>
      <c r="F741" s="311">
        <v>0.43</v>
      </c>
      <c r="G741" s="311">
        <v>0.4718</v>
      </c>
      <c r="H741" s="311">
        <v>0.50580000000000003</v>
      </c>
      <c r="I741" s="311">
        <v>0.49790000000000001</v>
      </c>
      <c r="J741" s="311">
        <v>0.43009999999999998</v>
      </c>
      <c r="K741" s="311">
        <v>0.13639999999999999</v>
      </c>
      <c r="L741" s="311">
        <v>0.37719999999999998</v>
      </c>
      <c r="M741" s="311">
        <v>0.48799999999999999</v>
      </c>
      <c r="N741" s="311">
        <v>0.49380000000000002</v>
      </c>
      <c r="O741" s="311">
        <v>0.45350000000000001</v>
      </c>
      <c r="P741" s="311">
        <v>0.40289999999999998</v>
      </c>
      <c r="Q741" s="311">
        <v>0.41399999999999998</v>
      </c>
      <c r="R741" s="311">
        <v>0.49349999999999999</v>
      </c>
      <c r="S741" s="311">
        <v>0.44059999999999999</v>
      </c>
      <c r="T741" s="311">
        <v>0.3987</v>
      </c>
      <c r="U741" s="311">
        <v>0.41189999999999999</v>
      </c>
      <c r="V741" s="311">
        <v>0.4521</v>
      </c>
      <c r="W741" s="311">
        <v>0.47439999999999999</v>
      </c>
      <c r="X741" s="311">
        <v>0.43480000000000002</v>
      </c>
      <c r="Y741" s="311">
        <v>0.44940000000000002</v>
      </c>
      <c r="Z741" s="311">
        <v>0.47810000000000002</v>
      </c>
      <c r="AA741" s="311">
        <v>0.46920000000000001</v>
      </c>
      <c r="AB741" s="311">
        <v>0.41499999999999998</v>
      </c>
      <c r="AC741" s="311">
        <v>0.39879999999999999</v>
      </c>
      <c r="AD741" s="311">
        <v>0.4224</v>
      </c>
      <c r="AE741" s="311">
        <v>0.46629999999999999</v>
      </c>
      <c r="AF741" s="311">
        <v>0.37419999999999998</v>
      </c>
      <c r="AG741" s="311">
        <v>0.41599999999999998</v>
      </c>
      <c r="AH741" s="311">
        <v>0.43030000000000002</v>
      </c>
      <c r="AI741" s="311">
        <v>0.43890000000000001</v>
      </c>
      <c r="AJ741" s="311">
        <v>0.43340000000000001</v>
      </c>
      <c r="AK741" s="311">
        <v>0.44040000000000001</v>
      </c>
      <c r="AL741" s="311">
        <v>0.41020000000000001</v>
      </c>
      <c r="AM741" s="311">
        <v>0.46800000000000003</v>
      </c>
      <c r="AN741" s="311">
        <v>0.45440000000000003</v>
      </c>
      <c r="AO741" s="311">
        <v>0.45889999999999997</v>
      </c>
      <c r="AP741" s="311">
        <v>0.45529999999999998</v>
      </c>
      <c r="AQ741" s="311">
        <v>0.4274</v>
      </c>
      <c r="AR741" s="311">
        <v>0.44900000000000001</v>
      </c>
      <c r="AS741" s="311">
        <v>0.39319999999999999</v>
      </c>
      <c r="AT741" s="311">
        <v>0.4617</v>
      </c>
      <c r="AU741" s="311">
        <v>0.49070000000000003</v>
      </c>
      <c r="AV741" s="311">
        <v>0.48859999999999998</v>
      </c>
      <c r="AW741" s="311">
        <v>0.4259</v>
      </c>
      <c r="AX741" s="311">
        <v>0.3977</v>
      </c>
      <c r="AY741" s="311">
        <v>0.4713</v>
      </c>
      <c r="AZ741" s="311">
        <v>0.45050000000000001</v>
      </c>
      <c r="BA741" s="311">
        <v>0.39410000000000001</v>
      </c>
      <c r="BB741" s="311">
        <v>0.39889999999999998</v>
      </c>
      <c r="BC741" s="311">
        <v>0.4874</v>
      </c>
      <c r="BD741" s="311">
        <v>0.48959999999999998</v>
      </c>
      <c r="BE741" s="311">
        <v>0.49</v>
      </c>
      <c r="BF741" s="311">
        <v>0.45619999999999999</v>
      </c>
      <c r="BG741" s="311">
        <v>0.50290000000000001</v>
      </c>
      <c r="BH741" s="311">
        <v>0.45050000000000001</v>
      </c>
      <c r="BI741" s="311">
        <v>0.48899999999999999</v>
      </c>
      <c r="BJ741" s="311">
        <v>0.48780000000000001</v>
      </c>
      <c r="BK741" s="311">
        <v>0.50560000000000005</v>
      </c>
    </row>
    <row r="742" spans="1:63" x14ac:dyDescent="0.25">
      <c r="A742" s="306">
        <v>512100</v>
      </c>
      <c r="B742" s="311" t="s">
        <v>291</v>
      </c>
      <c r="C742" s="311">
        <v>0.39250000000000002</v>
      </c>
      <c r="D742" s="311">
        <v>0.2555</v>
      </c>
      <c r="E742" s="311">
        <v>0.27750000000000002</v>
      </c>
      <c r="F742" s="311">
        <v>0.27550000000000002</v>
      </c>
      <c r="G742" s="311">
        <v>0.30880000000000002</v>
      </c>
      <c r="H742" s="311">
        <v>0.36940000000000001</v>
      </c>
      <c r="I742" s="311">
        <v>0.33100000000000002</v>
      </c>
      <c r="J742" s="311">
        <v>0.27789999999999998</v>
      </c>
      <c r="K742" s="311">
        <v>0.1295</v>
      </c>
      <c r="L742" s="311">
        <v>0.23069999999999999</v>
      </c>
      <c r="M742" s="311">
        <v>0.31830000000000003</v>
      </c>
      <c r="N742" s="311">
        <v>0.3296</v>
      </c>
      <c r="O742" s="311">
        <v>0.26379999999999998</v>
      </c>
      <c r="P742" s="311">
        <v>0.26100000000000001</v>
      </c>
      <c r="Q742" s="311">
        <v>0.25069999999999998</v>
      </c>
      <c r="R742" s="311">
        <v>0.33100000000000002</v>
      </c>
      <c r="S742" s="311">
        <v>0.29449999999999998</v>
      </c>
      <c r="T742" s="311">
        <v>0.23569999999999999</v>
      </c>
      <c r="U742" s="311">
        <v>0.25790000000000002</v>
      </c>
      <c r="V742" s="311">
        <v>0.28739999999999999</v>
      </c>
      <c r="W742" s="311">
        <v>0.31119999999999998</v>
      </c>
      <c r="X742" s="311">
        <v>0.2969</v>
      </c>
      <c r="Y742" s="311">
        <v>0.28849999999999998</v>
      </c>
      <c r="Z742" s="311">
        <v>0.31319999999999998</v>
      </c>
      <c r="AA742" s="311">
        <v>0.30590000000000001</v>
      </c>
      <c r="AB742" s="311">
        <v>0.27100000000000002</v>
      </c>
      <c r="AC742" s="311">
        <v>0.24909999999999999</v>
      </c>
      <c r="AD742" s="311">
        <v>0.2666</v>
      </c>
      <c r="AE742" s="311">
        <v>0.30099999999999999</v>
      </c>
      <c r="AF742" s="311">
        <v>0.20280000000000001</v>
      </c>
      <c r="AG742" s="311">
        <v>0.26989999999999997</v>
      </c>
      <c r="AH742" s="311">
        <v>0.18940000000000001</v>
      </c>
      <c r="AI742" s="311">
        <v>0.29770000000000002</v>
      </c>
      <c r="AJ742" s="311">
        <v>0.31</v>
      </c>
      <c r="AK742" s="311">
        <v>0.26069999999999999</v>
      </c>
      <c r="AL742" s="311">
        <v>0.30370000000000003</v>
      </c>
      <c r="AM742" s="311">
        <v>0.30149999999999999</v>
      </c>
      <c r="AN742" s="311">
        <v>0.2898</v>
      </c>
      <c r="AO742" s="311">
        <v>0.30199999999999999</v>
      </c>
      <c r="AP742" s="311">
        <v>0.30409999999999998</v>
      </c>
      <c r="AQ742" s="311">
        <v>0.25800000000000001</v>
      </c>
      <c r="AR742" s="311">
        <v>0.28299999999999997</v>
      </c>
      <c r="AS742" s="311">
        <v>0.20130000000000001</v>
      </c>
      <c r="AT742" s="311">
        <v>0.33090000000000003</v>
      </c>
      <c r="AU742" s="311">
        <v>0.32100000000000001</v>
      </c>
      <c r="AV742" s="311">
        <v>0.32</v>
      </c>
      <c r="AW742" s="311">
        <v>0.27360000000000001</v>
      </c>
      <c r="AX742" s="311">
        <v>0.29299999999999998</v>
      </c>
      <c r="AY742" s="311">
        <v>0.29409999999999997</v>
      </c>
      <c r="AZ742" s="311">
        <v>0.28770000000000001</v>
      </c>
      <c r="BA742" s="311">
        <v>0.26679999999999998</v>
      </c>
      <c r="BB742" s="311">
        <v>0.26619999999999999</v>
      </c>
      <c r="BC742" s="311">
        <v>0.31030000000000002</v>
      </c>
      <c r="BD742" s="311">
        <v>0.36030000000000001</v>
      </c>
      <c r="BE742" s="311">
        <v>0.32529999999999998</v>
      </c>
      <c r="BF742" s="311">
        <v>0.29409999999999997</v>
      </c>
      <c r="BG742" s="311">
        <v>0.3301</v>
      </c>
      <c r="BH742" s="311">
        <v>0.30640000000000001</v>
      </c>
      <c r="BI742" s="311">
        <v>0.31759999999999999</v>
      </c>
      <c r="BJ742" s="311">
        <v>0.31459999999999999</v>
      </c>
      <c r="BK742" s="311">
        <v>0.36940000000000001</v>
      </c>
    </row>
    <row r="743" spans="1:63" x14ac:dyDescent="0.25">
      <c r="A743" s="306">
        <v>512200</v>
      </c>
      <c r="B743" s="311" t="s">
        <v>292</v>
      </c>
      <c r="C743" s="311">
        <v>0.51890000000000003</v>
      </c>
      <c r="D743" s="311">
        <v>0.27310000000000001</v>
      </c>
      <c r="E743" s="311">
        <v>0.30530000000000002</v>
      </c>
      <c r="F743" s="311">
        <v>0.29409999999999997</v>
      </c>
      <c r="G743" s="311">
        <v>0.34489999999999998</v>
      </c>
      <c r="H743" s="311">
        <v>0.47470000000000001</v>
      </c>
      <c r="I743" s="311">
        <v>0.38779999999999998</v>
      </c>
      <c r="J743" s="311">
        <v>0.30869999999999997</v>
      </c>
      <c r="K743" s="311">
        <v>0.13539999999999999</v>
      </c>
      <c r="L743" s="311">
        <v>0.2457</v>
      </c>
      <c r="M743" s="311">
        <v>0.39439999999999997</v>
      </c>
      <c r="N743" s="311">
        <v>0.40889999999999999</v>
      </c>
      <c r="O743" s="311">
        <v>0.28360000000000002</v>
      </c>
      <c r="P743" s="311">
        <v>0.27400000000000002</v>
      </c>
      <c r="Q743" s="311">
        <v>0.26679999999999998</v>
      </c>
      <c r="R743" s="311">
        <v>0.41210000000000002</v>
      </c>
      <c r="S743" s="311">
        <v>0.32650000000000001</v>
      </c>
      <c r="T743" s="311">
        <v>0.25090000000000001</v>
      </c>
      <c r="U743" s="311">
        <v>0.28699999999999998</v>
      </c>
      <c r="V743" s="311">
        <v>0.30170000000000002</v>
      </c>
      <c r="W743" s="311">
        <v>0.35639999999999999</v>
      </c>
      <c r="X743" s="311">
        <v>0.3664</v>
      </c>
      <c r="Y743" s="311">
        <v>0.32190000000000002</v>
      </c>
      <c r="Z743" s="311">
        <v>0.36709999999999998</v>
      </c>
      <c r="AA743" s="311">
        <v>0.36599999999999999</v>
      </c>
      <c r="AB743" s="311">
        <v>0.313</v>
      </c>
      <c r="AC743" s="311">
        <v>0.27629999999999999</v>
      </c>
      <c r="AD743" s="311">
        <v>0.28320000000000001</v>
      </c>
      <c r="AE743" s="311">
        <v>0.34179999999999999</v>
      </c>
      <c r="AF743" s="311">
        <v>0.2127</v>
      </c>
      <c r="AG743" s="311">
        <v>0.28710000000000002</v>
      </c>
      <c r="AH743" s="311">
        <v>0.21659999999999999</v>
      </c>
      <c r="AI743" s="311">
        <v>0.34589999999999999</v>
      </c>
      <c r="AJ743" s="311">
        <v>0.34229999999999999</v>
      </c>
      <c r="AK743" s="311">
        <v>0.34639999999999999</v>
      </c>
      <c r="AL743" s="311">
        <v>0.38750000000000001</v>
      </c>
      <c r="AM743" s="311">
        <v>0.34689999999999999</v>
      </c>
      <c r="AN743" s="311">
        <v>0.32119999999999999</v>
      </c>
      <c r="AO743" s="311">
        <v>0.32979999999999998</v>
      </c>
      <c r="AP743" s="311">
        <v>0.3629</v>
      </c>
      <c r="AQ743" s="311">
        <v>0.28160000000000002</v>
      </c>
      <c r="AR743" s="311">
        <v>0.31469999999999998</v>
      </c>
      <c r="AS743" s="311">
        <v>0.21579999999999999</v>
      </c>
      <c r="AT743" s="311">
        <v>0.42449999999999999</v>
      </c>
      <c r="AU743" s="311">
        <v>0.43869999999999998</v>
      </c>
      <c r="AV743" s="311">
        <v>0.38740000000000002</v>
      </c>
      <c r="AW743" s="311">
        <v>0.31519999999999998</v>
      </c>
      <c r="AX743" s="311">
        <v>0.33450000000000002</v>
      </c>
      <c r="AY743" s="311">
        <v>0.34460000000000002</v>
      </c>
      <c r="AZ743" s="311">
        <v>0.35039999999999999</v>
      </c>
      <c r="BA743" s="311">
        <v>0.28089999999999998</v>
      </c>
      <c r="BB743" s="311">
        <v>0.27650000000000002</v>
      </c>
      <c r="BC743" s="311">
        <v>0.3553</v>
      </c>
      <c r="BD743" s="311">
        <v>0.46949999999999997</v>
      </c>
      <c r="BE743" s="311">
        <v>0.39229999999999998</v>
      </c>
      <c r="BF743" s="311">
        <v>0.33189999999999997</v>
      </c>
      <c r="BG743" s="311">
        <v>0.40329999999999999</v>
      </c>
      <c r="BH743" s="311">
        <v>0.41010000000000002</v>
      </c>
      <c r="BI743" s="311">
        <v>0.42959999999999998</v>
      </c>
      <c r="BJ743" s="311">
        <v>0.36940000000000001</v>
      </c>
      <c r="BK743" s="311">
        <v>0.47549999999999998</v>
      </c>
    </row>
    <row r="744" spans="1:63" x14ac:dyDescent="0.25">
      <c r="A744" s="306">
        <v>515100</v>
      </c>
      <c r="B744" s="311" t="s">
        <v>293</v>
      </c>
      <c r="C744" s="311">
        <v>0.69589999999999996</v>
      </c>
      <c r="D744" s="311">
        <v>0.47939999999999999</v>
      </c>
      <c r="E744" s="311">
        <v>0.48380000000000001</v>
      </c>
      <c r="F744" s="311">
        <v>0.45590000000000003</v>
      </c>
      <c r="G744" s="311">
        <v>0.54369999999999996</v>
      </c>
      <c r="H744" s="311">
        <v>0.66810000000000003</v>
      </c>
      <c r="I744" s="311">
        <v>0.60019999999999996</v>
      </c>
      <c r="J744" s="311">
        <v>0.49640000000000001</v>
      </c>
      <c r="K744" s="311">
        <v>0.17169999999999999</v>
      </c>
      <c r="L744" s="311">
        <v>0.36959999999999998</v>
      </c>
      <c r="M744" s="311">
        <v>0.57820000000000005</v>
      </c>
      <c r="N744" s="311">
        <v>0.58609999999999995</v>
      </c>
      <c r="O744" s="311">
        <v>0.49880000000000002</v>
      </c>
      <c r="P744" s="311">
        <v>0.42809999999999998</v>
      </c>
      <c r="Q744" s="311">
        <v>0.46560000000000001</v>
      </c>
      <c r="R744" s="311">
        <v>0.57479999999999998</v>
      </c>
      <c r="S744" s="311">
        <v>0.50670000000000004</v>
      </c>
      <c r="T744" s="311">
        <v>0.40870000000000001</v>
      </c>
      <c r="U744" s="311">
        <v>0.44550000000000001</v>
      </c>
      <c r="V744" s="311">
        <v>0.57220000000000004</v>
      </c>
      <c r="W744" s="311">
        <v>0.53669999999999995</v>
      </c>
      <c r="X744" s="311">
        <v>0.4945</v>
      </c>
      <c r="Y744" s="311">
        <v>0.52110000000000001</v>
      </c>
      <c r="Z744" s="311">
        <v>0.55030000000000001</v>
      </c>
      <c r="AA744" s="311">
        <v>0.54400000000000004</v>
      </c>
      <c r="AB744" s="311">
        <v>0.48859999999999998</v>
      </c>
      <c r="AC744" s="311">
        <v>0.44550000000000001</v>
      </c>
      <c r="AD744" s="311">
        <v>0.48309999999999997</v>
      </c>
      <c r="AE744" s="311">
        <v>0.55059999999999998</v>
      </c>
      <c r="AF744" s="311">
        <v>0.40360000000000001</v>
      </c>
      <c r="AG744" s="311">
        <v>0.47089999999999999</v>
      </c>
      <c r="AH744" s="311">
        <v>0.43030000000000002</v>
      </c>
      <c r="AI744" s="311">
        <v>0.49430000000000002</v>
      </c>
      <c r="AJ744" s="311">
        <v>0.51100000000000001</v>
      </c>
      <c r="AK744" s="311">
        <v>0.49469999999999997</v>
      </c>
      <c r="AL744" s="311">
        <v>0.54100000000000004</v>
      </c>
      <c r="AM744" s="311">
        <v>0.5111</v>
      </c>
      <c r="AN744" s="311">
        <v>0.51300000000000001</v>
      </c>
      <c r="AO744" s="311">
        <v>0.52610000000000001</v>
      </c>
      <c r="AP744" s="311">
        <v>0.52159999999999995</v>
      </c>
      <c r="AQ744" s="311">
        <v>0.45279999999999998</v>
      </c>
      <c r="AR744" s="311">
        <v>0.46339999999999998</v>
      </c>
      <c r="AS744" s="311">
        <v>0.44519999999999998</v>
      </c>
      <c r="AT744" s="311">
        <v>0.60529999999999995</v>
      </c>
      <c r="AU744" s="311">
        <v>0.56940000000000002</v>
      </c>
      <c r="AV744" s="311">
        <v>0.6079</v>
      </c>
      <c r="AW744" s="311">
        <v>0.49299999999999999</v>
      </c>
      <c r="AX744" s="311">
        <v>0.45350000000000001</v>
      </c>
      <c r="AY744" s="311">
        <v>0.53080000000000005</v>
      </c>
      <c r="AZ744" s="311">
        <v>0.52229999999999999</v>
      </c>
      <c r="BA744" s="311">
        <v>0.42959999999999998</v>
      </c>
      <c r="BB744" s="311">
        <v>0.43020000000000003</v>
      </c>
      <c r="BC744" s="311">
        <v>0.56940000000000002</v>
      </c>
      <c r="BD744" s="311">
        <v>0.65300000000000002</v>
      </c>
      <c r="BE744" s="311">
        <v>0.55469999999999997</v>
      </c>
      <c r="BF744" s="311">
        <v>0.52439999999999998</v>
      </c>
      <c r="BG744" s="311">
        <v>0.60740000000000005</v>
      </c>
      <c r="BH744" s="311">
        <v>0.52329999999999999</v>
      </c>
      <c r="BI744" s="311">
        <v>0.56699999999999995</v>
      </c>
      <c r="BJ744" s="311">
        <v>0.57930000000000004</v>
      </c>
      <c r="BK744" s="311">
        <v>0.66779999999999995</v>
      </c>
    </row>
    <row r="745" spans="1:63" x14ac:dyDescent="0.25">
      <c r="A745" s="306">
        <v>515200</v>
      </c>
      <c r="B745" s="311" t="s">
        <v>294</v>
      </c>
      <c r="C745" s="311">
        <v>0.65969999999999995</v>
      </c>
      <c r="D745" s="311">
        <v>0.43459999999999999</v>
      </c>
      <c r="E745" s="311">
        <v>0.46010000000000001</v>
      </c>
      <c r="F745" s="311">
        <v>0.43059999999999998</v>
      </c>
      <c r="G745" s="311">
        <v>0.50580000000000003</v>
      </c>
      <c r="H745" s="311">
        <v>0.62350000000000005</v>
      </c>
      <c r="I745" s="311">
        <v>0.57069999999999999</v>
      </c>
      <c r="J745" s="311">
        <v>0.51859999999999995</v>
      </c>
      <c r="K745" s="311">
        <v>0.15160000000000001</v>
      </c>
      <c r="L745" s="311">
        <v>0.3624</v>
      </c>
      <c r="M745" s="311">
        <v>0.51900000000000002</v>
      </c>
      <c r="N745" s="311">
        <v>0.55930000000000002</v>
      </c>
      <c r="O745" s="311">
        <v>0.45629999999999998</v>
      </c>
      <c r="P745" s="311">
        <v>0.40989999999999999</v>
      </c>
      <c r="Q745" s="311">
        <v>0.44529999999999997</v>
      </c>
      <c r="R745" s="311">
        <v>0.53169999999999995</v>
      </c>
      <c r="S745" s="311">
        <v>0.45710000000000001</v>
      </c>
      <c r="T745" s="311">
        <v>0.40250000000000002</v>
      </c>
      <c r="U745" s="311">
        <v>0.40920000000000001</v>
      </c>
      <c r="V745" s="311">
        <v>0.52429999999999999</v>
      </c>
      <c r="W745" s="311">
        <v>0.49480000000000002</v>
      </c>
      <c r="X745" s="311">
        <v>0.47199999999999998</v>
      </c>
      <c r="Y745" s="311">
        <v>0.51070000000000004</v>
      </c>
      <c r="Z745" s="311">
        <v>0.50700000000000001</v>
      </c>
      <c r="AA745" s="311">
        <v>0.50570000000000004</v>
      </c>
      <c r="AB745" s="311">
        <v>0.45</v>
      </c>
      <c r="AC745" s="311">
        <v>0.42280000000000001</v>
      </c>
      <c r="AD745" s="311">
        <v>0.44969999999999999</v>
      </c>
      <c r="AE745" s="311">
        <v>0.53449999999999998</v>
      </c>
      <c r="AF745" s="311">
        <v>0</v>
      </c>
      <c r="AG745" s="311">
        <v>0.48099999999999998</v>
      </c>
      <c r="AH745" s="311">
        <v>0.42280000000000001</v>
      </c>
      <c r="AI745" s="311">
        <v>0.48930000000000001</v>
      </c>
      <c r="AJ745" s="311">
        <v>0.46160000000000001</v>
      </c>
      <c r="AK745" s="311">
        <v>0.45679999999999998</v>
      </c>
      <c r="AL745" s="311">
        <v>0.50819999999999999</v>
      </c>
      <c r="AM745" s="311">
        <v>0.46629999999999999</v>
      </c>
      <c r="AN745" s="311">
        <v>0.50139999999999996</v>
      </c>
      <c r="AO745" s="311">
        <v>0.47560000000000002</v>
      </c>
      <c r="AP745" s="311">
        <v>0.4864</v>
      </c>
      <c r="AQ745" s="311">
        <v>0.42209999999999998</v>
      </c>
      <c r="AR745" s="311">
        <v>0.44019999999999998</v>
      </c>
      <c r="AS745" s="311">
        <v>0.4108</v>
      </c>
      <c r="AT745" s="311">
        <v>0.55589999999999995</v>
      </c>
      <c r="AU745" s="311">
        <v>0.53910000000000002</v>
      </c>
      <c r="AV745" s="311">
        <v>0.56969999999999998</v>
      </c>
      <c r="AW745" s="311">
        <v>0.47389999999999999</v>
      </c>
      <c r="AX745" s="311">
        <v>0.43369999999999997</v>
      </c>
      <c r="AY745" s="311">
        <v>0.47599999999999998</v>
      </c>
      <c r="AZ745" s="311">
        <v>0.47399999999999998</v>
      </c>
      <c r="BA745" s="311">
        <v>0.39729999999999999</v>
      </c>
      <c r="BB745" s="311">
        <v>0.41389999999999999</v>
      </c>
      <c r="BC745" s="311">
        <v>0.56610000000000005</v>
      </c>
      <c r="BD745" s="311">
        <v>0.61299999999999999</v>
      </c>
      <c r="BE745" s="311">
        <v>0.5111</v>
      </c>
      <c r="BF745" s="311">
        <v>0.49080000000000001</v>
      </c>
      <c r="BG745" s="311">
        <v>0.57350000000000001</v>
      </c>
      <c r="BH745" s="311">
        <v>0.4879</v>
      </c>
      <c r="BI745" s="311">
        <v>0.53520000000000001</v>
      </c>
      <c r="BJ745" s="311">
        <v>0.54300000000000004</v>
      </c>
      <c r="BK745" s="311">
        <v>0.62270000000000003</v>
      </c>
    </row>
    <row r="746" spans="1:63" x14ac:dyDescent="0.25">
      <c r="A746" s="306">
        <v>517000</v>
      </c>
      <c r="B746" s="311" t="s">
        <v>295</v>
      </c>
      <c r="C746" s="311">
        <v>0.36630000000000001</v>
      </c>
      <c r="D746" s="311">
        <v>0.26950000000000002</v>
      </c>
      <c r="E746" s="311">
        <v>0.27410000000000001</v>
      </c>
      <c r="F746" s="311">
        <v>0.26</v>
      </c>
      <c r="G746" s="311">
        <v>0.2903</v>
      </c>
      <c r="H746" s="311">
        <v>0.3422</v>
      </c>
      <c r="I746" s="311">
        <v>0.3281</v>
      </c>
      <c r="J746" s="311">
        <v>0.28560000000000002</v>
      </c>
      <c r="K746" s="311">
        <v>5.4800000000000001E-2</v>
      </c>
      <c r="L746" s="311">
        <v>0.21390000000000001</v>
      </c>
      <c r="M746" s="311">
        <v>0.30630000000000002</v>
      </c>
      <c r="N746" s="311">
        <v>0.32140000000000002</v>
      </c>
      <c r="O746" s="311">
        <v>0.28889999999999999</v>
      </c>
      <c r="P746" s="311">
        <v>0.23200000000000001</v>
      </c>
      <c r="Q746" s="311">
        <v>0.25369999999999998</v>
      </c>
      <c r="R746" s="311">
        <v>0.31159999999999999</v>
      </c>
      <c r="S746" s="311">
        <v>0.2616</v>
      </c>
      <c r="T746" s="311">
        <v>0.2271</v>
      </c>
      <c r="U746" s="311">
        <v>0.25209999999999999</v>
      </c>
      <c r="V746" s="311">
        <v>0.27810000000000001</v>
      </c>
      <c r="W746" s="311">
        <v>0.29270000000000002</v>
      </c>
      <c r="X746" s="311">
        <v>0.29049999999999998</v>
      </c>
      <c r="Y746" s="311">
        <v>0.26750000000000002</v>
      </c>
      <c r="Z746" s="311">
        <v>0.28599999999999998</v>
      </c>
      <c r="AA746" s="311">
        <v>0.2792</v>
      </c>
      <c r="AB746" s="311">
        <v>0.25800000000000001</v>
      </c>
      <c r="AC746" s="311">
        <v>0.24490000000000001</v>
      </c>
      <c r="AD746" s="311">
        <v>0.25600000000000001</v>
      </c>
      <c r="AE746" s="311">
        <v>0.27879999999999999</v>
      </c>
      <c r="AF746" s="311">
        <v>0.21529999999999999</v>
      </c>
      <c r="AG746" s="311">
        <v>0.23569999999999999</v>
      </c>
      <c r="AH746" s="311">
        <v>0.26619999999999999</v>
      </c>
      <c r="AI746" s="311">
        <v>0.30030000000000001</v>
      </c>
      <c r="AJ746" s="311">
        <v>0.27689999999999998</v>
      </c>
      <c r="AK746" s="311">
        <v>0.26219999999999999</v>
      </c>
      <c r="AL746" s="311">
        <v>0.27260000000000001</v>
      </c>
      <c r="AM746" s="311">
        <v>0.28110000000000002</v>
      </c>
      <c r="AN746" s="311">
        <v>0.29120000000000001</v>
      </c>
      <c r="AO746" s="311">
        <v>0.26800000000000002</v>
      </c>
      <c r="AP746" s="311">
        <v>0.29339999999999999</v>
      </c>
      <c r="AQ746" s="311">
        <v>0.22520000000000001</v>
      </c>
      <c r="AR746" s="311">
        <v>0.27960000000000002</v>
      </c>
      <c r="AS746" s="311">
        <v>0.23150000000000001</v>
      </c>
      <c r="AT746" s="311">
        <v>0.28720000000000001</v>
      </c>
      <c r="AU746" s="311">
        <v>0.3271</v>
      </c>
      <c r="AV746" s="311">
        <v>0.30030000000000001</v>
      </c>
      <c r="AW746" s="311">
        <v>0.28000000000000003</v>
      </c>
      <c r="AX746" s="311">
        <v>0.2545</v>
      </c>
      <c r="AY746" s="311">
        <v>0.29360000000000003</v>
      </c>
      <c r="AZ746" s="311">
        <v>0.2666</v>
      </c>
      <c r="BA746" s="311">
        <v>0.23910000000000001</v>
      </c>
      <c r="BB746" s="311">
        <v>0.23300000000000001</v>
      </c>
      <c r="BC746" s="311">
        <v>0.316</v>
      </c>
      <c r="BD746" s="311">
        <v>0.33119999999999999</v>
      </c>
      <c r="BE746" s="311">
        <v>0.2999</v>
      </c>
      <c r="BF746" s="311">
        <v>0.2853</v>
      </c>
      <c r="BG746" s="311">
        <v>0.33090000000000003</v>
      </c>
      <c r="BH746" s="311">
        <v>0.28110000000000002</v>
      </c>
      <c r="BI746" s="311">
        <v>0.32350000000000001</v>
      </c>
      <c r="BJ746" s="311">
        <v>0.31890000000000002</v>
      </c>
      <c r="BK746" s="311">
        <v>0.34279999999999999</v>
      </c>
    </row>
    <row r="747" spans="1:63" x14ac:dyDescent="0.25">
      <c r="A747" s="306" t="s">
        <v>763</v>
      </c>
      <c r="B747" s="311" t="s">
        <v>764</v>
      </c>
      <c r="C747" s="311">
        <v>0.4864</v>
      </c>
      <c r="D747" s="311">
        <v>0.38690000000000002</v>
      </c>
      <c r="E747" s="311">
        <v>0.40300000000000002</v>
      </c>
      <c r="F747" s="311">
        <v>0.3952</v>
      </c>
      <c r="G747" s="311">
        <v>0.42859999999999998</v>
      </c>
      <c r="H747" s="311">
        <v>0.45600000000000002</v>
      </c>
      <c r="I747" s="311">
        <v>0.45029999999999998</v>
      </c>
      <c r="J747" s="311">
        <v>0.38440000000000002</v>
      </c>
      <c r="K747" s="311">
        <v>0.11169999999999999</v>
      </c>
      <c r="L747" s="311">
        <v>0.3266</v>
      </c>
      <c r="M747" s="311">
        <v>0.437</v>
      </c>
      <c r="N747" s="311">
        <v>0.43919999999999998</v>
      </c>
      <c r="O747" s="311">
        <v>0.39850000000000002</v>
      </c>
      <c r="P747" s="311">
        <v>0.374</v>
      </c>
      <c r="Q747" s="311">
        <v>0.36249999999999999</v>
      </c>
      <c r="R747" s="311">
        <v>0.44269999999999998</v>
      </c>
      <c r="S747" s="311">
        <v>0.39779999999999999</v>
      </c>
      <c r="T747" s="311">
        <v>0.33739999999999998</v>
      </c>
      <c r="U747" s="311">
        <v>0.37580000000000002</v>
      </c>
      <c r="V747" s="311">
        <v>0.4007</v>
      </c>
      <c r="W747" s="311">
        <v>0.41370000000000001</v>
      </c>
      <c r="X747" s="311">
        <v>0.38469999999999999</v>
      </c>
      <c r="Y747" s="311">
        <v>0.39650000000000002</v>
      </c>
      <c r="Z747" s="311">
        <v>0.42830000000000001</v>
      </c>
      <c r="AA747" s="311">
        <v>0.4209</v>
      </c>
      <c r="AB747" s="311">
        <v>0.38229999999999997</v>
      </c>
      <c r="AC747" s="311">
        <v>0.3574</v>
      </c>
      <c r="AD747" s="311">
        <v>0.37740000000000001</v>
      </c>
      <c r="AE747" s="311">
        <v>0.41289999999999999</v>
      </c>
      <c r="AF747" s="311">
        <v>0.33729999999999999</v>
      </c>
      <c r="AG747" s="311">
        <v>0.36120000000000002</v>
      </c>
      <c r="AH747" s="311">
        <v>0.37240000000000001</v>
      </c>
      <c r="AI747" s="311">
        <v>0.4047</v>
      </c>
      <c r="AJ747" s="311">
        <v>0.39810000000000001</v>
      </c>
      <c r="AK747" s="311">
        <v>0.37040000000000001</v>
      </c>
      <c r="AL747" s="311">
        <v>0.35610000000000003</v>
      </c>
      <c r="AM747" s="311">
        <v>0.42749999999999999</v>
      </c>
      <c r="AN747" s="311">
        <v>0.40770000000000001</v>
      </c>
      <c r="AO747" s="311">
        <v>0.40939999999999999</v>
      </c>
      <c r="AP747" s="311">
        <v>0.41699999999999998</v>
      </c>
      <c r="AQ747" s="311">
        <v>0.34320000000000001</v>
      </c>
      <c r="AR747" s="311">
        <v>0.38819999999999999</v>
      </c>
      <c r="AS747" s="311">
        <v>0.34749999999999998</v>
      </c>
      <c r="AT747" s="311">
        <v>0.41070000000000001</v>
      </c>
      <c r="AU747" s="311">
        <v>0.45090000000000002</v>
      </c>
      <c r="AV747" s="311">
        <v>0.4425</v>
      </c>
      <c r="AW747" s="311">
        <v>0.38490000000000002</v>
      </c>
      <c r="AX747" s="311">
        <v>0.34889999999999999</v>
      </c>
      <c r="AY747" s="311">
        <v>0.42070000000000002</v>
      </c>
      <c r="AZ747" s="311">
        <v>0.4027</v>
      </c>
      <c r="BA747" s="311">
        <v>0.32919999999999999</v>
      </c>
      <c r="BB747" s="311">
        <v>0.36670000000000003</v>
      </c>
      <c r="BC747" s="311">
        <v>0.43440000000000001</v>
      </c>
      <c r="BD747" s="311">
        <v>0.4395</v>
      </c>
      <c r="BE747" s="311">
        <v>0.441</v>
      </c>
      <c r="BF747" s="311">
        <v>0.41510000000000002</v>
      </c>
      <c r="BG747" s="311">
        <v>0.45440000000000003</v>
      </c>
      <c r="BH747" s="311">
        <v>0.40639999999999998</v>
      </c>
      <c r="BI747" s="311">
        <v>0.4471</v>
      </c>
      <c r="BJ747" s="311">
        <v>0.44269999999999998</v>
      </c>
      <c r="BK747" s="311">
        <v>0.45779999999999998</v>
      </c>
    </row>
    <row r="748" spans="1:63" x14ac:dyDescent="0.25">
      <c r="A748" s="306" t="s">
        <v>765</v>
      </c>
      <c r="B748" s="311" t="s">
        <v>296</v>
      </c>
      <c r="C748" s="311">
        <v>0.42159999999999997</v>
      </c>
      <c r="D748" s="311">
        <v>0.31219999999999998</v>
      </c>
      <c r="E748" s="311">
        <v>0.33729999999999999</v>
      </c>
      <c r="F748" s="311">
        <v>0.31780000000000003</v>
      </c>
      <c r="G748" s="311">
        <v>0.36609999999999998</v>
      </c>
      <c r="H748" s="311">
        <v>0.39050000000000001</v>
      </c>
      <c r="I748" s="311">
        <v>0.39050000000000001</v>
      </c>
      <c r="J748" s="311">
        <v>0.34489999999999998</v>
      </c>
      <c r="K748" s="311">
        <v>8.0600000000000005E-2</v>
      </c>
      <c r="L748" s="311">
        <v>0.28939999999999999</v>
      </c>
      <c r="M748" s="311">
        <v>0.37919999999999998</v>
      </c>
      <c r="N748" s="311">
        <v>0.38040000000000002</v>
      </c>
      <c r="O748" s="311">
        <v>0.34250000000000003</v>
      </c>
      <c r="P748" s="311">
        <v>0.3241</v>
      </c>
      <c r="Q748" s="311">
        <v>0.31819999999999998</v>
      </c>
      <c r="R748" s="311">
        <v>0.39650000000000002</v>
      </c>
      <c r="S748" s="311">
        <v>0.32729999999999998</v>
      </c>
      <c r="T748" s="311">
        <v>0.309</v>
      </c>
      <c r="U748" s="311">
        <v>0.32619999999999999</v>
      </c>
      <c r="V748" s="311">
        <v>0.3422</v>
      </c>
      <c r="W748" s="311">
        <v>0.37130000000000002</v>
      </c>
      <c r="X748" s="311">
        <v>0.34339999999999998</v>
      </c>
      <c r="Y748" s="311">
        <v>0.35320000000000001</v>
      </c>
      <c r="Z748" s="311">
        <v>0.35499999999999998</v>
      </c>
      <c r="AA748" s="311">
        <v>0.36980000000000002</v>
      </c>
      <c r="AB748" s="311">
        <v>0.33439999999999998</v>
      </c>
      <c r="AC748" s="311">
        <v>0.31900000000000001</v>
      </c>
      <c r="AD748" s="311">
        <v>0.33110000000000001</v>
      </c>
      <c r="AE748" s="311">
        <v>0.34599999999999997</v>
      </c>
      <c r="AF748" s="311">
        <v>0.28449999999999998</v>
      </c>
      <c r="AG748" s="311">
        <v>0.32140000000000002</v>
      </c>
      <c r="AH748" s="311">
        <v>0.32729999999999998</v>
      </c>
      <c r="AI748" s="311">
        <v>0.35780000000000001</v>
      </c>
      <c r="AJ748" s="311">
        <v>0.318</v>
      </c>
      <c r="AK748" s="311">
        <v>0.34599999999999997</v>
      </c>
      <c r="AL748" s="311">
        <v>0.32179999999999997</v>
      </c>
      <c r="AM748" s="311">
        <v>0.35599999999999998</v>
      </c>
      <c r="AN748" s="311">
        <v>0.34060000000000001</v>
      </c>
      <c r="AO748" s="311">
        <v>0.34250000000000003</v>
      </c>
      <c r="AP748" s="311">
        <v>0.35959999999999998</v>
      </c>
      <c r="AQ748" s="311">
        <v>0.31559999999999999</v>
      </c>
      <c r="AR748" s="311">
        <v>0.34549999999999997</v>
      </c>
      <c r="AS748" s="311">
        <v>0.31659999999999999</v>
      </c>
      <c r="AT748" s="311">
        <v>0.3599</v>
      </c>
      <c r="AU748" s="311">
        <v>0.38419999999999999</v>
      </c>
      <c r="AV748" s="311">
        <v>0.38300000000000001</v>
      </c>
      <c r="AW748" s="311">
        <v>0.34379999999999999</v>
      </c>
      <c r="AX748" s="311">
        <v>0.31740000000000002</v>
      </c>
      <c r="AY748" s="311">
        <v>0.35670000000000002</v>
      </c>
      <c r="AZ748" s="311">
        <v>0.34699999999999998</v>
      </c>
      <c r="BA748" s="311">
        <v>0.29389999999999999</v>
      </c>
      <c r="BB748" s="311">
        <v>0.3</v>
      </c>
      <c r="BC748" s="311">
        <v>0.38369999999999999</v>
      </c>
      <c r="BD748" s="311">
        <v>0.39350000000000002</v>
      </c>
      <c r="BE748" s="311">
        <v>0.3785</v>
      </c>
      <c r="BF748" s="311">
        <v>0.35909999999999997</v>
      </c>
      <c r="BG748" s="311">
        <v>0.38700000000000001</v>
      </c>
      <c r="BH748" s="311">
        <v>0.35199999999999998</v>
      </c>
      <c r="BI748" s="311">
        <v>0.38019999999999998</v>
      </c>
      <c r="BJ748" s="311">
        <v>0.37359999999999999</v>
      </c>
      <c r="BK748" s="311">
        <v>0.38679999999999998</v>
      </c>
    </row>
    <row r="749" spans="1:63" x14ac:dyDescent="0.25">
      <c r="A749" s="306">
        <v>523000</v>
      </c>
      <c r="B749" s="311" t="s">
        <v>297</v>
      </c>
      <c r="C749" s="311">
        <v>0.70840000000000003</v>
      </c>
      <c r="D749" s="311">
        <v>0.56740000000000002</v>
      </c>
      <c r="E749" s="311">
        <v>0.58279999999999998</v>
      </c>
      <c r="F749" s="311">
        <v>0.55920000000000003</v>
      </c>
      <c r="G749" s="311">
        <v>0.61550000000000005</v>
      </c>
      <c r="H749" s="311">
        <v>0.66790000000000005</v>
      </c>
      <c r="I749" s="311">
        <v>0.65490000000000004</v>
      </c>
      <c r="J749" s="311">
        <v>0.55569999999999997</v>
      </c>
      <c r="K749" s="311">
        <v>0.1696</v>
      </c>
      <c r="L749" s="311">
        <v>0.43509999999999999</v>
      </c>
      <c r="M749" s="311">
        <v>0.63839999999999997</v>
      </c>
      <c r="N749" s="311">
        <v>0.63780000000000003</v>
      </c>
      <c r="O749" s="311">
        <v>0.58709999999999996</v>
      </c>
      <c r="P749" s="311">
        <v>0.54679999999999995</v>
      </c>
      <c r="Q749" s="311">
        <v>0.55030000000000001</v>
      </c>
      <c r="R749" s="311">
        <v>0.67420000000000002</v>
      </c>
      <c r="S749" s="311">
        <v>0.57720000000000005</v>
      </c>
      <c r="T749" s="311">
        <v>0.52170000000000005</v>
      </c>
      <c r="U749" s="311">
        <v>0.50609999999999999</v>
      </c>
      <c r="V749" s="311">
        <v>0.57469999999999999</v>
      </c>
      <c r="W749" s="311">
        <v>0.64859999999999995</v>
      </c>
      <c r="X749" s="311">
        <v>0.61819999999999997</v>
      </c>
      <c r="Y749" s="311">
        <v>0.59</v>
      </c>
      <c r="Z749" s="311">
        <v>0.60429999999999995</v>
      </c>
      <c r="AA749" s="311">
        <v>0.62749999999999995</v>
      </c>
      <c r="AB749" s="311">
        <v>0.51980000000000004</v>
      </c>
      <c r="AC749" s="311">
        <v>0.54290000000000005</v>
      </c>
      <c r="AD749" s="311">
        <v>0.56969999999999998</v>
      </c>
      <c r="AE749" s="311">
        <v>0.6</v>
      </c>
      <c r="AF749" s="311">
        <v>0.50109999999999999</v>
      </c>
      <c r="AG749" s="311">
        <v>0.55730000000000002</v>
      </c>
      <c r="AH749" s="311">
        <v>0.54290000000000005</v>
      </c>
      <c r="AI749" s="311">
        <v>0.56910000000000005</v>
      </c>
      <c r="AJ749" s="311">
        <v>0.57509999999999994</v>
      </c>
      <c r="AK749" s="311">
        <v>0.58450000000000002</v>
      </c>
      <c r="AL749" s="311">
        <v>0.51139999999999997</v>
      </c>
      <c r="AM749" s="311">
        <v>0.5958</v>
      </c>
      <c r="AN749" s="311">
        <v>0.58489999999999998</v>
      </c>
      <c r="AO749" s="311">
        <v>0.58960000000000001</v>
      </c>
      <c r="AP749" s="311">
        <v>0.59179999999999999</v>
      </c>
      <c r="AQ749" s="311">
        <v>0.50700000000000001</v>
      </c>
      <c r="AR749" s="311">
        <v>0.58560000000000001</v>
      </c>
      <c r="AS749" s="311">
        <v>0.54779999999999995</v>
      </c>
      <c r="AT749" s="311">
        <v>0.60880000000000001</v>
      </c>
      <c r="AU749" s="311">
        <v>0.65049999999999997</v>
      </c>
      <c r="AV749" s="311">
        <v>0.63019999999999998</v>
      </c>
      <c r="AW749" s="311">
        <v>0.57730000000000004</v>
      </c>
      <c r="AX749" s="311">
        <v>0.58299999999999996</v>
      </c>
      <c r="AY749" s="311">
        <v>0.61150000000000004</v>
      </c>
      <c r="AZ749" s="311">
        <v>0.56540000000000001</v>
      </c>
      <c r="BA749" s="311">
        <v>0.499</v>
      </c>
      <c r="BB749" s="311">
        <v>0.54490000000000005</v>
      </c>
      <c r="BC749" s="311">
        <v>0.64549999999999996</v>
      </c>
      <c r="BD749" s="311">
        <v>0.65700000000000003</v>
      </c>
      <c r="BE749" s="311">
        <v>0.63790000000000002</v>
      </c>
      <c r="BF749" s="311">
        <v>0.59709999999999996</v>
      </c>
      <c r="BG749" s="311">
        <v>0.64659999999999995</v>
      </c>
      <c r="BH749" s="311">
        <v>0.57830000000000004</v>
      </c>
      <c r="BI749" s="311">
        <v>0.63900000000000001</v>
      </c>
      <c r="BJ749" s="311">
        <v>0.62570000000000003</v>
      </c>
      <c r="BK749" s="311">
        <v>0.6593</v>
      </c>
    </row>
    <row r="750" spans="1:63" x14ac:dyDescent="0.25">
      <c r="A750" s="306">
        <v>524100</v>
      </c>
      <c r="B750" s="311" t="s">
        <v>298</v>
      </c>
      <c r="C750" s="311">
        <v>0.52800000000000002</v>
      </c>
      <c r="D750" s="311">
        <v>0.36699999999999999</v>
      </c>
      <c r="E750" s="311">
        <v>0.44059999999999999</v>
      </c>
      <c r="F750" s="311">
        <v>0.39360000000000001</v>
      </c>
      <c r="G750" s="311">
        <v>0.4733</v>
      </c>
      <c r="H750" s="311">
        <v>0.498</v>
      </c>
      <c r="I750" s="311">
        <v>0.48330000000000001</v>
      </c>
      <c r="J750" s="311">
        <v>0.46870000000000001</v>
      </c>
      <c r="K750" s="311">
        <v>6.6299999999999998E-2</v>
      </c>
      <c r="L750" s="311">
        <v>0.33050000000000002</v>
      </c>
      <c r="M750" s="311">
        <v>0.48859999999999998</v>
      </c>
      <c r="N750" s="311">
        <v>0.49020000000000002</v>
      </c>
      <c r="O750" s="311">
        <v>0.41909999999999997</v>
      </c>
      <c r="P750" s="311">
        <v>0.43790000000000001</v>
      </c>
      <c r="Q750" s="311">
        <v>0.38200000000000001</v>
      </c>
      <c r="R750" s="311">
        <v>0.50260000000000005</v>
      </c>
      <c r="S750" s="311">
        <v>0.42899999999999999</v>
      </c>
      <c r="T750" s="311">
        <v>0.39610000000000001</v>
      </c>
      <c r="U750" s="311">
        <v>0.4219</v>
      </c>
      <c r="V750" s="311">
        <v>0.45290000000000002</v>
      </c>
      <c r="W750" s="311">
        <v>0.48010000000000003</v>
      </c>
      <c r="X750" s="311">
        <v>0.4592</v>
      </c>
      <c r="Y750" s="311">
        <v>0.46500000000000002</v>
      </c>
      <c r="Z750" s="311">
        <v>0.44130000000000003</v>
      </c>
      <c r="AA750" s="311">
        <v>0.4753</v>
      </c>
      <c r="AB750" s="311">
        <v>0.42730000000000001</v>
      </c>
      <c r="AC750" s="311">
        <v>0.40429999999999999</v>
      </c>
      <c r="AD750" s="311">
        <v>0.44369999999999998</v>
      </c>
      <c r="AE750" s="311">
        <v>0.41370000000000001</v>
      </c>
      <c r="AF750" s="311">
        <v>0.33410000000000001</v>
      </c>
      <c r="AG750" s="311">
        <v>0.40439999999999998</v>
      </c>
      <c r="AH750" s="311">
        <v>0.45079999999999998</v>
      </c>
      <c r="AI750" s="311">
        <v>0.4602</v>
      </c>
      <c r="AJ750" s="311">
        <v>0.38159999999999999</v>
      </c>
      <c r="AK750" s="311">
        <v>0.42480000000000001</v>
      </c>
      <c r="AL750" s="311">
        <v>0.42009999999999997</v>
      </c>
      <c r="AM750" s="311">
        <v>0.45669999999999999</v>
      </c>
      <c r="AN750" s="311">
        <v>0.42980000000000002</v>
      </c>
      <c r="AO750" s="311">
        <v>0.43109999999999998</v>
      </c>
      <c r="AP750" s="311">
        <v>0.4607</v>
      </c>
      <c r="AQ750" s="311">
        <v>0.41389999999999999</v>
      </c>
      <c r="AR750" s="311">
        <v>0.45479999999999998</v>
      </c>
      <c r="AS750" s="311">
        <v>0.40799999999999997</v>
      </c>
      <c r="AT750" s="311">
        <v>0.45829999999999999</v>
      </c>
      <c r="AU750" s="311">
        <v>0.49559999999999998</v>
      </c>
      <c r="AV750" s="311">
        <v>0.48620000000000002</v>
      </c>
      <c r="AW750" s="311">
        <v>0.41420000000000001</v>
      </c>
      <c r="AX750" s="311">
        <v>0.42670000000000002</v>
      </c>
      <c r="AY750" s="311">
        <v>0.4466</v>
      </c>
      <c r="AZ750" s="311">
        <v>0.45229999999999998</v>
      </c>
      <c r="BA750" s="311">
        <v>0.38879999999999998</v>
      </c>
      <c r="BB750" s="311">
        <v>0.3508</v>
      </c>
      <c r="BC750" s="311">
        <v>0.50160000000000005</v>
      </c>
      <c r="BD750" s="311">
        <v>0.50409999999999999</v>
      </c>
      <c r="BE750" s="311">
        <v>0.4834</v>
      </c>
      <c r="BF750" s="311">
        <v>0.4672</v>
      </c>
      <c r="BG750" s="311">
        <v>0.48930000000000001</v>
      </c>
      <c r="BH750" s="311">
        <v>0.45450000000000002</v>
      </c>
      <c r="BI750" s="311">
        <v>0.4889</v>
      </c>
      <c r="BJ750" s="311">
        <v>0.46200000000000002</v>
      </c>
      <c r="BK750" s="311">
        <v>0.4889</v>
      </c>
    </row>
    <row r="751" spans="1:63" x14ac:dyDescent="0.25">
      <c r="A751" s="306">
        <v>524200</v>
      </c>
      <c r="B751" s="311" t="s">
        <v>299</v>
      </c>
      <c r="C751" s="311">
        <v>0.5706</v>
      </c>
      <c r="D751" s="311">
        <v>0.4375</v>
      </c>
      <c r="E751" s="311">
        <v>0.4884</v>
      </c>
      <c r="F751" s="311">
        <v>0.44679999999999997</v>
      </c>
      <c r="G751" s="311">
        <v>0.52729999999999999</v>
      </c>
      <c r="H751" s="311">
        <v>0.54590000000000005</v>
      </c>
      <c r="I751" s="311">
        <v>0.53220000000000001</v>
      </c>
      <c r="J751" s="311">
        <v>0.49669999999999997</v>
      </c>
      <c r="K751" s="311">
        <v>8.6599999999999996E-2</v>
      </c>
      <c r="L751" s="311">
        <v>0.35709999999999997</v>
      </c>
      <c r="M751" s="311">
        <v>0.53720000000000001</v>
      </c>
      <c r="N751" s="311">
        <v>0.53680000000000005</v>
      </c>
      <c r="O751" s="311">
        <v>0.48430000000000001</v>
      </c>
      <c r="P751" s="311">
        <v>0.46339999999999998</v>
      </c>
      <c r="Q751" s="311">
        <v>0.44440000000000002</v>
      </c>
      <c r="R751" s="311">
        <v>0.53859999999999997</v>
      </c>
      <c r="S751" s="311">
        <v>0.48020000000000002</v>
      </c>
      <c r="T751" s="311">
        <v>0.43180000000000002</v>
      </c>
      <c r="U751" s="311">
        <v>0.45839999999999997</v>
      </c>
      <c r="V751" s="311">
        <v>0.50049999999999994</v>
      </c>
      <c r="W751" s="311">
        <v>0.50990000000000002</v>
      </c>
      <c r="X751" s="311">
        <v>0.50260000000000005</v>
      </c>
      <c r="Y751" s="311">
        <v>0.49530000000000002</v>
      </c>
      <c r="Z751" s="311">
        <v>0.499</v>
      </c>
      <c r="AA751" s="311">
        <v>0.50290000000000001</v>
      </c>
      <c r="AB751" s="311">
        <v>0.4577</v>
      </c>
      <c r="AC751" s="311">
        <v>0.45340000000000003</v>
      </c>
      <c r="AD751" s="311">
        <v>0.47960000000000003</v>
      </c>
      <c r="AE751" s="311">
        <v>0.48060000000000003</v>
      </c>
      <c r="AF751" s="311">
        <v>0.37280000000000002</v>
      </c>
      <c r="AG751" s="311">
        <v>0.43090000000000001</v>
      </c>
      <c r="AH751" s="311">
        <v>0.48630000000000001</v>
      </c>
      <c r="AI751" s="311">
        <v>0.49790000000000001</v>
      </c>
      <c r="AJ751" s="311">
        <v>0.46060000000000001</v>
      </c>
      <c r="AK751" s="311">
        <v>0.4753</v>
      </c>
      <c r="AL751" s="311">
        <v>0.44800000000000001</v>
      </c>
      <c r="AM751" s="311">
        <v>0.50419999999999998</v>
      </c>
      <c r="AN751" s="311">
        <v>0.49159999999999998</v>
      </c>
      <c r="AO751" s="311">
        <v>0.47549999999999998</v>
      </c>
      <c r="AP751" s="311">
        <v>0.49409999999999998</v>
      </c>
      <c r="AQ751" s="311">
        <v>0.43819999999999998</v>
      </c>
      <c r="AR751" s="311">
        <v>0.50639999999999996</v>
      </c>
      <c r="AS751" s="311">
        <v>0.43380000000000002</v>
      </c>
      <c r="AT751" s="311">
        <v>0.50260000000000005</v>
      </c>
      <c r="AU751" s="311">
        <v>0.54520000000000002</v>
      </c>
      <c r="AV751" s="311">
        <v>0.5262</v>
      </c>
      <c r="AW751" s="311">
        <v>0.47499999999999998</v>
      </c>
      <c r="AX751" s="311">
        <v>0.46239999999999998</v>
      </c>
      <c r="AY751" s="311">
        <v>0.50009999999999999</v>
      </c>
      <c r="AZ751" s="311">
        <v>0.48949999999999999</v>
      </c>
      <c r="BA751" s="311">
        <v>0.43359999999999999</v>
      </c>
      <c r="BB751" s="311">
        <v>0.41010000000000002</v>
      </c>
      <c r="BC751" s="311">
        <v>0.53200000000000003</v>
      </c>
      <c r="BD751" s="311">
        <v>0.53649999999999998</v>
      </c>
      <c r="BE751" s="311">
        <v>0.52759999999999996</v>
      </c>
      <c r="BF751" s="311">
        <v>0.496</v>
      </c>
      <c r="BG751" s="311">
        <v>0.54100000000000004</v>
      </c>
      <c r="BH751" s="311">
        <v>0.49790000000000001</v>
      </c>
      <c r="BI751" s="311">
        <v>0.54139999999999999</v>
      </c>
      <c r="BJ751" s="311">
        <v>0.52290000000000003</v>
      </c>
      <c r="BK751" s="311">
        <v>0.54069999999999996</v>
      </c>
    </row>
    <row r="752" spans="1:63" x14ac:dyDescent="0.25">
      <c r="A752" s="306">
        <v>525000</v>
      </c>
      <c r="B752" s="311" t="s">
        <v>300</v>
      </c>
      <c r="C752" s="311">
        <v>0.66800000000000004</v>
      </c>
      <c r="D752" s="311">
        <v>0.2429</v>
      </c>
      <c r="E752" s="311">
        <v>0.27260000000000001</v>
      </c>
      <c r="F752" s="311">
        <v>0.26300000000000001</v>
      </c>
      <c r="G752" s="311">
        <v>0.33510000000000001</v>
      </c>
      <c r="H752" s="311">
        <v>0.54039999999999999</v>
      </c>
      <c r="I752" s="311">
        <v>0.499</v>
      </c>
      <c r="J752" s="311">
        <v>0.52100000000000002</v>
      </c>
      <c r="K752" s="311">
        <v>0.10009999999999999</v>
      </c>
      <c r="L752" s="311">
        <v>0.34520000000000001</v>
      </c>
      <c r="M752" s="311">
        <v>0.4093</v>
      </c>
      <c r="N752" s="311">
        <v>0.39290000000000003</v>
      </c>
      <c r="O752" s="311">
        <v>0.26629999999999998</v>
      </c>
      <c r="P752" s="311">
        <v>0.24129999999999999</v>
      </c>
      <c r="Q752" s="311">
        <v>0.2402</v>
      </c>
      <c r="R752" s="311">
        <v>0.63649999999999995</v>
      </c>
      <c r="S752" s="311">
        <v>0.27529999999999999</v>
      </c>
      <c r="T752" s="311">
        <v>0.27710000000000001</v>
      </c>
      <c r="U752" s="311">
        <v>0.26169999999999999</v>
      </c>
      <c r="V752" s="311">
        <v>0.26319999999999999</v>
      </c>
      <c r="W752" s="311">
        <v>0.6119</v>
      </c>
      <c r="X752" s="311">
        <v>0.4869</v>
      </c>
      <c r="Y752" s="311">
        <v>0.29199999999999998</v>
      </c>
      <c r="Z752" s="311">
        <v>0.29849999999999999</v>
      </c>
      <c r="AA752" s="311">
        <v>0.4733</v>
      </c>
      <c r="AB752" s="311">
        <v>0.31509999999999999</v>
      </c>
      <c r="AC752" s="311">
        <v>0.22489999999999999</v>
      </c>
      <c r="AD752" s="311">
        <v>0.27810000000000001</v>
      </c>
      <c r="AE752" s="311">
        <v>0.34360000000000002</v>
      </c>
      <c r="AF752" s="311">
        <v>0.20599999999999999</v>
      </c>
      <c r="AG752" s="311">
        <v>0.26090000000000002</v>
      </c>
      <c r="AH752" s="311">
        <v>0.48060000000000003</v>
      </c>
      <c r="AI752" s="311">
        <v>0.53790000000000004</v>
      </c>
      <c r="AJ752" s="311">
        <v>0.25380000000000003</v>
      </c>
      <c r="AK752" s="311">
        <v>0.25090000000000001</v>
      </c>
      <c r="AL752" s="311">
        <v>0.4859</v>
      </c>
      <c r="AM752" s="311">
        <v>0.31430000000000002</v>
      </c>
      <c r="AN752" s="311">
        <v>0.27960000000000002</v>
      </c>
      <c r="AO752" s="311">
        <v>0.2923</v>
      </c>
      <c r="AP752" s="311">
        <v>0.4032</v>
      </c>
      <c r="AQ752" s="311">
        <v>0.46489999999999998</v>
      </c>
      <c r="AR752" s="311">
        <v>0.26919999999999999</v>
      </c>
      <c r="AS752" s="311">
        <v>0.2291</v>
      </c>
      <c r="AT752" s="311">
        <v>0.38340000000000002</v>
      </c>
      <c r="AU752" s="311">
        <v>0.44140000000000001</v>
      </c>
      <c r="AV752" s="311">
        <v>0.35570000000000002</v>
      </c>
      <c r="AW752" s="311">
        <v>0.3261</v>
      </c>
      <c r="AX752" s="311">
        <v>0.33069999999999999</v>
      </c>
      <c r="AY752" s="311">
        <v>0.34570000000000001</v>
      </c>
      <c r="AZ752" s="311">
        <v>0.32290000000000002</v>
      </c>
      <c r="BA752" s="311">
        <v>0.20680000000000001</v>
      </c>
      <c r="BB752" s="311">
        <v>0.2271</v>
      </c>
      <c r="BC752" s="311">
        <v>0.60980000000000001</v>
      </c>
      <c r="BD752" s="311">
        <v>0.62019999999999997</v>
      </c>
      <c r="BE752" s="311">
        <v>0.45250000000000001</v>
      </c>
      <c r="BF752" s="311">
        <v>0.34560000000000002</v>
      </c>
      <c r="BG752" s="311">
        <v>0.40210000000000001</v>
      </c>
      <c r="BH752" s="311">
        <v>0.30880000000000002</v>
      </c>
      <c r="BI752" s="311">
        <v>0.39550000000000002</v>
      </c>
      <c r="BJ752" s="311">
        <v>0.35210000000000002</v>
      </c>
      <c r="BK752" s="311">
        <v>0.48820000000000002</v>
      </c>
    </row>
    <row r="753" spans="1:63" x14ac:dyDescent="0.25">
      <c r="A753" s="306" t="s">
        <v>766</v>
      </c>
      <c r="B753" s="311" t="s">
        <v>767</v>
      </c>
      <c r="C753" s="311">
        <v>0.40849999999999997</v>
      </c>
      <c r="D753" s="311">
        <v>0.30590000000000001</v>
      </c>
      <c r="E753" s="311">
        <v>0.31979999999999997</v>
      </c>
      <c r="F753" s="311">
        <v>0.30259999999999998</v>
      </c>
      <c r="G753" s="311">
        <v>0.33989999999999998</v>
      </c>
      <c r="H753" s="311">
        <v>0.37659999999999999</v>
      </c>
      <c r="I753" s="311">
        <v>0.37190000000000001</v>
      </c>
      <c r="J753" s="311">
        <v>0.3342</v>
      </c>
      <c r="K753" s="311">
        <v>8.0500000000000002E-2</v>
      </c>
      <c r="L753" s="311">
        <v>0.28000000000000003</v>
      </c>
      <c r="M753" s="311">
        <v>0.35680000000000001</v>
      </c>
      <c r="N753" s="311">
        <v>0.35310000000000002</v>
      </c>
      <c r="O753" s="311">
        <v>0.32519999999999999</v>
      </c>
      <c r="P753" s="311">
        <v>0.30549999999999999</v>
      </c>
      <c r="Q753" s="311">
        <v>0.30669999999999997</v>
      </c>
      <c r="R753" s="311">
        <v>0.38750000000000001</v>
      </c>
      <c r="S753" s="311">
        <v>0.31190000000000001</v>
      </c>
      <c r="T753" s="311">
        <v>0.29189999999999999</v>
      </c>
      <c r="U753" s="311">
        <v>0.30499999999999999</v>
      </c>
      <c r="V753" s="311">
        <v>0.31790000000000002</v>
      </c>
      <c r="W753" s="311">
        <v>0.36549999999999999</v>
      </c>
      <c r="X753" s="311">
        <v>0.33489999999999998</v>
      </c>
      <c r="Y753" s="311">
        <v>0.3286</v>
      </c>
      <c r="Z753" s="311">
        <v>0.33500000000000002</v>
      </c>
      <c r="AA753" s="311">
        <v>0.35339999999999999</v>
      </c>
      <c r="AB753" s="311">
        <v>0.31019999999999998</v>
      </c>
      <c r="AC753" s="311">
        <v>0.30559999999999998</v>
      </c>
      <c r="AD753" s="311">
        <v>0.31640000000000001</v>
      </c>
      <c r="AE753" s="311">
        <v>0.33389999999999997</v>
      </c>
      <c r="AF753" s="311">
        <v>0.27560000000000001</v>
      </c>
      <c r="AG753" s="311">
        <v>0.2994</v>
      </c>
      <c r="AH753" s="311">
        <v>0.31879999999999997</v>
      </c>
      <c r="AI753" s="311">
        <v>0.3453</v>
      </c>
      <c r="AJ753" s="311">
        <v>0.309</v>
      </c>
      <c r="AK753" s="311">
        <v>0.31900000000000001</v>
      </c>
      <c r="AL753" s="311">
        <v>0.30969999999999998</v>
      </c>
      <c r="AM753" s="311">
        <v>0.33050000000000002</v>
      </c>
      <c r="AN753" s="311">
        <v>0.32300000000000001</v>
      </c>
      <c r="AO753" s="311">
        <v>0.31769999999999998</v>
      </c>
      <c r="AP753" s="311">
        <v>0.3372</v>
      </c>
      <c r="AQ753" s="311">
        <v>0.31019999999999998</v>
      </c>
      <c r="AR753" s="311">
        <v>0.32200000000000001</v>
      </c>
      <c r="AS753" s="311">
        <v>0.29899999999999999</v>
      </c>
      <c r="AT753" s="311">
        <v>0.3407</v>
      </c>
      <c r="AU753" s="311">
        <v>0.36320000000000002</v>
      </c>
      <c r="AV753" s="311">
        <v>0.3533</v>
      </c>
      <c r="AW753" s="311">
        <v>0.32250000000000001</v>
      </c>
      <c r="AX753" s="311">
        <v>0.31140000000000001</v>
      </c>
      <c r="AY753" s="311">
        <v>0.33829999999999999</v>
      </c>
      <c r="AZ753" s="311">
        <v>0.32890000000000003</v>
      </c>
      <c r="BA753" s="311">
        <v>0.27760000000000001</v>
      </c>
      <c r="BB753" s="311">
        <v>0.29830000000000001</v>
      </c>
      <c r="BC753" s="311">
        <v>0.37519999999999998</v>
      </c>
      <c r="BD753" s="311">
        <v>0.38069999999999998</v>
      </c>
      <c r="BE753" s="311">
        <v>0.3604</v>
      </c>
      <c r="BF753" s="311">
        <v>0.33410000000000001</v>
      </c>
      <c r="BG753" s="311">
        <v>0.36009999999999998</v>
      </c>
      <c r="BH753" s="311">
        <v>0.33090000000000003</v>
      </c>
      <c r="BI753" s="311">
        <v>0.35570000000000002</v>
      </c>
      <c r="BJ753" s="311">
        <v>0.34860000000000002</v>
      </c>
      <c r="BK753" s="311">
        <v>0.37019999999999997</v>
      </c>
    </row>
    <row r="754" spans="1:63" x14ac:dyDescent="0.25">
      <c r="A754" s="306">
        <v>531000</v>
      </c>
      <c r="B754" s="311" t="s">
        <v>416</v>
      </c>
      <c r="C754" s="311">
        <v>0.2281</v>
      </c>
      <c r="D754" s="311">
        <v>0.18279999999999999</v>
      </c>
      <c r="E754" s="311">
        <v>0.1938</v>
      </c>
      <c r="F754" s="311">
        <v>0.17749999999999999</v>
      </c>
      <c r="G754" s="311">
        <v>0.20780000000000001</v>
      </c>
      <c r="H754" s="311">
        <v>0.21249999999999999</v>
      </c>
      <c r="I754" s="311">
        <v>0.21590000000000001</v>
      </c>
      <c r="J754" s="311">
        <v>0.18840000000000001</v>
      </c>
      <c r="K754" s="311">
        <v>6.0999999999999999E-2</v>
      </c>
      <c r="L754" s="311">
        <v>0.1744</v>
      </c>
      <c r="M754" s="311">
        <v>0.20979999999999999</v>
      </c>
      <c r="N754" s="311">
        <v>0.2102</v>
      </c>
      <c r="O754" s="311">
        <v>0.20039999999999999</v>
      </c>
      <c r="P754" s="311">
        <v>0.17560000000000001</v>
      </c>
      <c r="Q754" s="311">
        <v>0.18149999999999999</v>
      </c>
      <c r="R754" s="311">
        <v>0.21260000000000001</v>
      </c>
      <c r="S754" s="311">
        <v>0.191</v>
      </c>
      <c r="T754" s="311">
        <v>0.1678</v>
      </c>
      <c r="U754" s="311">
        <v>0.18410000000000001</v>
      </c>
      <c r="V754" s="311">
        <v>0.1938</v>
      </c>
      <c r="W754" s="311">
        <v>0.19980000000000001</v>
      </c>
      <c r="X754" s="311">
        <v>0.19470000000000001</v>
      </c>
      <c r="Y754" s="311">
        <v>0.19450000000000001</v>
      </c>
      <c r="Z754" s="311">
        <v>0.19919999999999999</v>
      </c>
      <c r="AA754" s="311">
        <v>0.1988</v>
      </c>
      <c r="AB754" s="311">
        <v>0.18820000000000001</v>
      </c>
      <c r="AC754" s="311">
        <v>0.18260000000000001</v>
      </c>
      <c r="AD754" s="311">
        <v>0.18190000000000001</v>
      </c>
      <c r="AE754" s="311">
        <v>0.19350000000000001</v>
      </c>
      <c r="AF754" s="311">
        <v>0.16350000000000001</v>
      </c>
      <c r="AG754" s="311">
        <v>0.1759</v>
      </c>
      <c r="AH754" s="311">
        <v>0.19070000000000001</v>
      </c>
      <c r="AI754" s="311">
        <v>0.1976</v>
      </c>
      <c r="AJ754" s="311">
        <v>0.18759999999999999</v>
      </c>
      <c r="AK754" s="311">
        <v>0.1983</v>
      </c>
      <c r="AL754" s="311">
        <v>0.188</v>
      </c>
      <c r="AM754" s="311">
        <v>0.19939999999999999</v>
      </c>
      <c r="AN754" s="311">
        <v>0.19189999999999999</v>
      </c>
      <c r="AO754" s="311">
        <v>0.19789999999999999</v>
      </c>
      <c r="AP754" s="311">
        <v>0.2011</v>
      </c>
      <c r="AQ754" s="311">
        <v>0.1817</v>
      </c>
      <c r="AR754" s="311">
        <v>0.20219999999999999</v>
      </c>
      <c r="AS754" s="311">
        <v>0.1699</v>
      </c>
      <c r="AT754" s="311">
        <v>0.2006</v>
      </c>
      <c r="AU754" s="311">
        <v>0.21609999999999999</v>
      </c>
      <c r="AV754" s="311">
        <v>0.20979999999999999</v>
      </c>
      <c r="AW754" s="311">
        <v>0.19400000000000001</v>
      </c>
      <c r="AX754" s="311">
        <v>0.18459999999999999</v>
      </c>
      <c r="AY754" s="311">
        <v>0.2029</v>
      </c>
      <c r="AZ754" s="311">
        <v>0.18990000000000001</v>
      </c>
      <c r="BA754" s="311">
        <v>0.1663</v>
      </c>
      <c r="BB754" s="311">
        <v>0.1734</v>
      </c>
      <c r="BC754" s="311">
        <v>0.20569999999999999</v>
      </c>
      <c r="BD754" s="311">
        <v>0.2112</v>
      </c>
      <c r="BE754" s="311">
        <v>0.20760000000000001</v>
      </c>
      <c r="BF754" s="311">
        <v>0.19359999999999999</v>
      </c>
      <c r="BG754" s="311">
        <v>0.21609999999999999</v>
      </c>
      <c r="BH754" s="311">
        <v>0.19839999999999999</v>
      </c>
      <c r="BI754" s="311">
        <v>0.21429999999999999</v>
      </c>
      <c r="BJ754" s="311">
        <v>0.2127</v>
      </c>
      <c r="BK754" s="311">
        <v>0.21410000000000001</v>
      </c>
    </row>
    <row r="755" spans="1:63" x14ac:dyDescent="0.25">
      <c r="A755" s="306">
        <v>532100</v>
      </c>
      <c r="B755" s="311" t="s">
        <v>301</v>
      </c>
      <c r="C755" s="311">
        <v>0.42549999999999999</v>
      </c>
      <c r="D755" s="311">
        <v>0.3019</v>
      </c>
      <c r="E755" s="311">
        <v>0.33260000000000001</v>
      </c>
      <c r="F755" s="311">
        <v>0.32379999999999998</v>
      </c>
      <c r="G755" s="311">
        <v>0.35659999999999997</v>
      </c>
      <c r="H755" s="311">
        <v>0.38219999999999998</v>
      </c>
      <c r="I755" s="311">
        <v>0.39079999999999998</v>
      </c>
      <c r="J755" s="311">
        <v>0.33600000000000002</v>
      </c>
      <c r="K755" s="311">
        <v>6.3600000000000004E-2</v>
      </c>
      <c r="L755" s="311">
        <v>0.27189999999999998</v>
      </c>
      <c r="M755" s="311">
        <v>0.36320000000000002</v>
      </c>
      <c r="N755" s="311">
        <v>0.38009999999999999</v>
      </c>
      <c r="O755" s="311">
        <v>0.34620000000000001</v>
      </c>
      <c r="P755" s="311">
        <v>0.30409999999999998</v>
      </c>
      <c r="Q755" s="311">
        <v>0.3175</v>
      </c>
      <c r="R755" s="311">
        <v>0.39129999999999998</v>
      </c>
      <c r="S755" s="311">
        <v>0.33019999999999999</v>
      </c>
      <c r="T755" s="311">
        <v>0.2959</v>
      </c>
      <c r="U755" s="311">
        <v>0.32600000000000001</v>
      </c>
      <c r="V755" s="311">
        <v>0.3306</v>
      </c>
      <c r="W755" s="311">
        <v>0.3594</v>
      </c>
      <c r="X755" s="311">
        <v>0.32879999999999998</v>
      </c>
      <c r="Y755" s="311">
        <v>0.34849999999999998</v>
      </c>
      <c r="Z755" s="311">
        <v>0.36570000000000003</v>
      </c>
      <c r="AA755" s="311">
        <v>0.3669</v>
      </c>
      <c r="AB755" s="311">
        <v>0.3422</v>
      </c>
      <c r="AC755" s="311">
        <v>0.30480000000000002</v>
      </c>
      <c r="AD755" s="311">
        <v>0.3034</v>
      </c>
      <c r="AE755" s="311">
        <v>0.3543</v>
      </c>
      <c r="AF755" s="311">
        <v>0.28789999999999999</v>
      </c>
      <c r="AG755" s="311">
        <v>0.3075</v>
      </c>
      <c r="AH755" s="311">
        <v>0.33689999999999998</v>
      </c>
      <c r="AI755" s="311">
        <v>0.34810000000000002</v>
      </c>
      <c r="AJ755" s="311">
        <v>0.30640000000000001</v>
      </c>
      <c r="AK755" s="311">
        <v>0.34989999999999999</v>
      </c>
      <c r="AL755" s="311">
        <v>0.32940000000000003</v>
      </c>
      <c r="AM755" s="311">
        <v>0.36919999999999997</v>
      </c>
      <c r="AN755" s="311">
        <v>0.3367</v>
      </c>
      <c r="AO755" s="311">
        <v>0.3377</v>
      </c>
      <c r="AP755" s="311">
        <v>0.36940000000000001</v>
      </c>
      <c r="AQ755" s="311">
        <v>0.32869999999999999</v>
      </c>
      <c r="AR755" s="311">
        <v>0.34160000000000001</v>
      </c>
      <c r="AS755" s="311">
        <v>0.29270000000000002</v>
      </c>
      <c r="AT755" s="311">
        <v>0.35110000000000002</v>
      </c>
      <c r="AU755" s="311">
        <v>0.37059999999999998</v>
      </c>
      <c r="AV755" s="311">
        <v>0.38429999999999997</v>
      </c>
      <c r="AW755" s="311">
        <v>0.35020000000000001</v>
      </c>
      <c r="AX755" s="311">
        <v>0.28299999999999997</v>
      </c>
      <c r="AY755" s="311">
        <v>0.35449999999999998</v>
      </c>
      <c r="AZ755" s="311">
        <v>0.35780000000000001</v>
      </c>
      <c r="BA755" s="311">
        <v>0.28470000000000001</v>
      </c>
      <c r="BB755" s="311">
        <v>0.26619999999999999</v>
      </c>
      <c r="BC755" s="311">
        <v>0.37859999999999999</v>
      </c>
      <c r="BD755" s="311">
        <v>0.38600000000000001</v>
      </c>
      <c r="BE755" s="311">
        <v>0.38719999999999999</v>
      </c>
      <c r="BF755" s="311">
        <v>0.35680000000000001</v>
      </c>
      <c r="BG755" s="311">
        <v>0.38669999999999999</v>
      </c>
      <c r="BH755" s="311">
        <v>0.34710000000000002</v>
      </c>
      <c r="BI755" s="311">
        <v>0.37040000000000001</v>
      </c>
      <c r="BJ755" s="311">
        <v>0.37240000000000001</v>
      </c>
      <c r="BK755" s="311">
        <v>0.38269999999999998</v>
      </c>
    </row>
    <row r="756" spans="1:63" x14ac:dyDescent="0.25">
      <c r="A756" s="306">
        <v>532230</v>
      </c>
      <c r="B756" s="311" t="s">
        <v>303</v>
      </c>
      <c r="C756" s="311">
        <v>0.56410000000000005</v>
      </c>
      <c r="D756" s="311">
        <v>0.40239999999999998</v>
      </c>
      <c r="E756" s="311">
        <v>0.45619999999999999</v>
      </c>
      <c r="F756" s="311">
        <v>0.4592</v>
      </c>
      <c r="G756" s="311">
        <v>0.49270000000000003</v>
      </c>
      <c r="H756" s="311">
        <v>0.51280000000000003</v>
      </c>
      <c r="I756" s="311">
        <v>0.53180000000000005</v>
      </c>
      <c r="J756" s="311">
        <v>0.45529999999999998</v>
      </c>
      <c r="K756" s="311">
        <v>8.0500000000000002E-2</v>
      </c>
      <c r="L756" s="311">
        <v>0.36220000000000002</v>
      </c>
      <c r="M756" s="311">
        <v>0.49159999999999998</v>
      </c>
      <c r="N756" s="311">
        <v>0.51759999999999995</v>
      </c>
      <c r="O756" s="311">
        <v>0.45989999999999998</v>
      </c>
      <c r="P756" s="311">
        <v>0.41449999999999998</v>
      </c>
      <c r="Q756" s="311">
        <v>0.44400000000000001</v>
      </c>
      <c r="R756" s="311">
        <v>0.51929999999999998</v>
      </c>
      <c r="S756" s="311">
        <v>0.4582</v>
      </c>
      <c r="T756" s="311">
        <v>0.41310000000000002</v>
      </c>
      <c r="U756" s="311">
        <v>0.44619999999999999</v>
      </c>
      <c r="V756" s="311">
        <v>0.46129999999999999</v>
      </c>
      <c r="W756" s="311">
        <v>0.4889</v>
      </c>
      <c r="X756" s="311">
        <v>0.44350000000000001</v>
      </c>
      <c r="Y756" s="311">
        <v>0.46939999999999998</v>
      </c>
      <c r="Z756" s="311">
        <v>0.50560000000000005</v>
      </c>
      <c r="AA756" s="311">
        <v>0.51380000000000003</v>
      </c>
      <c r="AB756" s="311">
        <v>0.46710000000000002</v>
      </c>
      <c r="AC756" s="311">
        <v>0.41749999999999998</v>
      </c>
      <c r="AD756" s="311">
        <v>0.42480000000000001</v>
      </c>
      <c r="AE756" s="311">
        <v>0.4894</v>
      </c>
      <c r="AF756" s="311">
        <v>0.41420000000000001</v>
      </c>
      <c r="AG756" s="311">
        <v>0.42099999999999999</v>
      </c>
      <c r="AH756" s="311">
        <v>0.46439999999999998</v>
      </c>
      <c r="AI756" s="311">
        <v>0.46400000000000002</v>
      </c>
      <c r="AJ756" s="311">
        <v>0.41389999999999999</v>
      </c>
      <c r="AK756" s="311">
        <v>0.47470000000000001</v>
      </c>
      <c r="AL756" s="311">
        <v>0.44309999999999999</v>
      </c>
      <c r="AM756" s="311">
        <v>0.502</v>
      </c>
      <c r="AN756" s="311">
        <v>0.4597</v>
      </c>
      <c r="AO756" s="311">
        <v>0.46939999999999998</v>
      </c>
      <c r="AP756" s="311">
        <v>0.50329999999999997</v>
      </c>
      <c r="AQ756" s="311">
        <v>0.44309999999999999</v>
      </c>
      <c r="AR756" s="311">
        <v>0.46129999999999999</v>
      </c>
      <c r="AS756" s="311">
        <v>0.4128</v>
      </c>
      <c r="AT756" s="311">
        <v>0.4788</v>
      </c>
      <c r="AU756" s="311">
        <v>0.5</v>
      </c>
      <c r="AV756" s="311">
        <v>0.52529999999999999</v>
      </c>
      <c r="AW756" s="311">
        <v>0.47239999999999999</v>
      </c>
      <c r="AX756" s="311">
        <v>0.379</v>
      </c>
      <c r="AY756" s="311">
        <v>0.49130000000000001</v>
      </c>
      <c r="AZ756" s="311">
        <v>0.499</v>
      </c>
      <c r="BA756" s="311">
        <v>0.39679999999999999</v>
      </c>
      <c r="BB756" s="311">
        <v>0.37209999999999999</v>
      </c>
      <c r="BC756" s="311">
        <v>0.51190000000000002</v>
      </c>
      <c r="BD756" s="311">
        <v>0.51939999999999997</v>
      </c>
      <c r="BE756" s="311">
        <v>0.52529999999999999</v>
      </c>
      <c r="BF756" s="311">
        <v>0.49299999999999999</v>
      </c>
      <c r="BG756" s="311">
        <v>0.52129999999999999</v>
      </c>
      <c r="BH756" s="311">
        <v>0.47610000000000002</v>
      </c>
      <c r="BI756" s="311">
        <v>0.50439999999999996</v>
      </c>
      <c r="BJ756" s="311">
        <v>0.50890000000000002</v>
      </c>
      <c r="BK756" s="311">
        <v>0.51849999999999996</v>
      </c>
    </row>
    <row r="757" spans="1:63" x14ac:dyDescent="0.25">
      <c r="A757" s="306">
        <v>532400</v>
      </c>
      <c r="B757" s="311" t="s">
        <v>304</v>
      </c>
      <c r="C757" s="311">
        <v>0.48920000000000002</v>
      </c>
      <c r="D757" s="311">
        <v>0.3417</v>
      </c>
      <c r="E757" s="311">
        <v>0.38500000000000001</v>
      </c>
      <c r="F757" s="311">
        <v>0.37659999999999999</v>
      </c>
      <c r="G757" s="311">
        <v>0.42080000000000001</v>
      </c>
      <c r="H757" s="311">
        <v>0.44309999999999999</v>
      </c>
      <c r="I757" s="311">
        <v>0.45390000000000003</v>
      </c>
      <c r="J757" s="311">
        <v>0.38590000000000002</v>
      </c>
      <c r="K757" s="311">
        <v>7.2499999999999995E-2</v>
      </c>
      <c r="L757" s="311">
        <v>0.31280000000000002</v>
      </c>
      <c r="M757" s="311">
        <v>0.42649999999999999</v>
      </c>
      <c r="N757" s="311">
        <v>0.44419999999999998</v>
      </c>
      <c r="O757" s="311">
        <v>0.39360000000000001</v>
      </c>
      <c r="P757" s="311">
        <v>0.34570000000000001</v>
      </c>
      <c r="Q757" s="311">
        <v>0.36959999999999998</v>
      </c>
      <c r="R757" s="311">
        <v>0.4511</v>
      </c>
      <c r="S757" s="311">
        <v>0.38729999999999998</v>
      </c>
      <c r="T757" s="311">
        <v>0.34689999999999999</v>
      </c>
      <c r="U757" s="311">
        <v>0.37840000000000001</v>
      </c>
      <c r="V757" s="311">
        <v>0.39240000000000003</v>
      </c>
      <c r="W757" s="311">
        <v>0.4128</v>
      </c>
      <c r="X757" s="311">
        <v>0.38550000000000001</v>
      </c>
      <c r="Y757" s="311">
        <v>0.39650000000000002</v>
      </c>
      <c r="Z757" s="311">
        <v>0.42809999999999998</v>
      </c>
      <c r="AA757" s="311">
        <v>0.42580000000000001</v>
      </c>
      <c r="AB757" s="311">
        <v>0.3952</v>
      </c>
      <c r="AC757" s="311">
        <v>0.35170000000000001</v>
      </c>
      <c r="AD757" s="311">
        <v>0.35139999999999999</v>
      </c>
      <c r="AE757" s="311">
        <v>0.41399999999999998</v>
      </c>
      <c r="AF757" s="311">
        <v>0.33189999999999997</v>
      </c>
      <c r="AG757" s="311">
        <v>0.3498</v>
      </c>
      <c r="AH757" s="311">
        <v>0.39500000000000002</v>
      </c>
      <c r="AI757" s="311">
        <v>0.40500000000000003</v>
      </c>
      <c r="AJ757" s="311">
        <v>0.35799999999999998</v>
      </c>
      <c r="AK757" s="311">
        <v>0.40350000000000003</v>
      </c>
      <c r="AL757" s="311">
        <v>0.37359999999999999</v>
      </c>
      <c r="AM757" s="311">
        <v>0.42909999999999998</v>
      </c>
      <c r="AN757" s="311">
        <v>0.39479999999999998</v>
      </c>
      <c r="AO757" s="311">
        <v>0.39329999999999998</v>
      </c>
      <c r="AP757" s="311">
        <v>0.42699999999999999</v>
      </c>
      <c r="AQ757" s="311">
        <v>0.37490000000000001</v>
      </c>
      <c r="AR757" s="311">
        <v>0.39789999999999998</v>
      </c>
      <c r="AS757" s="311">
        <v>0.33529999999999999</v>
      </c>
      <c r="AT757" s="311">
        <v>0.40899999999999997</v>
      </c>
      <c r="AU757" s="311">
        <v>0.43440000000000001</v>
      </c>
      <c r="AV757" s="311">
        <v>0.44519999999999998</v>
      </c>
      <c r="AW757" s="311">
        <v>0.40429999999999999</v>
      </c>
      <c r="AX757" s="311">
        <v>0.31690000000000002</v>
      </c>
      <c r="AY757" s="311">
        <v>0.41249999999999998</v>
      </c>
      <c r="AZ757" s="311">
        <v>0.41420000000000001</v>
      </c>
      <c r="BA757" s="311">
        <v>0.32950000000000002</v>
      </c>
      <c r="BB757" s="311">
        <v>0.30809999999999998</v>
      </c>
      <c r="BC757" s="311">
        <v>0.43419999999999997</v>
      </c>
      <c r="BD757" s="311">
        <v>0.44369999999999998</v>
      </c>
      <c r="BE757" s="311">
        <v>0.4501</v>
      </c>
      <c r="BF757" s="311">
        <v>0.41170000000000001</v>
      </c>
      <c r="BG757" s="311">
        <v>0.45090000000000002</v>
      </c>
      <c r="BH757" s="311">
        <v>0.40560000000000002</v>
      </c>
      <c r="BI757" s="311">
        <v>0.43609999999999999</v>
      </c>
      <c r="BJ757" s="311">
        <v>0.43519999999999998</v>
      </c>
      <c r="BK757" s="311">
        <v>0.44479999999999997</v>
      </c>
    </row>
    <row r="758" spans="1:63" x14ac:dyDescent="0.25">
      <c r="A758" s="306" t="s">
        <v>768</v>
      </c>
      <c r="B758" s="311" t="s">
        <v>302</v>
      </c>
      <c r="C758" s="311">
        <v>0.61680000000000001</v>
      </c>
      <c r="D758" s="311">
        <v>0.45989999999999998</v>
      </c>
      <c r="E758" s="311">
        <v>0.50019999999999998</v>
      </c>
      <c r="F758" s="311">
        <v>0.50419999999999998</v>
      </c>
      <c r="G758" s="311">
        <v>0.53420000000000001</v>
      </c>
      <c r="H758" s="311">
        <v>0.56679999999999997</v>
      </c>
      <c r="I758" s="311">
        <v>0.58209999999999995</v>
      </c>
      <c r="J758" s="311">
        <v>0.49819999999999998</v>
      </c>
      <c r="K758" s="311">
        <v>9.8199999999999996E-2</v>
      </c>
      <c r="L758" s="311">
        <v>0.40250000000000002</v>
      </c>
      <c r="M758" s="311">
        <v>0.54110000000000003</v>
      </c>
      <c r="N758" s="311">
        <v>0.56759999999999999</v>
      </c>
      <c r="O758" s="311">
        <v>0.52180000000000004</v>
      </c>
      <c r="P758" s="311">
        <v>0.46300000000000002</v>
      </c>
      <c r="Q758" s="311">
        <v>0.49399999999999999</v>
      </c>
      <c r="R758" s="311">
        <v>0.57220000000000004</v>
      </c>
      <c r="S758" s="311">
        <v>0.49819999999999998</v>
      </c>
      <c r="T758" s="311">
        <v>0.45450000000000002</v>
      </c>
      <c r="U758" s="311">
        <v>0.48959999999999998</v>
      </c>
      <c r="V758" s="311">
        <v>0.50519999999999998</v>
      </c>
      <c r="W758" s="311">
        <v>0.53759999999999997</v>
      </c>
      <c r="X758" s="311">
        <v>0.49199999999999999</v>
      </c>
      <c r="Y758" s="311">
        <v>0.5242</v>
      </c>
      <c r="Z758" s="311">
        <v>0.55430000000000001</v>
      </c>
      <c r="AA758" s="311">
        <v>0.55959999999999999</v>
      </c>
      <c r="AB758" s="311">
        <v>0.5111</v>
      </c>
      <c r="AC758" s="311">
        <v>0.4662</v>
      </c>
      <c r="AD758" s="311">
        <v>0.46889999999999998</v>
      </c>
      <c r="AE758" s="311">
        <v>0.53939999999999999</v>
      </c>
      <c r="AF758" s="311">
        <v>0.45379999999999998</v>
      </c>
      <c r="AG758" s="311">
        <v>0.47349999999999998</v>
      </c>
      <c r="AH758" s="311">
        <v>0.51090000000000002</v>
      </c>
      <c r="AI758" s="311">
        <v>0.51329999999999998</v>
      </c>
      <c r="AJ758" s="311">
        <v>0.47039999999999998</v>
      </c>
      <c r="AK758" s="311">
        <v>0.5302</v>
      </c>
      <c r="AL758" s="311">
        <v>0.4929</v>
      </c>
      <c r="AM758" s="311">
        <v>0.54920000000000002</v>
      </c>
      <c r="AN758" s="311">
        <v>0.50729999999999997</v>
      </c>
      <c r="AO758" s="311">
        <v>0.50839999999999996</v>
      </c>
      <c r="AP758" s="311">
        <v>0.54969999999999997</v>
      </c>
      <c r="AQ758" s="311">
        <v>0.49419999999999997</v>
      </c>
      <c r="AR758" s="311">
        <v>0.50700000000000001</v>
      </c>
      <c r="AS758" s="311">
        <v>0.45889999999999997</v>
      </c>
      <c r="AT758" s="311">
        <v>0.51990000000000003</v>
      </c>
      <c r="AU758" s="311">
        <v>0.54610000000000003</v>
      </c>
      <c r="AV758" s="311">
        <v>0.57379999999999998</v>
      </c>
      <c r="AW758" s="311">
        <v>0.52549999999999997</v>
      </c>
      <c r="AX758" s="311">
        <v>0.42380000000000001</v>
      </c>
      <c r="AY758" s="311">
        <v>0.53569999999999995</v>
      </c>
      <c r="AZ758" s="311">
        <v>0.54359999999999997</v>
      </c>
      <c r="BA758" s="311">
        <v>0.43759999999999999</v>
      </c>
      <c r="BB758" s="311">
        <v>0.41199999999999998</v>
      </c>
      <c r="BC758" s="311">
        <v>0.5615</v>
      </c>
      <c r="BD758" s="311">
        <v>0.5706</v>
      </c>
      <c r="BE758" s="311">
        <v>0.57430000000000003</v>
      </c>
      <c r="BF758" s="311">
        <v>0.54</v>
      </c>
      <c r="BG758" s="311">
        <v>0.57379999999999998</v>
      </c>
      <c r="BH758" s="311">
        <v>0.51729999999999998</v>
      </c>
      <c r="BI758" s="311">
        <v>0.54859999999999998</v>
      </c>
      <c r="BJ758" s="311">
        <v>0.55769999999999997</v>
      </c>
      <c r="BK758" s="311">
        <v>0.5706</v>
      </c>
    </row>
    <row r="759" spans="1:63" x14ac:dyDescent="0.25">
      <c r="A759" s="306">
        <v>533000</v>
      </c>
      <c r="B759" s="311" t="s">
        <v>305</v>
      </c>
      <c r="C759" s="311">
        <v>0.19719999999999999</v>
      </c>
      <c r="D759" s="311">
        <v>0.15579999999999999</v>
      </c>
      <c r="E759" s="311">
        <v>0.16370000000000001</v>
      </c>
      <c r="F759" s="311">
        <v>0.14960000000000001</v>
      </c>
      <c r="G759" s="311">
        <v>0.17460000000000001</v>
      </c>
      <c r="H759" s="311">
        <v>0.1827</v>
      </c>
      <c r="I759" s="311">
        <v>0.18479999999999999</v>
      </c>
      <c r="J759" s="311">
        <v>0.15509999999999999</v>
      </c>
      <c r="K759" s="311">
        <v>0</v>
      </c>
      <c r="L759" s="311">
        <v>0.12859999999999999</v>
      </c>
      <c r="M759" s="311">
        <v>0.18010000000000001</v>
      </c>
      <c r="N759" s="311">
        <v>0.18240000000000001</v>
      </c>
      <c r="O759" s="311">
        <v>0.16700000000000001</v>
      </c>
      <c r="P759" s="311">
        <v>0.14879999999999999</v>
      </c>
      <c r="Q759" s="311">
        <v>0.15290000000000001</v>
      </c>
      <c r="R759" s="311">
        <v>0.18279999999999999</v>
      </c>
      <c r="S759" s="311">
        <v>0.15759999999999999</v>
      </c>
      <c r="T759" s="311">
        <v>0.14580000000000001</v>
      </c>
      <c r="U759" s="311">
        <v>0.1527</v>
      </c>
      <c r="V759" s="311">
        <v>0.1605</v>
      </c>
      <c r="W759" s="311">
        <v>0.1706</v>
      </c>
      <c r="X759" s="311">
        <v>0.16520000000000001</v>
      </c>
      <c r="Y759" s="311">
        <v>0.16669999999999999</v>
      </c>
      <c r="Z759" s="311">
        <v>0.17150000000000001</v>
      </c>
      <c r="AA759" s="311">
        <v>0.17349999999999999</v>
      </c>
      <c r="AB759" s="311">
        <v>0.15640000000000001</v>
      </c>
      <c r="AC759" s="311">
        <v>0.14749999999999999</v>
      </c>
      <c r="AD759" s="311">
        <v>0.15820000000000001</v>
      </c>
      <c r="AE759" s="311">
        <v>0.16400000000000001</v>
      </c>
      <c r="AF759" s="311">
        <v>0.14219999999999999</v>
      </c>
      <c r="AG759" s="311">
        <v>0.1454</v>
      </c>
      <c r="AH759" s="311">
        <v>0.16250000000000001</v>
      </c>
      <c r="AI759" s="311">
        <v>0.16389999999999999</v>
      </c>
      <c r="AJ759" s="311">
        <v>0.15820000000000001</v>
      </c>
      <c r="AK759" s="311">
        <v>0.16350000000000001</v>
      </c>
      <c r="AL759" s="311">
        <v>0.16039999999999999</v>
      </c>
      <c r="AM759" s="311">
        <v>0.1699</v>
      </c>
      <c r="AN759" s="311">
        <v>0.16750000000000001</v>
      </c>
      <c r="AO759" s="311">
        <v>0.1547</v>
      </c>
      <c r="AP759" s="311">
        <v>0.1726</v>
      </c>
      <c r="AQ759" s="311">
        <v>0.1535</v>
      </c>
      <c r="AR759" s="311">
        <v>0.16769999999999999</v>
      </c>
      <c r="AS759" s="311">
        <v>0.14630000000000001</v>
      </c>
      <c r="AT759" s="311">
        <v>0.16830000000000001</v>
      </c>
      <c r="AU759" s="311">
        <v>0.18459999999999999</v>
      </c>
      <c r="AV759" s="311">
        <v>0.1787</v>
      </c>
      <c r="AW759" s="311">
        <v>0.16550000000000001</v>
      </c>
      <c r="AX759" s="311">
        <v>0.14829999999999999</v>
      </c>
      <c r="AY759" s="311">
        <v>0.17169999999999999</v>
      </c>
      <c r="AZ759" s="311">
        <v>0.16500000000000001</v>
      </c>
      <c r="BA759" s="311">
        <v>0.1426</v>
      </c>
      <c r="BB759" s="311">
        <v>0.13639999999999999</v>
      </c>
      <c r="BC759" s="311">
        <v>0.17710000000000001</v>
      </c>
      <c r="BD759" s="311">
        <v>0.18240000000000001</v>
      </c>
      <c r="BE759" s="311">
        <v>0.18029999999999999</v>
      </c>
      <c r="BF759" s="311">
        <v>0.1646</v>
      </c>
      <c r="BG759" s="311">
        <v>0.18590000000000001</v>
      </c>
      <c r="BH759" s="311">
        <v>0.16639999999999999</v>
      </c>
      <c r="BI759" s="311">
        <v>0.18240000000000001</v>
      </c>
      <c r="BJ759" s="311">
        <v>0.17849999999999999</v>
      </c>
      <c r="BK759" s="311">
        <v>0.18290000000000001</v>
      </c>
    </row>
    <row r="760" spans="1:63" x14ac:dyDescent="0.25">
      <c r="A760" s="306">
        <v>541100</v>
      </c>
      <c r="B760" s="311" t="s">
        <v>306</v>
      </c>
      <c r="C760" s="311">
        <v>0.68869999999999998</v>
      </c>
      <c r="D760" s="311">
        <v>0.61170000000000002</v>
      </c>
      <c r="E760" s="311">
        <v>0.63249999999999995</v>
      </c>
      <c r="F760" s="311">
        <v>0.62019999999999997</v>
      </c>
      <c r="G760" s="311">
        <v>0.6492</v>
      </c>
      <c r="H760" s="311">
        <v>0.66669999999999996</v>
      </c>
      <c r="I760" s="311">
        <v>0.66269999999999996</v>
      </c>
      <c r="J760" s="311">
        <v>0.62980000000000003</v>
      </c>
      <c r="K760" s="311">
        <v>0.16719999999999999</v>
      </c>
      <c r="L760" s="311">
        <v>0.53239999999999998</v>
      </c>
      <c r="M760" s="311">
        <v>0.65920000000000001</v>
      </c>
      <c r="N760" s="311">
        <v>0.66520000000000001</v>
      </c>
      <c r="O760" s="311">
        <v>0.61670000000000003</v>
      </c>
      <c r="P760" s="311">
        <v>0.60909999999999997</v>
      </c>
      <c r="Q760" s="311">
        <v>0.62270000000000003</v>
      </c>
      <c r="R760" s="311">
        <v>0.65849999999999997</v>
      </c>
      <c r="S760" s="311">
        <v>0.62819999999999998</v>
      </c>
      <c r="T760" s="311">
        <v>0.5907</v>
      </c>
      <c r="U760" s="311">
        <v>0.60980000000000001</v>
      </c>
      <c r="V760" s="311">
        <v>0.63129999999999997</v>
      </c>
      <c r="W760" s="311">
        <v>0.64680000000000004</v>
      </c>
      <c r="X760" s="311">
        <v>0.62470000000000003</v>
      </c>
      <c r="Y760" s="311">
        <v>0.63739999999999997</v>
      </c>
      <c r="Z760" s="311">
        <v>0.64990000000000003</v>
      </c>
      <c r="AA760" s="311">
        <v>0.64600000000000002</v>
      </c>
      <c r="AB760" s="311">
        <v>0.54910000000000003</v>
      </c>
      <c r="AC760" s="311">
        <v>0.58850000000000002</v>
      </c>
      <c r="AD760" s="311">
        <v>0.62319999999999998</v>
      </c>
      <c r="AE760" s="311">
        <v>0.64049999999999996</v>
      </c>
      <c r="AF760" s="311">
        <v>0.57189999999999996</v>
      </c>
      <c r="AG760" s="311">
        <v>0.61099999999999999</v>
      </c>
      <c r="AH760" s="311">
        <v>0.61450000000000005</v>
      </c>
      <c r="AI760" s="311">
        <v>0.63539999999999996</v>
      </c>
      <c r="AJ760" s="311">
        <v>0.62129999999999996</v>
      </c>
      <c r="AK760" s="311">
        <v>0.63539999999999996</v>
      </c>
      <c r="AL760" s="311">
        <v>0.58289999999999997</v>
      </c>
      <c r="AM760" s="311">
        <v>0.63919999999999999</v>
      </c>
      <c r="AN760" s="311">
        <v>0.63819999999999999</v>
      </c>
      <c r="AO760" s="311">
        <v>0.63360000000000005</v>
      </c>
      <c r="AP760" s="311">
        <v>0.61960000000000004</v>
      </c>
      <c r="AQ760" s="311">
        <v>0.60429999999999995</v>
      </c>
      <c r="AR760" s="311">
        <v>0.64149999999999996</v>
      </c>
      <c r="AS760" s="311">
        <v>0.60470000000000002</v>
      </c>
      <c r="AT760" s="311">
        <v>0.63229999999999997</v>
      </c>
      <c r="AU760" s="311">
        <v>0.66500000000000004</v>
      </c>
      <c r="AV760" s="311">
        <v>0.66120000000000001</v>
      </c>
      <c r="AW760" s="311">
        <v>0.60419999999999996</v>
      </c>
      <c r="AX760" s="311">
        <v>0.61970000000000003</v>
      </c>
      <c r="AY760" s="311">
        <v>0.64900000000000002</v>
      </c>
      <c r="AZ760" s="311">
        <v>0.63739999999999997</v>
      </c>
      <c r="BA760" s="311">
        <v>0.5978</v>
      </c>
      <c r="BB760" s="311">
        <v>0.58320000000000005</v>
      </c>
      <c r="BC760" s="311">
        <v>0.66059999999999997</v>
      </c>
      <c r="BD760" s="311">
        <v>0.66080000000000005</v>
      </c>
      <c r="BE760" s="311">
        <v>0.6583</v>
      </c>
      <c r="BF760" s="311">
        <v>0.63629999999999998</v>
      </c>
      <c r="BG760" s="311">
        <v>0.66820000000000002</v>
      </c>
      <c r="BH760" s="311">
        <v>0.63270000000000004</v>
      </c>
      <c r="BI760" s="311">
        <v>0.66220000000000001</v>
      </c>
      <c r="BJ760" s="311">
        <v>0.65749999999999997</v>
      </c>
      <c r="BK760" s="311">
        <v>0.66649999999999998</v>
      </c>
    </row>
    <row r="761" spans="1:63" x14ac:dyDescent="0.25">
      <c r="A761" s="306">
        <v>541200</v>
      </c>
      <c r="B761" s="311" t="s">
        <v>307</v>
      </c>
      <c r="C761" s="311">
        <v>0.57220000000000004</v>
      </c>
      <c r="D761" s="311">
        <v>0.50529999999999997</v>
      </c>
      <c r="E761" s="311">
        <v>0.50829999999999997</v>
      </c>
      <c r="F761" s="311">
        <v>0.49399999999999999</v>
      </c>
      <c r="G761" s="311">
        <v>0.53129999999999999</v>
      </c>
      <c r="H761" s="311">
        <v>0.55059999999999998</v>
      </c>
      <c r="I761" s="311">
        <v>0.55279999999999996</v>
      </c>
      <c r="J761" s="311">
        <v>0.49249999999999999</v>
      </c>
      <c r="K761" s="311">
        <v>9.8100000000000007E-2</v>
      </c>
      <c r="L761" s="311">
        <v>0.4173</v>
      </c>
      <c r="M761" s="311">
        <v>0.54169999999999996</v>
      </c>
      <c r="N761" s="311">
        <v>0.53969999999999996</v>
      </c>
      <c r="O761" s="311">
        <v>0.52449999999999997</v>
      </c>
      <c r="P761" s="311">
        <v>0.46960000000000002</v>
      </c>
      <c r="Q761" s="311">
        <v>0.49030000000000001</v>
      </c>
      <c r="R761" s="311">
        <v>0.53810000000000002</v>
      </c>
      <c r="S761" s="311">
        <v>0.50449999999999995</v>
      </c>
      <c r="T761" s="311">
        <v>0.46860000000000002</v>
      </c>
      <c r="U761" s="311">
        <v>0.49080000000000001</v>
      </c>
      <c r="V761" s="311">
        <v>0.51700000000000002</v>
      </c>
      <c r="W761" s="311">
        <v>0.52139999999999997</v>
      </c>
      <c r="X761" s="311">
        <v>0.49730000000000002</v>
      </c>
      <c r="Y761" s="311">
        <v>0.51790000000000003</v>
      </c>
      <c r="Z761" s="311">
        <v>0.53280000000000005</v>
      </c>
      <c r="AA761" s="311">
        <v>0.52890000000000004</v>
      </c>
      <c r="AB761" s="311">
        <v>0.44379999999999997</v>
      </c>
      <c r="AC761" s="311">
        <v>0.496</v>
      </c>
      <c r="AD761" s="311">
        <v>0.49959999999999999</v>
      </c>
      <c r="AE761" s="311">
        <v>0.51780000000000004</v>
      </c>
      <c r="AF761" s="311">
        <v>0.44059999999999999</v>
      </c>
      <c r="AG761" s="311">
        <v>0.4894</v>
      </c>
      <c r="AH761" s="311">
        <v>0.47249999999999998</v>
      </c>
      <c r="AI761" s="311">
        <v>0.50239999999999996</v>
      </c>
      <c r="AJ761" s="311">
        <v>0.50060000000000004</v>
      </c>
      <c r="AK761" s="311">
        <v>0.51229999999999998</v>
      </c>
      <c r="AL761" s="311">
        <v>0.4597</v>
      </c>
      <c r="AM761" s="311">
        <v>0.51800000000000002</v>
      </c>
      <c r="AN761" s="311">
        <v>0.5222</v>
      </c>
      <c r="AO761" s="311">
        <v>0.50570000000000004</v>
      </c>
      <c r="AP761" s="311">
        <v>0.51219999999999999</v>
      </c>
      <c r="AQ761" s="311">
        <v>0.45590000000000003</v>
      </c>
      <c r="AR761" s="311">
        <v>0.51890000000000003</v>
      </c>
      <c r="AS761" s="311">
        <v>0.46089999999999998</v>
      </c>
      <c r="AT761" s="311">
        <v>0.51390000000000002</v>
      </c>
      <c r="AU761" s="311">
        <v>0.54420000000000002</v>
      </c>
      <c r="AV761" s="311">
        <v>0.54390000000000005</v>
      </c>
      <c r="AW761" s="311">
        <v>0.48959999999999998</v>
      </c>
      <c r="AX761" s="311">
        <v>0.4904</v>
      </c>
      <c r="AY761" s="311">
        <v>0.5262</v>
      </c>
      <c r="AZ761" s="311">
        <v>0.51380000000000003</v>
      </c>
      <c r="BA761" s="311">
        <v>0.45960000000000001</v>
      </c>
      <c r="BB761" s="311">
        <v>0.4844</v>
      </c>
      <c r="BC761" s="311">
        <v>0.53849999999999998</v>
      </c>
      <c r="BD761" s="311">
        <v>0.54369999999999996</v>
      </c>
      <c r="BE761" s="311">
        <v>0.53890000000000005</v>
      </c>
      <c r="BF761" s="311">
        <v>0.51680000000000004</v>
      </c>
      <c r="BG761" s="311">
        <v>0.54900000000000004</v>
      </c>
      <c r="BH761" s="311">
        <v>0.51539999999999997</v>
      </c>
      <c r="BI761" s="311">
        <v>0.54149999999999998</v>
      </c>
      <c r="BJ761" s="311">
        <v>0.5413</v>
      </c>
      <c r="BK761" s="311">
        <v>0.55030000000000001</v>
      </c>
    </row>
    <row r="762" spans="1:63" x14ac:dyDescent="0.25">
      <c r="A762" s="306">
        <v>541300</v>
      </c>
      <c r="B762" s="311" t="s">
        <v>308</v>
      </c>
      <c r="C762" s="311">
        <v>0.57969999999999999</v>
      </c>
      <c r="D762" s="311">
        <v>0.46460000000000001</v>
      </c>
      <c r="E762" s="311">
        <v>0.48459999999999998</v>
      </c>
      <c r="F762" s="311">
        <v>0.4617</v>
      </c>
      <c r="G762" s="311">
        <v>0.52170000000000005</v>
      </c>
      <c r="H762" s="311">
        <v>0.54859999999999998</v>
      </c>
      <c r="I762" s="311">
        <v>0.54790000000000005</v>
      </c>
      <c r="J762" s="311">
        <v>0.4844</v>
      </c>
      <c r="K762" s="311">
        <v>0.11020000000000001</v>
      </c>
      <c r="L762" s="311">
        <v>0.36499999999999999</v>
      </c>
      <c r="M762" s="311">
        <v>0.53380000000000005</v>
      </c>
      <c r="N762" s="311">
        <v>0.53149999999999997</v>
      </c>
      <c r="O762" s="311">
        <v>0.50149999999999995</v>
      </c>
      <c r="P762" s="311">
        <v>0.43709999999999999</v>
      </c>
      <c r="Q762" s="311">
        <v>0.47710000000000002</v>
      </c>
      <c r="R762" s="311">
        <v>0.53259999999999996</v>
      </c>
      <c r="S762" s="311">
        <v>0.48199999999999998</v>
      </c>
      <c r="T762" s="311">
        <v>0.42070000000000002</v>
      </c>
      <c r="U762" s="311">
        <v>0.4577</v>
      </c>
      <c r="V762" s="311">
        <v>0.49230000000000002</v>
      </c>
      <c r="W762" s="311">
        <v>0.51080000000000003</v>
      </c>
      <c r="X762" s="311">
        <v>0.48530000000000001</v>
      </c>
      <c r="Y762" s="311">
        <v>0.48149999999999998</v>
      </c>
      <c r="Z762" s="311">
        <v>0.52290000000000003</v>
      </c>
      <c r="AA762" s="311">
        <v>0.51060000000000005</v>
      </c>
      <c r="AB762" s="311">
        <v>0.43309999999999998</v>
      </c>
      <c r="AC762" s="311">
        <v>0.43709999999999999</v>
      </c>
      <c r="AD762" s="311">
        <v>0.46850000000000003</v>
      </c>
      <c r="AE762" s="311">
        <v>0.49830000000000002</v>
      </c>
      <c r="AF762" s="311">
        <v>0.42199999999999999</v>
      </c>
      <c r="AG762" s="311">
        <v>0.45419999999999999</v>
      </c>
      <c r="AH762" s="311">
        <v>0.46279999999999999</v>
      </c>
      <c r="AI762" s="311">
        <v>0.49890000000000001</v>
      </c>
      <c r="AJ762" s="311">
        <v>0.4874</v>
      </c>
      <c r="AK762" s="311">
        <v>0.49130000000000001</v>
      </c>
      <c r="AL762" s="311">
        <v>0.46500000000000002</v>
      </c>
      <c r="AM762" s="311">
        <v>0.50739999999999996</v>
      </c>
      <c r="AN762" s="311">
        <v>0.49659999999999999</v>
      </c>
      <c r="AO762" s="311">
        <v>0.49519999999999997</v>
      </c>
      <c r="AP762" s="311">
        <v>0.50629999999999997</v>
      </c>
      <c r="AQ762" s="311">
        <v>0.41149999999999998</v>
      </c>
      <c r="AR762" s="311">
        <v>0.47960000000000003</v>
      </c>
      <c r="AS762" s="311">
        <v>0.43630000000000002</v>
      </c>
      <c r="AT762" s="311">
        <v>0.50090000000000001</v>
      </c>
      <c r="AU762" s="311">
        <v>0.5444</v>
      </c>
      <c r="AV762" s="311">
        <v>0.53469999999999995</v>
      </c>
      <c r="AW762" s="311">
        <v>0.47710000000000002</v>
      </c>
      <c r="AX762" s="311">
        <v>0.4491</v>
      </c>
      <c r="AY762" s="311">
        <v>0.51490000000000002</v>
      </c>
      <c r="AZ762" s="311">
        <v>0.4929</v>
      </c>
      <c r="BA762" s="311">
        <v>0.44390000000000002</v>
      </c>
      <c r="BB762" s="311">
        <v>0.42020000000000002</v>
      </c>
      <c r="BC762" s="311">
        <v>0.53820000000000001</v>
      </c>
      <c r="BD762" s="311">
        <v>0.5383</v>
      </c>
      <c r="BE762" s="311">
        <v>0.53700000000000003</v>
      </c>
      <c r="BF762" s="311">
        <v>0.4945</v>
      </c>
      <c r="BG762" s="311">
        <v>0.54859999999999998</v>
      </c>
      <c r="BH762" s="311">
        <v>0.499</v>
      </c>
      <c r="BI762" s="311">
        <v>0.54</v>
      </c>
      <c r="BJ762" s="311">
        <v>0.53610000000000002</v>
      </c>
      <c r="BK762" s="311">
        <v>0.54830000000000001</v>
      </c>
    </row>
    <row r="763" spans="1:63" x14ac:dyDescent="0.25">
      <c r="A763" s="306">
        <v>541400</v>
      </c>
      <c r="B763" s="311" t="s">
        <v>309</v>
      </c>
      <c r="C763" s="311">
        <v>0.50360000000000005</v>
      </c>
      <c r="D763" s="311">
        <v>0.41880000000000001</v>
      </c>
      <c r="E763" s="311">
        <v>0.43780000000000002</v>
      </c>
      <c r="F763" s="311">
        <v>0.43020000000000003</v>
      </c>
      <c r="G763" s="311">
        <v>0.45429999999999998</v>
      </c>
      <c r="H763" s="311">
        <v>0.47620000000000001</v>
      </c>
      <c r="I763" s="311">
        <v>0.47320000000000001</v>
      </c>
      <c r="J763" s="311">
        <v>0.41420000000000001</v>
      </c>
      <c r="K763" s="311">
        <v>0.17119999999999999</v>
      </c>
      <c r="L763" s="311">
        <v>0.3921</v>
      </c>
      <c r="M763" s="311">
        <v>0.46279999999999999</v>
      </c>
      <c r="N763" s="311">
        <v>0.4768</v>
      </c>
      <c r="O763" s="311">
        <v>0.4446</v>
      </c>
      <c r="P763" s="311">
        <v>0.3947</v>
      </c>
      <c r="Q763" s="311">
        <v>0.42730000000000001</v>
      </c>
      <c r="R763" s="311">
        <v>0.47420000000000001</v>
      </c>
      <c r="S763" s="311">
        <v>0.4375</v>
      </c>
      <c r="T763" s="311">
        <v>0.36859999999999998</v>
      </c>
      <c r="U763" s="311">
        <v>0.4168</v>
      </c>
      <c r="V763" s="311">
        <v>0.42370000000000002</v>
      </c>
      <c r="W763" s="311">
        <v>0.45540000000000003</v>
      </c>
      <c r="X763" s="311">
        <v>0.42520000000000002</v>
      </c>
      <c r="Y763" s="311">
        <v>0.443</v>
      </c>
      <c r="Z763" s="311">
        <v>0.4647</v>
      </c>
      <c r="AA763" s="311">
        <v>0.4521</v>
      </c>
      <c r="AB763" s="311">
        <v>0.4163</v>
      </c>
      <c r="AC763" s="311">
        <v>0.42470000000000002</v>
      </c>
      <c r="AD763" s="311">
        <v>0.42530000000000001</v>
      </c>
      <c r="AE763" s="311">
        <v>0.44700000000000001</v>
      </c>
      <c r="AF763" s="311">
        <v>0.38629999999999998</v>
      </c>
      <c r="AG763" s="311">
        <v>0.42120000000000002</v>
      </c>
      <c r="AH763" s="311">
        <v>0.38969999999999999</v>
      </c>
      <c r="AI763" s="311">
        <v>0.4148</v>
      </c>
      <c r="AJ763" s="311">
        <v>0.42570000000000002</v>
      </c>
      <c r="AK763" s="311">
        <v>0.4249</v>
      </c>
      <c r="AL763" s="311">
        <v>0.40939999999999999</v>
      </c>
      <c r="AM763" s="311">
        <v>0.45369999999999999</v>
      </c>
      <c r="AN763" s="311">
        <v>0.4461</v>
      </c>
      <c r="AO763" s="311">
        <v>0.4481</v>
      </c>
      <c r="AP763" s="311">
        <v>0.45500000000000002</v>
      </c>
      <c r="AQ763" s="311">
        <v>0.36020000000000002</v>
      </c>
      <c r="AR763" s="311">
        <v>0.4521</v>
      </c>
      <c r="AS763" s="311">
        <v>0.39489999999999997</v>
      </c>
      <c r="AT763" s="311">
        <v>0.4501</v>
      </c>
      <c r="AU763" s="311">
        <v>0.47220000000000001</v>
      </c>
      <c r="AV763" s="311">
        <v>0.4642</v>
      </c>
      <c r="AW763" s="311">
        <v>0.43</v>
      </c>
      <c r="AX763" s="311">
        <v>0.4279</v>
      </c>
      <c r="AY763" s="311">
        <v>0.45500000000000002</v>
      </c>
      <c r="AZ763" s="311">
        <v>0.44469999999999998</v>
      </c>
      <c r="BA763" s="311">
        <v>0.38419999999999999</v>
      </c>
      <c r="BB763" s="311">
        <v>0.39739999999999998</v>
      </c>
      <c r="BC763" s="311">
        <v>0.46250000000000002</v>
      </c>
      <c r="BD763" s="311">
        <v>0.47439999999999999</v>
      </c>
      <c r="BE763" s="311">
        <v>0.47460000000000002</v>
      </c>
      <c r="BF763" s="311">
        <v>0.44390000000000002</v>
      </c>
      <c r="BG763" s="311">
        <v>0.48110000000000003</v>
      </c>
      <c r="BH763" s="311">
        <v>0.44769999999999999</v>
      </c>
      <c r="BI763" s="311">
        <v>0.47020000000000001</v>
      </c>
      <c r="BJ763" s="311">
        <v>0.46579999999999999</v>
      </c>
      <c r="BK763" s="311">
        <v>0.47699999999999998</v>
      </c>
    </row>
    <row r="764" spans="1:63" x14ac:dyDescent="0.25">
      <c r="A764" s="306">
        <v>541511</v>
      </c>
      <c r="B764" s="311" t="s">
        <v>310</v>
      </c>
      <c r="C764" s="311">
        <v>0.71440000000000003</v>
      </c>
      <c r="D764" s="311">
        <v>0.58379999999999999</v>
      </c>
      <c r="E764" s="311">
        <v>0.63400000000000001</v>
      </c>
      <c r="F764" s="311">
        <v>0.60970000000000002</v>
      </c>
      <c r="G764" s="311">
        <v>0.66859999999999997</v>
      </c>
      <c r="H764" s="311">
        <v>0.68879999999999997</v>
      </c>
      <c r="I764" s="311">
        <v>0.67949999999999999</v>
      </c>
      <c r="J764" s="311">
        <v>0.57310000000000005</v>
      </c>
      <c r="K764" s="311">
        <v>0.129</v>
      </c>
      <c r="L764" s="311">
        <v>0.44109999999999999</v>
      </c>
      <c r="M764" s="311">
        <v>0.67669999999999997</v>
      </c>
      <c r="N764" s="311">
        <v>0.67469999999999997</v>
      </c>
      <c r="O764" s="311">
        <v>0.64939999999999998</v>
      </c>
      <c r="P764" s="311">
        <v>0.57789999999999997</v>
      </c>
      <c r="Q764" s="311">
        <v>0.62050000000000005</v>
      </c>
      <c r="R764" s="311">
        <v>0.6643</v>
      </c>
      <c r="S764" s="311">
        <v>0.62560000000000004</v>
      </c>
      <c r="T764" s="311">
        <v>0.50480000000000003</v>
      </c>
      <c r="U764" s="311">
        <v>0.55900000000000005</v>
      </c>
      <c r="V764" s="311">
        <v>0.62460000000000004</v>
      </c>
      <c r="W764" s="311">
        <v>0.62439999999999996</v>
      </c>
      <c r="X764" s="311">
        <v>0.59009999999999996</v>
      </c>
      <c r="Y764" s="311">
        <v>0.63580000000000003</v>
      </c>
      <c r="Z764" s="311">
        <v>0.65690000000000004</v>
      </c>
      <c r="AA764" s="311">
        <v>0.65039999999999998</v>
      </c>
      <c r="AB764" s="311">
        <v>0.56440000000000001</v>
      </c>
      <c r="AC764" s="311">
        <v>0.6</v>
      </c>
      <c r="AD764" s="311">
        <v>0.60950000000000004</v>
      </c>
      <c r="AE764" s="311">
        <v>0.64890000000000003</v>
      </c>
      <c r="AF764" s="311">
        <v>0.50029999999999997</v>
      </c>
      <c r="AG764" s="311">
        <v>0.59860000000000002</v>
      </c>
      <c r="AH764" s="311">
        <v>0.56040000000000001</v>
      </c>
      <c r="AI764" s="311">
        <v>0.62409999999999999</v>
      </c>
      <c r="AJ764" s="311">
        <v>0.62119999999999997</v>
      </c>
      <c r="AK764" s="311">
        <v>0.61360000000000003</v>
      </c>
      <c r="AL764" s="311">
        <v>0.55279999999999996</v>
      </c>
      <c r="AM764" s="311">
        <v>0.64180000000000004</v>
      </c>
      <c r="AN764" s="311">
        <v>0.64639999999999997</v>
      </c>
      <c r="AO764" s="311">
        <v>0.63100000000000001</v>
      </c>
      <c r="AP764" s="311">
        <v>0.622</v>
      </c>
      <c r="AQ764" s="311">
        <v>0.54</v>
      </c>
      <c r="AR764" s="311">
        <v>0.63749999999999996</v>
      </c>
      <c r="AS764" s="311">
        <v>0.51429999999999998</v>
      </c>
      <c r="AT764" s="311">
        <v>0.63370000000000004</v>
      </c>
      <c r="AU764" s="311">
        <v>0.68400000000000005</v>
      </c>
      <c r="AV764" s="311">
        <v>0.67249999999999999</v>
      </c>
      <c r="AW764" s="311">
        <v>0.58389999999999997</v>
      </c>
      <c r="AX764" s="311">
        <v>0.58850000000000002</v>
      </c>
      <c r="AY764" s="311">
        <v>0.65720000000000001</v>
      </c>
      <c r="AZ764" s="311">
        <v>0.63759999999999994</v>
      </c>
      <c r="BA764" s="311">
        <v>0.52890000000000004</v>
      </c>
      <c r="BB764" s="311">
        <v>0.57450000000000001</v>
      </c>
      <c r="BC764" s="311">
        <v>0.66279999999999994</v>
      </c>
      <c r="BD764" s="311">
        <v>0.67010000000000003</v>
      </c>
      <c r="BE764" s="311">
        <v>0.66700000000000004</v>
      </c>
      <c r="BF764" s="311">
        <v>0.63139999999999996</v>
      </c>
      <c r="BG764" s="311">
        <v>0.68720000000000003</v>
      </c>
      <c r="BH764" s="311">
        <v>0.63100000000000001</v>
      </c>
      <c r="BI764" s="311">
        <v>0.6804</v>
      </c>
      <c r="BJ764" s="311">
        <v>0.67669999999999997</v>
      </c>
      <c r="BK764" s="311">
        <v>0.68989999999999996</v>
      </c>
    </row>
    <row r="765" spans="1:63" x14ac:dyDescent="0.25">
      <c r="A765" s="306">
        <v>541512</v>
      </c>
      <c r="B765" s="311" t="s">
        <v>311</v>
      </c>
      <c r="C765" s="311">
        <v>0.69450000000000001</v>
      </c>
      <c r="D765" s="311">
        <v>0.54720000000000002</v>
      </c>
      <c r="E765" s="311">
        <v>0.59209999999999996</v>
      </c>
      <c r="F765" s="311">
        <v>0.56020000000000003</v>
      </c>
      <c r="G765" s="311">
        <v>0.62590000000000001</v>
      </c>
      <c r="H765" s="311">
        <v>0.6593</v>
      </c>
      <c r="I765" s="311">
        <v>0.65339999999999998</v>
      </c>
      <c r="J765" s="311">
        <v>0.54310000000000003</v>
      </c>
      <c r="K765" s="311">
        <v>0.1216</v>
      </c>
      <c r="L765" s="311">
        <v>0.41570000000000001</v>
      </c>
      <c r="M765" s="311">
        <v>0.63749999999999996</v>
      </c>
      <c r="N765" s="311">
        <v>0.64229999999999998</v>
      </c>
      <c r="O765" s="311">
        <v>0.6079</v>
      </c>
      <c r="P765" s="311">
        <v>0.52659999999999996</v>
      </c>
      <c r="Q765" s="311">
        <v>0.57379999999999998</v>
      </c>
      <c r="R765" s="311">
        <v>0.63600000000000001</v>
      </c>
      <c r="S765" s="311">
        <v>0.57940000000000003</v>
      </c>
      <c r="T765" s="311">
        <v>0.46910000000000002</v>
      </c>
      <c r="U765" s="311">
        <v>0.52190000000000003</v>
      </c>
      <c r="V765" s="311">
        <v>0.57930000000000004</v>
      </c>
      <c r="W765" s="311">
        <v>0.60089999999999999</v>
      </c>
      <c r="X765" s="311">
        <v>0.56259999999999999</v>
      </c>
      <c r="Y765" s="311">
        <v>0.59589999999999999</v>
      </c>
      <c r="Z765" s="311">
        <v>0.62539999999999996</v>
      </c>
      <c r="AA765" s="311">
        <v>0.61580000000000001</v>
      </c>
      <c r="AB765" s="311">
        <v>0.54020000000000001</v>
      </c>
      <c r="AC765" s="311">
        <v>0.55289999999999995</v>
      </c>
      <c r="AD765" s="311">
        <v>0.56740000000000002</v>
      </c>
      <c r="AE765" s="311">
        <v>0.60519999999999996</v>
      </c>
      <c r="AF765" s="311">
        <v>0.4617</v>
      </c>
      <c r="AG765" s="311">
        <v>0.55100000000000005</v>
      </c>
      <c r="AH765" s="311">
        <v>0.52929999999999999</v>
      </c>
      <c r="AI765" s="311">
        <v>0.59699999999999998</v>
      </c>
      <c r="AJ765" s="311">
        <v>0.57709999999999995</v>
      </c>
      <c r="AK765" s="311">
        <v>0.58160000000000001</v>
      </c>
      <c r="AL765" s="311">
        <v>0.52390000000000003</v>
      </c>
      <c r="AM765" s="311">
        <v>0.60570000000000002</v>
      </c>
      <c r="AN765" s="311">
        <v>0.59770000000000001</v>
      </c>
      <c r="AO765" s="311">
        <v>0.59699999999999998</v>
      </c>
      <c r="AP765" s="311">
        <v>0.59850000000000003</v>
      </c>
      <c r="AQ765" s="311">
        <v>0.50649999999999995</v>
      </c>
      <c r="AR765" s="311">
        <v>0.59389999999999998</v>
      </c>
      <c r="AS765" s="311">
        <v>0.47410000000000002</v>
      </c>
      <c r="AT765" s="311">
        <v>0.59489999999999998</v>
      </c>
      <c r="AU765" s="311">
        <v>0.64890000000000003</v>
      </c>
      <c r="AV765" s="311">
        <v>0.64500000000000002</v>
      </c>
      <c r="AW765" s="311">
        <v>0.55840000000000001</v>
      </c>
      <c r="AX765" s="311">
        <v>0.55730000000000002</v>
      </c>
      <c r="AY765" s="311">
        <v>0.62370000000000003</v>
      </c>
      <c r="AZ765" s="311">
        <v>0.59709999999999996</v>
      </c>
      <c r="BA765" s="311">
        <v>0.48959999999999998</v>
      </c>
      <c r="BB765" s="311">
        <v>0.53220000000000001</v>
      </c>
      <c r="BC765" s="311">
        <v>0.63670000000000004</v>
      </c>
      <c r="BD765" s="311">
        <v>0.64300000000000002</v>
      </c>
      <c r="BE765" s="311">
        <v>0.63739999999999997</v>
      </c>
      <c r="BF765" s="311">
        <v>0.59440000000000004</v>
      </c>
      <c r="BG765" s="311">
        <v>0.65810000000000002</v>
      </c>
      <c r="BH765" s="311">
        <v>0.59419999999999995</v>
      </c>
      <c r="BI765" s="311">
        <v>0.64329999999999998</v>
      </c>
      <c r="BJ765" s="311">
        <v>0.64359999999999995</v>
      </c>
      <c r="BK765" s="311">
        <v>0.66090000000000004</v>
      </c>
    </row>
    <row r="766" spans="1:63" x14ac:dyDescent="0.25">
      <c r="A766" s="306" t="s">
        <v>769</v>
      </c>
      <c r="B766" s="311" t="s">
        <v>312</v>
      </c>
      <c r="C766" s="311">
        <v>0.59750000000000003</v>
      </c>
      <c r="D766" s="311">
        <v>0.48920000000000002</v>
      </c>
      <c r="E766" s="311">
        <v>0.52390000000000003</v>
      </c>
      <c r="F766" s="311">
        <v>0.50649999999999995</v>
      </c>
      <c r="G766" s="311">
        <v>0.55349999999999999</v>
      </c>
      <c r="H766" s="311">
        <v>0.57179999999999997</v>
      </c>
      <c r="I766" s="311">
        <v>0.5675</v>
      </c>
      <c r="J766" s="311">
        <v>0.47810000000000002</v>
      </c>
      <c r="K766" s="311">
        <v>0.1026</v>
      </c>
      <c r="L766" s="311">
        <v>0.36280000000000001</v>
      </c>
      <c r="M766" s="311">
        <v>0.56069999999999998</v>
      </c>
      <c r="N766" s="311">
        <v>0.55830000000000002</v>
      </c>
      <c r="O766" s="311">
        <v>0.53439999999999999</v>
      </c>
      <c r="P766" s="311">
        <v>0.48120000000000002</v>
      </c>
      <c r="Q766" s="311">
        <v>0.51090000000000002</v>
      </c>
      <c r="R766" s="311">
        <v>0.55269999999999997</v>
      </c>
      <c r="S766" s="311">
        <v>0.51570000000000005</v>
      </c>
      <c r="T766" s="311">
        <v>0.4153</v>
      </c>
      <c r="U766" s="311">
        <v>0.46310000000000001</v>
      </c>
      <c r="V766" s="311">
        <v>0.51290000000000002</v>
      </c>
      <c r="W766" s="311">
        <v>0.51829999999999998</v>
      </c>
      <c r="X766" s="311">
        <v>0.48559999999999998</v>
      </c>
      <c r="Y766" s="311">
        <v>0.53069999999999995</v>
      </c>
      <c r="Z766" s="311">
        <v>0.54210000000000003</v>
      </c>
      <c r="AA766" s="311">
        <v>0.54459999999999997</v>
      </c>
      <c r="AB766" s="311">
        <v>0.46929999999999999</v>
      </c>
      <c r="AC766" s="311">
        <v>0.49740000000000001</v>
      </c>
      <c r="AD766" s="311">
        <v>0.50760000000000005</v>
      </c>
      <c r="AE766" s="311">
        <v>0.53610000000000002</v>
      </c>
      <c r="AF766" s="311">
        <v>0.4204</v>
      </c>
      <c r="AG766" s="311">
        <v>0.4975</v>
      </c>
      <c r="AH766" s="311">
        <v>0.46460000000000001</v>
      </c>
      <c r="AI766" s="311">
        <v>0.51680000000000004</v>
      </c>
      <c r="AJ766" s="311">
        <v>0.50929999999999997</v>
      </c>
      <c r="AK766" s="311">
        <v>0.51200000000000001</v>
      </c>
      <c r="AL766" s="311">
        <v>0.4597</v>
      </c>
      <c r="AM766" s="311">
        <v>0.52910000000000001</v>
      </c>
      <c r="AN766" s="311">
        <v>0.53169999999999995</v>
      </c>
      <c r="AO766" s="311">
        <v>0.52259999999999995</v>
      </c>
      <c r="AP766" s="311">
        <v>0.51790000000000003</v>
      </c>
      <c r="AQ766" s="311">
        <v>0.44669999999999999</v>
      </c>
      <c r="AR766" s="311">
        <v>0.52510000000000001</v>
      </c>
      <c r="AS766" s="311">
        <v>0.43509999999999999</v>
      </c>
      <c r="AT766" s="311">
        <v>0.52439999999999998</v>
      </c>
      <c r="AU766" s="311">
        <v>0.56679999999999997</v>
      </c>
      <c r="AV766" s="311">
        <v>0.56179999999999997</v>
      </c>
      <c r="AW766" s="311">
        <v>0.4849</v>
      </c>
      <c r="AX766" s="311">
        <v>0.49390000000000001</v>
      </c>
      <c r="AY766" s="311">
        <v>0.54549999999999998</v>
      </c>
      <c r="AZ766" s="311">
        <v>0.53010000000000002</v>
      </c>
      <c r="BA766" s="311">
        <v>0.43969999999999998</v>
      </c>
      <c r="BB766" s="311">
        <v>0.48039999999999999</v>
      </c>
      <c r="BC766" s="311">
        <v>0.55289999999999995</v>
      </c>
      <c r="BD766" s="311">
        <v>0.55900000000000005</v>
      </c>
      <c r="BE766" s="311">
        <v>0.55330000000000001</v>
      </c>
      <c r="BF766" s="311">
        <v>0.52880000000000005</v>
      </c>
      <c r="BG766" s="311">
        <v>0.57040000000000002</v>
      </c>
      <c r="BH766" s="311">
        <v>0.5232</v>
      </c>
      <c r="BI766" s="311">
        <v>0.56399999999999995</v>
      </c>
      <c r="BJ766" s="311">
        <v>0.56169999999999998</v>
      </c>
      <c r="BK766" s="311">
        <v>0.57289999999999996</v>
      </c>
    </row>
    <row r="767" spans="1:63" x14ac:dyDescent="0.25">
      <c r="A767" s="306">
        <v>541610</v>
      </c>
      <c r="B767" s="311" t="s">
        <v>313</v>
      </c>
      <c r="C767" s="311">
        <v>0.61299999999999999</v>
      </c>
      <c r="D767" s="311">
        <v>0.51290000000000002</v>
      </c>
      <c r="E767" s="311">
        <v>0.50749999999999995</v>
      </c>
      <c r="F767" s="311">
        <v>0.4965</v>
      </c>
      <c r="G767" s="311">
        <v>0.55469999999999997</v>
      </c>
      <c r="H767" s="311">
        <v>0.57310000000000005</v>
      </c>
      <c r="I767" s="311">
        <v>0.57130000000000003</v>
      </c>
      <c r="J767" s="311">
        <v>0.50270000000000004</v>
      </c>
      <c r="K767" s="311">
        <v>0.15820000000000001</v>
      </c>
      <c r="L767" s="311">
        <v>0.37769999999999998</v>
      </c>
      <c r="M767" s="311">
        <v>0.56269999999999998</v>
      </c>
      <c r="N767" s="311">
        <v>0.56379999999999997</v>
      </c>
      <c r="O767" s="311">
        <v>0.53010000000000002</v>
      </c>
      <c r="P767" s="311">
        <v>0.48630000000000001</v>
      </c>
      <c r="Q767" s="311">
        <v>0.47670000000000001</v>
      </c>
      <c r="R767" s="311">
        <v>0.56140000000000001</v>
      </c>
      <c r="S767" s="311">
        <v>0.498</v>
      </c>
      <c r="T767" s="311">
        <v>0.45950000000000002</v>
      </c>
      <c r="U767" s="311">
        <v>0.48599999999999999</v>
      </c>
      <c r="V767" s="311">
        <v>0.503</v>
      </c>
      <c r="W767" s="311">
        <v>0.5373</v>
      </c>
      <c r="X767" s="311">
        <v>0.48709999999999998</v>
      </c>
      <c r="Y767" s="311">
        <v>0.4909</v>
      </c>
      <c r="Z767" s="311">
        <v>0.53129999999999999</v>
      </c>
      <c r="AA767" s="311">
        <v>0.54490000000000005</v>
      </c>
      <c r="AB767" s="311">
        <v>0.47560000000000002</v>
      </c>
      <c r="AC767" s="311">
        <v>0.46500000000000002</v>
      </c>
      <c r="AD767" s="311">
        <v>0.50070000000000003</v>
      </c>
      <c r="AE767" s="311">
        <v>0.52170000000000005</v>
      </c>
      <c r="AF767" s="311">
        <v>0.4451</v>
      </c>
      <c r="AG767" s="311">
        <v>0.49370000000000003</v>
      </c>
      <c r="AH767" s="311">
        <v>0.49869999999999998</v>
      </c>
      <c r="AI767" s="311">
        <v>0.5171</v>
      </c>
      <c r="AJ767" s="311">
        <v>0.50780000000000003</v>
      </c>
      <c r="AK767" s="311">
        <v>0.49259999999999998</v>
      </c>
      <c r="AL767" s="311">
        <v>0.45190000000000002</v>
      </c>
      <c r="AM767" s="311">
        <v>0.53439999999999999</v>
      </c>
      <c r="AN767" s="311">
        <v>0.51080000000000003</v>
      </c>
      <c r="AO767" s="311">
        <v>0.51500000000000001</v>
      </c>
      <c r="AP767" s="311">
        <v>0.51749999999999996</v>
      </c>
      <c r="AQ767" s="311">
        <v>0.49919999999999998</v>
      </c>
      <c r="AR767" s="311">
        <v>0.52110000000000001</v>
      </c>
      <c r="AS767" s="311">
        <v>0.3992</v>
      </c>
      <c r="AT767" s="311">
        <v>0.50529999999999997</v>
      </c>
      <c r="AU767" s="311">
        <v>0.5625</v>
      </c>
      <c r="AV767" s="311">
        <v>0.56540000000000001</v>
      </c>
      <c r="AW767" s="311">
        <v>0.48759999999999998</v>
      </c>
      <c r="AX767" s="311">
        <v>0.50509999999999999</v>
      </c>
      <c r="AY767" s="311">
        <v>0.53779999999999994</v>
      </c>
      <c r="AZ767" s="311">
        <v>0.51539999999999997</v>
      </c>
      <c r="BA767" s="311">
        <v>0.4829</v>
      </c>
      <c r="BB767" s="311">
        <v>0.4803</v>
      </c>
      <c r="BC767" s="311">
        <v>0.55659999999999998</v>
      </c>
      <c r="BD767" s="311">
        <v>0.55610000000000004</v>
      </c>
      <c r="BE767" s="311">
        <v>0.56030000000000002</v>
      </c>
      <c r="BF767" s="311">
        <v>0.52739999999999998</v>
      </c>
      <c r="BG767" s="311">
        <v>0.57650000000000001</v>
      </c>
      <c r="BH767" s="311">
        <v>0.50939999999999996</v>
      </c>
      <c r="BI767" s="311">
        <v>0.55830000000000002</v>
      </c>
      <c r="BJ767" s="311">
        <v>0.56079999999999997</v>
      </c>
      <c r="BK767" s="311">
        <v>0.57399999999999995</v>
      </c>
    </row>
    <row r="768" spans="1:63" x14ac:dyDescent="0.25">
      <c r="A768" s="306" t="s">
        <v>770</v>
      </c>
      <c r="B768" s="311" t="s">
        <v>314</v>
      </c>
      <c r="C768" s="311">
        <v>0.56740000000000002</v>
      </c>
      <c r="D768" s="311">
        <v>0.46679999999999999</v>
      </c>
      <c r="E768" s="311">
        <v>0.47239999999999999</v>
      </c>
      <c r="F768" s="311">
        <v>0.45250000000000001</v>
      </c>
      <c r="G768" s="311">
        <v>0.51439999999999997</v>
      </c>
      <c r="H768" s="311">
        <v>0.52990000000000004</v>
      </c>
      <c r="I768" s="311">
        <v>0.52690000000000003</v>
      </c>
      <c r="J768" s="311">
        <v>0.45879999999999999</v>
      </c>
      <c r="K768" s="311">
        <v>0.14499999999999999</v>
      </c>
      <c r="L768" s="311">
        <v>0.34799999999999998</v>
      </c>
      <c r="M768" s="311">
        <v>0.5181</v>
      </c>
      <c r="N768" s="311">
        <v>0.5212</v>
      </c>
      <c r="O768" s="311">
        <v>0.49209999999999998</v>
      </c>
      <c r="P768" s="311">
        <v>0.4405</v>
      </c>
      <c r="Q768" s="311">
        <v>0.44019999999999998</v>
      </c>
      <c r="R768" s="311">
        <v>0.51329999999999998</v>
      </c>
      <c r="S768" s="311">
        <v>0.46060000000000001</v>
      </c>
      <c r="T768" s="311">
        <v>0.42249999999999999</v>
      </c>
      <c r="U768" s="311">
        <v>0.44590000000000002</v>
      </c>
      <c r="V768" s="311">
        <v>0.46920000000000001</v>
      </c>
      <c r="W768" s="311">
        <v>0.4955</v>
      </c>
      <c r="X768" s="311">
        <v>0.45119999999999999</v>
      </c>
      <c r="Y768" s="311">
        <v>0.44640000000000002</v>
      </c>
      <c r="Z768" s="311">
        <v>0.49380000000000002</v>
      </c>
      <c r="AA768" s="311">
        <v>0.49690000000000001</v>
      </c>
      <c r="AB768" s="311">
        <v>0.43659999999999999</v>
      </c>
      <c r="AC768" s="311">
        <v>0.42680000000000001</v>
      </c>
      <c r="AD768" s="311">
        <v>0.45689999999999997</v>
      </c>
      <c r="AE768" s="311">
        <v>0.48299999999999998</v>
      </c>
      <c r="AF768" s="311">
        <v>0.40489999999999998</v>
      </c>
      <c r="AG768" s="311">
        <v>0.44829999999999998</v>
      </c>
      <c r="AH768" s="311">
        <v>0.46360000000000001</v>
      </c>
      <c r="AI768" s="311">
        <v>0.47849999999999998</v>
      </c>
      <c r="AJ768" s="311">
        <v>0.47249999999999998</v>
      </c>
      <c r="AK768" s="311">
        <v>0.45450000000000002</v>
      </c>
      <c r="AL768" s="311">
        <v>0.41060000000000002</v>
      </c>
      <c r="AM768" s="311">
        <v>0.49490000000000001</v>
      </c>
      <c r="AN768" s="311">
        <v>0.47099999999999997</v>
      </c>
      <c r="AO768" s="311">
        <v>0.47620000000000001</v>
      </c>
      <c r="AP768" s="311">
        <v>0.47870000000000001</v>
      </c>
      <c r="AQ768" s="311">
        <v>0.45629999999999998</v>
      </c>
      <c r="AR768" s="311">
        <v>0.48520000000000002</v>
      </c>
      <c r="AS768" s="311">
        <v>0.35909999999999997</v>
      </c>
      <c r="AT768" s="311">
        <v>0.46989999999999998</v>
      </c>
      <c r="AU768" s="311">
        <v>0.52159999999999995</v>
      </c>
      <c r="AV768" s="311">
        <v>0.52090000000000003</v>
      </c>
      <c r="AW768" s="311">
        <v>0.44969999999999999</v>
      </c>
      <c r="AX768" s="311">
        <v>0.45800000000000002</v>
      </c>
      <c r="AY768" s="311">
        <v>0.49930000000000002</v>
      </c>
      <c r="AZ768" s="311">
        <v>0.47199999999999998</v>
      </c>
      <c r="BA768" s="311">
        <v>0.441</v>
      </c>
      <c r="BB768" s="311">
        <v>0.43530000000000002</v>
      </c>
      <c r="BC768" s="311">
        <v>0.51280000000000003</v>
      </c>
      <c r="BD768" s="311">
        <v>0.50980000000000003</v>
      </c>
      <c r="BE768" s="311">
        <v>0.51829999999999998</v>
      </c>
      <c r="BF768" s="311">
        <v>0.48199999999999998</v>
      </c>
      <c r="BG768" s="311">
        <v>0.53400000000000003</v>
      </c>
      <c r="BH768" s="311">
        <v>0.4748</v>
      </c>
      <c r="BI768" s="311">
        <v>0.51910000000000001</v>
      </c>
      <c r="BJ768" s="311">
        <v>0.52070000000000005</v>
      </c>
      <c r="BK768" s="311">
        <v>0.53149999999999997</v>
      </c>
    </row>
    <row r="769" spans="1:63" x14ac:dyDescent="0.25">
      <c r="A769" s="306">
        <v>541700</v>
      </c>
      <c r="B769" s="311" t="s">
        <v>315</v>
      </c>
      <c r="C769" s="311">
        <v>0.64170000000000005</v>
      </c>
      <c r="D769" s="311">
        <v>0.51890000000000003</v>
      </c>
      <c r="E769" s="311">
        <v>0.54820000000000002</v>
      </c>
      <c r="F769" s="311">
        <v>0.51270000000000004</v>
      </c>
      <c r="G769" s="311">
        <v>0.56879999999999997</v>
      </c>
      <c r="H769" s="311">
        <v>0.60099999999999998</v>
      </c>
      <c r="I769" s="311">
        <v>0.59440000000000004</v>
      </c>
      <c r="J769" s="311">
        <v>0.52259999999999995</v>
      </c>
      <c r="K769" s="311">
        <v>0.12740000000000001</v>
      </c>
      <c r="L769" s="311">
        <v>0.40189999999999998</v>
      </c>
      <c r="M769" s="311">
        <v>0.58160000000000001</v>
      </c>
      <c r="N769" s="311">
        <v>0.57699999999999996</v>
      </c>
      <c r="O769" s="311">
        <v>0.54520000000000002</v>
      </c>
      <c r="P769" s="311">
        <v>0.501</v>
      </c>
      <c r="Q769" s="311">
        <v>0.52890000000000004</v>
      </c>
      <c r="R769" s="311">
        <v>0.59150000000000003</v>
      </c>
      <c r="S769" s="311">
        <v>0.53259999999999996</v>
      </c>
      <c r="T769" s="311">
        <v>0.47520000000000001</v>
      </c>
      <c r="U769" s="311">
        <v>0.53269999999999995</v>
      </c>
      <c r="V769" s="311">
        <v>0.52800000000000002</v>
      </c>
      <c r="W769" s="311">
        <v>0.56110000000000004</v>
      </c>
      <c r="X769" s="311">
        <v>0.52800000000000002</v>
      </c>
      <c r="Y769" s="311">
        <v>0.54279999999999995</v>
      </c>
      <c r="Z769" s="311">
        <v>0.56850000000000001</v>
      </c>
      <c r="AA769" s="311">
        <v>0.55630000000000002</v>
      </c>
      <c r="AB769" s="311">
        <v>0.48409999999999997</v>
      </c>
      <c r="AC769" s="311">
        <v>0.4733</v>
      </c>
      <c r="AD769" s="311">
        <v>0.49919999999999998</v>
      </c>
      <c r="AE769" s="311">
        <v>0.56020000000000003</v>
      </c>
      <c r="AF769" s="311">
        <v>0.44130000000000003</v>
      </c>
      <c r="AG769" s="311">
        <v>0.49099999999999999</v>
      </c>
      <c r="AH769" s="311">
        <v>0.49220000000000003</v>
      </c>
      <c r="AI769" s="311">
        <v>0.54620000000000002</v>
      </c>
      <c r="AJ769" s="311">
        <v>0.54179999999999995</v>
      </c>
      <c r="AK769" s="311">
        <v>0.54069999999999996</v>
      </c>
      <c r="AL769" s="311">
        <v>0.52470000000000006</v>
      </c>
      <c r="AM769" s="311">
        <v>0.56610000000000005</v>
      </c>
      <c r="AN769" s="311">
        <v>0.54269999999999996</v>
      </c>
      <c r="AO769" s="311">
        <v>0.5454</v>
      </c>
      <c r="AP769" s="311">
        <v>0.55879999999999996</v>
      </c>
      <c r="AQ769" s="311">
        <v>0.4617</v>
      </c>
      <c r="AR769" s="311">
        <v>0.5333</v>
      </c>
      <c r="AS769" s="311">
        <v>0.32429999999999998</v>
      </c>
      <c r="AT769" s="311">
        <v>0.56310000000000004</v>
      </c>
      <c r="AU769" s="311">
        <v>0.59789999999999999</v>
      </c>
      <c r="AV769" s="311">
        <v>0.5827</v>
      </c>
      <c r="AW769" s="311">
        <v>0.51929999999999998</v>
      </c>
      <c r="AX769" s="311">
        <v>0.50519999999999998</v>
      </c>
      <c r="AY769" s="311">
        <v>0.56630000000000003</v>
      </c>
      <c r="AZ769" s="311">
        <v>0.54579999999999995</v>
      </c>
      <c r="BA769" s="311">
        <v>0.4819</v>
      </c>
      <c r="BB769" s="311">
        <v>0.50639999999999996</v>
      </c>
      <c r="BC769" s="311">
        <v>0.58989999999999998</v>
      </c>
      <c r="BD769" s="311">
        <v>0.5907</v>
      </c>
      <c r="BE769" s="311">
        <v>0.59250000000000003</v>
      </c>
      <c r="BF769" s="311">
        <v>0.54179999999999995</v>
      </c>
      <c r="BG769" s="311">
        <v>0.59960000000000002</v>
      </c>
      <c r="BH769" s="311">
        <v>0.55940000000000001</v>
      </c>
      <c r="BI769" s="311">
        <v>0.59150000000000003</v>
      </c>
      <c r="BJ769" s="311">
        <v>0.58620000000000005</v>
      </c>
      <c r="BK769" s="311">
        <v>0.60319999999999996</v>
      </c>
    </row>
    <row r="770" spans="1:63" x14ac:dyDescent="0.25">
      <c r="A770" s="306">
        <v>541800</v>
      </c>
      <c r="B770" s="311" t="s">
        <v>316</v>
      </c>
      <c r="C770" s="311">
        <v>0.57699999999999996</v>
      </c>
      <c r="D770" s="311">
        <v>0.47499999999999998</v>
      </c>
      <c r="E770" s="311">
        <v>0.48060000000000003</v>
      </c>
      <c r="F770" s="311">
        <v>0.47339999999999999</v>
      </c>
      <c r="G770" s="311">
        <v>0.50609999999999999</v>
      </c>
      <c r="H770" s="311">
        <v>0.54900000000000004</v>
      </c>
      <c r="I770" s="311">
        <v>0.53500000000000003</v>
      </c>
      <c r="J770" s="311">
        <v>0.46939999999999998</v>
      </c>
      <c r="K770" s="311">
        <v>0.16789999999999999</v>
      </c>
      <c r="L770" s="311">
        <v>0.38640000000000002</v>
      </c>
      <c r="M770" s="311">
        <v>0.52200000000000002</v>
      </c>
      <c r="N770" s="311">
        <v>0.53249999999999997</v>
      </c>
      <c r="O770" s="311">
        <v>0.50409999999999999</v>
      </c>
      <c r="P770" s="311">
        <v>0.46089999999999998</v>
      </c>
      <c r="Q770" s="311">
        <v>0.4642</v>
      </c>
      <c r="R770" s="311">
        <v>0.53149999999999997</v>
      </c>
      <c r="S770" s="311">
        <v>0.4894</v>
      </c>
      <c r="T770" s="311">
        <v>0.40610000000000002</v>
      </c>
      <c r="U770" s="311">
        <v>0.45850000000000002</v>
      </c>
      <c r="V770" s="311">
        <v>0.4889</v>
      </c>
      <c r="W770" s="311">
        <v>0.50749999999999995</v>
      </c>
      <c r="X770" s="311">
        <v>0.4763</v>
      </c>
      <c r="Y770" s="311">
        <v>0.49619999999999997</v>
      </c>
      <c r="Z770" s="311">
        <v>0.51390000000000002</v>
      </c>
      <c r="AA770" s="311">
        <v>0.5141</v>
      </c>
      <c r="AB770" s="311">
        <v>0.44019999999999998</v>
      </c>
      <c r="AC770" s="311">
        <v>0.46150000000000002</v>
      </c>
      <c r="AD770" s="311">
        <v>0.46710000000000002</v>
      </c>
      <c r="AE770" s="311">
        <v>0.4929</v>
      </c>
      <c r="AF770" s="311">
        <v>0.37690000000000001</v>
      </c>
      <c r="AG770" s="311">
        <v>0.4612</v>
      </c>
      <c r="AH770" s="311">
        <v>0.4541</v>
      </c>
      <c r="AI770" s="311">
        <v>0.49320000000000003</v>
      </c>
      <c r="AJ770" s="311">
        <v>0.47510000000000002</v>
      </c>
      <c r="AK770" s="311">
        <v>0.49909999999999999</v>
      </c>
      <c r="AL770" s="311">
        <v>0.45590000000000003</v>
      </c>
      <c r="AM770" s="311">
        <v>0.49930000000000002</v>
      </c>
      <c r="AN770" s="311">
        <v>0.49159999999999998</v>
      </c>
      <c r="AO770" s="311">
        <v>0.49609999999999999</v>
      </c>
      <c r="AP770" s="311">
        <v>0.50109999999999999</v>
      </c>
      <c r="AQ770" s="311">
        <v>0.435</v>
      </c>
      <c r="AR770" s="311">
        <v>0.4819</v>
      </c>
      <c r="AS770" s="311">
        <v>0.4536</v>
      </c>
      <c r="AT770" s="311">
        <v>0.50839999999999996</v>
      </c>
      <c r="AU770" s="311">
        <v>0.52529999999999999</v>
      </c>
      <c r="AV770" s="311">
        <v>0.52869999999999995</v>
      </c>
      <c r="AW770" s="311">
        <v>0.4793</v>
      </c>
      <c r="AX770" s="311">
        <v>0.46800000000000003</v>
      </c>
      <c r="AY770" s="311">
        <v>0.50370000000000004</v>
      </c>
      <c r="AZ770" s="311">
        <v>0.49399999999999999</v>
      </c>
      <c r="BA770" s="311">
        <v>0.4284</v>
      </c>
      <c r="BB770" s="311">
        <v>0.374</v>
      </c>
      <c r="BC770" s="311">
        <v>0.51559999999999995</v>
      </c>
      <c r="BD770" s="311">
        <v>0.53949999999999998</v>
      </c>
      <c r="BE770" s="311">
        <v>0.5272</v>
      </c>
      <c r="BF770" s="311">
        <v>0.501</v>
      </c>
      <c r="BG770" s="311">
        <v>0.53549999999999998</v>
      </c>
      <c r="BH770" s="311">
        <v>0.49869999999999998</v>
      </c>
      <c r="BI770" s="311">
        <v>0.52200000000000002</v>
      </c>
      <c r="BJ770" s="311">
        <v>0.52349999999999997</v>
      </c>
      <c r="BK770" s="311">
        <v>0.54890000000000005</v>
      </c>
    </row>
    <row r="771" spans="1:63" x14ac:dyDescent="0.25">
      <c r="A771" s="306">
        <v>541920</v>
      </c>
      <c r="B771" s="311" t="s">
        <v>317</v>
      </c>
      <c r="C771" s="311">
        <v>0.7006</v>
      </c>
      <c r="D771" s="311">
        <v>0.57269999999999999</v>
      </c>
      <c r="E771" s="311">
        <v>0.61260000000000003</v>
      </c>
      <c r="F771" s="311">
        <v>0.57650000000000001</v>
      </c>
      <c r="G771" s="311">
        <v>0.63870000000000005</v>
      </c>
      <c r="H771" s="311">
        <v>0.66539999999999999</v>
      </c>
      <c r="I771" s="311">
        <v>0.66290000000000004</v>
      </c>
      <c r="J771" s="311">
        <v>0.58069999999999999</v>
      </c>
      <c r="K771" s="311">
        <v>0.182</v>
      </c>
      <c r="L771" s="311">
        <v>0.52800000000000002</v>
      </c>
      <c r="M771" s="311">
        <v>0.64500000000000002</v>
      </c>
      <c r="N771" s="311">
        <v>0.65500000000000003</v>
      </c>
      <c r="O771" s="311">
        <v>0.62060000000000004</v>
      </c>
      <c r="P771" s="311">
        <v>0.57210000000000005</v>
      </c>
      <c r="Q771" s="311">
        <v>0.59089999999999998</v>
      </c>
      <c r="R771" s="311">
        <v>0.65620000000000001</v>
      </c>
      <c r="S771" s="311">
        <v>0.62209999999999999</v>
      </c>
      <c r="T771" s="311">
        <v>0.5585</v>
      </c>
      <c r="U771" s="311">
        <v>0.56079999999999997</v>
      </c>
      <c r="V771" s="311">
        <v>0.61009999999999998</v>
      </c>
      <c r="W771" s="311">
        <v>0.59989999999999999</v>
      </c>
      <c r="X771" s="311">
        <v>0.58489999999999998</v>
      </c>
      <c r="Y771" s="311">
        <v>0.60909999999999997</v>
      </c>
      <c r="Z771" s="311">
        <v>0.64700000000000002</v>
      </c>
      <c r="AA771" s="311">
        <v>0.62870000000000004</v>
      </c>
      <c r="AB771" s="311">
        <v>0.59219999999999995</v>
      </c>
      <c r="AC771" s="311">
        <v>0.58069999999999999</v>
      </c>
      <c r="AD771" s="311">
        <v>0.59379999999999999</v>
      </c>
      <c r="AE771" s="311">
        <v>0.63</v>
      </c>
      <c r="AF771" s="311">
        <v>0.5383</v>
      </c>
      <c r="AG771" s="311">
        <v>0.5756</v>
      </c>
      <c r="AH771" s="311">
        <v>0.57940000000000003</v>
      </c>
      <c r="AI771" s="311">
        <v>0.60940000000000005</v>
      </c>
      <c r="AJ771" s="311">
        <v>0.5958</v>
      </c>
      <c r="AK771" s="311">
        <v>0.59919999999999995</v>
      </c>
      <c r="AL771" s="311">
        <v>0.56920000000000004</v>
      </c>
      <c r="AM771" s="311">
        <v>0.61899999999999999</v>
      </c>
      <c r="AN771" s="311">
        <v>0.6129</v>
      </c>
      <c r="AO771" s="311">
        <v>0.62239999999999995</v>
      </c>
      <c r="AP771" s="311">
        <v>0.63660000000000005</v>
      </c>
      <c r="AQ771" s="311">
        <v>0.60099999999999998</v>
      </c>
      <c r="AR771" s="311">
        <v>0.59330000000000005</v>
      </c>
      <c r="AS771" s="311">
        <v>0.56200000000000006</v>
      </c>
      <c r="AT771" s="311">
        <v>0.62090000000000001</v>
      </c>
      <c r="AU771" s="311">
        <v>0.66120000000000001</v>
      </c>
      <c r="AV771" s="311">
        <v>0.65269999999999995</v>
      </c>
      <c r="AW771" s="311">
        <v>0.60150000000000003</v>
      </c>
      <c r="AX771" s="311">
        <v>0.58289999999999997</v>
      </c>
      <c r="AY771" s="311">
        <v>0.60609999999999997</v>
      </c>
      <c r="AZ771" s="311">
        <v>0.60740000000000005</v>
      </c>
      <c r="BA771" s="311">
        <v>0.54779999999999995</v>
      </c>
      <c r="BB771" s="311">
        <v>0.5675</v>
      </c>
      <c r="BC771" s="311">
        <v>0.63570000000000004</v>
      </c>
      <c r="BD771" s="311">
        <v>0.65700000000000003</v>
      </c>
      <c r="BE771" s="311">
        <v>0.65780000000000005</v>
      </c>
      <c r="BF771" s="311">
        <v>0.61829999999999996</v>
      </c>
      <c r="BG771" s="311">
        <v>0.66930000000000001</v>
      </c>
      <c r="BH771" s="311">
        <v>0.61950000000000005</v>
      </c>
      <c r="BI771" s="311">
        <v>0.65480000000000005</v>
      </c>
      <c r="BJ771" s="311">
        <v>0.65290000000000004</v>
      </c>
      <c r="BK771" s="311">
        <v>0.66439999999999999</v>
      </c>
    </row>
    <row r="772" spans="1:63" x14ac:dyDescent="0.25">
      <c r="A772" s="306">
        <v>541940</v>
      </c>
      <c r="B772" s="311" t="s">
        <v>318</v>
      </c>
      <c r="C772" s="311">
        <v>0.63739999999999997</v>
      </c>
      <c r="D772" s="311">
        <v>0.50070000000000003</v>
      </c>
      <c r="E772" s="311">
        <v>0.53259999999999996</v>
      </c>
      <c r="F772" s="311">
        <v>0.50609999999999999</v>
      </c>
      <c r="G772" s="311">
        <v>0.55330000000000001</v>
      </c>
      <c r="H772" s="311">
        <v>0.59699999999999998</v>
      </c>
      <c r="I772" s="311">
        <v>0.5867</v>
      </c>
      <c r="J772" s="311">
        <v>0.52370000000000005</v>
      </c>
      <c r="K772" s="311">
        <v>0.1512</v>
      </c>
      <c r="L772" s="311">
        <v>0.46800000000000003</v>
      </c>
      <c r="M772" s="311">
        <v>0.56130000000000002</v>
      </c>
      <c r="N772" s="311">
        <v>0.56759999999999999</v>
      </c>
      <c r="O772" s="311">
        <v>0.53669999999999995</v>
      </c>
      <c r="P772" s="311">
        <v>0.50160000000000005</v>
      </c>
      <c r="Q772" s="311">
        <v>0.50949999999999995</v>
      </c>
      <c r="R772" s="311">
        <v>0.58530000000000004</v>
      </c>
      <c r="S772" s="311">
        <v>0.55130000000000001</v>
      </c>
      <c r="T772" s="311">
        <v>0.49330000000000002</v>
      </c>
      <c r="U772" s="311">
        <v>0.4879</v>
      </c>
      <c r="V772" s="311">
        <v>0.52669999999999995</v>
      </c>
      <c r="W772" s="311">
        <v>0.5474</v>
      </c>
      <c r="X772" s="311">
        <v>0.50349999999999995</v>
      </c>
      <c r="Y772" s="311">
        <v>0.55700000000000005</v>
      </c>
      <c r="Z772" s="311">
        <v>0.57120000000000004</v>
      </c>
      <c r="AA772" s="311">
        <v>0.54700000000000004</v>
      </c>
      <c r="AB772" s="311">
        <v>0.52949999999999997</v>
      </c>
      <c r="AC772" s="311">
        <v>0.5121</v>
      </c>
      <c r="AD772" s="311">
        <v>0.52010000000000001</v>
      </c>
      <c r="AE772" s="311">
        <v>0.56330000000000002</v>
      </c>
      <c r="AF772" s="311">
        <v>0.47010000000000002</v>
      </c>
      <c r="AG772" s="311">
        <v>0.51</v>
      </c>
      <c r="AH772" s="311">
        <v>0.50370000000000004</v>
      </c>
      <c r="AI772" s="311">
        <v>0.54890000000000005</v>
      </c>
      <c r="AJ772" s="311">
        <v>0.51929999999999998</v>
      </c>
      <c r="AK772" s="311">
        <v>0.5252</v>
      </c>
      <c r="AL772" s="311">
        <v>0.50019999999999998</v>
      </c>
      <c r="AM772" s="311">
        <v>0.54400000000000004</v>
      </c>
      <c r="AN772" s="311">
        <v>0.53510000000000002</v>
      </c>
      <c r="AO772" s="311">
        <v>0.53720000000000001</v>
      </c>
      <c r="AP772" s="311">
        <v>0.57550000000000001</v>
      </c>
      <c r="AQ772" s="311">
        <v>0.53339999999999999</v>
      </c>
      <c r="AR772" s="311">
        <v>0.52969999999999995</v>
      </c>
      <c r="AS772" s="311">
        <v>0.49380000000000002</v>
      </c>
      <c r="AT772" s="311">
        <v>0.54449999999999998</v>
      </c>
      <c r="AU772" s="311">
        <v>0.5756</v>
      </c>
      <c r="AV772" s="311">
        <v>0.5887</v>
      </c>
      <c r="AW772" s="311">
        <v>0.52680000000000005</v>
      </c>
      <c r="AX772" s="311">
        <v>0.49930000000000002</v>
      </c>
      <c r="AY772" s="311">
        <v>0.53680000000000005</v>
      </c>
      <c r="AZ772" s="311">
        <v>0.5383</v>
      </c>
      <c r="BA772" s="311">
        <v>0.49030000000000001</v>
      </c>
      <c r="BB772" s="311">
        <v>0.49509999999999998</v>
      </c>
      <c r="BC772" s="311">
        <v>0.5796</v>
      </c>
      <c r="BD772" s="311">
        <v>0.59289999999999998</v>
      </c>
      <c r="BE772" s="311">
        <v>0.59179999999999999</v>
      </c>
      <c r="BF772" s="311">
        <v>0.54969999999999997</v>
      </c>
      <c r="BG772" s="311">
        <v>0.58989999999999998</v>
      </c>
      <c r="BH772" s="311">
        <v>0.53900000000000003</v>
      </c>
      <c r="BI772" s="311">
        <v>0.57310000000000005</v>
      </c>
      <c r="BJ772" s="311">
        <v>0.57169999999999999</v>
      </c>
      <c r="BK772" s="311">
        <v>0.59709999999999996</v>
      </c>
    </row>
    <row r="773" spans="1:63" x14ac:dyDescent="0.25">
      <c r="A773" s="306" t="s">
        <v>771</v>
      </c>
      <c r="B773" s="311" t="s">
        <v>319</v>
      </c>
      <c r="C773" s="311">
        <v>0.75190000000000001</v>
      </c>
      <c r="D773" s="311">
        <v>0.65629999999999999</v>
      </c>
      <c r="E773" s="311">
        <v>0.68440000000000001</v>
      </c>
      <c r="F773" s="311">
        <v>0.65359999999999996</v>
      </c>
      <c r="G773" s="311">
        <v>0.70840000000000003</v>
      </c>
      <c r="H773" s="311">
        <v>0.72889999999999999</v>
      </c>
      <c r="I773" s="311">
        <v>0.72470000000000001</v>
      </c>
      <c r="J773" s="311">
        <v>0.64690000000000003</v>
      </c>
      <c r="K773" s="311">
        <v>0.20899999999999999</v>
      </c>
      <c r="L773" s="311">
        <v>0.60250000000000004</v>
      </c>
      <c r="M773" s="311">
        <v>0.71779999999999999</v>
      </c>
      <c r="N773" s="311">
        <v>0.70979999999999999</v>
      </c>
      <c r="O773" s="311">
        <v>0.70009999999999994</v>
      </c>
      <c r="P773" s="311">
        <v>0.65490000000000004</v>
      </c>
      <c r="Q773" s="311">
        <v>0.67030000000000001</v>
      </c>
      <c r="R773" s="311">
        <v>0.71340000000000003</v>
      </c>
      <c r="S773" s="311">
        <v>0.68330000000000002</v>
      </c>
      <c r="T773" s="311">
        <v>0.63319999999999999</v>
      </c>
      <c r="U773" s="311">
        <v>0.62290000000000001</v>
      </c>
      <c r="V773" s="311">
        <v>0.68410000000000004</v>
      </c>
      <c r="W773" s="311">
        <v>0.66700000000000004</v>
      </c>
      <c r="X773" s="311">
        <v>0.64249999999999996</v>
      </c>
      <c r="Y773" s="311">
        <v>0.69199999999999995</v>
      </c>
      <c r="Z773" s="311">
        <v>0.70730000000000004</v>
      </c>
      <c r="AA773" s="311">
        <v>0.69099999999999995</v>
      </c>
      <c r="AB773" s="311">
        <v>0.6512</v>
      </c>
      <c r="AC773" s="311">
        <v>0.66</v>
      </c>
      <c r="AD773" s="311">
        <v>0.68100000000000005</v>
      </c>
      <c r="AE773" s="311">
        <v>0.6925</v>
      </c>
      <c r="AF773" s="311">
        <v>0.624</v>
      </c>
      <c r="AG773" s="311">
        <v>0.66279999999999994</v>
      </c>
      <c r="AH773" s="311">
        <v>0.64559999999999995</v>
      </c>
      <c r="AI773" s="311">
        <v>0.66110000000000002</v>
      </c>
      <c r="AJ773" s="311">
        <v>0.68079999999999996</v>
      </c>
      <c r="AK773" s="311">
        <v>0.67269999999999996</v>
      </c>
      <c r="AL773" s="311">
        <v>0.63170000000000004</v>
      </c>
      <c r="AM773" s="311">
        <v>0.67869999999999997</v>
      </c>
      <c r="AN773" s="311">
        <v>0.69179999999999997</v>
      </c>
      <c r="AO773" s="311">
        <v>0.69140000000000001</v>
      </c>
      <c r="AP773" s="311">
        <v>0.6946</v>
      </c>
      <c r="AQ773" s="311">
        <v>0.67049999999999998</v>
      </c>
      <c r="AR773" s="311">
        <v>0.66</v>
      </c>
      <c r="AS773" s="311">
        <v>0.64839999999999998</v>
      </c>
      <c r="AT773" s="311">
        <v>0.68320000000000003</v>
      </c>
      <c r="AU773" s="311">
        <v>0.72550000000000003</v>
      </c>
      <c r="AV773" s="311">
        <v>0.71619999999999995</v>
      </c>
      <c r="AW773" s="311">
        <v>0.6653</v>
      </c>
      <c r="AX773" s="311">
        <v>0.65369999999999995</v>
      </c>
      <c r="AY773" s="311">
        <v>0.67889999999999995</v>
      </c>
      <c r="AZ773" s="311">
        <v>0.67959999999999998</v>
      </c>
      <c r="BA773" s="311">
        <v>0.6179</v>
      </c>
      <c r="BB773" s="311">
        <v>0.65329999999999999</v>
      </c>
      <c r="BC773" s="311">
        <v>0.70289999999999997</v>
      </c>
      <c r="BD773" s="311">
        <v>0.71430000000000005</v>
      </c>
      <c r="BE773" s="311">
        <v>0.71479999999999999</v>
      </c>
      <c r="BF773" s="311">
        <v>0.68789999999999996</v>
      </c>
      <c r="BG773" s="311">
        <v>0.72699999999999998</v>
      </c>
      <c r="BH773" s="311">
        <v>0.67730000000000001</v>
      </c>
      <c r="BI773" s="311">
        <v>0.7208</v>
      </c>
      <c r="BJ773" s="311">
        <v>0.71730000000000005</v>
      </c>
      <c r="BK773" s="311">
        <v>0.72799999999999998</v>
      </c>
    </row>
    <row r="774" spans="1:63" x14ac:dyDescent="0.25">
      <c r="A774" s="306">
        <v>550000</v>
      </c>
      <c r="B774" s="311" t="s">
        <v>320</v>
      </c>
      <c r="C774" s="311">
        <v>0.60129999999999995</v>
      </c>
      <c r="D774" s="311">
        <v>0.49130000000000001</v>
      </c>
      <c r="E774" s="311">
        <v>0.50629999999999997</v>
      </c>
      <c r="F774" s="311">
        <v>0.47099999999999997</v>
      </c>
      <c r="G774" s="311">
        <v>0.52949999999999997</v>
      </c>
      <c r="H774" s="311">
        <v>0.57189999999999996</v>
      </c>
      <c r="I774" s="311">
        <v>0.57099999999999995</v>
      </c>
      <c r="J774" s="311">
        <v>0.52669999999999995</v>
      </c>
      <c r="K774" s="311">
        <v>0.106</v>
      </c>
      <c r="L774" s="311">
        <v>0.3916</v>
      </c>
      <c r="M774" s="311">
        <v>0.55179999999999996</v>
      </c>
      <c r="N774" s="311">
        <v>0.55100000000000005</v>
      </c>
      <c r="O774" s="311">
        <v>0.51419999999999999</v>
      </c>
      <c r="P774" s="311">
        <v>0.46189999999999998</v>
      </c>
      <c r="Q774" s="311">
        <v>0.48570000000000002</v>
      </c>
      <c r="R774" s="311">
        <v>0.56110000000000004</v>
      </c>
      <c r="S774" s="311">
        <v>0.46700000000000003</v>
      </c>
      <c r="T774" s="311">
        <v>0.46700000000000003</v>
      </c>
      <c r="U774" s="311">
        <v>0.46250000000000002</v>
      </c>
      <c r="V774" s="311">
        <v>0.50770000000000004</v>
      </c>
      <c r="W774" s="311">
        <v>0.54149999999999998</v>
      </c>
      <c r="X774" s="311">
        <v>0.49320000000000003</v>
      </c>
      <c r="Y774" s="311">
        <v>0.51519999999999999</v>
      </c>
      <c r="Z774" s="311">
        <v>0.52090000000000003</v>
      </c>
      <c r="AA774" s="311">
        <v>0.53149999999999997</v>
      </c>
      <c r="AB774" s="311">
        <v>0.48799999999999999</v>
      </c>
      <c r="AC774" s="311">
        <v>0.47139999999999999</v>
      </c>
      <c r="AD774" s="311">
        <v>0.49349999999999999</v>
      </c>
      <c r="AE774" s="311">
        <v>0.50870000000000004</v>
      </c>
      <c r="AF774" s="311">
        <v>0.45939999999999998</v>
      </c>
      <c r="AG774" s="311">
        <v>0.47199999999999998</v>
      </c>
      <c r="AH774" s="311">
        <v>0.45050000000000001</v>
      </c>
      <c r="AI774" s="311">
        <v>0.50509999999999999</v>
      </c>
      <c r="AJ774" s="311">
        <v>0.49759999999999999</v>
      </c>
      <c r="AK774" s="311">
        <v>0.51680000000000004</v>
      </c>
      <c r="AL774" s="311">
        <v>0.42730000000000001</v>
      </c>
      <c r="AM774" s="311">
        <v>0.51800000000000002</v>
      </c>
      <c r="AN774" s="311">
        <v>0.50380000000000003</v>
      </c>
      <c r="AO774" s="311">
        <v>0.50409999999999999</v>
      </c>
      <c r="AP774" s="311">
        <v>0.53790000000000004</v>
      </c>
      <c r="AQ774" s="311">
        <v>0.46050000000000002</v>
      </c>
      <c r="AR774" s="311">
        <v>0.50090000000000001</v>
      </c>
      <c r="AS774" s="311">
        <v>0.39900000000000002</v>
      </c>
      <c r="AT774" s="311">
        <v>0.51290000000000002</v>
      </c>
      <c r="AU774" s="311">
        <v>0.55710000000000004</v>
      </c>
      <c r="AV774" s="311">
        <v>0.55379999999999996</v>
      </c>
      <c r="AW774" s="311">
        <v>0.50080000000000002</v>
      </c>
      <c r="AX774" s="311">
        <v>0.50749999999999995</v>
      </c>
      <c r="AY774" s="311">
        <v>0.49890000000000001</v>
      </c>
      <c r="AZ774" s="311">
        <v>0.50149999999999995</v>
      </c>
      <c r="BA774" s="311">
        <v>0.46060000000000001</v>
      </c>
      <c r="BB774" s="311">
        <v>0.46929999999999999</v>
      </c>
      <c r="BC774" s="311">
        <v>0.56310000000000004</v>
      </c>
      <c r="BD774" s="311">
        <v>0.54990000000000006</v>
      </c>
      <c r="BE774" s="311">
        <v>0.55030000000000001</v>
      </c>
      <c r="BF774" s="311">
        <v>0.51639999999999997</v>
      </c>
      <c r="BG774" s="311">
        <v>0.56569999999999998</v>
      </c>
      <c r="BH774" s="311">
        <v>0.50339999999999996</v>
      </c>
      <c r="BI774" s="311">
        <v>0.54849999999999999</v>
      </c>
      <c r="BJ774" s="311">
        <v>0.54979999999999996</v>
      </c>
      <c r="BK774" s="311">
        <v>0.56810000000000005</v>
      </c>
    </row>
    <row r="775" spans="1:63" x14ac:dyDescent="0.25">
      <c r="A775" s="306">
        <v>561100</v>
      </c>
      <c r="B775" s="311" t="s">
        <v>323</v>
      </c>
      <c r="C775" s="311">
        <v>0.6885</v>
      </c>
      <c r="D775" s="311">
        <v>0.56240000000000001</v>
      </c>
      <c r="E775" s="311">
        <v>0.58989999999999998</v>
      </c>
      <c r="F775" s="311">
        <v>0.55969999999999998</v>
      </c>
      <c r="G775" s="311">
        <v>0.62760000000000005</v>
      </c>
      <c r="H775" s="311">
        <v>0.65790000000000004</v>
      </c>
      <c r="I775" s="311">
        <v>0.65600000000000003</v>
      </c>
      <c r="J775" s="311">
        <v>0.59799999999999998</v>
      </c>
      <c r="K775" s="311">
        <v>0.20269999999999999</v>
      </c>
      <c r="L775" s="311">
        <v>0.50019999999999998</v>
      </c>
      <c r="M775" s="311">
        <v>0.6452</v>
      </c>
      <c r="N775" s="311">
        <v>0.64570000000000005</v>
      </c>
      <c r="O775" s="311">
        <v>0.6109</v>
      </c>
      <c r="P775" s="311">
        <v>0.53810000000000002</v>
      </c>
      <c r="Q775" s="311">
        <v>0.57010000000000005</v>
      </c>
      <c r="R775" s="311">
        <v>0.6482</v>
      </c>
      <c r="S775" s="311">
        <v>0.58650000000000002</v>
      </c>
      <c r="T775" s="311">
        <v>0.52400000000000002</v>
      </c>
      <c r="U775" s="311">
        <v>0.56169999999999998</v>
      </c>
      <c r="V775" s="311">
        <v>0.59899999999999998</v>
      </c>
      <c r="W775" s="311">
        <v>0.61660000000000004</v>
      </c>
      <c r="X775" s="311">
        <v>0.59240000000000004</v>
      </c>
      <c r="Y775" s="311">
        <v>0.5988</v>
      </c>
      <c r="Z775" s="311">
        <v>0.62629999999999997</v>
      </c>
      <c r="AA775" s="311">
        <v>0.62009999999999998</v>
      </c>
      <c r="AB775" s="311">
        <v>0.56679999999999997</v>
      </c>
      <c r="AC775" s="311">
        <v>0.55089999999999995</v>
      </c>
      <c r="AD775" s="311">
        <v>0.57099999999999995</v>
      </c>
      <c r="AE775" s="311">
        <v>0.60760000000000003</v>
      </c>
      <c r="AF775" s="311">
        <v>0.51149999999999995</v>
      </c>
      <c r="AG775" s="311">
        <v>0.55189999999999995</v>
      </c>
      <c r="AH775" s="311">
        <v>0.57720000000000005</v>
      </c>
      <c r="AI775" s="311">
        <v>0.61040000000000005</v>
      </c>
      <c r="AJ775" s="311">
        <v>0.58730000000000004</v>
      </c>
      <c r="AK775" s="311">
        <v>0.60170000000000001</v>
      </c>
      <c r="AL775" s="311">
        <v>0.58620000000000005</v>
      </c>
      <c r="AM775" s="311">
        <v>0.61580000000000001</v>
      </c>
      <c r="AN775" s="311">
        <v>0.61109999999999998</v>
      </c>
      <c r="AO775" s="311">
        <v>0.5958</v>
      </c>
      <c r="AP775" s="311">
        <v>0.61119999999999997</v>
      </c>
      <c r="AQ775" s="311">
        <v>0.56610000000000005</v>
      </c>
      <c r="AR775" s="311">
        <v>0.58609999999999995</v>
      </c>
      <c r="AS775" s="311">
        <v>0.5292</v>
      </c>
      <c r="AT775" s="311">
        <v>0.60509999999999997</v>
      </c>
      <c r="AU775" s="311">
        <v>0.64990000000000003</v>
      </c>
      <c r="AV775" s="311">
        <v>0.63260000000000005</v>
      </c>
      <c r="AW775" s="311">
        <v>0.58460000000000001</v>
      </c>
      <c r="AX775" s="311">
        <v>0.55859999999999999</v>
      </c>
      <c r="AY775" s="311">
        <v>0.61960000000000004</v>
      </c>
      <c r="AZ775" s="311">
        <v>0.60150000000000003</v>
      </c>
      <c r="BA775" s="311">
        <v>0.52610000000000001</v>
      </c>
      <c r="BB775" s="311">
        <v>0.5343</v>
      </c>
      <c r="BC775" s="311">
        <v>0.64410000000000001</v>
      </c>
      <c r="BD775" s="311">
        <v>0.65429999999999999</v>
      </c>
      <c r="BE775" s="311">
        <v>0.64549999999999996</v>
      </c>
      <c r="BF775" s="311">
        <v>0.60070000000000001</v>
      </c>
      <c r="BG775" s="311">
        <v>0.65790000000000004</v>
      </c>
      <c r="BH775" s="311">
        <v>0.60460000000000003</v>
      </c>
      <c r="BI775" s="311">
        <v>0.64639999999999997</v>
      </c>
      <c r="BJ775" s="311">
        <v>0.64090000000000003</v>
      </c>
      <c r="BK775" s="311">
        <v>0.65649999999999997</v>
      </c>
    </row>
    <row r="776" spans="1:63" x14ac:dyDescent="0.25">
      <c r="A776" s="306">
        <v>561200</v>
      </c>
      <c r="B776" s="311" t="s">
        <v>324</v>
      </c>
      <c r="C776" s="311">
        <v>0.59209999999999996</v>
      </c>
      <c r="D776" s="311">
        <v>0.46210000000000001</v>
      </c>
      <c r="E776" s="311">
        <v>0.49530000000000002</v>
      </c>
      <c r="F776" s="311">
        <v>0.46350000000000002</v>
      </c>
      <c r="G776" s="311">
        <v>0.53700000000000003</v>
      </c>
      <c r="H776" s="311">
        <v>0.55689999999999995</v>
      </c>
      <c r="I776" s="311">
        <v>0.55279999999999996</v>
      </c>
      <c r="J776" s="311">
        <v>0.49890000000000001</v>
      </c>
      <c r="K776" s="311">
        <v>0.16869999999999999</v>
      </c>
      <c r="L776" s="311">
        <v>0.41399999999999998</v>
      </c>
      <c r="M776" s="311">
        <v>0.54669999999999996</v>
      </c>
      <c r="N776" s="311">
        <v>0.55169999999999997</v>
      </c>
      <c r="O776" s="311">
        <v>0.49959999999999999</v>
      </c>
      <c r="P776" s="311">
        <v>0.43890000000000001</v>
      </c>
      <c r="Q776" s="311">
        <v>0.47270000000000001</v>
      </c>
      <c r="R776" s="311">
        <v>0.54930000000000001</v>
      </c>
      <c r="S776" s="311">
        <v>0.49199999999999999</v>
      </c>
      <c r="T776" s="311">
        <v>0.44450000000000001</v>
      </c>
      <c r="U776" s="311">
        <v>0.46729999999999999</v>
      </c>
      <c r="V776" s="311">
        <v>0.50349999999999995</v>
      </c>
      <c r="W776" s="311">
        <v>0.51619999999999999</v>
      </c>
      <c r="X776" s="311">
        <v>0.49990000000000001</v>
      </c>
      <c r="Y776" s="311">
        <v>0.49690000000000001</v>
      </c>
      <c r="Z776" s="311">
        <v>0.52859999999999996</v>
      </c>
      <c r="AA776" s="311">
        <v>0.50890000000000002</v>
      </c>
      <c r="AB776" s="311">
        <v>0.46939999999999998</v>
      </c>
      <c r="AC776" s="311">
        <v>0.45219999999999999</v>
      </c>
      <c r="AD776" s="311">
        <v>0.4667</v>
      </c>
      <c r="AE776" s="311">
        <v>0.51839999999999997</v>
      </c>
      <c r="AF776" s="311">
        <v>0.40910000000000002</v>
      </c>
      <c r="AG776" s="311">
        <v>0.45579999999999998</v>
      </c>
      <c r="AH776" s="311">
        <v>0.48830000000000001</v>
      </c>
      <c r="AI776" s="311">
        <v>0.51339999999999997</v>
      </c>
      <c r="AJ776" s="311">
        <v>0.49370000000000003</v>
      </c>
      <c r="AK776" s="311">
        <v>0.49159999999999998</v>
      </c>
      <c r="AL776" s="311">
        <v>0.48380000000000001</v>
      </c>
      <c r="AM776" s="311">
        <v>0.52210000000000001</v>
      </c>
      <c r="AN776" s="311">
        <v>0.51090000000000002</v>
      </c>
      <c r="AO776" s="311">
        <v>0.49730000000000002</v>
      </c>
      <c r="AP776" s="311">
        <v>0.5212</v>
      </c>
      <c r="AQ776" s="311">
        <v>0.46050000000000002</v>
      </c>
      <c r="AR776" s="311">
        <v>0.50049999999999994</v>
      </c>
      <c r="AS776" s="311">
        <v>0.42199999999999999</v>
      </c>
      <c r="AT776" s="311">
        <v>0.51270000000000004</v>
      </c>
      <c r="AU776" s="311">
        <v>0.56110000000000004</v>
      </c>
      <c r="AV776" s="311">
        <v>0.53380000000000005</v>
      </c>
      <c r="AW776" s="311">
        <v>0.49990000000000001</v>
      </c>
      <c r="AX776" s="311">
        <v>0.45429999999999998</v>
      </c>
      <c r="AY776" s="311">
        <v>0.51929999999999998</v>
      </c>
      <c r="AZ776" s="311">
        <v>0.49840000000000001</v>
      </c>
      <c r="BA776" s="311">
        <v>0.43659999999999999</v>
      </c>
      <c r="BB776" s="311">
        <v>0.43149999999999999</v>
      </c>
      <c r="BC776" s="311">
        <v>0.54079999999999995</v>
      </c>
      <c r="BD776" s="311">
        <v>0.54730000000000001</v>
      </c>
      <c r="BE776" s="311">
        <v>0.55159999999999998</v>
      </c>
      <c r="BF776" s="311">
        <v>0.4975</v>
      </c>
      <c r="BG776" s="311">
        <v>0.56489999999999996</v>
      </c>
      <c r="BH776" s="311">
        <v>0.50770000000000004</v>
      </c>
      <c r="BI776" s="311">
        <v>0.55840000000000001</v>
      </c>
      <c r="BJ776" s="311">
        <v>0.54400000000000004</v>
      </c>
      <c r="BK776" s="311">
        <v>0.55579999999999996</v>
      </c>
    </row>
    <row r="777" spans="1:63" x14ac:dyDescent="0.25">
      <c r="A777" s="306">
        <v>561300</v>
      </c>
      <c r="B777" s="311" t="s">
        <v>321</v>
      </c>
      <c r="C777" s="311">
        <v>0.72030000000000005</v>
      </c>
      <c r="D777" s="311">
        <v>0.64700000000000002</v>
      </c>
      <c r="E777" s="311">
        <v>0.66210000000000002</v>
      </c>
      <c r="F777" s="311">
        <v>0.64649999999999996</v>
      </c>
      <c r="G777" s="311">
        <v>0.68540000000000001</v>
      </c>
      <c r="H777" s="311">
        <v>0.70340000000000003</v>
      </c>
      <c r="I777" s="311">
        <v>0.70230000000000004</v>
      </c>
      <c r="J777" s="311">
        <v>0.65</v>
      </c>
      <c r="K777" s="311">
        <v>0.2293</v>
      </c>
      <c r="L777" s="311">
        <v>0.5534</v>
      </c>
      <c r="M777" s="311">
        <v>0.69450000000000001</v>
      </c>
      <c r="N777" s="311">
        <v>0.69059999999999999</v>
      </c>
      <c r="O777" s="311">
        <v>0.68630000000000002</v>
      </c>
      <c r="P777" s="311">
        <v>0.62339999999999995</v>
      </c>
      <c r="Q777" s="311">
        <v>0.65639999999999998</v>
      </c>
      <c r="R777" s="311">
        <v>0.68759999999999999</v>
      </c>
      <c r="S777" s="311">
        <v>0.65769999999999995</v>
      </c>
      <c r="T777" s="311">
        <v>0.59209999999999996</v>
      </c>
      <c r="U777" s="311">
        <v>0.62849999999999995</v>
      </c>
      <c r="V777" s="311">
        <v>0.67110000000000003</v>
      </c>
      <c r="W777" s="311">
        <v>0.66110000000000002</v>
      </c>
      <c r="X777" s="311">
        <v>0.63549999999999995</v>
      </c>
      <c r="Y777" s="311">
        <v>0.66790000000000005</v>
      </c>
      <c r="Z777" s="311">
        <v>0.68830000000000002</v>
      </c>
      <c r="AA777" s="311">
        <v>0.6804</v>
      </c>
      <c r="AB777" s="311">
        <v>0.62280000000000002</v>
      </c>
      <c r="AC777" s="311">
        <v>0.63680000000000003</v>
      </c>
      <c r="AD777" s="311">
        <v>0.65380000000000005</v>
      </c>
      <c r="AE777" s="311">
        <v>0.67230000000000001</v>
      </c>
      <c r="AF777" s="311">
        <v>0.60309999999999997</v>
      </c>
      <c r="AG777" s="311">
        <v>0.63480000000000003</v>
      </c>
      <c r="AH777" s="311">
        <v>0.62929999999999997</v>
      </c>
      <c r="AI777" s="311">
        <v>0.64880000000000004</v>
      </c>
      <c r="AJ777" s="311">
        <v>0.66639999999999999</v>
      </c>
      <c r="AK777" s="311">
        <v>0.67490000000000006</v>
      </c>
      <c r="AL777" s="311">
        <v>0.6361</v>
      </c>
      <c r="AM777" s="311">
        <v>0.67230000000000001</v>
      </c>
      <c r="AN777" s="311">
        <v>0.67720000000000002</v>
      </c>
      <c r="AO777" s="311">
        <v>0.66320000000000001</v>
      </c>
      <c r="AP777" s="311">
        <v>0.66039999999999999</v>
      </c>
      <c r="AQ777" s="311">
        <v>0.62809999999999999</v>
      </c>
      <c r="AR777" s="311">
        <v>0.64710000000000001</v>
      </c>
      <c r="AS777" s="311">
        <v>0.62670000000000003</v>
      </c>
      <c r="AT777" s="311">
        <v>0.65769999999999995</v>
      </c>
      <c r="AU777" s="311">
        <v>0.69499999999999995</v>
      </c>
      <c r="AV777" s="311">
        <v>0.69</v>
      </c>
      <c r="AW777" s="311">
        <v>0.63449999999999995</v>
      </c>
      <c r="AX777" s="311">
        <v>0.63029999999999997</v>
      </c>
      <c r="AY777" s="311">
        <v>0.68320000000000003</v>
      </c>
      <c r="AZ777" s="311">
        <v>0.67510000000000003</v>
      </c>
      <c r="BA777" s="311">
        <v>0.60319999999999996</v>
      </c>
      <c r="BB777" s="311">
        <v>0.62560000000000004</v>
      </c>
      <c r="BC777" s="311">
        <v>0.6915</v>
      </c>
      <c r="BD777" s="311">
        <v>0.69650000000000001</v>
      </c>
      <c r="BE777" s="311">
        <v>0.69399999999999995</v>
      </c>
      <c r="BF777" s="311">
        <v>0.67020000000000002</v>
      </c>
      <c r="BG777" s="311">
        <v>0.70230000000000004</v>
      </c>
      <c r="BH777" s="311">
        <v>0.66510000000000002</v>
      </c>
      <c r="BI777" s="311">
        <v>0.69399999999999995</v>
      </c>
      <c r="BJ777" s="311">
        <v>0.6966</v>
      </c>
      <c r="BK777" s="311">
        <v>0.70420000000000005</v>
      </c>
    </row>
    <row r="778" spans="1:63" x14ac:dyDescent="0.25">
      <c r="A778" s="306">
        <v>561400</v>
      </c>
      <c r="B778" s="311" t="s">
        <v>325</v>
      </c>
      <c r="C778" s="311">
        <v>0.54730000000000001</v>
      </c>
      <c r="D778" s="311">
        <v>0.43840000000000001</v>
      </c>
      <c r="E778" s="311">
        <v>0.46410000000000001</v>
      </c>
      <c r="F778" s="311">
        <v>0.44159999999999999</v>
      </c>
      <c r="G778" s="311">
        <v>0.49249999999999999</v>
      </c>
      <c r="H778" s="311">
        <v>0.51780000000000004</v>
      </c>
      <c r="I778" s="311">
        <v>0.51439999999999997</v>
      </c>
      <c r="J778" s="311">
        <v>0.4652</v>
      </c>
      <c r="K778" s="311">
        <v>0.15529999999999999</v>
      </c>
      <c r="L778" s="311">
        <v>0.3871</v>
      </c>
      <c r="M778" s="311">
        <v>0.50600000000000001</v>
      </c>
      <c r="N778" s="311">
        <v>0.51229999999999998</v>
      </c>
      <c r="O778" s="311">
        <v>0.48080000000000001</v>
      </c>
      <c r="P778" s="311">
        <v>0.41880000000000001</v>
      </c>
      <c r="Q778" s="311">
        <v>0.443</v>
      </c>
      <c r="R778" s="311">
        <v>0.50939999999999996</v>
      </c>
      <c r="S778" s="311">
        <v>0.46350000000000002</v>
      </c>
      <c r="T778" s="311">
        <v>0.41270000000000001</v>
      </c>
      <c r="U778" s="311">
        <v>0.44209999999999999</v>
      </c>
      <c r="V778" s="311">
        <v>0.46949999999999997</v>
      </c>
      <c r="W778" s="311">
        <v>0.47949999999999998</v>
      </c>
      <c r="X778" s="311">
        <v>0.46550000000000002</v>
      </c>
      <c r="Y778" s="311">
        <v>0.46300000000000002</v>
      </c>
      <c r="Z778" s="311">
        <v>0.49249999999999999</v>
      </c>
      <c r="AA778" s="311">
        <v>0.4829</v>
      </c>
      <c r="AB778" s="311">
        <v>0.44719999999999999</v>
      </c>
      <c r="AC778" s="311">
        <v>0.43140000000000001</v>
      </c>
      <c r="AD778" s="311">
        <v>0.44359999999999999</v>
      </c>
      <c r="AE778" s="311">
        <v>0.47749999999999998</v>
      </c>
      <c r="AF778" s="311">
        <v>0.39140000000000003</v>
      </c>
      <c r="AG778" s="311">
        <v>0.42620000000000002</v>
      </c>
      <c r="AH778" s="311">
        <v>0.45179999999999998</v>
      </c>
      <c r="AI778" s="311">
        <v>0.48170000000000002</v>
      </c>
      <c r="AJ778" s="311">
        <v>0.46100000000000002</v>
      </c>
      <c r="AK778" s="311">
        <v>0.46839999999999998</v>
      </c>
      <c r="AL778" s="311">
        <v>0.45369999999999999</v>
      </c>
      <c r="AM778" s="311">
        <v>0.48749999999999999</v>
      </c>
      <c r="AN778" s="311">
        <v>0.4788</v>
      </c>
      <c r="AO778" s="311">
        <v>0.47049999999999997</v>
      </c>
      <c r="AP778" s="311">
        <v>0.48</v>
      </c>
      <c r="AQ778" s="311">
        <v>0.44090000000000001</v>
      </c>
      <c r="AR778" s="311">
        <v>0.46439999999999998</v>
      </c>
      <c r="AS778" s="311">
        <v>0.40589999999999998</v>
      </c>
      <c r="AT778" s="311">
        <v>0.47599999999999998</v>
      </c>
      <c r="AU778" s="311">
        <v>0.51280000000000003</v>
      </c>
      <c r="AV778" s="311">
        <v>0.50019999999999998</v>
      </c>
      <c r="AW778" s="311">
        <v>0.46179999999999999</v>
      </c>
      <c r="AX778" s="311">
        <v>0.43269999999999997</v>
      </c>
      <c r="AY778" s="311">
        <v>0.48730000000000001</v>
      </c>
      <c r="AZ778" s="311">
        <v>0.4698</v>
      </c>
      <c r="BA778" s="311">
        <v>0.41010000000000002</v>
      </c>
      <c r="BB778" s="311">
        <v>0.40939999999999999</v>
      </c>
      <c r="BC778" s="311">
        <v>0.50209999999999999</v>
      </c>
      <c r="BD778" s="311">
        <v>0.51329999999999998</v>
      </c>
      <c r="BE778" s="311">
        <v>0.5081</v>
      </c>
      <c r="BF778" s="311">
        <v>0.47260000000000002</v>
      </c>
      <c r="BG778" s="311">
        <v>0.52139999999999997</v>
      </c>
      <c r="BH778" s="311">
        <v>0.4758</v>
      </c>
      <c r="BI778" s="311">
        <v>0.50980000000000003</v>
      </c>
      <c r="BJ778" s="311">
        <v>0.50760000000000005</v>
      </c>
      <c r="BK778" s="311">
        <v>0.51839999999999997</v>
      </c>
    </row>
    <row r="779" spans="1:63" x14ac:dyDescent="0.25">
      <c r="A779" s="306">
        <v>561500</v>
      </c>
      <c r="B779" s="311" t="s">
        <v>322</v>
      </c>
      <c r="C779" s="311">
        <v>0.55589999999999995</v>
      </c>
      <c r="D779" s="311">
        <v>0.43469999999999998</v>
      </c>
      <c r="E779" s="311">
        <v>0.45529999999999998</v>
      </c>
      <c r="F779" s="311">
        <v>0.42930000000000001</v>
      </c>
      <c r="G779" s="311">
        <v>0.48209999999999997</v>
      </c>
      <c r="H779" s="311">
        <v>0.52300000000000002</v>
      </c>
      <c r="I779" s="311">
        <v>0.51959999999999995</v>
      </c>
      <c r="J779" s="311">
        <v>0.4647</v>
      </c>
      <c r="K779" s="311">
        <v>0.15440000000000001</v>
      </c>
      <c r="L779" s="311">
        <v>0.37690000000000001</v>
      </c>
      <c r="M779" s="311">
        <v>0.49840000000000001</v>
      </c>
      <c r="N779" s="311">
        <v>0.51229999999999998</v>
      </c>
      <c r="O779" s="311">
        <v>0.47110000000000002</v>
      </c>
      <c r="P779" s="311">
        <v>0.41660000000000003</v>
      </c>
      <c r="Q779" s="311">
        <v>0.43409999999999999</v>
      </c>
      <c r="R779" s="311">
        <v>0.5131</v>
      </c>
      <c r="S779" s="311">
        <v>0.45639999999999997</v>
      </c>
      <c r="T779" s="311">
        <v>0.40300000000000002</v>
      </c>
      <c r="U779" s="311">
        <v>0.43259999999999998</v>
      </c>
      <c r="V779" s="311">
        <v>0.45479999999999998</v>
      </c>
      <c r="W779" s="311">
        <v>0.48180000000000001</v>
      </c>
      <c r="X779" s="311">
        <v>0.46200000000000002</v>
      </c>
      <c r="Y779" s="311">
        <v>0.46389999999999998</v>
      </c>
      <c r="Z779" s="311">
        <v>0.4894</v>
      </c>
      <c r="AA779" s="311">
        <v>0.49</v>
      </c>
      <c r="AB779" s="311">
        <v>0.44979999999999998</v>
      </c>
      <c r="AC779" s="311">
        <v>0.41810000000000003</v>
      </c>
      <c r="AD779" s="311">
        <v>0.4385</v>
      </c>
      <c r="AE779" s="311">
        <v>0.47099999999999997</v>
      </c>
      <c r="AF779" s="311">
        <v>0.39150000000000001</v>
      </c>
      <c r="AG779" s="311">
        <v>0.4274</v>
      </c>
      <c r="AH779" s="311">
        <v>0.43990000000000001</v>
      </c>
      <c r="AI779" s="311">
        <v>0.48</v>
      </c>
      <c r="AJ779" s="311">
        <v>0.44309999999999999</v>
      </c>
      <c r="AK779" s="311">
        <v>0.4652</v>
      </c>
      <c r="AL779" s="311">
        <v>0.45850000000000002</v>
      </c>
      <c r="AM779" s="311">
        <v>0.47899999999999998</v>
      </c>
      <c r="AN779" s="311">
        <v>0.46650000000000003</v>
      </c>
      <c r="AO779" s="311">
        <v>0.46889999999999998</v>
      </c>
      <c r="AP779" s="311">
        <v>0.4829</v>
      </c>
      <c r="AQ779" s="311">
        <v>0.43940000000000001</v>
      </c>
      <c r="AR779" s="311">
        <v>0.4476</v>
      </c>
      <c r="AS779" s="311">
        <v>0.40670000000000001</v>
      </c>
      <c r="AT779" s="311">
        <v>0.4713</v>
      </c>
      <c r="AU779" s="311">
        <v>0.50819999999999999</v>
      </c>
      <c r="AV779" s="311">
        <v>0.50590000000000002</v>
      </c>
      <c r="AW779" s="311">
        <v>0.4577</v>
      </c>
      <c r="AX779" s="311">
        <v>0.43859999999999999</v>
      </c>
      <c r="AY779" s="311">
        <v>0.4819</v>
      </c>
      <c r="AZ779" s="311">
        <v>0.46970000000000001</v>
      </c>
      <c r="BA779" s="311">
        <v>0.40400000000000003</v>
      </c>
      <c r="BB779" s="311">
        <v>0.40389999999999998</v>
      </c>
      <c r="BC779" s="311">
        <v>0.50570000000000004</v>
      </c>
      <c r="BD779" s="311">
        <v>0.52280000000000004</v>
      </c>
      <c r="BE779" s="311">
        <v>0.50800000000000001</v>
      </c>
      <c r="BF779" s="311">
        <v>0.47460000000000002</v>
      </c>
      <c r="BG779" s="311">
        <v>0.52100000000000002</v>
      </c>
      <c r="BH779" s="311">
        <v>0.4703</v>
      </c>
      <c r="BI779" s="311">
        <v>0.50209999999999999</v>
      </c>
      <c r="BJ779" s="311">
        <v>0.50390000000000001</v>
      </c>
      <c r="BK779" s="311">
        <v>0.52290000000000003</v>
      </c>
    </row>
    <row r="780" spans="1:63" x14ac:dyDescent="0.25">
      <c r="A780" s="306">
        <v>561600</v>
      </c>
      <c r="B780" s="311" t="s">
        <v>326</v>
      </c>
      <c r="C780" s="311">
        <v>0.68030000000000002</v>
      </c>
      <c r="D780" s="311">
        <v>0.57669999999999999</v>
      </c>
      <c r="E780" s="311">
        <v>0.60360000000000003</v>
      </c>
      <c r="F780" s="311">
        <v>0.57830000000000004</v>
      </c>
      <c r="G780" s="311">
        <v>0.62580000000000002</v>
      </c>
      <c r="H780" s="311">
        <v>0.65269999999999995</v>
      </c>
      <c r="I780" s="311">
        <v>0.65149999999999997</v>
      </c>
      <c r="J780" s="311">
        <v>0.59719999999999995</v>
      </c>
      <c r="K780" s="311">
        <v>0.2031</v>
      </c>
      <c r="L780" s="311">
        <v>0.49859999999999999</v>
      </c>
      <c r="M780" s="311">
        <v>0.63680000000000003</v>
      </c>
      <c r="N780" s="311">
        <v>0.63900000000000001</v>
      </c>
      <c r="O780" s="311">
        <v>0.61609999999999998</v>
      </c>
      <c r="P780" s="311">
        <v>0.55889999999999995</v>
      </c>
      <c r="Q780" s="311">
        <v>0.58399999999999996</v>
      </c>
      <c r="R780" s="311">
        <v>0.64090000000000003</v>
      </c>
      <c r="S780" s="311">
        <v>0.6008</v>
      </c>
      <c r="T780" s="311">
        <v>0.53359999999999996</v>
      </c>
      <c r="U780" s="311">
        <v>0.57350000000000001</v>
      </c>
      <c r="V780" s="311">
        <v>0.60160000000000002</v>
      </c>
      <c r="W780" s="311">
        <v>0.61080000000000001</v>
      </c>
      <c r="X780" s="311">
        <v>0.58709999999999996</v>
      </c>
      <c r="Y780" s="311">
        <v>0.60489999999999999</v>
      </c>
      <c r="Z780" s="311">
        <v>0.63029999999999997</v>
      </c>
      <c r="AA780" s="311">
        <v>0.62560000000000004</v>
      </c>
      <c r="AB780" s="311">
        <v>0.57410000000000005</v>
      </c>
      <c r="AC780" s="311">
        <v>0.56850000000000001</v>
      </c>
      <c r="AD780" s="311">
        <v>0.58299999999999996</v>
      </c>
      <c r="AE780" s="311">
        <v>0.61480000000000001</v>
      </c>
      <c r="AF780" s="311">
        <v>0.53449999999999998</v>
      </c>
      <c r="AG780" s="311">
        <v>0.57250000000000001</v>
      </c>
      <c r="AH780" s="311">
        <v>0.5766</v>
      </c>
      <c r="AI780" s="311">
        <v>0.60270000000000001</v>
      </c>
      <c r="AJ780" s="311">
        <v>0.59619999999999995</v>
      </c>
      <c r="AK780" s="311">
        <v>0.60429999999999995</v>
      </c>
      <c r="AL780" s="311">
        <v>0.58089999999999997</v>
      </c>
      <c r="AM780" s="311">
        <v>0.61939999999999995</v>
      </c>
      <c r="AN780" s="311">
        <v>0.61160000000000003</v>
      </c>
      <c r="AO780" s="311">
        <v>0.60729999999999995</v>
      </c>
      <c r="AP780" s="311">
        <v>0.61350000000000005</v>
      </c>
      <c r="AQ780" s="311">
        <v>0.56979999999999997</v>
      </c>
      <c r="AR780" s="311">
        <v>0.59160000000000001</v>
      </c>
      <c r="AS780" s="311">
        <v>0.5544</v>
      </c>
      <c r="AT780" s="311">
        <v>0.60119999999999996</v>
      </c>
      <c r="AU780" s="311">
        <v>0.64690000000000003</v>
      </c>
      <c r="AV780" s="311">
        <v>0.63449999999999995</v>
      </c>
      <c r="AW780" s="311">
        <v>0.58240000000000003</v>
      </c>
      <c r="AX780" s="311">
        <v>0.57330000000000003</v>
      </c>
      <c r="AY780" s="311">
        <v>0.624</v>
      </c>
      <c r="AZ780" s="311">
        <v>0.61370000000000002</v>
      </c>
      <c r="BA780" s="311">
        <v>0.54010000000000002</v>
      </c>
      <c r="BB780" s="311">
        <v>0.5524</v>
      </c>
      <c r="BC780" s="311">
        <v>0.64029999999999998</v>
      </c>
      <c r="BD780" s="311">
        <v>0.64749999999999996</v>
      </c>
      <c r="BE780" s="311">
        <v>0.64359999999999995</v>
      </c>
      <c r="BF780" s="311">
        <v>0.61429999999999996</v>
      </c>
      <c r="BG780" s="311">
        <v>0.65229999999999999</v>
      </c>
      <c r="BH780" s="311">
        <v>0.60940000000000005</v>
      </c>
      <c r="BI780" s="311">
        <v>0.6431</v>
      </c>
      <c r="BJ780" s="311">
        <v>0.64039999999999997</v>
      </c>
      <c r="BK780" s="311">
        <v>0.65339999999999998</v>
      </c>
    </row>
    <row r="781" spans="1:63" x14ac:dyDescent="0.25">
      <c r="A781" s="306">
        <v>561700</v>
      </c>
      <c r="B781" s="311" t="s">
        <v>327</v>
      </c>
      <c r="C781" s="311">
        <v>0.57220000000000004</v>
      </c>
      <c r="D781" s="311">
        <v>0.45469999999999999</v>
      </c>
      <c r="E781" s="311">
        <v>0.47139999999999999</v>
      </c>
      <c r="F781" s="311">
        <v>0.44750000000000001</v>
      </c>
      <c r="G781" s="311">
        <v>0.48859999999999998</v>
      </c>
      <c r="H781" s="311">
        <v>0.53349999999999997</v>
      </c>
      <c r="I781" s="311">
        <v>0.52510000000000001</v>
      </c>
      <c r="J781" s="311">
        <v>0.46260000000000001</v>
      </c>
      <c r="K781" s="311">
        <v>0.15160000000000001</v>
      </c>
      <c r="L781" s="311">
        <v>0.39850000000000002</v>
      </c>
      <c r="M781" s="311">
        <v>0.501</v>
      </c>
      <c r="N781" s="311">
        <v>0.50629999999999997</v>
      </c>
      <c r="O781" s="311">
        <v>0.48899999999999999</v>
      </c>
      <c r="P781" s="311">
        <v>0.4219</v>
      </c>
      <c r="Q781" s="311">
        <v>0.44240000000000002</v>
      </c>
      <c r="R781" s="311">
        <v>0.51690000000000003</v>
      </c>
      <c r="S781" s="311">
        <v>0.47520000000000001</v>
      </c>
      <c r="T781" s="311">
        <v>0.43030000000000002</v>
      </c>
      <c r="U781" s="311">
        <v>0.45169999999999999</v>
      </c>
      <c r="V781" s="311">
        <v>0.49020000000000002</v>
      </c>
      <c r="W781" s="311">
        <v>0.4753</v>
      </c>
      <c r="X781" s="311">
        <v>0.45950000000000002</v>
      </c>
      <c r="Y781" s="311">
        <v>0.46360000000000001</v>
      </c>
      <c r="Z781" s="311">
        <v>0.49209999999999998</v>
      </c>
      <c r="AA781" s="311">
        <v>0.48949999999999999</v>
      </c>
      <c r="AB781" s="311">
        <v>0.44540000000000002</v>
      </c>
      <c r="AC781" s="311">
        <v>0.44800000000000001</v>
      </c>
      <c r="AD781" s="311">
        <v>0.45860000000000001</v>
      </c>
      <c r="AE781" s="311">
        <v>0.4743</v>
      </c>
      <c r="AF781" s="311">
        <v>0.41039999999999999</v>
      </c>
      <c r="AG781" s="311">
        <v>0.42609999999999998</v>
      </c>
      <c r="AH781" s="311">
        <v>0.44900000000000001</v>
      </c>
      <c r="AI781" s="311">
        <v>0.48770000000000002</v>
      </c>
      <c r="AJ781" s="311">
        <v>0.47799999999999998</v>
      </c>
      <c r="AK781" s="311">
        <v>0.46379999999999999</v>
      </c>
      <c r="AL781" s="311">
        <v>0.44850000000000001</v>
      </c>
      <c r="AM781" s="311">
        <v>0.4945</v>
      </c>
      <c r="AN781" s="311">
        <v>0.50049999999999994</v>
      </c>
      <c r="AO781" s="311">
        <v>0.46439999999999998</v>
      </c>
      <c r="AP781" s="311">
        <v>0.49020000000000002</v>
      </c>
      <c r="AQ781" s="311">
        <v>0.43830000000000002</v>
      </c>
      <c r="AR781" s="311">
        <v>0.4667</v>
      </c>
      <c r="AS781" s="311">
        <v>0.40939999999999999</v>
      </c>
      <c r="AT781" s="311">
        <v>0.47599999999999998</v>
      </c>
      <c r="AU781" s="311">
        <v>0.53610000000000002</v>
      </c>
      <c r="AV781" s="311">
        <v>0.51459999999999995</v>
      </c>
      <c r="AW781" s="311">
        <v>0.45700000000000002</v>
      </c>
      <c r="AX781" s="311">
        <v>0.43509999999999999</v>
      </c>
      <c r="AY781" s="311">
        <v>0.49630000000000002</v>
      </c>
      <c r="AZ781" s="311">
        <v>0.47160000000000002</v>
      </c>
      <c r="BA781" s="311">
        <v>0.42270000000000002</v>
      </c>
      <c r="BB781" s="311">
        <v>0.43159999999999998</v>
      </c>
      <c r="BC781" s="311">
        <v>0.49859999999999999</v>
      </c>
      <c r="BD781" s="311">
        <v>0.51329999999999998</v>
      </c>
      <c r="BE781" s="311">
        <v>0.51590000000000003</v>
      </c>
      <c r="BF781" s="311">
        <v>0.47899999999999998</v>
      </c>
      <c r="BG781" s="311">
        <v>0.51719999999999999</v>
      </c>
      <c r="BH781" s="311">
        <v>0.48699999999999999</v>
      </c>
      <c r="BI781" s="311">
        <v>0.53349999999999997</v>
      </c>
      <c r="BJ781" s="311">
        <v>0.51900000000000002</v>
      </c>
      <c r="BK781" s="311">
        <v>0.53390000000000004</v>
      </c>
    </row>
    <row r="782" spans="1:63" x14ac:dyDescent="0.25">
      <c r="A782" s="306">
        <v>561900</v>
      </c>
      <c r="B782" s="311" t="s">
        <v>328</v>
      </c>
      <c r="C782" s="311">
        <v>0.46039999999999998</v>
      </c>
      <c r="D782" s="311">
        <v>0.34689999999999999</v>
      </c>
      <c r="E782" s="311">
        <v>0.37759999999999999</v>
      </c>
      <c r="F782" s="311">
        <v>0.35320000000000001</v>
      </c>
      <c r="G782" s="311">
        <v>0.39839999999999998</v>
      </c>
      <c r="H782" s="311">
        <v>0.4259</v>
      </c>
      <c r="I782" s="311">
        <v>0.42180000000000001</v>
      </c>
      <c r="J782" s="311">
        <v>0.38059999999999999</v>
      </c>
      <c r="K782" s="311">
        <v>0.123</v>
      </c>
      <c r="L782" s="311">
        <v>0.31059999999999999</v>
      </c>
      <c r="M782" s="311">
        <v>0.40920000000000001</v>
      </c>
      <c r="N782" s="311">
        <v>0.42409999999999998</v>
      </c>
      <c r="O782" s="311">
        <v>0.38369999999999999</v>
      </c>
      <c r="P782" s="311">
        <v>0.33800000000000002</v>
      </c>
      <c r="Q782" s="311">
        <v>0.35299999999999998</v>
      </c>
      <c r="R782" s="311">
        <v>0.42470000000000002</v>
      </c>
      <c r="S782" s="311">
        <v>0.38179999999999997</v>
      </c>
      <c r="T782" s="311">
        <v>0.33229999999999998</v>
      </c>
      <c r="U782" s="311">
        <v>0.36009999999999998</v>
      </c>
      <c r="V782" s="311">
        <v>0.37309999999999999</v>
      </c>
      <c r="W782" s="311">
        <v>0.39500000000000002</v>
      </c>
      <c r="X782" s="311">
        <v>0.38040000000000002</v>
      </c>
      <c r="Y782" s="311">
        <v>0.37640000000000001</v>
      </c>
      <c r="Z782" s="311">
        <v>0.40620000000000001</v>
      </c>
      <c r="AA782" s="311">
        <v>0.3992</v>
      </c>
      <c r="AB782" s="311">
        <v>0.36930000000000002</v>
      </c>
      <c r="AC782" s="311">
        <v>0.34420000000000001</v>
      </c>
      <c r="AD782" s="311">
        <v>0.35370000000000001</v>
      </c>
      <c r="AE782" s="311">
        <v>0.39119999999999999</v>
      </c>
      <c r="AF782" s="311">
        <v>0.31190000000000001</v>
      </c>
      <c r="AG782" s="311">
        <v>0.34410000000000002</v>
      </c>
      <c r="AH782" s="311">
        <v>0.36809999999999998</v>
      </c>
      <c r="AI782" s="311">
        <v>0.3967</v>
      </c>
      <c r="AJ782" s="311">
        <v>0.36249999999999999</v>
      </c>
      <c r="AK782" s="311">
        <v>0.37769999999999998</v>
      </c>
      <c r="AL782" s="311">
        <v>0.37030000000000002</v>
      </c>
      <c r="AM782" s="311">
        <v>0.40100000000000002</v>
      </c>
      <c r="AN782" s="311">
        <v>0.3841</v>
      </c>
      <c r="AO782" s="311">
        <v>0.3836</v>
      </c>
      <c r="AP782" s="311">
        <v>0.3992</v>
      </c>
      <c r="AQ782" s="311">
        <v>0.3614</v>
      </c>
      <c r="AR782" s="311">
        <v>0.37640000000000001</v>
      </c>
      <c r="AS782" s="311">
        <v>0.32500000000000001</v>
      </c>
      <c r="AT782" s="311">
        <v>0.39290000000000003</v>
      </c>
      <c r="AU782" s="311">
        <v>0.4204</v>
      </c>
      <c r="AV782" s="311">
        <v>0.41349999999999998</v>
      </c>
      <c r="AW782" s="311">
        <v>0.3745</v>
      </c>
      <c r="AX782" s="311">
        <v>0.3528</v>
      </c>
      <c r="AY782" s="311">
        <v>0.3947</v>
      </c>
      <c r="AZ782" s="311">
        <v>0.38640000000000002</v>
      </c>
      <c r="BA782" s="311">
        <v>0.32879999999999998</v>
      </c>
      <c r="BB782" s="311">
        <v>0.32179999999999997</v>
      </c>
      <c r="BC782" s="311">
        <v>0.41499999999999998</v>
      </c>
      <c r="BD782" s="311">
        <v>0.42680000000000001</v>
      </c>
      <c r="BE782" s="311">
        <v>0.42299999999999999</v>
      </c>
      <c r="BF782" s="311">
        <v>0.38779999999999998</v>
      </c>
      <c r="BG782" s="311">
        <v>0.4304</v>
      </c>
      <c r="BH782" s="311">
        <v>0.39319999999999999</v>
      </c>
      <c r="BI782" s="311">
        <v>0.41620000000000001</v>
      </c>
      <c r="BJ782" s="311">
        <v>0.4133</v>
      </c>
      <c r="BK782" s="311">
        <v>0.42609999999999998</v>
      </c>
    </row>
    <row r="783" spans="1:63" x14ac:dyDescent="0.25">
      <c r="A783" s="306">
        <v>562000</v>
      </c>
      <c r="B783" s="311" t="s">
        <v>329</v>
      </c>
      <c r="C783" s="311">
        <v>0.44269999999999998</v>
      </c>
      <c r="D783" s="311">
        <v>0.31630000000000003</v>
      </c>
      <c r="E783" s="311">
        <v>0.36799999999999999</v>
      </c>
      <c r="F783" s="311">
        <v>0.34420000000000001</v>
      </c>
      <c r="G783" s="311">
        <v>0.3795</v>
      </c>
      <c r="H783" s="311">
        <v>0.39939999999999998</v>
      </c>
      <c r="I783" s="311">
        <v>0.40260000000000001</v>
      </c>
      <c r="J783" s="311">
        <v>0.3901</v>
      </c>
      <c r="K783" s="311">
        <v>0.1215</v>
      </c>
      <c r="L783" s="311">
        <v>0.32790000000000002</v>
      </c>
      <c r="M783" s="311">
        <v>0.37980000000000003</v>
      </c>
      <c r="N783" s="311">
        <v>0.38779999999999998</v>
      </c>
      <c r="O783" s="311">
        <v>0.3639</v>
      </c>
      <c r="P783" s="311">
        <v>0.32740000000000002</v>
      </c>
      <c r="Q783" s="311">
        <v>0.33879999999999999</v>
      </c>
      <c r="R783" s="311">
        <v>0.40679999999999999</v>
      </c>
      <c r="S783" s="311">
        <v>0.37940000000000002</v>
      </c>
      <c r="T783" s="311">
        <v>0.3427</v>
      </c>
      <c r="U783" s="311">
        <v>0.35920000000000002</v>
      </c>
      <c r="V783" s="311">
        <v>0.36559999999999998</v>
      </c>
      <c r="W783" s="311">
        <v>0.37859999999999999</v>
      </c>
      <c r="X783" s="311">
        <v>0.38590000000000002</v>
      </c>
      <c r="Y783" s="311">
        <v>0.3715</v>
      </c>
      <c r="Z783" s="311">
        <v>0.38729999999999998</v>
      </c>
      <c r="AA783" s="311">
        <v>0.36880000000000002</v>
      </c>
      <c r="AB783" s="311">
        <v>0.36320000000000002</v>
      </c>
      <c r="AC783" s="311">
        <v>0.34920000000000001</v>
      </c>
      <c r="AD783" s="311">
        <v>0.32129999999999997</v>
      </c>
      <c r="AE783" s="311">
        <v>0.36180000000000001</v>
      </c>
      <c r="AF783" s="311">
        <v>0.2918</v>
      </c>
      <c r="AG783" s="311">
        <v>0.32629999999999998</v>
      </c>
      <c r="AH783" s="311">
        <v>0.38519999999999999</v>
      </c>
      <c r="AI783" s="311">
        <v>0.4118</v>
      </c>
      <c r="AJ783" s="311">
        <v>0.35</v>
      </c>
      <c r="AK783" s="311">
        <v>0.36230000000000001</v>
      </c>
      <c r="AL783" s="311">
        <v>0.3518</v>
      </c>
      <c r="AM783" s="311">
        <v>0.39660000000000001</v>
      </c>
      <c r="AN783" s="311">
        <v>0.36880000000000002</v>
      </c>
      <c r="AO783" s="311">
        <v>0.36870000000000003</v>
      </c>
      <c r="AP783" s="311">
        <v>0.39900000000000002</v>
      </c>
      <c r="AQ783" s="311">
        <v>0.373</v>
      </c>
      <c r="AR783" s="311">
        <v>0.38490000000000002</v>
      </c>
      <c r="AS783" s="311">
        <v>0.30159999999999998</v>
      </c>
      <c r="AT783" s="311">
        <v>0.38740000000000002</v>
      </c>
      <c r="AU783" s="311">
        <v>0.40229999999999999</v>
      </c>
      <c r="AV783" s="311">
        <v>0.39589999999999997</v>
      </c>
      <c r="AW783" s="311">
        <v>0.38679999999999998</v>
      </c>
      <c r="AX783" s="311">
        <v>0.34300000000000003</v>
      </c>
      <c r="AY783" s="311">
        <v>0.37859999999999999</v>
      </c>
      <c r="AZ783" s="311">
        <v>0.3725</v>
      </c>
      <c r="BA783" s="311">
        <v>0.34320000000000001</v>
      </c>
      <c r="BB783" s="311">
        <v>0.30990000000000001</v>
      </c>
      <c r="BC783" s="311">
        <v>0.3982</v>
      </c>
      <c r="BD783" s="311">
        <v>0.40539999999999998</v>
      </c>
      <c r="BE783" s="311">
        <v>0.40789999999999998</v>
      </c>
      <c r="BF783" s="311">
        <v>0.36549999999999999</v>
      </c>
      <c r="BG783" s="311">
        <v>0.4017</v>
      </c>
      <c r="BH783" s="311">
        <v>0.3861</v>
      </c>
      <c r="BI783" s="311">
        <v>0.40039999999999998</v>
      </c>
      <c r="BJ783" s="311">
        <v>0.39240000000000003</v>
      </c>
      <c r="BK783" s="311">
        <v>0.40239999999999998</v>
      </c>
    </row>
    <row r="784" spans="1:63" x14ac:dyDescent="0.25">
      <c r="A784" s="306">
        <v>611100</v>
      </c>
      <c r="B784" s="311" t="s">
        <v>772</v>
      </c>
      <c r="C784" s="311">
        <v>0.62</v>
      </c>
      <c r="D784" s="311">
        <v>0.52500000000000002</v>
      </c>
      <c r="E784" s="311">
        <v>0.54179999999999995</v>
      </c>
      <c r="F784" s="311">
        <v>0.51929999999999998</v>
      </c>
      <c r="G784" s="311">
        <v>0.56210000000000004</v>
      </c>
      <c r="H784" s="311">
        <v>0.59060000000000001</v>
      </c>
      <c r="I784" s="311">
        <v>0.58589999999999998</v>
      </c>
      <c r="J784" s="311">
        <v>0.5383</v>
      </c>
      <c r="K784" s="311">
        <v>0.17330000000000001</v>
      </c>
      <c r="L784" s="311">
        <v>0.4592</v>
      </c>
      <c r="M784" s="311">
        <v>0.57240000000000002</v>
      </c>
      <c r="N784" s="311">
        <v>0.57020000000000004</v>
      </c>
      <c r="O784" s="311">
        <v>0.55110000000000003</v>
      </c>
      <c r="P784" s="311">
        <v>0.50480000000000003</v>
      </c>
      <c r="Q784" s="311">
        <v>0.51919999999999999</v>
      </c>
      <c r="R784" s="311">
        <v>0.57840000000000003</v>
      </c>
      <c r="S784" s="311">
        <v>0.53839999999999999</v>
      </c>
      <c r="T784" s="311">
        <v>0.50519999999999998</v>
      </c>
      <c r="U784" s="311">
        <v>0.51249999999999996</v>
      </c>
      <c r="V784" s="311">
        <v>0.53580000000000005</v>
      </c>
      <c r="W784" s="311">
        <v>0.5554</v>
      </c>
      <c r="X784" s="311">
        <v>0.53469999999999995</v>
      </c>
      <c r="Y784" s="311">
        <v>0.53439999999999999</v>
      </c>
      <c r="Z784" s="311">
        <v>0.55330000000000001</v>
      </c>
      <c r="AA784" s="311">
        <v>0.5595</v>
      </c>
      <c r="AB784" s="311">
        <v>0.5373</v>
      </c>
      <c r="AC784" s="311">
        <v>0.52</v>
      </c>
      <c r="AD784" s="311">
        <v>0.52329999999999999</v>
      </c>
      <c r="AE784" s="311">
        <v>0.54969999999999997</v>
      </c>
      <c r="AF784" s="311">
        <v>0.48470000000000002</v>
      </c>
      <c r="AG784" s="311">
        <v>0.50590000000000002</v>
      </c>
      <c r="AH784" s="311">
        <v>0.49569999999999997</v>
      </c>
      <c r="AI784" s="311">
        <v>0.54200000000000004</v>
      </c>
      <c r="AJ784" s="311">
        <v>0.52259999999999995</v>
      </c>
      <c r="AK784" s="311">
        <v>0.54410000000000003</v>
      </c>
      <c r="AL784" s="311">
        <v>0.53939999999999999</v>
      </c>
      <c r="AM784" s="311">
        <v>0.55720000000000003</v>
      </c>
      <c r="AN784" s="311">
        <v>0.54459999999999997</v>
      </c>
      <c r="AO784" s="311">
        <v>0.54810000000000003</v>
      </c>
      <c r="AP784" s="311">
        <v>0.55820000000000003</v>
      </c>
      <c r="AQ784" s="311">
        <v>0.48899999999999999</v>
      </c>
      <c r="AR784" s="311">
        <v>0.54790000000000005</v>
      </c>
      <c r="AS784" s="311">
        <v>0.49359999999999998</v>
      </c>
      <c r="AT784" s="311">
        <v>0.55610000000000004</v>
      </c>
      <c r="AU784" s="311">
        <v>0.5857</v>
      </c>
      <c r="AV784" s="311">
        <v>0.57889999999999997</v>
      </c>
      <c r="AW784" s="311">
        <v>0.53520000000000001</v>
      </c>
      <c r="AX784" s="311">
        <v>0.51680000000000004</v>
      </c>
      <c r="AY784" s="311">
        <v>0.56169999999999998</v>
      </c>
      <c r="AZ784" s="311">
        <v>0.54490000000000005</v>
      </c>
      <c r="BA784" s="311">
        <v>0.4899</v>
      </c>
      <c r="BB784" s="311">
        <v>0.5121</v>
      </c>
      <c r="BC784" s="311">
        <v>0.57430000000000003</v>
      </c>
      <c r="BD784" s="311">
        <v>0.58620000000000005</v>
      </c>
      <c r="BE784" s="311">
        <v>0.57430000000000003</v>
      </c>
      <c r="BF784" s="311">
        <v>0.54759999999999998</v>
      </c>
      <c r="BG784" s="311">
        <v>0.5806</v>
      </c>
      <c r="BH784" s="311">
        <v>0.55479999999999996</v>
      </c>
      <c r="BI784" s="311">
        <v>0.58530000000000004</v>
      </c>
      <c r="BJ784" s="311">
        <v>0.57930000000000004</v>
      </c>
      <c r="BK784" s="311">
        <v>0.59240000000000004</v>
      </c>
    </row>
    <row r="785" spans="1:63" x14ac:dyDescent="0.25">
      <c r="A785" s="306" t="s">
        <v>773</v>
      </c>
      <c r="B785" s="311" t="s">
        <v>774</v>
      </c>
      <c r="C785" s="311">
        <v>0.63490000000000002</v>
      </c>
      <c r="D785" s="311">
        <v>0.53400000000000003</v>
      </c>
      <c r="E785" s="311">
        <v>0.55059999999999998</v>
      </c>
      <c r="F785" s="311">
        <v>0.52939999999999998</v>
      </c>
      <c r="G785" s="311">
        <v>0.56100000000000005</v>
      </c>
      <c r="H785" s="311">
        <v>0.59419999999999995</v>
      </c>
      <c r="I785" s="311">
        <v>0.59809999999999997</v>
      </c>
      <c r="J785" s="311">
        <v>0.53879999999999995</v>
      </c>
      <c r="K785" s="311">
        <v>0.1701</v>
      </c>
      <c r="L785" s="311">
        <v>0.46029999999999999</v>
      </c>
      <c r="M785" s="311">
        <v>0.56240000000000001</v>
      </c>
      <c r="N785" s="311">
        <v>0.56810000000000005</v>
      </c>
      <c r="O785" s="311">
        <v>0.56069999999999998</v>
      </c>
      <c r="P785" s="311">
        <v>0.50839999999999996</v>
      </c>
      <c r="Q785" s="311">
        <v>0.5272</v>
      </c>
      <c r="R785" s="311">
        <v>0.58169999999999999</v>
      </c>
      <c r="S785" s="311">
        <v>0.5423</v>
      </c>
      <c r="T785" s="311">
        <v>0.51290000000000002</v>
      </c>
      <c r="U785" s="311">
        <v>0.52149999999999996</v>
      </c>
      <c r="V785" s="311">
        <v>0.54120000000000001</v>
      </c>
      <c r="W785" s="311">
        <v>0.55700000000000005</v>
      </c>
      <c r="X785" s="311">
        <v>0.53310000000000002</v>
      </c>
      <c r="Y785" s="311">
        <v>0.53869999999999996</v>
      </c>
      <c r="Z785" s="311">
        <v>0.56289999999999996</v>
      </c>
      <c r="AA785" s="311">
        <v>0.56230000000000002</v>
      </c>
      <c r="AB785" s="311">
        <v>0.55100000000000005</v>
      </c>
      <c r="AC785" s="311">
        <v>0.52080000000000004</v>
      </c>
      <c r="AD785" s="311">
        <v>0.53380000000000005</v>
      </c>
      <c r="AE785" s="311">
        <v>0.55289999999999995</v>
      </c>
      <c r="AF785" s="311">
        <v>0.49490000000000001</v>
      </c>
      <c r="AG785" s="311">
        <v>0.51580000000000004</v>
      </c>
      <c r="AH785" s="311">
        <v>0.4929</v>
      </c>
      <c r="AI785" s="311">
        <v>0.5474</v>
      </c>
      <c r="AJ785" s="311">
        <v>0.53580000000000005</v>
      </c>
      <c r="AK785" s="311">
        <v>0.54039999999999999</v>
      </c>
      <c r="AL785" s="311">
        <v>0.53800000000000003</v>
      </c>
      <c r="AM785" s="311">
        <v>0.56820000000000004</v>
      </c>
      <c r="AN785" s="311">
        <v>0.55369999999999997</v>
      </c>
      <c r="AO785" s="311">
        <v>0.55120000000000002</v>
      </c>
      <c r="AP785" s="311">
        <v>0.57240000000000002</v>
      </c>
      <c r="AQ785" s="311">
        <v>0.48020000000000002</v>
      </c>
      <c r="AR785" s="311">
        <v>0.54530000000000001</v>
      </c>
      <c r="AS785" s="311">
        <v>0.49990000000000001</v>
      </c>
      <c r="AT785" s="311">
        <v>0.55710000000000004</v>
      </c>
      <c r="AU785" s="311">
        <v>0.59360000000000002</v>
      </c>
      <c r="AV785" s="311">
        <v>0.58950000000000002</v>
      </c>
      <c r="AW785" s="311">
        <v>0.54479999999999995</v>
      </c>
      <c r="AX785" s="311">
        <v>0.51690000000000003</v>
      </c>
      <c r="AY785" s="311">
        <v>0.57130000000000003</v>
      </c>
      <c r="AZ785" s="311">
        <v>0.54830000000000001</v>
      </c>
      <c r="BA785" s="311">
        <v>0.50060000000000004</v>
      </c>
      <c r="BB785" s="311">
        <v>0.51400000000000001</v>
      </c>
      <c r="BC785" s="311">
        <v>0.5776</v>
      </c>
      <c r="BD785" s="311">
        <v>0.59150000000000003</v>
      </c>
      <c r="BE785" s="311">
        <v>0.58220000000000005</v>
      </c>
      <c r="BF785" s="311">
        <v>0.55989999999999995</v>
      </c>
      <c r="BG785" s="311">
        <v>0.58750000000000002</v>
      </c>
      <c r="BH785" s="311">
        <v>0.55810000000000004</v>
      </c>
      <c r="BI785" s="311">
        <v>0.59119999999999995</v>
      </c>
      <c r="BJ785" s="311">
        <v>0.59230000000000005</v>
      </c>
      <c r="BK785" s="311">
        <v>0.59760000000000002</v>
      </c>
    </row>
    <row r="786" spans="1:63" x14ac:dyDescent="0.25">
      <c r="A786" s="306" t="s">
        <v>775</v>
      </c>
      <c r="B786" s="311" t="s">
        <v>776</v>
      </c>
      <c r="C786" s="311">
        <v>0.49</v>
      </c>
      <c r="D786" s="311">
        <v>0.37340000000000001</v>
      </c>
      <c r="E786" s="311">
        <v>0.39810000000000001</v>
      </c>
      <c r="F786" s="311">
        <v>0.37959999999999999</v>
      </c>
      <c r="G786" s="311">
        <v>0.42159999999999997</v>
      </c>
      <c r="H786" s="311">
        <v>0.45490000000000003</v>
      </c>
      <c r="I786" s="311">
        <v>0.45290000000000002</v>
      </c>
      <c r="J786" s="311">
        <v>0.41489999999999999</v>
      </c>
      <c r="K786" s="311">
        <v>0.127</v>
      </c>
      <c r="L786" s="311">
        <v>0.34179999999999999</v>
      </c>
      <c r="M786" s="311">
        <v>0.43559999999999999</v>
      </c>
      <c r="N786" s="311">
        <v>0.44629999999999997</v>
      </c>
      <c r="O786" s="311">
        <v>0.40749999999999997</v>
      </c>
      <c r="P786" s="311">
        <v>0.36930000000000002</v>
      </c>
      <c r="Q786" s="311">
        <v>0.37409999999999999</v>
      </c>
      <c r="R786" s="311">
        <v>0.4541</v>
      </c>
      <c r="S786" s="311">
        <v>0.40079999999999999</v>
      </c>
      <c r="T786" s="311">
        <v>0.37769999999999998</v>
      </c>
      <c r="U786" s="311">
        <v>0.3836</v>
      </c>
      <c r="V786" s="311">
        <v>0.3947</v>
      </c>
      <c r="W786" s="311">
        <v>0.43409999999999999</v>
      </c>
      <c r="X786" s="311">
        <v>0.41170000000000001</v>
      </c>
      <c r="Y786" s="311">
        <v>0.40250000000000002</v>
      </c>
      <c r="Z786" s="311">
        <v>0.42820000000000003</v>
      </c>
      <c r="AA786" s="311">
        <v>0.42599999999999999</v>
      </c>
      <c r="AB786" s="311">
        <v>0.40670000000000001</v>
      </c>
      <c r="AC786" s="311">
        <v>0.36969999999999997</v>
      </c>
      <c r="AD786" s="311">
        <v>0.37880000000000003</v>
      </c>
      <c r="AE786" s="311">
        <v>0.41739999999999999</v>
      </c>
      <c r="AF786" s="311">
        <v>0.34250000000000003</v>
      </c>
      <c r="AG786" s="311">
        <v>0.37490000000000001</v>
      </c>
      <c r="AH786" s="311">
        <v>0.38069999999999998</v>
      </c>
      <c r="AI786" s="311">
        <v>0.42559999999999998</v>
      </c>
      <c r="AJ786" s="311">
        <v>0.3795</v>
      </c>
      <c r="AK786" s="311">
        <v>0.3921</v>
      </c>
      <c r="AL786" s="311">
        <v>0.40770000000000001</v>
      </c>
      <c r="AM786" s="311">
        <v>0.43030000000000002</v>
      </c>
      <c r="AN786" s="311">
        <v>0.40460000000000002</v>
      </c>
      <c r="AO786" s="311">
        <v>0.41099999999999998</v>
      </c>
      <c r="AP786" s="311">
        <v>0.43130000000000002</v>
      </c>
      <c r="AQ786" s="311">
        <v>0.37369999999999998</v>
      </c>
      <c r="AR786" s="311">
        <v>0.40529999999999999</v>
      </c>
      <c r="AS786" s="311">
        <v>0.3483</v>
      </c>
      <c r="AT786" s="311">
        <v>0.41920000000000002</v>
      </c>
      <c r="AU786" s="311">
        <v>0.44869999999999999</v>
      </c>
      <c r="AV786" s="311">
        <v>0.44140000000000001</v>
      </c>
      <c r="AW786" s="311">
        <v>0.41160000000000002</v>
      </c>
      <c r="AX786" s="311">
        <v>0.37919999999999998</v>
      </c>
      <c r="AY786" s="311">
        <v>0.42380000000000001</v>
      </c>
      <c r="AZ786" s="311">
        <v>0.4103</v>
      </c>
      <c r="BA786" s="311">
        <v>0.35320000000000001</v>
      </c>
      <c r="BB786" s="311">
        <v>0.35349999999999998</v>
      </c>
      <c r="BC786" s="311">
        <v>0.44919999999999999</v>
      </c>
      <c r="BD786" s="311">
        <v>0.45900000000000002</v>
      </c>
      <c r="BE786" s="311">
        <v>0.44779999999999998</v>
      </c>
      <c r="BF786" s="311">
        <v>0.41760000000000003</v>
      </c>
      <c r="BG786" s="311">
        <v>0.4541</v>
      </c>
      <c r="BH786" s="311">
        <v>0.4123</v>
      </c>
      <c r="BI786" s="311">
        <v>0.44379999999999997</v>
      </c>
      <c r="BJ786" s="311">
        <v>0.43769999999999998</v>
      </c>
      <c r="BK786" s="311">
        <v>0.45550000000000002</v>
      </c>
    </row>
    <row r="787" spans="1:63" x14ac:dyDescent="0.25">
      <c r="A787" s="306">
        <v>621600</v>
      </c>
      <c r="B787" s="311" t="s">
        <v>331</v>
      </c>
      <c r="C787" s="311">
        <v>0.7359</v>
      </c>
      <c r="D787" s="311">
        <v>0.6462</v>
      </c>
      <c r="E787" s="311">
        <v>0.66859999999999997</v>
      </c>
      <c r="F787" s="311">
        <v>0.65510000000000002</v>
      </c>
      <c r="G787" s="311">
        <v>0.68930000000000002</v>
      </c>
      <c r="H787" s="311">
        <v>0.7117</v>
      </c>
      <c r="I787" s="311">
        <v>0.70650000000000002</v>
      </c>
      <c r="J787" s="311">
        <v>0.67820000000000003</v>
      </c>
      <c r="K787" s="311">
        <v>0.16650000000000001</v>
      </c>
      <c r="L787" s="311">
        <v>0.57079999999999997</v>
      </c>
      <c r="M787" s="311">
        <v>0.69679999999999997</v>
      </c>
      <c r="N787" s="311">
        <v>0.69569999999999999</v>
      </c>
      <c r="O787" s="311">
        <v>0.67810000000000004</v>
      </c>
      <c r="P787" s="311">
        <v>0.62960000000000005</v>
      </c>
      <c r="Q787" s="311">
        <v>0.64690000000000003</v>
      </c>
      <c r="R787" s="311">
        <v>0.70199999999999996</v>
      </c>
      <c r="S787" s="311">
        <v>0.66110000000000002</v>
      </c>
      <c r="T787" s="311">
        <v>0.62819999999999998</v>
      </c>
      <c r="U787" s="311">
        <v>0.63790000000000002</v>
      </c>
      <c r="V787" s="311">
        <v>0.67100000000000004</v>
      </c>
      <c r="W787" s="311">
        <v>0.68089999999999995</v>
      </c>
      <c r="X787" s="311">
        <v>0.64700000000000002</v>
      </c>
      <c r="Y787" s="311">
        <v>0.67210000000000003</v>
      </c>
      <c r="Z787" s="311">
        <v>0.69689999999999996</v>
      </c>
      <c r="AA787" s="311">
        <v>0.68030000000000002</v>
      </c>
      <c r="AB787" s="311">
        <v>0.63190000000000002</v>
      </c>
      <c r="AC787" s="311">
        <v>0.64059999999999995</v>
      </c>
      <c r="AD787" s="311">
        <v>0.65190000000000003</v>
      </c>
      <c r="AE787" s="311">
        <v>0.68640000000000001</v>
      </c>
      <c r="AF787" s="311">
        <v>0.59419999999999995</v>
      </c>
      <c r="AG787" s="311">
        <v>0.64280000000000004</v>
      </c>
      <c r="AH787" s="311">
        <v>0.64380000000000004</v>
      </c>
      <c r="AI787" s="311">
        <v>0.67620000000000002</v>
      </c>
      <c r="AJ787" s="311">
        <v>0.65790000000000004</v>
      </c>
      <c r="AK787" s="311">
        <v>0.67210000000000003</v>
      </c>
      <c r="AL787" s="311">
        <v>0.65549999999999997</v>
      </c>
      <c r="AM787" s="311">
        <v>0.68579999999999997</v>
      </c>
      <c r="AN787" s="311">
        <v>0.67579999999999996</v>
      </c>
      <c r="AO787" s="311">
        <v>0.66849999999999998</v>
      </c>
      <c r="AP787" s="311">
        <v>0.67679999999999996</v>
      </c>
      <c r="AQ787" s="311">
        <v>0.62480000000000002</v>
      </c>
      <c r="AR787" s="311">
        <v>0.67910000000000004</v>
      </c>
      <c r="AS787" s="311">
        <v>0.62450000000000006</v>
      </c>
      <c r="AT787" s="311">
        <v>0.67249999999999999</v>
      </c>
      <c r="AU787" s="311">
        <v>0.70289999999999997</v>
      </c>
      <c r="AV787" s="311">
        <v>0.69979999999999998</v>
      </c>
      <c r="AW787" s="311">
        <v>0.65649999999999997</v>
      </c>
      <c r="AX787" s="311">
        <v>0.62309999999999999</v>
      </c>
      <c r="AY787" s="311">
        <v>0.68320000000000003</v>
      </c>
      <c r="AZ787" s="311">
        <v>0.67449999999999999</v>
      </c>
      <c r="BA787" s="311">
        <v>0.60740000000000005</v>
      </c>
      <c r="BB787" s="311">
        <v>0.63360000000000005</v>
      </c>
      <c r="BC787" s="311">
        <v>0.70589999999999997</v>
      </c>
      <c r="BD787" s="311">
        <v>0.70850000000000002</v>
      </c>
      <c r="BE787" s="311">
        <v>0.70569999999999999</v>
      </c>
      <c r="BF787" s="311">
        <v>0.67610000000000003</v>
      </c>
      <c r="BG787" s="311">
        <v>0.70830000000000004</v>
      </c>
      <c r="BH787" s="311">
        <v>0.67310000000000003</v>
      </c>
      <c r="BI787" s="311">
        <v>0.70130000000000003</v>
      </c>
      <c r="BJ787" s="311">
        <v>0.69810000000000005</v>
      </c>
      <c r="BK787" s="311">
        <v>0.71179999999999999</v>
      </c>
    </row>
    <row r="788" spans="1:63" x14ac:dyDescent="0.25">
      <c r="A788" s="306" t="s">
        <v>777</v>
      </c>
      <c r="B788" s="311" t="s">
        <v>330</v>
      </c>
      <c r="C788" s="311">
        <v>0.6966</v>
      </c>
      <c r="D788" s="311">
        <v>0.59609999999999996</v>
      </c>
      <c r="E788" s="311">
        <v>0.62139999999999995</v>
      </c>
      <c r="F788" s="311">
        <v>0.5978</v>
      </c>
      <c r="G788" s="311">
        <v>0.6431</v>
      </c>
      <c r="H788" s="311">
        <v>0.66920000000000002</v>
      </c>
      <c r="I788" s="311">
        <v>0.6643</v>
      </c>
      <c r="J788" s="311">
        <v>0.63200000000000001</v>
      </c>
      <c r="K788" s="311">
        <v>0.15240000000000001</v>
      </c>
      <c r="L788" s="311">
        <v>0.52710000000000001</v>
      </c>
      <c r="M788" s="311">
        <v>0.65459999999999996</v>
      </c>
      <c r="N788" s="311">
        <v>0.65210000000000001</v>
      </c>
      <c r="O788" s="311">
        <v>0.62450000000000006</v>
      </c>
      <c r="P788" s="311">
        <v>0.57999999999999996</v>
      </c>
      <c r="Q788" s="311">
        <v>0.59189999999999998</v>
      </c>
      <c r="R788" s="311">
        <v>0.65569999999999995</v>
      </c>
      <c r="S788" s="311">
        <v>0.61639999999999995</v>
      </c>
      <c r="T788" s="311">
        <v>0.58109999999999995</v>
      </c>
      <c r="U788" s="311">
        <v>0.59240000000000004</v>
      </c>
      <c r="V788" s="311">
        <v>0.61609999999999998</v>
      </c>
      <c r="W788" s="311">
        <v>0.63970000000000005</v>
      </c>
      <c r="X788" s="311">
        <v>0.60350000000000004</v>
      </c>
      <c r="Y788" s="311">
        <v>0.63080000000000003</v>
      </c>
      <c r="Z788" s="311">
        <v>0.64829999999999999</v>
      </c>
      <c r="AA788" s="311">
        <v>0.63929999999999998</v>
      </c>
      <c r="AB788" s="311">
        <v>0.58930000000000005</v>
      </c>
      <c r="AC788" s="311">
        <v>0.58550000000000002</v>
      </c>
      <c r="AD788" s="311">
        <v>0.60650000000000004</v>
      </c>
      <c r="AE788" s="311">
        <v>0.63380000000000003</v>
      </c>
      <c r="AF788" s="311">
        <v>0.54420000000000002</v>
      </c>
      <c r="AG788" s="311">
        <v>0.5948</v>
      </c>
      <c r="AH788" s="311">
        <v>0.59919999999999995</v>
      </c>
      <c r="AI788" s="311">
        <v>0.63680000000000003</v>
      </c>
      <c r="AJ788" s="311">
        <v>0.6069</v>
      </c>
      <c r="AK788" s="311">
        <v>0.61750000000000005</v>
      </c>
      <c r="AL788" s="311">
        <v>0.61119999999999997</v>
      </c>
      <c r="AM788" s="311">
        <v>0.63819999999999999</v>
      </c>
      <c r="AN788" s="311">
        <v>0.62329999999999997</v>
      </c>
      <c r="AO788" s="311">
        <v>0.62070000000000003</v>
      </c>
      <c r="AP788" s="311">
        <v>0.63660000000000005</v>
      </c>
      <c r="AQ788" s="311">
        <v>0.58150000000000002</v>
      </c>
      <c r="AR788" s="311">
        <v>0.63129999999999997</v>
      </c>
      <c r="AS788" s="311">
        <v>0.57369999999999999</v>
      </c>
      <c r="AT788" s="311">
        <v>0.62649999999999995</v>
      </c>
      <c r="AU788" s="311">
        <v>0.65510000000000002</v>
      </c>
      <c r="AV788" s="311">
        <v>0.65410000000000001</v>
      </c>
      <c r="AW788" s="311">
        <v>0.60970000000000002</v>
      </c>
      <c r="AX788" s="311">
        <v>0.58540000000000003</v>
      </c>
      <c r="AY788" s="311">
        <v>0.6351</v>
      </c>
      <c r="AZ788" s="311">
        <v>0.628</v>
      </c>
      <c r="BA788" s="311">
        <v>0.56299999999999994</v>
      </c>
      <c r="BB788" s="311">
        <v>0.5786</v>
      </c>
      <c r="BC788" s="311">
        <v>0.66459999999999997</v>
      </c>
      <c r="BD788" s="311">
        <v>0.66990000000000005</v>
      </c>
      <c r="BE788" s="311">
        <v>0.66300000000000003</v>
      </c>
      <c r="BF788" s="311">
        <v>0.63200000000000001</v>
      </c>
      <c r="BG788" s="311">
        <v>0.6653</v>
      </c>
      <c r="BH788" s="311">
        <v>0.62690000000000001</v>
      </c>
      <c r="BI788" s="311">
        <v>0.65200000000000002</v>
      </c>
      <c r="BJ788" s="311">
        <v>0.65200000000000002</v>
      </c>
      <c r="BK788" s="311">
        <v>0.66930000000000001</v>
      </c>
    </row>
    <row r="789" spans="1:63" x14ac:dyDescent="0.25">
      <c r="A789" s="306" t="s">
        <v>778</v>
      </c>
      <c r="B789" s="311" t="s">
        <v>332</v>
      </c>
      <c r="C789" s="311">
        <v>0.67479999999999996</v>
      </c>
      <c r="D789" s="311">
        <v>0.55769999999999997</v>
      </c>
      <c r="E789" s="311">
        <v>0.58960000000000001</v>
      </c>
      <c r="F789" s="311">
        <v>0.56499999999999995</v>
      </c>
      <c r="G789" s="311">
        <v>0.61419999999999997</v>
      </c>
      <c r="H789" s="311">
        <v>0.63819999999999999</v>
      </c>
      <c r="I789" s="311">
        <v>0.63590000000000002</v>
      </c>
      <c r="J789" s="311">
        <v>0.6038</v>
      </c>
      <c r="K789" s="311">
        <v>0.1447</v>
      </c>
      <c r="L789" s="311">
        <v>0.49909999999999999</v>
      </c>
      <c r="M789" s="311">
        <v>0.62350000000000005</v>
      </c>
      <c r="N789" s="311">
        <v>0.62880000000000003</v>
      </c>
      <c r="O789" s="311">
        <v>0.59319999999999995</v>
      </c>
      <c r="P789" s="311">
        <v>0.53590000000000004</v>
      </c>
      <c r="Q789" s="311">
        <v>0.55300000000000005</v>
      </c>
      <c r="R789" s="311">
        <v>0.62539999999999996</v>
      </c>
      <c r="S789" s="311">
        <v>0.58479999999999999</v>
      </c>
      <c r="T789" s="311">
        <v>0.54930000000000001</v>
      </c>
      <c r="U789" s="311">
        <v>0.56440000000000001</v>
      </c>
      <c r="V789" s="311">
        <v>0.59040000000000004</v>
      </c>
      <c r="W789" s="311">
        <v>0.61270000000000002</v>
      </c>
      <c r="X789" s="311">
        <v>0.57940000000000003</v>
      </c>
      <c r="Y789" s="311">
        <v>0.59650000000000003</v>
      </c>
      <c r="Z789" s="311">
        <v>0.61890000000000001</v>
      </c>
      <c r="AA789" s="311">
        <v>0.60750000000000004</v>
      </c>
      <c r="AB789" s="311">
        <v>0.56389999999999996</v>
      </c>
      <c r="AC789" s="311">
        <v>0.55010000000000003</v>
      </c>
      <c r="AD789" s="311">
        <v>0.5625</v>
      </c>
      <c r="AE789" s="311">
        <v>0.60509999999999997</v>
      </c>
      <c r="AF789" s="311">
        <v>0.4965</v>
      </c>
      <c r="AG789" s="311">
        <v>0.55920000000000003</v>
      </c>
      <c r="AH789" s="311">
        <v>0.57310000000000005</v>
      </c>
      <c r="AI789" s="311">
        <v>0.61180000000000001</v>
      </c>
      <c r="AJ789" s="311">
        <v>0.5736</v>
      </c>
      <c r="AK789" s="311">
        <v>0.58879999999999999</v>
      </c>
      <c r="AL789" s="311">
        <v>0.57550000000000001</v>
      </c>
      <c r="AM789" s="311">
        <v>0.61539999999999995</v>
      </c>
      <c r="AN789" s="311">
        <v>0.59219999999999995</v>
      </c>
      <c r="AO789" s="311">
        <v>0.59230000000000005</v>
      </c>
      <c r="AP789" s="311">
        <v>0.61270000000000002</v>
      </c>
      <c r="AQ789" s="311">
        <v>0.55369999999999997</v>
      </c>
      <c r="AR789" s="311">
        <v>0.60129999999999995</v>
      </c>
      <c r="AS789" s="311">
        <v>0.52370000000000005</v>
      </c>
      <c r="AT789" s="311">
        <v>0.59870000000000001</v>
      </c>
      <c r="AU789" s="311">
        <v>0.62829999999999997</v>
      </c>
      <c r="AV789" s="311">
        <v>0.62170000000000003</v>
      </c>
      <c r="AW789" s="311">
        <v>0.58730000000000004</v>
      </c>
      <c r="AX789" s="311">
        <v>0.54490000000000005</v>
      </c>
      <c r="AY789" s="311">
        <v>0.60429999999999995</v>
      </c>
      <c r="AZ789" s="311">
        <v>0.59750000000000003</v>
      </c>
      <c r="BA789" s="311">
        <v>0.52929999999999999</v>
      </c>
      <c r="BB789" s="311">
        <v>0.53700000000000003</v>
      </c>
      <c r="BC789" s="311">
        <v>0.63719999999999999</v>
      </c>
      <c r="BD789" s="311">
        <v>0.64200000000000002</v>
      </c>
      <c r="BE789" s="311">
        <v>0.63729999999999998</v>
      </c>
      <c r="BF789" s="311">
        <v>0.59950000000000003</v>
      </c>
      <c r="BG789" s="311">
        <v>0.64090000000000003</v>
      </c>
      <c r="BH789" s="311">
        <v>0.5978</v>
      </c>
      <c r="BI789" s="311">
        <v>0.627</v>
      </c>
      <c r="BJ789" s="311">
        <v>0.62380000000000002</v>
      </c>
      <c r="BK789" s="311">
        <v>0.63929999999999998</v>
      </c>
    </row>
    <row r="790" spans="1:63" x14ac:dyDescent="0.25">
      <c r="A790" s="306">
        <v>622000</v>
      </c>
      <c r="B790" s="311" t="s">
        <v>779</v>
      </c>
      <c r="C790" s="311">
        <v>0.62090000000000001</v>
      </c>
      <c r="D790" s="311">
        <v>0.49569999999999997</v>
      </c>
      <c r="E790" s="311">
        <v>0.53</v>
      </c>
      <c r="F790" s="311">
        <v>0.51119999999999999</v>
      </c>
      <c r="G790" s="311">
        <v>0.54969999999999997</v>
      </c>
      <c r="H790" s="311">
        <v>0.58189999999999997</v>
      </c>
      <c r="I790" s="311">
        <v>0.57889999999999997</v>
      </c>
      <c r="J790" s="311">
        <v>0.54259999999999997</v>
      </c>
      <c r="K790" s="311">
        <v>0.1084</v>
      </c>
      <c r="L790" s="311">
        <v>0.45150000000000001</v>
      </c>
      <c r="M790" s="311">
        <v>0.55940000000000001</v>
      </c>
      <c r="N790" s="311">
        <v>0.56659999999999999</v>
      </c>
      <c r="O790" s="311">
        <v>0.53890000000000005</v>
      </c>
      <c r="P790" s="311">
        <v>0.48359999999999997</v>
      </c>
      <c r="Q790" s="311">
        <v>0.50339999999999996</v>
      </c>
      <c r="R790" s="311">
        <v>0.57279999999999998</v>
      </c>
      <c r="S790" s="311">
        <v>0.53190000000000004</v>
      </c>
      <c r="T790" s="311">
        <v>0.49530000000000002</v>
      </c>
      <c r="U790" s="311">
        <v>0.50729999999999997</v>
      </c>
      <c r="V790" s="311">
        <v>0.52249999999999996</v>
      </c>
      <c r="W790" s="311">
        <v>0.56020000000000003</v>
      </c>
      <c r="X790" s="311">
        <v>0.52700000000000002</v>
      </c>
      <c r="Y790" s="311">
        <v>0.54120000000000001</v>
      </c>
      <c r="Z790" s="311">
        <v>0.55920000000000003</v>
      </c>
      <c r="AA790" s="311">
        <v>0.5575</v>
      </c>
      <c r="AB790" s="311">
        <v>0.50819999999999999</v>
      </c>
      <c r="AC790" s="311">
        <v>0.49909999999999999</v>
      </c>
      <c r="AD790" s="311">
        <v>0.50080000000000002</v>
      </c>
      <c r="AE790" s="311">
        <v>0.54900000000000004</v>
      </c>
      <c r="AF790" s="311">
        <v>0.45350000000000001</v>
      </c>
      <c r="AG790" s="311">
        <v>0.50539999999999996</v>
      </c>
      <c r="AH790" s="311">
        <v>0.4945</v>
      </c>
      <c r="AI790" s="311">
        <v>0.55369999999999997</v>
      </c>
      <c r="AJ790" s="311">
        <v>0.50729999999999997</v>
      </c>
      <c r="AK790" s="311">
        <v>0.52890000000000004</v>
      </c>
      <c r="AL790" s="311">
        <v>0.51910000000000001</v>
      </c>
      <c r="AM790" s="311">
        <v>0.55259999999999998</v>
      </c>
      <c r="AN790" s="311">
        <v>0.53059999999999996</v>
      </c>
      <c r="AO790" s="311">
        <v>0.53410000000000002</v>
      </c>
      <c r="AP790" s="311">
        <v>0.55289999999999995</v>
      </c>
      <c r="AQ790" s="311">
        <v>0.50270000000000004</v>
      </c>
      <c r="AR790" s="311">
        <v>0.54179999999999995</v>
      </c>
      <c r="AS790" s="311">
        <v>0.4728</v>
      </c>
      <c r="AT790" s="311">
        <v>0.53790000000000004</v>
      </c>
      <c r="AU790" s="311">
        <v>0.56569999999999998</v>
      </c>
      <c r="AV790" s="311">
        <v>0.56879999999999997</v>
      </c>
      <c r="AW790" s="311">
        <v>0.53810000000000002</v>
      </c>
      <c r="AX790" s="311">
        <v>0.46970000000000001</v>
      </c>
      <c r="AY790" s="311">
        <v>0.54830000000000001</v>
      </c>
      <c r="AZ790" s="311">
        <v>0.54400000000000004</v>
      </c>
      <c r="BA790" s="311">
        <v>0.45650000000000002</v>
      </c>
      <c r="BB790" s="311">
        <v>0.47920000000000001</v>
      </c>
      <c r="BC790" s="311">
        <v>0.58150000000000002</v>
      </c>
      <c r="BD790" s="311">
        <v>0.58479999999999999</v>
      </c>
      <c r="BE790" s="311">
        <v>0.57779999999999998</v>
      </c>
      <c r="BF790" s="311">
        <v>0.5464</v>
      </c>
      <c r="BG790" s="311">
        <v>0.57969999999999999</v>
      </c>
      <c r="BH790" s="311">
        <v>0.53900000000000003</v>
      </c>
      <c r="BI790" s="311">
        <v>0.56579999999999997</v>
      </c>
      <c r="BJ790" s="311">
        <v>0.56610000000000005</v>
      </c>
      <c r="BK790" s="311">
        <v>0.58379999999999999</v>
      </c>
    </row>
    <row r="791" spans="1:63" x14ac:dyDescent="0.25">
      <c r="A791" s="306">
        <v>623000</v>
      </c>
      <c r="B791" s="311" t="s">
        <v>333</v>
      </c>
      <c r="C791" s="311">
        <v>0.64949999999999997</v>
      </c>
      <c r="D791" s="311">
        <v>0.54700000000000004</v>
      </c>
      <c r="E791" s="311">
        <v>0.58020000000000005</v>
      </c>
      <c r="F791" s="311">
        <v>0.55049999999999999</v>
      </c>
      <c r="G791" s="311">
        <v>0.59440000000000004</v>
      </c>
      <c r="H791" s="311">
        <v>0.61619999999999997</v>
      </c>
      <c r="I791" s="311">
        <v>0.61719999999999997</v>
      </c>
      <c r="J791" s="311">
        <v>0.57920000000000005</v>
      </c>
      <c r="K791" s="311">
        <v>0.19</v>
      </c>
      <c r="L791" s="311">
        <v>0.50190000000000001</v>
      </c>
      <c r="M791" s="311">
        <v>0.60099999999999998</v>
      </c>
      <c r="N791" s="311">
        <v>0.59850000000000003</v>
      </c>
      <c r="O791" s="311">
        <v>0.5837</v>
      </c>
      <c r="P791" s="311">
        <v>0.54820000000000002</v>
      </c>
      <c r="Q791" s="311">
        <v>0.54990000000000006</v>
      </c>
      <c r="R791" s="311">
        <v>0.61329999999999996</v>
      </c>
      <c r="S791" s="311">
        <v>0.5756</v>
      </c>
      <c r="T791" s="311">
        <v>0.5514</v>
      </c>
      <c r="U791" s="311">
        <v>0.56510000000000005</v>
      </c>
      <c r="V791" s="311">
        <v>0.57720000000000005</v>
      </c>
      <c r="W791" s="311">
        <v>0.58320000000000005</v>
      </c>
      <c r="X791" s="311">
        <v>0.56259999999999999</v>
      </c>
      <c r="Y791" s="311">
        <v>0.58350000000000002</v>
      </c>
      <c r="Z791" s="311">
        <v>0.5948</v>
      </c>
      <c r="AA791" s="311">
        <v>0.59130000000000005</v>
      </c>
      <c r="AB791" s="311">
        <v>0.57550000000000001</v>
      </c>
      <c r="AC791" s="311">
        <v>0.5524</v>
      </c>
      <c r="AD791" s="311">
        <v>0.55830000000000002</v>
      </c>
      <c r="AE791" s="311">
        <v>0.58879999999999999</v>
      </c>
      <c r="AF791" s="311">
        <v>0.52449999999999997</v>
      </c>
      <c r="AG791" s="311">
        <v>0.55089999999999995</v>
      </c>
      <c r="AH791" s="311">
        <v>0.56610000000000005</v>
      </c>
      <c r="AI791" s="311">
        <v>0.58730000000000004</v>
      </c>
      <c r="AJ791" s="311">
        <v>0.56669999999999998</v>
      </c>
      <c r="AK791" s="311">
        <v>0.56669999999999998</v>
      </c>
      <c r="AL791" s="311">
        <v>0.57769999999999999</v>
      </c>
      <c r="AM791" s="311">
        <v>0.5968</v>
      </c>
      <c r="AN791" s="311">
        <v>0.58540000000000003</v>
      </c>
      <c r="AO791" s="311">
        <v>0.57540000000000002</v>
      </c>
      <c r="AP791" s="311">
        <v>0.59989999999999999</v>
      </c>
      <c r="AQ791" s="311">
        <v>0.54969999999999997</v>
      </c>
      <c r="AR791" s="311">
        <v>0.58560000000000001</v>
      </c>
      <c r="AS791" s="311">
        <v>0.53010000000000002</v>
      </c>
      <c r="AT791" s="311">
        <v>0.58460000000000001</v>
      </c>
      <c r="AU791" s="311">
        <v>0.61409999999999998</v>
      </c>
      <c r="AV791" s="311">
        <v>0.60740000000000005</v>
      </c>
      <c r="AW791" s="311">
        <v>0.57379999999999998</v>
      </c>
      <c r="AX791" s="311">
        <v>0.52739999999999998</v>
      </c>
      <c r="AY791" s="311">
        <v>0.58989999999999998</v>
      </c>
      <c r="AZ791" s="311">
        <v>0.58589999999999998</v>
      </c>
      <c r="BA791" s="311">
        <v>0.52510000000000001</v>
      </c>
      <c r="BB791" s="311">
        <v>0.54110000000000003</v>
      </c>
      <c r="BC791" s="311">
        <v>0.60909999999999997</v>
      </c>
      <c r="BD791" s="311">
        <v>0.61629999999999996</v>
      </c>
      <c r="BE791" s="311">
        <v>0.61550000000000005</v>
      </c>
      <c r="BF791" s="311">
        <v>0.58989999999999998</v>
      </c>
      <c r="BG791" s="311">
        <v>0.61499999999999999</v>
      </c>
      <c r="BH791" s="311">
        <v>0.5877</v>
      </c>
      <c r="BI791" s="311">
        <v>0.61409999999999998</v>
      </c>
      <c r="BJ791" s="311">
        <v>0.60619999999999996</v>
      </c>
      <c r="BK791" s="311">
        <v>0.61670000000000003</v>
      </c>
    </row>
    <row r="792" spans="1:63" x14ac:dyDescent="0.25">
      <c r="A792" s="306">
        <v>624200</v>
      </c>
      <c r="B792" s="311" t="s">
        <v>336</v>
      </c>
      <c r="C792" s="311">
        <v>0.59409999999999996</v>
      </c>
      <c r="D792" s="311">
        <v>0.46389999999999998</v>
      </c>
      <c r="E792" s="311">
        <v>0.501</v>
      </c>
      <c r="F792" s="311">
        <v>0.4803</v>
      </c>
      <c r="G792" s="311">
        <v>0.5181</v>
      </c>
      <c r="H792" s="311">
        <v>0.54800000000000004</v>
      </c>
      <c r="I792" s="311">
        <v>0.54279999999999995</v>
      </c>
      <c r="J792" s="311">
        <v>0.51180000000000003</v>
      </c>
      <c r="K792" s="311">
        <v>0.18010000000000001</v>
      </c>
      <c r="L792" s="311">
        <v>0.4657</v>
      </c>
      <c r="M792" s="311">
        <v>0.52829999999999999</v>
      </c>
      <c r="N792" s="311">
        <v>0.54179999999999995</v>
      </c>
      <c r="O792" s="311">
        <v>0.4985</v>
      </c>
      <c r="P792" s="311">
        <v>0.45629999999999998</v>
      </c>
      <c r="Q792" s="311">
        <v>0.46989999999999998</v>
      </c>
      <c r="R792" s="311">
        <v>0.55269999999999997</v>
      </c>
      <c r="S792" s="311">
        <v>0.49740000000000001</v>
      </c>
      <c r="T792" s="311">
        <v>0.45369999999999999</v>
      </c>
      <c r="U792" s="311">
        <v>0.48209999999999997</v>
      </c>
      <c r="V792" s="311">
        <v>0.49230000000000002</v>
      </c>
      <c r="W792" s="311">
        <v>0.52590000000000003</v>
      </c>
      <c r="X792" s="311">
        <v>0.50370000000000004</v>
      </c>
      <c r="Y792" s="311">
        <v>0.49540000000000001</v>
      </c>
      <c r="Z792" s="311">
        <v>0.5171</v>
      </c>
      <c r="AA792" s="311">
        <v>0.51919999999999999</v>
      </c>
      <c r="AB792" s="311">
        <v>0.49130000000000001</v>
      </c>
      <c r="AC792" s="311">
        <v>0.47160000000000002</v>
      </c>
      <c r="AD792" s="311">
        <v>0.47070000000000001</v>
      </c>
      <c r="AE792" s="311">
        <v>0.51580000000000004</v>
      </c>
      <c r="AF792" s="311">
        <v>0.42599999999999999</v>
      </c>
      <c r="AG792" s="311">
        <v>0.45540000000000003</v>
      </c>
      <c r="AH792" s="311">
        <v>0.4985</v>
      </c>
      <c r="AI792" s="311">
        <v>0.52410000000000001</v>
      </c>
      <c r="AJ792" s="311">
        <v>0.47760000000000002</v>
      </c>
      <c r="AK792" s="311">
        <v>0.48670000000000002</v>
      </c>
      <c r="AL792" s="311">
        <v>0.50329999999999997</v>
      </c>
      <c r="AM792" s="311">
        <v>0.52159999999999995</v>
      </c>
      <c r="AN792" s="311">
        <v>0.50109999999999999</v>
      </c>
      <c r="AO792" s="311">
        <v>0.49569999999999997</v>
      </c>
      <c r="AP792" s="311">
        <v>0.52610000000000001</v>
      </c>
      <c r="AQ792" s="311">
        <v>0.4768</v>
      </c>
      <c r="AR792" s="311">
        <v>0.51319999999999999</v>
      </c>
      <c r="AS792" s="311">
        <v>0.43930000000000002</v>
      </c>
      <c r="AT792" s="311">
        <v>0.5171</v>
      </c>
      <c r="AU792" s="311">
        <v>0.54220000000000002</v>
      </c>
      <c r="AV792" s="311">
        <v>0.52890000000000004</v>
      </c>
      <c r="AW792" s="311">
        <v>0.50280000000000002</v>
      </c>
      <c r="AX792" s="311">
        <v>0.46460000000000001</v>
      </c>
      <c r="AY792" s="311">
        <v>0.50980000000000003</v>
      </c>
      <c r="AZ792" s="311">
        <v>0.50570000000000004</v>
      </c>
      <c r="BA792" s="311">
        <v>0.4486</v>
      </c>
      <c r="BB792" s="311">
        <v>0.442</v>
      </c>
      <c r="BC792" s="311">
        <v>0.54249999999999998</v>
      </c>
      <c r="BD792" s="311">
        <v>0.55179999999999996</v>
      </c>
      <c r="BE792" s="311">
        <v>0.54410000000000003</v>
      </c>
      <c r="BF792" s="311">
        <v>0.50619999999999998</v>
      </c>
      <c r="BG792" s="311">
        <v>0.54879999999999995</v>
      </c>
      <c r="BH792" s="311">
        <v>0.51239999999999997</v>
      </c>
      <c r="BI792" s="311">
        <v>0.54149999999999998</v>
      </c>
      <c r="BJ792" s="311">
        <v>0.5302</v>
      </c>
      <c r="BK792" s="311">
        <v>0.54759999999999998</v>
      </c>
    </row>
    <row r="793" spans="1:63" x14ac:dyDescent="0.25">
      <c r="A793" s="306">
        <v>624400</v>
      </c>
      <c r="B793" s="311" t="s">
        <v>334</v>
      </c>
      <c r="C793" s="311">
        <v>0.52349999999999997</v>
      </c>
      <c r="D793" s="311">
        <v>0.3977</v>
      </c>
      <c r="E793" s="311">
        <v>0.4219</v>
      </c>
      <c r="F793" s="311">
        <v>0.40939999999999999</v>
      </c>
      <c r="G793" s="311">
        <v>0.43959999999999999</v>
      </c>
      <c r="H793" s="311">
        <v>0.48230000000000001</v>
      </c>
      <c r="I793" s="311">
        <v>0.47110000000000002</v>
      </c>
      <c r="J793" s="311">
        <v>0.44519999999999998</v>
      </c>
      <c r="K793" s="311">
        <v>0.15240000000000001</v>
      </c>
      <c r="L793" s="311">
        <v>0.40039999999999998</v>
      </c>
      <c r="M793" s="311">
        <v>0.45069999999999999</v>
      </c>
      <c r="N793" s="311">
        <v>0.45429999999999998</v>
      </c>
      <c r="O793" s="311">
        <v>0.4274</v>
      </c>
      <c r="P793" s="311">
        <v>0.38479999999999998</v>
      </c>
      <c r="Q793" s="311">
        <v>0.40289999999999998</v>
      </c>
      <c r="R793" s="311">
        <v>0.47939999999999999</v>
      </c>
      <c r="S793" s="311">
        <v>0.42070000000000002</v>
      </c>
      <c r="T793" s="311">
        <v>0.38350000000000001</v>
      </c>
      <c r="U793" s="311">
        <v>0.41060000000000002</v>
      </c>
      <c r="V793" s="311">
        <v>0.42059999999999997</v>
      </c>
      <c r="W793" s="311">
        <v>0.45950000000000002</v>
      </c>
      <c r="X793" s="311">
        <v>0.43020000000000003</v>
      </c>
      <c r="Y793" s="311">
        <v>0.42230000000000001</v>
      </c>
      <c r="Z793" s="311">
        <v>0.432</v>
      </c>
      <c r="AA793" s="311">
        <v>0.44769999999999999</v>
      </c>
      <c r="AB793" s="311">
        <v>0.42430000000000001</v>
      </c>
      <c r="AC793" s="311">
        <v>0.3977</v>
      </c>
      <c r="AD793" s="311">
        <v>0.40379999999999999</v>
      </c>
      <c r="AE793" s="311">
        <v>0.43059999999999998</v>
      </c>
      <c r="AF793" s="311">
        <v>0.36780000000000002</v>
      </c>
      <c r="AG793" s="311">
        <v>0.3871</v>
      </c>
      <c r="AH793" s="311">
        <v>0.43009999999999998</v>
      </c>
      <c r="AI793" s="311">
        <v>0.45810000000000001</v>
      </c>
      <c r="AJ793" s="311">
        <v>0.41260000000000002</v>
      </c>
      <c r="AK793" s="311">
        <v>0.41570000000000001</v>
      </c>
      <c r="AL793" s="311">
        <v>0.44369999999999998</v>
      </c>
      <c r="AM793" s="311">
        <v>0.44280000000000003</v>
      </c>
      <c r="AN793" s="311">
        <v>0.4229</v>
      </c>
      <c r="AO793" s="311">
        <v>0.42599999999999999</v>
      </c>
      <c r="AP793" s="311">
        <v>0.45190000000000002</v>
      </c>
      <c r="AQ793" s="311">
        <v>0.4148</v>
      </c>
      <c r="AR793" s="311">
        <v>0.42909999999999998</v>
      </c>
      <c r="AS793" s="311">
        <v>0.37509999999999999</v>
      </c>
      <c r="AT793" s="311">
        <v>0.44419999999999998</v>
      </c>
      <c r="AU793" s="311">
        <v>0.46579999999999999</v>
      </c>
      <c r="AV793" s="311">
        <v>0.45419999999999999</v>
      </c>
      <c r="AW793" s="311">
        <v>0.42420000000000002</v>
      </c>
      <c r="AX793" s="311">
        <v>0.40620000000000001</v>
      </c>
      <c r="AY793" s="311">
        <v>0.44090000000000001</v>
      </c>
      <c r="AZ793" s="311">
        <v>0.43130000000000002</v>
      </c>
      <c r="BA793" s="311">
        <v>0.38269999999999998</v>
      </c>
      <c r="BB793" s="311">
        <v>0.37980000000000003</v>
      </c>
      <c r="BC793" s="311">
        <v>0.47420000000000001</v>
      </c>
      <c r="BD793" s="311">
        <v>0.48699999999999999</v>
      </c>
      <c r="BE793" s="311">
        <v>0.46579999999999999</v>
      </c>
      <c r="BF793" s="311">
        <v>0.43149999999999999</v>
      </c>
      <c r="BG793" s="311">
        <v>0.46150000000000002</v>
      </c>
      <c r="BH793" s="311">
        <v>0.4365</v>
      </c>
      <c r="BI793" s="311">
        <v>0.4617</v>
      </c>
      <c r="BJ793" s="311">
        <v>0.45469999999999999</v>
      </c>
      <c r="BK793" s="311">
        <v>0.47939999999999999</v>
      </c>
    </row>
    <row r="794" spans="1:63" x14ac:dyDescent="0.25">
      <c r="A794" s="306" t="s">
        <v>780</v>
      </c>
      <c r="B794" s="311" t="s">
        <v>335</v>
      </c>
      <c r="C794" s="311">
        <v>0.63270000000000004</v>
      </c>
      <c r="D794" s="311">
        <v>0.51170000000000004</v>
      </c>
      <c r="E794" s="311">
        <v>0.5413</v>
      </c>
      <c r="F794" s="311">
        <v>0.52349999999999997</v>
      </c>
      <c r="G794" s="311">
        <v>0.56189999999999996</v>
      </c>
      <c r="H794" s="311">
        <v>0.59250000000000003</v>
      </c>
      <c r="I794" s="311">
        <v>0.58760000000000001</v>
      </c>
      <c r="J794" s="311">
        <v>0.55479999999999996</v>
      </c>
      <c r="K794" s="311">
        <v>0.1988</v>
      </c>
      <c r="L794" s="311">
        <v>0.50239999999999996</v>
      </c>
      <c r="M794" s="311">
        <v>0.57169999999999999</v>
      </c>
      <c r="N794" s="311">
        <v>0.58230000000000004</v>
      </c>
      <c r="O794" s="311">
        <v>0.54510000000000003</v>
      </c>
      <c r="P794" s="311">
        <v>0.49940000000000001</v>
      </c>
      <c r="Q794" s="311">
        <v>0.51480000000000004</v>
      </c>
      <c r="R794" s="311">
        <v>0.58950000000000002</v>
      </c>
      <c r="S794" s="311">
        <v>0.53759999999999997</v>
      </c>
      <c r="T794" s="311">
        <v>0.4975</v>
      </c>
      <c r="U794" s="311">
        <v>0.52110000000000001</v>
      </c>
      <c r="V794" s="311">
        <v>0.53800000000000003</v>
      </c>
      <c r="W794" s="311">
        <v>0.56569999999999998</v>
      </c>
      <c r="X794" s="311">
        <v>0.54159999999999997</v>
      </c>
      <c r="Y794" s="311">
        <v>0.54330000000000001</v>
      </c>
      <c r="Z794" s="311">
        <v>0.55859999999999999</v>
      </c>
      <c r="AA794" s="311">
        <v>0.5554</v>
      </c>
      <c r="AB794" s="311">
        <v>0.53400000000000003</v>
      </c>
      <c r="AC794" s="311">
        <v>0.51219999999999999</v>
      </c>
      <c r="AD794" s="311">
        <v>0.51329999999999998</v>
      </c>
      <c r="AE794" s="311">
        <v>0.55430000000000001</v>
      </c>
      <c r="AF794" s="311">
        <v>0.47370000000000001</v>
      </c>
      <c r="AG794" s="311">
        <v>0.50290000000000001</v>
      </c>
      <c r="AH794" s="311">
        <v>0.53520000000000001</v>
      </c>
      <c r="AI794" s="311">
        <v>0.56779999999999997</v>
      </c>
      <c r="AJ794" s="311">
        <v>0.52680000000000005</v>
      </c>
      <c r="AK794" s="311">
        <v>0.53359999999999996</v>
      </c>
      <c r="AL794" s="311">
        <v>0.55020000000000002</v>
      </c>
      <c r="AM794" s="311">
        <v>0.56659999999999999</v>
      </c>
      <c r="AN794" s="311">
        <v>0.54520000000000002</v>
      </c>
      <c r="AO794" s="311">
        <v>0.53910000000000002</v>
      </c>
      <c r="AP794" s="311">
        <v>0.5696</v>
      </c>
      <c r="AQ794" s="311">
        <v>0.51280000000000003</v>
      </c>
      <c r="AR794" s="311">
        <v>0.55200000000000005</v>
      </c>
      <c r="AS794" s="311">
        <v>0.48330000000000001</v>
      </c>
      <c r="AT794" s="311">
        <v>0.55920000000000003</v>
      </c>
      <c r="AU794" s="311">
        <v>0.58230000000000004</v>
      </c>
      <c r="AV794" s="311">
        <v>0.57509999999999994</v>
      </c>
      <c r="AW794" s="311">
        <v>0.54610000000000003</v>
      </c>
      <c r="AX794" s="311">
        <v>0.51049999999999995</v>
      </c>
      <c r="AY794" s="311">
        <v>0.55500000000000005</v>
      </c>
      <c r="AZ794" s="311">
        <v>0.54590000000000005</v>
      </c>
      <c r="BA794" s="311">
        <v>0.49280000000000002</v>
      </c>
      <c r="BB794" s="311">
        <v>0.48920000000000002</v>
      </c>
      <c r="BC794" s="311">
        <v>0.58330000000000004</v>
      </c>
      <c r="BD794" s="311">
        <v>0.59760000000000002</v>
      </c>
      <c r="BE794" s="311">
        <v>0.58550000000000002</v>
      </c>
      <c r="BF794" s="311">
        <v>0.54869999999999997</v>
      </c>
      <c r="BG794" s="311">
        <v>0.59019999999999995</v>
      </c>
      <c r="BH794" s="311">
        <v>0.55279999999999996</v>
      </c>
      <c r="BI794" s="311">
        <v>0.58260000000000001</v>
      </c>
      <c r="BJ794" s="311">
        <v>0.57399999999999995</v>
      </c>
      <c r="BK794" s="311">
        <v>0.5917</v>
      </c>
    </row>
    <row r="795" spans="1:63" x14ac:dyDescent="0.25">
      <c r="A795" s="306">
        <v>711100</v>
      </c>
      <c r="B795" s="311" t="s">
        <v>337</v>
      </c>
      <c r="C795" s="311">
        <v>0.58479999999999999</v>
      </c>
      <c r="D795" s="311">
        <v>0.44259999999999999</v>
      </c>
      <c r="E795" s="311">
        <v>0.43890000000000001</v>
      </c>
      <c r="F795" s="311">
        <v>0.42009999999999997</v>
      </c>
      <c r="G795" s="311">
        <v>0.41949999999999998</v>
      </c>
      <c r="H795" s="311">
        <v>0.54969999999999997</v>
      </c>
      <c r="I795" s="311">
        <v>0.51359999999999995</v>
      </c>
      <c r="J795" s="311">
        <v>0.46820000000000001</v>
      </c>
      <c r="K795" s="311">
        <v>0.2019</v>
      </c>
      <c r="L795" s="311">
        <v>0.4239</v>
      </c>
      <c r="M795" s="311">
        <v>0.47799999999999998</v>
      </c>
      <c r="N795" s="311">
        <v>0.51470000000000005</v>
      </c>
      <c r="O795" s="311">
        <v>0.4869</v>
      </c>
      <c r="P795" s="311">
        <v>0.42030000000000001</v>
      </c>
      <c r="Q795" s="311">
        <v>0.39779999999999999</v>
      </c>
      <c r="R795" s="311">
        <v>0.499</v>
      </c>
      <c r="S795" s="311">
        <v>0.45050000000000001</v>
      </c>
      <c r="T795" s="311">
        <v>0.38579999999999998</v>
      </c>
      <c r="U795" s="311">
        <v>0.4128</v>
      </c>
      <c r="V795" s="311">
        <v>0.45689999999999997</v>
      </c>
      <c r="W795" s="311">
        <v>0.45800000000000002</v>
      </c>
      <c r="X795" s="311">
        <v>0.44969999999999999</v>
      </c>
      <c r="Y795" s="311">
        <v>0.45710000000000001</v>
      </c>
      <c r="Z795" s="311">
        <v>0.48730000000000001</v>
      </c>
      <c r="AA795" s="311">
        <v>0.48509999999999998</v>
      </c>
      <c r="AB795" s="311">
        <v>0.42649999999999999</v>
      </c>
      <c r="AC795" s="311">
        <v>0.3866</v>
      </c>
      <c r="AD795" s="311">
        <v>0.43430000000000002</v>
      </c>
      <c r="AE795" s="311">
        <v>0.4748</v>
      </c>
      <c r="AF795" s="311">
        <v>0.38</v>
      </c>
      <c r="AG795" s="311">
        <v>0.43380000000000002</v>
      </c>
      <c r="AH795" s="311">
        <v>0.4466</v>
      </c>
      <c r="AI795" s="311">
        <v>0.47320000000000001</v>
      </c>
      <c r="AJ795" s="311">
        <v>0.45069999999999999</v>
      </c>
      <c r="AK795" s="311">
        <v>0.4778</v>
      </c>
      <c r="AL795" s="311">
        <v>0.46710000000000002</v>
      </c>
      <c r="AM795" s="311">
        <v>0.4602</v>
      </c>
      <c r="AN795" s="311">
        <v>0.4708</v>
      </c>
      <c r="AO795" s="311">
        <v>0.45900000000000002</v>
      </c>
      <c r="AP795" s="311">
        <v>0.45760000000000001</v>
      </c>
      <c r="AQ795" s="311">
        <v>0.43319999999999997</v>
      </c>
      <c r="AR795" s="311">
        <v>0.44130000000000003</v>
      </c>
      <c r="AS795" s="311">
        <v>0.38350000000000001</v>
      </c>
      <c r="AT795" s="311">
        <v>0.50490000000000002</v>
      </c>
      <c r="AU795" s="311">
        <v>0.48709999999999998</v>
      </c>
      <c r="AV795" s="311">
        <v>0.50390000000000001</v>
      </c>
      <c r="AW795" s="311">
        <v>0.44879999999999998</v>
      </c>
      <c r="AX795" s="311">
        <v>0.45219999999999999</v>
      </c>
      <c r="AY795" s="311">
        <v>0.46920000000000001</v>
      </c>
      <c r="AZ795" s="311">
        <v>0.4516</v>
      </c>
      <c r="BA795" s="311">
        <v>0.3725</v>
      </c>
      <c r="BB795" s="311">
        <v>0.32540000000000002</v>
      </c>
      <c r="BC795" s="311">
        <v>0.48809999999999998</v>
      </c>
      <c r="BD795" s="311">
        <v>0.54049999999999998</v>
      </c>
      <c r="BE795" s="311">
        <v>0.49480000000000002</v>
      </c>
      <c r="BF795" s="311">
        <v>0.46050000000000002</v>
      </c>
      <c r="BG795" s="311">
        <v>0.50629999999999997</v>
      </c>
      <c r="BH795" s="311">
        <v>0.4703</v>
      </c>
      <c r="BI795" s="311">
        <v>0.49080000000000001</v>
      </c>
      <c r="BJ795" s="311">
        <v>0.47570000000000001</v>
      </c>
      <c r="BK795" s="311">
        <v>0.54990000000000006</v>
      </c>
    </row>
    <row r="796" spans="1:63" x14ac:dyDescent="0.25">
      <c r="A796" s="306">
        <v>711200</v>
      </c>
      <c r="B796" s="311" t="s">
        <v>781</v>
      </c>
      <c r="C796" s="311">
        <v>0.70689999999999997</v>
      </c>
      <c r="D796" s="311">
        <v>0.56479999999999997</v>
      </c>
      <c r="E796" s="311">
        <v>0.5423</v>
      </c>
      <c r="F796" s="311">
        <v>0.53239999999999998</v>
      </c>
      <c r="G796" s="311">
        <v>0.52869999999999995</v>
      </c>
      <c r="H796" s="311">
        <v>0.67030000000000001</v>
      </c>
      <c r="I796" s="311">
        <v>0.65710000000000002</v>
      </c>
      <c r="J796" s="311">
        <v>0.56289999999999996</v>
      </c>
      <c r="K796" s="311">
        <v>0.26679999999999998</v>
      </c>
      <c r="L796" s="311">
        <v>0.53400000000000003</v>
      </c>
      <c r="M796" s="311">
        <v>0.59909999999999997</v>
      </c>
      <c r="N796" s="311">
        <v>0.63119999999999998</v>
      </c>
      <c r="O796" s="311">
        <v>0.57210000000000005</v>
      </c>
      <c r="P796" s="311">
        <v>0.53159999999999996</v>
      </c>
      <c r="Q796" s="311">
        <v>0.49380000000000002</v>
      </c>
      <c r="R796" s="311">
        <v>0.63360000000000005</v>
      </c>
      <c r="S796" s="311">
        <v>0.60470000000000002</v>
      </c>
      <c r="T796" s="311">
        <v>0.47220000000000001</v>
      </c>
      <c r="U796" s="311">
        <v>0.54110000000000003</v>
      </c>
      <c r="V796" s="311">
        <v>0.61099999999999999</v>
      </c>
      <c r="W796" s="311">
        <v>0.58760000000000001</v>
      </c>
      <c r="X796" s="311">
        <v>0.57799999999999996</v>
      </c>
      <c r="Y796" s="311">
        <v>0.56179999999999997</v>
      </c>
      <c r="Z796" s="311">
        <v>0.6371</v>
      </c>
      <c r="AA796" s="311">
        <v>0.64580000000000004</v>
      </c>
      <c r="AB796" s="311">
        <v>0.56599999999999995</v>
      </c>
      <c r="AC796" s="311">
        <v>0.4788</v>
      </c>
      <c r="AD796" s="311">
        <v>0.54</v>
      </c>
      <c r="AE796" s="311">
        <v>0.61990000000000001</v>
      </c>
      <c r="AF796" s="311">
        <v>0.49230000000000002</v>
      </c>
      <c r="AG796" s="311">
        <v>0.55069999999999997</v>
      </c>
      <c r="AH796" s="311">
        <v>0.53180000000000005</v>
      </c>
      <c r="AI796" s="311">
        <v>0.59199999999999997</v>
      </c>
      <c r="AJ796" s="311">
        <v>0.54879999999999995</v>
      </c>
      <c r="AK796" s="311">
        <v>0.56330000000000002</v>
      </c>
      <c r="AL796" s="311">
        <v>0.5665</v>
      </c>
      <c r="AM796" s="311">
        <v>0.60189999999999999</v>
      </c>
      <c r="AN796" s="311">
        <v>0.5927</v>
      </c>
      <c r="AO796" s="311">
        <v>0.59050000000000002</v>
      </c>
      <c r="AP796" s="311">
        <v>0.59350000000000003</v>
      </c>
      <c r="AQ796" s="311">
        <v>0.54</v>
      </c>
      <c r="AR796" s="311">
        <v>0.52780000000000005</v>
      </c>
      <c r="AS796" s="311">
        <v>0.49399999999999999</v>
      </c>
      <c r="AT796" s="311">
        <v>0.63290000000000002</v>
      </c>
      <c r="AU796" s="311">
        <v>0.60840000000000005</v>
      </c>
      <c r="AV796" s="311">
        <v>0.64610000000000001</v>
      </c>
      <c r="AW796" s="311">
        <v>0.55759999999999998</v>
      </c>
      <c r="AX796" s="311">
        <v>0.54090000000000005</v>
      </c>
      <c r="AY796" s="311">
        <v>0.61919999999999997</v>
      </c>
      <c r="AZ796" s="311">
        <v>0.60680000000000001</v>
      </c>
      <c r="BA796" s="311">
        <v>0.46650000000000003</v>
      </c>
      <c r="BB796" s="311">
        <v>0.40860000000000002</v>
      </c>
      <c r="BC796" s="311">
        <v>0.61170000000000002</v>
      </c>
      <c r="BD796" s="311">
        <v>0.65990000000000004</v>
      </c>
      <c r="BE796" s="311">
        <v>0.64080000000000004</v>
      </c>
      <c r="BF796" s="311">
        <v>0.61109999999999998</v>
      </c>
      <c r="BG796" s="311">
        <v>0.63949999999999996</v>
      </c>
      <c r="BH796" s="311">
        <v>0.59409999999999996</v>
      </c>
      <c r="BI796" s="311">
        <v>0.61839999999999995</v>
      </c>
      <c r="BJ796" s="311">
        <v>0.60450000000000004</v>
      </c>
      <c r="BK796" s="311">
        <v>0.67010000000000003</v>
      </c>
    </row>
    <row r="797" spans="1:63" x14ac:dyDescent="0.25">
      <c r="A797" s="306">
        <v>711500</v>
      </c>
      <c r="B797" s="311" t="s">
        <v>339</v>
      </c>
      <c r="C797" s="311">
        <v>0.45660000000000001</v>
      </c>
      <c r="D797" s="311">
        <v>0.34200000000000003</v>
      </c>
      <c r="E797" s="311">
        <v>0.33310000000000001</v>
      </c>
      <c r="F797" s="311">
        <v>0.32250000000000001</v>
      </c>
      <c r="G797" s="311">
        <v>0.32579999999999998</v>
      </c>
      <c r="H797" s="311">
        <v>0.43369999999999997</v>
      </c>
      <c r="I797" s="311">
        <v>0.4042</v>
      </c>
      <c r="J797" s="311">
        <v>0.35849999999999999</v>
      </c>
      <c r="K797" s="311">
        <v>0.16789999999999999</v>
      </c>
      <c r="L797" s="311">
        <v>0.3261</v>
      </c>
      <c r="M797" s="311">
        <v>0.38419999999999999</v>
      </c>
      <c r="N797" s="311">
        <v>0.41189999999999999</v>
      </c>
      <c r="O797" s="311">
        <v>0.37630000000000002</v>
      </c>
      <c r="P797" s="311">
        <v>0.31969999999999998</v>
      </c>
      <c r="Q797" s="311">
        <v>0.29959999999999998</v>
      </c>
      <c r="R797" s="311">
        <v>0.38490000000000002</v>
      </c>
      <c r="S797" s="311">
        <v>0.35720000000000002</v>
      </c>
      <c r="T797" s="311">
        <v>0.2898</v>
      </c>
      <c r="U797" s="311">
        <v>0.32290000000000002</v>
      </c>
      <c r="V797" s="311">
        <v>0.36870000000000003</v>
      </c>
      <c r="W797" s="311">
        <v>0.36809999999999998</v>
      </c>
      <c r="X797" s="311">
        <v>0.35759999999999997</v>
      </c>
      <c r="Y797" s="311">
        <v>0.34699999999999998</v>
      </c>
      <c r="Z797" s="311">
        <v>0.3906</v>
      </c>
      <c r="AA797" s="311">
        <v>0.38390000000000002</v>
      </c>
      <c r="AB797" s="311">
        <v>0.34039999999999998</v>
      </c>
      <c r="AC797" s="311">
        <v>0.29380000000000001</v>
      </c>
      <c r="AD797" s="311">
        <v>0.32769999999999999</v>
      </c>
      <c r="AE797" s="311">
        <v>0.36849999999999999</v>
      </c>
      <c r="AF797" s="311">
        <v>0.29310000000000003</v>
      </c>
      <c r="AG797" s="311">
        <v>0.33529999999999999</v>
      </c>
      <c r="AH797" s="311">
        <v>0.33</v>
      </c>
      <c r="AI797" s="311">
        <v>0.38190000000000002</v>
      </c>
      <c r="AJ797" s="311">
        <v>0.34300000000000003</v>
      </c>
      <c r="AK797" s="311">
        <v>0.37209999999999999</v>
      </c>
      <c r="AL797" s="311">
        <v>0.37040000000000001</v>
      </c>
      <c r="AM797" s="311">
        <v>0.37909999999999999</v>
      </c>
      <c r="AN797" s="311">
        <v>0.35899999999999999</v>
      </c>
      <c r="AO797" s="311">
        <v>0.35499999999999998</v>
      </c>
      <c r="AP797" s="311">
        <v>0.36420000000000002</v>
      </c>
      <c r="AQ797" s="311">
        <v>0.3306</v>
      </c>
      <c r="AR797" s="311">
        <v>0.3322</v>
      </c>
      <c r="AS797" s="311">
        <v>0.2994</v>
      </c>
      <c r="AT797" s="311">
        <v>0.4027</v>
      </c>
      <c r="AU797" s="311">
        <v>0.39439999999999997</v>
      </c>
      <c r="AV797" s="311">
        <v>0.40479999999999999</v>
      </c>
      <c r="AW797" s="311">
        <v>0.34870000000000001</v>
      </c>
      <c r="AX797" s="311">
        <v>0.34129999999999999</v>
      </c>
      <c r="AY797" s="311">
        <v>0.37180000000000002</v>
      </c>
      <c r="AZ797" s="311">
        <v>0.35420000000000001</v>
      </c>
      <c r="BA797" s="311">
        <v>0.28520000000000001</v>
      </c>
      <c r="BB797" s="311">
        <v>0.24349999999999999</v>
      </c>
      <c r="BC797" s="311">
        <v>0.38109999999999999</v>
      </c>
      <c r="BD797" s="311">
        <v>0.42720000000000002</v>
      </c>
      <c r="BE797" s="311">
        <v>0.39450000000000002</v>
      </c>
      <c r="BF797" s="311">
        <v>0.3609</v>
      </c>
      <c r="BG797" s="311">
        <v>0.40410000000000001</v>
      </c>
      <c r="BH797" s="311">
        <v>0.37180000000000002</v>
      </c>
      <c r="BI797" s="311">
        <v>0.39360000000000001</v>
      </c>
      <c r="BJ797" s="311">
        <v>0.37069999999999997</v>
      </c>
      <c r="BK797" s="311">
        <v>0.43219999999999997</v>
      </c>
    </row>
    <row r="798" spans="1:63" x14ac:dyDescent="0.25">
      <c r="A798" s="306" t="s">
        <v>782</v>
      </c>
      <c r="B798" s="311" t="s">
        <v>338</v>
      </c>
      <c r="C798" s="311">
        <v>0.54749999999999999</v>
      </c>
      <c r="D798" s="311">
        <v>0.37809999999999999</v>
      </c>
      <c r="E798" s="311">
        <v>0.36770000000000003</v>
      </c>
      <c r="F798" s="311">
        <v>0.34320000000000001</v>
      </c>
      <c r="G798" s="311">
        <v>0.37890000000000001</v>
      </c>
      <c r="H798" s="311">
        <v>0.50580000000000003</v>
      </c>
      <c r="I798" s="311">
        <v>0.46700000000000003</v>
      </c>
      <c r="J798" s="311">
        <v>0.4299</v>
      </c>
      <c r="K798" s="311">
        <v>0.1701</v>
      </c>
      <c r="L798" s="311">
        <v>0.36830000000000002</v>
      </c>
      <c r="M798" s="311">
        <v>0.43480000000000002</v>
      </c>
      <c r="N798" s="311">
        <v>0.46810000000000002</v>
      </c>
      <c r="O798" s="311">
        <v>0.4325</v>
      </c>
      <c r="P798" s="311">
        <v>0.35060000000000002</v>
      </c>
      <c r="Q798" s="311">
        <v>0.32919999999999999</v>
      </c>
      <c r="R798" s="311">
        <v>0.46060000000000001</v>
      </c>
      <c r="S798" s="311">
        <v>0.38790000000000002</v>
      </c>
      <c r="T798" s="311">
        <v>0.32669999999999999</v>
      </c>
      <c r="U798" s="311">
        <v>0.35470000000000002</v>
      </c>
      <c r="V798" s="311">
        <v>0.3926</v>
      </c>
      <c r="W798" s="311">
        <v>0.432</v>
      </c>
      <c r="X798" s="311">
        <v>0.4128</v>
      </c>
      <c r="Y798" s="311">
        <v>0.39179999999999998</v>
      </c>
      <c r="Z798" s="311">
        <v>0.42249999999999999</v>
      </c>
      <c r="AA798" s="311">
        <v>0.44019999999999998</v>
      </c>
      <c r="AB798" s="311">
        <v>0.38719999999999999</v>
      </c>
      <c r="AC798" s="311">
        <v>0.31690000000000002</v>
      </c>
      <c r="AD798" s="311">
        <v>0.36890000000000001</v>
      </c>
      <c r="AE798" s="311">
        <v>0.39589999999999997</v>
      </c>
      <c r="AF798" s="311">
        <v>0.31319999999999998</v>
      </c>
      <c r="AG798" s="311">
        <v>0.36549999999999999</v>
      </c>
      <c r="AH798" s="311">
        <v>0.3901</v>
      </c>
      <c r="AI798" s="311">
        <v>0.44569999999999999</v>
      </c>
      <c r="AJ798" s="311">
        <v>0.37640000000000001</v>
      </c>
      <c r="AK798" s="311">
        <v>0.42659999999999998</v>
      </c>
      <c r="AL798" s="311">
        <v>0.4345</v>
      </c>
      <c r="AM798" s="311">
        <v>0.4133</v>
      </c>
      <c r="AN798" s="311">
        <v>0.39450000000000002</v>
      </c>
      <c r="AO798" s="311">
        <v>0.4073</v>
      </c>
      <c r="AP798" s="311">
        <v>0.42020000000000002</v>
      </c>
      <c r="AQ798" s="311">
        <v>0.38890000000000002</v>
      </c>
      <c r="AR798" s="311">
        <v>0.37159999999999999</v>
      </c>
      <c r="AS798" s="311">
        <v>0.32150000000000001</v>
      </c>
      <c r="AT798" s="311">
        <v>0.44409999999999999</v>
      </c>
      <c r="AU798" s="311">
        <v>0.44500000000000001</v>
      </c>
      <c r="AV798" s="311">
        <v>0.45960000000000001</v>
      </c>
      <c r="AW798" s="311">
        <v>0.3947</v>
      </c>
      <c r="AX798" s="311">
        <v>0.39360000000000001</v>
      </c>
      <c r="AY798" s="311">
        <v>0.42320000000000002</v>
      </c>
      <c r="AZ798" s="311">
        <v>0.39829999999999999</v>
      </c>
      <c r="BA798" s="311">
        <v>0.31409999999999999</v>
      </c>
      <c r="BB798" s="311">
        <v>0.27079999999999999</v>
      </c>
      <c r="BC798" s="311">
        <v>0.4536</v>
      </c>
      <c r="BD798" s="311">
        <v>0.50549999999999995</v>
      </c>
      <c r="BE798" s="311">
        <v>0.44769999999999999</v>
      </c>
      <c r="BF798" s="311">
        <v>0.40649999999999997</v>
      </c>
      <c r="BG798" s="311">
        <v>0.46010000000000001</v>
      </c>
      <c r="BH798" s="311">
        <v>0.40720000000000001</v>
      </c>
      <c r="BI798" s="311">
        <v>0.44119999999999998</v>
      </c>
      <c r="BJ798" s="311">
        <v>0.43049999999999999</v>
      </c>
      <c r="BK798" s="311">
        <v>0.50370000000000004</v>
      </c>
    </row>
    <row r="799" spans="1:63" x14ac:dyDescent="0.25">
      <c r="A799" s="306">
        <v>712000</v>
      </c>
      <c r="B799" s="311" t="s">
        <v>340</v>
      </c>
      <c r="C799" s="311">
        <v>0.64429999999999998</v>
      </c>
      <c r="D799" s="311">
        <v>0.55579999999999996</v>
      </c>
      <c r="E799" s="311">
        <v>0.56820000000000004</v>
      </c>
      <c r="F799" s="311">
        <v>0.54410000000000003</v>
      </c>
      <c r="G799" s="311">
        <v>0.5897</v>
      </c>
      <c r="H799" s="311">
        <v>0.61580000000000001</v>
      </c>
      <c r="I799" s="311">
        <v>0.61450000000000005</v>
      </c>
      <c r="J799" s="311">
        <v>0.55489999999999995</v>
      </c>
      <c r="K799" s="311">
        <v>0.1512</v>
      </c>
      <c r="L799" s="311">
        <v>0.48139999999999999</v>
      </c>
      <c r="M799" s="311">
        <v>0.60029999999999994</v>
      </c>
      <c r="N799" s="311">
        <v>0.60209999999999997</v>
      </c>
      <c r="O799" s="311">
        <v>0.5827</v>
      </c>
      <c r="P799" s="311">
        <v>0.54430000000000001</v>
      </c>
      <c r="Q799" s="311">
        <v>0.55000000000000004</v>
      </c>
      <c r="R799" s="311">
        <v>0.61209999999999998</v>
      </c>
      <c r="S799" s="311">
        <v>0.56669999999999998</v>
      </c>
      <c r="T799" s="311">
        <v>0.54210000000000003</v>
      </c>
      <c r="U799" s="311">
        <v>0.53890000000000005</v>
      </c>
      <c r="V799" s="311">
        <v>0.56079999999999997</v>
      </c>
      <c r="W799" s="311">
        <v>0.58299999999999996</v>
      </c>
      <c r="X799" s="311">
        <v>0.55730000000000002</v>
      </c>
      <c r="Y799" s="311">
        <v>0.57499999999999996</v>
      </c>
      <c r="Z799" s="311">
        <v>0.58399999999999996</v>
      </c>
      <c r="AA799" s="311">
        <v>0.58499999999999996</v>
      </c>
      <c r="AB799" s="311">
        <v>0.50990000000000002</v>
      </c>
      <c r="AC799" s="311">
        <v>0.53100000000000003</v>
      </c>
      <c r="AD799" s="311">
        <v>0.55010000000000003</v>
      </c>
      <c r="AE799" s="311">
        <v>0.5746</v>
      </c>
      <c r="AF799" s="311">
        <v>0.49680000000000002</v>
      </c>
      <c r="AG799" s="311">
        <v>0.52849999999999997</v>
      </c>
      <c r="AH799" s="311">
        <v>0.53690000000000004</v>
      </c>
      <c r="AI799" s="311">
        <v>0.53920000000000001</v>
      </c>
      <c r="AJ799" s="311">
        <v>0.56130000000000002</v>
      </c>
      <c r="AK799" s="311">
        <v>0.55969999999999998</v>
      </c>
      <c r="AL799" s="311">
        <v>0.5514</v>
      </c>
      <c r="AM799" s="311">
        <v>0.57440000000000002</v>
      </c>
      <c r="AN799" s="311">
        <v>0.57469999999999999</v>
      </c>
      <c r="AO799" s="311">
        <v>0.5847</v>
      </c>
      <c r="AP799" s="311">
        <v>0.57189999999999996</v>
      </c>
      <c r="AQ799" s="311">
        <v>0.52059999999999995</v>
      </c>
      <c r="AR799" s="311">
        <v>0.55820000000000003</v>
      </c>
      <c r="AS799" s="311">
        <v>0.52929999999999999</v>
      </c>
      <c r="AT799" s="311">
        <v>0.57540000000000002</v>
      </c>
      <c r="AU799" s="311">
        <v>0.60899999999999999</v>
      </c>
      <c r="AV799" s="311">
        <v>0.59660000000000002</v>
      </c>
      <c r="AW799" s="311">
        <v>0.56940000000000002</v>
      </c>
      <c r="AX799" s="311">
        <v>0.53600000000000003</v>
      </c>
      <c r="AY799" s="311">
        <v>0.58789999999999998</v>
      </c>
      <c r="AZ799" s="311">
        <v>0.57079999999999997</v>
      </c>
      <c r="BA799" s="311">
        <v>0.4214</v>
      </c>
      <c r="BB799" s="311">
        <v>0.49590000000000001</v>
      </c>
      <c r="BC799" s="311">
        <v>0.60529999999999995</v>
      </c>
      <c r="BD799" s="311">
        <v>0.6139</v>
      </c>
      <c r="BE799" s="311">
        <v>0.60299999999999998</v>
      </c>
      <c r="BF799" s="311">
        <v>0.57130000000000003</v>
      </c>
      <c r="BG799" s="311">
        <v>0.61619999999999997</v>
      </c>
      <c r="BH799" s="311">
        <v>0.57269999999999999</v>
      </c>
      <c r="BI799" s="311">
        <v>0.60660000000000003</v>
      </c>
      <c r="BJ799" s="311">
        <v>0.6038</v>
      </c>
      <c r="BK799" s="311">
        <v>0.61650000000000005</v>
      </c>
    </row>
    <row r="800" spans="1:63" x14ac:dyDescent="0.25">
      <c r="A800" s="306">
        <v>713940</v>
      </c>
      <c r="B800" s="311" t="s">
        <v>341</v>
      </c>
      <c r="C800" s="311">
        <v>0.53480000000000005</v>
      </c>
      <c r="D800" s="311">
        <v>0.4254</v>
      </c>
      <c r="E800" s="311">
        <v>0.4446</v>
      </c>
      <c r="F800" s="311">
        <v>0.42809999999999998</v>
      </c>
      <c r="G800" s="311">
        <v>0.46929999999999999</v>
      </c>
      <c r="H800" s="311">
        <v>0.496</v>
      </c>
      <c r="I800" s="311">
        <v>0.4995</v>
      </c>
      <c r="J800" s="311">
        <v>0.43669999999999998</v>
      </c>
      <c r="K800" s="311">
        <v>0.1203</v>
      </c>
      <c r="L800" s="311">
        <v>0.3891</v>
      </c>
      <c r="M800" s="311">
        <v>0.47989999999999999</v>
      </c>
      <c r="N800" s="311">
        <v>0.49049999999999999</v>
      </c>
      <c r="O800" s="311">
        <v>0.45700000000000002</v>
      </c>
      <c r="P800" s="311">
        <v>0.36759999999999998</v>
      </c>
      <c r="Q800" s="311">
        <v>0.41909999999999997</v>
      </c>
      <c r="R800" s="311">
        <v>0.4919</v>
      </c>
      <c r="S800" s="311">
        <v>0.4088</v>
      </c>
      <c r="T800" s="311">
        <v>0.40810000000000002</v>
      </c>
      <c r="U800" s="311">
        <v>0.43430000000000002</v>
      </c>
      <c r="V800" s="311">
        <v>0.45200000000000001</v>
      </c>
      <c r="W800" s="311">
        <v>0.46110000000000001</v>
      </c>
      <c r="X800" s="311">
        <v>0.44829999999999998</v>
      </c>
      <c r="Y800" s="311">
        <v>0.45279999999999998</v>
      </c>
      <c r="Z800" s="311">
        <v>0.47210000000000002</v>
      </c>
      <c r="AA800" s="311">
        <v>0.47189999999999999</v>
      </c>
      <c r="AB800" s="311">
        <v>0.44400000000000001</v>
      </c>
      <c r="AC800" s="311">
        <v>0.39090000000000003</v>
      </c>
      <c r="AD800" s="311">
        <v>0.42909999999999998</v>
      </c>
      <c r="AE800" s="311">
        <v>0.45429999999999998</v>
      </c>
      <c r="AF800" s="311">
        <v>0.37090000000000001</v>
      </c>
      <c r="AG800" s="311">
        <v>0.42149999999999999</v>
      </c>
      <c r="AH800" s="311">
        <v>0.43419999999999997</v>
      </c>
      <c r="AI800" s="311">
        <v>0.47760000000000002</v>
      </c>
      <c r="AJ800" s="311">
        <v>0.42899999999999999</v>
      </c>
      <c r="AK800" s="311">
        <v>0.44440000000000002</v>
      </c>
      <c r="AL800" s="311">
        <v>0.44400000000000001</v>
      </c>
      <c r="AM800" s="311">
        <v>0.4713</v>
      </c>
      <c r="AN800" s="311">
        <v>0.4521</v>
      </c>
      <c r="AO800" s="311">
        <v>0.46229999999999999</v>
      </c>
      <c r="AP800" s="311">
        <v>0.4738</v>
      </c>
      <c r="AQ800" s="311">
        <v>0.42270000000000002</v>
      </c>
      <c r="AR800" s="311">
        <v>0.44850000000000001</v>
      </c>
      <c r="AS800" s="311">
        <v>0.39539999999999997</v>
      </c>
      <c r="AT800" s="311">
        <v>0.45700000000000002</v>
      </c>
      <c r="AU800" s="311">
        <v>0.49390000000000001</v>
      </c>
      <c r="AV800" s="311">
        <v>0.47720000000000001</v>
      </c>
      <c r="AW800" s="311">
        <v>0.45879999999999999</v>
      </c>
      <c r="AX800" s="311">
        <v>0.41439999999999999</v>
      </c>
      <c r="AY800" s="311">
        <v>0.46760000000000002</v>
      </c>
      <c r="AZ800" s="311">
        <v>0.4577</v>
      </c>
      <c r="BA800" s="311">
        <v>0.39179999999999998</v>
      </c>
      <c r="BB800" s="311">
        <v>0.38569999999999999</v>
      </c>
      <c r="BC800" s="311">
        <v>0.48770000000000002</v>
      </c>
      <c r="BD800" s="311">
        <v>0.50009999999999999</v>
      </c>
      <c r="BE800" s="311">
        <v>0.48820000000000002</v>
      </c>
      <c r="BF800" s="311">
        <v>0.45910000000000001</v>
      </c>
      <c r="BG800" s="311">
        <v>0.50009999999999999</v>
      </c>
      <c r="BH800" s="311">
        <v>0.45779999999999998</v>
      </c>
      <c r="BI800" s="311">
        <v>0.49230000000000002</v>
      </c>
      <c r="BJ800" s="311">
        <v>0.48599999999999999</v>
      </c>
      <c r="BK800" s="311">
        <v>0.49759999999999999</v>
      </c>
    </row>
    <row r="801" spans="1:63" x14ac:dyDescent="0.25">
      <c r="A801" s="306">
        <v>713950</v>
      </c>
      <c r="B801" s="311" t="s">
        <v>342</v>
      </c>
      <c r="C801" s="311">
        <v>0.49320000000000003</v>
      </c>
      <c r="D801" s="311">
        <v>0.38829999999999998</v>
      </c>
      <c r="E801" s="311">
        <v>0.40910000000000002</v>
      </c>
      <c r="F801" s="311">
        <v>0.39600000000000002</v>
      </c>
      <c r="G801" s="311">
        <v>0.42370000000000002</v>
      </c>
      <c r="H801" s="311">
        <v>0.4536</v>
      </c>
      <c r="I801" s="311">
        <v>0.45800000000000002</v>
      </c>
      <c r="J801" s="311">
        <v>0.3947</v>
      </c>
      <c r="K801" s="311">
        <v>0.10730000000000001</v>
      </c>
      <c r="L801" s="311">
        <v>0.34910000000000002</v>
      </c>
      <c r="M801" s="311">
        <v>0.43380000000000002</v>
      </c>
      <c r="N801" s="311">
        <v>0.4491</v>
      </c>
      <c r="O801" s="311">
        <v>0.41920000000000002</v>
      </c>
      <c r="P801" s="311">
        <v>0.34799999999999998</v>
      </c>
      <c r="Q801" s="311">
        <v>0.38950000000000001</v>
      </c>
      <c r="R801" s="311">
        <v>0.45079999999999998</v>
      </c>
      <c r="S801" s="311">
        <v>0.3826</v>
      </c>
      <c r="T801" s="311">
        <v>0.38319999999999999</v>
      </c>
      <c r="U801" s="311">
        <v>0.4052</v>
      </c>
      <c r="V801" s="311">
        <v>0.40799999999999997</v>
      </c>
      <c r="W801" s="311">
        <v>0.42230000000000001</v>
      </c>
      <c r="X801" s="311">
        <v>0.4052</v>
      </c>
      <c r="Y801" s="311">
        <v>0.41949999999999998</v>
      </c>
      <c r="Z801" s="311">
        <v>0.43059999999999998</v>
      </c>
      <c r="AA801" s="311">
        <v>0.43740000000000001</v>
      </c>
      <c r="AB801" s="311">
        <v>0.41099999999999998</v>
      </c>
      <c r="AC801" s="311">
        <v>0.35749999999999998</v>
      </c>
      <c r="AD801" s="311">
        <v>0.39369999999999999</v>
      </c>
      <c r="AE801" s="311">
        <v>0.41830000000000001</v>
      </c>
      <c r="AF801" s="311">
        <v>0.35320000000000001</v>
      </c>
      <c r="AG801" s="311">
        <v>0.39450000000000002</v>
      </c>
      <c r="AH801" s="311">
        <v>0.39700000000000002</v>
      </c>
      <c r="AI801" s="311">
        <v>0.433</v>
      </c>
      <c r="AJ801" s="311">
        <v>0.39800000000000002</v>
      </c>
      <c r="AK801" s="311">
        <v>0.39710000000000001</v>
      </c>
      <c r="AL801" s="311">
        <v>0.40400000000000003</v>
      </c>
      <c r="AM801" s="311">
        <v>0.43619999999999998</v>
      </c>
      <c r="AN801" s="311">
        <v>0.41749999999999998</v>
      </c>
      <c r="AO801" s="311">
        <v>0.42820000000000003</v>
      </c>
      <c r="AP801" s="311">
        <v>0.43630000000000002</v>
      </c>
      <c r="AQ801" s="311">
        <v>0.3861</v>
      </c>
      <c r="AR801" s="311">
        <v>0.40229999999999999</v>
      </c>
      <c r="AS801" s="311">
        <v>0.3664</v>
      </c>
      <c r="AT801" s="311">
        <v>0.41610000000000003</v>
      </c>
      <c r="AU801" s="311">
        <v>0.4451</v>
      </c>
      <c r="AV801" s="311">
        <v>0.43359999999999999</v>
      </c>
      <c r="AW801" s="311">
        <v>0.41810000000000003</v>
      </c>
      <c r="AX801" s="311">
        <v>0.38790000000000002</v>
      </c>
      <c r="AY801" s="311">
        <v>0.42899999999999999</v>
      </c>
      <c r="AZ801" s="311">
        <v>0.43159999999999998</v>
      </c>
      <c r="BA801" s="311">
        <v>0.35949999999999999</v>
      </c>
      <c r="BB801" s="311">
        <v>0.35599999999999998</v>
      </c>
      <c r="BC801" s="311">
        <v>0.44619999999999999</v>
      </c>
      <c r="BD801" s="311">
        <v>0.45619999999999999</v>
      </c>
      <c r="BE801" s="311">
        <v>0.4541</v>
      </c>
      <c r="BF801" s="311">
        <v>0.4299</v>
      </c>
      <c r="BG801" s="311">
        <v>0.45440000000000003</v>
      </c>
      <c r="BH801" s="311">
        <v>0.42380000000000001</v>
      </c>
      <c r="BI801" s="311">
        <v>0.44409999999999999</v>
      </c>
      <c r="BJ801" s="311">
        <v>0.442</v>
      </c>
      <c r="BK801" s="311">
        <v>0.45579999999999998</v>
      </c>
    </row>
    <row r="802" spans="1:63" x14ac:dyDescent="0.25">
      <c r="A802" s="306" t="s">
        <v>783</v>
      </c>
      <c r="B802" s="311" t="s">
        <v>343</v>
      </c>
      <c r="C802" s="311">
        <v>0.53620000000000001</v>
      </c>
      <c r="D802" s="311">
        <v>0.44180000000000003</v>
      </c>
      <c r="E802" s="311">
        <v>0.4572</v>
      </c>
      <c r="F802" s="311">
        <v>0.44390000000000002</v>
      </c>
      <c r="G802" s="311">
        <v>0.47220000000000001</v>
      </c>
      <c r="H802" s="311">
        <v>0.50619999999999998</v>
      </c>
      <c r="I802" s="311">
        <v>0.50380000000000003</v>
      </c>
      <c r="J802" s="311">
        <v>0.44119999999999998</v>
      </c>
      <c r="K802" s="311">
        <v>0.12809999999999999</v>
      </c>
      <c r="L802" s="311">
        <v>0.3962</v>
      </c>
      <c r="M802" s="311">
        <v>0.4869</v>
      </c>
      <c r="N802" s="311">
        <v>0.49469999999999997</v>
      </c>
      <c r="O802" s="311">
        <v>0.46700000000000003</v>
      </c>
      <c r="P802" s="311">
        <v>0.3831</v>
      </c>
      <c r="Q802" s="311">
        <v>0.43990000000000001</v>
      </c>
      <c r="R802" s="311">
        <v>0.49430000000000002</v>
      </c>
      <c r="S802" s="311">
        <v>0.4148</v>
      </c>
      <c r="T802" s="311">
        <v>0.42409999999999998</v>
      </c>
      <c r="U802" s="311">
        <v>0.4451</v>
      </c>
      <c r="V802" s="311">
        <v>0.46300000000000002</v>
      </c>
      <c r="W802" s="311">
        <v>0.4708</v>
      </c>
      <c r="X802" s="311">
        <v>0.45369999999999999</v>
      </c>
      <c r="Y802" s="311">
        <v>0.46929999999999999</v>
      </c>
      <c r="Z802" s="311">
        <v>0.48409999999999997</v>
      </c>
      <c r="AA802" s="311">
        <v>0.48110000000000003</v>
      </c>
      <c r="AB802" s="311">
        <v>0.45269999999999999</v>
      </c>
      <c r="AC802" s="311">
        <v>0.40339999999999998</v>
      </c>
      <c r="AD802" s="311">
        <v>0.44769999999999999</v>
      </c>
      <c r="AE802" s="311">
        <v>0.46829999999999999</v>
      </c>
      <c r="AF802" s="311">
        <v>0.39250000000000002</v>
      </c>
      <c r="AG802" s="311">
        <v>0.44240000000000002</v>
      </c>
      <c r="AH802" s="311">
        <v>0.44350000000000001</v>
      </c>
      <c r="AI802" s="311">
        <v>0.48520000000000002</v>
      </c>
      <c r="AJ802" s="311">
        <v>0.44740000000000002</v>
      </c>
      <c r="AK802" s="311">
        <v>0.4516</v>
      </c>
      <c r="AL802" s="311">
        <v>0.4536</v>
      </c>
      <c r="AM802" s="311">
        <v>0.47839999999999999</v>
      </c>
      <c r="AN802" s="311">
        <v>0.46679999999999999</v>
      </c>
      <c r="AO802" s="311">
        <v>0.4708</v>
      </c>
      <c r="AP802" s="311">
        <v>0.48199999999999998</v>
      </c>
      <c r="AQ802" s="311">
        <v>0.43430000000000002</v>
      </c>
      <c r="AR802" s="311">
        <v>0.45290000000000002</v>
      </c>
      <c r="AS802" s="311">
        <v>0.41760000000000003</v>
      </c>
      <c r="AT802" s="311">
        <v>0.4602</v>
      </c>
      <c r="AU802" s="311">
        <v>0.49619999999999997</v>
      </c>
      <c r="AV802" s="311">
        <v>0.47899999999999998</v>
      </c>
      <c r="AW802" s="311">
        <v>0.46600000000000003</v>
      </c>
      <c r="AX802" s="311">
        <v>0.43759999999999999</v>
      </c>
      <c r="AY802" s="311">
        <v>0.47660000000000002</v>
      </c>
      <c r="AZ802" s="311">
        <v>0.47360000000000002</v>
      </c>
      <c r="BA802" s="311">
        <v>0.40749999999999997</v>
      </c>
      <c r="BB802" s="311">
        <v>0.40550000000000003</v>
      </c>
      <c r="BC802" s="311">
        <v>0.49719999999999998</v>
      </c>
      <c r="BD802" s="311">
        <v>0.50619999999999998</v>
      </c>
      <c r="BE802" s="311">
        <v>0.49690000000000001</v>
      </c>
      <c r="BF802" s="311">
        <v>0.4708</v>
      </c>
      <c r="BG802" s="311">
        <v>0.505</v>
      </c>
      <c r="BH802" s="311">
        <v>0.46600000000000003</v>
      </c>
      <c r="BI802" s="311">
        <v>0.49390000000000001</v>
      </c>
      <c r="BJ802" s="311">
        <v>0.4879</v>
      </c>
      <c r="BK802" s="311">
        <v>0.50670000000000004</v>
      </c>
    </row>
    <row r="803" spans="1:63" x14ac:dyDescent="0.25">
      <c r="A803" s="306" t="s">
        <v>784</v>
      </c>
      <c r="B803" s="311" t="s">
        <v>344</v>
      </c>
      <c r="C803" s="311">
        <v>0.52129999999999999</v>
      </c>
      <c r="D803" s="311">
        <v>0.4194</v>
      </c>
      <c r="E803" s="311">
        <v>0.4425</v>
      </c>
      <c r="F803" s="311">
        <v>0.42399999999999999</v>
      </c>
      <c r="G803" s="311">
        <v>0.45529999999999998</v>
      </c>
      <c r="H803" s="311">
        <v>0.48320000000000002</v>
      </c>
      <c r="I803" s="311">
        <v>0.48230000000000001</v>
      </c>
      <c r="J803" s="311">
        <v>0.42280000000000001</v>
      </c>
      <c r="K803" s="311">
        <v>0.11849999999999999</v>
      </c>
      <c r="L803" s="311">
        <v>0.3795</v>
      </c>
      <c r="M803" s="311">
        <v>0.4672</v>
      </c>
      <c r="N803" s="311">
        <v>0.4768</v>
      </c>
      <c r="O803" s="311">
        <v>0.4471</v>
      </c>
      <c r="P803" s="311">
        <v>0.36320000000000002</v>
      </c>
      <c r="Q803" s="311">
        <v>0.41699999999999998</v>
      </c>
      <c r="R803" s="311">
        <v>0.47549999999999998</v>
      </c>
      <c r="S803" s="311">
        <v>0.40239999999999998</v>
      </c>
      <c r="T803" s="311">
        <v>0.40360000000000001</v>
      </c>
      <c r="U803" s="311">
        <v>0.4284</v>
      </c>
      <c r="V803" s="311">
        <v>0.44319999999999998</v>
      </c>
      <c r="W803" s="311">
        <v>0.44879999999999998</v>
      </c>
      <c r="X803" s="311">
        <v>0.43490000000000001</v>
      </c>
      <c r="Y803" s="311">
        <v>0.44640000000000002</v>
      </c>
      <c r="Z803" s="311">
        <v>0.46260000000000001</v>
      </c>
      <c r="AA803" s="311">
        <v>0.4587</v>
      </c>
      <c r="AB803" s="311">
        <v>0.43309999999999998</v>
      </c>
      <c r="AC803" s="311">
        <v>0.38719999999999999</v>
      </c>
      <c r="AD803" s="311">
        <v>0.42370000000000002</v>
      </c>
      <c r="AE803" s="311">
        <v>0.44890000000000002</v>
      </c>
      <c r="AF803" s="311">
        <v>0.3695</v>
      </c>
      <c r="AG803" s="311">
        <v>0.41549999999999998</v>
      </c>
      <c r="AH803" s="311">
        <v>0.4259</v>
      </c>
      <c r="AI803" s="311">
        <v>0.4652</v>
      </c>
      <c r="AJ803" s="311">
        <v>0.42530000000000001</v>
      </c>
      <c r="AK803" s="311">
        <v>0.43120000000000003</v>
      </c>
      <c r="AL803" s="311">
        <v>0.43120000000000003</v>
      </c>
      <c r="AM803" s="311">
        <v>0.46260000000000001</v>
      </c>
      <c r="AN803" s="311">
        <v>0.4446</v>
      </c>
      <c r="AO803" s="311">
        <v>0.45329999999999998</v>
      </c>
      <c r="AP803" s="311">
        <v>0.46350000000000002</v>
      </c>
      <c r="AQ803" s="311">
        <v>0.41539999999999999</v>
      </c>
      <c r="AR803" s="311">
        <v>0.44419999999999998</v>
      </c>
      <c r="AS803" s="311">
        <v>0.39119999999999999</v>
      </c>
      <c r="AT803" s="311">
        <v>0.44879999999999998</v>
      </c>
      <c r="AU803" s="311">
        <v>0.47960000000000003</v>
      </c>
      <c r="AV803" s="311">
        <v>0.46150000000000002</v>
      </c>
      <c r="AW803" s="311">
        <v>0.44690000000000002</v>
      </c>
      <c r="AX803" s="311">
        <v>0.4108</v>
      </c>
      <c r="AY803" s="311">
        <v>0.45929999999999999</v>
      </c>
      <c r="AZ803" s="311">
        <v>0.4506</v>
      </c>
      <c r="BA803" s="311">
        <v>0.38779999999999998</v>
      </c>
      <c r="BB803" s="311">
        <v>0.3831</v>
      </c>
      <c r="BC803" s="311">
        <v>0.47570000000000001</v>
      </c>
      <c r="BD803" s="311">
        <v>0.48499999999999999</v>
      </c>
      <c r="BE803" s="311">
        <v>0.47670000000000001</v>
      </c>
      <c r="BF803" s="311">
        <v>0.4491</v>
      </c>
      <c r="BG803" s="311">
        <v>0.4869</v>
      </c>
      <c r="BH803" s="311">
        <v>0.45450000000000002</v>
      </c>
      <c r="BI803" s="311">
        <v>0.47860000000000003</v>
      </c>
      <c r="BJ803" s="311">
        <v>0.47149999999999997</v>
      </c>
      <c r="BK803" s="311">
        <v>0.48559999999999998</v>
      </c>
    </row>
    <row r="804" spans="1:63" x14ac:dyDescent="0.25">
      <c r="A804" s="306" t="s">
        <v>785</v>
      </c>
      <c r="B804" s="311" t="s">
        <v>345</v>
      </c>
      <c r="C804" s="311">
        <v>0.48280000000000001</v>
      </c>
      <c r="D804" s="311">
        <v>0.38479999999999998</v>
      </c>
      <c r="E804" s="311">
        <v>0.3992</v>
      </c>
      <c r="F804" s="311">
        <v>0.39240000000000003</v>
      </c>
      <c r="G804" s="311">
        <v>0.41920000000000002</v>
      </c>
      <c r="H804" s="311">
        <v>0.4461</v>
      </c>
      <c r="I804" s="311">
        <v>0.4461</v>
      </c>
      <c r="J804" s="311">
        <v>0.4017</v>
      </c>
      <c r="K804" s="311">
        <v>0.1203</v>
      </c>
      <c r="L804" s="311">
        <v>0.37730000000000002</v>
      </c>
      <c r="M804" s="311">
        <v>0.43059999999999998</v>
      </c>
      <c r="N804" s="311">
        <v>0.44429999999999997</v>
      </c>
      <c r="O804" s="311">
        <v>0.41620000000000001</v>
      </c>
      <c r="P804" s="311">
        <v>0.37190000000000001</v>
      </c>
      <c r="Q804" s="311">
        <v>0.3886</v>
      </c>
      <c r="R804" s="311">
        <v>0.44750000000000001</v>
      </c>
      <c r="S804" s="311">
        <v>0.39510000000000001</v>
      </c>
      <c r="T804" s="311">
        <v>0.37619999999999998</v>
      </c>
      <c r="U804" s="311">
        <v>0.3901</v>
      </c>
      <c r="V804" s="311">
        <v>0.4098</v>
      </c>
      <c r="W804" s="311">
        <v>0.4279</v>
      </c>
      <c r="X804" s="311">
        <v>0.37369999999999998</v>
      </c>
      <c r="Y804" s="311">
        <v>0.41170000000000001</v>
      </c>
      <c r="Z804" s="311">
        <v>0.43080000000000002</v>
      </c>
      <c r="AA804" s="311">
        <v>0.42580000000000001</v>
      </c>
      <c r="AB804" s="311">
        <v>0.40350000000000003</v>
      </c>
      <c r="AC804" s="311">
        <v>0.37109999999999999</v>
      </c>
      <c r="AD804" s="311">
        <v>0.3826</v>
      </c>
      <c r="AE804" s="311">
        <v>0.41410000000000002</v>
      </c>
      <c r="AF804" s="311">
        <v>0.34839999999999999</v>
      </c>
      <c r="AG804" s="311">
        <v>0.38590000000000002</v>
      </c>
      <c r="AH804" s="311">
        <v>0.38929999999999998</v>
      </c>
      <c r="AI804" s="311">
        <v>0.41499999999999998</v>
      </c>
      <c r="AJ804" s="311">
        <v>0.3906</v>
      </c>
      <c r="AK804" s="311">
        <v>0.40489999999999998</v>
      </c>
      <c r="AL804" s="311">
        <v>0.39460000000000001</v>
      </c>
      <c r="AM804" s="311">
        <v>0.42780000000000001</v>
      </c>
      <c r="AN804" s="311">
        <v>0.41189999999999999</v>
      </c>
      <c r="AO804" s="311">
        <v>0.41689999999999999</v>
      </c>
      <c r="AP804" s="311">
        <v>0.42920000000000003</v>
      </c>
      <c r="AQ804" s="311">
        <v>0.3866</v>
      </c>
      <c r="AR804" s="311">
        <v>0.40560000000000002</v>
      </c>
      <c r="AS804" s="311">
        <v>0.36459999999999998</v>
      </c>
      <c r="AT804" s="311">
        <v>0.41849999999999998</v>
      </c>
      <c r="AU804" s="311">
        <v>0.43659999999999999</v>
      </c>
      <c r="AV804" s="311">
        <v>0.44</v>
      </c>
      <c r="AW804" s="311">
        <v>0.40670000000000001</v>
      </c>
      <c r="AX804" s="311">
        <v>0.37740000000000001</v>
      </c>
      <c r="AY804" s="311">
        <v>0.41930000000000001</v>
      </c>
      <c r="AZ804" s="311">
        <v>0.41870000000000002</v>
      </c>
      <c r="BA804" s="311">
        <v>0.35149999999999998</v>
      </c>
      <c r="BB804" s="311">
        <v>0.3528</v>
      </c>
      <c r="BC804" s="311">
        <v>0.44340000000000002</v>
      </c>
      <c r="BD804" s="311">
        <v>0.4491</v>
      </c>
      <c r="BE804" s="311">
        <v>0.44629999999999997</v>
      </c>
      <c r="BF804" s="311">
        <v>0.42059999999999997</v>
      </c>
      <c r="BG804" s="311">
        <v>0.4511</v>
      </c>
      <c r="BH804" s="311">
        <v>0.41420000000000001</v>
      </c>
      <c r="BI804" s="311">
        <v>0.43619999999999998</v>
      </c>
      <c r="BJ804" s="311">
        <v>0.4355</v>
      </c>
      <c r="BK804" s="311">
        <v>0.44850000000000001</v>
      </c>
    </row>
    <row r="805" spans="1:63" x14ac:dyDescent="0.25">
      <c r="A805" s="306" t="s">
        <v>786</v>
      </c>
      <c r="B805" s="311" t="s">
        <v>346</v>
      </c>
      <c r="C805" s="311">
        <v>0.42749999999999999</v>
      </c>
      <c r="D805" s="311">
        <v>0.32600000000000001</v>
      </c>
      <c r="E805" s="311">
        <v>0.34689999999999999</v>
      </c>
      <c r="F805" s="311">
        <v>0.33239999999999997</v>
      </c>
      <c r="G805" s="311">
        <v>0.36309999999999998</v>
      </c>
      <c r="H805" s="311">
        <v>0.38519999999999999</v>
      </c>
      <c r="I805" s="311">
        <v>0.3896</v>
      </c>
      <c r="J805" s="311">
        <v>0.34549999999999997</v>
      </c>
      <c r="K805" s="311">
        <v>9.5399999999999999E-2</v>
      </c>
      <c r="L805" s="311">
        <v>0.32069999999999999</v>
      </c>
      <c r="M805" s="311">
        <v>0.37319999999999998</v>
      </c>
      <c r="N805" s="311">
        <v>0.38700000000000001</v>
      </c>
      <c r="O805" s="311">
        <v>0.3589</v>
      </c>
      <c r="P805" s="311">
        <v>0.30840000000000001</v>
      </c>
      <c r="Q805" s="311">
        <v>0.32219999999999999</v>
      </c>
      <c r="R805" s="311">
        <v>0.3896</v>
      </c>
      <c r="S805" s="311">
        <v>0.34289999999999998</v>
      </c>
      <c r="T805" s="311">
        <v>0.3165</v>
      </c>
      <c r="U805" s="311">
        <v>0.34029999999999999</v>
      </c>
      <c r="V805" s="311">
        <v>0.35239999999999999</v>
      </c>
      <c r="W805" s="311">
        <v>0.36709999999999998</v>
      </c>
      <c r="X805" s="311">
        <v>0.32979999999999998</v>
      </c>
      <c r="Y805" s="311">
        <v>0.35160000000000002</v>
      </c>
      <c r="Z805" s="311">
        <v>0.36870000000000003</v>
      </c>
      <c r="AA805" s="311">
        <v>0.3639</v>
      </c>
      <c r="AB805" s="311">
        <v>0.34849999999999998</v>
      </c>
      <c r="AC805" s="311">
        <v>0.31659999999999999</v>
      </c>
      <c r="AD805" s="311">
        <v>0.3241</v>
      </c>
      <c r="AE805" s="311">
        <v>0.35460000000000003</v>
      </c>
      <c r="AF805" s="311">
        <v>0.28599999999999998</v>
      </c>
      <c r="AG805" s="311">
        <v>0.31979999999999997</v>
      </c>
      <c r="AH805" s="311">
        <v>0.33779999999999999</v>
      </c>
      <c r="AI805" s="311">
        <v>0.36080000000000001</v>
      </c>
      <c r="AJ805" s="311">
        <v>0.33389999999999997</v>
      </c>
      <c r="AK805" s="311">
        <v>0.34320000000000001</v>
      </c>
      <c r="AL805" s="311">
        <v>0.33679999999999999</v>
      </c>
      <c r="AM805" s="311">
        <v>0.37259999999999999</v>
      </c>
      <c r="AN805" s="311">
        <v>0.35709999999999997</v>
      </c>
      <c r="AO805" s="311">
        <v>0.36030000000000001</v>
      </c>
      <c r="AP805" s="311">
        <v>0.37180000000000002</v>
      </c>
      <c r="AQ805" s="311">
        <v>0.33090000000000003</v>
      </c>
      <c r="AR805" s="311">
        <v>0.35470000000000002</v>
      </c>
      <c r="AS805" s="311">
        <v>0.29599999999999999</v>
      </c>
      <c r="AT805" s="311">
        <v>0.3634</v>
      </c>
      <c r="AU805" s="311">
        <v>0.38369999999999999</v>
      </c>
      <c r="AV805" s="311">
        <v>0.3795</v>
      </c>
      <c r="AW805" s="311">
        <v>0.3533</v>
      </c>
      <c r="AX805" s="311">
        <v>0.31900000000000001</v>
      </c>
      <c r="AY805" s="311">
        <v>0.3624</v>
      </c>
      <c r="AZ805" s="311">
        <v>0.35680000000000001</v>
      </c>
      <c r="BA805" s="311">
        <v>0.29920000000000002</v>
      </c>
      <c r="BB805" s="311">
        <v>0.2923</v>
      </c>
      <c r="BC805" s="311">
        <v>0.38240000000000002</v>
      </c>
      <c r="BD805" s="311">
        <v>0.38790000000000002</v>
      </c>
      <c r="BE805" s="311">
        <v>0.3881</v>
      </c>
      <c r="BF805" s="311">
        <v>0.35970000000000002</v>
      </c>
      <c r="BG805" s="311">
        <v>0.39379999999999998</v>
      </c>
      <c r="BH805" s="311">
        <v>0.3614</v>
      </c>
      <c r="BI805" s="311">
        <v>0.38329999999999997</v>
      </c>
      <c r="BJ805" s="311">
        <v>0.37909999999999999</v>
      </c>
      <c r="BK805" s="311">
        <v>0.38850000000000001</v>
      </c>
    </row>
    <row r="806" spans="1:63" x14ac:dyDescent="0.25">
      <c r="A806" s="306">
        <v>722000</v>
      </c>
      <c r="B806" s="311" t="s">
        <v>347</v>
      </c>
      <c r="C806" s="311">
        <v>0.5363</v>
      </c>
      <c r="D806" s="311">
        <v>0.39340000000000003</v>
      </c>
      <c r="E806" s="311">
        <v>0.43469999999999998</v>
      </c>
      <c r="F806" s="311">
        <v>0.43769999999999998</v>
      </c>
      <c r="G806" s="311">
        <v>0.44009999999999999</v>
      </c>
      <c r="H806" s="311">
        <v>0.47620000000000001</v>
      </c>
      <c r="I806" s="311">
        <v>0.4773</v>
      </c>
      <c r="J806" s="311">
        <v>0.43109999999999998</v>
      </c>
      <c r="K806" s="311">
        <v>0.14799999999999999</v>
      </c>
      <c r="L806" s="311">
        <v>0.37940000000000002</v>
      </c>
      <c r="M806" s="311">
        <v>0.45079999999999998</v>
      </c>
      <c r="N806" s="311">
        <v>0.47539999999999999</v>
      </c>
      <c r="O806" s="311">
        <v>0.43120000000000003</v>
      </c>
      <c r="P806" s="311">
        <v>0.40789999999999998</v>
      </c>
      <c r="Q806" s="311">
        <v>0.41410000000000002</v>
      </c>
      <c r="R806" s="311">
        <v>0.48080000000000001</v>
      </c>
      <c r="S806" s="311">
        <v>0.44240000000000002</v>
      </c>
      <c r="T806" s="311">
        <v>0.39839999999999998</v>
      </c>
      <c r="U806" s="311">
        <v>0.43380000000000002</v>
      </c>
      <c r="V806" s="311">
        <v>0.43290000000000001</v>
      </c>
      <c r="W806" s="311">
        <v>0.4456</v>
      </c>
      <c r="X806" s="311">
        <v>0.42049999999999998</v>
      </c>
      <c r="Y806" s="311">
        <v>0.43359999999999999</v>
      </c>
      <c r="Z806" s="311">
        <v>0.45979999999999999</v>
      </c>
      <c r="AA806" s="311">
        <v>0.47049999999999997</v>
      </c>
      <c r="AB806" s="311">
        <v>0.44800000000000001</v>
      </c>
      <c r="AC806" s="311">
        <v>0.4123</v>
      </c>
      <c r="AD806" s="311">
        <v>0.4042</v>
      </c>
      <c r="AE806" s="311">
        <v>0.45129999999999998</v>
      </c>
      <c r="AF806" s="311">
        <v>0.37759999999999999</v>
      </c>
      <c r="AG806" s="311">
        <v>0.41510000000000002</v>
      </c>
      <c r="AH806" s="311">
        <v>0.40160000000000001</v>
      </c>
      <c r="AI806" s="311">
        <v>0.44130000000000003</v>
      </c>
      <c r="AJ806" s="311">
        <v>0.40770000000000001</v>
      </c>
      <c r="AK806" s="311">
        <v>0.42499999999999999</v>
      </c>
      <c r="AL806" s="311">
        <v>0.42599999999999999</v>
      </c>
      <c r="AM806" s="311">
        <v>0.46860000000000002</v>
      </c>
      <c r="AN806" s="311">
        <v>0.44040000000000001</v>
      </c>
      <c r="AO806" s="311">
        <v>0.44940000000000002</v>
      </c>
      <c r="AP806" s="311">
        <v>0.46810000000000002</v>
      </c>
      <c r="AQ806" s="311">
        <v>0.40789999999999998</v>
      </c>
      <c r="AR806" s="311">
        <v>0.43580000000000002</v>
      </c>
      <c r="AS806" s="311">
        <v>0.39079999999999998</v>
      </c>
      <c r="AT806" s="311">
        <v>0.45140000000000002</v>
      </c>
      <c r="AU806" s="311">
        <v>0.47249999999999998</v>
      </c>
      <c r="AV806" s="311">
        <v>0.47420000000000001</v>
      </c>
      <c r="AW806" s="311">
        <v>0.44109999999999999</v>
      </c>
      <c r="AX806" s="311">
        <v>0.39279999999999998</v>
      </c>
      <c r="AY806" s="311">
        <v>0.45050000000000001</v>
      </c>
      <c r="AZ806" s="311">
        <v>0.4592</v>
      </c>
      <c r="BA806" s="311">
        <v>0.3846</v>
      </c>
      <c r="BB806" s="311">
        <v>0.37069999999999997</v>
      </c>
      <c r="BC806" s="311">
        <v>0.46750000000000003</v>
      </c>
      <c r="BD806" s="311">
        <v>0.47849999999999998</v>
      </c>
      <c r="BE806" s="311">
        <v>0.48899999999999999</v>
      </c>
      <c r="BF806" s="311">
        <v>0.46550000000000002</v>
      </c>
      <c r="BG806" s="311">
        <v>0.48120000000000002</v>
      </c>
      <c r="BH806" s="311">
        <v>0.45689999999999997</v>
      </c>
      <c r="BI806" s="311">
        <v>0.47720000000000001</v>
      </c>
      <c r="BJ806" s="311">
        <v>0.46650000000000003</v>
      </c>
      <c r="BK806" s="311">
        <v>0.48070000000000002</v>
      </c>
    </row>
    <row r="807" spans="1:63" x14ac:dyDescent="0.25">
      <c r="A807" s="306">
        <v>811192</v>
      </c>
      <c r="B807" s="311" t="s">
        <v>349</v>
      </c>
      <c r="C807" s="311">
        <v>0.53490000000000004</v>
      </c>
      <c r="D807" s="311">
        <v>0.41749999999999998</v>
      </c>
      <c r="E807" s="311">
        <v>0.45469999999999999</v>
      </c>
      <c r="F807" s="311">
        <v>0.4304</v>
      </c>
      <c r="G807" s="311">
        <v>0.4652</v>
      </c>
      <c r="H807" s="311">
        <v>0.4854</v>
      </c>
      <c r="I807" s="311">
        <v>0.48399999999999999</v>
      </c>
      <c r="J807" s="311">
        <v>0.45660000000000001</v>
      </c>
      <c r="K807" s="311">
        <v>0.11749999999999999</v>
      </c>
      <c r="L807" s="311">
        <v>0.371</v>
      </c>
      <c r="M807" s="311">
        <v>0.47020000000000001</v>
      </c>
      <c r="N807" s="311">
        <v>0.48320000000000002</v>
      </c>
      <c r="O807" s="311">
        <v>0.44840000000000002</v>
      </c>
      <c r="P807" s="311">
        <v>0.41539999999999999</v>
      </c>
      <c r="Q807" s="311">
        <v>0.41980000000000001</v>
      </c>
      <c r="R807" s="311">
        <v>0.4924</v>
      </c>
      <c r="S807" s="311">
        <v>0.4516</v>
      </c>
      <c r="T807" s="311">
        <v>0.40820000000000001</v>
      </c>
      <c r="U807" s="311">
        <v>0.44359999999999999</v>
      </c>
      <c r="V807" s="311">
        <v>0.44359999999999999</v>
      </c>
      <c r="W807" s="311">
        <v>0.44869999999999999</v>
      </c>
      <c r="X807" s="311">
        <v>0.44950000000000001</v>
      </c>
      <c r="Y807" s="311">
        <v>0.44700000000000001</v>
      </c>
      <c r="Z807" s="311">
        <v>0.47899999999999998</v>
      </c>
      <c r="AA807" s="311">
        <v>0.45400000000000001</v>
      </c>
      <c r="AB807" s="311">
        <v>0.4481</v>
      </c>
      <c r="AC807" s="311">
        <v>0.43</v>
      </c>
      <c r="AD807" s="311">
        <v>0.41970000000000002</v>
      </c>
      <c r="AE807" s="311">
        <v>0.4607</v>
      </c>
      <c r="AF807" s="311">
        <v>0.36620000000000003</v>
      </c>
      <c r="AG807" s="311">
        <v>0.41930000000000001</v>
      </c>
      <c r="AH807" s="311">
        <v>0.43059999999999998</v>
      </c>
      <c r="AI807" s="311">
        <v>0.45929999999999999</v>
      </c>
      <c r="AJ807" s="311">
        <v>0.43159999999999998</v>
      </c>
      <c r="AK807" s="311">
        <v>0.44390000000000002</v>
      </c>
      <c r="AL807" s="311">
        <v>0.45229999999999998</v>
      </c>
      <c r="AM807" s="311">
        <v>0.47949999999999998</v>
      </c>
      <c r="AN807" s="311">
        <v>0.45750000000000002</v>
      </c>
      <c r="AO807" s="311">
        <v>0.44290000000000002</v>
      </c>
      <c r="AP807" s="311">
        <v>0.46689999999999998</v>
      </c>
      <c r="AQ807" s="311">
        <v>0.4128</v>
      </c>
      <c r="AR807" s="311">
        <v>0.46689999999999998</v>
      </c>
      <c r="AS807" s="311">
        <v>0.39429999999999998</v>
      </c>
      <c r="AT807" s="311">
        <v>0.45550000000000002</v>
      </c>
      <c r="AU807" s="311">
        <v>0.48820000000000002</v>
      </c>
      <c r="AV807" s="311">
        <v>0.4859</v>
      </c>
      <c r="AW807" s="311">
        <v>0.4587</v>
      </c>
      <c r="AX807" s="311">
        <v>0.4158</v>
      </c>
      <c r="AY807" s="311">
        <v>0.45639999999999997</v>
      </c>
      <c r="AZ807" s="311">
        <v>0.46160000000000001</v>
      </c>
      <c r="BA807" s="311">
        <v>0.40579999999999999</v>
      </c>
      <c r="BB807" s="311">
        <v>0.39850000000000002</v>
      </c>
      <c r="BC807" s="311">
        <v>0.47799999999999998</v>
      </c>
      <c r="BD807" s="311">
        <v>0.49099999999999999</v>
      </c>
      <c r="BE807" s="311">
        <v>0.49709999999999999</v>
      </c>
      <c r="BF807" s="311">
        <v>0.45839999999999997</v>
      </c>
      <c r="BG807" s="311">
        <v>0.49220000000000003</v>
      </c>
      <c r="BH807" s="311">
        <v>0.46910000000000002</v>
      </c>
      <c r="BI807" s="311">
        <v>0.48680000000000001</v>
      </c>
      <c r="BJ807" s="311">
        <v>0.47710000000000002</v>
      </c>
      <c r="BK807" s="311">
        <v>0.48570000000000002</v>
      </c>
    </row>
    <row r="808" spans="1:63" x14ac:dyDescent="0.25">
      <c r="A808" s="306" t="s">
        <v>787</v>
      </c>
      <c r="B808" s="311" t="s">
        <v>348</v>
      </c>
      <c r="C808" s="311">
        <v>0.52600000000000002</v>
      </c>
      <c r="D808" s="311">
        <v>0.39529999999999998</v>
      </c>
      <c r="E808" s="311">
        <v>0.45300000000000001</v>
      </c>
      <c r="F808" s="311">
        <v>0.42799999999999999</v>
      </c>
      <c r="G808" s="311">
        <v>0.4446</v>
      </c>
      <c r="H808" s="311">
        <v>0.46479999999999999</v>
      </c>
      <c r="I808" s="311">
        <v>0.4612</v>
      </c>
      <c r="J808" s="311">
        <v>0.44490000000000002</v>
      </c>
      <c r="K808" s="311">
        <v>0.1084</v>
      </c>
      <c r="L808" s="311">
        <v>0.35189999999999999</v>
      </c>
      <c r="M808" s="311">
        <v>0.44879999999999998</v>
      </c>
      <c r="N808" s="311">
        <v>0.46810000000000002</v>
      </c>
      <c r="O808" s="311">
        <v>0.42570000000000002</v>
      </c>
      <c r="P808" s="311">
        <v>0.41249999999999998</v>
      </c>
      <c r="Q808" s="311">
        <v>0.40670000000000001</v>
      </c>
      <c r="R808" s="311">
        <v>0.48270000000000002</v>
      </c>
      <c r="S808" s="311">
        <v>0.4506</v>
      </c>
      <c r="T808" s="311">
        <v>0.39090000000000003</v>
      </c>
      <c r="U808" s="311">
        <v>0.43909999999999999</v>
      </c>
      <c r="V808" s="311">
        <v>0.4199</v>
      </c>
      <c r="W808" s="311">
        <v>0.4355</v>
      </c>
      <c r="X808" s="311">
        <v>0.42909999999999998</v>
      </c>
      <c r="Y808" s="311">
        <v>0.4335</v>
      </c>
      <c r="Z808" s="311">
        <v>0.47749999999999998</v>
      </c>
      <c r="AA808" s="311">
        <v>0.44350000000000001</v>
      </c>
      <c r="AB808" s="311">
        <v>0.44379999999999997</v>
      </c>
      <c r="AC808" s="311">
        <v>0.4244</v>
      </c>
      <c r="AD808" s="311">
        <v>0.4</v>
      </c>
      <c r="AE808" s="311">
        <v>0.4577</v>
      </c>
      <c r="AF808" s="311">
        <v>0.35680000000000001</v>
      </c>
      <c r="AG808" s="311">
        <v>0.4123</v>
      </c>
      <c r="AH808" s="311">
        <v>0.42</v>
      </c>
      <c r="AI808" s="311">
        <v>0.43790000000000001</v>
      </c>
      <c r="AJ808" s="311">
        <v>0.4108</v>
      </c>
      <c r="AK808" s="311">
        <v>0.42670000000000002</v>
      </c>
      <c r="AL808" s="311">
        <v>0.43330000000000002</v>
      </c>
      <c r="AM808" s="311">
        <v>0.4753</v>
      </c>
      <c r="AN808" s="311">
        <v>0.44230000000000003</v>
      </c>
      <c r="AO808" s="311">
        <v>0.43259999999999998</v>
      </c>
      <c r="AP808" s="311">
        <v>0.45619999999999999</v>
      </c>
      <c r="AQ808" s="311">
        <v>0.39939999999999998</v>
      </c>
      <c r="AR808" s="311">
        <v>0.46179999999999999</v>
      </c>
      <c r="AS808" s="311">
        <v>0.38419999999999999</v>
      </c>
      <c r="AT808" s="311">
        <v>0.44850000000000001</v>
      </c>
      <c r="AU808" s="311">
        <v>0.46650000000000003</v>
      </c>
      <c r="AV808" s="311">
        <v>0.47289999999999999</v>
      </c>
      <c r="AW808" s="311">
        <v>0.44230000000000003</v>
      </c>
      <c r="AX808" s="311">
        <v>0.40849999999999997</v>
      </c>
      <c r="AY808" s="311">
        <v>0.43819999999999998</v>
      </c>
      <c r="AZ808" s="311">
        <v>0.46189999999999998</v>
      </c>
      <c r="BA808" s="311">
        <v>0.40029999999999999</v>
      </c>
      <c r="BB808" s="311">
        <v>0.3841</v>
      </c>
      <c r="BC808" s="311">
        <v>0.46650000000000003</v>
      </c>
      <c r="BD808" s="311">
        <v>0.47199999999999998</v>
      </c>
      <c r="BE808" s="311">
        <v>0.49309999999999998</v>
      </c>
      <c r="BF808" s="311">
        <v>0.45069999999999999</v>
      </c>
      <c r="BG808" s="311">
        <v>0.47439999999999999</v>
      </c>
      <c r="BH808" s="311">
        <v>0.4637</v>
      </c>
      <c r="BI808" s="311">
        <v>0.46610000000000001</v>
      </c>
      <c r="BJ808" s="311">
        <v>0.4541</v>
      </c>
      <c r="BK808" s="311">
        <v>0.4652</v>
      </c>
    </row>
    <row r="809" spans="1:63" x14ac:dyDescent="0.25">
      <c r="A809" s="306">
        <v>811200</v>
      </c>
      <c r="B809" s="311" t="s">
        <v>350</v>
      </c>
      <c r="C809" s="311">
        <v>0.56459999999999999</v>
      </c>
      <c r="D809" s="311">
        <v>0.46400000000000002</v>
      </c>
      <c r="E809" s="311">
        <v>0.48080000000000001</v>
      </c>
      <c r="F809" s="311">
        <v>0.4466</v>
      </c>
      <c r="G809" s="311">
        <v>0.51819999999999999</v>
      </c>
      <c r="H809" s="311">
        <v>0.53320000000000001</v>
      </c>
      <c r="I809" s="311">
        <v>0.51519999999999999</v>
      </c>
      <c r="J809" s="311">
        <v>0.47610000000000002</v>
      </c>
      <c r="K809" s="311">
        <v>9.0700000000000003E-2</v>
      </c>
      <c r="L809" s="311">
        <v>0.3831</v>
      </c>
      <c r="M809" s="311">
        <v>0.51419999999999999</v>
      </c>
      <c r="N809" s="311">
        <v>0.51490000000000002</v>
      </c>
      <c r="O809" s="311">
        <v>0.47920000000000001</v>
      </c>
      <c r="P809" s="311">
        <v>0.43580000000000002</v>
      </c>
      <c r="Q809" s="311">
        <v>0.47889999999999999</v>
      </c>
      <c r="R809" s="311">
        <v>0.51339999999999997</v>
      </c>
      <c r="S809" s="311">
        <v>0.49349999999999999</v>
      </c>
      <c r="T809" s="311">
        <v>0.42659999999999998</v>
      </c>
      <c r="U809" s="311">
        <v>0.46250000000000002</v>
      </c>
      <c r="V809" s="311">
        <v>0.47639999999999999</v>
      </c>
      <c r="W809" s="311">
        <v>0.4798</v>
      </c>
      <c r="X809" s="311">
        <v>0.45779999999999998</v>
      </c>
      <c r="Y809" s="311">
        <v>0.4839</v>
      </c>
      <c r="Z809" s="311">
        <v>0.51649999999999996</v>
      </c>
      <c r="AA809" s="311">
        <v>0.49719999999999998</v>
      </c>
      <c r="AB809" s="311">
        <v>0.4209</v>
      </c>
      <c r="AC809" s="311">
        <v>0.46260000000000001</v>
      </c>
      <c r="AD809" s="311">
        <v>0.44409999999999999</v>
      </c>
      <c r="AE809" s="311">
        <v>0.49930000000000002</v>
      </c>
      <c r="AF809" s="311">
        <v>0.31469999999999998</v>
      </c>
      <c r="AG809" s="311">
        <v>0.43919999999999998</v>
      </c>
      <c r="AH809" s="311">
        <v>0.39650000000000002</v>
      </c>
      <c r="AI809" s="311">
        <v>0.4763</v>
      </c>
      <c r="AJ809" s="311">
        <v>0.47910000000000003</v>
      </c>
      <c r="AK809" s="311">
        <v>0.48820000000000002</v>
      </c>
      <c r="AL809" s="311">
        <v>0.47220000000000001</v>
      </c>
      <c r="AM809" s="311">
        <v>0.5111</v>
      </c>
      <c r="AN809" s="311">
        <v>0.49419999999999997</v>
      </c>
      <c r="AO809" s="311">
        <v>0.47060000000000002</v>
      </c>
      <c r="AP809" s="311">
        <v>0.47839999999999999</v>
      </c>
      <c r="AQ809" s="311">
        <v>0.44940000000000002</v>
      </c>
      <c r="AR809" s="311">
        <v>0.49409999999999998</v>
      </c>
      <c r="AS809" s="311">
        <v>0.44390000000000002</v>
      </c>
      <c r="AT809" s="311">
        <v>0.47589999999999999</v>
      </c>
      <c r="AU809" s="311">
        <v>0.52829999999999999</v>
      </c>
      <c r="AV809" s="311">
        <v>0.52370000000000005</v>
      </c>
      <c r="AW809" s="311">
        <v>0.46400000000000002</v>
      </c>
      <c r="AX809" s="311">
        <v>0.44180000000000003</v>
      </c>
      <c r="AY809" s="311">
        <v>0.4975</v>
      </c>
      <c r="AZ809" s="311">
        <v>0.48730000000000001</v>
      </c>
      <c r="BA809" s="311">
        <v>0.43980000000000002</v>
      </c>
      <c r="BB809" s="311">
        <v>0.41799999999999998</v>
      </c>
      <c r="BC809" s="311">
        <v>0.52490000000000003</v>
      </c>
      <c r="BD809" s="311">
        <v>0.52270000000000005</v>
      </c>
      <c r="BE809" s="311">
        <v>0.52649999999999997</v>
      </c>
      <c r="BF809" s="311">
        <v>0.48549999999999999</v>
      </c>
      <c r="BG809" s="311">
        <v>0.52629999999999999</v>
      </c>
      <c r="BH809" s="311">
        <v>0.49009999999999998</v>
      </c>
      <c r="BI809" s="311">
        <v>0.52710000000000001</v>
      </c>
      <c r="BJ809" s="311">
        <v>0.51980000000000004</v>
      </c>
      <c r="BK809" s="311">
        <v>0.53290000000000004</v>
      </c>
    </row>
    <row r="810" spans="1:63" x14ac:dyDescent="0.25">
      <c r="A810" s="306">
        <v>811300</v>
      </c>
      <c r="B810" s="311" t="s">
        <v>351</v>
      </c>
      <c r="C810" s="311">
        <v>0.49930000000000002</v>
      </c>
      <c r="D810" s="311">
        <v>0.38290000000000002</v>
      </c>
      <c r="E810" s="311">
        <v>0.41210000000000002</v>
      </c>
      <c r="F810" s="311">
        <v>0.3977</v>
      </c>
      <c r="G810" s="311">
        <v>0.44309999999999999</v>
      </c>
      <c r="H810" s="311">
        <v>0.46239999999999998</v>
      </c>
      <c r="I810" s="311">
        <v>0.45100000000000001</v>
      </c>
      <c r="J810" s="311">
        <v>0.41620000000000001</v>
      </c>
      <c r="K810" s="311">
        <v>0.1085</v>
      </c>
      <c r="L810" s="311">
        <v>0.38229999999999997</v>
      </c>
      <c r="M810" s="311">
        <v>0.44490000000000002</v>
      </c>
      <c r="N810" s="311">
        <v>0.44400000000000001</v>
      </c>
      <c r="O810" s="311">
        <v>0.42730000000000001</v>
      </c>
      <c r="P810" s="311">
        <v>0.39300000000000002</v>
      </c>
      <c r="Q810" s="311">
        <v>0.40949999999999998</v>
      </c>
      <c r="R810" s="311">
        <v>0.46189999999999998</v>
      </c>
      <c r="S810" s="311">
        <v>0.42230000000000001</v>
      </c>
      <c r="T810" s="311">
        <v>0.40100000000000002</v>
      </c>
      <c r="U810" s="311">
        <v>0.42430000000000001</v>
      </c>
      <c r="V810" s="311">
        <v>0.42059999999999997</v>
      </c>
      <c r="W810" s="311">
        <v>0.42409999999999998</v>
      </c>
      <c r="X810" s="311">
        <v>0.41720000000000002</v>
      </c>
      <c r="Y810" s="311">
        <v>0.40789999999999998</v>
      </c>
      <c r="Z810" s="311">
        <v>0.45119999999999999</v>
      </c>
      <c r="AA810" s="311">
        <v>0.43880000000000002</v>
      </c>
      <c r="AB810" s="311">
        <v>0.4244</v>
      </c>
      <c r="AC810" s="311">
        <v>0.40050000000000002</v>
      </c>
      <c r="AD810" s="311">
        <v>0.40039999999999998</v>
      </c>
      <c r="AE810" s="311">
        <v>0.42470000000000002</v>
      </c>
      <c r="AF810" s="311">
        <v>0.3382</v>
      </c>
      <c r="AG810" s="311">
        <v>0.40210000000000001</v>
      </c>
      <c r="AH810" s="311">
        <v>0.41489999999999999</v>
      </c>
      <c r="AI810" s="311">
        <v>0.4133</v>
      </c>
      <c r="AJ810" s="311">
        <v>0.40600000000000003</v>
      </c>
      <c r="AK810" s="311">
        <v>0.41220000000000001</v>
      </c>
      <c r="AL810" s="311">
        <v>0.41920000000000002</v>
      </c>
      <c r="AM810" s="311">
        <v>0.45229999999999998</v>
      </c>
      <c r="AN810" s="311">
        <v>0.43469999999999998</v>
      </c>
      <c r="AO810" s="311">
        <v>0.39300000000000002</v>
      </c>
      <c r="AP810" s="311">
        <v>0.44919999999999999</v>
      </c>
      <c r="AQ810" s="311">
        <v>0.43419999999999997</v>
      </c>
      <c r="AR810" s="311">
        <v>0.43930000000000002</v>
      </c>
      <c r="AS810" s="311">
        <v>0.38600000000000001</v>
      </c>
      <c r="AT810" s="311">
        <v>0.42030000000000001</v>
      </c>
      <c r="AU810" s="311">
        <v>0.46050000000000002</v>
      </c>
      <c r="AV810" s="311">
        <v>0.4526</v>
      </c>
      <c r="AW810" s="311">
        <v>0.43049999999999999</v>
      </c>
      <c r="AX810" s="311">
        <v>0.37280000000000002</v>
      </c>
      <c r="AY810" s="311">
        <v>0.42170000000000002</v>
      </c>
      <c r="AZ810" s="311">
        <v>0.44030000000000002</v>
      </c>
      <c r="BA810" s="311">
        <v>0.38340000000000002</v>
      </c>
      <c r="BB810" s="311">
        <v>0.38869999999999999</v>
      </c>
      <c r="BC810" s="311">
        <v>0.45610000000000001</v>
      </c>
      <c r="BD810" s="311">
        <v>0.4632</v>
      </c>
      <c r="BE810" s="311">
        <v>0.46910000000000002</v>
      </c>
      <c r="BF810" s="311">
        <v>0.44059999999999999</v>
      </c>
      <c r="BG810" s="311">
        <v>0.46179999999999999</v>
      </c>
      <c r="BH810" s="311">
        <v>0.43590000000000001</v>
      </c>
      <c r="BI810" s="311">
        <v>0.46150000000000002</v>
      </c>
      <c r="BJ810" s="311">
        <v>0.44790000000000002</v>
      </c>
      <c r="BK810" s="311">
        <v>0.4582</v>
      </c>
    </row>
    <row r="811" spans="1:63" x14ac:dyDescent="0.25">
      <c r="A811" s="306">
        <v>811400</v>
      </c>
      <c r="B811" s="311" t="s">
        <v>352</v>
      </c>
      <c r="C811" s="311">
        <v>0.40989999999999999</v>
      </c>
      <c r="D811" s="311">
        <v>0.29420000000000002</v>
      </c>
      <c r="E811" s="311">
        <v>0.33529999999999999</v>
      </c>
      <c r="F811" s="311">
        <v>0.31119999999999998</v>
      </c>
      <c r="G811" s="311">
        <v>0.3458</v>
      </c>
      <c r="H811" s="311">
        <v>0.36699999999999999</v>
      </c>
      <c r="I811" s="311">
        <v>0.35970000000000002</v>
      </c>
      <c r="J811" s="311">
        <v>0.3402</v>
      </c>
      <c r="K811" s="311">
        <v>8.8400000000000006E-2</v>
      </c>
      <c r="L811" s="311">
        <v>0.23730000000000001</v>
      </c>
      <c r="M811" s="311">
        <v>0.34799999999999998</v>
      </c>
      <c r="N811" s="311">
        <v>0.36449999999999999</v>
      </c>
      <c r="O811" s="311">
        <v>0.32419999999999999</v>
      </c>
      <c r="P811" s="311">
        <v>0.29909999999999998</v>
      </c>
      <c r="Q811" s="311">
        <v>0.30380000000000001</v>
      </c>
      <c r="R811" s="311">
        <v>0.37730000000000002</v>
      </c>
      <c r="S811" s="311">
        <v>0.33950000000000002</v>
      </c>
      <c r="T811" s="311">
        <v>0.28320000000000001</v>
      </c>
      <c r="U811" s="311">
        <v>0.31790000000000002</v>
      </c>
      <c r="V811" s="311">
        <v>0.32419999999999999</v>
      </c>
      <c r="W811" s="311">
        <v>0.34620000000000001</v>
      </c>
      <c r="X811" s="311">
        <v>0.33689999999999998</v>
      </c>
      <c r="Y811" s="311">
        <v>0.32900000000000001</v>
      </c>
      <c r="Z811" s="311">
        <v>0.35160000000000002</v>
      </c>
      <c r="AA811" s="311">
        <v>0.34770000000000001</v>
      </c>
      <c r="AB811" s="311">
        <v>0.32940000000000003</v>
      </c>
      <c r="AC811" s="311">
        <v>0.30130000000000001</v>
      </c>
      <c r="AD811" s="311">
        <v>0.30399999999999999</v>
      </c>
      <c r="AE811" s="311">
        <v>0.3422</v>
      </c>
      <c r="AF811" s="311">
        <v>0.26169999999999999</v>
      </c>
      <c r="AG811" s="311">
        <v>0.29749999999999999</v>
      </c>
      <c r="AH811" s="311">
        <v>0.32669999999999999</v>
      </c>
      <c r="AI811" s="311">
        <v>0.34160000000000001</v>
      </c>
      <c r="AJ811" s="311">
        <v>0.30730000000000002</v>
      </c>
      <c r="AK811" s="311">
        <v>0.32129999999999997</v>
      </c>
      <c r="AL811" s="311">
        <v>0.3236</v>
      </c>
      <c r="AM811" s="311">
        <v>0.35539999999999999</v>
      </c>
      <c r="AN811" s="311">
        <v>0.33400000000000002</v>
      </c>
      <c r="AO811" s="311">
        <v>0.33389999999999997</v>
      </c>
      <c r="AP811" s="311">
        <v>0.35349999999999998</v>
      </c>
      <c r="AQ811" s="311">
        <v>0.32590000000000002</v>
      </c>
      <c r="AR811" s="311">
        <v>0.34039999999999998</v>
      </c>
      <c r="AS811" s="311">
        <v>0.28510000000000002</v>
      </c>
      <c r="AT811" s="311">
        <v>0.34589999999999999</v>
      </c>
      <c r="AU811" s="311">
        <v>0.36699999999999999</v>
      </c>
      <c r="AV811" s="311">
        <v>0.34520000000000001</v>
      </c>
      <c r="AW811" s="311">
        <v>0.32600000000000001</v>
      </c>
      <c r="AX811" s="311">
        <v>0.2994</v>
      </c>
      <c r="AY811" s="311">
        <v>0.3402</v>
      </c>
      <c r="AZ811" s="311">
        <v>0.34460000000000002</v>
      </c>
      <c r="BA811" s="311">
        <v>0.29720000000000002</v>
      </c>
      <c r="BB811" s="311">
        <v>0.28739999999999999</v>
      </c>
      <c r="BC811" s="311">
        <v>0.3649</v>
      </c>
      <c r="BD811" s="311">
        <v>0.37</v>
      </c>
      <c r="BE811" s="311">
        <v>0.37590000000000001</v>
      </c>
      <c r="BF811" s="311">
        <v>0.34320000000000001</v>
      </c>
      <c r="BG811" s="311">
        <v>0.37</v>
      </c>
      <c r="BH811" s="311">
        <v>0.34620000000000001</v>
      </c>
      <c r="BI811" s="311">
        <v>0.3669</v>
      </c>
      <c r="BJ811" s="311">
        <v>0.35299999999999998</v>
      </c>
      <c r="BK811" s="311">
        <v>0.36730000000000002</v>
      </c>
    </row>
    <row r="812" spans="1:63" x14ac:dyDescent="0.25">
      <c r="A812" s="306">
        <v>812100</v>
      </c>
      <c r="B812" s="311" t="s">
        <v>353</v>
      </c>
      <c r="C812" s="311">
        <v>0.52529999999999999</v>
      </c>
      <c r="D812" s="311">
        <v>0.44240000000000002</v>
      </c>
      <c r="E812" s="311">
        <v>0.44919999999999999</v>
      </c>
      <c r="F812" s="311">
        <v>0.44379999999999997</v>
      </c>
      <c r="G812" s="311">
        <v>0.47860000000000003</v>
      </c>
      <c r="H812" s="311">
        <v>0.49640000000000001</v>
      </c>
      <c r="I812" s="311">
        <v>0.49569999999999997</v>
      </c>
      <c r="J812" s="311">
        <v>0.46629999999999999</v>
      </c>
      <c r="K812" s="311">
        <v>0.1656</v>
      </c>
      <c r="L812" s="311">
        <v>0.4118</v>
      </c>
      <c r="M812" s="311">
        <v>0.48649999999999999</v>
      </c>
      <c r="N812" s="311">
        <v>0.48780000000000001</v>
      </c>
      <c r="O812" s="311">
        <v>0.47020000000000001</v>
      </c>
      <c r="P812" s="311">
        <v>0.43159999999999998</v>
      </c>
      <c r="Q812" s="311">
        <v>0.44159999999999999</v>
      </c>
      <c r="R812" s="311">
        <v>0.49640000000000001</v>
      </c>
      <c r="S812" s="311">
        <v>0.45629999999999998</v>
      </c>
      <c r="T812" s="311">
        <v>0.42270000000000002</v>
      </c>
      <c r="U812" s="311">
        <v>0.43669999999999998</v>
      </c>
      <c r="V812" s="311">
        <v>0.4546</v>
      </c>
      <c r="W812" s="311">
        <v>0.47710000000000002</v>
      </c>
      <c r="X812" s="311">
        <v>0.46189999999999998</v>
      </c>
      <c r="Y812" s="311">
        <v>0.45910000000000001</v>
      </c>
      <c r="Z812" s="311">
        <v>0.47520000000000001</v>
      </c>
      <c r="AA812" s="311">
        <v>0.47660000000000002</v>
      </c>
      <c r="AB812" s="311">
        <v>0.46079999999999999</v>
      </c>
      <c r="AC812" s="311">
        <v>0.42820000000000003</v>
      </c>
      <c r="AD812" s="311">
        <v>0.44009999999999999</v>
      </c>
      <c r="AE812" s="311">
        <v>0.46610000000000001</v>
      </c>
      <c r="AF812" s="311">
        <v>0.40439999999999998</v>
      </c>
      <c r="AG812" s="311">
        <v>0.43790000000000001</v>
      </c>
      <c r="AH812" s="311">
        <v>0.4304</v>
      </c>
      <c r="AI812" s="311">
        <v>0.48170000000000002</v>
      </c>
      <c r="AJ812" s="311">
        <v>0.4481</v>
      </c>
      <c r="AK812" s="311">
        <v>0.4662</v>
      </c>
      <c r="AL812" s="311">
        <v>0.46550000000000002</v>
      </c>
      <c r="AM812" s="311">
        <v>0.48230000000000001</v>
      </c>
      <c r="AN812" s="311">
        <v>0.45340000000000003</v>
      </c>
      <c r="AO812" s="311">
        <v>0.46479999999999999</v>
      </c>
      <c r="AP812" s="311">
        <v>0.47739999999999999</v>
      </c>
      <c r="AQ812" s="311">
        <v>0.44419999999999998</v>
      </c>
      <c r="AR812" s="311">
        <v>0.4647</v>
      </c>
      <c r="AS812" s="311">
        <v>0.41770000000000002</v>
      </c>
      <c r="AT812" s="311">
        <v>0.47399999999999998</v>
      </c>
      <c r="AU812" s="311">
        <v>0.49080000000000001</v>
      </c>
      <c r="AV812" s="311">
        <v>0.49120000000000003</v>
      </c>
      <c r="AW812" s="311">
        <v>0.46870000000000001</v>
      </c>
      <c r="AX812" s="311">
        <v>0.43509999999999999</v>
      </c>
      <c r="AY812" s="311">
        <v>0.4622</v>
      </c>
      <c r="AZ812" s="311">
        <v>0.4632</v>
      </c>
      <c r="BA812" s="311">
        <v>0.40279999999999999</v>
      </c>
      <c r="BB812" s="311">
        <v>0.42320000000000002</v>
      </c>
      <c r="BC812" s="311">
        <v>0.49380000000000002</v>
      </c>
      <c r="BD812" s="311">
        <v>0.50229999999999997</v>
      </c>
      <c r="BE812" s="311">
        <v>0.49619999999999997</v>
      </c>
      <c r="BF812" s="311">
        <v>0.47</v>
      </c>
      <c r="BG812" s="311">
        <v>0.50009999999999999</v>
      </c>
      <c r="BH812" s="311">
        <v>0.46479999999999999</v>
      </c>
      <c r="BI812" s="311">
        <v>0.4879</v>
      </c>
      <c r="BJ812" s="311">
        <v>0.48870000000000002</v>
      </c>
      <c r="BK812" s="311">
        <v>0.49490000000000001</v>
      </c>
    </row>
    <row r="813" spans="1:63" x14ac:dyDescent="0.25">
      <c r="A813" s="306">
        <v>812200</v>
      </c>
      <c r="B813" s="311" t="s">
        <v>354</v>
      </c>
      <c r="C813" s="311">
        <v>0.61240000000000006</v>
      </c>
      <c r="D813" s="311">
        <v>0.43169999999999997</v>
      </c>
      <c r="E813" s="311">
        <v>0.53169999999999995</v>
      </c>
      <c r="F813" s="311">
        <v>0.49840000000000001</v>
      </c>
      <c r="G813" s="311">
        <v>0.52869999999999995</v>
      </c>
      <c r="H813" s="311">
        <v>0.55720000000000003</v>
      </c>
      <c r="I813" s="311">
        <v>0.52790000000000004</v>
      </c>
      <c r="J813" s="311">
        <v>0.53039999999999998</v>
      </c>
      <c r="K813" s="311">
        <v>0.20549999999999999</v>
      </c>
      <c r="L813" s="311">
        <v>0.44340000000000002</v>
      </c>
      <c r="M813" s="311">
        <v>0.51910000000000001</v>
      </c>
      <c r="N813" s="311">
        <v>0.55269999999999997</v>
      </c>
      <c r="O813" s="311">
        <v>0.48220000000000002</v>
      </c>
      <c r="P813" s="311">
        <v>0.4556</v>
      </c>
      <c r="Q813" s="311">
        <v>0.47</v>
      </c>
      <c r="R813" s="311">
        <v>0.56850000000000001</v>
      </c>
      <c r="S813" s="311">
        <v>0.53359999999999996</v>
      </c>
      <c r="T813" s="311">
        <v>0.48049999999999998</v>
      </c>
      <c r="U813" s="311">
        <v>0.50870000000000004</v>
      </c>
      <c r="V813" s="311">
        <v>0.48680000000000001</v>
      </c>
      <c r="W813" s="311">
        <v>0.50239999999999996</v>
      </c>
      <c r="X813" s="311">
        <v>0.49890000000000001</v>
      </c>
      <c r="Y813" s="311">
        <v>0.51590000000000003</v>
      </c>
      <c r="Z813" s="311">
        <v>0.52439999999999998</v>
      </c>
      <c r="AA813" s="311">
        <v>0.5403</v>
      </c>
      <c r="AB813" s="311">
        <v>0.50239999999999996</v>
      </c>
      <c r="AC813" s="311">
        <v>0.49569999999999997</v>
      </c>
      <c r="AD813" s="311">
        <v>0.47189999999999999</v>
      </c>
      <c r="AE813" s="311">
        <v>0.53510000000000002</v>
      </c>
      <c r="AF813" s="311">
        <v>0.43540000000000001</v>
      </c>
      <c r="AG813" s="311">
        <v>0.45669999999999999</v>
      </c>
      <c r="AH813" s="311">
        <v>0.52580000000000005</v>
      </c>
      <c r="AI813" s="311">
        <v>0.51580000000000004</v>
      </c>
      <c r="AJ813" s="311">
        <v>0.44280000000000003</v>
      </c>
      <c r="AK813" s="311">
        <v>0.5161</v>
      </c>
      <c r="AL813" s="311">
        <v>0.48670000000000002</v>
      </c>
      <c r="AM813" s="311">
        <v>0.54879999999999995</v>
      </c>
      <c r="AN813" s="311">
        <v>0.53059999999999996</v>
      </c>
      <c r="AO813" s="311">
        <v>0.51400000000000001</v>
      </c>
      <c r="AP813" s="311">
        <v>0.55379999999999996</v>
      </c>
      <c r="AQ813" s="311">
        <v>0.4884</v>
      </c>
      <c r="AR813" s="311">
        <v>0.52429999999999999</v>
      </c>
      <c r="AS813" s="311">
        <v>0.45789999999999997</v>
      </c>
      <c r="AT813" s="311">
        <v>0.52449999999999997</v>
      </c>
      <c r="AU813" s="311">
        <v>0.54049999999999998</v>
      </c>
      <c r="AV813" s="311">
        <v>0.53990000000000005</v>
      </c>
      <c r="AW813" s="311">
        <v>0.49170000000000003</v>
      </c>
      <c r="AX813" s="311">
        <v>0.46429999999999999</v>
      </c>
      <c r="AY813" s="311">
        <v>0.51190000000000002</v>
      </c>
      <c r="AZ813" s="311">
        <v>0.53820000000000001</v>
      </c>
      <c r="BA813" s="311">
        <v>0.43940000000000001</v>
      </c>
      <c r="BB813" s="311">
        <v>0.4264</v>
      </c>
      <c r="BC813" s="311">
        <v>0.55059999999999998</v>
      </c>
      <c r="BD813" s="311">
        <v>0.55410000000000004</v>
      </c>
      <c r="BE813" s="311">
        <v>0.57499999999999996</v>
      </c>
      <c r="BF813" s="311">
        <v>0.52549999999999997</v>
      </c>
      <c r="BG813" s="311">
        <v>0.54879999999999995</v>
      </c>
      <c r="BH813" s="311">
        <v>0.54169999999999996</v>
      </c>
      <c r="BI813" s="311">
        <v>0.54420000000000002</v>
      </c>
      <c r="BJ813" s="311">
        <v>0.54949999999999999</v>
      </c>
      <c r="BK813" s="311">
        <v>0.56069999999999998</v>
      </c>
    </row>
    <row r="814" spans="1:63" x14ac:dyDescent="0.25">
      <c r="A814" s="306">
        <v>812300</v>
      </c>
      <c r="B814" s="311" t="s">
        <v>355</v>
      </c>
      <c r="C814" s="311">
        <v>0.46949999999999997</v>
      </c>
      <c r="D814" s="311">
        <v>0.4073</v>
      </c>
      <c r="E814" s="311">
        <v>0.42520000000000002</v>
      </c>
      <c r="F814" s="311">
        <v>0.4093</v>
      </c>
      <c r="G814" s="311">
        <v>0.42920000000000003</v>
      </c>
      <c r="H814" s="311">
        <v>0.44600000000000001</v>
      </c>
      <c r="I814" s="311">
        <v>0.44379999999999997</v>
      </c>
      <c r="J814" s="311">
        <v>0.42599999999999999</v>
      </c>
      <c r="K814" s="311">
        <v>0.1132</v>
      </c>
      <c r="L814" s="311">
        <v>0.3503</v>
      </c>
      <c r="M814" s="311">
        <v>0.43419999999999997</v>
      </c>
      <c r="N814" s="311">
        <v>0.4335</v>
      </c>
      <c r="O814" s="311">
        <v>0.42420000000000002</v>
      </c>
      <c r="P814" s="311">
        <v>0.39119999999999999</v>
      </c>
      <c r="Q814" s="311">
        <v>0.40050000000000002</v>
      </c>
      <c r="R814" s="311">
        <v>0.44579999999999997</v>
      </c>
      <c r="S814" s="311">
        <v>0.4274</v>
      </c>
      <c r="T814" s="311">
        <v>0.39839999999999998</v>
      </c>
      <c r="U814" s="311">
        <v>0.41410000000000002</v>
      </c>
      <c r="V814" s="311">
        <v>0.42749999999999999</v>
      </c>
      <c r="W814" s="311">
        <v>0.41949999999999998</v>
      </c>
      <c r="X814" s="311">
        <v>0.40550000000000003</v>
      </c>
      <c r="Y814" s="311">
        <v>0.42749999999999999</v>
      </c>
      <c r="Z814" s="311">
        <v>0.4375</v>
      </c>
      <c r="AA814" s="311">
        <v>0.42859999999999998</v>
      </c>
      <c r="AB814" s="311">
        <v>0.40620000000000001</v>
      </c>
      <c r="AC814" s="311">
        <v>0.41539999999999999</v>
      </c>
      <c r="AD814" s="311">
        <v>0.40560000000000002</v>
      </c>
      <c r="AE814" s="311">
        <v>0.43440000000000001</v>
      </c>
      <c r="AF814" s="311">
        <v>0.31559999999999999</v>
      </c>
      <c r="AG814" s="311">
        <v>0.39739999999999998</v>
      </c>
      <c r="AH814" s="311">
        <v>0.4118</v>
      </c>
      <c r="AI814" s="311">
        <v>0.4269</v>
      </c>
      <c r="AJ814" s="311">
        <v>0.41510000000000002</v>
      </c>
      <c r="AK814" s="311">
        <v>0.42349999999999999</v>
      </c>
      <c r="AL814" s="311">
        <v>0.41389999999999999</v>
      </c>
      <c r="AM814" s="311">
        <v>0.43580000000000002</v>
      </c>
      <c r="AN814" s="311">
        <v>0.42809999999999998</v>
      </c>
      <c r="AO814" s="311">
        <v>0.4047</v>
      </c>
      <c r="AP814" s="311">
        <v>0.43690000000000001</v>
      </c>
      <c r="AQ814" s="311">
        <v>0.36820000000000003</v>
      </c>
      <c r="AR814" s="311">
        <v>0.43009999999999998</v>
      </c>
      <c r="AS814" s="311">
        <v>0.40110000000000001</v>
      </c>
      <c r="AT814" s="311">
        <v>0.40699999999999997</v>
      </c>
      <c r="AU814" s="311">
        <v>0.44280000000000003</v>
      </c>
      <c r="AV814" s="311">
        <v>0.44409999999999999</v>
      </c>
      <c r="AW814" s="311">
        <v>0.41199999999999998</v>
      </c>
      <c r="AX814" s="311">
        <v>0.40649999999999997</v>
      </c>
      <c r="AY814" s="311">
        <v>0.42880000000000001</v>
      </c>
      <c r="AZ814" s="311">
        <v>0.43169999999999997</v>
      </c>
      <c r="BA814" s="311">
        <v>0.36480000000000001</v>
      </c>
      <c r="BB814" s="311">
        <v>0.3987</v>
      </c>
      <c r="BC814" s="311">
        <v>0.4415</v>
      </c>
      <c r="BD814" s="311">
        <v>0.44750000000000001</v>
      </c>
      <c r="BE814" s="311">
        <v>0.4481</v>
      </c>
      <c r="BF814" s="311">
        <v>0.43030000000000002</v>
      </c>
      <c r="BG814" s="311">
        <v>0.4466</v>
      </c>
      <c r="BH814" s="311">
        <v>0.42870000000000003</v>
      </c>
      <c r="BI814" s="311">
        <v>0.44340000000000002</v>
      </c>
      <c r="BJ814" s="311">
        <v>0.43880000000000002</v>
      </c>
      <c r="BK814" s="311">
        <v>0.4456</v>
      </c>
    </row>
    <row r="815" spans="1:63" x14ac:dyDescent="0.25">
      <c r="A815" s="306">
        <v>812900</v>
      </c>
      <c r="B815" s="311" t="s">
        <v>356</v>
      </c>
      <c r="C815" s="311">
        <v>0.33879999999999999</v>
      </c>
      <c r="D815" s="311">
        <v>0.21490000000000001</v>
      </c>
      <c r="E815" s="311">
        <v>0.25</v>
      </c>
      <c r="F815" s="311">
        <v>0.22559999999999999</v>
      </c>
      <c r="G815" s="311">
        <v>0.27050000000000002</v>
      </c>
      <c r="H815" s="311">
        <v>0.30380000000000001</v>
      </c>
      <c r="I815" s="311">
        <v>0.29730000000000001</v>
      </c>
      <c r="J815" s="311">
        <v>0.26</v>
      </c>
      <c r="K815" s="311">
        <v>6.7000000000000004E-2</v>
      </c>
      <c r="L815" s="311">
        <v>0.1991</v>
      </c>
      <c r="M815" s="311">
        <v>0.2888</v>
      </c>
      <c r="N815" s="311">
        <v>0.30159999999999998</v>
      </c>
      <c r="O815" s="311">
        <v>0.26240000000000002</v>
      </c>
      <c r="P815" s="311">
        <v>0.222</v>
      </c>
      <c r="Q815" s="311">
        <v>0.2198</v>
      </c>
      <c r="R815" s="311">
        <v>0.3034</v>
      </c>
      <c r="S815" s="311">
        <v>0.25690000000000002</v>
      </c>
      <c r="T815" s="311">
        <v>0.219</v>
      </c>
      <c r="U815" s="311">
        <v>0.22869999999999999</v>
      </c>
      <c r="V815" s="311">
        <v>0.25090000000000001</v>
      </c>
      <c r="W815" s="311">
        <v>0.27979999999999999</v>
      </c>
      <c r="X815" s="311">
        <v>0.26350000000000001</v>
      </c>
      <c r="Y815" s="311">
        <v>0.24640000000000001</v>
      </c>
      <c r="Z815" s="311">
        <v>0.27710000000000001</v>
      </c>
      <c r="AA815" s="311">
        <v>0.26750000000000002</v>
      </c>
      <c r="AB815" s="311">
        <v>0.25619999999999998</v>
      </c>
      <c r="AC815" s="311">
        <v>0.21790000000000001</v>
      </c>
      <c r="AD815" s="311">
        <v>0.22</v>
      </c>
      <c r="AE815" s="311">
        <v>0.26719999999999999</v>
      </c>
      <c r="AF815" s="311">
        <v>0.183</v>
      </c>
      <c r="AG815" s="311">
        <v>0.21240000000000001</v>
      </c>
      <c r="AH815" s="311">
        <v>0.26200000000000001</v>
      </c>
      <c r="AI815" s="311">
        <v>0.28339999999999999</v>
      </c>
      <c r="AJ815" s="311">
        <v>0.23669999999999999</v>
      </c>
      <c r="AK815" s="311">
        <v>0.24379999999999999</v>
      </c>
      <c r="AL815" s="311">
        <v>0.25940000000000002</v>
      </c>
      <c r="AM815" s="311">
        <v>0.2792</v>
      </c>
      <c r="AN815" s="311">
        <v>0.25929999999999997</v>
      </c>
      <c r="AO815" s="311">
        <v>0.25819999999999999</v>
      </c>
      <c r="AP815" s="311">
        <v>0.26879999999999998</v>
      </c>
      <c r="AQ815" s="311">
        <v>0.2432</v>
      </c>
      <c r="AR815" s="311">
        <v>0.26419999999999999</v>
      </c>
      <c r="AS815" s="311">
        <v>0.1943</v>
      </c>
      <c r="AT815" s="311">
        <v>0.27400000000000002</v>
      </c>
      <c r="AU815" s="311">
        <v>0.29549999999999998</v>
      </c>
      <c r="AV815" s="311">
        <v>0.28160000000000002</v>
      </c>
      <c r="AW815" s="311">
        <v>0.2616</v>
      </c>
      <c r="AX815" s="311">
        <v>0.22670000000000001</v>
      </c>
      <c r="AY815" s="311">
        <v>0.26469999999999999</v>
      </c>
      <c r="AZ815" s="311">
        <v>0.25109999999999999</v>
      </c>
      <c r="BA815" s="311">
        <v>0.2097</v>
      </c>
      <c r="BB815" s="311">
        <v>0.1933</v>
      </c>
      <c r="BC815" s="311">
        <v>0.28899999999999998</v>
      </c>
      <c r="BD815" s="311">
        <v>0.30730000000000002</v>
      </c>
      <c r="BE815" s="311">
        <v>0.29620000000000002</v>
      </c>
      <c r="BF815" s="311">
        <v>0.2596</v>
      </c>
      <c r="BG815" s="311">
        <v>0.30330000000000001</v>
      </c>
      <c r="BH815" s="311">
        <v>0.26400000000000001</v>
      </c>
      <c r="BI815" s="311">
        <v>0.29270000000000002</v>
      </c>
      <c r="BJ815" s="311">
        <v>0.28770000000000001</v>
      </c>
      <c r="BK815" s="311">
        <v>0.30320000000000003</v>
      </c>
    </row>
    <row r="816" spans="1:63" x14ac:dyDescent="0.25">
      <c r="A816" s="306">
        <v>813100</v>
      </c>
      <c r="B816" s="311" t="s">
        <v>357</v>
      </c>
      <c r="C816" s="311">
        <v>0.69879999999999998</v>
      </c>
      <c r="D816" s="311">
        <v>0.50929999999999997</v>
      </c>
      <c r="E816" s="311">
        <v>0.5202</v>
      </c>
      <c r="F816" s="311">
        <v>0.49840000000000001</v>
      </c>
      <c r="G816" s="311">
        <v>0.56569999999999998</v>
      </c>
      <c r="H816" s="311">
        <v>0.63759999999999994</v>
      </c>
      <c r="I816" s="311">
        <v>0.63070000000000004</v>
      </c>
      <c r="J816" s="311">
        <v>0.60309999999999997</v>
      </c>
      <c r="K816" s="311">
        <v>0.15229999999999999</v>
      </c>
      <c r="L816" s="311">
        <v>0.51029999999999998</v>
      </c>
      <c r="M816" s="311">
        <v>0.59330000000000005</v>
      </c>
      <c r="N816" s="311">
        <v>0.58830000000000005</v>
      </c>
      <c r="O816" s="311">
        <v>0.5252</v>
      </c>
      <c r="P816" s="311">
        <v>0.49249999999999999</v>
      </c>
      <c r="Q816" s="311">
        <v>0.49509999999999998</v>
      </c>
      <c r="R816" s="311">
        <v>0.6583</v>
      </c>
      <c r="S816" s="311">
        <v>0.5171</v>
      </c>
      <c r="T816" s="311">
        <v>0.48859999999999998</v>
      </c>
      <c r="U816" s="311">
        <v>0.51090000000000002</v>
      </c>
      <c r="V816" s="311">
        <v>0.52080000000000004</v>
      </c>
      <c r="W816" s="311">
        <v>0.62170000000000003</v>
      </c>
      <c r="X816" s="311">
        <v>0.57140000000000002</v>
      </c>
      <c r="Y816" s="311">
        <v>0.53380000000000005</v>
      </c>
      <c r="Z816" s="311">
        <v>0.54359999999999997</v>
      </c>
      <c r="AA816" s="311">
        <v>0.59430000000000005</v>
      </c>
      <c r="AB816" s="311">
        <v>0.53390000000000004</v>
      </c>
      <c r="AC816" s="311">
        <v>0.48959999999999998</v>
      </c>
      <c r="AD816" s="311">
        <v>0.51039999999999996</v>
      </c>
      <c r="AE816" s="311">
        <v>0.55179999999999996</v>
      </c>
      <c r="AF816" s="311">
        <v>0.46010000000000001</v>
      </c>
      <c r="AG816" s="311">
        <v>0.50539999999999996</v>
      </c>
      <c r="AH816" s="311">
        <v>0.57579999999999998</v>
      </c>
      <c r="AI816" s="311">
        <v>0.60880000000000001</v>
      </c>
      <c r="AJ816" s="311">
        <v>0.51129999999999998</v>
      </c>
      <c r="AK816" s="311">
        <v>0.52629999999999999</v>
      </c>
      <c r="AL816" s="311">
        <v>0.58650000000000002</v>
      </c>
      <c r="AM816" s="311">
        <v>0.54690000000000005</v>
      </c>
      <c r="AN816" s="311">
        <v>0.52339999999999998</v>
      </c>
      <c r="AO816" s="311">
        <v>0.53580000000000005</v>
      </c>
      <c r="AP816" s="311">
        <v>0.57179999999999997</v>
      </c>
      <c r="AQ816" s="311">
        <v>0.55869999999999997</v>
      </c>
      <c r="AR816" s="311">
        <v>0.53439999999999999</v>
      </c>
      <c r="AS816" s="311">
        <v>0.48570000000000002</v>
      </c>
      <c r="AT816" s="311">
        <v>0.56179999999999997</v>
      </c>
      <c r="AU816" s="311">
        <v>0.61360000000000003</v>
      </c>
      <c r="AV816" s="311">
        <v>0.58230000000000004</v>
      </c>
      <c r="AW816" s="311">
        <v>0.51990000000000003</v>
      </c>
      <c r="AX816" s="311">
        <v>0.51200000000000001</v>
      </c>
      <c r="AY816" s="311">
        <v>0.55659999999999998</v>
      </c>
      <c r="AZ816" s="311">
        <v>0.54059999999999997</v>
      </c>
      <c r="BA816" s="311">
        <v>0.45610000000000001</v>
      </c>
      <c r="BB816" s="311">
        <v>0.4884</v>
      </c>
      <c r="BC816" s="311">
        <v>0.64590000000000003</v>
      </c>
      <c r="BD816" s="311">
        <v>0.6613</v>
      </c>
      <c r="BE816" s="311">
        <v>0.59950000000000003</v>
      </c>
      <c r="BF816" s="311">
        <v>0.55500000000000005</v>
      </c>
      <c r="BG816" s="311">
        <v>0.60209999999999997</v>
      </c>
      <c r="BH816" s="311">
        <v>0.54300000000000004</v>
      </c>
      <c r="BI816" s="311">
        <v>0.59860000000000002</v>
      </c>
      <c r="BJ816" s="311">
        <v>0.5837</v>
      </c>
      <c r="BK816" s="311">
        <v>0.62329999999999997</v>
      </c>
    </row>
    <row r="817" spans="1:65" x14ac:dyDescent="0.25">
      <c r="A817" s="306" t="s">
        <v>788</v>
      </c>
      <c r="B817" s="311" t="s">
        <v>358</v>
      </c>
      <c r="C817" s="311">
        <v>0.60519999999999996</v>
      </c>
      <c r="D817" s="311">
        <v>0.42799999999999999</v>
      </c>
      <c r="E817" s="311">
        <v>0.442</v>
      </c>
      <c r="F817" s="311">
        <v>0.42080000000000001</v>
      </c>
      <c r="G817" s="311">
        <v>0.50019999999999998</v>
      </c>
      <c r="H817" s="311">
        <v>0.55220000000000002</v>
      </c>
      <c r="I817" s="311">
        <v>0.54659999999999997</v>
      </c>
      <c r="J817" s="311">
        <v>0.50419999999999998</v>
      </c>
      <c r="K817" s="311">
        <v>0.13519999999999999</v>
      </c>
      <c r="L817" s="311">
        <v>0.41839999999999999</v>
      </c>
      <c r="M817" s="311">
        <v>0.52270000000000005</v>
      </c>
      <c r="N817" s="311">
        <v>0.53420000000000001</v>
      </c>
      <c r="O817" s="311">
        <v>0.45600000000000002</v>
      </c>
      <c r="P817" s="311">
        <v>0.4138</v>
      </c>
      <c r="Q817" s="311">
        <v>0.41120000000000001</v>
      </c>
      <c r="R817" s="311">
        <v>0.5585</v>
      </c>
      <c r="S817" s="311">
        <v>0.44750000000000001</v>
      </c>
      <c r="T817" s="311">
        <v>0.42409999999999998</v>
      </c>
      <c r="U817" s="311">
        <v>0.44030000000000002</v>
      </c>
      <c r="V817" s="311">
        <v>0.4456</v>
      </c>
      <c r="W817" s="311">
        <v>0.52459999999999996</v>
      </c>
      <c r="X817" s="311">
        <v>0.49280000000000002</v>
      </c>
      <c r="Y817" s="311">
        <v>0.4652</v>
      </c>
      <c r="Z817" s="311">
        <v>0.48499999999999999</v>
      </c>
      <c r="AA817" s="311">
        <v>0.50449999999999995</v>
      </c>
      <c r="AB817" s="311">
        <v>0.4592</v>
      </c>
      <c r="AC817" s="311">
        <v>0.4052</v>
      </c>
      <c r="AD817" s="311">
        <v>0.42509999999999998</v>
      </c>
      <c r="AE817" s="311">
        <v>0.48509999999999998</v>
      </c>
      <c r="AF817" s="311">
        <v>0.37140000000000001</v>
      </c>
      <c r="AG817" s="311">
        <v>0.42070000000000002</v>
      </c>
      <c r="AH817" s="311">
        <v>0.48699999999999999</v>
      </c>
      <c r="AI817" s="311">
        <v>0.52380000000000004</v>
      </c>
      <c r="AJ817" s="311">
        <v>0.43419999999999997</v>
      </c>
      <c r="AK817" s="311">
        <v>0.4531</v>
      </c>
      <c r="AL817" s="311">
        <v>0.49059999999999998</v>
      </c>
      <c r="AM817" s="311">
        <v>0.48820000000000002</v>
      </c>
      <c r="AN817" s="311">
        <v>0.46160000000000001</v>
      </c>
      <c r="AO817" s="311">
        <v>0.46550000000000002</v>
      </c>
      <c r="AP817" s="311">
        <v>0.50049999999999994</v>
      </c>
      <c r="AQ817" s="311">
        <v>0.45989999999999998</v>
      </c>
      <c r="AR817" s="311">
        <v>0.46899999999999997</v>
      </c>
      <c r="AS817" s="311">
        <v>0.3861</v>
      </c>
      <c r="AT817" s="311">
        <v>0.49070000000000003</v>
      </c>
      <c r="AU817" s="311">
        <v>0.53669999999999995</v>
      </c>
      <c r="AV817" s="311">
        <v>0.51439999999999997</v>
      </c>
      <c r="AW817" s="311">
        <v>0.46500000000000002</v>
      </c>
      <c r="AX817" s="311">
        <v>0.43690000000000001</v>
      </c>
      <c r="AY817" s="311">
        <v>0.4874</v>
      </c>
      <c r="AZ817" s="311">
        <v>0.46560000000000001</v>
      </c>
      <c r="BA817" s="311">
        <v>0.39140000000000003</v>
      </c>
      <c r="BB817" s="311">
        <v>0.39200000000000002</v>
      </c>
      <c r="BC817" s="311">
        <v>0.54630000000000001</v>
      </c>
      <c r="BD817" s="311">
        <v>0.56240000000000001</v>
      </c>
      <c r="BE817" s="311">
        <v>0.52959999999999996</v>
      </c>
      <c r="BF817" s="311">
        <v>0.47760000000000002</v>
      </c>
      <c r="BG817" s="311">
        <v>0.54430000000000001</v>
      </c>
      <c r="BH817" s="311">
        <v>0.47360000000000002</v>
      </c>
      <c r="BI817" s="311">
        <v>0.52869999999999995</v>
      </c>
      <c r="BJ817" s="311">
        <v>0.51490000000000002</v>
      </c>
      <c r="BK817" s="311">
        <v>0.54479999999999995</v>
      </c>
    </row>
    <row r="818" spans="1:65" x14ac:dyDescent="0.25">
      <c r="A818" s="306" t="s">
        <v>789</v>
      </c>
      <c r="B818" s="311" t="s">
        <v>359</v>
      </c>
      <c r="C818" s="311">
        <v>0.59130000000000005</v>
      </c>
      <c r="D818" s="311">
        <v>0.42230000000000001</v>
      </c>
      <c r="E818" s="311">
        <v>0.45440000000000003</v>
      </c>
      <c r="F818" s="311">
        <v>0.42220000000000002</v>
      </c>
      <c r="G818" s="311">
        <v>0.47889999999999999</v>
      </c>
      <c r="H818" s="311">
        <v>0.53659999999999997</v>
      </c>
      <c r="I818" s="311">
        <v>0.52339999999999998</v>
      </c>
      <c r="J818" s="311">
        <v>0.48659999999999998</v>
      </c>
      <c r="K818" s="311">
        <v>0.123</v>
      </c>
      <c r="L818" s="311">
        <v>0.41789999999999999</v>
      </c>
      <c r="M818" s="311">
        <v>0.50009999999999999</v>
      </c>
      <c r="N818" s="311">
        <v>0.51390000000000002</v>
      </c>
      <c r="O818" s="311">
        <v>0.45069999999999999</v>
      </c>
      <c r="P818" s="311">
        <v>0.4229</v>
      </c>
      <c r="Q818" s="311">
        <v>0.41210000000000002</v>
      </c>
      <c r="R818" s="311">
        <v>0.53659999999999997</v>
      </c>
      <c r="S818" s="311">
        <v>0.44219999999999998</v>
      </c>
      <c r="T818" s="311">
        <v>0.42299999999999999</v>
      </c>
      <c r="U818" s="311">
        <v>0.4375</v>
      </c>
      <c r="V818" s="311">
        <v>0.4365</v>
      </c>
      <c r="W818" s="311">
        <v>0.50470000000000004</v>
      </c>
      <c r="X818" s="311">
        <v>0.4627</v>
      </c>
      <c r="Y818" s="311">
        <v>0.45679999999999998</v>
      </c>
      <c r="Z818" s="311">
        <v>0.47560000000000002</v>
      </c>
      <c r="AA818" s="311">
        <v>0.49359999999999998</v>
      </c>
      <c r="AB818" s="311">
        <v>0.45960000000000001</v>
      </c>
      <c r="AC818" s="311">
        <v>0.41560000000000002</v>
      </c>
      <c r="AD818" s="311">
        <v>0.42670000000000002</v>
      </c>
      <c r="AE818" s="311">
        <v>0.46989999999999998</v>
      </c>
      <c r="AF818" s="311">
        <v>0.38279999999999997</v>
      </c>
      <c r="AG818" s="311">
        <v>0.41639999999999999</v>
      </c>
      <c r="AH818" s="311">
        <v>0.4587</v>
      </c>
      <c r="AI818" s="311">
        <v>0.49819999999999998</v>
      </c>
      <c r="AJ818" s="311">
        <v>0.41930000000000001</v>
      </c>
      <c r="AK818" s="311">
        <v>0.44529999999999997</v>
      </c>
      <c r="AL818" s="311">
        <v>0.4834</v>
      </c>
      <c r="AM818" s="311">
        <v>0.48089999999999999</v>
      </c>
      <c r="AN818" s="311">
        <v>0.45700000000000002</v>
      </c>
      <c r="AO818" s="311">
        <v>0.45319999999999999</v>
      </c>
      <c r="AP818" s="311">
        <v>0.49519999999999997</v>
      </c>
      <c r="AQ818" s="311">
        <v>0.4446</v>
      </c>
      <c r="AR818" s="311">
        <v>0.46560000000000001</v>
      </c>
      <c r="AS818" s="311">
        <v>0.40939999999999999</v>
      </c>
      <c r="AT818" s="311">
        <v>0.48809999999999998</v>
      </c>
      <c r="AU818" s="311">
        <v>0.52559999999999996</v>
      </c>
      <c r="AV818" s="311">
        <v>0.50549999999999995</v>
      </c>
      <c r="AW818" s="311">
        <v>0.44119999999999998</v>
      </c>
      <c r="AX818" s="311">
        <v>0.43</v>
      </c>
      <c r="AY818" s="311">
        <v>0.47399999999999998</v>
      </c>
      <c r="AZ818" s="311">
        <v>0.46110000000000001</v>
      </c>
      <c r="BA818" s="311">
        <v>0.38869999999999999</v>
      </c>
      <c r="BB818" s="311">
        <v>0.39589999999999997</v>
      </c>
      <c r="BC818" s="311">
        <v>0.52690000000000003</v>
      </c>
      <c r="BD818" s="311">
        <v>0.55120000000000002</v>
      </c>
      <c r="BE818" s="311">
        <v>0.51270000000000004</v>
      </c>
      <c r="BF818" s="311">
        <v>0.47549999999999998</v>
      </c>
      <c r="BG818" s="311">
        <v>0.52010000000000001</v>
      </c>
      <c r="BH818" s="311">
        <v>0.47899999999999998</v>
      </c>
      <c r="BI818" s="311">
        <v>0.51690000000000003</v>
      </c>
      <c r="BJ818" s="311">
        <v>0.49669999999999997</v>
      </c>
      <c r="BK818" s="311">
        <v>0.53090000000000004</v>
      </c>
    </row>
    <row r="819" spans="1:65" x14ac:dyDescent="0.25">
      <c r="A819" s="306" t="s">
        <v>790</v>
      </c>
      <c r="B819" s="311" t="s">
        <v>791</v>
      </c>
      <c r="C819" s="311">
        <v>0</v>
      </c>
      <c r="D819" s="311">
        <v>0</v>
      </c>
      <c r="E819" s="311">
        <v>0</v>
      </c>
      <c r="F819" s="311">
        <v>0</v>
      </c>
      <c r="G819" s="311">
        <v>0</v>
      </c>
      <c r="H819" s="311">
        <v>0</v>
      </c>
      <c r="I819" s="311">
        <v>0</v>
      </c>
      <c r="J819" s="311">
        <v>0</v>
      </c>
      <c r="K819" s="311">
        <v>0</v>
      </c>
      <c r="L819" s="311">
        <v>0</v>
      </c>
      <c r="M819" s="311">
        <v>0</v>
      </c>
      <c r="N819" s="311">
        <v>0</v>
      </c>
      <c r="O819" s="311">
        <v>0</v>
      </c>
      <c r="P819" s="311">
        <v>0</v>
      </c>
      <c r="Q819" s="311">
        <v>0</v>
      </c>
      <c r="R819" s="311">
        <v>0</v>
      </c>
      <c r="S819" s="311">
        <v>0</v>
      </c>
      <c r="T819" s="311">
        <v>0</v>
      </c>
      <c r="U819" s="311">
        <v>0</v>
      </c>
      <c r="V819" s="311">
        <v>0</v>
      </c>
      <c r="W819" s="311">
        <v>0</v>
      </c>
      <c r="X819" s="311">
        <v>0</v>
      </c>
      <c r="Y819" s="311">
        <v>0</v>
      </c>
      <c r="Z819" s="311">
        <v>0</v>
      </c>
      <c r="AA819" s="311">
        <v>0</v>
      </c>
      <c r="AB819" s="311">
        <v>0</v>
      </c>
      <c r="AC819" s="311">
        <v>0</v>
      </c>
      <c r="AD819" s="311">
        <v>0</v>
      </c>
      <c r="AE819" s="311">
        <v>0</v>
      </c>
      <c r="AF819" s="311">
        <v>0</v>
      </c>
      <c r="AG819" s="311">
        <v>0</v>
      </c>
      <c r="AH819" s="311">
        <v>0</v>
      </c>
      <c r="AI819" s="311">
        <v>0</v>
      </c>
      <c r="AJ819" s="311">
        <v>0</v>
      </c>
      <c r="AK819" s="311">
        <v>0</v>
      </c>
      <c r="AL819" s="311">
        <v>0</v>
      </c>
      <c r="AM819" s="311">
        <v>0</v>
      </c>
      <c r="AN819" s="311">
        <v>0</v>
      </c>
      <c r="AO819" s="311">
        <v>0</v>
      </c>
      <c r="AP819" s="311">
        <v>0</v>
      </c>
      <c r="AQ819" s="311">
        <v>0</v>
      </c>
      <c r="AR819" s="311">
        <v>0</v>
      </c>
      <c r="AS819" s="311">
        <v>0</v>
      </c>
      <c r="AT819" s="311">
        <v>0</v>
      </c>
      <c r="AU819" s="311">
        <v>0</v>
      </c>
      <c r="AV819" s="311">
        <v>0</v>
      </c>
      <c r="AW819" s="311">
        <v>0</v>
      </c>
      <c r="AX819" s="311">
        <v>0</v>
      </c>
      <c r="AY819" s="311">
        <v>0</v>
      </c>
      <c r="AZ819" s="311">
        <v>0</v>
      </c>
      <c r="BA819" s="311">
        <v>0</v>
      </c>
      <c r="BB819" s="311">
        <v>0</v>
      </c>
      <c r="BC819" s="311">
        <v>0</v>
      </c>
      <c r="BD819" s="311">
        <v>0</v>
      </c>
      <c r="BE819" s="311">
        <v>0</v>
      </c>
      <c r="BF819" s="311">
        <v>0</v>
      </c>
      <c r="BG819" s="311">
        <v>0</v>
      </c>
      <c r="BH819" s="311">
        <v>0</v>
      </c>
      <c r="BI819" s="311">
        <v>0</v>
      </c>
      <c r="BJ819" s="311">
        <v>0</v>
      </c>
      <c r="BK819" s="311">
        <v>0</v>
      </c>
    </row>
    <row r="820" spans="1:65" x14ac:dyDescent="0.25">
      <c r="A820" s="306" t="s">
        <v>792</v>
      </c>
      <c r="B820" s="311" t="s">
        <v>793</v>
      </c>
      <c r="C820" s="311">
        <v>0.1328</v>
      </c>
      <c r="D820" s="311">
        <v>5.5599999999999997E-2</v>
      </c>
      <c r="E820" s="311">
        <v>8.4500000000000006E-2</v>
      </c>
      <c r="F820" s="311">
        <v>6.0100000000000001E-2</v>
      </c>
      <c r="G820" s="311">
        <v>9.9599999999999994E-2</v>
      </c>
      <c r="H820" s="311">
        <v>0.1031</v>
      </c>
      <c r="I820" s="311">
        <v>0.1129</v>
      </c>
      <c r="J820" s="311">
        <v>9.06E-2</v>
      </c>
      <c r="K820" s="311">
        <v>1.5699999999999999E-2</v>
      </c>
      <c r="L820" s="311">
        <v>7.9699999999999993E-2</v>
      </c>
      <c r="M820" s="311">
        <v>0.1066</v>
      </c>
      <c r="N820" s="311">
        <v>0.1108</v>
      </c>
      <c r="O820" s="311">
        <v>7.3800000000000004E-2</v>
      </c>
      <c r="P820" s="311">
        <v>7.8399999999999997E-2</v>
      </c>
      <c r="Q820" s="311">
        <v>6.7199999999999996E-2</v>
      </c>
      <c r="R820" s="311">
        <v>0.11459999999999999</v>
      </c>
      <c r="S820" s="311">
        <v>8.1699999999999995E-2</v>
      </c>
      <c r="T820" s="311">
        <v>6.0699999999999997E-2</v>
      </c>
      <c r="U820" s="311">
        <v>8.3099999999999993E-2</v>
      </c>
      <c r="V820" s="311">
        <v>7.1300000000000002E-2</v>
      </c>
      <c r="W820" s="311">
        <v>8.6400000000000005E-2</v>
      </c>
      <c r="X820" s="311">
        <v>9.5100000000000004E-2</v>
      </c>
      <c r="Y820" s="311">
        <v>8.72E-2</v>
      </c>
      <c r="Z820" s="311">
        <v>8.5400000000000004E-2</v>
      </c>
      <c r="AA820" s="311">
        <v>9.2100000000000001E-2</v>
      </c>
      <c r="AB820" s="311">
        <v>9.2899999999999996E-2</v>
      </c>
      <c r="AC820" s="311">
        <v>6.9699999999999998E-2</v>
      </c>
      <c r="AD820" s="311">
        <v>6.6500000000000004E-2</v>
      </c>
      <c r="AE820" s="311">
        <v>8.8099999999999998E-2</v>
      </c>
      <c r="AF820" s="311">
        <v>5.3699999999999998E-2</v>
      </c>
      <c r="AG820" s="311">
        <v>6.9099999999999995E-2</v>
      </c>
      <c r="AH820" s="311">
        <v>8.3799999999999999E-2</v>
      </c>
      <c r="AI820" s="311">
        <v>9.8199999999999996E-2</v>
      </c>
      <c r="AJ820" s="311">
        <v>6.3200000000000006E-2</v>
      </c>
      <c r="AK820" s="311">
        <v>8.8099999999999998E-2</v>
      </c>
      <c r="AL820" s="311">
        <v>8.6599999999999996E-2</v>
      </c>
      <c r="AM820" s="311">
        <v>9.4200000000000006E-2</v>
      </c>
      <c r="AN820" s="311">
        <v>7.2599999999999998E-2</v>
      </c>
      <c r="AO820" s="311">
        <v>9.1600000000000001E-2</v>
      </c>
      <c r="AP820" s="311">
        <v>9.7799999999999998E-2</v>
      </c>
      <c r="AQ820" s="311">
        <v>8.0199999999999994E-2</v>
      </c>
      <c r="AR820" s="311">
        <v>0.1002</v>
      </c>
      <c r="AS820" s="311">
        <v>6.7599999999999993E-2</v>
      </c>
      <c r="AT820" s="311">
        <v>0.10009999999999999</v>
      </c>
      <c r="AU820" s="311">
        <v>0.11360000000000001</v>
      </c>
      <c r="AV820" s="311">
        <v>0.1057</v>
      </c>
      <c r="AW820" s="311">
        <v>9.6600000000000005E-2</v>
      </c>
      <c r="AX820" s="311">
        <v>6.8099999999999994E-2</v>
      </c>
      <c r="AY820" s="311">
        <v>9.2799999999999994E-2</v>
      </c>
      <c r="AZ820" s="311">
        <v>8.43E-2</v>
      </c>
      <c r="BA820" s="311">
        <v>5.7000000000000002E-2</v>
      </c>
      <c r="BB820" s="311">
        <v>4.9399999999999999E-2</v>
      </c>
      <c r="BC820" s="311">
        <v>9.98E-2</v>
      </c>
      <c r="BD820" s="311">
        <v>0.1104</v>
      </c>
      <c r="BE820" s="311">
        <v>0.1052</v>
      </c>
      <c r="BF820" s="311">
        <v>9.1800000000000007E-2</v>
      </c>
      <c r="BG820" s="311">
        <v>0.1149</v>
      </c>
      <c r="BH820" s="311">
        <v>9.5500000000000002E-2</v>
      </c>
      <c r="BI820" s="311">
        <v>0.1113</v>
      </c>
      <c r="BJ820" s="311">
        <v>0.10489999999999999</v>
      </c>
      <c r="BK820" s="311">
        <v>0.1055</v>
      </c>
    </row>
    <row r="821" spans="1:65" x14ac:dyDescent="0.25">
      <c r="A821" s="306" t="s">
        <v>794</v>
      </c>
      <c r="B821" s="311" t="s">
        <v>795</v>
      </c>
      <c r="C821" s="311">
        <v>0.54269999999999996</v>
      </c>
      <c r="D821" s="311">
        <v>0.41639999999999999</v>
      </c>
      <c r="E821" s="311">
        <v>0.45379999999999998</v>
      </c>
      <c r="F821" s="311">
        <v>0.41020000000000001</v>
      </c>
      <c r="G821" s="311">
        <v>0.45419999999999999</v>
      </c>
      <c r="H821" s="311">
        <v>0.48110000000000003</v>
      </c>
      <c r="I821" s="311">
        <v>0.48480000000000001</v>
      </c>
      <c r="J821" s="311">
        <v>0.41749999999999998</v>
      </c>
      <c r="K821" s="311">
        <v>7.1800000000000003E-2</v>
      </c>
      <c r="L821" s="311">
        <v>0.38030000000000003</v>
      </c>
      <c r="M821" s="311">
        <v>0.45169999999999999</v>
      </c>
      <c r="N821" s="311">
        <v>0.46410000000000001</v>
      </c>
      <c r="O821" s="311">
        <v>0.42849999999999999</v>
      </c>
      <c r="P821" s="311">
        <v>0.37890000000000001</v>
      </c>
      <c r="Q821" s="311">
        <v>0.40600000000000003</v>
      </c>
      <c r="R821" s="311">
        <v>0.47110000000000002</v>
      </c>
      <c r="S821" s="311">
        <v>0.4325</v>
      </c>
      <c r="T821" s="311">
        <v>0.39410000000000001</v>
      </c>
      <c r="U821" s="311">
        <v>0.41349999999999998</v>
      </c>
      <c r="V821" s="311">
        <v>0.44729999999999998</v>
      </c>
      <c r="W821" s="311">
        <v>0.43619999999999998</v>
      </c>
      <c r="X821" s="311">
        <v>0.41070000000000001</v>
      </c>
      <c r="Y821" s="311">
        <v>0.42430000000000001</v>
      </c>
      <c r="Z821" s="311">
        <v>0.44500000000000001</v>
      </c>
      <c r="AA821" s="311">
        <v>0.43149999999999999</v>
      </c>
      <c r="AB821" s="311">
        <v>0.43059999999999998</v>
      </c>
      <c r="AC821" s="311">
        <v>0.41320000000000001</v>
      </c>
      <c r="AD821" s="311">
        <v>0.42020000000000002</v>
      </c>
      <c r="AE821" s="311">
        <v>0.43359999999999999</v>
      </c>
      <c r="AF821" s="311">
        <v>0.36830000000000002</v>
      </c>
      <c r="AG821" s="311">
        <v>0.38080000000000003</v>
      </c>
      <c r="AH821" s="311">
        <v>0.4163</v>
      </c>
      <c r="AI821" s="311">
        <v>0.44369999999999998</v>
      </c>
      <c r="AJ821" s="311">
        <v>0.4244</v>
      </c>
      <c r="AK821" s="311">
        <v>0.42970000000000003</v>
      </c>
      <c r="AL821" s="311">
        <v>0.40489999999999998</v>
      </c>
      <c r="AM821" s="311">
        <v>0.45910000000000001</v>
      </c>
      <c r="AN821" s="311">
        <v>0.45050000000000001</v>
      </c>
      <c r="AO821" s="311">
        <v>0.43480000000000002</v>
      </c>
      <c r="AP821" s="311">
        <v>0.46660000000000001</v>
      </c>
      <c r="AQ821" s="311">
        <v>0.39550000000000002</v>
      </c>
      <c r="AR821" s="311">
        <v>0.45029999999999998</v>
      </c>
      <c r="AS821" s="311">
        <v>0.36969999999999997</v>
      </c>
      <c r="AT821" s="311">
        <v>0.45119999999999999</v>
      </c>
      <c r="AU821" s="311">
        <v>0.50129999999999997</v>
      </c>
      <c r="AV821" s="311">
        <v>0.4829</v>
      </c>
      <c r="AW821" s="311">
        <v>0.41539999999999999</v>
      </c>
      <c r="AX821" s="311">
        <v>0.40629999999999999</v>
      </c>
      <c r="AY821" s="311">
        <v>0.45600000000000002</v>
      </c>
      <c r="AZ821" s="311">
        <v>0.42980000000000002</v>
      </c>
      <c r="BA821" s="311">
        <v>0.40100000000000002</v>
      </c>
      <c r="BB821" s="311">
        <v>0.39510000000000001</v>
      </c>
      <c r="BC821" s="311">
        <v>0.45900000000000002</v>
      </c>
      <c r="BD821" s="311">
        <v>0.46870000000000001</v>
      </c>
      <c r="BE821" s="311">
        <v>0.47670000000000001</v>
      </c>
      <c r="BF821" s="311">
        <v>0.435</v>
      </c>
      <c r="BG821" s="311">
        <v>0.47920000000000001</v>
      </c>
      <c r="BH821" s="311">
        <v>0.46460000000000001</v>
      </c>
      <c r="BI821" s="311">
        <v>0.50129999999999997</v>
      </c>
      <c r="BJ821" s="311">
        <v>0.48330000000000001</v>
      </c>
      <c r="BK821" s="311">
        <v>0.4869</v>
      </c>
    </row>
    <row r="823" spans="1:65" s="135" customFormat="1" x14ac:dyDescent="0.25">
      <c r="A823" s="136"/>
    </row>
    <row r="825" spans="1:65" x14ac:dyDescent="0.25">
      <c r="B825" s="2" t="s">
        <v>1063</v>
      </c>
    </row>
    <row r="826" spans="1:65" x14ac:dyDescent="0.25">
      <c r="A826" s="306" t="s">
        <v>617</v>
      </c>
      <c r="B826" s="312" t="s">
        <v>618</v>
      </c>
      <c r="C826" s="312" t="s">
        <v>1198</v>
      </c>
      <c r="D826" s="312" t="s">
        <v>1199</v>
      </c>
      <c r="E826" s="312" t="s">
        <v>1200</v>
      </c>
      <c r="F826" s="312" t="s">
        <v>1201</v>
      </c>
      <c r="G826" s="312" t="s">
        <v>1202</v>
      </c>
      <c r="H826" s="312" t="s">
        <v>1203</v>
      </c>
      <c r="I826" s="312" t="s">
        <v>1204</v>
      </c>
      <c r="J826" s="312" t="s">
        <v>1205</v>
      </c>
      <c r="K826" s="312" t="s">
        <v>1206</v>
      </c>
      <c r="L826" s="312" t="s">
        <v>1207</v>
      </c>
      <c r="M826" s="312" t="s">
        <v>1208</v>
      </c>
      <c r="N826" s="312" t="s">
        <v>1209</v>
      </c>
      <c r="O826" s="312" t="s">
        <v>1210</v>
      </c>
      <c r="P826" s="312" t="s">
        <v>1211</v>
      </c>
      <c r="Q826" s="312" t="s">
        <v>1212</v>
      </c>
      <c r="R826" s="312" t="s">
        <v>1213</v>
      </c>
      <c r="S826" s="312" t="s">
        <v>1214</v>
      </c>
      <c r="T826" s="312" t="s">
        <v>1215</v>
      </c>
      <c r="U826" s="312" t="s">
        <v>1216</v>
      </c>
      <c r="V826" s="312" t="s">
        <v>1217</v>
      </c>
      <c r="W826" s="312" t="s">
        <v>1218</v>
      </c>
      <c r="X826" s="312" t="s">
        <v>1219</v>
      </c>
      <c r="Y826" s="312" t="s">
        <v>1220</v>
      </c>
      <c r="Z826" s="312" t="s">
        <v>1221</v>
      </c>
      <c r="AA826" s="312" t="s">
        <v>1222</v>
      </c>
      <c r="AB826" s="312" t="s">
        <v>1223</v>
      </c>
      <c r="AC826" s="312" t="s">
        <v>1224</v>
      </c>
      <c r="AD826" s="312" t="s">
        <v>1225</v>
      </c>
      <c r="AE826" s="312" t="s">
        <v>1226</v>
      </c>
      <c r="AF826" s="312" t="s">
        <v>1227</v>
      </c>
      <c r="AG826" s="312" t="s">
        <v>1228</v>
      </c>
      <c r="AH826" s="312" t="s">
        <v>1229</v>
      </c>
      <c r="AI826" s="312" t="s">
        <v>1230</v>
      </c>
      <c r="AJ826" s="312" t="s">
        <v>1231</v>
      </c>
      <c r="AK826" s="312" t="s">
        <v>1232</v>
      </c>
      <c r="AL826" s="312" t="s">
        <v>1233</v>
      </c>
      <c r="AM826" s="312" t="s">
        <v>1234</v>
      </c>
      <c r="AN826" s="312" t="s">
        <v>1235</v>
      </c>
      <c r="AO826" s="312" t="s">
        <v>1236</v>
      </c>
      <c r="AP826" s="312" t="s">
        <v>1237</v>
      </c>
      <c r="AQ826" s="312" t="s">
        <v>1238</v>
      </c>
      <c r="AR826" s="312" t="s">
        <v>1239</v>
      </c>
      <c r="AS826" s="312" t="s">
        <v>1240</v>
      </c>
      <c r="AT826" s="312" t="s">
        <v>1241</v>
      </c>
      <c r="AU826" s="312" t="s">
        <v>1242</v>
      </c>
      <c r="AV826" s="312" t="s">
        <v>1243</v>
      </c>
      <c r="AW826" s="312" t="s">
        <v>1244</v>
      </c>
      <c r="AX826" s="312" t="s">
        <v>1245</v>
      </c>
      <c r="AY826" s="312" t="s">
        <v>1246</v>
      </c>
      <c r="AZ826" s="312" t="s">
        <v>1247</v>
      </c>
      <c r="BA826" s="312" t="s">
        <v>1248</v>
      </c>
      <c r="BB826" s="312" t="s">
        <v>1249</v>
      </c>
      <c r="BC826" s="312" t="s">
        <v>1250</v>
      </c>
      <c r="BD826" s="312" t="s">
        <v>1251</v>
      </c>
      <c r="BE826" s="312" t="s">
        <v>1252</v>
      </c>
      <c r="BF826" s="312" t="s">
        <v>1253</v>
      </c>
      <c r="BG826" s="312" t="s">
        <v>1254</v>
      </c>
      <c r="BH826" s="312" t="s">
        <v>1255</v>
      </c>
      <c r="BI826" s="312" t="s">
        <v>1256</v>
      </c>
      <c r="BJ826" s="312" t="s">
        <v>1257</v>
      </c>
      <c r="BK826" s="312" t="s">
        <v>1258</v>
      </c>
    </row>
    <row r="827" spans="1:65" x14ac:dyDescent="0.25">
      <c r="A827" s="306" t="s">
        <v>680</v>
      </c>
      <c r="B827" s="312" t="s">
        <v>681</v>
      </c>
      <c r="C827" s="312">
        <v>0.60029999999999994</v>
      </c>
      <c r="D827" s="312">
        <v>0.25009999999999999</v>
      </c>
      <c r="E827" s="312">
        <v>0.37059999999999998</v>
      </c>
      <c r="F827" s="312">
        <v>0.35199999999999998</v>
      </c>
      <c r="G827" s="312">
        <v>0.37419999999999998</v>
      </c>
      <c r="H827" s="312">
        <v>0.41320000000000001</v>
      </c>
      <c r="I827" s="312">
        <v>0.40089999999999998</v>
      </c>
      <c r="J827" s="312">
        <v>0.28160000000000002</v>
      </c>
      <c r="K827" s="312">
        <v>0</v>
      </c>
      <c r="L827" s="312">
        <v>0.26960000000000001</v>
      </c>
      <c r="M827" s="312">
        <v>0.37969999999999998</v>
      </c>
      <c r="N827" s="312">
        <v>0.39660000000000001</v>
      </c>
      <c r="O827" s="312">
        <v>0.3231</v>
      </c>
      <c r="P827" s="312">
        <v>0.32369999999999999</v>
      </c>
      <c r="Q827" s="312">
        <v>0.32400000000000001</v>
      </c>
      <c r="R827" s="312">
        <v>0.4178</v>
      </c>
      <c r="S827" s="312">
        <v>0.34470000000000001</v>
      </c>
      <c r="T827" s="312">
        <v>0.31269999999999998</v>
      </c>
      <c r="U827" s="312">
        <v>0.36270000000000002</v>
      </c>
      <c r="V827" s="312">
        <v>0.37340000000000001</v>
      </c>
      <c r="W827" s="312">
        <v>0.31830000000000003</v>
      </c>
      <c r="X827" s="312">
        <v>0.3095</v>
      </c>
      <c r="Y827" s="312">
        <v>0.31730000000000003</v>
      </c>
      <c r="Z827" s="312">
        <v>0.34570000000000001</v>
      </c>
      <c r="AA827" s="312">
        <v>0.36480000000000001</v>
      </c>
      <c r="AB827" s="312">
        <v>0.3881</v>
      </c>
      <c r="AC827" s="312">
        <v>0.35370000000000001</v>
      </c>
      <c r="AD827" s="312">
        <v>0.3528</v>
      </c>
      <c r="AE827" s="312">
        <v>0.36059999999999998</v>
      </c>
      <c r="AF827" s="312">
        <v>0.29239999999999999</v>
      </c>
      <c r="AG827" s="312">
        <v>0.3029</v>
      </c>
      <c r="AH827" s="312">
        <v>0.27610000000000001</v>
      </c>
      <c r="AI827" s="312">
        <v>0.33729999999999999</v>
      </c>
      <c r="AJ827" s="312">
        <v>0.31619999999999998</v>
      </c>
      <c r="AK827" s="312">
        <v>0.2802</v>
      </c>
      <c r="AL827" s="312">
        <v>0.28570000000000001</v>
      </c>
      <c r="AM827" s="312">
        <v>0.37619999999999998</v>
      </c>
      <c r="AN827" s="312">
        <v>0.3604</v>
      </c>
      <c r="AO827" s="312">
        <v>0.3664</v>
      </c>
      <c r="AP827" s="312">
        <v>0.35799999999999998</v>
      </c>
      <c r="AQ827" s="312">
        <v>0.26829999999999998</v>
      </c>
      <c r="AR827" s="312">
        <v>0.36149999999999999</v>
      </c>
      <c r="AS827" s="312">
        <v>0.27789999999999998</v>
      </c>
      <c r="AT827" s="312">
        <v>0.3574</v>
      </c>
      <c r="AU827" s="312">
        <v>0.44669999999999999</v>
      </c>
      <c r="AV827" s="312">
        <v>0.37769999999999998</v>
      </c>
      <c r="AW827" s="312">
        <v>0.31</v>
      </c>
      <c r="AX827" s="312">
        <v>0.29549999999999998</v>
      </c>
      <c r="AY827" s="312">
        <v>0.39319999999999999</v>
      </c>
      <c r="AZ827" s="312">
        <v>0.37140000000000001</v>
      </c>
      <c r="BA827" s="312">
        <v>0.26819999999999999</v>
      </c>
      <c r="BB827" s="312">
        <v>0.26569999999999999</v>
      </c>
      <c r="BC827" s="312">
        <v>0.33939999999999998</v>
      </c>
      <c r="BD827" s="312">
        <v>0.36520000000000002</v>
      </c>
      <c r="BE827" s="312">
        <v>0.4284</v>
      </c>
      <c r="BF827" s="312">
        <v>0.39119999999999999</v>
      </c>
      <c r="BG827" s="312">
        <v>0.43080000000000002</v>
      </c>
      <c r="BH827" s="312">
        <v>0.4173</v>
      </c>
      <c r="BI827" s="312">
        <v>0.47320000000000001</v>
      </c>
      <c r="BJ827" s="312">
        <v>0.43669999999999998</v>
      </c>
      <c r="BK827" s="312">
        <v>0.42270000000000002</v>
      </c>
      <c r="BM827">
        <f>(C827-C416)*1000000/(RIMS_emp!C827-RIMS_emp!C416)</f>
        <v>37539.376968848432</v>
      </c>
    </row>
    <row r="828" spans="1:65" x14ac:dyDescent="0.25">
      <c r="A828" s="306">
        <v>111200</v>
      </c>
      <c r="B828" s="312" t="s">
        <v>11</v>
      </c>
      <c r="C828" s="312">
        <v>0.60019999999999996</v>
      </c>
      <c r="D828" s="312">
        <v>0.27189999999999998</v>
      </c>
      <c r="E828" s="312">
        <v>0.41320000000000001</v>
      </c>
      <c r="F828" s="312">
        <v>0.38100000000000001</v>
      </c>
      <c r="G828" s="312">
        <v>0.42109999999999997</v>
      </c>
      <c r="H828" s="312">
        <v>0.45789999999999997</v>
      </c>
      <c r="I828" s="312">
        <v>0.4214</v>
      </c>
      <c r="J828" s="312">
        <v>0.32600000000000001</v>
      </c>
      <c r="K828" s="312">
        <v>0</v>
      </c>
      <c r="L828" s="312">
        <v>0.30080000000000001</v>
      </c>
      <c r="M828" s="312">
        <v>0.4284</v>
      </c>
      <c r="N828" s="312">
        <v>0.4375</v>
      </c>
      <c r="O828" s="312">
        <v>0.36449999999999999</v>
      </c>
      <c r="P828" s="312">
        <v>0.3574</v>
      </c>
      <c r="Q828" s="312">
        <v>0.35780000000000001</v>
      </c>
      <c r="R828" s="312">
        <v>0.41849999999999998</v>
      </c>
      <c r="S828" s="312">
        <v>0.36699999999999999</v>
      </c>
      <c r="T828" s="312">
        <v>0.33169999999999999</v>
      </c>
      <c r="U828" s="312">
        <v>0.39710000000000001</v>
      </c>
      <c r="V828" s="312">
        <v>0.39290000000000003</v>
      </c>
      <c r="W828" s="312">
        <v>0.35470000000000002</v>
      </c>
      <c r="X828" s="312">
        <v>0.3422</v>
      </c>
      <c r="Y828" s="312">
        <v>0.37790000000000001</v>
      </c>
      <c r="Z828" s="312">
        <v>0.38469999999999999</v>
      </c>
      <c r="AA828" s="312">
        <v>0.38429999999999997</v>
      </c>
      <c r="AB828" s="312">
        <v>0.4017</v>
      </c>
      <c r="AC828" s="312">
        <v>0.38900000000000001</v>
      </c>
      <c r="AD828" s="312">
        <v>0.38129999999999997</v>
      </c>
      <c r="AE828" s="312">
        <v>0.39910000000000001</v>
      </c>
      <c r="AF828" s="312">
        <v>0.33639999999999998</v>
      </c>
      <c r="AG828" s="312">
        <v>0.3387</v>
      </c>
      <c r="AH828" s="312">
        <v>0.32369999999999999</v>
      </c>
      <c r="AI828" s="312">
        <v>0.3654</v>
      </c>
      <c r="AJ828" s="312">
        <v>0.36430000000000001</v>
      </c>
      <c r="AK828" s="312">
        <v>0.31730000000000003</v>
      </c>
      <c r="AL828" s="312">
        <v>0.32290000000000002</v>
      </c>
      <c r="AM828" s="312">
        <v>0.38879999999999998</v>
      </c>
      <c r="AN828" s="312">
        <v>0.36659999999999998</v>
      </c>
      <c r="AO828" s="312">
        <v>0.4153</v>
      </c>
      <c r="AP828" s="312">
        <v>0.39629999999999999</v>
      </c>
      <c r="AQ828" s="312">
        <v>0.311</v>
      </c>
      <c r="AR828" s="312">
        <v>0.40479999999999999</v>
      </c>
      <c r="AS828" s="312">
        <v>0.30830000000000002</v>
      </c>
      <c r="AT828" s="312">
        <v>0.38929999999999998</v>
      </c>
      <c r="AU828" s="312">
        <v>0.46100000000000002</v>
      </c>
      <c r="AV828" s="312">
        <v>0.40460000000000002</v>
      </c>
      <c r="AW828" s="312">
        <v>0.34949999999999998</v>
      </c>
      <c r="AX828" s="312">
        <v>0.35060000000000002</v>
      </c>
      <c r="AY828" s="312">
        <v>0.42780000000000001</v>
      </c>
      <c r="AZ828" s="312">
        <v>0.40749999999999997</v>
      </c>
      <c r="BA828" s="312">
        <v>0.31809999999999999</v>
      </c>
      <c r="BB828" s="312">
        <v>0.29049999999999998</v>
      </c>
      <c r="BC828" s="312">
        <v>0.38400000000000001</v>
      </c>
      <c r="BD828" s="312">
        <v>0.39579999999999999</v>
      </c>
      <c r="BE828" s="312">
        <v>0.43680000000000002</v>
      </c>
      <c r="BF828" s="312">
        <v>0.41110000000000002</v>
      </c>
      <c r="BG828" s="312">
        <v>0.47070000000000001</v>
      </c>
      <c r="BH828" s="312">
        <v>0.44379999999999997</v>
      </c>
      <c r="BI828" s="312">
        <v>0.47160000000000002</v>
      </c>
      <c r="BJ828" s="312">
        <v>0.45900000000000002</v>
      </c>
      <c r="BK828" s="312">
        <v>0.46539999999999998</v>
      </c>
      <c r="BM828">
        <f>(C828-C417)*1000000/(RIMS_emp!C828-RIMS_emp!C417)</f>
        <v>37545.290647809408</v>
      </c>
    </row>
    <row r="829" spans="1:65" x14ac:dyDescent="0.25">
      <c r="A829" s="306" t="s">
        <v>682</v>
      </c>
      <c r="B829" s="312" t="s">
        <v>683</v>
      </c>
      <c r="C829" s="312">
        <v>0.68200000000000005</v>
      </c>
      <c r="D829" s="312">
        <v>0.31319999999999998</v>
      </c>
      <c r="E829" s="312">
        <v>0.48699999999999999</v>
      </c>
      <c r="F829" s="312">
        <v>0.4541</v>
      </c>
      <c r="G829" s="312">
        <v>0.48380000000000001</v>
      </c>
      <c r="H829" s="312">
        <v>0.52859999999999996</v>
      </c>
      <c r="I829" s="312">
        <v>0.47420000000000001</v>
      </c>
      <c r="J829" s="312">
        <v>0.37919999999999998</v>
      </c>
      <c r="K829" s="312">
        <v>0</v>
      </c>
      <c r="L829" s="312">
        <v>0.3427</v>
      </c>
      <c r="M829" s="312">
        <v>0.497</v>
      </c>
      <c r="N829" s="312">
        <v>0.49370000000000003</v>
      </c>
      <c r="O829" s="312">
        <v>0.4194</v>
      </c>
      <c r="P829" s="312">
        <v>0.43619999999999998</v>
      </c>
      <c r="Q829" s="312">
        <v>0.42309999999999998</v>
      </c>
      <c r="R829" s="312">
        <v>0.47749999999999998</v>
      </c>
      <c r="S829" s="312">
        <v>0.42299999999999999</v>
      </c>
      <c r="T829" s="312">
        <v>0.39269999999999999</v>
      </c>
      <c r="U829" s="312">
        <v>0.4763</v>
      </c>
      <c r="V829" s="312">
        <v>0.45839999999999997</v>
      </c>
      <c r="W829" s="312">
        <v>0.41420000000000001</v>
      </c>
      <c r="X829" s="312">
        <v>0.39319999999999999</v>
      </c>
      <c r="Y829" s="312">
        <v>0.44169999999999998</v>
      </c>
      <c r="Z829" s="312">
        <v>0.441</v>
      </c>
      <c r="AA829" s="312">
        <v>0.43890000000000001</v>
      </c>
      <c r="AB829" s="312">
        <v>0.46829999999999999</v>
      </c>
      <c r="AC829" s="312">
        <v>0.45950000000000002</v>
      </c>
      <c r="AD829" s="312">
        <v>0.44969999999999999</v>
      </c>
      <c r="AE829" s="312">
        <v>0.45519999999999999</v>
      </c>
      <c r="AF829" s="312">
        <v>0.40010000000000001</v>
      </c>
      <c r="AG829" s="312">
        <v>0.40629999999999999</v>
      </c>
      <c r="AH829" s="312">
        <v>0.37540000000000001</v>
      </c>
      <c r="AI829" s="312">
        <v>0.41489999999999999</v>
      </c>
      <c r="AJ829" s="312">
        <v>0.43</v>
      </c>
      <c r="AK829" s="312">
        <v>0.35630000000000001</v>
      </c>
      <c r="AL829" s="312">
        <v>0.3735</v>
      </c>
      <c r="AM829" s="312">
        <v>0.44790000000000002</v>
      </c>
      <c r="AN829" s="312">
        <v>0.42909999999999998</v>
      </c>
      <c r="AO829" s="312">
        <v>0.4829</v>
      </c>
      <c r="AP829" s="312">
        <v>0.45800000000000002</v>
      </c>
      <c r="AQ829" s="312">
        <v>0.3629</v>
      </c>
      <c r="AR829" s="312">
        <v>0.46239999999999998</v>
      </c>
      <c r="AS829" s="312">
        <v>0.37419999999999998</v>
      </c>
      <c r="AT829" s="312">
        <v>0.44409999999999999</v>
      </c>
      <c r="AU829" s="312">
        <v>0.52539999999999998</v>
      </c>
      <c r="AV829" s="312">
        <v>0.45879999999999999</v>
      </c>
      <c r="AW829" s="312">
        <v>0.39760000000000001</v>
      </c>
      <c r="AX829" s="312">
        <v>0.42020000000000002</v>
      </c>
      <c r="AY829" s="312">
        <v>0.495</v>
      </c>
      <c r="AZ829" s="312">
        <v>0.47439999999999999</v>
      </c>
      <c r="BA829" s="312">
        <v>0.37469999999999998</v>
      </c>
      <c r="BB829" s="312">
        <v>0.34560000000000002</v>
      </c>
      <c r="BC829" s="312">
        <v>0.44490000000000002</v>
      </c>
      <c r="BD829" s="312">
        <v>0.4511</v>
      </c>
      <c r="BE829" s="312">
        <v>0.49819999999999998</v>
      </c>
      <c r="BF829" s="312">
        <v>0.47989999999999999</v>
      </c>
      <c r="BG829" s="312">
        <v>0.53369999999999995</v>
      </c>
      <c r="BH829" s="312">
        <v>0.51919999999999999</v>
      </c>
      <c r="BI829" s="312">
        <v>0.53800000000000003</v>
      </c>
      <c r="BJ829" s="312">
        <v>0.52290000000000003</v>
      </c>
      <c r="BK829" s="312">
        <v>0.53580000000000005</v>
      </c>
      <c r="BM829">
        <f>(C829-C418)*1000000/(RIMS_emp!C829-RIMS_emp!C418)</f>
        <v>37536.196167827002</v>
      </c>
    </row>
    <row r="830" spans="1:65" x14ac:dyDescent="0.25">
      <c r="A830" s="306">
        <v>111400</v>
      </c>
      <c r="B830" s="312" t="s">
        <v>12</v>
      </c>
      <c r="C830" s="312">
        <v>0.67279999999999995</v>
      </c>
      <c r="D830" s="312">
        <v>0.36380000000000001</v>
      </c>
      <c r="E830" s="312">
        <v>0.50900000000000001</v>
      </c>
      <c r="F830" s="312">
        <v>0.44790000000000002</v>
      </c>
      <c r="G830" s="312">
        <v>0.50419999999999998</v>
      </c>
      <c r="H830" s="312">
        <v>0.55200000000000005</v>
      </c>
      <c r="I830" s="312">
        <v>0.52829999999999999</v>
      </c>
      <c r="J830" s="312">
        <v>0.45369999999999999</v>
      </c>
      <c r="K830" s="312">
        <v>0</v>
      </c>
      <c r="L830" s="312">
        <v>0.38379999999999997</v>
      </c>
      <c r="M830" s="312">
        <v>0.51480000000000004</v>
      </c>
      <c r="N830" s="312">
        <v>0.5222</v>
      </c>
      <c r="O830" s="312">
        <v>0.47610000000000002</v>
      </c>
      <c r="P830" s="312">
        <v>0.42670000000000002</v>
      </c>
      <c r="Q830" s="312">
        <v>0.4501</v>
      </c>
      <c r="R830" s="312">
        <v>0.50760000000000005</v>
      </c>
      <c r="S830" s="312">
        <v>0.45760000000000001</v>
      </c>
      <c r="T830" s="312">
        <v>0.42530000000000001</v>
      </c>
      <c r="U830" s="312">
        <v>0.4768</v>
      </c>
      <c r="V830" s="312">
        <v>0.47289999999999999</v>
      </c>
      <c r="W830" s="312">
        <v>0.45319999999999999</v>
      </c>
      <c r="X830" s="312">
        <v>0.4456</v>
      </c>
      <c r="Y830" s="312">
        <v>0.48459999999999998</v>
      </c>
      <c r="Z830" s="312">
        <v>0.501</v>
      </c>
      <c r="AA830" s="312">
        <v>0.47899999999999998</v>
      </c>
      <c r="AB830" s="312">
        <v>0.46920000000000001</v>
      </c>
      <c r="AC830" s="312">
        <v>0.45469999999999999</v>
      </c>
      <c r="AD830" s="312">
        <v>0.45710000000000001</v>
      </c>
      <c r="AE830" s="312">
        <v>0.49440000000000001</v>
      </c>
      <c r="AF830" s="312">
        <v>0.40339999999999998</v>
      </c>
      <c r="AG830" s="312">
        <v>0.40689999999999998</v>
      </c>
      <c r="AH830" s="312">
        <v>0.44429999999999997</v>
      </c>
      <c r="AI830" s="312">
        <v>0.48530000000000001</v>
      </c>
      <c r="AJ830" s="312">
        <v>0.45650000000000002</v>
      </c>
      <c r="AK830" s="312">
        <v>0.4</v>
      </c>
      <c r="AL830" s="312">
        <v>0.41749999999999998</v>
      </c>
      <c r="AM830" s="312">
        <v>0.49909999999999999</v>
      </c>
      <c r="AN830" s="312">
        <v>0.4889</v>
      </c>
      <c r="AO830" s="312">
        <v>0.499</v>
      </c>
      <c r="AP830" s="312">
        <v>0.51859999999999995</v>
      </c>
      <c r="AQ830" s="312">
        <v>0.44230000000000003</v>
      </c>
      <c r="AR830" s="312">
        <v>0.49840000000000001</v>
      </c>
      <c r="AS830" s="312">
        <v>0.39650000000000002</v>
      </c>
      <c r="AT830" s="312">
        <v>0.50339999999999996</v>
      </c>
      <c r="AU830" s="312">
        <v>0.54779999999999995</v>
      </c>
      <c r="AV830" s="312">
        <v>0.52500000000000002</v>
      </c>
      <c r="AW830" s="312">
        <v>0.44819999999999999</v>
      </c>
      <c r="AX830" s="312">
        <v>0.45679999999999998</v>
      </c>
      <c r="AY830" s="312">
        <v>0.51459999999999995</v>
      </c>
      <c r="AZ830" s="312">
        <v>0.49609999999999999</v>
      </c>
      <c r="BA830" s="312">
        <v>0.41970000000000002</v>
      </c>
      <c r="BB830" s="312">
        <v>0.3735</v>
      </c>
      <c r="BC830" s="312">
        <v>0.50349999999999995</v>
      </c>
      <c r="BD830" s="312">
        <v>0.5071</v>
      </c>
      <c r="BE830" s="312">
        <v>0.53210000000000002</v>
      </c>
      <c r="BF830" s="312">
        <v>0.48430000000000001</v>
      </c>
      <c r="BG830" s="312">
        <v>0.54979999999999996</v>
      </c>
      <c r="BH830" s="312">
        <v>0.53949999999999998</v>
      </c>
      <c r="BI830" s="312">
        <v>0.55389999999999995</v>
      </c>
      <c r="BJ830" s="312">
        <v>0.54510000000000003</v>
      </c>
      <c r="BK830" s="312">
        <v>0.55810000000000004</v>
      </c>
      <c r="BM830">
        <f>(C830-C419)*1000000/(RIMS_emp!C830-RIMS_emp!C419)</f>
        <v>37535.521344033958</v>
      </c>
    </row>
    <row r="831" spans="1:65" x14ac:dyDescent="0.25">
      <c r="A831" s="306">
        <v>111910</v>
      </c>
      <c r="B831" s="312" t="s">
        <v>13</v>
      </c>
      <c r="C831" s="312">
        <v>0.69279999999999997</v>
      </c>
      <c r="D831" s="312">
        <v>0</v>
      </c>
      <c r="E831" s="312">
        <v>0</v>
      </c>
      <c r="F831" s="312">
        <v>0</v>
      </c>
      <c r="G831" s="312">
        <v>0</v>
      </c>
      <c r="H831" s="312">
        <v>0</v>
      </c>
      <c r="I831" s="312">
        <v>0</v>
      </c>
      <c r="J831" s="312">
        <v>0.34449999999999997</v>
      </c>
      <c r="K831" s="312">
        <v>0</v>
      </c>
      <c r="L831" s="312">
        <v>0</v>
      </c>
      <c r="M831" s="312">
        <v>0.42699999999999999</v>
      </c>
      <c r="N831" s="312">
        <v>0.46650000000000003</v>
      </c>
      <c r="O831" s="312">
        <v>0</v>
      </c>
      <c r="P831" s="312">
        <v>0</v>
      </c>
      <c r="Q831" s="312">
        <v>0</v>
      </c>
      <c r="R831" s="312">
        <v>0.48070000000000002</v>
      </c>
      <c r="S831" s="312">
        <v>0.3921</v>
      </c>
      <c r="T831" s="312">
        <v>0</v>
      </c>
      <c r="U831" s="312">
        <v>0.42020000000000002</v>
      </c>
      <c r="V831" s="312">
        <v>0</v>
      </c>
      <c r="W831" s="312">
        <v>0.37930000000000003</v>
      </c>
      <c r="X831" s="312">
        <v>0.35909999999999997</v>
      </c>
      <c r="Y831" s="312">
        <v>0</v>
      </c>
      <c r="Z831" s="312">
        <v>0</v>
      </c>
      <c r="AA831" s="312">
        <v>0</v>
      </c>
      <c r="AB831" s="312">
        <v>0.4254</v>
      </c>
      <c r="AC831" s="312">
        <v>0</v>
      </c>
      <c r="AD831" s="312">
        <v>0</v>
      </c>
      <c r="AE831" s="312">
        <v>0.41710000000000003</v>
      </c>
      <c r="AF831" s="312">
        <v>0</v>
      </c>
      <c r="AG831" s="312">
        <v>0</v>
      </c>
      <c r="AH831" s="312">
        <v>0</v>
      </c>
      <c r="AI831" s="312">
        <v>0</v>
      </c>
      <c r="AJ831" s="312">
        <v>0</v>
      </c>
      <c r="AK831" s="312">
        <v>0</v>
      </c>
      <c r="AL831" s="312">
        <v>0</v>
      </c>
      <c r="AM831" s="312">
        <v>0.42309999999999998</v>
      </c>
      <c r="AN831" s="312">
        <v>0</v>
      </c>
      <c r="AO831" s="312">
        <v>0</v>
      </c>
      <c r="AP831" s="312">
        <v>0.42720000000000002</v>
      </c>
      <c r="AQ831" s="312">
        <v>0</v>
      </c>
      <c r="AR831" s="312">
        <v>0.41980000000000001</v>
      </c>
      <c r="AS831" s="312">
        <v>0</v>
      </c>
      <c r="AT831" s="312">
        <v>0.41649999999999998</v>
      </c>
      <c r="AU831" s="312">
        <v>0</v>
      </c>
      <c r="AV831" s="312">
        <v>0</v>
      </c>
      <c r="AW831" s="312">
        <v>0.36959999999999998</v>
      </c>
      <c r="AX831" s="312">
        <v>0</v>
      </c>
      <c r="AY831" s="312">
        <v>0</v>
      </c>
      <c r="AZ831" s="312">
        <v>0.41220000000000001</v>
      </c>
      <c r="BA831" s="312">
        <v>0.3039</v>
      </c>
      <c r="BB831" s="312">
        <v>0</v>
      </c>
      <c r="BC831" s="312">
        <v>0.41239999999999999</v>
      </c>
      <c r="BD831" s="312">
        <v>0.42770000000000002</v>
      </c>
      <c r="BE831" s="312">
        <v>0.4849</v>
      </c>
      <c r="BF831" s="312">
        <v>0.42899999999999999</v>
      </c>
      <c r="BG831" s="312">
        <v>0.50960000000000005</v>
      </c>
      <c r="BH831" s="312">
        <v>0.48249999999999998</v>
      </c>
      <c r="BI831" s="312">
        <v>0</v>
      </c>
      <c r="BJ831" s="312">
        <v>0</v>
      </c>
      <c r="BK831" s="312">
        <v>0</v>
      </c>
      <c r="BM831">
        <f>(C831-C420)*1000000/(RIMS_emp!C831-RIMS_emp!C420)</f>
        <v>37545.301530016521</v>
      </c>
    </row>
    <row r="832" spans="1:65" x14ac:dyDescent="0.25">
      <c r="A832" s="306">
        <v>111920</v>
      </c>
      <c r="B832" s="312" t="s">
        <v>14</v>
      </c>
      <c r="C832" s="312">
        <v>0.69699999999999995</v>
      </c>
      <c r="D832" s="312">
        <v>0</v>
      </c>
      <c r="E832" s="312">
        <v>0.46200000000000002</v>
      </c>
      <c r="F832" s="312">
        <v>0.41810000000000003</v>
      </c>
      <c r="G832" s="312">
        <v>0.44180000000000003</v>
      </c>
      <c r="H832" s="312">
        <v>0.49330000000000002</v>
      </c>
      <c r="I832" s="312">
        <v>0</v>
      </c>
      <c r="J832" s="312">
        <v>0</v>
      </c>
      <c r="K832" s="312">
        <v>0</v>
      </c>
      <c r="L832" s="312">
        <v>0</v>
      </c>
      <c r="M832" s="312">
        <v>0.4264</v>
      </c>
      <c r="N832" s="312">
        <v>0.47460000000000002</v>
      </c>
      <c r="O832" s="312">
        <v>0</v>
      </c>
      <c r="P832" s="312">
        <v>0</v>
      </c>
      <c r="Q832" s="312">
        <v>0</v>
      </c>
      <c r="R832" s="312">
        <v>0</v>
      </c>
      <c r="S832" s="312">
        <v>0</v>
      </c>
      <c r="T832" s="312">
        <v>0.34399999999999997</v>
      </c>
      <c r="U832" s="312">
        <v>0</v>
      </c>
      <c r="V832" s="312">
        <v>0.44429999999999997</v>
      </c>
      <c r="W832" s="312">
        <v>0</v>
      </c>
      <c r="X832" s="312">
        <v>0</v>
      </c>
      <c r="Y832" s="312">
        <v>0</v>
      </c>
      <c r="Z832" s="312">
        <v>0</v>
      </c>
      <c r="AA832" s="312">
        <v>0</v>
      </c>
      <c r="AB832" s="312">
        <v>0.44629999999999997</v>
      </c>
      <c r="AC832" s="312">
        <v>0.40639999999999998</v>
      </c>
      <c r="AD832" s="312">
        <v>0</v>
      </c>
      <c r="AE832" s="312">
        <v>0.4224</v>
      </c>
      <c r="AF832" s="312">
        <v>0</v>
      </c>
      <c r="AG832" s="312">
        <v>0</v>
      </c>
      <c r="AH832" s="312">
        <v>0</v>
      </c>
      <c r="AI832" s="312">
        <v>0</v>
      </c>
      <c r="AJ832" s="312">
        <v>0.38250000000000001</v>
      </c>
      <c r="AK832" s="312">
        <v>0</v>
      </c>
      <c r="AL832" s="312">
        <v>0</v>
      </c>
      <c r="AM832" s="312">
        <v>0</v>
      </c>
      <c r="AN832" s="312">
        <v>0.40400000000000003</v>
      </c>
      <c r="AO832" s="312">
        <v>0</v>
      </c>
      <c r="AP832" s="312">
        <v>0</v>
      </c>
      <c r="AQ832" s="312">
        <v>0</v>
      </c>
      <c r="AR832" s="312">
        <v>0.45019999999999999</v>
      </c>
      <c r="AS832" s="312">
        <v>0</v>
      </c>
      <c r="AT832" s="312">
        <v>0.4128</v>
      </c>
      <c r="AU832" s="312">
        <v>0.53480000000000005</v>
      </c>
      <c r="AV832" s="312">
        <v>0</v>
      </c>
      <c r="AW832" s="312">
        <v>0.35970000000000002</v>
      </c>
      <c r="AX832" s="312">
        <v>0</v>
      </c>
      <c r="AY832" s="312">
        <v>0</v>
      </c>
      <c r="AZ832" s="312">
        <v>0</v>
      </c>
      <c r="BA832" s="312">
        <v>0</v>
      </c>
      <c r="BB832" s="312">
        <v>0</v>
      </c>
      <c r="BC832" s="312">
        <v>0</v>
      </c>
      <c r="BD832" s="312">
        <v>0</v>
      </c>
      <c r="BE832" s="312">
        <v>0</v>
      </c>
      <c r="BF832" s="312">
        <v>0.4289</v>
      </c>
      <c r="BG832" s="312">
        <v>0.51060000000000005</v>
      </c>
      <c r="BH832" s="312">
        <v>0.49890000000000001</v>
      </c>
      <c r="BI832" s="312">
        <v>0.55079999999999996</v>
      </c>
      <c r="BJ832" s="312">
        <v>0.4839</v>
      </c>
      <c r="BK832" s="312">
        <v>0.49809999999999999</v>
      </c>
      <c r="BM832">
        <f>(C832-C421)*1000000/(RIMS_emp!C832-RIMS_emp!C421)</f>
        <v>37545.594308624481</v>
      </c>
    </row>
    <row r="833" spans="1:65" x14ac:dyDescent="0.25">
      <c r="A833" s="306" t="s">
        <v>684</v>
      </c>
      <c r="B833" s="312" t="s">
        <v>685</v>
      </c>
      <c r="C833" s="312">
        <v>0.64810000000000001</v>
      </c>
      <c r="D833" s="312">
        <v>0.28339999999999999</v>
      </c>
      <c r="E833" s="312">
        <v>0.4178</v>
      </c>
      <c r="F833" s="312">
        <v>0.38819999999999999</v>
      </c>
      <c r="G833" s="312">
        <v>0.42020000000000002</v>
      </c>
      <c r="H833" s="312">
        <v>0.46479999999999999</v>
      </c>
      <c r="I833" s="312">
        <v>0.44169999999999998</v>
      </c>
      <c r="J833" s="312">
        <v>0.31609999999999999</v>
      </c>
      <c r="K833" s="312">
        <v>0</v>
      </c>
      <c r="L833" s="312">
        <v>0.29430000000000001</v>
      </c>
      <c r="M833" s="312">
        <v>0.42670000000000002</v>
      </c>
      <c r="N833" s="312">
        <v>0.43790000000000001</v>
      </c>
      <c r="O833" s="312">
        <v>0.36459999999999998</v>
      </c>
      <c r="P833" s="312">
        <v>0.35970000000000002</v>
      </c>
      <c r="Q833" s="312">
        <v>0.35610000000000003</v>
      </c>
      <c r="R833" s="312">
        <v>0.4451</v>
      </c>
      <c r="S833" s="312">
        <v>0.3765</v>
      </c>
      <c r="T833" s="312">
        <v>0.34699999999999998</v>
      </c>
      <c r="U833" s="312">
        <v>0.4103</v>
      </c>
      <c r="V833" s="312">
        <v>0.41299999999999998</v>
      </c>
      <c r="W833" s="312">
        <v>0.3508</v>
      </c>
      <c r="X833" s="312">
        <v>0.33829999999999999</v>
      </c>
      <c r="Y833" s="312">
        <v>0.3634</v>
      </c>
      <c r="Z833" s="312">
        <v>0.38269999999999998</v>
      </c>
      <c r="AA833" s="312">
        <v>0.3982</v>
      </c>
      <c r="AB833" s="312">
        <v>0.41539999999999999</v>
      </c>
      <c r="AC833" s="312">
        <v>0.39090000000000003</v>
      </c>
      <c r="AD833" s="312">
        <v>0.39450000000000002</v>
      </c>
      <c r="AE833" s="312">
        <v>0.39140000000000003</v>
      </c>
      <c r="AF833" s="312">
        <v>0.33650000000000002</v>
      </c>
      <c r="AG833" s="312">
        <v>0.33839999999999998</v>
      </c>
      <c r="AH833" s="312">
        <v>0.31259999999999999</v>
      </c>
      <c r="AI833" s="312">
        <v>0.36930000000000002</v>
      </c>
      <c r="AJ833" s="312">
        <v>0.36709999999999998</v>
      </c>
      <c r="AK833" s="312">
        <v>0.31009999999999999</v>
      </c>
      <c r="AL833" s="312">
        <v>0.31859999999999999</v>
      </c>
      <c r="AM833" s="312">
        <v>0.40760000000000002</v>
      </c>
      <c r="AN833" s="312">
        <v>0.39800000000000002</v>
      </c>
      <c r="AO833" s="312">
        <v>0.41039999999999999</v>
      </c>
      <c r="AP833" s="312">
        <v>0.40350000000000003</v>
      </c>
      <c r="AQ833" s="312">
        <v>0.29609999999999997</v>
      </c>
      <c r="AR833" s="312">
        <v>0.3992</v>
      </c>
      <c r="AS833" s="312">
        <v>0.31180000000000002</v>
      </c>
      <c r="AT833" s="312">
        <v>0.39050000000000001</v>
      </c>
      <c r="AU833" s="312">
        <v>0.49159999999999998</v>
      </c>
      <c r="AV833" s="312">
        <v>0.42359999999999998</v>
      </c>
      <c r="AW833" s="312">
        <v>0.34239999999999998</v>
      </c>
      <c r="AX833" s="312">
        <v>0.34420000000000001</v>
      </c>
      <c r="AY833" s="312">
        <v>0.43590000000000001</v>
      </c>
      <c r="AZ833" s="312">
        <v>0.40689999999999998</v>
      </c>
      <c r="BA833" s="312">
        <v>0.31269999999999998</v>
      </c>
      <c r="BB833" s="312">
        <v>0.30370000000000003</v>
      </c>
      <c r="BC833" s="312">
        <v>0.37990000000000002</v>
      </c>
      <c r="BD833" s="312">
        <v>0.40310000000000001</v>
      </c>
      <c r="BE833" s="312">
        <v>0.45800000000000002</v>
      </c>
      <c r="BF833" s="312">
        <v>0.42680000000000001</v>
      </c>
      <c r="BG833" s="312">
        <v>0.4733</v>
      </c>
      <c r="BH833" s="312">
        <v>0.45989999999999998</v>
      </c>
      <c r="BI833" s="312">
        <v>0.51019999999999999</v>
      </c>
      <c r="BJ833" s="312">
        <v>0.48010000000000003</v>
      </c>
      <c r="BK833" s="312">
        <v>0.4743</v>
      </c>
      <c r="BM833">
        <f>(C833-C422)*1000000/(RIMS_emp!C833-RIMS_emp!C422)</f>
        <v>37537.683555382675</v>
      </c>
    </row>
    <row r="834" spans="1:65" x14ac:dyDescent="0.25">
      <c r="A834" s="306">
        <v>112120</v>
      </c>
      <c r="B834" s="312" t="s">
        <v>16</v>
      </c>
      <c r="C834" s="312">
        <v>0.62</v>
      </c>
      <c r="D834" s="312">
        <v>0.21490000000000001</v>
      </c>
      <c r="E834" s="312">
        <v>0.39240000000000003</v>
      </c>
      <c r="F834" s="312">
        <v>0.39529999999999998</v>
      </c>
      <c r="G834" s="312">
        <v>0.34810000000000002</v>
      </c>
      <c r="H834" s="312">
        <v>0.4133</v>
      </c>
      <c r="I834" s="312">
        <v>0.42359999999999998</v>
      </c>
      <c r="J834" s="312">
        <v>0.26379999999999998</v>
      </c>
      <c r="K834" s="312">
        <v>0</v>
      </c>
      <c r="L834" s="312">
        <v>0.25080000000000002</v>
      </c>
      <c r="M834" s="312">
        <v>0.35949999999999999</v>
      </c>
      <c r="N834" s="312">
        <v>0.4294</v>
      </c>
      <c r="O834" s="312">
        <v>0.30470000000000003</v>
      </c>
      <c r="P834" s="312">
        <v>0.35560000000000003</v>
      </c>
      <c r="Q834" s="312">
        <v>0.35880000000000001</v>
      </c>
      <c r="R834" s="312">
        <v>0.42759999999999998</v>
      </c>
      <c r="S834" s="312">
        <v>0.38219999999999998</v>
      </c>
      <c r="T834" s="312">
        <v>0.36670000000000003</v>
      </c>
      <c r="U834" s="312">
        <v>0.42</v>
      </c>
      <c r="V834" s="312">
        <v>0.37890000000000001</v>
      </c>
      <c r="W834" s="312">
        <v>0.27329999999999999</v>
      </c>
      <c r="X834" s="312">
        <v>0.28370000000000001</v>
      </c>
      <c r="Y834" s="312">
        <v>0.33989999999999998</v>
      </c>
      <c r="Z834" s="312">
        <v>0.34810000000000002</v>
      </c>
      <c r="AA834" s="312">
        <v>0.43259999999999998</v>
      </c>
      <c r="AB834" s="312">
        <v>0.42580000000000001</v>
      </c>
      <c r="AC834" s="312">
        <v>0.37009999999999998</v>
      </c>
      <c r="AD834" s="312">
        <v>0.38329999999999997</v>
      </c>
      <c r="AE834" s="312">
        <v>0.36820000000000003</v>
      </c>
      <c r="AF834" s="312">
        <v>0.3463</v>
      </c>
      <c r="AG834" s="312">
        <v>0.34899999999999998</v>
      </c>
      <c r="AH834" s="312">
        <v>0.2752</v>
      </c>
      <c r="AI834" s="312">
        <v>0.29189999999999999</v>
      </c>
      <c r="AJ834" s="312">
        <v>0.33500000000000002</v>
      </c>
      <c r="AK834" s="312">
        <v>0.2777</v>
      </c>
      <c r="AL834" s="312">
        <v>0.27089999999999997</v>
      </c>
      <c r="AM834" s="312">
        <v>0.40250000000000002</v>
      </c>
      <c r="AN834" s="312">
        <v>0.41249999999999998</v>
      </c>
      <c r="AO834" s="312">
        <v>0.3745</v>
      </c>
      <c r="AP834" s="312">
        <v>0.379</v>
      </c>
      <c r="AQ834" s="312">
        <v>0.2452</v>
      </c>
      <c r="AR834" s="312">
        <v>0.32940000000000003</v>
      </c>
      <c r="AS834" s="312">
        <v>0.32819999999999999</v>
      </c>
      <c r="AT834" s="312">
        <v>0.33139999999999997</v>
      </c>
      <c r="AU834" s="312">
        <v>0.44990000000000002</v>
      </c>
      <c r="AV834" s="312">
        <v>0.41799999999999998</v>
      </c>
      <c r="AW834" s="312">
        <v>0.31690000000000002</v>
      </c>
      <c r="AX834" s="312">
        <v>0.32279999999999998</v>
      </c>
      <c r="AY834" s="312">
        <v>0.40189999999999998</v>
      </c>
      <c r="AZ834" s="312">
        <v>0.4007</v>
      </c>
      <c r="BA834" s="312">
        <v>0.2671</v>
      </c>
      <c r="BB834" s="312">
        <v>0.26719999999999999</v>
      </c>
      <c r="BC834" s="312">
        <v>0.31640000000000001</v>
      </c>
      <c r="BD834" s="312">
        <v>0.34970000000000001</v>
      </c>
      <c r="BE834" s="312">
        <v>0.45029999999999998</v>
      </c>
      <c r="BF834" s="312">
        <v>0.44450000000000001</v>
      </c>
      <c r="BG834" s="312">
        <v>0.41470000000000001</v>
      </c>
      <c r="BH834" s="312">
        <v>0.44379999999999997</v>
      </c>
      <c r="BI834" s="312">
        <v>0.49370000000000003</v>
      </c>
      <c r="BJ834" s="312">
        <v>0.43120000000000003</v>
      </c>
      <c r="BK834" s="312">
        <v>0.42130000000000001</v>
      </c>
      <c r="BM834">
        <f>(C834-C423)*1000000/(RIMS_emp!C834-RIMS_emp!C423)</f>
        <v>37545.958218261309</v>
      </c>
    </row>
    <row r="835" spans="1:65" x14ac:dyDescent="0.25">
      <c r="A835" s="306" t="s">
        <v>686</v>
      </c>
      <c r="B835" s="312" t="s">
        <v>15</v>
      </c>
      <c r="C835" s="312">
        <v>0.7077</v>
      </c>
      <c r="D835" s="312">
        <v>0.19689999999999999</v>
      </c>
      <c r="E835" s="312">
        <v>0.38619999999999999</v>
      </c>
      <c r="F835" s="312">
        <v>0.45579999999999998</v>
      </c>
      <c r="G835" s="312">
        <v>0.39</v>
      </c>
      <c r="H835" s="312">
        <v>0.3977</v>
      </c>
      <c r="I835" s="312">
        <v>0.53400000000000003</v>
      </c>
      <c r="J835" s="312">
        <v>0.22900000000000001</v>
      </c>
      <c r="K835" s="312">
        <v>0</v>
      </c>
      <c r="L835" s="312">
        <v>0.2147</v>
      </c>
      <c r="M835" s="312">
        <v>0.33539999999999998</v>
      </c>
      <c r="N835" s="312">
        <v>0.37090000000000001</v>
      </c>
      <c r="O835" s="312">
        <v>0.30049999999999999</v>
      </c>
      <c r="P835" s="312">
        <v>0.40799999999999997</v>
      </c>
      <c r="Q835" s="312">
        <v>0.42720000000000002</v>
      </c>
      <c r="R835" s="312">
        <v>0.35039999999999999</v>
      </c>
      <c r="S835" s="312">
        <v>0.32919999999999999</v>
      </c>
      <c r="T835" s="312">
        <v>0.43709999999999999</v>
      </c>
      <c r="U835" s="312">
        <v>0.4899</v>
      </c>
      <c r="V835" s="312">
        <v>0.35699999999999998</v>
      </c>
      <c r="W835" s="312">
        <v>0.2445</v>
      </c>
      <c r="X835" s="312">
        <v>0.24590000000000001</v>
      </c>
      <c r="Y835" s="312">
        <v>0.29749999999999999</v>
      </c>
      <c r="Z835" s="312">
        <v>0.33860000000000001</v>
      </c>
      <c r="AA835" s="312">
        <v>0.51090000000000002</v>
      </c>
      <c r="AB835" s="312">
        <v>0.48970000000000002</v>
      </c>
      <c r="AC835" s="312">
        <v>0.37009999999999998</v>
      </c>
      <c r="AD835" s="312">
        <v>0.46610000000000001</v>
      </c>
      <c r="AE835" s="312">
        <v>0.33029999999999998</v>
      </c>
      <c r="AF835" s="312">
        <v>0.4108</v>
      </c>
      <c r="AG835" s="312">
        <v>0.41170000000000001</v>
      </c>
      <c r="AH835" s="312">
        <v>0.23880000000000001</v>
      </c>
      <c r="AI835" s="312">
        <v>0.25690000000000002</v>
      </c>
      <c r="AJ835" s="312">
        <v>0.42449999999999999</v>
      </c>
      <c r="AK835" s="312">
        <v>0.28999999999999998</v>
      </c>
      <c r="AL835" s="312">
        <v>0.2382</v>
      </c>
      <c r="AM835" s="312">
        <v>0.33029999999999998</v>
      </c>
      <c r="AN835" s="312">
        <v>0.49009999999999998</v>
      </c>
      <c r="AO835" s="312">
        <v>0.4572</v>
      </c>
      <c r="AP835" s="312">
        <v>0.32479999999999998</v>
      </c>
      <c r="AQ835" s="312">
        <v>0.22009999999999999</v>
      </c>
      <c r="AR835" s="312">
        <v>0.30959999999999999</v>
      </c>
      <c r="AS835" s="312">
        <v>0.39610000000000001</v>
      </c>
      <c r="AT835" s="312">
        <v>0.33090000000000003</v>
      </c>
      <c r="AU835" s="312">
        <v>0.5665</v>
      </c>
      <c r="AV835" s="312">
        <v>0.44209999999999999</v>
      </c>
      <c r="AW835" s="312">
        <v>0.28079999999999999</v>
      </c>
      <c r="AX835" s="312">
        <v>0.32269999999999999</v>
      </c>
      <c r="AY835" s="312">
        <v>0.40239999999999998</v>
      </c>
      <c r="AZ835" s="312">
        <v>0.42749999999999999</v>
      </c>
      <c r="BA835" s="312">
        <v>0.29380000000000001</v>
      </c>
      <c r="BB835" s="312">
        <v>0.3629</v>
      </c>
      <c r="BC835" s="312">
        <v>0.27810000000000001</v>
      </c>
      <c r="BD835" s="312">
        <v>0.30080000000000001</v>
      </c>
      <c r="BE835" s="312">
        <v>0.38300000000000001</v>
      </c>
      <c r="BF835" s="312">
        <v>0.51729999999999998</v>
      </c>
      <c r="BG835" s="312">
        <v>0.37319999999999998</v>
      </c>
      <c r="BH835" s="312">
        <v>0.4415</v>
      </c>
      <c r="BI835" s="312">
        <v>0.58960000000000001</v>
      </c>
      <c r="BJ835" s="312">
        <v>0.54220000000000002</v>
      </c>
      <c r="BK835" s="312">
        <v>0.41370000000000001</v>
      </c>
      <c r="BM835">
        <f>(C835-C424)*1000000/(RIMS_emp!C835-RIMS_emp!C424)</f>
        <v>37537.849551742569</v>
      </c>
    </row>
    <row r="836" spans="1:65" x14ac:dyDescent="0.25">
      <c r="A836" s="306">
        <v>112300</v>
      </c>
      <c r="B836" s="312" t="s">
        <v>17</v>
      </c>
      <c r="C836" s="312">
        <v>0.77949999999999997</v>
      </c>
      <c r="D836" s="312">
        <v>0.18940000000000001</v>
      </c>
      <c r="E836" s="312">
        <v>0.44209999999999999</v>
      </c>
      <c r="F836" s="312">
        <v>0.4929</v>
      </c>
      <c r="G836" s="312">
        <v>0.27950000000000003</v>
      </c>
      <c r="H836" s="312">
        <v>0.38969999999999999</v>
      </c>
      <c r="I836" s="312">
        <v>0.41320000000000001</v>
      </c>
      <c r="J836" s="312">
        <v>0.2414</v>
      </c>
      <c r="K836" s="312">
        <v>0</v>
      </c>
      <c r="L836" s="312">
        <v>0.28860000000000002</v>
      </c>
      <c r="M836" s="312">
        <v>0.29980000000000001</v>
      </c>
      <c r="N836" s="312">
        <v>0.50060000000000004</v>
      </c>
      <c r="O836" s="312">
        <v>0.2361</v>
      </c>
      <c r="P836" s="312">
        <v>0.4486</v>
      </c>
      <c r="Q836" s="312">
        <v>0.36670000000000003</v>
      </c>
      <c r="R836" s="312">
        <v>0.52769999999999995</v>
      </c>
      <c r="S836" s="312">
        <v>0.52890000000000004</v>
      </c>
      <c r="T836" s="312">
        <v>0.38919999999999999</v>
      </c>
      <c r="U836" s="312">
        <v>0.52280000000000004</v>
      </c>
      <c r="V836" s="312">
        <v>0.4325</v>
      </c>
      <c r="W836" s="312">
        <v>0.24729999999999999</v>
      </c>
      <c r="X836" s="312">
        <v>0.30890000000000001</v>
      </c>
      <c r="Y836" s="312">
        <v>0.35289999999999999</v>
      </c>
      <c r="Z836" s="312">
        <v>0.33700000000000002</v>
      </c>
      <c r="AA836" s="312">
        <v>0.54079999999999995</v>
      </c>
      <c r="AB836" s="312">
        <v>0.54779999999999995</v>
      </c>
      <c r="AC836" s="312">
        <v>0.4763</v>
      </c>
      <c r="AD836" s="312">
        <v>0.3901</v>
      </c>
      <c r="AE836" s="312">
        <v>0.46010000000000001</v>
      </c>
      <c r="AF836" s="312">
        <v>0.37490000000000001</v>
      </c>
      <c r="AG836" s="312">
        <v>0.40060000000000001</v>
      </c>
      <c r="AH836" s="312">
        <v>0.24859999999999999</v>
      </c>
      <c r="AI836" s="312">
        <v>0.2802</v>
      </c>
      <c r="AJ836" s="312">
        <v>0.30580000000000002</v>
      </c>
      <c r="AK836" s="312">
        <v>0.22209999999999999</v>
      </c>
      <c r="AL836" s="312">
        <v>0.2424</v>
      </c>
      <c r="AM836" s="312">
        <v>0.52390000000000003</v>
      </c>
      <c r="AN836" s="312">
        <v>0.51329999999999998</v>
      </c>
      <c r="AO836" s="312">
        <v>0.34770000000000001</v>
      </c>
      <c r="AP836" s="312">
        <v>0.43419999999999997</v>
      </c>
      <c r="AQ836" s="312">
        <v>0.21840000000000001</v>
      </c>
      <c r="AR836" s="312">
        <v>0.33760000000000001</v>
      </c>
      <c r="AS836" s="312">
        <v>0.39329999999999998</v>
      </c>
      <c r="AT836" s="312">
        <v>0.37480000000000002</v>
      </c>
      <c r="AU836" s="312">
        <v>0.46289999999999998</v>
      </c>
      <c r="AV836" s="312">
        <v>0.42759999999999998</v>
      </c>
      <c r="AW836" s="312">
        <v>0.3624</v>
      </c>
      <c r="AX836" s="312">
        <v>0.29360000000000003</v>
      </c>
      <c r="AY836" s="312">
        <v>0.40500000000000003</v>
      </c>
      <c r="AZ836" s="312">
        <v>0.45490000000000003</v>
      </c>
      <c r="BA836" s="312">
        <v>0.26269999999999999</v>
      </c>
      <c r="BB836" s="312">
        <v>0.2215</v>
      </c>
      <c r="BC836" s="312">
        <v>0.29609999999999997</v>
      </c>
      <c r="BD836" s="312">
        <v>0.35299999999999998</v>
      </c>
      <c r="BE836" s="312">
        <v>0.5746</v>
      </c>
      <c r="BF836" s="312">
        <v>0.56100000000000005</v>
      </c>
      <c r="BG836" s="312">
        <v>0.45079999999999998</v>
      </c>
      <c r="BH836" s="312">
        <v>0.55810000000000004</v>
      </c>
      <c r="BI836" s="312">
        <v>0.58789999999999998</v>
      </c>
      <c r="BJ836" s="312">
        <v>0.40839999999999999</v>
      </c>
      <c r="BK836" s="312">
        <v>0.39829999999999999</v>
      </c>
      <c r="BM836">
        <f>(C836-C425)*1000000/(RIMS_emp!C836-RIMS_emp!C425)</f>
        <v>37530.657898283156</v>
      </c>
    </row>
    <row r="837" spans="1:65" x14ac:dyDescent="0.25">
      <c r="A837" s="306" t="s">
        <v>687</v>
      </c>
      <c r="B837" s="312" t="s">
        <v>18</v>
      </c>
      <c r="C837" s="312">
        <v>0.51429999999999998</v>
      </c>
      <c r="D837" s="312">
        <v>0.19750000000000001</v>
      </c>
      <c r="E837" s="312">
        <v>0.32779999999999998</v>
      </c>
      <c r="F837" s="312">
        <v>0.3372</v>
      </c>
      <c r="G837" s="312">
        <v>0.29780000000000001</v>
      </c>
      <c r="H837" s="312">
        <v>0.3357</v>
      </c>
      <c r="I837" s="312">
        <v>0.36120000000000002</v>
      </c>
      <c r="J837" s="312">
        <v>0.2324</v>
      </c>
      <c r="K837" s="312">
        <v>0</v>
      </c>
      <c r="L837" s="312">
        <v>0.2195</v>
      </c>
      <c r="M837" s="312">
        <v>0.30309999999999998</v>
      </c>
      <c r="N837" s="312">
        <v>0.33850000000000002</v>
      </c>
      <c r="O837" s="312">
        <v>0.26939999999999997</v>
      </c>
      <c r="P837" s="312">
        <v>0.31019999999999998</v>
      </c>
      <c r="Q837" s="312">
        <v>0.31290000000000001</v>
      </c>
      <c r="R837" s="312">
        <v>0.36720000000000003</v>
      </c>
      <c r="S837" s="312">
        <v>0.33</v>
      </c>
      <c r="T837" s="312">
        <v>0.31509999999999999</v>
      </c>
      <c r="U837" s="312">
        <v>0.3599</v>
      </c>
      <c r="V837" s="312">
        <v>0.31890000000000002</v>
      </c>
      <c r="W837" s="312">
        <v>0.24299999999999999</v>
      </c>
      <c r="X837" s="312">
        <v>0.24759999999999999</v>
      </c>
      <c r="Y837" s="312">
        <v>0.30180000000000001</v>
      </c>
      <c r="Z837" s="312">
        <v>0.30780000000000002</v>
      </c>
      <c r="AA837" s="312">
        <v>0.3634</v>
      </c>
      <c r="AB837" s="312">
        <v>0.3604</v>
      </c>
      <c r="AC837" s="312">
        <v>0.3261</v>
      </c>
      <c r="AD837" s="312">
        <v>0.33400000000000002</v>
      </c>
      <c r="AE837" s="312">
        <v>0.32140000000000002</v>
      </c>
      <c r="AF837" s="312">
        <v>0.30009999999999998</v>
      </c>
      <c r="AG837" s="312">
        <v>0.30299999999999999</v>
      </c>
      <c r="AH837" s="312">
        <v>0.23849999999999999</v>
      </c>
      <c r="AI837" s="312">
        <v>0.25659999999999999</v>
      </c>
      <c r="AJ837" s="312">
        <v>0.28399999999999997</v>
      </c>
      <c r="AK837" s="312">
        <v>0.2417</v>
      </c>
      <c r="AL837" s="312">
        <v>0.2349</v>
      </c>
      <c r="AM837" s="312">
        <v>0.34010000000000001</v>
      </c>
      <c r="AN837" s="312">
        <v>0.35310000000000002</v>
      </c>
      <c r="AO837" s="312">
        <v>0.31119999999999998</v>
      </c>
      <c r="AP837" s="312">
        <v>0.31630000000000003</v>
      </c>
      <c r="AQ837" s="312">
        <v>0.2218</v>
      </c>
      <c r="AR837" s="312">
        <v>0.2898</v>
      </c>
      <c r="AS837" s="312">
        <v>0.2873</v>
      </c>
      <c r="AT837" s="312">
        <v>0.28570000000000001</v>
      </c>
      <c r="AU837" s="312">
        <v>0.36709999999999998</v>
      </c>
      <c r="AV837" s="312">
        <v>0.35949999999999999</v>
      </c>
      <c r="AW837" s="312">
        <v>0.26850000000000002</v>
      </c>
      <c r="AX837" s="312">
        <v>0.27200000000000002</v>
      </c>
      <c r="AY837" s="312">
        <v>0.33189999999999997</v>
      </c>
      <c r="AZ837" s="312">
        <v>0.33629999999999999</v>
      </c>
      <c r="BA837" s="312">
        <v>0.23710000000000001</v>
      </c>
      <c r="BB837" s="312">
        <v>0.25180000000000002</v>
      </c>
      <c r="BC837" s="312">
        <v>0.27339999999999998</v>
      </c>
      <c r="BD837" s="312">
        <v>0.29320000000000002</v>
      </c>
      <c r="BE837" s="312">
        <v>0.38250000000000001</v>
      </c>
      <c r="BF837" s="312">
        <v>0.37359999999999999</v>
      </c>
      <c r="BG837" s="312">
        <v>0.36409999999999998</v>
      </c>
      <c r="BH837" s="312">
        <v>0.3785</v>
      </c>
      <c r="BI837" s="312">
        <v>0.39960000000000001</v>
      </c>
      <c r="BJ837" s="312">
        <v>0.36499999999999999</v>
      </c>
      <c r="BK837" s="312">
        <v>0.34360000000000002</v>
      </c>
      <c r="BM837">
        <f>(C837-C426)*1000000/(RIMS_emp!C837-RIMS_emp!C426)</f>
        <v>37543.150111322175</v>
      </c>
    </row>
    <row r="838" spans="1:65" x14ac:dyDescent="0.25">
      <c r="A838" s="306">
        <v>113300</v>
      </c>
      <c r="B838" s="312" t="s">
        <v>688</v>
      </c>
      <c r="C838" s="312">
        <v>0.83340000000000003</v>
      </c>
      <c r="D838" s="312">
        <v>0.4214</v>
      </c>
      <c r="E838" s="312">
        <v>0.61229999999999996</v>
      </c>
      <c r="F838" s="312">
        <v>0.57210000000000005</v>
      </c>
      <c r="G838" s="312">
        <v>0.41039999999999999</v>
      </c>
      <c r="H838" s="312">
        <v>0.49580000000000002</v>
      </c>
      <c r="I838" s="312">
        <v>0.43240000000000001</v>
      </c>
      <c r="J838" s="312">
        <v>0.32819999999999999</v>
      </c>
      <c r="K838" s="312">
        <v>0</v>
      </c>
      <c r="L838" s="312">
        <v>0.27110000000000001</v>
      </c>
      <c r="M838" s="312">
        <v>0.57289999999999996</v>
      </c>
      <c r="N838" s="312">
        <v>0.6502</v>
      </c>
      <c r="O838" s="312">
        <v>0.38750000000000001</v>
      </c>
      <c r="P838" s="312">
        <v>0.34089999999999998</v>
      </c>
      <c r="Q838" s="312">
        <v>0.56430000000000002</v>
      </c>
      <c r="R838" s="312">
        <v>0.38429999999999997</v>
      </c>
      <c r="S838" s="312">
        <v>0.39489999999999997</v>
      </c>
      <c r="T838" s="312">
        <v>0.35489999999999999</v>
      </c>
      <c r="U838" s="312">
        <v>0.42320000000000002</v>
      </c>
      <c r="V838" s="312">
        <v>0.58350000000000002</v>
      </c>
      <c r="W838" s="312">
        <v>0.28599999999999998</v>
      </c>
      <c r="X838" s="312">
        <v>0.33850000000000002</v>
      </c>
      <c r="Y838" s="312">
        <v>0.58840000000000003</v>
      </c>
      <c r="Z838" s="312">
        <v>0.49669999999999997</v>
      </c>
      <c r="AA838" s="312">
        <v>0.51739999999999997</v>
      </c>
      <c r="AB838" s="312">
        <v>0.40239999999999998</v>
      </c>
      <c r="AC838" s="312">
        <v>0.57150000000000001</v>
      </c>
      <c r="AD838" s="312">
        <v>0.58050000000000002</v>
      </c>
      <c r="AE838" s="312">
        <v>0.5645</v>
      </c>
      <c r="AF838" s="312">
        <v>0</v>
      </c>
      <c r="AG838" s="312">
        <v>0.2732</v>
      </c>
      <c r="AH838" s="312">
        <v>0.4728</v>
      </c>
      <c r="AI838" s="312">
        <v>0.27650000000000002</v>
      </c>
      <c r="AJ838" s="312">
        <v>0.37719999999999998</v>
      </c>
      <c r="AK838" s="312">
        <v>0.32229999999999998</v>
      </c>
      <c r="AL838" s="312">
        <v>0.34139999999999998</v>
      </c>
      <c r="AM838" s="312">
        <v>0.3896</v>
      </c>
      <c r="AN838" s="312">
        <v>0.42409999999999998</v>
      </c>
      <c r="AO838" s="312">
        <v>0.62019999999999997</v>
      </c>
      <c r="AP838" s="312">
        <v>0.41349999999999998</v>
      </c>
      <c r="AQ838" s="312">
        <v>0.33689999999999998</v>
      </c>
      <c r="AR838" s="312">
        <v>0.60140000000000005</v>
      </c>
      <c r="AS838" s="312">
        <v>0.40479999999999999</v>
      </c>
      <c r="AT838" s="312">
        <v>0.4294</v>
      </c>
      <c r="AU838" s="312">
        <v>0.52839999999999998</v>
      </c>
      <c r="AV838" s="312">
        <v>0.40899999999999997</v>
      </c>
      <c r="AW838" s="312">
        <v>0.45629999999999998</v>
      </c>
      <c r="AX838" s="312">
        <v>0.46810000000000002</v>
      </c>
      <c r="AY838" s="312">
        <v>0.64359999999999995</v>
      </c>
      <c r="AZ838" s="312">
        <v>0.47110000000000002</v>
      </c>
      <c r="BA838" s="312">
        <v>0.45760000000000001</v>
      </c>
      <c r="BB838" s="312">
        <v>0.36499999999999999</v>
      </c>
      <c r="BC838" s="312">
        <v>0.52700000000000002</v>
      </c>
      <c r="BD838" s="312">
        <v>0.4007</v>
      </c>
      <c r="BE838" s="312">
        <v>0.44550000000000001</v>
      </c>
      <c r="BF838" s="312">
        <v>0.43759999999999999</v>
      </c>
      <c r="BG838" s="312">
        <v>0.67359999999999998</v>
      </c>
      <c r="BH838" s="312">
        <v>0.65159999999999996</v>
      </c>
      <c r="BI838" s="312">
        <v>0.68720000000000003</v>
      </c>
      <c r="BJ838" s="312">
        <v>0.54300000000000004</v>
      </c>
      <c r="BK838" s="312">
        <v>0.69279999999999997</v>
      </c>
      <c r="BM838">
        <f>(C838-C427)*1000000/(RIMS_emp!C838-RIMS_emp!C427)</f>
        <v>37536.55339316326</v>
      </c>
    </row>
    <row r="839" spans="1:65" x14ac:dyDescent="0.25">
      <c r="A839" s="306" t="s">
        <v>689</v>
      </c>
      <c r="B839" s="312" t="s">
        <v>690</v>
      </c>
      <c r="C839" s="312">
        <v>0.6734</v>
      </c>
      <c r="D839" s="312">
        <v>0.2117</v>
      </c>
      <c r="E839" s="312">
        <v>0.43430000000000002</v>
      </c>
      <c r="F839" s="312">
        <v>0.42030000000000001</v>
      </c>
      <c r="G839" s="312">
        <v>0.45550000000000002</v>
      </c>
      <c r="H839" s="312">
        <v>0.50129999999999997</v>
      </c>
      <c r="I839" s="312">
        <v>0.38719999999999999</v>
      </c>
      <c r="J839" s="312">
        <v>0</v>
      </c>
      <c r="K839" s="312">
        <v>0</v>
      </c>
      <c r="L839" s="312">
        <v>0</v>
      </c>
      <c r="M839" s="312">
        <v>0.46260000000000001</v>
      </c>
      <c r="N839" s="312">
        <v>0.41520000000000001</v>
      </c>
      <c r="O839" s="312">
        <v>0.33479999999999999</v>
      </c>
      <c r="P839" s="312">
        <v>0</v>
      </c>
      <c r="Q839" s="312">
        <v>0.40860000000000002</v>
      </c>
      <c r="R839" s="312">
        <v>0.3649</v>
      </c>
      <c r="S839" s="312">
        <v>0.30580000000000002</v>
      </c>
      <c r="T839" s="312">
        <v>0</v>
      </c>
      <c r="U839" s="312">
        <v>0.45550000000000002</v>
      </c>
      <c r="V839" s="312">
        <v>0.37659999999999999</v>
      </c>
      <c r="W839" s="312">
        <v>0.28360000000000002</v>
      </c>
      <c r="X839" s="312">
        <v>0.26240000000000002</v>
      </c>
      <c r="Y839" s="312">
        <v>0.35039999999999999</v>
      </c>
      <c r="Z839" s="312">
        <v>0.32590000000000002</v>
      </c>
      <c r="AA839" s="312">
        <v>0.3553</v>
      </c>
      <c r="AB839" s="312">
        <v>0.39069999999999999</v>
      </c>
      <c r="AC839" s="312">
        <v>0.42480000000000001</v>
      </c>
      <c r="AD839" s="312">
        <v>0.41639999999999999</v>
      </c>
      <c r="AE839" s="312">
        <v>0.36649999999999999</v>
      </c>
      <c r="AF839" s="312">
        <v>0.3407</v>
      </c>
      <c r="AG839" s="312">
        <v>0.33529999999999999</v>
      </c>
      <c r="AH839" s="312">
        <v>0.26860000000000001</v>
      </c>
      <c r="AI839" s="312">
        <v>0.2407</v>
      </c>
      <c r="AJ839" s="312">
        <v>0.40300000000000002</v>
      </c>
      <c r="AK839" s="312">
        <v>0</v>
      </c>
      <c r="AL839" s="312">
        <v>0.2465</v>
      </c>
      <c r="AM839" s="312">
        <v>0.31840000000000002</v>
      </c>
      <c r="AN839" s="312">
        <v>0.33160000000000001</v>
      </c>
      <c r="AO839" s="312">
        <v>0.45469999999999999</v>
      </c>
      <c r="AP839" s="312">
        <v>0.34250000000000003</v>
      </c>
      <c r="AQ839" s="312">
        <v>0</v>
      </c>
      <c r="AR839" s="312">
        <v>0.38950000000000001</v>
      </c>
      <c r="AS839" s="312">
        <v>0.31119999999999998</v>
      </c>
      <c r="AT839" s="312">
        <v>0.30859999999999999</v>
      </c>
      <c r="AU839" s="312">
        <v>0.42770000000000002</v>
      </c>
      <c r="AV839" s="312">
        <v>0</v>
      </c>
      <c r="AW839" s="312">
        <v>0.26779999999999998</v>
      </c>
      <c r="AX839" s="312">
        <v>0.34899999999999998</v>
      </c>
      <c r="AY839" s="312">
        <v>0.45879999999999999</v>
      </c>
      <c r="AZ839" s="312">
        <v>0.40789999999999998</v>
      </c>
      <c r="BA839" s="312">
        <v>0.24790000000000001</v>
      </c>
      <c r="BB839" s="312">
        <v>0</v>
      </c>
      <c r="BC839" s="312">
        <v>0.33040000000000003</v>
      </c>
      <c r="BD839" s="312">
        <v>0.31709999999999999</v>
      </c>
      <c r="BE839" s="312">
        <v>0.38529999999999998</v>
      </c>
      <c r="BF839" s="312">
        <v>0.41210000000000002</v>
      </c>
      <c r="BG839" s="312">
        <v>0.46</v>
      </c>
      <c r="BH839" s="312">
        <v>0.4703</v>
      </c>
      <c r="BI839" s="312">
        <v>0.45629999999999998</v>
      </c>
      <c r="BJ839" s="312">
        <v>0.49409999999999998</v>
      </c>
      <c r="BK839" s="312">
        <v>0.50790000000000002</v>
      </c>
      <c r="BM839">
        <f>(C839-C428)*1000000/(RIMS_emp!C839-RIMS_emp!C428)</f>
        <v>37532.173777396449</v>
      </c>
    </row>
    <row r="840" spans="1:65" x14ac:dyDescent="0.25">
      <c r="A840" s="306">
        <v>114100</v>
      </c>
      <c r="B840" s="312" t="s">
        <v>691</v>
      </c>
      <c r="C840" s="312">
        <v>0.90590000000000004</v>
      </c>
      <c r="D840" s="312">
        <v>0.39369999999999999</v>
      </c>
      <c r="E840" s="312">
        <v>0.65800000000000003</v>
      </c>
      <c r="F840" s="312">
        <v>0.5968</v>
      </c>
      <c r="G840" s="312">
        <v>0</v>
      </c>
      <c r="H840" s="312">
        <v>0.74909999999999999</v>
      </c>
      <c r="I840" s="312">
        <v>0</v>
      </c>
      <c r="J840" s="312">
        <v>0.67730000000000001</v>
      </c>
      <c r="K840" s="312">
        <v>0</v>
      </c>
      <c r="L840" s="312">
        <v>0.4642</v>
      </c>
      <c r="M840" s="312">
        <v>0.68469999999999998</v>
      </c>
      <c r="N840" s="312">
        <v>0.6764</v>
      </c>
      <c r="O840" s="312">
        <v>0.68279999999999996</v>
      </c>
      <c r="P840" s="312">
        <v>0</v>
      </c>
      <c r="Q840" s="312">
        <v>0.60450000000000004</v>
      </c>
      <c r="R840" s="312">
        <v>0.70809999999999995</v>
      </c>
      <c r="S840" s="312">
        <v>0</v>
      </c>
      <c r="T840" s="312">
        <v>0</v>
      </c>
      <c r="U840" s="312">
        <v>0.69350000000000001</v>
      </c>
      <c r="V840" s="312">
        <v>0.68500000000000005</v>
      </c>
      <c r="W840" s="312">
        <v>0.64810000000000001</v>
      </c>
      <c r="X840" s="312">
        <v>0.64229999999999998</v>
      </c>
      <c r="Y840" s="312">
        <v>0.67620000000000002</v>
      </c>
      <c r="Z840" s="312">
        <v>0.67300000000000004</v>
      </c>
      <c r="AA840" s="312">
        <v>0.6734</v>
      </c>
      <c r="AB840" s="312">
        <v>0</v>
      </c>
      <c r="AC840" s="312">
        <v>0.62970000000000004</v>
      </c>
      <c r="AD840" s="312">
        <v>0.50580000000000003</v>
      </c>
      <c r="AE840" s="312">
        <v>0.66080000000000005</v>
      </c>
      <c r="AF840" s="312">
        <v>0</v>
      </c>
      <c r="AG840" s="312">
        <v>0</v>
      </c>
      <c r="AH840" s="312">
        <v>0.60109999999999997</v>
      </c>
      <c r="AI840" s="312">
        <v>0.65980000000000005</v>
      </c>
      <c r="AJ840" s="312">
        <v>0</v>
      </c>
      <c r="AK840" s="312">
        <v>0.61350000000000005</v>
      </c>
      <c r="AL840" s="312">
        <v>0.60199999999999998</v>
      </c>
      <c r="AM840" s="312">
        <v>0.70520000000000005</v>
      </c>
      <c r="AN840" s="312">
        <v>0</v>
      </c>
      <c r="AO840" s="312">
        <v>0.66149999999999998</v>
      </c>
      <c r="AP840" s="312">
        <v>0.63009999999999999</v>
      </c>
      <c r="AQ840" s="312">
        <v>0.63170000000000004</v>
      </c>
      <c r="AR840" s="312">
        <v>0.68520000000000003</v>
      </c>
      <c r="AS840" s="312">
        <v>0</v>
      </c>
      <c r="AT840" s="312">
        <v>0.71660000000000001</v>
      </c>
      <c r="AU840" s="312">
        <v>0.77200000000000002</v>
      </c>
      <c r="AV840" s="312">
        <v>0.66010000000000002</v>
      </c>
      <c r="AW840" s="312">
        <v>0.67010000000000003</v>
      </c>
      <c r="AX840" s="312">
        <v>0</v>
      </c>
      <c r="AY840" s="312">
        <v>0.68889999999999996</v>
      </c>
      <c r="AZ840" s="312">
        <v>0.66579999999999995</v>
      </c>
      <c r="BA840" s="312">
        <v>0</v>
      </c>
      <c r="BB840" s="312">
        <v>0</v>
      </c>
      <c r="BC840" s="312">
        <v>0.7319</v>
      </c>
      <c r="BD840" s="312">
        <v>0.70709999999999995</v>
      </c>
      <c r="BE840" s="312">
        <v>0.73960000000000004</v>
      </c>
      <c r="BF840" s="312">
        <v>0.64529999999999998</v>
      </c>
      <c r="BG840" s="312">
        <v>0.75139999999999996</v>
      </c>
      <c r="BH840" s="312">
        <v>0.71499999999999997</v>
      </c>
      <c r="BI840" s="312">
        <v>0.77929999999999999</v>
      </c>
      <c r="BJ840" s="312">
        <v>0.6976</v>
      </c>
      <c r="BK840" s="312">
        <v>0.76980000000000004</v>
      </c>
      <c r="BM840">
        <f>(C840-C429)*1000000/(RIMS_emp!C840-RIMS_emp!C429)</f>
        <v>37549.865479172477</v>
      </c>
    </row>
    <row r="841" spans="1:65" x14ac:dyDescent="0.25">
      <c r="A841" s="306">
        <v>114200</v>
      </c>
      <c r="B841" s="312" t="s">
        <v>692</v>
      </c>
      <c r="C841" s="312">
        <v>0.51900000000000002</v>
      </c>
      <c r="D841" s="312">
        <v>0</v>
      </c>
      <c r="E841" s="312">
        <v>0.32600000000000001</v>
      </c>
      <c r="F841" s="312">
        <v>0.29330000000000001</v>
      </c>
      <c r="G841" s="312">
        <v>0.3271</v>
      </c>
      <c r="H841" s="312">
        <v>0.37659999999999999</v>
      </c>
      <c r="I841" s="312">
        <v>0.37069999999999997</v>
      </c>
      <c r="J841" s="312">
        <v>0.31130000000000002</v>
      </c>
      <c r="K841" s="312">
        <v>0</v>
      </c>
      <c r="L841" s="312">
        <v>0</v>
      </c>
      <c r="M841" s="312">
        <v>0.3322</v>
      </c>
      <c r="N841" s="312">
        <v>0.36649999999999999</v>
      </c>
      <c r="O841" s="312">
        <v>0.2742</v>
      </c>
      <c r="P841" s="312">
        <v>0.27100000000000002</v>
      </c>
      <c r="Q841" s="312">
        <v>0.27639999999999998</v>
      </c>
      <c r="R841" s="312">
        <v>0.40050000000000002</v>
      </c>
      <c r="S841" s="312">
        <v>0.34489999999999998</v>
      </c>
      <c r="T841" s="312">
        <v>0.28960000000000002</v>
      </c>
      <c r="U841" s="312">
        <v>0.33729999999999999</v>
      </c>
      <c r="V841" s="312">
        <v>0.30919999999999997</v>
      </c>
      <c r="W841" s="312">
        <v>0.31879999999999997</v>
      </c>
      <c r="X841" s="312">
        <v>0.30259999999999998</v>
      </c>
      <c r="Y841" s="312">
        <v>0</v>
      </c>
      <c r="Z841" s="312">
        <v>0.34689999999999999</v>
      </c>
      <c r="AA841" s="312">
        <v>0.3402</v>
      </c>
      <c r="AB841" s="312">
        <v>0.30609999999999998</v>
      </c>
      <c r="AC841" s="312">
        <v>0.28860000000000002</v>
      </c>
      <c r="AD841" s="312">
        <v>0.25259999999999999</v>
      </c>
      <c r="AE841" s="312">
        <v>0.3407</v>
      </c>
      <c r="AF841" s="312">
        <v>0.24979999999999999</v>
      </c>
      <c r="AG841" s="312">
        <v>0.26679999999999998</v>
      </c>
      <c r="AH841" s="312">
        <v>0</v>
      </c>
      <c r="AI841" s="312">
        <v>0.34439999999999998</v>
      </c>
      <c r="AJ841" s="312">
        <v>0</v>
      </c>
      <c r="AK841" s="312">
        <v>0.27810000000000001</v>
      </c>
      <c r="AL841" s="312">
        <v>0.27189999999999998</v>
      </c>
      <c r="AM841" s="312">
        <v>0.37719999999999998</v>
      </c>
      <c r="AN841" s="312">
        <v>0.33800000000000002</v>
      </c>
      <c r="AO841" s="312">
        <v>0.32190000000000002</v>
      </c>
      <c r="AP841" s="312">
        <v>0.35439999999999999</v>
      </c>
      <c r="AQ841" s="312">
        <v>0</v>
      </c>
      <c r="AR841" s="312">
        <v>0.34200000000000003</v>
      </c>
      <c r="AS841" s="312">
        <v>0.2321</v>
      </c>
      <c r="AT841" s="312">
        <v>0.36530000000000001</v>
      </c>
      <c r="AU841" s="312">
        <v>0.39900000000000002</v>
      </c>
      <c r="AV841" s="312">
        <v>0.34870000000000001</v>
      </c>
      <c r="AW841" s="312">
        <v>0.30869999999999997</v>
      </c>
      <c r="AX841" s="312">
        <v>0.27560000000000001</v>
      </c>
      <c r="AY841" s="312">
        <v>0.3256</v>
      </c>
      <c r="AZ841" s="312">
        <v>0.33929999999999999</v>
      </c>
      <c r="BA841" s="312">
        <v>0.2772</v>
      </c>
      <c r="BB841" s="312">
        <v>0.24829999999999999</v>
      </c>
      <c r="BC841" s="312">
        <v>0.35699999999999998</v>
      </c>
      <c r="BD841" s="312">
        <v>0.36680000000000001</v>
      </c>
      <c r="BE841" s="312">
        <v>0.40899999999999997</v>
      </c>
      <c r="BF841" s="312">
        <v>0.3377</v>
      </c>
      <c r="BG841" s="312">
        <v>0.38340000000000002</v>
      </c>
      <c r="BH841" s="312">
        <v>0.36799999999999999</v>
      </c>
      <c r="BI841" s="312">
        <v>0.40079999999999999</v>
      </c>
      <c r="BJ841" s="312">
        <v>0.35799999999999998</v>
      </c>
      <c r="BK841" s="312">
        <v>0.38140000000000002</v>
      </c>
      <c r="BM841">
        <f>(C841-C430)*1000000/(RIMS_emp!C841-RIMS_emp!C430)</f>
        <v>37549.087081494668</v>
      </c>
    </row>
    <row r="842" spans="1:65" x14ac:dyDescent="0.25">
      <c r="A842" s="306">
        <v>115000</v>
      </c>
      <c r="B842" s="312" t="s">
        <v>19</v>
      </c>
      <c r="C842" s="312">
        <v>1.0048999999999999</v>
      </c>
      <c r="D842" s="312">
        <v>0.65010000000000001</v>
      </c>
      <c r="E842" s="312">
        <v>0.74570000000000003</v>
      </c>
      <c r="F842" s="312">
        <v>0.69089999999999996</v>
      </c>
      <c r="G842" s="312">
        <v>0.73180000000000001</v>
      </c>
      <c r="H842" s="312">
        <v>0.78949999999999998</v>
      </c>
      <c r="I842" s="312">
        <v>0.77910000000000001</v>
      </c>
      <c r="J842" s="312">
        <v>0.63819999999999999</v>
      </c>
      <c r="K842" s="312">
        <v>0</v>
      </c>
      <c r="L842" s="312">
        <v>0.60019999999999996</v>
      </c>
      <c r="M842" s="312">
        <v>0.75739999999999996</v>
      </c>
      <c r="N842" s="312">
        <v>0.78620000000000001</v>
      </c>
      <c r="O842" s="312">
        <v>0.7006</v>
      </c>
      <c r="P842" s="312">
        <v>0.67090000000000005</v>
      </c>
      <c r="Q842" s="312">
        <v>0.66569999999999996</v>
      </c>
      <c r="R842" s="312">
        <v>0.77569999999999995</v>
      </c>
      <c r="S842" s="312">
        <v>0.73140000000000005</v>
      </c>
      <c r="T842" s="312">
        <v>0.67149999999999999</v>
      </c>
      <c r="U842" s="312">
        <v>0.70250000000000001</v>
      </c>
      <c r="V842" s="312">
        <v>0.73299999999999998</v>
      </c>
      <c r="W842" s="312">
        <v>0.72289999999999999</v>
      </c>
      <c r="X842" s="312">
        <v>0.69510000000000005</v>
      </c>
      <c r="Y842" s="312">
        <v>0.73750000000000004</v>
      </c>
      <c r="Z842" s="312">
        <v>0.74939999999999996</v>
      </c>
      <c r="AA842" s="312">
        <v>0.7127</v>
      </c>
      <c r="AB842" s="312">
        <v>0.75329999999999997</v>
      </c>
      <c r="AC842" s="312">
        <v>0.68520000000000003</v>
      </c>
      <c r="AD842" s="312">
        <v>0.69469999999999998</v>
      </c>
      <c r="AE842" s="312">
        <v>0.76600000000000001</v>
      </c>
      <c r="AF842" s="312">
        <v>0.60109999999999997</v>
      </c>
      <c r="AG842" s="312">
        <v>0.66259999999999997</v>
      </c>
      <c r="AH842" s="312">
        <v>0.64849999999999997</v>
      </c>
      <c r="AI842" s="312">
        <v>0.74850000000000005</v>
      </c>
      <c r="AJ842" s="312">
        <v>0.66359999999999997</v>
      </c>
      <c r="AK842" s="312">
        <v>0.65110000000000001</v>
      </c>
      <c r="AL842" s="312">
        <v>0.55359999999999998</v>
      </c>
      <c r="AM842" s="312">
        <v>0.79449999999999998</v>
      </c>
      <c r="AN842" s="312">
        <v>0.73839999999999995</v>
      </c>
      <c r="AO842" s="312">
        <v>0.7379</v>
      </c>
      <c r="AP842" s="312">
        <v>0.77710000000000001</v>
      </c>
      <c r="AQ842" s="312">
        <v>0.68140000000000001</v>
      </c>
      <c r="AR842" s="312">
        <v>0.69950000000000001</v>
      </c>
      <c r="AS842" s="312">
        <v>0.62209999999999999</v>
      </c>
      <c r="AT842" s="312">
        <v>0.74429999999999996</v>
      </c>
      <c r="AU842" s="312">
        <v>0.81569999999999998</v>
      </c>
      <c r="AV842" s="312">
        <v>0.79269999999999996</v>
      </c>
      <c r="AW842" s="312">
        <v>0.70409999999999995</v>
      </c>
      <c r="AX842" s="312">
        <v>0.65749999999999997</v>
      </c>
      <c r="AY842" s="312">
        <v>0.71960000000000002</v>
      </c>
      <c r="AZ842" s="312">
        <v>0.76749999999999996</v>
      </c>
      <c r="BA842" s="312">
        <v>0.66210000000000002</v>
      </c>
      <c r="BB842" s="312">
        <v>0.57620000000000005</v>
      </c>
      <c r="BC842" s="312">
        <v>0.76629999999999998</v>
      </c>
      <c r="BD842" s="312">
        <v>0.71840000000000004</v>
      </c>
      <c r="BE842" s="312">
        <v>0.8569</v>
      </c>
      <c r="BF842" s="312">
        <v>0.77790000000000004</v>
      </c>
      <c r="BG842" s="312">
        <v>0.85189999999999999</v>
      </c>
      <c r="BH842" s="312">
        <v>0.80520000000000003</v>
      </c>
      <c r="BI842" s="312">
        <v>0.84550000000000003</v>
      </c>
      <c r="BJ842" s="312">
        <v>0.7994</v>
      </c>
      <c r="BK842" s="312">
        <v>0.79669999999999996</v>
      </c>
      <c r="BM842">
        <f>(C842-C431)*1000000/(RIMS_emp!C842-RIMS_emp!C431)</f>
        <v>37538.808918995179</v>
      </c>
    </row>
    <row r="843" spans="1:65" x14ac:dyDescent="0.25">
      <c r="A843" s="306">
        <v>211000</v>
      </c>
      <c r="B843" s="312" t="s">
        <v>693</v>
      </c>
      <c r="C843" s="312">
        <v>0.63880000000000003</v>
      </c>
      <c r="D843" s="312">
        <v>0.35859999999999997</v>
      </c>
      <c r="E843" s="312">
        <v>0.36620000000000003</v>
      </c>
      <c r="F843" s="312">
        <v>0.36230000000000001</v>
      </c>
      <c r="G843" s="312">
        <v>0.3785</v>
      </c>
      <c r="H843" s="312">
        <v>0.49980000000000002</v>
      </c>
      <c r="I843" s="312">
        <v>0.50700000000000001</v>
      </c>
      <c r="J843" s="312">
        <v>0.43669999999999998</v>
      </c>
      <c r="K843" s="312">
        <v>0</v>
      </c>
      <c r="L843" s="312">
        <v>0</v>
      </c>
      <c r="M843" s="312">
        <v>0.41959999999999997</v>
      </c>
      <c r="N843" s="312">
        <v>0</v>
      </c>
      <c r="O843" s="312">
        <v>0.3992</v>
      </c>
      <c r="P843" s="312">
        <v>0</v>
      </c>
      <c r="Q843" s="312">
        <v>0.36959999999999998</v>
      </c>
      <c r="R843" s="312">
        <v>0.47499999999999998</v>
      </c>
      <c r="S843" s="312">
        <v>0.39119999999999999</v>
      </c>
      <c r="T843" s="312">
        <v>0.36459999999999998</v>
      </c>
      <c r="U843" s="312">
        <v>0.40550000000000003</v>
      </c>
      <c r="V843" s="312">
        <v>0.41770000000000002</v>
      </c>
      <c r="W843" s="312">
        <v>0.40849999999999997</v>
      </c>
      <c r="X843" s="312">
        <v>0.39560000000000001</v>
      </c>
      <c r="Y843" s="312">
        <v>0.38590000000000002</v>
      </c>
      <c r="Z843" s="312">
        <v>0.47</v>
      </c>
      <c r="AA843" s="312">
        <v>0.45989999999999998</v>
      </c>
      <c r="AB843" s="312">
        <v>0.3448</v>
      </c>
      <c r="AC843" s="312">
        <v>0.34039999999999998</v>
      </c>
      <c r="AD843" s="312">
        <v>0.35410000000000003</v>
      </c>
      <c r="AE843" s="312">
        <v>0.38579999999999998</v>
      </c>
      <c r="AF843" s="312">
        <v>0.3407</v>
      </c>
      <c r="AG843" s="312">
        <v>0.32550000000000001</v>
      </c>
      <c r="AH843" s="312">
        <v>0</v>
      </c>
      <c r="AI843" s="312">
        <v>0.41930000000000001</v>
      </c>
      <c r="AJ843" s="312">
        <v>0.3669</v>
      </c>
      <c r="AK843" s="312">
        <v>0.40050000000000002</v>
      </c>
      <c r="AL843" s="312">
        <v>0.32329999999999998</v>
      </c>
      <c r="AM843" s="312">
        <v>0.45300000000000001</v>
      </c>
      <c r="AN843" s="312">
        <v>0.43909999999999999</v>
      </c>
      <c r="AO843" s="312">
        <v>0.41349999999999998</v>
      </c>
      <c r="AP843" s="312">
        <v>0.49359999999999998</v>
      </c>
      <c r="AQ843" s="312">
        <v>0.40129999999999999</v>
      </c>
      <c r="AR843" s="312">
        <v>0.41670000000000001</v>
      </c>
      <c r="AS843" s="312">
        <v>0.13189999999999999</v>
      </c>
      <c r="AT843" s="312">
        <v>0.44090000000000001</v>
      </c>
      <c r="AU843" s="312">
        <v>0.51090000000000002</v>
      </c>
      <c r="AV843" s="312">
        <v>0.48020000000000002</v>
      </c>
      <c r="AW843" s="312">
        <v>0.4143</v>
      </c>
      <c r="AX843" s="312">
        <v>0</v>
      </c>
      <c r="AY843" s="312">
        <v>0</v>
      </c>
      <c r="AZ843" s="312">
        <v>0.44719999999999999</v>
      </c>
      <c r="BA843" s="312">
        <v>0.37680000000000002</v>
      </c>
      <c r="BB843" s="312">
        <v>0.3427</v>
      </c>
      <c r="BC843" s="312">
        <v>0.47889999999999999</v>
      </c>
      <c r="BD843" s="312">
        <v>0.45379999999999998</v>
      </c>
      <c r="BE843" s="312">
        <v>0.49730000000000002</v>
      </c>
      <c r="BF843" s="312">
        <v>0.44529999999999997</v>
      </c>
      <c r="BG843" s="312">
        <v>0.48060000000000003</v>
      </c>
      <c r="BH843" s="312">
        <v>0.41689999999999999</v>
      </c>
      <c r="BI843" s="312">
        <v>0.51400000000000001</v>
      </c>
      <c r="BJ843" s="312">
        <v>0.49590000000000001</v>
      </c>
      <c r="BK843" s="312">
        <v>0.50409999999999999</v>
      </c>
      <c r="BM843">
        <f>(C843-C432)*1000000/(RIMS_emp!C843-RIMS_emp!C432)</f>
        <v>37541.31517932022</v>
      </c>
    </row>
    <row r="844" spans="1:65" x14ac:dyDescent="0.25">
      <c r="A844" s="306">
        <v>212100</v>
      </c>
      <c r="B844" s="312" t="s">
        <v>694</v>
      </c>
      <c r="C844" s="312">
        <v>0.72660000000000002</v>
      </c>
      <c r="D844" s="312">
        <v>0.39029999999999998</v>
      </c>
      <c r="E844" s="312">
        <v>0.50609999999999999</v>
      </c>
      <c r="F844" s="312">
        <v>0.2419</v>
      </c>
      <c r="G844" s="312">
        <v>0.46750000000000003</v>
      </c>
      <c r="H844" s="312">
        <v>0.34279999999999999</v>
      </c>
      <c r="I844" s="312">
        <v>0.56320000000000003</v>
      </c>
      <c r="J844" s="312">
        <v>0</v>
      </c>
      <c r="K844" s="312">
        <v>0</v>
      </c>
      <c r="L844" s="312">
        <v>0</v>
      </c>
      <c r="M844" s="312">
        <v>0</v>
      </c>
      <c r="N844" s="312">
        <v>0.39460000000000001</v>
      </c>
      <c r="O844" s="312">
        <v>0</v>
      </c>
      <c r="P844" s="312">
        <v>0</v>
      </c>
      <c r="Q844" s="312">
        <v>0</v>
      </c>
      <c r="R844" s="312">
        <v>0.55179999999999996</v>
      </c>
      <c r="S844" s="312">
        <v>0.48649999999999999</v>
      </c>
      <c r="T844" s="312">
        <v>0.4163</v>
      </c>
      <c r="U844" s="312">
        <v>0.48089999999999999</v>
      </c>
      <c r="V844" s="312">
        <v>0.39750000000000002</v>
      </c>
      <c r="W844" s="312">
        <v>0</v>
      </c>
      <c r="X844" s="312">
        <v>0.36530000000000001</v>
      </c>
      <c r="Y844" s="312">
        <v>0</v>
      </c>
      <c r="Z844" s="312">
        <v>0</v>
      </c>
      <c r="AA844" s="312">
        <v>0</v>
      </c>
      <c r="AB844" s="312">
        <v>0.41089999999999999</v>
      </c>
      <c r="AC844" s="312">
        <v>0.40689999999999998</v>
      </c>
      <c r="AD844" s="312">
        <v>0.34470000000000001</v>
      </c>
      <c r="AE844" s="312">
        <v>0.44840000000000002</v>
      </c>
      <c r="AF844" s="312">
        <v>0.40200000000000002</v>
      </c>
      <c r="AG844" s="312">
        <v>0</v>
      </c>
      <c r="AH844" s="312">
        <v>0</v>
      </c>
      <c r="AI844" s="312">
        <v>0</v>
      </c>
      <c r="AJ844" s="312">
        <v>0.41970000000000002</v>
      </c>
      <c r="AK844" s="312">
        <v>0</v>
      </c>
      <c r="AL844" s="312">
        <v>0.42620000000000002</v>
      </c>
      <c r="AM844" s="312">
        <v>0.52810000000000001</v>
      </c>
      <c r="AN844" s="312">
        <v>0.47299999999999998</v>
      </c>
      <c r="AO844" s="312">
        <v>0</v>
      </c>
      <c r="AP844" s="312">
        <v>0.53939999999999999</v>
      </c>
      <c r="AQ844" s="312">
        <v>0</v>
      </c>
      <c r="AR844" s="312">
        <v>0.47420000000000001</v>
      </c>
      <c r="AS844" s="312">
        <v>0</v>
      </c>
      <c r="AT844" s="312">
        <v>0.47220000000000001</v>
      </c>
      <c r="AU844" s="312">
        <v>0.54749999999999999</v>
      </c>
      <c r="AV844" s="312">
        <v>0.56159999999999999</v>
      </c>
      <c r="AW844" s="312">
        <v>0.47689999999999999</v>
      </c>
      <c r="AX844" s="312">
        <v>0</v>
      </c>
      <c r="AY844" s="312">
        <v>0.48959999999999998</v>
      </c>
      <c r="AZ844" s="312">
        <v>0</v>
      </c>
      <c r="BA844" s="312">
        <v>0.41920000000000002</v>
      </c>
      <c r="BB844" s="312">
        <v>0.40060000000000001</v>
      </c>
      <c r="BC844" s="312">
        <v>0</v>
      </c>
      <c r="BD844" s="312">
        <v>0.50870000000000004</v>
      </c>
      <c r="BE844" s="312">
        <v>0.56910000000000005</v>
      </c>
      <c r="BF844" s="312">
        <v>0.45379999999999998</v>
      </c>
      <c r="BG844" s="312">
        <v>0.55549999999999999</v>
      </c>
      <c r="BH844" s="312">
        <v>0.53120000000000001</v>
      </c>
      <c r="BI844" s="312">
        <v>0.55420000000000003</v>
      </c>
      <c r="BJ844" s="312">
        <v>0.55349999999999999</v>
      </c>
      <c r="BK844" s="312">
        <v>0.51090000000000002</v>
      </c>
      <c r="BM844">
        <f>(C844-C433)*1000000/(RIMS_emp!C844-RIMS_emp!C433)</f>
        <v>37548.435602336482</v>
      </c>
    </row>
    <row r="845" spans="1:65" x14ac:dyDescent="0.25">
      <c r="A845" s="306">
        <v>212210</v>
      </c>
      <c r="B845" s="312" t="s">
        <v>695</v>
      </c>
      <c r="C845" s="312">
        <v>0.75280000000000002</v>
      </c>
      <c r="D845" s="312">
        <v>0</v>
      </c>
      <c r="E845" s="312">
        <v>0.52149999999999996</v>
      </c>
      <c r="F845" s="312">
        <v>0</v>
      </c>
      <c r="G845" s="312">
        <v>0.4718</v>
      </c>
      <c r="H845" s="312">
        <v>0.43099999999999999</v>
      </c>
      <c r="I845" s="312">
        <v>0.54049999999999998</v>
      </c>
      <c r="J845" s="312">
        <v>0</v>
      </c>
      <c r="K845" s="312">
        <v>0</v>
      </c>
      <c r="L845" s="312">
        <v>0</v>
      </c>
      <c r="M845" s="312">
        <v>0.44119999999999998</v>
      </c>
      <c r="N845" s="312">
        <v>0</v>
      </c>
      <c r="O845" s="312">
        <v>0</v>
      </c>
      <c r="P845" s="312">
        <v>0</v>
      </c>
      <c r="Q845" s="312">
        <v>0</v>
      </c>
      <c r="R845" s="312">
        <v>0</v>
      </c>
      <c r="S845" s="312">
        <v>0</v>
      </c>
      <c r="T845" s="312">
        <v>0</v>
      </c>
      <c r="U845" s="312">
        <v>0</v>
      </c>
      <c r="V845" s="312">
        <v>0.4698</v>
      </c>
      <c r="W845" s="312">
        <v>0</v>
      </c>
      <c r="X845" s="312">
        <v>0</v>
      </c>
      <c r="Y845" s="312">
        <v>0</v>
      </c>
      <c r="Z845" s="312">
        <v>0.54920000000000002</v>
      </c>
      <c r="AA845" s="312">
        <v>0.50460000000000005</v>
      </c>
      <c r="AB845" s="312">
        <v>0</v>
      </c>
      <c r="AC845" s="312">
        <v>0</v>
      </c>
      <c r="AD845" s="312">
        <v>0.40639999999999998</v>
      </c>
      <c r="AE845" s="312">
        <v>0</v>
      </c>
      <c r="AF845" s="312">
        <v>0</v>
      </c>
      <c r="AG845" s="312">
        <v>0</v>
      </c>
      <c r="AH845" s="312">
        <v>0</v>
      </c>
      <c r="AI845" s="312">
        <v>0</v>
      </c>
      <c r="AJ845" s="312">
        <v>0</v>
      </c>
      <c r="AK845" s="312">
        <v>0.43759999999999999</v>
      </c>
      <c r="AL845" s="312">
        <v>0</v>
      </c>
      <c r="AM845" s="312">
        <v>0</v>
      </c>
      <c r="AN845" s="312">
        <v>0</v>
      </c>
      <c r="AO845" s="312">
        <v>0</v>
      </c>
      <c r="AP845" s="312">
        <v>0.56910000000000005</v>
      </c>
      <c r="AQ845" s="312">
        <v>0</v>
      </c>
      <c r="AR845" s="312">
        <v>0.47360000000000002</v>
      </c>
      <c r="AS845" s="312">
        <v>0</v>
      </c>
      <c r="AT845" s="312">
        <v>0</v>
      </c>
      <c r="AU845" s="312">
        <v>0.57779999999999998</v>
      </c>
      <c r="AV845" s="312">
        <v>0</v>
      </c>
      <c r="AW845" s="312">
        <v>0.47260000000000002</v>
      </c>
      <c r="AX845" s="312">
        <v>0</v>
      </c>
      <c r="AY845" s="312">
        <v>0.49280000000000002</v>
      </c>
      <c r="AZ845" s="312">
        <v>0</v>
      </c>
      <c r="BA845" s="312">
        <v>0.36649999999999999</v>
      </c>
      <c r="BB845" s="312">
        <v>0</v>
      </c>
      <c r="BC845" s="312">
        <v>0</v>
      </c>
      <c r="BD845" s="312">
        <v>0.53180000000000005</v>
      </c>
      <c r="BE845" s="312">
        <v>0.61040000000000005</v>
      </c>
      <c r="BF845" s="312">
        <v>0.51770000000000005</v>
      </c>
      <c r="BG845" s="312">
        <v>0.53400000000000003</v>
      </c>
      <c r="BH845" s="312">
        <v>0.55420000000000003</v>
      </c>
      <c r="BI845" s="312">
        <v>0.58289999999999997</v>
      </c>
      <c r="BJ845" s="312">
        <v>0.53849999999999998</v>
      </c>
      <c r="BK845" s="312">
        <v>0.47720000000000001</v>
      </c>
      <c r="BM845">
        <f>(C845-C434)*1000000/(RIMS_emp!C845-RIMS_emp!C434)</f>
        <v>37553.90261942309</v>
      </c>
    </row>
    <row r="846" spans="1:65" x14ac:dyDescent="0.25">
      <c r="A846" s="306">
        <v>212230</v>
      </c>
      <c r="B846" s="312" t="s">
        <v>696</v>
      </c>
      <c r="C846" s="312">
        <v>0.64200000000000002</v>
      </c>
      <c r="D846" s="312">
        <v>0.36459999999999998</v>
      </c>
      <c r="E846" s="312">
        <v>0</v>
      </c>
      <c r="F846" s="312">
        <v>0</v>
      </c>
      <c r="G846" s="312">
        <v>0.42870000000000003</v>
      </c>
      <c r="H846" s="312">
        <v>0</v>
      </c>
      <c r="I846" s="312">
        <v>0.53469999999999995</v>
      </c>
      <c r="J846" s="312">
        <v>0</v>
      </c>
      <c r="K846" s="312">
        <v>0</v>
      </c>
      <c r="L846" s="312">
        <v>0</v>
      </c>
      <c r="M846" s="312">
        <v>0</v>
      </c>
      <c r="N846" s="312">
        <v>0</v>
      </c>
      <c r="O846" s="312">
        <v>0</v>
      </c>
      <c r="P846" s="312">
        <v>0</v>
      </c>
      <c r="Q846" s="312">
        <v>0.35720000000000002</v>
      </c>
      <c r="R846" s="312">
        <v>0</v>
      </c>
      <c r="S846" s="312">
        <v>0</v>
      </c>
      <c r="T846" s="312">
        <v>0</v>
      </c>
      <c r="U846" s="312">
        <v>0</v>
      </c>
      <c r="V846" s="312">
        <v>0.37540000000000001</v>
      </c>
      <c r="W846" s="312">
        <v>0</v>
      </c>
      <c r="X846" s="312">
        <v>0</v>
      </c>
      <c r="Y846" s="312">
        <v>0</v>
      </c>
      <c r="Z846" s="312">
        <v>0.44030000000000002</v>
      </c>
      <c r="AA846" s="312">
        <v>0.43280000000000002</v>
      </c>
      <c r="AB846" s="312">
        <v>0.42899999999999999</v>
      </c>
      <c r="AC846" s="312">
        <v>0</v>
      </c>
      <c r="AD846" s="312">
        <v>0.38569999999999999</v>
      </c>
      <c r="AE846" s="312">
        <v>0</v>
      </c>
      <c r="AF846" s="312">
        <v>0</v>
      </c>
      <c r="AG846" s="312">
        <v>0</v>
      </c>
      <c r="AH846" s="312">
        <v>0</v>
      </c>
      <c r="AI846" s="312">
        <v>0</v>
      </c>
      <c r="AJ846" s="312">
        <v>0.41170000000000001</v>
      </c>
      <c r="AK846" s="312">
        <v>0.4259</v>
      </c>
      <c r="AL846" s="312">
        <v>0.27560000000000001</v>
      </c>
      <c r="AM846" s="312">
        <v>0</v>
      </c>
      <c r="AN846" s="312">
        <v>0.41160000000000002</v>
      </c>
      <c r="AO846" s="312">
        <v>0</v>
      </c>
      <c r="AP846" s="312">
        <v>0</v>
      </c>
      <c r="AQ846" s="312">
        <v>0</v>
      </c>
      <c r="AR846" s="312">
        <v>0</v>
      </c>
      <c r="AS846" s="312">
        <v>0.3584</v>
      </c>
      <c r="AT846" s="312">
        <v>0.41720000000000002</v>
      </c>
      <c r="AU846" s="312">
        <v>0</v>
      </c>
      <c r="AV846" s="312">
        <v>0.51770000000000005</v>
      </c>
      <c r="AW846" s="312">
        <v>0</v>
      </c>
      <c r="AX846" s="312">
        <v>0.34839999999999999</v>
      </c>
      <c r="AY846" s="312">
        <v>0.44900000000000001</v>
      </c>
      <c r="AZ846" s="312">
        <v>0</v>
      </c>
      <c r="BA846" s="312">
        <v>0</v>
      </c>
      <c r="BB846" s="312">
        <v>0</v>
      </c>
      <c r="BC846" s="312">
        <v>0.45710000000000001</v>
      </c>
      <c r="BD846" s="312">
        <v>0.46500000000000002</v>
      </c>
      <c r="BE846" s="312">
        <v>0.4773</v>
      </c>
      <c r="BF846" s="312">
        <v>0.43080000000000002</v>
      </c>
      <c r="BG846" s="312">
        <v>0</v>
      </c>
      <c r="BH846" s="312">
        <v>0.42599999999999999</v>
      </c>
      <c r="BI846" s="312">
        <v>0.46850000000000003</v>
      </c>
      <c r="BJ846" s="312">
        <v>0.51929999999999998</v>
      </c>
      <c r="BK846" s="312">
        <v>0.44890000000000002</v>
      </c>
      <c r="BM846">
        <f>(C846-C435)*1000000/(RIMS_emp!C846-RIMS_emp!C435)</f>
        <v>37555.228276877773</v>
      </c>
    </row>
    <row r="847" spans="1:65" x14ac:dyDescent="0.25">
      <c r="A847" s="306" t="s">
        <v>697</v>
      </c>
      <c r="B847" s="312" t="s">
        <v>698</v>
      </c>
      <c r="C847" s="312">
        <v>0.81379999999999997</v>
      </c>
      <c r="D847" s="312">
        <v>0.46970000000000001</v>
      </c>
      <c r="E847" s="312">
        <v>0.57220000000000004</v>
      </c>
      <c r="F847" s="312">
        <v>0.56559999999999999</v>
      </c>
      <c r="G847" s="312">
        <v>0.55320000000000003</v>
      </c>
      <c r="H847" s="312">
        <v>0.49209999999999998</v>
      </c>
      <c r="I847" s="312">
        <v>0.65720000000000001</v>
      </c>
      <c r="J847" s="312">
        <v>0</v>
      </c>
      <c r="K847" s="312">
        <v>0</v>
      </c>
      <c r="L847" s="312">
        <v>0</v>
      </c>
      <c r="M847" s="312">
        <v>0.56189999999999996</v>
      </c>
      <c r="N847" s="312">
        <v>0</v>
      </c>
      <c r="O847" s="312">
        <v>0</v>
      </c>
      <c r="P847" s="312">
        <v>0</v>
      </c>
      <c r="Q847" s="312">
        <v>0.47389999999999999</v>
      </c>
      <c r="R847" s="312">
        <v>0.4975</v>
      </c>
      <c r="S847" s="312">
        <v>0</v>
      </c>
      <c r="T847" s="312">
        <v>0</v>
      </c>
      <c r="U847" s="312">
        <v>0</v>
      </c>
      <c r="V847" s="312">
        <v>0.50800000000000001</v>
      </c>
      <c r="W847" s="312">
        <v>0</v>
      </c>
      <c r="X847" s="312">
        <v>0</v>
      </c>
      <c r="Y847" s="312">
        <v>0</v>
      </c>
      <c r="Z847" s="312">
        <v>0</v>
      </c>
      <c r="AA847" s="312">
        <v>0</v>
      </c>
      <c r="AB847" s="312">
        <v>0.57989999999999997</v>
      </c>
      <c r="AC847" s="312">
        <v>0</v>
      </c>
      <c r="AD847" s="312">
        <v>0.50160000000000005</v>
      </c>
      <c r="AE847" s="312">
        <v>0.5534</v>
      </c>
      <c r="AF847" s="312">
        <v>0</v>
      </c>
      <c r="AG847" s="312">
        <v>0.46639999999999998</v>
      </c>
      <c r="AH847" s="312">
        <v>0</v>
      </c>
      <c r="AI847" s="312">
        <v>0</v>
      </c>
      <c r="AJ847" s="312">
        <v>0.53769999999999996</v>
      </c>
      <c r="AK847" s="312">
        <v>0.56200000000000006</v>
      </c>
      <c r="AL847" s="312">
        <v>0.34310000000000002</v>
      </c>
      <c r="AM847" s="312">
        <v>0</v>
      </c>
      <c r="AN847" s="312">
        <v>0.5645</v>
      </c>
      <c r="AO847" s="312">
        <v>0.54</v>
      </c>
      <c r="AP847" s="312">
        <v>0.61309999999999998</v>
      </c>
      <c r="AQ847" s="312">
        <v>0</v>
      </c>
      <c r="AR847" s="312">
        <v>0.51639999999999997</v>
      </c>
      <c r="AS847" s="312">
        <v>0.50060000000000004</v>
      </c>
      <c r="AT847" s="312">
        <v>0</v>
      </c>
      <c r="AU847" s="312">
        <v>0.62260000000000004</v>
      </c>
      <c r="AV847" s="312">
        <v>0.65210000000000001</v>
      </c>
      <c r="AW847" s="312">
        <v>0.57440000000000002</v>
      </c>
      <c r="AX847" s="312">
        <v>0</v>
      </c>
      <c r="AY847" s="312">
        <v>0.57989999999999997</v>
      </c>
      <c r="AZ847" s="312">
        <v>0</v>
      </c>
      <c r="BA847" s="312">
        <v>0.38500000000000001</v>
      </c>
      <c r="BB847" s="312">
        <v>0.495</v>
      </c>
      <c r="BC847" s="312">
        <v>0</v>
      </c>
      <c r="BD847" s="312">
        <v>0.6038</v>
      </c>
      <c r="BE847" s="312">
        <v>0.63970000000000005</v>
      </c>
      <c r="BF847" s="312">
        <v>0.58720000000000006</v>
      </c>
      <c r="BG847" s="312">
        <v>0.6129</v>
      </c>
      <c r="BH847" s="312">
        <v>0.58179999999999998</v>
      </c>
      <c r="BI847" s="312">
        <v>0.61799999999999999</v>
      </c>
      <c r="BJ847" s="312">
        <v>0.64770000000000005</v>
      </c>
      <c r="BK847" s="312">
        <v>0.5585</v>
      </c>
      <c r="BM847">
        <f>(C847-C436)*1000000/(RIMS_emp!C847-RIMS_emp!C436)</f>
        <v>37539.049389409534</v>
      </c>
    </row>
    <row r="848" spans="1:65" x14ac:dyDescent="0.25">
      <c r="A848" s="306">
        <v>212310</v>
      </c>
      <c r="B848" s="312" t="s">
        <v>699</v>
      </c>
      <c r="C848" s="312">
        <v>0.75429999999999997</v>
      </c>
      <c r="D848" s="312">
        <v>0.43409999999999999</v>
      </c>
      <c r="E848" s="312">
        <v>0.53139999999999998</v>
      </c>
      <c r="F848" s="312">
        <v>0.4919</v>
      </c>
      <c r="G848" s="312">
        <v>0.53390000000000004</v>
      </c>
      <c r="H848" s="312">
        <v>0.55069999999999997</v>
      </c>
      <c r="I848" s="312">
        <v>0.58899999999999997</v>
      </c>
      <c r="J848" s="312">
        <v>0.45190000000000002</v>
      </c>
      <c r="K848" s="312">
        <v>0</v>
      </c>
      <c r="L848" s="312">
        <v>0</v>
      </c>
      <c r="M848" s="312">
        <v>0.51870000000000005</v>
      </c>
      <c r="N848" s="312">
        <v>0.58050000000000002</v>
      </c>
      <c r="O848" s="312">
        <v>0.47170000000000001</v>
      </c>
      <c r="P848" s="312">
        <v>0.43109999999999998</v>
      </c>
      <c r="Q848" s="312">
        <v>0.45429999999999998</v>
      </c>
      <c r="R848" s="312">
        <v>0.59689999999999999</v>
      </c>
      <c r="S848" s="312">
        <v>0.50670000000000004</v>
      </c>
      <c r="T848" s="312">
        <v>0.44629999999999997</v>
      </c>
      <c r="U848" s="312">
        <v>0.51339999999999997</v>
      </c>
      <c r="V848" s="312">
        <v>0.47520000000000001</v>
      </c>
      <c r="W848" s="312">
        <v>0.4607</v>
      </c>
      <c r="X848" s="312">
        <v>0.4405</v>
      </c>
      <c r="Y848" s="312">
        <v>0.39169999999999999</v>
      </c>
      <c r="Z848" s="312">
        <v>0.55220000000000002</v>
      </c>
      <c r="AA848" s="312">
        <v>0.52310000000000001</v>
      </c>
      <c r="AB848" s="312">
        <v>0.53249999999999997</v>
      </c>
      <c r="AC848" s="312">
        <v>0.4289</v>
      </c>
      <c r="AD848" s="312">
        <v>0.42459999999999998</v>
      </c>
      <c r="AE848" s="312">
        <v>0.52129999999999999</v>
      </c>
      <c r="AF848" s="312">
        <v>0</v>
      </c>
      <c r="AG848" s="312">
        <v>0.44400000000000001</v>
      </c>
      <c r="AH848" s="312">
        <v>0.48759999999999998</v>
      </c>
      <c r="AI848" s="312">
        <v>0.48820000000000002</v>
      </c>
      <c r="AJ848" s="312">
        <v>0.4662</v>
      </c>
      <c r="AK848" s="312">
        <v>0.49059999999999998</v>
      </c>
      <c r="AL848" s="312">
        <v>0.45850000000000002</v>
      </c>
      <c r="AM848" s="312">
        <v>0.57989999999999997</v>
      </c>
      <c r="AN848" s="312">
        <v>0.5282</v>
      </c>
      <c r="AO848" s="312">
        <v>0.5131</v>
      </c>
      <c r="AP848" s="312">
        <v>0.58689999999999998</v>
      </c>
      <c r="AQ848" s="312">
        <v>0.4194</v>
      </c>
      <c r="AR848" s="312">
        <v>0.51959999999999995</v>
      </c>
      <c r="AS848" s="312">
        <v>0.39910000000000001</v>
      </c>
      <c r="AT848" s="312">
        <v>0.55459999999999998</v>
      </c>
      <c r="AU848" s="312">
        <v>0.58160000000000001</v>
      </c>
      <c r="AV848" s="312">
        <v>0.58009999999999995</v>
      </c>
      <c r="AW848" s="312">
        <v>0.52470000000000006</v>
      </c>
      <c r="AX848" s="312">
        <v>0.40839999999999999</v>
      </c>
      <c r="AY848" s="312">
        <v>0.53490000000000004</v>
      </c>
      <c r="AZ848" s="312">
        <v>0.51319999999999999</v>
      </c>
      <c r="BA848" s="312">
        <v>0.42530000000000001</v>
      </c>
      <c r="BB848" s="312">
        <v>0.41289999999999999</v>
      </c>
      <c r="BC848" s="312">
        <v>0.53779999999999994</v>
      </c>
      <c r="BD848" s="312">
        <v>0.58720000000000006</v>
      </c>
      <c r="BE848" s="312">
        <v>0.61619999999999997</v>
      </c>
      <c r="BF848" s="312">
        <v>0.53839999999999999</v>
      </c>
      <c r="BG848" s="312">
        <v>0.61140000000000005</v>
      </c>
      <c r="BH848" s="312">
        <v>0.56640000000000001</v>
      </c>
      <c r="BI848" s="312">
        <v>0.59530000000000005</v>
      </c>
      <c r="BJ848" s="312">
        <v>0.58760000000000001</v>
      </c>
      <c r="BK848" s="312">
        <v>0.56599999999999995</v>
      </c>
      <c r="BM848">
        <f>(C848-C437)*1000000/(RIMS_emp!C848-RIMS_emp!C437)</f>
        <v>37531.159914771524</v>
      </c>
    </row>
    <row r="849" spans="1:65" x14ac:dyDescent="0.25">
      <c r="A849" s="306">
        <v>212320</v>
      </c>
      <c r="B849" s="312" t="s">
        <v>700</v>
      </c>
      <c r="C849" s="312">
        <v>0.81030000000000002</v>
      </c>
      <c r="D849" s="312">
        <v>0.47039999999999998</v>
      </c>
      <c r="E849" s="312">
        <v>0.55159999999999998</v>
      </c>
      <c r="F849" s="312">
        <v>0.504</v>
      </c>
      <c r="G849" s="312">
        <v>0.5595</v>
      </c>
      <c r="H849" s="312">
        <v>0.58250000000000002</v>
      </c>
      <c r="I849" s="312">
        <v>0.64570000000000005</v>
      </c>
      <c r="J849" s="312">
        <v>0.49149999999999999</v>
      </c>
      <c r="K849" s="312">
        <v>0</v>
      </c>
      <c r="L849" s="312">
        <v>0.37540000000000001</v>
      </c>
      <c r="M849" s="312">
        <v>0.53649999999999998</v>
      </c>
      <c r="N849" s="312">
        <v>0.59789999999999999</v>
      </c>
      <c r="O849" s="312">
        <v>0.47510000000000002</v>
      </c>
      <c r="P849" s="312">
        <v>0.44259999999999999</v>
      </c>
      <c r="Q849" s="312">
        <v>0.48209999999999997</v>
      </c>
      <c r="R849" s="312">
        <v>0.62290000000000001</v>
      </c>
      <c r="S849" s="312">
        <v>0.52729999999999999</v>
      </c>
      <c r="T849" s="312">
        <v>0.45639999999999997</v>
      </c>
      <c r="U849" s="312">
        <v>0.53790000000000004</v>
      </c>
      <c r="V849" s="312">
        <v>0.52229999999999999</v>
      </c>
      <c r="W849" s="312">
        <v>0.49059999999999998</v>
      </c>
      <c r="X849" s="312">
        <v>0.4753</v>
      </c>
      <c r="Y849" s="312">
        <v>0.40720000000000001</v>
      </c>
      <c r="Z849" s="312">
        <v>0.58430000000000004</v>
      </c>
      <c r="AA849" s="312">
        <v>0.55900000000000005</v>
      </c>
      <c r="AB849" s="312">
        <v>0.55930000000000002</v>
      </c>
      <c r="AC849" s="312">
        <v>0.45750000000000002</v>
      </c>
      <c r="AD849" s="312">
        <v>0.45179999999999998</v>
      </c>
      <c r="AE849" s="312">
        <v>0.52459999999999996</v>
      </c>
      <c r="AF849" s="312">
        <v>0.43269999999999997</v>
      </c>
      <c r="AG849" s="312">
        <v>0.46489999999999998</v>
      </c>
      <c r="AH849" s="312">
        <v>0.53090000000000004</v>
      </c>
      <c r="AI849" s="312">
        <v>0.50270000000000004</v>
      </c>
      <c r="AJ849" s="312">
        <v>0.50639999999999996</v>
      </c>
      <c r="AK849" s="312">
        <v>0.53269999999999995</v>
      </c>
      <c r="AL849" s="312">
        <v>0.4803</v>
      </c>
      <c r="AM849" s="312">
        <v>0.61619999999999997</v>
      </c>
      <c r="AN849" s="312">
        <v>0.55269999999999997</v>
      </c>
      <c r="AO849" s="312">
        <v>0.52539999999999998</v>
      </c>
      <c r="AP849" s="312">
        <v>0.62760000000000005</v>
      </c>
      <c r="AQ849" s="312">
        <v>0.44690000000000002</v>
      </c>
      <c r="AR849" s="312">
        <v>0.5232</v>
      </c>
      <c r="AS849" s="312">
        <v>0.41110000000000002</v>
      </c>
      <c r="AT849" s="312">
        <v>0.58399999999999996</v>
      </c>
      <c r="AU849" s="312">
        <v>0.61629999999999996</v>
      </c>
      <c r="AV849" s="312">
        <v>0.64219999999999999</v>
      </c>
      <c r="AW849" s="312">
        <v>0.5454</v>
      </c>
      <c r="AX849" s="312">
        <v>0.41770000000000002</v>
      </c>
      <c r="AY849" s="312">
        <v>0.57540000000000002</v>
      </c>
      <c r="AZ849" s="312">
        <v>0.53220000000000001</v>
      </c>
      <c r="BA849" s="312">
        <v>0.45419999999999999</v>
      </c>
      <c r="BB849" s="312">
        <v>0.44719999999999999</v>
      </c>
      <c r="BC849" s="312">
        <v>0.57769999999999999</v>
      </c>
      <c r="BD849" s="312">
        <v>0.60899999999999999</v>
      </c>
      <c r="BE849" s="312">
        <v>0.64949999999999997</v>
      </c>
      <c r="BF849" s="312">
        <v>0.56000000000000005</v>
      </c>
      <c r="BG849" s="312">
        <v>0.64470000000000005</v>
      </c>
      <c r="BH849" s="312">
        <v>0.60309999999999997</v>
      </c>
      <c r="BI849" s="312">
        <v>0.62439999999999996</v>
      </c>
      <c r="BJ849" s="312">
        <v>0.62919999999999998</v>
      </c>
      <c r="BK849" s="312">
        <v>0.60289999999999999</v>
      </c>
      <c r="BM849">
        <f>(C849-C438)*1000000/(RIMS_emp!C849-RIMS_emp!C438)</f>
        <v>37545.538226180732</v>
      </c>
    </row>
    <row r="850" spans="1:65" x14ac:dyDescent="0.25">
      <c r="A850" s="306">
        <v>212390</v>
      </c>
      <c r="B850" s="312" t="s">
        <v>701</v>
      </c>
      <c r="C850" s="312">
        <v>0.72160000000000002</v>
      </c>
      <c r="D850" s="312">
        <v>0.41970000000000002</v>
      </c>
      <c r="E850" s="312">
        <v>0.47849999999999998</v>
      </c>
      <c r="F850" s="312">
        <v>0.44340000000000002</v>
      </c>
      <c r="G850" s="312">
        <v>0.49149999999999999</v>
      </c>
      <c r="H850" s="312">
        <v>0.51429999999999998</v>
      </c>
      <c r="I850" s="312">
        <v>0.57099999999999995</v>
      </c>
      <c r="J850" s="312">
        <v>0.41810000000000003</v>
      </c>
      <c r="K850" s="312">
        <v>0</v>
      </c>
      <c r="L850" s="312">
        <v>0</v>
      </c>
      <c r="M850" s="312">
        <v>0.4758</v>
      </c>
      <c r="N850" s="312">
        <v>0.52159999999999995</v>
      </c>
      <c r="O850" s="312">
        <v>0.40749999999999997</v>
      </c>
      <c r="P850" s="312">
        <v>0.38300000000000001</v>
      </c>
      <c r="Q850" s="312">
        <v>0.41980000000000001</v>
      </c>
      <c r="R850" s="312">
        <v>0.54339999999999999</v>
      </c>
      <c r="S850" s="312">
        <v>0.4662</v>
      </c>
      <c r="T850" s="312">
        <v>0.40699999999999997</v>
      </c>
      <c r="U850" s="312">
        <v>0</v>
      </c>
      <c r="V850" s="312">
        <v>0.47370000000000001</v>
      </c>
      <c r="W850" s="312">
        <v>0</v>
      </c>
      <c r="X850" s="312">
        <v>0.41139999999999999</v>
      </c>
      <c r="Y850" s="312">
        <v>0.3639</v>
      </c>
      <c r="Z850" s="312">
        <v>0.50549999999999995</v>
      </c>
      <c r="AA850" s="312">
        <v>0.48409999999999997</v>
      </c>
      <c r="AB850" s="312">
        <v>0.47989999999999999</v>
      </c>
      <c r="AC850" s="312">
        <v>0.40360000000000001</v>
      </c>
      <c r="AD850" s="312">
        <v>0.40770000000000001</v>
      </c>
      <c r="AE850" s="312">
        <v>0.46429999999999999</v>
      </c>
      <c r="AF850" s="312">
        <v>0</v>
      </c>
      <c r="AG850" s="312">
        <v>0.40189999999999998</v>
      </c>
      <c r="AH850" s="312">
        <v>0.4506</v>
      </c>
      <c r="AI850" s="312">
        <v>0.43919999999999998</v>
      </c>
      <c r="AJ850" s="312">
        <v>0.4577</v>
      </c>
      <c r="AK850" s="312">
        <v>0.4622</v>
      </c>
      <c r="AL850" s="312">
        <v>0.4194</v>
      </c>
      <c r="AM850" s="312">
        <v>0.54379999999999995</v>
      </c>
      <c r="AN850" s="312">
        <v>0.49480000000000002</v>
      </c>
      <c r="AO850" s="312">
        <v>0.46100000000000002</v>
      </c>
      <c r="AP850" s="312">
        <v>0.54669999999999996</v>
      </c>
      <c r="AQ850" s="312">
        <v>0</v>
      </c>
      <c r="AR850" s="312">
        <v>0.46089999999999998</v>
      </c>
      <c r="AS850" s="312">
        <v>0.35799999999999998</v>
      </c>
      <c r="AT850" s="312">
        <v>0.49959999999999999</v>
      </c>
      <c r="AU850" s="312">
        <v>0.55349999999999999</v>
      </c>
      <c r="AV850" s="312">
        <v>0.5706</v>
      </c>
      <c r="AW850" s="312">
        <v>0.46879999999999999</v>
      </c>
      <c r="AX850" s="312">
        <v>0.37169999999999997</v>
      </c>
      <c r="AY850" s="312">
        <v>0.49249999999999999</v>
      </c>
      <c r="AZ850" s="312">
        <v>0.46600000000000003</v>
      </c>
      <c r="BA850" s="312">
        <v>0.40770000000000001</v>
      </c>
      <c r="BB850" s="312">
        <v>0.4037</v>
      </c>
      <c r="BC850" s="312">
        <v>0.49709999999999999</v>
      </c>
      <c r="BD850" s="312">
        <v>0.53080000000000005</v>
      </c>
      <c r="BE850" s="312">
        <v>0.56669999999999998</v>
      </c>
      <c r="BF850" s="312">
        <v>0.4849</v>
      </c>
      <c r="BG850" s="312">
        <v>0.56459999999999999</v>
      </c>
      <c r="BH850" s="312">
        <v>0.51949999999999996</v>
      </c>
      <c r="BI850" s="312">
        <v>0.56040000000000001</v>
      </c>
      <c r="BJ850" s="312">
        <v>0.55930000000000002</v>
      </c>
      <c r="BK850" s="312">
        <v>0.52810000000000001</v>
      </c>
      <c r="BM850">
        <f>(C850-C439)*1000000/(RIMS_emp!C850-RIMS_emp!C439)</f>
        <v>37546.58746797112</v>
      </c>
    </row>
    <row r="851" spans="1:65" x14ac:dyDescent="0.25">
      <c r="A851" s="306">
        <v>213111</v>
      </c>
      <c r="B851" s="312" t="s">
        <v>20</v>
      </c>
      <c r="C851" s="312">
        <v>0.74409999999999998</v>
      </c>
      <c r="D851" s="312">
        <v>0.34660000000000002</v>
      </c>
      <c r="E851" s="312">
        <v>0.44159999999999999</v>
      </c>
      <c r="F851" s="312">
        <v>0.42530000000000001</v>
      </c>
      <c r="G851" s="312">
        <v>0.44540000000000002</v>
      </c>
      <c r="H851" s="312">
        <v>0.54010000000000002</v>
      </c>
      <c r="I851" s="312">
        <v>0.54169999999999996</v>
      </c>
      <c r="J851" s="312">
        <v>0.48080000000000001</v>
      </c>
      <c r="K851" s="312">
        <v>0</v>
      </c>
      <c r="L851" s="312">
        <v>0.39989999999999998</v>
      </c>
      <c r="M851" s="312">
        <v>0.46110000000000001</v>
      </c>
      <c r="N851" s="312">
        <v>0.47810000000000002</v>
      </c>
      <c r="O851" s="312">
        <v>0</v>
      </c>
      <c r="P851" s="312">
        <v>0.40010000000000001</v>
      </c>
      <c r="Q851" s="312">
        <v>0.40479999999999999</v>
      </c>
      <c r="R851" s="312">
        <v>0.58740000000000003</v>
      </c>
      <c r="S851" s="312">
        <v>0.47820000000000001</v>
      </c>
      <c r="T851" s="312">
        <v>0.42149999999999999</v>
      </c>
      <c r="U851" s="312">
        <v>0.48120000000000002</v>
      </c>
      <c r="V851" s="312">
        <v>0.47960000000000003</v>
      </c>
      <c r="W851" s="312">
        <v>0.43909999999999999</v>
      </c>
      <c r="X851" s="312">
        <v>0.46460000000000001</v>
      </c>
      <c r="Y851" s="312">
        <v>0.43919999999999998</v>
      </c>
      <c r="Z851" s="312">
        <v>0.55710000000000004</v>
      </c>
      <c r="AA851" s="312">
        <v>0.48659999999999998</v>
      </c>
      <c r="AB851" s="312">
        <v>0.45200000000000001</v>
      </c>
      <c r="AC851" s="312">
        <v>0.43359999999999999</v>
      </c>
      <c r="AD851" s="312">
        <v>0.38800000000000001</v>
      </c>
      <c r="AE851" s="312">
        <v>0.4526</v>
      </c>
      <c r="AF851" s="312">
        <v>0.36520000000000002</v>
      </c>
      <c r="AG851" s="312">
        <v>0.34510000000000002</v>
      </c>
      <c r="AH851" s="312">
        <v>0.34310000000000002</v>
      </c>
      <c r="AI851" s="312">
        <v>0.50019999999999998</v>
      </c>
      <c r="AJ851" s="312">
        <v>0.40189999999999998</v>
      </c>
      <c r="AK851" s="312">
        <v>0.435</v>
      </c>
      <c r="AL851" s="312">
        <v>0.39019999999999999</v>
      </c>
      <c r="AM851" s="312">
        <v>0.55659999999999998</v>
      </c>
      <c r="AN851" s="312">
        <v>0.48799999999999999</v>
      </c>
      <c r="AO851" s="312">
        <v>0.49530000000000002</v>
      </c>
      <c r="AP851" s="312">
        <v>0.56279999999999997</v>
      </c>
      <c r="AQ851" s="312">
        <v>0.32550000000000001</v>
      </c>
      <c r="AR851" s="312">
        <v>0.39029999999999998</v>
      </c>
      <c r="AS851" s="312">
        <v>0.34079999999999999</v>
      </c>
      <c r="AT851" s="312">
        <v>0.3871</v>
      </c>
      <c r="AU851" s="312">
        <v>0.58079999999999998</v>
      </c>
      <c r="AV851" s="312">
        <v>0.54249999999999998</v>
      </c>
      <c r="AW851" s="312">
        <v>0.45029999999999998</v>
      </c>
      <c r="AX851" s="312">
        <v>0</v>
      </c>
      <c r="AY851" s="312">
        <v>0.4536</v>
      </c>
      <c r="AZ851" s="312">
        <v>0.48699999999999999</v>
      </c>
      <c r="BA851" s="312">
        <v>0.434</v>
      </c>
      <c r="BB851" s="312">
        <v>0.36899999999999999</v>
      </c>
      <c r="BC851" s="312">
        <v>0.53210000000000002</v>
      </c>
      <c r="BD851" s="312">
        <v>0.55520000000000003</v>
      </c>
      <c r="BE851" s="312">
        <v>0.60680000000000001</v>
      </c>
      <c r="BF851" s="312">
        <v>0.50309999999999999</v>
      </c>
      <c r="BG851" s="312">
        <v>0.5474</v>
      </c>
      <c r="BH851" s="312">
        <v>0.52859999999999996</v>
      </c>
      <c r="BI851" s="312">
        <v>0.59299999999999997</v>
      </c>
      <c r="BJ851" s="312">
        <v>0.52100000000000002</v>
      </c>
      <c r="BK851" s="312">
        <v>0.5393</v>
      </c>
      <c r="BM851">
        <f>(C851-C440)*1000000/(RIMS_emp!C851-RIMS_emp!C440)</f>
        <v>37537.94028375802</v>
      </c>
    </row>
    <row r="852" spans="1:65" x14ac:dyDescent="0.25">
      <c r="A852" s="306">
        <v>213112</v>
      </c>
      <c r="B852" s="312" t="s">
        <v>21</v>
      </c>
      <c r="C852" s="312">
        <v>0.88890000000000002</v>
      </c>
      <c r="D852" s="312">
        <v>0.443</v>
      </c>
      <c r="E852" s="312">
        <v>0.51170000000000004</v>
      </c>
      <c r="F852" s="312">
        <v>0.49390000000000001</v>
      </c>
      <c r="G852" s="312">
        <v>0.55800000000000005</v>
      </c>
      <c r="H852" s="312">
        <v>0.68430000000000002</v>
      </c>
      <c r="I852" s="312">
        <v>0.68220000000000003</v>
      </c>
      <c r="J852" s="312">
        <v>0.60599999999999998</v>
      </c>
      <c r="K852" s="312">
        <v>0</v>
      </c>
      <c r="L852" s="312">
        <v>0</v>
      </c>
      <c r="M852" s="312">
        <v>0.58040000000000003</v>
      </c>
      <c r="N852" s="312">
        <v>0.57940000000000003</v>
      </c>
      <c r="O852" s="312">
        <v>0.55779999999999996</v>
      </c>
      <c r="P852" s="312">
        <v>0.47210000000000002</v>
      </c>
      <c r="Q852" s="312">
        <v>0.49819999999999998</v>
      </c>
      <c r="R852" s="312">
        <v>0.7097</v>
      </c>
      <c r="S852" s="312">
        <v>0.55000000000000004</v>
      </c>
      <c r="T852" s="312">
        <v>0.50629999999999997</v>
      </c>
      <c r="U852" s="312">
        <v>0.56330000000000002</v>
      </c>
      <c r="V852" s="312">
        <v>0.55020000000000002</v>
      </c>
      <c r="W852" s="312">
        <v>0.56769999999999998</v>
      </c>
      <c r="X852" s="312">
        <v>0.59260000000000002</v>
      </c>
      <c r="Y852" s="312">
        <v>0</v>
      </c>
      <c r="Z852" s="312">
        <v>0.65949999999999998</v>
      </c>
      <c r="AA852" s="312">
        <v>0.59650000000000003</v>
      </c>
      <c r="AB852" s="312">
        <v>0.54310000000000003</v>
      </c>
      <c r="AC852" s="312">
        <v>0.50549999999999995</v>
      </c>
      <c r="AD852" s="312">
        <v>0.47489999999999999</v>
      </c>
      <c r="AE852" s="312">
        <v>0.54449999999999998</v>
      </c>
      <c r="AF852" s="312">
        <v>0.44879999999999998</v>
      </c>
      <c r="AG852" s="312">
        <v>0.41689999999999999</v>
      </c>
      <c r="AH852" s="312">
        <v>0</v>
      </c>
      <c r="AI852" s="312">
        <v>0.62450000000000006</v>
      </c>
      <c r="AJ852" s="312">
        <v>0.50249999999999995</v>
      </c>
      <c r="AK852" s="312">
        <v>0.53959999999999997</v>
      </c>
      <c r="AL852" s="312">
        <v>0.50060000000000004</v>
      </c>
      <c r="AM852" s="312">
        <v>0.64610000000000001</v>
      </c>
      <c r="AN852" s="312">
        <v>0.58350000000000002</v>
      </c>
      <c r="AO852" s="312">
        <v>0.59560000000000002</v>
      </c>
      <c r="AP852" s="312">
        <v>0.66720000000000002</v>
      </c>
      <c r="AQ852" s="312">
        <v>0</v>
      </c>
      <c r="AR852" s="312">
        <v>0.44009999999999999</v>
      </c>
      <c r="AS852" s="312">
        <v>0.4098</v>
      </c>
      <c r="AT852" s="312">
        <v>0.45939999999999998</v>
      </c>
      <c r="AU852" s="312">
        <v>0.68830000000000002</v>
      </c>
      <c r="AV852" s="312">
        <v>0.66520000000000001</v>
      </c>
      <c r="AW852" s="312">
        <v>0.5504</v>
      </c>
      <c r="AX852" s="312">
        <v>0</v>
      </c>
      <c r="AY852" s="312">
        <v>0.56559999999999999</v>
      </c>
      <c r="AZ852" s="312">
        <v>0.58330000000000004</v>
      </c>
      <c r="BA852" s="312">
        <v>0.51190000000000002</v>
      </c>
      <c r="BB852" s="312">
        <v>0.44719999999999999</v>
      </c>
      <c r="BC852" s="312">
        <v>0.67459999999999998</v>
      </c>
      <c r="BD852" s="312">
        <v>0.68500000000000005</v>
      </c>
      <c r="BE852" s="312">
        <v>0.7137</v>
      </c>
      <c r="BF852" s="312">
        <v>0.60019999999999996</v>
      </c>
      <c r="BG852" s="312">
        <v>0.6663</v>
      </c>
      <c r="BH852" s="312">
        <v>0.61350000000000005</v>
      </c>
      <c r="BI852" s="312">
        <v>0.69379999999999997</v>
      </c>
      <c r="BJ852" s="312">
        <v>0.64790000000000003</v>
      </c>
      <c r="BK852" s="312">
        <v>0.67769999999999997</v>
      </c>
      <c r="BM852">
        <f>(C852-C441)*1000000/(RIMS_emp!C852-RIMS_emp!C441)</f>
        <v>37532.05469091596</v>
      </c>
    </row>
    <row r="853" spans="1:65" x14ac:dyDescent="0.25">
      <c r="A853" s="306" t="s">
        <v>702</v>
      </c>
      <c r="B853" s="312" t="s">
        <v>22</v>
      </c>
      <c r="C853" s="312">
        <v>0.91720000000000002</v>
      </c>
      <c r="D853" s="312">
        <v>0.49049999999999999</v>
      </c>
      <c r="E853" s="312">
        <v>0.5554</v>
      </c>
      <c r="F853" s="312">
        <v>0.46129999999999999</v>
      </c>
      <c r="G853" s="312">
        <v>0.59279999999999999</v>
      </c>
      <c r="H853" s="312">
        <v>0.68</v>
      </c>
      <c r="I853" s="312">
        <v>0.70950000000000002</v>
      </c>
      <c r="J853" s="312">
        <v>0.55769999999999997</v>
      </c>
      <c r="K853" s="312">
        <v>0</v>
      </c>
      <c r="L853" s="312">
        <v>0</v>
      </c>
      <c r="M853" s="312">
        <v>0.57689999999999997</v>
      </c>
      <c r="N853" s="312">
        <v>0.60209999999999997</v>
      </c>
      <c r="O853" s="312">
        <v>0</v>
      </c>
      <c r="P853" s="312">
        <v>0.43419999999999997</v>
      </c>
      <c r="Q853" s="312">
        <v>0.51419999999999999</v>
      </c>
      <c r="R853" s="312">
        <v>0.68700000000000006</v>
      </c>
      <c r="S853" s="312">
        <v>0.54300000000000004</v>
      </c>
      <c r="T853" s="312">
        <v>0.4879</v>
      </c>
      <c r="U853" s="312">
        <v>0.56459999999999999</v>
      </c>
      <c r="V853" s="312">
        <v>0.58240000000000003</v>
      </c>
      <c r="W853" s="312">
        <v>0.56010000000000004</v>
      </c>
      <c r="X853" s="312">
        <v>0.62180000000000002</v>
      </c>
      <c r="Y853" s="312">
        <v>0</v>
      </c>
      <c r="Z853" s="312">
        <v>0.67810000000000004</v>
      </c>
      <c r="AA853" s="312">
        <v>0.56640000000000001</v>
      </c>
      <c r="AB853" s="312">
        <v>0.54369999999999996</v>
      </c>
      <c r="AC853" s="312">
        <v>0.50739999999999996</v>
      </c>
      <c r="AD853" s="312">
        <v>0.50360000000000005</v>
      </c>
      <c r="AE853" s="312">
        <v>0.51819999999999999</v>
      </c>
      <c r="AF853" s="312">
        <v>0.4259</v>
      </c>
      <c r="AG853" s="312">
        <v>0.41099999999999998</v>
      </c>
      <c r="AH853" s="312">
        <v>0.44259999999999999</v>
      </c>
      <c r="AI853" s="312">
        <v>0.60129999999999995</v>
      </c>
      <c r="AJ853" s="312">
        <v>0.53469999999999995</v>
      </c>
      <c r="AK853" s="312">
        <v>0.56330000000000002</v>
      </c>
      <c r="AL853" s="312">
        <v>0.4617</v>
      </c>
      <c r="AM853" s="312">
        <v>0.66090000000000004</v>
      </c>
      <c r="AN853" s="312">
        <v>0.59960000000000002</v>
      </c>
      <c r="AO853" s="312">
        <v>0.59460000000000002</v>
      </c>
      <c r="AP853" s="312">
        <v>0.69399999999999995</v>
      </c>
      <c r="AQ853" s="312">
        <v>0</v>
      </c>
      <c r="AR853" s="312">
        <v>0.4834</v>
      </c>
      <c r="AS853" s="312">
        <v>0.38569999999999999</v>
      </c>
      <c r="AT853" s="312">
        <v>0.50249999999999995</v>
      </c>
      <c r="AU853" s="312">
        <v>0.70450000000000002</v>
      </c>
      <c r="AV853" s="312">
        <v>0.70809999999999995</v>
      </c>
      <c r="AW853" s="312">
        <v>0.57340000000000002</v>
      </c>
      <c r="AX853" s="312">
        <v>0.4914</v>
      </c>
      <c r="AY853" s="312">
        <v>0.60370000000000001</v>
      </c>
      <c r="AZ853" s="312">
        <v>0.55769999999999997</v>
      </c>
      <c r="BA853" s="312">
        <v>0.52529999999999999</v>
      </c>
      <c r="BB853" s="312">
        <v>0.45960000000000001</v>
      </c>
      <c r="BC853" s="312">
        <v>0.65339999999999998</v>
      </c>
      <c r="BD853" s="312">
        <v>0.66479999999999995</v>
      </c>
      <c r="BE853" s="312">
        <v>0.72629999999999995</v>
      </c>
      <c r="BF853" s="312">
        <v>0.57330000000000003</v>
      </c>
      <c r="BG853" s="312">
        <v>0.70379999999999998</v>
      </c>
      <c r="BH853" s="312">
        <v>0.65880000000000005</v>
      </c>
      <c r="BI853" s="312">
        <v>0.71619999999999995</v>
      </c>
      <c r="BJ853" s="312">
        <v>0.68010000000000004</v>
      </c>
      <c r="BK853" s="312">
        <v>0.68520000000000003</v>
      </c>
      <c r="BM853">
        <f>(C853-C442)*1000000/(RIMS_emp!C853-RIMS_emp!C442)</f>
        <v>37546.102215197126</v>
      </c>
    </row>
    <row r="854" spans="1:65" x14ac:dyDescent="0.25">
      <c r="A854" s="306" t="s">
        <v>602</v>
      </c>
      <c r="B854" s="312" t="s">
        <v>23</v>
      </c>
      <c r="C854" s="312">
        <v>0.59609999999999996</v>
      </c>
      <c r="D854" s="312">
        <v>0.38919999999999999</v>
      </c>
      <c r="E854" s="312">
        <v>0.42709999999999998</v>
      </c>
      <c r="F854" s="312">
        <v>0.36699999999999999</v>
      </c>
      <c r="G854" s="312">
        <v>0.41039999999999999</v>
      </c>
      <c r="H854" s="312">
        <v>0.44829999999999998</v>
      </c>
      <c r="I854" s="312">
        <v>0.49580000000000002</v>
      </c>
      <c r="J854" s="312">
        <v>0.36330000000000001</v>
      </c>
      <c r="K854" s="312">
        <v>5.5199999999999999E-2</v>
      </c>
      <c r="L854" s="312">
        <v>0.2974</v>
      </c>
      <c r="M854" s="312">
        <v>0.4088</v>
      </c>
      <c r="N854" s="312">
        <v>0.41460000000000002</v>
      </c>
      <c r="O854" s="312">
        <v>0.37809999999999999</v>
      </c>
      <c r="P854" s="312">
        <v>0.32190000000000002</v>
      </c>
      <c r="Q854" s="312">
        <v>0.35599999999999998</v>
      </c>
      <c r="R854" s="312">
        <v>0.45540000000000003</v>
      </c>
      <c r="S854" s="312">
        <v>0.41060000000000002</v>
      </c>
      <c r="T854" s="312">
        <v>0.35499999999999998</v>
      </c>
      <c r="U854" s="312">
        <v>0.40189999999999998</v>
      </c>
      <c r="V854" s="312">
        <v>0.41830000000000001</v>
      </c>
      <c r="W854" s="312">
        <v>0.37780000000000002</v>
      </c>
      <c r="X854" s="312">
        <v>0.36530000000000001</v>
      </c>
      <c r="Y854" s="312">
        <v>0.38779999999999998</v>
      </c>
      <c r="Z854" s="312">
        <v>0.39779999999999999</v>
      </c>
      <c r="AA854" s="312">
        <v>0.39200000000000002</v>
      </c>
      <c r="AB854" s="312">
        <v>0.37890000000000001</v>
      </c>
      <c r="AC854" s="312">
        <v>0.3856</v>
      </c>
      <c r="AD854" s="312">
        <v>0.4042</v>
      </c>
      <c r="AE854" s="312">
        <v>0.37090000000000001</v>
      </c>
      <c r="AF854" s="312">
        <v>0.36670000000000003</v>
      </c>
      <c r="AG854" s="312">
        <v>0.31780000000000003</v>
      </c>
      <c r="AH854" s="312">
        <v>0.3407</v>
      </c>
      <c r="AI854" s="312">
        <v>0.38030000000000003</v>
      </c>
      <c r="AJ854" s="312">
        <v>0.42080000000000001</v>
      </c>
      <c r="AK854" s="312">
        <v>0.34960000000000002</v>
      </c>
      <c r="AL854" s="312">
        <v>0.35070000000000001</v>
      </c>
      <c r="AM854" s="312">
        <v>0.4264</v>
      </c>
      <c r="AN854" s="312">
        <v>0.42459999999999998</v>
      </c>
      <c r="AO854" s="312">
        <v>0.36599999999999999</v>
      </c>
      <c r="AP854" s="312">
        <v>0.4556</v>
      </c>
      <c r="AQ854" s="312">
        <v>0.31319999999999998</v>
      </c>
      <c r="AR854" s="312">
        <v>0.35239999999999999</v>
      </c>
      <c r="AS854" s="312">
        <v>0.3286</v>
      </c>
      <c r="AT854" s="312">
        <v>0.39539999999999997</v>
      </c>
      <c r="AU854" s="312">
        <v>0.48809999999999998</v>
      </c>
      <c r="AV854" s="312">
        <v>0.48180000000000001</v>
      </c>
      <c r="AW854" s="312">
        <v>0.40820000000000001</v>
      </c>
      <c r="AX854" s="312">
        <v>0.3054</v>
      </c>
      <c r="AY854" s="312">
        <v>0.38850000000000001</v>
      </c>
      <c r="AZ854" s="312">
        <v>0.38590000000000002</v>
      </c>
      <c r="BA854" s="312">
        <v>0.379</v>
      </c>
      <c r="BB854" s="312">
        <v>0.38009999999999999</v>
      </c>
      <c r="BC854" s="312">
        <v>0.41620000000000001</v>
      </c>
      <c r="BD854" s="312">
        <v>0.44209999999999999</v>
      </c>
      <c r="BE854" s="312">
        <v>0.45939999999999998</v>
      </c>
      <c r="BF854" s="312">
        <v>0.40150000000000002</v>
      </c>
      <c r="BG854" s="312">
        <v>0.4738</v>
      </c>
      <c r="BH854" s="312">
        <v>0.44640000000000002</v>
      </c>
      <c r="BI854" s="312">
        <v>0.48530000000000001</v>
      </c>
      <c r="BJ854" s="312">
        <v>0.49059999999999998</v>
      </c>
      <c r="BK854" s="312">
        <v>0.45469999999999999</v>
      </c>
      <c r="BM854">
        <f>(C854-C443)*1000000/(RIMS_emp!C854-RIMS_emp!C443)</f>
        <v>37538.331394734058</v>
      </c>
    </row>
    <row r="855" spans="1:65" x14ac:dyDescent="0.25">
      <c r="A855" s="306">
        <v>221200</v>
      </c>
      <c r="B855" s="312" t="s">
        <v>24</v>
      </c>
      <c r="C855" s="312">
        <v>0.5877</v>
      </c>
      <c r="D855" s="312">
        <v>0.35460000000000003</v>
      </c>
      <c r="E855" s="312">
        <v>0.2974</v>
      </c>
      <c r="F855" s="312">
        <v>0.28339999999999999</v>
      </c>
      <c r="G855" s="312">
        <v>0.23200000000000001</v>
      </c>
      <c r="H855" s="312">
        <v>0.37240000000000001</v>
      </c>
      <c r="I855" s="312">
        <v>0.47039999999999998</v>
      </c>
      <c r="J855" s="312">
        <v>0.2185</v>
      </c>
      <c r="K855" s="312">
        <v>2.9100000000000001E-2</v>
      </c>
      <c r="L855" s="312">
        <v>0.15790000000000001</v>
      </c>
      <c r="M855" s="312">
        <v>0.2258</v>
      </c>
      <c r="N855" s="312">
        <v>0.24429999999999999</v>
      </c>
      <c r="O855" s="312">
        <v>0.20100000000000001</v>
      </c>
      <c r="P855" s="312">
        <v>0.1973</v>
      </c>
      <c r="Q855" s="312">
        <v>0.20710000000000001</v>
      </c>
      <c r="R855" s="312">
        <v>0.27460000000000001</v>
      </c>
      <c r="S855" s="312">
        <v>0.2387</v>
      </c>
      <c r="T855" s="312">
        <v>0.31340000000000001</v>
      </c>
      <c r="U855" s="312">
        <v>0.2843</v>
      </c>
      <c r="V855" s="312">
        <v>0.40310000000000001</v>
      </c>
      <c r="W855" s="312">
        <v>0.21840000000000001</v>
      </c>
      <c r="X855" s="312">
        <v>0.1993</v>
      </c>
      <c r="Y855" s="312">
        <v>0.23549999999999999</v>
      </c>
      <c r="Z855" s="312">
        <v>0.27060000000000001</v>
      </c>
      <c r="AA855" s="312">
        <v>0.23219999999999999</v>
      </c>
      <c r="AB855" s="312">
        <v>0.21540000000000001</v>
      </c>
      <c r="AC855" s="312">
        <v>0.31440000000000001</v>
      </c>
      <c r="AD855" s="312">
        <v>0.32429999999999998</v>
      </c>
      <c r="AE855" s="312">
        <v>0.21029999999999999</v>
      </c>
      <c r="AF855" s="312">
        <v>0.29170000000000001</v>
      </c>
      <c r="AG855" s="312">
        <v>0.1888</v>
      </c>
      <c r="AH855" s="312">
        <v>0.1918</v>
      </c>
      <c r="AI855" s="312">
        <v>0.22409999999999999</v>
      </c>
      <c r="AJ855" s="312">
        <v>0.36840000000000001</v>
      </c>
      <c r="AK855" s="312">
        <v>0.18970000000000001</v>
      </c>
      <c r="AL855" s="312">
        <v>0.1983</v>
      </c>
      <c r="AM855" s="312">
        <v>0.29620000000000002</v>
      </c>
      <c r="AN855" s="312">
        <v>0.41970000000000002</v>
      </c>
      <c r="AO855" s="312">
        <v>0.1956</v>
      </c>
      <c r="AP855" s="312">
        <v>0.32669999999999999</v>
      </c>
      <c r="AQ855" s="312">
        <v>0.1847</v>
      </c>
      <c r="AR855" s="312">
        <v>0.20080000000000001</v>
      </c>
      <c r="AS855" s="312">
        <v>0.1852</v>
      </c>
      <c r="AT855" s="312">
        <v>0.25419999999999998</v>
      </c>
      <c r="AU855" s="312">
        <v>0.48949999999999999</v>
      </c>
      <c r="AV855" s="312">
        <v>0.40460000000000002</v>
      </c>
      <c r="AW855" s="312">
        <v>0.22389999999999999</v>
      </c>
      <c r="AX855" s="312">
        <v>0.16650000000000001</v>
      </c>
      <c r="AY855" s="312">
        <v>0.21820000000000001</v>
      </c>
      <c r="AZ855" s="312">
        <v>0.22839999999999999</v>
      </c>
      <c r="BA855" s="312">
        <v>0.3483</v>
      </c>
      <c r="BB855" s="312">
        <v>0.33289999999999997</v>
      </c>
      <c r="BC855" s="312">
        <v>0.246</v>
      </c>
      <c r="BD855" s="312">
        <v>0.26740000000000003</v>
      </c>
      <c r="BE855" s="312">
        <v>0.29270000000000002</v>
      </c>
      <c r="BF855" s="312">
        <v>0.26469999999999999</v>
      </c>
      <c r="BG855" s="312">
        <v>0.26910000000000001</v>
      </c>
      <c r="BH855" s="312">
        <v>0.31459999999999999</v>
      </c>
      <c r="BI855" s="312">
        <v>0.48870000000000002</v>
      </c>
      <c r="BJ855" s="312">
        <v>0.46239999999999998</v>
      </c>
      <c r="BK855" s="312">
        <v>0.38179999999999997</v>
      </c>
      <c r="BM855">
        <f>(C855-C444)*1000000/(RIMS_emp!C855-RIMS_emp!C444)</f>
        <v>37537.537537537544</v>
      </c>
    </row>
    <row r="856" spans="1:65" x14ac:dyDescent="0.25">
      <c r="A856" s="306">
        <v>221300</v>
      </c>
      <c r="B856" s="312" t="s">
        <v>703</v>
      </c>
      <c r="C856" s="312">
        <v>0.73360000000000003</v>
      </c>
      <c r="D856" s="312">
        <v>0.4995</v>
      </c>
      <c r="E856" s="312">
        <v>0.54949999999999999</v>
      </c>
      <c r="F856" s="312">
        <v>0.4788</v>
      </c>
      <c r="G856" s="312">
        <v>0.57279999999999998</v>
      </c>
      <c r="H856" s="312">
        <v>0.62039999999999995</v>
      </c>
      <c r="I856" s="312">
        <v>0.61719999999999997</v>
      </c>
      <c r="J856" s="312">
        <v>0.5091</v>
      </c>
      <c r="K856" s="312">
        <v>7.3099999999999998E-2</v>
      </c>
      <c r="L856" s="312">
        <v>0.42130000000000001</v>
      </c>
      <c r="M856" s="312">
        <v>0.58879999999999999</v>
      </c>
      <c r="N856" s="312">
        <v>0.58919999999999995</v>
      </c>
      <c r="O856" s="312">
        <v>0.5504</v>
      </c>
      <c r="P856" s="312">
        <v>0.4239</v>
      </c>
      <c r="Q856" s="312">
        <v>0.49199999999999999</v>
      </c>
      <c r="R856" s="312">
        <v>0.59319999999999995</v>
      </c>
      <c r="S856" s="312">
        <v>0.5272</v>
      </c>
      <c r="T856" s="312">
        <v>0.45779999999999998</v>
      </c>
      <c r="U856" s="312">
        <v>0.49740000000000001</v>
      </c>
      <c r="V856" s="312">
        <v>0.54169999999999996</v>
      </c>
      <c r="W856" s="312">
        <v>0.54169999999999996</v>
      </c>
      <c r="X856" s="312">
        <v>0.52600000000000002</v>
      </c>
      <c r="Y856" s="312">
        <v>0.53749999999999998</v>
      </c>
      <c r="Z856" s="312">
        <v>0.55920000000000003</v>
      </c>
      <c r="AA856" s="312">
        <v>0.53480000000000005</v>
      </c>
      <c r="AB856" s="312">
        <v>0.51129999999999998</v>
      </c>
      <c r="AC856" s="312">
        <v>0.50139999999999996</v>
      </c>
      <c r="AD856" s="312">
        <v>0.51319999999999999</v>
      </c>
      <c r="AE856" s="312">
        <v>0.52190000000000003</v>
      </c>
      <c r="AF856" s="312">
        <v>0.43630000000000002</v>
      </c>
      <c r="AG856" s="312">
        <v>0.42309999999999998</v>
      </c>
      <c r="AH856" s="312">
        <v>0.49559999999999998</v>
      </c>
      <c r="AI856" s="312">
        <v>0.54379999999999995</v>
      </c>
      <c r="AJ856" s="312">
        <v>0.51749999999999996</v>
      </c>
      <c r="AK856" s="312">
        <v>0.50470000000000004</v>
      </c>
      <c r="AL856" s="312">
        <v>0.48430000000000001</v>
      </c>
      <c r="AM856" s="312">
        <v>0.54710000000000003</v>
      </c>
      <c r="AN856" s="312">
        <v>0.54559999999999997</v>
      </c>
      <c r="AO856" s="312">
        <v>0.51300000000000001</v>
      </c>
      <c r="AP856" s="312">
        <v>0.58420000000000005</v>
      </c>
      <c r="AQ856" s="312">
        <v>0.4481</v>
      </c>
      <c r="AR856" s="312">
        <v>0.51280000000000003</v>
      </c>
      <c r="AS856" s="312">
        <v>0.4345</v>
      </c>
      <c r="AT856" s="312">
        <v>0.55120000000000002</v>
      </c>
      <c r="AU856" s="312">
        <v>0.63360000000000005</v>
      </c>
      <c r="AV856" s="312">
        <v>0.59850000000000003</v>
      </c>
      <c r="AW856" s="312">
        <v>0.53559999999999997</v>
      </c>
      <c r="AX856" s="312">
        <v>0.441</v>
      </c>
      <c r="AY856" s="312">
        <v>0.55449999999999999</v>
      </c>
      <c r="AZ856" s="312">
        <v>0.53549999999999998</v>
      </c>
      <c r="BA856" s="312">
        <v>0.46129999999999999</v>
      </c>
      <c r="BB856" s="312">
        <v>0.4582</v>
      </c>
      <c r="BC856" s="312">
        <v>0.59570000000000001</v>
      </c>
      <c r="BD856" s="312">
        <v>0.59340000000000004</v>
      </c>
      <c r="BE856" s="312">
        <v>0.60740000000000005</v>
      </c>
      <c r="BF856" s="312">
        <v>0.53</v>
      </c>
      <c r="BG856" s="312">
        <v>0.63039999999999996</v>
      </c>
      <c r="BH856" s="312">
        <v>0.57379999999999998</v>
      </c>
      <c r="BI856" s="312">
        <v>0.63049999999999995</v>
      </c>
      <c r="BJ856" s="312">
        <v>0.60650000000000004</v>
      </c>
      <c r="BK856" s="312">
        <v>0.62809999999999999</v>
      </c>
      <c r="BM856">
        <f>(C856-C445)*1000000/(RIMS_emp!C856-RIMS_emp!C445)</f>
        <v>37547.793959702729</v>
      </c>
    </row>
    <row r="857" spans="1:65" x14ac:dyDescent="0.25">
      <c r="A857" s="306">
        <v>230000</v>
      </c>
      <c r="B857" s="312" t="s">
        <v>426</v>
      </c>
      <c r="C857" s="312">
        <v>0.98319999999999996</v>
      </c>
      <c r="D857" s="312">
        <v>0.60140000000000005</v>
      </c>
      <c r="E857" s="312">
        <v>0.72399999999999998</v>
      </c>
      <c r="F857" s="312">
        <v>0.63429999999999997</v>
      </c>
      <c r="G857" s="312">
        <v>0.72030000000000005</v>
      </c>
      <c r="H857" s="312">
        <v>0.77639999999999998</v>
      </c>
      <c r="I857" s="312">
        <v>0.77110000000000001</v>
      </c>
      <c r="J857" s="312">
        <v>0.64600000000000002</v>
      </c>
      <c r="K857" s="312">
        <v>8.5500000000000007E-2</v>
      </c>
      <c r="L857" s="312">
        <v>0.51349999999999996</v>
      </c>
      <c r="M857" s="312">
        <v>0.73250000000000004</v>
      </c>
      <c r="N857" s="312">
        <v>0.77569999999999995</v>
      </c>
      <c r="O857" s="312">
        <v>0.66</v>
      </c>
      <c r="P857" s="312">
        <v>0.58850000000000002</v>
      </c>
      <c r="Q857" s="312">
        <v>0.62180000000000002</v>
      </c>
      <c r="R857" s="312">
        <v>0.77059999999999995</v>
      </c>
      <c r="S857" s="312">
        <v>0.70640000000000003</v>
      </c>
      <c r="T857" s="312">
        <v>0.57269999999999999</v>
      </c>
      <c r="U857" s="312">
        <v>0.66420000000000001</v>
      </c>
      <c r="V857" s="312">
        <v>0.68459999999999999</v>
      </c>
      <c r="W857" s="312">
        <v>0.66549999999999998</v>
      </c>
      <c r="X857" s="312">
        <v>0.62660000000000005</v>
      </c>
      <c r="Y857" s="312">
        <v>0.68579999999999997</v>
      </c>
      <c r="Z857" s="312">
        <v>0.75360000000000005</v>
      </c>
      <c r="AA857" s="312">
        <v>0.70920000000000005</v>
      </c>
      <c r="AB857" s="312">
        <v>0.68979999999999997</v>
      </c>
      <c r="AC857" s="312">
        <v>0.64300000000000002</v>
      </c>
      <c r="AD857" s="312">
        <v>0.63629999999999998</v>
      </c>
      <c r="AE857" s="312">
        <v>0.70340000000000003</v>
      </c>
      <c r="AF857" s="312">
        <v>0.52059999999999995</v>
      </c>
      <c r="AG857" s="312">
        <v>0.56279999999999997</v>
      </c>
      <c r="AH857" s="312">
        <v>0.64739999999999998</v>
      </c>
      <c r="AI857" s="312">
        <v>0.69199999999999995</v>
      </c>
      <c r="AJ857" s="312">
        <v>0.63060000000000005</v>
      </c>
      <c r="AK857" s="312">
        <v>0.65200000000000002</v>
      </c>
      <c r="AL857" s="312">
        <v>0.59419999999999995</v>
      </c>
      <c r="AM857" s="312">
        <v>0.76029999999999998</v>
      </c>
      <c r="AN857" s="312">
        <v>0.70920000000000005</v>
      </c>
      <c r="AO857" s="312">
        <v>0.68500000000000005</v>
      </c>
      <c r="AP857" s="312">
        <v>0.77070000000000005</v>
      </c>
      <c r="AQ857" s="312">
        <v>0.58160000000000001</v>
      </c>
      <c r="AR857" s="312">
        <v>0.72629999999999995</v>
      </c>
      <c r="AS857" s="312">
        <v>0.5665</v>
      </c>
      <c r="AT857" s="312">
        <v>0.72860000000000003</v>
      </c>
      <c r="AU857" s="312">
        <v>0.81489999999999996</v>
      </c>
      <c r="AV857" s="312">
        <v>0.7752</v>
      </c>
      <c r="AW857" s="312">
        <v>0.6663</v>
      </c>
      <c r="AX857" s="312">
        <v>0.61770000000000003</v>
      </c>
      <c r="AY857" s="312">
        <v>0.73019999999999996</v>
      </c>
      <c r="AZ857" s="312">
        <v>0.71860000000000002</v>
      </c>
      <c r="BA857" s="312">
        <v>0.58699999999999997</v>
      </c>
      <c r="BB857" s="312">
        <v>0.55489999999999995</v>
      </c>
      <c r="BC857" s="312">
        <v>0.75639999999999996</v>
      </c>
      <c r="BD857" s="312">
        <v>0.76670000000000005</v>
      </c>
      <c r="BE857" s="312">
        <v>0.82650000000000001</v>
      </c>
      <c r="BF857" s="312">
        <v>0.71950000000000003</v>
      </c>
      <c r="BG857" s="312">
        <v>0.80989999999999995</v>
      </c>
      <c r="BH857" s="312">
        <v>0.7671</v>
      </c>
      <c r="BI857" s="312">
        <v>0.82299999999999995</v>
      </c>
      <c r="BJ857" s="312">
        <v>0.76970000000000005</v>
      </c>
      <c r="BK857" s="312">
        <v>0.7974</v>
      </c>
      <c r="BM857">
        <f>(C857-C446)*1000000/(RIMS_emp!C857-RIMS_emp!C446)</f>
        <v>37533.254270970225</v>
      </c>
    </row>
    <row r="858" spans="1:65" x14ac:dyDescent="0.25">
      <c r="A858" s="306">
        <v>311111</v>
      </c>
      <c r="B858" s="312" t="s">
        <v>25</v>
      </c>
      <c r="C858" s="312">
        <v>0.64970000000000006</v>
      </c>
      <c r="D858" s="312">
        <v>0.18909999999999999</v>
      </c>
      <c r="E858" s="312">
        <v>0.34110000000000001</v>
      </c>
      <c r="F858" s="312">
        <v>0.39450000000000002</v>
      </c>
      <c r="G858" s="312">
        <v>0.29959999999999998</v>
      </c>
      <c r="H858" s="312">
        <v>0.35799999999999998</v>
      </c>
      <c r="I858" s="312">
        <v>0.4113</v>
      </c>
      <c r="J858" s="312">
        <v>0</v>
      </c>
      <c r="K858" s="312">
        <v>0</v>
      </c>
      <c r="L858" s="312">
        <v>0.21360000000000001</v>
      </c>
      <c r="M858" s="312">
        <v>0.2989</v>
      </c>
      <c r="N858" s="312">
        <v>0.40770000000000001</v>
      </c>
      <c r="O858" s="312">
        <v>0.26129999999999998</v>
      </c>
      <c r="P858" s="312">
        <v>0.33429999999999999</v>
      </c>
      <c r="Q858" s="312">
        <v>0</v>
      </c>
      <c r="R858" s="312">
        <v>0.49130000000000001</v>
      </c>
      <c r="S858" s="312">
        <v>0.41470000000000001</v>
      </c>
      <c r="T858" s="312">
        <v>0.3352</v>
      </c>
      <c r="U858" s="312">
        <v>0.39479999999999998</v>
      </c>
      <c r="V858" s="312">
        <v>0</v>
      </c>
      <c r="W858" s="312">
        <v>0.30230000000000001</v>
      </c>
      <c r="X858" s="312">
        <v>0.2621</v>
      </c>
      <c r="Y858" s="312">
        <v>0</v>
      </c>
      <c r="Z858" s="312">
        <v>0.37190000000000001</v>
      </c>
      <c r="AA858" s="312">
        <v>0.44990000000000002</v>
      </c>
      <c r="AB858" s="312">
        <v>0.43880000000000002</v>
      </c>
      <c r="AC858" s="312">
        <v>0.34799999999999998</v>
      </c>
      <c r="AD858" s="312">
        <v>0.2878</v>
      </c>
      <c r="AE858" s="312">
        <v>0.37180000000000002</v>
      </c>
      <c r="AF858" s="312">
        <v>0</v>
      </c>
      <c r="AG858" s="312">
        <v>0.31390000000000001</v>
      </c>
      <c r="AH858" s="312">
        <v>0.25259999999999999</v>
      </c>
      <c r="AI858" s="312">
        <v>0.3201</v>
      </c>
      <c r="AJ858" s="312">
        <v>0.2414</v>
      </c>
      <c r="AK858" s="312">
        <v>0.2586</v>
      </c>
      <c r="AL858" s="312">
        <v>0.25590000000000002</v>
      </c>
      <c r="AM858" s="312">
        <v>0.44619999999999999</v>
      </c>
      <c r="AN858" s="312">
        <v>0.3871</v>
      </c>
      <c r="AO858" s="312">
        <v>0.33169999999999999</v>
      </c>
      <c r="AP858" s="312">
        <v>0.38969999999999999</v>
      </c>
      <c r="AQ858" s="312">
        <v>0</v>
      </c>
      <c r="AR858" s="312">
        <v>0.34089999999999998</v>
      </c>
      <c r="AS858" s="312">
        <v>0.26479999999999998</v>
      </c>
      <c r="AT858" s="312">
        <v>0.3876</v>
      </c>
      <c r="AU858" s="312">
        <v>0.4173</v>
      </c>
      <c r="AV858" s="312">
        <v>0.3836</v>
      </c>
      <c r="AW858" s="312">
        <v>0.33029999999999998</v>
      </c>
      <c r="AX858" s="312">
        <v>0.21659999999999999</v>
      </c>
      <c r="AY858" s="312">
        <v>0.36199999999999999</v>
      </c>
      <c r="AZ858" s="312">
        <v>0.4012</v>
      </c>
      <c r="BA858" s="312">
        <v>0.2429</v>
      </c>
      <c r="BB858" s="312">
        <v>0</v>
      </c>
      <c r="BC858" s="312">
        <v>0.33510000000000001</v>
      </c>
      <c r="BD858" s="312">
        <v>0.36670000000000003</v>
      </c>
      <c r="BE858" s="312">
        <v>0.51439999999999997</v>
      </c>
      <c r="BF858" s="312">
        <v>0.46039999999999998</v>
      </c>
      <c r="BG858" s="312">
        <v>0.3921</v>
      </c>
      <c r="BH858" s="312">
        <v>0.43669999999999998</v>
      </c>
      <c r="BI858" s="312">
        <v>0.4612</v>
      </c>
      <c r="BJ858" s="312">
        <v>0.38619999999999999</v>
      </c>
      <c r="BK858" s="312">
        <v>0.37</v>
      </c>
      <c r="BM858">
        <f>(C858-C447)*1000000/(RIMS_emp!C858-RIMS_emp!C447)</f>
        <v>37541.834408497853</v>
      </c>
    </row>
    <row r="859" spans="1:65" x14ac:dyDescent="0.25">
      <c r="A859" s="306">
        <v>311119</v>
      </c>
      <c r="B859" s="312" t="s">
        <v>26</v>
      </c>
      <c r="C859" s="312">
        <v>0.76</v>
      </c>
      <c r="D859" s="312">
        <v>0</v>
      </c>
      <c r="E859" s="312">
        <v>0.36320000000000002</v>
      </c>
      <c r="F859" s="312">
        <v>0.46200000000000002</v>
      </c>
      <c r="G859" s="312">
        <v>0.31230000000000002</v>
      </c>
      <c r="H859" s="312">
        <v>0.37959999999999999</v>
      </c>
      <c r="I859" s="312">
        <v>0.45290000000000002</v>
      </c>
      <c r="J859" s="312">
        <v>0.27350000000000002</v>
      </c>
      <c r="K859" s="312">
        <v>0</v>
      </c>
      <c r="L859" s="312">
        <v>0.24079999999999999</v>
      </c>
      <c r="M859" s="312">
        <v>0.30819999999999997</v>
      </c>
      <c r="N859" s="312">
        <v>0.44640000000000002</v>
      </c>
      <c r="O859" s="312">
        <v>0</v>
      </c>
      <c r="P859" s="312">
        <v>0.40389999999999998</v>
      </c>
      <c r="Q859" s="312">
        <v>0.37709999999999999</v>
      </c>
      <c r="R859" s="312">
        <v>0.57899999999999996</v>
      </c>
      <c r="S859" s="312">
        <v>0.48830000000000001</v>
      </c>
      <c r="T859" s="312">
        <v>0.39600000000000002</v>
      </c>
      <c r="U859" s="312">
        <v>0.47989999999999999</v>
      </c>
      <c r="V859" s="312">
        <v>0.40739999999999998</v>
      </c>
      <c r="W859" s="312">
        <v>0.3115</v>
      </c>
      <c r="X859" s="312">
        <v>0.28449999999999998</v>
      </c>
      <c r="Y859" s="312">
        <v>0.30680000000000002</v>
      </c>
      <c r="Z859" s="312">
        <v>0.4108</v>
      </c>
      <c r="AA859" s="312">
        <v>0.51400000000000001</v>
      </c>
      <c r="AB859" s="312">
        <v>0.51870000000000005</v>
      </c>
      <c r="AC859" s="312">
        <v>0.42559999999999998</v>
      </c>
      <c r="AD859" s="312">
        <v>0.38869999999999999</v>
      </c>
      <c r="AE859" s="312">
        <v>0.40439999999999998</v>
      </c>
      <c r="AF859" s="312">
        <v>0.35980000000000001</v>
      </c>
      <c r="AG859" s="312">
        <v>0.38450000000000001</v>
      </c>
      <c r="AH859" s="312">
        <v>0.25769999999999998</v>
      </c>
      <c r="AI859" s="312">
        <v>0.32100000000000001</v>
      </c>
      <c r="AJ859" s="312">
        <v>0.28449999999999998</v>
      </c>
      <c r="AK859" s="312">
        <v>0.2631</v>
      </c>
      <c r="AL859" s="312">
        <v>0.2576</v>
      </c>
      <c r="AM859" s="312">
        <v>0.5081</v>
      </c>
      <c r="AN859" s="312">
        <v>0.47099999999999997</v>
      </c>
      <c r="AO859" s="312">
        <v>0.35709999999999997</v>
      </c>
      <c r="AP859" s="312">
        <v>0.38600000000000001</v>
      </c>
      <c r="AQ859" s="312">
        <v>0</v>
      </c>
      <c r="AR859" s="312">
        <v>0.35299999999999998</v>
      </c>
      <c r="AS859" s="312">
        <v>0.32919999999999999</v>
      </c>
      <c r="AT859" s="312">
        <v>0.4269</v>
      </c>
      <c r="AU859" s="312">
        <v>0.45579999999999998</v>
      </c>
      <c r="AV859" s="312">
        <v>0.40870000000000001</v>
      </c>
      <c r="AW859" s="312">
        <v>0.32940000000000003</v>
      </c>
      <c r="AX859" s="312">
        <v>0.24129999999999999</v>
      </c>
      <c r="AY859" s="312">
        <v>0.4239</v>
      </c>
      <c r="AZ859" s="312">
        <v>0.43790000000000001</v>
      </c>
      <c r="BA859" s="312">
        <v>0</v>
      </c>
      <c r="BB859" s="312">
        <v>0.2485</v>
      </c>
      <c r="BC859" s="312">
        <v>0.34139999999999998</v>
      </c>
      <c r="BD859" s="312">
        <v>0.37780000000000002</v>
      </c>
      <c r="BE859" s="312">
        <v>0.59789999999999999</v>
      </c>
      <c r="BF859" s="312">
        <v>0.53720000000000001</v>
      </c>
      <c r="BG859" s="312">
        <v>0.40799999999999997</v>
      </c>
      <c r="BH859" s="312">
        <v>0.50860000000000005</v>
      </c>
      <c r="BI859" s="312">
        <v>0.53600000000000003</v>
      </c>
      <c r="BJ859" s="312">
        <v>0.43780000000000002</v>
      </c>
      <c r="BK859" s="312">
        <v>0.39710000000000001</v>
      </c>
      <c r="BM859">
        <f>(C859-C448)*1000000/(RIMS_emp!C859-RIMS_emp!C448)</f>
        <v>37539.737387698689</v>
      </c>
    </row>
    <row r="860" spans="1:65" x14ac:dyDescent="0.25">
      <c r="A860" s="306">
        <v>311210</v>
      </c>
      <c r="B860" s="312" t="s">
        <v>27</v>
      </c>
      <c r="C860" s="312">
        <v>0.74439999999999995</v>
      </c>
      <c r="D860" s="312">
        <v>0</v>
      </c>
      <c r="E860" s="312">
        <v>0.3931</v>
      </c>
      <c r="F860" s="312">
        <v>0.44669999999999999</v>
      </c>
      <c r="G860" s="312">
        <v>0.38740000000000002</v>
      </c>
      <c r="H860" s="312">
        <v>0.42559999999999998</v>
      </c>
      <c r="I860" s="312">
        <v>0.52200000000000002</v>
      </c>
      <c r="J860" s="312">
        <v>0</v>
      </c>
      <c r="K860" s="312">
        <v>0</v>
      </c>
      <c r="L860" s="312">
        <v>0</v>
      </c>
      <c r="M860" s="312">
        <v>0.38979999999999998</v>
      </c>
      <c r="N860" s="312">
        <v>0.44600000000000001</v>
      </c>
      <c r="O860" s="312">
        <v>0.32369999999999999</v>
      </c>
      <c r="P860" s="312">
        <v>0.3881</v>
      </c>
      <c r="Q860" s="312">
        <v>0.40889999999999999</v>
      </c>
      <c r="R860" s="312">
        <v>0.58389999999999997</v>
      </c>
      <c r="S860" s="312">
        <v>0.49209999999999998</v>
      </c>
      <c r="T860" s="312">
        <v>0.41010000000000002</v>
      </c>
      <c r="U860" s="312">
        <v>0.47660000000000002</v>
      </c>
      <c r="V860" s="312">
        <v>0.48230000000000001</v>
      </c>
      <c r="W860" s="312">
        <v>0.35439999999999999</v>
      </c>
      <c r="X860" s="312">
        <v>0.34839999999999999</v>
      </c>
      <c r="Y860" s="312">
        <v>0.34189999999999998</v>
      </c>
      <c r="Z860" s="312">
        <v>0.47770000000000001</v>
      </c>
      <c r="AA860" s="312">
        <v>0.51219999999999999</v>
      </c>
      <c r="AB860" s="312">
        <v>0.50539999999999996</v>
      </c>
      <c r="AC860" s="312">
        <v>0.43459999999999999</v>
      </c>
      <c r="AD860" s="312">
        <v>0.41539999999999999</v>
      </c>
      <c r="AE860" s="312">
        <v>0.41070000000000001</v>
      </c>
      <c r="AF860" s="312">
        <v>0.36259999999999998</v>
      </c>
      <c r="AG860" s="312">
        <v>0.37890000000000001</v>
      </c>
      <c r="AH860" s="312">
        <v>0</v>
      </c>
      <c r="AI860" s="312">
        <v>0.3695</v>
      </c>
      <c r="AJ860" s="312">
        <v>0</v>
      </c>
      <c r="AK860" s="312">
        <v>0</v>
      </c>
      <c r="AL860" s="312">
        <v>0.31369999999999998</v>
      </c>
      <c r="AM860" s="312">
        <v>0.53690000000000004</v>
      </c>
      <c r="AN860" s="312">
        <v>0.46660000000000001</v>
      </c>
      <c r="AO860" s="312">
        <v>0.43619999999999998</v>
      </c>
      <c r="AP860" s="312">
        <v>0.43619999999999998</v>
      </c>
      <c r="AQ860" s="312">
        <v>0.30299999999999999</v>
      </c>
      <c r="AR860" s="312">
        <v>0.39250000000000002</v>
      </c>
      <c r="AS860" s="312">
        <v>0</v>
      </c>
      <c r="AT860" s="312">
        <v>0.45729999999999998</v>
      </c>
      <c r="AU860" s="312">
        <v>0.51759999999999995</v>
      </c>
      <c r="AV860" s="312">
        <v>0.439</v>
      </c>
      <c r="AW860" s="312">
        <v>0.38729999999999998</v>
      </c>
      <c r="AX860" s="312">
        <v>0</v>
      </c>
      <c r="AY860" s="312">
        <v>0.48720000000000002</v>
      </c>
      <c r="AZ860" s="312">
        <v>0.49980000000000002</v>
      </c>
      <c r="BA860" s="312">
        <v>0</v>
      </c>
      <c r="BB860" s="312">
        <v>0</v>
      </c>
      <c r="BC860" s="312">
        <v>0.39479999999999998</v>
      </c>
      <c r="BD860" s="312">
        <v>0.43009999999999998</v>
      </c>
      <c r="BE860" s="312">
        <v>0.59260000000000002</v>
      </c>
      <c r="BF860" s="312">
        <v>0.51700000000000002</v>
      </c>
      <c r="BG860" s="312">
        <v>0.46829999999999999</v>
      </c>
      <c r="BH860" s="312">
        <v>0.51</v>
      </c>
      <c r="BI860" s="312">
        <v>0.58069999999999999</v>
      </c>
      <c r="BJ860" s="312">
        <v>0.50339999999999996</v>
      </c>
      <c r="BK860" s="312">
        <v>0.4597</v>
      </c>
      <c r="BM860">
        <f>(C860-C449)*1000000/(RIMS_emp!C860-RIMS_emp!C449)</f>
        <v>37538.808918995193</v>
      </c>
    </row>
    <row r="861" spans="1:65" x14ac:dyDescent="0.25">
      <c r="A861" s="306">
        <v>311221</v>
      </c>
      <c r="B861" s="312" t="s">
        <v>28</v>
      </c>
      <c r="C861" s="312">
        <v>0.75849999999999995</v>
      </c>
      <c r="D861" s="312">
        <v>0</v>
      </c>
      <c r="E861" s="312">
        <v>0.3851</v>
      </c>
      <c r="F861" s="312">
        <v>0.46010000000000001</v>
      </c>
      <c r="G861" s="312">
        <v>0</v>
      </c>
      <c r="H861" s="312">
        <v>0.42020000000000002</v>
      </c>
      <c r="I861" s="312">
        <v>0.52669999999999995</v>
      </c>
      <c r="J861" s="312">
        <v>0</v>
      </c>
      <c r="K861" s="312">
        <v>0</v>
      </c>
      <c r="L861" s="312">
        <v>0</v>
      </c>
      <c r="M861" s="312">
        <v>0.35449999999999998</v>
      </c>
      <c r="N861" s="312">
        <v>0</v>
      </c>
      <c r="O861" s="312">
        <v>0</v>
      </c>
      <c r="P861" s="312">
        <v>0.38869999999999999</v>
      </c>
      <c r="Q861" s="312">
        <v>0.4133</v>
      </c>
      <c r="R861" s="312">
        <v>0.58620000000000005</v>
      </c>
      <c r="S861" s="312">
        <v>0.48499999999999999</v>
      </c>
      <c r="T861" s="312">
        <v>0.42220000000000002</v>
      </c>
      <c r="U861" s="312">
        <v>0</v>
      </c>
      <c r="V861" s="312">
        <v>0</v>
      </c>
      <c r="W861" s="312">
        <v>0</v>
      </c>
      <c r="X861" s="312">
        <v>0</v>
      </c>
      <c r="Y861" s="312">
        <v>0.33550000000000002</v>
      </c>
      <c r="Z861" s="312">
        <v>0</v>
      </c>
      <c r="AA861" s="312">
        <v>0.5091</v>
      </c>
      <c r="AB861" s="312">
        <v>0.50819999999999999</v>
      </c>
      <c r="AC861" s="312">
        <v>0</v>
      </c>
      <c r="AD861" s="312">
        <v>0</v>
      </c>
      <c r="AE861" s="312">
        <v>0.4007</v>
      </c>
      <c r="AF861" s="312">
        <v>0.37119999999999997</v>
      </c>
      <c r="AG861" s="312">
        <v>0</v>
      </c>
      <c r="AH861" s="312">
        <v>0</v>
      </c>
      <c r="AI861" s="312">
        <v>0.36059999999999998</v>
      </c>
      <c r="AJ861" s="312">
        <v>0</v>
      </c>
      <c r="AK861" s="312">
        <v>0</v>
      </c>
      <c r="AL861" s="312">
        <v>0</v>
      </c>
      <c r="AM861" s="312">
        <v>0.5494</v>
      </c>
      <c r="AN861" s="312">
        <v>0</v>
      </c>
      <c r="AO861" s="312">
        <v>0.42070000000000002</v>
      </c>
      <c r="AP861" s="312">
        <v>0.43530000000000002</v>
      </c>
      <c r="AQ861" s="312">
        <v>0</v>
      </c>
      <c r="AR861" s="312">
        <v>0.3886</v>
      </c>
      <c r="AS861" s="312">
        <v>0</v>
      </c>
      <c r="AT861" s="312">
        <v>0.43099999999999999</v>
      </c>
      <c r="AU861" s="312">
        <v>0.51319999999999999</v>
      </c>
      <c r="AV861" s="312">
        <v>0</v>
      </c>
      <c r="AW861" s="312">
        <v>0</v>
      </c>
      <c r="AX861" s="312">
        <v>0</v>
      </c>
      <c r="AY861" s="312">
        <v>0.46879999999999999</v>
      </c>
      <c r="AZ861" s="312">
        <v>0</v>
      </c>
      <c r="BA861" s="312">
        <v>0</v>
      </c>
      <c r="BB861" s="312">
        <v>0</v>
      </c>
      <c r="BC861" s="312">
        <v>0.3775</v>
      </c>
      <c r="BD861" s="312">
        <v>0.41599999999999998</v>
      </c>
      <c r="BE861" s="312">
        <v>0.5978</v>
      </c>
      <c r="BF861" s="312">
        <v>0.52400000000000002</v>
      </c>
      <c r="BG861" s="312">
        <v>0.44429999999999997</v>
      </c>
      <c r="BH861" s="312">
        <v>0.501</v>
      </c>
      <c r="BI861" s="312">
        <v>0.58330000000000004</v>
      </c>
      <c r="BJ861" s="312">
        <v>0.51600000000000001</v>
      </c>
      <c r="BK861" s="312">
        <v>0.44569999999999999</v>
      </c>
      <c r="BM861">
        <f>(C861-C450)*1000000/(RIMS_emp!C861-RIMS_emp!C450)</f>
        <v>37546.916333116344</v>
      </c>
    </row>
    <row r="862" spans="1:65" x14ac:dyDescent="0.25">
      <c r="A862" s="306">
        <v>311225</v>
      </c>
      <c r="B862" s="312" t="s">
        <v>30</v>
      </c>
      <c r="C862" s="312">
        <v>0.7762</v>
      </c>
      <c r="D862" s="312">
        <v>0</v>
      </c>
      <c r="E862" s="312">
        <v>0.3911</v>
      </c>
      <c r="F862" s="312">
        <v>0.48759999999999998</v>
      </c>
      <c r="G862" s="312">
        <v>0.30380000000000001</v>
      </c>
      <c r="H862" s="312">
        <v>0.37369999999999998</v>
      </c>
      <c r="I862" s="312">
        <v>0.34560000000000002</v>
      </c>
      <c r="J862" s="312">
        <v>0.25319999999999998</v>
      </c>
      <c r="K862" s="312">
        <v>0</v>
      </c>
      <c r="L862" s="312">
        <v>0.2331</v>
      </c>
      <c r="M862" s="312">
        <v>0.26269999999999999</v>
      </c>
      <c r="N862" s="312">
        <v>0.46660000000000001</v>
      </c>
      <c r="O862" s="312">
        <v>0</v>
      </c>
      <c r="P862" s="312">
        <v>0.37190000000000001</v>
      </c>
      <c r="Q862" s="312">
        <v>0</v>
      </c>
      <c r="R862" s="312">
        <v>0.60750000000000004</v>
      </c>
      <c r="S862" s="312">
        <v>0.51949999999999996</v>
      </c>
      <c r="T862" s="312">
        <v>0.38940000000000002</v>
      </c>
      <c r="U862" s="312">
        <v>0.4929</v>
      </c>
      <c r="V862" s="312">
        <v>0.38719999999999999</v>
      </c>
      <c r="W862" s="312">
        <v>0.30349999999999999</v>
      </c>
      <c r="X862" s="312">
        <v>0.25480000000000003</v>
      </c>
      <c r="Y862" s="312">
        <v>0</v>
      </c>
      <c r="Z862" s="312">
        <v>0.37180000000000002</v>
      </c>
      <c r="AA862" s="312">
        <v>0.54569999999999996</v>
      </c>
      <c r="AB862" s="312">
        <v>0.53739999999999999</v>
      </c>
      <c r="AC862" s="312">
        <v>0</v>
      </c>
      <c r="AD862" s="312">
        <v>0.33600000000000002</v>
      </c>
      <c r="AE862" s="312">
        <v>0</v>
      </c>
      <c r="AF862" s="312">
        <v>0.38369999999999999</v>
      </c>
      <c r="AG862" s="312">
        <v>0.35139999999999999</v>
      </c>
      <c r="AH862" s="312">
        <v>0</v>
      </c>
      <c r="AI862" s="312">
        <v>0.30930000000000002</v>
      </c>
      <c r="AJ862" s="312">
        <v>0</v>
      </c>
      <c r="AK862" s="312">
        <v>0</v>
      </c>
      <c r="AL862" s="312">
        <v>0.2344</v>
      </c>
      <c r="AM862" s="312">
        <v>0.46989999999999998</v>
      </c>
      <c r="AN862" s="312">
        <v>0.4511</v>
      </c>
      <c r="AO862" s="312">
        <v>0.3332</v>
      </c>
      <c r="AP862" s="312">
        <v>0.3478</v>
      </c>
      <c r="AQ862" s="312">
        <v>0</v>
      </c>
      <c r="AR862" s="312">
        <v>0.33339999999999997</v>
      </c>
      <c r="AS862" s="312">
        <v>0.30709999999999998</v>
      </c>
      <c r="AT862" s="312">
        <v>0.47510000000000002</v>
      </c>
      <c r="AU862" s="312">
        <v>0.41460000000000002</v>
      </c>
      <c r="AV862" s="312">
        <v>0</v>
      </c>
      <c r="AW862" s="312">
        <v>0.30530000000000002</v>
      </c>
      <c r="AX862" s="312">
        <v>0</v>
      </c>
      <c r="AY862" s="312">
        <v>0.36899999999999999</v>
      </c>
      <c r="AZ862" s="312">
        <v>0</v>
      </c>
      <c r="BA862" s="312">
        <v>0</v>
      </c>
      <c r="BB862" s="312">
        <v>0</v>
      </c>
      <c r="BC862" s="312">
        <v>0.31490000000000001</v>
      </c>
      <c r="BD862" s="312">
        <v>0.34089999999999998</v>
      </c>
      <c r="BE862" s="312">
        <v>0.62919999999999998</v>
      </c>
      <c r="BF862" s="312">
        <v>0.56010000000000004</v>
      </c>
      <c r="BG862" s="312">
        <v>0.36940000000000001</v>
      </c>
      <c r="BH862" s="312">
        <v>0.53669999999999995</v>
      </c>
      <c r="BI862" s="312">
        <v>0.51980000000000004</v>
      </c>
      <c r="BJ862" s="312">
        <v>0.34620000000000001</v>
      </c>
      <c r="BK862" s="312">
        <v>0.38009999999999999</v>
      </c>
      <c r="BM862">
        <f>(C862-C451)*1000000/(RIMS_emp!C862-RIMS_emp!C451)</f>
        <v>37543.816909605215</v>
      </c>
    </row>
    <row r="863" spans="1:65" x14ac:dyDescent="0.25">
      <c r="A863" s="306" t="s">
        <v>704</v>
      </c>
      <c r="B863" s="312" t="s">
        <v>29</v>
      </c>
      <c r="C863" s="312">
        <v>0.77180000000000004</v>
      </c>
      <c r="D863" s="312">
        <v>0</v>
      </c>
      <c r="E863" s="312">
        <v>0.32329999999999998</v>
      </c>
      <c r="F863" s="312">
        <v>0.49309999999999998</v>
      </c>
      <c r="G863" s="312">
        <v>0.28989999999999999</v>
      </c>
      <c r="H863" s="312">
        <v>0.32769999999999999</v>
      </c>
      <c r="I863" s="312">
        <v>0.46179999999999999</v>
      </c>
      <c r="J863" s="312">
        <v>0</v>
      </c>
      <c r="K863" s="312">
        <v>0</v>
      </c>
      <c r="L863" s="312">
        <v>0</v>
      </c>
      <c r="M863" s="312">
        <v>0</v>
      </c>
      <c r="N863" s="312">
        <v>0.36720000000000003</v>
      </c>
      <c r="O863" s="312">
        <v>0.249</v>
      </c>
      <c r="P863" s="312">
        <v>0.43240000000000001</v>
      </c>
      <c r="Q863" s="312">
        <v>0.42270000000000002</v>
      </c>
      <c r="R863" s="312">
        <v>0.59179999999999999</v>
      </c>
      <c r="S863" s="312">
        <v>0.50439999999999996</v>
      </c>
      <c r="T863" s="312">
        <v>0.43169999999999997</v>
      </c>
      <c r="U863" s="312">
        <v>0.50249999999999995</v>
      </c>
      <c r="V863" s="312">
        <v>0.47</v>
      </c>
      <c r="W863" s="312">
        <v>0.24529999999999999</v>
      </c>
      <c r="X863" s="312">
        <v>0</v>
      </c>
      <c r="Y863" s="312">
        <v>0</v>
      </c>
      <c r="Z863" s="312">
        <v>0.43090000000000001</v>
      </c>
      <c r="AA863" s="312">
        <v>0.53120000000000001</v>
      </c>
      <c r="AB863" s="312">
        <v>0.53490000000000004</v>
      </c>
      <c r="AC863" s="312">
        <v>0.47889999999999999</v>
      </c>
      <c r="AD863" s="312">
        <v>0.4516</v>
      </c>
      <c r="AE863" s="312">
        <v>0.35849999999999999</v>
      </c>
      <c r="AF863" s="312">
        <v>0.39929999999999999</v>
      </c>
      <c r="AG863" s="312">
        <v>0.41589999999999999</v>
      </c>
      <c r="AH863" s="312">
        <v>0</v>
      </c>
      <c r="AI863" s="312">
        <v>0</v>
      </c>
      <c r="AJ863" s="312">
        <v>0</v>
      </c>
      <c r="AK863" s="312">
        <v>0.22989999999999999</v>
      </c>
      <c r="AL863" s="312">
        <v>0.22370000000000001</v>
      </c>
      <c r="AM863" s="312">
        <v>0.53869999999999996</v>
      </c>
      <c r="AN863" s="312">
        <v>0.50960000000000005</v>
      </c>
      <c r="AO863" s="312">
        <v>0</v>
      </c>
      <c r="AP863" s="312">
        <v>0.3246</v>
      </c>
      <c r="AQ863" s="312">
        <v>0</v>
      </c>
      <c r="AR863" s="312">
        <v>0.33550000000000002</v>
      </c>
      <c r="AS863" s="312">
        <v>0.3725</v>
      </c>
      <c r="AT863" s="312">
        <v>0.40500000000000003</v>
      </c>
      <c r="AU863" s="312">
        <v>0.44040000000000001</v>
      </c>
      <c r="AV863" s="312">
        <v>0.32329999999999998</v>
      </c>
      <c r="AW863" s="312">
        <v>0</v>
      </c>
      <c r="AX863" s="312">
        <v>0.219</v>
      </c>
      <c r="AY863" s="312">
        <v>0.45179999999999998</v>
      </c>
      <c r="AZ863" s="312">
        <v>0.4894</v>
      </c>
      <c r="BA863" s="312">
        <v>0</v>
      </c>
      <c r="BB863" s="312">
        <v>0</v>
      </c>
      <c r="BC863" s="312">
        <v>0.26829999999999998</v>
      </c>
      <c r="BD863" s="312">
        <v>0.29899999999999999</v>
      </c>
      <c r="BE863" s="312">
        <v>0.61040000000000005</v>
      </c>
      <c r="BF863" s="312">
        <v>0.55149999999999999</v>
      </c>
      <c r="BG863" s="312">
        <v>0.3513</v>
      </c>
      <c r="BH863" s="312">
        <v>0.50660000000000005</v>
      </c>
      <c r="BI863" s="312">
        <v>0.56640000000000001</v>
      </c>
      <c r="BJ863" s="312">
        <v>0.45979999999999999</v>
      </c>
      <c r="BK863" s="312">
        <v>0.35970000000000002</v>
      </c>
      <c r="BM863">
        <f>(C863-C452)*1000000/(RIMS_emp!C863-RIMS_emp!C452)</f>
        <v>37537.598845834531</v>
      </c>
    </row>
    <row r="864" spans="1:65" x14ac:dyDescent="0.25">
      <c r="A864" s="306">
        <v>311230</v>
      </c>
      <c r="B864" s="312" t="s">
        <v>31</v>
      </c>
      <c r="C864" s="312">
        <v>0.55159999999999998</v>
      </c>
      <c r="D864" s="312">
        <v>0</v>
      </c>
      <c r="E864" s="312">
        <v>0</v>
      </c>
      <c r="F864" s="312">
        <v>0.33129999999999998</v>
      </c>
      <c r="G864" s="312">
        <v>0</v>
      </c>
      <c r="H864" s="312">
        <v>0.34649999999999997</v>
      </c>
      <c r="I864" s="312">
        <v>0.34160000000000001</v>
      </c>
      <c r="J864" s="312">
        <v>0.27339999999999998</v>
      </c>
      <c r="K864" s="312">
        <v>0</v>
      </c>
      <c r="L864" s="312">
        <v>0</v>
      </c>
      <c r="M864" s="312">
        <v>0</v>
      </c>
      <c r="N864" s="312">
        <v>0.37959999999999999</v>
      </c>
      <c r="O864" s="312">
        <v>0</v>
      </c>
      <c r="P864" s="312">
        <v>0.26629999999999998</v>
      </c>
      <c r="Q864" s="312">
        <v>0</v>
      </c>
      <c r="R864" s="312">
        <v>0.40889999999999999</v>
      </c>
      <c r="S864" s="312">
        <v>0</v>
      </c>
      <c r="T864" s="312">
        <v>0.27479999999999999</v>
      </c>
      <c r="U864" s="312">
        <v>0</v>
      </c>
      <c r="V864" s="312">
        <v>0</v>
      </c>
      <c r="W864" s="312">
        <v>0.3014</v>
      </c>
      <c r="X864" s="312">
        <v>0.25390000000000001</v>
      </c>
      <c r="Y864" s="312">
        <v>0</v>
      </c>
      <c r="Z864" s="312">
        <v>0.36299999999999999</v>
      </c>
      <c r="AA864" s="312">
        <v>0.37959999999999999</v>
      </c>
      <c r="AB864" s="312">
        <v>0.34870000000000001</v>
      </c>
      <c r="AC864" s="312">
        <v>0</v>
      </c>
      <c r="AD864" s="312">
        <v>0.24740000000000001</v>
      </c>
      <c r="AE864" s="312">
        <v>0.33629999999999999</v>
      </c>
      <c r="AF864" s="312">
        <v>0</v>
      </c>
      <c r="AG864" s="312">
        <v>0.27250000000000002</v>
      </c>
      <c r="AH864" s="312">
        <v>0</v>
      </c>
      <c r="AI864" s="312">
        <v>0.2949</v>
      </c>
      <c r="AJ864" s="312">
        <v>0.22220000000000001</v>
      </c>
      <c r="AK864" s="312">
        <v>0.24779999999999999</v>
      </c>
      <c r="AL864" s="312">
        <v>0</v>
      </c>
      <c r="AM864" s="312">
        <v>0.38650000000000001</v>
      </c>
      <c r="AN864" s="312">
        <v>0</v>
      </c>
      <c r="AO864" s="312">
        <v>0.31119999999999998</v>
      </c>
      <c r="AP864" s="312">
        <v>0.34620000000000001</v>
      </c>
      <c r="AQ864" s="312">
        <v>0</v>
      </c>
      <c r="AR864" s="312">
        <v>0</v>
      </c>
      <c r="AS864" s="312">
        <v>0</v>
      </c>
      <c r="AT864" s="312">
        <v>0.3458</v>
      </c>
      <c r="AU864" s="312">
        <v>0.35389999999999999</v>
      </c>
      <c r="AV864" s="312">
        <v>0.32719999999999999</v>
      </c>
      <c r="AW864" s="312">
        <v>0</v>
      </c>
      <c r="AX864" s="312">
        <v>0</v>
      </c>
      <c r="AY864" s="312">
        <v>0.32719999999999999</v>
      </c>
      <c r="AZ864" s="312">
        <v>0.34599999999999997</v>
      </c>
      <c r="BA864" s="312">
        <v>0</v>
      </c>
      <c r="BB864" s="312">
        <v>0.19489999999999999</v>
      </c>
      <c r="BC864" s="312">
        <v>0.32650000000000001</v>
      </c>
      <c r="BD864" s="312">
        <v>0.34279999999999999</v>
      </c>
      <c r="BE864" s="312">
        <v>0.43690000000000001</v>
      </c>
      <c r="BF864" s="312">
        <v>0.37630000000000002</v>
      </c>
      <c r="BG864" s="312">
        <v>0.3745</v>
      </c>
      <c r="BH864" s="312">
        <v>0.36509999999999998</v>
      </c>
      <c r="BI864" s="312">
        <v>0.38829999999999998</v>
      </c>
      <c r="BJ864" s="312">
        <v>0.32650000000000001</v>
      </c>
      <c r="BK864" s="312">
        <v>0.35639999999999999</v>
      </c>
      <c r="BM864">
        <f>(C864-C453)*1000000/(RIMS_emp!C864-RIMS_emp!C453)</f>
        <v>37534.277879341869</v>
      </c>
    </row>
    <row r="865" spans="1:65" x14ac:dyDescent="0.25">
      <c r="A865" s="306">
        <v>311313</v>
      </c>
      <c r="B865" s="312" t="s">
        <v>33</v>
      </c>
      <c r="C865" s="312">
        <v>0.77849999999999997</v>
      </c>
      <c r="D865" s="312">
        <v>0</v>
      </c>
      <c r="E865" s="312">
        <v>0</v>
      </c>
      <c r="F865" s="312">
        <v>0</v>
      </c>
      <c r="G865" s="312">
        <v>0</v>
      </c>
      <c r="H865" s="312">
        <v>0.54949999999999999</v>
      </c>
      <c r="I865" s="312">
        <v>0.54049999999999998</v>
      </c>
      <c r="J865" s="312">
        <v>0</v>
      </c>
      <c r="K865" s="312">
        <v>0</v>
      </c>
      <c r="L865" s="312">
        <v>0</v>
      </c>
      <c r="M865" s="312">
        <v>0</v>
      </c>
      <c r="N865" s="312">
        <v>0</v>
      </c>
      <c r="O865" s="312">
        <v>0</v>
      </c>
      <c r="P865" s="312">
        <v>0</v>
      </c>
      <c r="Q865" s="312">
        <v>0.40989999999999999</v>
      </c>
      <c r="R865" s="312">
        <v>0</v>
      </c>
      <c r="S865" s="312">
        <v>0</v>
      </c>
      <c r="T865" s="312">
        <v>0</v>
      </c>
      <c r="U865" s="312">
        <v>0.48570000000000002</v>
      </c>
      <c r="V865" s="312">
        <v>0.50519999999999998</v>
      </c>
      <c r="W865" s="312">
        <v>0</v>
      </c>
      <c r="X865" s="312">
        <v>0</v>
      </c>
      <c r="Y865" s="312">
        <v>0</v>
      </c>
      <c r="Z865" s="312">
        <v>0.47460000000000002</v>
      </c>
      <c r="AA865" s="312">
        <v>0.51339999999999997</v>
      </c>
      <c r="AB865" s="312">
        <v>0</v>
      </c>
      <c r="AC865" s="312">
        <v>0</v>
      </c>
      <c r="AD865" s="312">
        <v>0.41449999999999998</v>
      </c>
      <c r="AE865" s="312">
        <v>0</v>
      </c>
      <c r="AF865" s="312">
        <v>0.35759999999999997</v>
      </c>
      <c r="AG865" s="312">
        <v>0.39850000000000002</v>
      </c>
      <c r="AH865" s="312">
        <v>0</v>
      </c>
      <c r="AI865" s="312">
        <v>0.33410000000000001</v>
      </c>
      <c r="AJ865" s="312">
        <v>0</v>
      </c>
      <c r="AK865" s="312">
        <v>0</v>
      </c>
      <c r="AL865" s="312">
        <v>0.29659999999999997</v>
      </c>
      <c r="AM865" s="312">
        <v>0.41810000000000003</v>
      </c>
      <c r="AN865" s="312">
        <v>0</v>
      </c>
      <c r="AO865" s="312">
        <v>0.50449999999999995</v>
      </c>
      <c r="AP865" s="312">
        <v>0</v>
      </c>
      <c r="AQ865" s="312">
        <v>0</v>
      </c>
      <c r="AR865" s="312">
        <v>0</v>
      </c>
      <c r="AS865" s="312">
        <v>0.33239999999999997</v>
      </c>
      <c r="AT865" s="312">
        <v>0</v>
      </c>
      <c r="AU865" s="312">
        <v>0</v>
      </c>
      <c r="AV865" s="312">
        <v>0</v>
      </c>
      <c r="AW865" s="312">
        <v>0</v>
      </c>
      <c r="AX865" s="312">
        <v>0</v>
      </c>
      <c r="AY865" s="312">
        <v>0</v>
      </c>
      <c r="AZ865" s="312">
        <v>0</v>
      </c>
      <c r="BA865" s="312">
        <v>0</v>
      </c>
      <c r="BB865" s="312">
        <v>0.35239999999999999</v>
      </c>
      <c r="BC865" s="312">
        <v>0</v>
      </c>
      <c r="BD865" s="312">
        <v>0.40660000000000002</v>
      </c>
      <c r="BE865" s="312">
        <v>0.47039999999999998</v>
      </c>
      <c r="BF865" s="312">
        <v>0.5302</v>
      </c>
      <c r="BG865" s="312">
        <v>0</v>
      </c>
      <c r="BH865" s="312">
        <v>0.502</v>
      </c>
      <c r="BI865" s="312">
        <v>0.60429999999999995</v>
      </c>
      <c r="BJ865" s="312">
        <v>0.55030000000000001</v>
      </c>
      <c r="BK865" s="312">
        <v>0.56369999999999998</v>
      </c>
      <c r="BM865">
        <f>(C865-C454)*1000000/(RIMS_emp!C865-RIMS_emp!C454)</f>
        <v>37539.806768500028</v>
      </c>
    </row>
    <row r="866" spans="1:65" x14ac:dyDescent="0.25">
      <c r="A866" s="306" t="s">
        <v>705</v>
      </c>
      <c r="B866" s="312" t="s">
        <v>32</v>
      </c>
      <c r="C866" s="312">
        <v>0.78080000000000005</v>
      </c>
      <c r="D866" s="312">
        <v>0</v>
      </c>
      <c r="E866" s="312">
        <v>0.3639</v>
      </c>
      <c r="F866" s="312">
        <v>0</v>
      </c>
      <c r="G866" s="312">
        <v>0</v>
      </c>
      <c r="H866" s="312">
        <v>0.50639999999999996</v>
      </c>
      <c r="I866" s="312">
        <v>0</v>
      </c>
      <c r="J866" s="312">
        <v>0</v>
      </c>
      <c r="K866" s="312">
        <v>0</v>
      </c>
      <c r="L866" s="312">
        <v>0</v>
      </c>
      <c r="M866" s="312">
        <v>0.46510000000000001</v>
      </c>
      <c r="N866" s="312">
        <v>0.51859999999999995</v>
      </c>
      <c r="O866" s="312">
        <v>0.4078</v>
      </c>
      <c r="P866" s="312">
        <v>0</v>
      </c>
      <c r="Q866" s="312">
        <v>0</v>
      </c>
      <c r="R866" s="312">
        <v>0.35039999999999999</v>
      </c>
      <c r="S866" s="312">
        <v>0</v>
      </c>
      <c r="T866" s="312">
        <v>0</v>
      </c>
      <c r="U866" s="312">
        <v>0</v>
      </c>
      <c r="V866" s="312">
        <v>0.46789999999999998</v>
      </c>
      <c r="W866" s="312">
        <v>0</v>
      </c>
      <c r="X866" s="312">
        <v>0.31940000000000002</v>
      </c>
      <c r="Y866" s="312">
        <v>0</v>
      </c>
      <c r="Z866" s="312">
        <v>0.42420000000000002</v>
      </c>
      <c r="AA866" s="312">
        <v>0</v>
      </c>
      <c r="AB866" s="312">
        <v>0</v>
      </c>
      <c r="AC866" s="312">
        <v>0</v>
      </c>
      <c r="AD866" s="312">
        <v>0</v>
      </c>
      <c r="AE866" s="312">
        <v>0</v>
      </c>
      <c r="AF866" s="312">
        <v>0</v>
      </c>
      <c r="AG866" s="312">
        <v>0.32650000000000001</v>
      </c>
      <c r="AH866" s="312">
        <v>0.34489999999999998</v>
      </c>
      <c r="AI866" s="312">
        <v>0</v>
      </c>
      <c r="AJ866" s="312">
        <v>0</v>
      </c>
      <c r="AK866" s="312">
        <v>0</v>
      </c>
      <c r="AL866" s="312">
        <v>0.29930000000000001</v>
      </c>
      <c r="AM866" s="312">
        <v>0.36130000000000001</v>
      </c>
      <c r="AN866" s="312">
        <v>0</v>
      </c>
      <c r="AO866" s="312">
        <v>0</v>
      </c>
      <c r="AP866" s="312">
        <v>0</v>
      </c>
      <c r="AQ866" s="312">
        <v>0</v>
      </c>
      <c r="AR866" s="312">
        <v>0</v>
      </c>
      <c r="AS866" s="312">
        <v>0</v>
      </c>
      <c r="AT866" s="312">
        <v>0.31979999999999997</v>
      </c>
      <c r="AU866" s="312">
        <v>0.54759999999999998</v>
      </c>
      <c r="AV866" s="312">
        <v>0</v>
      </c>
      <c r="AW866" s="312">
        <v>0</v>
      </c>
      <c r="AX866" s="312">
        <v>0</v>
      </c>
      <c r="AY866" s="312">
        <v>0</v>
      </c>
      <c r="AZ866" s="312">
        <v>0</v>
      </c>
      <c r="BA866" s="312">
        <v>0</v>
      </c>
      <c r="BB866" s="312">
        <v>0</v>
      </c>
      <c r="BC866" s="312">
        <v>0.32529999999999998</v>
      </c>
      <c r="BD866" s="312">
        <v>0.36749999999999999</v>
      </c>
      <c r="BE866" s="312">
        <v>0.42830000000000001</v>
      </c>
      <c r="BF866" s="312">
        <v>0.43290000000000001</v>
      </c>
      <c r="BG866" s="312">
        <v>0.52049999999999996</v>
      </c>
      <c r="BH866" s="312">
        <v>0.38</v>
      </c>
      <c r="BI866" s="312">
        <v>0.55710000000000004</v>
      </c>
      <c r="BJ866" s="312">
        <v>0</v>
      </c>
      <c r="BK866" s="312">
        <v>0.52100000000000002</v>
      </c>
      <c r="BM866">
        <f>(C866-C455)*1000000/(RIMS_emp!C866-RIMS_emp!C455)</f>
        <v>37536.830492284091</v>
      </c>
    </row>
    <row r="867" spans="1:65" x14ac:dyDescent="0.25">
      <c r="A867" s="306">
        <v>311320</v>
      </c>
      <c r="B867" s="312" t="s">
        <v>34</v>
      </c>
      <c r="C867" s="312">
        <v>0.71850000000000003</v>
      </c>
      <c r="D867" s="312">
        <v>0</v>
      </c>
      <c r="E867" s="312">
        <v>0</v>
      </c>
      <c r="F867" s="312">
        <v>0.3417</v>
      </c>
      <c r="G867" s="312">
        <v>0</v>
      </c>
      <c r="H867" s="312">
        <v>0.48870000000000002</v>
      </c>
      <c r="I867" s="312">
        <v>0.41070000000000001</v>
      </c>
      <c r="J867" s="312">
        <v>0.31900000000000001</v>
      </c>
      <c r="K867" s="312">
        <v>0</v>
      </c>
      <c r="L867" s="312">
        <v>0</v>
      </c>
      <c r="M867" s="312">
        <v>0.38600000000000001</v>
      </c>
      <c r="N867" s="312">
        <v>0.44690000000000002</v>
      </c>
      <c r="O867" s="312">
        <v>0</v>
      </c>
      <c r="P867" s="312">
        <v>0</v>
      </c>
      <c r="Q867" s="312">
        <v>0</v>
      </c>
      <c r="R867" s="312">
        <v>0.46250000000000002</v>
      </c>
      <c r="S867" s="312">
        <v>0</v>
      </c>
      <c r="T867" s="312">
        <v>0</v>
      </c>
      <c r="U867" s="312">
        <v>0</v>
      </c>
      <c r="V867" s="312">
        <v>0</v>
      </c>
      <c r="W867" s="312">
        <v>0.36059999999999998</v>
      </c>
      <c r="X867" s="312">
        <v>0.29870000000000002</v>
      </c>
      <c r="Y867" s="312">
        <v>0</v>
      </c>
      <c r="Z867" s="312">
        <v>0.43230000000000002</v>
      </c>
      <c r="AA867" s="312">
        <v>0.41930000000000001</v>
      </c>
      <c r="AB867" s="312">
        <v>0.38200000000000001</v>
      </c>
      <c r="AC867" s="312">
        <v>0</v>
      </c>
      <c r="AD867" s="312">
        <v>0</v>
      </c>
      <c r="AE867" s="312">
        <v>0</v>
      </c>
      <c r="AF867" s="312">
        <v>0</v>
      </c>
      <c r="AG867" s="312">
        <v>0</v>
      </c>
      <c r="AH867" s="312">
        <v>0.34810000000000002</v>
      </c>
      <c r="AI867" s="312">
        <v>0.35870000000000002</v>
      </c>
      <c r="AJ867" s="312">
        <v>0.28510000000000002</v>
      </c>
      <c r="AK867" s="312">
        <v>0.30590000000000001</v>
      </c>
      <c r="AL867" s="312">
        <v>0.30480000000000002</v>
      </c>
      <c r="AM867" s="312">
        <v>0.4254</v>
      </c>
      <c r="AN867" s="312">
        <v>0.32550000000000001</v>
      </c>
      <c r="AO867" s="312">
        <v>0.39800000000000002</v>
      </c>
      <c r="AP867" s="312">
        <v>0.44969999999999999</v>
      </c>
      <c r="AQ867" s="312">
        <v>0</v>
      </c>
      <c r="AR867" s="312">
        <v>0</v>
      </c>
      <c r="AS867" s="312">
        <v>0</v>
      </c>
      <c r="AT867" s="312">
        <v>0.38440000000000002</v>
      </c>
      <c r="AU867" s="312">
        <v>0.43540000000000001</v>
      </c>
      <c r="AV867" s="312">
        <v>0.41239999999999999</v>
      </c>
      <c r="AW867" s="312">
        <v>0</v>
      </c>
      <c r="AX867" s="312">
        <v>0</v>
      </c>
      <c r="AY867" s="312">
        <v>0.39419999999999999</v>
      </c>
      <c r="AZ867" s="312">
        <v>0.43709999999999999</v>
      </c>
      <c r="BA867" s="312">
        <v>0</v>
      </c>
      <c r="BB867" s="312">
        <v>0</v>
      </c>
      <c r="BC867" s="312">
        <v>0.4224</v>
      </c>
      <c r="BD867" s="312">
        <v>0.4486</v>
      </c>
      <c r="BE867" s="312">
        <v>0.51819999999999999</v>
      </c>
      <c r="BF867" s="312">
        <v>0.4224</v>
      </c>
      <c r="BG867" s="312">
        <v>0.4647</v>
      </c>
      <c r="BH867" s="312">
        <v>0.41020000000000001</v>
      </c>
      <c r="BI867" s="312">
        <v>0.44929999999999998</v>
      </c>
      <c r="BJ867" s="312">
        <v>0.39939999999999998</v>
      </c>
      <c r="BK867" s="312">
        <v>0.49759999999999999</v>
      </c>
      <c r="BM867">
        <f>(C867-C456)*1000000/(RIMS_emp!C867-RIMS_emp!C456)</f>
        <v>37547.153259057806</v>
      </c>
    </row>
    <row r="868" spans="1:65" x14ac:dyDescent="0.25">
      <c r="A868" s="306">
        <v>311330</v>
      </c>
      <c r="B868" s="312" t="s">
        <v>35</v>
      </c>
      <c r="C868" s="312">
        <v>0.66120000000000001</v>
      </c>
      <c r="D868" s="312">
        <v>0.20039999999999999</v>
      </c>
      <c r="E868" s="312">
        <v>0.35139999999999999</v>
      </c>
      <c r="F868" s="312">
        <v>0.3453</v>
      </c>
      <c r="G868" s="312">
        <v>0.32450000000000001</v>
      </c>
      <c r="H868" s="312">
        <v>0.4546</v>
      </c>
      <c r="I868" s="312">
        <v>0.40210000000000001</v>
      </c>
      <c r="J868" s="312">
        <v>0.34289999999999998</v>
      </c>
      <c r="K868" s="312">
        <v>2.8199999999999999E-2</v>
      </c>
      <c r="L868" s="312">
        <v>0.23200000000000001</v>
      </c>
      <c r="M868" s="312">
        <v>0.35970000000000002</v>
      </c>
      <c r="N868" s="312">
        <v>0.43680000000000002</v>
      </c>
      <c r="O868" s="312">
        <v>0.32719999999999999</v>
      </c>
      <c r="P868" s="312">
        <v>0.28220000000000001</v>
      </c>
      <c r="Q868" s="312">
        <v>0.29880000000000001</v>
      </c>
      <c r="R868" s="312">
        <v>0.46300000000000002</v>
      </c>
      <c r="S868" s="312">
        <v>0.37130000000000002</v>
      </c>
      <c r="T868" s="312">
        <v>0.30059999999999998</v>
      </c>
      <c r="U868" s="312">
        <v>0.35670000000000002</v>
      </c>
      <c r="V868" s="312">
        <v>0.36559999999999998</v>
      </c>
      <c r="W868" s="312">
        <v>0.372</v>
      </c>
      <c r="X868" s="312">
        <v>0.2969</v>
      </c>
      <c r="Y868" s="312">
        <v>0.34150000000000003</v>
      </c>
      <c r="Z868" s="312">
        <v>0.432</v>
      </c>
      <c r="AA868" s="312">
        <v>0.41049999999999998</v>
      </c>
      <c r="AB868" s="312">
        <v>0.37180000000000002</v>
      </c>
      <c r="AC868" s="312">
        <v>0.30149999999999999</v>
      </c>
      <c r="AD868" s="312">
        <v>0.24940000000000001</v>
      </c>
      <c r="AE868" s="312">
        <v>0.38690000000000002</v>
      </c>
      <c r="AF868" s="312">
        <v>0.23849999999999999</v>
      </c>
      <c r="AG868" s="312">
        <v>0.27960000000000002</v>
      </c>
      <c r="AH868" s="312">
        <v>0.34089999999999998</v>
      </c>
      <c r="AI868" s="312">
        <v>0.36830000000000002</v>
      </c>
      <c r="AJ868" s="312">
        <v>0.26240000000000002</v>
      </c>
      <c r="AK868" s="312">
        <v>0.30399999999999999</v>
      </c>
      <c r="AL868" s="312">
        <v>0.3085</v>
      </c>
      <c r="AM868" s="312">
        <v>0.44109999999999999</v>
      </c>
      <c r="AN868" s="312">
        <v>0</v>
      </c>
      <c r="AO868" s="312">
        <v>0.376</v>
      </c>
      <c r="AP868" s="312">
        <v>0.45600000000000002</v>
      </c>
      <c r="AQ868" s="312">
        <v>0.31259999999999999</v>
      </c>
      <c r="AR868" s="312">
        <v>0.34820000000000001</v>
      </c>
      <c r="AS868" s="312">
        <v>0.22720000000000001</v>
      </c>
      <c r="AT868" s="312">
        <v>0.39300000000000002</v>
      </c>
      <c r="AU868" s="312">
        <v>0.41310000000000002</v>
      </c>
      <c r="AV868" s="312">
        <v>0.40579999999999999</v>
      </c>
      <c r="AW868" s="312">
        <v>0.36220000000000002</v>
      </c>
      <c r="AX868" s="312">
        <v>0.24560000000000001</v>
      </c>
      <c r="AY868" s="312">
        <v>0.37809999999999999</v>
      </c>
      <c r="AZ868" s="312">
        <v>0.43630000000000002</v>
      </c>
      <c r="BA868" s="312">
        <v>0.2462</v>
      </c>
      <c r="BB868" s="312">
        <v>0.21609999999999999</v>
      </c>
      <c r="BC868" s="312">
        <v>0.4269</v>
      </c>
      <c r="BD868" s="312">
        <v>0.45169999999999999</v>
      </c>
      <c r="BE868" s="312">
        <v>0.5101</v>
      </c>
      <c r="BF868" s="312">
        <v>0.41149999999999998</v>
      </c>
      <c r="BG868" s="312">
        <v>0.45519999999999999</v>
      </c>
      <c r="BH868" s="312">
        <v>0.40600000000000003</v>
      </c>
      <c r="BI868" s="312">
        <v>0.43</v>
      </c>
      <c r="BJ868" s="312">
        <v>0.37759999999999999</v>
      </c>
      <c r="BK868" s="312">
        <v>0.46260000000000001</v>
      </c>
      <c r="BM868">
        <f>(C868-C457)*1000000/(RIMS_emp!C868-RIMS_emp!C457)</f>
        <v>37541.306558210475</v>
      </c>
    </row>
    <row r="869" spans="1:65" x14ac:dyDescent="0.25">
      <c r="A869" s="306">
        <v>311340</v>
      </c>
      <c r="B869" s="312" t="s">
        <v>36</v>
      </c>
      <c r="C869" s="312">
        <v>0.75049999999999994</v>
      </c>
      <c r="D869" s="312">
        <v>0.2344</v>
      </c>
      <c r="E869" s="312">
        <v>0.41889999999999999</v>
      </c>
      <c r="F869" s="312">
        <v>0.4148</v>
      </c>
      <c r="G869" s="312">
        <v>0.36370000000000002</v>
      </c>
      <c r="H869" s="312">
        <v>0.47639999999999999</v>
      </c>
      <c r="I869" s="312">
        <v>0.44400000000000001</v>
      </c>
      <c r="J869" s="312">
        <v>0.39100000000000001</v>
      </c>
      <c r="K869" s="312">
        <v>0</v>
      </c>
      <c r="L869" s="312">
        <v>0.28420000000000001</v>
      </c>
      <c r="M869" s="312">
        <v>0.40129999999999999</v>
      </c>
      <c r="N869" s="312">
        <v>0.51380000000000003</v>
      </c>
      <c r="O869" s="312">
        <v>0.35570000000000002</v>
      </c>
      <c r="P869" s="312">
        <v>0.34789999999999999</v>
      </c>
      <c r="Q869" s="312">
        <v>0.33129999999999998</v>
      </c>
      <c r="R869" s="312">
        <v>0.54910000000000003</v>
      </c>
      <c r="S869" s="312">
        <v>0.45660000000000001</v>
      </c>
      <c r="T869" s="312">
        <v>0.35299999999999998</v>
      </c>
      <c r="U869" s="312">
        <v>0.42680000000000001</v>
      </c>
      <c r="V869" s="312">
        <v>0.42980000000000002</v>
      </c>
      <c r="W869" s="312">
        <v>0.41799999999999998</v>
      </c>
      <c r="X869" s="312">
        <v>0.34200000000000003</v>
      </c>
      <c r="Y869" s="312">
        <v>0.38250000000000001</v>
      </c>
      <c r="Z869" s="312">
        <v>0.46700000000000003</v>
      </c>
      <c r="AA869" s="312">
        <v>0.49320000000000003</v>
      </c>
      <c r="AB869" s="312">
        <v>0.4637</v>
      </c>
      <c r="AC869" s="312">
        <v>0.36480000000000001</v>
      </c>
      <c r="AD869" s="312">
        <v>0.29709999999999998</v>
      </c>
      <c r="AE869" s="312">
        <v>0.45500000000000002</v>
      </c>
      <c r="AF869" s="312">
        <v>0</v>
      </c>
      <c r="AG869" s="312">
        <v>0.33539999999999998</v>
      </c>
      <c r="AH869" s="312">
        <v>0.36770000000000003</v>
      </c>
      <c r="AI869" s="312">
        <v>0.42570000000000002</v>
      </c>
      <c r="AJ869" s="312">
        <v>0.2868</v>
      </c>
      <c r="AK869" s="312">
        <v>0.34350000000000003</v>
      </c>
      <c r="AL869" s="312">
        <v>0.3458</v>
      </c>
      <c r="AM869" s="312">
        <v>0.52449999999999997</v>
      </c>
      <c r="AN869" s="312">
        <v>0.37619999999999998</v>
      </c>
      <c r="AO869" s="312">
        <v>0.40789999999999998</v>
      </c>
      <c r="AP869" s="312">
        <v>0.48570000000000002</v>
      </c>
      <c r="AQ869" s="312">
        <v>0</v>
      </c>
      <c r="AR869" s="312">
        <v>0.41060000000000002</v>
      </c>
      <c r="AS869" s="312">
        <v>0.2742</v>
      </c>
      <c r="AT869" s="312">
        <v>0.45639999999999997</v>
      </c>
      <c r="AU869" s="312">
        <v>0.4793</v>
      </c>
      <c r="AV869" s="312">
        <v>0.44059999999999999</v>
      </c>
      <c r="AW869" s="312">
        <v>0.41260000000000002</v>
      </c>
      <c r="AX869" s="312">
        <v>0.27139999999999997</v>
      </c>
      <c r="AY869" s="312">
        <v>0.41720000000000002</v>
      </c>
      <c r="AZ869" s="312">
        <v>0.4607</v>
      </c>
      <c r="BA869" s="312">
        <v>0.29499999999999998</v>
      </c>
      <c r="BB869" s="312">
        <v>0.2535</v>
      </c>
      <c r="BC869" s="312">
        <v>0.4657</v>
      </c>
      <c r="BD869" s="312">
        <v>0.4904</v>
      </c>
      <c r="BE869" s="312">
        <v>0.58599999999999997</v>
      </c>
      <c r="BF869" s="312">
        <v>0.49840000000000001</v>
      </c>
      <c r="BG869" s="312">
        <v>0.51719999999999999</v>
      </c>
      <c r="BH869" s="312">
        <v>0.49099999999999999</v>
      </c>
      <c r="BI869" s="312">
        <v>0.50880000000000003</v>
      </c>
      <c r="BJ869" s="312">
        <v>0.41699999999999998</v>
      </c>
      <c r="BK869" s="312">
        <v>0.48320000000000002</v>
      </c>
      <c r="BM869">
        <f>(C869-C458)*1000000/(RIMS_emp!C869-RIMS_emp!C458)</f>
        <v>37538.840522912389</v>
      </c>
    </row>
    <row r="870" spans="1:65" x14ac:dyDescent="0.25">
      <c r="A870" s="306">
        <v>311410</v>
      </c>
      <c r="B870" s="312" t="s">
        <v>37</v>
      </c>
      <c r="C870" s="312">
        <v>0.75880000000000003</v>
      </c>
      <c r="D870" s="312">
        <v>0</v>
      </c>
      <c r="E870" s="312">
        <v>0</v>
      </c>
      <c r="F870" s="312">
        <v>0.43880000000000002</v>
      </c>
      <c r="G870" s="312">
        <v>0.36430000000000001</v>
      </c>
      <c r="H870" s="312">
        <v>0.48949999999999999</v>
      </c>
      <c r="I870" s="312">
        <v>0.4914</v>
      </c>
      <c r="J870" s="312">
        <v>0.33989999999999998</v>
      </c>
      <c r="K870" s="312">
        <v>0</v>
      </c>
      <c r="L870" s="312">
        <v>0.29110000000000003</v>
      </c>
      <c r="M870" s="312">
        <v>0.40379999999999999</v>
      </c>
      <c r="N870" s="312">
        <v>0.49099999999999999</v>
      </c>
      <c r="O870" s="312">
        <v>0.34050000000000002</v>
      </c>
      <c r="P870" s="312">
        <v>0.36380000000000001</v>
      </c>
      <c r="Q870" s="312">
        <v>0.39419999999999999</v>
      </c>
      <c r="R870" s="312">
        <v>0.51080000000000003</v>
      </c>
      <c r="S870" s="312">
        <v>0.42830000000000001</v>
      </c>
      <c r="T870" s="312">
        <v>0.3574</v>
      </c>
      <c r="U870" s="312">
        <v>0.44240000000000002</v>
      </c>
      <c r="V870" s="312">
        <v>0.40279999999999999</v>
      </c>
      <c r="W870" s="312">
        <v>0.371</v>
      </c>
      <c r="X870" s="312">
        <v>0.3165</v>
      </c>
      <c r="Y870" s="312">
        <v>0.4027</v>
      </c>
      <c r="Z870" s="312">
        <v>0.48149999999999998</v>
      </c>
      <c r="AA870" s="312">
        <v>0.52569999999999995</v>
      </c>
      <c r="AB870" s="312">
        <v>0.47510000000000002</v>
      </c>
      <c r="AC870" s="312">
        <v>0.3861</v>
      </c>
      <c r="AD870" s="312">
        <v>0</v>
      </c>
      <c r="AE870" s="312">
        <v>0.45079999999999998</v>
      </c>
      <c r="AF870" s="312">
        <v>0.29970000000000002</v>
      </c>
      <c r="AG870" s="312">
        <v>0.3473</v>
      </c>
      <c r="AH870" s="312">
        <v>0.3155</v>
      </c>
      <c r="AI870" s="312">
        <v>0.38840000000000002</v>
      </c>
      <c r="AJ870" s="312">
        <v>0.33090000000000003</v>
      </c>
      <c r="AK870" s="312">
        <v>0.32250000000000001</v>
      </c>
      <c r="AL870" s="312">
        <v>0.3301</v>
      </c>
      <c r="AM870" s="312">
        <v>0.49180000000000001</v>
      </c>
      <c r="AN870" s="312">
        <v>0.40050000000000002</v>
      </c>
      <c r="AO870" s="312">
        <v>0.44750000000000001</v>
      </c>
      <c r="AP870" s="312">
        <v>0.48120000000000002</v>
      </c>
      <c r="AQ870" s="312">
        <v>0.31740000000000002</v>
      </c>
      <c r="AR870" s="312">
        <v>0.42</v>
      </c>
      <c r="AS870" s="312">
        <v>0.30549999999999999</v>
      </c>
      <c r="AT870" s="312">
        <v>0.45079999999999998</v>
      </c>
      <c r="AU870" s="312">
        <v>0.4773</v>
      </c>
      <c r="AV870" s="312">
        <v>0.48580000000000001</v>
      </c>
      <c r="AW870" s="312">
        <v>0.39079999999999998</v>
      </c>
      <c r="AX870" s="312">
        <v>0.28320000000000001</v>
      </c>
      <c r="AY870" s="312">
        <v>0.44490000000000002</v>
      </c>
      <c r="AZ870" s="312">
        <v>0.51919999999999999</v>
      </c>
      <c r="BA870" s="312">
        <v>0.27610000000000001</v>
      </c>
      <c r="BB870" s="312">
        <v>0</v>
      </c>
      <c r="BC870" s="312">
        <v>0.41649999999999998</v>
      </c>
      <c r="BD870" s="312">
        <v>0.45269999999999999</v>
      </c>
      <c r="BE870" s="312">
        <v>0.5635</v>
      </c>
      <c r="BF870" s="312">
        <v>0.51939999999999997</v>
      </c>
      <c r="BG870" s="312">
        <v>0.5081</v>
      </c>
      <c r="BH870" s="312">
        <v>0.48039999999999999</v>
      </c>
      <c r="BI870" s="312">
        <v>0.5202</v>
      </c>
      <c r="BJ870" s="312">
        <v>0.48320000000000002</v>
      </c>
      <c r="BK870" s="312">
        <v>0.49959999999999999</v>
      </c>
      <c r="BM870">
        <f>(C870-C459)*1000000/(RIMS_emp!C870-RIMS_emp!C459)</f>
        <v>37546.205922664791</v>
      </c>
    </row>
    <row r="871" spans="1:65" x14ac:dyDescent="0.25">
      <c r="A871" s="306">
        <v>311420</v>
      </c>
      <c r="B871" s="312" t="s">
        <v>38</v>
      </c>
      <c r="C871" s="312">
        <v>0.67030000000000001</v>
      </c>
      <c r="D871" s="312">
        <v>0</v>
      </c>
      <c r="E871" s="312">
        <v>0.3503</v>
      </c>
      <c r="F871" s="312">
        <v>0.37530000000000002</v>
      </c>
      <c r="G871" s="312">
        <v>0.33950000000000002</v>
      </c>
      <c r="H871" s="312">
        <v>0.45960000000000001</v>
      </c>
      <c r="I871" s="312">
        <v>0.42530000000000001</v>
      </c>
      <c r="J871" s="312">
        <v>0.32650000000000001</v>
      </c>
      <c r="K871" s="312">
        <v>0</v>
      </c>
      <c r="L871" s="312">
        <v>0.2379</v>
      </c>
      <c r="M871" s="312">
        <v>0.3856</v>
      </c>
      <c r="N871" s="312">
        <v>0.45600000000000002</v>
      </c>
      <c r="O871" s="312">
        <v>0.32969999999999999</v>
      </c>
      <c r="P871" s="312">
        <v>0.29659999999999997</v>
      </c>
      <c r="Q871" s="312">
        <v>0.31630000000000003</v>
      </c>
      <c r="R871" s="312">
        <v>0.46010000000000001</v>
      </c>
      <c r="S871" s="312">
        <v>0.39789999999999998</v>
      </c>
      <c r="T871" s="312">
        <v>0.29720000000000002</v>
      </c>
      <c r="U871" s="312">
        <v>0.36909999999999998</v>
      </c>
      <c r="V871" s="312">
        <v>0.3538</v>
      </c>
      <c r="W871" s="312">
        <v>0.35630000000000001</v>
      </c>
      <c r="X871" s="312">
        <v>0.30120000000000002</v>
      </c>
      <c r="Y871" s="312">
        <v>0.3548</v>
      </c>
      <c r="Z871" s="312">
        <v>0.43070000000000003</v>
      </c>
      <c r="AA871" s="312">
        <v>0.43919999999999998</v>
      </c>
      <c r="AB871" s="312">
        <v>0.40429999999999999</v>
      </c>
      <c r="AC871" s="312">
        <v>0.3206</v>
      </c>
      <c r="AD871" s="312">
        <v>0.249</v>
      </c>
      <c r="AE871" s="312">
        <v>0.4093</v>
      </c>
      <c r="AF871" s="312">
        <v>0.23480000000000001</v>
      </c>
      <c r="AG871" s="312">
        <v>0.2702</v>
      </c>
      <c r="AH871" s="312">
        <v>0.28539999999999999</v>
      </c>
      <c r="AI871" s="312">
        <v>0.39489999999999997</v>
      </c>
      <c r="AJ871" s="312">
        <v>0.28260000000000002</v>
      </c>
      <c r="AK871" s="312">
        <v>0.30320000000000003</v>
      </c>
      <c r="AL871" s="312">
        <v>0.30549999999999999</v>
      </c>
      <c r="AM871" s="312">
        <v>0.46360000000000001</v>
      </c>
      <c r="AN871" s="312">
        <v>0.34139999999999998</v>
      </c>
      <c r="AO871" s="312">
        <v>0.40100000000000002</v>
      </c>
      <c r="AP871" s="312">
        <v>0.46110000000000001</v>
      </c>
      <c r="AQ871" s="312">
        <v>0.30740000000000001</v>
      </c>
      <c r="AR871" s="312">
        <v>0.36749999999999999</v>
      </c>
      <c r="AS871" s="312">
        <v>0</v>
      </c>
      <c r="AT871" s="312">
        <v>0.39350000000000002</v>
      </c>
      <c r="AU871" s="312">
        <v>0.41389999999999999</v>
      </c>
      <c r="AV871" s="312">
        <v>0.39939999999999998</v>
      </c>
      <c r="AW871" s="312">
        <v>0.36620000000000003</v>
      </c>
      <c r="AX871" s="312">
        <v>0.25790000000000002</v>
      </c>
      <c r="AY871" s="312">
        <v>0.40500000000000003</v>
      </c>
      <c r="AZ871" s="312">
        <v>0.44180000000000003</v>
      </c>
      <c r="BA871" s="312">
        <v>0.25690000000000002</v>
      </c>
      <c r="BB871" s="312">
        <v>0</v>
      </c>
      <c r="BC871" s="312">
        <v>0.39779999999999999</v>
      </c>
      <c r="BD871" s="312">
        <v>0.44400000000000001</v>
      </c>
      <c r="BE871" s="312">
        <v>0.51049999999999995</v>
      </c>
      <c r="BF871" s="312">
        <v>0.42959999999999998</v>
      </c>
      <c r="BG871" s="312">
        <v>0.48110000000000003</v>
      </c>
      <c r="BH871" s="312">
        <v>0.42230000000000001</v>
      </c>
      <c r="BI871" s="312">
        <v>0.44190000000000002</v>
      </c>
      <c r="BJ871" s="312">
        <v>0.41270000000000001</v>
      </c>
      <c r="BK871" s="312">
        <v>0.4647</v>
      </c>
      <c r="BM871">
        <f>(C871-C460)*1000000/(RIMS_emp!C871-RIMS_emp!C460)</f>
        <v>37533.890203576302</v>
      </c>
    </row>
    <row r="872" spans="1:65" x14ac:dyDescent="0.25">
      <c r="A872" s="306">
        <v>311513</v>
      </c>
      <c r="B872" s="312" t="s">
        <v>40</v>
      </c>
      <c r="C872" s="312">
        <v>0.78720000000000001</v>
      </c>
      <c r="D872" s="312">
        <v>0</v>
      </c>
      <c r="E872" s="312">
        <v>0.28749999999999998</v>
      </c>
      <c r="F872" s="312">
        <v>0.2878</v>
      </c>
      <c r="G872" s="312">
        <v>0</v>
      </c>
      <c r="H872" s="312">
        <v>0.57589999999999997</v>
      </c>
      <c r="I872" s="312">
        <v>0.53480000000000005</v>
      </c>
      <c r="J872" s="312">
        <v>0.27029999999999998</v>
      </c>
      <c r="K872" s="312">
        <v>0</v>
      </c>
      <c r="L872" s="312">
        <v>0</v>
      </c>
      <c r="M872" s="312">
        <v>0.30159999999999998</v>
      </c>
      <c r="N872" s="312">
        <v>0.3604</v>
      </c>
      <c r="O872" s="312">
        <v>0.247</v>
      </c>
      <c r="P872" s="312">
        <v>0.42709999999999998</v>
      </c>
      <c r="Q872" s="312">
        <v>0.46279999999999999</v>
      </c>
      <c r="R872" s="312">
        <v>0.41170000000000001</v>
      </c>
      <c r="S872" s="312">
        <v>0.46739999999999998</v>
      </c>
      <c r="T872" s="312">
        <v>0</v>
      </c>
      <c r="U872" s="312">
        <v>0.40579999999999999</v>
      </c>
      <c r="V872" s="312">
        <v>0.29909999999999998</v>
      </c>
      <c r="W872" s="312">
        <v>0.27300000000000002</v>
      </c>
      <c r="X872" s="312">
        <v>0.2717</v>
      </c>
      <c r="Y872" s="312">
        <v>0.39789999999999998</v>
      </c>
      <c r="Z872" s="312">
        <v>0.4924</v>
      </c>
      <c r="AA872" s="312">
        <v>0.56559999999999999</v>
      </c>
      <c r="AB872" s="312">
        <v>0.4375</v>
      </c>
      <c r="AC872" s="312">
        <v>0</v>
      </c>
      <c r="AD872" s="312">
        <v>0</v>
      </c>
      <c r="AE872" s="312">
        <v>0.33850000000000002</v>
      </c>
      <c r="AF872" s="312">
        <v>0.29770000000000002</v>
      </c>
      <c r="AG872" s="312">
        <v>0.33579999999999999</v>
      </c>
      <c r="AH872" s="312">
        <v>0</v>
      </c>
      <c r="AI872" s="312">
        <v>0.30259999999999998</v>
      </c>
      <c r="AJ872" s="312">
        <v>0.43330000000000002</v>
      </c>
      <c r="AK872" s="312">
        <v>0</v>
      </c>
      <c r="AL872" s="312">
        <v>0.35820000000000002</v>
      </c>
      <c r="AM872" s="312">
        <v>0.49959999999999999</v>
      </c>
      <c r="AN872" s="312">
        <v>0.33660000000000001</v>
      </c>
      <c r="AO872" s="312">
        <v>0.49480000000000002</v>
      </c>
      <c r="AP872" s="312">
        <v>0.56000000000000005</v>
      </c>
      <c r="AQ872" s="312">
        <v>0.25059999999999999</v>
      </c>
      <c r="AR872" s="312">
        <v>0.29110000000000003</v>
      </c>
      <c r="AS872" s="312">
        <v>0.38790000000000002</v>
      </c>
      <c r="AT872" s="312">
        <v>0.34689999999999999</v>
      </c>
      <c r="AU872" s="312">
        <v>0.40910000000000002</v>
      </c>
      <c r="AV872" s="312">
        <v>0.5857</v>
      </c>
      <c r="AW872" s="312">
        <v>0</v>
      </c>
      <c r="AX872" s="312">
        <v>0.42720000000000002</v>
      </c>
      <c r="AY872" s="312">
        <v>0.44040000000000001</v>
      </c>
      <c r="AZ872" s="312">
        <v>0.5585</v>
      </c>
      <c r="BA872" s="312">
        <v>0</v>
      </c>
      <c r="BB872" s="312">
        <v>0</v>
      </c>
      <c r="BC872" s="312">
        <v>0.36370000000000002</v>
      </c>
      <c r="BD872" s="312">
        <v>0.47839999999999999</v>
      </c>
      <c r="BE872" s="312">
        <v>0.64190000000000003</v>
      </c>
      <c r="BF872" s="312">
        <v>0.58009999999999995</v>
      </c>
      <c r="BG872" s="312">
        <v>0.36370000000000002</v>
      </c>
      <c r="BH872" s="312">
        <v>0.3715</v>
      </c>
      <c r="BI872" s="312">
        <v>0.40839999999999999</v>
      </c>
      <c r="BJ872" s="312">
        <v>0.57240000000000002</v>
      </c>
      <c r="BK872" s="312">
        <v>0.58330000000000004</v>
      </c>
      <c r="BM872">
        <f>(C872-C461)*1000000/(RIMS_emp!C872-RIMS_emp!C461)</f>
        <v>37537.196920161732</v>
      </c>
    </row>
    <row r="873" spans="1:65" x14ac:dyDescent="0.25">
      <c r="A873" s="306">
        <v>311514</v>
      </c>
      <c r="B873" s="312" t="s">
        <v>41</v>
      </c>
      <c r="C873" s="312">
        <v>0.73660000000000003</v>
      </c>
      <c r="D873" s="312">
        <v>0</v>
      </c>
      <c r="E873" s="312">
        <v>0</v>
      </c>
      <c r="F873" s="312">
        <v>0.3165</v>
      </c>
      <c r="G873" s="312">
        <v>0.41099999999999998</v>
      </c>
      <c r="H873" s="312">
        <v>0.50739999999999996</v>
      </c>
      <c r="I873" s="312">
        <v>0.4556</v>
      </c>
      <c r="J873" s="312">
        <v>0</v>
      </c>
      <c r="K873" s="312">
        <v>0</v>
      </c>
      <c r="L873" s="312">
        <v>0</v>
      </c>
      <c r="M873" s="312">
        <v>0.31969999999999998</v>
      </c>
      <c r="N873" s="312">
        <v>0.38850000000000001</v>
      </c>
      <c r="O873" s="312">
        <v>0</v>
      </c>
      <c r="P873" s="312">
        <v>0.38700000000000001</v>
      </c>
      <c r="Q873" s="312">
        <v>0.39029999999999998</v>
      </c>
      <c r="R873" s="312">
        <v>0.43859999999999999</v>
      </c>
      <c r="S873" s="312">
        <v>0.4531</v>
      </c>
      <c r="T873" s="312">
        <v>0.36380000000000001</v>
      </c>
      <c r="U873" s="312">
        <v>0.39879999999999999</v>
      </c>
      <c r="V873" s="312">
        <v>0.33110000000000001</v>
      </c>
      <c r="W873" s="312">
        <v>0.308</v>
      </c>
      <c r="X873" s="312">
        <v>0.28810000000000002</v>
      </c>
      <c r="Y873" s="312">
        <v>0</v>
      </c>
      <c r="Z873" s="312">
        <v>0.48830000000000001</v>
      </c>
      <c r="AA873" s="312">
        <v>0.5161</v>
      </c>
      <c r="AB873" s="312">
        <v>0.42220000000000002</v>
      </c>
      <c r="AC873" s="312">
        <v>0</v>
      </c>
      <c r="AD873" s="312">
        <v>0</v>
      </c>
      <c r="AE873" s="312">
        <v>0</v>
      </c>
      <c r="AF873" s="312">
        <v>0</v>
      </c>
      <c r="AG873" s="312">
        <v>0.31530000000000002</v>
      </c>
      <c r="AH873" s="312">
        <v>0</v>
      </c>
      <c r="AI873" s="312">
        <v>0.33100000000000002</v>
      </c>
      <c r="AJ873" s="312">
        <v>0.35</v>
      </c>
      <c r="AK873" s="312">
        <v>0</v>
      </c>
      <c r="AL873" s="312">
        <v>0.33239999999999997</v>
      </c>
      <c r="AM873" s="312">
        <v>0.50819999999999999</v>
      </c>
      <c r="AN873" s="312">
        <v>0.35020000000000001</v>
      </c>
      <c r="AO873" s="312">
        <v>0.42680000000000001</v>
      </c>
      <c r="AP873" s="312">
        <v>0.49790000000000001</v>
      </c>
      <c r="AQ873" s="312">
        <v>0</v>
      </c>
      <c r="AR873" s="312">
        <v>0</v>
      </c>
      <c r="AS873" s="312">
        <v>0.3241</v>
      </c>
      <c r="AT873" s="312">
        <v>0.38990000000000002</v>
      </c>
      <c r="AU873" s="312">
        <v>0.435</v>
      </c>
      <c r="AV873" s="312">
        <v>0.51700000000000002</v>
      </c>
      <c r="AW873" s="312">
        <v>0.3664</v>
      </c>
      <c r="AX873" s="312">
        <v>0.35680000000000001</v>
      </c>
      <c r="AY873" s="312">
        <v>0.4536</v>
      </c>
      <c r="AZ873" s="312">
        <v>0.50180000000000002</v>
      </c>
      <c r="BA873" s="312">
        <v>0</v>
      </c>
      <c r="BB873" s="312">
        <v>0</v>
      </c>
      <c r="BC873" s="312">
        <v>0.38900000000000001</v>
      </c>
      <c r="BD873" s="312">
        <v>0.45610000000000001</v>
      </c>
      <c r="BE873" s="312">
        <v>0.59760000000000002</v>
      </c>
      <c r="BF873" s="312">
        <v>0.5282</v>
      </c>
      <c r="BG873" s="312">
        <v>0.40570000000000001</v>
      </c>
      <c r="BH873" s="312">
        <v>0.41660000000000003</v>
      </c>
      <c r="BI873" s="312">
        <v>0.44069999999999998</v>
      </c>
      <c r="BJ873" s="312">
        <v>0.49059999999999998</v>
      </c>
      <c r="BK873" s="312">
        <v>0.51349999999999996</v>
      </c>
      <c r="BM873">
        <f>(C873-C462)*1000000/(RIMS_emp!C873-RIMS_emp!C462)</f>
        <v>37553.127763356839</v>
      </c>
    </row>
    <row r="874" spans="1:65" x14ac:dyDescent="0.25">
      <c r="A874" s="306" t="s">
        <v>706</v>
      </c>
      <c r="B874" s="312" t="s">
        <v>39</v>
      </c>
      <c r="C874" s="312">
        <v>0.71919999999999995</v>
      </c>
      <c r="D874" s="312">
        <v>0</v>
      </c>
      <c r="E874" s="312">
        <v>0.317</v>
      </c>
      <c r="F874" s="312">
        <v>0.30509999999999998</v>
      </c>
      <c r="G874" s="312">
        <v>0.41189999999999999</v>
      </c>
      <c r="H874" s="312">
        <v>0.51839999999999997</v>
      </c>
      <c r="I874" s="312">
        <v>0.48430000000000001</v>
      </c>
      <c r="J874" s="312">
        <v>0.28870000000000001</v>
      </c>
      <c r="K874" s="312">
        <v>0</v>
      </c>
      <c r="L874" s="312">
        <v>0.21249999999999999</v>
      </c>
      <c r="M874" s="312">
        <v>0.32340000000000002</v>
      </c>
      <c r="N874" s="312">
        <v>0.37309999999999999</v>
      </c>
      <c r="O874" s="312">
        <v>0.27429999999999999</v>
      </c>
      <c r="P874" s="312">
        <v>0.39739999999999998</v>
      </c>
      <c r="Q874" s="312">
        <v>0.40960000000000002</v>
      </c>
      <c r="R874" s="312">
        <v>0.40739999999999998</v>
      </c>
      <c r="S874" s="312">
        <v>0.4703</v>
      </c>
      <c r="T874" s="312">
        <v>0.38769999999999999</v>
      </c>
      <c r="U874" s="312">
        <v>0.39729999999999999</v>
      </c>
      <c r="V874" s="312">
        <v>0.3286</v>
      </c>
      <c r="W874" s="312">
        <v>0.3115</v>
      </c>
      <c r="X874" s="312">
        <v>0.29020000000000001</v>
      </c>
      <c r="Y874" s="312">
        <v>0.43490000000000001</v>
      </c>
      <c r="Z874" s="312">
        <v>0.49530000000000002</v>
      </c>
      <c r="AA874" s="312">
        <v>0.50800000000000001</v>
      </c>
      <c r="AB874" s="312">
        <v>0.39100000000000001</v>
      </c>
      <c r="AC874" s="312">
        <v>0.30109999999999998</v>
      </c>
      <c r="AD874" s="312">
        <v>0.31190000000000001</v>
      </c>
      <c r="AE874" s="312">
        <v>0.36299999999999999</v>
      </c>
      <c r="AF874" s="312">
        <v>0.31369999999999998</v>
      </c>
      <c r="AG874" s="312">
        <v>0.3342</v>
      </c>
      <c r="AH874" s="312">
        <v>0.31840000000000002</v>
      </c>
      <c r="AI874" s="312">
        <v>0.30709999999999998</v>
      </c>
      <c r="AJ874" s="312">
        <v>0.37709999999999999</v>
      </c>
      <c r="AK874" s="312">
        <v>0.30740000000000001</v>
      </c>
      <c r="AL874" s="312">
        <v>0.34699999999999998</v>
      </c>
      <c r="AM874" s="312">
        <v>0.4965</v>
      </c>
      <c r="AN874" s="312">
        <v>0.35630000000000001</v>
      </c>
      <c r="AO874" s="312">
        <v>0.44879999999999998</v>
      </c>
      <c r="AP874" s="312">
        <v>0.51719999999999999</v>
      </c>
      <c r="AQ874" s="312">
        <v>0.2656</v>
      </c>
      <c r="AR874" s="312">
        <v>0.31659999999999999</v>
      </c>
      <c r="AS874" s="312">
        <v>0.3382</v>
      </c>
      <c r="AT874" s="312">
        <v>0.36480000000000001</v>
      </c>
      <c r="AU874" s="312">
        <v>0.42370000000000002</v>
      </c>
      <c r="AV874" s="312">
        <v>0.52280000000000004</v>
      </c>
      <c r="AW874" s="312">
        <v>0.35260000000000002</v>
      </c>
      <c r="AX874" s="312">
        <v>0.37519999999999998</v>
      </c>
      <c r="AY874" s="312">
        <v>0.4723</v>
      </c>
      <c r="AZ874" s="312">
        <v>0.50029999999999997</v>
      </c>
      <c r="BA874" s="312">
        <v>0.24759999999999999</v>
      </c>
      <c r="BB874" s="312">
        <v>0.22559999999999999</v>
      </c>
      <c r="BC874" s="312">
        <v>0.39539999999999997</v>
      </c>
      <c r="BD874" s="312">
        <v>0.46579999999999999</v>
      </c>
      <c r="BE874" s="312">
        <v>0.58079999999999998</v>
      </c>
      <c r="BF874" s="312">
        <v>0.51849999999999996</v>
      </c>
      <c r="BG874" s="312">
        <v>0.39500000000000002</v>
      </c>
      <c r="BH874" s="312">
        <v>0.39200000000000002</v>
      </c>
      <c r="BI874" s="312">
        <v>0.4284</v>
      </c>
      <c r="BJ874" s="312">
        <v>0.50770000000000004</v>
      </c>
      <c r="BK874" s="312">
        <v>0.52659999999999996</v>
      </c>
      <c r="BM874">
        <f>(C874-C463)*1000000/(RIMS_emp!C874-RIMS_emp!C463)</f>
        <v>37536.331371317567</v>
      </c>
    </row>
    <row r="875" spans="1:65" x14ac:dyDescent="0.25">
      <c r="A875" s="306">
        <v>311520</v>
      </c>
      <c r="B875" s="312" t="s">
        <v>42</v>
      </c>
      <c r="C875" s="312">
        <v>0.72130000000000005</v>
      </c>
      <c r="D875" s="312">
        <v>0.20280000000000001</v>
      </c>
      <c r="E875" s="312">
        <v>0.38019999999999998</v>
      </c>
      <c r="F875" s="312">
        <v>0.36370000000000002</v>
      </c>
      <c r="G875" s="312">
        <v>0.34620000000000001</v>
      </c>
      <c r="H875" s="312">
        <v>0.49159999999999998</v>
      </c>
      <c r="I875" s="312">
        <v>0.44340000000000002</v>
      </c>
      <c r="J875" s="312">
        <v>0.3458</v>
      </c>
      <c r="K875" s="312">
        <v>0</v>
      </c>
      <c r="L875" s="312">
        <v>0</v>
      </c>
      <c r="M875" s="312">
        <v>0.36209999999999998</v>
      </c>
      <c r="N875" s="312">
        <v>0.43590000000000001</v>
      </c>
      <c r="O875" s="312">
        <v>0.3246</v>
      </c>
      <c r="P875" s="312">
        <v>0.3458</v>
      </c>
      <c r="Q875" s="312">
        <v>0</v>
      </c>
      <c r="R875" s="312">
        <v>0.47299999999999998</v>
      </c>
      <c r="S875" s="312">
        <v>0.43419999999999997</v>
      </c>
      <c r="T875" s="312">
        <v>0</v>
      </c>
      <c r="U875" s="312">
        <v>0.40770000000000001</v>
      </c>
      <c r="V875" s="312">
        <v>0</v>
      </c>
      <c r="W875" s="312">
        <v>0.39200000000000002</v>
      </c>
      <c r="X875" s="312">
        <v>0.3337</v>
      </c>
      <c r="Y875" s="312">
        <v>0.38140000000000002</v>
      </c>
      <c r="Z875" s="312">
        <v>0.47439999999999999</v>
      </c>
      <c r="AA875" s="312">
        <v>0.47570000000000001</v>
      </c>
      <c r="AB875" s="312">
        <v>0.4289</v>
      </c>
      <c r="AC875" s="312">
        <v>0.31969999999999998</v>
      </c>
      <c r="AD875" s="312">
        <v>0.27200000000000002</v>
      </c>
      <c r="AE875" s="312">
        <v>0.3962</v>
      </c>
      <c r="AF875" s="312">
        <v>0</v>
      </c>
      <c r="AG875" s="312">
        <v>0.30590000000000001</v>
      </c>
      <c r="AH875" s="312">
        <v>0.33179999999999998</v>
      </c>
      <c r="AI875" s="312">
        <v>0.38030000000000003</v>
      </c>
      <c r="AJ875" s="312">
        <v>0</v>
      </c>
      <c r="AK875" s="312">
        <v>0.3175</v>
      </c>
      <c r="AL875" s="312">
        <v>0.33550000000000002</v>
      </c>
      <c r="AM875" s="312">
        <v>0.51080000000000003</v>
      </c>
      <c r="AN875" s="312">
        <v>0.34300000000000003</v>
      </c>
      <c r="AO875" s="312">
        <v>0.41860000000000003</v>
      </c>
      <c r="AP875" s="312">
        <v>0.49890000000000001</v>
      </c>
      <c r="AQ875" s="312">
        <v>0.31069999999999998</v>
      </c>
      <c r="AR875" s="312">
        <v>0.36280000000000001</v>
      </c>
      <c r="AS875" s="312">
        <v>0.26979999999999998</v>
      </c>
      <c r="AT875" s="312">
        <v>0.41980000000000001</v>
      </c>
      <c r="AU875" s="312">
        <v>0.43880000000000002</v>
      </c>
      <c r="AV875" s="312">
        <v>0.4834</v>
      </c>
      <c r="AW875" s="312">
        <v>0.38679999999999998</v>
      </c>
      <c r="AX875" s="312">
        <v>0.30620000000000003</v>
      </c>
      <c r="AY875" s="312">
        <v>0.4158</v>
      </c>
      <c r="AZ875" s="312">
        <v>0.47810000000000002</v>
      </c>
      <c r="BA875" s="312">
        <v>0.25230000000000002</v>
      </c>
      <c r="BB875" s="312">
        <v>0</v>
      </c>
      <c r="BC875" s="312">
        <v>0.45019999999999999</v>
      </c>
      <c r="BD875" s="312">
        <v>0.47810000000000002</v>
      </c>
      <c r="BE875" s="312">
        <v>0.56969999999999998</v>
      </c>
      <c r="BF875" s="312">
        <v>0.48170000000000002</v>
      </c>
      <c r="BG875" s="312">
        <v>0.47439999999999999</v>
      </c>
      <c r="BH875" s="312">
        <v>0.45140000000000002</v>
      </c>
      <c r="BI875" s="312">
        <v>0.45800000000000002</v>
      </c>
      <c r="BJ875" s="312">
        <v>0.43459999999999999</v>
      </c>
      <c r="BK875" s="312">
        <v>0.49809999999999999</v>
      </c>
      <c r="BM875">
        <f>(C875-C464)*1000000/(RIMS_emp!C875-RIMS_emp!C464)</f>
        <v>37548.975341188809</v>
      </c>
    </row>
    <row r="876" spans="1:65" x14ac:dyDescent="0.25">
      <c r="A876" s="306">
        <v>311615</v>
      </c>
      <c r="B876" s="312" t="s">
        <v>44</v>
      </c>
      <c r="C876" s="312">
        <v>0.8911</v>
      </c>
      <c r="D876" s="312">
        <v>0.2397</v>
      </c>
      <c r="E876" s="312">
        <v>0.54479999999999995</v>
      </c>
      <c r="F876" s="312">
        <v>0.57320000000000004</v>
      </c>
      <c r="G876" s="312">
        <v>0.34010000000000001</v>
      </c>
      <c r="H876" s="312">
        <v>0.44140000000000001</v>
      </c>
      <c r="I876" s="312">
        <v>0.4516</v>
      </c>
      <c r="J876" s="312">
        <v>0.34</v>
      </c>
      <c r="K876" s="312">
        <v>0</v>
      </c>
      <c r="L876" s="312">
        <v>0.39219999999999999</v>
      </c>
      <c r="M876" s="312">
        <v>0.36749999999999999</v>
      </c>
      <c r="N876" s="312">
        <v>0.64529999999999998</v>
      </c>
      <c r="O876" s="312">
        <v>0.32390000000000002</v>
      </c>
      <c r="P876" s="312">
        <v>0.48599999999999999</v>
      </c>
      <c r="Q876" s="312">
        <v>0.312</v>
      </c>
      <c r="R876" s="312">
        <v>0.44140000000000001</v>
      </c>
      <c r="S876" s="312">
        <v>0.57379999999999998</v>
      </c>
      <c r="T876" s="312">
        <v>0.318</v>
      </c>
      <c r="U876" s="312">
        <v>0.58330000000000004</v>
      </c>
      <c r="V876" s="312">
        <v>0.54610000000000003</v>
      </c>
      <c r="W876" s="312">
        <v>0.35899999999999999</v>
      </c>
      <c r="X876" s="312">
        <v>0.42749999999999999</v>
      </c>
      <c r="Y876" s="312">
        <v>0.4647</v>
      </c>
      <c r="Z876" s="312">
        <v>0.4259</v>
      </c>
      <c r="AA876" s="312">
        <v>0.64480000000000004</v>
      </c>
      <c r="AB876" s="312">
        <v>0.62250000000000005</v>
      </c>
      <c r="AC876" s="312">
        <v>0.52910000000000001</v>
      </c>
      <c r="AD876" s="312">
        <v>0.27460000000000001</v>
      </c>
      <c r="AE876" s="312">
        <v>0.60160000000000002</v>
      </c>
      <c r="AF876" s="312">
        <v>0</v>
      </c>
      <c r="AG876" s="312">
        <v>0.38009999999999999</v>
      </c>
      <c r="AH876" s="312">
        <v>0</v>
      </c>
      <c r="AI876" s="312">
        <v>0.36320000000000002</v>
      </c>
      <c r="AJ876" s="312">
        <v>0.28370000000000001</v>
      </c>
      <c r="AK876" s="312">
        <v>0</v>
      </c>
      <c r="AL876" s="312">
        <v>0.31409999999999999</v>
      </c>
      <c r="AM876" s="312">
        <v>0.55000000000000004</v>
      </c>
      <c r="AN876" s="312">
        <v>0.56720000000000004</v>
      </c>
      <c r="AO876" s="312">
        <v>0.38340000000000002</v>
      </c>
      <c r="AP876" s="312">
        <v>0.5353</v>
      </c>
      <c r="AQ876" s="312">
        <v>0.32650000000000001</v>
      </c>
      <c r="AR876" s="312">
        <v>0.51119999999999999</v>
      </c>
      <c r="AS876" s="312">
        <v>0.40079999999999999</v>
      </c>
      <c r="AT876" s="312">
        <v>0.51249999999999996</v>
      </c>
      <c r="AU876" s="312">
        <v>0.54349999999999998</v>
      </c>
      <c r="AV876" s="312">
        <v>0.49199999999999999</v>
      </c>
      <c r="AW876" s="312">
        <v>0.52259999999999995</v>
      </c>
      <c r="AX876" s="312">
        <v>0</v>
      </c>
      <c r="AY876" s="312">
        <v>0.39760000000000001</v>
      </c>
      <c r="AZ876" s="312">
        <v>0.50560000000000005</v>
      </c>
      <c r="BA876" s="312">
        <v>0.40160000000000001</v>
      </c>
      <c r="BB876" s="312">
        <v>0</v>
      </c>
      <c r="BC876" s="312">
        <v>0.40489999999999998</v>
      </c>
      <c r="BD876" s="312">
        <v>0.43790000000000001</v>
      </c>
      <c r="BE876" s="312">
        <v>0.54990000000000006</v>
      </c>
      <c r="BF876" s="312">
        <v>0.65090000000000003</v>
      </c>
      <c r="BG876" s="312">
        <v>0.63949999999999996</v>
      </c>
      <c r="BH876" s="312">
        <v>0.63260000000000005</v>
      </c>
      <c r="BI876" s="312">
        <v>0.67630000000000001</v>
      </c>
      <c r="BJ876" s="312">
        <v>0.40589999999999998</v>
      </c>
      <c r="BK876" s="312">
        <v>0.44290000000000002</v>
      </c>
      <c r="BM876">
        <f>(C876-C465)*1000000/(RIMS_emp!C876-RIMS_emp!C465)</f>
        <v>37547.89272030651</v>
      </c>
    </row>
    <row r="877" spans="1:65" x14ac:dyDescent="0.25">
      <c r="A877" s="306" t="s">
        <v>707</v>
      </c>
      <c r="B877" s="312" t="s">
        <v>43</v>
      </c>
      <c r="C877" s="312">
        <v>0.77400000000000002</v>
      </c>
      <c r="D877" s="312">
        <v>0.19570000000000001</v>
      </c>
      <c r="E877" s="312">
        <v>0.36720000000000003</v>
      </c>
      <c r="F877" s="312">
        <v>0.50719999999999998</v>
      </c>
      <c r="G877" s="312">
        <v>0.34799999999999998</v>
      </c>
      <c r="H877" s="312">
        <v>0.34589999999999999</v>
      </c>
      <c r="I877" s="312">
        <v>0.59379999999999999</v>
      </c>
      <c r="J877" s="312">
        <v>0.2379</v>
      </c>
      <c r="K877" s="312">
        <v>0</v>
      </c>
      <c r="L877" s="312">
        <v>0.19170000000000001</v>
      </c>
      <c r="M877" s="312">
        <v>0.28489999999999999</v>
      </c>
      <c r="N877" s="312">
        <v>0.36599999999999999</v>
      </c>
      <c r="O877" s="312">
        <v>0.27100000000000002</v>
      </c>
      <c r="P877" s="312">
        <v>0.44969999999999999</v>
      </c>
      <c r="Q877" s="312">
        <v>0.47420000000000001</v>
      </c>
      <c r="R877" s="312">
        <v>0.44090000000000001</v>
      </c>
      <c r="S877" s="312">
        <v>0.40279999999999999</v>
      </c>
      <c r="T877" s="312">
        <v>0.47120000000000001</v>
      </c>
      <c r="U877" s="312">
        <v>0.53459999999999996</v>
      </c>
      <c r="V877" s="312">
        <v>0.32929999999999998</v>
      </c>
      <c r="W877" s="312">
        <v>0.2681</v>
      </c>
      <c r="X877" s="312">
        <v>0.23780000000000001</v>
      </c>
      <c r="Y877" s="312">
        <v>0.29299999999999998</v>
      </c>
      <c r="Z877" s="312">
        <v>0.37</v>
      </c>
      <c r="AA877" s="312">
        <v>0.57899999999999996</v>
      </c>
      <c r="AB877" s="312">
        <v>0.55359999999999998</v>
      </c>
      <c r="AC877" s="312">
        <v>0.39439999999999997</v>
      </c>
      <c r="AD877" s="312">
        <v>0.42859999999999998</v>
      </c>
      <c r="AE877" s="312">
        <v>0.4178</v>
      </c>
      <c r="AF877" s="312">
        <v>0.37819999999999998</v>
      </c>
      <c r="AG877" s="312">
        <v>0.44700000000000001</v>
      </c>
      <c r="AH877" s="312">
        <v>0.2366</v>
      </c>
      <c r="AI877" s="312">
        <v>0.2762</v>
      </c>
      <c r="AJ877" s="312">
        <v>0.37530000000000002</v>
      </c>
      <c r="AK877" s="312">
        <v>0.27150000000000002</v>
      </c>
      <c r="AL877" s="312">
        <v>0.2339</v>
      </c>
      <c r="AM877" s="312">
        <v>0.39589999999999997</v>
      </c>
      <c r="AN877" s="312">
        <v>0.53739999999999999</v>
      </c>
      <c r="AO877" s="312">
        <v>0.42949999999999999</v>
      </c>
      <c r="AP877" s="312">
        <v>0.39129999999999998</v>
      </c>
      <c r="AQ877" s="312">
        <v>0.2429</v>
      </c>
      <c r="AR877" s="312">
        <v>0.31159999999999999</v>
      </c>
      <c r="AS877" s="312">
        <v>0.40450000000000003</v>
      </c>
      <c r="AT877" s="312">
        <v>0.37709999999999999</v>
      </c>
      <c r="AU877" s="312">
        <v>0.58399999999999996</v>
      </c>
      <c r="AV877" s="312">
        <v>0.5081</v>
      </c>
      <c r="AW877" s="312">
        <v>0.3276</v>
      </c>
      <c r="AX877" s="312">
        <v>0.2621</v>
      </c>
      <c r="AY877" s="312">
        <v>0.3654</v>
      </c>
      <c r="AZ877" s="312">
        <v>0.49049999999999999</v>
      </c>
      <c r="BA877" s="312">
        <v>0.26729999999999998</v>
      </c>
      <c r="BB877" s="312">
        <v>0.3498</v>
      </c>
      <c r="BC877" s="312">
        <v>0.29339999999999999</v>
      </c>
      <c r="BD877" s="312">
        <v>0.32519999999999999</v>
      </c>
      <c r="BE877" s="312">
        <v>0.47010000000000002</v>
      </c>
      <c r="BF877" s="312">
        <v>0.58330000000000004</v>
      </c>
      <c r="BG877" s="312">
        <v>0.40379999999999999</v>
      </c>
      <c r="BH877" s="312">
        <v>0.48070000000000002</v>
      </c>
      <c r="BI877" s="312">
        <v>0.61599999999999999</v>
      </c>
      <c r="BJ877" s="312">
        <v>0.5464</v>
      </c>
      <c r="BK877" s="312">
        <v>0.36320000000000002</v>
      </c>
      <c r="BM877">
        <f>(C877-C466)*1000000/(RIMS_emp!C877-RIMS_emp!C466)</f>
        <v>37539.697619500017</v>
      </c>
    </row>
    <row r="878" spans="1:65" x14ac:dyDescent="0.25">
      <c r="A878" s="306">
        <v>311700</v>
      </c>
      <c r="B878" s="312" t="s">
        <v>45</v>
      </c>
      <c r="C878" s="312">
        <v>0.55769999999999997</v>
      </c>
      <c r="D878" s="312">
        <v>0.26769999999999999</v>
      </c>
      <c r="E878" s="312">
        <v>0.34920000000000001</v>
      </c>
      <c r="F878" s="312">
        <v>0.3256</v>
      </c>
      <c r="G878" s="312">
        <v>0</v>
      </c>
      <c r="H878" s="312">
        <v>0.3997</v>
      </c>
      <c r="I878" s="312">
        <v>0.40710000000000002</v>
      </c>
      <c r="J878" s="312">
        <v>0.32890000000000003</v>
      </c>
      <c r="K878" s="312">
        <v>0</v>
      </c>
      <c r="L878" s="312">
        <v>0.25030000000000002</v>
      </c>
      <c r="M878" s="312">
        <v>0.37369999999999998</v>
      </c>
      <c r="N878" s="312">
        <v>0.40250000000000002</v>
      </c>
      <c r="O878" s="312">
        <v>0.33729999999999999</v>
      </c>
      <c r="P878" s="312">
        <v>0.27129999999999999</v>
      </c>
      <c r="Q878" s="312">
        <v>0.31319999999999998</v>
      </c>
      <c r="R878" s="312">
        <v>0.41639999999999999</v>
      </c>
      <c r="S878" s="312">
        <v>0.33950000000000002</v>
      </c>
      <c r="T878" s="312">
        <v>0</v>
      </c>
      <c r="U878" s="312">
        <v>0.3276</v>
      </c>
      <c r="V878" s="312">
        <v>0.37190000000000001</v>
      </c>
      <c r="W878" s="312">
        <v>0.3821</v>
      </c>
      <c r="X878" s="312">
        <v>0.31940000000000002</v>
      </c>
      <c r="Y878" s="312">
        <v>0.36940000000000001</v>
      </c>
      <c r="Z878" s="312">
        <v>0.38669999999999999</v>
      </c>
      <c r="AA878" s="312">
        <v>0.38169999999999998</v>
      </c>
      <c r="AB878" s="312">
        <v>0</v>
      </c>
      <c r="AC878" s="312">
        <v>0.32219999999999999</v>
      </c>
      <c r="AD878" s="312">
        <v>0.28260000000000002</v>
      </c>
      <c r="AE878" s="312">
        <v>0.36299999999999999</v>
      </c>
      <c r="AF878" s="312">
        <v>0.24529999999999999</v>
      </c>
      <c r="AG878" s="312">
        <v>0.27929999999999999</v>
      </c>
      <c r="AH878" s="312">
        <v>0.32300000000000001</v>
      </c>
      <c r="AI878" s="312">
        <v>0.36299999999999999</v>
      </c>
      <c r="AJ878" s="312">
        <v>0</v>
      </c>
      <c r="AK878" s="312">
        <v>0.33250000000000002</v>
      </c>
      <c r="AL878" s="312">
        <v>0.30380000000000001</v>
      </c>
      <c r="AM878" s="312">
        <v>0.38869999999999999</v>
      </c>
      <c r="AN878" s="312">
        <v>0</v>
      </c>
      <c r="AO878" s="312">
        <v>0.37640000000000001</v>
      </c>
      <c r="AP878" s="312">
        <v>0.39279999999999998</v>
      </c>
      <c r="AQ878" s="312">
        <v>0.33660000000000001</v>
      </c>
      <c r="AR878" s="312">
        <v>0.33200000000000002</v>
      </c>
      <c r="AS878" s="312">
        <v>0</v>
      </c>
      <c r="AT878" s="312">
        <v>0</v>
      </c>
      <c r="AU878" s="312">
        <v>0.40849999999999997</v>
      </c>
      <c r="AV878" s="312">
        <v>0</v>
      </c>
      <c r="AW878" s="312">
        <v>0.36059999999999998</v>
      </c>
      <c r="AX878" s="312">
        <v>0</v>
      </c>
      <c r="AY878" s="312">
        <v>0.38829999999999998</v>
      </c>
      <c r="AZ878" s="312">
        <v>0.36349999999999999</v>
      </c>
      <c r="BA878" s="312">
        <v>0</v>
      </c>
      <c r="BB878" s="312">
        <v>0</v>
      </c>
      <c r="BC878" s="312">
        <v>0.42070000000000002</v>
      </c>
      <c r="BD878" s="312">
        <v>0.40050000000000002</v>
      </c>
      <c r="BE878" s="312">
        <v>0.42609999999999998</v>
      </c>
      <c r="BF878" s="312">
        <v>0.37240000000000001</v>
      </c>
      <c r="BG878" s="312">
        <v>0.43330000000000002</v>
      </c>
      <c r="BH878" s="312">
        <v>0.38519999999999999</v>
      </c>
      <c r="BI878" s="312">
        <v>0.42220000000000002</v>
      </c>
      <c r="BJ878" s="312">
        <v>0.3921</v>
      </c>
      <c r="BK878" s="312">
        <v>0.4325</v>
      </c>
      <c r="BM878">
        <f>(C878-C467)*1000000/(RIMS_emp!C878-RIMS_emp!C467)</f>
        <v>37537.905185240983</v>
      </c>
    </row>
    <row r="879" spans="1:65" x14ac:dyDescent="0.25">
      <c r="A879" s="306">
        <v>311810</v>
      </c>
      <c r="B879" s="312" t="s">
        <v>46</v>
      </c>
      <c r="C879" s="312">
        <v>0.9133</v>
      </c>
      <c r="D879" s="312">
        <v>0.39560000000000001</v>
      </c>
      <c r="E879" s="312">
        <v>0.54620000000000002</v>
      </c>
      <c r="F879" s="312">
        <v>0.55569999999999997</v>
      </c>
      <c r="G879" s="312">
        <v>0.57069999999999999</v>
      </c>
      <c r="H879" s="312">
        <v>0.67749999999999999</v>
      </c>
      <c r="I879" s="312">
        <v>0.68200000000000005</v>
      </c>
      <c r="J879" s="312">
        <v>0.53349999999999997</v>
      </c>
      <c r="K879" s="312">
        <v>6.9099999999999995E-2</v>
      </c>
      <c r="L879" s="312">
        <v>0.41139999999999999</v>
      </c>
      <c r="M879" s="312">
        <v>0.61029999999999995</v>
      </c>
      <c r="N879" s="312">
        <v>0.68289999999999995</v>
      </c>
      <c r="O879" s="312">
        <v>0.54910000000000003</v>
      </c>
      <c r="P879" s="312">
        <v>0.46510000000000001</v>
      </c>
      <c r="Q879" s="312">
        <v>0.51619999999999999</v>
      </c>
      <c r="R879" s="312">
        <v>0.72789999999999999</v>
      </c>
      <c r="S879" s="312">
        <v>0.59489999999999998</v>
      </c>
      <c r="T879" s="312">
        <v>0.50280000000000002</v>
      </c>
      <c r="U879" s="312">
        <v>0.55279999999999996</v>
      </c>
      <c r="V879" s="312">
        <v>0.58289999999999997</v>
      </c>
      <c r="W879" s="312">
        <v>0.59340000000000004</v>
      </c>
      <c r="X879" s="312">
        <v>0.51480000000000004</v>
      </c>
      <c r="Y879" s="312">
        <v>0.55110000000000003</v>
      </c>
      <c r="Z879" s="312">
        <v>0.66369999999999996</v>
      </c>
      <c r="AA879" s="312">
        <v>0.65769999999999995</v>
      </c>
      <c r="AB879" s="312">
        <v>0.61880000000000002</v>
      </c>
      <c r="AC879" s="312">
        <v>0.50839999999999996</v>
      </c>
      <c r="AD879" s="312">
        <v>0.47460000000000002</v>
      </c>
      <c r="AE879" s="312">
        <v>0.60960000000000003</v>
      </c>
      <c r="AF879" s="312">
        <v>0.41710000000000003</v>
      </c>
      <c r="AG879" s="312">
        <v>0.47339999999999999</v>
      </c>
      <c r="AH879" s="312">
        <v>0.52139999999999997</v>
      </c>
      <c r="AI879" s="312">
        <v>0.59230000000000005</v>
      </c>
      <c r="AJ879" s="312">
        <v>0.47220000000000001</v>
      </c>
      <c r="AK879" s="312">
        <v>0.54059999999999997</v>
      </c>
      <c r="AL879" s="312">
        <v>0.53149999999999997</v>
      </c>
      <c r="AM879" s="312">
        <v>0.67989999999999995</v>
      </c>
      <c r="AN879" s="312">
        <v>0.56410000000000005</v>
      </c>
      <c r="AO879" s="312">
        <v>0.60540000000000005</v>
      </c>
      <c r="AP879" s="312">
        <v>0.66239999999999999</v>
      </c>
      <c r="AQ879" s="312">
        <v>0.52</v>
      </c>
      <c r="AR879" s="312">
        <v>0.56389999999999996</v>
      </c>
      <c r="AS879" s="312">
        <v>0.37440000000000001</v>
      </c>
      <c r="AT879" s="312">
        <v>0.62050000000000005</v>
      </c>
      <c r="AU879" s="312">
        <v>0.66169999999999995</v>
      </c>
      <c r="AV879" s="312">
        <v>0.66839999999999999</v>
      </c>
      <c r="AW879" s="312">
        <v>0.58689999999999998</v>
      </c>
      <c r="AX879" s="312">
        <v>0.43959999999999999</v>
      </c>
      <c r="AY879" s="312">
        <v>0.60389999999999999</v>
      </c>
      <c r="AZ879" s="312">
        <v>0.62780000000000002</v>
      </c>
      <c r="BA879" s="312">
        <v>0.42459999999999998</v>
      </c>
      <c r="BB879" s="312">
        <v>0.40010000000000001</v>
      </c>
      <c r="BC879" s="312">
        <v>0.6421</v>
      </c>
      <c r="BD879" s="312">
        <v>0.68179999999999996</v>
      </c>
      <c r="BE879" s="312">
        <v>0.75360000000000005</v>
      </c>
      <c r="BF879" s="312">
        <v>0.65080000000000005</v>
      </c>
      <c r="BG879" s="312">
        <v>0.6986</v>
      </c>
      <c r="BH879" s="312">
        <v>0.63800000000000001</v>
      </c>
      <c r="BI879" s="312">
        <v>0.68510000000000004</v>
      </c>
      <c r="BJ879" s="312">
        <v>0.65410000000000001</v>
      </c>
      <c r="BK879" s="312">
        <v>0.6865</v>
      </c>
      <c r="BM879">
        <f>(C879-C468)*1000000/(RIMS_emp!C879-RIMS_emp!C468)</f>
        <v>37545.292459883822</v>
      </c>
    </row>
    <row r="880" spans="1:65" x14ac:dyDescent="0.25">
      <c r="A880" s="306">
        <v>311820</v>
      </c>
      <c r="B880" s="312" t="s">
        <v>47</v>
      </c>
      <c r="C880" s="312">
        <v>0.73619999999999997</v>
      </c>
      <c r="D880" s="312">
        <v>0</v>
      </c>
      <c r="E880" s="312">
        <v>0.3826</v>
      </c>
      <c r="F880" s="312">
        <v>0.41880000000000001</v>
      </c>
      <c r="G880" s="312">
        <v>0.36630000000000001</v>
      </c>
      <c r="H880" s="312">
        <v>0.49020000000000002</v>
      </c>
      <c r="I880" s="312">
        <v>0.47010000000000002</v>
      </c>
      <c r="J880" s="312">
        <v>0.36909999999999998</v>
      </c>
      <c r="K880" s="312">
        <v>3.5999999999999997E-2</v>
      </c>
      <c r="L880" s="312">
        <v>0</v>
      </c>
      <c r="M880" s="312">
        <v>0.41799999999999998</v>
      </c>
      <c r="N880" s="312">
        <v>0.51090000000000002</v>
      </c>
      <c r="O880" s="312">
        <v>0.35149999999999998</v>
      </c>
      <c r="P880" s="312">
        <v>0.3286</v>
      </c>
      <c r="Q880" s="312">
        <v>0.36220000000000002</v>
      </c>
      <c r="R880" s="312">
        <v>0.54830000000000001</v>
      </c>
      <c r="S880" s="312">
        <v>0.44790000000000002</v>
      </c>
      <c r="T880" s="312">
        <v>0.3574</v>
      </c>
      <c r="U880" s="312">
        <v>0.41339999999999999</v>
      </c>
      <c r="V880" s="312">
        <v>0.44059999999999999</v>
      </c>
      <c r="W880" s="312">
        <v>0.4113</v>
      </c>
      <c r="X880" s="312">
        <v>0.34910000000000002</v>
      </c>
      <c r="Y880" s="312">
        <v>0.36659999999999998</v>
      </c>
      <c r="Z880" s="312">
        <v>0.49519999999999997</v>
      </c>
      <c r="AA880" s="312">
        <v>0.50549999999999995</v>
      </c>
      <c r="AB880" s="312">
        <v>0.46939999999999998</v>
      </c>
      <c r="AC880" s="312">
        <v>0.3695</v>
      </c>
      <c r="AD880" s="312">
        <v>0.31430000000000002</v>
      </c>
      <c r="AE880" s="312">
        <v>0.45240000000000002</v>
      </c>
      <c r="AF880" s="312">
        <v>0.29559999999999997</v>
      </c>
      <c r="AG880" s="312">
        <v>0.34260000000000002</v>
      </c>
      <c r="AH880" s="312">
        <v>0.34300000000000003</v>
      </c>
      <c r="AI880" s="312">
        <v>0.41920000000000002</v>
      </c>
      <c r="AJ880" s="312">
        <v>0.29239999999999999</v>
      </c>
      <c r="AK880" s="312">
        <v>0.33550000000000002</v>
      </c>
      <c r="AL880" s="312">
        <v>0.35830000000000001</v>
      </c>
      <c r="AM880" s="312">
        <v>0.49909999999999999</v>
      </c>
      <c r="AN880" s="312">
        <v>0.39729999999999999</v>
      </c>
      <c r="AO880" s="312">
        <v>0.4456</v>
      </c>
      <c r="AP880" s="312">
        <v>0.48309999999999997</v>
      </c>
      <c r="AQ880" s="312">
        <v>0.34060000000000001</v>
      </c>
      <c r="AR880" s="312">
        <v>0.39939999999999998</v>
      </c>
      <c r="AS880" s="312">
        <v>0.25469999999999998</v>
      </c>
      <c r="AT880" s="312">
        <v>0.4612</v>
      </c>
      <c r="AU880" s="312">
        <v>0.48530000000000001</v>
      </c>
      <c r="AV880" s="312">
        <v>0.47489999999999999</v>
      </c>
      <c r="AW880" s="312">
        <v>0.40560000000000002</v>
      </c>
      <c r="AX880" s="312">
        <v>0.26590000000000003</v>
      </c>
      <c r="AY880" s="312">
        <v>0.42309999999999998</v>
      </c>
      <c r="AZ880" s="312">
        <v>0.47520000000000001</v>
      </c>
      <c r="BA880" s="312">
        <v>0.26529999999999998</v>
      </c>
      <c r="BB880" s="312">
        <v>0</v>
      </c>
      <c r="BC880" s="312">
        <v>0.44869999999999999</v>
      </c>
      <c r="BD880" s="312">
        <v>0.4889</v>
      </c>
      <c r="BE880" s="312">
        <v>0.58179999999999998</v>
      </c>
      <c r="BF880" s="312">
        <v>0.49880000000000002</v>
      </c>
      <c r="BG880" s="312">
        <v>0.51500000000000001</v>
      </c>
      <c r="BH880" s="312">
        <v>0.48249999999999998</v>
      </c>
      <c r="BI880" s="312">
        <v>0.51819999999999999</v>
      </c>
      <c r="BJ880" s="312">
        <v>0.45279999999999998</v>
      </c>
      <c r="BK880" s="312">
        <v>0.49930000000000002</v>
      </c>
      <c r="BM880">
        <f>(C880-C469)*1000000/(RIMS_emp!C880-RIMS_emp!C469)</f>
        <v>37542.272513234668</v>
      </c>
    </row>
    <row r="881" spans="1:65" x14ac:dyDescent="0.25">
      <c r="A881" s="306">
        <v>311830</v>
      </c>
      <c r="B881" s="312" t="s">
        <v>48</v>
      </c>
      <c r="C881" s="312">
        <v>0.87219999999999998</v>
      </c>
      <c r="D881" s="312">
        <v>0.37190000000000001</v>
      </c>
      <c r="E881" s="312">
        <v>0</v>
      </c>
      <c r="F881" s="312">
        <v>0.54879999999999995</v>
      </c>
      <c r="G881" s="312">
        <v>0.52100000000000002</v>
      </c>
      <c r="H881" s="312">
        <v>0.62339999999999995</v>
      </c>
      <c r="I881" s="312">
        <v>0.64639999999999997</v>
      </c>
      <c r="J881" s="312">
        <v>0</v>
      </c>
      <c r="K881" s="312">
        <v>0</v>
      </c>
      <c r="L881" s="312">
        <v>0</v>
      </c>
      <c r="M881" s="312">
        <v>0.56799999999999995</v>
      </c>
      <c r="N881" s="312">
        <v>0.64319999999999999</v>
      </c>
      <c r="O881" s="312">
        <v>0.49440000000000001</v>
      </c>
      <c r="P881" s="312">
        <v>0</v>
      </c>
      <c r="Q881" s="312">
        <v>0.50770000000000004</v>
      </c>
      <c r="R881" s="312">
        <v>0.70660000000000001</v>
      </c>
      <c r="S881" s="312">
        <v>0.57750000000000001</v>
      </c>
      <c r="T881" s="312">
        <v>0.49890000000000001</v>
      </c>
      <c r="U881" s="312">
        <v>0</v>
      </c>
      <c r="V881" s="312">
        <v>0</v>
      </c>
      <c r="W881" s="312">
        <v>0.53920000000000001</v>
      </c>
      <c r="X881" s="312">
        <v>0.47039999999999998</v>
      </c>
      <c r="Y881" s="312">
        <v>0</v>
      </c>
      <c r="Z881" s="312">
        <v>0.63260000000000005</v>
      </c>
      <c r="AA881" s="312">
        <v>0.6351</v>
      </c>
      <c r="AB881" s="312">
        <v>0.60209999999999997</v>
      </c>
      <c r="AC881" s="312">
        <v>0</v>
      </c>
      <c r="AD881" s="312">
        <v>0.48159999999999997</v>
      </c>
      <c r="AE881" s="312">
        <v>0.57889999999999997</v>
      </c>
      <c r="AF881" s="312">
        <v>0</v>
      </c>
      <c r="AG881" s="312">
        <v>0.47449999999999998</v>
      </c>
      <c r="AH881" s="312">
        <v>0</v>
      </c>
      <c r="AI881" s="312">
        <v>0.53320000000000001</v>
      </c>
      <c r="AJ881" s="312">
        <v>0.42880000000000001</v>
      </c>
      <c r="AK881" s="312">
        <v>0.4864</v>
      </c>
      <c r="AL881" s="312">
        <v>0.48849999999999999</v>
      </c>
      <c r="AM881" s="312">
        <v>0.63139999999999996</v>
      </c>
      <c r="AN881" s="312">
        <v>0.55869999999999997</v>
      </c>
      <c r="AO881" s="312">
        <v>0.57420000000000004</v>
      </c>
      <c r="AP881" s="312">
        <v>0.60909999999999997</v>
      </c>
      <c r="AQ881" s="312">
        <v>0.46610000000000001</v>
      </c>
      <c r="AR881" s="312">
        <v>0</v>
      </c>
      <c r="AS881" s="312">
        <v>0.35410000000000003</v>
      </c>
      <c r="AT881" s="312">
        <v>0.58830000000000005</v>
      </c>
      <c r="AU881" s="312">
        <v>0.6502</v>
      </c>
      <c r="AV881" s="312">
        <v>0.63480000000000003</v>
      </c>
      <c r="AW881" s="312">
        <v>0.53310000000000002</v>
      </c>
      <c r="AX881" s="312">
        <v>0</v>
      </c>
      <c r="AY881" s="312">
        <v>0.56830000000000003</v>
      </c>
      <c r="AZ881" s="312">
        <v>0.60950000000000004</v>
      </c>
      <c r="BA881" s="312">
        <v>0</v>
      </c>
      <c r="BB881" s="312">
        <v>0</v>
      </c>
      <c r="BC881" s="312">
        <v>0.58020000000000005</v>
      </c>
      <c r="BD881" s="312">
        <v>0.62329999999999997</v>
      </c>
      <c r="BE881" s="312">
        <v>0.71870000000000001</v>
      </c>
      <c r="BF881" s="312">
        <v>0.63070000000000004</v>
      </c>
      <c r="BG881" s="312">
        <v>0.6512</v>
      </c>
      <c r="BH881" s="312">
        <v>0.61170000000000002</v>
      </c>
      <c r="BI881" s="312">
        <v>0.67879999999999996</v>
      </c>
      <c r="BJ881" s="312">
        <v>0.62749999999999995</v>
      </c>
      <c r="BK881" s="312">
        <v>0.63519999999999999</v>
      </c>
      <c r="BM881">
        <f>(C881-C470)*1000000/(RIMS_emp!C881-RIMS_emp!C470)</f>
        <v>37541.5522474346</v>
      </c>
    </row>
    <row r="882" spans="1:65" x14ac:dyDescent="0.25">
      <c r="A882" s="306">
        <v>311910</v>
      </c>
      <c r="B882" s="312" t="s">
        <v>49</v>
      </c>
      <c r="C882" s="312">
        <v>0.65210000000000001</v>
      </c>
      <c r="D882" s="312">
        <v>0.1978</v>
      </c>
      <c r="E882" s="312">
        <v>0.37290000000000001</v>
      </c>
      <c r="F882" s="312">
        <v>0.36199999999999999</v>
      </c>
      <c r="G882" s="312">
        <v>0.35360000000000003</v>
      </c>
      <c r="H882" s="312">
        <v>0.43569999999999998</v>
      </c>
      <c r="I882" s="312">
        <v>0.40720000000000001</v>
      </c>
      <c r="J882" s="312">
        <v>0.31519999999999998</v>
      </c>
      <c r="K882" s="312">
        <v>0</v>
      </c>
      <c r="L882" s="312">
        <v>0</v>
      </c>
      <c r="M882" s="312">
        <v>0.37159999999999999</v>
      </c>
      <c r="N882" s="312">
        <v>0.46060000000000001</v>
      </c>
      <c r="O882" s="312">
        <v>0.31929999999999997</v>
      </c>
      <c r="P882" s="312">
        <v>0.29449999999999998</v>
      </c>
      <c r="Q882" s="312">
        <v>0.30840000000000001</v>
      </c>
      <c r="R882" s="312">
        <v>0.44619999999999999</v>
      </c>
      <c r="S882" s="312">
        <v>0.38</v>
      </c>
      <c r="T882" s="312">
        <v>0.32350000000000001</v>
      </c>
      <c r="U882" s="312">
        <v>0.3856</v>
      </c>
      <c r="V882" s="312">
        <v>0.38019999999999998</v>
      </c>
      <c r="W882" s="312">
        <v>0.33689999999999998</v>
      </c>
      <c r="X882" s="312">
        <v>0.28399999999999997</v>
      </c>
      <c r="Y882" s="312">
        <v>0</v>
      </c>
      <c r="Z882" s="312">
        <v>0.43469999999999998</v>
      </c>
      <c r="AA882" s="312">
        <v>0.41810000000000003</v>
      </c>
      <c r="AB882" s="312">
        <v>0.4002</v>
      </c>
      <c r="AC882" s="312">
        <v>0.33289999999999997</v>
      </c>
      <c r="AD882" s="312">
        <v>0.28639999999999999</v>
      </c>
      <c r="AE882" s="312">
        <v>0.39229999999999998</v>
      </c>
      <c r="AF882" s="312">
        <v>0.2681</v>
      </c>
      <c r="AG882" s="312">
        <v>0.28520000000000001</v>
      </c>
      <c r="AH882" s="312">
        <v>0.31259999999999999</v>
      </c>
      <c r="AI882" s="312">
        <v>0.35859999999999997</v>
      </c>
      <c r="AJ882" s="312">
        <v>0.27610000000000001</v>
      </c>
      <c r="AK882" s="312">
        <v>0.3054</v>
      </c>
      <c r="AL882" s="312">
        <v>0.27910000000000001</v>
      </c>
      <c r="AM882" s="312">
        <v>0.42680000000000001</v>
      </c>
      <c r="AN882" s="312">
        <v>0.35339999999999999</v>
      </c>
      <c r="AO882" s="312">
        <v>0.38140000000000002</v>
      </c>
      <c r="AP882" s="312">
        <v>0.4204</v>
      </c>
      <c r="AQ882" s="312">
        <v>0.29039999999999999</v>
      </c>
      <c r="AR882" s="312">
        <v>0.3836</v>
      </c>
      <c r="AS882" s="312">
        <v>0.2384</v>
      </c>
      <c r="AT882" s="312">
        <v>0.39300000000000002</v>
      </c>
      <c r="AU882" s="312">
        <v>0.42930000000000001</v>
      </c>
      <c r="AV882" s="312">
        <v>0.39760000000000001</v>
      </c>
      <c r="AW882" s="312">
        <v>0.3422</v>
      </c>
      <c r="AX882" s="312">
        <v>0.26619999999999999</v>
      </c>
      <c r="AY882" s="312">
        <v>0.39300000000000002</v>
      </c>
      <c r="AZ882" s="312">
        <v>0.41199999999999998</v>
      </c>
      <c r="BA882" s="312">
        <v>0.26290000000000002</v>
      </c>
      <c r="BB882" s="312">
        <v>0</v>
      </c>
      <c r="BC882" s="312">
        <v>0.38490000000000002</v>
      </c>
      <c r="BD882" s="312">
        <v>0.40579999999999999</v>
      </c>
      <c r="BE882" s="312">
        <v>0.48649999999999999</v>
      </c>
      <c r="BF882" s="312">
        <v>0.43130000000000002</v>
      </c>
      <c r="BG882" s="312">
        <v>0.4602</v>
      </c>
      <c r="BH882" s="312">
        <v>0.43280000000000002</v>
      </c>
      <c r="BI882" s="312">
        <v>0.45329999999999998</v>
      </c>
      <c r="BJ882" s="312">
        <v>0.3982</v>
      </c>
      <c r="BK882" s="312">
        <v>0.44080000000000003</v>
      </c>
      <c r="BM882">
        <f>(C882-C471)*1000000/(RIMS_emp!C882-RIMS_emp!C471)</f>
        <v>37535.239629480471</v>
      </c>
    </row>
    <row r="883" spans="1:65" x14ac:dyDescent="0.25">
      <c r="A883" s="306">
        <v>311920</v>
      </c>
      <c r="B883" s="312" t="s">
        <v>50</v>
      </c>
      <c r="C883" s="312">
        <v>0.58950000000000002</v>
      </c>
      <c r="D883" s="312">
        <v>0.22159999999999999</v>
      </c>
      <c r="E883" s="312">
        <v>0.36809999999999998</v>
      </c>
      <c r="F883" s="312">
        <v>0.35010000000000002</v>
      </c>
      <c r="G883" s="312">
        <v>0.3483</v>
      </c>
      <c r="H883" s="312">
        <v>0.42199999999999999</v>
      </c>
      <c r="I883" s="312">
        <v>0.42180000000000001</v>
      </c>
      <c r="J883" s="312">
        <v>0.34289999999999998</v>
      </c>
      <c r="K883" s="312">
        <v>0</v>
      </c>
      <c r="L883" s="312">
        <v>0</v>
      </c>
      <c r="M883" s="312">
        <v>0.36009999999999998</v>
      </c>
      <c r="N883" s="312">
        <v>0.44829999999999998</v>
      </c>
      <c r="O883" s="312">
        <v>0.30230000000000001</v>
      </c>
      <c r="P883" s="312">
        <v>0.28320000000000001</v>
      </c>
      <c r="Q883" s="312">
        <v>0.28660000000000002</v>
      </c>
      <c r="R883" s="312">
        <v>0.45660000000000001</v>
      </c>
      <c r="S883" s="312">
        <v>0.37730000000000002</v>
      </c>
      <c r="T883" s="312">
        <v>0.30070000000000002</v>
      </c>
      <c r="U883" s="312">
        <v>0.35510000000000003</v>
      </c>
      <c r="V883" s="312">
        <v>0.35420000000000001</v>
      </c>
      <c r="W883" s="312">
        <v>0.37009999999999998</v>
      </c>
      <c r="X883" s="312">
        <v>0.31169999999999998</v>
      </c>
      <c r="Y883" s="312">
        <v>0.3422</v>
      </c>
      <c r="Z883" s="312">
        <v>0.41899999999999998</v>
      </c>
      <c r="AA883" s="312">
        <v>0.40789999999999998</v>
      </c>
      <c r="AB883" s="312">
        <v>0.39369999999999999</v>
      </c>
      <c r="AC883" s="312">
        <v>0</v>
      </c>
      <c r="AD883" s="312">
        <v>0.25819999999999999</v>
      </c>
      <c r="AE883" s="312">
        <v>0.39510000000000001</v>
      </c>
      <c r="AF883" s="312">
        <v>0</v>
      </c>
      <c r="AG883" s="312">
        <v>0.28260000000000002</v>
      </c>
      <c r="AH883" s="312">
        <v>0.32340000000000002</v>
      </c>
      <c r="AI883" s="312">
        <v>0.38450000000000001</v>
      </c>
      <c r="AJ883" s="312">
        <v>0</v>
      </c>
      <c r="AK883" s="312">
        <v>0.318</v>
      </c>
      <c r="AL883" s="312">
        <v>0.30149999999999999</v>
      </c>
      <c r="AM883" s="312">
        <v>0.44059999999999999</v>
      </c>
      <c r="AN883" s="312">
        <v>0.34350000000000003</v>
      </c>
      <c r="AO883" s="312">
        <v>0.38090000000000002</v>
      </c>
      <c r="AP883" s="312">
        <v>0.44800000000000001</v>
      </c>
      <c r="AQ883" s="312">
        <v>0.32279999999999998</v>
      </c>
      <c r="AR883" s="312">
        <v>0.37309999999999999</v>
      </c>
      <c r="AS883" s="312">
        <v>0</v>
      </c>
      <c r="AT883" s="312">
        <v>0.3831</v>
      </c>
      <c r="AU883" s="312">
        <v>0.4204</v>
      </c>
      <c r="AV883" s="312">
        <v>0.41489999999999999</v>
      </c>
      <c r="AW883" s="312">
        <v>0.3695</v>
      </c>
      <c r="AX883" s="312">
        <v>0.26850000000000002</v>
      </c>
      <c r="AY883" s="312">
        <v>0.38119999999999998</v>
      </c>
      <c r="AZ883" s="312">
        <v>0.40839999999999999</v>
      </c>
      <c r="BA883" s="312">
        <v>0</v>
      </c>
      <c r="BB883" s="312">
        <v>0.24099999999999999</v>
      </c>
      <c r="BC883" s="312">
        <v>0.4118</v>
      </c>
      <c r="BD883" s="312">
        <v>0.43469999999999998</v>
      </c>
      <c r="BE883" s="312">
        <v>0.47670000000000001</v>
      </c>
      <c r="BF883" s="312">
        <v>0.4078</v>
      </c>
      <c r="BG883" s="312">
        <v>0.44990000000000002</v>
      </c>
      <c r="BH883" s="312">
        <v>0.40229999999999999</v>
      </c>
      <c r="BI883" s="312">
        <v>0.43409999999999999</v>
      </c>
      <c r="BJ883" s="312">
        <v>0.39389999999999997</v>
      </c>
      <c r="BK883" s="312">
        <v>0.42820000000000003</v>
      </c>
      <c r="BM883">
        <f>(C883-C472)*1000000/(RIMS_emp!C883-RIMS_emp!C472)</f>
        <v>37549.900199600794</v>
      </c>
    </row>
    <row r="884" spans="1:65" x14ac:dyDescent="0.25">
      <c r="A884" s="306">
        <v>311930</v>
      </c>
      <c r="B884" s="312" t="s">
        <v>51</v>
      </c>
      <c r="C884" s="312">
        <v>0.32150000000000001</v>
      </c>
      <c r="D884" s="312">
        <v>0</v>
      </c>
      <c r="E884" s="312">
        <v>0.20619999999999999</v>
      </c>
      <c r="F884" s="312">
        <v>0.2006</v>
      </c>
      <c r="G884" s="312">
        <v>0.2026</v>
      </c>
      <c r="H884" s="312">
        <v>0.24010000000000001</v>
      </c>
      <c r="I884" s="312">
        <v>0</v>
      </c>
      <c r="J884" s="312">
        <v>0.19040000000000001</v>
      </c>
      <c r="K884" s="312">
        <v>0</v>
      </c>
      <c r="L884" s="312">
        <v>0</v>
      </c>
      <c r="M884" s="312">
        <v>0.21970000000000001</v>
      </c>
      <c r="N884" s="312">
        <v>0.24329999999999999</v>
      </c>
      <c r="O884" s="312">
        <v>0.2036</v>
      </c>
      <c r="P884" s="312">
        <v>0</v>
      </c>
      <c r="Q884" s="312">
        <v>0</v>
      </c>
      <c r="R884" s="312">
        <v>0.2414</v>
      </c>
      <c r="S884" s="312">
        <v>0.2167</v>
      </c>
      <c r="T884" s="312">
        <v>0.1832</v>
      </c>
      <c r="U884" s="312">
        <v>0.20669999999999999</v>
      </c>
      <c r="V884" s="312">
        <v>0.21279999999999999</v>
      </c>
      <c r="W884" s="312">
        <v>0</v>
      </c>
      <c r="X884" s="312">
        <v>0.1817</v>
      </c>
      <c r="Y884" s="312">
        <v>0</v>
      </c>
      <c r="Z884" s="312">
        <v>0.23139999999999999</v>
      </c>
      <c r="AA884" s="312">
        <v>0</v>
      </c>
      <c r="AB884" s="312">
        <v>0.21110000000000001</v>
      </c>
      <c r="AC884" s="312">
        <v>0.18690000000000001</v>
      </c>
      <c r="AD884" s="312">
        <v>0</v>
      </c>
      <c r="AE884" s="312">
        <v>0.2157</v>
      </c>
      <c r="AF884" s="312">
        <v>0</v>
      </c>
      <c r="AG884" s="312">
        <v>0</v>
      </c>
      <c r="AH884" s="312">
        <v>0.18579999999999999</v>
      </c>
      <c r="AI884" s="312">
        <v>0.2152</v>
      </c>
      <c r="AJ884" s="312">
        <v>0</v>
      </c>
      <c r="AK884" s="312">
        <v>0.1885</v>
      </c>
      <c r="AL884" s="312">
        <v>0.18659999999999999</v>
      </c>
      <c r="AM884" s="312">
        <v>0.2465</v>
      </c>
      <c r="AN884" s="312">
        <v>0.19209999999999999</v>
      </c>
      <c r="AO884" s="312">
        <v>0.21360000000000001</v>
      </c>
      <c r="AP884" s="312">
        <v>0.23380000000000001</v>
      </c>
      <c r="AQ884" s="312">
        <v>0.18720000000000001</v>
      </c>
      <c r="AR884" s="312">
        <v>0</v>
      </c>
      <c r="AS884" s="312">
        <v>0</v>
      </c>
      <c r="AT884" s="312">
        <v>0.21049999999999999</v>
      </c>
      <c r="AU884" s="312">
        <v>0.23530000000000001</v>
      </c>
      <c r="AV884" s="312">
        <v>0</v>
      </c>
      <c r="AW884" s="312">
        <v>0</v>
      </c>
      <c r="AX884" s="312">
        <v>0</v>
      </c>
      <c r="AY884" s="312">
        <v>0.2198</v>
      </c>
      <c r="AZ884" s="312">
        <v>0.22550000000000001</v>
      </c>
      <c r="BA884" s="312">
        <v>0</v>
      </c>
      <c r="BB884" s="312">
        <v>0</v>
      </c>
      <c r="BC884" s="312">
        <v>0.22489999999999999</v>
      </c>
      <c r="BD884" s="312">
        <v>0.24149999999999999</v>
      </c>
      <c r="BE884" s="312">
        <v>0.2581</v>
      </c>
      <c r="BF884" s="312">
        <v>0.2225</v>
      </c>
      <c r="BG884" s="312">
        <v>0.25750000000000001</v>
      </c>
      <c r="BH884" s="312">
        <v>0.22989999999999999</v>
      </c>
      <c r="BI884" s="312">
        <v>0.23980000000000001</v>
      </c>
      <c r="BJ884" s="312">
        <v>0.2208</v>
      </c>
      <c r="BK884" s="312">
        <v>0.2424</v>
      </c>
      <c r="BM884">
        <f>(C884-C473)*1000000/(RIMS_emp!C884-RIMS_emp!C473)</f>
        <v>37539.205436487187</v>
      </c>
    </row>
    <row r="885" spans="1:65" x14ac:dyDescent="0.25">
      <c r="A885" s="306">
        <v>311940</v>
      </c>
      <c r="B885" s="312" t="s">
        <v>52</v>
      </c>
      <c r="C885" s="312">
        <v>0.746</v>
      </c>
      <c r="D885" s="312">
        <v>0</v>
      </c>
      <c r="E885" s="312">
        <v>0.39700000000000002</v>
      </c>
      <c r="F885" s="312">
        <v>0.40189999999999998</v>
      </c>
      <c r="G885" s="312">
        <v>0.36940000000000001</v>
      </c>
      <c r="H885" s="312">
        <v>0.49059999999999998</v>
      </c>
      <c r="I885" s="312">
        <v>0.45269999999999999</v>
      </c>
      <c r="J885" s="312">
        <v>0.34189999999999998</v>
      </c>
      <c r="K885" s="312">
        <v>0</v>
      </c>
      <c r="L885" s="312">
        <v>0.25719999999999998</v>
      </c>
      <c r="M885" s="312">
        <v>0.40089999999999998</v>
      </c>
      <c r="N885" s="312">
        <v>0.52059999999999995</v>
      </c>
      <c r="O885" s="312">
        <v>0.34689999999999999</v>
      </c>
      <c r="P885" s="312">
        <v>0.3251</v>
      </c>
      <c r="Q885" s="312">
        <v>0.33710000000000001</v>
      </c>
      <c r="R885" s="312">
        <v>0.51290000000000002</v>
      </c>
      <c r="S885" s="312">
        <v>0.434</v>
      </c>
      <c r="T885" s="312">
        <v>0.35170000000000001</v>
      </c>
      <c r="U885" s="312">
        <v>0.44159999999999999</v>
      </c>
      <c r="V885" s="312">
        <v>0.42749999999999999</v>
      </c>
      <c r="W885" s="312">
        <v>0.38590000000000002</v>
      </c>
      <c r="X885" s="312">
        <v>0.33539999999999998</v>
      </c>
      <c r="Y885" s="312">
        <v>0.36730000000000002</v>
      </c>
      <c r="Z885" s="312">
        <v>0.46739999999999998</v>
      </c>
      <c r="AA885" s="312">
        <v>0.46839999999999998</v>
      </c>
      <c r="AB885" s="312">
        <v>0.47239999999999999</v>
      </c>
      <c r="AC885" s="312">
        <v>0.34810000000000002</v>
      </c>
      <c r="AD885" s="312">
        <v>0.28599999999999998</v>
      </c>
      <c r="AE885" s="312">
        <v>0.41310000000000002</v>
      </c>
      <c r="AF885" s="312">
        <v>0.27189999999999998</v>
      </c>
      <c r="AG885" s="312">
        <v>0.31590000000000001</v>
      </c>
      <c r="AH885" s="312">
        <v>0.32929999999999998</v>
      </c>
      <c r="AI885" s="312">
        <v>0.4234</v>
      </c>
      <c r="AJ885" s="312">
        <v>0.3019</v>
      </c>
      <c r="AK885" s="312">
        <v>0.34699999999999998</v>
      </c>
      <c r="AL885" s="312">
        <v>0.32800000000000001</v>
      </c>
      <c r="AM885" s="312">
        <v>0.49919999999999998</v>
      </c>
      <c r="AN885" s="312">
        <v>0.3755</v>
      </c>
      <c r="AO885" s="312">
        <v>0.42180000000000001</v>
      </c>
      <c r="AP885" s="312">
        <v>0.48799999999999999</v>
      </c>
      <c r="AQ885" s="312">
        <v>0.31280000000000002</v>
      </c>
      <c r="AR885" s="312">
        <v>0.39</v>
      </c>
      <c r="AS885" s="312">
        <v>0.25530000000000003</v>
      </c>
      <c r="AT885" s="312">
        <v>0.42030000000000001</v>
      </c>
      <c r="AU885" s="312">
        <v>0.47560000000000002</v>
      </c>
      <c r="AV885" s="312">
        <v>0.45500000000000002</v>
      </c>
      <c r="AW885" s="312">
        <v>0.38890000000000002</v>
      </c>
      <c r="AX885" s="312">
        <v>0.28539999999999999</v>
      </c>
      <c r="AY885" s="312">
        <v>0.42109999999999997</v>
      </c>
      <c r="AZ885" s="312">
        <v>0.4456</v>
      </c>
      <c r="BA885" s="312">
        <v>0.27850000000000003</v>
      </c>
      <c r="BB885" s="312">
        <v>0.25009999999999999</v>
      </c>
      <c r="BC885" s="312">
        <v>0.42649999999999999</v>
      </c>
      <c r="BD885" s="312">
        <v>0.4803</v>
      </c>
      <c r="BE885" s="312">
        <v>0.55489999999999995</v>
      </c>
      <c r="BF885" s="312">
        <v>0.49109999999999998</v>
      </c>
      <c r="BG885" s="312">
        <v>0.52990000000000004</v>
      </c>
      <c r="BH885" s="312">
        <v>0.47710000000000002</v>
      </c>
      <c r="BI885" s="312">
        <v>0.50480000000000003</v>
      </c>
      <c r="BJ885" s="312">
        <v>0.43469999999999998</v>
      </c>
      <c r="BK885" s="312">
        <v>0.49309999999999998</v>
      </c>
      <c r="BM885">
        <f>(C885-C474)*1000000/(RIMS_emp!C885-RIMS_emp!C474)</f>
        <v>37544.536608035603</v>
      </c>
    </row>
    <row r="886" spans="1:65" x14ac:dyDescent="0.25">
      <c r="A886" s="306">
        <v>311990</v>
      </c>
      <c r="B886" s="312" t="s">
        <v>53</v>
      </c>
      <c r="C886" s="312">
        <v>0.72030000000000005</v>
      </c>
      <c r="D886" s="312">
        <v>0.27260000000000001</v>
      </c>
      <c r="E886" s="312">
        <v>0.4073</v>
      </c>
      <c r="F886" s="312">
        <v>0.40450000000000003</v>
      </c>
      <c r="G886" s="312">
        <v>0.41620000000000001</v>
      </c>
      <c r="H886" s="312">
        <v>0.50690000000000002</v>
      </c>
      <c r="I886" s="312">
        <v>0.50729999999999997</v>
      </c>
      <c r="J886" s="312">
        <v>0.38080000000000003</v>
      </c>
      <c r="K886" s="312">
        <v>4.1200000000000001E-2</v>
      </c>
      <c r="L886" s="312">
        <v>0.29089999999999999</v>
      </c>
      <c r="M886" s="312">
        <v>0.441</v>
      </c>
      <c r="N886" s="312">
        <v>0.51659999999999995</v>
      </c>
      <c r="O886" s="312">
        <v>0.38969999999999999</v>
      </c>
      <c r="P886" s="312">
        <v>0.34710000000000002</v>
      </c>
      <c r="Q886" s="312">
        <v>0.37980000000000003</v>
      </c>
      <c r="R886" s="312">
        <v>0.53269999999999995</v>
      </c>
      <c r="S886" s="312">
        <v>0.44829999999999998</v>
      </c>
      <c r="T886" s="312">
        <v>0.3634</v>
      </c>
      <c r="U886" s="312">
        <v>0.41889999999999999</v>
      </c>
      <c r="V886" s="312">
        <v>0.42120000000000002</v>
      </c>
      <c r="W886" s="312">
        <v>0.4229</v>
      </c>
      <c r="X886" s="312">
        <v>0.37169999999999997</v>
      </c>
      <c r="Y886" s="312">
        <v>0.41820000000000002</v>
      </c>
      <c r="Z886" s="312">
        <v>0.48899999999999999</v>
      </c>
      <c r="AA886" s="312">
        <v>0.50139999999999996</v>
      </c>
      <c r="AB886" s="312">
        <v>0.46389999999999998</v>
      </c>
      <c r="AC886" s="312">
        <v>0.37569999999999998</v>
      </c>
      <c r="AD886" s="312">
        <v>0.33739999999999998</v>
      </c>
      <c r="AE886" s="312">
        <v>0.46250000000000002</v>
      </c>
      <c r="AF886" s="312">
        <v>0.30959999999999999</v>
      </c>
      <c r="AG886" s="312">
        <v>0.34789999999999999</v>
      </c>
      <c r="AH886" s="312">
        <v>0.36980000000000002</v>
      </c>
      <c r="AI886" s="312">
        <v>0.43619999999999998</v>
      </c>
      <c r="AJ886" s="312">
        <v>0.3458</v>
      </c>
      <c r="AK886" s="312">
        <v>0.36940000000000001</v>
      </c>
      <c r="AL886" s="312">
        <v>0.36919999999999997</v>
      </c>
      <c r="AM886" s="312">
        <v>0.50409999999999999</v>
      </c>
      <c r="AN886" s="312">
        <v>0.41389999999999999</v>
      </c>
      <c r="AO886" s="312">
        <v>0.45290000000000002</v>
      </c>
      <c r="AP886" s="312">
        <v>0.49469999999999997</v>
      </c>
      <c r="AQ886" s="312">
        <v>0.36509999999999998</v>
      </c>
      <c r="AR886" s="312">
        <v>0.41549999999999998</v>
      </c>
      <c r="AS886" s="312">
        <v>0.2772</v>
      </c>
      <c r="AT886" s="312">
        <v>0.45150000000000001</v>
      </c>
      <c r="AU886" s="312">
        <v>0.48609999999999998</v>
      </c>
      <c r="AV886" s="312">
        <v>0.49</v>
      </c>
      <c r="AW886" s="312">
        <v>0.42420000000000002</v>
      </c>
      <c r="AX886" s="312">
        <v>0.31969999999999998</v>
      </c>
      <c r="AY886" s="312">
        <v>0.45269999999999999</v>
      </c>
      <c r="AZ886" s="312">
        <v>0.48039999999999999</v>
      </c>
      <c r="BA886" s="312">
        <v>0.29830000000000001</v>
      </c>
      <c r="BB886" s="312">
        <v>0</v>
      </c>
      <c r="BC886" s="312">
        <v>0.46650000000000003</v>
      </c>
      <c r="BD886" s="312">
        <v>0.49769999999999998</v>
      </c>
      <c r="BE886" s="312">
        <v>0.56499999999999995</v>
      </c>
      <c r="BF886" s="312">
        <v>0.49209999999999998</v>
      </c>
      <c r="BG886" s="312">
        <v>0.53549999999999998</v>
      </c>
      <c r="BH886" s="312">
        <v>0.48120000000000002</v>
      </c>
      <c r="BI886" s="312">
        <v>0.50829999999999997</v>
      </c>
      <c r="BJ886" s="312">
        <v>0.48509999999999998</v>
      </c>
      <c r="BK886" s="312">
        <v>0.51470000000000005</v>
      </c>
      <c r="BM886">
        <f>(C886-C475)*1000000/(RIMS_emp!C886-RIMS_emp!C475)</f>
        <v>37542.114551580315</v>
      </c>
    </row>
    <row r="887" spans="1:65" x14ac:dyDescent="0.25">
      <c r="A887" s="306">
        <v>312110</v>
      </c>
      <c r="B887" s="312" t="s">
        <v>54</v>
      </c>
      <c r="C887" s="312">
        <v>0.63970000000000005</v>
      </c>
      <c r="D887" s="312">
        <v>0.20300000000000001</v>
      </c>
      <c r="E887" s="312">
        <v>0.36520000000000002</v>
      </c>
      <c r="F887" s="312">
        <v>0.34429999999999999</v>
      </c>
      <c r="G887" s="312">
        <v>0.33529999999999999</v>
      </c>
      <c r="H887" s="312">
        <v>0.41880000000000001</v>
      </c>
      <c r="I887" s="312">
        <v>0.3548</v>
      </c>
      <c r="J887" s="312">
        <v>0.32279999999999998</v>
      </c>
      <c r="K887" s="312">
        <v>0</v>
      </c>
      <c r="L887" s="312">
        <v>0.2082</v>
      </c>
      <c r="M887" s="312">
        <v>0.32369999999999999</v>
      </c>
      <c r="N887" s="312">
        <v>0.44080000000000003</v>
      </c>
      <c r="O887" s="312">
        <v>0.27279999999999999</v>
      </c>
      <c r="P887" s="312">
        <v>0.2994</v>
      </c>
      <c r="Q887" s="312">
        <v>0.2414</v>
      </c>
      <c r="R887" s="312">
        <v>0.44579999999999997</v>
      </c>
      <c r="S887" s="312">
        <v>0.39800000000000002</v>
      </c>
      <c r="T887" s="312">
        <v>0.26900000000000002</v>
      </c>
      <c r="U887" s="312">
        <v>0.37830000000000003</v>
      </c>
      <c r="V887" s="312">
        <v>0.35020000000000001</v>
      </c>
      <c r="W887" s="312">
        <v>0.32840000000000003</v>
      </c>
      <c r="X887" s="312">
        <v>0.30359999999999998</v>
      </c>
      <c r="Y887" s="312">
        <v>0.30059999999999998</v>
      </c>
      <c r="Z887" s="312">
        <v>0.42609999999999998</v>
      </c>
      <c r="AA887" s="312">
        <v>0.36849999999999999</v>
      </c>
      <c r="AB887" s="312">
        <v>0.40899999999999997</v>
      </c>
      <c r="AC887" s="312">
        <v>0.31590000000000001</v>
      </c>
      <c r="AD887" s="312">
        <v>0.2172</v>
      </c>
      <c r="AE887" s="312">
        <v>0.37409999999999999</v>
      </c>
      <c r="AF887" s="312">
        <v>0.2286</v>
      </c>
      <c r="AG887" s="312">
        <v>0.23799999999999999</v>
      </c>
      <c r="AH887" s="312">
        <v>0.32269999999999999</v>
      </c>
      <c r="AI887" s="312">
        <v>0.38150000000000001</v>
      </c>
      <c r="AJ887" s="312">
        <v>0.22750000000000001</v>
      </c>
      <c r="AK887" s="312">
        <v>0.2717</v>
      </c>
      <c r="AL887" s="312">
        <v>0.25729999999999997</v>
      </c>
      <c r="AM887" s="312">
        <v>0.48049999999999998</v>
      </c>
      <c r="AN887" s="312">
        <v>0.30790000000000001</v>
      </c>
      <c r="AO887" s="312">
        <v>0.34910000000000002</v>
      </c>
      <c r="AP887" s="312">
        <v>0.44450000000000001</v>
      </c>
      <c r="AQ887" s="312">
        <v>0.26750000000000002</v>
      </c>
      <c r="AR887" s="312">
        <v>0.37869999999999998</v>
      </c>
      <c r="AS887" s="312">
        <v>0.2427</v>
      </c>
      <c r="AT887" s="312">
        <v>0.40789999999999998</v>
      </c>
      <c r="AU887" s="312">
        <v>0.4118</v>
      </c>
      <c r="AV887" s="312">
        <v>0.37140000000000001</v>
      </c>
      <c r="AW887" s="312">
        <v>0.36580000000000001</v>
      </c>
      <c r="AX887" s="312">
        <v>0.2165</v>
      </c>
      <c r="AY887" s="312">
        <v>0.36549999999999999</v>
      </c>
      <c r="AZ887" s="312">
        <v>0.38390000000000002</v>
      </c>
      <c r="BA887" s="312">
        <v>0.2591</v>
      </c>
      <c r="BB887" s="312">
        <v>0.20069999999999999</v>
      </c>
      <c r="BC887" s="312">
        <v>0.37609999999999999</v>
      </c>
      <c r="BD887" s="312">
        <v>0.41239999999999999</v>
      </c>
      <c r="BE887" s="312">
        <v>0.50590000000000002</v>
      </c>
      <c r="BF887" s="312">
        <v>0.41070000000000001</v>
      </c>
      <c r="BG887" s="312">
        <v>0.45800000000000002</v>
      </c>
      <c r="BH887" s="312">
        <v>0.4335</v>
      </c>
      <c r="BI887" s="312">
        <v>0.43359999999999999</v>
      </c>
      <c r="BJ887" s="312">
        <v>0.34499999999999997</v>
      </c>
      <c r="BK887" s="312">
        <v>0.42209999999999998</v>
      </c>
      <c r="BM887">
        <f>(C887-C476)*1000000/(RIMS_emp!C887-RIMS_emp!C476)</f>
        <v>37539.411455596426</v>
      </c>
    </row>
    <row r="888" spans="1:65" x14ac:dyDescent="0.25">
      <c r="A888" s="306">
        <v>312120</v>
      </c>
      <c r="B888" s="312" t="s">
        <v>55</v>
      </c>
      <c r="C888" s="312">
        <v>0.57799999999999996</v>
      </c>
      <c r="D888" s="312">
        <v>0.19339999999999999</v>
      </c>
      <c r="E888" s="312">
        <v>0</v>
      </c>
      <c r="F888" s="312">
        <v>0.36030000000000001</v>
      </c>
      <c r="G888" s="312">
        <v>0.29770000000000002</v>
      </c>
      <c r="H888" s="312">
        <v>0.39779999999999999</v>
      </c>
      <c r="I888" s="312">
        <v>0.40529999999999999</v>
      </c>
      <c r="J888" s="312">
        <v>0.28289999999999998</v>
      </c>
      <c r="K888" s="312">
        <v>3.4599999999999999E-2</v>
      </c>
      <c r="L888" s="312">
        <v>0.1772</v>
      </c>
      <c r="M888" s="312">
        <v>0.308</v>
      </c>
      <c r="N888" s="312">
        <v>0.4133</v>
      </c>
      <c r="O888" s="312">
        <v>0.2442</v>
      </c>
      <c r="P888" s="312">
        <v>0.26939999999999997</v>
      </c>
      <c r="Q888" s="312">
        <v>0.23669999999999999</v>
      </c>
      <c r="R888" s="312">
        <v>0.43959999999999999</v>
      </c>
      <c r="S888" s="312">
        <v>0.36880000000000002</v>
      </c>
      <c r="T888" s="312">
        <v>0.25679999999999997</v>
      </c>
      <c r="U888" s="312">
        <v>0.29809999999999998</v>
      </c>
      <c r="V888" s="312">
        <v>0.33129999999999998</v>
      </c>
      <c r="W888" s="312">
        <v>0.30509999999999998</v>
      </c>
      <c r="X888" s="312">
        <v>0.2676</v>
      </c>
      <c r="Y888" s="312">
        <v>0.26279999999999998</v>
      </c>
      <c r="Z888" s="312">
        <v>0.3604</v>
      </c>
      <c r="AA888" s="312">
        <v>0.39050000000000001</v>
      </c>
      <c r="AB888" s="312">
        <v>0.38190000000000002</v>
      </c>
      <c r="AC888" s="312">
        <v>0.29189999999999999</v>
      </c>
      <c r="AD888" s="312">
        <v>0.2218</v>
      </c>
      <c r="AE888" s="312">
        <v>0.36680000000000001</v>
      </c>
      <c r="AF888" s="312">
        <v>0</v>
      </c>
      <c r="AG888" s="312">
        <v>0.25990000000000002</v>
      </c>
      <c r="AH888" s="312">
        <v>0.2417</v>
      </c>
      <c r="AI888" s="312">
        <v>0.34649999999999997</v>
      </c>
      <c r="AJ888" s="312">
        <v>0.22600000000000001</v>
      </c>
      <c r="AK888" s="312">
        <v>0.2457</v>
      </c>
      <c r="AL888" s="312">
        <v>0.24410000000000001</v>
      </c>
      <c r="AM888" s="312">
        <v>0.43419999999999997</v>
      </c>
      <c r="AN888" s="312">
        <v>0.35089999999999999</v>
      </c>
      <c r="AO888" s="312">
        <v>0.34499999999999997</v>
      </c>
      <c r="AP888" s="312">
        <v>0.41670000000000001</v>
      </c>
      <c r="AQ888" s="312">
        <v>0.26240000000000002</v>
      </c>
      <c r="AR888" s="312">
        <v>0.32929999999999998</v>
      </c>
      <c r="AS888" s="312">
        <v>0.22509999999999999</v>
      </c>
      <c r="AT888" s="312">
        <v>0.3256</v>
      </c>
      <c r="AU888" s="312">
        <v>0.3805</v>
      </c>
      <c r="AV888" s="312">
        <v>0.35220000000000001</v>
      </c>
      <c r="AW888" s="312">
        <v>0.34899999999999998</v>
      </c>
      <c r="AX888" s="312">
        <v>0.20480000000000001</v>
      </c>
      <c r="AY888" s="312">
        <v>0.34970000000000001</v>
      </c>
      <c r="AZ888" s="312">
        <v>0.39729999999999999</v>
      </c>
      <c r="BA888" s="312">
        <v>0.2225</v>
      </c>
      <c r="BB888" s="312">
        <v>0</v>
      </c>
      <c r="BC888" s="312">
        <v>0.33229999999999998</v>
      </c>
      <c r="BD888" s="312">
        <v>0.37940000000000002</v>
      </c>
      <c r="BE888" s="312">
        <v>0.47139999999999999</v>
      </c>
      <c r="BF888" s="312">
        <v>0.38169999999999998</v>
      </c>
      <c r="BG888" s="312">
        <v>0.41020000000000001</v>
      </c>
      <c r="BH888" s="312">
        <v>0.35289999999999999</v>
      </c>
      <c r="BI888" s="312">
        <v>0.42170000000000002</v>
      </c>
      <c r="BJ888" s="312">
        <v>0.36599999999999999</v>
      </c>
      <c r="BK888" s="312">
        <v>0.40089999999999998</v>
      </c>
      <c r="BM888">
        <f>(C888-C477)*1000000/(RIMS_emp!C888-RIMS_emp!C477)</f>
        <v>37551.346831945899</v>
      </c>
    </row>
    <row r="889" spans="1:65" x14ac:dyDescent="0.25">
      <c r="A889" s="306">
        <v>312130</v>
      </c>
      <c r="B889" s="312" t="s">
        <v>56</v>
      </c>
      <c r="C889" s="312">
        <v>0.69730000000000003</v>
      </c>
      <c r="D889" s="312">
        <v>0.2465</v>
      </c>
      <c r="E889" s="312">
        <v>0.3402</v>
      </c>
      <c r="F889" s="312">
        <v>0.36099999999999999</v>
      </c>
      <c r="G889" s="312">
        <v>0.36259999999999998</v>
      </c>
      <c r="H889" s="312">
        <v>0.5333</v>
      </c>
      <c r="I889" s="312">
        <v>0.43419999999999997</v>
      </c>
      <c r="J889" s="312">
        <v>0.3604</v>
      </c>
      <c r="K889" s="312">
        <v>0</v>
      </c>
      <c r="L889" s="312">
        <v>0</v>
      </c>
      <c r="M889" s="312">
        <v>0.40789999999999998</v>
      </c>
      <c r="N889" s="312">
        <v>0.4541</v>
      </c>
      <c r="O889" s="312">
        <v>0.34160000000000001</v>
      </c>
      <c r="P889" s="312">
        <v>0.29070000000000001</v>
      </c>
      <c r="Q889" s="312">
        <v>0.30209999999999998</v>
      </c>
      <c r="R889" s="312">
        <v>0.4667</v>
      </c>
      <c r="S889" s="312">
        <v>0.35610000000000003</v>
      </c>
      <c r="T889" s="312">
        <v>0.27479999999999999</v>
      </c>
      <c r="U889" s="312">
        <v>0.34820000000000001</v>
      </c>
      <c r="V889" s="312">
        <v>0.35930000000000001</v>
      </c>
      <c r="W889" s="312">
        <v>0.4108</v>
      </c>
      <c r="X889" s="312">
        <v>0.32790000000000002</v>
      </c>
      <c r="Y889" s="312">
        <v>0.3795</v>
      </c>
      <c r="Z889" s="312">
        <v>0.46139999999999998</v>
      </c>
      <c r="AA889" s="312">
        <v>0.42580000000000001</v>
      </c>
      <c r="AB889" s="312">
        <v>0.39760000000000001</v>
      </c>
      <c r="AC889" s="312">
        <v>0</v>
      </c>
      <c r="AD889" s="312">
        <v>0.26590000000000003</v>
      </c>
      <c r="AE889" s="312">
        <v>0.41880000000000001</v>
      </c>
      <c r="AF889" s="312">
        <v>0.26790000000000003</v>
      </c>
      <c r="AG889" s="312">
        <v>0.29249999999999998</v>
      </c>
      <c r="AH889" s="312">
        <v>0.34250000000000003</v>
      </c>
      <c r="AI889" s="312">
        <v>0.4178</v>
      </c>
      <c r="AJ889" s="312">
        <v>0.31780000000000003</v>
      </c>
      <c r="AK889" s="312">
        <v>0</v>
      </c>
      <c r="AL889" s="312">
        <v>0.313</v>
      </c>
      <c r="AM889" s="312">
        <v>0.45400000000000001</v>
      </c>
      <c r="AN889" s="312">
        <v>0.3468</v>
      </c>
      <c r="AO889" s="312">
        <v>0.45900000000000002</v>
      </c>
      <c r="AP889" s="312">
        <v>0.45629999999999998</v>
      </c>
      <c r="AQ889" s="312">
        <v>0.30470000000000003</v>
      </c>
      <c r="AR889" s="312">
        <v>0.36809999999999998</v>
      </c>
      <c r="AS889" s="312">
        <v>0.25030000000000002</v>
      </c>
      <c r="AT889" s="312">
        <v>0.36</v>
      </c>
      <c r="AU889" s="312">
        <v>0.41830000000000001</v>
      </c>
      <c r="AV889" s="312">
        <v>0</v>
      </c>
      <c r="AW889" s="312">
        <v>0.40889999999999999</v>
      </c>
      <c r="AX889" s="312">
        <v>0.28079999999999999</v>
      </c>
      <c r="AY889" s="312">
        <v>0.47189999999999999</v>
      </c>
      <c r="AZ889" s="312">
        <v>0.4501</v>
      </c>
      <c r="BA889" s="312">
        <v>0.24679999999999999</v>
      </c>
      <c r="BB889" s="312">
        <v>0</v>
      </c>
      <c r="BC889" s="312">
        <v>0.43959999999999999</v>
      </c>
      <c r="BD889" s="312">
        <v>0.45219999999999999</v>
      </c>
      <c r="BE889" s="312">
        <v>0.49540000000000001</v>
      </c>
      <c r="BF889" s="312">
        <v>0.40679999999999999</v>
      </c>
      <c r="BG889" s="312">
        <v>0.49390000000000001</v>
      </c>
      <c r="BH889" s="312">
        <v>0.3861</v>
      </c>
      <c r="BI889" s="312">
        <v>0.43530000000000002</v>
      </c>
      <c r="BJ889" s="312">
        <v>0.40749999999999997</v>
      </c>
      <c r="BK889" s="312">
        <v>0.53680000000000005</v>
      </c>
      <c r="BM889">
        <f>(C889-C478)*1000000/(RIMS_emp!C889-RIMS_emp!C478)</f>
        <v>37542.559281689726</v>
      </c>
    </row>
    <row r="890" spans="1:65" x14ac:dyDescent="0.25">
      <c r="A890" s="306">
        <v>312140</v>
      </c>
      <c r="B890" s="312" t="s">
        <v>57</v>
      </c>
      <c r="C890" s="312">
        <v>0.38740000000000002</v>
      </c>
      <c r="D890" s="312">
        <v>0</v>
      </c>
      <c r="E890" s="312">
        <v>0</v>
      </c>
      <c r="F890" s="312">
        <v>0.26100000000000001</v>
      </c>
      <c r="G890" s="312">
        <v>0</v>
      </c>
      <c r="H890" s="312">
        <v>0.28149999999999997</v>
      </c>
      <c r="I890" s="312">
        <v>0.27389999999999998</v>
      </c>
      <c r="J890" s="312">
        <v>0.23089999999999999</v>
      </c>
      <c r="K890" s="312">
        <v>0</v>
      </c>
      <c r="L890" s="312">
        <v>0</v>
      </c>
      <c r="M890" s="312">
        <v>0.25</v>
      </c>
      <c r="N890" s="312">
        <v>0.2833</v>
      </c>
      <c r="O890" s="312">
        <v>0.21110000000000001</v>
      </c>
      <c r="P890" s="312">
        <v>0.20280000000000001</v>
      </c>
      <c r="Q890" s="312">
        <v>0.20519999999999999</v>
      </c>
      <c r="R890" s="312">
        <v>0.30220000000000002</v>
      </c>
      <c r="S890" s="312">
        <v>0.2671</v>
      </c>
      <c r="T890" s="312">
        <v>0</v>
      </c>
      <c r="U890" s="312">
        <v>0.25080000000000002</v>
      </c>
      <c r="V890" s="312">
        <v>0</v>
      </c>
      <c r="W890" s="312">
        <v>0</v>
      </c>
      <c r="X890" s="312">
        <v>0.23480000000000001</v>
      </c>
      <c r="Y890" s="312">
        <v>0.25109999999999999</v>
      </c>
      <c r="Z890" s="312">
        <v>0.27229999999999999</v>
      </c>
      <c r="AA890" s="312">
        <v>0.28179999999999999</v>
      </c>
      <c r="AB890" s="312">
        <v>0.2762</v>
      </c>
      <c r="AC890" s="312">
        <v>0</v>
      </c>
      <c r="AD890" s="312">
        <v>0</v>
      </c>
      <c r="AE890" s="312">
        <v>0</v>
      </c>
      <c r="AF890" s="312">
        <v>0</v>
      </c>
      <c r="AG890" s="312">
        <v>0</v>
      </c>
      <c r="AH890" s="312">
        <v>0.2235</v>
      </c>
      <c r="AI890" s="312">
        <v>0.25069999999999998</v>
      </c>
      <c r="AJ890" s="312">
        <v>0</v>
      </c>
      <c r="AK890" s="312">
        <v>0</v>
      </c>
      <c r="AL890" s="312">
        <v>0.19900000000000001</v>
      </c>
      <c r="AM890" s="312">
        <v>0.29770000000000002</v>
      </c>
      <c r="AN890" s="312">
        <v>0</v>
      </c>
      <c r="AO890" s="312">
        <v>0.26629999999999998</v>
      </c>
      <c r="AP890" s="312">
        <v>0.27729999999999999</v>
      </c>
      <c r="AQ890" s="312">
        <v>0</v>
      </c>
      <c r="AR890" s="312">
        <v>0</v>
      </c>
      <c r="AS890" s="312">
        <v>0</v>
      </c>
      <c r="AT890" s="312">
        <v>0.26950000000000002</v>
      </c>
      <c r="AU890" s="312">
        <v>0.27329999999999999</v>
      </c>
      <c r="AV890" s="312">
        <v>0.2621</v>
      </c>
      <c r="AW890" s="312">
        <v>0</v>
      </c>
      <c r="AX890" s="312">
        <v>0</v>
      </c>
      <c r="AY890" s="312">
        <v>0.25719999999999998</v>
      </c>
      <c r="AZ890" s="312">
        <v>0.26879999999999998</v>
      </c>
      <c r="BA890" s="312">
        <v>0</v>
      </c>
      <c r="BB890" s="312">
        <v>0.18179999999999999</v>
      </c>
      <c r="BC890" s="312">
        <v>0.27800000000000002</v>
      </c>
      <c r="BD890" s="312">
        <v>0.27629999999999999</v>
      </c>
      <c r="BE890" s="312">
        <v>0.31369999999999998</v>
      </c>
      <c r="BF890" s="312">
        <v>0.26800000000000002</v>
      </c>
      <c r="BG890" s="312">
        <v>0.29380000000000001</v>
      </c>
      <c r="BH890" s="312">
        <v>0.27679999999999999</v>
      </c>
      <c r="BI890" s="312">
        <v>0.29270000000000002</v>
      </c>
      <c r="BJ890" s="312">
        <v>0.25719999999999998</v>
      </c>
      <c r="BK890" s="312">
        <v>0.28549999999999998</v>
      </c>
      <c r="BM890">
        <f>(C890-C479)*1000000/(RIMS_emp!C890-RIMS_emp!C479)</f>
        <v>37526.097448550747</v>
      </c>
    </row>
    <row r="891" spans="1:65" x14ac:dyDescent="0.25">
      <c r="A891" s="306" t="s">
        <v>708</v>
      </c>
      <c r="B891" s="312" t="s">
        <v>58</v>
      </c>
      <c r="C891" s="312">
        <v>0.3372</v>
      </c>
      <c r="D891" s="312">
        <v>0</v>
      </c>
      <c r="E891" s="312">
        <v>0.22320000000000001</v>
      </c>
      <c r="F891" s="312">
        <v>0</v>
      </c>
      <c r="G891" s="312">
        <v>0</v>
      </c>
      <c r="H891" s="312">
        <v>0.22819999999999999</v>
      </c>
      <c r="I891" s="312">
        <v>0</v>
      </c>
      <c r="J891" s="312">
        <v>0.1991</v>
      </c>
      <c r="K891" s="312">
        <v>2.9399999999999999E-2</v>
      </c>
      <c r="L891" s="312">
        <v>0</v>
      </c>
      <c r="M891" s="312">
        <v>0.2147</v>
      </c>
      <c r="N891" s="312">
        <v>0.25729999999999997</v>
      </c>
      <c r="O891" s="312">
        <v>0</v>
      </c>
      <c r="P891" s="312">
        <v>0</v>
      </c>
      <c r="Q891" s="312">
        <v>0</v>
      </c>
      <c r="R891" s="312">
        <v>0.2326</v>
      </c>
      <c r="S891" s="312">
        <v>0.20349999999999999</v>
      </c>
      <c r="T891" s="312">
        <v>0</v>
      </c>
      <c r="U891" s="312">
        <v>0.22189999999999999</v>
      </c>
      <c r="V891" s="312">
        <v>0</v>
      </c>
      <c r="W891" s="312">
        <v>0</v>
      </c>
      <c r="X891" s="312">
        <v>0</v>
      </c>
      <c r="Y891" s="312">
        <v>0</v>
      </c>
      <c r="Z891" s="312">
        <v>0</v>
      </c>
      <c r="AA891" s="312">
        <v>0</v>
      </c>
      <c r="AB891" s="312">
        <v>0.2069</v>
      </c>
      <c r="AC891" s="312">
        <v>0</v>
      </c>
      <c r="AD891" s="312">
        <v>0</v>
      </c>
      <c r="AE891" s="312">
        <v>0.25069999999999998</v>
      </c>
      <c r="AF891" s="312">
        <v>0</v>
      </c>
      <c r="AG891" s="312">
        <v>0</v>
      </c>
      <c r="AH891" s="312">
        <v>0</v>
      </c>
      <c r="AI891" s="312">
        <v>0.2072</v>
      </c>
      <c r="AJ891" s="312">
        <v>0.17580000000000001</v>
      </c>
      <c r="AK891" s="312">
        <v>0</v>
      </c>
      <c r="AL891" s="312">
        <v>0.16619999999999999</v>
      </c>
      <c r="AM891" s="312">
        <v>0</v>
      </c>
      <c r="AN891" s="312">
        <v>0.2021</v>
      </c>
      <c r="AO891" s="312">
        <v>0</v>
      </c>
      <c r="AP891" s="312">
        <v>0.24610000000000001</v>
      </c>
      <c r="AQ891" s="312">
        <v>0</v>
      </c>
      <c r="AR891" s="312">
        <v>0.2331</v>
      </c>
      <c r="AS891" s="312">
        <v>0</v>
      </c>
      <c r="AT891" s="312">
        <v>0.2437</v>
      </c>
      <c r="AU891" s="312">
        <v>0.22550000000000001</v>
      </c>
      <c r="AV891" s="312">
        <v>0.22700000000000001</v>
      </c>
      <c r="AW891" s="312">
        <v>0.23760000000000001</v>
      </c>
      <c r="AX891" s="312">
        <v>0</v>
      </c>
      <c r="AY891" s="312">
        <v>0.21</v>
      </c>
      <c r="AZ891" s="312">
        <v>0.2248</v>
      </c>
      <c r="BA891" s="312">
        <v>0.15859999999999999</v>
      </c>
      <c r="BB891" s="312">
        <v>0.1613</v>
      </c>
      <c r="BC891" s="312">
        <v>0.2361</v>
      </c>
      <c r="BD891" s="312">
        <v>0.2283</v>
      </c>
      <c r="BE891" s="312">
        <v>0.24940000000000001</v>
      </c>
      <c r="BF891" s="312">
        <v>0.21199999999999999</v>
      </c>
      <c r="BG891" s="312">
        <v>0.2762</v>
      </c>
      <c r="BH891" s="312">
        <v>0.25309999999999999</v>
      </c>
      <c r="BI891" s="312">
        <v>0.2331</v>
      </c>
      <c r="BJ891" s="312">
        <v>0.2172</v>
      </c>
      <c r="BK891" s="312">
        <v>0.23180000000000001</v>
      </c>
      <c r="BM891">
        <f>(C891-C480)*1000000/(RIMS_emp!C891-RIMS_emp!C480)</f>
        <v>37542.449450104374</v>
      </c>
    </row>
    <row r="892" spans="1:65" x14ac:dyDescent="0.25">
      <c r="A892" s="306">
        <v>313100</v>
      </c>
      <c r="B892" s="312" t="s">
        <v>59</v>
      </c>
      <c r="C892" s="312">
        <v>0.80600000000000005</v>
      </c>
      <c r="D892" s="312">
        <v>0</v>
      </c>
      <c r="E892" s="312">
        <v>0.53259999999999996</v>
      </c>
      <c r="F892" s="312">
        <v>0</v>
      </c>
      <c r="G892" s="312">
        <v>0.42299999999999999</v>
      </c>
      <c r="H892" s="312">
        <v>0.41689999999999999</v>
      </c>
      <c r="I892" s="312">
        <v>0</v>
      </c>
      <c r="J892" s="312">
        <v>0.33169999999999999</v>
      </c>
      <c r="K892" s="312">
        <v>0</v>
      </c>
      <c r="L892" s="312">
        <v>0</v>
      </c>
      <c r="M892" s="312">
        <v>0.39689999999999998</v>
      </c>
      <c r="N892" s="312">
        <v>0.56189999999999996</v>
      </c>
      <c r="O892" s="312">
        <v>0</v>
      </c>
      <c r="P892" s="312">
        <v>0</v>
      </c>
      <c r="Q892" s="312">
        <v>0.2868</v>
      </c>
      <c r="R892" s="312">
        <v>0.38340000000000002</v>
      </c>
      <c r="S892" s="312">
        <v>0.3377</v>
      </c>
      <c r="T892" s="312">
        <v>0.30959999999999999</v>
      </c>
      <c r="U892" s="312">
        <v>0</v>
      </c>
      <c r="V892" s="312">
        <v>0.40550000000000003</v>
      </c>
      <c r="W892" s="312">
        <v>0.35870000000000002</v>
      </c>
      <c r="X892" s="312">
        <v>0.30719999999999997</v>
      </c>
      <c r="Y892" s="312">
        <v>0.36280000000000001</v>
      </c>
      <c r="Z892" s="312">
        <v>0.3513</v>
      </c>
      <c r="AA892" s="312">
        <v>0</v>
      </c>
      <c r="AB892" s="312">
        <v>0</v>
      </c>
      <c r="AC892" s="312">
        <v>0.3775</v>
      </c>
      <c r="AD892" s="312">
        <v>0</v>
      </c>
      <c r="AE892" s="312">
        <v>0.54330000000000001</v>
      </c>
      <c r="AF892" s="312">
        <v>0</v>
      </c>
      <c r="AG892" s="312">
        <v>0.27629999999999999</v>
      </c>
      <c r="AH892" s="312">
        <v>0.32129999999999997</v>
      </c>
      <c r="AI892" s="312">
        <v>0.33850000000000002</v>
      </c>
      <c r="AJ892" s="312">
        <v>0.34839999999999999</v>
      </c>
      <c r="AK892" s="312">
        <v>0</v>
      </c>
      <c r="AL892" s="312">
        <v>0.26740000000000003</v>
      </c>
      <c r="AM892" s="312">
        <v>0.40179999999999999</v>
      </c>
      <c r="AN892" s="312">
        <v>0.36299999999999999</v>
      </c>
      <c r="AO892" s="312">
        <v>0.3256</v>
      </c>
      <c r="AP892" s="312">
        <v>0.3886</v>
      </c>
      <c r="AQ892" s="312">
        <v>0.33339999999999997</v>
      </c>
      <c r="AR892" s="312">
        <v>0.53790000000000004</v>
      </c>
      <c r="AS892" s="312">
        <v>0</v>
      </c>
      <c r="AT892" s="312">
        <v>0.53969999999999996</v>
      </c>
      <c r="AU892" s="312">
        <v>0.44159999999999999</v>
      </c>
      <c r="AV892" s="312">
        <v>0.36459999999999998</v>
      </c>
      <c r="AW892" s="312">
        <v>0.48089999999999999</v>
      </c>
      <c r="AX892" s="312">
        <v>0.3327</v>
      </c>
      <c r="AY892" s="312">
        <v>0.33429999999999999</v>
      </c>
      <c r="AZ892" s="312">
        <v>0.3599</v>
      </c>
      <c r="BA892" s="312">
        <v>0.25240000000000001</v>
      </c>
      <c r="BB892" s="312">
        <v>0.2661</v>
      </c>
      <c r="BC892" s="312">
        <v>0.41570000000000001</v>
      </c>
      <c r="BD892" s="312">
        <v>0.37980000000000003</v>
      </c>
      <c r="BE892" s="312">
        <v>0.40679999999999999</v>
      </c>
      <c r="BF892" s="312">
        <v>0.36940000000000001</v>
      </c>
      <c r="BG892" s="312">
        <v>0.62409999999999999</v>
      </c>
      <c r="BH892" s="312">
        <v>0.58150000000000002</v>
      </c>
      <c r="BI892" s="312">
        <v>0.44869999999999999</v>
      </c>
      <c r="BJ892" s="312">
        <v>0.40029999999999999</v>
      </c>
      <c r="BK892" s="312">
        <v>0.4168</v>
      </c>
      <c r="BM892">
        <f>(C892-C481)*1000000/(RIMS_emp!C892-RIMS_emp!C481)</f>
        <v>37537.146134195296</v>
      </c>
    </row>
    <row r="893" spans="1:65" x14ac:dyDescent="0.25">
      <c r="A893" s="306">
        <v>313210</v>
      </c>
      <c r="B893" s="312" t="s">
        <v>60</v>
      </c>
      <c r="C893" s="312">
        <v>0.82789999999999997</v>
      </c>
      <c r="D893" s="312">
        <v>0</v>
      </c>
      <c r="E893" s="312">
        <v>0.54520000000000002</v>
      </c>
      <c r="F893" s="312">
        <v>0.4168</v>
      </c>
      <c r="G893" s="312">
        <v>0.47060000000000002</v>
      </c>
      <c r="H893" s="312">
        <v>0.5323</v>
      </c>
      <c r="I893" s="312">
        <v>0</v>
      </c>
      <c r="J893" s="312">
        <v>0.42349999999999999</v>
      </c>
      <c r="K893" s="312">
        <v>0.1018</v>
      </c>
      <c r="L893" s="312">
        <v>0.34279999999999999</v>
      </c>
      <c r="M893" s="312">
        <v>0.46989999999999998</v>
      </c>
      <c r="N893" s="312">
        <v>0.5998</v>
      </c>
      <c r="O893" s="312">
        <v>0</v>
      </c>
      <c r="P893" s="312">
        <v>0</v>
      </c>
      <c r="Q893" s="312">
        <v>0.36680000000000001</v>
      </c>
      <c r="R893" s="312">
        <v>0.49609999999999999</v>
      </c>
      <c r="S893" s="312">
        <v>0.4214</v>
      </c>
      <c r="T893" s="312">
        <v>0</v>
      </c>
      <c r="U893" s="312">
        <v>0.41189999999999999</v>
      </c>
      <c r="V893" s="312">
        <v>0.46529999999999999</v>
      </c>
      <c r="W893" s="312">
        <v>0.47120000000000001</v>
      </c>
      <c r="X893" s="312">
        <v>0.38600000000000001</v>
      </c>
      <c r="Y893" s="312">
        <v>0.45450000000000002</v>
      </c>
      <c r="Z893" s="312">
        <v>0.45789999999999997</v>
      </c>
      <c r="AA893" s="312">
        <v>0.44379999999999997</v>
      </c>
      <c r="AB893" s="312">
        <v>0.43330000000000002</v>
      </c>
      <c r="AC893" s="312">
        <v>0.44169999999999998</v>
      </c>
      <c r="AD893" s="312">
        <v>0.3543</v>
      </c>
      <c r="AE893" s="312">
        <v>0.58389999999999997</v>
      </c>
      <c r="AF893" s="312">
        <v>0.34189999999999998</v>
      </c>
      <c r="AG893" s="312">
        <v>0</v>
      </c>
      <c r="AH893" s="312">
        <v>0.4163</v>
      </c>
      <c r="AI893" s="312">
        <v>0.47210000000000002</v>
      </c>
      <c r="AJ893" s="312">
        <v>0.3972</v>
      </c>
      <c r="AK893" s="312">
        <v>0.3705</v>
      </c>
      <c r="AL893" s="312">
        <v>0.3795</v>
      </c>
      <c r="AM893" s="312">
        <v>0.50349999999999995</v>
      </c>
      <c r="AN893" s="312">
        <v>0.43580000000000002</v>
      </c>
      <c r="AO893" s="312">
        <v>0.42980000000000002</v>
      </c>
      <c r="AP893" s="312">
        <v>0.53049999999999997</v>
      </c>
      <c r="AQ893" s="312">
        <v>0.43280000000000002</v>
      </c>
      <c r="AR893" s="312">
        <v>0.56340000000000001</v>
      </c>
      <c r="AS893" s="312">
        <v>0</v>
      </c>
      <c r="AT893" s="312">
        <v>0.56579999999999997</v>
      </c>
      <c r="AU893" s="312">
        <v>0.51539999999999997</v>
      </c>
      <c r="AV893" s="312">
        <v>0.49559999999999998</v>
      </c>
      <c r="AW893" s="312">
        <v>0.52769999999999995</v>
      </c>
      <c r="AX893" s="312">
        <v>0.38750000000000001</v>
      </c>
      <c r="AY893" s="312">
        <v>0.43669999999999998</v>
      </c>
      <c r="AZ893" s="312">
        <v>0.46150000000000002</v>
      </c>
      <c r="BA893" s="312">
        <v>0</v>
      </c>
      <c r="BB893" s="312">
        <v>0</v>
      </c>
      <c r="BC893" s="312">
        <v>0.54979999999999996</v>
      </c>
      <c r="BD893" s="312">
        <v>0.53510000000000002</v>
      </c>
      <c r="BE893" s="312">
        <v>0.52210000000000001</v>
      </c>
      <c r="BF893" s="312">
        <v>0.45419999999999999</v>
      </c>
      <c r="BG893" s="312">
        <v>0.66390000000000005</v>
      </c>
      <c r="BH893" s="312">
        <v>0.60450000000000004</v>
      </c>
      <c r="BI893" s="312">
        <v>0.52110000000000001</v>
      </c>
      <c r="BJ893" s="312">
        <v>0.48070000000000002</v>
      </c>
      <c r="BK893" s="312">
        <v>0.53700000000000003</v>
      </c>
      <c r="BM893">
        <f>(C893-C482)*1000000/(RIMS_emp!C893-RIMS_emp!C482)</f>
        <v>37531.403050219502</v>
      </c>
    </row>
    <row r="894" spans="1:65" x14ac:dyDescent="0.25">
      <c r="A894" s="306">
        <v>313220</v>
      </c>
      <c r="B894" s="312" t="s">
        <v>61</v>
      </c>
      <c r="C894" s="312">
        <v>0.90720000000000001</v>
      </c>
      <c r="D894" s="312">
        <v>0</v>
      </c>
      <c r="E894" s="312">
        <v>0.61850000000000005</v>
      </c>
      <c r="F894" s="312">
        <v>0</v>
      </c>
      <c r="G894" s="312">
        <v>0.54600000000000004</v>
      </c>
      <c r="H894" s="312">
        <v>0.57889999999999997</v>
      </c>
      <c r="I894" s="312">
        <v>0.54339999999999999</v>
      </c>
      <c r="J894" s="312">
        <v>0.52139999999999997</v>
      </c>
      <c r="K894" s="312">
        <v>0</v>
      </c>
      <c r="L894" s="312">
        <v>0</v>
      </c>
      <c r="M894" s="312">
        <v>0.55620000000000003</v>
      </c>
      <c r="N894" s="312">
        <v>0.6663</v>
      </c>
      <c r="O894" s="312">
        <v>0</v>
      </c>
      <c r="P894" s="312">
        <v>0</v>
      </c>
      <c r="Q894" s="312">
        <v>0.45929999999999999</v>
      </c>
      <c r="R894" s="312">
        <v>0.58899999999999997</v>
      </c>
      <c r="S894" s="312">
        <v>0</v>
      </c>
      <c r="T894" s="312">
        <v>0.41</v>
      </c>
      <c r="U894" s="312">
        <v>0.49280000000000002</v>
      </c>
      <c r="V894" s="312">
        <v>0.53069999999999995</v>
      </c>
      <c r="W894" s="312">
        <v>0.53520000000000001</v>
      </c>
      <c r="X894" s="312">
        <v>0.4793</v>
      </c>
      <c r="Y894" s="312">
        <v>0.56940000000000002</v>
      </c>
      <c r="Z894" s="312">
        <v>0.54169999999999996</v>
      </c>
      <c r="AA894" s="312">
        <v>0.53800000000000003</v>
      </c>
      <c r="AB894" s="312">
        <v>0</v>
      </c>
      <c r="AC894" s="312">
        <v>0</v>
      </c>
      <c r="AD894" s="312">
        <v>0.44080000000000003</v>
      </c>
      <c r="AE894" s="312">
        <v>0.65739999999999998</v>
      </c>
      <c r="AF894" s="312">
        <v>0</v>
      </c>
      <c r="AG894" s="312">
        <v>0</v>
      </c>
      <c r="AH894" s="312">
        <v>0.51549999999999996</v>
      </c>
      <c r="AI894" s="312">
        <v>0.54469999999999996</v>
      </c>
      <c r="AJ894" s="312">
        <v>0.4763</v>
      </c>
      <c r="AK894" s="312">
        <v>0</v>
      </c>
      <c r="AL894" s="312">
        <v>0.4299</v>
      </c>
      <c r="AM894" s="312">
        <v>0.5857</v>
      </c>
      <c r="AN894" s="312">
        <v>0.50390000000000001</v>
      </c>
      <c r="AO894" s="312">
        <v>0</v>
      </c>
      <c r="AP894" s="312">
        <v>0.61240000000000006</v>
      </c>
      <c r="AQ894" s="312">
        <v>0.5272</v>
      </c>
      <c r="AR894" s="312">
        <v>0.6361</v>
      </c>
      <c r="AS894" s="312">
        <v>0</v>
      </c>
      <c r="AT894" s="312">
        <v>0.63529999999999998</v>
      </c>
      <c r="AU894" s="312">
        <v>0.57950000000000002</v>
      </c>
      <c r="AV894" s="312">
        <v>0.57289999999999996</v>
      </c>
      <c r="AW894" s="312">
        <v>0.63460000000000005</v>
      </c>
      <c r="AX894" s="312">
        <v>0</v>
      </c>
      <c r="AY894" s="312">
        <v>0</v>
      </c>
      <c r="AZ894" s="312">
        <v>0</v>
      </c>
      <c r="BA894" s="312">
        <v>0</v>
      </c>
      <c r="BB894" s="312">
        <v>0</v>
      </c>
      <c r="BC894" s="312">
        <v>0.62680000000000002</v>
      </c>
      <c r="BD894" s="312">
        <v>0.60189999999999999</v>
      </c>
      <c r="BE894" s="312">
        <v>0.60650000000000004</v>
      </c>
      <c r="BF894" s="312">
        <v>0.53449999999999998</v>
      </c>
      <c r="BG894" s="312">
        <v>0.74260000000000004</v>
      </c>
      <c r="BH894" s="312">
        <v>0.67149999999999999</v>
      </c>
      <c r="BI894" s="312">
        <v>0.58309999999999995</v>
      </c>
      <c r="BJ894" s="312">
        <v>0.55659999999999998</v>
      </c>
      <c r="BK894" s="312">
        <v>0.58069999999999999</v>
      </c>
      <c r="BM894">
        <f>(C894-C483)*1000000/(RIMS_emp!C894-RIMS_emp!C483)</f>
        <v>37540.528022232516</v>
      </c>
    </row>
    <row r="895" spans="1:65" x14ac:dyDescent="0.25">
      <c r="A895" s="306">
        <v>313230</v>
      </c>
      <c r="B895" s="312" t="s">
        <v>62</v>
      </c>
      <c r="C895" s="312">
        <v>0.7147</v>
      </c>
      <c r="D895" s="312">
        <v>0</v>
      </c>
      <c r="E895" s="312">
        <v>0.42420000000000002</v>
      </c>
      <c r="F895" s="312">
        <v>0.3377</v>
      </c>
      <c r="G895" s="312">
        <v>0.35510000000000003</v>
      </c>
      <c r="H895" s="312">
        <v>0.43359999999999999</v>
      </c>
      <c r="I895" s="312">
        <v>0</v>
      </c>
      <c r="J895" s="312">
        <v>0.36280000000000001</v>
      </c>
      <c r="K895" s="312">
        <v>0</v>
      </c>
      <c r="L895" s="312">
        <v>0.29160000000000003</v>
      </c>
      <c r="M895" s="312">
        <v>0.36599999999999999</v>
      </c>
      <c r="N895" s="312">
        <v>0.48070000000000002</v>
      </c>
      <c r="O895" s="312">
        <v>0</v>
      </c>
      <c r="P895" s="312">
        <v>0</v>
      </c>
      <c r="Q895" s="312">
        <v>0.29389999999999999</v>
      </c>
      <c r="R895" s="312">
        <v>0.47089999999999999</v>
      </c>
      <c r="S895" s="312">
        <v>0.4032</v>
      </c>
      <c r="T895" s="312">
        <v>0.30449999999999999</v>
      </c>
      <c r="U895" s="312">
        <v>0.39040000000000002</v>
      </c>
      <c r="V895" s="312">
        <v>0</v>
      </c>
      <c r="W895" s="312">
        <v>0.39219999999999999</v>
      </c>
      <c r="X895" s="312">
        <v>0.32169999999999999</v>
      </c>
      <c r="Y895" s="312">
        <v>0.36890000000000001</v>
      </c>
      <c r="Z895" s="312">
        <v>0</v>
      </c>
      <c r="AA895" s="312">
        <v>0</v>
      </c>
      <c r="AB895" s="312">
        <v>0.3962</v>
      </c>
      <c r="AC895" s="312">
        <v>0.36620000000000003</v>
      </c>
      <c r="AD895" s="312">
        <v>0</v>
      </c>
      <c r="AE895" s="312">
        <v>0.46660000000000001</v>
      </c>
      <c r="AF895" s="312">
        <v>0</v>
      </c>
      <c r="AG895" s="312">
        <v>0.28639999999999999</v>
      </c>
      <c r="AH895" s="312">
        <v>0.32900000000000001</v>
      </c>
      <c r="AI895" s="312">
        <v>0.41810000000000003</v>
      </c>
      <c r="AJ895" s="312">
        <v>0</v>
      </c>
      <c r="AK895" s="312">
        <v>0.28399999999999997</v>
      </c>
      <c r="AL895" s="312">
        <v>0.29330000000000001</v>
      </c>
      <c r="AM895" s="312">
        <v>0.47649999999999998</v>
      </c>
      <c r="AN895" s="312">
        <v>0.34720000000000001</v>
      </c>
      <c r="AO895" s="312">
        <v>0</v>
      </c>
      <c r="AP895" s="312">
        <v>0.4672</v>
      </c>
      <c r="AQ895" s="312">
        <v>0.36730000000000002</v>
      </c>
      <c r="AR895" s="312">
        <v>0.46189999999999998</v>
      </c>
      <c r="AS895" s="312">
        <v>0</v>
      </c>
      <c r="AT895" s="312">
        <v>0.46050000000000002</v>
      </c>
      <c r="AU895" s="312">
        <v>0.46339999999999998</v>
      </c>
      <c r="AV895" s="312">
        <v>0</v>
      </c>
      <c r="AW895" s="312">
        <v>0.40260000000000001</v>
      </c>
      <c r="AX895" s="312">
        <v>0</v>
      </c>
      <c r="AY895" s="312">
        <v>0.35410000000000003</v>
      </c>
      <c r="AZ895" s="312">
        <v>0.40789999999999998</v>
      </c>
      <c r="BA895" s="312">
        <v>0.2928</v>
      </c>
      <c r="BB895" s="312">
        <v>0</v>
      </c>
      <c r="BC895" s="312">
        <v>0.4577</v>
      </c>
      <c r="BD895" s="312">
        <v>0.45629999999999998</v>
      </c>
      <c r="BE895" s="312">
        <v>0.50039999999999996</v>
      </c>
      <c r="BF895" s="312">
        <v>0.40010000000000001</v>
      </c>
      <c r="BG895" s="312">
        <v>0.53239999999999998</v>
      </c>
      <c r="BH895" s="312">
        <v>0.49349999999999999</v>
      </c>
      <c r="BI895" s="312">
        <v>0.47060000000000002</v>
      </c>
      <c r="BJ895" s="312">
        <v>0.38200000000000001</v>
      </c>
      <c r="BK895" s="312">
        <v>0.43140000000000001</v>
      </c>
      <c r="BM895">
        <f>(C895-C484)*1000000/(RIMS_emp!C895-RIMS_emp!C484)</f>
        <v>37538.949967664179</v>
      </c>
    </row>
    <row r="896" spans="1:65" x14ac:dyDescent="0.25">
      <c r="A896" s="306">
        <v>313240</v>
      </c>
      <c r="B896" s="312" t="s">
        <v>63</v>
      </c>
      <c r="C896" s="312">
        <v>0.86119999999999997</v>
      </c>
      <c r="D896" s="312">
        <v>0</v>
      </c>
      <c r="E896" s="312">
        <v>0.56969999999999998</v>
      </c>
      <c r="F896" s="312">
        <v>0</v>
      </c>
      <c r="G896" s="312">
        <v>0.45229999999999998</v>
      </c>
      <c r="H896" s="312">
        <v>0.49380000000000002</v>
      </c>
      <c r="I896" s="312">
        <v>0</v>
      </c>
      <c r="J896" s="312">
        <v>0</v>
      </c>
      <c r="K896" s="312">
        <v>0</v>
      </c>
      <c r="L896" s="312">
        <v>0</v>
      </c>
      <c r="M896" s="312">
        <v>0.4461</v>
      </c>
      <c r="N896" s="312">
        <v>0.62480000000000002</v>
      </c>
      <c r="O896" s="312">
        <v>0</v>
      </c>
      <c r="P896" s="312">
        <v>0.33560000000000001</v>
      </c>
      <c r="Q896" s="312">
        <v>0</v>
      </c>
      <c r="R896" s="312">
        <v>0.47360000000000002</v>
      </c>
      <c r="S896" s="312">
        <v>0.39789999999999998</v>
      </c>
      <c r="T896" s="312">
        <v>0.3301</v>
      </c>
      <c r="U896" s="312">
        <v>0.38140000000000002</v>
      </c>
      <c r="V896" s="312">
        <v>0</v>
      </c>
      <c r="W896" s="312">
        <v>0.45519999999999999</v>
      </c>
      <c r="X896" s="312">
        <v>0.4032</v>
      </c>
      <c r="Y896" s="312">
        <v>0.48470000000000002</v>
      </c>
      <c r="Z896" s="312">
        <v>0.43280000000000002</v>
      </c>
      <c r="AA896" s="312">
        <v>0.41899999999999998</v>
      </c>
      <c r="AB896" s="312">
        <v>0.39140000000000003</v>
      </c>
      <c r="AC896" s="312">
        <v>0.39810000000000001</v>
      </c>
      <c r="AD896" s="312">
        <v>0</v>
      </c>
      <c r="AE896" s="312">
        <v>0.60370000000000001</v>
      </c>
      <c r="AF896" s="312">
        <v>0</v>
      </c>
      <c r="AG896" s="312">
        <v>0</v>
      </c>
      <c r="AH896" s="312">
        <v>0.42430000000000001</v>
      </c>
      <c r="AI896" s="312">
        <v>0.45440000000000003</v>
      </c>
      <c r="AJ896" s="312">
        <v>0</v>
      </c>
      <c r="AK896" s="312">
        <v>0</v>
      </c>
      <c r="AL896" s="312">
        <v>0.35820000000000002</v>
      </c>
      <c r="AM896" s="312">
        <v>0</v>
      </c>
      <c r="AN896" s="312">
        <v>0</v>
      </c>
      <c r="AO896" s="312">
        <v>0</v>
      </c>
      <c r="AP896" s="312">
        <v>0.51270000000000004</v>
      </c>
      <c r="AQ896" s="312">
        <v>0.46439999999999998</v>
      </c>
      <c r="AR896" s="312">
        <v>0.59019999999999995</v>
      </c>
      <c r="AS896" s="312">
        <v>0</v>
      </c>
      <c r="AT896" s="312">
        <v>0.59619999999999995</v>
      </c>
      <c r="AU896" s="312">
        <v>0</v>
      </c>
      <c r="AV896" s="312">
        <v>0</v>
      </c>
      <c r="AW896" s="312">
        <v>0</v>
      </c>
      <c r="AX896" s="312">
        <v>0</v>
      </c>
      <c r="AY896" s="312">
        <v>0</v>
      </c>
      <c r="AZ896" s="312">
        <v>0.4456</v>
      </c>
      <c r="BA896" s="312">
        <v>0</v>
      </c>
      <c r="BB896" s="312">
        <v>0</v>
      </c>
      <c r="BC896" s="312">
        <v>0.53500000000000003</v>
      </c>
      <c r="BD896" s="312">
        <v>0.50570000000000004</v>
      </c>
      <c r="BE896" s="312">
        <v>0.48699999999999999</v>
      </c>
      <c r="BF896" s="312">
        <v>0.41899999999999998</v>
      </c>
      <c r="BG896" s="312">
        <v>0.69499999999999995</v>
      </c>
      <c r="BH896" s="312">
        <v>0.62360000000000004</v>
      </c>
      <c r="BI896" s="312">
        <v>0</v>
      </c>
      <c r="BJ896" s="312">
        <v>0.45679999999999998</v>
      </c>
      <c r="BK896" s="312">
        <v>0.49630000000000002</v>
      </c>
      <c r="BM896">
        <f>(C896-C485)*1000000/(RIMS_emp!C896-RIMS_emp!C485)</f>
        <v>37532.629113707888</v>
      </c>
    </row>
    <row r="897" spans="1:65" x14ac:dyDescent="0.25">
      <c r="A897" s="306">
        <v>313310</v>
      </c>
      <c r="B897" s="312" t="s">
        <v>64</v>
      </c>
      <c r="C897" s="312">
        <v>0.68620000000000003</v>
      </c>
      <c r="D897" s="312">
        <v>0.27760000000000001</v>
      </c>
      <c r="E897" s="312">
        <v>0.4304</v>
      </c>
      <c r="F897" s="312">
        <v>0.32479999999999998</v>
      </c>
      <c r="G897" s="312">
        <v>0.35410000000000003</v>
      </c>
      <c r="H897" s="312">
        <v>0.4274</v>
      </c>
      <c r="I897" s="312">
        <v>0.37180000000000002</v>
      </c>
      <c r="J897" s="312">
        <v>0.34310000000000002</v>
      </c>
      <c r="K897" s="312">
        <v>7.9100000000000004E-2</v>
      </c>
      <c r="L897" s="312">
        <v>0.26190000000000002</v>
      </c>
      <c r="M897" s="312">
        <v>0.35599999999999998</v>
      </c>
      <c r="N897" s="312">
        <v>0.48449999999999999</v>
      </c>
      <c r="O897" s="312">
        <v>0.31559999999999999</v>
      </c>
      <c r="P897" s="312">
        <v>0.29630000000000001</v>
      </c>
      <c r="Q897" s="312">
        <v>0.29380000000000001</v>
      </c>
      <c r="R897" s="312">
        <v>0.41060000000000002</v>
      </c>
      <c r="S897" s="312">
        <v>0.3594</v>
      </c>
      <c r="T897" s="312">
        <v>0.28189999999999998</v>
      </c>
      <c r="U897" s="312">
        <v>0.34889999999999999</v>
      </c>
      <c r="V897" s="312">
        <v>0.38059999999999999</v>
      </c>
      <c r="W897" s="312">
        <v>0.39739999999999998</v>
      </c>
      <c r="X897" s="312">
        <v>0.31619999999999998</v>
      </c>
      <c r="Y897" s="312">
        <v>0.38850000000000001</v>
      </c>
      <c r="Z897" s="312">
        <v>0.38440000000000002</v>
      </c>
      <c r="AA897" s="312">
        <v>0.36620000000000003</v>
      </c>
      <c r="AB897" s="312">
        <v>0.33150000000000002</v>
      </c>
      <c r="AC897" s="312">
        <v>0.36680000000000001</v>
      </c>
      <c r="AD897" s="312">
        <v>0.28810000000000002</v>
      </c>
      <c r="AE897" s="312">
        <v>0.48159999999999997</v>
      </c>
      <c r="AF897" s="312">
        <v>0.29849999999999999</v>
      </c>
      <c r="AG897" s="312">
        <v>0.2757</v>
      </c>
      <c r="AH897" s="312">
        <v>0.37069999999999997</v>
      </c>
      <c r="AI897" s="312">
        <v>0.39860000000000001</v>
      </c>
      <c r="AJ897" s="312">
        <v>0.2999</v>
      </c>
      <c r="AK897" s="312">
        <v>0</v>
      </c>
      <c r="AL897" s="312">
        <v>0.31950000000000001</v>
      </c>
      <c r="AM897" s="312">
        <v>0.40360000000000001</v>
      </c>
      <c r="AN897" s="312">
        <v>0.33660000000000001</v>
      </c>
      <c r="AO897" s="312">
        <v>0.36130000000000001</v>
      </c>
      <c r="AP897" s="312">
        <v>0.49359999999999998</v>
      </c>
      <c r="AQ897" s="312">
        <v>0.3654</v>
      </c>
      <c r="AR897" s="312">
        <v>0.4667</v>
      </c>
      <c r="AS897" s="312">
        <v>0.26419999999999999</v>
      </c>
      <c r="AT897" s="312">
        <v>0.44690000000000002</v>
      </c>
      <c r="AU897" s="312">
        <v>0.43730000000000002</v>
      </c>
      <c r="AV897" s="312">
        <v>0.40939999999999999</v>
      </c>
      <c r="AW897" s="312">
        <v>0.41880000000000001</v>
      </c>
      <c r="AX897" s="312">
        <v>0.29599999999999999</v>
      </c>
      <c r="AY897" s="312">
        <v>0.36309999999999998</v>
      </c>
      <c r="AZ897" s="312">
        <v>0.41220000000000001</v>
      </c>
      <c r="BA897" s="312">
        <v>0</v>
      </c>
      <c r="BB897" s="312">
        <v>0.27039999999999997</v>
      </c>
      <c r="BC897" s="312">
        <v>0.47910000000000003</v>
      </c>
      <c r="BD897" s="312">
        <v>0.4667</v>
      </c>
      <c r="BE897" s="312">
        <v>0.439</v>
      </c>
      <c r="BF897" s="312">
        <v>0.36380000000000001</v>
      </c>
      <c r="BG897" s="312">
        <v>0.54959999999999998</v>
      </c>
      <c r="BH897" s="312">
        <v>0.4919</v>
      </c>
      <c r="BI897" s="312">
        <v>0.43709999999999999</v>
      </c>
      <c r="BJ897" s="312">
        <v>0.3775</v>
      </c>
      <c r="BK897" s="312">
        <v>0.43230000000000002</v>
      </c>
      <c r="BM897">
        <f>(C897-C486)*1000000/(RIMS_emp!C897-RIMS_emp!C486)</f>
        <v>37539.997244209015</v>
      </c>
    </row>
    <row r="898" spans="1:65" x14ac:dyDescent="0.25">
      <c r="A898" s="306">
        <v>313320</v>
      </c>
      <c r="B898" s="312" t="s">
        <v>65</v>
      </c>
      <c r="C898" s="312">
        <v>0.81799999999999995</v>
      </c>
      <c r="D898" s="312">
        <v>0</v>
      </c>
      <c r="E898" s="312">
        <v>0</v>
      </c>
      <c r="F898" s="312">
        <v>0.4335</v>
      </c>
      <c r="G898" s="312">
        <v>0.41270000000000001</v>
      </c>
      <c r="H898" s="312">
        <v>0.48809999999999998</v>
      </c>
      <c r="I898" s="312">
        <v>0.43519999999999998</v>
      </c>
      <c r="J898" s="312">
        <v>0.42949999999999999</v>
      </c>
      <c r="K898" s="312">
        <v>0</v>
      </c>
      <c r="L898" s="312">
        <v>0.36180000000000001</v>
      </c>
      <c r="M898" s="312">
        <v>0.43049999999999999</v>
      </c>
      <c r="N898" s="312">
        <v>0.56930000000000003</v>
      </c>
      <c r="O898" s="312">
        <v>0</v>
      </c>
      <c r="P898" s="312">
        <v>0</v>
      </c>
      <c r="Q898" s="312">
        <v>0</v>
      </c>
      <c r="R898" s="312">
        <v>0.51900000000000002</v>
      </c>
      <c r="S898" s="312">
        <v>0.47810000000000002</v>
      </c>
      <c r="T898" s="312">
        <v>0</v>
      </c>
      <c r="U898" s="312">
        <v>0</v>
      </c>
      <c r="V898" s="312">
        <v>0</v>
      </c>
      <c r="W898" s="312">
        <v>0.50039999999999996</v>
      </c>
      <c r="X898" s="312">
        <v>0.36170000000000002</v>
      </c>
      <c r="Y898" s="312">
        <v>0.46229999999999999</v>
      </c>
      <c r="Z898" s="312">
        <v>0.4612</v>
      </c>
      <c r="AA898" s="312">
        <v>0.45140000000000002</v>
      </c>
      <c r="AB898" s="312">
        <v>0.44419999999999998</v>
      </c>
      <c r="AC898" s="312">
        <v>0</v>
      </c>
      <c r="AD898" s="312">
        <v>0</v>
      </c>
      <c r="AE898" s="312">
        <v>0.54600000000000004</v>
      </c>
      <c r="AF898" s="312">
        <v>0</v>
      </c>
      <c r="AG898" s="312">
        <v>0</v>
      </c>
      <c r="AH898" s="312">
        <v>0.4415</v>
      </c>
      <c r="AI898" s="312">
        <v>0.4869</v>
      </c>
      <c r="AJ898" s="312">
        <v>0.34329999999999999</v>
      </c>
      <c r="AK898" s="312">
        <v>0.35120000000000001</v>
      </c>
      <c r="AL898" s="312">
        <v>0.35620000000000002</v>
      </c>
      <c r="AM898" s="312">
        <v>0.56940000000000002</v>
      </c>
      <c r="AN898" s="312">
        <v>0.40229999999999999</v>
      </c>
      <c r="AO898" s="312">
        <v>0</v>
      </c>
      <c r="AP898" s="312">
        <v>0.54879999999999995</v>
      </c>
      <c r="AQ898" s="312">
        <v>0.4531</v>
      </c>
      <c r="AR898" s="312">
        <v>0.54379999999999995</v>
      </c>
      <c r="AS898" s="312">
        <v>0</v>
      </c>
      <c r="AT898" s="312">
        <v>0.54359999999999997</v>
      </c>
      <c r="AU898" s="312">
        <v>0.52700000000000002</v>
      </c>
      <c r="AV898" s="312">
        <v>0.45469999999999999</v>
      </c>
      <c r="AW898" s="312">
        <v>0.50390000000000001</v>
      </c>
      <c r="AX898" s="312">
        <v>0</v>
      </c>
      <c r="AY898" s="312">
        <v>0.4289</v>
      </c>
      <c r="AZ898" s="312">
        <v>0.51449999999999996</v>
      </c>
      <c r="BA898" s="312">
        <v>0</v>
      </c>
      <c r="BB898" s="312">
        <v>0</v>
      </c>
      <c r="BC898" s="312">
        <v>0.58340000000000003</v>
      </c>
      <c r="BD898" s="312">
        <v>0.53639999999999999</v>
      </c>
      <c r="BE898" s="312">
        <v>0.58589999999999998</v>
      </c>
      <c r="BF898" s="312">
        <v>0.45929999999999999</v>
      </c>
      <c r="BG898" s="312">
        <v>0.622</v>
      </c>
      <c r="BH898" s="312">
        <v>0.58520000000000005</v>
      </c>
      <c r="BI898" s="312">
        <v>0.53559999999999997</v>
      </c>
      <c r="BJ898" s="312">
        <v>0.43690000000000001</v>
      </c>
      <c r="BK898" s="312">
        <v>0.49270000000000003</v>
      </c>
      <c r="BM898">
        <f>(C898-C487)*1000000/(RIMS_emp!C898-RIMS_emp!C487)</f>
        <v>37536.438468749599</v>
      </c>
    </row>
    <row r="899" spans="1:65" x14ac:dyDescent="0.25">
      <c r="A899" s="306">
        <v>314110</v>
      </c>
      <c r="B899" s="312" t="s">
        <v>66</v>
      </c>
      <c r="C899" s="312">
        <v>0.6895</v>
      </c>
      <c r="D899" s="312">
        <v>0</v>
      </c>
      <c r="E899" s="312">
        <v>0.45019999999999999</v>
      </c>
      <c r="F899" s="312">
        <v>0.2394</v>
      </c>
      <c r="G899" s="312">
        <v>0.28199999999999997</v>
      </c>
      <c r="H899" s="312">
        <v>0.27360000000000001</v>
      </c>
      <c r="I899" s="312">
        <v>0.25159999999999999</v>
      </c>
      <c r="J899" s="312">
        <v>0.2324</v>
      </c>
      <c r="K899" s="312">
        <v>5.3100000000000001E-2</v>
      </c>
      <c r="L899" s="312">
        <v>0</v>
      </c>
      <c r="M899" s="312">
        <v>0.27689999999999998</v>
      </c>
      <c r="N899" s="312">
        <v>0.48139999999999999</v>
      </c>
      <c r="O899" s="312">
        <v>0</v>
      </c>
      <c r="P899" s="312">
        <v>0.2021</v>
      </c>
      <c r="Q899" s="312">
        <v>0</v>
      </c>
      <c r="R899" s="312">
        <v>0.27729999999999999</v>
      </c>
      <c r="S899" s="312">
        <v>0.25990000000000002</v>
      </c>
      <c r="T899" s="312">
        <v>0.2366</v>
      </c>
      <c r="U899" s="312">
        <v>0.26219999999999999</v>
      </c>
      <c r="V899" s="312">
        <v>0</v>
      </c>
      <c r="W899" s="312">
        <v>0.27610000000000001</v>
      </c>
      <c r="X899" s="312">
        <v>0.25619999999999998</v>
      </c>
      <c r="Y899" s="312">
        <v>0.32440000000000002</v>
      </c>
      <c r="Z899" s="312">
        <v>0.25979999999999998</v>
      </c>
      <c r="AA899" s="312">
        <v>0.2432</v>
      </c>
      <c r="AB899" s="312">
        <v>0.2445</v>
      </c>
      <c r="AC899" s="312">
        <v>0</v>
      </c>
      <c r="AD899" s="312">
        <v>0</v>
      </c>
      <c r="AE899" s="312">
        <v>0.47220000000000001</v>
      </c>
      <c r="AF899" s="312">
        <v>0</v>
      </c>
      <c r="AG899" s="312">
        <v>0.20219999999999999</v>
      </c>
      <c r="AH899" s="312">
        <v>0.26550000000000001</v>
      </c>
      <c r="AI899" s="312">
        <v>0.2535</v>
      </c>
      <c r="AJ899" s="312">
        <v>0.21490000000000001</v>
      </c>
      <c r="AK899" s="312">
        <v>0</v>
      </c>
      <c r="AL899" s="312">
        <v>0.20880000000000001</v>
      </c>
      <c r="AM899" s="312">
        <v>0.31730000000000003</v>
      </c>
      <c r="AN899" s="312">
        <v>0.23039999999999999</v>
      </c>
      <c r="AO899" s="312">
        <v>0</v>
      </c>
      <c r="AP899" s="312">
        <v>0.31490000000000001</v>
      </c>
      <c r="AQ899" s="312">
        <v>0.30349999999999999</v>
      </c>
      <c r="AR899" s="312">
        <v>0.46739999999999998</v>
      </c>
      <c r="AS899" s="312">
        <v>0</v>
      </c>
      <c r="AT899" s="312">
        <v>0.4516</v>
      </c>
      <c r="AU899" s="312">
        <v>0.29110000000000003</v>
      </c>
      <c r="AV899" s="312">
        <v>0</v>
      </c>
      <c r="AW899" s="312">
        <v>0.42049999999999998</v>
      </c>
      <c r="AX899" s="312">
        <v>0.2356</v>
      </c>
      <c r="AY899" s="312">
        <v>0.2379</v>
      </c>
      <c r="AZ899" s="312">
        <v>0.28849999999999998</v>
      </c>
      <c r="BA899" s="312">
        <v>0</v>
      </c>
      <c r="BB899" s="312">
        <v>0</v>
      </c>
      <c r="BC899" s="312">
        <v>0.34329999999999999</v>
      </c>
      <c r="BD899" s="312">
        <v>0.29210000000000003</v>
      </c>
      <c r="BE899" s="312">
        <v>0.31569999999999998</v>
      </c>
      <c r="BF899" s="312">
        <v>0.25440000000000002</v>
      </c>
      <c r="BG899" s="312">
        <v>0.52710000000000001</v>
      </c>
      <c r="BH899" s="312">
        <v>0.50129999999999997</v>
      </c>
      <c r="BI899" s="312">
        <v>0.30070000000000002</v>
      </c>
      <c r="BJ899" s="312">
        <v>0.26629999999999998</v>
      </c>
      <c r="BK899" s="312">
        <v>0.2747</v>
      </c>
      <c r="BM899">
        <f>(C899-C488)*1000000/(RIMS_emp!C899-RIMS_emp!C488)</f>
        <v>37539.23032389774</v>
      </c>
    </row>
    <row r="900" spans="1:65" x14ac:dyDescent="0.25">
      <c r="A900" s="306">
        <v>314120</v>
      </c>
      <c r="B900" s="312" t="s">
        <v>67</v>
      </c>
      <c r="C900" s="312">
        <v>0.65800000000000003</v>
      </c>
      <c r="D900" s="312">
        <v>0</v>
      </c>
      <c r="E900" s="312">
        <v>0.45529999999999998</v>
      </c>
      <c r="F900" s="312">
        <v>0.31819999999999998</v>
      </c>
      <c r="G900" s="312">
        <v>0.35720000000000002</v>
      </c>
      <c r="H900" s="312">
        <v>0.41170000000000001</v>
      </c>
      <c r="I900" s="312">
        <v>0.37069999999999997</v>
      </c>
      <c r="J900" s="312">
        <v>0.35370000000000001</v>
      </c>
      <c r="K900" s="312">
        <v>8.5000000000000006E-2</v>
      </c>
      <c r="L900" s="312">
        <v>0.21740000000000001</v>
      </c>
      <c r="M900" s="312">
        <v>0.36159999999999998</v>
      </c>
      <c r="N900" s="312">
        <v>0.49120000000000003</v>
      </c>
      <c r="O900" s="312">
        <v>0.3125</v>
      </c>
      <c r="P900" s="312">
        <v>0.28889999999999999</v>
      </c>
      <c r="Q900" s="312">
        <v>0.3029</v>
      </c>
      <c r="R900" s="312">
        <v>0.4022</v>
      </c>
      <c r="S900" s="312">
        <v>0.35830000000000001</v>
      </c>
      <c r="T900" s="312">
        <v>0.30449999999999999</v>
      </c>
      <c r="U900" s="312">
        <v>0.35520000000000002</v>
      </c>
      <c r="V900" s="312">
        <v>0.3654</v>
      </c>
      <c r="W900" s="312">
        <v>0.37280000000000002</v>
      </c>
      <c r="X900" s="312">
        <v>0.33139999999999997</v>
      </c>
      <c r="Y900" s="312">
        <v>0.42130000000000001</v>
      </c>
      <c r="Z900" s="312">
        <v>0.36990000000000001</v>
      </c>
      <c r="AA900" s="312">
        <v>0.37730000000000002</v>
      </c>
      <c r="AB900" s="312">
        <v>0.34760000000000002</v>
      </c>
      <c r="AC900" s="312">
        <v>0.38019999999999998</v>
      </c>
      <c r="AD900" s="312">
        <v>0.30080000000000001</v>
      </c>
      <c r="AE900" s="312">
        <v>0.48159999999999997</v>
      </c>
      <c r="AF900" s="312">
        <v>0.29780000000000001</v>
      </c>
      <c r="AG900" s="312">
        <v>0.2732</v>
      </c>
      <c r="AH900" s="312">
        <v>0.37490000000000001</v>
      </c>
      <c r="AI900" s="312">
        <v>0.36170000000000002</v>
      </c>
      <c r="AJ900" s="312">
        <v>0.2959</v>
      </c>
      <c r="AK900" s="312">
        <v>0.31</v>
      </c>
      <c r="AL900" s="312">
        <v>0.33250000000000002</v>
      </c>
      <c r="AM900" s="312">
        <v>0.40110000000000001</v>
      </c>
      <c r="AN900" s="312">
        <v>0.34379999999999999</v>
      </c>
      <c r="AO900" s="312">
        <v>0.34960000000000002</v>
      </c>
      <c r="AP900" s="312">
        <v>0.47570000000000001</v>
      </c>
      <c r="AQ900" s="312">
        <v>0.3387</v>
      </c>
      <c r="AR900" s="312">
        <v>0.46629999999999999</v>
      </c>
      <c r="AS900" s="312">
        <v>0.27829999999999999</v>
      </c>
      <c r="AT900" s="312">
        <v>0.40849999999999997</v>
      </c>
      <c r="AU900" s="312">
        <v>0.4294</v>
      </c>
      <c r="AV900" s="312">
        <v>0.40339999999999998</v>
      </c>
      <c r="AW900" s="312">
        <v>0.43519999999999998</v>
      </c>
      <c r="AX900" s="312">
        <v>0.29060000000000002</v>
      </c>
      <c r="AY900" s="312">
        <v>0.36799999999999999</v>
      </c>
      <c r="AZ900" s="312">
        <v>0.41880000000000001</v>
      </c>
      <c r="BA900" s="312">
        <v>0.26600000000000001</v>
      </c>
      <c r="BB900" s="312">
        <v>0.15590000000000001</v>
      </c>
      <c r="BC900" s="312">
        <v>0.48209999999999997</v>
      </c>
      <c r="BD900" s="312">
        <v>0.44690000000000002</v>
      </c>
      <c r="BE900" s="312">
        <v>0.43190000000000001</v>
      </c>
      <c r="BF900" s="312">
        <v>0.36480000000000001</v>
      </c>
      <c r="BG900" s="312">
        <v>0.52739999999999998</v>
      </c>
      <c r="BH900" s="312">
        <v>0.4995</v>
      </c>
      <c r="BI900" s="312">
        <v>0.42499999999999999</v>
      </c>
      <c r="BJ900" s="312">
        <v>0.37919999999999998</v>
      </c>
      <c r="BK900" s="312">
        <v>0.41689999999999999</v>
      </c>
      <c r="BM900">
        <f>(C900-C489)*1000000/(RIMS_emp!C900-RIMS_emp!C489)</f>
        <v>37551.489606284129</v>
      </c>
    </row>
    <row r="901" spans="1:65" x14ac:dyDescent="0.25">
      <c r="A901" s="306">
        <v>314910</v>
      </c>
      <c r="B901" s="312" t="s">
        <v>68</v>
      </c>
      <c r="C901" s="312">
        <v>0.87429999999999997</v>
      </c>
      <c r="D901" s="312">
        <v>0.45529999999999998</v>
      </c>
      <c r="E901" s="312">
        <v>0.58450000000000002</v>
      </c>
      <c r="F901" s="312">
        <v>0.49969999999999998</v>
      </c>
      <c r="G901" s="312">
        <v>0.57779999999999998</v>
      </c>
      <c r="H901" s="312">
        <v>0.63239999999999996</v>
      </c>
      <c r="I901" s="312">
        <v>0.60309999999999997</v>
      </c>
      <c r="J901" s="312">
        <v>0.54979999999999996</v>
      </c>
      <c r="K901" s="312">
        <v>0</v>
      </c>
      <c r="L901" s="312">
        <v>0.35980000000000001</v>
      </c>
      <c r="M901" s="312">
        <v>0.57079999999999997</v>
      </c>
      <c r="N901" s="312">
        <v>0.66339999999999999</v>
      </c>
      <c r="O901" s="312">
        <v>0.51119999999999999</v>
      </c>
      <c r="P901" s="312">
        <v>0.46679999999999999</v>
      </c>
      <c r="Q901" s="312">
        <v>0.48020000000000002</v>
      </c>
      <c r="R901" s="312">
        <v>0.63029999999999997</v>
      </c>
      <c r="S901" s="312">
        <v>0.57150000000000001</v>
      </c>
      <c r="T901" s="312">
        <v>0.4793</v>
      </c>
      <c r="U901" s="312">
        <v>0.54690000000000005</v>
      </c>
      <c r="V901" s="312">
        <v>0.55000000000000004</v>
      </c>
      <c r="W901" s="312">
        <v>0.56620000000000004</v>
      </c>
      <c r="X901" s="312">
        <v>0.52310000000000001</v>
      </c>
      <c r="Y901" s="312">
        <v>0.57930000000000004</v>
      </c>
      <c r="Z901" s="312">
        <v>0.60519999999999996</v>
      </c>
      <c r="AA901" s="312">
        <v>0.57909999999999995</v>
      </c>
      <c r="AB901" s="312">
        <v>0.57899999999999996</v>
      </c>
      <c r="AC901" s="312">
        <v>0.50929999999999997</v>
      </c>
      <c r="AD901" s="312">
        <v>0.47539999999999999</v>
      </c>
      <c r="AE901" s="312">
        <v>0.64180000000000004</v>
      </c>
      <c r="AF901" s="312">
        <v>0.42799999999999999</v>
      </c>
      <c r="AG901" s="312">
        <v>0.44240000000000002</v>
      </c>
      <c r="AH901" s="312">
        <v>0.53920000000000001</v>
      </c>
      <c r="AI901" s="312">
        <v>0.57550000000000001</v>
      </c>
      <c r="AJ901" s="312">
        <v>0.4864</v>
      </c>
      <c r="AK901" s="312">
        <v>0.52170000000000005</v>
      </c>
      <c r="AL901" s="312">
        <v>0.50729999999999997</v>
      </c>
      <c r="AM901" s="312">
        <v>0.63700000000000001</v>
      </c>
      <c r="AN901" s="312">
        <v>0.54590000000000005</v>
      </c>
      <c r="AO901" s="312">
        <v>0.53820000000000001</v>
      </c>
      <c r="AP901" s="312">
        <v>0.66310000000000002</v>
      </c>
      <c r="AQ901" s="312">
        <v>0.52449999999999997</v>
      </c>
      <c r="AR901" s="312">
        <v>0.63290000000000002</v>
      </c>
      <c r="AS901" s="312">
        <v>0.44590000000000002</v>
      </c>
      <c r="AT901" s="312">
        <v>0.59709999999999996</v>
      </c>
      <c r="AU901" s="312">
        <v>0.65129999999999999</v>
      </c>
      <c r="AV901" s="312">
        <v>0.6099</v>
      </c>
      <c r="AW901" s="312">
        <v>0.60309999999999997</v>
      </c>
      <c r="AX901" s="312">
        <v>0.45550000000000002</v>
      </c>
      <c r="AY901" s="312">
        <v>0.56659999999999999</v>
      </c>
      <c r="AZ901" s="312">
        <v>0.59709999999999996</v>
      </c>
      <c r="BA901" s="312">
        <v>0.42770000000000002</v>
      </c>
      <c r="BB901" s="312">
        <v>0.2452</v>
      </c>
      <c r="BC901" s="312">
        <v>0.68269999999999997</v>
      </c>
      <c r="BD901" s="312">
        <v>0.66210000000000002</v>
      </c>
      <c r="BE901" s="312">
        <v>0.67510000000000003</v>
      </c>
      <c r="BF901" s="312">
        <v>0.58650000000000002</v>
      </c>
      <c r="BG901" s="312">
        <v>0.71379999999999999</v>
      </c>
      <c r="BH901" s="312">
        <v>0.66830000000000001</v>
      </c>
      <c r="BI901" s="312">
        <v>0.64610000000000001</v>
      </c>
      <c r="BJ901" s="312">
        <v>0.60619999999999996</v>
      </c>
      <c r="BK901" s="312">
        <v>0.63549999999999995</v>
      </c>
      <c r="BM901">
        <f>(C901-C490)*1000000/(RIMS_emp!C901-RIMS_emp!C490)</f>
        <v>37534.993812252935</v>
      </c>
    </row>
    <row r="902" spans="1:65" x14ac:dyDescent="0.25">
      <c r="A902" s="306">
        <v>314990</v>
      </c>
      <c r="B902" s="312" t="s">
        <v>69</v>
      </c>
      <c r="C902" s="312">
        <v>0.77359999999999995</v>
      </c>
      <c r="D902" s="312">
        <v>0.3594</v>
      </c>
      <c r="E902" s="312">
        <v>0.53100000000000003</v>
      </c>
      <c r="F902" s="312">
        <v>0.40360000000000001</v>
      </c>
      <c r="G902" s="312">
        <v>0.46210000000000001</v>
      </c>
      <c r="H902" s="312">
        <v>0.50900000000000001</v>
      </c>
      <c r="I902" s="312">
        <v>0.4844</v>
      </c>
      <c r="J902" s="312">
        <v>0.41959999999999997</v>
      </c>
      <c r="K902" s="312">
        <v>0</v>
      </c>
      <c r="L902" s="312">
        <v>0.31309999999999999</v>
      </c>
      <c r="M902" s="312">
        <v>0.47770000000000001</v>
      </c>
      <c r="N902" s="312">
        <v>0.5675</v>
      </c>
      <c r="O902" s="312">
        <v>0.40989999999999999</v>
      </c>
      <c r="P902" s="312">
        <v>0.3745</v>
      </c>
      <c r="Q902" s="312">
        <v>0.38469999999999999</v>
      </c>
      <c r="R902" s="312">
        <v>0.5101</v>
      </c>
      <c r="S902" s="312">
        <v>0.44140000000000001</v>
      </c>
      <c r="T902" s="312">
        <v>0.39729999999999999</v>
      </c>
      <c r="U902" s="312">
        <v>0.4466</v>
      </c>
      <c r="V902" s="312">
        <v>0.45610000000000001</v>
      </c>
      <c r="W902" s="312">
        <v>0.44590000000000002</v>
      </c>
      <c r="X902" s="312">
        <v>0.43540000000000001</v>
      </c>
      <c r="Y902" s="312">
        <v>0.46239999999999998</v>
      </c>
      <c r="Z902" s="312">
        <v>0.47120000000000001</v>
      </c>
      <c r="AA902" s="312">
        <v>0.45250000000000001</v>
      </c>
      <c r="AB902" s="312">
        <v>0.44840000000000002</v>
      </c>
      <c r="AC902" s="312">
        <v>0.42530000000000001</v>
      </c>
      <c r="AD902" s="312">
        <v>0.38369999999999999</v>
      </c>
      <c r="AE902" s="312">
        <v>0.54759999999999998</v>
      </c>
      <c r="AF902" s="312">
        <v>0.33210000000000001</v>
      </c>
      <c r="AG902" s="312">
        <v>0.36099999999999999</v>
      </c>
      <c r="AH902" s="312">
        <v>0.40589999999999998</v>
      </c>
      <c r="AI902" s="312">
        <v>0.45450000000000002</v>
      </c>
      <c r="AJ902" s="312">
        <v>0.38900000000000001</v>
      </c>
      <c r="AK902" s="312">
        <v>0.39090000000000003</v>
      </c>
      <c r="AL902" s="312">
        <v>0.40129999999999999</v>
      </c>
      <c r="AM902" s="312">
        <v>0.50590000000000002</v>
      </c>
      <c r="AN902" s="312">
        <v>0.437</v>
      </c>
      <c r="AO902" s="312">
        <v>0.42909999999999998</v>
      </c>
      <c r="AP902" s="312">
        <v>0.51780000000000004</v>
      </c>
      <c r="AQ902" s="312">
        <v>0.42459999999999998</v>
      </c>
      <c r="AR902" s="312">
        <v>0.54039999999999999</v>
      </c>
      <c r="AS902" s="312">
        <v>0.34989999999999999</v>
      </c>
      <c r="AT902" s="312">
        <v>0.52659999999999996</v>
      </c>
      <c r="AU902" s="312">
        <v>0.51300000000000001</v>
      </c>
      <c r="AV902" s="312">
        <v>0.49299999999999999</v>
      </c>
      <c r="AW902" s="312">
        <v>0.51400000000000001</v>
      </c>
      <c r="AX902" s="312">
        <v>0.38440000000000002</v>
      </c>
      <c r="AY902" s="312">
        <v>0.44230000000000003</v>
      </c>
      <c r="AZ902" s="312">
        <v>0.45190000000000002</v>
      </c>
      <c r="BA902" s="312">
        <v>0.3503</v>
      </c>
      <c r="BB902" s="312">
        <v>0.2112</v>
      </c>
      <c r="BC902" s="312">
        <v>0.53249999999999997</v>
      </c>
      <c r="BD902" s="312">
        <v>0.52480000000000004</v>
      </c>
      <c r="BE902" s="312">
        <v>0.52680000000000005</v>
      </c>
      <c r="BF902" s="312">
        <v>0.45540000000000003</v>
      </c>
      <c r="BG902" s="312">
        <v>0.61770000000000003</v>
      </c>
      <c r="BH902" s="312">
        <v>0.57869999999999999</v>
      </c>
      <c r="BI902" s="312">
        <v>0.5171</v>
      </c>
      <c r="BJ902" s="312">
        <v>0.47860000000000003</v>
      </c>
      <c r="BK902" s="312">
        <v>0.51219999999999999</v>
      </c>
      <c r="BM902">
        <f>(C902-C491)*1000000/(RIMS_emp!C902-RIMS_emp!C491)</f>
        <v>37547.0186445051</v>
      </c>
    </row>
    <row r="903" spans="1:65" x14ac:dyDescent="0.25">
      <c r="A903" s="306">
        <v>315100</v>
      </c>
      <c r="B903" s="312" t="s">
        <v>70</v>
      </c>
      <c r="C903" s="312">
        <v>0.85119999999999996</v>
      </c>
      <c r="D903" s="312">
        <v>0</v>
      </c>
      <c r="E903" s="312">
        <v>0.58840000000000003</v>
      </c>
      <c r="F903" s="312">
        <v>0.44440000000000002</v>
      </c>
      <c r="G903" s="312">
        <v>0.48420000000000002</v>
      </c>
      <c r="H903" s="312">
        <v>0.57499999999999996</v>
      </c>
      <c r="I903" s="312">
        <v>0.50980000000000003</v>
      </c>
      <c r="J903" s="312">
        <v>0</v>
      </c>
      <c r="K903" s="312">
        <v>0</v>
      </c>
      <c r="L903" s="312">
        <v>0</v>
      </c>
      <c r="M903" s="312">
        <v>0.47839999999999999</v>
      </c>
      <c r="N903" s="312">
        <v>0.61599999999999999</v>
      </c>
      <c r="O903" s="312">
        <v>0</v>
      </c>
      <c r="P903" s="312">
        <v>0.38769999999999999</v>
      </c>
      <c r="Q903" s="312">
        <v>0</v>
      </c>
      <c r="R903" s="312">
        <v>0.51829999999999998</v>
      </c>
      <c r="S903" s="312">
        <v>0.46350000000000002</v>
      </c>
      <c r="T903" s="312">
        <v>0.38159999999999999</v>
      </c>
      <c r="U903" s="312">
        <v>0.47889999999999999</v>
      </c>
      <c r="V903" s="312">
        <v>0.46650000000000003</v>
      </c>
      <c r="W903" s="312">
        <v>0.47120000000000001</v>
      </c>
      <c r="X903" s="312">
        <v>0</v>
      </c>
      <c r="Y903" s="312">
        <v>0</v>
      </c>
      <c r="Z903" s="312">
        <v>0.505</v>
      </c>
      <c r="AA903" s="312">
        <v>0.46060000000000001</v>
      </c>
      <c r="AB903" s="312">
        <v>0.47899999999999998</v>
      </c>
      <c r="AC903" s="312">
        <v>0.43519999999999998</v>
      </c>
      <c r="AD903" s="312">
        <v>0</v>
      </c>
      <c r="AE903" s="312">
        <v>0.60329999999999995</v>
      </c>
      <c r="AF903" s="312">
        <v>0</v>
      </c>
      <c r="AG903" s="312">
        <v>0</v>
      </c>
      <c r="AH903" s="312">
        <v>0</v>
      </c>
      <c r="AI903" s="312">
        <v>0.46949999999999997</v>
      </c>
      <c r="AJ903" s="312">
        <v>0.24709999999999999</v>
      </c>
      <c r="AK903" s="312">
        <v>0</v>
      </c>
      <c r="AL903" s="312">
        <v>0.4083</v>
      </c>
      <c r="AM903" s="312">
        <v>0.5141</v>
      </c>
      <c r="AN903" s="312">
        <v>0</v>
      </c>
      <c r="AO903" s="312">
        <v>0.44569999999999999</v>
      </c>
      <c r="AP903" s="312">
        <v>0.57450000000000001</v>
      </c>
      <c r="AQ903" s="312">
        <v>0.50170000000000003</v>
      </c>
      <c r="AR903" s="312">
        <v>0.58609999999999995</v>
      </c>
      <c r="AS903" s="312">
        <v>0</v>
      </c>
      <c r="AT903" s="312">
        <v>0.62109999999999999</v>
      </c>
      <c r="AU903" s="312">
        <v>0.51290000000000002</v>
      </c>
      <c r="AV903" s="312">
        <v>0.50160000000000005</v>
      </c>
      <c r="AW903" s="312">
        <v>0.53879999999999995</v>
      </c>
      <c r="AX903" s="312">
        <v>0.40510000000000002</v>
      </c>
      <c r="AY903" s="312">
        <v>0</v>
      </c>
      <c r="AZ903" s="312">
        <v>0.50800000000000001</v>
      </c>
      <c r="BA903" s="312">
        <v>0</v>
      </c>
      <c r="BB903" s="312">
        <v>0</v>
      </c>
      <c r="BC903" s="312">
        <v>0.54120000000000001</v>
      </c>
      <c r="BD903" s="312">
        <v>0.56620000000000004</v>
      </c>
      <c r="BE903" s="312">
        <v>0.54279999999999995</v>
      </c>
      <c r="BF903" s="312">
        <v>0.4864</v>
      </c>
      <c r="BG903" s="312">
        <v>0.67589999999999995</v>
      </c>
      <c r="BH903" s="312">
        <v>0.64159999999999995</v>
      </c>
      <c r="BI903" s="312">
        <v>0.5252</v>
      </c>
      <c r="BJ903" s="312">
        <v>0.4945</v>
      </c>
      <c r="BK903" s="312">
        <v>0.57399999999999995</v>
      </c>
      <c r="BM903">
        <f>(C903-C492)*1000000/(RIMS_emp!C903-RIMS_emp!C492)</f>
        <v>37542.577874315044</v>
      </c>
    </row>
    <row r="904" spans="1:65" x14ac:dyDescent="0.25">
      <c r="A904" s="306">
        <v>315210</v>
      </c>
      <c r="B904" s="312" t="s">
        <v>71</v>
      </c>
      <c r="C904" s="312">
        <v>1.0868</v>
      </c>
      <c r="D904" s="312">
        <v>0</v>
      </c>
      <c r="E904" s="312">
        <v>0.78449999999999998</v>
      </c>
      <c r="F904" s="312">
        <v>0.71199999999999997</v>
      </c>
      <c r="G904" s="312">
        <v>0.79210000000000003</v>
      </c>
      <c r="H904" s="312">
        <v>0.89600000000000002</v>
      </c>
      <c r="I904" s="312">
        <v>0.87829999999999997</v>
      </c>
      <c r="J904" s="312">
        <v>0.7369</v>
      </c>
      <c r="K904" s="312">
        <v>0.1037</v>
      </c>
      <c r="L904" s="312">
        <v>0.64990000000000003</v>
      </c>
      <c r="M904" s="312">
        <v>0.81659999999999999</v>
      </c>
      <c r="N904" s="312">
        <v>0.84930000000000005</v>
      </c>
      <c r="O904" s="312">
        <v>0.77029999999999998</v>
      </c>
      <c r="P904" s="312">
        <v>0.64610000000000001</v>
      </c>
      <c r="Q904" s="312">
        <v>0.70760000000000001</v>
      </c>
      <c r="R904" s="312">
        <v>0.86070000000000002</v>
      </c>
      <c r="S904" s="312">
        <v>0.75439999999999996</v>
      </c>
      <c r="T904" s="312">
        <v>0.61780000000000002</v>
      </c>
      <c r="U904" s="312">
        <v>0.74960000000000004</v>
      </c>
      <c r="V904" s="312">
        <v>0.75380000000000003</v>
      </c>
      <c r="W904" s="312">
        <v>0.77539999999999998</v>
      </c>
      <c r="X904" s="312">
        <v>0.69979999999999998</v>
      </c>
      <c r="Y904" s="312">
        <v>0.79079999999999995</v>
      </c>
      <c r="Z904" s="312">
        <v>0.83860000000000001</v>
      </c>
      <c r="AA904" s="312">
        <v>0.75800000000000001</v>
      </c>
      <c r="AB904" s="312">
        <v>0.79900000000000004</v>
      </c>
      <c r="AC904" s="312">
        <v>0.71050000000000002</v>
      </c>
      <c r="AD904" s="312">
        <v>0</v>
      </c>
      <c r="AE904" s="312">
        <v>0.82779999999999998</v>
      </c>
      <c r="AF904" s="312">
        <v>0.32119999999999999</v>
      </c>
      <c r="AG904" s="312">
        <v>0.59099999999999997</v>
      </c>
      <c r="AH904" s="312">
        <v>0.70979999999999999</v>
      </c>
      <c r="AI904" s="312">
        <v>0.75060000000000004</v>
      </c>
      <c r="AJ904" s="312">
        <v>0.41270000000000001</v>
      </c>
      <c r="AK904" s="312">
        <v>0.75819999999999999</v>
      </c>
      <c r="AL904" s="312">
        <v>0.67720000000000002</v>
      </c>
      <c r="AM904" s="312">
        <v>0.84009999999999996</v>
      </c>
      <c r="AN904" s="312">
        <v>0.77339999999999998</v>
      </c>
      <c r="AO904" s="312">
        <v>0.75649999999999995</v>
      </c>
      <c r="AP904" s="312">
        <v>0.86939999999999995</v>
      </c>
      <c r="AQ904" s="312">
        <v>0.76329999999999998</v>
      </c>
      <c r="AR904" s="312">
        <v>0.78320000000000001</v>
      </c>
      <c r="AS904" s="312">
        <v>0.64100000000000001</v>
      </c>
      <c r="AT904" s="312">
        <v>0.82410000000000005</v>
      </c>
      <c r="AU904" s="312">
        <v>0.85119999999999996</v>
      </c>
      <c r="AV904" s="312">
        <v>0.8518</v>
      </c>
      <c r="AW904" s="312">
        <v>0.79859999999999998</v>
      </c>
      <c r="AX904" s="312">
        <v>0.65059999999999996</v>
      </c>
      <c r="AY904" s="312">
        <v>0.80430000000000001</v>
      </c>
      <c r="AZ904" s="312">
        <v>0.79830000000000001</v>
      </c>
      <c r="BA904" s="312">
        <v>0.63929999999999998</v>
      </c>
      <c r="BB904" s="312">
        <v>0</v>
      </c>
      <c r="BC904" s="312">
        <v>0.86770000000000003</v>
      </c>
      <c r="BD904" s="312">
        <v>0.89580000000000004</v>
      </c>
      <c r="BE904" s="312">
        <v>0.88119999999999998</v>
      </c>
      <c r="BF904" s="312">
        <v>0.79890000000000005</v>
      </c>
      <c r="BG904" s="312">
        <v>0.91690000000000005</v>
      </c>
      <c r="BH904" s="312">
        <v>0.84489999999999998</v>
      </c>
      <c r="BI904" s="312">
        <v>0.85609999999999997</v>
      </c>
      <c r="BJ904" s="312">
        <v>0.8417</v>
      </c>
      <c r="BK904" s="312">
        <v>0.90129999999999999</v>
      </c>
      <c r="BM904">
        <f>(C904-C493)*1000000/(RIMS_emp!C904-RIMS_emp!C493)</f>
        <v>37544.344665590463</v>
      </c>
    </row>
    <row r="905" spans="1:65" x14ac:dyDescent="0.25">
      <c r="A905" s="306">
        <v>315220</v>
      </c>
      <c r="B905" s="312" t="s">
        <v>72</v>
      </c>
      <c r="C905" s="312">
        <v>0.65459999999999996</v>
      </c>
      <c r="D905" s="312">
        <v>0</v>
      </c>
      <c r="E905" s="312">
        <v>0.42549999999999999</v>
      </c>
      <c r="F905" s="312">
        <v>0.30330000000000001</v>
      </c>
      <c r="G905" s="312">
        <v>0.34289999999999998</v>
      </c>
      <c r="H905" s="312">
        <v>0.46960000000000002</v>
      </c>
      <c r="I905" s="312">
        <v>0.38190000000000002</v>
      </c>
      <c r="J905" s="312">
        <v>0.3347</v>
      </c>
      <c r="K905" s="312">
        <v>4.5699999999999998E-2</v>
      </c>
      <c r="L905" s="312">
        <v>0</v>
      </c>
      <c r="M905" s="312">
        <v>0.3866</v>
      </c>
      <c r="N905" s="312">
        <v>0.4657</v>
      </c>
      <c r="O905" s="312">
        <v>0.32269999999999999</v>
      </c>
      <c r="P905" s="312">
        <v>0.27400000000000002</v>
      </c>
      <c r="Q905" s="312">
        <v>0.29349999999999998</v>
      </c>
      <c r="R905" s="312">
        <v>0.4083</v>
      </c>
      <c r="S905" s="312">
        <v>0.33</v>
      </c>
      <c r="T905" s="312">
        <v>0.28039999999999998</v>
      </c>
      <c r="U905" s="312">
        <v>0.33550000000000002</v>
      </c>
      <c r="V905" s="312">
        <v>0.32619999999999999</v>
      </c>
      <c r="W905" s="312">
        <v>0.4083</v>
      </c>
      <c r="X905" s="312">
        <v>0.33110000000000001</v>
      </c>
      <c r="Y905" s="312">
        <v>0.3649</v>
      </c>
      <c r="Z905" s="312">
        <v>0.37490000000000001</v>
      </c>
      <c r="AA905" s="312">
        <v>0.3377</v>
      </c>
      <c r="AB905" s="312">
        <v>0.35360000000000003</v>
      </c>
      <c r="AC905" s="312">
        <v>0.34489999999999998</v>
      </c>
      <c r="AD905" s="312">
        <v>0</v>
      </c>
      <c r="AE905" s="312">
        <v>0.4617</v>
      </c>
      <c r="AF905" s="312">
        <v>0</v>
      </c>
      <c r="AG905" s="312">
        <v>0.2414</v>
      </c>
      <c r="AH905" s="312">
        <v>0.34720000000000001</v>
      </c>
      <c r="AI905" s="312">
        <v>0.41260000000000002</v>
      </c>
      <c r="AJ905" s="312">
        <v>0.1953</v>
      </c>
      <c r="AK905" s="312">
        <v>0.31409999999999999</v>
      </c>
      <c r="AL905" s="312">
        <v>0.35120000000000001</v>
      </c>
      <c r="AM905" s="312">
        <v>0.40500000000000003</v>
      </c>
      <c r="AN905" s="312">
        <v>0.3417</v>
      </c>
      <c r="AO905" s="312">
        <v>0.33460000000000001</v>
      </c>
      <c r="AP905" s="312">
        <v>0.45989999999999998</v>
      </c>
      <c r="AQ905" s="312">
        <v>0.38519999999999999</v>
      </c>
      <c r="AR905" s="312">
        <v>0.44290000000000002</v>
      </c>
      <c r="AS905" s="312">
        <v>0</v>
      </c>
      <c r="AT905" s="312">
        <v>0.45379999999999998</v>
      </c>
      <c r="AU905" s="312">
        <v>0.39429999999999998</v>
      </c>
      <c r="AV905" s="312">
        <v>0.40250000000000002</v>
      </c>
      <c r="AW905" s="312">
        <v>0.39539999999999997</v>
      </c>
      <c r="AX905" s="312">
        <v>0.30430000000000001</v>
      </c>
      <c r="AY905" s="312">
        <v>0.34839999999999999</v>
      </c>
      <c r="AZ905" s="312">
        <v>0.35849999999999999</v>
      </c>
      <c r="BA905" s="312">
        <v>0.2576</v>
      </c>
      <c r="BB905" s="312">
        <v>0.2576</v>
      </c>
      <c r="BC905" s="312">
        <v>0.47220000000000001</v>
      </c>
      <c r="BD905" s="312">
        <v>0.48849999999999999</v>
      </c>
      <c r="BE905" s="312">
        <v>0.41689999999999999</v>
      </c>
      <c r="BF905" s="312">
        <v>0.35399999999999998</v>
      </c>
      <c r="BG905" s="312">
        <v>0.5232</v>
      </c>
      <c r="BH905" s="312">
        <v>0.47810000000000002</v>
      </c>
      <c r="BI905" s="312">
        <v>0.39410000000000001</v>
      </c>
      <c r="BJ905" s="312">
        <v>0.3725</v>
      </c>
      <c r="BK905" s="312">
        <v>0.46949999999999997</v>
      </c>
      <c r="BM905">
        <f>(C905-C494)*1000000/(RIMS_emp!C905-RIMS_emp!C494)</f>
        <v>37535.103907566372</v>
      </c>
    </row>
    <row r="906" spans="1:65" x14ac:dyDescent="0.25">
      <c r="A906" s="306">
        <v>315230</v>
      </c>
      <c r="B906" s="312" t="s">
        <v>73</v>
      </c>
      <c r="C906" s="312">
        <v>0.73029999999999995</v>
      </c>
      <c r="D906" s="312">
        <v>0</v>
      </c>
      <c r="E906" s="312">
        <v>0.45600000000000002</v>
      </c>
      <c r="F906" s="312">
        <v>0.31759999999999999</v>
      </c>
      <c r="G906" s="312">
        <v>0.38800000000000001</v>
      </c>
      <c r="H906" s="312">
        <v>0.51770000000000005</v>
      </c>
      <c r="I906" s="312">
        <v>0.43530000000000002</v>
      </c>
      <c r="J906" s="312">
        <v>0.36330000000000001</v>
      </c>
      <c r="K906" s="312">
        <v>5.5199999999999999E-2</v>
      </c>
      <c r="L906" s="312">
        <v>0</v>
      </c>
      <c r="M906" s="312">
        <v>0.42880000000000001</v>
      </c>
      <c r="N906" s="312">
        <v>0.52139999999999997</v>
      </c>
      <c r="O906" s="312">
        <v>0.35909999999999997</v>
      </c>
      <c r="P906" s="312">
        <v>0.28449999999999998</v>
      </c>
      <c r="Q906" s="312">
        <v>0.31280000000000002</v>
      </c>
      <c r="R906" s="312">
        <v>0.44879999999999998</v>
      </c>
      <c r="S906" s="312">
        <v>0.35809999999999997</v>
      </c>
      <c r="T906" s="312">
        <v>0.30230000000000001</v>
      </c>
      <c r="U906" s="312">
        <v>0.35489999999999999</v>
      </c>
      <c r="V906" s="312">
        <v>0.36609999999999998</v>
      </c>
      <c r="W906" s="312">
        <v>0.45369999999999999</v>
      </c>
      <c r="X906" s="312">
        <v>0.36459999999999998</v>
      </c>
      <c r="Y906" s="312">
        <v>0.39240000000000003</v>
      </c>
      <c r="Z906" s="312">
        <v>0.41320000000000001</v>
      </c>
      <c r="AA906" s="312">
        <v>0.37180000000000002</v>
      </c>
      <c r="AB906" s="312">
        <v>0.3805</v>
      </c>
      <c r="AC906" s="312">
        <v>0.36530000000000001</v>
      </c>
      <c r="AD906" s="312">
        <v>0</v>
      </c>
      <c r="AE906" s="312">
        <v>0.4985</v>
      </c>
      <c r="AF906" s="312">
        <v>0.16889999999999999</v>
      </c>
      <c r="AG906" s="312">
        <v>0.26</v>
      </c>
      <c r="AH906" s="312">
        <v>0.38269999999999998</v>
      </c>
      <c r="AI906" s="312">
        <v>0.4551</v>
      </c>
      <c r="AJ906" s="312">
        <v>0.2268</v>
      </c>
      <c r="AK906" s="312">
        <v>0.35310000000000002</v>
      </c>
      <c r="AL906" s="312">
        <v>0.3846</v>
      </c>
      <c r="AM906" s="312">
        <v>0.43480000000000002</v>
      </c>
      <c r="AN906" s="312">
        <v>0.37090000000000001</v>
      </c>
      <c r="AO906" s="312">
        <v>0.37330000000000002</v>
      </c>
      <c r="AP906" s="312">
        <v>0.50509999999999999</v>
      </c>
      <c r="AQ906" s="312">
        <v>0</v>
      </c>
      <c r="AR906" s="312">
        <v>0.48299999999999998</v>
      </c>
      <c r="AS906" s="312">
        <v>0</v>
      </c>
      <c r="AT906" s="312">
        <v>0.49390000000000001</v>
      </c>
      <c r="AU906" s="312">
        <v>0.44090000000000001</v>
      </c>
      <c r="AV906" s="312">
        <v>0.44350000000000001</v>
      </c>
      <c r="AW906" s="312">
        <v>0.43409999999999999</v>
      </c>
      <c r="AX906" s="312">
        <v>0.32019999999999998</v>
      </c>
      <c r="AY906" s="312">
        <v>0.3916</v>
      </c>
      <c r="AZ906" s="312">
        <v>0.39290000000000003</v>
      </c>
      <c r="BA906" s="312">
        <v>0</v>
      </c>
      <c r="BB906" s="312">
        <v>0.27500000000000002</v>
      </c>
      <c r="BC906" s="312">
        <v>0.51790000000000003</v>
      </c>
      <c r="BD906" s="312">
        <v>0.5323</v>
      </c>
      <c r="BE906" s="312">
        <v>0.45839999999999997</v>
      </c>
      <c r="BF906" s="312">
        <v>0.37890000000000001</v>
      </c>
      <c r="BG906" s="312">
        <v>0.58320000000000005</v>
      </c>
      <c r="BH906" s="312">
        <v>0.5101</v>
      </c>
      <c r="BI906" s="312">
        <v>0.44090000000000001</v>
      </c>
      <c r="BJ906" s="312">
        <v>0.42130000000000001</v>
      </c>
      <c r="BK906" s="312">
        <v>0.51770000000000005</v>
      </c>
      <c r="BM906">
        <f>(C906-C495)*1000000/(RIMS_emp!C906-RIMS_emp!C495)</f>
        <v>37544.773220938761</v>
      </c>
    </row>
    <row r="907" spans="1:65" x14ac:dyDescent="0.25">
      <c r="A907" s="306">
        <v>315290</v>
      </c>
      <c r="B907" s="312" t="s">
        <v>74</v>
      </c>
      <c r="C907" s="312">
        <v>0.872</v>
      </c>
      <c r="D907" s="312">
        <v>0</v>
      </c>
      <c r="E907" s="312">
        <v>0.58250000000000002</v>
      </c>
      <c r="F907" s="312">
        <v>0</v>
      </c>
      <c r="G907" s="312">
        <v>0.56579999999999997</v>
      </c>
      <c r="H907" s="312">
        <v>0.66469999999999996</v>
      </c>
      <c r="I907" s="312">
        <v>0.62719999999999998</v>
      </c>
      <c r="J907" s="312">
        <v>0.52800000000000002</v>
      </c>
      <c r="K907" s="312">
        <v>0</v>
      </c>
      <c r="L907" s="312">
        <v>0</v>
      </c>
      <c r="M907" s="312">
        <v>0.58779999999999999</v>
      </c>
      <c r="N907" s="312">
        <v>0.64829999999999999</v>
      </c>
      <c r="O907" s="312">
        <v>0.52800000000000002</v>
      </c>
      <c r="P907" s="312">
        <v>0.45960000000000001</v>
      </c>
      <c r="Q907" s="312">
        <v>0.48830000000000001</v>
      </c>
      <c r="R907" s="312">
        <v>0.63400000000000001</v>
      </c>
      <c r="S907" s="312">
        <v>0.54</v>
      </c>
      <c r="T907" s="312">
        <v>0.43440000000000001</v>
      </c>
      <c r="U907" s="312">
        <v>0.53049999999999997</v>
      </c>
      <c r="V907" s="312">
        <v>0.53510000000000002</v>
      </c>
      <c r="W907" s="312">
        <v>0.59489999999999998</v>
      </c>
      <c r="X907" s="312">
        <v>0.50439999999999996</v>
      </c>
      <c r="Y907" s="312">
        <v>0.57340000000000002</v>
      </c>
      <c r="Z907" s="312">
        <v>0.59660000000000002</v>
      </c>
      <c r="AA907" s="312">
        <v>0.54990000000000006</v>
      </c>
      <c r="AB907" s="312">
        <v>0.56410000000000005</v>
      </c>
      <c r="AC907" s="312">
        <v>0.5151</v>
      </c>
      <c r="AD907" s="312">
        <v>0</v>
      </c>
      <c r="AE907" s="312">
        <v>0.65269999999999995</v>
      </c>
      <c r="AF907" s="312">
        <v>0</v>
      </c>
      <c r="AG907" s="312">
        <v>0.40760000000000002</v>
      </c>
      <c r="AH907" s="312">
        <v>0.5474</v>
      </c>
      <c r="AI907" s="312">
        <v>0.57420000000000004</v>
      </c>
      <c r="AJ907" s="312">
        <v>0.30330000000000001</v>
      </c>
      <c r="AK907" s="312">
        <v>0.53210000000000002</v>
      </c>
      <c r="AL907" s="312">
        <v>0.49869999999999998</v>
      </c>
      <c r="AM907" s="312">
        <v>0.60650000000000004</v>
      </c>
      <c r="AN907" s="312">
        <v>0.54279999999999995</v>
      </c>
      <c r="AO907" s="312">
        <v>0.54179999999999995</v>
      </c>
      <c r="AP907" s="312">
        <v>0.66569999999999996</v>
      </c>
      <c r="AQ907" s="312">
        <v>0.57379999999999998</v>
      </c>
      <c r="AR907" s="312">
        <v>0.6149</v>
      </c>
      <c r="AS907" s="312">
        <v>0.42930000000000001</v>
      </c>
      <c r="AT907" s="312">
        <v>0.63249999999999995</v>
      </c>
      <c r="AU907" s="312">
        <v>0.62019999999999997</v>
      </c>
      <c r="AV907" s="312">
        <v>0.61909999999999998</v>
      </c>
      <c r="AW907" s="312">
        <v>0.57730000000000004</v>
      </c>
      <c r="AX907" s="312">
        <v>0.46150000000000002</v>
      </c>
      <c r="AY907" s="312">
        <v>0.57250000000000001</v>
      </c>
      <c r="AZ907" s="312">
        <v>0.5887</v>
      </c>
      <c r="BA907" s="312">
        <v>0</v>
      </c>
      <c r="BB907" s="312">
        <v>0</v>
      </c>
      <c r="BC907" s="312">
        <v>0.67659999999999998</v>
      </c>
      <c r="BD907" s="312">
        <v>0.67479999999999996</v>
      </c>
      <c r="BE907" s="312">
        <v>0.64670000000000005</v>
      </c>
      <c r="BF907" s="312">
        <v>0.57130000000000003</v>
      </c>
      <c r="BG907" s="312">
        <v>0.72929999999999995</v>
      </c>
      <c r="BH907" s="312">
        <v>0.64580000000000004</v>
      </c>
      <c r="BI907" s="312">
        <v>0.62229999999999996</v>
      </c>
      <c r="BJ907" s="312">
        <v>0.60550000000000004</v>
      </c>
      <c r="BK907" s="312">
        <v>0.66459999999999997</v>
      </c>
      <c r="BM907">
        <f>(C907-C496)*1000000/(RIMS_emp!C907-RIMS_emp!C496)</f>
        <v>37539.002734709124</v>
      </c>
    </row>
    <row r="908" spans="1:65" x14ac:dyDescent="0.25">
      <c r="A908" s="306">
        <v>315900</v>
      </c>
      <c r="B908" s="312" t="s">
        <v>75</v>
      </c>
      <c r="C908" s="312">
        <v>0.91049999999999998</v>
      </c>
      <c r="D908" s="312">
        <v>0.4622</v>
      </c>
      <c r="E908" s="312">
        <v>0.61850000000000005</v>
      </c>
      <c r="F908" s="312">
        <v>0.51239999999999997</v>
      </c>
      <c r="G908" s="312">
        <v>0.56620000000000004</v>
      </c>
      <c r="H908" s="312">
        <v>0.68559999999999999</v>
      </c>
      <c r="I908" s="312">
        <v>0.63770000000000004</v>
      </c>
      <c r="J908" s="312">
        <v>0.54279999999999995</v>
      </c>
      <c r="K908" s="312">
        <v>0</v>
      </c>
      <c r="L908" s="312">
        <v>0.45800000000000002</v>
      </c>
      <c r="M908" s="312">
        <v>0.60260000000000002</v>
      </c>
      <c r="N908" s="312">
        <v>0.6744</v>
      </c>
      <c r="O908" s="312">
        <v>0.52500000000000002</v>
      </c>
      <c r="P908" s="312">
        <v>0.46110000000000001</v>
      </c>
      <c r="Q908" s="312">
        <v>0.49790000000000001</v>
      </c>
      <c r="R908" s="312">
        <v>0.65600000000000003</v>
      </c>
      <c r="S908" s="312">
        <v>0.53620000000000001</v>
      </c>
      <c r="T908" s="312">
        <v>0.43319999999999997</v>
      </c>
      <c r="U908" s="312">
        <v>0.54479999999999995</v>
      </c>
      <c r="V908" s="312">
        <v>0.54730000000000001</v>
      </c>
      <c r="W908" s="312">
        <v>0.59989999999999999</v>
      </c>
      <c r="X908" s="312">
        <v>0.51639999999999997</v>
      </c>
      <c r="Y908" s="312">
        <v>0.59040000000000004</v>
      </c>
      <c r="Z908" s="312">
        <v>0.60680000000000001</v>
      </c>
      <c r="AA908" s="312">
        <v>0.5575</v>
      </c>
      <c r="AB908" s="312">
        <v>0.58430000000000004</v>
      </c>
      <c r="AC908" s="312">
        <v>0.52380000000000004</v>
      </c>
      <c r="AD908" s="312">
        <v>0.49569999999999997</v>
      </c>
      <c r="AE908" s="312">
        <v>0.66059999999999997</v>
      </c>
      <c r="AF908" s="312">
        <v>0.24440000000000001</v>
      </c>
      <c r="AG908" s="312">
        <v>0.41789999999999999</v>
      </c>
      <c r="AH908" s="312">
        <v>0.53149999999999997</v>
      </c>
      <c r="AI908" s="312">
        <v>0.59340000000000004</v>
      </c>
      <c r="AJ908" s="312">
        <v>0.31130000000000002</v>
      </c>
      <c r="AK908" s="312">
        <v>0.52149999999999996</v>
      </c>
      <c r="AL908" s="312">
        <v>0.51370000000000005</v>
      </c>
      <c r="AM908" s="312">
        <v>0.63980000000000004</v>
      </c>
      <c r="AN908" s="312">
        <v>0.55259999999999998</v>
      </c>
      <c r="AO908" s="312">
        <v>0.54190000000000005</v>
      </c>
      <c r="AP908" s="312">
        <v>0.68279999999999996</v>
      </c>
      <c r="AQ908" s="312">
        <v>0.58089999999999997</v>
      </c>
      <c r="AR908" s="312">
        <v>0.61629999999999996</v>
      </c>
      <c r="AS908" s="312">
        <v>0.42359999999999998</v>
      </c>
      <c r="AT908" s="312">
        <v>0.63219999999999998</v>
      </c>
      <c r="AU908" s="312">
        <v>0.65039999999999998</v>
      </c>
      <c r="AV908" s="312">
        <v>0.63900000000000001</v>
      </c>
      <c r="AW908" s="312">
        <v>0.60840000000000005</v>
      </c>
      <c r="AX908" s="312">
        <v>0.4738</v>
      </c>
      <c r="AY908" s="312">
        <v>0.57499999999999996</v>
      </c>
      <c r="AZ908" s="312">
        <v>0.58520000000000005</v>
      </c>
      <c r="BA908" s="312">
        <v>0.44319999999999998</v>
      </c>
      <c r="BB908" s="312">
        <v>0.4446</v>
      </c>
      <c r="BC908" s="312">
        <v>0.68559999999999999</v>
      </c>
      <c r="BD908" s="312">
        <v>0.70130000000000003</v>
      </c>
      <c r="BE908" s="312">
        <v>0.66949999999999998</v>
      </c>
      <c r="BF908" s="312">
        <v>0.58850000000000002</v>
      </c>
      <c r="BG908" s="312">
        <v>0.73329999999999995</v>
      </c>
      <c r="BH908" s="312">
        <v>0.67190000000000005</v>
      </c>
      <c r="BI908" s="312">
        <v>0.65090000000000003</v>
      </c>
      <c r="BJ908" s="312">
        <v>0.61309999999999998</v>
      </c>
      <c r="BK908" s="312">
        <v>0.68840000000000001</v>
      </c>
      <c r="BM908">
        <f>(C908-C497)*1000000/(RIMS_emp!C908-RIMS_emp!C497)</f>
        <v>37542.110849600809</v>
      </c>
    </row>
    <row r="909" spans="1:65" x14ac:dyDescent="0.25">
      <c r="A909" s="306">
        <v>316100</v>
      </c>
      <c r="B909" s="312" t="s">
        <v>76</v>
      </c>
      <c r="C909" s="312">
        <v>0.79930000000000001</v>
      </c>
      <c r="D909" s="312">
        <v>0.2485</v>
      </c>
      <c r="E909" s="312">
        <v>0.375</v>
      </c>
      <c r="F909" s="312">
        <v>0</v>
      </c>
      <c r="G909" s="312">
        <v>0.34449999999999997</v>
      </c>
      <c r="H909" s="312">
        <v>0.4002</v>
      </c>
      <c r="I909" s="312">
        <v>0.5927</v>
      </c>
      <c r="J909" s="312">
        <v>0</v>
      </c>
      <c r="K909" s="312">
        <v>0</v>
      </c>
      <c r="L909" s="312">
        <v>0</v>
      </c>
      <c r="M909" s="312">
        <v>0.33660000000000001</v>
      </c>
      <c r="N909" s="312">
        <v>0.4456</v>
      </c>
      <c r="O909" s="312">
        <v>0</v>
      </c>
      <c r="P909" s="312">
        <v>0.45400000000000001</v>
      </c>
      <c r="Q909" s="312">
        <v>0.48230000000000001</v>
      </c>
      <c r="R909" s="312">
        <v>0.5494</v>
      </c>
      <c r="S909" s="312">
        <v>0.45540000000000003</v>
      </c>
      <c r="T909" s="312">
        <v>0</v>
      </c>
      <c r="U909" s="312">
        <v>0.51910000000000001</v>
      </c>
      <c r="V909" s="312">
        <v>0.37930000000000003</v>
      </c>
      <c r="W909" s="312">
        <v>0.3372</v>
      </c>
      <c r="X909" s="312">
        <v>0.26029999999999998</v>
      </c>
      <c r="Y909" s="312">
        <v>0.2974</v>
      </c>
      <c r="Z909" s="312">
        <v>0.45279999999999998</v>
      </c>
      <c r="AA909" s="312">
        <v>0.52190000000000003</v>
      </c>
      <c r="AB909" s="312">
        <v>0.57279999999999998</v>
      </c>
      <c r="AC909" s="312">
        <v>0.36830000000000002</v>
      </c>
      <c r="AD909" s="312">
        <v>0.34970000000000001</v>
      </c>
      <c r="AE909" s="312">
        <v>0.48559999999999998</v>
      </c>
      <c r="AF909" s="312">
        <v>0</v>
      </c>
      <c r="AG909" s="312">
        <v>0.39340000000000003</v>
      </c>
      <c r="AH909" s="312">
        <v>0.25180000000000002</v>
      </c>
      <c r="AI909" s="312">
        <v>0.36699999999999999</v>
      </c>
      <c r="AJ909" s="312">
        <v>0</v>
      </c>
      <c r="AK909" s="312">
        <v>0</v>
      </c>
      <c r="AL909" s="312">
        <v>0.2752</v>
      </c>
      <c r="AM909" s="312">
        <v>0.47089999999999999</v>
      </c>
      <c r="AN909" s="312">
        <v>0.50929999999999997</v>
      </c>
      <c r="AO909" s="312">
        <v>0.3584</v>
      </c>
      <c r="AP909" s="312">
        <v>0.51370000000000005</v>
      </c>
      <c r="AQ909" s="312">
        <v>0</v>
      </c>
      <c r="AR909" s="312">
        <v>0.39589999999999997</v>
      </c>
      <c r="AS909" s="312">
        <v>0</v>
      </c>
      <c r="AT909" s="312">
        <v>0.46560000000000001</v>
      </c>
      <c r="AU909" s="312">
        <v>0.6391</v>
      </c>
      <c r="AV909" s="312">
        <v>0.55159999999999998</v>
      </c>
      <c r="AW909" s="312">
        <v>0</v>
      </c>
      <c r="AX909" s="312">
        <v>0</v>
      </c>
      <c r="AY909" s="312">
        <v>0.37409999999999999</v>
      </c>
      <c r="AZ909" s="312">
        <v>0.53100000000000003</v>
      </c>
      <c r="BA909" s="312">
        <v>0.27239999999999998</v>
      </c>
      <c r="BB909" s="312">
        <v>0.2676</v>
      </c>
      <c r="BC909" s="312">
        <v>0.37169999999999997</v>
      </c>
      <c r="BD909" s="312">
        <v>0.41799999999999998</v>
      </c>
      <c r="BE909" s="312">
        <v>0.58699999999999997</v>
      </c>
      <c r="BF909" s="312">
        <v>0.56230000000000002</v>
      </c>
      <c r="BG909" s="312">
        <v>0.43759999999999999</v>
      </c>
      <c r="BH909" s="312">
        <v>0.50860000000000005</v>
      </c>
      <c r="BI909" s="312">
        <v>0.65290000000000004</v>
      </c>
      <c r="BJ909" s="312">
        <v>0.4975</v>
      </c>
      <c r="BK909" s="312">
        <v>0.40629999999999999</v>
      </c>
      <c r="BM909">
        <f>(C909-C498)*1000000/(RIMS_emp!C909-RIMS_emp!C498)</f>
        <v>37534.498620055201</v>
      </c>
    </row>
    <row r="910" spans="1:65" x14ac:dyDescent="0.25">
      <c r="A910" s="306">
        <v>316200</v>
      </c>
      <c r="B910" s="312" t="s">
        <v>77</v>
      </c>
      <c r="C910" s="312">
        <v>0.77829999999999999</v>
      </c>
      <c r="D910" s="312">
        <v>0</v>
      </c>
      <c r="E910" s="312">
        <v>0</v>
      </c>
      <c r="F910" s="312">
        <v>0.47049999999999997</v>
      </c>
      <c r="G910" s="312">
        <v>0.49680000000000002</v>
      </c>
      <c r="H910" s="312">
        <v>0.57220000000000004</v>
      </c>
      <c r="I910" s="312">
        <v>0.5534</v>
      </c>
      <c r="J910" s="312">
        <v>0</v>
      </c>
      <c r="K910" s="312">
        <v>0</v>
      </c>
      <c r="L910" s="312">
        <v>0</v>
      </c>
      <c r="M910" s="312">
        <v>0.51619999999999999</v>
      </c>
      <c r="N910" s="312">
        <v>0.57220000000000004</v>
      </c>
      <c r="O910" s="312">
        <v>0.45800000000000002</v>
      </c>
      <c r="P910" s="312">
        <v>0</v>
      </c>
      <c r="Q910" s="312">
        <v>0.45789999999999997</v>
      </c>
      <c r="R910" s="312">
        <v>0.59719999999999995</v>
      </c>
      <c r="S910" s="312">
        <v>0.47799999999999998</v>
      </c>
      <c r="T910" s="312">
        <v>0</v>
      </c>
      <c r="U910" s="312">
        <v>0.50490000000000002</v>
      </c>
      <c r="V910" s="312">
        <v>0</v>
      </c>
      <c r="W910" s="312">
        <v>0.53600000000000003</v>
      </c>
      <c r="X910" s="312">
        <v>0.3987</v>
      </c>
      <c r="Y910" s="312">
        <v>0.51100000000000001</v>
      </c>
      <c r="Z910" s="312">
        <v>0.57669999999999999</v>
      </c>
      <c r="AA910" s="312">
        <v>0.44240000000000002</v>
      </c>
      <c r="AB910" s="312">
        <v>0.55410000000000004</v>
      </c>
      <c r="AC910" s="312">
        <v>0</v>
      </c>
      <c r="AD910" s="312">
        <v>0.4325</v>
      </c>
      <c r="AE910" s="312">
        <v>0.55049999999999999</v>
      </c>
      <c r="AF910" s="312">
        <v>0.39939999999999998</v>
      </c>
      <c r="AG910" s="312">
        <v>0.32929999999999998</v>
      </c>
      <c r="AH910" s="312">
        <v>0.42609999999999998</v>
      </c>
      <c r="AI910" s="312">
        <v>0.53700000000000003</v>
      </c>
      <c r="AJ910" s="312">
        <v>0</v>
      </c>
      <c r="AK910" s="312">
        <v>0</v>
      </c>
      <c r="AL910" s="312">
        <v>0.43230000000000002</v>
      </c>
      <c r="AM910" s="312">
        <v>0.58209999999999995</v>
      </c>
      <c r="AN910" s="312">
        <v>0.47249999999999998</v>
      </c>
      <c r="AO910" s="312">
        <v>0.49349999999999999</v>
      </c>
      <c r="AP910" s="312">
        <v>0.58909999999999996</v>
      </c>
      <c r="AQ910" s="312">
        <v>0</v>
      </c>
      <c r="AR910" s="312">
        <v>0.54259999999999997</v>
      </c>
      <c r="AS910" s="312">
        <v>0</v>
      </c>
      <c r="AT910" s="312">
        <v>0.5635</v>
      </c>
      <c r="AU910" s="312">
        <v>0.59899999999999998</v>
      </c>
      <c r="AV910" s="312">
        <v>0</v>
      </c>
      <c r="AW910" s="312">
        <v>0.51549999999999996</v>
      </c>
      <c r="AX910" s="312">
        <v>0</v>
      </c>
      <c r="AY910" s="312">
        <v>0.4753</v>
      </c>
      <c r="AZ910" s="312">
        <v>0.5423</v>
      </c>
      <c r="BA910" s="312">
        <v>0</v>
      </c>
      <c r="BB910" s="312">
        <v>0</v>
      </c>
      <c r="BC910" s="312">
        <v>0.60819999999999996</v>
      </c>
      <c r="BD910" s="312">
        <v>0.59260000000000002</v>
      </c>
      <c r="BE910" s="312">
        <v>0.63039999999999996</v>
      </c>
      <c r="BF910" s="312">
        <v>0.51600000000000001</v>
      </c>
      <c r="BG910" s="312">
        <v>0.60880000000000001</v>
      </c>
      <c r="BH910" s="312">
        <v>0.57679999999999998</v>
      </c>
      <c r="BI910" s="312">
        <v>0.60219999999999996</v>
      </c>
      <c r="BJ910" s="312">
        <v>0.5373</v>
      </c>
      <c r="BK910" s="312">
        <v>0.57250000000000001</v>
      </c>
      <c r="BM910">
        <f>(C910-C499)*1000000/(RIMS_emp!C910-RIMS_emp!C499)</f>
        <v>37534.416671165578</v>
      </c>
    </row>
    <row r="911" spans="1:65" x14ac:dyDescent="0.25">
      <c r="A911" s="306">
        <v>316900</v>
      </c>
      <c r="B911" s="312" t="s">
        <v>78</v>
      </c>
      <c r="C911" s="312">
        <v>0.79730000000000001</v>
      </c>
      <c r="D911" s="312">
        <v>0</v>
      </c>
      <c r="E911" s="312">
        <v>0.50639999999999996</v>
      </c>
      <c r="F911" s="312">
        <v>0.46210000000000001</v>
      </c>
      <c r="G911" s="312">
        <v>0.50319999999999998</v>
      </c>
      <c r="H911" s="312">
        <v>0.60250000000000004</v>
      </c>
      <c r="I911" s="312">
        <v>0.58609999999999995</v>
      </c>
      <c r="J911" s="312">
        <v>0.49170000000000003</v>
      </c>
      <c r="K911" s="312">
        <v>0</v>
      </c>
      <c r="L911" s="312">
        <v>0.41799999999999998</v>
      </c>
      <c r="M911" s="312">
        <v>0.52510000000000001</v>
      </c>
      <c r="N911" s="312">
        <v>0.57620000000000005</v>
      </c>
      <c r="O911" s="312">
        <v>0</v>
      </c>
      <c r="P911" s="312">
        <v>0.43590000000000001</v>
      </c>
      <c r="Q911" s="312">
        <v>0.46800000000000003</v>
      </c>
      <c r="R911" s="312">
        <v>0.60980000000000001</v>
      </c>
      <c r="S911" s="312">
        <v>0.47620000000000001</v>
      </c>
      <c r="T911" s="312">
        <v>0.41849999999999998</v>
      </c>
      <c r="U911" s="312">
        <v>0.49930000000000002</v>
      </c>
      <c r="V911" s="312">
        <v>0.50119999999999998</v>
      </c>
      <c r="W911" s="312">
        <v>0.53700000000000003</v>
      </c>
      <c r="X911" s="312">
        <v>0.39529999999999998</v>
      </c>
      <c r="Y911" s="312">
        <v>0.49559999999999998</v>
      </c>
      <c r="Z911" s="312">
        <v>0.58040000000000003</v>
      </c>
      <c r="AA911" s="312">
        <v>0.4556</v>
      </c>
      <c r="AB911" s="312">
        <v>0.55100000000000005</v>
      </c>
      <c r="AC911" s="312">
        <v>0.44259999999999999</v>
      </c>
      <c r="AD911" s="312">
        <v>0.43630000000000002</v>
      </c>
      <c r="AE911" s="312">
        <v>0.55359999999999998</v>
      </c>
      <c r="AF911" s="312">
        <v>0.39050000000000001</v>
      </c>
      <c r="AG911" s="312">
        <v>0.32990000000000003</v>
      </c>
      <c r="AH911" s="312">
        <v>0.41460000000000002</v>
      </c>
      <c r="AI911" s="312">
        <v>0.53610000000000002</v>
      </c>
      <c r="AJ911" s="312">
        <v>0.4254</v>
      </c>
      <c r="AK911" s="312">
        <v>0.4713</v>
      </c>
      <c r="AL911" s="312">
        <v>0.44550000000000001</v>
      </c>
      <c r="AM911" s="312">
        <v>0.57789999999999997</v>
      </c>
      <c r="AN911" s="312">
        <v>0.4889</v>
      </c>
      <c r="AO911" s="312">
        <v>0.48670000000000002</v>
      </c>
      <c r="AP911" s="312">
        <v>0.5927</v>
      </c>
      <c r="AQ911" s="312">
        <v>0.46129999999999999</v>
      </c>
      <c r="AR911" s="312">
        <v>0.53320000000000001</v>
      </c>
      <c r="AS911" s="312">
        <v>0.31940000000000002</v>
      </c>
      <c r="AT911" s="312">
        <v>0.56459999999999999</v>
      </c>
      <c r="AU911" s="312">
        <v>0.60509999999999997</v>
      </c>
      <c r="AV911" s="312">
        <v>0.57769999999999999</v>
      </c>
      <c r="AW911" s="312">
        <v>0.51280000000000003</v>
      </c>
      <c r="AX911" s="312">
        <v>0.35560000000000003</v>
      </c>
      <c r="AY911" s="312">
        <v>0.4763</v>
      </c>
      <c r="AZ911" s="312">
        <v>0.54610000000000003</v>
      </c>
      <c r="BA911" s="312">
        <v>0</v>
      </c>
      <c r="BB911" s="312">
        <v>0.39119999999999999</v>
      </c>
      <c r="BC911" s="312">
        <v>0.61529999999999996</v>
      </c>
      <c r="BD911" s="312">
        <v>0.60240000000000005</v>
      </c>
      <c r="BE911" s="312">
        <v>0.63690000000000002</v>
      </c>
      <c r="BF911" s="312">
        <v>0.51959999999999995</v>
      </c>
      <c r="BG911" s="312">
        <v>0.61460000000000004</v>
      </c>
      <c r="BH911" s="312">
        <v>0.57210000000000005</v>
      </c>
      <c r="BI911" s="312">
        <v>0.60770000000000002</v>
      </c>
      <c r="BJ911" s="312">
        <v>0.5595</v>
      </c>
      <c r="BK911" s="312">
        <v>0.59930000000000005</v>
      </c>
      <c r="BM911">
        <f>(C911-C500)*1000000/(RIMS_emp!C911-RIMS_emp!C500)</f>
        <v>37539.199409703018</v>
      </c>
    </row>
    <row r="912" spans="1:65" x14ac:dyDescent="0.25">
      <c r="A912" s="306">
        <v>321100</v>
      </c>
      <c r="B912" s="312" t="s">
        <v>79</v>
      </c>
      <c r="C912" s="312">
        <v>0.81169999999999998</v>
      </c>
      <c r="D912" s="312">
        <v>0.40360000000000001</v>
      </c>
      <c r="E912" s="312">
        <v>0.58409999999999995</v>
      </c>
      <c r="F912" s="312">
        <v>0.54559999999999997</v>
      </c>
      <c r="G912" s="312">
        <v>0.31890000000000002</v>
      </c>
      <c r="H912" s="312">
        <v>0.41870000000000002</v>
      </c>
      <c r="I912" s="312">
        <v>0.35780000000000001</v>
      </c>
      <c r="J912" s="312">
        <v>0.26919999999999999</v>
      </c>
      <c r="K912" s="312">
        <v>0</v>
      </c>
      <c r="L912" s="312">
        <v>0.22900000000000001</v>
      </c>
      <c r="M912" s="312">
        <v>0.47610000000000002</v>
      </c>
      <c r="N912" s="312">
        <v>0.6341</v>
      </c>
      <c r="O912" s="312">
        <v>0.27529999999999999</v>
      </c>
      <c r="P912" s="312">
        <v>0.25319999999999998</v>
      </c>
      <c r="Q912" s="312">
        <v>0.52</v>
      </c>
      <c r="R912" s="312">
        <v>0.33210000000000001</v>
      </c>
      <c r="S912" s="312">
        <v>0.33579999999999999</v>
      </c>
      <c r="T912" s="312">
        <v>0.25359999999999999</v>
      </c>
      <c r="U912" s="312">
        <v>0.36380000000000001</v>
      </c>
      <c r="V912" s="312">
        <v>0.56559999999999999</v>
      </c>
      <c r="W912" s="312">
        <v>0.27829999999999999</v>
      </c>
      <c r="X912" s="312">
        <v>0.27389999999999998</v>
      </c>
      <c r="Y912" s="312">
        <v>0.56240000000000001</v>
      </c>
      <c r="Z912" s="312">
        <v>0.47720000000000001</v>
      </c>
      <c r="AA912" s="312">
        <v>0.41689999999999999</v>
      </c>
      <c r="AB912" s="312">
        <v>0.33639999999999998</v>
      </c>
      <c r="AC912" s="312">
        <v>0.53339999999999999</v>
      </c>
      <c r="AD912" s="312">
        <v>0.54</v>
      </c>
      <c r="AE912" s="312">
        <v>0.55159999999999998</v>
      </c>
      <c r="AF912" s="312">
        <v>0.22170000000000001</v>
      </c>
      <c r="AG912" s="312">
        <v>0.25059999999999999</v>
      </c>
      <c r="AH912" s="312">
        <v>0.46479999999999999</v>
      </c>
      <c r="AI912" s="312">
        <v>0.27110000000000001</v>
      </c>
      <c r="AJ912" s="312">
        <v>0.28199999999999997</v>
      </c>
      <c r="AK912" s="312">
        <v>0.26679999999999998</v>
      </c>
      <c r="AL912" s="312">
        <v>0.2681</v>
      </c>
      <c r="AM912" s="312">
        <v>0.34549999999999997</v>
      </c>
      <c r="AN912" s="312">
        <v>0.36570000000000003</v>
      </c>
      <c r="AO912" s="312">
        <v>0.59889999999999999</v>
      </c>
      <c r="AP912" s="312">
        <v>0.379</v>
      </c>
      <c r="AQ912" s="312">
        <v>0.2581</v>
      </c>
      <c r="AR912" s="312">
        <v>0.57730000000000004</v>
      </c>
      <c r="AS912" s="312">
        <v>0.35220000000000001</v>
      </c>
      <c r="AT912" s="312">
        <v>0.41460000000000002</v>
      </c>
      <c r="AU912" s="312">
        <v>0.45119999999999999</v>
      </c>
      <c r="AV912" s="312">
        <v>0.34849999999999998</v>
      </c>
      <c r="AW912" s="312">
        <v>0.4829</v>
      </c>
      <c r="AX912" s="312">
        <v>0.45789999999999997</v>
      </c>
      <c r="AY912" s="312">
        <v>0.60960000000000003</v>
      </c>
      <c r="AZ912" s="312">
        <v>0.44059999999999999</v>
      </c>
      <c r="BA912" s="312">
        <v>0.45029999999999998</v>
      </c>
      <c r="BB912" s="312">
        <v>0.31859999999999999</v>
      </c>
      <c r="BC912" s="312">
        <v>0.52470000000000006</v>
      </c>
      <c r="BD912" s="312">
        <v>0.34560000000000002</v>
      </c>
      <c r="BE912" s="312">
        <v>0.40460000000000002</v>
      </c>
      <c r="BF912" s="312">
        <v>0.34989999999999999</v>
      </c>
      <c r="BG912" s="312">
        <v>0.65539999999999998</v>
      </c>
      <c r="BH912" s="312">
        <v>0.62419999999999998</v>
      </c>
      <c r="BI912" s="312">
        <v>0.66479999999999995</v>
      </c>
      <c r="BJ912" s="312">
        <v>0.50609999999999999</v>
      </c>
      <c r="BK912" s="312">
        <v>0.66169999999999995</v>
      </c>
      <c r="BM912">
        <f>(C912-C501)*1000000/(RIMS_emp!C912-RIMS_emp!C501)</f>
        <v>37529.76498602338</v>
      </c>
    </row>
    <row r="913" spans="1:65" x14ac:dyDescent="0.25">
      <c r="A913" s="306">
        <v>321219</v>
      </c>
      <c r="B913" s="312" t="s">
        <v>82</v>
      </c>
      <c r="C913" s="312">
        <v>0.7127</v>
      </c>
      <c r="D913" s="312">
        <v>0</v>
      </c>
      <c r="E913" s="312">
        <v>0.4879</v>
      </c>
      <c r="F913" s="312">
        <v>0.43719999999999998</v>
      </c>
      <c r="G913" s="312">
        <v>0.3422</v>
      </c>
      <c r="H913" s="312">
        <v>0.41210000000000002</v>
      </c>
      <c r="I913" s="312">
        <v>0.38540000000000002</v>
      </c>
      <c r="J913" s="312">
        <v>0</v>
      </c>
      <c r="K913" s="312">
        <v>0</v>
      </c>
      <c r="L913" s="312">
        <v>0.27750000000000002</v>
      </c>
      <c r="M913" s="312">
        <v>0.3876</v>
      </c>
      <c r="N913" s="312">
        <v>0.52669999999999995</v>
      </c>
      <c r="O913" s="312">
        <v>0</v>
      </c>
      <c r="P913" s="312">
        <v>0</v>
      </c>
      <c r="Q913" s="312">
        <v>0.3916</v>
      </c>
      <c r="R913" s="312">
        <v>0.39889999999999998</v>
      </c>
      <c r="S913" s="312">
        <v>0.37309999999999999</v>
      </c>
      <c r="T913" s="312">
        <v>0</v>
      </c>
      <c r="U913" s="312">
        <v>0.38840000000000002</v>
      </c>
      <c r="V913" s="312">
        <v>0.48209999999999997</v>
      </c>
      <c r="W913" s="312">
        <v>0.3337</v>
      </c>
      <c r="X913" s="312">
        <v>0.29199999999999998</v>
      </c>
      <c r="Y913" s="312">
        <v>0.44409999999999999</v>
      </c>
      <c r="Z913" s="312">
        <v>0.45810000000000001</v>
      </c>
      <c r="AA913" s="312">
        <v>0.38440000000000002</v>
      </c>
      <c r="AB913" s="312">
        <v>0.38059999999999999</v>
      </c>
      <c r="AC913" s="312">
        <v>0.43680000000000002</v>
      </c>
      <c r="AD913" s="312">
        <v>0.41710000000000003</v>
      </c>
      <c r="AE913" s="312">
        <v>0.47149999999999997</v>
      </c>
      <c r="AF913" s="312">
        <v>0.2422</v>
      </c>
      <c r="AG913" s="312">
        <v>0</v>
      </c>
      <c r="AH913" s="312">
        <v>0.3987</v>
      </c>
      <c r="AI913" s="312">
        <v>0.33150000000000002</v>
      </c>
      <c r="AJ913" s="312">
        <v>0.3024</v>
      </c>
      <c r="AK913" s="312">
        <v>0.31040000000000001</v>
      </c>
      <c r="AL913" s="312">
        <v>0.29149999999999998</v>
      </c>
      <c r="AM913" s="312">
        <v>0.4123</v>
      </c>
      <c r="AN913" s="312">
        <v>0.37959999999999999</v>
      </c>
      <c r="AO913" s="312">
        <v>0.47710000000000002</v>
      </c>
      <c r="AP913" s="312">
        <v>0.45069999999999999</v>
      </c>
      <c r="AQ913" s="312">
        <v>0</v>
      </c>
      <c r="AR913" s="312">
        <v>0.48949999999999999</v>
      </c>
      <c r="AS913" s="312">
        <v>0.32650000000000001</v>
      </c>
      <c r="AT913" s="312">
        <v>0.42880000000000001</v>
      </c>
      <c r="AU913" s="312">
        <v>0.48520000000000002</v>
      </c>
      <c r="AV913" s="312">
        <v>0</v>
      </c>
      <c r="AW913" s="312">
        <v>0.43669999999999998</v>
      </c>
      <c r="AX913" s="312">
        <v>0</v>
      </c>
      <c r="AY913" s="312">
        <v>0.46200000000000002</v>
      </c>
      <c r="AZ913" s="312">
        <v>0.43020000000000003</v>
      </c>
      <c r="BA913" s="312">
        <v>0.40710000000000002</v>
      </c>
      <c r="BB913" s="312">
        <v>0</v>
      </c>
      <c r="BC913" s="312">
        <v>0.46949999999999997</v>
      </c>
      <c r="BD913" s="312">
        <v>0.40410000000000001</v>
      </c>
      <c r="BE913" s="312">
        <v>0.4637</v>
      </c>
      <c r="BF913" s="312">
        <v>0.38469999999999999</v>
      </c>
      <c r="BG913" s="312">
        <v>0.55079999999999996</v>
      </c>
      <c r="BH913" s="312">
        <v>0.53300000000000003</v>
      </c>
      <c r="BI913" s="312">
        <v>0.57569999999999999</v>
      </c>
      <c r="BJ913" s="312">
        <v>0.4582</v>
      </c>
      <c r="BK913" s="312">
        <v>0.52459999999999996</v>
      </c>
      <c r="BM913">
        <f>(C913-C502)*1000000/(RIMS_emp!C913-RIMS_emp!C502)</f>
        <v>37540.348136247732</v>
      </c>
    </row>
    <row r="914" spans="1:65" x14ac:dyDescent="0.25">
      <c r="A914" s="306" t="s">
        <v>709</v>
      </c>
      <c r="B914" s="312" t="s">
        <v>80</v>
      </c>
      <c r="C914" s="312">
        <v>0.80530000000000002</v>
      </c>
      <c r="D914" s="312">
        <v>0.4037</v>
      </c>
      <c r="E914" s="312">
        <v>0.58520000000000005</v>
      </c>
      <c r="F914" s="312">
        <v>0.54859999999999998</v>
      </c>
      <c r="G914" s="312">
        <v>0.3679</v>
      </c>
      <c r="H914" s="312">
        <v>0.45079999999999998</v>
      </c>
      <c r="I914" s="312">
        <v>0.40539999999999998</v>
      </c>
      <c r="J914" s="312">
        <v>0</v>
      </c>
      <c r="K914" s="312">
        <v>0</v>
      </c>
      <c r="L914" s="312">
        <v>0.27889999999999998</v>
      </c>
      <c r="M914" s="312">
        <v>0.49099999999999999</v>
      </c>
      <c r="N914" s="312">
        <v>0.63959999999999995</v>
      </c>
      <c r="O914" s="312">
        <v>0.3306</v>
      </c>
      <c r="P914" s="312">
        <v>0.30120000000000002</v>
      </c>
      <c r="Q914" s="312">
        <v>0.52070000000000005</v>
      </c>
      <c r="R914" s="312">
        <v>0.38940000000000002</v>
      </c>
      <c r="S914" s="312">
        <v>0.40129999999999999</v>
      </c>
      <c r="T914" s="312">
        <v>0</v>
      </c>
      <c r="U914" s="312">
        <v>0.42199999999999999</v>
      </c>
      <c r="V914" s="312">
        <v>0.57310000000000005</v>
      </c>
      <c r="W914" s="312">
        <v>0.33550000000000002</v>
      </c>
      <c r="X914" s="312">
        <v>0.31590000000000001</v>
      </c>
      <c r="Y914" s="312">
        <v>0.56989999999999996</v>
      </c>
      <c r="Z914" s="312">
        <v>0.51370000000000005</v>
      </c>
      <c r="AA914" s="312">
        <v>0.43259999999999998</v>
      </c>
      <c r="AB914" s="312">
        <v>0.3735</v>
      </c>
      <c r="AC914" s="312">
        <v>0.53869999999999996</v>
      </c>
      <c r="AD914" s="312">
        <v>0.54169999999999996</v>
      </c>
      <c r="AE914" s="312">
        <v>0.56689999999999996</v>
      </c>
      <c r="AF914" s="312">
        <v>0</v>
      </c>
      <c r="AG914" s="312">
        <v>0.30330000000000001</v>
      </c>
      <c r="AH914" s="312">
        <v>0.44890000000000002</v>
      </c>
      <c r="AI914" s="312">
        <v>0.32419999999999999</v>
      </c>
      <c r="AJ914" s="312">
        <v>0</v>
      </c>
      <c r="AK914" s="312">
        <v>0</v>
      </c>
      <c r="AL914" s="312">
        <v>0.31419999999999998</v>
      </c>
      <c r="AM914" s="312">
        <v>0.4143</v>
      </c>
      <c r="AN914" s="312">
        <v>0.39150000000000001</v>
      </c>
      <c r="AO914" s="312">
        <v>0.60489999999999999</v>
      </c>
      <c r="AP914" s="312">
        <v>0.43540000000000001</v>
      </c>
      <c r="AQ914" s="312">
        <v>0.31259999999999999</v>
      </c>
      <c r="AR914" s="312">
        <v>0.58389999999999997</v>
      </c>
      <c r="AS914" s="312">
        <v>0</v>
      </c>
      <c r="AT914" s="312">
        <v>0.43830000000000002</v>
      </c>
      <c r="AU914" s="312">
        <v>0.51300000000000001</v>
      </c>
      <c r="AV914" s="312">
        <v>0.4304</v>
      </c>
      <c r="AW914" s="312">
        <v>0.51239999999999997</v>
      </c>
      <c r="AX914" s="312">
        <v>0.46539999999999998</v>
      </c>
      <c r="AY914" s="312">
        <v>0.59930000000000005</v>
      </c>
      <c r="AZ914" s="312">
        <v>0.49459999999999998</v>
      </c>
      <c r="BA914" s="312">
        <v>0.47789999999999999</v>
      </c>
      <c r="BB914" s="312">
        <v>0</v>
      </c>
      <c r="BC914" s="312">
        <v>0.52839999999999998</v>
      </c>
      <c r="BD914" s="312">
        <v>0.4032</v>
      </c>
      <c r="BE914" s="312">
        <v>0.48409999999999997</v>
      </c>
      <c r="BF914" s="312">
        <v>0.39410000000000001</v>
      </c>
      <c r="BG914" s="312">
        <v>0.66039999999999999</v>
      </c>
      <c r="BH914" s="312">
        <v>0.63029999999999997</v>
      </c>
      <c r="BI914" s="312">
        <v>0.66710000000000003</v>
      </c>
      <c r="BJ914" s="312">
        <v>0.53110000000000002</v>
      </c>
      <c r="BK914" s="312">
        <v>0.66100000000000003</v>
      </c>
      <c r="BM914">
        <f>(C914-C503)*1000000/(RIMS_emp!C914-RIMS_emp!C503)</f>
        <v>37542.884723254945</v>
      </c>
    </row>
    <row r="915" spans="1:65" x14ac:dyDescent="0.25">
      <c r="A915" s="306" t="s">
        <v>710</v>
      </c>
      <c r="B915" s="312" t="s">
        <v>81</v>
      </c>
      <c r="C915" s="312">
        <v>0.81279999999999997</v>
      </c>
      <c r="D915" s="312">
        <v>0.41189999999999999</v>
      </c>
      <c r="E915" s="312">
        <v>0.58709999999999996</v>
      </c>
      <c r="F915" s="312">
        <v>0.54620000000000002</v>
      </c>
      <c r="G915" s="312">
        <v>0.48320000000000002</v>
      </c>
      <c r="H915" s="312">
        <v>0.54969999999999997</v>
      </c>
      <c r="I915" s="312">
        <v>0.54400000000000004</v>
      </c>
      <c r="J915" s="312">
        <v>0.44119999999999998</v>
      </c>
      <c r="K915" s="312">
        <v>0</v>
      </c>
      <c r="L915" s="312">
        <v>0.3604</v>
      </c>
      <c r="M915" s="312">
        <v>0.50890000000000002</v>
      </c>
      <c r="N915" s="312">
        <v>0.64510000000000001</v>
      </c>
      <c r="O915" s="312">
        <v>0.41560000000000002</v>
      </c>
      <c r="P915" s="312">
        <v>0.40350000000000003</v>
      </c>
      <c r="Q915" s="312">
        <v>0.51149999999999995</v>
      </c>
      <c r="R915" s="312">
        <v>0.52600000000000002</v>
      </c>
      <c r="S915" s="312">
        <v>0.50309999999999999</v>
      </c>
      <c r="T915" s="312">
        <v>0.39350000000000002</v>
      </c>
      <c r="U915" s="312">
        <v>0.52769999999999995</v>
      </c>
      <c r="V915" s="312">
        <v>0.56759999999999999</v>
      </c>
      <c r="W915" s="312">
        <v>0.44719999999999999</v>
      </c>
      <c r="X915" s="312">
        <v>0.40810000000000002</v>
      </c>
      <c r="Y915" s="312">
        <v>0.57989999999999997</v>
      </c>
      <c r="Z915" s="312">
        <v>0.55820000000000003</v>
      </c>
      <c r="AA915" s="312">
        <v>0.47460000000000002</v>
      </c>
      <c r="AB915" s="312">
        <v>0.52739999999999998</v>
      </c>
      <c r="AC915" s="312">
        <v>0.53180000000000005</v>
      </c>
      <c r="AD915" s="312">
        <v>0.52370000000000005</v>
      </c>
      <c r="AE915" s="312">
        <v>0.58989999999999998</v>
      </c>
      <c r="AF915" s="312">
        <v>0.32590000000000002</v>
      </c>
      <c r="AG915" s="312">
        <v>0.39229999999999998</v>
      </c>
      <c r="AH915" s="312">
        <v>0.51570000000000005</v>
      </c>
      <c r="AI915" s="312">
        <v>0.42799999999999999</v>
      </c>
      <c r="AJ915" s="312">
        <v>0.40600000000000003</v>
      </c>
      <c r="AK915" s="312">
        <v>0.42259999999999998</v>
      </c>
      <c r="AL915" s="312">
        <v>0.4047</v>
      </c>
      <c r="AM915" s="312">
        <v>0.5423</v>
      </c>
      <c r="AN915" s="312">
        <v>0.52429999999999999</v>
      </c>
      <c r="AO915" s="312">
        <v>0.61050000000000004</v>
      </c>
      <c r="AP915" s="312">
        <v>0.59589999999999999</v>
      </c>
      <c r="AQ915" s="312">
        <v>0.4289</v>
      </c>
      <c r="AR915" s="312">
        <v>0.59279999999999999</v>
      </c>
      <c r="AS915" s="312">
        <v>0.45569999999999999</v>
      </c>
      <c r="AT915" s="312">
        <v>0.57089999999999996</v>
      </c>
      <c r="AU915" s="312">
        <v>0.57969999999999999</v>
      </c>
      <c r="AV915" s="312">
        <v>0.53359999999999996</v>
      </c>
      <c r="AW915" s="312">
        <v>0.56359999999999999</v>
      </c>
      <c r="AX915" s="312">
        <v>0.4723</v>
      </c>
      <c r="AY915" s="312">
        <v>0.60209999999999997</v>
      </c>
      <c r="AZ915" s="312">
        <v>0.57920000000000005</v>
      </c>
      <c r="BA915" s="312">
        <v>0.49370000000000003</v>
      </c>
      <c r="BB915" s="312">
        <v>0.41860000000000003</v>
      </c>
      <c r="BC915" s="312">
        <v>0.57489999999999997</v>
      </c>
      <c r="BD915" s="312">
        <v>0.53569999999999995</v>
      </c>
      <c r="BE915" s="312">
        <v>0.59279999999999999</v>
      </c>
      <c r="BF915" s="312">
        <v>0.50409999999999999</v>
      </c>
      <c r="BG915" s="312">
        <v>0.66959999999999997</v>
      </c>
      <c r="BH915" s="312">
        <v>0.6321</v>
      </c>
      <c r="BI915" s="312">
        <v>0.66839999999999999</v>
      </c>
      <c r="BJ915" s="312">
        <v>0.58819999999999995</v>
      </c>
      <c r="BK915" s="312">
        <v>0.66059999999999997</v>
      </c>
      <c r="BM915">
        <f>(C915-C504)*1000000/(RIMS_emp!C915-RIMS_emp!C504)</f>
        <v>37545.396973104311</v>
      </c>
    </row>
    <row r="916" spans="1:65" x14ac:dyDescent="0.25">
      <c r="A916" s="306">
        <v>321910</v>
      </c>
      <c r="B916" s="312" t="s">
        <v>711</v>
      </c>
      <c r="C916" s="312">
        <v>0.81299999999999994</v>
      </c>
      <c r="D916" s="312">
        <v>0.3795</v>
      </c>
      <c r="E916" s="312">
        <v>0.56869999999999998</v>
      </c>
      <c r="F916" s="312">
        <v>0.52600000000000002</v>
      </c>
      <c r="G916" s="312">
        <v>0.4617</v>
      </c>
      <c r="H916" s="312">
        <v>0.53910000000000002</v>
      </c>
      <c r="I916" s="312">
        <v>0.52749999999999997</v>
      </c>
      <c r="J916" s="312">
        <v>0.42880000000000001</v>
      </c>
      <c r="K916" s="312">
        <v>0</v>
      </c>
      <c r="L916" s="312">
        <v>0.3362</v>
      </c>
      <c r="M916" s="312">
        <v>0.49569999999999997</v>
      </c>
      <c r="N916" s="312">
        <v>0.64059999999999995</v>
      </c>
      <c r="O916" s="312">
        <v>0.39079999999999998</v>
      </c>
      <c r="P916" s="312">
        <v>0.3901</v>
      </c>
      <c r="Q916" s="312">
        <v>0.48649999999999999</v>
      </c>
      <c r="R916" s="312">
        <v>0.5212</v>
      </c>
      <c r="S916" s="312">
        <v>0.49359999999999998</v>
      </c>
      <c r="T916" s="312">
        <v>0.37740000000000001</v>
      </c>
      <c r="U916" s="312">
        <v>0.51929999999999998</v>
      </c>
      <c r="V916" s="312">
        <v>0.53049999999999997</v>
      </c>
      <c r="W916" s="312">
        <v>0.43430000000000002</v>
      </c>
      <c r="X916" s="312">
        <v>0.38819999999999999</v>
      </c>
      <c r="Y916" s="312">
        <v>0.55569999999999997</v>
      </c>
      <c r="Z916" s="312">
        <v>0.54069999999999996</v>
      </c>
      <c r="AA916" s="312">
        <v>0.47849999999999998</v>
      </c>
      <c r="AB916" s="312">
        <v>0.50590000000000002</v>
      </c>
      <c r="AC916" s="312">
        <v>0.51390000000000002</v>
      </c>
      <c r="AD916" s="312">
        <v>0.49080000000000001</v>
      </c>
      <c r="AE916" s="312">
        <v>0.57720000000000005</v>
      </c>
      <c r="AF916" s="312">
        <v>0.3105</v>
      </c>
      <c r="AG916" s="312">
        <v>0.3629</v>
      </c>
      <c r="AH916" s="312">
        <v>0.48930000000000001</v>
      </c>
      <c r="AI916" s="312">
        <v>0.4254</v>
      </c>
      <c r="AJ916" s="312">
        <v>0.38159999999999999</v>
      </c>
      <c r="AK916" s="312">
        <v>0.40100000000000002</v>
      </c>
      <c r="AL916" s="312">
        <v>0.38890000000000002</v>
      </c>
      <c r="AM916" s="312">
        <v>0.54420000000000002</v>
      </c>
      <c r="AN916" s="312">
        <v>0.496</v>
      </c>
      <c r="AO916" s="312">
        <v>0.59040000000000004</v>
      </c>
      <c r="AP916" s="312">
        <v>0.57779999999999998</v>
      </c>
      <c r="AQ916" s="312">
        <v>0.41830000000000001</v>
      </c>
      <c r="AR916" s="312">
        <v>0.57479999999999998</v>
      </c>
      <c r="AS916" s="312">
        <v>0.42449999999999999</v>
      </c>
      <c r="AT916" s="312">
        <v>0.55779999999999996</v>
      </c>
      <c r="AU916" s="312">
        <v>0.56799999999999995</v>
      </c>
      <c r="AV916" s="312">
        <v>0.52080000000000004</v>
      </c>
      <c r="AW916" s="312">
        <v>0.54079999999999995</v>
      </c>
      <c r="AX916" s="312">
        <v>0.45190000000000002</v>
      </c>
      <c r="AY916" s="312">
        <v>0.58150000000000002</v>
      </c>
      <c r="AZ916" s="312">
        <v>0.56540000000000001</v>
      </c>
      <c r="BA916" s="312">
        <v>0.47270000000000001</v>
      </c>
      <c r="BB916" s="312">
        <v>0.37259999999999999</v>
      </c>
      <c r="BC916" s="312">
        <v>0.56059999999999999</v>
      </c>
      <c r="BD916" s="312">
        <v>0.52639999999999998</v>
      </c>
      <c r="BE916" s="312">
        <v>0.5968</v>
      </c>
      <c r="BF916" s="312">
        <v>0.49759999999999999</v>
      </c>
      <c r="BG916" s="312">
        <v>0.65610000000000002</v>
      </c>
      <c r="BH916" s="312">
        <v>0.62549999999999994</v>
      </c>
      <c r="BI916" s="312">
        <v>0.64739999999999998</v>
      </c>
      <c r="BJ916" s="312">
        <v>0.56289999999999996</v>
      </c>
      <c r="BK916" s="312">
        <v>0.64639999999999997</v>
      </c>
      <c r="BM916">
        <f>(C916-C505)*1000000/(RIMS_emp!C916-RIMS_emp!C505)</f>
        <v>37534.239495581161</v>
      </c>
    </row>
    <row r="917" spans="1:65" x14ac:dyDescent="0.25">
      <c r="A917" s="306">
        <v>321920</v>
      </c>
      <c r="B917" s="312" t="s">
        <v>83</v>
      </c>
      <c r="C917" s="312">
        <v>0.82469999999999999</v>
      </c>
      <c r="D917" s="312">
        <v>0.40889999999999999</v>
      </c>
      <c r="E917" s="312">
        <v>0.5746</v>
      </c>
      <c r="F917" s="312">
        <v>0.52349999999999997</v>
      </c>
      <c r="G917" s="312">
        <v>0.48120000000000002</v>
      </c>
      <c r="H917" s="312">
        <v>0.56669999999999998</v>
      </c>
      <c r="I917" s="312">
        <v>0.54010000000000002</v>
      </c>
      <c r="J917" s="312">
        <v>0.45669999999999999</v>
      </c>
      <c r="K917" s="312">
        <v>0</v>
      </c>
      <c r="L917" s="312">
        <v>0.36749999999999999</v>
      </c>
      <c r="M917" s="312">
        <v>0.51659999999999995</v>
      </c>
      <c r="N917" s="312">
        <v>0.64129999999999998</v>
      </c>
      <c r="O917" s="312">
        <v>0</v>
      </c>
      <c r="P917" s="312">
        <v>0.40300000000000002</v>
      </c>
      <c r="Q917" s="312">
        <v>0.47799999999999998</v>
      </c>
      <c r="R917" s="312">
        <v>0.55020000000000002</v>
      </c>
      <c r="S917" s="312">
        <v>0.50800000000000001</v>
      </c>
      <c r="T917" s="312">
        <v>0.4088</v>
      </c>
      <c r="U917" s="312">
        <v>0.52300000000000002</v>
      </c>
      <c r="V917" s="312">
        <v>0.54179999999999995</v>
      </c>
      <c r="W917" s="312">
        <v>0.47410000000000002</v>
      </c>
      <c r="X917" s="312">
        <v>0.42249999999999999</v>
      </c>
      <c r="Y917" s="312">
        <v>0.55049999999999999</v>
      </c>
      <c r="Z917" s="312">
        <v>0.56059999999999999</v>
      </c>
      <c r="AA917" s="312">
        <v>0.48120000000000002</v>
      </c>
      <c r="AB917" s="312">
        <v>0.51619999999999999</v>
      </c>
      <c r="AC917" s="312">
        <v>0.51939999999999997</v>
      </c>
      <c r="AD917" s="312">
        <v>0.4884</v>
      </c>
      <c r="AE917" s="312">
        <v>0.59350000000000003</v>
      </c>
      <c r="AF917" s="312">
        <v>0.32279999999999998</v>
      </c>
      <c r="AG917" s="312">
        <v>0.3977</v>
      </c>
      <c r="AH917" s="312">
        <v>0.49680000000000002</v>
      </c>
      <c r="AI917" s="312">
        <v>0.46060000000000001</v>
      </c>
      <c r="AJ917" s="312">
        <v>0.40589999999999998</v>
      </c>
      <c r="AK917" s="312">
        <v>0.41849999999999998</v>
      </c>
      <c r="AL917" s="312">
        <v>0.42749999999999999</v>
      </c>
      <c r="AM917" s="312">
        <v>0.56330000000000002</v>
      </c>
      <c r="AN917" s="312">
        <v>0.50519999999999998</v>
      </c>
      <c r="AO917" s="312">
        <v>0.57479999999999998</v>
      </c>
      <c r="AP917" s="312">
        <v>0.59089999999999998</v>
      </c>
      <c r="AQ917" s="312">
        <v>0.45090000000000002</v>
      </c>
      <c r="AR917" s="312">
        <v>0.59040000000000004</v>
      </c>
      <c r="AS917" s="312">
        <v>0.42170000000000002</v>
      </c>
      <c r="AT917" s="312">
        <v>0.57220000000000004</v>
      </c>
      <c r="AU917" s="312">
        <v>0.57909999999999995</v>
      </c>
      <c r="AV917" s="312">
        <v>0.55010000000000003</v>
      </c>
      <c r="AW917" s="312">
        <v>0.54959999999999998</v>
      </c>
      <c r="AX917" s="312">
        <v>0.46529999999999999</v>
      </c>
      <c r="AY917" s="312">
        <v>0.57679999999999998</v>
      </c>
      <c r="AZ917" s="312">
        <v>0.56559999999999999</v>
      </c>
      <c r="BA917" s="312">
        <v>0.46700000000000003</v>
      </c>
      <c r="BB917" s="312">
        <v>0.40289999999999998</v>
      </c>
      <c r="BC917" s="312">
        <v>0.59060000000000001</v>
      </c>
      <c r="BD917" s="312">
        <v>0.56310000000000004</v>
      </c>
      <c r="BE917" s="312">
        <v>0.60799999999999998</v>
      </c>
      <c r="BF917" s="312">
        <v>0.50319999999999998</v>
      </c>
      <c r="BG917" s="312">
        <v>0.66969999999999996</v>
      </c>
      <c r="BH917" s="312">
        <v>0.63370000000000004</v>
      </c>
      <c r="BI917" s="312">
        <v>0.64610000000000001</v>
      </c>
      <c r="BJ917" s="312">
        <v>0.56989999999999996</v>
      </c>
      <c r="BK917" s="312">
        <v>0.64900000000000002</v>
      </c>
      <c r="BM917">
        <f>(C917-C506)*1000000/(RIMS_emp!C917-RIMS_emp!C506)</f>
        <v>37537.097657593382</v>
      </c>
    </row>
    <row r="918" spans="1:65" x14ac:dyDescent="0.25">
      <c r="A918" s="306">
        <v>321991</v>
      </c>
      <c r="B918" s="312" t="s">
        <v>84</v>
      </c>
      <c r="C918" s="312">
        <v>0.83950000000000002</v>
      </c>
      <c r="D918" s="312">
        <v>0</v>
      </c>
      <c r="E918" s="312">
        <v>0.58660000000000001</v>
      </c>
      <c r="F918" s="312">
        <v>0.50570000000000004</v>
      </c>
      <c r="G918" s="312">
        <v>0.51219999999999999</v>
      </c>
      <c r="H918" s="312">
        <v>0.57399999999999995</v>
      </c>
      <c r="I918" s="312">
        <v>0.55069999999999997</v>
      </c>
      <c r="J918" s="312">
        <v>0</v>
      </c>
      <c r="K918" s="312">
        <v>0</v>
      </c>
      <c r="L918" s="312">
        <v>0</v>
      </c>
      <c r="M918" s="312">
        <v>0.51980000000000004</v>
      </c>
      <c r="N918" s="312">
        <v>0.62980000000000003</v>
      </c>
      <c r="O918" s="312">
        <v>0</v>
      </c>
      <c r="P918" s="312">
        <v>0.43269999999999997</v>
      </c>
      <c r="Q918" s="312">
        <v>0.44340000000000002</v>
      </c>
      <c r="R918" s="312">
        <v>0.57899999999999996</v>
      </c>
      <c r="S918" s="312">
        <v>0.54110000000000003</v>
      </c>
      <c r="T918" s="312">
        <v>0.42749999999999999</v>
      </c>
      <c r="U918" s="312">
        <v>0.54039999999999999</v>
      </c>
      <c r="V918" s="312">
        <v>0.49170000000000003</v>
      </c>
      <c r="W918" s="312">
        <v>0</v>
      </c>
      <c r="X918" s="312">
        <v>0.4249</v>
      </c>
      <c r="Y918" s="312">
        <v>0.50580000000000003</v>
      </c>
      <c r="Z918" s="312">
        <v>0.57169999999999999</v>
      </c>
      <c r="AA918" s="312">
        <v>0.50619999999999998</v>
      </c>
      <c r="AB918" s="312">
        <v>0.53690000000000004</v>
      </c>
      <c r="AC918" s="312">
        <v>0.49359999999999998</v>
      </c>
      <c r="AD918" s="312">
        <v>0.44280000000000003</v>
      </c>
      <c r="AE918" s="312">
        <v>0.56510000000000005</v>
      </c>
      <c r="AF918" s="312">
        <v>0.32829999999999998</v>
      </c>
      <c r="AG918" s="312">
        <v>0.39329999999999998</v>
      </c>
      <c r="AH918" s="312">
        <v>0</v>
      </c>
      <c r="AI918" s="312">
        <v>0.4647</v>
      </c>
      <c r="AJ918" s="312">
        <v>0.42080000000000001</v>
      </c>
      <c r="AK918" s="312">
        <v>0</v>
      </c>
      <c r="AL918" s="312">
        <v>0.42009999999999997</v>
      </c>
      <c r="AM918" s="312">
        <v>0.60670000000000002</v>
      </c>
      <c r="AN918" s="312">
        <v>0.51229999999999998</v>
      </c>
      <c r="AO918" s="312">
        <v>0.56499999999999995</v>
      </c>
      <c r="AP918" s="312">
        <v>0.60850000000000004</v>
      </c>
      <c r="AQ918" s="312">
        <v>0</v>
      </c>
      <c r="AR918" s="312">
        <v>0.58479999999999999</v>
      </c>
      <c r="AS918" s="312">
        <v>0.41289999999999999</v>
      </c>
      <c r="AT918" s="312">
        <v>0.5917</v>
      </c>
      <c r="AU918" s="312">
        <v>0.61860000000000004</v>
      </c>
      <c r="AV918" s="312">
        <v>0.57230000000000003</v>
      </c>
      <c r="AW918" s="312">
        <v>0.53280000000000005</v>
      </c>
      <c r="AX918" s="312">
        <v>0.4325</v>
      </c>
      <c r="AY918" s="312">
        <v>0.54310000000000003</v>
      </c>
      <c r="AZ918" s="312">
        <v>0.57440000000000002</v>
      </c>
      <c r="BA918" s="312">
        <v>0.45839999999999997</v>
      </c>
      <c r="BB918" s="312">
        <v>0.3785</v>
      </c>
      <c r="BC918" s="312">
        <v>0.5645</v>
      </c>
      <c r="BD918" s="312">
        <v>0.57089999999999996</v>
      </c>
      <c r="BE918" s="312">
        <v>0.6623</v>
      </c>
      <c r="BF918" s="312">
        <v>0.54139999999999999</v>
      </c>
      <c r="BG918" s="312">
        <v>0.65669999999999995</v>
      </c>
      <c r="BH918" s="312">
        <v>0.64349999999999996</v>
      </c>
      <c r="BI918" s="312">
        <v>0.64510000000000001</v>
      </c>
      <c r="BJ918" s="312">
        <v>0.57089999999999996</v>
      </c>
      <c r="BK918" s="312">
        <v>0.62</v>
      </c>
      <c r="BM918">
        <f>(C918-C507)*1000000/(RIMS_emp!C918-RIMS_emp!C507)</f>
        <v>37540.355882573778</v>
      </c>
    </row>
    <row r="919" spans="1:65" x14ac:dyDescent="0.25">
      <c r="A919" s="306">
        <v>321992</v>
      </c>
      <c r="B919" s="312" t="s">
        <v>85</v>
      </c>
      <c r="C919" s="312">
        <v>0.83430000000000004</v>
      </c>
      <c r="D919" s="312">
        <v>0.38300000000000001</v>
      </c>
      <c r="E919" s="312">
        <v>0.59030000000000005</v>
      </c>
      <c r="F919" s="312">
        <v>0.53810000000000002</v>
      </c>
      <c r="G919" s="312">
        <v>0.50700000000000001</v>
      </c>
      <c r="H919" s="312">
        <v>0.56610000000000005</v>
      </c>
      <c r="I919" s="312">
        <v>0.56020000000000003</v>
      </c>
      <c r="J919" s="312">
        <v>0.46539999999999998</v>
      </c>
      <c r="K919" s="312">
        <v>0</v>
      </c>
      <c r="L919" s="312">
        <v>0.36</v>
      </c>
      <c r="M919" s="312">
        <v>0.52039999999999997</v>
      </c>
      <c r="N919" s="312">
        <v>0.65759999999999996</v>
      </c>
      <c r="O919" s="312">
        <v>0.41270000000000001</v>
      </c>
      <c r="P919" s="312">
        <v>0.42399999999999999</v>
      </c>
      <c r="Q919" s="312">
        <v>0.49469999999999997</v>
      </c>
      <c r="R919" s="312">
        <v>0.55720000000000003</v>
      </c>
      <c r="S919" s="312">
        <v>0.52939999999999998</v>
      </c>
      <c r="T919" s="312">
        <v>0.41449999999999998</v>
      </c>
      <c r="U919" s="312">
        <v>0.54190000000000005</v>
      </c>
      <c r="V919" s="312">
        <v>0.52929999999999999</v>
      </c>
      <c r="W919" s="312">
        <v>0.46539999999999998</v>
      </c>
      <c r="X919" s="312">
        <v>0.41070000000000001</v>
      </c>
      <c r="Y919" s="312">
        <v>0.56169999999999998</v>
      </c>
      <c r="Z919" s="312">
        <v>0.57010000000000005</v>
      </c>
      <c r="AA919" s="312">
        <v>0.51160000000000005</v>
      </c>
      <c r="AB919" s="312">
        <v>0.53879999999999995</v>
      </c>
      <c r="AC919" s="312">
        <v>0.52249999999999996</v>
      </c>
      <c r="AD919" s="312">
        <v>0.49640000000000001</v>
      </c>
      <c r="AE919" s="312">
        <v>0.58550000000000002</v>
      </c>
      <c r="AF919" s="312">
        <v>0.33289999999999997</v>
      </c>
      <c r="AG919" s="312">
        <v>0.39400000000000002</v>
      </c>
      <c r="AH919" s="312">
        <v>0.51090000000000002</v>
      </c>
      <c r="AI919" s="312">
        <v>0.45269999999999999</v>
      </c>
      <c r="AJ919" s="312">
        <v>0.40839999999999999</v>
      </c>
      <c r="AK919" s="312">
        <v>0.44500000000000001</v>
      </c>
      <c r="AL919" s="312">
        <v>0.41549999999999998</v>
      </c>
      <c r="AM919" s="312">
        <v>0.5837</v>
      </c>
      <c r="AN919" s="312">
        <v>0.51629999999999998</v>
      </c>
      <c r="AO919" s="312">
        <v>0.60940000000000005</v>
      </c>
      <c r="AP919" s="312">
        <v>0.61580000000000001</v>
      </c>
      <c r="AQ919" s="312">
        <v>0.44669999999999999</v>
      </c>
      <c r="AR919" s="312">
        <v>0.59340000000000004</v>
      </c>
      <c r="AS919" s="312">
        <v>0.44059999999999999</v>
      </c>
      <c r="AT919" s="312">
        <v>0.58409999999999995</v>
      </c>
      <c r="AU919" s="312">
        <v>0.60309999999999997</v>
      </c>
      <c r="AV919" s="312">
        <v>0.57010000000000005</v>
      </c>
      <c r="AW919" s="312">
        <v>0.55959999999999999</v>
      </c>
      <c r="AX919" s="312">
        <v>0.46279999999999999</v>
      </c>
      <c r="AY919" s="312">
        <v>0.59340000000000004</v>
      </c>
      <c r="AZ919" s="312">
        <v>0.59140000000000004</v>
      </c>
      <c r="BA919" s="312">
        <v>0.4829</v>
      </c>
      <c r="BB919" s="312">
        <v>0.38269999999999998</v>
      </c>
      <c r="BC919" s="312">
        <v>0.58240000000000003</v>
      </c>
      <c r="BD919" s="312">
        <v>0.56569999999999998</v>
      </c>
      <c r="BE919" s="312">
        <v>0.63900000000000001</v>
      </c>
      <c r="BF919" s="312">
        <v>0.53520000000000001</v>
      </c>
      <c r="BG919" s="312">
        <v>0.66779999999999995</v>
      </c>
      <c r="BH919" s="312">
        <v>0.64170000000000005</v>
      </c>
      <c r="BI919" s="312">
        <v>0.65700000000000003</v>
      </c>
      <c r="BJ919" s="312">
        <v>0.59250000000000003</v>
      </c>
      <c r="BK919" s="312">
        <v>0.6542</v>
      </c>
      <c r="BM919">
        <f>(C919-C508)*1000000/(RIMS_emp!C919-RIMS_emp!C508)</f>
        <v>37547.690099346502</v>
      </c>
    </row>
    <row r="920" spans="1:65" x14ac:dyDescent="0.25">
      <c r="A920" s="306">
        <v>321999</v>
      </c>
      <c r="B920" s="312" t="s">
        <v>86</v>
      </c>
      <c r="C920" s="312">
        <v>0.86760000000000004</v>
      </c>
      <c r="D920" s="312">
        <v>0.45850000000000002</v>
      </c>
      <c r="E920" s="312">
        <v>0.61499999999999999</v>
      </c>
      <c r="F920" s="312">
        <v>0.56620000000000004</v>
      </c>
      <c r="G920" s="312">
        <v>0.52470000000000006</v>
      </c>
      <c r="H920" s="312">
        <v>0.60460000000000003</v>
      </c>
      <c r="I920" s="312">
        <v>0.58530000000000004</v>
      </c>
      <c r="J920" s="312">
        <v>0.4884</v>
      </c>
      <c r="K920" s="312">
        <v>0</v>
      </c>
      <c r="L920" s="312">
        <v>0</v>
      </c>
      <c r="M920" s="312">
        <v>0.57089999999999996</v>
      </c>
      <c r="N920" s="312">
        <v>0.68930000000000002</v>
      </c>
      <c r="O920" s="312">
        <v>0.46489999999999998</v>
      </c>
      <c r="P920" s="312">
        <v>0.41899999999999998</v>
      </c>
      <c r="Q920" s="312">
        <v>0.53010000000000002</v>
      </c>
      <c r="R920" s="312">
        <v>0.5806</v>
      </c>
      <c r="S920" s="312">
        <v>0.52680000000000005</v>
      </c>
      <c r="T920" s="312">
        <v>0.42299999999999999</v>
      </c>
      <c r="U920" s="312">
        <v>0.55110000000000003</v>
      </c>
      <c r="V920" s="312">
        <v>0.59760000000000002</v>
      </c>
      <c r="W920" s="312">
        <v>0.49390000000000001</v>
      </c>
      <c r="X920" s="312">
        <v>0.45440000000000003</v>
      </c>
      <c r="Y920" s="312">
        <v>0.60640000000000005</v>
      </c>
      <c r="Z920" s="312">
        <v>0.59899999999999998</v>
      </c>
      <c r="AA920" s="312">
        <v>0.52669999999999995</v>
      </c>
      <c r="AB920" s="312">
        <v>0.55210000000000004</v>
      </c>
      <c r="AC920" s="312">
        <v>0.55479999999999996</v>
      </c>
      <c r="AD920" s="312">
        <v>0.54279999999999995</v>
      </c>
      <c r="AE920" s="312">
        <v>0.61719999999999997</v>
      </c>
      <c r="AF920" s="312">
        <v>0.34089999999999998</v>
      </c>
      <c r="AG920" s="312">
        <v>0.4163</v>
      </c>
      <c r="AH920" s="312">
        <v>0.53810000000000002</v>
      </c>
      <c r="AI920" s="312">
        <v>0.48480000000000001</v>
      </c>
      <c r="AJ920" s="312">
        <v>0.4466</v>
      </c>
      <c r="AK920" s="312">
        <v>0.4622</v>
      </c>
      <c r="AL920" s="312">
        <v>0.4501</v>
      </c>
      <c r="AM920" s="312">
        <v>0.58220000000000005</v>
      </c>
      <c r="AN920" s="312">
        <v>0.53969999999999996</v>
      </c>
      <c r="AO920" s="312">
        <v>0.6421</v>
      </c>
      <c r="AP920" s="312">
        <v>0.61360000000000003</v>
      </c>
      <c r="AQ920" s="312">
        <v>0.46410000000000001</v>
      </c>
      <c r="AR920" s="312">
        <v>0.62060000000000004</v>
      </c>
      <c r="AS920" s="312">
        <v>0.45500000000000002</v>
      </c>
      <c r="AT920" s="312">
        <v>0.59830000000000005</v>
      </c>
      <c r="AU920" s="312">
        <v>0.63009999999999999</v>
      </c>
      <c r="AV920" s="312">
        <v>0.58150000000000002</v>
      </c>
      <c r="AW920" s="312">
        <v>0.5948</v>
      </c>
      <c r="AX920" s="312">
        <v>0.50609999999999999</v>
      </c>
      <c r="AY920" s="312">
        <v>0.63839999999999997</v>
      </c>
      <c r="AZ920" s="312">
        <v>0.59460000000000002</v>
      </c>
      <c r="BA920" s="312">
        <v>0.51300000000000001</v>
      </c>
      <c r="BB920" s="312">
        <v>0.42899999999999999</v>
      </c>
      <c r="BC920" s="312">
        <v>0.63100000000000001</v>
      </c>
      <c r="BD920" s="312">
        <v>0.59040000000000004</v>
      </c>
      <c r="BE920" s="312">
        <v>0.63649999999999995</v>
      </c>
      <c r="BF920" s="312">
        <v>0.5333</v>
      </c>
      <c r="BG920" s="312">
        <v>0.71589999999999998</v>
      </c>
      <c r="BH920" s="312">
        <v>0.66569999999999996</v>
      </c>
      <c r="BI920" s="312">
        <v>0.70950000000000002</v>
      </c>
      <c r="BJ920" s="312">
        <v>0.62409999999999999</v>
      </c>
      <c r="BK920" s="312">
        <v>0.70550000000000002</v>
      </c>
      <c r="BM920">
        <f>(C920-C509)*1000000/(RIMS_emp!C920-RIMS_emp!C509)</f>
        <v>37548.737074080353</v>
      </c>
    </row>
    <row r="921" spans="1:65" x14ac:dyDescent="0.25">
      <c r="A921" s="306">
        <v>322110</v>
      </c>
      <c r="B921" s="312" t="s">
        <v>87</v>
      </c>
      <c r="C921" s="312">
        <v>0.73440000000000005</v>
      </c>
      <c r="D921" s="312">
        <v>0</v>
      </c>
      <c r="E921" s="312">
        <v>0.50660000000000005</v>
      </c>
      <c r="F921" s="312">
        <v>0</v>
      </c>
      <c r="G921" s="312">
        <v>0.37459999999999999</v>
      </c>
      <c r="H921" s="312">
        <v>0.45229999999999998</v>
      </c>
      <c r="I921" s="312">
        <v>0</v>
      </c>
      <c r="J921" s="312">
        <v>0</v>
      </c>
      <c r="K921" s="312">
        <v>0</v>
      </c>
      <c r="L921" s="312">
        <v>0</v>
      </c>
      <c r="M921" s="312">
        <v>0.4244</v>
      </c>
      <c r="N921" s="312">
        <v>0.54430000000000001</v>
      </c>
      <c r="O921" s="312">
        <v>0</v>
      </c>
      <c r="P921" s="312">
        <v>0.29859999999999998</v>
      </c>
      <c r="Q921" s="312">
        <v>0</v>
      </c>
      <c r="R921" s="312">
        <v>0</v>
      </c>
      <c r="S921" s="312">
        <v>0</v>
      </c>
      <c r="T921" s="312">
        <v>0</v>
      </c>
      <c r="U921" s="312">
        <v>0</v>
      </c>
      <c r="V921" s="312">
        <v>0</v>
      </c>
      <c r="W921" s="312">
        <v>0</v>
      </c>
      <c r="X921" s="312">
        <v>0.32150000000000001</v>
      </c>
      <c r="Y921" s="312">
        <v>0.47189999999999999</v>
      </c>
      <c r="Z921" s="312">
        <v>0.47110000000000002</v>
      </c>
      <c r="AA921" s="312">
        <v>0</v>
      </c>
      <c r="AB921" s="312">
        <v>0</v>
      </c>
      <c r="AC921" s="312">
        <v>0.43509999999999999</v>
      </c>
      <c r="AD921" s="312">
        <v>0</v>
      </c>
      <c r="AE921" s="312">
        <v>0.48820000000000002</v>
      </c>
      <c r="AF921" s="312">
        <v>0</v>
      </c>
      <c r="AG921" s="312">
        <v>0</v>
      </c>
      <c r="AH921" s="312">
        <v>0</v>
      </c>
      <c r="AI921" s="312">
        <v>0</v>
      </c>
      <c r="AJ921" s="312">
        <v>0</v>
      </c>
      <c r="AK921" s="312">
        <v>0</v>
      </c>
      <c r="AL921" s="312">
        <v>0.32490000000000002</v>
      </c>
      <c r="AM921" s="312">
        <v>0.4471</v>
      </c>
      <c r="AN921" s="312">
        <v>0.41060000000000002</v>
      </c>
      <c r="AO921" s="312">
        <v>0.48709999999999998</v>
      </c>
      <c r="AP921" s="312">
        <v>0</v>
      </c>
      <c r="AQ921" s="312">
        <v>0</v>
      </c>
      <c r="AR921" s="312">
        <v>0.49199999999999999</v>
      </c>
      <c r="AS921" s="312">
        <v>0</v>
      </c>
      <c r="AT921" s="312">
        <v>0.45329999999999998</v>
      </c>
      <c r="AU921" s="312">
        <v>0.49490000000000001</v>
      </c>
      <c r="AV921" s="312">
        <v>0</v>
      </c>
      <c r="AW921" s="312">
        <v>0</v>
      </c>
      <c r="AX921" s="312">
        <v>0</v>
      </c>
      <c r="AY921" s="312">
        <v>0.50890000000000002</v>
      </c>
      <c r="AZ921" s="312">
        <v>0.4486</v>
      </c>
      <c r="BA921" s="312">
        <v>0.42070000000000002</v>
      </c>
      <c r="BB921" s="312">
        <v>0</v>
      </c>
      <c r="BC921" s="312">
        <v>0.49020000000000002</v>
      </c>
      <c r="BD921" s="312">
        <v>0.43590000000000001</v>
      </c>
      <c r="BE921" s="312">
        <v>0.48899999999999999</v>
      </c>
      <c r="BF921" s="312">
        <v>0.40400000000000003</v>
      </c>
      <c r="BG921" s="312">
        <v>0.56999999999999995</v>
      </c>
      <c r="BH921" s="312">
        <v>0.54430000000000001</v>
      </c>
      <c r="BI921" s="312">
        <v>0.59109999999999996</v>
      </c>
      <c r="BJ921" s="312">
        <v>0.49099999999999999</v>
      </c>
      <c r="BK921" s="312">
        <v>0.56040000000000001</v>
      </c>
      <c r="BM921">
        <f>(C921-C510)*1000000/(RIMS_emp!C921-RIMS_emp!C510)</f>
        <v>37534.509147606186</v>
      </c>
    </row>
    <row r="922" spans="1:65" x14ac:dyDescent="0.25">
      <c r="A922" s="306">
        <v>322120</v>
      </c>
      <c r="B922" s="312" t="s">
        <v>88</v>
      </c>
      <c r="C922" s="312">
        <v>0.61860000000000004</v>
      </c>
      <c r="D922" s="312">
        <v>0</v>
      </c>
      <c r="E922" s="312">
        <v>0.40970000000000001</v>
      </c>
      <c r="F922" s="312">
        <v>0.37059999999999998</v>
      </c>
      <c r="G922" s="312">
        <v>0.33850000000000002</v>
      </c>
      <c r="H922" s="312">
        <v>0.39679999999999999</v>
      </c>
      <c r="I922" s="312">
        <v>0.38929999999999998</v>
      </c>
      <c r="J922" s="312">
        <v>0.33179999999999998</v>
      </c>
      <c r="K922" s="312">
        <v>0</v>
      </c>
      <c r="L922" s="312">
        <v>0</v>
      </c>
      <c r="M922" s="312">
        <v>0.36209999999999998</v>
      </c>
      <c r="N922" s="312">
        <v>0.45190000000000002</v>
      </c>
      <c r="O922" s="312">
        <v>0.29470000000000002</v>
      </c>
      <c r="P922" s="312">
        <v>0.27710000000000001</v>
      </c>
      <c r="Q922" s="312">
        <v>0.29480000000000001</v>
      </c>
      <c r="R922" s="312">
        <v>0.42059999999999997</v>
      </c>
      <c r="S922" s="312">
        <v>0.37409999999999999</v>
      </c>
      <c r="T922" s="312">
        <v>0.2868</v>
      </c>
      <c r="U922" s="312">
        <v>0.35570000000000002</v>
      </c>
      <c r="V922" s="312">
        <v>0.39269999999999999</v>
      </c>
      <c r="W922" s="312">
        <v>0.34460000000000002</v>
      </c>
      <c r="X922" s="312">
        <v>0.28770000000000001</v>
      </c>
      <c r="Y922" s="312">
        <v>0.3836</v>
      </c>
      <c r="Z922" s="312">
        <v>0.41710000000000003</v>
      </c>
      <c r="AA922" s="312">
        <v>0.37759999999999999</v>
      </c>
      <c r="AB922" s="312">
        <v>0.35620000000000002</v>
      </c>
      <c r="AC922" s="312">
        <v>0.35420000000000001</v>
      </c>
      <c r="AD922" s="312">
        <v>0</v>
      </c>
      <c r="AE922" s="312">
        <v>0.41360000000000002</v>
      </c>
      <c r="AF922" s="312">
        <v>0</v>
      </c>
      <c r="AG922" s="312">
        <v>0.26590000000000003</v>
      </c>
      <c r="AH922" s="312">
        <v>0.34189999999999998</v>
      </c>
      <c r="AI922" s="312">
        <v>0.3463</v>
      </c>
      <c r="AJ922" s="312">
        <v>0.2863</v>
      </c>
      <c r="AK922" s="312">
        <v>0</v>
      </c>
      <c r="AL922" s="312">
        <v>0.30049999999999999</v>
      </c>
      <c r="AM922" s="312">
        <v>0.4239</v>
      </c>
      <c r="AN922" s="312">
        <v>0.3498</v>
      </c>
      <c r="AO922" s="312">
        <v>0.3947</v>
      </c>
      <c r="AP922" s="312">
        <v>0.41570000000000001</v>
      </c>
      <c r="AQ922" s="312">
        <v>0</v>
      </c>
      <c r="AR922" s="312">
        <v>0.40739999999999998</v>
      </c>
      <c r="AS922" s="312">
        <v>0</v>
      </c>
      <c r="AT922" s="312">
        <v>0.40570000000000001</v>
      </c>
      <c r="AU922" s="312">
        <v>0.42809999999999998</v>
      </c>
      <c r="AV922" s="312">
        <v>0.38769999999999999</v>
      </c>
      <c r="AW922" s="312">
        <v>0.37769999999999998</v>
      </c>
      <c r="AX922" s="312">
        <v>0.25069999999999998</v>
      </c>
      <c r="AY922" s="312">
        <v>0.40639999999999998</v>
      </c>
      <c r="AZ922" s="312">
        <v>0.39779999999999999</v>
      </c>
      <c r="BA922" s="312">
        <v>0</v>
      </c>
      <c r="BB922" s="312">
        <v>0</v>
      </c>
      <c r="BC922" s="312">
        <v>0.42680000000000001</v>
      </c>
      <c r="BD922" s="312">
        <v>0.40589999999999998</v>
      </c>
      <c r="BE922" s="312">
        <v>0.45729999999999998</v>
      </c>
      <c r="BF922" s="312">
        <v>0.374</v>
      </c>
      <c r="BG922" s="312">
        <v>0.47199999999999998</v>
      </c>
      <c r="BH922" s="312">
        <v>0.45329999999999998</v>
      </c>
      <c r="BI922" s="312">
        <v>0.47</v>
      </c>
      <c r="BJ922" s="312">
        <v>0.3957</v>
      </c>
      <c r="BK922" s="312">
        <v>0.44409999999999999</v>
      </c>
      <c r="BM922">
        <f>(C922-C511)*1000000/(RIMS_emp!C922-RIMS_emp!C511)</f>
        <v>37548.400244548604</v>
      </c>
    </row>
    <row r="923" spans="1:65" x14ac:dyDescent="0.25">
      <c r="A923" s="306">
        <v>322130</v>
      </c>
      <c r="B923" s="312" t="s">
        <v>712</v>
      </c>
      <c r="C923" s="312">
        <v>0.66169999999999995</v>
      </c>
      <c r="D923" s="312">
        <v>0</v>
      </c>
      <c r="E923" s="312">
        <v>0.44790000000000002</v>
      </c>
      <c r="F923" s="312">
        <v>0.4078</v>
      </c>
      <c r="G923" s="312">
        <v>0.3594</v>
      </c>
      <c r="H923" s="312">
        <v>0.4239</v>
      </c>
      <c r="I923" s="312">
        <v>0</v>
      </c>
      <c r="J923" s="312">
        <v>0.34010000000000001</v>
      </c>
      <c r="K923" s="312">
        <v>0</v>
      </c>
      <c r="L923" s="312">
        <v>0</v>
      </c>
      <c r="M923" s="312">
        <v>0.38679999999999998</v>
      </c>
      <c r="N923" s="312">
        <v>0.48139999999999999</v>
      </c>
      <c r="O923" s="312">
        <v>0</v>
      </c>
      <c r="P923" s="312">
        <v>0.28820000000000001</v>
      </c>
      <c r="Q923" s="312">
        <v>0.33760000000000001</v>
      </c>
      <c r="R923" s="312">
        <v>0.43209999999999998</v>
      </c>
      <c r="S923" s="312">
        <v>0.39369999999999999</v>
      </c>
      <c r="T923" s="312">
        <v>0.2994</v>
      </c>
      <c r="U923" s="312">
        <v>0.37430000000000002</v>
      </c>
      <c r="V923" s="312">
        <v>0.43940000000000001</v>
      </c>
      <c r="W923" s="312">
        <v>0.3488</v>
      </c>
      <c r="X923" s="312">
        <v>0.3044</v>
      </c>
      <c r="Y923" s="312">
        <v>0.4133</v>
      </c>
      <c r="Z923" s="312">
        <v>0.441</v>
      </c>
      <c r="AA923" s="312">
        <v>0.39419999999999999</v>
      </c>
      <c r="AB923" s="312">
        <v>0.37659999999999999</v>
      </c>
      <c r="AC923" s="312">
        <v>0.38700000000000001</v>
      </c>
      <c r="AD923" s="312">
        <v>0.38469999999999999</v>
      </c>
      <c r="AE923" s="312">
        <v>0.43509999999999999</v>
      </c>
      <c r="AF923" s="312">
        <v>0</v>
      </c>
      <c r="AG923" s="312">
        <v>0</v>
      </c>
      <c r="AH923" s="312">
        <v>0</v>
      </c>
      <c r="AI923" s="312">
        <v>0.3503</v>
      </c>
      <c r="AJ923" s="312">
        <v>0</v>
      </c>
      <c r="AK923" s="312">
        <v>0</v>
      </c>
      <c r="AL923" s="312">
        <v>0.312</v>
      </c>
      <c r="AM923" s="312">
        <v>0.43130000000000002</v>
      </c>
      <c r="AN923" s="312">
        <v>0.38109999999999999</v>
      </c>
      <c r="AO923" s="312">
        <v>0.43330000000000002</v>
      </c>
      <c r="AP923" s="312">
        <v>0.4385</v>
      </c>
      <c r="AQ923" s="312">
        <v>0.29620000000000002</v>
      </c>
      <c r="AR923" s="312">
        <v>0.43790000000000001</v>
      </c>
      <c r="AS923" s="312">
        <v>0</v>
      </c>
      <c r="AT923" s="312">
        <v>0.4194</v>
      </c>
      <c r="AU923" s="312">
        <v>0.46410000000000001</v>
      </c>
      <c r="AV923" s="312">
        <v>0</v>
      </c>
      <c r="AW923" s="312">
        <v>0.4113</v>
      </c>
      <c r="AX923" s="312">
        <v>0.29449999999999998</v>
      </c>
      <c r="AY923" s="312">
        <v>0.44669999999999999</v>
      </c>
      <c r="AZ923" s="312">
        <v>0.41489999999999999</v>
      </c>
      <c r="BA923" s="312">
        <v>0.37040000000000001</v>
      </c>
      <c r="BB923" s="312">
        <v>0</v>
      </c>
      <c r="BC923" s="312">
        <v>0.45300000000000001</v>
      </c>
      <c r="BD923" s="312">
        <v>0.41739999999999999</v>
      </c>
      <c r="BE923" s="312">
        <v>0.46870000000000001</v>
      </c>
      <c r="BF923" s="312">
        <v>0.38879999999999998</v>
      </c>
      <c r="BG923" s="312">
        <v>0.50560000000000005</v>
      </c>
      <c r="BH923" s="312">
        <v>0.48549999999999999</v>
      </c>
      <c r="BI923" s="312">
        <v>0.52769999999999995</v>
      </c>
      <c r="BJ923" s="312">
        <v>0.44319999999999998</v>
      </c>
      <c r="BK923" s="312">
        <v>0.49669999999999997</v>
      </c>
      <c r="BM923">
        <f>(C923-C512)*1000000/(RIMS_emp!C923-RIMS_emp!C512)</f>
        <v>37545.046117699349</v>
      </c>
    </row>
    <row r="924" spans="1:65" x14ac:dyDescent="0.25">
      <c r="A924" s="306">
        <v>322210</v>
      </c>
      <c r="B924" s="312" t="s">
        <v>89</v>
      </c>
      <c r="C924" s="312">
        <v>0.78120000000000001</v>
      </c>
      <c r="D924" s="312">
        <v>0</v>
      </c>
      <c r="E924" s="312">
        <v>0.52549999999999997</v>
      </c>
      <c r="F924" s="312">
        <v>0.49109999999999998</v>
      </c>
      <c r="G924" s="312">
        <v>0.41849999999999998</v>
      </c>
      <c r="H924" s="312">
        <v>0.46639999999999998</v>
      </c>
      <c r="I924" s="312">
        <v>0.44929999999999998</v>
      </c>
      <c r="J924" s="312">
        <v>0.44579999999999997</v>
      </c>
      <c r="K924" s="312">
        <v>0</v>
      </c>
      <c r="L924" s="312">
        <v>0.31659999999999999</v>
      </c>
      <c r="M924" s="312">
        <v>0.45490000000000003</v>
      </c>
      <c r="N924" s="312">
        <v>0.59750000000000003</v>
      </c>
      <c r="O924" s="312">
        <v>0.35849999999999999</v>
      </c>
      <c r="P924" s="312">
        <v>0.3271</v>
      </c>
      <c r="Q924" s="312">
        <v>0.40250000000000002</v>
      </c>
      <c r="R924" s="312">
        <v>0.49199999999999999</v>
      </c>
      <c r="S924" s="312">
        <v>0.4556</v>
      </c>
      <c r="T924" s="312">
        <v>0.3382</v>
      </c>
      <c r="U924" s="312">
        <v>0.46600000000000003</v>
      </c>
      <c r="V924" s="312">
        <v>0.51959999999999995</v>
      </c>
      <c r="W924" s="312">
        <v>0.46760000000000002</v>
      </c>
      <c r="X924" s="312">
        <v>0.35859999999999997</v>
      </c>
      <c r="Y924" s="312">
        <v>0.45739999999999997</v>
      </c>
      <c r="Z924" s="312">
        <v>0.5766</v>
      </c>
      <c r="AA924" s="312">
        <v>0.48349999999999999</v>
      </c>
      <c r="AB924" s="312">
        <v>0.39950000000000002</v>
      </c>
      <c r="AC924" s="312">
        <v>0.45569999999999999</v>
      </c>
      <c r="AD924" s="312">
        <v>0.40379999999999999</v>
      </c>
      <c r="AE924" s="312">
        <v>0.53849999999999998</v>
      </c>
      <c r="AF924" s="312">
        <v>0.30159999999999998</v>
      </c>
      <c r="AG924" s="312">
        <v>0.31030000000000002</v>
      </c>
      <c r="AH924" s="312">
        <v>0.4138</v>
      </c>
      <c r="AI924" s="312">
        <v>0.41270000000000001</v>
      </c>
      <c r="AJ924" s="312">
        <v>0.33850000000000002</v>
      </c>
      <c r="AK924" s="312">
        <v>0.37469999999999998</v>
      </c>
      <c r="AL924" s="312">
        <v>0.3906</v>
      </c>
      <c r="AM924" s="312">
        <v>0.57399999999999995</v>
      </c>
      <c r="AN924" s="312">
        <v>0.47239999999999999</v>
      </c>
      <c r="AO924" s="312">
        <v>0.53300000000000003</v>
      </c>
      <c r="AP924" s="312">
        <v>0.52980000000000005</v>
      </c>
      <c r="AQ924" s="312">
        <v>0.3856</v>
      </c>
      <c r="AR924" s="312">
        <v>0.52290000000000003</v>
      </c>
      <c r="AS924" s="312">
        <v>0.30940000000000001</v>
      </c>
      <c r="AT924" s="312">
        <v>0.55410000000000004</v>
      </c>
      <c r="AU924" s="312">
        <v>0.53920000000000001</v>
      </c>
      <c r="AV924" s="312">
        <v>0.44259999999999999</v>
      </c>
      <c r="AW924" s="312">
        <v>0.52349999999999997</v>
      </c>
      <c r="AX924" s="312">
        <v>0.32900000000000001</v>
      </c>
      <c r="AY924" s="312">
        <v>0.54969999999999997</v>
      </c>
      <c r="AZ924" s="312">
        <v>0.53510000000000002</v>
      </c>
      <c r="BA924" s="312">
        <v>0.34770000000000001</v>
      </c>
      <c r="BB924" s="312">
        <v>0</v>
      </c>
      <c r="BC924" s="312">
        <v>0.55930000000000002</v>
      </c>
      <c r="BD924" s="312">
        <v>0.5091</v>
      </c>
      <c r="BE924" s="312">
        <v>0.6089</v>
      </c>
      <c r="BF924" s="312">
        <v>0.44729999999999998</v>
      </c>
      <c r="BG924" s="312">
        <v>0.60389999999999999</v>
      </c>
      <c r="BH924" s="312">
        <v>0.58350000000000002</v>
      </c>
      <c r="BI924" s="312">
        <v>0.6179</v>
      </c>
      <c r="BJ924" s="312">
        <v>0.46739999999999998</v>
      </c>
      <c r="BK924" s="312">
        <v>0.53910000000000002</v>
      </c>
      <c r="BM924">
        <f>(C924-C513)*1000000/(RIMS_emp!C924-RIMS_emp!C513)</f>
        <v>37543.534094423601</v>
      </c>
    </row>
    <row r="925" spans="1:65" x14ac:dyDescent="0.25">
      <c r="A925" s="306" t="s">
        <v>713</v>
      </c>
      <c r="B925" s="312" t="s">
        <v>90</v>
      </c>
      <c r="C925" s="312">
        <v>0.66459999999999997</v>
      </c>
      <c r="D925" s="312">
        <v>0</v>
      </c>
      <c r="E925" s="312">
        <v>0.41860000000000003</v>
      </c>
      <c r="F925" s="312">
        <v>0.38440000000000002</v>
      </c>
      <c r="G925" s="312">
        <v>0.35339999999999999</v>
      </c>
      <c r="H925" s="312">
        <v>0.41549999999999998</v>
      </c>
      <c r="I925" s="312">
        <v>0.3896</v>
      </c>
      <c r="J925" s="312">
        <v>0.3906</v>
      </c>
      <c r="K925" s="312">
        <v>0</v>
      </c>
      <c r="L925" s="312">
        <v>0.28120000000000001</v>
      </c>
      <c r="M925" s="312">
        <v>0.37040000000000001</v>
      </c>
      <c r="N925" s="312">
        <v>0.49280000000000002</v>
      </c>
      <c r="O925" s="312">
        <v>0</v>
      </c>
      <c r="P925" s="312">
        <v>0.28560000000000002</v>
      </c>
      <c r="Q925" s="312">
        <v>0</v>
      </c>
      <c r="R925" s="312">
        <v>0.45219999999999999</v>
      </c>
      <c r="S925" s="312">
        <v>0.40720000000000001</v>
      </c>
      <c r="T925" s="312">
        <v>0.29020000000000001</v>
      </c>
      <c r="U925" s="312">
        <v>0.39900000000000002</v>
      </c>
      <c r="V925" s="312">
        <v>0.41199999999999998</v>
      </c>
      <c r="W925" s="312">
        <v>0.41270000000000001</v>
      </c>
      <c r="X925" s="312">
        <v>0.31269999999999998</v>
      </c>
      <c r="Y925" s="312">
        <v>0</v>
      </c>
      <c r="Z925" s="312">
        <v>0.47699999999999998</v>
      </c>
      <c r="AA925" s="312">
        <v>0.41639999999999999</v>
      </c>
      <c r="AB925" s="312">
        <v>0.37609999999999999</v>
      </c>
      <c r="AC925" s="312">
        <v>0.36599999999999999</v>
      </c>
      <c r="AD925" s="312">
        <v>0</v>
      </c>
      <c r="AE925" s="312">
        <v>0.4501</v>
      </c>
      <c r="AF925" s="312">
        <v>0</v>
      </c>
      <c r="AG925" s="312">
        <v>0.27229999999999999</v>
      </c>
      <c r="AH925" s="312">
        <v>0.36270000000000002</v>
      </c>
      <c r="AI925" s="312">
        <v>0.3856</v>
      </c>
      <c r="AJ925" s="312">
        <v>0.28370000000000001</v>
      </c>
      <c r="AK925" s="312">
        <v>0.32350000000000001</v>
      </c>
      <c r="AL925" s="312">
        <v>0.32629999999999998</v>
      </c>
      <c r="AM925" s="312">
        <v>0.49469999999999997</v>
      </c>
      <c r="AN925" s="312">
        <v>0.38700000000000001</v>
      </c>
      <c r="AO925" s="312">
        <v>0.4168</v>
      </c>
      <c r="AP925" s="312">
        <v>0.47020000000000001</v>
      </c>
      <c r="AQ925" s="312">
        <v>0.33539999999999998</v>
      </c>
      <c r="AR925" s="312">
        <v>0.43869999999999998</v>
      </c>
      <c r="AS925" s="312">
        <v>0</v>
      </c>
      <c r="AT925" s="312">
        <v>0.45879999999999999</v>
      </c>
      <c r="AU925" s="312">
        <v>0.46410000000000001</v>
      </c>
      <c r="AV925" s="312">
        <v>0.38159999999999999</v>
      </c>
      <c r="AW925" s="312">
        <v>0.40949999999999998</v>
      </c>
      <c r="AX925" s="312">
        <v>0.25159999999999999</v>
      </c>
      <c r="AY925" s="312">
        <v>0.42349999999999999</v>
      </c>
      <c r="AZ925" s="312">
        <v>0.4466</v>
      </c>
      <c r="BA925" s="312">
        <v>0</v>
      </c>
      <c r="BB925" s="312">
        <v>0</v>
      </c>
      <c r="BC925" s="312">
        <v>0.47989999999999999</v>
      </c>
      <c r="BD925" s="312">
        <v>0.45440000000000003</v>
      </c>
      <c r="BE925" s="312">
        <v>0.52610000000000001</v>
      </c>
      <c r="BF925" s="312">
        <v>0.40279999999999999</v>
      </c>
      <c r="BG925" s="312">
        <v>0.50149999999999995</v>
      </c>
      <c r="BH925" s="312">
        <v>0.49</v>
      </c>
      <c r="BI925" s="312">
        <v>0.50519999999999998</v>
      </c>
      <c r="BJ925" s="312">
        <v>0.3831</v>
      </c>
      <c r="BK925" s="312">
        <v>0.45050000000000001</v>
      </c>
      <c r="BM925">
        <f>(C925-C514)*1000000/(RIMS_emp!C925-RIMS_emp!C514)</f>
        <v>37538.724157552002</v>
      </c>
    </row>
    <row r="926" spans="1:65" x14ac:dyDescent="0.25">
      <c r="A926" s="306" t="s">
        <v>714</v>
      </c>
      <c r="B926" s="312" t="s">
        <v>91</v>
      </c>
      <c r="C926" s="312">
        <v>0.76780000000000004</v>
      </c>
      <c r="D926" s="312">
        <v>0</v>
      </c>
      <c r="E926" s="312">
        <v>0.49540000000000001</v>
      </c>
      <c r="F926" s="312">
        <v>0.46639999999999998</v>
      </c>
      <c r="G926" s="312">
        <v>0.42230000000000001</v>
      </c>
      <c r="H926" s="312">
        <v>0.47720000000000001</v>
      </c>
      <c r="I926" s="312">
        <v>0</v>
      </c>
      <c r="J926" s="312">
        <v>0.45129999999999998</v>
      </c>
      <c r="K926" s="312">
        <v>0</v>
      </c>
      <c r="L926" s="312">
        <v>0</v>
      </c>
      <c r="M926" s="312">
        <v>0.43580000000000002</v>
      </c>
      <c r="N926" s="312">
        <v>0.57430000000000003</v>
      </c>
      <c r="O926" s="312">
        <v>0.35580000000000001</v>
      </c>
      <c r="P926" s="312">
        <v>0.3412</v>
      </c>
      <c r="Q926" s="312">
        <v>0</v>
      </c>
      <c r="R926" s="312">
        <v>0.52449999999999997</v>
      </c>
      <c r="S926" s="312">
        <v>0.46650000000000003</v>
      </c>
      <c r="T926" s="312">
        <v>0.34210000000000002</v>
      </c>
      <c r="U926" s="312">
        <v>0.48420000000000002</v>
      </c>
      <c r="V926" s="312">
        <v>0.49009999999999998</v>
      </c>
      <c r="W926" s="312">
        <v>0.48049999999999998</v>
      </c>
      <c r="X926" s="312">
        <v>0</v>
      </c>
      <c r="Y926" s="312">
        <v>0.46510000000000001</v>
      </c>
      <c r="Z926" s="312">
        <v>0.54859999999999998</v>
      </c>
      <c r="AA926" s="312">
        <v>0.50460000000000005</v>
      </c>
      <c r="AB926" s="312">
        <v>0.44319999999999998</v>
      </c>
      <c r="AC926" s="312">
        <v>0.43280000000000002</v>
      </c>
      <c r="AD926" s="312">
        <v>0</v>
      </c>
      <c r="AE926" s="312">
        <v>0.51819999999999999</v>
      </c>
      <c r="AF926" s="312">
        <v>0</v>
      </c>
      <c r="AG926" s="312">
        <v>0.31759999999999999</v>
      </c>
      <c r="AH926" s="312">
        <v>0.43690000000000001</v>
      </c>
      <c r="AI926" s="312">
        <v>0.45290000000000002</v>
      </c>
      <c r="AJ926" s="312">
        <v>0</v>
      </c>
      <c r="AK926" s="312">
        <v>0.38519999999999999</v>
      </c>
      <c r="AL926" s="312">
        <v>0.39190000000000003</v>
      </c>
      <c r="AM926" s="312">
        <v>0.57909999999999995</v>
      </c>
      <c r="AN926" s="312">
        <v>0.46639999999999998</v>
      </c>
      <c r="AO926" s="312">
        <v>0.495</v>
      </c>
      <c r="AP926" s="312">
        <v>0.56140000000000001</v>
      </c>
      <c r="AQ926" s="312">
        <v>0.372</v>
      </c>
      <c r="AR926" s="312">
        <v>0.51019999999999999</v>
      </c>
      <c r="AS926" s="312">
        <v>0</v>
      </c>
      <c r="AT926" s="312">
        <v>0.53890000000000005</v>
      </c>
      <c r="AU926" s="312">
        <v>0.52729999999999999</v>
      </c>
      <c r="AV926" s="312">
        <v>0.45610000000000001</v>
      </c>
      <c r="AW926" s="312">
        <v>0.50009999999999999</v>
      </c>
      <c r="AX926" s="312">
        <v>0</v>
      </c>
      <c r="AY926" s="312">
        <v>0.50580000000000003</v>
      </c>
      <c r="AZ926" s="312">
        <v>0.53059999999999996</v>
      </c>
      <c r="BA926" s="312">
        <v>0.35659999999999997</v>
      </c>
      <c r="BB926" s="312">
        <v>0</v>
      </c>
      <c r="BC926" s="312">
        <v>0.55559999999999998</v>
      </c>
      <c r="BD926" s="312">
        <v>0.53949999999999998</v>
      </c>
      <c r="BE926" s="312">
        <v>0.62209999999999999</v>
      </c>
      <c r="BF926" s="312">
        <v>0.48089999999999999</v>
      </c>
      <c r="BG926" s="312">
        <v>0.58109999999999995</v>
      </c>
      <c r="BH926" s="312">
        <v>0.56920000000000004</v>
      </c>
      <c r="BI926" s="312">
        <v>0.5998</v>
      </c>
      <c r="BJ926" s="312">
        <v>0.442</v>
      </c>
      <c r="BK926" s="312">
        <v>0.52380000000000004</v>
      </c>
      <c r="BM926">
        <f>(C926-C515)*1000000/(RIMS_emp!C926-RIMS_emp!C515)</f>
        <v>37545.323937880567</v>
      </c>
    </row>
    <row r="927" spans="1:65" x14ac:dyDescent="0.25">
      <c r="A927" s="306">
        <v>322230</v>
      </c>
      <c r="B927" s="312" t="s">
        <v>92</v>
      </c>
      <c r="C927" s="312">
        <v>0.76700000000000002</v>
      </c>
      <c r="D927" s="312">
        <v>0</v>
      </c>
      <c r="E927" s="312">
        <v>0.51390000000000002</v>
      </c>
      <c r="F927" s="312">
        <v>0.48139999999999999</v>
      </c>
      <c r="G927" s="312">
        <v>0.43140000000000001</v>
      </c>
      <c r="H927" s="312">
        <v>0.48949999999999999</v>
      </c>
      <c r="I927" s="312">
        <v>0.47320000000000001</v>
      </c>
      <c r="J927" s="312">
        <v>0.45689999999999997</v>
      </c>
      <c r="K927" s="312">
        <v>0</v>
      </c>
      <c r="L927" s="312">
        <v>0</v>
      </c>
      <c r="M927" s="312">
        <v>0.46300000000000002</v>
      </c>
      <c r="N927" s="312">
        <v>0.59179999999999999</v>
      </c>
      <c r="O927" s="312">
        <v>0.37369999999999998</v>
      </c>
      <c r="P927" s="312">
        <v>0.3458</v>
      </c>
      <c r="Q927" s="312">
        <v>0.39040000000000002</v>
      </c>
      <c r="R927" s="312">
        <v>0.51629999999999998</v>
      </c>
      <c r="S927" s="312">
        <v>0.46660000000000001</v>
      </c>
      <c r="T927" s="312">
        <v>0.35220000000000001</v>
      </c>
      <c r="U927" s="312">
        <v>0.46879999999999999</v>
      </c>
      <c r="V927" s="312">
        <v>0.50970000000000004</v>
      </c>
      <c r="W927" s="312">
        <v>0.47920000000000001</v>
      </c>
      <c r="X927" s="312">
        <v>0.37380000000000002</v>
      </c>
      <c r="Y927" s="312">
        <v>0.4647</v>
      </c>
      <c r="Z927" s="312">
        <v>0.56869999999999998</v>
      </c>
      <c r="AA927" s="312">
        <v>0.496</v>
      </c>
      <c r="AB927" s="312">
        <v>0.42630000000000001</v>
      </c>
      <c r="AC927" s="312">
        <v>0.4506</v>
      </c>
      <c r="AD927" s="312">
        <v>0</v>
      </c>
      <c r="AE927" s="312">
        <v>0.53480000000000005</v>
      </c>
      <c r="AF927" s="312">
        <v>0</v>
      </c>
      <c r="AG927" s="312">
        <v>0.32779999999999998</v>
      </c>
      <c r="AH927" s="312">
        <v>0.41860000000000003</v>
      </c>
      <c r="AI927" s="312">
        <v>0.43430000000000002</v>
      </c>
      <c r="AJ927" s="312">
        <v>0.34789999999999999</v>
      </c>
      <c r="AK927" s="312">
        <v>0.3891</v>
      </c>
      <c r="AL927" s="312">
        <v>0.40250000000000002</v>
      </c>
      <c r="AM927" s="312">
        <v>0.57250000000000001</v>
      </c>
      <c r="AN927" s="312">
        <v>0.4672</v>
      </c>
      <c r="AO927" s="312">
        <v>0.51700000000000002</v>
      </c>
      <c r="AP927" s="312">
        <v>0.53979999999999995</v>
      </c>
      <c r="AQ927" s="312">
        <v>0.39379999999999998</v>
      </c>
      <c r="AR927" s="312">
        <v>0.51939999999999997</v>
      </c>
      <c r="AS927" s="312">
        <v>0.33119999999999999</v>
      </c>
      <c r="AT927" s="312">
        <v>0.54969999999999997</v>
      </c>
      <c r="AU927" s="312">
        <v>0.54159999999999997</v>
      </c>
      <c r="AV927" s="312">
        <v>0.46839999999999998</v>
      </c>
      <c r="AW927" s="312">
        <v>0.51670000000000005</v>
      </c>
      <c r="AX927" s="312">
        <v>0</v>
      </c>
      <c r="AY927" s="312">
        <v>0.53890000000000005</v>
      </c>
      <c r="AZ927" s="312">
        <v>0.53620000000000001</v>
      </c>
      <c r="BA927" s="312">
        <v>0.35470000000000002</v>
      </c>
      <c r="BB927" s="312">
        <v>0</v>
      </c>
      <c r="BC927" s="312">
        <v>0.56189999999999996</v>
      </c>
      <c r="BD927" s="312">
        <v>0.52470000000000006</v>
      </c>
      <c r="BE927" s="312">
        <v>0.60919999999999996</v>
      </c>
      <c r="BF927" s="312">
        <v>0.46679999999999999</v>
      </c>
      <c r="BG927" s="312">
        <v>0.60299999999999998</v>
      </c>
      <c r="BH927" s="312">
        <v>0.57430000000000003</v>
      </c>
      <c r="BI927" s="312">
        <v>0.60419999999999996</v>
      </c>
      <c r="BJ927" s="312">
        <v>0.4733</v>
      </c>
      <c r="BK927" s="312">
        <v>0.54530000000000001</v>
      </c>
      <c r="BM927">
        <f>(C927-C516)*1000000/(RIMS_emp!C927-RIMS_emp!C516)</f>
        <v>37542.802355841668</v>
      </c>
    </row>
    <row r="928" spans="1:65" x14ac:dyDescent="0.25">
      <c r="A928" s="306">
        <v>322291</v>
      </c>
      <c r="B928" s="312" t="s">
        <v>93</v>
      </c>
      <c r="C928" s="312">
        <v>0.43359999999999999</v>
      </c>
      <c r="D928" s="312">
        <v>0</v>
      </c>
      <c r="E928" s="312">
        <v>0</v>
      </c>
      <c r="F928" s="312">
        <v>0.2487</v>
      </c>
      <c r="G928" s="312">
        <v>0.23730000000000001</v>
      </c>
      <c r="H928" s="312">
        <v>0.27</v>
      </c>
      <c r="I928" s="312">
        <v>0</v>
      </c>
      <c r="J928" s="312">
        <v>0</v>
      </c>
      <c r="K928" s="312">
        <v>0</v>
      </c>
      <c r="L928" s="312">
        <v>0.19139999999999999</v>
      </c>
      <c r="M928" s="312">
        <v>0.25030000000000002</v>
      </c>
      <c r="N928" s="312">
        <v>0.31619999999999998</v>
      </c>
      <c r="O928" s="312">
        <v>0</v>
      </c>
      <c r="P928" s="312">
        <v>0</v>
      </c>
      <c r="Q928" s="312">
        <v>0.19239999999999999</v>
      </c>
      <c r="R928" s="312">
        <v>0.29349999999999998</v>
      </c>
      <c r="S928" s="312">
        <v>0.2616</v>
      </c>
      <c r="T928" s="312">
        <v>0</v>
      </c>
      <c r="U928" s="312">
        <v>0.26600000000000001</v>
      </c>
      <c r="V928" s="312">
        <v>0</v>
      </c>
      <c r="W928" s="312">
        <v>0.27079999999999999</v>
      </c>
      <c r="X928" s="312">
        <v>0.19889999999999999</v>
      </c>
      <c r="Y928" s="312">
        <v>0.2767</v>
      </c>
      <c r="Z928" s="312">
        <v>0.29830000000000001</v>
      </c>
      <c r="AA928" s="312">
        <v>0.26989999999999997</v>
      </c>
      <c r="AB928" s="312">
        <v>0.2452</v>
      </c>
      <c r="AC928" s="312">
        <v>0.25019999999999998</v>
      </c>
      <c r="AD928" s="312">
        <v>0</v>
      </c>
      <c r="AE928" s="312">
        <v>0.29749999999999999</v>
      </c>
      <c r="AF928" s="312">
        <v>0</v>
      </c>
      <c r="AG928" s="312">
        <v>0.18740000000000001</v>
      </c>
      <c r="AH928" s="312">
        <v>0</v>
      </c>
      <c r="AI928" s="312">
        <v>0.24940000000000001</v>
      </c>
      <c r="AJ928" s="312">
        <v>0.1915</v>
      </c>
      <c r="AK928" s="312">
        <v>0.21390000000000001</v>
      </c>
      <c r="AL928" s="312">
        <v>0.21759999999999999</v>
      </c>
      <c r="AM928" s="312">
        <v>0.31830000000000003</v>
      </c>
      <c r="AN928" s="312">
        <v>0</v>
      </c>
      <c r="AO928" s="312">
        <v>0.26860000000000001</v>
      </c>
      <c r="AP928" s="312">
        <v>0.30880000000000002</v>
      </c>
      <c r="AQ928" s="312">
        <v>0</v>
      </c>
      <c r="AR928" s="312">
        <v>0.2913</v>
      </c>
      <c r="AS928" s="312">
        <v>0</v>
      </c>
      <c r="AT928" s="312">
        <v>0.3039</v>
      </c>
      <c r="AU928" s="312">
        <v>0.28849999999999998</v>
      </c>
      <c r="AV928" s="312">
        <v>0.25890000000000002</v>
      </c>
      <c r="AW928" s="312">
        <v>0</v>
      </c>
      <c r="AX928" s="312">
        <v>0</v>
      </c>
      <c r="AY928" s="312">
        <v>0.27660000000000001</v>
      </c>
      <c r="AZ928" s="312">
        <v>0.2984</v>
      </c>
      <c r="BA928" s="312">
        <v>0</v>
      </c>
      <c r="BB928" s="312">
        <v>0</v>
      </c>
      <c r="BC928" s="312">
        <v>0.31480000000000002</v>
      </c>
      <c r="BD928" s="312">
        <v>0.29430000000000001</v>
      </c>
      <c r="BE928" s="312">
        <v>0.3382</v>
      </c>
      <c r="BF928" s="312">
        <v>0.26179999999999998</v>
      </c>
      <c r="BG928" s="312">
        <v>0.32769999999999999</v>
      </c>
      <c r="BH928" s="312">
        <v>0.32069999999999999</v>
      </c>
      <c r="BI928" s="312">
        <v>0.3155</v>
      </c>
      <c r="BJ928" s="312">
        <v>0.24679999999999999</v>
      </c>
      <c r="BK928" s="312">
        <v>0.28960000000000002</v>
      </c>
      <c r="BM928">
        <f>(C928-C517)*1000000/(RIMS_emp!C928-RIMS_emp!C517)</f>
        <v>37525.13384529663</v>
      </c>
    </row>
    <row r="929" spans="1:65" x14ac:dyDescent="0.25">
      <c r="A929" s="306">
        <v>322299</v>
      </c>
      <c r="B929" s="312" t="s">
        <v>94</v>
      </c>
      <c r="C929" s="312">
        <v>0.75119999999999998</v>
      </c>
      <c r="D929" s="312">
        <v>0.35239999999999999</v>
      </c>
      <c r="E929" s="312">
        <v>0.5111</v>
      </c>
      <c r="F929" s="312">
        <v>0.4622</v>
      </c>
      <c r="G929" s="312">
        <v>0.4451</v>
      </c>
      <c r="H929" s="312">
        <v>0.49840000000000001</v>
      </c>
      <c r="I929" s="312">
        <v>0.48139999999999999</v>
      </c>
      <c r="J929" s="312">
        <v>0.44819999999999999</v>
      </c>
      <c r="K929" s="312">
        <v>0</v>
      </c>
      <c r="L929" s="312">
        <v>0.34100000000000003</v>
      </c>
      <c r="M929" s="312">
        <v>0.47720000000000001</v>
      </c>
      <c r="N929" s="312">
        <v>0.57589999999999997</v>
      </c>
      <c r="O929" s="312">
        <v>0.39410000000000001</v>
      </c>
      <c r="P929" s="312">
        <v>0.34250000000000003</v>
      </c>
      <c r="Q929" s="312">
        <v>0.37569999999999998</v>
      </c>
      <c r="R929" s="312">
        <v>0.5171</v>
      </c>
      <c r="S929" s="312">
        <v>0.45529999999999998</v>
      </c>
      <c r="T929" s="312">
        <v>0.35089999999999999</v>
      </c>
      <c r="U929" s="312">
        <v>0.45750000000000002</v>
      </c>
      <c r="V929" s="312">
        <v>0.49619999999999997</v>
      </c>
      <c r="W929" s="312">
        <v>0.4642</v>
      </c>
      <c r="X929" s="312">
        <v>0.37840000000000001</v>
      </c>
      <c r="Y929" s="312">
        <v>0.47310000000000002</v>
      </c>
      <c r="Z929" s="312">
        <v>0.5484</v>
      </c>
      <c r="AA929" s="312">
        <v>0.47839999999999999</v>
      </c>
      <c r="AB929" s="312">
        <v>0.42480000000000001</v>
      </c>
      <c r="AC929" s="312">
        <v>0.44440000000000002</v>
      </c>
      <c r="AD929" s="312">
        <v>0.39560000000000001</v>
      </c>
      <c r="AE929" s="312">
        <v>0.52359999999999995</v>
      </c>
      <c r="AF929" s="312">
        <v>0.31950000000000001</v>
      </c>
      <c r="AG929" s="312">
        <v>0.33339999999999997</v>
      </c>
      <c r="AH929" s="312">
        <v>0.4158</v>
      </c>
      <c r="AI929" s="312">
        <v>0.4375</v>
      </c>
      <c r="AJ929" s="312">
        <v>0</v>
      </c>
      <c r="AK929" s="312">
        <v>0.40820000000000001</v>
      </c>
      <c r="AL929" s="312">
        <v>0.40239999999999998</v>
      </c>
      <c r="AM929" s="312">
        <v>0.55289999999999995</v>
      </c>
      <c r="AN929" s="312">
        <v>0.46800000000000003</v>
      </c>
      <c r="AO929" s="312">
        <v>0.51300000000000001</v>
      </c>
      <c r="AP929" s="312">
        <v>0.52210000000000001</v>
      </c>
      <c r="AQ929" s="312">
        <v>0.38579999999999998</v>
      </c>
      <c r="AR929" s="312">
        <v>0.51580000000000004</v>
      </c>
      <c r="AS929" s="312">
        <v>0</v>
      </c>
      <c r="AT929" s="312">
        <v>0.53879999999999995</v>
      </c>
      <c r="AU929" s="312">
        <v>0.53690000000000004</v>
      </c>
      <c r="AV929" s="312">
        <v>0.47849999999999998</v>
      </c>
      <c r="AW929" s="312">
        <v>0.501</v>
      </c>
      <c r="AX929" s="312">
        <v>0</v>
      </c>
      <c r="AY929" s="312">
        <v>0.53369999999999995</v>
      </c>
      <c r="AZ929" s="312">
        <v>0.51359999999999995</v>
      </c>
      <c r="BA929" s="312">
        <v>0</v>
      </c>
      <c r="BB929" s="312">
        <v>0</v>
      </c>
      <c r="BC929" s="312">
        <v>0.54449999999999998</v>
      </c>
      <c r="BD929" s="312">
        <v>0.51980000000000004</v>
      </c>
      <c r="BE929" s="312">
        <v>0.5887</v>
      </c>
      <c r="BF929" s="312">
        <v>0.45739999999999997</v>
      </c>
      <c r="BG929" s="312">
        <v>0.59370000000000001</v>
      </c>
      <c r="BH929" s="312">
        <v>0.56220000000000003</v>
      </c>
      <c r="BI929" s="312">
        <v>0.58530000000000004</v>
      </c>
      <c r="BJ929" s="312">
        <v>0.47860000000000003</v>
      </c>
      <c r="BK929" s="312">
        <v>0.54569999999999996</v>
      </c>
      <c r="BM929">
        <f>(C929-C518)*1000000/(RIMS_emp!C929-RIMS_emp!C518)</f>
        <v>37548.771448949046</v>
      </c>
    </row>
    <row r="930" spans="1:65" x14ac:dyDescent="0.25">
      <c r="A930" s="306">
        <v>323110</v>
      </c>
      <c r="B930" s="312" t="s">
        <v>95</v>
      </c>
      <c r="C930" s="312">
        <v>0.83860000000000001</v>
      </c>
      <c r="D930" s="312">
        <v>0.45610000000000001</v>
      </c>
      <c r="E930" s="312">
        <v>0.57789999999999997</v>
      </c>
      <c r="F930" s="312">
        <v>0.53149999999999997</v>
      </c>
      <c r="G930" s="312">
        <v>0.57589999999999997</v>
      </c>
      <c r="H930" s="312">
        <v>0.63129999999999997</v>
      </c>
      <c r="I930" s="312">
        <v>0.61470000000000002</v>
      </c>
      <c r="J930" s="312">
        <v>0.56120000000000003</v>
      </c>
      <c r="K930" s="312">
        <v>7.2900000000000006E-2</v>
      </c>
      <c r="L930" s="312">
        <v>0.4168</v>
      </c>
      <c r="M930" s="312">
        <v>0.58960000000000001</v>
      </c>
      <c r="N930" s="312">
        <v>0.66949999999999998</v>
      </c>
      <c r="O930" s="312">
        <v>0.51570000000000005</v>
      </c>
      <c r="P930" s="312">
        <v>0.46839999999999998</v>
      </c>
      <c r="Q930" s="312">
        <v>0.49159999999999998</v>
      </c>
      <c r="R930" s="312">
        <v>0.6522</v>
      </c>
      <c r="S930" s="312">
        <v>0.56330000000000002</v>
      </c>
      <c r="T930" s="312">
        <v>0.46650000000000003</v>
      </c>
      <c r="U930" s="312">
        <v>0.55120000000000002</v>
      </c>
      <c r="V930" s="312">
        <v>0.57220000000000004</v>
      </c>
      <c r="W930" s="312">
        <v>0.5887</v>
      </c>
      <c r="X930" s="312">
        <v>0.52959999999999996</v>
      </c>
      <c r="Y930" s="312">
        <v>0.54890000000000005</v>
      </c>
      <c r="Z930" s="312">
        <v>0.64910000000000001</v>
      </c>
      <c r="AA930" s="312">
        <v>0.62629999999999997</v>
      </c>
      <c r="AB930" s="312">
        <v>0.53129999999999999</v>
      </c>
      <c r="AC930" s="312">
        <v>0.50209999999999999</v>
      </c>
      <c r="AD930" s="312">
        <v>0.4753</v>
      </c>
      <c r="AE930" s="312">
        <v>0.59809999999999997</v>
      </c>
      <c r="AF930" s="312">
        <v>0.37109999999999999</v>
      </c>
      <c r="AG930" s="312">
        <v>0.45119999999999999</v>
      </c>
      <c r="AH930" s="312">
        <v>0.53349999999999997</v>
      </c>
      <c r="AI930" s="312">
        <v>0.57030000000000003</v>
      </c>
      <c r="AJ930" s="312">
        <v>0.49540000000000001</v>
      </c>
      <c r="AK930" s="312">
        <v>0.51680000000000004</v>
      </c>
      <c r="AL930" s="312">
        <v>0.50970000000000004</v>
      </c>
      <c r="AM930" s="312">
        <v>0.65580000000000005</v>
      </c>
      <c r="AN930" s="312">
        <v>0.57189999999999996</v>
      </c>
      <c r="AO930" s="312">
        <v>0.58640000000000003</v>
      </c>
      <c r="AP930" s="312">
        <v>0.64700000000000002</v>
      </c>
      <c r="AQ930" s="312">
        <v>0.49440000000000001</v>
      </c>
      <c r="AR930" s="312">
        <v>0.59709999999999996</v>
      </c>
      <c r="AS930" s="312">
        <v>0.4355</v>
      </c>
      <c r="AT930" s="312">
        <v>0.61529999999999996</v>
      </c>
      <c r="AU930" s="312">
        <v>0.63560000000000005</v>
      </c>
      <c r="AV930" s="312">
        <v>0.61560000000000004</v>
      </c>
      <c r="AW930" s="312">
        <v>0.5766</v>
      </c>
      <c r="AX930" s="312">
        <v>0.4672</v>
      </c>
      <c r="AY930" s="312">
        <v>0.60299999999999998</v>
      </c>
      <c r="AZ930" s="312">
        <v>0.61719999999999997</v>
      </c>
      <c r="BA930" s="312">
        <v>0.44180000000000003</v>
      </c>
      <c r="BB930" s="312">
        <v>0.41460000000000002</v>
      </c>
      <c r="BC930" s="312">
        <v>0.66220000000000001</v>
      </c>
      <c r="BD930" s="312">
        <v>0.66810000000000003</v>
      </c>
      <c r="BE930" s="312">
        <v>0.70309999999999995</v>
      </c>
      <c r="BF930" s="312">
        <v>0.59870000000000001</v>
      </c>
      <c r="BG930" s="312">
        <v>0.67710000000000004</v>
      </c>
      <c r="BH930" s="312">
        <v>0.62690000000000001</v>
      </c>
      <c r="BI930" s="312">
        <v>0.66839999999999999</v>
      </c>
      <c r="BJ930" s="312">
        <v>0.60419999999999996</v>
      </c>
      <c r="BK930" s="312">
        <v>0.65400000000000003</v>
      </c>
      <c r="BM930">
        <f>(C930-C519)*1000000/(RIMS_emp!C930-RIMS_emp!C519)</f>
        <v>37542.277339346103</v>
      </c>
    </row>
    <row r="931" spans="1:65" x14ac:dyDescent="0.25">
      <c r="A931" s="306">
        <v>323120</v>
      </c>
      <c r="B931" s="312" t="s">
        <v>96</v>
      </c>
      <c r="C931" s="312">
        <v>1.0004</v>
      </c>
      <c r="D931" s="312">
        <v>0.62790000000000001</v>
      </c>
      <c r="E931" s="312">
        <v>0.72899999999999998</v>
      </c>
      <c r="F931" s="312">
        <v>0.67449999999999999</v>
      </c>
      <c r="G931" s="312">
        <v>0.76790000000000003</v>
      </c>
      <c r="H931" s="312">
        <v>0.82969999999999999</v>
      </c>
      <c r="I931" s="312">
        <v>0.8175</v>
      </c>
      <c r="J931" s="312">
        <v>0.71809999999999996</v>
      </c>
      <c r="K931" s="312">
        <v>0.1014</v>
      </c>
      <c r="L931" s="312">
        <v>0.55610000000000004</v>
      </c>
      <c r="M931" s="312">
        <v>0.77439999999999998</v>
      </c>
      <c r="N931" s="312">
        <v>0.81969999999999998</v>
      </c>
      <c r="O931" s="312">
        <v>0.70740000000000003</v>
      </c>
      <c r="P931" s="312">
        <v>0.62490000000000001</v>
      </c>
      <c r="Q931" s="312">
        <v>0.64729999999999999</v>
      </c>
      <c r="R931" s="312">
        <v>0.8286</v>
      </c>
      <c r="S931" s="312">
        <v>0.72650000000000003</v>
      </c>
      <c r="T931" s="312">
        <v>0.62190000000000001</v>
      </c>
      <c r="U931" s="312">
        <v>0.6794</v>
      </c>
      <c r="V931" s="312">
        <v>0.72789999999999999</v>
      </c>
      <c r="W931" s="312">
        <v>0.74260000000000004</v>
      </c>
      <c r="X931" s="312">
        <v>0.69299999999999995</v>
      </c>
      <c r="Y931" s="312">
        <v>0.69799999999999995</v>
      </c>
      <c r="Z931" s="312">
        <v>0.8095</v>
      </c>
      <c r="AA931" s="312">
        <v>0.78200000000000003</v>
      </c>
      <c r="AB931" s="312">
        <v>0.68469999999999998</v>
      </c>
      <c r="AC931" s="312">
        <v>0.63560000000000005</v>
      </c>
      <c r="AD931" s="312">
        <v>0.64849999999999997</v>
      </c>
      <c r="AE931" s="312">
        <v>0.74750000000000005</v>
      </c>
      <c r="AF931" s="312">
        <v>0.50890000000000002</v>
      </c>
      <c r="AG931" s="312">
        <v>0.61619999999999997</v>
      </c>
      <c r="AH931" s="312">
        <v>0.6804</v>
      </c>
      <c r="AI931" s="312">
        <v>0.72130000000000005</v>
      </c>
      <c r="AJ931" s="312">
        <v>0.66969999999999996</v>
      </c>
      <c r="AK931" s="312">
        <v>0.69610000000000005</v>
      </c>
      <c r="AL931" s="312">
        <v>0.66739999999999999</v>
      </c>
      <c r="AM931" s="312">
        <v>0.81189999999999996</v>
      </c>
      <c r="AN931" s="312">
        <v>0.72640000000000005</v>
      </c>
      <c r="AO931" s="312">
        <v>0.72789999999999999</v>
      </c>
      <c r="AP931" s="312">
        <v>0.80220000000000002</v>
      </c>
      <c r="AQ931" s="312">
        <v>0.66590000000000005</v>
      </c>
      <c r="AR931" s="312">
        <v>0.74050000000000005</v>
      </c>
      <c r="AS931" s="312">
        <v>0</v>
      </c>
      <c r="AT931" s="312">
        <v>0.75260000000000005</v>
      </c>
      <c r="AU931" s="312">
        <v>0.8286</v>
      </c>
      <c r="AV931" s="312">
        <v>0.80669999999999997</v>
      </c>
      <c r="AW931" s="312">
        <v>0.72619999999999996</v>
      </c>
      <c r="AX931" s="312">
        <v>0.62290000000000001</v>
      </c>
      <c r="AY931" s="312">
        <v>0.76349999999999996</v>
      </c>
      <c r="AZ931" s="312">
        <v>0.76849999999999996</v>
      </c>
      <c r="BA931" s="312">
        <v>0</v>
      </c>
      <c r="BB931" s="312">
        <v>0</v>
      </c>
      <c r="BC931" s="312">
        <v>0.8296</v>
      </c>
      <c r="BD931" s="312">
        <v>0.83879999999999999</v>
      </c>
      <c r="BE931" s="312">
        <v>0.85929999999999995</v>
      </c>
      <c r="BF931" s="312">
        <v>0.76339999999999997</v>
      </c>
      <c r="BG931" s="312">
        <v>0.84419999999999995</v>
      </c>
      <c r="BH931" s="312">
        <v>0.75919999999999999</v>
      </c>
      <c r="BI931" s="312">
        <v>0.8327</v>
      </c>
      <c r="BJ931" s="312">
        <v>0.79949999999999999</v>
      </c>
      <c r="BK931" s="312">
        <v>0.83830000000000005</v>
      </c>
      <c r="BM931">
        <f>(C931-C520)*1000000/(RIMS_emp!C931-RIMS_emp!C520)</f>
        <v>37538.720008400269</v>
      </c>
    </row>
    <row r="932" spans="1:65" x14ac:dyDescent="0.25">
      <c r="A932" s="306">
        <v>324110</v>
      </c>
      <c r="B932" s="312" t="s">
        <v>97</v>
      </c>
      <c r="C932" s="312">
        <v>0.50980000000000003</v>
      </c>
      <c r="D932" s="312">
        <v>0.30130000000000001</v>
      </c>
      <c r="E932" s="312">
        <v>0.25309999999999999</v>
      </c>
      <c r="F932" s="312">
        <v>0.24929999999999999</v>
      </c>
      <c r="G932" s="312">
        <v>0.2268</v>
      </c>
      <c r="H932" s="312">
        <v>0.35020000000000001</v>
      </c>
      <c r="I932" s="312">
        <v>0.4002</v>
      </c>
      <c r="J932" s="312">
        <v>0</v>
      </c>
      <c r="K932" s="312">
        <v>5.5500000000000001E-2</v>
      </c>
      <c r="L932" s="312">
        <v>0.17649999999999999</v>
      </c>
      <c r="M932" s="312">
        <v>0.21990000000000001</v>
      </c>
      <c r="N932" s="312">
        <v>0.24329999999999999</v>
      </c>
      <c r="O932" s="312">
        <v>0.22509999999999999</v>
      </c>
      <c r="P932" s="312">
        <v>0.15359999999999999</v>
      </c>
      <c r="Q932" s="312">
        <v>0.1714</v>
      </c>
      <c r="R932" s="312">
        <v>0.2656</v>
      </c>
      <c r="S932" s="312">
        <v>0.21079999999999999</v>
      </c>
      <c r="T932" s="312">
        <v>0.2787</v>
      </c>
      <c r="U932" s="312">
        <v>0.22939999999999999</v>
      </c>
      <c r="V932" s="312">
        <v>0.35659999999999997</v>
      </c>
      <c r="W932" s="312">
        <v>0.2172</v>
      </c>
      <c r="X932" s="312">
        <v>0.19939999999999999</v>
      </c>
      <c r="Y932" s="312">
        <v>0.2039</v>
      </c>
      <c r="Z932" s="312">
        <v>0.247</v>
      </c>
      <c r="AA932" s="312">
        <v>0.23549999999999999</v>
      </c>
      <c r="AB932" s="312">
        <v>0.20960000000000001</v>
      </c>
      <c r="AC932" s="312">
        <v>0.24310000000000001</v>
      </c>
      <c r="AD932" s="312">
        <v>0.28389999999999999</v>
      </c>
      <c r="AE932" s="312">
        <v>0.21190000000000001</v>
      </c>
      <c r="AF932" s="312">
        <v>0.2616</v>
      </c>
      <c r="AG932" s="312">
        <v>0.18490000000000001</v>
      </c>
      <c r="AH932" s="312">
        <v>0.2036</v>
      </c>
      <c r="AI932" s="312">
        <v>0.2346</v>
      </c>
      <c r="AJ932" s="312">
        <v>0.3201</v>
      </c>
      <c r="AK932" s="312">
        <v>0.20150000000000001</v>
      </c>
      <c r="AL932" s="312">
        <v>0.18440000000000001</v>
      </c>
      <c r="AM932" s="312">
        <v>0.2868</v>
      </c>
      <c r="AN932" s="312">
        <v>0.36180000000000001</v>
      </c>
      <c r="AO932" s="312">
        <v>0.20649999999999999</v>
      </c>
      <c r="AP932" s="312">
        <v>0.27139999999999997</v>
      </c>
      <c r="AQ932" s="312">
        <v>0</v>
      </c>
      <c r="AR932" s="312">
        <v>0.21609999999999999</v>
      </c>
      <c r="AS932" s="312">
        <v>0.18090000000000001</v>
      </c>
      <c r="AT932" s="312">
        <v>0.20799999999999999</v>
      </c>
      <c r="AU932" s="312">
        <v>0.41970000000000002</v>
      </c>
      <c r="AV932" s="312">
        <v>0.3629</v>
      </c>
      <c r="AW932" s="312">
        <v>0.2016</v>
      </c>
      <c r="AX932" s="312">
        <v>0</v>
      </c>
      <c r="AY932" s="312">
        <v>0.24030000000000001</v>
      </c>
      <c r="AZ932" s="312">
        <v>0.2102</v>
      </c>
      <c r="BA932" s="312">
        <v>0.2722</v>
      </c>
      <c r="BB932" s="312">
        <v>0.28749999999999998</v>
      </c>
      <c r="BC932" s="312">
        <v>0.2427</v>
      </c>
      <c r="BD932" s="312">
        <v>0.2591</v>
      </c>
      <c r="BE932" s="312">
        <v>0.28110000000000002</v>
      </c>
      <c r="BF932" s="312">
        <v>0.24809999999999999</v>
      </c>
      <c r="BG932" s="312">
        <v>0.2492</v>
      </c>
      <c r="BH932" s="312">
        <v>0.26679999999999998</v>
      </c>
      <c r="BI932" s="312">
        <v>0.42199999999999999</v>
      </c>
      <c r="BJ932" s="312">
        <v>0.39579999999999999</v>
      </c>
      <c r="BK932" s="312">
        <v>0.35539999999999999</v>
      </c>
      <c r="BM932">
        <f>(C932-C521)*1000000/(RIMS_emp!C932-RIMS_emp!C521)</f>
        <v>37544.56098415381</v>
      </c>
    </row>
    <row r="933" spans="1:65" x14ac:dyDescent="0.25">
      <c r="A933" s="306">
        <v>324121</v>
      </c>
      <c r="B933" s="312" t="s">
        <v>98</v>
      </c>
      <c r="C933" s="312">
        <v>0.76439999999999997</v>
      </c>
      <c r="D933" s="312">
        <v>0.39800000000000002</v>
      </c>
      <c r="E933" s="312">
        <v>0.43130000000000002</v>
      </c>
      <c r="F933" s="312">
        <v>0.41959999999999997</v>
      </c>
      <c r="G933" s="312">
        <v>0.41170000000000001</v>
      </c>
      <c r="H933" s="312">
        <v>0.55869999999999997</v>
      </c>
      <c r="I933" s="312">
        <v>0.5373</v>
      </c>
      <c r="J933" s="312">
        <v>0.39069999999999999</v>
      </c>
      <c r="K933" s="312">
        <v>0</v>
      </c>
      <c r="L933" s="312">
        <v>0.34810000000000002</v>
      </c>
      <c r="M933" s="312">
        <v>0.40699999999999997</v>
      </c>
      <c r="N933" s="312">
        <v>0.47099999999999997</v>
      </c>
      <c r="O933" s="312">
        <v>0.43569999999999998</v>
      </c>
      <c r="P933" s="312">
        <v>0.28710000000000002</v>
      </c>
      <c r="Q933" s="312">
        <v>0.30080000000000001</v>
      </c>
      <c r="R933" s="312">
        <v>0.53569999999999995</v>
      </c>
      <c r="S933" s="312">
        <v>0.43190000000000001</v>
      </c>
      <c r="T933" s="312">
        <v>0.43099999999999999</v>
      </c>
      <c r="U933" s="312">
        <v>0.41449999999999998</v>
      </c>
      <c r="V933" s="312">
        <v>0.495</v>
      </c>
      <c r="W933" s="312">
        <v>0.41610000000000003</v>
      </c>
      <c r="X933" s="312">
        <v>0.36909999999999998</v>
      </c>
      <c r="Y933" s="312">
        <v>0.37019999999999997</v>
      </c>
      <c r="Z933" s="312">
        <v>0.46610000000000001</v>
      </c>
      <c r="AA933" s="312">
        <v>0.47570000000000001</v>
      </c>
      <c r="AB933" s="312">
        <v>0.40899999999999997</v>
      </c>
      <c r="AC933" s="312">
        <v>0.38109999999999999</v>
      </c>
      <c r="AD933" s="312">
        <v>0.41539999999999999</v>
      </c>
      <c r="AE933" s="312">
        <v>0.42899999999999999</v>
      </c>
      <c r="AF933" s="312">
        <v>0</v>
      </c>
      <c r="AG933" s="312">
        <v>0</v>
      </c>
      <c r="AH933" s="312">
        <v>0.38950000000000001</v>
      </c>
      <c r="AI933" s="312">
        <v>0.47239999999999999</v>
      </c>
      <c r="AJ933" s="312">
        <v>0.43530000000000002</v>
      </c>
      <c r="AK933" s="312">
        <v>0.37259999999999999</v>
      </c>
      <c r="AL933" s="312">
        <v>0.35</v>
      </c>
      <c r="AM933" s="312">
        <v>0.52569999999999995</v>
      </c>
      <c r="AN933" s="312">
        <v>0.50309999999999999</v>
      </c>
      <c r="AO933" s="312">
        <v>0.39639999999999997</v>
      </c>
      <c r="AP933" s="312">
        <v>0.49669999999999997</v>
      </c>
      <c r="AQ933" s="312">
        <v>0.36909999999999998</v>
      </c>
      <c r="AR933" s="312">
        <v>0.42199999999999999</v>
      </c>
      <c r="AS933" s="312">
        <v>0.32179999999999997</v>
      </c>
      <c r="AT933" s="312">
        <v>0.40810000000000002</v>
      </c>
      <c r="AU933" s="312">
        <v>0.58909999999999996</v>
      </c>
      <c r="AV933" s="312">
        <v>0.57099999999999995</v>
      </c>
      <c r="AW933" s="312">
        <v>0.37819999999999998</v>
      </c>
      <c r="AX933" s="312">
        <v>0.34470000000000001</v>
      </c>
      <c r="AY933" s="312">
        <v>0.47299999999999998</v>
      </c>
      <c r="AZ933" s="312">
        <v>0.41760000000000003</v>
      </c>
      <c r="BA933" s="312">
        <v>0.34160000000000001</v>
      </c>
      <c r="BB933" s="312">
        <v>0.3821</v>
      </c>
      <c r="BC933" s="312">
        <v>0.47070000000000001</v>
      </c>
      <c r="BD933" s="312">
        <v>0.50249999999999995</v>
      </c>
      <c r="BE933" s="312">
        <v>0.55669999999999997</v>
      </c>
      <c r="BF933" s="312">
        <v>0.46560000000000001</v>
      </c>
      <c r="BG933" s="312">
        <v>0.4803</v>
      </c>
      <c r="BH933" s="312">
        <v>0.49309999999999998</v>
      </c>
      <c r="BI933" s="312">
        <v>0.59650000000000003</v>
      </c>
      <c r="BJ933" s="312">
        <v>0.53949999999999998</v>
      </c>
      <c r="BK933" s="312">
        <v>0.5665</v>
      </c>
      <c r="BM933">
        <f>(C933-C522)*1000000/(RIMS_emp!C933-RIMS_emp!C522)</f>
        <v>37543.975373790672</v>
      </c>
    </row>
    <row r="934" spans="1:65" x14ac:dyDescent="0.25">
      <c r="A934" s="306">
        <v>324122</v>
      </c>
      <c r="B934" s="312" t="s">
        <v>99</v>
      </c>
      <c r="C934" s="312">
        <v>0.76859999999999995</v>
      </c>
      <c r="D934" s="312">
        <v>0</v>
      </c>
      <c r="E934" s="312">
        <v>0.45369999999999999</v>
      </c>
      <c r="F934" s="312">
        <v>0.43169999999999997</v>
      </c>
      <c r="G934" s="312">
        <v>0.45290000000000002</v>
      </c>
      <c r="H934" s="312">
        <v>0.56620000000000004</v>
      </c>
      <c r="I934" s="312">
        <v>0.55130000000000001</v>
      </c>
      <c r="J934" s="312">
        <v>0.40429999999999999</v>
      </c>
      <c r="K934" s="312">
        <v>0</v>
      </c>
      <c r="L934" s="312">
        <v>0.3589</v>
      </c>
      <c r="M934" s="312">
        <v>0.44850000000000001</v>
      </c>
      <c r="N934" s="312">
        <v>0.52259999999999995</v>
      </c>
      <c r="O934" s="312">
        <v>0</v>
      </c>
      <c r="P934" s="312">
        <v>0.29270000000000002</v>
      </c>
      <c r="Q934" s="312">
        <v>0.32</v>
      </c>
      <c r="R934" s="312">
        <v>0.53210000000000002</v>
      </c>
      <c r="S934" s="312">
        <v>0.43859999999999999</v>
      </c>
      <c r="T934" s="312">
        <v>0.41980000000000001</v>
      </c>
      <c r="U934" s="312">
        <v>0</v>
      </c>
      <c r="V934" s="312">
        <v>0.50900000000000001</v>
      </c>
      <c r="W934" s="312">
        <v>0.45029999999999998</v>
      </c>
      <c r="X934" s="312">
        <v>0.3957</v>
      </c>
      <c r="Y934" s="312">
        <v>0</v>
      </c>
      <c r="Z934" s="312">
        <v>0.48549999999999999</v>
      </c>
      <c r="AA934" s="312">
        <v>0.50760000000000005</v>
      </c>
      <c r="AB934" s="312">
        <v>0.4345</v>
      </c>
      <c r="AC934" s="312">
        <v>0.3725</v>
      </c>
      <c r="AD934" s="312">
        <v>0</v>
      </c>
      <c r="AE934" s="312">
        <v>0.47010000000000002</v>
      </c>
      <c r="AF934" s="312">
        <v>0</v>
      </c>
      <c r="AG934" s="312">
        <v>0.3574</v>
      </c>
      <c r="AH934" s="312">
        <v>0.44690000000000002</v>
      </c>
      <c r="AI934" s="312">
        <v>0.49109999999999998</v>
      </c>
      <c r="AJ934" s="312">
        <v>0</v>
      </c>
      <c r="AK934" s="312">
        <v>0.41399999999999998</v>
      </c>
      <c r="AL934" s="312">
        <v>0.37909999999999999</v>
      </c>
      <c r="AM934" s="312">
        <v>0.56000000000000005</v>
      </c>
      <c r="AN934" s="312">
        <v>0.51439999999999997</v>
      </c>
      <c r="AO934" s="312">
        <v>0.45229999999999998</v>
      </c>
      <c r="AP934" s="312">
        <v>0.53559999999999997</v>
      </c>
      <c r="AQ934" s="312">
        <v>0</v>
      </c>
      <c r="AR934" s="312">
        <v>0.45650000000000002</v>
      </c>
      <c r="AS934" s="312">
        <v>0</v>
      </c>
      <c r="AT934" s="312">
        <v>0.44490000000000002</v>
      </c>
      <c r="AU934" s="312">
        <v>0.59650000000000003</v>
      </c>
      <c r="AV934" s="312">
        <v>0.56930000000000003</v>
      </c>
      <c r="AW934" s="312">
        <v>0.40310000000000001</v>
      </c>
      <c r="AX934" s="312">
        <v>0</v>
      </c>
      <c r="AY934" s="312">
        <v>0.50449999999999995</v>
      </c>
      <c r="AZ934" s="312">
        <v>0.44069999999999998</v>
      </c>
      <c r="BA934" s="312">
        <v>0</v>
      </c>
      <c r="BB934" s="312">
        <v>0.36420000000000002</v>
      </c>
      <c r="BC934" s="312">
        <v>0.51490000000000002</v>
      </c>
      <c r="BD934" s="312">
        <v>0.53990000000000005</v>
      </c>
      <c r="BE934" s="312">
        <v>0.59740000000000004</v>
      </c>
      <c r="BF934" s="312">
        <v>0.48849999999999999</v>
      </c>
      <c r="BG934" s="312">
        <v>0.5282</v>
      </c>
      <c r="BH934" s="312">
        <v>0.51200000000000001</v>
      </c>
      <c r="BI934" s="312">
        <v>0.60940000000000005</v>
      </c>
      <c r="BJ934" s="312">
        <v>0.54749999999999999</v>
      </c>
      <c r="BK934" s="312">
        <v>0.58289999999999997</v>
      </c>
      <c r="BM934">
        <f>(C934-C523)*1000000/(RIMS_emp!C934-RIMS_emp!C523)</f>
        <v>37545.274379826413</v>
      </c>
    </row>
    <row r="935" spans="1:65" x14ac:dyDescent="0.25">
      <c r="A935" s="306">
        <v>324191</v>
      </c>
      <c r="B935" s="312" t="s">
        <v>100</v>
      </c>
      <c r="C935" s="312">
        <v>0.78590000000000004</v>
      </c>
      <c r="D935" s="312">
        <v>0</v>
      </c>
      <c r="E935" s="312">
        <v>0.43719999999999998</v>
      </c>
      <c r="F935" s="312">
        <v>0.42959999999999998</v>
      </c>
      <c r="G935" s="312">
        <v>0.4093</v>
      </c>
      <c r="H935" s="312">
        <v>0.58409999999999995</v>
      </c>
      <c r="I935" s="312">
        <v>0.55700000000000005</v>
      </c>
      <c r="J935" s="312">
        <v>0.3911</v>
      </c>
      <c r="K935" s="312">
        <v>0</v>
      </c>
      <c r="L935" s="312">
        <v>0.37309999999999999</v>
      </c>
      <c r="M935" s="312">
        <v>0.40450000000000003</v>
      </c>
      <c r="N935" s="312">
        <v>0.47089999999999999</v>
      </c>
      <c r="O935" s="312">
        <v>0</v>
      </c>
      <c r="P935" s="312">
        <v>0.28339999999999999</v>
      </c>
      <c r="Q935" s="312">
        <v>0</v>
      </c>
      <c r="R935" s="312">
        <v>0.54069999999999996</v>
      </c>
      <c r="S935" s="312">
        <v>0.43180000000000002</v>
      </c>
      <c r="T935" s="312">
        <v>0.45179999999999998</v>
      </c>
      <c r="U935" s="312">
        <v>0.41649999999999998</v>
      </c>
      <c r="V935" s="312">
        <v>0.53820000000000001</v>
      </c>
      <c r="W935" s="312">
        <v>0.41880000000000001</v>
      </c>
      <c r="X935" s="312">
        <v>0.37880000000000003</v>
      </c>
      <c r="Y935" s="312">
        <v>0</v>
      </c>
      <c r="Z935" s="312">
        <v>0.46479999999999999</v>
      </c>
      <c r="AA935" s="312">
        <v>0.48270000000000002</v>
      </c>
      <c r="AB935" s="312">
        <v>0.40739999999999998</v>
      </c>
      <c r="AC935" s="312">
        <v>0.39779999999999999</v>
      </c>
      <c r="AD935" s="312">
        <v>0</v>
      </c>
      <c r="AE935" s="312">
        <v>0.42180000000000001</v>
      </c>
      <c r="AF935" s="312">
        <v>0</v>
      </c>
      <c r="AG935" s="312">
        <v>0.33939999999999998</v>
      </c>
      <c r="AH935" s="312">
        <v>0.38319999999999999</v>
      </c>
      <c r="AI935" s="312">
        <v>0.49769999999999998</v>
      </c>
      <c r="AJ935" s="312">
        <v>0.47099999999999997</v>
      </c>
      <c r="AK935" s="312">
        <v>0.37859999999999999</v>
      </c>
      <c r="AL935" s="312">
        <v>0.34460000000000002</v>
      </c>
      <c r="AM935" s="312">
        <v>0.52669999999999995</v>
      </c>
      <c r="AN935" s="312">
        <v>0.52159999999999995</v>
      </c>
      <c r="AO935" s="312">
        <v>0.39229999999999998</v>
      </c>
      <c r="AP935" s="312">
        <v>0.49790000000000001</v>
      </c>
      <c r="AQ935" s="312">
        <v>0</v>
      </c>
      <c r="AR935" s="312">
        <v>0.41360000000000002</v>
      </c>
      <c r="AS935" s="312">
        <v>0</v>
      </c>
      <c r="AT935" s="312">
        <v>0.39829999999999999</v>
      </c>
      <c r="AU935" s="312">
        <v>0.62619999999999998</v>
      </c>
      <c r="AV935" s="312">
        <v>0.58789999999999998</v>
      </c>
      <c r="AW935" s="312">
        <v>0</v>
      </c>
      <c r="AX935" s="312">
        <v>0</v>
      </c>
      <c r="AY935" s="312">
        <v>0.49780000000000002</v>
      </c>
      <c r="AZ935" s="312">
        <v>0.40679999999999999</v>
      </c>
      <c r="BA935" s="312">
        <v>0.35780000000000001</v>
      </c>
      <c r="BB935" s="312">
        <v>0</v>
      </c>
      <c r="BC935" s="312">
        <v>0.46789999999999998</v>
      </c>
      <c r="BD935" s="312">
        <v>0.50590000000000002</v>
      </c>
      <c r="BE935" s="312">
        <v>0.55389999999999995</v>
      </c>
      <c r="BF935" s="312">
        <v>0.46510000000000001</v>
      </c>
      <c r="BG935" s="312">
        <v>0.47549999999999998</v>
      </c>
      <c r="BH935" s="312">
        <v>0.49609999999999999</v>
      </c>
      <c r="BI935" s="312">
        <v>0.63149999999999995</v>
      </c>
      <c r="BJ935" s="312">
        <v>0.56059999999999999</v>
      </c>
      <c r="BK935" s="312">
        <v>0.59140000000000004</v>
      </c>
      <c r="BM935">
        <f>(C935-C524)*1000000/(RIMS_emp!C935-RIMS_emp!C524)</f>
        <v>37533.082043467803</v>
      </c>
    </row>
    <row r="936" spans="1:65" x14ac:dyDescent="0.25">
      <c r="A936" s="306">
        <v>324199</v>
      </c>
      <c r="B936" s="312" t="s">
        <v>101</v>
      </c>
      <c r="C936" s="312">
        <v>0.74790000000000001</v>
      </c>
      <c r="D936" s="312">
        <v>0</v>
      </c>
      <c r="E936" s="312">
        <v>0.41039999999999999</v>
      </c>
      <c r="F936" s="312">
        <v>0</v>
      </c>
      <c r="G936" s="312">
        <v>0</v>
      </c>
      <c r="H936" s="312">
        <v>0.56889999999999996</v>
      </c>
      <c r="I936" s="312">
        <v>0.55649999999999999</v>
      </c>
      <c r="J936" s="312">
        <v>0</v>
      </c>
      <c r="K936" s="312">
        <v>0</v>
      </c>
      <c r="L936" s="312">
        <v>0</v>
      </c>
      <c r="M936" s="312">
        <v>0.39290000000000003</v>
      </c>
      <c r="N936" s="312">
        <v>0.42909999999999998</v>
      </c>
      <c r="O936" s="312">
        <v>0</v>
      </c>
      <c r="P936" s="312">
        <v>0</v>
      </c>
      <c r="Q936" s="312">
        <v>0</v>
      </c>
      <c r="R936" s="312">
        <v>0.49509999999999998</v>
      </c>
      <c r="S936" s="312">
        <v>0.39689999999999998</v>
      </c>
      <c r="T936" s="312">
        <v>0</v>
      </c>
      <c r="U936" s="312">
        <v>0.38819999999999999</v>
      </c>
      <c r="V936" s="312">
        <v>0.5262</v>
      </c>
      <c r="W936" s="312">
        <v>0</v>
      </c>
      <c r="X936" s="312">
        <v>0</v>
      </c>
      <c r="Y936" s="312">
        <v>0</v>
      </c>
      <c r="Z936" s="312">
        <v>0.43180000000000002</v>
      </c>
      <c r="AA936" s="312">
        <v>0.45179999999999998</v>
      </c>
      <c r="AB936" s="312">
        <v>0</v>
      </c>
      <c r="AC936" s="312">
        <v>0.38590000000000002</v>
      </c>
      <c r="AD936" s="312">
        <v>0</v>
      </c>
      <c r="AE936" s="312">
        <v>0</v>
      </c>
      <c r="AF936" s="312">
        <v>0</v>
      </c>
      <c r="AG936" s="312">
        <v>0.32279999999999998</v>
      </c>
      <c r="AH936" s="312">
        <v>0</v>
      </c>
      <c r="AI936" s="312">
        <v>0.45400000000000001</v>
      </c>
      <c r="AJ936" s="312">
        <v>0</v>
      </c>
      <c r="AK936" s="312">
        <v>0</v>
      </c>
      <c r="AL936" s="312">
        <v>0.3286</v>
      </c>
      <c r="AM936" s="312">
        <v>0.48520000000000002</v>
      </c>
      <c r="AN936" s="312">
        <v>0.52290000000000003</v>
      </c>
      <c r="AO936" s="312">
        <v>0</v>
      </c>
      <c r="AP936" s="312">
        <v>0.4632</v>
      </c>
      <c r="AQ936" s="312">
        <v>0</v>
      </c>
      <c r="AR936" s="312">
        <v>0.38150000000000001</v>
      </c>
      <c r="AS936" s="312">
        <v>0</v>
      </c>
      <c r="AT936" s="312">
        <v>0.36749999999999999</v>
      </c>
      <c r="AU936" s="312">
        <v>0.60909999999999997</v>
      </c>
      <c r="AV936" s="312">
        <v>0.57279999999999998</v>
      </c>
      <c r="AW936" s="312">
        <v>0.35809999999999997</v>
      </c>
      <c r="AX936" s="312">
        <v>0</v>
      </c>
      <c r="AY936" s="312">
        <v>0</v>
      </c>
      <c r="AZ936" s="312">
        <v>0.37909999999999999</v>
      </c>
      <c r="BA936" s="312">
        <v>0.35339999999999999</v>
      </c>
      <c r="BB936" s="312">
        <v>0.41660000000000003</v>
      </c>
      <c r="BC936" s="312">
        <v>0</v>
      </c>
      <c r="BD936" s="312">
        <v>0.46329999999999999</v>
      </c>
      <c r="BE936" s="312">
        <v>0.50460000000000005</v>
      </c>
      <c r="BF936" s="312">
        <v>0.43309999999999998</v>
      </c>
      <c r="BG936" s="312">
        <v>0.43790000000000001</v>
      </c>
      <c r="BH936" s="312">
        <v>0.4602</v>
      </c>
      <c r="BI936" s="312">
        <v>0.61370000000000002</v>
      </c>
      <c r="BJ936" s="312">
        <v>0.56010000000000004</v>
      </c>
      <c r="BK936" s="312">
        <v>0.57650000000000001</v>
      </c>
      <c r="BM936">
        <f>(C936-C525)*1000000/(RIMS_emp!C936-RIMS_emp!C525)</f>
        <v>37545.298761131555</v>
      </c>
    </row>
    <row r="937" spans="1:65" x14ac:dyDescent="0.25">
      <c r="A937" s="306">
        <v>325110</v>
      </c>
      <c r="B937" s="312" t="s">
        <v>102</v>
      </c>
      <c r="C937" s="312">
        <v>0.69989999999999997</v>
      </c>
      <c r="D937" s="312">
        <v>0</v>
      </c>
      <c r="E937" s="312">
        <v>0.40720000000000001</v>
      </c>
      <c r="F937" s="312">
        <v>0.33750000000000002</v>
      </c>
      <c r="G937" s="312">
        <v>0</v>
      </c>
      <c r="H937" s="312">
        <v>0.39839999999999998</v>
      </c>
      <c r="I937" s="312">
        <v>0</v>
      </c>
      <c r="J937" s="312">
        <v>0.32840000000000003</v>
      </c>
      <c r="K937" s="312">
        <v>0</v>
      </c>
      <c r="L937" s="312">
        <v>0.2918</v>
      </c>
      <c r="M937" s="312">
        <v>0.29360000000000003</v>
      </c>
      <c r="N937" s="312">
        <v>0.36080000000000001</v>
      </c>
      <c r="O937" s="312">
        <v>0</v>
      </c>
      <c r="P937" s="312">
        <v>0</v>
      </c>
      <c r="Q937" s="312">
        <v>0</v>
      </c>
      <c r="R937" s="312">
        <v>0.44769999999999999</v>
      </c>
      <c r="S937" s="312">
        <v>0</v>
      </c>
      <c r="T937" s="312">
        <v>0</v>
      </c>
      <c r="U937" s="312">
        <v>0</v>
      </c>
      <c r="V937" s="312">
        <v>0.4501</v>
      </c>
      <c r="W937" s="312">
        <v>0.31819999999999998</v>
      </c>
      <c r="X937" s="312">
        <v>0</v>
      </c>
      <c r="Y937" s="312">
        <v>0.25979999999999998</v>
      </c>
      <c r="Z937" s="312">
        <v>0.35070000000000001</v>
      </c>
      <c r="AA937" s="312">
        <v>0</v>
      </c>
      <c r="AB937" s="312">
        <v>0.3916</v>
      </c>
      <c r="AC937" s="312">
        <v>0.30259999999999998</v>
      </c>
      <c r="AD937" s="312">
        <v>0</v>
      </c>
      <c r="AE937" s="312">
        <v>0.3518</v>
      </c>
      <c r="AF937" s="312">
        <v>0</v>
      </c>
      <c r="AG937" s="312">
        <v>0</v>
      </c>
      <c r="AH937" s="312">
        <v>0</v>
      </c>
      <c r="AI937" s="312">
        <v>0.42809999999999998</v>
      </c>
      <c r="AJ937" s="312">
        <v>0</v>
      </c>
      <c r="AK937" s="312">
        <v>0</v>
      </c>
      <c r="AL937" s="312">
        <v>0.2462</v>
      </c>
      <c r="AM937" s="312">
        <v>0.44219999999999998</v>
      </c>
      <c r="AN937" s="312">
        <v>0</v>
      </c>
      <c r="AO937" s="312">
        <v>0</v>
      </c>
      <c r="AP937" s="312">
        <v>0.41010000000000002</v>
      </c>
      <c r="AQ937" s="312">
        <v>0</v>
      </c>
      <c r="AR937" s="312">
        <v>0.3659</v>
      </c>
      <c r="AS937" s="312">
        <v>0</v>
      </c>
      <c r="AT937" s="312">
        <v>0.32650000000000001</v>
      </c>
      <c r="AU937" s="312">
        <v>0.54200000000000004</v>
      </c>
      <c r="AV937" s="312">
        <v>0</v>
      </c>
      <c r="AW937" s="312">
        <v>0</v>
      </c>
      <c r="AX937" s="312">
        <v>0</v>
      </c>
      <c r="AY937" s="312">
        <v>0.3372</v>
      </c>
      <c r="AZ937" s="312">
        <v>0</v>
      </c>
      <c r="BA937" s="312">
        <v>0.34289999999999998</v>
      </c>
      <c r="BB937" s="312">
        <v>0</v>
      </c>
      <c r="BC937" s="312">
        <v>0.35749999999999998</v>
      </c>
      <c r="BD937" s="312">
        <v>0.42</v>
      </c>
      <c r="BE937" s="312">
        <v>0.46889999999999998</v>
      </c>
      <c r="BF937" s="312">
        <v>0.3846</v>
      </c>
      <c r="BG937" s="312">
        <v>0.39910000000000001</v>
      </c>
      <c r="BH937" s="312">
        <v>0.42749999999999999</v>
      </c>
      <c r="BI937" s="312">
        <v>0.54320000000000002</v>
      </c>
      <c r="BJ937" s="312">
        <v>0</v>
      </c>
      <c r="BK937" s="312">
        <v>0.4042</v>
      </c>
      <c r="BM937">
        <f>(C937-C526)*1000000/(RIMS_emp!C937-RIMS_emp!C526)</f>
        <v>37537.334714154924</v>
      </c>
    </row>
    <row r="938" spans="1:65" x14ac:dyDescent="0.25">
      <c r="A938" s="306">
        <v>325120</v>
      </c>
      <c r="B938" s="312" t="s">
        <v>103</v>
      </c>
      <c r="C938" s="312">
        <v>0.62180000000000002</v>
      </c>
      <c r="D938" s="312">
        <v>0</v>
      </c>
      <c r="E938" s="312">
        <v>0.37969999999999998</v>
      </c>
      <c r="F938" s="312">
        <v>0.35699999999999998</v>
      </c>
      <c r="G938" s="312">
        <v>0.36549999999999999</v>
      </c>
      <c r="H938" s="312">
        <v>0.42820000000000003</v>
      </c>
      <c r="I938" s="312">
        <v>0.45860000000000001</v>
      </c>
      <c r="J938" s="312">
        <v>0.36649999999999999</v>
      </c>
      <c r="K938" s="312">
        <v>0</v>
      </c>
      <c r="L938" s="312">
        <v>0.28170000000000001</v>
      </c>
      <c r="M938" s="312">
        <v>0.3579</v>
      </c>
      <c r="N938" s="312">
        <v>0.40960000000000002</v>
      </c>
      <c r="O938" s="312">
        <v>0.35580000000000001</v>
      </c>
      <c r="P938" s="312">
        <v>0.28289999999999998</v>
      </c>
      <c r="Q938" s="312">
        <v>0.30919999999999997</v>
      </c>
      <c r="R938" s="312">
        <v>0.45979999999999999</v>
      </c>
      <c r="S938" s="312">
        <v>0.37790000000000001</v>
      </c>
      <c r="T938" s="312">
        <v>0.31640000000000001</v>
      </c>
      <c r="U938" s="312">
        <v>0.35189999999999999</v>
      </c>
      <c r="V938" s="312">
        <v>0.3962</v>
      </c>
      <c r="W938" s="312">
        <v>0.37240000000000001</v>
      </c>
      <c r="X938" s="312">
        <v>0.3372</v>
      </c>
      <c r="Y938" s="312">
        <v>0.34179999999999999</v>
      </c>
      <c r="Z938" s="312">
        <v>0.42859999999999998</v>
      </c>
      <c r="AA938" s="312">
        <v>0.39860000000000001</v>
      </c>
      <c r="AB938" s="312">
        <v>0.3846</v>
      </c>
      <c r="AC938" s="312">
        <v>0.32019999999999998</v>
      </c>
      <c r="AD938" s="312">
        <v>0.31990000000000002</v>
      </c>
      <c r="AE938" s="312">
        <v>0.38519999999999999</v>
      </c>
      <c r="AF938" s="312">
        <v>0</v>
      </c>
      <c r="AG938" s="312">
        <v>0.309</v>
      </c>
      <c r="AH938" s="312">
        <v>0</v>
      </c>
      <c r="AI938" s="312">
        <v>0.37990000000000002</v>
      </c>
      <c r="AJ938" s="312">
        <v>0.34589999999999999</v>
      </c>
      <c r="AK938" s="312">
        <v>0.34710000000000002</v>
      </c>
      <c r="AL938" s="312">
        <v>0.32179999999999997</v>
      </c>
      <c r="AM938" s="312">
        <v>0.44169999999999998</v>
      </c>
      <c r="AN938" s="312">
        <v>0.36599999999999999</v>
      </c>
      <c r="AO938" s="312">
        <v>0.373</v>
      </c>
      <c r="AP938" s="312">
        <v>0.44929999999999998</v>
      </c>
      <c r="AQ938" s="312">
        <v>0.28310000000000002</v>
      </c>
      <c r="AR938" s="312">
        <v>0.35389999999999999</v>
      </c>
      <c r="AS938" s="312">
        <v>0</v>
      </c>
      <c r="AT938" s="312">
        <v>0.38579999999999998</v>
      </c>
      <c r="AU938" s="312">
        <v>0.46100000000000002</v>
      </c>
      <c r="AV938" s="312">
        <v>0.44819999999999999</v>
      </c>
      <c r="AW938" s="312">
        <v>0.37719999999999998</v>
      </c>
      <c r="AX938" s="312">
        <v>0</v>
      </c>
      <c r="AY938" s="312">
        <v>0.39429999999999998</v>
      </c>
      <c r="AZ938" s="312">
        <v>0.38790000000000002</v>
      </c>
      <c r="BA938" s="312">
        <v>0.31340000000000001</v>
      </c>
      <c r="BB938" s="312">
        <v>0.28939999999999999</v>
      </c>
      <c r="BC938" s="312">
        <v>0.42170000000000002</v>
      </c>
      <c r="BD938" s="312">
        <v>0.4511</v>
      </c>
      <c r="BE938" s="312">
        <v>0.47920000000000001</v>
      </c>
      <c r="BF938" s="312">
        <v>0.40460000000000002</v>
      </c>
      <c r="BG938" s="312">
        <v>0.45200000000000001</v>
      </c>
      <c r="BH938" s="312">
        <v>0.40799999999999997</v>
      </c>
      <c r="BI938" s="312">
        <v>0.46639999999999998</v>
      </c>
      <c r="BJ938" s="312">
        <v>0.45529999999999998</v>
      </c>
      <c r="BK938" s="312">
        <v>0.44159999999999999</v>
      </c>
      <c r="BM938">
        <f>(C938-C527)*1000000/(RIMS_emp!C938-RIMS_emp!C527)</f>
        <v>37537.588269081323</v>
      </c>
    </row>
    <row r="939" spans="1:65" x14ac:dyDescent="0.25">
      <c r="A939" s="306">
        <v>325130</v>
      </c>
      <c r="B939" s="312" t="s">
        <v>104</v>
      </c>
      <c r="C939" s="312">
        <v>0.76829999999999998</v>
      </c>
      <c r="D939" s="312">
        <v>0</v>
      </c>
      <c r="E939" s="312">
        <v>0.45269999999999999</v>
      </c>
      <c r="F939" s="312">
        <v>0.4254</v>
      </c>
      <c r="G939" s="312">
        <v>0.41760000000000003</v>
      </c>
      <c r="H939" s="312">
        <v>0.53120000000000001</v>
      </c>
      <c r="I939" s="312">
        <v>0.54249999999999998</v>
      </c>
      <c r="J939" s="312">
        <v>0.46089999999999998</v>
      </c>
      <c r="K939" s="312">
        <v>0</v>
      </c>
      <c r="L939" s="312">
        <v>0.33700000000000002</v>
      </c>
      <c r="M939" s="312">
        <v>0.42480000000000001</v>
      </c>
      <c r="N939" s="312">
        <v>0.50129999999999997</v>
      </c>
      <c r="O939" s="312">
        <v>0</v>
      </c>
      <c r="P939" s="312">
        <v>0.33510000000000001</v>
      </c>
      <c r="Q939" s="312">
        <v>0.3785</v>
      </c>
      <c r="R939" s="312">
        <v>0.57499999999999996</v>
      </c>
      <c r="S939" s="312">
        <v>0.46189999999999998</v>
      </c>
      <c r="T939" s="312">
        <v>0.36919999999999997</v>
      </c>
      <c r="U939" s="312">
        <v>0.42620000000000002</v>
      </c>
      <c r="V939" s="312">
        <v>0.4708</v>
      </c>
      <c r="W939" s="312">
        <v>0.47539999999999999</v>
      </c>
      <c r="X939" s="312">
        <v>0.40050000000000002</v>
      </c>
      <c r="Y939" s="312">
        <v>0</v>
      </c>
      <c r="Z939" s="312">
        <v>0.5252</v>
      </c>
      <c r="AA939" s="312">
        <v>0.48799999999999999</v>
      </c>
      <c r="AB939" s="312">
        <v>0.47360000000000002</v>
      </c>
      <c r="AC939" s="312">
        <v>0.37180000000000002</v>
      </c>
      <c r="AD939" s="312">
        <v>0</v>
      </c>
      <c r="AE939" s="312">
        <v>0.48909999999999998</v>
      </c>
      <c r="AF939" s="312">
        <v>0</v>
      </c>
      <c r="AG939" s="312">
        <v>0</v>
      </c>
      <c r="AH939" s="312">
        <v>0.38619999999999999</v>
      </c>
      <c r="AI939" s="312">
        <v>0.50180000000000002</v>
      </c>
      <c r="AJ939" s="312">
        <v>0</v>
      </c>
      <c r="AK939" s="312">
        <v>0</v>
      </c>
      <c r="AL939" s="312">
        <v>0.38179999999999997</v>
      </c>
      <c r="AM939" s="312">
        <v>0.55300000000000005</v>
      </c>
      <c r="AN939" s="312">
        <v>0.41739999999999999</v>
      </c>
      <c r="AO939" s="312">
        <v>0.45090000000000002</v>
      </c>
      <c r="AP939" s="312">
        <v>0.5524</v>
      </c>
      <c r="AQ939" s="312">
        <v>0.37340000000000001</v>
      </c>
      <c r="AR939" s="312">
        <v>0.44059999999999999</v>
      </c>
      <c r="AS939" s="312">
        <v>0</v>
      </c>
      <c r="AT939" s="312">
        <v>0.46729999999999999</v>
      </c>
      <c r="AU939" s="312">
        <v>0.56299999999999994</v>
      </c>
      <c r="AV939" s="312">
        <v>0</v>
      </c>
      <c r="AW939" s="312">
        <v>0.46660000000000001</v>
      </c>
      <c r="AX939" s="312">
        <v>0</v>
      </c>
      <c r="AY939" s="312">
        <v>0.46150000000000002</v>
      </c>
      <c r="AZ939" s="312">
        <v>0.4728</v>
      </c>
      <c r="BA939" s="312">
        <v>0.36330000000000001</v>
      </c>
      <c r="BB939" s="312">
        <v>0</v>
      </c>
      <c r="BC939" s="312">
        <v>0.53300000000000003</v>
      </c>
      <c r="BD939" s="312">
        <v>0.56640000000000001</v>
      </c>
      <c r="BE939" s="312">
        <v>0.5988</v>
      </c>
      <c r="BF939" s="312">
        <v>0.4889</v>
      </c>
      <c r="BG939" s="312">
        <v>0.54710000000000003</v>
      </c>
      <c r="BH939" s="312">
        <v>0.4955</v>
      </c>
      <c r="BI939" s="312">
        <v>0.56879999999999997</v>
      </c>
      <c r="BJ939" s="312">
        <v>0.5171</v>
      </c>
      <c r="BK939" s="312">
        <v>0.53890000000000005</v>
      </c>
      <c r="BM939">
        <f>(C939-C528)*1000000/(RIMS_emp!C939-RIMS_emp!C528)</f>
        <v>37545.46200333615</v>
      </c>
    </row>
    <row r="940" spans="1:65" x14ac:dyDescent="0.25">
      <c r="A940" s="306">
        <v>325181</v>
      </c>
      <c r="B940" s="312" t="s">
        <v>105</v>
      </c>
      <c r="C940" s="312">
        <v>0.81200000000000006</v>
      </c>
      <c r="D940" s="312">
        <v>0</v>
      </c>
      <c r="E940" s="312">
        <v>0.47449999999999998</v>
      </c>
      <c r="F940" s="312">
        <v>0</v>
      </c>
      <c r="G940" s="312">
        <v>0</v>
      </c>
      <c r="H940" s="312">
        <v>0.57079999999999997</v>
      </c>
      <c r="I940" s="312">
        <v>0.60680000000000001</v>
      </c>
      <c r="J940" s="312">
        <v>0</v>
      </c>
      <c r="K940" s="312">
        <v>0</v>
      </c>
      <c r="L940" s="312">
        <v>0.34810000000000002</v>
      </c>
      <c r="M940" s="312">
        <v>0.45590000000000003</v>
      </c>
      <c r="N940" s="312">
        <v>0.53100000000000003</v>
      </c>
      <c r="O940" s="312">
        <v>0</v>
      </c>
      <c r="P940" s="312">
        <v>0.36359999999999998</v>
      </c>
      <c r="Q940" s="312">
        <v>0</v>
      </c>
      <c r="R940" s="312">
        <v>0.60970000000000002</v>
      </c>
      <c r="S940" s="312">
        <v>0</v>
      </c>
      <c r="T940" s="312">
        <v>0.41210000000000002</v>
      </c>
      <c r="U940" s="312">
        <v>0</v>
      </c>
      <c r="V940" s="312">
        <v>0.50549999999999995</v>
      </c>
      <c r="W940" s="312">
        <v>0</v>
      </c>
      <c r="X940" s="312">
        <v>0.43020000000000003</v>
      </c>
      <c r="Y940" s="312">
        <v>0</v>
      </c>
      <c r="Z940" s="312">
        <v>0.57769999999999999</v>
      </c>
      <c r="AA940" s="312">
        <v>0</v>
      </c>
      <c r="AB940" s="312">
        <v>0</v>
      </c>
      <c r="AC940" s="312">
        <v>0.41959999999999997</v>
      </c>
      <c r="AD940" s="312">
        <v>0</v>
      </c>
      <c r="AE940" s="312">
        <v>0</v>
      </c>
      <c r="AF940" s="312">
        <v>0</v>
      </c>
      <c r="AG940" s="312">
        <v>0</v>
      </c>
      <c r="AH940" s="312">
        <v>0</v>
      </c>
      <c r="AI940" s="312">
        <v>0.50719999999999998</v>
      </c>
      <c r="AJ940" s="312">
        <v>0</v>
      </c>
      <c r="AK940" s="312">
        <v>0.43690000000000001</v>
      </c>
      <c r="AL940" s="312">
        <v>0.43009999999999998</v>
      </c>
      <c r="AM940" s="312">
        <v>0.58420000000000005</v>
      </c>
      <c r="AN940" s="312">
        <v>0.47649999999999998</v>
      </c>
      <c r="AO940" s="312">
        <v>0</v>
      </c>
      <c r="AP940" s="312">
        <v>0.60370000000000001</v>
      </c>
      <c r="AQ940" s="312">
        <v>0</v>
      </c>
      <c r="AR940" s="312">
        <v>0</v>
      </c>
      <c r="AS940" s="312">
        <v>0</v>
      </c>
      <c r="AT940" s="312">
        <v>0.50580000000000003</v>
      </c>
      <c r="AU940" s="312">
        <v>0.59930000000000005</v>
      </c>
      <c r="AV940" s="312">
        <v>0.57410000000000005</v>
      </c>
      <c r="AW940" s="312">
        <v>0.49930000000000002</v>
      </c>
      <c r="AX940" s="312">
        <v>0</v>
      </c>
      <c r="AY940" s="312">
        <v>0.504</v>
      </c>
      <c r="AZ940" s="312">
        <v>0.50529999999999997</v>
      </c>
      <c r="BA940" s="312">
        <v>0.39410000000000001</v>
      </c>
      <c r="BB940" s="312">
        <v>0.37040000000000001</v>
      </c>
      <c r="BC940" s="312">
        <v>0</v>
      </c>
      <c r="BD940" s="312">
        <v>0.59589999999999999</v>
      </c>
      <c r="BE940" s="312">
        <v>0.63</v>
      </c>
      <c r="BF940" s="312">
        <v>0.52939999999999998</v>
      </c>
      <c r="BG940" s="312">
        <v>0.58250000000000002</v>
      </c>
      <c r="BH940" s="312">
        <v>0.52449999999999997</v>
      </c>
      <c r="BI940" s="312">
        <v>0.60399999999999998</v>
      </c>
      <c r="BJ940" s="312">
        <v>0.58230000000000004</v>
      </c>
      <c r="BK940" s="312">
        <v>0.58499999999999996</v>
      </c>
      <c r="BM940">
        <f>(C940-C529)*1000000/(RIMS_emp!C940-RIMS_emp!C529)</f>
        <v>37542.529657563486</v>
      </c>
    </row>
    <row r="941" spans="1:65" x14ac:dyDescent="0.25">
      <c r="A941" s="306">
        <v>325182</v>
      </c>
      <c r="B941" s="312" t="s">
        <v>106</v>
      </c>
      <c r="C941" s="312">
        <v>0.60719999999999996</v>
      </c>
      <c r="D941" s="312">
        <v>0</v>
      </c>
      <c r="E941" s="312">
        <v>0.33160000000000001</v>
      </c>
      <c r="F941" s="312">
        <v>0</v>
      </c>
      <c r="G941" s="312">
        <v>0</v>
      </c>
      <c r="H941" s="312">
        <v>0</v>
      </c>
      <c r="I941" s="312">
        <v>0</v>
      </c>
      <c r="J941" s="312">
        <v>0</v>
      </c>
      <c r="K941" s="312">
        <v>0</v>
      </c>
      <c r="L941" s="312">
        <v>0</v>
      </c>
      <c r="M941" s="312">
        <v>0</v>
      </c>
      <c r="N941" s="312">
        <v>0.3508</v>
      </c>
      <c r="O941" s="312">
        <v>0</v>
      </c>
      <c r="P941" s="312">
        <v>0</v>
      </c>
      <c r="Q941" s="312">
        <v>0</v>
      </c>
      <c r="R941" s="312">
        <v>0</v>
      </c>
      <c r="S941" s="312">
        <v>0</v>
      </c>
      <c r="T941" s="312">
        <v>0.31669999999999998</v>
      </c>
      <c r="U941" s="312">
        <v>0.32019999999999998</v>
      </c>
      <c r="V941" s="312">
        <v>0.39460000000000001</v>
      </c>
      <c r="W941" s="312">
        <v>0</v>
      </c>
      <c r="X941" s="312">
        <v>0</v>
      </c>
      <c r="Y941" s="312">
        <v>0</v>
      </c>
      <c r="Z941" s="312">
        <v>0</v>
      </c>
      <c r="AA941" s="312">
        <v>0</v>
      </c>
      <c r="AB941" s="312">
        <v>0</v>
      </c>
      <c r="AC941" s="312">
        <v>0</v>
      </c>
      <c r="AD941" s="312">
        <v>0</v>
      </c>
      <c r="AE941" s="312">
        <v>0.33600000000000002</v>
      </c>
      <c r="AF941" s="312">
        <v>0</v>
      </c>
      <c r="AG941" s="312">
        <v>0</v>
      </c>
      <c r="AH941" s="312">
        <v>0</v>
      </c>
      <c r="AI941" s="312">
        <v>0</v>
      </c>
      <c r="AJ941" s="312">
        <v>0</v>
      </c>
      <c r="AK941" s="312">
        <v>0</v>
      </c>
      <c r="AL941" s="312">
        <v>0</v>
      </c>
      <c r="AM941" s="312">
        <v>0.39300000000000002</v>
      </c>
      <c r="AN941" s="312">
        <v>0.38969999999999999</v>
      </c>
      <c r="AO941" s="312">
        <v>0</v>
      </c>
      <c r="AP941" s="312">
        <v>0</v>
      </c>
      <c r="AQ941" s="312">
        <v>0</v>
      </c>
      <c r="AR941" s="312">
        <v>0</v>
      </c>
      <c r="AS941" s="312">
        <v>0</v>
      </c>
      <c r="AT941" s="312">
        <v>0</v>
      </c>
      <c r="AU941" s="312">
        <v>0.46729999999999999</v>
      </c>
      <c r="AV941" s="312">
        <v>0</v>
      </c>
      <c r="AW941" s="312">
        <v>0</v>
      </c>
      <c r="AX941" s="312">
        <v>0</v>
      </c>
      <c r="AY941" s="312">
        <v>0</v>
      </c>
      <c r="AZ941" s="312">
        <v>0</v>
      </c>
      <c r="BA941" s="312">
        <v>0.29060000000000002</v>
      </c>
      <c r="BB941" s="312">
        <v>0</v>
      </c>
      <c r="BC941" s="312">
        <v>0</v>
      </c>
      <c r="BD941" s="312">
        <v>0</v>
      </c>
      <c r="BE941" s="312">
        <v>0.42549999999999999</v>
      </c>
      <c r="BF941" s="312">
        <v>0.36459999999999998</v>
      </c>
      <c r="BG941" s="312">
        <v>0.38619999999999999</v>
      </c>
      <c r="BH941" s="312">
        <v>0.36809999999999998</v>
      </c>
      <c r="BI941" s="312">
        <v>0.46960000000000002</v>
      </c>
      <c r="BJ941" s="312">
        <v>0</v>
      </c>
      <c r="BK941" s="312">
        <v>0</v>
      </c>
      <c r="BM941">
        <f>(C941-C530)*1000000/(RIMS_emp!C941-RIMS_emp!C530)</f>
        <v>37545.850923939375</v>
      </c>
    </row>
    <row r="942" spans="1:65" x14ac:dyDescent="0.25">
      <c r="A942" s="306">
        <v>325188</v>
      </c>
      <c r="B942" s="312" t="s">
        <v>107</v>
      </c>
      <c r="C942" s="312">
        <v>0.86109999999999998</v>
      </c>
      <c r="D942" s="312">
        <v>0</v>
      </c>
      <c r="E942" s="312">
        <v>0.55649999999999999</v>
      </c>
      <c r="F942" s="312">
        <v>0.49959999999999999</v>
      </c>
      <c r="G942" s="312">
        <v>0.55900000000000005</v>
      </c>
      <c r="H942" s="312">
        <v>0.61729999999999996</v>
      </c>
      <c r="I942" s="312">
        <v>0.63280000000000003</v>
      </c>
      <c r="J942" s="312">
        <v>0.51949999999999996</v>
      </c>
      <c r="K942" s="312">
        <v>0</v>
      </c>
      <c r="L942" s="312">
        <v>0.36330000000000001</v>
      </c>
      <c r="M942" s="312">
        <v>0.54649999999999999</v>
      </c>
      <c r="N942" s="312">
        <v>0.59740000000000004</v>
      </c>
      <c r="O942" s="312">
        <v>0.48420000000000002</v>
      </c>
      <c r="P942" s="312">
        <v>0.44429999999999997</v>
      </c>
      <c r="Q942" s="312">
        <v>0.4677</v>
      </c>
      <c r="R942" s="312">
        <v>0.62909999999999999</v>
      </c>
      <c r="S942" s="312">
        <v>0.56720000000000004</v>
      </c>
      <c r="T942" s="312">
        <v>0.45379999999999998</v>
      </c>
      <c r="U942" s="312">
        <v>0.50949999999999995</v>
      </c>
      <c r="V942" s="312">
        <v>0.58560000000000001</v>
      </c>
      <c r="W942" s="312">
        <v>0.53369999999999995</v>
      </c>
      <c r="X942" s="312">
        <v>0.502</v>
      </c>
      <c r="Y942" s="312">
        <v>0.51019999999999999</v>
      </c>
      <c r="Z942" s="312">
        <v>0.61629999999999996</v>
      </c>
      <c r="AA942" s="312">
        <v>0</v>
      </c>
      <c r="AB942" s="312">
        <v>0.54090000000000005</v>
      </c>
      <c r="AC942" s="312">
        <v>0.47410000000000002</v>
      </c>
      <c r="AD942" s="312">
        <v>0.4869</v>
      </c>
      <c r="AE942" s="312">
        <v>0.56330000000000002</v>
      </c>
      <c r="AF942" s="312">
        <v>0</v>
      </c>
      <c r="AG942" s="312">
        <v>0.4446</v>
      </c>
      <c r="AH942" s="312">
        <v>0</v>
      </c>
      <c r="AI942" s="312">
        <v>0.54610000000000003</v>
      </c>
      <c r="AJ942" s="312">
        <v>0.51190000000000002</v>
      </c>
      <c r="AK942" s="312">
        <v>0.50190000000000001</v>
      </c>
      <c r="AL942" s="312">
        <v>0.4511</v>
      </c>
      <c r="AM942" s="312">
        <v>0.62849999999999995</v>
      </c>
      <c r="AN942" s="312">
        <v>0.56220000000000003</v>
      </c>
      <c r="AO942" s="312">
        <v>0.5353</v>
      </c>
      <c r="AP942" s="312">
        <v>0.62780000000000002</v>
      </c>
      <c r="AQ942" s="312">
        <v>0.4451</v>
      </c>
      <c r="AR942" s="312">
        <v>0.55410000000000004</v>
      </c>
      <c r="AS942" s="312">
        <v>0</v>
      </c>
      <c r="AT942" s="312">
        <v>0.58009999999999995</v>
      </c>
      <c r="AU942" s="312">
        <v>0.67210000000000003</v>
      </c>
      <c r="AV942" s="312">
        <v>0.63500000000000001</v>
      </c>
      <c r="AW942" s="312">
        <v>0.52629999999999999</v>
      </c>
      <c r="AX942" s="312">
        <v>0</v>
      </c>
      <c r="AY942" s="312">
        <v>0.56279999999999997</v>
      </c>
      <c r="AZ942" s="312">
        <v>0.56310000000000004</v>
      </c>
      <c r="BA942" s="312">
        <v>0.46279999999999999</v>
      </c>
      <c r="BB942" s="312">
        <v>0.44450000000000001</v>
      </c>
      <c r="BC942" s="312">
        <v>0.60009999999999997</v>
      </c>
      <c r="BD942" s="312">
        <v>0.63</v>
      </c>
      <c r="BE942" s="312">
        <v>0.67920000000000003</v>
      </c>
      <c r="BF942" s="312">
        <v>0.58240000000000003</v>
      </c>
      <c r="BG942" s="312">
        <v>0.63770000000000004</v>
      </c>
      <c r="BH942" s="312">
        <v>0.59830000000000005</v>
      </c>
      <c r="BI942" s="312">
        <v>0.67849999999999999</v>
      </c>
      <c r="BJ942" s="312">
        <v>0.63759999999999994</v>
      </c>
      <c r="BK942" s="312">
        <v>0.63380000000000003</v>
      </c>
      <c r="BM942">
        <f>(C942-C531)*1000000/(RIMS_emp!C942-RIMS_emp!C531)</f>
        <v>37538.581658919837</v>
      </c>
    </row>
    <row r="943" spans="1:65" x14ac:dyDescent="0.25">
      <c r="A943" s="306">
        <v>325190</v>
      </c>
      <c r="B943" s="312" t="s">
        <v>108</v>
      </c>
      <c r="C943" s="312">
        <v>0.75790000000000002</v>
      </c>
      <c r="D943" s="312">
        <v>0</v>
      </c>
      <c r="E943" s="312">
        <v>0.44379999999999997</v>
      </c>
      <c r="F943" s="312">
        <v>0.38650000000000001</v>
      </c>
      <c r="G943" s="312">
        <v>0.34310000000000002</v>
      </c>
      <c r="H943" s="312">
        <v>0.46</v>
      </c>
      <c r="I943" s="312">
        <v>0.4501</v>
      </c>
      <c r="J943" s="312">
        <v>0.38019999999999998</v>
      </c>
      <c r="K943" s="312">
        <v>0</v>
      </c>
      <c r="L943" s="312">
        <v>0.30599999999999999</v>
      </c>
      <c r="M943" s="312">
        <v>0.3518</v>
      </c>
      <c r="N943" s="312">
        <v>0.43090000000000001</v>
      </c>
      <c r="O943" s="312">
        <v>0</v>
      </c>
      <c r="P943" s="312">
        <v>0.29909999999999998</v>
      </c>
      <c r="Q943" s="312">
        <v>0.30330000000000001</v>
      </c>
      <c r="R943" s="312">
        <v>0.50770000000000004</v>
      </c>
      <c r="S943" s="312">
        <v>0.43149999999999999</v>
      </c>
      <c r="T943" s="312">
        <v>0.35320000000000001</v>
      </c>
      <c r="U943" s="312">
        <v>0.39710000000000001</v>
      </c>
      <c r="V943" s="312">
        <v>0.47899999999999998</v>
      </c>
      <c r="W943" s="312">
        <v>0.37769999999999998</v>
      </c>
      <c r="X943" s="312">
        <v>0.31390000000000001</v>
      </c>
      <c r="Y943" s="312">
        <v>0.32419999999999999</v>
      </c>
      <c r="Z943" s="312">
        <v>0.43</v>
      </c>
      <c r="AA943" s="312">
        <v>0.42309999999999998</v>
      </c>
      <c r="AB943" s="312">
        <v>0.43149999999999999</v>
      </c>
      <c r="AC943" s="312">
        <v>0.34470000000000001</v>
      </c>
      <c r="AD943" s="312">
        <v>0.34460000000000002</v>
      </c>
      <c r="AE943" s="312">
        <v>0.41370000000000001</v>
      </c>
      <c r="AF943" s="312">
        <v>0.27929999999999999</v>
      </c>
      <c r="AG943" s="312">
        <v>0.30909999999999999</v>
      </c>
      <c r="AH943" s="312">
        <v>0</v>
      </c>
      <c r="AI943" s="312">
        <v>0.45810000000000001</v>
      </c>
      <c r="AJ943" s="312">
        <v>0.33560000000000001</v>
      </c>
      <c r="AK943" s="312">
        <v>0.31580000000000003</v>
      </c>
      <c r="AL943" s="312">
        <v>0.29820000000000002</v>
      </c>
      <c r="AM943" s="312">
        <v>0.50209999999999999</v>
      </c>
      <c r="AN943" s="312">
        <v>0.38579999999999998</v>
      </c>
      <c r="AO943" s="312">
        <v>0.37290000000000001</v>
      </c>
      <c r="AP943" s="312">
        <v>0.47970000000000002</v>
      </c>
      <c r="AQ943" s="312">
        <v>0.2984</v>
      </c>
      <c r="AR943" s="312">
        <v>0.41599999999999998</v>
      </c>
      <c r="AS943" s="312">
        <v>0.26590000000000003</v>
      </c>
      <c r="AT943" s="312">
        <v>0.39929999999999999</v>
      </c>
      <c r="AU943" s="312">
        <v>0.57450000000000001</v>
      </c>
      <c r="AV943" s="312">
        <v>0</v>
      </c>
      <c r="AW943" s="312">
        <v>0.38850000000000001</v>
      </c>
      <c r="AX943" s="312">
        <v>0</v>
      </c>
      <c r="AY943" s="312">
        <v>0.39400000000000002</v>
      </c>
      <c r="AZ943" s="312">
        <v>0.40439999999999998</v>
      </c>
      <c r="BA943" s="312">
        <v>0.36430000000000001</v>
      </c>
      <c r="BB943" s="312">
        <v>0.307</v>
      </c>
      <c r="BC943" s="312">
        <v>0.4289</v>
      </c>
      <c r="BD943" s="312">
        <v>0.48039999999999999</v>
      </c>
      <c r="BE943" s="312">
        <v>0.53779999999999994</v>
      </c>
      <c r="BF943" s="312">
        <v>0.43809999999999999</v>
      </c>
      <c r="BG943" s="312">
        <v>0.46710000000000002</v>
      </c>
      <c r="BH943" s="312">
        <v>0.4798</v>
      </c>
      <c r="BI943" s="312">
        <v>0.58169999999999999</v>
      </c>
      <c r="BJ943" s="312">
        <v>0.44669999999999999</v>
      </c>
      <c r="BK943" s="312">
        <v>0.46779999999999999</v>
      </c>
      <c r="BM943">
        <f>(C943-C532)*1000000/(RIMS_emp!C943-RIMS_emp!C532)</f>
        <v>37550.420692236265</v>
      </c>
    </row>
    <row r="944" spans="1:65" x14ac:dyDescent="0.25">
      <c r="A944" s="306">
        <v>325211</v>
      </c>
      <c r="B944" s="312" t="s">
        <v>2</v>
      </c>
      <c r="C944" s="312">
        <v>0.73709999999999998</v>
      </c>
      <c r="D944" s="312">
        <v>0.2472</v>
      </c>
      <c r="E944" s="312">
        <v>0.4274</v>
      </c>
      <c r="F944" s="312">
        <v>0.37359999999999999</v>
      </c>
      <c r="G944" s="312">
        <v>0.30220000000000002</v>
      </c>
      <c r="H944" s="312">
        <v>0.41299999999999998</v>
      </c>
      <c r="I944" s="312">
        <v>0.40749999999999997</v>
      </c>
      <c r="J944" s="312">
        <v>0.38009999999999999</v>
      </c>
      <c r="K944" s="312">
        <v>0</v>
      </c>
      <c r="L944" s="312">
        <v>0.313</v>
      </c>
      <c r="M944" s="312">
        <v>0.32190000000000002</v>
      </c>
      <c r="N944" s="312">
        <v>0.41689999999999999</v>
      </c>
      <c r="O944" s="312">
        <v>0</v>
      </c>
      <c r="P944" s="312">
        <v>0.29060000000000002</v>
      </c>
      <c r="Q944" s="312">
        <v>0.27550000000000002</v>
      </c>
      <c r="R944" s="312">
        <v>0.50690000000000002</v>
      </c>
      <c r="S944" s="312">
        <v>0.41959999999999997</v>
      </c>
      <c r="T944" s="312">
        <v>0.32769999999999999</v>
      </c>
      <c r="U944" s="312">
        <v>0.38490000000000002</v>
      </c>
      <c r="V944" s="312">
        <v>0.4556</v>
      </c>
      <c r="W944" s="312">
        <v>0.3674</v>
      </c>
      <c r="X944" s="312">
        <v>0.28889999999999999</v>
      </c>
      <c r="Y944" s="312">
        <v>0.29499999999999998</v>
      </c>
      <c r="Z944" s="312">
        <v>0.40799999999999997</v>
      </c>
      <c r="AA944" s="312">
        <v>0.4078</v>
      </c>
      <c r="AB944" s="312">
        <v>0.42920000000000003</v>
      </c>
      <c r="AC944" s="312">
        <v>0.31859999999999999</v>
      </c>
      <c r="AD944" s="312">
        <v>0.31090000000000001</v>
      </c>
      <c r="AE944" s="312">
        <v>0.40720000000000001</v>
      </c>
      <c r="AF944" s="312">
        <v>0</v>
      </c>
      <c r="AG944" s="312">
        <v>0.30330000000000001</v>
      </c>
      <c r="AH944" s="312">
        <v>0.27939999999999998</v>
      </c>
      <c r="AI944" s="312">
        <v>0.4551</v>
      </c>
      <c r="AJ944" s="312">
        <v>0.2918</v>
      </c>
      <c r="AK944" s="312">
        <v>0.28899999999999998</v>
      </c>
      <c r="AL944" s="312">
        <v>0.28060000000000002</v>
      </c>
      <c r="AM944" s="312">
        <v>0.50060000000000004</v>
      </c>
      <c r="AN944" s="312">
        <v>0.32629999999999998</v>
      </c>
      <c r="AO944" s="312">
        <v>0.34760000000000002</v>
      </c>
      <c r="AP944" s="312">
        <v>0.45529999999999998</v>
      </c>
      <c r="AQ944" s="312">
        <v>0.28649999999999998</v>
      </c>
      <c r="AR944" s="312">
        <v>0.40600000000000003</v>
      </c>
      <c r="AS944" s="312">
        <v>0.25280000000000002</v>
      </c>
      <c r="AT944" s="312">
        <v>0.37359999999999999</v>
      </c>
      <c r="AU944" s="312">
        <v>0.54369999999999996</v>
      </c>
      <c r="AV944" s="312">
        <v>0.39290000000000003</v>
      </c>
      <c r="AW944" s="312">
        <v>0.38319999999999999</v>
      </c>
      <c r="AX944" s="312">
        <v>0.21990000000000001</v>
      </c>
      <c r="AY944" s="312">
        <v>0.35770000000000002</v>
      </c>
      <c r="AZ944" s="312">
        <v>0.39679999999999999</v>
      </c>
      <c r="BA944" s="312">
        <v>0.34849999999999998</v>
      </c>
      <c r="BB944" s="312">
        <v>0</v>
      </c>
      <c r="BC944" s="312">
        <v>0.41830000000000001</v>
      </c>
      <c r="BD944" s="312">
        <v>0.47239999999999999</v>
      </c>
      <c r="BE944" s="312">
        <v>0.53600000000000003</v>
      </c>
      <c r="BF944" s="312">
        <v>0.42599999999999999</v>
      </c>
      <c r="BG944" s="312">
        <v>0.45600000000000002</v>
      </c>
      <c r="BH944" s="312">
        <v>0.46439999999999998</v>
      </c>
      <c r="BI944" s="312">
        <v>0.54920000000000002</v>
      </c>
      <c r="BJ944" s="312">
        <v>0.3947</v>
      </c>
      <c r="BK944" s="312">
        <v>0.41909999999999997</v>
      </c>
      <c r="BM944">
        <f>(C944-C533)*1000000/(RIMS_emp!C944-RIMS_emp!C533)</f>
        <v>37539.549069349814</v>
      </c>
    </row>
    <row r="945" spans="1:65" x14ac:dyDescent="0.25">
      <c r="A945" s="306">
        <v>325212</v>
      </c>
      <c r="B945" s="312" t="s">
        <v>109</v>
      </c>
      <c r="C945" s="312">
        <v>0.72909999999999997</v>
      </c>
      <c r="D945" s="312">
        <v>0</v>
      </c>
      <c r="E945" s="312">
        <v>0.41810000000000003</v>
      </c>
      <c r="F945" s="312">
        <v>0</v>
      </c>
      <c r="G945" s="312">
        <v>0.33910000000000001</v>
      </c>
      <c r="H945" s="312">
        <v>0.45240000000000002</v>
      </c>
      <c r="I945" s="312">
        <v>0</v>
      </c>
      <c r="J945" s="312">
        <v>0.38750000000000001</v>
      </c>
      <c r="K945" s="312">
        <v>0</v>
      </c>
      <c r="L945" s="312">
        <v>0.31219999999999998</v>
      </c>
      <c r="M945" s="312">
        <v>0.35170000000000001</v>
      </c>
      <c r="N945" s="312">
        <v>0.42730000000000001</v>
      </c>
      <c r="O945" s="312">
        <v>0</v>
      </c>
      <c r="P945" s="312">
        <v>0</v>
      </c>
      <c r="Q945" s="312">
        <v>0</v>
      </c>
      <c r="R945" s="312">
        <v>0.49930000000000002</v>
      </c>
      <c r="S945" s="312">
        <v>0.40239999999999998</v>
      </c>
      <c r="T945" s="312">
        <v>0</v>
      </c>
      <c r="U945" s="312">
        <v>0.375</v>
      </c>
      <c r="V945" s="312">
        <v>0.46160000000000001</v>
      </c>
      <c r="W945" s="312">
        <v>0.39179999999999998</v>
      </c>
      <c r="X945" s="312">
        <v>0.3196</v>
      </c>
      <c r="Y945" s="312">
        <v>0.32400000000000001</v>
      </c>
      <c r="Z945" s="312">
        <v>0.43149999999999999</v>
      </c>
      <c r="AA945" s="312">
        <v>0.41739999999999999</v>
      </c>
      <c r="AB945" s="312">
        <v>0</v>
      </c>
      <c r="AC945" s="312">
        <v>0.33410000000000001</v>
      </c>
      <c r="AD945" s="312">
        <v>0</v>
      </c>
      <c r="AE945" s="312">
        <v>0.4178</v>
      </c>
      <c r="AF945" s="312">
        <v>0</v>
      </c>
      <c r="AG945" s="312">
        <v>0</v>
      </c>
      <c r="AH945" s="312">
        <v>0.30580000000000002</v>
      </c>
      <c r="AI945" s="312">
        <v>0.46410000000000001</v>
      </c>
      <c r="AJ945" s="312">
        <v>0.32219999999999999</v>
      </c>
      <c r="AK945" s="312">
        <v>0</v>
      </c>
      <c r="AL945" s="312">
        <v>0.3095</v>
      </c>
      <c r="AM945" s="312">
        <v>0.48699999999999999</v>
      </c>
      <c r="AN945" s="312">
        <v>0.35630000000000001</v>
      </c>
      <c r="AO945" s="312">
        <v>0.36509999999999998</v>
      </c>
      <c r="AP945" s="312">
        <v>0.47670000000000001</v>
      </c>
      <c r="AQ945" s="312">
        <v>0.30669999999999997</v>
      </c>
      <c r="AR945" s="312">
        <v>0.39650000000000002</v>
      </c>
      <c r="AS945" s="312">
        <v>0</v>
      </c>
      <c r="AT945" s="312">
        <v>0.39019999999999999</v>
      </c>
      <c r="AU945" s="312">
        <v>0.54479999999999995</v>
      </c>
      <c r="AV945" s="312">
        <v>0.43540000000000001</v>
      </c>
      <c r="AW945" s="312">
        <v>0.39700000000000002</v>
      </c>
      <c r="AX945" s="312">
        <v>0</v>
      </c>
      <c r="AY945" s="312">
        <v>0.38919999999999999</v>
      </c>
      <c r="AZ945" s="312">
        <v>0.39350000000000002</v>
      </c>
      <c r="BA945" s="312">
        <v>0</v>
      </c>
      <c r="BB945" s="312">
        <v>0</v>
      </c>
      <c r="BC945" s="312">
        <v>0.4395</v>
      </c>
      <c r="BD945" s="312">
        <v>0.48359999999999997</v>
      </c>
      <c r="BE945" s="312">
        <v>0.52</v>
      </c>
      <c r="BF945" s="312">
        <v>0.42280000000000001</v>
      </c>
      <c r="BG945" s="312">
        <v>0.47070000000000001</v>
      </c>
      <c r="BH945" s="312">
        <v>0.45169999999999999</v>
      </c>
      <c r="BI945" s="312">
        <v>0.54890000000000005</v>
      </c>
      <c r="BJ945" s="312">
        <v>0.43130000000000002</v>
      </c>
      <c r="BK945" s="312">
        <v>0.45789999999999997</v>
      </c>
      <c r="BM945">
        <f>(C945-C534)*1000000/(RIMS_emp!C945-RIMS_emp!C534)</f>
        <v>37532.778145981603</v>
      </c>
    </row>
    <row r="946" spans="1:65" x14ac:dyDescent="0.25">
      <c r="A946" s="306">
        <v>325220</v>
      </c>
      <c r="B946" s="312" t="s">
        <v>110</v>
      </c>
      <c r="C946" s="312">
        <v>0.81210000000000004</v>
      </c>
      <c r="D946" s="312">
        <v>0</v>
      </c>
      <c r="E946" s="312">
        <v>0.49480000000000002</v>
      </c>
      <c r="F946" s="312">
        <v>0.43190000000000001</v>
      </c>
      <c r="G946" s="312">
        <v>0.39290000000000003</v>
      </c>
      <c r="H946" s="312">
        <v>0.49690000000000001</v>
      </c>
      <c r="I946" s="312">
        <v>0.49609999999999999</v>
      </c>
      <c r="J946" s="312">
        <v>0.4723</v>
      </c>
      <c r="K946" s="312">
        <v>0</v>
      </c>
      <c r="L946" s="312">
        <v>0.36399999999999999</v>
      </c>
      <c r="M946" s="312">
        <v>0.40820000000000001</v>
      </c>
      <c r="N946" s="312">
        <v>0.50419999999999998</v>
      </c>
      <c r="O946" s="312">
        <v>0.37619999999999998</v>
      </c>
      <c r="P946" s="312">
        <v>0.35349999999999998</v>
      </c>
      <c r="Q946" s="312">
        <v>0</v>
      </c>
      <c r="R946" s="312">
        <v>0.58909999999999996</v>
      </c>
      <c r="S946" s="312">
        <v>0</v>
      </c>
      <c r="T946" s="312">
        <v>0.36259999999999998</v>
      </c>
      <c r="U946" s="312">
        <v>0</v>
      </c>
      <c r="V946" s="312">
        <v>0</v>
      </c>
      <c r="W946" s="312">
        <v>0.4849</v>
      </c>
      <c r="X946" s="312">
        <v>0.37069999999999997</v>
      </c>
      <c r="Y946" s="312">
        <v>0</v>
      </c>
      <c r="Z946" s="312">
        <v>0.52880000000000005</v>
      </c>
      <c r="AA946" s="312">
        <v>0</v>
      </c>
      <c r="AB946" s="312">
        <v>0</v>
      </c>
      <c r="AC946" s="312">
        <v>0.38800000000000001</v>
      </c>
      <c r="AD946" s="312">
        <v>0</v>
      </c>
      <c r="AE946" s="312">
        <v>0.49880000000000002</v>
      </c>
      <c r="AF946" s="312">
        <v>0</v>
      </c>
      <c r="AG946" s="312">
        <v>0</v>
      </c>
      <c r="AH946" s="312">
        <v>0.36259999999999998</v>
      </c>
      <c r="AI946" s="312">
        <v>0.51</v>
      </c>
      <c r="AJ946" s="312">
        <v>0.3483</v>
      </c>
      <c r="AK946" s="312">
        <v>0</v>
      </c>
      <c r="AL946" s="312">
        <v>0.36320000000000002</v>
      </c>
      <c r="AM946" s="312">
        <v>0.57930000000000004</v>
      </c>
      <c r="AN946" s="312">
        <v>0</v>
      </c>
      <c r="AO946" s="312">
        <v>0.43490000000000001</v>
      </c>
      <c r="AP946" s="312">
        <v>0.55400000000000005</v>
      </c>
      <c r="AQ946" s="312">
        <v>0</v>
      </c>
      <c r="AR946" s="312">
        <v>0.47710000000000002</v>
      </c>
      <c r="AS946" s="312">
        <v>0</v>
      </c>
      <c r="AT946" s="312">
        <v>0.47139999999999999</v>
      </c>
      <c r="AU946" s="312">
        <v>0.59509999999999996</v>
      </c>
      <c r="AV946" s="312">
        <v>0.47749999999999998</v>
      </c>
      <c r="AW946" s="312">
        <v>0.47010000000000002</v>
      </c>
      <c r="AX946" s="312">
        <v>0.28589999999999999</v>
      </c>
      <c r="AY946" s="312">
        <v>0</v>
      </c>
      <c r="AZ946" s="312">
        <v>0</v>
      </c>
      <c r="BA946" s="312">
        <v>0</v>
      </c>
      <c r="BB946" s="312">
        <v>0</v>
      </c>
      <c r="BC946" s="312">
        <v>0.5403</v>
      </c>
      <c r="BD946" s="312">
        <v>0.56079999999999997</v>
      </c>
      <c r="BE946" s="312">
        <v>0.62460000000000004</v>
      </c>
      <c r="BF946" s="312">
        <v>0.49359999999999998</v>
      </c>
      <c r="BG946" s="312">
        <v>0.55840000000000001</v>
      </c>
      <c r="BH946" s="312">
        <v>0.52700000000000002</v>
      </c>
      <c r="BI946" s="312">
        <v>0.60309999999999997</v>
      </c>
      <c r="BJ946" s="312">
        <v>0.4698</v>
      </c>
      <c r="BK946" s="312">
        <v>0.50339999999999996</v>
      </c>
      <c r="BM946">
        <f>(C946-C535)*1000000/(RIMS_emp!C946-RIMS_emp!C535)</f>
        <v>37539.130209815536</v>
      </c>
    </row>
    <row r="947" spans="1:65" x14ac:dyDescent="0.25">
      <c r="A947" s="306">
        <v>325310</v>
      </c>
      <c r="B947" s="312" t="s">
        <v>111</v>
      </c>
      <c r="C947" s="312">
        <v>0.76639999999999997</v>
      </c>
      <c r="D947" s="312">
        <v>0.40400000000000003</v>
      </c>
      <c r="E947" s="312">
        <v>0.46060000000000001</v>
      </c>
      <c r="F947" s="312">
        <v>0.43</v>
      </c>
      <c r="G947" s="312">
        <v>0.41920000000000002</v>
      </c>
      <c r="H947" s="312">
        <v>0.49780000000000002</v>
      </c>
      <c r="I947" s="312">
        <v>0.51629999999999998</v>
      </c>
      <c r="J947" s="312">
        <v>0.34989999999999999</v>
      </c>
      <c r="K947" s="312">
        <v>3.8399999999999997E-2</v>
      </c>
      <c r="L947" s="312">
        <v>0.26429999999999998</v>
      </c>
      <c r="M947" s="312">
        <v>0.42030000000000001</v>
      </c>
      <c r="N947" s="312">
        <v>0.47310000000000002</v>
      </c>
      <c r="O947" s="312">
        <v>0.36230000000000001</v>
      </c>
      <c r="P947" s="312">
        <v>0.32540000000000002</v>
      </c>
      <c r="Q947" s="312">
        <v>0.3967</v>
      </c>
      <c r="R947" s="312">
        <v>0.48409999999999997</v>
      </c>
      <c r="S947" s="312">
        <v>0.4219</v>
      </c>
      <c r="T947" s="312">
        <v>0.38540000000000002</v>
      </c>
      <c r="U947" s="312">
        <v>0.37619999999999998</v>
      </c>
      <c r="V947" s="312">
        <v>0.49709999999999999</v>
      </c>
      <c r="W947" s="312">
        <v>0.36840000000000001</v>
      </c>
      <c r="X947" s="312">
        <v>0.33829999999999999</v>
      </c>
      <c r="Y947" s="312">
        <v>0.38829999999999998</v>
      </c>
      <c r="Z947" s="312">
        <v>0.44719999999999999</v>
      </c>
      <c r="AA947" s="312">
        <v>0.39250000000000002</v>
      </c>
      <c r="AB947" s="312">
        <v>0.4461</v>
      </c>
      <c r="AC947" s="312">
        <v>0.37780000000000002</v>
      </c>
      <c r="AD947" s="312">
        <v>0.3992</v>
      </c>
      <c r="AE947" s="312">
        <v>0.4652</v>
      </c>
      <c r="AF947" s="312">
        <v>0</v>
      </c>
      <c r="AG947" s="312">
        <v>0.35220000000000001</v>
      </c>
      <c r="AH947" s="312">
        <v>0</v>
      </c>
      <c r="AI947" s="312">
        <v>0.44690000000000002</v>
      </c>
      <c r="AJ947" s="312">
        <v>0.40379999999999999</v>
      </c>
      <c r="AK947" s="312">
        <v>0.38129999999999997</v>
      </c>
      <c r="AL947" s="312">
        <v>0.31030000000000002</v>
      </c>
      <c r="AM947" s="312">
        <v>0.53369999999999995</v>
      </c>
      <c r="AN947" s="312">
        <v>0.49780000000000002</v>
      </c>
      <c r="AO947" s="312">
        <v>0.44579999999999997</v>
      </c>
      <c r="AP947" s="312">
        <v>0.4919</v>
      </c>
      <c r="AQ947" s="312">
        <v>0</v>
      </c>
      <c r="AR947" s="312">
        <v>0.4133</v>
      </c>
      <c r="AS947" s="312">
        <v>0.30590000000000001</v>
      </c>
      <c r="AT947" s="312">
        <v>0.40160000000000001</v>
      </c>
      <c r="AU947" s="312">
        <v>0.5655</v>
      </c>
      <c r="AV947" s="312">
        <v>0.52659999999999996</v>
      </c>
      <c r="AW947" s="312">
        <v>0.38679999999999998</v>
      </c>
      <c r="AX947" s="312">
        <v>0.31190000000000001</v>
      </c>
      <c r="AY947" s="312">
        <v>0.41560000000000002</v>
      </c>
      <c r="AZ947" s="312">
        <v>0.43840000000000001</v>
      </c>
      <c r="BA947" s="312">
        <v>0.36130000000000001</v>
      </c>
      <c r="BB947" s="312">
        <v>0.379</v>
      </c>
      <c r="BC947" s="312">
        <v>0.42030000000000001</v>
      </c>
      <c r="BD947" s="312">
        <v>0.4672</v>
      </c>
      <c r="BE947" s="312">
        <v>0.55889999999999995</v>
      </c>
      <c r="BF947" s="312">
        <v>0.46660000000000001</v>
      </c>
      <c r="BG947" s="312">
        <v>0.52490000000000003</v>
      </c>
      <c r="BH947" s="312">
        <v>0.4703</v>
      </c>
      <c r="BI947" s="312">
        <v>0.60529999999999995</v>
      </c>
      <c r="BJ947" s="312">
        <v>0.56979999999999997</v>
      </c>
      <c r="BK947" s="312">
        <v>0.51449999999999996</v>
      </c>
      <c r="BM947">
        <f>(C947-C536)*1000000/(RIMS_emp!C947-RIMS_emp!C536)</f>
        <v>37541.632971943145</v>
      </c>
    </row>
    <row r="948" spans="1:65" x14ac:dyDescent="0.25">
      <c r="A948" s="306">
        <v>325320</v>
      </c>
      <c r="B948" s="312" t="s">
        <v>112</v>
      </c>
      <c r="C948" s="312">
        <v>0.59489999999999998</v>
      </c>
      <c r="D948" s="312">
        <v>0</v>
      </c>
      <c r="E948" s="312">
        <v>0.3483</v>
      </c>
      <c r="F948" s="312">
        <v>0.33090000000000003</v>
      </c>
      <c r="G948" s="312">
        <v>0.2928</v>
      </c>
      <c r="H948" s="312">
        <v>0.37959999999999999</v>
      </c>
      <c r="I948" s="312">
        <v>0.3866</v>
      </c>
      <c r="J948" s="312">
        <v>0.35460000000000003</v>
      </c>
      <c r="K948" s="312">
        <v>0</v>
      </c>
      <c r="L948" s="312">
        <v>0</v>
      </c>
      <c r="M948" s="312">
        <v>0.307</v>
      </c>
      <c r="N948" s="312">
        <v>0.38419999999999999</v>
      </c>
      <c r="O948" s="312">
        <v>0</v>
      </c>
      <c r="P948" s="312">
        <v>0.25919999999999999</v>
      </c>
      <c r="Q948" s="312">
        <v>0.2712</v>
      </c>
      <c r="R948" s="312">
        <v>0.44869999999999999</v>
      </c>
      <c r="S948" s="312">
        <v>0.3553</v>
      </c>
      <c r="T948" s="312">
        <v>0.28070000000000001</v>
      </c>
      <c r="U948" s="312">
        <v>0.32750000000000001</v>
      </c>
      <c r="V948" s="312">
        <v>0.35920000000000002</v>
      </c>
      <c r="W948" s="312">
        <v>0.35270000000000001</v>
      </c>
      <c r="X948" s="312">
        <v>0.2838</v>
      </c>
      <c r="Y948" s="312">
        <v>0.29349999999999998</v>
      </c>
      <c r="Z948" s="312">
        <v>0.3841</v>
      </c>
      <c r="AA948" s="312">
        <v>0.37230000000000002</v>
      </c>
      <c r="AB948" s="312">
        <v>0.38119999999999998</v>
      </c>
      <c r="AC948" s="312">
        <v>0.26440000000000002</v>
      </c>
      <c r="AD948" s="312">
        <v>0.25729999999999997</v>
      </c>
      <c r="AE948" s="312">
        <v>0.38040000000000002</v>
      </c>
      <c r="AF948" s="312">
        <v>0.2203</v>
      </c>
      <c r="AG948" s="312">
        <v>0.28389999999999999</v>
      </c>
      <c r="AH948" s="312">
        <v>0</v>
      </c>
      <c r="AI948" s="312">
        <v>0.39510000000000001</v>
      </c>
      <c r="AJ948" s="312">
        <v>0.2535</v>
      </c>
      <c r="AK948" s="312">
        <v>0</v>
      </c>
      <c r="AL948" s="312">
        <v>0.27439999999999998</v>
      </c>
      <c r="AM948" s="312">
        <v>0.43030000000000002</v>
      </c>
      <c r="AN948" s="312">
        <v>0.27779999999999999</v>
      </c>
      <c r="AO948" s="312">
        <v>0.33279999999999998</v>
      </c>
      <c r="AP948" s="312">
        <v>0.39889999999999998</v>
      </c>
      <c r="AQ948" s="312">
        <v>0</v>
      </c>
      <c r="AR948" s="312">
        <v>0.33710000000000001</v>
      </c>
      <c r="AS948" s="312">
        <v>0</v>
      </c>
      <c r="AT948" s="312">
        <v>0.33610000000000001</v>
      </c>
      <c r="AU948" s="312">
        <v>0.42259999999999998</v>
      </c>
      <c r="AV948" s="312">
        <v>0.36809999999999998</v>
      </c>
      <c r="AW948" s="312">
        <v>0.36130000000000001</v>
      </c>
      <c r="AX948" s="312">
        <v>0</v>
      </c>
      <c r="AY948" s="312">
        <v>0.32700000000000001</v>
      </c>
      <c r="AZ948" s="312">
        <v>0.37109999999999999</v>
      </c>
      <c r="BA948" s="312">
        <v>0.27829999999999999</v>
      </c>
      <c r="BB948" s="312">
        <v>0</v>
      </c>
      <c r="BC948" s="312">
        <v>0.39660000000000001</v>
      </c>
      <c r="BD948" s="312">
        <v>0.43009999999999998</v>
      </c>
      <c r="BE948" s="312">
        <v>0.47149999999999997</v>
      </c>
      <c r="BF948" s="312">
        <v>0.38590000000000002</v>
      </c>
      <c r="BG948" s="312">
        <v>0.41849999999999998</v>
      </c>
      <c r="BH948" s="312">
        <v>0.38200000000000001</v>
      </c>
      <c r="BI948" s="312">
        <v>0.4279</v>
      </c>
      <c r="BJ948" s="312">
        <v>0.3634</v>
      </c>
      <c r="BK948" s="312">
        <v>0.3826</v>
      </c>
      <c r="BM948">
        <f>(C948-C537)*1000000/(RIMS_emp!C948-RIMS_emp!C537)</f>
        <v>37541.275979587161</v>
      </c>
    </row>
    <row r="949" spans="1:65" x14ac:dyDescent="0.25">
      <c r="A949" s="306">
        <v>325411</v>
      </c>
      <c r="B949" s="312" t="s">
        <v>113</v>
      </c>
      <c r="C949" s="312">
        <v>0.54820000000000002</v>
      </c>
      <c r="D949" s="312">
        <v>0</v>
      </c>
      <c r="E949" s="312">
        <v>0.28549999999999998</v>
      </c>
      <c r="F949" s="312">
        <v>0.26340000000000002</v>
      </c>
      <c r="G949" s="312">
        <v>0.28270000000000001</v>
      </c>
      <c r="H949" s="312">
        <v>0.39169999999999999</v>
      </c>
      <c r="I949" s="312">
        <v>0.40820000000000001</v>
      </c>
      <c r="J949" s="312">
        <v>0.33960000000000001</v>
      </c>
      <c r="K949" s="312">
        <v>0</v>
      </c>
      <c r="L949" s="312">
        <v>0</v>
      </c>
      <c r="M949" s="312">
        <v>0.28739999999999999</v>
      </c>
      <c r="N949" s="312">
        <v>0.33329999999999999</v>
      </c>
      <c r="O949" s="312">
        <v>0</v>
      </c>
      <c r="P949" s="312">
        <v>0.2681</v>
      </c>
      <c r="Q949" s="312">
        <v>0.2707</v>
      </c>
      <c r="R949" s="312">
        <v>0.38159999999999999</v>
      </c>
      <c r="S949" s="312">
        <v>0.28129999999999999</v>
      </c>
      <c r="T949" s="312">
        <v>0.23319999999999999</v>
      </c>
      <c r="U949" s="312">
        <v>0.2883</v>
      </c>
      <c r="V949" s="312">
        <v>0.26919999999999999</v>
      </c>
      <c r="W949" s="312">
        <v>0.38550000000000001</v>
      </c>
      <c r="X949" s="312">
        <v>0.30230000000000001</v>
      </c>
      <c r="Y949" s="312">
        <v>0.35049999999999998</v>
      </c>
      <c r="Z949" s="312">
        <v>0.36809999999999998</v>
      </c>
      <c r="AA949" s="312">
        <v>0.31469999999999998</v>
      </c>
      <c r="AB949" s="312">
        <v>0.37519999999999998</v>
      </c>
      <c r="AC949" s="312">
        <v>0.2268</v>
      </c>
      <c r="AD949" s="312">
        <v>0.24759999999999999</v>
      </c>
      <c r="AE949" s="312">
        <v>0.36680000000000001</v>
      </c>
      <c r="AF949" s="312">
        <v>0</v>
      </c>
      <c r="AG949" s="312">
        <v>0.26240000000000002</v>
      </c>
      <c r="AH949" s="312">
        <v>0.28470000000000001</v>
      </c>
      <c r="AI949" s="312">
        <v>0.39700000000000002</v>
      </c>
      <c r="AJ949" s="312">
        <v>0.2427</v>
      </c>
      <c r="AK949" s="312">
        <v>0.27129999999999999</v>
      </c>
      <c r="AL949" s="312">
        <v>0.26</v>
      </c>
      <c r="AM949" s="312">
        <v>0.32950000000000002</v>
      </c>
      <c r="AN949" s="312">
        <v>0</v>
      </c>
      <c r="AO949" s="312">
        <v>0.2969</v>
      </c>
      <c r="AP949" s="312">
        <v>0.37690000000000001</v>
      </c>
      <c r="AQ949" s="312">
        <v>0</v>
      </c>
      <c r="AR949" s="312">
        <v>0.27360000000000001</v>
      </c>
      <c r="AS949" s="312">
        <v>0</v>
      </c>
      <c r="AT949" s="312">
        <v>0.28849999999999998</v>
      </c>
      <c r="AU949" s="312">
        <v>0.33389999999999997</v>
      </c>
      <c r="AV949" s="312">
        <v>0.38300000000000001</v>
      </c>
      <c r="AW949" s="312">
        <v>0.34789999999999999</v>
      </c>
      <c r="AX949" s="312">
        <v>0</v>
      </c>
      <c r="AY949" s="312">
        <v>0.32779999999999998</v>
      </c>
      <c r="AZ949" s="312">
        <v>0.3463</v>
      </c>
      <c r="BA949" s="312">
        <v>0.24879999999999999</v>
      </c>
      <c r="BB949" s="312">
        <v>0.20530000000000001</v>
      </c>
      <c r="BC949" s="312">
        <v>0.4335</v>
      </c>
      <c r="BD949" s="312">
        <v>0.4446</v>
      </c>
      <c r="BE949" s="312">
        <v>0.39340000000000003</v>
      </c>
      <c r="BF949" s="312">
        <v>0.36919999999999997</v>
      </c>
      <c r="BG949" s="312">
        <v>0.40210000000000001</v>
      </c>
      <c r="BH949" s="312">
        <v>0.3135</v>
      </c>
      <c r="BI949" s="312">
        <v>0.33090000000000003</v>
      </c>
      <c r="BJ949" s="312">
        <v>0.36099999999999999</v>
      </c>
      <c r="BK949" s="312">
        <v>0.38800000000000001</v>
      </c>
      <c r="BM949">
        <f>(C949-C538)*1000000/(RIMS_emp!C949-RIMS_emp!C538)</f>
        <v>37538.803510520069</v>
      </c>
    </row>
    <row r="950" spans="1:65" x14ac:dyDescent="0.25">
      <c r="A950" s="306">
        <v>325412</v>
      </c>
      <c r="B950" s="312" t="s">
        <v>114</v>
      </c>
      <c r="C950" s="312">
        <v>0.53400000000000003</v>
      </c>
      <c r="D950" s="312">
        <v>0</v>
      </c>
      <c r="E950" s="312">
        <v>0.28299999999999997</v>
      </c>
      <c r="F950" s="312">
        <v>0.27700000000000002</v>
      </c>
      <c r="G950" s="312">
        <v>0.28789999999999999</v>
      </c>
      <c r="H950" s="312">
        <v>0.3886</v>
      </c>
      <c r="I950" s="312">
        <v>0.40789999999999998</v>
      </c>
      <c r="J950" s="312">
        <v>0.34960000000000002</v>
      </c>
      <c r="K950" s="312">
        <v>3.8600000000000002E-2</v>
      </c>
      <c r="L950" s="312">
        <v>0.23380000000000001</v>
      </c>
      <c r="M950" s="312">
        <v>0.30159999999999998</v>
      </c>
      <c r="N950" s="312">
        <v>0.35089999999999999</v>
      </c>
      <c r="O950" s="312">
        <v>0.28520000000000001</v>
      </c>
      <c r="P950" s="312">
        <v>0.24640000000000001</v>
      </c>
      <c r="Q950" s="312">
        <v>0.27279999999999999</v>
      </c>
      <c r="R950" s="312">
        <v>0.39900000000000002</v>
      </c>
      <c r="S950" s="312">
        <v>0.2918</v>
      </c>
      <c r="T950" s="312">
        <v>0.23780000000000001</v>
      </c>
      <c r="U950" s="312">
        <v>0.2868</v>
      </c>
      <c r="V950" s="312">
        <v>0.27950000000000003</v>
      </c>
      <c r="W950" s="312">
        <v>0.37690000000000001</v>
      </c>
      <c r="X950" s="312">
        <v>0.2923</v>
      </c>
      <c r="Y950" s="312">
        <v>0.33119999999999999</v>
      </c>
      <c r="Z950" s="312">
        <v>0.37590000000000001</v>
      </c>
      <c r="AA950" s="312">
        <v>0.33339999999999997</v>
      </c>
      <c r="AB950" s="312">
        <v>0.3589</v>
      </c>
      <c r="AC950" s="312">
        <v>0.23089999999999999</v>
      </c>
      <c r="AD950" s="312">
        <v>0.23069999999999999</v>
      </c>
      <c r="AE950" s="312">
        <v>0.36270000000000002</v>
      </c>
      <c r="AF950" s="312">
        <v>0</v>
      </c>
      <c r="AG950" s="312">
        <v>0.26219999999999999</v>
      </c>
      <c r="AH950" s="312">
        <v>0.27839999999999998</v>
      </c>
      <c r="AI950" s="312">
        <v>0.38419999999999999</v>
      </c>
      <c r="AJ950" s="312">
        <v>0.24379999999999999</v>
      </c>
      <c r="AK950" s="312">
        <v>0.2893</v>
      </c>
      <c r="AL950" s="312">
        <v>0.27729999999999999</v>
      </c>
      <c r="AM950" s="312">
        <v>0.3513</v>
      </c>
      <c r="AN950" s="312">
        <v>0.25790000000000002</v>
      </c>
      <c r="AO950" s="312">
        <v>0.30640000000000001</v>
      </c>
      <c r="AP950" s="312">
        <v>0.37830000000000003</v>
      </c>
      <c r="AQ950" s="312">
        <v>0.26690000000000003</v>
      </c>
      <c r="AR950" s="312">
        <v>0.28160000000000002</v>
      </c>
      <c r="AS950" s="312">
        <v>0.1996</v>
      </c>
      <c r="AT950" s="312">
        <v>0.3034</v>
      </c>
      <c r="AU950" s="312">
        <v>0.34239999999999998</v>
      </c>
      <c r="AV950" s="312">
        <v>0.38869999999999999</v>
      </c>
      <c r="AW950" s="312">
        <v>0.35460000000000003</v>
      </c>
      <c r="AX950" s="312">
        <v>0.19980000000000001</v>
      </c>
      <c r="AY950" s="312">
        <v>0.32150000000000001</v>
      </c>
      <c r="AZ950" s="312">
        <v>0.33660000000000001</v>
      </c>
      <c r="BA950" s="312">
        <v>0.24579999999999999</v>
      </c>
      <c r="BB950" s="312">
        <v>0.1988</v>
      </c>
      <c r="BC950" s="312">
        <v>0.4194</v>
      </c>
      <c r="BD950" s="312">
        <v>0.43149999999999999</v>
      </c>
      <c r="BE950" s="312">
        <v>0.40799999999999997</v>
      </c>
      <c r="BF950" s="312">
        <v>0.35610000000000003</v>
      </c>
      <c r="BG950" s="312">
        <v>0.39829999999999999</v>
      </c>
      <c r="BH950" s="312">
        <v>0.31469999999999998</v>
      </c>
      <c r="BI950" s="312">
        <v>0.34129999999999999</v>
      </c>
      <c r="BJ950" s="312">
        <v>0.36180000000000001</v>
      </c>
      <c r="BK950" s="312">
        <v>0.38769999999999999</v>
      </c>
      <c r="BM950">
        <f>(C950-C539)*1000000/(RIMS_emp!C950-RIMS_emp!C539)</f>
        <v>37533.195632930074</v>
      </c>
    </row>
    <row r="951" spans="1:65" x14ac:dyDescent="0.25">
      <c r="A951" s="306">
        <v>325413</v>
      </c>
      <c r="B951" s="312" t="s">
        <v>115</v>
      </c>
      <c r="C951" s="312">
        <v>0.91779999999999995</v>
      </c>
      <c r="D951" s="312">
        <v>0</v>
      </c>
      <c r="E951" s="312">
        <v>0</v>
      </c>
      <c r="F951" s="312">
        <v>0.51170000000000004</v>
      </c>
      <c r="G951" s="312">
        <v>0</v>
      </c>
      <c r="H951" s="312">
        <v>0.72470000000000001</v>
      </c>
      <c r="I951" s="312">
        <v>0.72799999999999998</v>
      </c>
      <c r="J951" s="312">
        <v>0.6099</v>
      </c>
      <c r="K951" s="312">
        <v>0</v>
      </c>
      <c r="L951" s="312">
        <v>0</v>
      </c>
      <c r="M951" s="312">
        <v>0.57909999999999995</v>
      </c>
      <c r="N951" s="312">
        <v>0.63719999999999999</v>
      </c>
      <c r="O951" s="312">
        <v>0</v>
      </c>
      <c r="P951" s="312">
        <v>0.44140000000000001</v>
      </c>
      <c r="Q951" s="312">
        <v>0</v>
      </c>
      <c r="R951" s="312">
        <v>0.7167</v>
      </c>
      <c r="S951" s="312">
        <v>0.53939999999999999</v>
      </c>
      <c r="T951" s="312">
        <v>0.45050000000000001</v>
      </c>
      <c r="U951" s="312">
        <v>0.49909999999999999</v>
      </c>
      <c r="V951" s="312">
        <v>0.52900000000000003</v>
      </c>
      <c r="W951" s="312">
        <v>0.68300000000000005</v>
      </c>
      <c r="X951" s="312">
        <v>0.56940000000000002</v>
      </c>
      <c r="Y951" s="312">
        <v>0.60299999999999998</v>
      </c>
      <c r="Z951" s="312">
        <v>0.69179999999999997</v>
      </c>
      <c r="AA951" s="312">
        <v>0.62880000000000003</v>
      </c>
      <c r="AB951" s="312">
        <v>0.62450000000000006</v>
      </c>
      <c r="AC951" s="312">
        <v>0</v>
      </c>
      <c r="AD951" s="312">
        <v>0</v>
      </c>
      <c r="AE951" s="312">
        <v>0.66400000000000003</v>
      </c>
      <c r="AF951" s="312">
        <v>0</v>
      </c>
      <c r="AG951" s="312">
        <v>0.51329999999999998</v>
      </c>
      <c r="AH951" s="312">
        <v>0</v>
      </c>
      <c r="AI951" s="312">
        <v>0.67510000000000003</v>
      </c>
      <c r="AJ951" s="312">
        <v>0.48520000000000002</v>
      </c>
      <c r="AK951" s="312">
        <v>0</v>
      </c>
      <c r="AL951" s="312">
        <v>0.53169999999999995</v>
      </c>
      <c r="AM951" s="312">
        <v>0.63870000000000005</v>
      </c>
      <c r="AN951" s="312">
        <v>0.51180000000000003</v>
      </c>
      <c r="AO951" s="312">
        <v>0.58140000000000003</v>
      </c>
      <c r="AP951" s="312">
        <v>0.71379999999999999</v>
      </c>
      <c r="AQ951" s="312">
        <v>0.50949999999999995</v>
      </c>
      <c r="AR951" s="312">
        <v>0.51429999999999998</v>
      </c>
      <c r="AS951" s="312">
        <v>0</v>
      </c>
      <c r="AT951" s="312">
        <v>0.57340000000000002</v>
      </c>
      <c r="AU951" s="312">
        <v>0.63519999999999999</v>
      </c>
      <c r="AV951" s="312">
        <v>0.68689999999999996</v>
      </c>
      <c r="AW951" s="312">
        <v>0.62680000000000002</v>
      </c>
      <c r="AX951" s="312">
        <v>0.40789999999999998</v>
      </c>
      <c r="AY951" s="312">
        <v>0.61739999999999995</v>
      </c>
      <c r="AZ951" s="312">
        <v>0.62270000000000003</v>
      </c>
      <c r="BA951" s="312">
        <v>0</v>
      </c>
      <c r="BB951" s="312">
        <v>0</v>
      </c>
      <c r="BC951" s="312">
        <v>0.74680000000000002</v>
      </c>
      <c r="BD951" s="312">
        <v>0.76049999999999995</v>
      </c>
      <c r="BE951" s="312">
        <v>0.73660000000000003</v>
      </c>
      <c r="BF951" s="312">
        <v>0.63700000000000001</v>
      </c>
      <c r="BG951" s="312">
        <v>0.73209999999999997</v>
      </c>
      <c r="BH951" s="312">
        <v>0.55940000000000001</v>
      </c>
      <c r="BI951" s="312">
        <v>0.63290000000000002</v>
      </c>
      <c r="BJ951" s="312">
        <v>0.66300000000000003</v>
      </c>
      <c r="BK951" s="312">
        <v>0.72650000000000003</v>
      </c>
      <c r="BM951">
        <f>(C951-C540)*1000000/(RIMS_emp!C951-RIMS_emp!C540)</f>
        <v>37542.779310265883</v>
      </c>
    </row>
    <row r="952" spans="1:65" x14ac:dyDescent="0.25">
      <c r="A952" s="306">
        <v>325414</v>
      </c>
      <c r="B952" s="312" t="s">
        <v>116</v>
      </c>
      <c r="C952" s="312">
        <v>0.76390000000000002</v>
      </c>
      <c r="D952" s="312">
        <v>0</v>
      </c>
      <c r="E952" s="312">
        <v>0.44479999999999997</v>
      </c>
      <c r="F952" s="312">
        <v>0.42109999999999997</v>
      </c>
      <c r="G952" s="312">
        <v>0.46210000000000001</v>
      </c>
      <c r="H952" s="312">
        <v>0.59660000000000002</v>
      </c>
      <c r="I952" s="312">
        <v>0.5927</v>
      </c>
      <c r="J952" s="312">
        <v>0.49270000000000003</v>
      </c>
      <c r="K952" s="312">
        <v>0</v>
      </c>
      <c r="L952" s="312">
        <v>0.37480000000000002</v>
      </c>
      <c r="M952" s="312">
        <v>0.47</v>
      </c>
      <c r="N952" s="312">
        <v>0.51649999999999996</v>
      </c>
      <c r="O952" s="312">
        <v>0.45469999999999999</v>
      </c>
      <c r="P952" s="312">
        <v>0.38090000000000002</v>
      </c>
      <c r="Q952" s="312">
        <v>0</v>
      </c>
      <c r="R952" s="312">
        <v>0.58740000000000003</v>
      </c>
      <c r="S952" s="312">
        <v>0.44169999999999998</v>
      </c>
      <c r="T952" s="312">
        <v>0.37330000000000002</v>
      </c>
      <c r="U952" s="312">
        <v>0</v>
      </c>
      <c r="V952" s="312">
        <v>0.42959999999999998</v>
      </c>
      <c r="W952" s="312">
        <v>0.5675</v>
      </c>
      <c r="X952" s="312">
        <v>0.4768</v>
      </c>
      <c r="Y952" s="312">
        <v>0.50880000000000003</v>
      </c>
      <c r="Z952" s="312">
        <v>0.56759999999999999</v>
      </c>
      <c r="AA952" s="312">
        <v>0.50749999999999995</v>
      </c>
      <c r="AB952" s="312">
        <v>0.52759999999999996</v>
      </c>
      <c r="AC952" s="312">
        <v>0.36699999999999999</v>
      </c>
      <c r="AD952" s="312">
        <v>0.3674</v>
      </c>
      <c r="AE952" s="312">
        <v>0.56359999999999999</v>
      </c>
      <c r="AF952" s="312">
        <v>0</v>
      </c>
      <c r="AG952" s="312">
        <v>0.4284</v>
      </c>
      <c r="AH952" s="312">
        <v>0.46179999999999999</v>
      </c>
      <c r="AI952" s="312">
        <v>0.56169999999999998</v>
      </c>
      <c r="AJ952" s="312">
        <v>0</v>
      </c>
      <c r="AK952" s="312">
        <v>0</v>
      </c>
      <c r="AL952" s="312">
        <v>0.4269</v>
      </c>
      <c r="AM952" s="312">
        <v>0.52149999999999996</v>
      </c>
      <c r="AN952" s="312">
        <v>0.41689999999999999</v>
      </c>
      <c r="AO952" s="312">
        <v>0.47770000000000001</v>
      </c>
      <c r="AP952" s="312">
        <v>0.59689999999999999</v>
      </c>
      <c r="AQ952" s="312">
        <v>0</v>
      </c>
      <c r="AR952" s="312">
        <v>0.42499999999999999</v>
      </c>
      <c r="AS952" s="312">
        <v>0</v>
      </c>
      <c r="AT952" s="312">
        <v>0.4677</v>
      </c>
      <c r="AU952" s="312">
        <v>0.52229999999999999</v>
      </c>
      <c r="AV952" s="312">
        <v>0</v>
      </c>
      <c r="AW952" s="312">
        <v>0.50780000000000003</v>
      </c>
      <c r="AX952" s="312">
        <v>0.3382</v>
      </c>
      <c r="AY952" s="312">
        <v>0.51300000000000001</v>
      </c>
      <c r="AZ952" s="312">
        <v>0.52590000000000003</v>
      </c>
      <c r="BA952" s="312">
        <v>0</v>
      </c>
      <c r="BB952" s="312">
        <v>0</v>
      </c>
      <c r="BC952" s="312">
        <v>0.62250000000000005</v>
      </c>
      <c r="BD952" s="312">
        <v>0.63419999999999999</v>
      </c>
      <c r="BE952" s="312">
        <v>0.60860000000000003</v>
      </c>
      <c r="BF952" s="312">
        <v>0.53459999999999996</v>
      </c>
      <c r="BG952" s="312">
        <v>0.6109</v>
      </c>
      <c r="BH952" s="312">
        <v>0.46150000000000002</v>
      </c>
      <c r="BI952" s="312">
        <v>0.51949999999999996</v>
      </c>
      <c r="BJ952" s="312">
        <v>0.5373</v>
      </c>
      <c r="BK952" s="312">
        <v>0.59660000000000002</v>
      </c>
      <c r="BM952">
        <f>(C952-C541)*1000000/(RIMS_emp!C952-RIMS_emp!C541)</f>
        <v>37542.802920912574</v>
      </c>
    </row>
    <row r="953" spans="1:65" x14ac:dyDescent="0.25">
      <c r="A953" s="306">
        <v>325510</v>
      </c>
      <c r="B953" s="312" t="s">
        <v>117</v>
      </c>
      <c r="C953" s="312">
        <v>0.73319999999999996</v>
      </c>
      <c r="D953" s="312">
        <v>0</v>
      </c>
      <c r="E953" s="312">
        <v>0.41860000000000003</v>
      </c>
      <c r="F953" s="312">
        <v>0.37830000000000003</v>
      </c>
      <c r="G953" s="312">
        <v>0.35149999999999998</v>
      </c>
      <c r="H953" s="312">
        <v>0.43359999999999999</v>
      </c>
      <c r="I953" s="312">
        <v>0.43590000000000001</v>
      </c>
      <c r="J953" s="312">
        <v>0.39910000000000001</v>
      </c>
      <c r="K953" s="312">
        <v>0</v>
      </c>
      <c r="L953" s="312">
        <v>0.3175</v>
      </c>
      <c r="M953" s="312">
        <v>0.35249999999999998</v>
      </c>
      <c r="N953" s="312">
        <v>0.47160000000000002</v>
      </c>
      <c r="O953" s="312">
        <v>0</v>
      </c>
      <c r="P953" s="312">
        <v>0.31119999999999998</v>
      </c>
      <c r="Q953" s="312">
        <v>0.312</v>
      </c>
      <c r="R953" s="312">
        <v>0.53029999999999999</v>
      </c>
      <c r="S953" s="312">
        <v>0.44030000000000002</v>
      </c>
      <c r="T953" s="312">
        <v>0.3145</v>
      </c>
      <c r="U953" s="312">
        <v>0.40770000000000001</v>
      </c>
      <c r="V953" s="312">
        <v>0.4385</v>
      </c>
      <c r="W953" s="312">
        <v>0.41610000000000003</v>
      </c>
      <c r="X953" s="312">
        <v>0.34810000000000002</v>
      </c>
      <c r="Y953" s="312">
        <v>0</v>
      </c>
      <c r="Z953" s="312">
        <v>0.49259999999999998</v>
      </c>
      <c r="AA953" s="312">
        <v>0.42230000000000001</v>
      </c>
      <c r="AB953" s="312">
        <v>0.43680000000000002</v>
      </c>
      <c r="AC953" s="312">
        <v>0.3508</v>
      </c>
      <c r="AD953" s="312">
        <v>0</v>
      </c>
      <c r="AE953" s="312">
        <v>0.45479999999999998</v>
      </c>
      <c r="AF953" s="312">
        <v>0.24049999999999999</v>
      </c>
      <c r="AG953" s="312">
        <v>0.31</v>
      </c>
      <c r="AH953" s="312">
        <v>0.32169999999999999</v>
      </c>
      <c r="AI953" s="312">
        <v>0.46629999999999999</v>
      </c>
      <c r="AJ953" s="312">
        <v>0.29980000000000001</v>
      </c>
      <c r="AK953" s="312">
        <v>0.33479999999999999</v>
      </c>
      <c r="AL953" s="312">
        <v>0.32669999999999999</v>
      </c>
      <c r="AM953" s="312">
        <v>0.52780000000000005</v>
      </c>
      <c r="AN953" s="312">
        <v>0.3387</v>
      </c>
      <c r="AO953" s="312">
        <v>0.40600000000000003</v>
      </c>
      <c r="AP953" s="312">
        <v>0.51759999999999995</v>
      </c>
      <c r="AQ953" s="312">
        <v>0.3463</v>
      </c>
      <c r="AR953" s="312">
        <v>0.42</v>
      </c>
      <c r="AS953" s="312">
        <v>0.2576</v>
      </c>
      <c r="AT953" s="312">
        <v>0.44359999999999999</v>
      </c>
      <c r="AU953" s="312">
        <v>0.53169999999999995</v>
      </c>
      <c r="AV953" s="312">
        <v>0.42030000000000001</v>
      </c>
      <c r="AW953" s="312">
        <v>0.40849999999999997</v>
      </c>
      <c r="AX953" s="312">
        <v>0.25509999999999999</v>
      </c>
      <c r="AY953" s="312">
        <v>0.3836</v>
      </c>
      <c r="AZ953" s="312">
        <v>0.42549999999999999</v>
      </c>
      <c r="BA953" s="312">
        <v>0.34279999999999999</v>
      </c>
      <c r="BB953" s="312">
        <v>0</v>
      </c>
      <c r="BC953" s="312">
        <v>0.47170000000000001</v>
      </c>
      <c r="BD953" s="312">
        <v>0.52139999999999997</v>
      </c>
      <c r="BE953" s="312">
        <v>0.57450000000000001</v>
      </c>
      <c r="BF953" s="312">
        <v>0.43559999999999999</v>
      </c>
      <c r="BG953" s="312">
        <v>0.50600000000000001</v>
      </c>
      <c r="BH953" s="312">
        <v>0.47820000000000001</v>
      </c>
      <c r="BI953" s="312">
        <v>0.53610000000000002</v>
      </c>
      <c r="BJ953" s="312">
        <v>0.41770000000000002</v>
      </c>
      <c r="BK953" s="312">
        <v>0.44650000000000001</v>
      </c>
      <c r="BM953">
        <f>(C953-C542)*1000000/(RIMS_emp!C953-RIMS_emp!C542)</f>
        <v>37539.581333371534</v>
      </c>
    </row>
    <row r="954" spans="1:65" x14ac:dyDescent="0.25">
      <c r="A954" s="306">
        <v>325520</v>
      </c>
      <c r="B954" s="312" t="s">
        <v>118</v>
      </c>
      <c r="C954" s="312">
        <v>0.77929999999999999</v>
      </c>
      <c r="D954" s="312">
        <v>0</v>
      </c>
      <c r="E954" s="312">
        <v>0.45290000000000002</v>
      </c>
      <c r="F954" s="312">
        <v>0.41460000000000002</v>
      </c>
      <c r="G954" s="312">
        <v>0.41320000000000001</v>
      </c>
      <c r="H954" s="312">
        <v>0.53369999999999995</v>
      </c>
      <c r="I954" s="312">
        <v>0.52649999999999997</v>
      </c>
      <c r="J954" s="312">
        <v>0.45090000000000002</v>
      </c>
      <c r="K954" s="312">
        <v>5.1499999999999997E-2</v>
      </c>
      <c r="L954" s="312">
        <v>0.34</v>
      </c>
      <c r="M954" s="312">
        <v>0.42330000000000001</v>
      </c>
      <c r="N954" s="312">
        <v>0.50719999999999998</v>
      </c>
      <c r="O954" s="312">
        <v>0</v>
      </c>
      <c r="P954" s="312">
        <v>0.33879999999999999</v>
      </c>
      <c r="Q954" s="312">
        <v>0</v>
      </c>
      <c r="R954" s="312">
        <v>0.58260000000000001</v>
      </c>
      <c r="S954" s="312">
        <v>0.46839999999999998</v>
      </c>
      <c r="T954" s="312">
        <v>0.36770000000000003</v>
      </c>
      <c r="U954" s="312">
        <v>0.4335</v>
      </c>
      <c r="V954" s="312">
        <v>0.48299999999999998</v>
      </c>
      <c r="W954" s="312">
        <v>0.46860000000000002</v>
      </c>
      <c r="X954" s="312">
        <v>0.39800000000000002</v>
      </c>
      <c r="Y954" s="312">
        <v>0</v>
      </c>
      <c r="Z954" s="312">
        <v>0.52829999999999999</v>
      </c>
      <c r="AA954" s="312">
        <v>0.47599999999999998</v>
      </c>
      <c r="AB954" s="312">
        <v>0.47789999999999999</v>
      </c>
      <c r="AC954" s="312">
        <v>0.3886</v>
      </c>
      <c r="AD954" s="312">
        <v>0</v>
      </c>
      <c r="AE954" s="312">
        <v>0.49590000000000001</v>
      </c>
      <c r="AF954" s="312">
        <v>0.2843</v>
      </c>
      <c r="AG954" s="312">
        <v>0.35370000000000001</v>
      </c>
      <c r="AH954" s="312">
        <v>0.38450000000000001</v>
      </c>
      <c r="AI954" s="312">
        <v>0.50819999999999999</v>
      </c>
      <c r="AJ954" s="312">
        <v>0</v>
      </c>
      <c r="AK954" s="312">
        <v>0.39650000000000002</v>
      </c>
      <c r="AL954" s="312">
        <v>0.37190000000000001</v>
      </c>
      <c r="AM954" s="312">
        <v>0.55769999999999997</v>
      </c>
      <c r="AN954" s="312">
        <v>0.41610000000000003</v>
      </c>
      <c r="AO954" s="312">
        <v>0.43009999999999998</v>
      </c>
      <c r="AP954" s="312">
        <v>0.55320000000000003</v>
      </c>
      <c r="AQ954" s="312">
        <v>0.37040000000000001</v>
      </c>
      <c r="AR954" s="312">
        <v>0.4461</v>
      </c>
      <c r="AS954" s="312">
        <v>0</v>
      </c>
      <c r="AT954" s="312">
        <v>0.47270000000000001</v>
      </c>
      <c r="AU954" s="312">
        <v>0.56499999999999995</v>
      </c>
      <c r="AV954" s="312">
        <v>0.5202</v>
      </c>
      <c r="AW954" s="312">
        <v>0.46629999999999999</v>
      </c>
      <c r="AX954" s="312">
        <v>0.2994</v>
      </c>
      <c r="AY954" s="312">
        <v>0.45879999999999999</v>
      </c>
      <c r="AZ954" s="312">
        <v>0.4698</v>
      </c>
      <c r="BA954" s="312">
        <v>0.3715</v>
      </c>
      <c r="BB954" s="312">
        <v>0</v>
      </c>
      <c r="BC954" s="312">
        <v>0.52690000000000003</v>
      </c>
      <c r="BD954" s="312">
        <v>0.56120000000000003</v>
      </c>
      <c r="BE954" s="312">
        <v>0.6069</v>
      </c>
      <c r="BF954" s="312">
        <v>0.48730000000000001</v>
      </c>
      <c r="BG954" s="312">
        <v>0.55100000000000005</v>
      </c>
      <c r="BH954" s="312">
        <v>0.505</v>
      </c>
      <c r="BI954" s="312">
        <v>0.57079999999999997</v>
      </c>
      <c r="BJ954" s="312">
        <v>0.50290000000000001</v>
      </c>
      <c r="BK954" s="312">
        <v>0.53720000000000001</v>
      </c>
      <c r="BM954">
        <f>(C954-C543)*1000000/(RIMS_emp!C954-RIMS_emp!C543)</f>
        <v>37540.775887633776</v>
      </c>
    </row>
    <row r="955" spans="1:65" x14ac:dyDescent="0.25">
      <c r="A955" s="306">
        <v>325610</v>
      </c>
      <c r="B955" s="312" t="s">
        <v>119</v>
      </c>
      <c r="C955" s="312">
        <v>0.5655</v>
      </c>
      <c r="D955" s="312">
        <v>0.20430000000000001</v>
      </c>
      <c r="E955" s="312">
        <v>0.31169999999999998</v>
      </c>
      <c r="F955" s="312">
        <v>0.2999</v>
      </c>
      <c r="G955" s="312">
        <v>0.28899999999999998</v>
      </c>
      <c r="H955" s="312">
        <v>0.39589999999999997</v>
      </c>
      <c r="I955" s="312">
        <v>0.36809999999999998</v>
      </c>
      <c r="J955" s="312">
        <v>0.32379999999999998</v>
      </c>
      <c r="K955" s="312">
        <v>3.3399999999999999E-2</v>
      </c>
      <c r="L955" s="312">
        <v>0.22700000000000001</v>
      </c>
      <c r="M955" s="312">
        <v>0.29730000000000001</v>
      </c>
      <c r="N955" s="312">
        <v>0.39150000000000001</v>
      </c>
      <c r="O955" s="312">
        <v>0.26979999999999998</v>
      </c>
      <c r="P955" s="312">
        <v>0.2432</v>
      </c>
      <c r="Q955" s="312">
        <v>0.2646</v>
      </c>
      <c r="R955" s="312">
        <v>0.43480000000000002</v>
      </c>
      <c r="S955" s="312">
        <v>0.35149999999999998</v>
      </c>
      <c r="T955" s="312">
        <v>0.2767</v>
      </c>
      <c r="U955" s="312">
        <v>0.32840000000000003</v>
      </c>
      <c r="V955" s="312">
        <v>0.33510000000000001</v>
      </c>
      <c r="W955" s="312">
        <v>0.3352</v>
      </c>
      <c r="X955" s="312">
        <v>0.30599999999999999</v>
      </c>
      <c r="Y955" s="312">
        <v>0.30520000000000003</v>
      </c>
      <c r="Z955" s="312">
        <v>0.40279999999999999</v>
      </c>
      <c r="AA955" s="312">
        <v>0.34549999999999997</v>
      </c>
      <c r="AB955" s="312">
        <v>0.36449999999999999</v>
      </c>
      <c r="AC955" s="312">
        <v>0.27839999999999998</v>
      </c>
      <c r="AD955" s="312">
        <v>0.23039999999999999</v>
      </c>
      <c r="AE955" s="312">
        <v>0.38629999999999998</v>
      </c>
      <c r="AF955" s="312">
        <v>0</v>
      </c>
      <c r="AG955" s="312">
        <v>0.24629999999999999</v>
      </c>
      <c r="AH955" s="312">
        <v>0.27229999999999999</v>
      </c>
      <c r="AI955" s="312">
        <v>0.38200000000000001</v>
      </c>
      <c r="AJ955" s="312">
        <v>0.2467</v>
      </c>
      <c r="AK955" s="312">
        <v>0.2777</v>
      </c>
      <c r="AL955" s="312">
        <v>0.2641</v>
      </c>
      <c r="AM955" s="312">
        <v>0.42020000000000002</v>
      </c>
      <c r="AN955" s="312">
        <v>0.28670000000000001</v>
      </c>
      <c r="AO955" s="312">
        <v>0.31069999999999998</v>
      </c>
      <c r="AP955" s="312">
        <v>0.40450000000000003</v>
      </c>
      <c r="AQ955" s="312">
        <v>0.28849999999999998</v>
      </c>
      <c r="AR955" s="312">
        <v>0.3377</v>
      </c>
      <c r="AS955" s="312">
        <v>0.21129999999999999</v>
      </c>
      <c r="AT955" s="312">
        <v>0.3609</v>
      </c>
      <c r="AU955" s="312">
        <v>0.38940000000000002</v>
      </c>
      <c r="AV955" s="312">
        <v>0.39650000000000002</v>
      </c>
      <c r="AW955" s="312">
        <v>0.32679999999999998</v>
      </c>
      <c r="AX955" s="312">
        <v>0.23119999999999999</v>
      </c>
      <c r="AY955" s="312">
        <v>0.3211</v>
      </c>
      <c r="AZ955" s="312">
        <v>0.36109999999999998</v>
      </c>
      <c r="BA955" s="312">
        <v>0.25779999999999997</v>
      </c>
      <c r="BB955" s="312">
        <v>0.20810000000000001</v>
      </c>
      <c r="BC955" s="312">
        <v>0.38159999999999999</v>
      </c>
      <c r="BD955" s="312">
        <v>0.4173</v>
      </c>
      <c r="BE955" s="312">
        <v>0.45639999999999997</v>
      </c>
      <c r="BF955" s="312">
        <v>0.36720000000000003</v>
      </c>
      <c r="BG955" s="312">
        <v>0.41770000000000002</v>
      </c>
      <c r="BH955" s="312">
        <v>0.36799999999999999</v>
      </c>
      <c r="BI955" s="312">
        <v>0.39369999999999999</v>
      </c>
      <c r="BJ955" s="312">
        <v>0.35659999999999997</v>
      </c>
      <c r="BK955" s="312">
        <v>0.39119999999999999</v>
      </c>
      <c r="BM955">
        <f>(C955-C544)*1000000/(RIMS_emp!C955-RIMS_emp!C544)</f>
        <v>37540.633416922072</v>
      </c>
    </row>
    <row r="956" spans="1:65" x14ac:dyDescent="0.25">
      <c r="A956" s="306">
        <v>325620</v>
      </c>
      <c r="B956" s="312" t="s">
        <v>120</v>
      </c>
      <c r="C956" s="312">
        <v>0.56669999999999998</v>
      </c>
      <c r="D956" s="312">
        <v>0</v>
      </c>
      <c r="E956" s="312">
        <v>0.32390000000000002</v>
      </c>
      <c r="F956" s="312">
        <v>0.3211</v>
      </c>
      <c r="G956" s="312">
        <v>0.30990000000000001</v>
      </c>
      <c r="H956" s="312">
        <v>0.40479999999999999</v>
      </c>
      <c r="I956" s="312">
        <v>0.40400000000000003</v>
      </c>
      <c r="J956" s="312">
        <v>0.3553</v>
      </c>
      <c r="K956" s="312">
        <v>0</v>
      </c>
      <c r="L956" s="312">
        <v>0.24590000000000001</v>
      </c>
      <c r="M956" s="312">
        <v>0.32200000000000001</v>
      </c>
      <c r="N956" s="312">
        <v>0.38919999999999999</v>
      </c>
      <c r="O956" s="312">
        <v>0.2999</v>
      </c>
      <c r="P956" s="312">
        <v>0.25600000000000001</v>
      </c>
      <c r="Q956" s="312">
        <v>0.2838</v>
      </c>
      <c r="R956" s="312">
        <v>0.43980000000000002</v>
      </c>
      <c r="S956" s="312">
        <v>0.33750000000000002</v>
      </c>
      <c r="T956" s="312">
        <v>0.26379999999999998</v>
      </c>
      <c r="U956" s="312">
        <v>0.31919999999999998</v>
      </c>
      <c r="V956" s="312">
        <v>0.32269999999999999</v>
      </c>
      <c r="W956" s="312">
        <v>0.37090000000000001</v>
      </c>
      <c r="X956" s="312">
        <v>0.30309999999999998</v>
      </c>
      <c r="Y956" s="312">
        <v>0.316</v>
      </c>
      <c r="Z956" s="312">
        <v>0.40860000000000002</v>
      </c>
      <c r="AA956" s="312">
        <v>0.38080000000000003</v>
      </c>
      <c r="AB956" s="312">
        <v>0.36849999999999999</v>
      </c>
      <c r="AC956" s="312">
        <v>0.27200000000000002</v>
      </c>
      <c r="AD956" s="312">
        <v>0.22739999999999999</v>
      </c>
      <c r="AE956" s="312">
        <v>0.38540000000000002</v>
      </c>
      <c r="AF956" s="312">
        <v>0.20610000000000001</v>
      </c>
      <c r="AG956" s="312">
        <v>0.27560000000000001</v>
      </c>
      <c r="AH956" s="312">
        <v>0.30270000000000002</v>
      </c>
      <c r="AI956" s="312">
        <v>0.38159999999999999</v>
      </c>
      <c r="AJ956" s="312">
        <v>0.25269999999999998</v>
      </c>
      <c r="AK956" s="312">
        <v>0.31080000000000002</v>
      </c>
      <c r="AL956" s="312">
        <v>0.29120000000000001</v>
      </c>
      <c r="AM956" s="312">
        <v>0.41799999999999998</v>
      </c>
      <c r="AN956" s="312">
        <v>0.29570000000000002</v>
      </c>
      <c r="AO956" s="312">
        <v>0.3407</v>
      </c>
      <c r="AP956" s="312">
        <v>0.41889999999999999</v>
      </c>
      <c r="AQ956" s="312">
        <v>0.2959</v>
      </c>
      <c r="AR956" s="312">
        <v>0.32250000000000001</v>
      </c>
      <c r="AS956" s="312">
        <v>0.22020000000000001</v>
      </c>
      <c r="AT956" s="312">
        <v>0.35599999999999998</v>
      </c>
      <c r="AU956" s="312">
        <v>0.38679999999999998</v>
      </c>
      <c r="AV956" s="312">
        <v>0.39679999999999999</v>
      </c>
      <c r="AW956" s="312">
        <v>0.35949999999999999</v>
      </c>
      <c r="AX956" s="312">
        <v>0.22489999999999999</v>
      </c>
      <c r="AY956" s="312">
        <v>0.34010000000000001</v>
      </c>
      <c r="AZ956" s="312">
        <v>0.37040000000000001</v>
      </c>
      <c r="BA956" s="312">
        <v>0</v>
      </c>
      <c r="BB956" s="312">
        <v>0.2074</v>
      </c>
      <c r="BC956" s="312">
        <v>0.41699999999999998</v>
      </c>
      <c r="BD956" s="312">
        <v>0.42809999999999998</v>
      </c>
      <c r="BE956" s="312">
        <v>0.45729999999999998</v>
      </c>
      <c r="BF956" s="312">
        <v>0.37890000000000001</v>
      </c>
      <c r="BG956" s="312">
        <v>0.41830000000000001</v>
      </c>
      <c r="BH956" s="312">
        <v>0.3614</v>
      </c>
      <c r="BI956" s="312">
        <v>0.3931</v>
      </c>
      <c r="BJ956" s="312">
        <v>0.37309999999999999</v>
      </c>
      <c r="BK956" s="312">
        <v>0.40610000000000002</v>
      </c>
      <c r="BM956">
        <f>(C956-C545)*1000000/(RIMS_emp!C956-RIMS_emp!C545)</f>
        <v>37536.145918291681</v>
      </c>
    </row>
    <row r="957" spans="1:65" x14ac:dyDescent="0.25">
      <c r="A957" s="306">
        <v>325910</v>
      </c>
      <c r="B957" s="312" t="s">
        <v>121</v>
      </c>
      <c r="C957" s="312">
        <v>0.80910000000000004</v>
      </c>
      <c r="D957" s="312">
        <v>0</v>
      </c>
      <c r="E957" s="312">
        <v>0.43209999999999998</v>
      </c>
      <c r="F957" s="312">
        <v>0.39760000000000001</v>
      </c>
      <c r="G957" s="312">
        <v>0.39629999999999999</v>
      </c>
      <c r="H957" s="312">
        <v>0.50680000000000003</v>
      </c>
      <c r="I957" s="312">
        <v>0.50649999999999995</v>
      </c>
      <c r="J957" s="312">
        <v>0.42509999999999998</v>
      </c>
      <c r="K957" s="312">
        <v>0</v>
      </c>
      <c r="L957" s="312">
        <v>0.3674</v>
      </c>
      <c r="M957" s="312">
        <v>0.40229999999999999</v>
      </c>
      <c r="N957" s="312">
        <v>0.53029999999999999</v>
      </c>
      <c r="O957" s="312">
        <v>0</v>
      </c>
      <c r="P957" s="312">
        <v>0.33350000000000002</v>
      </c>
      <c r="Q957" s="312">
        <v>0</v>
      </c>
      <c r="R957" s="312">
        <v>0.57389999999999997</v>
      </c>
      <c r="S957" s="312">
        <v>0.4753</v>
      </c>
      <c r="T957" s="312">
        <v>0.3639</v>
      </c>
      <c r="U957" s="312">
        <v>0.45250000000000001</v>
      </c>
      <c r="V957" s="312">
        <v>0.48799999999999999</v>
      </c>
      <c r="W957" s="312">
        <v>0.4607</v>
      </c>
      <c r="X957" s="312">
        <v>0.42020000000000002</v>
      </c>
      <c r="Y957" s="312">
        <v>0.3755</v>
      </c>
      <c r="Z957" s="312">
        <v>0.5585</v>
      </c>
      <c r="AA957" s="312">
        <v>0.4728</v>
      </c>
      <c r="AB957" s="312">
        <v>0.45660000000000001</v>
      </c>
      <c r="AC957" s="312">
        <v>0</v>
      </c>
      <c r="AD957" s="312">
        <v>0</v>
      </c>
      <c r="AE957" s="312">
        <v>0.51870000000000005</v>
      </c>
      <c r="AF957" s="312">
        <v>0</v>
      </c>
      <c r="AG957" s="312">
        <v>0.33040000000000003</v>
      </c>
      <c r="AH957" s="312">
        <v>0.35439999999999999</v>
      </c>
      <c r="AI957" s="312">
        <v>0.52629999999999999</v>
      </c>
      <c r="AJ957" s="312">
        <v>0.35489999999999999</v>
      </c>
      <c r="AK957" s="312">
        <v>0.38540000000000002</v>
      </c>
      <c r="AL957" s="312">
        <v>0.36930000000000002</v>
      </c>
      <c r="AM957" s="312">
        <v>0.57740000000000002</v>
      </c>
      <c r="AN957" s="312">
        <v>0.41070000000000001</v>
      </c>
      <c r="AO957" s="312">
        <v>0.46879999999999999</v>
      </c>
      <c r="AP957" s="312">
        <v>0.58320000000000005</v>
      </c>
      <c r="AQ957" s="312">
        <v>0.38329999999999997</v>
      </c>
      <c r="AR957" s="312">
        <v>0.43120000000000003</v>
      </c>
      <c r="AS957" s="312">
        <v>0</v>
      </c>
      <c r="AT957" s="312">
        <v>0.49120000000000003</v>
      </c>
      <c r="AU957" s="312">
        <v>0.59899999999999998</v>
      </c>
      <c r="AV957" s="312">
        <v>0.4945</v>
      </c>
      <c r="AW957" s="312">
        <v>0.4551</v>
      </c>
      <c r="AX957" s="312">
        <v>0</v>
      </c>
      <c r="AY957" s="312">
        <v>0.43730000000000002</v>
      </c>
      <c r="AZ957" s="312">
        <v>0.45739999999999997</v>
      </c>
      <c r="BA957" s="312">
        <v>0</v>
      </c>
      <c r="BB957" s="312">
        <v>0</v>
      </c>
      <c r="BC957" s="312">
        <v>0.51200000000000001</v>
      </c>
      <c r="BD957" s="312">
        <v>0.58530000000000004</v>
      </c>
      <c r="BE957" s="312">
        <v>0.62339999999999995</v>
      </c>
      <c r="BF957" s="312">
        <v>0.4713</v>
      </c>
      <c r="BG957" s="312">
        <v>0.57110000000000005</v>
      </c>
      <c r="BH957" s="312">
        <v>0.51939999999999997</v>
      </c>
      <c r="BI957" s="312">
        <v>0.60299999999999998</v>
      </c>
      <c r="BJ957" s="312">
        <v>0.48399999999999999</v>
      </c>
      <c r="BK957" s="312">
        <v>0.51900000000000002</v>
      </c>
      <c r="BM957">
        <f>(C957-C546)*1000000/(RIMS_emp!C957-RIMS_emp!C546)</f>
        <v>37534.730336786895</v>
      </c>
    </row>
    <row r="958" spans="1:65" x14ac:dyDescent="0.25">
      <c r="A958" s="306" t="s">
        <v>715</v>
      </c>
      <c r="B958" s="312" t="s">
        <v>122</v>
      </c>
      <c r="C958" s="312">
        <v>0.80969999999999998</v>
      </c>
      <c r="D958" s="312">
        <v>0.32429999999999998</v>
      </c>
      <c r="E958" s="312">
        <v>0.4793</v>
      </c>
      <c r="F958" s="312">
        <v>0.45590000000000003</v>
      </c>
      <c r="G958" s="312">
        <v>0.43070000000000003</v>
      </c>
      <c r="H958" s="312">
        <v>0.54490000000000005</v>
      </c>
      <c r="I958" s="312">
        <v>0.55379999999999996</v>
      </c>
      <c r="J958" s="312">
        <v>0.48930000000000001</v>
      </c>
      <c r="K958" s="312">
        <v>0</v>
      </c>
      <c r="L958" s="312">
        <v>0.36009999999999998</v>
      </c>
      <c r="M958" s="312">
        <v>0.44069999999999998</v>
      </c>
      <c r="N958" s="312">
        <v>0.54010000000000002</v>
      </c>
      <c r="O958" s="312">
        <v>0.41760000000000003</v>
      </c>
      <c r="P958" s="312">
        <v>0.3569</v>
      </c>
      <c r="Q958" s="312">
        <v>0.40660000000000002</v>
      </c>
      <c r="R958" s="312">
        <v>0.61070000000000002</v>
      </c>
      <c r="S958" s="312">
        <v>0.49340000000000001</v>
      </c>
      <c r="T958" s="312">
        <v>0.38</v>
      </c>
      <c r="U958" s="312">
        <v>0.45950000000000002</v>
      </c>
      <c r="V958" s="312">
        <v>0.50529999999999997</v>
      </c>
      <c r="W958" s="312">
        <v>0.50949999999999995</v>
      </c>
      <c r="X958" s="312">
        <v>0.42109999999999997</v>
      </c>
      <c r="Y958" s="312">
        <v>0.42949999999999999</v>
      </c>
      <c r="Z958" s="312">
        <v>0.56950000000000001</v>
      </c>
      <c r="AA958" s="312">
        <v>0.51049999999999995</v>
      </c>
      <c r="AB958" s="312">
        <v>0.50539999999999996</v>
      </c>
      <c r="AC958" s="312">
        <v>0.40689999999999998</v>
      </c>
      <c r="AD958" s="312">
        <v>0.35210000000000002</v>
      </c>
      <c r="AE958" s="312">
        <v>0.53659999999999997</v>
      </c>
      <c r="AF958" s="312">
        <v>0.28710000000000002</v>
      </c>
      <c r="AG958" s="312">
        <v>0.3745</v>
      </c>
      <c r="AH958" s="312">
        <v>0.41070000000000001</v>
      </c>
      <c r="AI958" s="312">
        <v>0.53920000000000001</v>
      </c>
      <c r="AJ958" s="312">
        <v>0.3866</v>
      </c>
      <c r="AK958" s="312">
        <v>0.42559999999999998</v>
      </c>
      <c r="AL958" s="312">
        <v>0.40570000000000001</v>
      </c>
      <c r="AM958" s="312">
        <v>0.59099999999999997</v>
      </c>
      <c r="AN958" s="312">
        <v>0.42830000000000001</v>
      </c>
      <c r="AO958" s="312">
        <v>0.4647</v>
      </c>
      <c r="AP958" s="312">
        <v>0.59470000000000001</v>
      </c>
      <c r="AQ958" s="312">
        <v>0.40860000000000002</v>
      </c>
      <c r="AR958" s="312">
        <v>0.47810000000000002</v>
      </c>
      <c r="AS958" s="312">
        <v>0.32090000000000002</v>
      </c>
      <c r="AT958" s="312">
        <v>0.51049999999999995</v>
      </c>
      <c r="AU958" s="312">
        <v>0.58940000000000003</v>
      </c>
      <c r="AV958" s="312">
        <v>0.53549999999999998</v>
      </c>
      <c r="AW958" s="312">
        <v>0.49640000000000001</v>
      </c>
      <c r="AX958" s="312">
        <v>0.313</v>
      </c>
      <c r="AY958" s="312">
        <v>0.48170000000000002</v>
      </c>
      <c r="AZ958" s="312">
        <v>0.49480000000000002</v>
      </c>
      <c r="BA958" s="312">
        <v>0.38740000000000002</v>
      </c>
      <c r="BB958" s="312">
        <v>0.32719999999999999</v>
      </c>
      <c r="BC958" s="312">
        <v>0.57379999999999998</v>
      </c>
      <c r="BD958" s="312">
        <v>0.60429999999999995</v>
      </c>
      <c r="BE958" s="312">
        <v>0.64280000000000004</v>
      </c>
      <c r="BF958" s="312">
        <v>0.51290000000000002</v>
      </c>
      <c r="BG958" s="312">
        <v>0.59</v>
      </c>
      <c r="BH958" s="312">
        <v>0.53180000000000005</v>
      </c>
      <c r="BI958" s="312">
        <v>0.59809999999999997</v>
      </c>
      <c r="BJ958" s="312">
        <v>0.52590000000000003</v>
      </c>
      <c r="BK958" s="312">
        <v>0.55169999999999997</v>
      </c>
      <c r="BM958">
        <f>(C958-C547)*1000000/(RIMS_emp!C958-RIMS_emp!C547)</f>
        <v>37532.920769600016</v>
      </c>
    </row>
    <row r="959" spans="1:65" x14ac:dyDescent="0.25">
      <c r="A959" s="306">
        <v>326110</v>
      </c>
      <c r="B959" s="312" t="s">
        <v>123</v>
      </c>
      <c r="C959" s="312">
        <v>0.69089999999999996</v>
      </c>
      <c r="D959" s="312">
        <v>0</v>
      </c>
      <c r="E959" s="312">
        <v>0.44419999999999998</v>
      </c>
      <c r="F959" s="312">
        <v>0.34549999999999997</v>
      </c>
      <c r="G959" s="312">
        <v>0.34200000000000003</v>
      </c>
      <c r="H959" s="312">
        <v>0.40770000000000001</v>
      </c>
      <c r="I959" s="312">
        <v>0.38440000000000002</v>
      </c>
      <c r="J959" s="312">
        <v>0.3952</v>
      </c>
      <c r="K959" s="312">
        <v>0</v>
      </c>
      <c r="L959" s="312">
        <v>0.3221</v>
      </c>
      <c r="M959" s="312">
        <v>0.35630000000000001</v>
      </c>
      <c r="N959" s="312">
        <v>0.44379999999999997</v>
      </c>
      <c r="O959" s="312">
        <v>0.29870000000000002</v>
      </c>
      <c r="P959" s="312">
        <v>0.31740000000000002</v>
      </c>
      <c r="Q959" s="312">
        <v>0.29859999999999998</v>
      </c>
      <c r="R959" s="312">
        <v>0.50460000000000005</v>
      </c>
      <c r="S959" s="312">
        <v>0.4294</v>
      </c>
      <c r="T959" s="312">
        <v>0.32219999999999999</v>
      </c>
      <c r="U959" s="312">
        <v>0.41830000000000001</v>
      </c>
      <c r="V959" s="312">
        <v>0.45129999999999998</v>
      </c>
      <c r="W959" s="312">
        <v>0.41909999999999997</v>
      </c>
      <c r="X959" s="312">
        <v>0.30120000000000002</v>
      </c>
      <c r="Y959" s="312">
        <v>0.33439999999999998</v>
      </c>
      <c r="Z959" s="312">
        <v>0.45569999999999999</v>
      </c>
      <c r="AA959" s="312">
        <v>0.39450000000000002</v>
      </c>
      <c r="AB959" s="312">
        <v>0.43269999999999997</v>
      </c>
      <c r="AC959" s="312">
        <v>0.36399999999999999</v>
      </c>
      <c r="AD959" s="312">
        <v>0</v>
      </c>
      <c r="AE959" s="312">
        <v>0.41610000000000003</v>
      </c>
      <c r="AF959" s="312">
        <v>0.2462</v>
      </c>
      <c r="AG959" s="312">
        <v>0.29920000000000002</v>
      </c>
      <c r="AH959" s="312">
        <v>0.33850000000000002</v>
      </c>
      <c r="AI959" s="312">
        <v>0.41810000000000003</v>
      </c>
      <c r="AJ959" s="312">
        <v>0.29430000000000001</v>
      </c>
      <c r="AK959" s="312">
        <v>0.30940000000000001</v>
      </c>
      <c r="AL959" s="312">
        <v>0.32519999999999999</v>
      </c>
      <c r="AM959" s="312">
        <v>0.50760000000000005</v>
      </c>
      <c r="AN959" s="312">
        <v>0.35980000000000001</v>
      </c>
      <c r="AO959" s="312">
        <v>0.36459999999999998</v>
      </c>
      <c r="AP959" s="312">
        <v>0.49340000000000001</v>
      </c>
      <c r="AQ959" s="312">
        <v>0.35260000000000002</v>
      </c>
      <c r="AR959" s="312">
        <v>0.4531</v>
      </c>
      <c r="AS959" s="312">
        <v>0.28320000000000001</v>
      </c>
      <c r="AT959" s="312">
        <v>0.44409999999999999</v>
      </c>
      <c r="AU959" s="312">
        <v>0.53459999999999996</v>
      </c>
      <c r="AV959" s="312">
        <v>0.37890000000000001</v>
      </c>
      <c r="AW959" s="312">
        <v>0.37140000000000001</v>
      </c>
      <c r="AX959" s="312">
        <v>0.26840000000000003</v>
      </c>
      <c r="AY959" s="312">
        <v>0.37440000000000001</v>
      </c>
      <c r="AZ959" s="312">
        <v>0.39850000000000002</v>
      </c>
      <c r="BA959" s="312">
        <v>0.34389999999999998</v>
      </c>
      <c r="BB959" s="312">
        <v>0</v>
      </c>
      <c r="BC959" s="312">
        <v>0.46870000000000001</v>
      </c>
      <c r="BD959" s="312">
        <v>0.46639999999999998</v>
      </c>
      <c r="BE959" s="312">
        <v>0.53459999999999996</v>
      </c>
      <c r="BF959" s="312">
        <v>0.41120000000000001</v>
      </c>
      <c r="BG959" s="312">
        <v>0.48499999999999999</v>
      </c>
      <c r="BH959" s="312">
        <v>0.48580000000000001</v>
      </c>
      <c r="BI959" s="312">
        <v>0.54320000000000002</v>
      </c>
      <c r="BJ959" s="312">
        <v>0.37390000000000001</v>
      </c>
      <c r="BK959" s="312">
        <v>0.41370000000000001</v>
      </c>
      <c r="BM959">
        <f>(C959-C548)*1000000/(RIMS_emp!C959-RIMS_emp!C548)</f>
        <v>37540.482598184542</v>
      </c>
    </row>
    <row r="960" spans="1:65" x14ac:dyDescent="0.25">
      <c r="A960" s="306">
        <v>326121</v>
      </c>
      <c r="B960" s="312" t="s">
        <v>124</v>
      </c>
      <c r="C960" s="312">
        <v>0.72460000000000002</v>
      </c>
      <c r="D960" s="312">
        <v>0</v>
      </c>
      <c r="E960" s="312">
        <v>0.48509999999999998</v>
      </c>
      <c r="F960" s="312">
        <v>0.38440000000000002</v>
      </c>
      <c r="G960" s="312">
        <v>0.40560000000000002</v>
      </c>
      <c r="H960" s="312">
        <v>0.4647</v>
      </c>
      <c r="I960" s="312">
        <v>0.45300000000000001</v>
      </c>
      <c r="J960" s="312">
        <v>0.442</v>
      </c>
      <c r="K960" s="312">
        <v>0</v>
      </c>
      <c r="L960" s="312">
        <v>0.3553</v>
      </c>
      <c r="M960" s="312">
        <v>0.41849999999999998</v>
      </c>
      <c r="N960" s="312">
        <v>0.48970000000000002</v>
      </c>
      <c r="O960" s="312">
        <v>0.36309999999999998</v>
      </c>
      <c r="P960" s="312">
        <v>0.35859999999999997</v>
      </c>
      <c r="Q960" s="312">
        <v>0.35659999999999997</v>
      </c>
      <c r="R960" s="312">
        <v>0.5474</v>
      </c>
      <c r="S960" s="312">
        <v>0.46710000000000002</v>
      </c>
      <c r="T960" s="312">
        <v>0.36699999999999999</v>
      </c>
      <c r="U960" s="312">
        <v>0.45479999999999998</v>
      </c>
      <c r="V960" s="312">
        <v>0.4929</v>
      </c>
      <c r="W960" s="312">
        <v>0.46439999999999998</v>
      </c>
      <c r="X960" s="312">
        <v>0.35070000000000001</v>
      </c>
      <c r="Y960" s="312">
        <v>0</v>
      </c>
      <c r="Z960" s="312">
        <v>0.50680000000000003</v>
      </c>
      <c r="AA960" s="312">
        <v>0.4405</v>
      </c>
      <c r="AB960" s="312">
        <v>0.47170000000000001</v>
      </c>
      <c r="AC960" s="312">
        <v>0.40629999999999999</v>
      </c>
      <c r="AD960" s="312">
        <v>0.3402</v>
      </c>
      <c r="AE960" s="312">
        <v>0.46</v>
      </c>
      <c r="AF960" s="312">
        <v>0.29220000000000002</v>
      </c>
      <c r="AG960" s="312">
        <v>0</v>
      </c>
      <c r="AH960" s="312">
        <v>0.3931</v>
      </c>
      <c r="AI960" s="312">
        <v>0.45729999999999998</v>
      </c>
      <c r="AJ960" s="312">
        <v>0</v>
      </c>
      <c r="AK960" s="312">
        <v>0.36620000000000003</v>
      </c>
      <c r="AL960" s="312">
        <v>0.38319999999999999</v>
      </c>
      <c r="AM960" s="312">
        <v>0.54730000000000001</v>
      </c>
      <c r="AN960" s="312">
        <v>0.4108</v>
      </c>
      <c r="AO960" s="312">
        <v>0.41799999999999998</v>
      </c>
      <c r="AP960" s="312">
        <v>0.54010000000000002</v>
      </c>
      <c r="AQ960" s="312">
        <v>0.40189999999999998</v>
      </c>
      <c r="AR960" s="312">
        <v>0.49340000000000001</v>
      </c>
      <c r="AS960" s="312">
        <v>0</v>
      </c>
      <c r="AT960" s="312">
        <v>0.49080000000000001</v>
      </c>
      <c r="AU960" s="312">
        <v>0.57450000000000001</v>
      </c>
      <c r="AV960" s="312">
        <v>0.43759999999999999</v>
      </c>
      <c r="AW960" s="312">
        <v>0.41439999999999999</v>
      </c>
      <c r="AX960" s="312">
        <v>0</v>
      </c>
      <c r="AY960" s="312">
        <v>0.43080000000000002</v>
      </c>
      <c r="AZ960" s="312">
        <v>0.44359999999999999</v>
      </c>
      <c r="BA960" s="312">
        <v>0.37940000000000002</v>
      </c>
      <c r="BB960" s="312">
        <v>0</v>
      </c>
      <c r="BC960" s="312">
        <v>0.51959999999999995</v>
      </c>
      <c r="BD960" s="312">
        <v>0.51619999999999999</v>
      </c>
      <c r="BE960" s="312">
        <v>0.57509999999999994</v>
      </c>
      <c r="BF960" s="312">
        <v>0.45369999999999999</v>
      </c>
      <c r="BG960" s="312">
        <v>0.53120000000000001</v>
      </c>
      <c r="BH960" s="312">
        <v>0.52280000000000004</v>
      </c>
      <c r="BI960" s="312">
        <v>0.58209999999999995</v>
      </c>
      <c r="BJ960" s="312">
        <v>0.4385</v>
      </c>
      <c r="BK960" s="312">
        <v>0.4713</v>
      </c>
      <c r="BM960">
        <f>(C960-C549)*1000000/(RIMS_emp!C960-RIMS_emp!C549)</f>
        <v>37532.074049375922</v>
      </c>
    </row>
    <row r="961" spans="1:65" x14ac:dyDescent="0.25">
      <c r="A961" s="306">
        <v>326122</v>
      </c>
      <c r="B961" s="312" t="s">
        <v>125</v>
      </c>
      <c r="C961" s="312">
        <v>0.6653</v>
      </c>
      <c r="D961" s="312">
        <v>0</v>
      </c>
      <c r="E961" s="312">
        <v>0.42609999999999998</v>
      </c>
      <c r="F961" s="312">
        <v>0.30299999999999999</v>
      </c>
      <c r="G961" s="312">
        <v>0.29149999999999998</v>
      </c>
      <c r="H961" s="312">
        <v>0.34160000000000001</v>
      </c>
      <c r="I961" s="312">
        <v>0.32500000000000001</v>
      </c>
      <c r="J961" s="312">
        <v>0.3604</v>
      </c>
      <c r="K961" s="312">
        <v>0</v>
      </c>
      <c r="L961" s="312">
        <v>0</v>
      </c>
      <c r="M961" s="312">
        <v>0.30230000000000001</v>
      </c>
      <c r="N961" s="312">
        <v>0.38119999999999998</v>
      </c>
      <c r="O961" s="312">
        <v>0</v>
      </c>
      <c r="P961" s="312">
        <v>0.27929999999999999</v>
      </c>
      <c r="Q961" s="312">
        <v>0.2525</v>
      </c>
      <c r="R961" s="312">
        <v>0.46550000000000002</v>
      </c>
      <c r="S961" s="312">
        <v>0.39639999999999997</v>
      </c>
      <c r="T961" s="312">
        <v>0.27450000000000002</v>
      </c>
      <c r="U961" s="312">
        <v>0.3821</v>
      </c>
      <c r="V961" s="312">
        <v>0.43790000000000001</v>
      </c>
      <c r="W961" s="312">
        <v>0.38009999999999999</v>
      </c>
      <c r="X961" s="312">
        <v>0.24640000000000001</v>
      </c>
      <c r="Y961" s="312">
        <v>0.27139999999999997</v>
      </c>
      <c r="Z961" s="312">
        <v>0.41860000000000003</v>
      </c>
      <c r="AA961" s="312">
        <v>0.3261</v>
      </c>
      <c r="AB961" s="312">
        <v>0.39610000000000001</v>
      </c>
      <c r="AC961" s="312">
        <v>0.34289999999999998</v>
      </c>
      <c r="AD961" s="312">
        <v>0.24110000000000001</v>
      </c>
      <c r="AE961" s="312">
        <v>0.36780000000000002</v>
      </c>
      <c r="AF961" s="312">
        <v>0.2077</v>
      </c>
      <c r="AG961" s="312">
        <v>0.26140000000000002</v>
      </c>
      <c r="AH961" s="312">
        <v>0.28710000000000002</v>
      </c>
      <c r="AI961" s="312">
        <v>0.37580000000000002</v>
      </c>
      <c r="AJ961" s="312">
        <v>0.24859999999999999</v>
      </c>
      <c r="AK961" s="312">
        <v>0.25190000000000001</v>
      </c>
      <c r="AL961" s="312">
        <v>0.27879999999999999</v>
      </c>
      <c r="AM961" s="312">
        <v>0.47389999999999999</v>
      </c>
      <c r="AN961" s="312">
        <v>0.3014</v>
      </c>
      <c r="AO961" s="312">
        <v>0.30530000000000002</v>
      </c>
      <c r="AP961" s="312">
        <v>0.46479999999999999</v>
      </c>
      <c r="AQ961" s="312">
        <v>0</v>
      </c>
      <c r="AR961" s="312">
        <v>0.42670000000000002</v>
      </c>
      <c r="AS961" s="312">
        <v>0</v>
      </c>
      <c r="AT961" s="312">
        <v>0.40589999999999998</v>
      </c>
      <c r="AU961" s="312">
        <v>0.52059999999999995</v>
      </c>
      <c r="AV961" s="312">
        <v>0.31659999999999999</v>
      </c>
      <c r="AW961" s="312">
        <v>0.31759999999999999</v>
      </c>
      <c r="AX961" s="312">
        <v>0.22969999999999999</v>
      </c>
      <c r="AY961" s="312">
        <v>0.31719999999999998</v>
      </c>
      <c r="AZ961" s="312">
        <v>0.33339999999999997</v>
      </c>
      <c r="BA961" s="312">
        <v>0.33900000000000002</v>
      </c>
      <c r="BB961" s="312">
        <v>0.2084</v>
      </c>
      <c r="BC961" s="312">
        <v>0.42899999999999999</v>
      </c>
      <c r="BD961" s="312">
        <v>0.41699999999999998</v>
      </c>
      <c r="BE961" s="312">
        <v>0.49469999999999997</v>
      </c>
      <c r="BF961" s="312">
        <v>0.35370000000000001</v>
      </c>
      <c r="BG961" s="312">
        <v>0.43319999999999997</v>
      </c>
      <c r="BH961" s="312">
        <v>0.45340000000000003</v>
      </c>
      <c r="BI961" s="312">
        <v>0.52459999999999996</v>
      </c>
      <c r="BJ961" s="312">
        <v>0.31559999999999999</v>
      </c>
      <c r="BK961" s="312">
        <v>0.34610000000000002</v>
      </c>
      <c r="BM961">
        <f>(C961-C550)*1000000/(RIMS_emp!C961-RIMS_emp!C550)</f>
        <v>37548.751796118806</v>
      </c>
    </row>
    <row r="962" spans="1:65" x14ac:dyDescent="0.25">
      <c r="A962" s="306">
        <v>326130</v>
      </c>
      <c r="B962" s="312" t="s">
        <v>126</v>
      </c>
      <c r="C962" s="312">
        <v>0.75490000000000002</v>
      </c>
      <c r="D962" s="312">
        <v>0</v>
      </c>
      <c r="E962" s="312">
        <v>0.49869999999999998</v>
      </c>
      <c r="F962" s="312">
        <v>0.42499999999999999</v>
      </c>
      <c r="G962" s="312">
        <v>0.42699999999999999</v>
      </c>
      <c r="H962" s="312">
        <v>0.49490000000000001</v>
      </c>
      <c r="I962" s="312">
        <v>0.47849999999999998</v>
      </c>
      <c r="J962" s="312">
        <v>0.46250000000000002</v>
      </c>
      <c r="K962" s="312">
        <v>0</v>
      </c>
      <c r="L962" s="312">
        <v>0.35199999999999998</v>
      </c>
      <c r="M962" s="312">
        <v>0.4425</v>
      </c>
      <c r="N962" s="312">
        <v>0.54769999999999996</v>
      </c>
      <c r="O962" s="312">
        <v>0</v>
      </c>
      <c r="P962" s="312">
        <v>0.37290000000000001</v>
      </c>
      <c r="Q962" s="312">
        <v>0.38779999999999998</v>
      </c>
      <c r="R962" s="312">
        <v>0.55979999999999996</v>
      </c>
      <c r="S962" s="312">
        <v>0.48110000000000003</v>
      </c>
      <c r="T962" s="312">
        <v>0.3921</v>
      </c>
      <c r="U962" s="312">
        <v>0.4874</v>
      </c>
      <c r="V962" s="312">
        <v>0.4985</v>
      </c>
      <c r="W962" s="312">
        <v>0.49</v>
      </c>
      <c r="X962" s="312">
        <v>0.38069999999999998</v>
      </c>
      <c r="Y962" s="312">
        <v>0.44080000000000003</v>
      </c>
      <c r="Z962" s="312">
        <v>0.5282</v>
      </c>
      <c r="AA962" s="312">
        <v>0.4965</v>
      </c>
      <c r="AB962" s="312">
        <v>0.48110000000000003</v>
      </c>
      <c r="AC962" s="312">
        <v>0.42249999999999999</v>
      </c>
      <c r="AD962" s="312">
        <v>0</v>
      </c>
      <c r="AE962" s="312">
        <v>0.50019999999999998</v>
      </c>
      <c r="AF962" s="312">
        <v>0</v>
      </c>
      <c r="AG962" s="312">
        <v>0.35249999999999998</v>
      </c>
      <c r="AH962" s="312">
        <v>0.4415</v>
      </c>
      <c r="AI962" s="312">
        <v>0.48799999999999999</v>
      </c>
      <c r="AJ962" s="312">
        <v>0</v>
      </c>
      <c r="AK962" s="312">
        <v>0</v>
      </c>
      <c r="AL962" s="312">
        <v>0.40649999999999997</v>
      </c>
      <c r="AM962" s="312">
        <v>0.5776</v>
      </c>
      <c r="AN962" s="312">
        <v>0.46489999999999998</v>
      </c>
      <c r="AO962" s="312">
        <v>0.46410000000000001</v>
      </c>
      <c r="AP962" s="312">
        <v>0.56940000000000002</v>
      </c>
      <c r="AQ962" s="312">
        <v>0.4108</v>
      </c>
      <c r="AR962" s="312">
        <v>0.51429999999999998</v>
      </c>
      <c r="AS962" s="312">
        <v>0.35239999999999999</v>
      </c>
      <c r="AT962" s="312">
        <v>0.52790000000000004</v>
      </c>
      <c r="AU962" s="312">
        <v>0.56910000000000005</v>
      </c>
      <c r="AV962" s="312">
        <v>0.46870000000000001</v>
      </c>
      <c r="AW962" s="312">
        <v>0.45800000000000002</v>
      </c>
      <c r="AX962" s="312">
        <v>0.33539999999999998</v>
      </c>
      <c r="AY962" s="312">
        <v>0.48149999999999998</v>
      </c>
      <c r="AZ962" s="312">
        <v>0.50019999999999998</v>
      </c>
      <c r="BA962" s="312">
        <v>0</v>
      </c>
      <c r="BB962" s="312">
        <v>0.30109999999999998</v>
      </c>
      <c r="BC962" s="312">
        <v>0.55469999999999997</v>
      </c>
      <c r="BD962" s="312">
        <v>0.55489999999999995</v>
      </c>
      <c r="BE962" s="312">
        <v>0.61360000000000003</v>
      </c>
      <c r="BF962" s="312">
        <v>0.49220000000000003</v>
      </c>
      <c r="BG962" s="312">
        <v>0.57099999999999995</v>
      </c>
      <c r="BH962" s="312">
        <v>0.5575</v>
      </c>
      <c r="BI962" s="312">
        <v>0.59970000000000001</v>
      </c>
      <c r="BJ962" s="312">
        <v>0.46839999999999998</v>
      </c>
      <c r="BK962" s="312">
        <v>0.51449999999999996</v>
      </c>
      <c r="BM962">
        <f>(C962-C551)*1000000/(RIMS_emp!C962-RIMS_emp!C551)</f>
        <v>37528.177441349173</v>
      </c>
    </row>
    <row r="963" spans="1:65" x14ac:dyDescent="0.25">
      <c r="A963" s="306">
        <v>326140</v>
      </c>
      <c r="B963" s="312" t="s">
        <v>127</v>
      </c>
      <c r="C963" s="312">
        <v>0.67469999999999997</v>
      </c>
      <c r="D963" s="312">
        <v>0.26</v>
      </c>
      <c r="E963" s="312">
        <v>0.42959999999999998</v>
      </c>
      <c r="F963" s="312">
        <v>0.3327</v>
      </c>
      <c r="G963" s="312">
        <v>0.3503</v>
      </c>
      <c r="H963" s="312">
        <v>0.42149999999999999</v>
      </c>
      <c r="I963" s="312">
        <v>0.3926</v>
      </c>
      <c r="J963" s="312">
        <v>0.37669999999999998</v>
      </c>
      <c r="K963" s="312">
        <v>0</v>
      </c>
      <c r="L963" s="312">
        <v>0.2999</v>
      </c>
      <c r="M963" s="312">
        <v>0.37459999999999999</v>
      </c>
      <c r="N963" s="312">
        <v>0.45350000000000001</v>
      </c>
      <c r="O963" s="312">
        <v>0.31269999999999998</v>
      </c>
      <c r="P963" s="312">
        <v>0.30590000000000001</v>
      </c>
      <c r="Q963" s="312">
        <v>0.30259999999999998</v>
      </c>
      <c r="R963" s="312">
        <v>0.49509999999999998</v>
      </c>
      <c r="S963" s="312">
        <v>0.41749999999999998</v>
      </c>
      <c r="T963" s="312">
        <v>0.31690000000000002</v>
      </c>
      <c r="U963" s="312">
        <v>0.41089999999999999</v>
      </c>
      <c r="V963" s="312">
        <v>0.44750000000000001</v>
      </c>
      <c r="W963" s="312">
        <v>0.40200000000000002</v>
      </c>
      <c r="X963" s="312">
        <v>0.30709999999999998</v>
      </c>
      <c r="Y963" s="312">
        <v>0.34360000000000002</v>
      </c>
      <c r="Z963" s="312">
        <v>0.43859999999999999</v>
      </c>
      <c r="AA963" s="312">
        <v>0.38300000000000001</v>
      </c>
      <c r="AB963" s="312">
        <v>0.4047</v>
      </c>
      <c r="AC963" s="312">
        <v>0.36630000000000001</v>
      </c>
      <c r="AD963" s="312">
        <v>0.29680000000000001</v>
      </c>
      <c r="AE963" s="312">
        <v>0.42099999999999999</v>
      </c>
      <c r="AF963" s="312">
        <v>0</v>
      </c>
      <c r="AG963" s="312">
        <v>0.30070000000000002</v>
      </c>
      <c r="AH963" s="312">
        <v>0.33210000000000001</v>
      </c>
      <c r="AI963" s="312">
        <v>0.3982</v>
      </c>
      <c r="AJ963" s="312">
        <v>0.3115</v>
      </c>
      <c r="AK963" s="312">
        <v>0.31219999999999998</v>
      </c>
      <c r="AL963" s="312">
        <v>0.34429999999999999</v>
      </c>
      <c r="AM963" s="312">
        <v>0.49740000000000001</v>
      </c>
      <c r="AN963" s="312">
        <v>0.3569</v>
      </c>
      <c r="AO963" s="312">
        <v>0.3629</v>
      </c>
      <c r="AP963" s="312">
        <v>0.47149999999999997</v>
      </c>
      <c r="AQ963" s="312">
        <v>0.34489999999999998</v>
      </c>
      <c r="AR963" s="312">
        <v>0.42809999999999998</v>
      </c>
      <c r="AS963" s="312">
        <v>0.28289999999999998</v>
      </c>
      <c r="AT963" s="312">
        <v>0.42870000000000003</v>
      </c>
      <c r="AU963" s="312">
        <v>0.52159999999999995</v>
      </c>
      <c r="AV963" s="312">
        <v>0.38650000000000001</v>
      </c>
      <c r="AW963" s="312">
        <v>0.36580000000000001</v>
      </c>
      <c r="AX963" s="312">
        <v>0</v>
      </c>
      <c r="AY963" s="312">
        <v>0.37519999999999998</v>
      </c>
      <c r="AZ963" s="312">
        <v>0.3916</v>
      </c>
      <c r="BA963" s="312">
        <v>0.3211</v>
      </c>
      <c r="BB963" s="312">
        <v>0</v>
      </c>
      <c r="BC963" s="312">
        <v>0.44690000000000002</v>
      </c>
      <c r="BD963" s="312">
        <v>0.4723</v>
      </c>
      <c r="BE963" s="312">
        <v>0.52339999999999998</v>
      </c>
      <c r="BF963" s="312">
        <v>0.39350000000000002</v>
      </c>
      <c r="BG963" s="312">
        <v>0.4803</v>
      </c>
      <c r="BH963" s="312">
        <v>0.47920000000000001</v>
      </c>
      <c r="BI963" s="312">
        <v>0.53069999999999995</v>
      </c>
      <c r="BJ963" s="312">
        <v>0.38290000000000002</v>
      </c>
      <c r="BK963" s="312">
        <v>0.42549999999999999</v>
      </c>
      <c r="BM963">
        <f>(C963-C552)*1000000/(RIMS_emp!C963-RIMS_emp!C552)</f>
        <v>37540.483308420524</v>
      </c>
    </row>
    <row r="964" spans="1:65" x14ac:dyDescent="0.25">
      <c r="A964" s="306">
        <v>326150</v>
      </c>
      <c r="B964" s="312" t="s">
        <v>128</v>
      </c>
      <c r="C964" s="312">
        <v>0.69299999999999995</v>
      </c>
      <c r="D964" s="312">
        <v>0.24840000000000001</v>
      </c>
      <c r="E964" s="312">
        <v>0.434</v>
      </c>
      <c r="F964" s="312">
        <v>0.35780000000000001</v>
      </c>
      <c r="G964" s="312">
        <v>0.34870000000000001</v>
      </c>
      <c r="H964" s="312">
        <v>0.4229</v>
      </c>
      <c r="I964" s="312">
        <v>0.40560000000000002</v>
      </c>
      <c r="J964" s="312">
        <v>0.39579999999999999</v>
      </c>
      <c r="K964" s="312">
        <v>0</v>
      </c>
      <c r="L964" s="312">
        <v>0.2994</v>
      </c>
      <c r="M964" s="312">
        <v>0.371</v>
      </c>
      <c r="N964" s="312">
        <v>0.47049999999999997</v>
      </c>
      <c r="O964" s="312">
        <v>0</v>
      </c>
      <c r="P964" s="312">
        <v>0.32400000000000001</v>
      </c>
      <c r="Q964" s="312">
        <v>0</v>
      </c>
      <c r="R964" s="312">
        <v>0.51419999999999999</v>
      </c>
      <c r="S964" s="312">
        <v>0.43880000000000002</v>
      </c>
      <c r="T964" s="312">
        <v>0.34250000000000003</v>
      </c>
      <c r="U964" s="312">
        <v>0.4229</v>
      </c>
      <c r="V964" s="312">
        <v>0.42920000000000003</v>
      </c>
      <c r="W964" s="312">
        <v>0.40500000000000003</v>
      </c>
      <c r="X964" s="312">
        <v>0.31009999999999999</v>
      </c>
      <c r="Y964" s="312">
        <v>0.33350000000000002</v>
      </c>
      <c r="Z964" s="312">
        <v>0.44009999999999999</v>
      </c>
      <c r="AA964" s="312">
        <v>0.43169999999999997</v>
      </c>
      <c r="AB964" s="312">
        <v>0.42709999999999998</v>
      </c>
      <c r="AC964" s="312">
        <v>0.34789999999999999</v>
      </c>
      <c r="AD964" s="312">
        <v>0</v>
      </c>
      <c r="AE964" s="312">
        <v>0.42770000000000002</v>
      </c>
      <c r="AF964" s="312">
        <v>0</v>
      </c>
      <c r="AG964" s="312">
        <v>0.31159999999999999</v>
      </c>
      <c r="AH964" s="312">
        <v>0.35049999999999998</v>
      </c>
      <c r="AI964" s="312">
        <v>0.4345</v>
      </c>
      <c r="AJ964" s="312">
        <v>0.30309999999999998</v>
      </c>
      <c r="AK964" s="312">
        <v>0.31459999999999999</v>
      </c>
      <c r="AL964" s="312">
        <v>0.34010000000000001</v>
      </c>
      <c r="AM964" s="312">
        <v>0.51780000000000004</v>
      </c>
      <c r="AN964" s="312">
        <v>0.36230000000000001</v>
      </c>
      <c r="AO964" s="312">
        <v>0.38300000000000001</v>
      </c>
      <c r="AP964" s="312">
        <v>0.47910000000000003</v>
      </c>
      <c r="AQ964" s="312">
        <v>0.34160000000000001</v>
      </c>
      <c r="AR964" s="312">
        <v>0.44440000000000002</v>
      </c>
      <c r="AS964" s="312">
        <v>0</v>
      </c>
      <c r="AT964" s="312">
        <v>0.44130000000000003</v>
      </c>
      <c r="AU964" s="312">
        <v>0.52149999999999996</v>
      </c>
      <c r="AV964" s="312">
        <v>0.39279999999999998</v>
      </c>
      <c r="AW964" s="312">
        <v>0.3826</v>
      </c>
      <c r="AX964" s="312">
        <v>0</v>
      </c>
      <c r="AY964" s="312">
        <v>0.375</v>
      </c>
      <c r="AZ964" s="312">
        <v>0.42509999999999998</v>
      </c>
      <c r="BA964" s="312">
        <v>0.32429999999999998</v>
      </c>
      <c r="BB964" s="312">
        <v>0</v>
      </c>
      <c r="BC964" s="312">
        <v>0.46129999999999999</v>
      </c>
      <c r="BD964" s="312">
        <v>0.49080000000000001</v>
      </c>
      <c r="BE964" s="312">
        <v>0.54869999999999997</v>
      </c>
      <c r="BF964" s="312">
        <v>0.43859999999999999</v>
      </c>
      <c r="BG964" s="312">
        <v>0.48730000000000001</v>
      </c>
      <c r="BH964" s="312">
        <v>0.49440000000000001</v>
      </c>
      <c r="BI964" s="312">
        <v>0.52759999999999996</v>
      </c>
      <c r="BJ964" s="312">
        <v>0.39350000000000002</v>
      </c>
      <c r="BK964" s="312">
        <v>0.4274</v>
      </c>
      <c r="BM964">
        <f>(C964-C553)*1000000/(RIMS_emp!C964-RIMS_emp!C553)</f>
        <v>37550.78527681766</v>
      </c>
    </row>
    <row r="965" spans="1:65" x14ac:dyDescent="0.25">
      <c r="A965" s="306">
        <v>326160</v>
      </c>
      <c r="B965" s="312" t="s">
        <v>129</v>
      </c>
      <c r="C965" s="312">
        <v>0.63700000000000001</v>
      </c>
      <c r="D965" s="312">
        <v>0</v>
      </c>
      <c r="E965" s="312">
        <v>0.42020000000000002</v>
      </c>
      <c r="F965" s="312">
        <v>0.32319999999999999</v>
      </c>
      <c r="G965" s="312">
        <v>0.31</v>
      </c>
      <c r="H965" s="312">
        <v>0.36180000000000001</v>
      </c>
      <c r="I965" s="312">
        <v>0.34710000000000002</v>
      </c>
      <c r="J965" s="312">
        <v>0.36399999999999999</v>
      </c>
      <c r="K965" s="312">
        <v>0</v>
      </c>
      <c r="L965" s="312">
        <v>0.3029</v>
      </c>
      <c r="M965" s="312">
        <v>0.32119999999999999</v>
      </c>
      <c r="N965" s="312">
        <v>0.40600000000000003</v>
      </c>
      <c r="O965" s="312">
        <v>0.27479999999999999</v>
      </c>
      <c r="P965" s="312">
        <v>0.2984</v>
      </c>
      <c r="Q965" s="312">
        <v>0</v>
      </c>
      <c r="R965" s="312">
        <v>0.46479999999999999</v>
      </c>
      <c r="S965" s="312">
        <v>0.4007</v>
      </c>
      <c r="T965" s="312">
        <v>0.29930000000000001</v>
      </c>
      <c r="U965" s="312">
        <v>0.38819999999999999</v>
      </c>
      <c r="V965" s="312">
        <v>0.42680000000000001</v>
      </c>
      <c r="W965" s="312">
        <v>0.37759999999999999</v>
      </c>
      <c r="X965" s="312">
        <v>0.27139999999999997</v>
      </c>
      <c r="Y965" s="312">
        <v>0.30120000000000002</v>
      </c>
      <c r="Z965" s="312">
        <v>0.41980000000000001</v>
      </c>
      <c r="AA965" s="312">
        <v>0.35699999999999998</v>
      </c>
      <c r="AB965" s="312">
        <v>0.39839999999999998</v>
      </c>
      <c r="AC965" s="312">
        <v>0.34449999999999997</v>
      </c>
      <c r="AD965" s="312">
        <v>0.26669999999999999</v>
      </c>
      <c r="AE965" s="312">
        <v>0.37859999999999999</v>
      </c>
      <c r="AF965" s="312">
        <v>0.2316</v>
      </c>
      <c r="AG965" s="312">
        <v>0</v>
      </c>
      <c r="AH965" s="312">
        <v>0.30740000000000001</v>
      </c>
      <c r="AI965" s="312">
        <v>0.37919999999999998</v>
      </c>
      <c r="AJ965" s="312">
        <v>0</v>
      </c>
      <c r="AK965" s="312">
        <v>0.2782</v>
      </c>
      <c r="AL965" s="312">
        <v>0.29470000000000002</v>
      </c>
      <c r="AM965" s="312">
        <v>0.47060000000000002</v>
      </c>
      <c r="AN965" s="312">
        <v>0.32469999999999999</v>
      </c>
      <c r="AO965" s="312">
        <v>0.3286</v>
      </c>
      <c r="AP965" s="312">
        <v>0.45619999999999999</v>
      </c>
      <c r="AQ965" s="312">
        <v>0.32490000000000002</v>
      </c>
      <c r="AR965" s="312">
        <v>0.42549999999999999</v>
      </c>
      <c r="AS965" s="312">
        <v>0.26390000000000002</v>
      </c>
      <c r="AT965" s="312">
        <v>0.41110000000000002</v>
      </c>
      <c r="AU965" s="312">
        <v>0.49569999999999997</v>
      </c>
      <c r="AV965" s="312">
        <v>0.33979999999999999</v>
      </c>
      <c r="AW965" s="312">
        <v>0.33760000000000001</v>
      </c>
      <c r="AX965" s="312">
        <v>0.2429</v>
      </c>
      <c r="AY965" s="312">
        <v>0.34239999999999998</v>
      </c>
      <c r="AZ965" s="312">
        <v>0.36599999999999999</v>
      </c>
      <c r="BA965" s="312">
        <v>0.32590000000000002</v>
      </c>
      <c r="BB965" s="312">
        <v>0.2261</v>
      </c>
      <c r="BC965" s="312">
        <v>0.4254</v>
      </c>
      <c r="BD965" s="312">
        <v>0.42380000000000001</v>
      </c>
      <c r="BE965" s="312">
        <v>0.49430000000000002</v>
      </c>
      <c r="BF965" s="312">
        <v>0.37659999999999999</v>
      </c>
      <c r="BG965" s="312">
        <v>0.44319999999999998</v>
      </c>
      <c r="BH965" s="312">
        <v>0.45350000000000001</v>
      </c>
      <c r="BI965" s="312">
        <v>0.50429999999999997</v>
      </c>
      <c r="BJ965" s="312">
        <v>0.33739999999999998</v>
      </c>
      <c r="BK965" s="312">
        <v>0.36849999999999999</v>
      </c>
      <c r="BM965">
        <f>(C965-C554)*1000000/(RIMS_emp!C965-RIMS_emp!C554)</f>
        <v>37531.743676000136</v>
      </c>
    </row>
    <row r="966" spans="1:65" x14ac:dyDescent="0.25">
      <c r="A966" s="306" t="s">
        <v>716</v>
      </c>
      <c r="B966" s="312" t="s">
        <v>130</v>
      </c>
      <c r="C966" s="312">
        <v>0.77310000000000001</v>
      </c>
      <c r="D966" s="312">
        <v>0.33400000000000002</v>
      </c>
      <c r="E966" s="312">
        <v>0.50900000000000001</v>
      </c>
      <c r="F966" s="312">
        <v>0.41980000000000001</v>
      </c>
      <c r="G966" s="312">
        <v>0.4546</v>
      </c>
      <c r="H966" s="312">
        <v>0.52370000000000005</v>
      </c>
      <c r="I966" s="312">
        <v>0.51100000000000001</v>
      </c>
      <c r="J966" s="312">
        <v>0.48070000000000002</v>
      </c>
      <c r="K966" s="312">
        <v>0</v>
      </c>
      <c r="L966" s="312">
        <v>0.37040000000000001</v>
      </c>
      <c r="M966" s="312">
        <v>0.46949999999999997</v>
      </c>
      <c r="N966" s="312">
        <v>0.54590000000000005</v>
      </c>
      <c r="O966" s="312">
        <v>0.40200000000000002</v>
      </c>
      <c r="P966" s="312">
        <v>0.39100000000000001</v>
      </c>
      <c r="Q966" s="312">
        <v>0.39550000000000002</v>
      </c>
      <c r="R966" s="312">
        <v>0.59189999999999998</v>
      </c>
      <c r="S966" s="312">
        <v>0.50249999999999995</v>
      </c>
      <c r="T966" s="312">
        <v>0.40439999999999998</v>
      </c>
      <c r="U966" s="312">
        <v>0.49170000000000003</v>
      </c>
      <c r="V966" s="312">
        <v>0.50580000000000003</v>
      </c>
      <c r="W966" s="312">
        <v>0.50560000000000005</v>
      </c>
      <c r="X966" s="312">
        <v>0.39489999999999997</v>
      </c>
      <c r="Y966" s="312">
        <v>0.44269999999999998</v>
      </c>
      <c r="Z966" s="312">
        <v>0.54690000000000005</v>
      </c>
      <c r="AA966" s="312">
        <v>0.50019999999999998</v>
      </c>
      <c r="AB966" s="312">
        <v>0.50919999999999999</v>
      </c>
      <c r="AC966" s="312">
        <v>0.43459999999999999</v>
      </c>
      <c r="AD966" s="312">
        <v>0.37419999999999998</v>
      </c>
      <c r="AE966" s="312">
        <v>0.50519999999999998</v>
      </c>
      <c r="AF966" s="312">
        <v>0.32369999999999999</v>
      </c>
      <c r="AG966" s="312">
        <v>0.38040000000000002</v>
      </c>
      <c r="AH966" s="312">
        <v>0.44979999999999998</v>
      </c>
      <c r="AI966" s="312">
        <v>0.50009999999999999</v>
      </c>
      <c r="AJ966" s="312">
        <v>0.38519999999999999</v>
      </c>
      <c r="AK966" s="312">
        <v>0.4143</v>
      </c>
      <c r="AL966" s="312">
        <v>0.4264</v>
      </c>
      <c r="AM966" s="312">
        <v>0.58489999999999998</v>
      </c>
      <c r="AN966" s="312">
        <v>0.4632</v>
      </c>
      <c r="AO966" s="312">
        <v>0.47089999999999999</v>
      </c>
      <c r="AP966" s="312">
        <v>0.58699999999999997</v>
      </c>
      <c r="AQ966" s="312">
        <v>0.43690000000000001</v>
      </c>
      <c r="AR966" s="312">
        <v>0.52549999999999997</v>
      </c>
      <c r="AS966" s="312">
        <v>0.36499999999999999</v>
      </c>
      <c r="AT966" s="312">
        <v>0.53249999999999997</v>
      </c>
      <c r="AU966" s="312">
        <v>0.60389999999999999</v>
      </c>
      <c r="AV966" s="312">
        <v>0.49370000000000003</v>
      </c>
      <c r="AW966" s="312">
        <v>0.4647</v>
      </c>
      <c r="AX966" s="312">
        <v>0.36020000000000002</v>
      </c>
      <c r="AY966" s="312">
        <v>0.48280000000000001</v>
      </c>
      <c r="AZ966" s="312">
        <v>0.49869999999999998</v>
      </c>
      <c r="BA966" s="312">
        <v>0.39700000000000002</v>
      </c>
      <c r="BB966" s="312">
        <v>0.3216</v>
      </c>
      <c r="BC966" s="312">
        <v>0.56940000000000002</v>
      </c>
      <c r="BD966" s="312">
        <v>0.57010000000000005</v>
      </c>
      <c r="BE966" s="312">
        <v>0.62250000000000005</v>
      </c>
      <c r="BF966" s="312">
        <v>0.50509999999999999</v>
      </c>
      <c r="BG966" s="312">
        <v>0.58350000000000002</v>
      </c>
      <c r="BH966" s="312">
        <v>0.56089999999999995</v>
      </c>
      <c r="BI966" s="312">
        <v>0.61180000000000001</v>
      </c>
      <c r="BJ966" s="312">
        <v>0.49440000000000001</v>
      </c>
      <c r="BK966" s="312">
        <v>0.53410000000000002</v>
      </c>
      <c r="BM966">
        <f>(C966-C555)*1000000/(RIMS_emp!C966-RIMS_emp!C555)</f>
        <v>37544.331661978722</v>
      </c>
    </row>
    <row r="967" spans="1:65" x14ac:dyDescent="0.25">
      <c r="A967" s="306">
        <v>326210</v>
      </c>
      <c r="B967" s="312" t="s">
        <v>131</v>
      </c>
      <c r="C967" s="312">
        <v>0.76519999999999999</v>
      </c>
      <c r="D967" s="312">
        <v>0</v>
      </c>
      <c r="E967" s="312">
        <v>0.51039999999999996</v>
      </c>
      <c r="F967" s="312">
        <v>0.41899999999999998</v>
      </c>
      <c r="G967" s="312">
        <v>0.46379999999999999</v>
      </c>
      <c r="H967" s="312">
        <v>0.51800000000000002</v>
      </c>
      <c r="I967" s="312">
        <v>0.51060000000000005</v>
      </c>
      <c r="J967" s="312">
        <v>0.43890000000000001</v>
      </c>
      <c r="K967" s="312">
        <v>0</v>
      </c>
      <c r="L967" s="312">
        <v>0.34470000000000001</v>
      </c>
      <c r="M967" s="312">
        <v>0.48220000000000002</v>
      </c>
      <c r="N967" s="312">
        <v>0.56869999999999998</v>
      </c>
      <c r="O967" s="312">
        <v>0.40649999999999997</v>
      </c>
      <c r="P967" s="312">
        <v>0.37459999999999999</v>
      </c>
      <c r="Q967" s="312">
        <v>0.3886</v>
      </c>
      <c r="R967" s="312">
        <v>0.56359999999999999</v>
      </c>
      <c r="S967" s="312">
        <v>0.49109999999999998</v>
      </c>
      <c r="T967" s="312">
        <v>0.42199999999999999</v>
      </c>
      <c r="U967" s="312">
        <v>0.49440000000000001</v>
      </c>
      <c r="V967" s="312">
        <v>0.49669999999999997</v>
      </c>
      <c r="W967" s="312">
        <v>0.46929999999999999</v>
      </c>
      <c r="X967" s="312">
        <v>0.39169999999999999</v>
      </c>
      <c r="Y967" s="312">
        <v>0.4516</v>
      </c>
      <c r="Z967" s="312">
        <v>0.50290000000000001</v>
      </c>
      <c r="AA967" s="312">
        <v>0.48209999999999997</v>
      </c>
      <c r="AB967" s="312">
        <v>0.48409999999999997</v>
      </c>
      <c r="AC967" s="312">
        <v>0.43430000000000002</v>
      </c>
      <c r="AD967" s="312">
        <v>0.39140000000000003</v>
      </c>
      <c r="AE967" s="312">
        <v>0.51649999999999996</v>
      </c>
      <c r="AF967" s="312">
        <v>0.32340000000000002</v>
      </c>
      <c r="AG967" s="312">
        <v>0.37880000000000003</v>
      </c>
      <c r="AH967" s="312">
        <v>0.41930000000000001</v>
      </c>
      <c r="AI967" s="312">
        <v>0.47310000000000002</v>
      </c>
      <c r="AJ967" s="312">
        <v>0.39140000000000003</v>
      </c>
      <c r="AK967" s="312">
        <v>0.4073</v>
      </c>
      <c r="AL967" s="312">
        <v>0.43409999999999999</v>
      </c>
      <c r="AM967" s="312">
        <v>0.58589999999999998</v>
      </c>
      <c r="AN967" s="312">
        <v>0.47470000000000001</v>
      </c>
      <c r="AO967" s="312">
        <v>0.46899999999999997</v>
      </c>
      <c r="AP967" s="312">
        <v>0.54210000000000003</v>
      </c>
      <c r="AQ967" s="312">
        <v>0</v>
      </c>
      <c r="AR967" s="312">
        <v>0.50539999999999996</v>
      </c>
      <c r="AS967" s="312">
        <v>0.35599999999999998</v>
      </c>
      <c r="AT967" s="312">
        <v>0.51270000000000004</v>
      </c>
      <c r="AU967" s="312">
        <v>0.58579999999999999</v>
      </c>
      <c r="AV967" s="312">
        <v>0.4849</v>
      </c>
      <c r="AW967" s="312">
        <v>0.46810000000000002</v>
      </c>
      <c r="AX967" s="312">
        <v>0</v>
      </c>
      <c r="AY967" s="312">
        <v>0.46779999999999999</v>
      </c>
      <c r="AZ967" s="312">
        <v>0.48480000000000001</v>
      </c>
      <c r="BA967" s="312">
        <v>0.36799999999999999</v>
      </c>
      <c r="BB967" s="312">
        <v>0</v>
      </c>
      <c r="BC967" s="312">
        <v>0.52569999999999995</v>
      </c>
      <c r="BD967" s="312">
        <v>0.56189999999999996</v>
      </c>
      <c r="BE967" s="312">
        <v>0.6</v>
      </c>
      <c r="BF967" s="312">
        <v>0.50170000000000003</v>
      </c>
      <c r="BG967" s="312">
        <v>0.59179999999999999</v>
      </c>
      <c r="BH967" s="312">
        <v>0.57110000000000005</v>
      </c>
      <c r="BI967" s="312">
        <v>0.60680000000000001</v>
      </c>
      <c r="BJ967" s="312">
        <v>0.49259999999999998</v>
      </c>
      <c r="BK967" s="312">
        <v>0.52480000000000004</v>
      </c>
      <c r="BM967">
        <f>(C967-C556)*1000000/(RIMS_emp!C967-RIMS_emp!C556)</f>
        <v>37531.230266589788</v>
      </c>
    </row>
    <row r="968" spans="1:65" x14ac:dyDescent="0.25">
      <c r="A968" s="306">
        <v>326220</v>
      </c>
      <c r="B968" s="312" t="s">
        <v>132</v>
      </c>
      <c r="C968" s="312">
        <v>0.68189999999999995</v>
      </c>
      <c r="D968" s="312">
        <v>0</v>
      </c>
      <c r="E968" s="312">
        <v>0.45240000000000002</v>
      </c>
      <c r="F968" s="312">
        <v>0.38090000000000002</v>
      </c>
      <c r="G968" s="312">
        <v>0.40039999999999998</v>
      </c>
      <c r="H968" s="312">
        <v>0.47249999999999998</v>
      </c>
      <c r="I968" s="312">
        <v>0.45129999999999998</v>
      </c>
      <c r="J968" s="312">
        <v>0.43059999999999998</v>
      </c>
      <c r="K968" s="312">
        <v>0</v>
      </c>
      <c r="L968" s="312">
        <v>0.3115</v>
      </c>
      <c r="M968" s="312">
        <v>0.4279</v>
      </c>
      <c r="N968" s="312">
        <v>0.48780000000000001</v>
      </c>
      <c r="O968" s="312">
        <v>0</v>
      </c>
      <c r="P968" s="312">
        <v>0.35909999999999997</v>
      </c>
      <c r="Q968" s="312">
        <v>0.34970000000000001</v>
      </c>
      <c r="R968" s="312">
        <v>0.53210000000000002</v>
      </c>
      <c r="S968" s="312">
        <v>0.45569999999999999</v>
      </c>
      <c r="T968" s="312">
        <v>0.35339999999999999</v>
      </c>
      <c r="U968" s="312">
        <v>0.45050000000000001</v>
      </c>
      <c r="V968" s="312">
        <v>0.44219999999999998</v>
      </c>
      <c r="W968" s="312">
        <v>0.43559999999999999</v>
      </c>
      <c r="X968" s="312">
        <v>0.3483</v>
      </c>
      <c r="Y968" s="312">
        <v>0</v>
      </c>
      <c r="Z968" s="312">
        <v>0.4899</v>
      </c>
      <c r="AA968" s="312">
        <v>0.45569999999999999</v>
      </c>
      <c r="AB968" s="312">
        <v>0.45229999999999998</v>
      </c>
      <c r="AC968" s="312">
        <v>0.39190000000000003</v>
      </c>
      <c r="AD968" s="312">
        <v>0</v>
      </c>
      <c r="AE968" s="312">
        <v>0.46029999999999999</v>
      </c>
      <c r="AF968" s="312">
        <v>0.2928</v>
      </c>
      <c r="AG968" s="312">
        <v>0.36809999999999998</v>
      </c>
      <c r="AH968" s="312">
        <v>0.40179999999999999</v>
      </c>
      <c r="AI968" s="312">
        <v>0.4289</v>
      </c>
      <c r="AJ968" s="312">
        <v>0</v>
      </c>
      <c r="AK968" s="312">
        <v>0.35930000000000001</v>
      </c>
      <c r="AL968" s="312">
        <v>0.3775</v>
      </c>
      <c r="AM968" s="312">
        <v>0.52880000000000005</v>
      </c>
      <c r="AN968" s="312">
        <v>0.43130000000000002</v>
      </c>
      <c r="AO968" s="312">
        <v>0.4158</v>
      </c>
      <c r="AP968" s="312">
        <v>0.50739999999999996</v>
      </c>
      <c r="AQ968" s="312">
        <v>0.37459999999999999</v>
      </c>
      <c r="AR968" s="312">
        <v>0.46400000000000002</v>
      </c>
      <c r="AS968" s="312">
        <v>0</v>
      </c>
      <c r="AT968" s="312">
        <v>0.46750000000000003</v>
      </c>
      <c r="AU968" s="312">
        <v>0.52980000000000005</v>
      </c>
      <c r="AV968" s="312">
        <v>0.44450000000000001</v>
      </c>
      <c r="AW968" s="312">
        <v>0.41149999999999998</v>
      </c>
      <c r="AX968" s="312">
        <v>0</v>
      </c>
      <c r="AY968" s="312">
        <v>0.40679999999999999</v>
      </c>
      <c r="AZ968" s="312">
        <v>0.45929999999999999</v>
      </c>
      <c r="BA968" s="312">
        <v>0.3533</v>
      </c>
      <c r="BB968" s="312">
        <v>0</v>
      </c>
      <c r="BC968" s="312">
        <v>0.49399999999999999</v>
      </c>
      <c r="BD968" s="312">
        <v>0.49809999999999999</v>
      </c>
      <c r="BE968" s="312">
        <v>0.55730000000000002</v>
      </c>
      <c r="BF968" s="312">
        <v>0.45900000000000002</v>
      </c>
      <c r="BG968" s="312">
        <v>0.51380000000000003</v>
      </c>
      <c r="BH968" s="312">
        <v>0.50660000000000005</v>
      </c>
      <c r="BI968" s="312">
        <v>0.54039999999999999</v>
      </c>
      <c r="BJ968" s="312">
        <v>0.43590000000000001</v>
      </c>
      <c r="BK968" s="312">
        <v>0.47160000000000002</v>
      </c>
      <c r="BM968">
        <f>(C968-C557)*1000000/(RIMS_emp!C968-RIMS_emp!C557)</f>
        <v>37541.400292690436</v>
      </c>
    </row>
    <row r="969" spans="1:65" x14ac:dyDescent="0.25">
      <c r="A969" s="306">
        <v>326290</v>
      </c>
      <c r="B969" s="312" t="s">
        <v>133</v>
      </c>
      <c r="C969" s="312">
        <v>0.78100000000000003</v>
      </c>
      <c r="D969" s="312">
        <v>0</v>
      </c>
      <c r="E969" s="312">
        <v>0.51119999999999999</v>
      </c>
      <c r="F969" s="312">
        <v>0.42949999999999999</v>
      </c>
      <c r="G969" s="312">
        <v>0.45760000000000001</v>
      </c>
      <c r="H969" s="312">
        <v>0.5403</v>
      </c>
      <c r="I969" s="312">
        <v>0.50490000000000002</v>
      </c>
      <c r="J969" s="312">
        <v>0.48630000000000001</v>
      </c>
      <c r="K969" s="312">
        <v>0</v>
      </c>
      <c r="L969" s="312">
        <v>0.34570000000000001</v>
      </c>
      <c r="M969" s="312">
        <v>0.48359999999999997</v>
      </c>
      <c r="N969" s="312">
        <v>0.55320000000000003</v>
      </c>
      <c r="O969" s="312">
        <v>0</v>
      </c>
      <c r="P969" s="312">
        <v>0.40510000000000002</v>
      </c>
      <c r="Q969" s="312">
        <v>0.3861</v>
      </c>
      <c r="R969" s="312">
        <v>0.60540000000000005</v>
      </c>
      <c r="S969" s="312">
        <v>0.51580000000000004</v>
      </c>
      <c r="T969" s="312">
        <v>0.4042</v>
      </c>
      <c r="U969" s="312">
        <v>0.50829999999999997</v>
      </c>
      <c r="V969" s="312">
        <v>0.496</v>
      </c>
      <c r="W969" s="312">
        <v>0.49740000000000001</v>
      </c>
      <c r="X969" s="312">
        <v>0.39610000000000001</v>
      </c>
      <c r="Y969" s="312">
        <v>0.43819999999999998</v>
      </c>
      <c r="Z969" s="312">
        <v>0.55330000000000001</v>
      </c>
      <c r="AA969" s="312">
        <v>0.51980000000000004</v>
      </c>
      <c r="AB969" s="312">
        <v>0.50860000000000005</v>
      </c>
      <c r="AC969" s="312">
        <v>0.43380000000000002</v>
      </c>
      <c r="AD969" s="312">
        <v>0.3851</v>
      </c>
      <c r="AE969" s="312">
        <v>0.51819999999999999</v>
      </c>
      <c r="AF969" s="312">
        <v>0</v>
      </c>
      <c r="AG969" s="312">
        <v>0.40910000000000002</v>
      </c>
      <c r="AH969" s="312">
        <v>0.45979999999999999</v>
      </c>
      <c r="AI969" s="312">
        <v>0.4869</v>
      </c>
      <c r="AJ969" s="312">
        <v>0.4108</v>
      </c>
      <c r="AK969" s="312">
        <v>0.4052</v>
      </c>
      <c r="AL969" s="312">
        <v>0.43090000000000001</v>
      </c>
      <c r="AM969" s="312">
        <v>0.60299999999999998</v>
      </c>
      <c r="AN969" s="312">
        <v>0.48659999999999998</v>
      </c>
      <c r="AO969" s="312">
        <v>0.47889999999999999</v>
      </c>
      <c r="AP969" s="312">
        <v>0.57689999999999997</v>
      </c>
      <c r="AQ969" s="312">
        <v>0.42370000000000002</v>
      </c>
      <c r="AR969" s="312">
        <v>0.52259999999999995</v>
      </c>
      <c r="AS969" s="312">
        <v>0.38450000000000001</v>
      </c>
      <c r="AT969" s="312">
        <v>0.5262</v>
      </c>
      <c r="AU969" s="312">
        <v>0.59850000000000003</v>
      </c>
      <c r="AV969" s="312">
        <v>0.50639999999999996</v>
      </c>
      <c r="AW969" s="312">
        <v>0.4637</v>
      </c>
      <c r="AX969" s="312">
        <v>0.37440000000000001</v>
      </c>
      <c r="AY969" s="312">
        <v>0.46079999999999999</v>
      </c>
      <c r="AZ969" s="312">
        <v>0.52339999999999998</v>
      </c>
      <c r="BA969" s="312">
        <v>0.39750000000000002</v>
      </c>
      <c r="BB969" s="312">
        <v>0.32550000000000001</v>
      </c>
      <c r="BC969" s="312">
        <v>0.56030000000000002</v>
      </c>
      <c r="BD969" s="312">
        <v>0.57489999999999997</v>
      </c>
      <c r="BE969" s="312">
        <v>0.63490000000000002</v>
      </c>
      <c r="BF969" s="312">
        <v>0.52300000000000002</v>
      </c>
      <c r="BG969" s="312">
        <v>0.58079999999999998</v>
      </c>
      <c r="BH969" s="312">
        <v>0.57650000000000001</v>
      </c>
      <c r="BI969" s="312">
        <v>0.60980000000000001</v>
      </c>
      <c r="BJ969" s="312">
        <v>0.4919</v>
      </c>
      <c r="BK969" s="312">
        <v>0.54120000000000001</v>
      </c>
      <c r="BM969">
        <f>(C969-C558)*1000000/(RIMS_emp!C969-RIMS_emp!C558)</f>
        <v>37539.173358081476</v>
      </c>
    </row>
    <row r="970" spans="1:65" x14ac:dyDescent="0.25">
      <c r="A970" s="306" t="s">
        <v>717</v>
      </c>
      <c r="B970" s="312" t="s">
        <v>134</v>
      </c>
      <c r="C970" s="312">
        <v>0.90369999999999995</v>
      </c>
      <c r="D970" s="312">
        <v>0</v>
      </c>
      <c r="E970" s="312">
        <v>0.62260000000000004</v>
      </c>
      <c r="F970" s="312">
        <v>0.57909999999999995</v>
      </c>
      <c r="G970" s="312">
        <v>0.61319999999999997</v>
      </c>
      <c r="H970" s="312">
        <v>0.70569999999999999</v>
      </c>
      <c r="I970" s="312">
        <v>0.68369999999999997</v>
      </c>
      <c r="J970" s="312">
        <v>0.6099</v>
      </c>
      <c r="K970" s="312">
        <v>0.1578</v>
      </c>
      <c r="L970" s="312">
        <v>0.46589999999999998</v>
      </c>
      <c r="M970" s="312">
        <v>0.62170000000000003</v>
      </c>
      <c r="N970" s="312">
        <v>0.69769999999999999</v>
      </c>
      <c r="O970" s="312">
        <v>0.5575</v>
      </c>
      <c r="P970" s="312">
        <v>0.51319999999999999</v>
      </c>
      <c r="Q970" s="312">
        <v>0.53720000000000001</v>
      </c>
      <c r="R970" s="312">
        <v>0.70799999999999996</v>
      </c>
      <c r="S970" s="312">
        <v>0.63419999999999999</v>
      </c>
      <c r="T970" s="312">
        <v>0.51180000000000003</v>
      </c>
      <c r="U970" s="312">
        <v>0.62019999999999997</v>
      </c>
      <c r="V970" s="312">
        <v>0.60450000000000004</v>
      </c>
      <c r="W970" s="312">
        <v>0.62250000000000005</v>
      </c>
      <c r="X970" s="312">
        <v>0.54379999999999995</v>
      </c>
      <c r="Y970" s="312">
        <v>0.58599999999999997</v>
      </c>
      <c r="Z970" s="312">
        <v>0.70250000000000001</v>
      </c>
      <c r="AA970" s="312">
        <v>0.64200000000000002</v>
      </c>
      <c r="AB970" s="312">
        <v>0.65300000000000002</v>
      </c>
      <c r="AC970" s="312">
        <v>0.55459999999999998</v>
      </c>
      <c r="AD970" s="312">
        <v>0.52</v>
      </c>
      <c r="AE970" s="312">
        <v>0.65149999999999997</v>
      </c>
      <c r="AF970" s="312">
        <v>0.45329999999999998</v>
      </c>
      <c r="AG970" s="312">
        <v>0.52290000000000003</v>
      </c>
      <c r="AH970" s="312">
        <v>0.54779999999999995</v>
      </c>
      <c r="AI970" s="312">
        <v>0.64229999999999998</v>
      </c>
      <c r="AJ970" s="312">
        <v>0.54300000000000004</v>
      </c>
      <c r="AK970" s="312">
        <v>0.56599999999999995</v>
      </c>
      <c r="AL970" s="312">
        <v>0.57799999999999996</v>
      </c>
      <c r="AM970" s="312">
        <v>0.71260000000000001</v>
      </c>
      <c r="AN970" s="312">
        <v>0.59919999999999995</v>
      </c>
      <c r="AO970" s="312">
        <v>0.62829999999999997</v>
      </c>
      <c r="AP970" s="312">
        <v>0.72450000000000003</v>
      </c>
      <c r="AQ970" s="312">
        <v>0.50070000000000003</v>
      </c>
      <c r="AR970" s="312">
        <v>0.62</v>
      </c>
      <c r="AS970" s="312">
        <v>0.49380000000000002</v>
      </c>
      <c r="AT970" s="312">
        <v>0.6623</v>
      </c>
      <c r="AU970" s="312">
        <v>0.70199999999999996</v>
      </c>
      <c r="AV970" s="312">
        <v>0.68640000000000001</v>
      </c>
      <c r="AW970" s="312">
        <v>0.5968</v>
      </c>
      <c r="AX970" s="312">
        <v>0.5081</v>
      </c>
      <c r="AY970" s="312">
        <v>0.62390000000000001</v>
      </c>
      <c r="AZ970" s="312">
        <v>0.64949999999999997</v>
      </c>
      <c r="BA970" s="312">
        <v>0.47989999999999999</v>
      </c>
      <c r="BB970" s="312">
        <v>0.4834</v>
      </c>
      <c r="BC970" s="312">
        <v>0.70730000000000004</v>
      </c>
      <c r="BD970" s="312">
        <v>0.72170000000000001</v>
      </c>
      <c r="BE970" s="312">
        <v>0.75949999999999995</v>
      </c>
      <c r="BF970" s="312">
        <v>0.65939999999999999</v>
      </c>
      <c r="BG970" s="312">
        <v>0.71709999999999996</v>
      </c>
      <c r="BH970" s="312">
        <v>0.67769999999999997</v>
      </c>
      <c r="BI970" s="312">
        <v>0.71050000000000002</v>
      </c>
      <c r="BJ970" s="312">
        <v>0.66520000000000001</v>
      </c>
      <c r="BK970" s="312">
        <v>0.71160000000000001</v>
      </c>
      <c r="BM970">
        <f>(C970-C559)*1000000/(RIMS_emp!C970-RIMS_emp!C559)</f>
        <v>37548.534095928953</v>
      </c>
    </row>
    <row r="971" spans="1:65" x14ac:dyDescent="0.25">
      <c r="A971" s="306" t="s">
        <v>718</v>
      </c>
      <c r="B971" s="312" t="s">
        <v>135</v>
      </c>
      <c r="C971" s="312">
        <v>0.72499999999999998</v>
      </c>
      <c r="D971" s="312">
        <v>0</v>
      </c>
      <c r="E971" s="312">
        <v>0.50439999999999996</v>
      </c>
      <c r="F971" s="312">
        <v>0.4677</v>
      </c>
      <c r="G971" s="312">
        <v>0.49419999999999997</v>
      </c>
      <c r="H971" s="312">
        <v>0.55669999999999997</v>
      </c>
      <c r="I971" s="312">
        <v>0.56169999999999998</v>
      </c>
      <c r="J971" s="312">
        <v>0.48170000000000002</v>
      </c>
      <c r="K971" s="312">
        <v>0</v>
      </c>
      <c r="L971" s="312">
        <v>0</v>
      </c>
      <c r="M971" s="312">
        <v>0.50290000000000001</v>
      </c>
      <c r="N971" s="312">
        <v>0.54159999999999997</v>
      </c>
      <c r="O971" s="312">
        <v>0.45600000000000002</v>
      </c>
      <c r="P971" s="312">
        <v>0.40560000000000002</v>
      </c>
      <c r="Q971" s="312">
        <v>0.441</v>
      </c>
      <c r="R971" s="312">
        <v>0.56169999999999998</v>
      </c>
      <c r="S971" s="312">
        <v>0.50170000000000003</v>
      </c>
      <c r="T971" s="312">
        <v>0.41270000000000001</v>
      </c>
      <c r="U971" s="312">
        <v>0.4869</v>
      </c>
      <c r="V971" s="312">
        <v>0.49869999999999998</v>
      </c>
      <c r="W971" s="312">
        <v>0.48139999999999999</v>
      </c>
      <c r="X971" s="312">
        <v>0.43159999999999998</v>
      </c>
      <c r="Y971" s="312">
        <v>0.48180000000000001</v>
      </c>
      <c r="Z971" s="312">
        <v>0.5454</v>
      </c>
      <c r="AA971" s="312">
        <v>0.51060000000000005</v>
      </c>
      <c r="AB971" s="312">
        <v>0.51580000000000004</v>
      </c>
      <c r="AC971" s="312">
        <v>0.44829999999999998</v>
      </c>
      <c r="AD971" s="312">
        <v>0.44879999999999998</v>
      </c>
      <c r="AE971" s="312">
        <v>0.51049999999999995</v>
      </c>
      <c r="AF971" s="312">
        <v>0.37930000000000003</v>
      </c>
      <c r="AG971" s="312">
        <v>0.42430000000000001</v>
      </c>
      <c r="AH971" s="312">
        <v>0.43440000000000001</v>
      </c>
      <c r="AI971" s="312">
        <v>0.504</v>
      </c>
      <c r="AJ971" s="312">
        <v>0.4456</v>
      </c>
      <c r="AK971" s="312">
        <v>0</v>
      </c>
      <c r="AL971" s="312">
        <v>0.44819999999999999</v>
      </c>
      <c r="AM971" s="312">
        <v>0.55889999999999995</v>
      </c>
      <c r="AN971" s="312">
        <v>0.49980000000000002</v>
      </c>
      <c r="AO971" s="312">
        <v>0.51439999999999997</v>
      </c>
      <c r="AP971" s="312">
        <v>0.56950000000000001</v>
      </c>
      <c r="AQ971" s="312">
        <v>0</v>
      </c>
      <c r="AR971" s="312">
        <v>0.49569999999999997</v>
      </c>
      <c r="AS971" s="312">
        <v>0</v>
      </c>
      <c r="AT971" s="312">
        <v>0.50870000000000004</v>
      </c>
      <c r="AU971" s="312">
        <v>0.58040000000000003</v>
      </c>
      <c r="AV971" s="312">
        <v>0.56669999999999998</v>
      </c>
      <c r="AW971" s="312">
        <v>0.48709999999999998</v>
      </c>
      <c r="AX971" s="312">
        <v>0.41</v>
      </c>
      <c r="AY971" s="312">
        <v>0.50790000000000002</v>
      </c>
      <c r="AZ971" s="312">
        <v>0.5151</v>
      </c>
      <c r="BA971" s="312">
        <v>0.39600000000000002</v>
      </c>
      <c r="BB971" s="312">
        <v>0</v>
      </c>
      <c r="BC971" s="312">
        <v>0.54779999999999995</v>
      </c>
      <c r="BD971" s="312">
        <v>0.56159999999999999</v>
      </c>
      <c r="BE971" s="312">
        <v>0.59450000000000003</v>
      </c>
      <c r="BF971" s="312">
        <v>0.5212</v>
      </c>
      <c r="BG971" s="312">
        <v>0.5675</v>
      </c>
      <c r="BH971" s="312">
        <v>0.53510000000000002</v>
      </c>
      <c r="BI971" s="312">
        <v>0.58819999999999995</v>
      </c>
      <c r="BJ971" s="312">
        <v>0.55369999999999997</v>
      </c>
      <c r="BK971" s="312">
        <v>0.57279999999999998</v>
      </c>
      <c r="BM971">
        <f>(C971-C560)*1000000/(RIMS_emp!C971-RIMS_emp!C560)</f>
        <v>37542.563210896187</v>
      </c>
    </row>
    <row r="972" spans="1:65" x14ac:dyDescent="0.25">
      <c r="A972" s="306" t="s">
        <v>719</v>
      </c>
      <c r="B972" s="312" t="s">
        <v>136</v>
      </c>
      <c r="C972" s="312">
        <v>0.81620000000000004</v>
      </c>
      <c r="D972" s="312">
        <v>0</v>
      </c>
      <c r="E972" s="312">
        <v>0.55110000000000003</v>
      </c>
      <c r="F972" s="312">
        <v>0</v>
      </c>
      <c r="G972" s="312">
        <v>0.4955</v>
      </c>
      <c r="H972" s="312">
        <v>0.59699999999999998</v>
      </c>
      <c r="I972" s="312">
        <v>0.54359999999999997</v>
      </c>
      <c r="J972" s="312">
        <v>0</v>
      </c>
      <c r="K972" s="312">
        <v>0</v>
      </c>
      <c r="L972" s="312">
        <v>0.35610000000000003</v>
      </c>
      <c r="M972" s="312">
        <v>0.49780000000000002</v>
      </c>
      <c r="N972" s="312">
        <v>0.60209999999999997</v>
      </c>
      <c r="O972" s="312">
        <v>0</v>
      </c>
      <c r="P972" s="312">
        <v>0.38790000000000002</v>
      </c>
      <c r="Q972" s="312">
        <v>0.42180000000000001</v>
      </c>
      <c r="R972" s="312">
        <v>0.59630000000000005</v>
      </c>
      <c r="S972" s="312">
        <v>0.55759999999999998</v>
      </c>
      <c r="T972" s="312">
        <v>0.43059999999999998</v>
      </c>
      <c r="U972" s="312">
        <v>0.54039999999999999</v>
      </c>
      <c r="V972" s="312">
        <v>0.503</v>
      </c>
      <c r="W972" s="312">
        <v>0.53039999999999998</v>
      </c>
      <c r="X972" s="312">
        <v>0.43980000000000002</v>
      </c>
      <c r="Y972" s="312">
        <v>0</v>
      </c>
      <c r="Z972" s="312">
        <v>0.61339999999999995</v>
      </c>
      <c r="AA972" s="312">
        <v>0.50890000000000002</v>
      </c>
      <c r="AB972" s="312">
        <v>0.57020000000000004</v>
      </c>
      <c r="AC972" s="312">
        <v>0.42699999999999999</v>
      </c>
      <c r="AD972" s="312">
        <v>0</v>
      </c>
      <c r="AE972" s="312">
        <v>0.55740000000000001</v>
      </c>
      <c r="AF972" s="312">
        <v>0</v>
      </c>
      <c r="AG972" s="312">
        <v>0</v>
      </c>
      <c r="AH972" s="312">
        <v>0</v>
      </c>
      <c r="AI972" s="312">
        <v>0.52969999999999995</v>
      </c>
      <c r="AJ972" s="312">
        <v>0.437</v>
      </c>
      <c r="AK972" s="312">
        <v>0.44130000000000003</v>
      </c>
      <c r="AL972" s="312">
        <v>0.48749999999999999</v>
      </c>
      <c r="AM972" s="312">
        <v>0.62150000000000005</v>
      </c>
      <c r="AN972" s="312">
        <v>0.50339999999999996</v>
      </c>
      <c r="AO972" s="312">
        <v>0.52629999999999999</v>
      </c>
      <c r="AP972" s="312">
        <v>0.63680000000000003</v>
      </c>
      <c r="AQ972" s="312">
        <v>0</v>
      </c>
      <c r="AR972" s="312">
        <v>0.51890000000000003</v>
      </c>
      <c r="AS972" s="312">
        <v>0.37530000000000002</v>
      </c>
      <c r="AT972" s="312">
        <v>0.56289999999999996</v>
      </c>
      <c r="AU972" s="312">
        <v>0.60529999999999995</v>
      </c>
      <c r="AV972" s="312">
        <v>0.57189999999999996</v>
      </c>
      <c r="AW972" s="312">
        <v>0.46949999999999997</v>
      </c>
      <c r="AX972" s="312">
        <v>0.40970000000000001</v>
      </c>
      <c r="AY972" s="312">
        <v>0.51200000000000001</v>
      </c>
      <c r="AZ972" s="312">
        <v>0.52569999999999995</v>
      </c>
      <c r="BA972" s="312">
        <v>0.4103</v>
      </c>
      <c r="BB972" s="312">
        <v>0</v>
      </c>
      <c r="BC972" s="312">
        <v>0.60329999999999995</v>
      </c>
      <c r="BD972" s="312">
        <v>0.62739999999999996</v>
      </c>
      <c r="BE972" s="312">
        <v>0.67369999999999997</v>
      </c>
      <c r="BF972" s="312">
        <v>0.54979999999999996</v>
      </c>
      <c r="BG972" s="312">
        <v>0.6079</v>
      </c>
      <c r="BH972" s="312">
        <v>0.59570000000000001</v>
      </c>
      <c r="BI972" s="312">
        <v>0.60829999999999995</v>
      </c>
      <c r="BJ972" s="312">
        <v>0.54369999999999996</v>
      </c>
      <c r="BK972" s="312">
        <v>0.61129999999999995</v>
      </c>
      <c r="BM972">
        <f>(C972-C561)*1000000/(RIMS_emp!C972-RIMS_emp!C561)</f>
        <v>37543.760296540378</v>
      </c>
    </row>
    <row r="973" spans="1:65" x14ac:dyDescent="0.25">
      <c r="A973" s="306">
        <v>327211</v>
      </c>
      <c r="B973" s="312" t="s">
        <v>137</v>
      </c>
      <c r="C973" s="312">
        <v>0.6845</v>
      </c>
      <c r="D973" s="312">
        <v>0</v>
      </c>
      <c r="E973" s="312">
        <v>0</v>
      </c>
      <c r="F973" s="312">
        <v>0</v>
      </c>
      <c r="G973" s="312">
        <v>0.44219999999999998</v>
      </c>
      <c r="H973" s="312">
        <v>0.50360000000000005</v>
      </c>
      <c r="I973" s="312">
        <v>0.51580000000000004</v>
      </c>
      <c r="J973" s="312">
        <v>0.41549999999999998</v>
      </c>
      <c r="K973" s="312">
        <v>0</v>
      </c>
      <c r="L973" s="312">
        <v>0</v>
      </c>
      <c r="M973" s="312">
        <v>0.43430000000000002</v>
      </c>
      <c r="N973" s="312">
        <v>0.50429999999999997</v>
      </c>
      <c r="O973" s="312">
        <v>0</v>
      </c>
      <c r="P973" s="312">
        <v>0.35389999999999999</v>
      </c>
      <c r="Q973" s="312">
        <v>0</v>
      </c>
      <c r="R973" s="312">
        <v>0.51139999999999997</v>
      </c>
      <c r="S973" s="312">
        <v>0.45279999999999998</v>
      </c>
      <c r="T973" s="312">
        <v>0.38179999999999997</v>
      </c>
      <c r="U973" s="312">
        <v>0.4345</v>
      </c>
      <c r="V973" s="312">
        <v>0</v>
      </c>
      <c r="W973" s="312">
        <v>0.42330000000000001</v>
      </c>
      <c r="X973" s="312">
        <v>0.37919999999999998</v>
      </c>
      <c r="Y973" s="312">
        <v>0.4098</v>
      </c>
      <c r="Z973" s="312">
        <v>0.48509999999999998</v>
      </c>
      <c r="AA973" s="312">
        <v>0.44819999999999999</v>
      </c>
      <c r="AB973" s="312">
        <v>0</v>
      </c>
      <c r="AC973" s="312">
        <v>0</v>
      </c>
      <c r="AD973" s="312">
        <v>0</v>
      </c>
      <c r="AE973" s="312">
        <v>0.44540000000000002</v>
      </c>
      <c r="AF973" s="312">
        <v>0</v>
      </c>
      <c r="AG973" s="312">
        <v>0</v>
      </c>
      <c r="AH973" s="312">
        <v>0.37669999999999998</v>
      </c>
      <c r="AI973" s="312">
        <v>0.44140000000000001</v>
      </c>
      <c r="AJ973" s="312">
        <v>0</v>
      </c>
      <c r="AK973" s="312">
        <v>0</v>
      </c>
      <c r="AL973" s="312">
        <v>0.39439999999999997</v>
      </c>
      <c r="AM973" s="312">
        <v>0.51480000000000004</v>
      </c>
      <c r="AN973" s="312">
        <v>0.45390000000000003</v>
      </c>
      <c r="AO973" s="312">
        <v>0.45400000000000001</v>
      </c>
      <c r="AP973" s="312">
        <v>0.51739999999999997</v>
      </c>
      <c r="AQ973" s="312">
        <v>0</v>
      </c>
      <c r="AR973" s="312">
        <v>0.43509999999999999</v>
      </c>
      <c r="AS973" s="312">
        <v>0</v>
      </c>
      <c r="AT973" s="312">
        <v>0.47170000000000001</v>
      </c>
      <c r="AU973" s="312">
        <v>0.54690000000000005</v>
      </c>
      <c r="AV973" s="312">
        <v>0</v>
      </c>
      <c r="AW973" s="312">
        <v>0.4264</v>
      </c>
      <c r="AX973" s="312">
        <v>0</v>
      </c>
      <c r="AY973" s="312">
        <v>0.45040000000000002</v>
      </c>
      <c r="AZ973" s="312">
        <v>0.4546</v>
      </c>
      <c r="BA973" s="312">
        <v>0.37590000000000001</v>
      </c>
      <c r="BB973" s="312">
        <v>0</v>
      </c>
      <c r="BC973" s="312">
        <v>0.48420000000000002</v>
      </c>
      <c r="BD973" s="312">
        <v>0.50460000000000005</v>
      </c>
      <c r="BE973" s="312">
        <v>0.54359999999999997</v>
      </c>
      <c r="BF973" s="312">
        <v>0.47160000000000002</v>
      </c>
      <c r="BG973" s="312">
        <v>0.51959999999999995</v>
      </c>
      <c r="BH973" s="312">
        <v>0.49709999999999999</v>
      </c>
      <c r="BI973" s="312">
        <v>0.55010000000000003</v>
      </c>
      <c r="BJ973" s="312">
        <v>0.51370000000000005</v>
      </c>
      <c r="BK973" s="312">
        <v>0.51370000000000005</v>
      </c>
      <c r="BM973">
        <f>(C973-C562)*1000000/(RIMS_emp!C973-RIMS_emp!C562)</f>
        <v>37541.247793722658</v>
      </c>
    </row>
    <row r="974" spans="1:65" x14ac:dyDescent="0.25">
      <c r="A974" s="306">
        <v>327212</v>
      </c>
      <c r="B974" s="312" t="s">
        <v>138</v>
      </c>
      <c r="C974" s="312">
        <v>0.79020000000000001</v>
      </c>
      <c r="D974" s="312">
        <v>0.4345</v>
      </c>
      <c r="E974" s="312">
        <v>0.53490000000000004</v>
      </c>
      <c r="F974" s="312">
        <v>0.50309999999999999</v>
      </c>
      <c r="G974" s="312">
        <v>0.52969999999999995</v>
      </c>
      <c r="H974" s="312">
        <v>0.59279999999999999</v>
      </c>
      <c r="I974" s="312">
        <v>0.60970000000000002</v>
      </c>
      <c r="J974" s="312">
        <v>0.51639999999999997</v>
      </c>
      <c r="K974" s="312">
        <v>0</v>
      </c>
      <c r="L974" s="312">
        <v>0.39510000000000001</v>
      </c>
      <c r="M974" s="312">
        <v>0.52839999999999998</v>
      </c>
      <c r="N974" s="312">
        <v>0.6</v>
      </c>
      <c r="O974" s="312">
        <v>0.48559999999999998</v>
      </c>
      <c r="P974" s="312">
        <v>0.43419999999999997</v>
      </c>
      <c r="Q974" s="312">
        <v>0.46800000000000003</v>
      </c>
      <c r="R974" s="312">
        <v>0.61429999999999996</v>
      </c>
      <c r="S974" s="312">
        <v>0.53700000000000003</v>
      </c>
      <c r="T974" s="312">
        <v>0.44159999999999999</v>
      </c>
      <c r="U974" s="312">
        <v>0.52080000000000004</v>
      </c>
      <c r="V974" s="312">
        <v>0.54530000000000001</v>
      </c>
      <c r="W974" s="312">
        <v>0.51590000000000003</v>
      </c>
      <c r="X974" s="312">
        <v>0</v>
      </c>
      <c r="Y974" s="312">
        <v>0</v>
      </c>
      <c r="Z974" s="312">
        <v>0.58679999999999999</v>
      </c>
      <c r="AA974" s="312">
        <v>0.54879999999999995</v>
      </c>
      <c r="AB974" s="312">
        <v>0.54820000000000002</v>
      </c>
      <c r="AC974" s="312">
        <v>0.48249999999999998</v>
      </c>
      <c r="AD974" s="312">
        <v>0</v>
      </c>
      <c r="AE974" s="312">
        <v>0.54269999999999996</v>
      </c>
      <c r="AF974" s="312">
        <v>0.39800000000000002</v>
      </c>
      <c r="AG974" s="312">
        <v>0.45</v>
      </c>
      <c r="AH974" s="312">
        <v>0.46539999999999998</v>
      </c>
      <c r="AI974" s="312">
        <v>0.54510000000000003</v>
      </c>
      <c r="AJ974" s="312">
        <v>0.48259999999999997</v>
      </c>
      <c r="AK974" s="312">
        <v>0.49519999999999997</v>
      </c>
      <c r="AL974" s="312">
        <v>0.48280000000000001</v>
      </c>
      <c r="AM974" s="312">
        <v>0.60629999999999995</v>
      </c>
      <c r="AN974" s="312">
        <v>0.52700000000000002</v>
      </c>
      <c r="AO974" s="312">
        <v>0.54020000000000001</v>
      </c>
      <c r="AP974" s="312">
        <v>0.61309999999999998</v>
      </c>
      <c r="AQ974" s="312">
        <v>0.42320000000000002</v>
      </c>
      <c r="AR974" s="312">
        <v>0.53110000000000002</v>
      </c>
      <c r="AS974" s="312">
        <v>0</v>
      </c>
      <c r="AT974" s="312">
        <v>0.56459999999999999</v>
      </c>
      <c r="AU974" s="312">
        <v>0.63239999999999996</v>
      </c>
      <c r="AV974" s="312">
        <v>0.60289999999999999</v>
      </c>
      <c r="AW974" s="312">
        <v>0.51919999999999999</v>
      </c>
      <c r="AX974" s="312">
        <v>0.42709999999999998</v>
      </c>
      <c r="AY974" s="312">
        <v>0.54730000000000001</v>
      </c>
      <c r="AZ974" s="312">
        <v>0.55230000000000001</v>
      </c>
      <c r="BA974" s="312">
        <v>0.41959999999999997</v>
      </c>
      <c r="BB974" s="312">
        <v>0</v>
      </c>
      <c r="BC974" s="312">
        <v>0.58879999999999999</v>
      </c>
      <c r="BD974" s="312">
        <v>0.61060000000000003</v>
      </c>
      <c r="BE974" s="312">
        <v>0.64780000000000004</v>
      </c>
      <c r="BF974" s="312">
        <v>0.55900000000000005</v>
      </c>
      <c r="BG974" s="312">
        <v>0.61909999999999998</v>
      </c>
      <c r="BH974" s="312">
        <v>0.58250000000000002</v>
      </c>
      <c r="BI974" s="312">
        <v>0.63890000000000002</v>
      </c>
      <c r="BJ974" s="312">
        <v>0.59670000000000001</v>
      </c>
      <c r="BK974" s="312">
        <v>0.60860000000000003</v>
      </c>
      <c r="BM974">
        <f>(C974-C563)*1000000/(RIMS_emp!C974-RIMS_emp!C563)</f>
        <v>37541.709317628927</v>
      </c>
    </row>
    <row r="975" spans="1:65" x14ac:dyDescent="0.25">
      <c r="A975" s="306">
        <v>327213</v>
      </c>
      <c r="B975" s="312" t="s">
        <v>139</v>
      </c>
      <c r="C975" s="312">
        <v>0.68859999999999999</v>
      </c>
      <c r="D975" s="312">
        <v>0</v>
      </c>
      <c r="E975" s="312">
        <v>0</v>
      </c>
      <c r="F975" s="312">
        <v>0.4234</v>
      </c>
      <c r="G975" s="312">
        <v>0.43049999999999999</v>
      </c>
      <c r="H975" s="312">
        <v>0.49809999999999999</v>
      </c>
      <c r="I975" s="312">
        <v>0.49580000000000002</v>
      </c>
      <c r="J975" s="312">
        <v>0</v>
      </c>
      <c r="K975" s="312">
        <v>0</v>
      </c>
      <c r="L975" s="312">
        <v>0</v>
      </c>
      <c r="M975" s="312">
        <v>0.43030000000000002</v>
      </c>
      <c r="N975" s="312">
        <v>0.50839999999999996</v>
      </c>
      <c r="O975" s="312">
        <v>0</v>
      </c>
      <c r="P975" s="312">
        <v>0</v>
      </c>
      <c r="Q975" s="312">
        <v>0</v>
      </c>
      <c r="R975" s="312">
        <v>0.52159999999999995</v>
      </c>
      <c r="S975" s="312">
        <v>0.4622</v>
      </c>
      <c r="T975" s="312">
        <v>0</v>
      </c>
      <c r="U975" s="312">
        <v>0</v>
      </c>
      <c r="V975" s="312">
        <v>0.45939999999999998</v>
      </c>
      <c r="W975" s="312">
        <v>0.42970000000000003</v>
      </c>
      <c r="X975" s="312">
        <v>0</v>
      </c>
      <c r="Y975" s="312">
        <v>0</v>
      </c>
      <c r="Z975" s="312">
        <v>0.50280000000000002</v>
      </c>
      <c r="AA975" s="312">
        <v>0.46579999999999999</v>
      </c>
      <c r="AB975" s="312">
        <v>0.46989999999999998</v>
      </c>
      <c r="AC975" s="312">
        <v>0</v>
      </c>
      <c r="AD975" s="312">
        <v>0</v>
      </c>
      <c r="AE975" s="312">
        <v>0.45319999999999999</v>
      </c>
      <c r="AF975" s="312">
        <v>0</v>
      </c>
      <c r="AG975" s="312">
        <v>0.36680000000000001</v>
      </c>
      <c r="AH975" s="312">
        <v>0</v>
      </c>
      <c r="AI975" s="312">
        <v>0.44529999999999997</v>
      </c>
      <c r="AJ975" s="312">
        <v>0</v>
      </c>
      <c r="AK975" s="312">
        <v>0</v>
      </c>
      <c r="AL975" s="312">
        <v>0.39300000000000002</v>
      </c>
      <c r="AM975" s="312">
        <v>0.52529999999999999</v>
      </c>
      <c r="AN975" s="312">
        <v>0.43240000000000001</v>
      </c>
      <c r="AO975" s="312">
        <v>0.442</v>
      </c>
      <c r="AP975" s="312">
        <v>0.52790000000000004</v>
      </c>
      <c r="AQ975" s="312">
        <v>0</v>
      </c>
      <c r="AR975" s="312">
        <v>0</v>
      </c>
      <c r="AS975" s="312">
        <v>0</v>
      </c>
      <c r="AT975" s="312">
        <v>0.48649999999999999</v>
      </c>
      <c r="AU975" s="312">
        <v>0.52349999999999997</v>
      </c>
      <c r="AV975" s="312">
        <v>0</v>
      </c>
      <c r="AW975" s="312">
        <v>0.42880000000000001</v>
      </c>
      <c r="AX975" s="312">
        <v>0</v>
      </c>
      <c r="AY975" s="312">
        <v>0.45519999999999999</v>
      </c>
      <c r="AZ975" s="312">
        <v>0.47449999999999998</v>
      </c>
      <c r="BA975" s="312">
        <v>0</v>
      </c>
      <c r="BB975" s="312">
        <v>0</v>
      </c>
      <c r="BC975" s="312">
        <v>0.49259999999999998</v>
      </c>
      <c r="BD975" s="312">
        <v>0.51</v>
      </c>
      <c r="BE975" s="312">
        <v>0.55600000000000005</v>
      </c>
      <c r="BF975" s="312">
        <v>0.48089999999999999</v>
      </c>
      <c r="BG975" s="312">
        <v>0.52510000000000001</v>
      </c>
      <c r="BH975" s="312">
        <v>0.50560000000000005</v>
      </c>
      <c r="BI975" s="312">
        <v>0.53539999999999999</v>
      </c>
      <c r="BJ975" s="312">
        <v>0.48959999999999998</v>
      </c>
      <c r="BK975" s="312">
        <v>0.50829999999999997</v>
      </c>
      <c r="BM975">
        <f>(C975-C564)*1000000/(RIMS_emp!C975-RIMS_emp!C564)</f>
        <v>37545.577982211231</v>
      </c>
    </row>
    <row r="976" spans="1:65" x14ac:dyDescent="0.25">
      <c r="A976" s="306">
        <v>327215</v>
      </c>
      <c r="B976" s="312" t="s">
        <v>140</v>
      </c>
      <c r="C976" s="312">
        <v>0.76170000000000004</v>
      </c>
      <c r="D976" s="312">
        <v>0</v>
      </c>
      <c r="E976" s="312">
        <v>0.46949999999999997</v>
      </c>
      <c r="F976" s="312">
        <v>0.41099999999999998</v>
      </c>
      <c r="G976" s="312">
        <v>0.47739999999999999</v>
      </c>
      <c r="H976" s="312">
        <v>0.55720000000000003</v>
      </c>
      <c r="I976" s="312">
        <v>0.5454</v>
      </c>
      <c r="J976" s="312">
        <v>0.44729999999999998</v>
      </c>
      <c r="K976" s="312">
        <v>0</v>
      </c>
      <c r="L976" s="312">
        <v>0.33829999999999999</v>
      </c>
      <c r="M976" s="312">
        <v>0.47889999999999999</v>
      </c>
      <c r="N976" s="312">
        <v>0.56079999999999997</v>
      </c>
      <c r="O976" s="312">
        <v>0.4123</v>
      </c>
      <c r="P976" s="312">
        <v>0.39660000000000001</v>
      </c>
      <c r="Q976" s="312">
        <v>0.3876</v>
      </c>
      <c r="R976" s="312">
        <v>0.55300000000000005</v>
      </c>
      <c r="S976" s="312">
        <v>0.4793</v>
      </c>
      <c r="T976" s="312">
        <v>0.40150000000000002</v>
      </c>
      <c r="U976" s="312">
        <v>0.51780000000000004</v>
      </c>
      <c r="V976" s="312">
        <v>0.46779999999999999</v>
      </c>
      <c r="W976" s="312">
        <v>0.49180000000000001</v>
      </c>
      <c r="X976" s="312">
        <v>0.40410000000000001</v>
      </c>
      <c r="Y976" s="312">
        <v>0.45300000000000001</v>
      </c>
      <c r="Z976" s="312">
        <v>0.53979999999999995</v>
      </c>
      <c r="AA976" s="312">
        <v>0.48870000000000002</v>
      </c>
      <c r="AB976" s="312">
        <v>0.48609999999999998</v>
      </c>
      <c r="AC976" s="312">
        <v>0.41160000000000002</v>
      </c>
      <c r="AD976" s="312">
        <v>0.37690000000000001</v>
      </c>
      <c r="AE976" s="312">
        <v>0.54079999999999995</v>
      </c>
      <c r="AF976" s="312">
        <v>0.34489999999999998</v>
      </c>
      <c r="AG976" s="312">
        <v>0.371</v>
      </c>
      <c r="AH976" s="312">
        <v>0.4491</v>
      </c>
      <c r="AI976" s="312">
        <v>0.53590000000000004</v>
      </c>
      <c r="AJ976" s="312">
        <v>0.40639999999999998</v>
      </c>
      <c r="AK976" s="312">
        <v>0.42220000000000002</v>
      </c>
      <c r="AL976" s="312">
        <v>0.45450000000000002</v>
      </c>
      <c r="AM976" s="312">
        <v>0.5948</v>
      </c>
      <c r="AN976" s="312">
        <v>0.49880000000000002</v>
      </c>
      <c r="AO976" s="312">
        <v>0.5262</v>
      </c>
      <c r="AP976" s="312">
        <v>0.60760000000000003</v>
      </c>
      <c r="AQ976" s="312">
        <v>0.38279999999999997</v>
      </c>
      <c r="AR976" s="312">
        <v>0.49780000000000002</v>
      </c>
      <c r="AS976" s="312">
        <v>0.35170000000000001</v>
      </c>
      <c r="AT976" s="312">
        <v>0.55689999999999995</v>
      </c>
      <c r="AU976" s="312">
        <v>0.58250000000000002</v>
      </c>
      <c r="AV976" s="312">
        <v>0.53</v>
      </c>
      <c r="AW976" s="312">
        <v>0.46289999999999998</v>
      </c>
      <c r="AX976" s="312">
        <v>0.39169999999999999</v>
      </c>
      <c r="AY976" s="312">
        <v>0.51249999999999996</v>
      </c>
      <c r="AZ976" s="312">
        <v>0.51439999999999997</v>
      </c>
      <c r="BA976" s="312">
        <v>0.39190000000000003</v>
      </c>
      <c r="BB976" s="312">
        <v>0</v>
      </c>
      <c r="BC976" s="312">
        <v>0.56240000000000001</v>
      </c>
      <c r="BD976" s="312">
        <v>0.61099999999999999</v>
      </c>
      <c r="BE976" s="312">
        <v>0.63639999999999997</v>
      </c>
      <c r="BF976" s="312">
        <v>0.51659999999999995</v>
      </c>
      <c r="BG976" s="312">
        <v>0.58599999999999997</v>
      </c>
      <c r="BH976" s="312">
        <v>0.56930000000000003</v>
      </c>
      <c r="BI976" s="312">
        <v>0.58660000000000001</v>
      </c>
      <c r="BJ976" s="312">
        <v>0.51680000000000004</v>
      </c>
      <c r="BK976" s="312">
        <v>0.56869999999999998</v>
      </c>
      <c r="BM976">
        <f>(C976-C565)*1000000/(RIMS_emp!C976-RIMS_emp!C565)</f>
        <v>37539.131993766467</v>
      </c>
    </row>
    <row r="977" spans="1:65" x14ac:dyDescent="0.25">
      <c r="A977" s="306">
        <v>327310</v>
      </c>
      <c r="B977" s="312" t="s">
        <v>141</v>
      </c>
      <c r="C977" s="312">
        <v>0.57389999999999997</v>
      </c>
      <c r="D977" s="312">
        <v>0</v>
      </c>
      <c r="E977" s="312">
        <v>0.38100000000000001</v>
      </c>
      <c r="F977" s="312">
        <v>0.33550000000000002</v>
      </c>
      <c r="G977" s="312">
        <v>0.36909999999999998</v>
      </c>
      <c r="H977" s="312">
        <v>0.4078</v>
      </c>
      <c r="I977" s="312">
        <v>0.42080000000000001</v>
      </c>
      <c r="J977" s="312">
        <v>0</v>
      </c>
      <c r="K977" s="312">
        <v>0</v>
      </c>
      <c r="L977" s="312">
        <v>0</v>
      </c>
      <c r="M977" s="312">
        <v>0.36</v>
      </c>
      <c r="N977" s="312">
        <v>0.40989999999999999</v>
      </c>
      <c r="O977" s="312">
        <v>0.3125</v>
      </c>
      <c r="P977" s="312">
        <v>0.27729999999999999</v>
      </c>
      <c r="Q977" s="312">
        <v>0.29630000000000001</v>
      </c>
      <c r="R977" s="312">
        <v>0.4234</v>
      </c>
      <c r="S977" s="312">
        <v>0.37730000000000002</v>
      </c>
      <c r="T977" s="312">
        <v>0.30330000000000001</v>
      </c>
      <c r="U977" s="312">
        <v>0.36020000000000002</v>
      </c>
      <c r="V977" s="312">
        <v>0.36940000000000001</v>
      </c>
      <c r="W977" s="312">
        <v>0.34200000000000003</v>
      </c>
      <c r="X977" s="312">
        <v>0.31219999999999998</v>
      </c>
      <c r="Y977" s="312">
        <v>0.33</v>
      </c>
      <c r="Z977" s="312">
        <v>0.40450000000000003</v>
      </c>
      <c r="AA977" s="312">
        <v>0</v>
      </c>
      <c r="AB977" s="312">
        <v>0.3775</v>
      </c>
      <c r="AC977" s="312">
        <v>0.31619999999999998</v>
      </c>
      <c r="AD977" s="312">
        <v>0.31559999999999999</v>
      </c>
      <c r="AE977" s="312">
        <v>0.3473</v>
      </c>
      <c r="AF977" s="312">
        <v>0.2626</v>
      </c>
      <c r="AG977" s="312">
        <v>0.29120000000000001</v>
      </c>
      <c r="AH977" s="312">
        <v>0.30659999999999998</v>
      </c>
      <c r="AI977" s="312">
        <v>0.35160000000000002</v>
      </c>
      <c r="AJ977" s="312">
        <v>0.33910000000000001</v>
      </c>
      <c r="AK977" s="312">
        <v>0.32969999999999999</v>
      </c>
      <c r="AL977" s="312">
        <v>0.32350000000000001</v>
      </c>
      <c r="AM977" s="312">
        <v>0.41749999999999998</v>
      </c>
      <c r="AN977" s="312">
        <v>0.37019999999999997</v>
      </c>
      <c r="AO977" s="312">
        <v>0.3649</v>
      </c>
      <c r="AP977" s="312">
        <v>0.43719999999999998</v>
      </c>
      <c r="AQ977" s="312">
        <v>0</v>
      </c>
      <c r="AR977" s="312">
        <v>0.35699999999999998</v>
      </c>
      <c r="AS977" s="312">
        <v>0.26879999999999998</v>
      </c>
      <c r="AT977" s="312">
        <v>0.38429999999999997</v>
      </c>
      <c r="AU977" s="312">
        <v>0.45660000000000001</v>
      </c>
      <c r="AV977" s="312">
        <v>0.42170000000000002</v>
      </c>
      <c r="AW977" s="312">
        <v>0.35010000000000002</v>
      </c>
      <c r="AX977" s="312">
        <v>0</v>
      </c>
      <c r="AY977" s="312">
        <v>0.36830000000000002</v>
      </c>
      <c r="AZ977" s="312">
        <v>0</v>
      </c>
      <c r="BA977" s="312">
        <v>0.29930000000000001</v>
      </c>
      <c r="BB977" s="312">
        <v>0.29499999999999998</v>
      </c>
      <c r="BC977" s="312">
        <v>0.38850000000000001</v>
      </c>
      <c r="BD977" s="312">
        <v>0.42130000000000001</v>
      </c>
      <c r="BE977" s="312">
        <v>0.45529999999999998</v>
      </c>
      <c r="BF977" s="312">
        <v>0.37940000000000002</v>
      </c>
      <c r="BG977" s="312">
        <v>0.42699999999999999</v>
      </c>
      <c r="BH977" s="312">
        <v>0.40610000000000002</v>
      </c>
      <c r="BI977" s="312">
        <v>0.45739999999999997</v>
      </c>
      <c r="BJ977" s="312">
        <v>0.42380000000000001</v>
      </c>
      <c r="BK977" s="312">
        <v>0.4224</v>
      </c>
      <c r="BM977">
        <f>(C977-C566)*1000000/(RIMS_emp!C977-RIMS_emp!C566)</f>
        <v>37544.848795489481</v>
      </c>
    </row>
    <row r="978" spans="1:65" x14ac:dyDescent="0.25">
      <c r="A978" s="306">
        <v>327320</v>
      </c>
      <c r="B978" s="312" t="s">
        <v>142</v>
      </c>
      <c r="C978" s="312">
        <v>0.78059999999999996</v>
      </c>
      <c r="D978" s="312">
        <v>0.39319999999999999</v>
      </c>
      <c r="E978" s="312">
        <v>0.5373</v>
      </c>
      <c r="F978" s="312">
        <v>0.49399999999999999</v>
      </c>
      <c r="G978" s="312">
        <v>0.53849999999999998</v>
      </c>
      <c r="H978" s="312">
        <v>0.54459999999999997</v>
      </c>
      <c r="I978" s="312">
        <v>0.60229999999999995</v>
      </c>
      <c r="J978" s="312">
        <v>0.4199</v>
      </c>
      <c r="K978" s="312">
        <v>9.5399999999999999E-2</v>
      </c>
      <c r="L978" s="312">
        <v>0.31340000000000001</v>
      </c>
      <c r="M978" s="312">
        <v>0.50560000000000005</v>
      </c>
      <c r="N978" s="312">
        <v>0.58030000000000004</v>
      </c>
      <c r="O978" s="312">
        <v>0.43780000000000002</v>
      </c>
      <c r="P978" s="312">
        <v>0.434</v>
      </c>
      <c r="Q978" s="312">
        <v>0.47089999999999999</v>
      </c>
      <c r="R978" s="312">
        <v>0.5827</v>
      </c>
      <c r="S978" s="312">
        <v>0.53569999999999995</v>
      </c>
      <c r="T978" s="312">
        <v>0.43509999999999999</v>
      </c>
      <c r="U978" s="312">
        <v>0.49459999999999998</v>
      </c>
      <c r="V978" s="312">
        <v>0.49959999999999999</v>
      </c>
      <c r="W978" s="312">
        <v>0.44040000000000001</v>
      </c>
      <c r="X978" s="312">
        <v>0.44590000000000002</v>
      </c>
      <c r="Y978" s="312">
        <v>0.47510000000000002</v>
      </c>
      <c r="Z978" s="312">
        <v>0.57540000000000002</v>
      </c>
      <c r="AA978" s="312">
        <v>0.48149999999999998</v>
      </c>
      <c r="AB978" s="312">
        <v>0.54690000000000005</v>
      </c>
      <c r="AC978" s="312">
        <v>0.45679999999999998</v>
      </c>
      <c r="AD978" s="312">
        <v>0.47420000000000001</v>
      </c>
      <c r="AE978" s="312">
        <v>0.47239999999999999</v>
      </c>
      <c r="AF978" s="312">
        <v>0.36449999999999999</v>
      </c>
      <c r="AG978" s="312">
        <v>0.44319999999999998</v>
      </c>
      <c r="AH978" s="312">
        <v>0.42</v>
      </c>
      <c r="AI978" s="312">
        <v>0.48120000000000002</v>
      </c>
      <c r="AJ978" s="312">
        <v>0.46960000000000002</v>
      </c>
      <c r="AK978" s="312">
        <v>0.48</v>
      </c>
      <c r="AL978" s="312">
        <v>0.41010000000000002</v>
      </c>
      <c r="AM978" s="312">
        <v>0.56369999999999998</v>
      </c>
      <c r="AN978" s="312">
        <v>0.5383</v>
      </c>
      <c r="AO978" s="312">
        <v>0.51590000000000003</v>
      </c>
      <c r="AP978" s="312">
        <v>0.58450000000000002</v>
      </c>
      <c r="AQ978" s="312">
        <v>0.36030000000000001</v>
      </c>
      <c r="AR978" s="312">
        <v>0.53420000000000001</v>
      </c>
      <c r="AS978" s="312">
        <v>0.4224</v>
      </c>
      <c r="AT978" s="312">
        <v>0.55430000000000001</v>
      </c>
      <c r="AU978" s="312">
        <v>0.62609999999999999</v>
      </c>
      <c r="AV978" s="312">
        <v>0.59799999999999998</v>
      </c>
      <c r="AW978" s="312">
        <v>0.48559999999999998</v>
      </c>
      <c r="AX978" s="312">
        <v>0.39269999999999999</v>
      </c>
      <c r="AY978" s="312">
        <v>0.52229999999999999</v>
      </c>
      <c r="AZ978" s="312">
        <v>0.49159999999999998</v>
      </c>
      <c r="BA978" s="312">
        <v>0.42709999999999998</v>
      </c>
      <c r="BB978" s="312">
        <v>0.433</v>
      </c>
      <c r="BC978" s="312">
        <v>0.50749999999999995</v>
      </c>
      <c r="BD978" s="312">
        <v>0.56430000000000002</v>
      </c>
      <c r="BE978" s="312">
        <v>0.64359999999999995</v>
      </c>
      <c r="BF978" s="312">
        <v>0.56040000000000001</v>
      </c>
      <c r="BG978" s="312">
        <v>0.60129999999999995</v>
      </c>
      <c r="BH978" s="312">
        <v>0.58050000000000002</v>
      </c>
      <c r="BI978" s="312">
        <v>0.63219999999999998</v>
      </c>
      <c r="BJ978" s="312">
        <v>0.60460000000000003</v>
      </c>
      <c r="BK978" s="312">
        <v>0.56589999999999996</v>
      </c>
      <c r="BM978">
        <f>(C978-C567)*1000000/(RIMS_emp!C978-RIMS_emp!C567)</f>
        <v>37531.455639138207</v>
      </c>
    </row>
    <row r="979" spans="1:65" x14ac:dyDescent="0.25">
      <c r="A979" s="306">
        <v>327330</v>
      </c>
      <c r="B979" s="312" t="s">
        <v>143</v>
      </c>
      <c r="C979" s="312">
        <v>0.76980000000000004</v>
      </c>
      <c r="D979" s="312">
        <v>0.3977</v>
      </c>
      <c r="E979" s="312">
        <v>0.52749999999999997</v>
      </c>
      <c r="F979" s="312">
        <v>0.48449999999999999</v>
      </c>
      <c r="G979" s="312">
        <v>0.53039999999999998</v>
      </c>
      <c r="H979" s="312">
        <v>0.58279999999999998</v>
      </c>
      <c r="I979" s="312">
        <v>0.58720000000000006</v>
      </c>
      <c r="J979" s="312">
        <v>0.46949999999999997</v>
      </c>
      <c r="K979" s="312">
        <v>0</v>
      </c>
      <c r="L979" s="312">
        <v>0.36799999999999999</v>
      </c>
      <c r="M979" s="312">
        <v>0.54239999999999999</v>
      </c>
      <c r="N979" s="312">
        <v>0.57099999999999995</v>
      </c>
      <c r="O979" s="312">
        <v>0.45500000000000002</v>
      </c>
      <c r="P979" s="312">
        <v>0.42</v>
      </c>
      <c r="Q979" s="312">
        <v>0.44790000000000002</v>
      </c>
      <c r="R979" s="312">
        <v>0.59079999999999999</v>
      </c>
      <c r="S979" s="312">
        <v>0.5252</v>
      </c>
      <c r="T979" s="312">
        <v>0.42170000000000002</v>
      </c>
      <c r="U979" s="312">
        <v>0.5171</v>
      </c>
      <c r="V979" s="312">
        <v>0.50549999999999995</v>
      </c>
      <c r="W979" s="312">
        <v>0.48280000000000001</v>
      </c>
      <c r="X979" s="312">
        <v>0.47199999999999998</v>
      </c>
      <c r="Y979" s="312">
        <v>0.501</v>
      </c>
      <c r="Z979" s="312">
        <v>0.57989999999999997</v>
      </c>
      <c r="AA979" s="312">
        <v>0.50460000000000005</v>
      </c>
      <c r="AB979" s="312">
        <v>0.54430000000000001</v>
      </c>
      <c r="AC979" s="312">
        <v>0.46870000000000001</v>
      </c>
      <c r="AD979" s="312">
        <v>0.44319999999999998</v>
      </c>
      <c r="AE979" s="312">
        <v>0.50780000000000003</v>
      </c>
      <c r="AF979" s="312">
        <v>0.35980000000000001</v>
      </c>
      <c r="AG979" s="312">
        <v>0.43619999999999998</v>
      </c>
      <c r="AH979" s="312">
        <v>0.436</v>
      </c>
      <c r="AI979" s="312">
        <v>0.51800000000000002</v>
      </c>
      <c r="AJ979" s="312">
        <v>0.46700000000000003</v>
      </c>
      <c r="AK979" s="312">
        <v>0.48899999999999999</v>
      </c>
      <c r="AL979" s="312">
        <v>0.4536</v>
      </c>
      <c r="AM979" s="312">
        <v>0.57679999999999998</v>
      </c>
      <c r="AN979" s="312">
        <v>0.53080000000000005</v>
      </c>
      <c r="AO979" s="312">
        <v>0.53</v>
      </c>
      <c r="AP979" s="312">
        <v>0.59889999999999999</v>
      </c>
      <c r="AQ979" s="312">
        <v>0.38669999999999999</v>
      </c>
      <c r="AR979" s="312">
        <v>0.53839999999999999</v>
      </c>
      <c r="AS979" s="312">
        <v>0.39889999999999998</v>
      </c>
      <c r="AT979" s="312">
        <v>0.55169999999999997</v>
      </c>
      <c r="AU979" s="312">
        <v>0.62029999999999996</v>
      </c>
      <c r="AV979" s="312">
        <v>0.59519999999999995</v>
      </c>
      <c r="AW979" s="312">
        <v>0.50539999999999996</v>
      </c>
      <c r="AX979" s="312">
        <v>0.40039999999999998</v>
      </c>
      <c r="AY979" s="312">
        <v>0.52690000000000003</v>
      </c>
      <c r="AZ979" s="312">
        <v>0.50260000000000005</v>
      </c>
      <c r="BA979" s="312">
        <v>0.40250000000000002</v>
      </c>
      <c r="BB979" s="312">
        <v>0.40749999999999997</v>
      </c>
      <c r="BC979" s="312">
        <v>0.54659999999999997</v>
      </c>
      <c r="BD979" s="312">
        <v>0.59799999999999998</v>
      </c>
      <c r="BE979" s="312">
        <v>0.63739999999999997</v>
      </c>
      <c r="BF979" s="312">
        <v>0.54449999999999998</v>
      </c>
      <c r="BG979" s="312">
        <v>0.60260000000000002</v>
      </c>
      <c r="BH979" s="312">
        <v>0.57089999999999996</v>
      </c>
      <c r="BI979" s="312">
        <v>0.62509999999999999</v>
      </c>
      <c r="BJ979" s="312">
        <v>0.57589999999999997</v>
      </c>
      <c r="BK979" s="312">
        <v>0.59009999999999996</v>
      </c>
      <c r="BM979">
        <f>(C979-C568)*1000000/(RIMS_emp!C979-RIMS_emp!C568)</f>
        <v>37541.451166091261</v>
      </c>
    </row>
    <row r="980" spans="1:65" x14ac:dyDescent="0.25">
      <c r="A980" s="306">
        <v>327390</v>
      </c>
      <c r="B980" s="312" t="s">
        <v>144</v>
      </c>
      <c r="C980" s="312">
        <v>0.83830000000000005</v>
      </c>
      <c r="D980" s="312">
        <v>0.43409999999999999</v>
      </c>
      <c r="E980" s="312">
        <v>0.5796</v>
      </c>
      <c r="F980" s="312">
        <v>0.53349999999999997</v>
      </c>
      <c r="G980" s="312">
        <v>0.57220000000000004</v>
      </c>
      <c r="H980" s="312">
        <v>0.62980000000000003</v>
      </c>
      <c r="I980" s="312">
        <v>0.64049999999999996</v>
      </c>
      <c r="J980" s="312">
        <v>0.53610000000000002</v>
      </c>
      <c r="K980" s="312">
        <v>0</v>
      </c>
      <c r="L980" s="312">
        <v>0.40960000000000002</v>
      </c>
      <c r="M980" s="312">
        <v>0.58589999999999998</v>
      </c>
      <c r="N980" s="312">
        <v>0.62319999999999998</v>
      </c>
      <c r="O980" s="312">
        <v>0.50219999999999998</v>
      </c>
      <c r="P980" s="312">
        <v>0.4728</v>
      </c>
      <c r="Q980" s="312">
        <v>0.4965</v>
      </c>
      <c r="R980" s="312">
        <v>0.66169999999999995</v>
      </c>
      <c r="S980" s="312">
        <v>0.58589999999999998</v>
      </c>
      <c r="T980" s="312">
        <v>0.4642</v>
      </c>
      <c r="U980" s="312">
        <v>0.56950000000000001</v>
      </c>
      <c r="V980" s="312">
        <v>0.54910000000000003</v>
      </c>
      <c r="W980" s="312">
        <v>0.54059999999999997</v>
      </c>
      <c r="X980" s="312">
        <v>0.51419999999999999</v>
      </c>
      <c r="Y980" s="312">
        <v>0.54949999999999999</v>
      </c>
      <c r="Z980" s="312">
        <v>0.64449999999999996</v>
      </c>
      <c r="AA980" s="312">
        <v>0.58209999999999995</v>
      </c>
      <c r="AB980" s="312">
        <v>0.60270000000000001</v>
      </c>
      <c r="AC980" s="312">
        <v>0.51570000000000005</v>
      </c>
      <c r="AD980" s="312">
        <v>0.4819</v>
      </c>
      <c r="AE980" s="312">
        <v>0.57840000000000003</v>
      </c>
      <c r="AF980" s="312">
        <v>0.40379999999999999</v>
      </c>
      <c r="AG980" s="312">
        <v>0.48580000000000001</v>
      </c>
      <c r="AH980" s="312">
        <v>0.50080000000000002</v>
      </c>
      <c r="AI980" s="312">
        <v>0.57130000000000003</v>
      </c>
      <c r="AJ980" s="312">
        <v>0.49330000000000002</v>
      </c>
      <c r="AK980" s="312">
        <v>0.52949999999999997</v>
      </c>
      <c r="AL980" s="312">
        <v>0.50119999999999998</v>
      </c>
      <c r="AM980" s="312">
        <v>0.64629999999999999</v>
      </c>
      <c r="AN980" s="312">
        <v>0.57940000000000003</v>
      </c>
      <c r="AO980" s="312">
        <v>0.59040000000000004</v>
      </c>
      <c r="AP980" s="312">
        <v>0.6663</v>
      </c>
      <c r="AQ980" s="312">
        <v>0.44490000000000002</v>
      </c>
      <c r="AR980" s="312">
        <v>0.59040000000000004</v>
      </c>
      <c r="AS980" s="312">
        <v>0.44440000000000002</v>
      </c>
      <c r="AT980" s="312">
        <v>0.60540000000000005</v>
      </c>
      <c r="AU980" s="312">
        <v>0.66510000000000002</v>
      </c>
      <c r="AV980" s="312">
        <v>0.64749999999999996</v>
      </c>
      <c r="AW980" s="312">
        <v>0.54879999999999995</v>
      </c>
      <c r="AX980" s="312">
        <v>0.45600000000000002</v>
      </c>
      <c r="AY980" s="312">
        <v>0.5756</v>
      </c>
      <c r="AZ980" s="312">
        <v>0.58699999999999997</v>
      </c>
      <c r="BA980" s="312">
        <v>0.43869999999999998</v>
      </c>
      <c r="BB980" s="312">
        <v>0.44500000000000001</v>
      </c>
      <c r="BC980" s="312">
        <v>0.61739999999999995</v>
      </c>
      <c r="BD980" s="312">
        <v>0.6542</v>
      </c>
      <c r="BE980" s="312">
        <v>0.70530000000000004</v>
      </c>
      <c r="BF980" s="312">
        <v>0.60560000000000003</v>
      </c>
      <c r="BG980" s="312">
        <v>0.65490000000000004</v>
      </c>
      <c r="BH980" s="312">
        <v>0.62549999999999994</v>
      </c>
      <c r="BI980" s="312">
        <v>0.67310000000000003</v>
      </c>
      <c r="BJ980" s="312">
        <v>0.62219999999999998</v>
      </c>
      <c r="BK980" s="312">
        <v>0.64159999999999995</v>
      </c>
      <c r="BM980">
        <f>(C980-C569)*1000000/(RIMS_emp!C980-RIMS_emp!C569)</f>
        <v>37542.918723841525</v>
      </c>
    </row>
    <row r="981" spans="1:65" x14ac:dyDescent="0.25">
      <c r="A981" s="306" t="s">
        <v>720</v>
      </c>
      <c r="B981" s="312" t="s">
        <v>145</v>
      </c>
      <c r="C981" s="312">
        <v>0.65939999999999999</v>
      </c>
      <c r="D981" s="312">
        <v>0</v>
      </c>
      <c r="E981" s="312">
        <v>0.43230000000000002</v>
      </c>
      <c r="F981" s="312">
        <v>0.39889999999999998</v>
      </c>
      <c r="G981" s="312">
        <v>0.38450000000000001</v>
      </c>
      <c r="H981" s="312">
        <v>0.42909999999999998</v>
      </c>
      <c r="I981" s="312">
        <v>0.44569999999999999</v>
      </c>
      <c r="J981" s="312">
        <v>0.33639999999999998</v>
      </c>
      <c r="K981" s="312">
        <v>0</v>
      </c>
      <c r="L981" s="312">
        <v>0.26419999999999999</v>
      </c>
      <c r="M981" s="312">
        <v>0.38519999999999999</v>
      </c>
      <c r="N981" s="312">
        <v>0.4713</v>
      </c>
      <c r="O981" s="312">
        <v>0</v>
      </c>
      <c r="P981" s="312">
        <v>0.30430000000000001</v>
      </c>
      <c r="Q981" s="312">
        <v>0.36849999999999999</v>
      </c>
      <c r="R981" s="312">
        <v>0.4526</v>
      </c>
      <c r="S981" s="312">
        <v>0.4224</v>
      </c>
      <c r="T981" s="312">
        <v>0.33279999999999998</v>
      </c>
      <c r="U981" s="312">
        <v>0.38490000000000002</v>
      </c>
      <c r="V981" s="312">
        <v>0.44330000000000003</v>
      </c>
      <c r="W981" s="312">
        <v>0.34410000000000002</v>
      </c>
      <c r="X981" s="312">
        <v>0.313</v>
      </c>
      <c r="Y981" s="312">
        <v>0</v>
      </c>
      <c r="Z981" s="312">
        <v>0.44819999999999999</v>
      </c>
      <c r="AA981" s="312">
        <v>0</v>
      </c>
      <c r="AB981" s="312">
        <v>0.3911</v>
      </c>
      <c r="AC981" s="312">
        <v>0.36680000000000001</v>
      </c>
      <c r="AD981" s="312">
        <v>0.39019999999999999</v>
      </c>
      <c r="AE981" s="312">
        <v>0.42359999999999998</v>
      </c>
      <c r="AF981" s="312">
        <v>0</v>
      </c>
      <c r="AG981" s="312">
        <v>0.31090000000000001</v>
      </c>
      <c r="AH981" s="312">
        <v>0.30199999999999999</v>
      </c>
      <c r="AI981" s="312">
        <v>0.37980000000000003</v>
      </c>
      <c r="AJ981" s="312">
        <v>0.3735</v>
      </c>
      <c r="AK981" s="312">
        <v>0.35210000000000002</v>
      </c>
      <c r="AL981" s="312">
        <v>0.32750000000000001</v>
      </c>
      <c r="AM981" s="312">
        <v>0.48049999999999998</v>
      </c>
      <c r="AN981" s="312">
        <v>0.42070000000000002</v>
      </c>
      <c r="AO981" s="312">
        <v>0.42470000000000002</v>
      </c>
      <c r="AP981" s="312">
        <v>0.44719999999999999</v>
      </c>
      <c r="AQ981" s="312">
        <v>0</v>
      </c>
      <c r="AR981" s="312">
        <v>0.4168</v>
      </c>
      <c r="AS981" s="312">
        <v>0.2888</v>
      </c>
      <c r="AT981" s="312">
        <v>0.4335</v>
      </c>
      <c r="AU981" s="312">
        <v>0.51519999999999999</v>
      </c>
      <c r="AV981" s="312">
        <v>0.45300000000000001</v>
      </c>
      <c r="AW981" s="312">
        <v>0.40050000000000002</v>
      </c>
      <c r="AX981" s="312">
        <v>0</v>
      </c>
      <c r="AY981" s="312">
        <v>0.42130000000000001</v>
      </c>
      <c r="AZ981" s="312">
        <v>0.40989999999999999</v>
      </c>
      <c r="BA981" s="312">
        <v>0.33589999999999998</v>
      </c>
      <c r="BB981" s="312">
        <v>0.32919999999999999</v>
      </c>
      <c r="BC981" s="312">
        <v>0.41020000000000001</v>
      </c>
      <c r="BD981" s="312">
        <v>0.42720000000000002</v>
      </c>
      <c r="BE981" s="312">
        <v>0.50019999999999998</v>
      </c>
      <c r="BF981" s="312">
        <v>0.40089999999999998</v>
      </c>
      <c r="BG981" s="312">
        <v>0.48799999999999999</v>
      </c>
      <c r="BH981" s="312">
        <v>0.45950000000000002</v>
      </c>
      <c r="BI981" s="312">
        <v>0.52729999999999999</v>
      </c>
      <c r="BJ981" s="312">
        <v>0.4728</v>
      </c>
      <c r="BK981" s="312">
        <v>0.46039999999999998</v>
      </c>
      <c r="BM981">
        <f>(C981-C570)*1000000/(RIMS_emp!C981-RIMS_emp!C570)</f>
        <v>37550.383150918446</v>
      </c>
    </row>
    <row r="982" spans="1:65" x14ac:dyDescent="0.25">
      <c r="A982" s="306">
        <v>327910</v>
      </c>
      <c r="B982" s="312" t="s">
        <v>146</v>
      </c>
      <c r="C982" s="312">
        <v>0.66369999999999996</v>
      </c>
      <c r="D982" s="312">
        <v>0</v>
      </c>
      <c r="E982" s="312">
        <v>0.45669999999999999</v>
      </c>
      <c r="F982" s="312">
        <v>0.41880000000000001</v>
      </c>
      <c r="G982" s="312">
        <v>0.45500000000000002</v>
      </c>
      <c r="H982" s="312">
        <v>0.49399999999999999</v>
      </c>
      <c r="I982" s="312">
        <v>0.49690000000000001</v>
      </c>
      <c r="J982" s="312">
        <v>0.4556</v>
      </c>
      <c r="K982" s="312">
        <v>0</v>
      </c>
      <c r="L982" s="312">
        <v>0</v>
      </c>
      <c r="M982" s="312">
        <v>0.44990000000000002</v>
      </c>
      <c r="N982" s="312">
        <v>0.51239999999999997</v>
      </c>
      <c r="O982" s="312">
        <v>0</v>
      </c>
      <c r="P982" s="312">
        <v>0.3533</v>
      </c>
      <c r="Q982" s="312">
        <v>0.38629999999999998</v>
      </c>
      <c r="R982" s="312">
        <v>0.52800000000000002</v>
      </c>
      <c r="S982" s="312">
        <v>0.44500000000000001</v>
      </c>
      <c r="T982" s="312">
        <v>0.35649999999999998</v>
      </c>
      <c r="U982" s="312">
        <v>0.43709999999999999</v>
      </c>
      <c r="V982" s="312">
        <v>0.43359999999999999</v>
      </c>
      <c r="W982" s="312">
        <v>0.45750000000000002</v>
      </c>
      <c r="X982" s="312">
        <v>0.3952</v>
      </c>
      <c r="Y982" s="312">
        <v>0</v>
      </c>
      <c r="Z982" s="312">
        <v>0.50990000000000002</v>
      </c>
      <c r="AA982" s="312">
        <v>0.4763</v>
      </c>
      <c r="AB982" s="312">
        <v>0.47649999999999998</v>
      </c>
      <c r="AC982" s="312">
        <v>0.41220000000000001</v>
      </c>
      <c r="AD982" s="312">
        <v>0</v>
      </c>
      <c r="AE982" s="312">
        <v>0.4819</v>
      </c>
      <c r="AF982" s="312">
        <v>0</v>
      </c>
      <c r="AG982" s="312">
        <v>0</v>
      </c>
      <c r="AH982" s="312">
        <v>0.41749999999999998</v>
      </c>
      <c r="AI982" s="312">
        <v>0.46860000000000002</v>
      </c>
      <c r="AJ982" s="312">
        <v>0</v>
      </c>
      <c r="AK982" s="312">
        <v>0</v>
      </c>
      <c r="AL982" s="312">
        <v>0.42749999999999999</v>
      </c>
      <c r="AM982" s="312">
        <v>0.52039999999999997</v>
      </c>
      <c r="AN982" s="312">
        <v>0</v>
      </c>
      <c r="AO982" s="312">
        <v>0.47320000000000001</v>
      </c>
      <c r="AP982" s="312">
        <v>0.51149999999999995</v>
      </c>
      <c r="AQ982" s="312">
        <v>0.378</v>
      </c>
      <c r="AR982" s="312">
        <v>0.44409999999999999</v>
      </c>
      <c r="AS982" s="312">
        <v>0</v>
      </c>
      <c r="AT982" s="312">
        <v>0.45600000000000002</v>
      </c>
      <c r="AU982" s="312">
        <v>0.53339999999999999</v>
      </c>
      <c r="AV982" s="312">
        <v>0.4879</v>
      </c>
      <c r="AW982" s="312">
        <v>0.46050000000000002</v>
      </c>
      <c r="AX982" s="312">
        <v>0.38080000000000003</v>
      </c>
      <c r="AY982" s="312">
        <v>0.45610000000000001</v>
      </c>
      <c r="AZ982" s="312">
        <v>0.47749999999999998</v>
      </c>
      <c r="BA982" s="312">
        <v>0</v>
      </c>
      <c r="BB982" s="312">
        <v>0</v>
      </c>
      <c r="BC982" s="312">
        <v>0.52010000000000001</v>
      </c>
      <c r="BD982" s="312">
        <v>0.53039999999999998</v>
      </c>
      <c r="BE982" s="312">
        <v>0.55379999999999996</v>
      </c>
      <c r="BF982" s="312">
        <v>0.46889999999999998</v>
      </c>
      <c r="BG982" s="312">
        <v>0.52200000000000002</v>
      </c>
      <c r="BH982" s="312">
        <v>0.48670000000000002</v>
      </c>
      <c r="BI982" s="312">
        <v>0.52939999999999998</v>
      </c>
      <c r="BJ982" s="312">
        <v>0.4869</v>
      </c>
      <c r="BK982" s="312">
        <v>0.50519999999999998</v>
      </c>
      <c r="BM982">
        <f>(C982-C571)*1000000/(RIMS_emp!C982-RIMS_emp!C571)</f>
        <v>37544.714932413175</v>
      </c>
    </row>
    <row r="983" spans="1:65" x14ac:dyDescent="0.25">
      <c r="A983" s="306">
        <v>327991</v>
      </c>
      <c r="B983" s="312" t="s">
        <v>147</v>
      </c>
      <c r="C983" s="312">
        <v>0.96099999999999997</v>
      </c>
      <c r="D983" s="312">
        <v>0.54679999999999995</v>
      </c>
      <c r="E983" s="312">
        <v>0.65429999999999999</v>
      </c>
      <c r="F983" s="312">
        <v>0.621</v>
      </c>
      <c r="G983" s="312">
        <v>0.68130000000000002</v>
      </c>
      <c r="H983" s="312">
        <v>0.73860000000000003</v>
      </c>
      <c r="I983" s="312">
        <v>0.76619999999999999</v>
      </c>
      <c r="J983" s="312">
        <v>0.6431</v>
      </c>
      <c r="K983" s="312">
        <v>0</v>
      </c>
      <c r="L983" s="312">
        <v>0.49020000000000002</v>
      </c>
      <c r="M983" s="312">
        <v>0.68959999999999999</v>
      </c>
      <c r="N983" s="312">
        <v>0.75570000000000004</v>
      </c>
      <c r="O983" s="312">
        <v>0.62460000000000004</v>
      </c>
      <c r="P983" s="312">
        <v>0.55559999999999998</v>
      </c>
      <c r="Q983" s="312">
        <v>0.60340000000000005</v>
      </c>
      <c r="R983" s="312">
        <v>0.77039999999999997</v>
      </c>
      <c r="S983" s="312">
        <v>0.66790000000000005</v>
      </c>
      <c r="T983" s="312">
        <v>0.55910000000000004</v>
      </c>
      <c r="U983" s="312">
        <v>0.64739999999999998</v>
      </c>
      <c r="V983" s="312">
        <v>0.6421</v>
      </c>
      <c r="W983" s="312">
        <v>0.6502</v>
      </c>
      <c r="X983" s="312">
        <v>0.58599999999999997</v>
      </c>
      <c r="Y983" s="312">
        <v>0.6482</v>
      </c>
      <c r="Z983" s="312">
        <v>0.73299999999999998</v>
      </c>
      <c r="AA983" s="312">
        <v>0.69010000000000005</v>
      </c>
      <c r="AB983" s="312">
        <v>0.68669999999999998</v>
      </c>
      <c r="AC983" s="312">
        <v>0.57650000000000001</v>
      </c>
      <c r="AD983" s="312">
        <v>0.60519999999999996</v>
      </c>
      <c r="AE983" s="312">
        <v>0.70499999999999996</v>
      </c>
      <c r="AF983" s="312">
        <v>0.48709999999999998</v>
      </c>
      <c r="AG983" s="312">
        <v>0.56830000000000003</v>
      </c>
      <c r="AH983" s="312">
        <v>0.59050000000000002</v>
      </c>
      <c r="AI983" s="312">
        <v>0.68700000000000006</v>
      </c>
      <c r="AJ983" s="312">
        <v>0.59150000000000003</v>
      </c>
      <c r="AK983" s="312">
        <v>0.62649999999999995</v>
      </c>
      <c r="AL983" s="312">
        <v>0.61160000000000003</v>
      </c>
      <c r="AM983" s="312">
        <v>0.75580000000000003</v>
      </c>
      <c r="AN983" s="312">
        <v>0.65600000000000003</v>
      </c>
      <c r="AO983" s="312">
        <v>0.69040000000000001</v>
      </c>
      <c r="AP983" s="312">
        <v>0.75639999999999996</v>
      </c>
      <c r="AQ983" s="312">
        <v>0.54420000000000002</v>
      </c>
      <c r="AR983" s="312">
        <v>0.6794</v>
      </c>
      <c r="AS983" s="312">
        <v>0.53200000000000003</v>
      </c>
      <c r="AT983" s="312">
        <v>0.70440000000000003</v>
      </c>
      <c r="AU983" s="312">
        <v>0.76090000000000002</v>
      </c>
      <c r="AV983" s="312">
        <v>0.74419999999999997</v>
      </c>
      <c r="AW983" s="312">
        <v>0.66369999999999996</v>
      </c>
      <c r="AX983" s="312">
        <v>0.57589999999999997</v>
      </c>
      <c r="AY983" s="312">
        <v>0.67349999999999999</v>
      </c>
      <c r="AZ983" s="312">
        <v>0.70399999999999996</v>
      </c>
      <c r="BA983" s="312">
        <v>0.50829999999999997</v>
      </c>
      <c r="BB983" s="312">
        <v>0.54169999999999996</v>
      </c>
      <c r="BC983" s="312">
        <v>0.74150000000000005</v>
      </c>
      <c r="BD983" s="312">
        <v>0.76480000000000004</v>
      </c>
      <c r="BE983" s="312">
        <v>0.80620000000000003</v>
      </c>
      <c r="BF983" s="312">
        <v>0.70530000000000004</v>
      </c>
      <c r="BG983" s="312">
        <v>0.78349999999999997</v>
      </c>
      <c r="BH983" s="312">
        <v>0.71089999999999998</v>
      </c>
      <c r="BI983" s="312">
        <v>0.7702</v>
      </c>
      <c r="BJ983" s="312">
        <v>0.74880000000000002</v>
      </c>
      <c r="BK983" s="312">
        <v>0.75519999999999998</v>
      </c>
      <c r="BM983">
        <f>(C983-C572)*1000000/(RIMS_emp!C983-RIMS_emp!C572)</f>
        <v>37536.618425079796</v>
      </c>
    </row>
    <row r="984" spans="1:65" x14ac:dyDescent="0.25">
      <c r="A984" s="306">
        <v>327992</v>
      </c>
      <c r="B984" s="312" t="s">
        <v>148</v>
      </c>
      <c r="C984" s="312">
        <v>0.56010000000000004</v>
      </c>
      <c r="D984" s="312">
        <v>0</v>
      </c>
      <c r="E984" s="312">
        <v>0.36809999999999998</v>
      </c>
      <c r="F984" s="312">
        <v>0.34329999999999999</v>
      </c>
      <c r="G984" s="312">
        <v>0.37759999999999999</v>
      </c>
      <c r="H984" s="312">
        <v>0.40039999999999998</v>
      </c>
      <c r="I984" s="312">
        <v>0.4244</v>
      </c>
      <c r="J984" s="312">
        <v>0</v>
      </c>
      <c r="K984" s="312">
        <v>0</v>
      </c>
      <c r="L984" s="312">
        <v>0</v>
      </c>
      <c r="M984" s="312">
        <v>0.36149999999999999</v>
      </c>
      <c r="N984" s="312">
        <v>0.41410000000000002</v>
      </c>
      <c r="O984" s="312">
        <v>0</v>
      </c>
      <c r="P984" s="312">
        <v>0</v>
      </c>
      <c r="Q984" s="312">
        <v>0</v>
      </c>
      <c r="R984" s="312">
        <v>0.42630000000000001</v>
      </c>
      <c r="S984" s="312">
        <v>0.373</v>
      </c>
      <c r="T984" s="312">
        <v>0</v>
      </c>
      <c r="U984" s="312">
        <v>0.35499999999999998</v>
      </c>
      <c r="V984" s="312">
        <v>0.37209999999999999</v>
      </c>
      <c r="W984" s="312">
        <v>0.33079999999999998</v>
      </c>
      <c r="X984" s="312">
        <v>0</v>
      </c>
      <c r="Y984" s="312">
        <v>0.3377</v>
      </c>
      <c r="Z984" s="312">
        <v>0.4</v>
      </c>
      <c r="AA984" s="312">
        <v>0.35949999999999999</v>
      </c>
      <c r="AB984" s="312">
        <v>0.3735</v>
      </c>
      <c r="AC984" s="312">
        <v>0</v>
      </c>
      <c r="AD984" s="312">
        <v>0</v>
      </c>
      <c r="AE984" s="312">
        <v>0.37019999999999997</v>
      </c>
      <c r="AF984" s="312">
        <v>0</v>
      </c>
      <c r="AG984" s="312">
        <v>0</v>
      </c>
      <c r="AH984" s="312">
        <v>0</v>
      </c>
      <c r="AI984" s="312">
        <v>0.36599999999999999</v>
      </c>
      <c r="AJ984" s="312">
        <v>0.34820000000000001</v>
      </c>
      <c r="AK984" s="312">
        <v>0.34</v>
      </c>
      <c r="AL984" s="312">
        <v>0.31630000000000003</v>
      </c>
      <c r="AM984" s="312">
        <v>0.41860000000000003</v>
      </c>
      <c r="AN984" s="312">
        <v>0.37919999999999998</v>
      </c>
      <c r="AO984" s="312">
        <v>0.37419999999999998</v>
      </c>
      <c r="AP984" s="312">
        <v>0.41839999999999999</v>
      </c>
      <c r="AQ984" s="312">
        <v>0</v>
      </c>
      <c r="AR984" s="312">
        <v>0.36499999999999999</v>
      </c>
      <c r="AS984" s="312">
        <v>0</v>
      </c>
      <c r="AT984" s="312">
        <v>0.38229999999999997</v>
      </c>
      <c r="AU984" s="312">
        <v>0.44519999999999998</v>
      </c>
      <c r="AV984" s="312">
        <v>0</v>
      </c>
      <c r="AW984" s="312">
        <v>0.35449999999999998</v>
      </c>
      <c r="AX984" s="312">
        <v>0</v>
      </c>
      <c r="AY984" s="312">
        <v>0.37159999999999999</v>
      </c>
      <c r="AZ984" s="312">
        <v>0.37759999999999999</v>
      </c>
      <c r="BA984" s="312">
        <v>0</v>
      </c>
      <c r="BB984" s="312">
        <v>0.30880000000000002</v>
      </c>
      <c r="BC984" s="312">
        <v>0.37869999999999998</v>
      </c>
      <c r="BD984" s="312">
        <v>0.41349999999999998</v>
      </c>
      <c r="BE984" s="312">
        <v>0.4471</v>
      </c>
      <c r="BF984" s="312">
        <v>0.37659999999999999</v>
      </c>
      <c r="BG984" s="312">
        <v>0.42899999999999999</v>
      </c>
      <c r="BH984" s="312">
        <v>0.39389999999999997</v>
      </c>
      <c r="BI984" s="312">
        <v>0.45229999999999998</v>
      </c>
      <c r="BJ984" s="312">
        <v>0.432</v>
      </c>
      <c r="BK984" s="312">
        <v>0.41720000000000002</v>
      </c>
      <c r="BM984">
        <f>(C984-C573)*1000000/(RIMS_emp!C984-RIMS_emp!C573)</f>
        <v>37550.40795273376</v>
      </c>
    </row>
    <row r="985" spans="1:65" x14ac:dyDescent="0.25">
      <c r="A985" s="306">
        <v>327993</v>
      </c>
      <c r="B985" s="312" t="s">
        <v>149</v>
      </c>
      <c r="C985" s="312">
        <v>0.67959999999999998</v>
      </c>
      <c r="D985" s="312">
        <v>0</v>
      </c>
      <c r="E985" s="312">
        <v>0.44340000000000002</v>
      </c>
      <c r="F985" s="312">
        <v>0.3997</v>
      </c>
      <c r="G985" s="312">
        <v>0.43020000000000003</v>
      </c>
      <c r="H985" s="312">
        <v>0.48330000000000001</v>
      </c>
      <c r="I985" s="312">
        <v>0.48309999999999997</v>
      </c>
      <c r="J985" s="312">
        <v>0.41220000000000001</v>
      </c>
      <c r="K985" s="312">
        <v>0</v>
      </c>
      <c r="L985" s="312">
        <v>0</v>
      </c>
      <c r="M985" s="312">
        <v>0.43049999999999999</v>
      </c>
      <c r="N985" s="312">
        <v>0.4929</v>
      </c>
      <c r="O985" s="312">
        <v>0.37669999999999998</v>
      </c>
      <c r="P985" s="312">
        <v>0.34410000000000002</v>
      </c>
      <c r="Q985" s="312">
        <v>0.36570000000000003</v>
      </c>
      <c r="R985" s="312">
        <v>0.50919999999999999</v>
      </c>
      <c r="S985" s="312">
        <v>0.44359999999999999</v>
      </c>
      <c r="T985" s="312">
        <v>0.35149999999999998</v>
      </c>
      <c r="U985" s="312">
        <v>0.43940000000000001</v>
      </c>
      <c r="V985" s="312">
        <v>0.44240000000000002</v>
      </c>
      <c r="W985" s="312">
        <v>0.4214</v>
      </c>
      <c r="X985" s="312">
        <v>0</v>
      </c>
      <c r="Y985" s="312">
        <v>0.40839999999999999</v>
      </c>
      <c r="Z985" s="312">
        <v>0.48270000000000002</v>
      </c>
      <c r="AA985" s="312">
        <v>0.44950000000000001</v>
      </c>
      <c r="AB985" s="312">
        <v>0.4521</v>
      </c>
      <c r="AC985" s="312">
        <v>0.39269999999999999</v>
      </c>
      <c r="AD985" s="312">
        <v>0</v>
      </c>
      <c r="AE985" s="312">
        <v>0.45910000000000001</v>
      </c>
      <c r="AF985" s="312">
        <v>0.31190000000000001</v>
      </c>
      <c r="AG985" s="312">
        <v>0.35299999999999998</v>
      </c>
      <c r="AH985" s="312">
        <v>0</v>
      </c>
      <c r="AI985" s="312">
        <v>0.45889999999999997</v>
      </c>
      <c r="AJ985" s="312">
        <v>0.38429999999999997</v>
      </c>
      <c r="AK985" s="312">
        <v>0.38679999999999998</v>
      </c>
      <c r="AL985" s="312">
        <v>0.38640000000000002</v>
      </c>
      <c r="AM985" s="312">
        <v>0.51639999999999997</v>
      </c>
      <c r="AN985" s="312">
        <v>0.43709999999999999</v>
      </c>
      <c r="AO985" s="312">
        <v>0.4541</v>
      </c>
      <c r="AP985" s="312">
        <v>0.51580000000000004</v>
      </c>
      <c r="AQ985" s="312">
        <v>0.34889999999999999</v>
      </c>
      <c r="AR985" s="312">
        <v>0.45379999999999998</v>
      </c>
      <c r="AS985" s="312">
        <v>0.32529999999999998</v>
      </c>
      <c r="AT985" s="312">
        <v>0.46579999999999999</v>
      </c>
      <c r="AU985" s="312">
        <v>0.53369999999999995</v>
      </c>
      <c r="AV985" s="312">
        <v>0.49259999999999998</v>
      </c>
      <c r="AW985" s="312">
        <v>0.4325</v>
      </c>
      <c r="AX985" s="312">
        <v>0</v>
      </c>
      <c r="AY985" s="312">
        <v>0.44090000000000001</v>
      </c>
      <c r="AZ985" s="312">
        <v>0.45290000000000002</v>
      </c>
      <c r="BA985" s="312">
        <v>0.3498</v>
      </c>
      <c r="BB985" s="312">
        <v>0</v>
      </c>
      <c r="BC985" s="312">
        <v>0.48509999999999998</v>
      </c>
      <c r="BD985" s="312">
        <v>0.50980000000000003</v>
      </c>
      <c r="BE985" s="312">
        <v>0.54810000000000003</v>
      </c>
      <c r="BF985" s="312">
        <v>0.45739999999999997</v>
      </c>
      <c r="BG985" s="312">
        <v>0.51870000000000005</v>
      </c>
      <c r="BH985" s="312">
        <v>0.49030000000000001</v>
      </c>
      <c r="BI985" s="312">
        <v>0.53680000000000005</v>
      </c>
      <c r="BJ985" s="312">
        <v>0.48039999999999999</v>
      </c>
      <c r="BK985" s="312">
        <v>0.495</v>
      </c>
      <c r="BM985">
        <f>(C985-C574)*1000000/(RIMS_emp!C985-RIMS_emp!C574)</f>
        <v>37528.788042722226</v>
      </c>
    </row>
    <row r="986" spans="1:65" x14ac:dyDescent="0.25">
      <c r="A986" s="306">
        <v>327999</v>
      </c>
      <c r="B986" s="312" t="s">
        <v>721</v>
      </c>
      <c r="C986" s="312">
        <v>0.74029999999999996</v>
      </c>
      <c r="D986" s="312">
        <v>0</v>
      </c>
      <c r="E986" s="312">
        <v>0.48459999999999998</v>
      </c>
      <c r="F986" s="312">
        <v>0.44030000000000002</v>
      </c>
      <c r="G986" s="312">
        <v>0.48159999999999997</v>
      </c>
      <c r="H986" s="312">
        <v>0.53300000000000003</v>
      </c>
      <c r="I986" s="312">
        <v>0.54139999999999999</v>
      </c>
      <c r="J986" s="312">
        <v>0.41339999999999999</v>
      </c>
      <c r="K986" s="312">
        <v>9.7799999999999998E-2</v>
      </c>
      <c r="L986" s="312">
        <v>0.3266</v>
      </c>
      <c r="M986" s="312">
        <v>0.48870000000000002</v>
      </c>
      <c r="N986" s="312">
        <v>0.54759999999999998</v>
      </c>
      <c r="O986" s="312">
        <v>0.38679999999999998</v>
      </c>
      <c r="P986" s="312">
        <v>0.38350000000000001</v>
      </c>
      <c r="Q986" s="312">
        <v>0.39979999999999999</v>
      </c>
      <c r="R986" s="312">
        <v>0.55649999999999999</v>
      </c>
      <c r="S986" s="312">
        <v>0.50119999999999998</v>
      </c>
      <c r="T986" s="312">
        <v>0.38679999999999998</v>
      </c>
      <c r="U986" s="312">
        <v>0.47549999999999998</v>
      </c>
      <c r="V986" s="312">
        <v>0.46460000000000001</v>
      </c>
      <c r="W986" s="312">
        <v>0.43759999999999999</v>
      </c>
      <c r="X986" s="312">
        <v>0.41949999999999998</v>
      </c>
      <c r="Y986" s="312">
        <v>0.4577</v>
      </c>
      <c r="Z986" s="312">
        <v>0.5302</v>
      </c>
      <c r="AA986" s="312">
        <v>0.47639999999999999</v>
      </c>
      <c r="AB986" s="312">
        <v>0.5081</v>
      </c>
      <c r="AC986" s="312">
        <v>0</v>
      </c>
      <c r="AD986" s="312">
        <v>0.39729999999999999</v>
      </c>
      <c r="AE986" s="312">
        <v>0.47210000000000002</v>
      </c>
      <c r="AF986" s="312">
        <v>0</v>
      </c>
      <c r="AG986" s="312">
        <v>0.40029999999999999</v>
      </c>
      <c r="AH986" s="312">
        <v>0.40100000000000002</v>
      </c>
      <c r="AI986" s="312">
        <v>0.47720000000000001</v>
      </c>
      <c r="AJ986" s="312">
        <v>0.4209</v>
      </c>
      <c r="AK986" s="312">
        <v>0.43659999999999999</v>
      </c>
      <c r="AL986" s="312">
        <v>0.4007</v>
      </c>
      <c r="AM986" s="312">
        <v>0.54779999999999995</v>
      </c>
      <c r="AN986" s="312">
        <v>0.48130000000000001</v>
      </c>
      <c r="AO986" s="312">
        <v>0.49070000000000003</v>
      </c>
      <c r="AP986" s="312">
        <v>0.57250000000000001</v>
      </c>
      <c r="AQ986" s="312">
        <v>0.3548</v>
      </c>
      <c r="AR986" s="312">
        <v>0.497</v>
      </c>
      <c r="AS986" s="312">
        <v>0.37030000000000002</v>
      </c>
      <c r="AT986" s="312">
        <v>0.51670000000000005</v>
      </c>
      <c r="AU986" s="312">
        <v>0.58209999999999995</v>
      </c>
      <c r="AV986" s="312">
        <v>0.55830000000000002</v>
      </c>
      <c r="AW986" s="312">
        <v>0.46279999999999999</v>
      </c>
      <c r="AX986" s="312">
        <v>0.35899999999999999</v>
      </c>
      <c r="AY986" s="312">
        <v>0.47799999999999998</v>
      </c>
      <c r="AZ986" s="312">
        <v>0.47310000000000002</v>
      </c>
      <c r="BA986" s="312">
        <v>0.38169999999999998</v>
      </c>
      <c r="BB986" s="312">
        <v>0</v>
      </c>
      <c r="BC986" s="312">
        <v>0.50039999999999996</v>
      </c>
      <c r="BD986" s="312">
        <v>0.54920000000000002</v>
      </c>
      <c r="BE986" s="312">
        <v>0.60719999999999996</v>
      </c>
      <c r="BF986" s="312">
        <v>0.51819999999999999</v>
      </c>
      <c r="BG986" s="312">
        <v>0.56879999999999997</v>
      </c>
      <c r="BH986" s="312">
        <v>0.5363</v>
      </c>
      <c r="BI986" s="312">
        <v>0.58589999999999998</v>
      </c>
      <c r="BJ986" s="312">
        <v>0.5403</v>
      </c>
      <c r="BK986" s="312">
        <v>0.54339999999999999</v>
      </c>
      <c r="BM986">
        <f>(C986-C575)*1000000/(RIMS_emp!C986-RIMS_emp!C575)</f>
        <v>37532.104493919644</v>
      </c>
    </row>
    <row r="987" spans="1:65" x14ac:dyDescent="0.25">
      <c r="A987" s="306">
        <v>331110</v>
      </c>
      <c r="B987" s="312" t="s">
        <v>150</v>
      </c>
      <c r="C987" s="312">
        <v>0.7036</v>
      </c>
      <c r="D987" s="312">
        <v>0.2944</v>
      </c>
      <c r="E987" s="312">
        <v>0.46860000000000002</v>
      </c>
      <c r="F987" s="312">
        <v>0.38179999999999997</v>
      </c>
      <c r="G987" s="312">
        <v>0.39400000000000002</v>
      </c>
      <c r="H987" s="312">
        <v>0.44629999999999997</v>
      </c>
      <c r="I987" s="312">
        <v>0.47839999999999999</v>
      </c>
      <c r="J987" s="312">
        <v>0.38250000000000001</v>
      </c>
      <c r="K987" s="312">
        <v>0.1202</v>
      </c>
      <c r="L987" s="312">
        <v>0.26079999999999998</v>
      </c>
      <c r="M987" s="312">
        <v>0.39610000000000001</v>
      </c>
      <c r="N987" s="312">
        <v>0.43409999999999999</v>
      </c>
      <c r="O987" s="312">
        <v>0.23400000000000001</v>
      </c>
      <c r="P987" s="312">
        <v>0.30470000000000003</v>
      </c>
      <c r="Q987" s="312">
        <v>0.30230000000000001</v>
      </c>
      <c r="R987" s="312">
        <v>0.51500000000000001</v>
      </c>
      <c r="S987" s="312">
        <v>0.45760000000000001</v>
      </c>
      <c r="T987" s="312">
        <v>0.3342</v>
      </c>
      <c r="U987" s="312">
        <v>0.42720000000000002</v>
      </c>
      <c r="V987" s="312">
        <v>0.41170000000000001</v>
      </c>
      <c r="W987" s="312">
        <v>0.37609999999999999</v>
      </c>
      <c r="X987" s="312">
        <v>0.377</v>
      </c>
      <c r="Y987" s="312">
        <v>0</v>
      </c>
      <c r="Z987" s="312">
        <v>0.49730000000000002</v>
      </c>
      <c r="AA987" s="312">
        <v>0.42959999999999998</v>
      </c>
      <c r="AB987" s="312">
        <v>0.41820000000000002</v>
      </c>
      <c r="AC987" s="312">
        <v>0.38080000000000003</v>
      </c>
      <c r="AD987" s="312">
        <v>0.33379999999999999</v>
      </c>
      <c r="AE987" s="312">
        <v>0.40339999999999998</v>
      </c>
      <c r="AF987" s="312">
        <v>0.27860000000000001</v>
      </c>
      <c r="AG987" s="312">
        <v>0.32550000000000001</v>
      </c>
      <c r="AH987" s="312">
        <v>0.35670000000000002</v>
      </c>
      <c r="AI987" s="312">
        <v>0.39729999999999999</v>
      </c>
      <c r="AJ987" s="312">
        <v>0.3019</v>
      </c>
      <c r="AK987" s="312">
        <v>0</v>
      </c>
      <c r="AL987" s="312">
        <v>0.34860000000000002</v>
      </c>
      <c r="AM987" s="312">
        <v>0.5111</v>
      </c>
      <c r="AN987" s="312">
        <v>0.43369999999999997</v>
      </c>
      <c r="AO987" s="312">
        <v>0.41489999999999999</v>
      </c>
      <c r="AP987" s="312">
        <v>0.52270000000000005</v>
      </c>
      <c r="AQ987" s="312">
        <v>0.3281</v>
      </c>
      <c r="AR987" s="312">
        <v>0.44319999999999998</v>
      </c>
      <c r="AS987" s="312">
        <v>0</v>
      </c>
      <c r="AT987" s="312">
        <v>0.45629999999999998</v>
      </c>
      <c r="AU987" s="312">
        <v>0.51490000000000002</v>
      </c>
      <c r="AV987" s="312">
        <v>0.50029999999999997</v>
      </c>
      <c r="AW987" s="312">
        <v>0.4052</v>
      </c>
      <c r="AX987" s="312">
        <v>0.30270000000000002</v>
      </c>
      <c r="AY987" s="312">
        <v>0.39700000000000002</v>
      </c>
      <c r="AZ987" s="312">
        <v>0.41610000000000003</v>
      </c>
      <c r="BA987" s="312">
        <v>0.33200000000000002</v>
      </c>
      <c r="BB987" s="312">
        <v>0</v>
      </c>
      <c r="BC987" s="312">
        <v>0.4385</v>
      </c>
      <c r="BD987" s="312">
        <v>0.50070000000000003</v>
      </c>
      <c r="BE987" s="312">
        <v>0.56879999999999997</v>
      </c>
      <c r="BF987" s="312">
        <v>0.437</v>
      </c>
      <c r="BG987" s="312">
        <v>0.47760000000000002</v>
      </c>
      <c r="BH987" s="312">
        <v>0.49669999999999997</v>
      </c>
      <c r="BI987" s="312">
        <v>0.52629999999999999</v>
      </c>
      <c r="BJ987" s="312">
        <v>0.46250000000000002</v>
      </c>
      <c r="BK987" s="312">
        <v>0.46</v>
      </c>
      <c r="BM987">
        <f>(C987-C576)*1000000/(RIMS_emp!C987-RIMS_emp!C576)</f>
        <v>37534.712890799958</v>
      </c>
    </row>
    <row r="988" spans="1:65" x14ac:dyDescent="0.25">
      <c r="A988" s="306">
        <v>331200</v>
      </c>
      <c r="B988" s="312" t="s">
        <v>151</v>
      </c>
      <c r="C988" s="312">
        <v>0.74560000000000004</v>
      </c>
      <c r="D988" s="312">
        <v>0.28039999999999998</v>
      </c>
      <c r="E988" s="312">
        <v>0.50639999999999996</v>
      </c>
      <c r="F988" s="312">
        <v>0.4244</v>
      </c>
      <c r="G988" s="312">
        <v>0.38040000000000002</v>
      </c>
      <c r="H988" s="312">
        <v>0.45979999999999999</v>
      </c>
      <c r="I988" s="312">
        <v>0.4783</v>
      </c>
      <c r="J988" s="312">
        <v>0.4098</v>
      </c>
      <c r="K988" s="312">
        <v>0</v>
      </c>
      <c r="L988" s="312">
        <v>0.28989999999999999</v>
      </c>
      <c r="M988" s="312">
        <v>0.40039999999999998</v>
      </c>
      <c r="N988" s="312">
        <v>0.42709999999999998</v>
      </c>
      <c r="O988" s="312">
        <v>0.21809999999999999</v>
      </c>
      <c r="P988" s="312">
        <v>0.3281</v>
      </c>
      <c r="Q988" s="312">
        <v>0.29720000000000002</v>
      </c>
      <c r="R988" s="312">
        <v>0.5786</v>
      </c>
      <c r="S988" s="312">
        <v>0.50319999999999998</v>
      </c>
      <c r="T988" s="312">
        <v>0.32969999999999999</v>
      </c>
      <c r="U988" s="312">
        <v>0.47149999999999997</v>
      </c>
      <c r="V988" s="312">
        <v>0.43120000000000003</v>
      </c>
      <c r="W988" s="312">
        <v>0.38919999999999999</v>
      </c>
      <c r="X988" s="312">
        <v>0.42799999999999999</v>
      </c>
      <c r="Y988" s="312">
        <v>0.35809999999999997</v>
      </c>
      <c r="Z988" s="312">
        <v>0.55110000000000003</v>
      </c>
      <c r="AA988" s="312">
        <v>0.43120000000000003</v>
      </c>
      <c r="AB988" s="312">
        <v>0.41460000000000002</v>
      </c>
      <c r="AC988" s="312">
        <v>0.42730000000000001</v>
      </c>
      <c r="AD988" s="312">
        <v>0.30769999999999997</v>
      </c>
      <c r="AE988" s="312">
        <v>0.43120000000000003</v>
      </c>
      <c r="AF988" s="312">
        <v>0</v>
      </c>
      <c r="AG988" s="312">
        <v>0.3427</v>
      </c>
      <c r="AH988" s="312">
        <v>0.37640000000000001</v>
      </c>
      <c r="AI988" s="312">
        <v>0.41370000000000001</v>
      </c>
      <c r="AJ988" s="312">
        <v>0</v>
      </c>
      <c r="AK988" s="312">
        <v>0.32879999999999998</v>
      </c>
      <c r="AL988" s="312">
        <v>0.35449999999999998</v>
      </c>
      <c r="AM988" s="312">
        <v>0.56579999999999997</v>
      </c>
      <c r="AN988" s="312">
        <v>0.49009999999999998</v>
      </c>
      <c r="AO988" s="312">
        <v>0.45540000000000003</v>
      </c>
      <c r="AP988" s="312">
        <v>0.57769999999999999</v>
      </c>
      <c r="AQ988" s="312">
        <v>0.3463</v>
      </c>
      <c r="AR988" s="312">
        <v>0.50609999999999999</v>
      </c>
      <c r="AS988" s="312">
        <v>0.27600000000000002</v>
      </c>
      <c r="AT988" s="312">
        <v>0.48970000000000002</v>
      </c>
      <c r="AU988" s="312">
        <v>0.54669999999999996</v>
      </c>
      <c r="AV988" s="312">
        <v>0.52190000000000003</v>
      </c>
      <c r="AW988" s="312">
        <v>0.39629999999999999</v>
      </c>
      <c r="AX988" s="312">
        <v>0.30130000000000001</v>
      </c>
      <c r="AY988" s="312">
        <v>0.39229999999999998</v>
      </c>
      <c r="AZ988" s="312">
        <v>0.43099999999999999</v>
      </c>
      <c r="BA988" s="312">
        <v>0.33300000000000002</v>
      </c>
      <c r="BB988" s="312">
        <v>0</v>
      </c>
      <c r="BC988" s="312">
        <v>0.46029999999999999</v>
      </c>
      <c r="BD988" s="312">
        <v>0.56699999999999995</v>
      </c>
      <c r="BE988" s="312">
        <v>0.61309999999999998</v>
      </c>
      <c r="BF988" s="312">
        <v>0.42749999999999999</v>
      </c>
      <c r="BG988" s="312">
        <v>0.48580000000000001</v>
      </c>
      <c r="BH988" s="312">
        <v>0.53990000000000005</v>
      </c>
      <c r="BI988" s="312">
        <v>0.57930000000000004</v>
      </c>
      <c r="BJ988" s="312">
        <v>0.43909999999999999</v>
      </c>
      <c r="BK988" s="312">
        <v>0.46929999999999999</v>
      </c>
      <c r="BM988">
        <f>(C988-C577)*1000000/(RIMS_emp!C988-RIMS_emp!C577)</f>
        <v>37533.285430491567</v>
      </c>
    </row>
    <row r="989" spans="1:65" x14ac:dyDescent="0.25">
      <c r="A989" s="306">
        <v>331314</v>
      </c>
      <c r="B989" s="312" t="s">
        <v>153</v>
      </c>
      <c r="C989" s="312">
        <v>0.62309999999999999</v>
      </c>
      <c r="D989" s="312">
        <v>0</v>
      </c>
      <c r="E989" s="312">
        <v>0.38429999999999997</v>
      </c>
      <c r="F989" s="312">
        <v>0.36130000000000001</v>
      </c>
      <c r="G989" s="312">
        <v>0</v>
      </c>
      <c r="H989" s="312">
        <v>0.41260000000000002</v>
      </c>
      <c r="I989" s="312">
        <v>0</v>
      </c>
      <c r="J989" s="312">
        <v>0</v>
      </c>
      <c r="K989" s="312">
        <v>0</v>
      </c>
      <c r="L989" s="312">
        <v>0</v>
      </c>
      <c r="M989" s="312">
        <v>0.35759999999999997</v>
      </c>
      <c r="N989" s="312">
        <v>0.39529999999999998</v>
      </c>
      <c r="O989" s="312">
        <v>0</v>
      </c>
      <c r="P989" s="312">
        <v>0.26219999999999999</v>
      </c>
      <c r="Q989" s="312">
        <v>0.2727</v>
      </c>
      <c r="R989" s="312">
        <v>0.43390000000000001</v>
      </c>
      <c r="S989" s="312">
        <v>0.42270000000000002</v>
      </c>
      <c r="T989" s="312">
        <v>0.28460000000000002</v>
      </c>
      <c r="U989" s="312">
        <v>0.39269999999999999</v>
      </c>
      <c r="V989" s="312">
        <v>0.38329999999999997</v>
      </c>
      <c r="W989" s="312">
        <v>0.33760000000000001</v>
      </c>
      <c r="X989" s="312">
        <v>0.32290000000000002</v>
      </c>
      <c r="Y989" s="312">
        <v>0</v>
      </c>
      <c r="Z989" s="312">
        <v>0.41449999999999998</v>
      </c>
      <c r="AA989" s="312">
        <v>0.38400000000000001</v>
      </c>
      <c r="AB989" s="312">
        <v>0.40649999999999997</v>
      </c>
      <c r="AC989" s="312">
        <v>0</v>
      </c>
      <c r="AD989" s="312">
        <v>0</v>
      </c>
      <c r="AE989" s="312">
        <v>0.35959999999999998</v>
      </c>
      <c r="AF989" s="312">
        <v>0</v>
      </c>
      <c r="AG989" s="312">
        <v>0</v>
      </c>
      <c r="AH989" s="312">
        <v>0</v>
      </c>
      <c r="AI989" s="312">
        <v>0.36059999999999998</v>
      </c>
      <c r="AJ989" s="312">
        <v>0</v>
      </c>
      <c r="AK989" s="312">
        <v>0</v>
      </c>
      <c r="AL989" s="312">
        <v>0.33239999999999997</v>
      </c>
      <c r="AM989" s="312">
        <v>0.4738</v>
      </c>
      <c r="AN989" s="312">
        <v>0.35120000000000001</v>
      </c>
      <c r="AO989" s="312">
        <v>0.3654</v>
      </c>
      <c r="AP989" s="312">
        <v>0.44130000000000003</v>
      </c>
      <c r="AQ989" s="312">
        <v>0</v>
      </c>
      <c r="AR989" s="312">
        <v>0.39729999999999999</v>
      </c>
      <c r="AS989" s="312">
        <v>0</v>
      </c>
      <c r="AT989" s="312">
        <v>0.44400000000000001</v>
      </c>
      <c r="AU989" s="312">
        <v>0.46479999999999999</v>
      </c>
      <c r="AV989" s="312">
        <v>0</v>
      </c>
      <c r="AW989" s="312">
        <v>0</v>
      </c>
      <c r="AX989" s="312">
        <v>0</v>
      </c>
      <c r="AY989" s="312">
        <v>0.378</v>
      </c>
      <c r="AZ989" s="312">
        <v>0.37590000000000001</v>
      </c>
      <c r="BA989" s="312">
        <v>0</v>
      </c>
      <c r="BB989" s="312">
        <v>0</v>
      </c>
      <c r="BC989" s="312">
        <v>0.38879999999999998</v>
      </c>
      <c r="BD989" s="312">
        <v>0.4456</v>
      </c>
      <c r="BE989" s="312">
        <v>0.50860000000000005</v>
      </c>
      <c r="BF989" s="312">
        <v>0.4042</v>
      </c>
      <c r="BG989" s="312">
        <v>0.42380000000000001</v>
      </c>
      <c r="BH989" s="312">
        <v>0.45689999999999997</v>
      </c>
      <c r="BI989" s="312">
        <v>0.4864</v>
      </c>
      <c r="BJ989" s="312">
        <v>0.38969999999999999</v>
      </c>
      <c r="BK989" s="312">
        <v>0.43330000000000002</v>
      </c>
      <c r="BM989">
        <f>(C989-C578)*1000000/(RIMS_emp!C989-RIMS_emp!C578)</f>
        <v>37547.84104129082</v>
      </c>
    </row>
    <row r="990" spans="1:65" x14ac:dyDescent="0.25">
      <c r="A990" s="306" t="s">
        <v>722</v>
      </c>
      <c r="B990" s="312" t="s">
        <v>152</v>
      </c>
      <c r="C990" s="312">
        <v>0.65510000000000002</v>
      </c>
      <c r="D990" s="312">
        <v>0</v>
      </c>
      <c r="E990" s="312">
        <v>0.41549999999999998</v>
      </c>
      <c r="F990" s="312">
        <v>0.39439999999999997</v>
      </c>
      <c r="G990" s="312">
        <v>0.3765</v>
      </c>
      <c r="H990" s="312">
        <v>0.41499999999999998</v>
      </c>
      <c r="I990" s="312">
        <v>0</v>
      </c>
      <c r="J990" s="312">
        <v>0</v>
      </c>
      <c r="K990" s="312">
        <v>0</v>
      </c>
      <c r="L990" s="312">
        <v>0</v>
      </c>
      <c r="M990" s="312">
        <v>0.36870000000000003</v>
      </c>
      <c r="N990" s="312">
        <v>0.39639999999999997</v>
      </c>
      <c r="O990" s="312">
        <v>0</v>
      </c>
      <c r="P990" s="312">
        <v>0</v>
      </c>
      <c r="Q990" s="312">
        <v>0.2873</v>
      </c>
      <c r="R990" s="312">
        <v>0.43580000000000002</v>
      </c>
      <c r="S990" s="312">
        <v>0.42699999999999999</v>
      </c>
      <c r="T990" s="312">
        <v>0</v>
      </c>
      <c r="U990" s="312">
        <v>0.4173</v>
      </c>
      <c r="V990" s="312">
        <v>0.42359999999999998</v>
      </c>
      <c r="W990" s="312">
        <v>0.3342</v>
      </c>
      <c r="X990" s="312">
        <v>0.33989999999999998</v>
      </c>
      <c r="Y990" s="312">
        <v>0</v>
      </c>
      <c r="Z990" s="312">
        <v>0</v>
      </c>
      <c r="AA990" s="312">
        <v>0.38950000000000001</v>
      </c>
      <c r="AB990" s="312">
        <v>0.41599999999999998</v>
      </c>
      <c r="AC990" s="312">
        <v>0</v>
      </c>
      <c r="AD990" s="312">
        <v>0.3548</v>
      </c>
      <c r="AE990" s="312">
        <v>0.37190000000000001</v>
      </c>
      <c r="AF990" s="312">
        <v>0</v>
      </c>
      <c r="AG990" s="312">
        <v>0</v>
      </c>
      <c r="AH990" s="312">
        <v>0.3352</v>
      </c>
      <c r="AI990" s="312">
        <v>0.35439999999999999</v>
      </c>
      <c r="AJ990" s="312">
        <v>0</v>
      </c>
      <c r="AK990" s="312">
        <v>0</v>
      </c>
      <c r="AL990" s="312">
        <v>0.36780000000000002</v>
      </c>
      <c r="AM990" s="312">
        <v>0.496</v>
      </c>
      <c r="AN990" s="312">
        <v>0.3881</v>
      </c>
      <c r="AO990" s="312">
        <v>0.38500000000000001</v>
      </c>
      <c r="AP990" s="312">
        <v>0.46870000000000001</v>
      </c>
      <c r="AQ990" s="312">
        <v>0</v>
      </c>
      <c r="AR990" s="312">
        <v>0.41320000000000001</v>
      </c>
      <c r="AS990" s="312">
        <v>0</v>
      </c>
      <c r="AT990" s="312">
        <v>0.45500000000000002</v>
      </c>
      <c r="AU990" s="312">
        <v>0.50449999999999995</v>
      </c>
      <c r="AV990" s="312">
        <v>0</v>
      </c>
      <c r="AW990" s="312">
        <v>0</v>
      </c>
      <c r="AX990" s="312">
        <v>0</v>
      </c>
      <c r="AY990" s="312">
        <v>0.38979999999999998</v>
      </c>
      <c r="AZ990" s="312">
        <v>0</v>
      </c>
      <c r="BA990" s="312">
        <v>0.31890000000000002</v>
      </c>
      <c r="BB990" s="312">
        <v>0</v>
      </c>
      <c r="BC990" s="312">
        <v>0.3866</v>
      </c>
      <c r="BD990" s="312">
        <v>0.46729999999999999</v>
      </c>
      <c r="BE990" s="312">
        <v>0.52890000000000004</v>
      </c>
      <c r="BF990" s="312">
        <v>0.41980000000000001</v>
      </c>
      <c r="BG990" s="312">
        <v>0.4481</v>
      </c>
      <c r="BH990" s="312">
        <v>0.47939999999999999</v>
      </c>
      <c r="BI990" s="312">
        <v>0.52359999999999995</v>
      </c>
      <c r="BJ990" s="312">
        <v>0.44779999999999998</v>
      </c>
      <c r="BK990" s="312">
        <v>0.44450000000000001</v>
      </c>
      <c r="BM990">
        <f>(C990-C579)*1000000/(RIMS_emp!C990-RIMS_emp!C579)</f>
        <v>37537.681996023348</v>
      </c>
    </row>
    <row r="991" spans="1:65" x14ac:dyDescent="0.25">
      <c r="A991" s="306" t="s">
        <v>723</v>
      </c>
      <c r="B991" s="312" t="s">
        <v>154</v>
      </c>
      <c r="C991" s="312">
        <v>0.624</v>
      </c>
      <c r="D991" s="312">
        <v>0</v>
      </c>
      <c r="E991" s="312">
        <v>0.371</v>
      </c>
      <c r="F991" s="312">
        <v>0.3579</v>
      </c>
      <c r="G991" s="312">
        <v>0.35709999999999997</v>
      </c>
      <c r="H991" s="312">
        <v>0.41270000000000001</v>
      </c>
      <c r="I991" s="312">
        <v>0.34339999999999998</v>
      </c>
      <c r="J991" s="312">
        <v>0.31979999999999997</v>
      </c>
      <c r="K991" s="312">
        <v>0</v>
      </c>
      <c r="L991" s="312">
        <v>0</v>
      </c>
      <c r="M991" s="312">
        <v>0.32819999999999999</v>
      </c>
      <c r="N991" s="312">
        <v>0.36220000000000002</v>
      </c>
      <c r="O991" s="312">
        <v>0</v>
      </c>
      <c r="P991" s="312">
        <v>0.253</v>
      </c>
      <c r="Q991" s="312">
        <v>0</v>
      </c>
      <c r="R991" s="312">
        <v>0.3846</v>
      </c>
      <c r="S991" s="312">
        <v>0.41560000000000002</v>
      </c>
      <c r="T991" s="312">
        <v>0.25259999999999999</v>
      </c>
      <c r="U991" s="312">
        <v>0.38790000000000002</v>
      </c>
      <c r="V991" s="312">
        <v>0.36409999999999998</v>
      </c>
      <c r="W991" s="312">
        <v>0.31080000000000002</v>
      </c>
      <c r="X991" s="312">
        <v>0.28460000000000002</v>
      </c>
      <c r="Y991" s="312">
        <v>0</v>
      </c>
      <c r="Z991" s="312">
        <v>0.40079999999999999</v>
      </c>
      <c r="AA991" s="312">
        <v>0.35</v>
      </c>
      <c r="AB991" s="312">
        <v>0.40129999999999999</v>
      </c>
      <c r="AC991" s="312">
        <v>0.2913</v>
      </c>
      <c r="AD991" s="312">
        <v>0</v>
      </c>
      <c r="AE991" s="312">
        <v>0.32769999999999999</v>
      </c>
      <c r="AF991" s="312">
        <v>0</v>
      </c>
      <c r="AG991" s="312">
        <v>0</v>
      </c>
      <c r="AH991" s="312">
        <v>0.315</v>
      </c>
      <c r="AI991" s="312">
        <v>0.32700000000000001</v>
      </c>
      <c r="AJ991" s="312">
        <v>0</v>
      </c>
      <c r="AK991" s="312">
        <v>0.2495</v>
      </c>
      <c r="AL991" s="312">
        <v>0.32550000000000001</v>
      </c>
      <c r="AM991" s="312">
        <v>0.47139999999999999</v>
      </c>
      <c r="AN991" s="312">
        <v>0.32150000000000001</v>
      </c>
      <c r="AO991" s="312">
        <v>0.36209999999999998</v>
      </c>
      <c r="AP991" s="312">
        <v>0.42930000000000001</v>
      </c>
      <c r="AQ991" s="312">
        <v>0</v>
      </c>
      <c r="AR991" s="312">
        <v>0.38800000000000001</v>
      </c>
      <c r="AS991" s="312">
        <v>0.25290000000000001</v>
      </c>
      <c r="AT991" s="312">
        <v>0.42780000000000001</v>
      </c>
      <c r="AU991" s="312">
        <v>0.46139999999999998</v>
      </c>
      <c r="AV991" s="312">
        <v>0.36220000000000002</v>
      </c>
      <c r="AW991" s="312">
        <v>0.32940000000000003</v>
      </c>
      <c r="AX991" s="312">
        <v>0</v>
      </c>
      <c r="AY991" s="312">
        <v>0.37309999999999999</v>
      </c>
      <c r="AZ991" s="312">
        <v>0.33939999999999998</v>
      </c>
      <c r="BA991" s="312">
        <v>0.27189999999999998</v>
      </c>
      <c r="BB991" s="312">
        <v>0</v>
      </c>
      <c r="BC991" s="312">
        <v>0.36199999999999999</v>
      </c>
      <c r="BD991" s="312">
        <v>0.42799999999999999</v>
      </c>
      <c r="BE991" s="312">
        <v>0.50149999999999995</v>
      </c>
      <c r="BF991" s="312">
        <v>0.40350000000000003</v>
      </c>
      <c r="BG991" s="312">
        <v>0.39650000000000002</v>
      </c>
      <c r="BH991" s="312">
        <v>0.44469999999999998</v>
      </c>
      <c r="BI991" s="312">
        <v>0.4919</v>
      </c>
      <c r="BJ991" s="312">
        <v>0.36080000000000001</v>
      </c>
      <c r="BK991" s="312">
        <v>0.43519999999999998</v>
      </c>
      <c r="BM991">
        <f>(C991-C580)*1000000/(RIMS_emp!C991-RIMS_emp!C580)</f>
        <v>37542.087542087538</v>
      </c>
    </row>
    <row r="992" spans="1:65" x14ac:dyDescent="0.25">
      <c r="A992" s="306">
        <v>331411</v>
      </c>
      <c r="B992" s="312" t="s">
        <v>155</v>
      </c>
      <c r="C992" s="312">
        <v>0.5181</v>
      </c>
      <c r="D992" s="312">
        <v>0</v>
      </c>
      <c r="E992" s="312">
        <v>0</v>
      </c>
      <c r="F992" s="312">
        <v>0</v>
      </c>
      <c r="G992" s="312">
        <v>0.34810000000000002</v>
      </c>
      <c r="H992" s="312">
        <v>0</v>
      </c>
      <c r="I992" s="312">
        <v>0</v>
      </c>
      <c r="J992" s="312">
        <v>0</v>
      </c>
      <c r="K992" s="312">
        <v>0</v>
      </c>
      <c r="L992" s="312">
        <v>0</v>
      </c>
      <c r="M992" s="312">
        <v>0</v>
      </c>
      <c r="N992" s="312">
        <v>0</v>
      </c>
      <c r="O992" s="312">
        <v>0</v>
      </c>
      <c r="P992" s="312">
        <v>0</v>
      </c>
      <c r="Q992" s="312">
        <v>0</v>
      </c>
      <c r="R992" s="312">
        <v>0</v>
      </c>
      <c r="S992" s="312">
        <v>0</v>
      </c>
      <c r="T992" s="312">
        <v>0</v>
      </c>
      <c r="U992" s="312">
        <v>0</v>
      </c>
      <c r="V992" s="312">
        <v>0</v>
      </c>
      <c r="W992" s="312">
        <v>0</v>
      </c>
      <c r="X992" s="312">
        <v>0</v>
      </c>
      <c r="Y992" s="312">
        <v>0</v>
      </c>
      <c r="Z992" s="312">
        <v>0.30409999999999998</v>
      </c>
      <c r="AA992" s="312">
        <v>0</v>
      </c>
      <c r="AB992" s="312">
        <v>0</v>
      </c>
      <c r="AC992" s="312">
        <v>0</v>
      </c>
      <c r="AD992" s="312">
        <v>0</v>
      </c>
      <c r="AE992" s="312">
        <v>0</v>
      </c>
      <c r="AF992" s="312">
        <v>0</v>
      </c>
      <c r="AG992" s="312">
        <v>0</v>
      </c>
      <c r="AH992" s="312">
        <v>0</v>
      </c>
      <c r="AI992" s="312">
        <v>0</v>
      </c>
      <c r="AJ992" s="312">
        <v>0</v>
      </c>
      <c r="AK992" s="312">
        <v>0</v>
      </c>
      <c r="AL992" s="312">
        <v>0</v>
      </c>
      <c r="AM992" s="312">
        <v>0</v>
      </c>
      <c r="AN992" s="312">
        <v>0</v>
      </c>
      <c r="AO992" s="312">
        <v>0</v>
      </c>
      <c r="AP992" s="312">
        <v>0</v>
      </c>
      <c r="AQ992" s="312">
        <v>0.24260000000000001</v>
      </c>
      <c r="AR992" s="312">
        <v>0</v>
      </c>
      <c r="AS992" s="312">
        <v>0</v>
      </c>
      <c r="AT992" s="312">
        <v>0</v>
      </c>
      <c r="AU992" s="312">
        <v>0.3392</v>
      </c>
      <c r="AV992" s="312">
        <v>0.40100000000000002</v>
      </c>
      <c r="AW992" s="312">
        <v>0</v>
      </c>
      <c r="AX992" s="312">
        <v>0</v>
      </c>
      <c r="AY992" s="312">
        <v>0</v>
      </c>
      <c r="AZ992" s="312">
        <v>0</v>
      </c>
      <c r="BA992" s="312">
        <v>0</v>
      </c>
      <c r="BB992" s="312">
        <v>0</v>
      </c>
      <c r="BC992" s="312">
        <v>0.26879999999999998</v>
      </c>
      <c r="BD992" s="312">
        <v>0</v>
      </c>
      <c r="BE992" s="312">
        <v>0.2969</v>
      </c>
      <c r="BF992" s="312">
        <v>0</v>
      </c>
      <c r="BG992" s="312">
        <v>0</v>
      </c>
      <c r="BH992" s="312">
        <v>0</v>
      </c>
      <c r="BI992" s="312">
        <v>0.35099999999999998</v>
      </c>
      <c r="BJ992" s="312">
        <v>0.38719999999999999</v>
      </c>
      <c r="BK992" s="312">
        <v>0</v>
      </c>
      <c r="BM992">
        <f>(C992-C581)*1000000/(RIMS_emp!C992-RIMS_emp!C581)</f>
        <v>37552.973619644355</v>
      </c>
    </row>
    <row r="993" spans="1:65" x14ac:dyDescent="0.25">
      <c r="A993" s="306">
        <v>331419</v>
      </c>
      <c r="B993" s="312" t="s">
        <v>156</v>
      </c>
      <c r="C993" s="312">
        <v>0.73280000000000001</v>
      </c>
      <c r="D993" s="312">
        <v>0</v>
      </c>
      <c r="E993" s="312">
        <v>0.42149999999999999</v>
      </c>
      <c r="F993" s="312">
        <v>0.39389999999999997</v>
      </c>
      <c r="G993" s="312">
        <v>0.41399999999999998</v>
      </c>
      <c r="H993" s="312">
        <v>0.44219999999999998</v>
      </c>
      <c r="I993" s="312">
        <v>0.54320000000000002</v>
      </c>
      <c r="J993" s="312">
        <v>0.38179999999999997</v>
      </c>
      <c r="K993" s="312">
        <v>0</v>
      </c>
      <c r="L993" s="312">
        <v>0</v>
      </c>
      <c r="M993" s="312">
        <v>0.41599999999999998</v>
      </c>
      <c r="N993" s="312">
        <v>0</v>
      </c>
      <c r="O993" s="312">
        <v>0</v>
      </c>
      <c r="P993" s="312">
        <v>0</v>
      </c>
      <c r="Q993" s="312">
        <v>0.38879999999999998</v>
      </c>
      <c r="R993" s="312">
        <v>0.4365</v>
      </c>
      <c r="S993" s="312">
        <v>0</v>
      </c>
      <c r="T993" s="312">
        <v>0.31540000000000001</v>
      </c>
      <c r="U993" s="312">
        <v>0</v>
      </c>
      <c r="V993" s="312">
        <v>0</v>
      </c>
      <c r="W993" s="312">
        <v>0.38190000000000002</v>
      </c>
      <c r="X993" s="312">
        <v>0</v>
      </c>
      <c r="Y993" s="312">
        <v>0</v>
      </c>
      <c r="Z993" s="312">
        <v>0.42880000000000001</v>
      </c>
      <c r="AA993" s="312">
        <v>0.40550000000000003</v>
      </c>
      <c r="AB993" s="312">
        <v>0.4234</v>
      </c>
      <c r="AC993" s="312">
        <v>0</v>
      </c>
      <c r="AD993" s="312">
        <v>0.43070000000000003</v>
      </c>
      <c r="AE993" s="312">
        <v>0.39510000000000001</v>
      </c>
      <c r="AF993" s="312">
        <v>0.28100000000000003</v>
      </c>
      <c r="AG993" s="312">
        <v>0</v>
      </c>
      <c r="AH993" s="312">
        <v>0</v>
      </c>
      <c r="AI993" s="312">
        <v>0.39800000000000002</v>
      </c>
      <c r="AJ993" s="312">
        <v>0.3906</v>
      </c>
      <c r="AK993" s="312">
        <v>0.47120000000000001</v>
      </c>
      <c r="AL993" s="312">
        <v>0.37009999999999998</v>
      </c>
      <c r="AM993" s="312">
        <v>0.44269999999999998</v>
      </c>
      <c r="AN993" s="312">
        <v>0</v>
      </c>
      <c r="AO993" s="312">
        <v>0.38340000000000002</v>
      </c>
      <c r="AP993" s="312">
        <v>0.4617</v>
      </c>
      <c r="AQ993" s="312">
        <v>0.3543</v>
      </c>
      <c r="AR993" s="312">
        <v>0.40010000000000001</v>
      </c>
      <c r="AS993" s="312">
        <v>0.37969999999999998</v>
      </c>
      <c r="AT993" s="312">
        <v>0.43359999999999999</v>
      </c>
      <c r="AU993" s="312">
        <v>0.47949999999999998</v>
      </c>
      <c r="AV993" s="312">
        <v>0.58460000000000001</v>
      </c>
      <c r="AW993" s="312">
        <v>0</v>
      </c>
      <c r="AX993" s="312">
        <v>0</v>
      </c>
      <c r="AY993" s="312">
        <v>0.42170000000000002</v>
      </c>
      <c r="AZ993" s="312">
        <v>0</v>
      </c>
      <c r="BA993" s="312">
        <v>0</v>
      </c>
      <c r="BB993" s="312">
        <v>0</v>
      </c>
      <c r="BC993" s="312">
        <v>0.44490000000000002</v>
      </c>
      <c r="BD993" s="312">
        <v>0.46689999999999998</v>
      </c>
      <c r="BE993" s="312">
        <v>0.4758</v>
      </c>
      <c r="BF993" s="312">
        <v>0.42049999999999998</v>
      </c>
      <c r="BG993" s="312">
        <v>0.44869999999999999</v>
      </c>
      <c r="BH993" s="312">
        <v>0.44929999999999998</v>
      </c>
      <c r="BI993" s="312">
        <v>0.48010000000000003</v>
      </c>
      <c r="BJ993" s="312">
        <v>0.57509999999999994</v>
      </c>
      <c r="BK993" s="312">
        <v>0.51659999999999995</v>
      </c>
      <c r="BM993">
        <f>(C993-C582)*1000000/(RIMS_emp!C993-RIMS_emp!C582)</f>
        <v>37545.695649057423</v>
      </c>
    </row>
    <row r="994" spans="1:65" x14ac:dyDescent="0.25">
      <c r="A994" s="306">
        <v>331420</v>
      </c>
      <c r="B994" s="312" t="s">
        <v>157</v>
      </c>
      <c r="C994" s="312">
        <v>0.63629999999999998</v>
      </c>
      <c r="D994" s="312">
        <v>0</v>
      </c>
      <c r="E994" s="312">
        <v>0.3926</v>
      </c>
      <c r="F994" s="312">
        <v>0.3412</v>
      </c>
      <c r="G994" s="312">
        <v>0.37540000000000001</v>
      </c>
      <c r="H994" s="312">
        <v>0.37819999999999998</v>
      </c>
      <c r="I994" s="312">
        <v>0.35859999999999997</v>
      </c>
      <c r="J994" s="312">
        <v>0.38850000000000001</v>
      </c>
      <c r="K994" s="312">
        <v>0</v>
      </c>
      <c r="L994" s="312">
        <v>0.20039999999999999</v>
      </c>
      <c r="M994" s="312">
        <v>0.3291</v>
      </c>
      <c r="N994" s="312">
        <v>0.42459999999999998</v>
      </c>
      <c r="O994" s="312">
        <v>0</v>
      </c>
      <c r="P994" s="312">
        <v>0.27879999999999999</v>
      </c>
      <c r="Q994" s="312">
        <v>0</v>
      </c>
      <c r="R994" s="312">
        <v>0.45129999999999998</v>
      </c>
      <c r="S994" s="312">
        <v>0.39169999999999999</v>
      </c>
      <c r="T994" s="312">
        <v>0.31130000000000002</v>
      </c>
      <c r="U994" s="312">
        <v>0.37140000000000001</v>
      </c>
      <c r="V994" s="312">
        <v>0.31209999999999999</v>
      </c>
      <c r="W994" s="312">
        <v>0.39040000000000002</v>
      </c>
      <c r="X994" s="312">
        <v>0.28939999999999999</v>
      </c>
      <c r="Y994" s="312">
        <v>0.2984</v>
      </c>
      <c r="Z994" s="312">
        <v>0.41539999999999999</v>
      </c>
      <c r="AA994" s="312">
        <v>0.33429999999999999</v>
      </c>
      <c r="AB994" s="312">
        <v>0.37390000000000001</v>
      </c>
      <c r="AC994" s="312">
        <v>0.33229999999999998</v>
      </c>
      <c r="AD994" s="312">
        <v>0</v>
      </c>
      <c r="AE994" s="312">
        <v>0.39800000000000002</v>
      </c>
      <c r="AF994" s="312">
        <v>0</v>
      </c>
      <c r="AG994" s="312">
        <v>0.28839999999999999</v>
      </c>
      <c r="AH994" s="312">
        <v>0.36070000000000002</v>
      </c>
      <c r="AI994" s="312">
        <v>0.37319999999999998</v>
      </c>
      <c r="AJ994" s="312">
        <v>0.2306</v>
      </c>
      <c r="AK994" s="312">
        <v>0</v>
      </c>
      <c r="AL994" s="312">
        <v>0.35060000000000002</v>
      </c>
      <c r="AM994" s="312">
        <v>0.43469999999999998</v>
      </c>
      <c r="AN994" s="312">
        <v>0.36930000000000002</v>
      </c>
      <c r="AO994" s="312">
        <v>0.30270000000000002</v>
      </c>
      <c r="AP994" s="312">
        <v>0.44969999999999999</v>
      </c>
      <c r="AQ994" s="312">
        <v>0.3599</v>
      </c>
      <c r="AR994" s="312">
        <v>0.3992</v>
      </c>
      <c r="AS994" s="312">
        <v>0</v>
      </c>
      <c r="AT994" s="312">
        <v>0.38219999999999998</v>
      </c>
      <c r="AU994" s="312">
        <v>0.44900000000000001</v>
      </c>
      <c r="AV994" s="312">
        <v>0.42909999999999998</v>
      </c>
      <c r="AW994" s="312">
        <v>0.33779999999999999</v>
      </c>
      <c r="AX994" s="312">
        <v>0.31319999999999998</v>
      </c>
      <c r="AY994" s="312">
        <v>0</v>
      </c>
      <c r="AZ994" s="312">
        <v>0.34939999999999999</v>
      </c>
      <c r="BA994" s="312">
        <v>0.23949999999999999</v>
      </c>
      <c r="BB994" s="312">
        <v>0</v>
      </c>
      <c r="BC994" s="312">
        <v>0.44769999999999999</v>
      </c>
      <c r="BD994" s="312">
        <v>0.44950000000000001</v>
      </c>
      <c r="BE994" s="312">
        <v>0.47749999999999998</v>
      </c>
      <c r="BF994" s="312">
        <v>0.36399999999999999</v>
      </c>
      <c r="BG994" s="312">
        <v>0.40910000000000002</v>
      </c>
      <c r="BH994" s="312">
        <v>0.4199</v>
      </c>
      <c r="BI994" s="312">
        <v>0.45550000000000002</v>
      </c>
      <c r="BJ994" s="312">
        <v>0.39140000000000003</v>
      </c>
      <c r="BK994" s="312">
        <v>0.37569999999999998</v>
      </c>
      <c r="BM994">
        <f>(C994-C583)*1000000/(RIMS_emp!C994-RIMS_emp!C583)</f>
        <v>37542.718462630633</v>
      </c>
    </row>
    <row r="995" spans="1:65" x14ac:dyDescent="0.25">
      <c r="A995" s="306">
        <v>331490</v>
      </c>
      <c r="B995" s="312" t="s">
        <v>158</v>
      </c>
      <c r="C995" s="312">
        <v>0.68830000000000002</v>
      </c>
      <c r="D995" s="312">
        <v>0</v>
      </c>
      <c r="E995" s="312">
        <v>0.45579999999999998</v>
      </c>
      <c r="F995" s="312">
        <v>0.39029999999999998</v>
      </c>
      <c r="G995" s="312">
        <v>0.41249999999999998</v>
      </c>
      <c r="H995" s="312">
        <v>0.4738</v>
      </c>
      <c r="I995" s="312">
        <v>0.47749999999999998</v>
      </c>
      <c r="J995" s="312">
        <v>0.42930000000000001</v>
      </c>
      <c r="K995" s="312">
        <v>0</v>
      </c>
      <c r="L995" s="312">
        <v>0</v>
      </c>
      <c r="M995" s="312">
        <v>0.42409999999999998</v>
      </c>
      <c r="N995" s="312">
        <v>0.45660000000000001</v>
      </c>
      <c r="O995" s="312">
        <v>0</v>
      </c>
      <c r="P995" s="312">
        <v>0</v>
      </c>
      <c r="Q995" s="312">
        <v>0.34439999999999998</v>
      </c>
      <c r="R995" s="312">
        <v>0.49370000000000003</v>
      </c>
      <c r="S995" s="312">
        <v>0.44359999999999999</v>
      </c>
      <c r="T995" s="312">
        <v>0</v>
      </c>
      <c r="U995" s="312">
        <v>0.41980000000000001</v>
      </c>
      <c r="V995" s="312">
        <v>0.41299999999999998</v>
      </c>
      <c r="W995" s="312">
        <v>0.42580000000000001</v>
      </c>
      <c r="X995" s="312">
        <v>0.37730000000000002</v>
      </c>
      <c r="Y995" s="312">
        <v>0.40310000000000001</v>
      </c>
      <c r="Z995" s="312">
        <v>0.4728</v>
      </c>
      <c r="AA995" s="312">
        <v>0.43969999999999998</v>
      </c>
      <c r="AB995" s="312">
        <v>0.44450000000000001</v>
      </c>
      <c r="AC995" s="312">
        <v>0</v>
      </c>
      <c r="AD995" s="312">
        <v>0.36080000000000001</v>
      </c>
      <c r="AE995" s="312">
        <v>0.44719999999999999</v>
      </c>
      <c r="AF995" s="312">
        <v>0</v>
      </c>
      <c r="AG995" s="312">
        <v>0</v>
      </c>
      <c r="AH995" s="312">
        <v>0.39979999999999999</v>
      </c>
      <c r="AI995" s="312">
        <v>0.42499999999999999</v>
      </c>
      <c r="AJ995" s="312">
        <v>0.30809999999999998</v>
      </c>
      <c r="AK995" s="312">
        <v>0.38969999999999999</v>
      </c>
      <c r="AL995" s="312">
        <v>0.39329999999999998</v>
      </c>
      <c r="AM995" s="312">
        <v>0.49919999999999998</v>
      </c>
      <c r="AN995" s="312">
        <v>0.40839999999999999</v>
      </c>
      <c r="AO995" s="312">
        <v>0.41170000000000001</v>
      </c>
      <c r="AP995" s="312">
        <v>0.51739999999999997</v>
      </c>
      <c r="AQ995" s="312">
        <v>0.39040000000000002</v>
      </c>
      <c r="AR995" s="312">
        <v>0.45179999999999998</v>
      </c>
      <c r="AS995" s="312">
        <v>0</v>
      </c>
      <c r="AT995" s="312">
        <v>0.4632</v>
      </c>
      <c r="AU995" s="312">
        <v>0.50470000000000004</v>
      </c>
      <c r="AV995" s="312">
        <v>0.5111</v>
      </c>
      <c r="AW995" s="312">
        <v>0.41399999999999998</v>
      </c>
      <c r="AX995" s="312">
        <v>0</v>
      </c>
      <c r="AY995" s="312">
        <v>0.41320000000000001</v>
      </c>
      <c r="AZ995" s="312">
        <v>0.43190000000000001</v>
      </c>
      <c r="BA995" s="312">
        <v>0.30099999999999999</v>
      </c>
      <c r="BB995" s="312">
        <v>0</v>
      </c>
      <c r="BC995" s="312">
        <v>0.49930000000000002</v>
      </c>
      <c r="BD995" s="312">
        <v>0.51549999999999996</v>
      </c>
      <c r="BE995" s="312">
        <v>0.53820000000000001</v>
      </c>
      <c r="BF995" s="312">
        <v>0.437</v>
      </c>
      <c r="BG995" s="312">
        <v>0.48480000000000001</v>
      </c>
      <c r="BH995" s="312">
        <v>0.48720000000000002</v>
      </c>
      <c r="BI995" s="312">
        <v>0.50849999999999995</v>
      </c>
      <c r="BJ995" s="312">
        <v>0.48509999999999998</v>
      </c>
      <c r="BK995" s="312">
        <v>0.49280000000000002</v>
      </c>
      <c r="BM995">
        <f>(C995-C584)*1000000/(RIMS_emp!C995-RIMS_emp!C584)</f>
        <v>37545.787545787542</v>
      </c>
    </row>
    <row r="996" spans="1:65" x14ac:dyDescent="0.25">
      <c r="A996" s="306">
        <v>331510</v>
      </c>
      <c r="B996" s="312" t="s">
        <v>159</v>
      </c>
      <c r="C996" s="312">
        <v>0.84440000000000004</v>
      </c>
      <c r="D996" s="312">
        <v>0</v>
      </c>
      <c r="E996" s="312">
        <v>0.6099</v>
      </c>
      <c r="F996" s="312">
        <v>0.52569999999999995</v>
      </c>
      <c r="G996" s="312">
        <v>0.58179999999999998</v>
      </c>
      <c r="H996" s="312">
        <v>0.66269999999999996</v>
      </c>
      <c r="I996" s="312">
        <v>0.66959999999999997</v>
      </c>
      <c r="J996" s="312">
        <v>0.58350000000000002</v>
      </c>
      <c r="K996" s="312">
        <v>0</v>
      </c>
      <c r="L996" s="312">
        <v>0</v>
      </c>
      <c r="M996" s="312">
        <v>0.61060000000000003</v>
      </c>
      <c r="N996" s="312">
        <v>0.62429999999999997</v>
      </c>
      <c r="O996" s="312">
        <v>0</v>
      </c>
      <c r="P996" s="312">
        <v>0.44330000000000003</v>
      </c>
      <c r="Q996" s="312">
        <v>0.4783</v>
      </c>
      <c r="R996" s="312">
        <v>0.6653</v>
      </c>
      <c r="S996" s="312">
        <v>0.59860000000000002</v>
      </c>
      <c r="T996" s="312">
        <v>0.49209999999999998</v>
      </c>
      <c r="U996" s="312">
        <v>0.56259999999999999</v>
      </c>
      <c r="V996" s="312">
        <v>0.58589999999999998</v>
      </c>
      <c r="W996" s="312">
        <v>0.57920000000000005</v>
      </c>
      <c r="X996" s="312">
        <v>0.54830000000000001</v>
      </c>
      <c r="Y996" s="312">
        <v>0.56769999999999998</v>
      </c>
      <c r="Z996" s="312">
        <v>0.6573</v>
      </c>
      <c r="AA996" s="312">
        <v>0.6149</v>
      </c>
      <c r="AB996" s="312">
        <v>0.5968</v>
      </c>
      <c r="AC996" s="312">
        <v>0.53590000000000004</v>
      </c>
      <c r="AD996" s="312">
        <v>0.51249999999999996</v>
      </c>
      <c r="AE996" s="312">
        <v>0.5968</v>
      </c>
      <c r="AF996" s="312">
        <v>0</v>
      </c>
      <c r="AG996" s="312">
        <v>0.50490000000000002</v>
      </c>
      <c r="AH996" s="312">
        <v>0.54930000000000001</v>
      </c>
      <c r="AI996" s="312">
        <v>0.58289999999999997</v>
      </c>
      <c r="AJ996" s="312">
        <v>0.42849999999999999</v>
      </c>
      <c r="AK996" s="312">
        <v>0.54149999999999998</v>
      </c>
      <c r="AL996" s="312">
        <v>0.55820000000000003</v>
      </c>
      <c r="AM996" s="312">
        <v>0.6633</v>
      </c>
      <c r="AN996" s="312">
        <v>0.59399999999999997</v>
      </c>
      <c r="AO996" s="312">
        <v>0.57340000000000002</v>
      </c>
      <c r="AP996" s="312">
        <v>0.67759999999999998</v>
      </c>
      <c r="AQ996" s="312">
        <v>0.52759999999999996</v>
      </c>
      <c r="AR996" s="312">
        <v>0.60740000000000005</v>
      </c>
      <c r="AS996" s="312">
        <v>0.46820000000000001</v>
      </c>
      <c r="AT996" s="312">
        <v>0.62050000000000005</v>
      </c>
      <c r="AU996" s="312">
        <v>0.6794</v>
      </c>
      <c r="AV996" s="312">
        <v>0.66900000000000004</v>
      </c>
      <c r="AW996" s="312">
        <v>0.5897</v>
      </c>
      <c r="AX996" s="312">
        <v>0.4919</v>
      </c>
      <c r="AY996" s="312">
        <v>0.58209999999999995</v>
      </c>
      <c r="AZ996" s="312">
        <v>0.60519999999999996</v>
      </c>
      <c r="BA996" s="312">
        <v>0.41570000000000001</v>
      </c>
      <c r="BB996" s="312">
        <v>0</v>
      </c>
      <c r="BC996" s="312">
        <v>0.66390000000000005</v>
      </c>
      <c r="BD996" s="312">
        <v>0.68230000000000002</v>
      </c>
      <c r="BE996" s="312">
        <v>0.7117</v>
      </c>
      <c r="BF996" s="312">
        <v>0.60009999999999997</v>
      </c>
      <c r="BG996" s="312">
        <v>0.65180000000000005</v>
      </c>
      <c r="BH996" s="312">
        <v>0.63939999999999997</v>
      </c>
      <c r="BI996" s="312">
        <v>0.68120000000000003</v>
      </c>
      <c r="BJ996" s="312">
        <v>0.64559999999999995</v>
      </c>
      <c r="BK996" s="312">
        <v>0.67090000000000005</v>
      </c>
      <c r="BM996">
        <f>(C996-C585)*1000000/(RIMS_emp!C996-RIMS_emp!C585)</f>
        <v>37547.587648361499</v>
      </c>
    </row>
    <row r="997" spans="1:65" x14ac:dyDescent="0.25">
      <c r="A997" s="306">
        <v>331520</v>
      </c>
      <c r="B997" s="312" t="s">
        <v>160</v>
      </c>
      <c r="C997" s="312">
        <v>0.8649</v>
      </c>
      <c r="D997" s="312">
        <v>0</v>
      </c>
      <c r="E997" s="312">
        <v>0.57489999999999997</v>
      </c>
      <c r="F997" s="312">
        <v>0.5161</v>
      </c>
      <c r="G997" s="312">
        <v>0.55279999999999996</v>
      </c>
      <c r="H997" s="312">
        <v>0.63900000000000001</v>
      </c>
      <c r="I997" s="312">
        <v>0.61629999999999996</v>
      </c>
      <c r="J997" s="312">
        <v>0.56659999999999999</v>
      </c>
      <c r="K997" s="312">
        <v>0</v>
      </c>
      <c r="L997" s="312">
        <v>0</v>
      </c>
      <c r="M997" s="312">
        <v>0.57199999999999995</v>
      </c>
      <c r="N997" s="312">
        <v>0.59379999999999999</v>
      </c>
      <c r="O997" s="312">
        <v>0</v>
      </c>
      <c r="P997" s="312">
        <v>0.4209</v>
      </c>
      <c r="Q997" s="312">
        <v>0.44979999999999998</v>
      </c>
      <c r="R997" s="312">
        <v>0.65310000000000001</v>
      </c>
      <c r="S997" s="312">
        <v>0.59950000000000003</v>
      </c>
      <c r="T997" s="312">
        <v>0.45950000000000002</v>
      </c>
      <c r="U997" s="312">
        <v>0.56720000000000004</v>
      </c>
      <c r="V997" s="312">
        <v>0.56679999999999997</v>
      </c>
      <c r="W997" s="312">
        <v>0.55610000000000004</v>
      </c>
      <c r="X997" s="312">
        <v>0.50839999999999996</v>
      </c>
      <c r="Y997" s="312">
        <v>0.53180000000000005</v>
      </c>
      <c r="Z997" s="312">
        <v>0.63859999999999995</v>
      </c>
      <c r="AA997" s="312">
        <v>0.59809999999999997</v>
      </c>
      <c r="AB997" s="312">
        <v>0.60470000000000002</v>
      </c>
      <c r="AC997" s="312">
        <v>0.49</v>
      </c>
      <c r="AD997" s="312">
        <v>0.4798</v>
      </c>
      <c r="AE997" s="312">
        <v>0.57479999999999998</v>
      </c>
      <c r="AF997" s="312">
        <v>0</v>
      </c>
      <c r="AG997" s="312">
        <v>0.46429999999999999</v>
      </c>
      <c r="AH997" s="312">
        <v>0.5252</v>
      </c>
      <c r="AI997" s="312">
        <v>0.56789999999999996</v>
      </c>
      <c r="AJ997" s="312">
        <v>0.3957</v>
      </c>
      <c r="AK997" s="312">
        <v>0.49969999999999998</v>
      </c>
      <c r="AL997" s="312">
        <v>0.55279999999999996</v>
      </c>
      <c r="AM997" s="312">
        <v>0.67290000000000005</v>
      </c>
      <c r="AN997" s="312">
        <v>0.55789999999999995</v>
      </c>
      <c r="AO997" s="312">
        <v>0.53969999999999996</v>
      </c>
      <c r="AP997" s="312">
        <v>0.66659999999999997</v>
      </c>
      <c r="AQ997" s="312">
        <v>0.51139999999999997</v>
      </c>
      <c r="AR997" s="312">
        <v>0.59419999999999995</v>
      </c>
      <c r="AS997" s="312">
        <v>0.42720000000000002</v>
      </c>
      <c r="AT997" s="312">
        <v>0.62409999999999999</v>
      </c>
      <c r="AU997" s="312">
        <v>0.65769999999999995</v>
      </c>
      <c r="AV997" s="312">
        <v>0.61990000000000001</v>
      </c>
      <c r="AW997" s="312">
        <v>0.54920000000000002</v>
      </c>
      <c r="AX997" s="312">
        <v>0</v>
      </c>
      <c r="AY997" s="312">
        <v>0.56510000000000005</v>
      </c>
      <c r="AZ997" s="312">
        <v>0.58250000000000002</v>
      </c>
      <c r="BA997" s="312">
        <v>0.39040000000000002</v>
      </c>
      <c r="BB997" s="312">
        <v>0.41360000000000002</v>
      </c>
      <c r="BC997" s="312">
        <v>0.64280000000000004</v>
      </c>
      <c r="BD997" s="312">
        <v>0.67589999999999995</v>
      </c>
      <c r="BE997" s="312">
        <v>0.72270000000000001</v>
      </c>
      <c r="BF997" s="312">
        <v>0.59899999999999998</v>
      </c>
      <c r="BG997" s="312">
        <v>0.626</v>
      </c>
      <c r="BH997" s="312">
        <v>0.64190000000000003</v>
      </c>
      <c r="BI997" s="312">
        <v>0.66849999999999998</v>
      </c>
      <c r="BJ997" s="312">
        <v>0.60740000000000005</v>
      </c>
      <c r="BK997" s="312">
        <v>0.65349999999999997</v>
      </c>
      <c r="BM997">
        <f>(C997-C586)*1000000/(RIMS_emp!C997-RIMS_emp!C586)</f>
        <v>37542.206135982706</v>
      </c>
    </row>
    <row r="998" spans="1:65" x14ac:dyDescent="0.25">
      <c r="A998" s="306">
        <v>332114</v>
      </c>
      <c r="B998" s="312" t="s">
        <v>162</v>
      </c>
      <c r="C998" s="312">
        <v>0.75329999999999997</v>
      </c>
      <c r="D998" s="312">
        <v>0.2979</v>
      </c>
      <c r="E998" s="312">
        <v>0.50180000000000002</v>
      </c>
      <c r="F998" s="312">
        <v>0.43659999999999999</v>
      </c>
      <c r="G998" s="312">
        <v>0</v>
      </c>
      <c r="H998" s="312">
        <v>0.47989999999999999</v>
      </c>
      <c r="I998" s="312">
        <v>0.48430000000000001</v>
      </c>
      <c r="J998" s="312">
        <v>0.41589999999999999</v>
      </c>
      <c r="K998" s="312">
        <v>0</v>
      </c>
      <c r="L998" s="312">
        <v>0</v>
      </c>
      <c r="M998" s="312">
        <v>0.4073</v>
      </c>
      <c r="N998" s="312">
        <v>0.44419999999999998</v>
      </c>
      <c r="O998" s="312">
        <v>0</v>
      </c>
      <c r="P998" s="312">
        <v>0</v>
      </c>
      <c r="Q998" s="312">
        <v>0.31459999999999999</v>
      </c>
      <c r="R998" s="312">
        <v>0.5837</v>
      </c>
      <c r="S998" s="312">
        <v>0.50600000000000001</v>
      </c>
      <c r="T998" s="312">
        <v>0.32540000000000002</v>
      </c>
      <c r="U998" s="312">
        <v>0.48060000000000003</v>
      </c>
      <c r="V998" s="312">
        <v>0.43790000000000001</v>
      </c>
      <c r="W998" s="312">
        <v>0.40210000000000001</v>
      </c>
      <c r="X998" s="312">
        <v>0.42559999999999998</v>
      </c>
      <c r="Y998" s="312">
        <v>0</v>
      </c>
      <c r="Z998" s="312">
        <v>0.55530000000000002</v>
      </c>
      <c r="AA998" s="312">
        <v>0.42380000000000001</v>
      </c>
      <c r="AB998" s="312">
        <v>0.41260000000000002</v>
      </c>
      <c r="AC998" s="312">
        <v>0.41149999999999998</v>
      </c>
      <c r="AD998" s="312">
        <v>0</v>
      </c>
      <c r="AE998" s="312">
        <v>0.42530000000000001</v>
      </c>
      <c r="AF998" s="312">
        <v>0</v>
      </c>
      <c r="AG998" s="312">
        <v>0.34150000000000003</v>
      </c>
      <c r="AH998" s="312">
        <v>0.38319999999999999</v>
      </c>
      <c r="AI998" s="312">
        <v>0.41239999999999999</v>
      </c>
      <c r="AJ998" s="312">
        <v>0.32679999999999998</v>
      </c>
      <c r="AK998" s="312">
        <v>0.3458</v>
      </c>
      <c r="AL998" s="312">
        <v>0.36549999999999999</v>
      </c>
      <c r="AM998" s="312">
        <v>0.57279999999999998</v>
      </c>
      <c r="AN998" s="312">
        <v>0.48170000000000002</v>
      </c>
      <c r="AO998" s="312">
        <v>0.47539999999999999</v>
      </c>
      <c r="AP998" s="312">
        <v>0.57609999999999995</v>
      </c>
      <c r="AQ998" s="312">
        <v>0</v>
      </c>
      <c r="AR998" s="312">
        <v>0.4985</v>
      </c>
      <c r="AS998" s="312">
        <v>0</v>
      </c>
      <c r="AT998" s="312">
        <v>0.49809999999999999</v>
      </c>
      <c r="AU998" s="312">
        <v>0.55379999999999996</v>
      </c>
      <c r="AV998" s="312">
        <v>0</v>
      </c>
      <c r="AW998" s="312">
        <v>0</v>
      </c>
      <c r="AX998" s="312">
        <v>0</v>
      </c>
      <c r="AY998" s="312">
        <v>0.41249999999999998</v>
      </c>
      <c r="AZ998" s="312">
        <v>0.43240000000000001</v>
      </c>
      <c r="BA998" s="312">
        <v>0.373</v>
      </c>
      <c r="BB998" s="312">
        <v>0</v>
      </c>
      <c r="BC998" s="312">
        <v>0.45669999999999999</v>
      </c>
      <c r="BD998" s="312">
        <v>0.57769999999999999</v>
      </c>
      <c r="BE998" s="312">
        <v>0.62080000000000002</v>
      </c>
      <c r="BF998" s="312">
        <v>0.43259999999999998</v>
      </c>
      <c r="BG998" s="312">
        <v>0.50339999999999996</v>
      </c>
      <c r="BH998" s="312">
        <v>0.54610000000000003</v>
      </c>
      <c r="BI998" s="312">
        <v>0.59019999999999995</v>
      </c>
      <c r="BJ998" s="312">
        <v>0.44890000000000002</v>
      </c>
      <c r="BK998" s="312">
        <v>0.49070000000000003</v>
      </c>
      <c r="BM998">
        <f>(C998-C587)*1000000/(RIMS_emp!C998-RIMS_emp!C587)</f>
        <v>37540.092037372764</v>
      </c>
    </row>
    <row r="999" spans="1:65" x14ac:dyDescent="0.25">
      <c r="A999" s="306" t="s">
        <v>724</v>
      </c>
      <c r="B999" s="312" t="s">
        <v>161</v>
      </c>
      <c r="C999" s="312">
        <v>0.84640000000000004</v>
      </c>
      <c r="D999" s="312">
        <v>0.39500000000000002</v>
      </c>
      <c r="E999" s="312">
        <v>0.57150000000000001</v>
      </c>
      <c r="F999" s="312">
        <v>0.49259999999999998</v>
      </c>
      <c r="G999" s="312">
        <v>0.51129999999999998</v>
      </c>
      <c r="H999" s="312">
        <v>0.58930000000000005</v>
      </c>
      <c r="I999" s="312">
        <v>0.5847</v>
      </c>
      <c r="J999" s="312">
        <v>0.53129999999999999</v>
      </c>
      <c r="K999" s="312">
        <v>0</v>
      </c>
      <c r="L999" s="312">
        <v>0</v>
      </c>
      <c r="M999" s="312">
        <v>0.51380000000000003</v>
      </c>
      <c r="N999" s="312">
        <v>0.54810000000000003</v>
      </c>
      <c r="O999" s="312">
        <v>0</v>
      </c>
      <c r="P999" s="312">
        <v>0.42099999999999999</v>
      </c>
      <c r="Q999" s="312">
        <v>0.40300000000000002</v>
      </c>
      <c r="R999" s="312">
        <v>0.66080000000000005</v>
      </c>
      <c r="S999" s="312">
        <v>0.58140000000000003</v>
      </c>
      <c r="T999" s="312">
        <v>0.40389999999999998</v>
      </c>
      <c r="U999" s="312">
        <v>0.5464</v>
      </c>
      <c r="V999" s="312">
        <v>0.53559999999999997</v>
      </c>
      <c r="W999" s="312">
        <v>0.52</v>
      </c>
      <c r="X999" s="312">
        <v>0.49109999999999998</v>
      </c>
      <c r="Y999" s="312">
        <v>0</v>
      </c>
      <c r="Z999" s="312">
        <v>0.64100000000000001</v>
      </c>
      <c r="AA999" s="312">
        <v>0.51160000000000005</v>
      </c>
      <c r="AB999" s="312">
        <v>0.51629999999999998</v>
      </c>
      <c r="AC999" s="312">
        <v>0.46829999999999999</v>
      </c>
      <c r="AD999" s="312">
        <v>0.4194</v>
      </c>
      <c r="AE999" s="312">
        <v>0.53069999999999995</v>
      </c>
      <c r="AF999" s="312">
        <v>0</v>
      </c>
      <c r="AG999" s="312">
        <v>0.41489999999999999</v>
      </c>
      <c r="AH999" s="312">
        <v>0</v>
      </c>
      <c r="AI999" s="312">
        <v>0.51490000000000002</v>
      </c>
      <c r="AJ999" s="312">
        <v>0.4461</v>
      </c>
      <c r="AK999" s="312">
        <v>0.4743</v>
      </c>
      <c r="AL999" s="312">
        <v>0.47649999999999998</v>
      </c>
      <c r="AM999" s="312">
        <v>0.65449999999999997</v>
      </c>
      <c r="AN999" s="312">
        <v>0.54120000000000001</v>
      </c>
      <c r="AO999" s="312">
        <v>0.53580000000000005</v>
      </c>
      <c r="AP999" s="312">
        <v>0.65949999999999998</v>
      </c>
      <c r="AQ999" s="312">
        <v>0.45150000000000001</v>
      </c>
      <c r="AR999" s="312">
        <v>0.57979999999999998</v>
      </c>
      <c r="AS999" s="312">
        <v>0.37180000000000002</v>
      </c>
      <c r="AT999" s="312">
        <v>0.59189999999999998</v>
      </c>
      <c r="AU999" s="312">
        <v>0.64159999999999995</v>
      </c>
      <c r="AV999" s="312">
        <v>0.61880000000000002</v>
      </c>
      <c r="AW999" s="312">
        <v>0.49940000000000001</v>
      </c>
      <c r="AX999" s="312">
        <v>0.40579999999999999</v>
      </c>
      <c r="AY999" s="312">
        <v>0.51359999999999995</v>
      </c>
      <c r="AZ999" s="312">
        <v>0.53390000000000004</v>
      </c>
      <c r="BA999" s="312">
        <v>0.43359999999999999</v>
      </c>
      <c r="BB999" s="312">
        <v>0.39150000000000001</v>
      </c>
      <c r="BC999" s="312">
        <v>0.58960000000000001</v>
      </c>
      <c r="BD999" s="312">
        <v>0.66859999999999997</v>
      </c>
      <c r="BE999" s="312">
        <v>0.70379999999999998</v>
      </c>
      <c r="BF999" s="312">
        <v>0.51870000000000005</v>
      </c>
      <c r="BG999" s="312">
        <v>0.60650000000000004</v>
      </c>
      <c r="BH999" s="312">
        <v>0.62560000000000004</v>
      </c>
      <c r="BI999" s="312">
        <v>0.66290000000000004</v>
      </c>
      <c r="BJ999" s="312">
        <v>0.57130000000000003</v>
      </c>
      <c r="BK999" s="312">
        <v>0.59640000000000004</v>
      </c>
      <c r="BM999">
        <f>(C999-C588)*1000000/(RIMS_emp!C999-RIMS_emp!C588)</f>
        <v>37544.525946060006</v>
      </c>
    </row>
    <row r="1000" spans="1:65" x14ac:dyDescent="0.25">
      <c r="A1000" s="306" t="s">
        <v>725</v>
      </c>
      <c r="B1000" s="312" t="s">
        <v>163</v>
      </c>
      <c r="C1000" s="312">
        <v>0.88929999999999998</v>
      </c>
      <c r="D1000" s="312">
        <v>0</v>
      </c>
      <c r="E1000" s="312">
        <v>0.61909999999999998</v>
      </c>
      <c r="F1000" s="312">
        <v>0.54210000000000003</v>
      </c>
      <c r="G1000" s="312">
        <v>0.55269999999999997</v>
      </c>
      <c r="H1000" s="312">
        <v>0.62509999999999999</v>
      </c>
      <c r="I1000" s="312">
        <v>0.61280000000000001</v>
      </c>
      <c r="J1000" s="312">
        <v>0.56520000000000004</v>
      </c>
      <c r="K1000" s="312">
        <v>6.9000000000000006E-2</v>
      </c>
      <c r="L1000" s="312">
        <v>0.4209</v>
      </c>
      <c r="M1000" s="312">
        <v>0.54469999999999996</v>
      </c>
      <c r="N1000" s="312">
        <v>0.58660000000000001</v>
      </c>
      <c r="O1000" s="312">
        <v>0</v>
      </c>
      <c r="P1000" s="312">
        <v>0.4854</v>
      </c>
      <c r="Q1000" s="312">
        <v>0</v>
      </c>
      <c r="R1000" s="312">
        <v>0.71120000000000005</v>
      </c>
      <c r="S1000" s="312">
        <v>0.61829999999999996</v>
      </c>
      <c r="T1000" s="312">
        <v>0.44769999999999999</v>
      </c>
      <c r="U1000" s="312">
        <v>0.58299999999999996</v>
      </c>
      <c r="V1000" s="312">
        <v>0</v>
      </c>
      <c r="W1000" s="312">
        <v>0.54649999999999999</v>
      </c>
      <c r="X1000" s="312">
        <v>0.52549999999999997</v>
      </c>
      <c r="Y1000" s="312">
        <v>0.47389999999999999</v>
      </c>
      <c r="Z1000" s="312">
        <v>0.67779999999999996</v>
      </c>
      <c r="AA1000" s="312">
        <v>0.56000000000000005</v>
      </c>
      <c r="AB1000" s="312">
        <v>0.56179999999999997</v>
      </c>
      <c r="AC1000" s="312">
        <v>0.51380000000000003</v>
      </c>
      <c r="AD1000" s="312">
        <v>0.4556</v>
      </c>
      <c r="AE1000" s="312">
        <v>0.57240000000000002</v>
      </c>
      <c r="AF1000" s="312">
        <v>0.37819999999999998</v>
      </c>
      <c r="AG1000" s="312">
        <v>0.46029999999999999</v>
      </c>
      <c r="AH1000" s="312">
        <v>0.51800000000000002</v>
      </c>
      <c r="AI1000" s="312">
        <v>0.55259999999999998</v>
      </c>
      <c r="AJ1000" s="312">
        <v>0.46610000000000001</v>
      </c>
      <c r="AK1000" s="312">
        <v>0.48110000000000003</v>
      </c>
      <c r="AL1000" s="312">
        <v>0.50570000000000004</v>
      </c>
      <c r="AM1000" s="312">
        <v>0.68799999999999994</v>
      </c>
      <c r="AN1000" s="312">
        <v>0.59009999999999996</v>
      </c>
      <c r="AO1000" s="312">
        <v>0.57299999999999995</v>
      </c>
      <c r="AP1000" s="312">
        <v>0.68630000000000002</v>
      </c>
      <c r="AQ1000" s="312">
        <v>0.48759999999999998</v>
      </c>
      <c r="AR1000" s="312">
        <v>0.61240000000000006</v>
      </c>
      <c r="AS1000" s="312">
        <v>0.41849999999999998</v>
      </c>
      <c r="AT1000" s="312">
        <v>0.62739999999999996</v>
      </c>
      <c r="AU1000" s="312">
        <v>0.67300000000000004</v>
      </c>
      <c r="AV1000" s="312">
        <v>0.64559999999999995</v>
      </c>
      <c r="AW1000" s="312">
        <v>0.53890000000000005</v>
      </c>
      <c r="AX1000" s="312">
        <v>0.46539999999999998</v>
      </c>
      <c r="AY1000" s="312">
        <v>0.54810000000000003</v>
      </c>
      <c r="AZ1000" s="312">
        <v>0.59140000000000004</v>
      </c>
      <c r="BA1000" s="312">
        <v>0.47189999999999999</v>
      </c>
      <c r="BB1000" s="312">
        <v>0</v>
      </c>
      <c r="BC1000" s="312">
        <v>0.62350000000000005</v>
      </c>
      <c r="BD1000" s="312">
        <v>0.69020000000000004</v>
      </c>
      <c r="BE1000" s="312">
        <v>0.74219999999999997</v>
      </c>
      <c r="BF1000" s="312">
        <v>0.57550000000000001</v>
      </c>
      <c r="BG1000" s="312">
        <v>0.64270000000000005</v>
      </c>
      <c r="BH1000" s="312">
        <v>0.66059999999999997</v>
      </c>
      <c r="BI1000" s="312">
        <v>0.69210000000000005</v>
      </c>
      <c r="BJ1000" s="312">
        <v>0.59189999999999998</v>
      </c>
      <c r="BK1000" s="312">
        <v>0.63239999999999996</v>
      </c>
      <c r="BM1000">
        <f>(C1000-C589)*1000000/(RIMS_emp!C1000-RIMS_emp!C589)</f>
        <v>37539.719101787217</v>
      </c>
    </row>
    <row r="1001" spans="1:65" x14ac:dyDescent="0.25">
      <c r="A1001" s="306" t="s">
        <v>726</v>
      </c>
      <c r="B1001" s="312" t="s">
        <v>164</v>
      </c>
      <c r="C1001" s="312">
        <v>0.57269999999999999</v>
      </c>
      <c r="D1001" s="312">
        <v>0.26690000000000003</v>
      </c>
      <c r="E1001" s="312">
        <v>0.38800000000000001</v>
      </c>
      <c r="F1001" s="312">
        <v>0.3533</v>
      </c>
      <c r="G1001" s="312">
        <v>0.35110000000000002</v>
      </c>
      <c r="H1001" s="312">
        <v>0.40629999999999999</v>
      </c>
      <c r="I1001" s="312">
        <v>0.38550000000000001</v>
      </c>
      <c r="J1001" s="312">
        <v>0.3609</v>
      </c>
      <c r="K1001" s="312">
        <v>0</v>
      </c>
      <c r="L1001" s="312">
        <v>0</v>
      </c>
      <c r="M1001" s="312">
        <v>0.35599999999999998</v>
      </c>
      <c r="N1001" s="312">
        <v>0.38490000000000002</v>
      </c>
      <c r="O1001" s="312">
        <v>0</v>
      </c>
      <c r="P1001" s="312">
        <v>0.3034</v>
      </c>
      <c r="Q1001" s="312">
        <v>0.2863</v>
      </c>
      <c r="R1001" s="312">
        <v>0.44440000000000002</v>
      </c>
      <c r="S1001" s="312">
        <v>0.39750000000000002</v>
      </c>
      <c r="T1001" s="312">
        <v>0.29099999999999998</v>
      </c>
      <c r="U1001" s="312">
        <v>0.3755</v>
      </c>
      <c r="V1001" s="312">
        <v>0</v>
      </c>
      <c r="W1001" s="312">
        <v>0.35560000000000003</v>
      </c>
      <c r="X1001" s="312">
        <v>0.3352</v>
      </c>
      <c r="Y1001" s="312">
        <v>0</v>
      </c>
      <c r="Z1001" s="312">
        <v>0.42970000000000003</v>
      </c>
      <c r="AA1001" s="312">
        <v>0.37309999999999999</v>
      </c>
      <c r="AB1001" s="312">
        <v>0.37559999999999999</v>
      </c>
      <c r="AC1001" s="312">
        <v>0</v>
      </c>
      <c r="AD1001" s="312">
        <v>0.29260000000000003</v>
      </c>
      <c r="AE1001" s="312">
        <v>0.37069999999999997</v>
      </c>
      <c r="AF1001" s="312">
        <v>0.23699999999999999</v>
      </c>
      <c r="AG1001" s="312">
        <v>0.29120000000000001</v>
      </c>
      <c r="AH1001" s="312">
        <v>0.32500000000000001</v>
      </c>
      <c r="AI1001" s="312">
        <v>0.3659</v>
      </c>
      <c r="AJ1001" s="312">
        <v>0.2949</v>
      </c>
      <c r="AK1001" s="312">
        <v>0</v>
      </c>
      <c r="AL1001" s="312">
        <v>0.32619999999999999</v>
      </c>
      <c r="AM1001" s="312">
        <v>0.44840000000000002</v>
      </c>
      <c r="AN1001" s="312">
        <v>0.36680000000000001</v>
      </c>
      <c r="AO1001" s="312">
        <v>0.37490000000000001</v>
      </c>
      <c r="AP1001" s="312">
        <v>0.44180000000000003</v>
      </c>
      <c r="AQ1001" s="312">
        <v>0</v>
      </c>
      <c r="AR1001" s="312">
        <v>0.39610000000000001</v>
      </c>
      <c r="AS1001" s="312">
        <v>0</v>
      </c>
      <c r="AT1001" s="312">
        <v>0.40189999999999998</v>
      </c>
      <c r="AU1001" s="312">
        <v>0.43459999999999999</v>
      </c>
      <c r="AV1001" s="312">
        <v>0</v>
      </c>
      <c r="AW1001" s="312">
        <v>0.34470000000000001</v>
      </c>
      <c r="AX1001" s="312">
        <v>0.28260000000000002</v>
      </c>
      <c r="AY1001" s="312">
        <v>0.36570000000000003</v>
      </c>
      <c r="AZ1001" s="312">
        <v>0.38540000000000002</v>
      </c>
      <c r="BA1001" s="312">
        <v>0.2883</v>
      </c>
      <c r="BB1001" s="312">
        <v>0</v>
      </c>
      <c r="BC1001" s="312">
        <v>0.40189999999999998</v>
      </c>
      <c r="BD1001" s="312">
        <v>0.43580000000000002</v>
      </c>
      <c r="BE1001" s="312">
        <v>0.47920000000000001</v>
      </c>
      <c r="BF1001" s="312">
        <v>0.38400000000000001</v>
      </c>
      <c r="BG1001" s="312">
        <v>0.41880000000000001</v>
      </c>
      <c r="BH1001" s="312">
        <v>0.42199999999999999</v>
      </c>
      <c r="BI1001" s="312">
        <v>0.45040000000000002</v>
      </c>
      <c r="BJ1001" s="312">
        <v>0.375</v>
      </c>
      <c r="BK1001" s="312">
        <v>0.41620000000000001</v>
      </c>
      <c r="BM1001">
        <f>(C1001-C590)*1000000/(RIMS_emp!C1001-RIMS_emp!C590)</f>
        <v>37526.824526329314</v>
      </c>
    </row>
    <row r="1002" spans="1:65" x14ac:dyDescent="0.25">
      <c r="A1002" s="306" t="s">
        <v>727</v>
      </c>
      <c r="B1002" s="312" t="s">
        <v>165</v>
      </c>
      <c r="C1002" s="312">
        <v>0.79500000000000004</v>
      </c>
      <c r="D1002" s="312">
        <v>0.40949999999999998</v>
      </c>
      <c r="E1002" s="312">
        <v>0.55559999999999998</v>
      </c>
      <c r="F1002" s="312">
        <v>0.4945</v>
      </c>
      <c r="G1002" s="312">
        <v>0.51690000000000003</v>
      </c>
      <c r="H1002" s="312">
        <v>0.58660000000000001</v>
      </c>
      <c r="I1002" s="312">
        <v>0.5796</v>
      </c>
      <c r="J1002" s="312">
        <v>0.52969999999999995</v>
      </c>
      <c r="K1002" s="312">
        <v>0</v>
      </c>
      <c r="L1002" s="312">
        <v>0.39169999999999999</v>
      </c>
      <c r="M1002" s="312">
        <v>0.52180000000000004</v>
      </c>
      <c r="N1002" s="312">
        <v>0.55740000000000001</v>
      </c>
      <c r="O1002" s="312">
        <v>0</v>
      </c>
      <c r="P1002" s="312">
        <v>0.43859999999999999</v>
      </c>
      <c r="Q1002" s="312">
        <v>0.4254</v>
      </c>
      <c r="R1002" s="312">
        <v>0.63800000000000001</v>
      </c>
      <c r="S1002" s="312">
        <v>0.5534</v>
      </c>
      <c r="T1002" s="312">
        <v>0.42499999999999999</v>
      </c>
      <c r="U1002" s="312">
        <v>0.52100000000000002</v>
      </c>
      <c r="V1002" s="312">
        <v>0.5181</v>
      </c>
      <c r="W1002" s="312">
        <v>0.52439999999999998</v>
      </c>
      <c r="X1002" s="312">
        <v>0.49</v>
      </c>
      <c r="Y1002" s="312">
        <v>0.46500000000000002</v>
      </c>
      <c r="Z1002" s="312">
        <v>0.6109</v>
      </c>
      <c r="AA1002" s="312">
        <v>0.53320000000000001</v>
      </c>
      <c r="AB1002" s="312">
        <v>0.52010000000000001</v>
      </c>
      <c r="AC1002" s="312">
        <v>0.46410000000000001</v>
      </c>
      <c r="AD1002" s="312">
        <v>0.43569999999999998</v>
      </c>
      <c r="AE1002" s="312">
        <v>0.53759999999999997</v>
      </c>
      <c r="AF1002" s="312">
        <v>0.35849999999999999</v>
      </c>
      <c r="AG1002" s="312">
        <v>0.43380000000000002</v>
      </c>
      <c r="AH1002" s="312">
        <v>0.48949999999999999</v>
      </c>
      <c r="AI1002" s="312">
        <v>0.52329999999999999</v>
      </c>
      <c r="AJ1002" s="312">
        <v>0.4446</v>
      </c>
      <c r="AK1002" s="312">
        <v>0.47310000000000002</v>
      </c>
      <c r="AL1002" s="312">
        <v>0.48149999999999998</v>
      </c>
      <c r="AM1002" s="312">
        <v>0.61970000000000003</v>
      </c>
      <c r="AN1002" s="312">
        <v>0.53239999999999998</v>
      </c>
      <c r="AO1002" s="312">
        <v>0.53659999999999997</v>
      </c>
      <c r="AP1002" s="312">
        <v>0.62570000000000003</v>
      </c>
      <c r="AQ1002" s="312">
        <v>0.47270000000000001</v>
      </c>
      <c r="AR1002" s="312">
        <v>0.55189999999999995</v>
      </c>
      <c r="AS1002" s="312">
        <v>0.3992</v>
      </c>
      <c r="AT1002" s="312">
        <v>0.56869999999999998</v>
      </c>
      <c r="AU1002" s="312">
        <v>0.6139</v>
      </c>
      <c r="AV1002" s="312">
        <v>0.59989999999999999</v>
      </c>
      <c r="AW1002" s="312">
        <v>0.5091</v>
      </c>
      <c r="AX1002" s="312">
        <v>0.42780000000000001</v>
      </c>
      <c r="AY1002" s="312">
        <v>0.52070000000000005</v>
      </c>
      <c r="AZ1002" s="312">
        <v>0.55059999999999998</v>
      </c>
      <c r="BA1002" s="312">
        <v>0.4249</v>
      </c>
      <c r="BB1002" s="312">
        <v>0.40029999999999999</v>
      </c>
      <c r="BC1002" s="312">
        <v>0.59370000000000001</v>
      </c>
      <c r="BD1002" s="312">
        <v>0.6351</v>
      </c>
      <c r="BE1002" s="312">
        <v>0.66759999999999997</v>
      </c>
      <c r="BF1002" s="312">
        <v>0.53449999999999998</v>
      </c>
      <c r="BG1002" s="312">
        <v>0.60340000000000005</v>
      </c>
      <c r="BH1002" s="312">
        <v>0.59189999999999998</v>
      </c>
      <c r="BI1002" s="312">
        <v>0.62809999999999999</v>
      </c>
      <c r="BJ1002" s="312">
        <v>0.55910000000000004</v>
      </c>
      <c r="BK1002" s="312">
        <v>0.59609999999999996</v>
      </c>
      <c r="BM1002">
        <f>(C1002-C591)*1000000/(RIMS_emp!C1002-RIMS_emp!C591)</f>
        <v>37541.128744532674</v>
      </c>
    </row>
    <row r="1003" spans="1:65" x14ac:dyDescent="0.25">
      <c r="A1003" s="306">
        <v>332310</v>
      </c>
      <c r="B1003" s="312" t="s">
        <v>166</v>
      </c>
      <c r="C1003" s="312">
        <v>0.81759999999999999</v>
      </c>
      <c r="D1003" s="312">
        <v>0.38190000000000002</v>
      </c>
      <c r="E1003" s="312">
        <v>0.55910000000000004</v>
      </c>
      <c r="F1003" s="312">
        <v>0.4869</v>
      </c>
      <c r="G1003" s="312">
        <v>0.51149999999999995</v>
      </c>
      <c r="H1003" s="312">
        <v>0.57940000000000003</v>
      </c>
      <c r="I1003" s="312">
        <v>0.57969999999999999</v>
      </c>
      <c r="J1003" s="312">
        <v>0.5121</v>
      </c>
      <c r="K1003" s="312">
        <v>6.5000000000000002E-2</v>
      </c>
      <c r="L1003" s="312">
        <v>0.39190000000000003</v>
      </c>
      <c r="M1003" s="312">
        <v>0.51100000000000001</v>
      </c>
      <c r="N1003" s="312">
        <v>0.54479999999999995</v>
      </c>
      <c r="O1003" s="312">
        <v>0.43440000000000001</v>
      </c>
      <c r="P1003" s="312">
        <v>0.42620000000000002</v>
      </c>
      <c r="Q1003" s="312">
        <v>0.40050000000000002</v>
      </c>
      <c r="R1003" s="312">
        <v>0.6583</v>
      </c>
      <c r="S1003" s="312">
        <v>0.56030000000000002</v>
      </c>
      <c r="T1003" s="312">
        <v>0.41039999999999999</v>
      </c>
      <c r="U1003" s="312">
        <v>0.52339999999999998</v>
      </c>
      <c r="V1003" s="312">
        <v>0.51459999999999995</v>
      </c>
      <c r="W1003" s="312">
        <v>0.50249999999999995</v>
      </c>
      <c r="X1003" s="312">
        <v>0.4894</v>
      </c>
      <c r="Y1003" s="312">
        <v>0.437</v>
      </c>
      <c r="Z1003" s="312">
        <v>0.62549999999999994</v>
      </c>
      <c r="AA1003" s="312">
        <v>0.51780000000000004</v>
      </c>
      <c r="AB1003" s="312">
        <v>0.50560000000000005</v>
      </c>
      <c r="AC1003" s="312">
        <v>0.46450000000000002</v>
      </c>
      <c r="AD1003" s="312">
        <v>0.40760000000000002</v>
      </c>
      <c r="AE1003" s="312">
        <v>0.51870000000000005</v>
      </c>
      <c r="AF1003" s="312">
        <v>0.33139999999999997</v>
      </c>
      <c r="AG1003" s="312">
        <v>0.41260000000000002</v>
      </c>
      <c r="AH1003" s="312">
        <v>0.47870000000000001</v>
      </c>
      <c r="AI1003" s="312">
        <v>0.51090000000000002</v>
      </c>
      <c r="AJ1003" s="312">
        <v>0.4199</v>
      </c>
      <c r="AK1003" s="312">
        <v>0.44740000000000002</v>
      </c>
      <c r="AL1003" s="312">
        <v>0.4556</v>
      </c>
      <c r="AM1003" s="312">
        <v>0.63549999999999995</v>
      </c>
      <c r="AN1003" s="312">
        <v>0.55489999999999995</v>
      </c>
      <c r="AO1003" s="312">
        <v>0.54490000000000005</v>
      </c>
      <c r="AP1003" s="312">
        <v>0.64049999999999996</v>
      </c>
      <c r="AQ1003" s="312">
        <v>0.44280000000000003</v>
      </c>
      <c r="AR1003" s="312">
        <v>0.56210000000000004</v>
      </c>
      <c r="AS1003" s="312">
        <v>0.36820000000000003</v>
      </c>
      <c r="AT1003" s="312">
        <v>0.56820000000000004</v>
      </c>
      <c r="AU1003" s="312">
        <v>0.63390000000000002</v>
      </c>
      <c r="AV1003" s="312">
        <v>0.59950000000000003</v>
      </c>
      <c r="AW1003" s="312">
        <v>0.49819999999999998</v>
      </c>
      <c r="AX1003" s="312">
        <v>0.40739999999999998</v>
      </c>
      <c r="AY1003" s="312">
        <v>0.50439999999999996</v>
      </c>
      <c r="AZ1003" s="312">
        <v>0.53580000000000005</v>
      </c>
      <c r="BA1003" s="312">
        <v>0.42270000000000002</v>
      </c>
      <c r="BB1003" s="312">
        <v>0.37530000000000002</v>
      </c>
      <c r="BC1003" s="312">
        <v>0.56920000000000004</v>
      </c>
      <c r="BD1003" s="312">
        <v>0.64</v>
      </c>
      <c r="BE1003" s="312">
        <v>0.68489999999999995</v>
      </c>
      <c r="BF1003" s="312">
        <v>0.52229999999999999</v>
      </c>
      <c r="BG1003" s="312">
        <v>0.59340000000000004</v>
      </c>
      <c r="BH1003" s="312">
        <v>0.6</v>
      </c>
      <c r="BI1003" s="312">
        <v>0.65300000000000002</v>
      </c>
      <c r="BJ1003" s="312">
        <v>0.55100000000000005</v>
      </c>
      <c r="BK1003" s="312">
        <v>0.58679999999999999</v>
      </c>
      <c r="BM1003">
        <f>(C1003-C592)*1000000/(RIMS_emp!C1003-RIMS_emp!C592)</f>
        <v>37545.775778991323</v>
      </c>
    </row>
    <row r="1004" spans="1:65" x14ac:dyDescent="0.25">
      <c r="A1004" s="306">
        <v>332320</v>
      </c>
      <c r="B1004" s="312" t="s">
        <v>167</v>
      </c>
      <c r="C1004" s="312">
        <v>0.85460000000000003</v>
      </c>
      <c r="D1004" s="312">
        <v>0.4022</v>
      </c>
      <c r="E1004" s="312">
        <v>0.58050000000000002</v>
      </c>
      <c r="F1004" s="312">
        <v>0.51349999999999996</v>
      </c>
      <c r="G1004" s="312">
        <v>0.54159999999999997</v>
      </c>
      <c r="H1004" s="312">
        <v>0.62439999999999996</v>
      </c>
      <c r="I1004" s="312">
        <v>0.60209999999999997</v>
      </c>
      <c r="J1004" s="312">
        <v>0.54900000000000004</v>
      </c>
      <c r="K1004" s="312">
        <v>6.4600000000000005E-2</v>
      </c>
      <c r="L1004" s="312">
        <v>0.39939999999999998</v>
      </c>
      <c r="M1004" s="312">
        <v>0.54010000000000002</v>
      </c>
      <c r="N1004" s="312">
        <v>0.59240000000000004</v>
      </c>
      <c r="O1004" s="312">
        <v>0.4587</v>
      </c>
      <c r="P1004" s="312">
        <v>0.45540000000000003</v>
      </c>
      <c r="Q1004" s="312">
        <v>0.42630000000000001</v>
      </c>
      <c r="R1004" s="312">
        <v>0.67379999999999995</v>
      </c>
      <c r="S1004" s="312">
        <v>0.58550000000000002</v>
      </c>
      <c r="T1004" s="312">
        <v>0.43540000000000001</v>
      </c>
      <c r="U1004" s="312">
        <v>0.55869999999999997</v>
      </c>
      <c r="V1004" s="312">
        <v>0.52490000000000003</v>
      </c>
      <c r="W1004" s="312">
        <v>0.53580000000000005</v>
      </c>
      <c r="X1004" s="312">
        <v>0.50309999999999999</v>
      </c>
      <c r="Y1004" s="312">
        <v>0.4627</v>
      </c>
      <c r="Z1004" s="312">
        <v>0.64849999999999997</v>
      </c>
      <c r="AA1004" s="312">
        <v>0.55369999999999997</v>
      </c>
      <c r="AB1004" s="312">
        <v>0.54320000000000002</v>
      </c>
      <c r="AC1004" s="312">
        <v>0.48199999999999998</v>
      </c>
      <c r="AD1004" s="312">
        <v>0.42580000000000001</v>
      </c>
      <c r="AE1004" s="312">
        <v>0.54659999999999997</v>
      </c>
      <c r="AF1004" s="312">
        <v>0.3528</v>
      </c>
      <c r="AG1004" s="312">
        <v>0.42399999999999999</v>
      </c>
      <c r="AH1004" s="312">
        <v>0.51559999999999995</v>
      </c>
      <c r="AI1004" s="312">
        <v>0.5444</v>
      </c>
      <c r="AJ1004" s="312">
        <v>0.43969999999999998</v>
      </c>
      <c r="AK1004" s="312">
        <v>0.4753</v>
      </c>
      <c r="AL1004" s="312">
        <v>0.4889</v>
      </c>
      <c r="AM1004" s="312">
        <v>0.66600000000000004</v>
      </c>
      <c r="AN1004" s="312">
        <v>0.56599999999999995</v>
      </c>
      <c r="AO1004" s="312">
        <v>0.56599999999999995</v>
      </c>
      <c r="AP1004" s="312">
        <v>0.66739999999999999</v>
      </c>
      <c r="AQ1004" s="312">
        <v>0.47489999999999999</v>
      </c>
      <c r="AR1004" s="312">
        <v>0.58230000000000004</v>
      </c>
      <c r="AS1004" s="312">
        <v>0.40379999999999999</v>
      </c>
      <c r="AT1004" s="312">
        <v>0.60489999999999999</v>
      </c>
      <c r="AU1004" s="312">
        <v>0.66059999999999997</v>
      </c>
      <c r="AV1004" s="312">
        <v>0.61280000000000001</v>
      </c>
      <c r="AW1004" s="312">
        <v>0.52649999999999997</v>
      </c>
      <c r="AX1004" s="312">
        <v>0.42899999999999999</v>
      </c>
      <c r="AY1004" s="312">
        <v>0.54290000000000005</v>
      </c>
      <c r="AZ1004" s="312">
        <v>0.56589999999999996</v>
      </c>
      <c r="BA1004" s="312">
        <v>0.44259999999999999</v>
      </c>
      <c r="BB1004" s="312">
        <v>0.39639999999999997</v>
      </c>
      <c r="BC1004" s="312">
        <v>0.61060000000000003</v>
      </c>
      <c r="BD1004" s="312">
        <v>0.66879999999999995</v>
      </c>
      <c r="BE1004" s="312">
        <v>0.71560000000000001</v>
      </c>
      <c r="BF1004" s="312">
        <v>0.56189999999999996</v>
      </c>
      <c r="BG1004" s="312">
        <v>0.62829999999999997</v>
      </c>
      <c r="BH1004" s="312">
        <v>0.6341</v>
      </c>
      <c r="BI1004" s="312">
        <v>0.67769999999999997</v>
      </c>
      <c r="BJ1004" s="312">
        <v>0.57540000000000002</v>
      </c>
      <c r="BK1004" s="312">
        <v>0.63229999999999997</v>
      </c>
      <c r="BM1004">
        <f>(C1004-C593)*1000000/(RIMS_emp!C1004-RIMS_emp!C593)</f>
        <v>37542.871894476746</v>
      </c>
    </row>
    <row r="1005" spans="1:65" x14ac:dyDescent="0.25">
      <c r="A1005" s="306">
        <v>332410</v>
      </c>
      <c r="B1005" s="312" t="s">
        <v>168</v>
      </c>
      <c r="C1005" s="312">
        <v>0.83460000000000001</v>
      </c>
      <c r="D1005" s="312">
        <v>0</v>
      </c>
      <c r="E1005" s="312">
        <v>0.57769999999999999</v>
      </c>
      <c r="F1005" s="312">
        <v>0</v>
      </c>
      <c r="G1005" s="312">
        <v>0</v>
      </c>
      <c r="H1005" s="312">
        <v>0.59560000000000002</v>
      </c>
      <c r="I1005" s="312">
        <v>0.58169999999999999</v>
      </c>
      <c r="J1005" s="312">
        <v>0.5454</v>
      </c>
      <c r="K1005" s="312">
        <v>0</v>
      </c>
      <c r="L1005" s="312">
        <v>0.3921</v>
      </c>
      <c r="M1005" s="312">
        <v>0.51990000000000003</v>
      </c>
      <c r="N1005" s="312">
        <v>0.56569999999999998</v>
      </c>
      <c r="O1005" s="312">
        <v>0</v>
      </c>
      <c r="P1005" s="312">
        <v>0.44440000000000002</v>
      </c>
      <c r="Q1005" s="312">
        <v>0</v>
      </c>
      <c r="R1005" s="312">
        <v>0.65580000000000005</v>
      </c>
      <c r="S1005" s="312">
        <v>0.57879999999999998</v>
      </c>
      <c r="T1005" s="312">
        <v>0.434</v>
      </c>
      <c r="U1005" s="312">
        <v>0.53669999999999995</v>
      </c>
      <c r="V1005" s="312">
        <v>0.53759999999999997</v>
      </c>
      <c r="W1005" s="312">
        <v>0.53</v>
      </c>
      <c r="X1005" s="312">
        <v>0</v>
      </c>
      <c r="Y1005" s="312">
        <v>0</v>
      </c>
      <c r="Z1005" s="312">
        <v>0.63539999999999996</v>
      </c>
      <c r="AA1005" s="312">
        <v>0.54830000000000001</v>
      </c>
      <c r="AB1005" s="312">
        <v>0.53190000000000004</v>
      </c>
      <c r="AC1005" s="312">
        <v>0.47970000000000002</v>
      </c>
      <c r="AD1005" s="312">
        <v>0</v>
      </c>
      <c r="AE1005" s="312">
        <v>0.53949999999999998</v>
      </c>
      <c r="AF1005" s="312">
        <v>0</v>
      </c>
      <c r="AG1005" s="312">
        <v>0</v>
      </c>
      <c r="AH1005" s="312">
        <v>0.505</v>
      </c>
      <c r="AI1005" s="312">
        <v>0.52939999999999998</v>
      </c>
      <c r="AJ1005" s="312">
        <v>0.43930000000000002</v>
      </c>
      <c r="AK1005" s="312">
        <v>0.46439999999999998</v>
      </c>
      <c r="AL1005" s="312">
        <v>0.48259999999999997</v>
      </c>
      <c r="AM1005" s="312">
        <v>0.65759999999999996</v>
      </c>
      <c r="AN1005" s="312">
        <v>0.56710000000000005</v>
      </c>
      <c r="AO1005" s="312">
        <v>0.55279999999999996</v>
      </c>
      <c r="AP1005" s="312">
        <v>0.66010000000000002</v>
      </c>
      <c r="AQ1005" s="312">
        <v>0.46879999999999999</v>
      </c>
      <c r="AR1005" s="312">
        <v>0.57930000000000004</v>
      </c>
      <c r="AS1005" s="312">
        <v>0.40260000000000001</v>
      </c>
      <c r="AT1005" s="312">
        <v>0.59409999999999996</v>
      </c>
      <c r="AU1005" s="312">
        <v>0.65400000000000003</v>
      </c>
      <c r="AV1005" s="312">
        <v>0</v>
      </c>
      <c r="AW1005" s="312">
        <v>0.51629999999999998</v>
      </c>
      <c r="AX1005" s="312">
        <v>0</v>
      </c>
      <c r="AY1005" s="312">
        <v>0.52110000000000001</v>
      </c>
      <c r="AZ1005" s="312">
        <v>0.57389999999999997</v>
      </c>
      <c r="BA1005" s="312">
        <v>0.42480000000000001</v>
      </c>
      <c r="BB1005" s="312">
        <v>0</v>
      </c>
      <c r="BC1005" s="312">
        <v>0.60350000000000004</v>
      </c>
      <c r="BD1005" s="312">
        <v>0.65159999999999996</v>
      </c>
      <c r="BE1005" s="312">
        <v>0.70399999999999996</v>
      </c>
      <c r="BF1005" s="312">
        <v>0.5494</v>
      </c>
      <c r="BG1005" s="312">
        <v>0.6008</v>
      </c>
      <c r="BH1005" s="312">
        <v>0.62239999999999995</v>
      </c>
      <c r="BI1005" s="312">
        <v>0.66810000000000003</v>
      </c>
      <c r="BJ1005" s="312">
        <v>0.56000000000000005</v>
      </c>
      <c r="BK1005" s="312">
        <v>0.60250000000000004</v>
      </c>
      <c r="BM1005">
        <f>(C1005-C594)*1000000/(RIMS_emp!C1005-RIMS_emp!C594)</f>
        <v>37547.516552123452</v>
      </c>
    </row>
    <row r="1006" spans="1:65" x14ac:dyDescent="0.25">
      <c r="A1006" s="306">
        <v>332420</v>
      </c>
      <c r="B1006" s="312" t="s">
        <v>169</v>
      </c>
      <c r="C1006" s="312">
        <v>0.85670000000000002</v>
      </c>
      <c r="D1006" s="312">
        <v>0</v>
      </c>
      <c r="E1006" s="312">
        <v>0.59670000000000001</v>
      </c>
      <c r="F1006" s="312">
        <v>0.5282</v>
      </c>
      <c r="G1006" s="312">
        <v>0.5363</v>
      </c>
      <c r="H1006" s="312">
        <v>0.6069</v>
      </c>
      <c r="I1006" s="312">
        <v>0.61350000000000005</v>
      </c>
      <c r="J1006" s="312">
        <v>0.54410000000000003</v>
      </c>
      <c r="K1006" s="312">
        <v>0</v>
      </c>
      <c r="L1006" s="312">
        <v>0.42770000000000002</v>
      </c>
      <c r="M1006" s="312">
        <v>0.53990000000000005</v>
      </c>
      <c r="N1006" s="312">
        <v>0.57150000000000001</v>
      </c>
      <c r="O1006" s="312">
        <v>0</v>
      </c>
      <c r="P1006" s="312">
        <v>0.44829999999999998</v>
      </c>
      <c r="Q1006" s="312">
        <v>0.43020000000000003</v>
      </c>
      <c r="R1006" s="312">
        <v>0.67849999999999999</v>
      </c>
      <c r="S1006" s="312">
        <v>0.59619999999999995</v>
      </c>
      <c r="T1006" s="312">
        <v>0.43590000000000001</v>
      </c>
      <c r="U1006" s="312">
        <v>0.54520000000000002</v>
      </c>
      <c r="V1006" s="312">
        <v>0.56059999999999999</v>
      </c>
      <c r="W1006" s="312">
        <v>0.5282</v>
      </c>
      <c r="X1006" s="312">
        <v>0.51419999999999999</v>
      </c>
      <c r="Y1006" s="312">
        <v>0.4637</v>
      </c>
      <c r="Z1006" s="312">
        <v>0.66059999999999997</v>
      </c>
      <c r="AA1006" s="312">
        <v>0.55700000000000005</v>
      </c>
      <c r="AB1006" s="312">
        <v>0.53879999999999995</v>
      </c>
      <c r="AC1006" s="312">
        <v>0.49380000000000002</v>
      </c>
      <c r="AD1006" s="312">
        <v>0</v>
      </c>
      <c r="AE1006" s="312">
        <v>0.5494</v>
      </c>
      <c r="AF1006" s="312">
        <v>0.36180000000000001</v>
      </c>
      <c r="AG1006" s="312">
        <v>0.44440000000000002</v>
      </c>
      <c r="AH1006" s="312">
        <v>0</v>
      </c>
      <c r="AI1006" s="312">
        <v>0.54</v>
      </c>
      <c r="AJ1006" s="312">
        <v>0.45540000000000003</v>
      </c>
      <c r="AK1006" s="312">
        <v>0.47760000000000002</v>
      </c>
      <c r="AL1006" s="312">
        <v>0.48280000000000001</v>
      </c>
      <c r="AM1006" s="312">
        <v>0.67169999999999996</v>
      </c>
      <c r="AN1006" s="312">
        <v>0.59009999999999996</v>
      </c>
      <c r="AO1006" s="312">
        <v>0.57979999999999998</v>
      </c>
      <c r="AP1006" s="312">
        <v>0.67789999999999995</v>
      </c>
      <c r="AQ1006" s="312">
        <v>0.46870000000000001</v>
      </c>
      <c r="AR1006" s="312">
        <v>0.59789999999999999</v>
      </c>
      <c r="AS1006" s="312">
        <v>0.40329999999999999</v>
      </c>
      <c r="AT1006" s="312">
        <v>0.60770000000000002</v>
      </c>
      <c r="AU1006" s="312">
        <v>0.67490000000000006</v>
      </c>
      <c r="AV1006" s="312">
        <v>0.63700000000000001</v>
      </c>
      <c r="AW1006" s="312">
        <v>0.52700000000000002</v>
      </c>
      <c r="AX1006" s="312">
        <v>0</v>
      </c>
      <c r="AY1006" s="312">
        <v>0.53420000000000001</v>
      </c>
      <c r="AZ1006" s="312">
        <v>0.57779999999999998</v>
      </c>
      <c r="BA1006" s="312">
        <v>0.43569999999999998</v>
      </c>
      <c r="BB1006" s="312">
        <v>0.40910000000000002</v>
      </c>
      <c r="BC1006" s="312">
        <v>0.59789999999999999</v>
      </c>
      <c r="BD1006" s="312">
        <v>0.6724</v>
      </c>
      <c r="BE1006" s="312">
        <v>0.72189999999999999</v>
      </c>
      <c r="BF1006" s="312">
        <v>0.55200000000000005</v>
      </c>
      <c r="BG1006" s="312">
        <v>0.62290000000000001</v>
      </c>
      <c r="BH1006" s="312">
        <v>0.6391</v>
      </c>
      <c r="BI1006" s="312">
        <v>0.69450000000000001</v>
      </c>
      <c r="BJ1006" s="312">
        <v>0.58150000000000002</v>
      </c>
      <c r="BK1006" s="312">
        <v>0.6149</v>
      </c>
      <c r="BM1006">
        <f>(C1006-C595)*1000000/(RIMS_emp!C1006-RIMS_emp!C595)</f>
        <v>37533.413443853169</v>
      </c>
    </row>
    <row r="1007" spans="1:65" x14ac:dyDescent="0.25">
      <c r="A1007" s="306">
        <v>332430</v>
      </c>
      <c r="B1007" s="312" t="s">
        <v>170</v>
      </c>
      <c r="C1007" s="312">
        <v>0.65629999999999999</v>
      </c>
      <c r="D1007" s="312">
        <v>0</v>
      </c>
      <c r="E1007" s="312">
        <v>0.42459999999999998</v>
      </c>
      <c r="F1007" s="312">
        <v>0.379</v>
      </c>
      <c r="G1007" s="312">
        <v>0.36280000000000001</v>
      </c>
      <c r="H1007" s="312">
        <v>0.42459999999999998</v>
      </c>
      <c r="I1007" s="312">
        <v>0.3805</v>
      </c>
      <c r="J1007" s="312">
        <v>0.35630000000000001</v>
      </c>
      <c r="K1007" s="312">
        <v>0</v>
      </c>
      <c r="L1007" s="312">
        <v>0.223</v>
      </c>
      <c r="M1007" s="312">
        <v>0.33679999999999999</v>
      </c>
      <c r="N1007" s="312">
        <v>0.41149999999999998</v>
      </c>
      <c r="O1007" s="312">
        <v>0.24260000000000001</v>
      </c>
      <c r="P1007" s="312">
        <v>0.31330000000000002</v>
      </c>
      <c r="Q1007" s="312">
        <v>0.22639999999999999</v>
      </c>
      <c r="R1007" s="312">
        <v>0.46760000000000002</v>
      </c>
      <c r="S1007" s="312">
        <v>0.44109999999999999</v>
      </c>
      <c r="T1007" s="312">
        <v>0.27189999999999998</v>
      </c>
      <c r="U1007" s="312">
        <v>0.39639999999999997</v>
      </c>
      <c r="V1007" s="312">
        <v>0.31950000000000001</v>
      </c>
      <c r="W1007" s="312">
        <v>0.31330000000000002</v>
      </c>
      <c r="X1007" s="312">
        <v>0.31319999999999998</v>
      </c>
      <c r="Y1007" s="312">
        <v>0.25219999999999998</v>
      </c>
      <c r="Z1007" s="312">
        <v>0.43409999999999999</v>
      </c>
      <c r="AA1007" s="312">
        <v>0.37230000000000002</v>
      </c>
      <c r="AB1007" s="312">
        <v>0.3972</v>
      </c>
      <c r="AC1007" s="312">
        <v>0.34110000000000001</v>
      </c>
      <c r="AD1007" s="312">
        <v>0</v>
      </c>
      <c r="AE1007" s="312">
        <v>0.34389999999999998</v>
      </c>
      <c r="AF1007" s="312">
        <v>0.1923</v>
      </c>
      <c r="AG1007" s="312">
        <v>0.23880000000000001</v>
      </c>
      <c r="AH1007" s="312">
        <v>0.30909999999999999</v>
      </c>
      <c r="AI1007" s="312">
        <v>0.35010000000000002</v>
      </c>
      <c r="AJ1007" s="312">
        <v>0.2384</v>
      </c>
      <c r="AK1007" s="312">
        <v>0.26329999999999998</v>
      </c>
      <c r="AL1007" s="312">
        <v>0.29160000000000003</v>
      </c>
      <c r="AM1007" s="312">
        <v>0.49880000000000002</v>
      </c>
      <c r="AN1007" s="312">
        <v>0.377</v>
      </c>
      <c r="AO1007" s="312">
        <v>0.38529999999999998</v>
      </c>
      <c r="AP1007" s="312">
        <v>0.49080000000000001</v>
      </c>
      <c r="AQ1007" s="312">
        <v>0.28110000000000002</v>
      </c>
      <c r="AR1007" s="312">
        <v>0.42159999999999997</v>
      </c>
      <c r="AS1007" s="312">
        <v>0.24879999999999999</v>
      </c>
      <c r="AT1007" s="312">
        <v>0.42180000000000001</v>
      </c>
      <c r="AU1007" s="312">
        <v>0.4622</v>
      </c>
      <c r="AV1007" s="312">
        <v>0.40849999999999997</v>
      </c>
      <c r="AW1007" s="312">
        <v>0.35089999999999999</v>
      </c>
      <c r="AX1007" s="312">
        <v>0.2442</v>
      </c>
      <c r="AY1007" s="312">
        <v>0.3669</v>
      </c>
      <c r="AZ1007" s="312">
        <v>0.3826</v>
      </c>
      <c r="BA1007" s="312">
        <v>0.31130000000000002</v>
      </c>
      <c r="BB1007" s="312">
        <v>0.2266</v>
      </c>
      <c r="BC1007" s="312">
        <v>0.37119999999999997</v>
      </c>
      <c r="BD1007" s="312">
        <v>0.4587</v>
      </c>
      <c r="BE1007" s="312">
        <v>0.53859999999999997</v>
      </c>
      <c r="BF1007" s="312">
        <v>0.4098</v>
      </c>
      <c r="BG1007" s="312">
        <v>0.4289</v>
      </c>
      <c r="BH1007" s="312">
        <v>0.46560000000000001</v>
      </c>
      <c r="BI1007" s="312">
        <v>0.49059999999999998</v>
      </c>
      <c r="BJ1007" s="312">
        <v>0.3735</v>
      </c>
      <c r="BK1007" s="312">
        <v>0.43169999999999997</v>
      </c>
      <c r="BM1007">
        <f>(C1007-C596)*1000000/(RIMS_emp!C1007-RIMS_emp!C596)</f>
        <v>37535.014005602236</v>
      </c>
    </row>
    <row r="1008" spans="1:65" x14ac:dyDescent="0.25">
      <c r="A1008" s="306">
        <v>332500</v>
      </c>
      <c r="B1008" s="312" t="s">
        <v>173</v>
      </c>
      <c r="C1008" s="312">
        <v>0.74019999999999997</v>
      </c>
      <c r="D1008" s="312">
        <v>0</v>
      </c>
      <c r="E1008" s="312">
        <v>0.50290000000000001</v>
      </c>
      <c r="F1008" s="312">
        <v>0.44819999999999999</v>
      </c>
      <c r="G1008" s="312">
        <v>0.45800000000000002</v>
      </c>
      <c r="H1008" s="312">
        <v>0.53649999999999998</v>
      </c>
      <c r="I1008" s="312">
        <v>0.50890000000000002</v>
      </c>
      <c r="J1008" s="312">
        <v>0.49099999999999999</v>
      </c>
      <c r="K1008" s="312">
        <v>0</v>
      </c>
      <c r="L1008" s="312">
        <v>0.34260000000000002</v>
      </c>
      <c r="M1008" s="312">
        <v>0.4491</v>
      </c>
      <c r="N1008" s="312">
        <v>0.49630000000000002</v>
      </c>
      <c r="O1008" s="312">
        <v>0.39340000000000003</v>
      </c>
      <c r="P1008" s="312">
        <v>0.40429999999999999</v>
      </c>
      <c r="Q1008" s="312">
        <v>0.36930000000000002</v>
      </c>
      <c r="R1008" s="312">
        <v>0.59709999999999996</v>
      </c>
      <c r="S1008" s="312">
        <v>0.51229999999999998</v>
      </c>
      <c r="T1008" s="312">
        <v>0.3659</v>
      </c>
      <c r="U1008" s="312">
        <v>0.48399999999999999</v>
      </c>
      <c r="V1008" s="312">
        <v>0.43130000000000002</v>
      </c>
      <c r="W1008" s="312">
        <v>0.47260000000000002</v>
      </c>
      <c r="X1008" s="312">
        <v>0.41310000000000002</v>
      </c>
      <c r="Y1008" s="312">
        <v>0.39090000000000003</v>
      </c>
      <c r="Z1008" s="312">
        <v>0.5635</v>
      </c>
      <c r="AA1008" s="312">
        <v>0.50009999999999999</v>
      </c>
      <c r="AB1008" s="312">
        <v>0.46760000000000002</v>
      </c>
      <c r="AC1008" s="312">
        <v>0.4128</v>
      </c>
      <c r="AD1008" s="312">
        <v>0.3664</v>
      </c>
      <c r="AE1008" s="312">
        <v>0.47799999999999998</v>
      </c>
      <c r="AF1008" s="312">
        <v>0</v>
      </c>
      <c r="AG1008" s="312">
        <v>0.36580000000000001</v>
      </c>
      <c r="AH1008" s="312">
        <v>0.45529999999999998</v>
      </c>
      <c r="AI1008" s="312">
        <v>0.46829999999999999</v>
      </c>
      <c r="AJ1008" s="312">
        <v>0</v>
      </c>
      <c r="AK1008" s="312">
        <v>0.40360000000000001</v>
      </c>
      <c r="AL1008" s="312">
        <v>0.4219</v>
      </c>
      <c r="AM1008" s="312">
        <v>0.57579999999999998</v>
      </c>
      <c r="AN1008" s="312">
        <v>0.47</v>
      </c>
      <c r="AO1008" s="312">
        <v>0.46439999999999998</v>
      </c>
      <c r="AP1008" s="312">
        <v>0.5776</v>
      </c>
      <c r="AQ1008" s="312">
        <v>0.43809999999999999</v>
      </c>
      <c r="AR1008" s="312">
        <v>0.49419999999999997</v>
      </c>
      <c r="AS1008" s="312">
        <v>0.35120000000000001</v>
      </c>
      <c r="AT1008" s="312">
        <v>0.52649999999999997</v>
      </c>
      <c r="AU1008" s="312">
        <v>0.54200000000000004</v>
      </c>
      <c r="AV1008" s="312">
        <v>0.50580000000000003</v>
      </c>
      <c r="AW1008" s="312">
        <v>0.44579999999999997</v>
      </c>
      <c r="AX1008" s="312">
        <v>0</v>
      </c>
      <c r="AY1008" s="312">
        <v>0.4476</v>
      </c>
      <c r="AZ1008" s="312">
        <v>0.51570000000000005</v>
      </c>
      <c r="BA1008" s="312">
        <v>0.3695</v>
      </c>
      <c r="BB1008" s="312">
        <v>0</v>
      </c>
      <c r="BC1008" s="312">
        <v>0.55110000000000003</v>
      </c>
      <c r="BD1008" s="312">
        <v>0.56710000000000005</v>
      </c>
      <c r="BE1008" s="312">
        <v>0.61980000000000002</v>
      </c>
      <c r="BF1008" s="312">
        <v>0.49490000000000001</v>
      </c>
      <c r="BG1008" s="312">
        <v>0.52959999999999996</v>
      </c>
      <c r="BH1008" s="312">
        <v>0.54410000000000003</v>
      </c>
      <c r="BI1008" s="312">
        <v>0.55389999999999995</v>
      </c>
      <c r="BJ1008" s="312">
        <v>0.48470000000000002</v>
      </c>
      <c r="BK1008" s="312">
        <v>0.53910000000000002</v>
      </c>
      <c r="BM1008">
        <f>(C1008-C597)*1000000/(RIMS_emp!C1008-RIMS_emp!C597)</f>
        <v>37554.820670763722</v>
      </c>
    </row>
    <row r="1009" spans="1:65" x14ac:dyDescent="0.25">
      <c r="A1009" s="306">
        <v>332600</v>
      </c>
      <c r="B1009" s="312" t="s">
        <v>174</v>
      </c>
      <c r="C1009" s="312">
        <v>0.78469999999999995</v>
      </c>
      <c r="D1009" s="312">
        <v>0</v>
      </c>
      <c r="E1009" s="312">
        <v>0.55030000000000001</v>
      </c>
      <c r="F1009" s="312">
        <v>0.49059999999999998</v>
      </c>
      <c r="G1009" s="312">
        <v>0.49299999999999999</v>
      </c>
      <c r="H1009" s="312">
        <v>0.55759999999999998</v>
      </c>
      <c r="I1009" s="312">
        <v>0.55300000000000005</v>
      </c>
      <c r="J1009" s="312">
        <v>0.51800000000000002</v>
      </c>
      <c r="K1009" s="312">
        <v>0</v>
      </c>
      <c r="L1009" s="312">
        <v>0.3745</v>
      </c>
      <c r="M1009" s="312">
        <v>0.49170000000000003</v>
      </c>
      <c r="N1009" s="312">
        <v>0.52029999999999998</v>
      </c>
      <c r="O1009" s="312">
        <v>0</v>
      </c>
      <c r="P1009" s="312">
        <v>0.42380000000000001</v>
      </c>
      <c r="Q1009" s="312">
        <v>0.3931</v>
      </c>
      <c r="R1009" s="312">
        <v>0.63719999999999999</v>
      </c>
      <c r="S1009" s="312">
        <v>0.54849999999999999</v>
      </c>
      <c r="T1009" s="312">
        <v>0.4052</v>
      </c>
      <c r="U1009" s="312">
        <v>0.52190000000000003</v>
      </c>
      <c r="V1009" s="312">
        <v>0.49230000000000002</v>
      </c>
      <c r="W1009" s="312">
        <v>0.49199999999999999</v>
      </c>
      <c r="X1009" s="312">
        <v>0.49180000000000001</v>
      </c>
      <c r="Y1009" s="312">
        <v>0.44</v>
      </c>
      <c r="Z1009" s="312">
        <v>0.60299999999999998</v>
      </c>
      <c r="AA1009" s="312">
        <v>0.51690000000000003</v>
      </c>
      <c r="AB1009" s="312">
        <v>0.50539999999999996</v>
      </c>
      <c r="AC1009" s="312">
        <v>0.46589999999999998</v>
      </c>
      <c r="AD1009" s="312">
        <v>0</v>
      </c>
      <c r="AE1009" s="312">
        <v>0.51170000000000004</v>
      </c>
      <c r="AF1009" s="312">
        <v>0.33329999999999999</v>
      </c>
      <c r="AG1009" s="312">
        <v>0.40360000000000001</v>
      </c>
      <c r="AH1009" s="312">
        <v>0.4728</v>
      </c>
      <c r="AI1009" s="312">
        <v>0.51419999999999999</v>
      </c>
      <c r="AJ1009" s="312">
        <v>0.41289999999999999</v>
      </c>
      <c r="AK1009" s="312">
        <v>0.43669999999999998</v>
      </c>
      <c r="AL1009" s="312">
        <v>0.44650000000000001</v>
      </c>
      <c r="AM1009" s="312">
        <v>0.61380000000000001</v>
      </c>
      <c r="AN1009" s="312">
        <v>0.54649999999999999</v>
      </c>
      <c r="AO1009" s="312">
        <v>0.5212</v>
      </c>
      <c r="AP1009" s="312">
        <v>0.62160000000000004</v>
      </c>
      <c r="AQ1009" s="312">
        <v>0.45710000000000001</v>
      </c>
      <c r="AR1009" s="312">
        <v>0.55300000000000005</v>
      </c>
      <c r="AS1009" s="312">
        <v>0.37090000000000001</v>
      </c>
      <c r="AT1009" s="312">
        <v>0.55740000000000001</v>
      </c>
      <c r="AU1009" s="312">
        <v>0.61550000000000005</v>
      </c>
      <c r="AV1009" s="312">
        <v>0.56140000000000001</v>
      </c>
      <c r="AW1009" s="312">
        <v>0.46860000000000002</v>
      </c>
      <c r="AX1009" s="312">
        <v>0.39610000000000001</v>
      </c>
      <c r="AY1009" s="312">
        <v>0.48930000000000001</v>
      </c>
      <c r="AZ1009" s="312">
        <v>0.53459999999999996</v>
      </c>
      <c r="BA1009" s="312">
        <v>0.40989999999999999</v>
      </c>
      <c r="BB1009" s="312">
        <v>0</v>
      </c>
      <c r="BC1009" s="312">
        <v>0.57389999999999997</v>
      </c>
      <c r="BD1009" s="312">
        <v>0.62109999999999999</v>
      </c>
      <c r="BE1009" s="312">
        <v>0.65880000000000005</v>
      </c>
      <c r="BF1009" s="312">
        <v>0.51949999999999996</v>
      </c>
      <c r="BG1009" s="312">
        <v>0.5706</v>
      </c>
      <c r="BH1009" s="312">
        <v>0.58709999999999996</v>
      </c>
      <c r="BI1009" s="312">
        <v>0.63419999999999999</v>
      </c>
      <c r="BJ1009" s="312">
        <v>0.5252</v>
      </c>
      <c r="BK1009" s="312">
        <v>0.56320000000000003</v>
      </c>
      <c r="BM1009">
        <f>(C1009-C598)*1000000/(RIMS_emp!C1009-RIMS_emp!C598)</f>
        <v>37538.824033415447</v>
      </c>
    </row>
    <row r="1010" spans="1:65" x14ac:dyDescent="0.25">
      <c r="A1010" s="306">
        <v>332710</v>
      </c>
      <c r="B1010" s="312" t="s">
        <v>175</v>
      </c>
      <c r="C1010" s="312">
        <v>0.97109999999999996</v>
      </c>
      <c r="D1010" s="312">
        <v>0.5454</v>
      </c>
      <c r="E1010" s="312">
        <v>0.68879999999999997</v>
      </c>
      <c r="F1010" s="312">
        <v>0.61709999999999998</v>
      </c>
      <c r="G1010" s="312">
        <v>0.68840000000000001</v>
      </c>
      <c r="H1010" s="312">
        <v>0.76200000000000001</v>
      </c>
      <c r="I1010" s="312">
        <v>0.74429999999999996</v>
      </c>
      <c r="J1010" s="312">
        <v>0.68030000000000002</v>
      </c>
      <c r="K1010" s="312">
        <v>0</v>
      </c>
      <c r="L1010" s="312">
        <v>0.49330000000000002</v>
      </c>
      <c r="M1010" s="312">
        <v>0.67689999999999995</v>
      </c>
      <c r="N1010" s="312">
        <v>0.70760000000000001</v>
      </c>
      <c r="O1010" s="312">
        <v>0.60799999999999998</v>
      </c>
      <c r="P1010" s="312">
        <v>0.57299999999999995</v>
      </c>
      <c r="Q1010" s="312">
        <v>0.5585</v>
      </c>
      <c r="R1010" s="312">
        <v>0.79679999999999995</v>
      </c>
      <c r="S1010" s="312">
        <v>0.68940000000000001</v>
      </c>
      <c r="T1010" s="312">
        <v>0.55300000000000005</v>
      </c>
      <c r="U1010" s="312">
        <v>0.64749999999999996</v>
      </c>
      <c r="V1010" s="312">
        <v>0.65500000000000003</v>
      </c>
      <c r="W1010" s="312">
        <v>0.67149999999999999</v>
      </c>
      <c r="X1010" s="312">
        <v>0.61</v>
      </c>
      <c r="Y1010" s="312">
        <v>0.60780000000000001</v>
      </c>
      <c r="Z1010" s="312">
        <v>0.76329999999999998</v>
      </c>
      <c r="AA1010" s="312">
        <v>0.68769999999999998</v>
      </c>
      <c r="AB1010" s="312">
        <v>0.67220000000000002</v>
      </c>
      <c r="AC1010" s="312">
        <v>0.57599999999999996</v>
      </c>
      <c r="AD1010" s="312">
        <v>0.57589999999999997</v>
      </c>
      <c r="AE1010" s="312">
        <v>0.67889999999999995</v>
      </c>
      <c r="AF1010" s="312">
        <v>0.46829999999999999</v>
      </c>
      <c r="AG1010" s="312">
        <v>0.55569999999999997</v>
      </c>
      <c r="AH1010" s="312">
        <v>0.64859999999999995</v>
      </c>
      <c r="AI1010" s="312">
        <v>0.66620000000000001</v>
      </c>
      <c r="AJ1010" s="312">
        <v>0.5837</v>
      </c>
      <c r="AK1010" s="312">
        <v>0.61680000000000001</v>
      </c>
      <c r="AL1010" s="312">
        <v>0.61890000000000001</v>
      </c>
      <c r="AM1010" s="312">
        <v>0.77149999999999996</v>
      </c>
      <c r="AN1010" s="312">
        <v>0.68500000000000005</v>
      </c>
      <c r="AO1010" s="312">
        <v>0.68279999999999996</v>
      </c>
      <c r="AP1010" s="312">
        <v>0.77780000000000005</v>
      </c>
      <c r="AQ1010" s="312">
        <v>0.61060000000000003</v>
      </c>
      <c r="AR1010" s="312">
        <v>0.68910000000000005</v>
      </c>
      <c r="AS1010" s="312">
        <v>0.53249999999999997</v>
      </c>
      <c r="AT1010" s="312">
        <v>0.71150000000000002</v>
      </c>
      <c r="AU1010" s="312">
        <v>0.7772</v>
      </c>
      <c r="AV1010" s="312">
        <v>0.75270000000000004</v>
      </c>
      <c r="AW1010" s="312">
        <v>0.66279999999999994</v>
      </c>
      <c r="AX1010" s="312">
        <v>0.56699999999999995</v>
      </c>
      <c r="AY1010" s="312">
        <v>0.67689999999999995</v>
      </c>
      <c r="AZ1010" s="312">
        <v>0.71409999999999996</v>
      </c>
      <c r="BA1010" s="312">
        <v>0.53810000000000002</v>
      </c>
      <c r="BB1010" s="312">
        <v>0.54400000000000004</v>
      </c>
      <c r="BC1010" s="312">
        <v>0.75900000000000001</v>
      </c>
      <c r="BD1010" s="312">
        <v>0.77859999999999996</v>
      </c>
      <c r="BE1010" s="312">
        <v>0.82509999999999994</v>
      </c>
      <c r="BF1010" s="312">
        <v>0.69640000000000002</v>
      </c>
      <c r="BG1010" s="312">
        <v>0.75370000000000004</v>
      </c>
      <c r="BH1010" s="312">
        <v>0.73229999999999995</v>
      </c>
      <c r="BI1010" s="312">
        <v>0.78439999999999999</v>
      </c>
      <c r="BJ1010" s="312">
        <v>0.72719999999999996</v>
      </c>
      <c r="BK1010" s="312">
        <v>0.77049999999999996</v>
      </c>
      <c r="BM1010">
        <f>(C1010-C599)*1000000/(RIMS_emp!C1010-RIMS_emp!C599)</f>
        <v>37549.086424561057</v>
      </c>
    </row>
    <row r="1011" spans="1:65" x14ac:dyDescent="0.25">
      <c r="A1011" s="306">
        <v>332720</v>
      </c>
      <c r="B1011" s="312" t="s">
        <v>176</v>
      </c>
      <c r="C1011" s="312">
        <v>0.85929999999999995</v>
      </c>
      <c r="D1011" s="312">
        <v>0</v>
      </c>
      <c r="E1011" s="312">
        <v>0.60370000000000001</v>
      </c>
      <c r="F1011" s="312">
        <v>0.54159999999999997</v>
      </c>
      <c r="G1011" s="312">
        <v>0.57099999999999995</v>
      </c>
      <c r="H1011" s="312">
        <v>0.64410000000000001</v>
      </c>
      <c r="I1011" s="312">
        <v>0.63019999999999998</v>
      </c>
      <c r="J1011" s="312">
        <v>0.59560000000000002</v>
      </c>
      <c r="K1011" s="312">
        <v>0</v>
      </c>
      <c r="L1011" s="312">
        <v>0.41589999999999999</v>
      </c>
      <c r="M1011" s="312">
        <v>0.56289999999999996</v>
      </c>
      <c r="N1011" s="312">
        <v>0.59230000000000005</v>
      </c>
      <c r="O1011" s="312">
        <v>0</v>
      </c>
      <c r="P1011" s="312">
        <v>0.49630000000000002</v>
      </c>
      <c r="Q1011" s="312">
        <v>0.46489999999999998</v>
      </c>
      <c r="R1011" s="312">
        <v>0.70420000000000005</v>
      </c>
      <c r="S1011" s="312">
        <v>0.61399999999999999</v>
      </c>
      <c r="T1011" s="312">
        <v>0.46300000000000002</v>
      </c>
      <c r="U1011" s="312">
        <v>0.58020000000000005</v>
      </c>
      <c r="V1011" s="312">
        <v>0.54510000000000003</v>
      </c>
      <c r="W1011" s="312">
        <v>0.57130000000000003</v>
      </c>
      <c r="X1011" s="312">
        <v>0.52429999999999999</v>
      </c>
      <c r="Y1011" s="312">
        <v>0.50539999999999996</v>
      </c>
      <c r="Z1011" s="312">
        <v>0.67459999999999998</v>
      </c>
      <c r="AA1011" s="312">
        <v>0.59299999999999997</v>
      </c>
      <c r="AB1011" s="312">
        <v>0.57110000000000005</v>
      </c>
      <c r="AC1011" s="312">
        <v>0.50570000000000004</v>
      </c>
      <c r="AD1011" s="312">
        <v>0.47460000000000002</v>
      </c>
      <c r="AE1011" s="312">
        <v>0.58330000000000004</v>
      </c>
      <c r="AF1011" s="312">
        <v>0</v>
      </c>
      <c r="AG1011" s="312">
        <v>0.4708</v>
      </c>
      <c r="AH1011" s="312">
        <v>0.54900000000000004</v>
      </c>
      <c r="AI1011" s="312">
        <v>0.56559999999999999</v>
      </c>
      <c r="AJ1011" s="312">
        <v>0.48199999999999998</v>
      </c>
      <c r="AK1011" s="312">
        <v>0.5121</v>
      </c>
      <c r="AL1011" s="312">
        <v>0.52190000000000003</v>
      </c>
      <c r="AM1011" s="312">
        <v>0.68279999999999996</v>
      </c>
      <c r="AN1011" s="312">
        <v>0.59509999999999996</v>
      </c>
      <c r="AO1011" s="312">
        <v>0.57930000000000004</v>
      </c>
      <c r="AP1011" s="312">
        <v>0.68869999999999998</v>
      </c>
      <c r="AQ1011" s="312">
        <v>0.52939999999999998</v>
      </c>
      <c r="AR1011" s="312">
        <v>0.60560000000000003</v>
      </c>
      <c r="AS1011" s="312">
        <v>0.44330000000000003</v>
      </c>
      <c r="AT1011" s="312">
        <v>0.62270000000000003</v>
      </c>
      <c r="AU1011" s="312">
        <v>0.66090000000000004</v>
      </c>
      <c r="AV1011" s="312">
        <v>0.64039999999999997</v>
      </c>
      <c r="AW1011" s="312">
        <v>0.54379999999999995</v>
      </c>
      <c r="AX1011" s="312">
        <v>0.47310000000000002</v>
      </c>
      <c r="AY1011" s="312">
        <v>0.56379999999999997</v>
      </c>
      <c r="AZ1011" s="312">
        <v>0.61629999999999996</v>
      </c>
      <c r="BA1011" s="312">
        <v>0.45329999999999998</v>
      </c>
      <c r="BB1011" s="312">
        <v>0</v>
      </c>
      <c r="BC1011" s="312">
        <v>0.65820000000000001</v>
      </c>
      <c r="BD1011" s="312">
        <v>0.68520000000000003</v>
      </c>
      <c r="BE1011" s="312">
        <v>0.73050000000000004</v>
      </c>
      <c r="BF1011" s="312">
        <v>0.59350000000000003</v>
      </c>
      <c r="BG1011" s="312">
        <v>0.63749999999999996</v>
      </c>
      <c r="BH1011" s="312">
        <v>0.64929999999999999</v>
      </c>
      <c r="BI1011" s="312">
        <v>0.67500000000000004</v>
      </c>
      <c r="BJ1011" s="312">
        <v>0.60450000000000004</v>
      </c>
      <c r="BK1011" s="312">
        <v>0.64949999999999997</v>
      </c>
      <c r="BM1011">
        <f>(C1011-C600)*1000000/(RIMS_emp!C1011-RIMS_emp!C600)</f>
        <v>37543.705225066631</v>
      </c>
    </row>
    <row r="1012" spans="1:65" x14ac:dyDescent="0.25">
      <c r="A1012" s="306">
        <v>332800</v>
      </c>
      <c r="B1012" s="312" t="s">
        <v>177</v>
      </c>
      <c r="C1012" s="312">
        <v>0.81789999999999996</v>
      </c>
      <c r="D1012" s="312">
        <v>0.41299999999999998</v>
      </c>
      <c r="E1012" s="312">
        <v>0.55589999999999995</v>
      </c>
      <c r="F1012" s="312">
        <v>0.4919</v>
      </c>
      <c r="G1012" s="312">
        <v>0.51549999999999996</v>
      </c>
      <c r="H1012" s="312">
        <v>0.59209999999999996</v>
      </c>
      <c r="I1012" s="312">
        <v>0.58850000000000002</v>
      </c>
      <c r="J1012" s="312">
        <v>0.53720000000000001</v>
      </c>
      <c r="K1012" s="312">
        <v>0</v>
      </c>
      <c r="L1012" s="312">
        <v>0.40039999999999998</v>
      </c>
      <c r="M1012" s="312">
        <v>0.51619999999999999</v>
      </c>
      <c r="N1012" s="312">
        <v>0.56340000000000001</v>
      </c>
      <c r="O1012" s="312">
        <v>0.46200000000000002</v>
      </c>
      <c r="P1012" s="312">
        <v>0.43130000000000002</v>
      </c>
      <c r="Q1012" s="312">
        <v>0.42099999999999999</v>
      </c>
      <c r="R1012" s="312">
        <v>0.65359999999999996</v>
      </c>
      <c r="S1012" s="312">
        <v>0.56240000000000001</v>
      </c>
      <c r="T1012" s="312">
        <v>0.43120000000000003</v>
      </c>
      <c r="U1012" s="312">
        <v>0.53320000000000001</v>
      </c>
      <c r="V1012" s="312">
        <v>0.54169999999999996</v>
      </c>
      <c r="W1012" s="312">
        <v>0.52290000000000003</v>
      </c>
      <c r="X1012" s="312">
        <v>0.48809999999999998</v>
      </c>
      <c r="Y1012" s="312">
        <v>0.44829999999999998</v>
      </c>
      <c r="Z1012" s="312">
        <v>0.61760000000000004</v>
      </c>
      <c r="AA1012" s="312">
        <v>0.54459999999999997</v>
      </c>
      <c r="AB1012" s="312">
        <v>0.52739999999999998</v>
      </c>
      <c r="AC1012" s="312">
        <v>0.47760000000000002</v>
      </c>
      <c r="AD1012" s="312">
        <v>0.43120000000000003</v>
      </c>
      <c r="AE1012" s="312">
        <v>0.54</v>
      </c>
      <c r="AF1012" s="312">
        <v>0.35770000000000002</v>
      </c>
      <c r="AG1012" s="312">
        <v>0.42320000000000002</v>
      </c>
      <c r="AH1012" s="312">
        <v>0.48280000000000001</v>
      </c>
      <c r="AI1012" s="312">
        <v>0.53900000000000003</v>
      </c>
      <c r="AJ1012" s="312">
        <v>0.44740000000000002</v>
      </c>
      <c r="AK1012" s="312">
        <v>0.46500000000000002</v>
      </c>
      <c r="AL1012" s="312">
        <v>0.47770000000000001</v>
      </c>
      <c r="AM1012" s="312">
        <v>0.63239999999999996</v>
      </c>
      <c r="AN1012" s="312">
        <v>0.54879999999999995</v>
      </c>
      <c r="AO1012" s="312">
        <v>0.53739999999999999</v>
      </c>
      <c r="AP1012" s="312">
        <v>0.6381</v>
      </c>
      <c r="AQ1012" s="312">
        <v>0.46889999999999998</v>
      </c>
      <c r="AR1012" s="312">
        <v>0.55589999999999995</v>
      </c>
      <c r="AS1012" s="312">
        <v>0.39379999999999998</v>
      </c>
      <c r="AT1012" s="312">
        <v>0.56979999999999997</v>
      </c>
      <c r="AU1012" s="312">
        <v>0.64870000000000005</v>
      </c>
      <c r="AV1012" s="312">
        <v>0.59150000000000003</v>
      </c>
      <c r="AW1012" s="312">
        <v>0.51180000000000003</v>
      </c>
      <c r="AX1012" s="312">
        <v>0.42459999999999998</v>
      </c>
      <c r="AY1012" s="312">
        <v>0.51070000000000004</v>
      </c>
      <c r="AZ1012" s="312">
        <v>0.54749999999999999</v>
      </c>
      <c r="BA1012" s="312">
        <v>0.43869999999999998</v>
      </c>
      <c r="BB1012" s="312">
        <v>0.4118</v>
      </c>
      <c r="BC1012" s="312">
        <v>0.59630000000000005</v>
      </c>
      <c r="BD1012" s="312">
        <v>0.64070000000000005</v>
      </c>
      <c r="BE1012" s="312">
        <v>0.67749999999999999</v>
      </c>
      <c r="BF1012" s="312">
        <v>0.54</v>
      </c>
      <c r="BG1012" s="312">
        <v>0.60419999999999996</v>
      </c>
      <c r="BH1012" s="312">
        <v>0.60150000000000003</v>
      </c>
      <c r="BI1012" s="312">
        <v>0.6623</v>
      </c>
      <c r="BJ1012" s="312">
        <v>0.56220000000000003</v>
      </c>
      <c r="BK1012" s="312">
        <v>0.59599999999999997</v>
      </c>
      <c r="BM1012">
        <f>(C1012-C601)*1000000/(RIMS_emp!C1012-RIMS_emp!C601)</f>
        <v>37543.670365803533</v>
      </c>
    </row>
    <row r="1013" spans="1:65" x14ac:dyDescent="0.25">
      <c r="A1013" s="306">
        <v>332913</v>
      </c>
      <c r="B1013" s="312" t="s">
        <v>8</v>
      </c>
      <c r="C1013" s="312">
        <v>0.65810000000000002</v>
      </c>
      <c r="D1013" s="312">
        <v>0</v>
      </c>
      <c r="E1013" s="312">
        <v>0</v>
      </c>
      <c r="F1013" s="312">
        <v>0.37940000000000002</v>
      </c>
      <c r="G1013" s="312">
        <v>0.3871</v>
      </c>
      <c r="H1013" s="312">
        <v>0.45529999999999998</v>
      </c>
      <c r="I1013" s="312">
        <v>0.40589999999999998</v>
      </c>
      <c r="J1013" s="312">
        <v>0.4254</v>
      </c>
      <c r="K1013" s="312">
        <v>0</v>
      </c>
      <c r="L1013" s="312">
        <v>0.27060000000000001</v>
      </c>
      <c r="M1013" s="312">
        <v>0.37019999999999997</v>
      </c>
      <c r="N1013" s="312">
        <v>0.43759999999999999</v>
      </c>
      <c r="O1013" s="312">
        <v>0</v>
      </c>
      <c r="P1013" s="312">
        <v>0</v>
      </c>
      <c r="Q1013" s="312">
        <v>0.30120000000000002</v>
      </c>
      <c r="R1013" s="312">
        <v>0.50939999999999996</v>
      </c>
      <c r="S1013" s="312">
        <v>0.42549999999999999</v>
      </c>
      <c r="T1013" s="312">
        <v>0.29880000000000001</v>
      </c>
      <c r="U1013" s="312">
        <v>0.40699999999999997</v>
      </c>
      <c r="V1013" s="312">
        <v>0</v>
      </c>
      <c r="W1013" s="312">
        <v>0.42470000000000002</v>
      </c>
      <c r="X1013" s="312">
        <v>0</v>
      </c>
      <c r="Y1013" s="312">
        <v>0</v>
      </c>
      <c r="Z1013" s="312">
        <v>0.45490000000000003</v>
      </c>
      <c r="AA1013" s="312">
        <v>0.41020000000000001</v>
      </c>
      <c r="AB1013" s="312">
        <v>0.40460000000000002</v>
      </c>
      <c r="AC1013" s="312">
        <v>0</v>
      </c>
      <c r="AD1013" s="312">
        <v>0</v>
      </c>
      <c r="AE1013" s="312">
        <v>0.41949999999999998</v>
      </c>
      <c r="AF1013" s="312">
        <v>0</v>
      </c>
      <c r="AG1013" s="312">
        <v>0</v>
      </c>
      <c r="AH1013" s="312">
        <v>0.40279999999999999</v>
      </c>
      <c r="AI1013" s="312">
        <v>0.39090000000000003</v>
      </c>
      <c r="AJ1013" s="312">
        <v>0</v>
      </c>
      <c r="AK1013" s="312">
        <v>0.32250000000000001</v>
      </c>
      <c r="AL1013" s="312">
        <v>0.34870000000000001</v>
      </c>
      <c r="AM1013" s="312">
        <v>0.47470000000000001</v>
      </c>
      <c r="AN1013" s="312">
        <v>0.35799999999999998</v>
      </c>
      <c r="AO1013" s="312">
        <v>0.3856</v>
      </c>
      <c r="AP1013" s="312">
        <v>0.50229999999999997</v>
      </c>
      <c r="AQ1013" s="312">
        <v>0.38250000000000001</v>
      </c>
      <c r="AR1013" s="312">
        <v>0.42949999999999999</v>
      </c>
      <c r="AS1013" s="312">
        <v>0</v>
      </c>
      <c r="AT1013" s="312">
        <v>0.43309999999999998</v>
      </c>
      <c r="AU1013" s="312">
        <v>0.4753</v>
      </c>
      <c r="AV1013" s="312">
        <v>0</v>
      </c>
      <c r="AW1013" s="312">
        <v>0.3926</v>
      </c>
      <c r="AX1013" s="312">
        <v>0</v>
      </c>
      <c r="AY1013" s="312">
        <v>0.36599999999999999</v>
      </c>
      <c r="AZ1013" s="312">
        <v>0.43369999999999997</v>
      </c>
      <c r="BA1013" s="312">
        <v>0</v>
      </c>
      <c r="BB1013" s="312">
        <v>0</v>
      </c>
      <c r="BC1013" s="312">
        <v>0.48899999999999999</v>
      </c>
      <c r="BD1013" s="312">
        <v>0.47299999999999998</v>
      </c>
      <c r="BE1013" s="312">
        <v>0.52170000000000005</v>
      </c>
      <c r="BF1013" s="312">
        <v>0.41170000000000001</v>
      </c>
      <c r="BG1013" s="312">
        <v>0.45929999999999999</v>
      </c>
      <c r="BH1013" s="312">
        <v>0.45279999999999998</v>
      </c>
      <c r="BI1013" s="312">
        <v>0.47899999999999998</v>
      </c>
      <c r="BJ1013" s="312">
        <v>0.4007</v>
      </c>
      <c r="BK1013" s="312">
        <v>0.45590000000000003</v>
      </c>
      <c r="BM1013">
        <f>(C1013-C602)*1000000/(RIMS_emp!C1013-RIMS_emp!C602)</f>
        <v>37545.49517910734</v>
      </c>
    </row>
    <row r="1014" spans="1:65" x14ac:dyDescent="0.25">
      <c r="A1014" s="306" t="s">
        <v>601</v>
      </c>
      <c r="B1014" s="312" t="s">
        <v>612</v>
      </c>
      <c r="C1014" s="312">
        <v>0.75749999999999995</v>
      </c>
      <c r="D1014" s="312">
        <v>0</v>
      </c>
      <c r="E1014" s="312">
        <v>0.52869999999999995</v>
      </c>
      <c r="F1014" s="312">
        <v>0.45850000000000002</v>
      </c>
      <c r="G1014" s="312">
        <v>0.49249999999999999</v>
      </c>
      <c r="H1014" s="312">
        <v>0.5464</v>
      </c>
      <c r="I1014" s="312">
        <v>0.5121</v>
      </c>
      <c r="J1014" s="312">
        <v>0.49919999999999998</v>
      </c>
      <c r="K1014" s="312">
        <v>5.62E-2</v>
      </c>
      <c r="L1014" s="312">
        <v>0</v>
      </c>
      <c r="M1014" s="312">
        <v>0.46500000000000002</v>
      </c>
      <c r="N1014" s="312">
        <v>0.49409999999999998</v>
      </c>
      <c r="O1014" s="312">
        <v>0</v>
      </c>
      <c r="P1014" s="312">
        <v>0.42130000000000001</v>
      </c>
      <c r="Q1014" s="312">
        <v>0.38440000000000002</v>
      </c>
      <c r="R1014" s="312">
        <v>0.61070000000000002</v>
      </c>
      <c r="S1014" s="312">
        <v>0.52939999999999998</v>
      </c>
      <c r="T1014" s="312">
        <v>0.40310000000000001</v>
      </c>
      <c r="U1014" s="312">
        <v>0.47620000000000001</v>
      </c>
      <c r="V1014" s="312">
        <v>0.4622</v>
      </c>
      <c r="W1014" s="312">
        <v>0.4869</v>
      </c>
      <c r="X1014" s="312">
        <v>0.4209</v>
      </c>
      <c r="Y1014" s="312">
        <v>0.41170000000000001</v>
      </c>
      <c r="Z1014" s="312">
        <v>0.58330000000000004</v>
      </c>
      <c r="AA1014" s="312">
        <v>0.51370000000000005</v>
      </c>
      <c r="AB1014" s="312">
        <v>0.49099999999999999</v>
      </c>
      <c r="AC1014" s="312">
        <v>0.41389999999999999</v>
      </c>
      <c r="AD1014" s="312">
        <v>0.38579999999999998</v>
      </c>
      <c r="AE1014" s="312">
        <v>0.49390000000000001</v>
      </c>
      <c r="AF1014" s="312">
        <v>0.31819999999999998</v>
      </c>
      <c r="AG1014" s="312">
        <v>0.3947</v>
      </c>
      <c r="AH1014" s="312">
        <v>0.48830000000000001</v>
      </c>
      <c r="AI1014" s="312">
        <v>0.4758</v>
      </c>
      <c r="AJ1014" s="312">
        <v>0.38940000000000002</v>
      </c>
      <c r="AK1014" s="312">
        <v>0.43180000000000002</v>
      </c>
      <c r="AL1014" s="312">
        <v>0.43369999999999997</v>
      </c>
      <c r="AM1014" s="312">
        <v>0.59550000000000003</v>
      </c>
      <c r="AN1014" s="312">
        <v>0.50249999999999995</v>
      </c>
      <c r="AO1014" s="312">
        <v>0.49980000000000002</v>
      </c>
      <c r="AP1014" s="312">
        <v>0.60070000000000001</v>
      </c>
      <c r="AQ1014" s="312">
        <v>0.45429999999999998</v>
      </c>
      <c r="AR1014" s="312">
        <v>0.51239999999999997</v>
      </c>
      <c r="AS1014" s="312">
        <v>0.36159999999999998</v>
      </c>
      <c r="AT1014" s="312">
        <v>0.54290000000000005</v>
      </c>
      <c r="AU1014" s="312">
        <v>0.57430000000000003</v>
      </c>
      <c r="AV1014" s="312">
        <v>0.54879999999999995</v>
      </c>
      <c r="AW1014" s="312">
        <v>0.46450000000000002</v>
      </c>
      <c r="AX1014" s="312">
        <v>0.39829999999999999</v>
      </c>
      <c r="AY1014" s="312">
        <v>0.47139999999999999</v>
      </c>
      <c r="AZ1014" s="312">
        <v>0.54210000000000003</v>
      </c>
      <c r="BA1014" s="312">
        <v>0.37690000000000001</v>
      </c>
      <c r="BB1014" s="312">
        <v>0.36209999999999998</v>
      </c>
      <c r="BC1014" s="312">
        <v>0.56220000000000003</v>
      </c>
      <c r="BD1014" s="312">
        <v>0.5786</v>
      </c>
      <c r="BE1014" s="312">
        <v>0.63859999999999995</v>
      </c>
      <c r="BF1014" s="312">
        <v>0.51670000000000005</v>
      </c>
      <c r="BG1014" s="312">
        <v>0.53269999999999995</v>
      </c>
      <c r="BH1014" s="312">
        <v>0.56430000000000002</v>
      </c>
      <c r="BI1014" s="312">
        <v>0.5827</v>
      </c>
      <c r="BJ1014" s="312">
        <v>0.51380000000000003</v>
      </c>
      <c r="BK1014" s="312">
        <v>0.56059999999999999</v>
      </c>
      <c r="BM1014">
        <f>(C1014-C603)*1000000/(RIMS_emp!C1014-RIMS_emp!C603)</f>
        <v>37542.993453899915</v>
      </c>
    </row>
    <row r="1015" spans="1:65" x14ac:dyDescent="0.25">
      <c r="A1015" s="306">
        <v>332991</v>
      </c>
      <c r="B1015" s="312" t="s">
        <v>178</v>
      </c>
      <c r="C1015" s="312">
        <v>0.72819999999999996</v>
      </c>
      <c r="D1015" s="312">
        <v>0</v>
      </c>
      <c r="E1015" s="312">
        <v>0.48270000000000002</v>
      </c>
      <c r="F1015" s="312">
        <v>0</v>
      </c>
      <c r="G1015" s="312">
        <v>0</v>
      </c>
      <c r="H1015" s="312">
        <v>0.50660000000000005</v>
      </c>
      <c r="I1015" s="312">
        <v>0</v>
      </c>
      <c r="J1015" s="312">
        <v>0.49959999999999999</v>
      </c>
      <c r="K1015" s="312">
        <v>0</v>
      </c>
      <c r="L1015" s="312">
        <v>0.33029999999999998</v>
      </c>
      <c r="M1015" s="312">
        <v>0.43559999999999999</v>
      </c>
      <c r="N1015" s="312">
        <v>0.50629999999999997</v>
      </c>
      <c r="O1015" s="312">
        <v>0</v>
      </c>
      <c r="P1015" s="312">
        <v>0.4098</v>
      </c>
      <c r="Q1015" s="312">
        <v>0</v>
      </c>
      <c r="R1015" s="312">
        <v>0.59850000000000003</v>
      </c>
      <c r="S1015" s="312">
        <v>0.51949999999999996</v>
      </c>
      <c r="T1015" s="312">
        <v>0.36130000000000001</v>
      </c>
      <c r="U1015" s="312">
        <v>0.48270000000000002</v>
      </c>
      <c r="V1015" s="312">
        <v>0</v>
      </c>
      <c r="W1015" s="312">
        <v>0.45250000000000001</v>
      </c>
      <c r="X1015" s="312">
        <v>0.40649999999999997</v>
      </c>
      <c r="Y1015" s="312">
        <v>0</v>
      </c>
      <c r="Z1015" s="312">
        <v>0.5655</v>
      </c>
      <c r="AA1015" s="312">
        <v>0</v>
      </c>
      <c r="AB1015" s="312">
        <v>0.44479999999999997</v>
      </c>
      <c r="AC1015" s="312">
        <v>0.39760000000000001</v>
      </c>
      <c r="AD1015" s="312">
        <v>0</v>
      </c>
      <c r="AE1015" s="312">
        <v>0.4899</v>
      </c>
      <c r="AF1015" s="312">
        <v>0</v>
      </c>
      <c r="AG1015" s="312">
        <v>0</v>
      </c>
      <c r="AH1015" s="312">
        <v>0.44929999999999998</v>
      </c>
      <c r="AI1015" s="312">
        <v>0.438</v>
      </c>
      <c r="AJ1015" s="312">
        <v>0</v>
      </c>
      <c r="AK1015" s="312">
        <v>0.40560000000000002</v>
      </c>
      <c r="AL1015" s="312">
        <v>0.41720000000000002</v>
      </c>
      <c r="AM1015" s="312">
        <v>0.57779999999999998</v>
      </c>
      <c r="AN1015" s="312">
        <v>0.45140000000000002</v>
      </c>
      <c r="AO1015" s="312">
        <v>0</v>
      </c>
      <c r="AP1015" s="312">
        <v>0.56640000000000001</v>
      </c>
      <c r="AQ1015" s="312">
        <v>0.3972</v>
      </c>
      <c r="AR1015" s="312">
        <v>0.51160000000000005</v>
      </c>
      <c r="AS1015" s="312">
        <v>0</v>
      </c>
      <c r="AT1015" s="312">
        <v>0.52800000000000002</v>
      </c>
      <c r="AU1015" s="312">
        <v>0.53069999999999995</v>
      </c>
      <c r="AV1015" s="312">
        <v>0</v>
      </c>
      <c r="AW1015" s="312">
        <v>0.4551</v>
      </c>
      <c r="AX1015" s="312">
        <v>0</v>
      </c>
      <c r="AY1015" s="312">
        <v>0</v>
      </c>
      <c r="AZ1015" s="312">
        <v>0.49070000000000003</v>
      </c>
      <c r="BA1015" s="312">
        <v>0</v>
      </c>
      <c r="BB1015" s="312">
        <v>0.36180000000000001</v>
      </c>
      <c r="BC1015" s="312">
        <v>0.55410000000000004</v>
      </c>
      <c r="BD1015" s="312">
        <v>0.55720000000000003</v>
      </c>
      <c r="BE1015" s="312">
        <v>0.61850000000000005</v>
      </c>
      <c r="BF1015" s="312">
        <v>0.45789999999999997</v>
      </c>
      <c r="BG1015" s="312">
        <v>0.54049999999999998</v>
      </c>
      <c r="BH1015" s="312">
        <v>0.54459999999999997</v>
      </c>
      <c r="BI1015" s="312">
        <v>0.53869999999999996</v>
      </c>
      <c r="BJ1015" s="312">
        <v>0.4713</v>
      </c>
      <c r="BK1015" s="312">
        <v>0.50929999999999997</v>
      </c>
      <c r="BM1015">
        <f>(C1015-C604)*1000000/(RIMS_emp!C1015-RIMS_emp!C604)</f>
        <v>37534.981679697637</v>
      </c>
    </row>
    <row r="1016" spans="1:65" x14ac:dyDescent="0.25">
      <c r="A1016" s="306">
        <v>332996</v>
      </c>
      <c r="B1016" s="312" t="s">
        <v>179</v>
      </c>
      <c r="C1016" s="312">
        <v>0.81489999999999996</v>
      </c>
      <c r="D1016" s="312">
        <v>0.38790000000000002</v>
      </c>
      <c r="E1016" s="312">
        <v>0.57079999999999997</v>
      </c>
      <c r="F1016" s="312">
        <v>0.50139999999999996</v>
      </c>
      <c r="G1016" s="312">
        <v>0.50409999999999999</v>
      </c>
      <c r="H1016" s="312">
        <v>0.56910000000000005</v>
      </c>
      <c r="I1016" s="312">
        <v>0.56410000000000005</v>
      </c>
      <c r="J1016" s="312">
        <v>0.51939999999999997</v>
      </c>
      <c r="K1016" s="312">
        <v>0</v>
      </c>
      <c r="L1016" s="312">
        <v>0.39290000000000003</v>
      </c>
      <c r="M1016" s="312">
        <v>0.49230000000000002</v>
      </c>
      <c r="N1016" s="312">
        <v>0.51880000000000004</v>
      </c>
      <c r="O1016" s="312">
        <v>0</v>
      </c>
      <c r="P1016" s="312">
        <v>0.4279</v>
      </c>
      <c r="Q1016" s="312">
        <v>0.39489999999999997</v>
      </c>
      <c r="R1016" s="312">
        <v>0.64559999999999995</v>
      </c>
      <c r="S1016" s="312">
        <v>0.5706</v>
      </c>
      <c r="T1016" s="312">
        <v>0.41310000000000002</v>
      </c>
      <c r="U1016" s="312">
        <v>0.50829999999999997</v>
      </c>
      <c r="V1016" s="312">
        <v>0.52739999999999998</v>
      </c>
      <c r="W1016" s="312">
        <v>0.49790000000000001</v>
      </c>
      <c r="X1016" s="312">
        <v>0.46560000000000001</v>
      </c>
      <c r="Y1016" s="312">
        <v>0.43340000000000001</v>
      </c>
      <c r="Z1016" s="312">
        <v>0.63049999999999995</v>
      </c>
      <c r="AA1016" s="312">
        <v>0.52980000000000005</v>
      </c>
      <c r="AB1016" s="312">
        <v>0.49990000000000001</v>
      </c>
      <c r="AC1016" s="312">
        <v>0.46310000000000001</v>
      </c>
      <c r="AD1016" s="312">
        <v>0.40279999999999999</v>
      </c>
      <c r="AE1016" s="312">
        <v>0.51239999999999997</v>
      </c>
      <c r="AF1016" s="312">
        <v>0</v>
      </c>
      <c r="AG1016" s="312">
        <v>0.41920000000000002</v>
      </c>
      <c r="AH1016" s="312">
        <v>0.48080000000000001</v>
      </c>
      <c r="AI1016" s="312">
        <v>0.49640000000000001</v>
      </c>
      <c r="AJ1016" s="312">
        <v>0.41539999999999999</v>
      </c>
      <c r="AK1016" s="312">
        <v>0.44069999999999998</v>
      </c>
      <c r="AL1016" s="312">
        <v>0.44600000000000001</v>
      </c>
      <c r="AM1016" s="312">
        <v>0.64039999999999997</v>
      </c>
      <c r="AN1016" s="312">
        <v>0.56320000000000003</v>
      </c>
      <c r="AO1016" s="312">
        <v>0.54679999999999995</v>
      </c>
      <c r="AP1016" s="312">
        <v>0.64810000000000001</v>
      </c>
      <c r="AQ1016" s="312">
        <v>0.441</v>
      </c>
      <c r="AR1016" s="312">
        <v>0.56820000000000004</v>
      </c>
      <c r="AS1016" s="312">
        <v>0.37269999999999998</v>
      </c>
      <c r="AT1016" s="312">
        <v>0.57550000000000001</v>
      </c>
      <c r="AU1016" s="312">
        <v>0.63670000000000004</v>
      </c>
      <c r="AV1016" s="312">
        <v>0.60429999999999995</v>
      </c>
      <c r="AW1016" s="312">
        <v>0.48820000000000002</v>
      </c>
      <c r="AX1016" s="312">
        <v>0</v>
      </c>
      <c r="AY1016" s="312">
        <v>0.49340000000000001</v>
      </c>
      <c r="AZ1016" s="312">
        <v>0.55549999999999999</v>
      </c>
      <c r="BA1016" s="312">
        <v>0.40760000000000002</v>
      </c>
      <c r="BB1016" s="312">
        <v>0.38190000000000002</v>
      </c>
      <c r="BC1016" s="312">
        <v>0.56830000000000003</v>
      </c>
      <c r="BD1016" s="312">
        <v>0.63100000000000001</v>
      </c>
      <c r="BE1016" s="312">
        <v>0.68779999999999997</v>
      </c>
      <c r="BF1016" s="312">
        <v>0.52159999999999995</v>
      </c>
      <c r="BG1016" s="312">
        <v>0.57210000000000005</v>
      </c>
      <c r="BH1016" s="312">
        <v>0.60940000000000005</v>
      </c>
      <c r="BI1016" s="312">
        <v>0.65490000000000004</v>
      </c>
      <c r="BJ1016" s="312">
        <v>0.53910000000000002</v>
      </c>
      <c r="BK1016" s="312">
        <v>0.57850000000000001</v>
      </c>
      <c r="BM1016">
        <f>(C1016-C605)*1000000/(RIMS_emp!C1016-RIMS_emp!C605)</f>
        <v>37537.382695679058</v>
      </c>
    </row>
    <row r="1017" spans="1:65" x14ac:dyDescent="0.25">
      <c r="A1017" s="306" t="s">
        <v>728</v>
      </c>
      <c r="B1017" s="312" t="s">
        <v>171</v>
      </c>
      <c r="C1017" s="312">
        <v>0.71479999999999999</v>
      </c>
      <c r="D1017" s="312">
        <v>0</v>
      </c>
      <c r="E1017" s="312">
        <v>0.50039999999999996</v>
      </c>
      <c r="F1017" s="312">
        <v>0.4592</v>
      </c>
      <c r="G1017" s="312">
        <v>0</v>
      </c>
      <c r="H1017" s="312">
        <v>0.54310000000000003</v>
      </c>
      <c r="I1017" s="312">
        <v>0</v>
      </c>
      <c r="J1017" s="312">
        <v>0.50239999999999996</v>
      </c>
      <c r="K1017" s="312">
        <v>0</v>
      </c>
      <c r="L1017" s="312">
        <v>0</v>
      </c>
      <c r="M1017" s="312">
        <v>0.47389999999999999</v>
      </c>
      <c r="N1017" s="312">
        <v>0.51759999999999995</v>
      </c>
      <c r="O1017" s="312">
        <v>0</v>
      </c>
      <c r="P1017" s="312">
        <v>0.41320000000000001</v>
      </c>
      <c r="Q1017" s="312">
        <v>0.40489999999999998</v>
      </c>
      <c r="R1017" s="312">
        <v>0.58160000000000001</v>
      </c>
      <c r="S1017" s="312">
        <v>0.50690000000000002</v>
      </c>
      <c r="T1017" s="312">
        <v>0.40410000000000001</v>
      </c>
      <c r="U1017" s="312">
        <v>0.47820000000000001</v>
      </c>
      <c r="V1017" s="312">
        <v>0</v>
      </c>
      <c r="W1017" s="312">
        <v>0.49380000000000002</v>
      </c>
      <c r="X1017" s="312">
        <v>0.42830000000000001</v>
      </c>
      <c r="Y1017" s="312">
        <v>0</v>
      </c>
      <c r="Z1017" s="312">
        <v>0.5554</v>
      </c>
      <c r="AA1017" s="312">
        <v>0.49930000000000002</v>
      </c>
      <c r="AB1017" s="312">
        <v>0.4899</v>
      </c>
      <c r="AC1017" s="312">
        <v>0.42230000000000001</v>
      </c>
      <c r="AD1017" s="312">
        <v>0.4047</v>
      </c>
      <c r="AE1017" s="312">
        <v>0.50160000000000005</v>
      </c>
      <c r="AF1017" s="312">
        <v>0</v>
      </c>
      <c r="AG1017" s="312">
        <v>0.39650000000000002</v>
      </c>
      <c r="AH1017" s="312">
        <v>0</v>
      </c>
      <c r="AI1017" s="312">
        <v>0</v>
      </c>
      <c r="AJ1017" s="312">
        <v>0.41149999999999998</v>
      </c>
      <c r="AK1017" s="312">
        <v>0.43509999999999999</v>
      </c>
      <c r="AL1017" s="312">
        <v>0</v>
      </c>
      <c r="AM1017" s="312">
        <v>0.57130000000000003</v>
      </c>
      <c r="AN1017" s="312">
        <v>0</v>
      </c>
      <c r="AO1017" s="312">
        <v>0.47889999999999999</v>
      </c>
      <c r="AP1017" s="312">
        <v>0.56999999999999995</v>
      </c>
      <c r="AQ1017" s="312">
        <v>0</v>
      </c>
      <c r="AR1017" s="312">
        <v>0.50370000000000004</v>
      </c>
      <c r="AS1017" s="312">
        <v>0.38450000000000001</v>
      </c>
      <c r="AT1017" s="312">
        <v>0.52139999999999997</v>
      </c>
      <c r="AU1017" s="312">
        <v>0.55930000000000002</v>
      </c>
      <c r="AV1017" s="312">
        <v>0.52249999999999996</v>
      </c>
      <c r="AW1017" s="312">
        <v>0.47349999999999998</v>
      </c>
      <c r="AX1017" s="312">
        <v>0</v>
      </c>
      <c r="AY1017" s="312">
        <v>0.47299999999999998</v>
      </c>
      <c r="AZ1017" s="312">
        <v>0.51900000000000002</v>
      </c>
      <c r="BA1017" s="312">
        <v>0.38919999999999999</v>
      </c>
      <c r="BB1017" s="312">
        <v>0</v>
      </c>
      <c r="BC1017" s="312">
        <v>0.56430000000000002</v>
      </c>
      <c r="BD1017" s="312">
        <v>0.56559999999999999</v>
      </c>
      <c r="BE1017" s="312">
        <v>0.60719999999999996</v>
      </c>
      <c r="BF1017" s="312">
        <v>0.50490000000000002</v>
      </c>
      <c r="BG1017" s="312">
        <v>0.54469999999999996</v>
      </c>
      <c r="BH1017" s="312">
        <v>0.54049999999999998</v>
      </c>
      <c r="BI1017" s="312">
        <v>0.56630000000000003</v>
      </c>
      <c r="BJ1017" s="312">
        <v>0.51190000000000002</v>
      </c>
      <c r="BK1017" s="312">
        <v>0.54700000000000004</v>
      </c>
      <c r="BM1017">
        <f>(C1017-C606)*1000000/(RIMS_emp!C1017-RIMS_emp!C606)</f>
        <v>37532.330119915357</v>
      </c>
    </row>
    <row r="1018" spans="1:65" x14ac:dyDescent="0.25">
      <c r="A1018" s="306" t="s">
        <v>729</v>
      </c>
      <c r="B1018" s="312" t="s">
        <v>172</v>
      </c>
      <c r="C1018" s="312">
        <v>0.71709999999999996</v>
      </c>
      <c r="D1018" s="312">
        <v>0</v>
      </c>
      <c r="E1018" s="312">
        <v>0.49730000000000002</v>
      </c>
      <c r="F1018" s="312">
        <v>0.44750000000000001</v>
      </c>
      <c r="G1018" s="312">
        <v>0.48680000000000001</v>
      </c>
      <c r="H1018" s="312">
        <v>0.55059999999999998</v>
      </c>
      <c r="I1018" s="312">
        <v>0.52859999999999996</v>
      </c>
      <c r="J1018" s="312">
        <v>0.49740000000000001</v>
      </c>
      <c r="K1018" s="312">
        <v>0</v>
      </c>
      <c r="L1018" s="312">
        <v>0</v>
      </c>
      <c r="M1018" s="312">
        <v>0.4793</v>
      </c>
      <c r="N1018" s="312">
        <v>0.51700000000000002</v>
      </c>
      <c r="O1018" s="312">
        <v>0</v>
      </c>
      <c r="P1018" s="312">
        <v>0.40439999999999998</v>
      </c>
      <c r="Q1018" s="312">
        <v>0.39829999999999999</v>
      </c>
      <c r="R1018" s="312">
        <v>0.58020000000000005</v>
      </c>
      <c r="S1018" s="312">
        <v>0.4995</v>
      </c>
      <c r="T1018" s="312">
        <v>0.39750000000000002</v>
      </c>
      <c r="U1018" s="312">
        <v>0.47160000000000002</v>
      </c>
      <c r="V1018" s="312">
        <v>0</v>
      </c>
      <c r="W1018" s="312">
        <v>0.49409999999999998</v>
      </c>
      <c r="X1018" s="312">
        <v>0.43590000000000001</v>
      </c>
      <c r="Y1018" s="312">
        <v>0.43159999999999998</v>
      </c>
      <c r="Z1018" s="312">
        <v>0.55430000000000001</v>
      </c>
      <c r="AA1018" s="312">
        <v>0.49790000000000001</v>
      </c>
      <c r="AB1018" s="312">
        <v>0.47949999999999998</v>
      </c>
      <c r="AC1018" s="312">
        <v>0.41660000000000003</v>
      </c>
      <c r="AD1018" s="312">
        <v>0.40679999999999999</v>
      </c>
      <c r="AE1018" s="312">
        <v>0.49419999999999997</v>
      </c>
      <c r="AF1018" s="312">
        <v>0</v>
      </c>
      <c r="AG1018" s="312">
        <v>0.39379999999999998</v>
      </c>
      <c r="AH1018" s="312">
        <v>0.4662</v>
      </c>
      <c r="AI1018" s="312">
        <v>0.47960000000000003</v>
      </c>
      <c r="AJ1018" s="312">
        <v>0</v>
      </c>
      <c r="AK1018" s="312">
        <v>0.43740000000000001</v>
      </c>
      <c r="AL1018" s="312">
        <v>0.4466</v>
      </c>
      <c r="AM1018" s="312">
        <v>0.56559999999999999</v>
      </c>
      <c r="AN1018" s="312">
        <v>0.48170000000000002</v>
      </c>
      <c r="AO1018" s="312">
        <v>0.4844</v>
      </c>
      <c r="AP1018" s="312">
        <v>0.5675</v>
      </c>
      <c r="AQ1018" s="312">
        <v>0</v>
      </c>
      <c r="AR1018" s="312">
        <v>0.49990000000000001</v>
      </c>
      <c r="AS1018" s="312">
        <v>0.37469999999999998</v>
      </c>
      <c r="AT1018" s="312">
        <v>0.51939999999999997</v>
      </c>
      <c r="AU1018" s="312">
        <v>0.56089999999999995</v>
      </c>
      <c r="AV1018" s="312">
        <v>0.52849999999999997</v>
      </c>
      <c r="AW1018" s="312">
        <v>0.47039999999999998</v>
      </c>
      <c r="AX1018" s="312">
        <v>0.41170000000000001</v>
      </c>
      <c r="AY1018" s="312">
        <v>0.48180000000000001</v>
      </c>
      <c r="AZ1018" s="312">
        <v>0.51829999999999998</v>
      </c>
      <c r="BA1018" s="312">
        <v>0.38340000000000002</v>
      </c>
      <c r="BB1018" s="312">
        <v>0.38090000000000002</v>
      </c>
      <c r="BC1018" s="312">
        <v>0.56259999999999999</v>
      </c>
      <c r="BD1018" s="312">
        <v>0.56879999999999997</v>
      </c>
      <c r="BE1018" s="312">
        <v>0.60570000000000002</v>
      </c>
      <c r="BF1018" s="312">
        <v>0.49890000000000001</v>
      </c>
      <c r="BG1018" s="312">
        <v>0.54559999999999997</v>
      </c>
      <c r="BH1018" s="312">
        <v>0.53769999999999996</v>
      </c>
      <c r="BI1018" s="312">
        <v>0.56930000000000003</v>
      </c>
      <c r="BJ1018" s="312">
        <v>0.51700000000000002</v>
      </c>
      <c r="BK1018" s="312">
        <v>0.55969999999999998</v>
      </c>
      <c r="BM1018">
        <f>(C1018-C607)*1000000/(RIMS_emp!C1018-RIMS_emp!C607)</f>
        <v>37529.113627374856</v>
      </c>
    </row>
    <row r="1019" spans="1:65" x14ac:dyDescent="0.25">
      <c r="A1019" s="306" t="s">
        <v>600</v>
      </c>
      <c r="B1019" s="312" t="s">
        <v>7</v>
      </c>
      <c r="C1019" s="312">
        <v>0.77800000000000002</v>
      </c>
      <c r="D1019" s="312">
        <v>0.37059999999999998</v>
      </c>
      <c r="E1019" s="312">
        <v>0.53720000000000001</v>
      </c>
      <c r="F1019" s="312">
        <v>0.48049999999999998</v>
      </c>
      <c r="G1019" s="312">
        <v>0.4975</v>
      </c>
      <c r="H1019" s="312">
        <v>0.56059999999999999</v>
      </c>
      <c r="I1019" s="312">
        <v>0.53339999999999999</v>
      </c>
      <c r="J1019" s="312">
        <v>0.50549999999999995</v>
      </c>
      <c r="K1019" s="312">
        <v>0</v>
      </c>
      <c r="L1019" s="312">
        <v>0</v>
      </c>
      <c r="M1019" s="312">
        <v>0.48680000000000001</v>
      </c>
      <c r="N1019" s="312">
        <v>0.52869999999999995</v>
      </c>
      <c r="O1019" s="312">
        <v>0</v>
      </c>
      <c r="P1019" s="312">
        <v>0.42949999999999999</v>
      </c>
      <c r="Q1019" s="312">
        <v>0.39090000000000003</v>
      </c>
      <c r="R1019" s="312">
        <v>0.61419999999999997</v>
      </c>
      <c r="S1019" s="312">
        <v>0.54290000000000005</v>
      </c>
      <c r="T1019" s="312">
        <v>0.40310000000000001</v>
      </c>
      <c r="U1019" s="312">
        <v>0.51090000000000002</v>
      </c>
      <c r="V1019" s="312">
        <v>0.47870000000000001</v>
      </c>
      <c r="W1019" s="312">
        <v>0.48780000000000001</v>
      </c>
      <c r="X1019" s="312">
        <v>0.44790000000000002</v>
      </c>
      <c r="Y1019" s="312">
        <v>0.42109999999999997</v>
      </c>
      <c r="Z1019" s="312">
        <v>0.59189999999999998</v>
      </c>
      <c r="AA1019" s="312">
        <v>0.51570000000000005</v>
      </c>
      <c r="AB1019" s="312">
        <v>0.5081</v>
      </c>
      <c r="AC1019" s="312">
        <v>0.44479999999999997</v>
      </c>
      <c r="AD1019" s="312">
        <v>0.3962</v>
      </c>
      <c r="AE1019" s="312">
        <v>0.50629999999999997</v>
      </c>
      <c r="AF1019" s="312">
        <v>0.33329999999999999</v>
      </c>
      <c r="AG1019" s="312">
        <v>0.39729999999999999</v>
      </c>
      <c r="AH1019" s="312">
        <v>0.47360000000000002</v>
      </c>
      <c r="AI1019" s="312">
        <v>0.497</v>
      </c>
      <c r="AJ1019" s="312">
        <v>0.4047</v>
      </c>
      <c r="AK1019" s="312">
        <v>0.43219999999999997</v>
      </c>
      <c r="AL1019" s="312">
        <v>0.44280000000000003</v>
      </c>
      <c r="AM1019" s="312">
        <v>0.60929999999999995</v>
      </c>
      <c r="AN1019" s="312">
        <v>0.51329999999999998</v>
      </c>
      <c r="AO1019" s="312">
        <v>0.51849999999999996</v>
      </c>
      <c r="AP1019" s="312">
        <v>0.61119999999999997</v>
      </c>
      <c r="AQ1019" s="312">
        <v>0.44340000000000002</v>
      </c>
      <c r="AR1019" s="312">
        <v>0.53190000000000004</v>
      </c>
      <c r="AS1019" s="312">
        <v>0.38040000000000002</v>
      </c>
      <c r="AT1019" s="312">
        <v>0.55059999999999998</v>
      </c>
      <c r="AU1019" s="312">
        <v>0.59719999999999995</v>
      </c>
      <c r="AV1019" s="312">
        <v>0.55889999999999995</v>
      </c>
      <c r="AW1019" s="312">
        <v>0.48080000000000001</v>
      </c>
      <c r="AX1019" s="312">
        <v>0.3987</v>
      </c>
      <c r="AY1019" s="312">
        <v>0.4975</v>
      </c>
      <c r="AZ1019" s="312">
        <v>0.53690000000000004</v>
      </c>
      <c r="BA1019" s="312">
        <v>0.40139999999999998</v>
      </c>
      <c r="BB1019" s="312">
        <v>0.37069999999999997</v>
      </c>
      <c r="BC1019" s="312">
        <v>0.55920000000000003</v>
      </c>
      <c r="BD1019" s="312">
        <v>0.59919999999999995</v>
      </c>
      <c r="BE1019" s="312">
        <v>0.65190000000000003</v>
      </c>
      <c r="BF1019" s="312">
        <v>0.52880000000000005</v>
      </c>
      <c r="BG1019" s="312">
        <v>0.56469999999999998</v>
      </c>
      <c r="BH1019" s="312">
        <v>0.57720000000000005</v>
      </c>
      <c r="BI1019" s="312">
        <v>0.61299999999999999</v>
      </c>
      <c r="BJ1019" s="312">
        <v>0.52190000000000003</v>
      </c>
      <c r="BK1019" s="312">
        <v>0.57010000000000005</v>
      </c>
      <c r="BM1019">
        <f>(C1019-C608)*1000000/(RIMS_emp!C1019-RIMS_emp!C608)</f>
        <v>37536.118387297131</v>
      </c>
    </row>
    <row r="1020" spans="1:65" x14ac:dyDescent="0.25">
      <c r="A1020" s="306">
        <v>333111</v>
      </c>
      <c r="B1020" s="312" t="s">
        <v>180</v>
      </c>
      <c r="C1020" s="312">
        <v>0.6976</v>
      </c>
      <c r="D1020" s="312">
        <v>0</v>
      </c>
      <c r="E1020" s="312">
        <v>0.4501</v>
      </c>
      <c r="F1020" s="312">
        <v>0.40029999999999999</v>
      </c>
      <c r="G1020" s="312">
        <v>0.38600000000000001</v>
      </c>
      <c r="H1020" s="312">
        <v>0.45300000000000001</v>
      </c>
      <c r="I1020" s="312">
        <v>0.43009999999999998</v>
      </c>
      <c r="J1020" s="312">
        <v>0</v>
      </c>
      <c r="K1020" s="312">
        <v>0</v>
      </c>
      <c r="L1020" s="312">
        <v>0</v>
      </c>
      <c r="M1020" s="312">
        <v>0.38440000000000002</v>
      </c>
      <c r="N1020" s="312">
        <v>0.44490000000000002</v>
      </c>
      <c r="O1020" s="312">
        <v>0.27629999999999999</v>
      </c>
      <c r="P1020" s="312">
        <v>0.37219999999999998</v>
      </c>
      <c r="Q1020" s="312">
        <v>0.30609999999999998</v>
      </c>
      <c r="R1020" s="312">
        <v>0.55259999999999998</v>
      </c>
      <c r="S1020" s="312">
        <v>0.48</v>
      </c>
      <c r="T1020" s="312">
        <v>0.32469999999999999</v>
      </c>
      <c r="U1020" s="312">
        <v>0.43880000000000002</v>
      </c>
      <c r="V1020" s="312">
        <v>0.3664</v>
      </c>
      <c r="W1020" s="312">
        <v>0.40329999999999999</v>
      </c>
      <c r="X1020" s="312">
        <v>0.34089999999999998</v>
      </c>
      <c r="Y1020" s="312">
        <v>0.3518</v>
      </c>
      <c r="Z1020" s="312">
        <v>0.52059999999999995</v>
      </c>
      <c r="AA1020" s="312">
        <v>0.4501</v>
      </c>
      <c r="AB1020" s="312">
        <v>0.434</v>
      </c>
      <c r="AC1020" s="312">
        <v>0.37509999999999999</v>
      </c>
      <c r="AD1020" s="312">
        <v>0.28599999999999998</v>
      </c>
      <c r="AE1020" s="312">
        <v>0.44030000000000002</v>
      </c>
      <c r="AF1020" s="312">
        <v>0.27389999999999998</v>
      </c>
      <c r="AG1020" s="312">
        <v>0.33950000000000002</v>
      </c>
      <c r="AH1020" s="312">
        <v>0.3876</v>
      </c>
      <c r="AI1020" s="312">
        <v>0.39789999999999998</v>
      </c>
      <c r="AJ1020" s="312">
        <v>0.29670000000000002</v>
      </c>
      <c r="AK1020" s="312">
        <v>0.33579999999999999</v>
      </c>
      <c r="AL1020" s="312">
        <v>0.35780000000000001</v>
      </c>
      <c r="AM1020" s="312">
        <v>0.53820000000000001</v>
      </c>
      <c r="AN1020" s="312">
        <v>0.4259</v>
      </c>
      <c r="AO1020" s="312">
        <v>0.40920000000000001</v>
      </c>
      <c r="AP1020" s="312">
        <v>0.52329999999999999</v>
      </c>
      <c r="AQ1020" s="312">
        <v>0</v>
      </c>
      <c r="AR1020" s="312">
        <v>0.45960000000000001</v>
      </c>
      <c r="AS1020" s="312">
        <v>0.2928</v>
      </c>
      <c r="AT1020" s="312">
        <v>0.48470000000000002</v>
      </c>
      <c r="AU1020" s="312">
        <v>0.47360000000000002</v>
      </c>
      <c r="AV1020" s="312">
        <v>0.47170000000000001</v>
      </c>
      <c r="AW1020" s="312">
        <v>0.37890000000000001</v>
      </c>
      <c r="AX1020" s="312">
        <v>0</v>
      </c>
      <c r="AY1020" s="312">
        <v>0.37290000000000001</v>
      </c>
      <c r="AZ1020" s="312">
        <v>0.47860000000000003</v>
      </c>
      <c r="BA1020" s="312">
        <v>0</v>
      </c>
      <c r="BB1020" s="312">
        <v>0.25990000000000002</v>
      </c>
      <c r="BC1020" s="312">
        <v>0.47120000000000001</v>
      </c>
      <c r="BD1020" s="312">
        <v>0.49630000000000002</v>
      </c>
      <c r="BE1020" s="312">
        <v>0.58230000000000004</v>
      </c>
      <c r="BF1020" s="312">
        <v>0.46739999999999998</v>
      </c>
      <c r="BG1020" s="312">
        <v>0.47189999999999999</v>
      </c>
      <c r="BH1020" s="312">
        <v>0.50409999999999999</v>
      </c>
      <c r="BI1020" s="312">
        <v>0.4909</v>
      </c>
      <c r="BJ1020" s="312">
        <v>0.41720000000000002</v>
      </c>
      <c r="BK1020" s="312">
        <v>0.45669999999999999</v>
      </c>
      <c r="BM1020">
        <f>(C1020-C609)*1000000/(RIMS_emp!C1020-RIMS_emp!C609)</f>
        <v>37541.22306383364</v>
      </c>
    </row>
    <row r="1021" spans="1:65" x14ac:dyDescent="0.25">
      <c r="A1021" s="306">
        <v>333112</v>
      </c>
      <c r="B1021" s="312" t="s">
        <v>181</v>
      </c>
      <c r="C1021" s="312">
        <v>0.65629999999999999</v>
      </c>
      <c r="D1021" s="312">
        <v>0</v>
      </c>
      <c r="E1021" s="312">
        <v>0.4249</v>
      </c>
      <c r="F1021" s="312">
        <v>0.34239999999999998</v>
      </c>
      <c r="G1021" s="312">
        <v>0.3105</v>
      </c>
      <c r="H1021" s="312">
        <v>0.3679</v>
      </c>
      <c r="I1021" s="312">
        <v>0.36799999999999999</v>
      </c>
      <c r="J1021" s="312">
        <v>0.34260000000000002</v>
      </c>
      <c r="K1021" s="312">
        <v>0</v>
      </c>
      <c r="L1021" s="312">
        <v>0</v>
      </c>
      <c r="M1021" s="312">
        <v>0.30609999999999998</v>
      </c>
      <c r="N1021" s="312">
        <v>0.37090000000000001</v>
      </c>
      <c r="O1021" s="312">
        <v>0</v>
      </c>
      <c r="P1021" s="312">
        <v>0.33700000000000002</v>
      </c>
      <c r="Q1021" s="312">
        <v>0.24149999999999999</v>
      </c>
      <c r="R1021" s="312">
        <v>0.51029999999999998</v>
      </c>
      <c r="S1021" s="312">
        <v>0.44390000000000002</v>
      </c>
      <c r="T1021" s="312">
        <v>0.26829999999999998</v>
      </c>
      <c r="U1021" s="312">
        <v>0.4047</v>
      </c>
      <c r="V1021" s="312">
        <v>0.29289999999999999</v>
      </c>
      <c r="W1021" s="312">
        <v>0.32319999999999999</v>
      </c>
      <c r="X1021" s="312">
        <v>0.29160000000000003</v>
      </c>
      <c r="Y1021" s="312">
        <v>0.28010000000000002</v>
      </c>
      <c r="Z1021" s="312">
        <v>0.4879</v>
      </c>
      <c r="AA1021" s="312">
        <v>0.36180000000000001</v>
      </c>
      <c r="AB1021" s="312">
        <v>0.4027</v>
      </c>
      <c r="AC1021" s="312">
        <v>0.32750000000000001</v>
      </c>
      <c r="AD1021" s="312">
        <v>0</v>
      </c>
      <c r="AE1021" s="312">
        <v>0.4037</v>
      </c>
      <c r="AF1021" s="312">
        <v>0</v>
      </c>
      <c r="AG1021" s="312">
        <v>0.27779999999999999</v>
      </c>
      <c r="AH1021" s="312">
        <v>0</v>
      </c>
      <c r="AI1021" s="312">
        <v>0.31590000000000001</v>
      </c>
      <c r="AJ1021" s="312">
        <v>0</v>
      </c>
      <c r="AK1021" s="312">
        <v>0</v>
      </c>
      <c r="AL1021" s="312">
        <v>0.30170000000000002</v>
      </c>
      <c r="AM1021" s="312">
        <v>0.49780000000000002</v>
      </c>
      <c r="AN1021" s="312">
        <v>0.37090000000000001</v>
      </c>
      <c r="AO1021" s="312">
        <v>0.33579999999999999</v>
      </c>
      <c r="AP1021" s="312">
        <v>0.442</v>
      </c>
      <c r="AQ1021" s="312">
        <v>0</v>
      </c>
      <c r="AR1021" s="312">
        <v>0.42630000000000001</v>
      </c>
      <c r="AS1021" s="312">
        <v>0.2316</v>
      </c>
      <c r="AT1021" s="312">
        <v>0.45</v>
      </c>
      <c r="AU1021" s="312">
        <v>0.39319999999999999</v>
      </c>
      <c r="AV1021" s="312">
        <v>0.42570000000000002</v>
      </c>
      <c r="AW1021" s="312">
        <v>0.307</v>
      </c>
      <c r="AX1021" s="312">
        <v>0</v>
      </c>
      <c r="AY1021" s="312">
        <v>0.3</v>
      </c>
      <c r="AZ1021" s="312">
        <v>0.44640000000000002</v>
      </c>
      <c r="BA1021" s="312">
        <v>0.26950000000000002</v>
      </c>
      <c r="BB1021" s="312">
        <v>0</v>
      </c>
      <c r="BC1021" s="312">
        <v>0.3821</v>
      </c>
      <c r="BD1021" s="312">
        <v>0.41539999999999999</v>
      </c>
      <c r="BE1021" s="312">
        <v>0.5454</v>
      </c>
      <c r="BF1021" s="312">
        <v>0.41010000000000002</v>
      </c>
      <c r="BG1021" s="312">
        <v>0.40279999999999999</v>
      </c>
      <c r="BH1021" s="312">
        <v>0.46610000000000001</v>
      </c>
      <c r="BI1021" s="312">
        <v>0.41060000000000002</v>
      </c>
      <c r="BJ1021" s="312">
        <v>0.3503</v>
      </c>
      <c r="BK1021" s="312">
        <v>0.372</v>
      </c>
      <c r="BM1021">
        <f>(C1021-C610)*1000000/(RIMS_emp!C1021-RIMS_emp!C610)</f>
        <v>37535.614815763351</v>
      </c>
    </row>
    <row r="1022" spans="1:65" x14ac:dyDescent="0.25">
      <c r="A1022" s="306">
        <v>333120</v>
      </c>
      <c r="B1022" s="312" t="s">
        <v>182</v>
      </c>
      <c r="C1022" s="312">
        <v>0.71109999999999995</v>
      </c>
      <c r="D1022" s="312">
        <v>0</v>
      </c>
      <c r="E1022" s="312">
        <v>0.46150000000000002</v>
      </c>
      <c r="F1022" s="312">
        <v>0.40260000000000001</v>
      </c>
      <c r="G1022" s="312">
        <v>0.3881</v>
      </c>
      <c r="H1022" s="312">
        <v>0.45190000000000002</v>
      </c>
      <c r="I1022" s="312">
        <v>0.44330000000000003</v>
      </c>
      <c r="J1022" s="312">
        <v>0.40450000000000003</v>
      </c>
      <c r="K1022" s="312">
        <v>0</v>
      </c>
      <c r="L1022" s="312">
        <v>0</v>
      </c>
      <c r="M1022" s="312">
        <v>0.38469999999999999</v>
      </c>
      <c r="N1022" s="312">
        <v>0.45019999999999999</v>
      </c>
      <c r="O1022" s="312">
        <v>0</v>
      </c>
      <c r="P1022" s="312">
        <v>0.378</v>
      </c>
      <c r="Q1022" s="312">
        <v>0.30969999999999998</v>
      </c>
      <c r="R1022" s="312">
        <v>0.56000000000000005</v>
      </c>
      <c r="S1022" s="312">
        <v>0.48559999999999998</v>
      </c>
      <c r="T1022" s="312">
        <v>0.34210000000000002</v>
      </c>
      <c r="U1022" s="312">
        <v>0.43340000000000001</v>
      </c>
      <c r="V1022" s="312">
        <v>0.37480000000000002</v>
      </c>
      <c r="W1022" s="312">
        <v>0.38819999999999999</v>
      </c>
      <c r="X1022" s="312">
        <v>0.33379999999999999</v>
      </c>
      <c r="Y1022" s="312">
        <v>0.35560000000000003</v>
      </c>
      <c r="Z1022" s="312">
        <v>0.5262</v>
      </c>
      <c r="AA1022" s="312">
        <v>0.44650000000000001</v>
      </c>
      <c r="AB1022" s="312">
        <v>0.44209999999999999</v>
      </c>
      <c r="AC1022" s="312">
        <v>0.38390000000000002</v>
      </c>
      <c r="AD1022" s="312">
        <v>0.28460000000000002</v>
      </c>
      <c r="AE1022" s="312">
        <v>0.45669999999999999</v>
      </c>
      <c r="AF1022" s="312">
        <v>0.27189999999999998</v>
      </c>
      <c r="AG1022" s="312">
        <v>0.33950000000000002</v>
      </c>
      <c r="AH1022" s="312">
        <v>0.38319999999999999</v>
      </c>
      <c r="AI1022" s="312">
        <v>0.38579999999999998</v>
      </c>
      <c r="AJ1022" s="312">
        <v>0.28939999999999999</v>
      </c>
      <c r="AK1022" s="312">
        <v>0</v>
      </c>
      <c r="AL1022" s="312">
        <v>0.35460000000000003</v>
      </c>
      <c r="AM1022" s="312">
        <v>0.55130000000000001</v>
      </c>
      <c r="AN1022" s="312">
        <v>0.44769999999999999</v>
      </c>
      <c r="AO1022" s="312">
        <v>0.41670000000000001</v>
      </c>
      <c r="AP1022" s="312">
        <v>0.52410000000000001</v>
      </c>
      <c r="AQ1022" s="312">
        <v>0.32640000000000002</v>
      </c>
      <c r="AR1022" s="312">
        <v>0.46889999999999998</v>
      </c>
      <c r="AS1022" s="312">
        <v>0.29570000000000002</v>
      </c>
      <c r="AT1022" s="312">
        <v>0.48909999999999998</v>
      </c>
      <c r="AU1022" s="312">
        <v>0.48080000000000001</v>
      </c>
      <c r="AV1022" s="312">
        <v>0.4909</v>
      </c>
      <c r="AW1022" s="312">
        <v>0.38990000000000002</v>
      </c>
      <c r="AX1022" s="312">
        <v>0.3004</v>
      </c>
      <c r="AY1022" s="312">
        <v>0.38400000000000001</v>
      </c>
      <c r="AZ1022" s="312">
        <v>0.49580000000000002</v>
      </c>
      <c r="BA1022" s="312">
        <v>0.32140000000000002</v>
      </c>
      <c r="BB1022" s="312">
        <v>0.25569999999999998</v>
      </c>
      <c r="BC1022" s="312">
        <v>0.45619999999999999</v>
      </c>
      <c r="BD1022" s="312">
        <v>0.48849999999999999</v>
      </c>
      <c r="BE1022" s="312">
        <v>0.59599999999999997</v>
      </c>
      <c r="BF1022" s="312">
        <v>0.47749999999999998</v>
      </c>
      <c r="BG1022" s="312">
        <v>0.48099999999999998</v>
      </c>
      <c r="BH1022" s="312">
        <v>0.51100000000000001</v>
      </c>
      <c r="BI1022" s="312">
        <v>0.50229999999999997</v>
      </c>
      <c r="BJ1022" s="312">
        <v>0.43180000000000002</v>
      </c>
      <c r="BK1022" s="312">
        <v>0.46129999999999999</v>
      </c>
      <c r="BM1022">
        <f>(C1022-C611)*1000000/(RIMS_emp!C1022-RIMS_emp!C611)</f>
        <v>37537.670625775565</v>
      </c>
    </row>
    <row r="1023" spans="1:65" x14ac:dyDescent="0.25">
      <c r="A1023" s="306">
        <v>333130</v>
      </c>
      <c r="B1023" s="312" t="s">
        <v>183</v>
      </c>
      <c r="C1023" s="312">
        <v>0.88660000000000005</v>
      </c>
      <c r="D1023" s="312">
        <v>0.39500000000000002</v>
      </c>
      <c r="E1023" s="312">
        <v>0.58960000000000001</v>
      </c>
      <c r="F1023" s="312">
        <v>0.51019999999999999</v>
      </c>
      <c r="G1023" s="312">
        <v>0.54900000000000004</v>
      </c>
      <c r="H1023" s="312">
        <v>0.626</v>
      </c>
      <c r="I1023" s="312">
        <v>0.61140000000000005</v>
      </c>
      <c r="J1023" s="312">
        <v>0.55169999999999997</v>
      </c>
      <c r="K1023" s="312">
        <v>0</v>
      </c>
      <c r="L1023" s="312">
        <v>0</v>
      </c>
      <c r="M1023" s="312">
        <v>0.53879999999999995</v>
      </c>
      <c r="N1023" s="312">
        <v>0.57969999999999999</v>
      </c>
      <c r="O1023" s="312">
        <v>0</v>
      </c>
      <c r="P1023" s="312">
        <v>0.4733</v>
      </c>
      <c r="Q1023" s="312">
        <v>0.44209999999999999</v>
      </c>
      <c r="R1023" s="312">
        <v>0.70620000000000005</v>
      </c>
      <c r="S1023" s="312">
        <v>0.61009999999999998</v>
      </c>
      <c r="T1023" s="312">
        <v>0.44979999999999998</v>
      </c>
      <c r="U1023" s="312">
        <v>0.55110000000000003</v>
      </c>
      <c r="V1023" s="312">
        <v>0.54679999999999995</v>
      </c>
      <c r="W1023" s="312">
        <v>0.55269999999999997</v>
      </c>
      <c r="X1023" s="312">
        <v>0.46860000000000002</v>
      </c>
      <c r="Y1023" s="312">
        <v>0</v>
      </c>
      <c r="Z1023" s="312">
        <v>0.6744</v>
      </c>
      <c r="AA1023" s="312">
        <v>0.59750000000000003</v>
      </c>
      <c r="AB1023" s="312">
        <v>0.55710000000000004</v>
      </c>
      <c r="AC1023" s="312">
        <v>0.48759999999999998</v>
      </c>
      <c r="AD1023" s="312">
        <v>0</v>
      </c>
      <c r="AE1023" s="312">
        <v>0.5696</v>
      </c>
      <c r="AF1023" s="312">
        <v>0.3795</v>
      </c>
      <c r="AG1023" s="312">
        <v>0.44840000000000002</v>
      </c>
      <c r="AH1023" s="312">
        <v>0.52100000000000002</v>
      </c>
      <c r="AI1023" s="312">
        <v>0.52690000000000003</v>
      </c>
      <c r="AJ1023" s="312">
        <v>0.42459999999999998</v>
      </c>
      <c r="AK1023" s="312">
        <v>0.4874</v>
      </c>
      <c r="AL1023" s="312">
        <v>0.49790000000000001</v>
      </c>
      <c r="AM1023" s="312">
        <v>0.68810000000000004</v>
      </c>
      <c r="AN1023" s="312">
        <v>0.59119999999999995</v>
      </c>
      <c r="AO1023" s="312">
        <v>0.56640000000000001</v>
      </c>
      <c r="AP1023" s="312">
        <v>0.68820000000000003</v>
      </c>
      <c r="AQ1023" s="312">
        <v>0</v>
      </c>
      <c r="AR1023" s="312">
        <v>0.60109999999999997</v>
      </c>
      <c r="AS1023" s="312">
        <v>0</v>
      </c>
      <c r="AT1023" s="312">
        <v>0.61470000000000002</v>
      </c>
      <c r="AU1023" s="312">
        <v>0.66900000000000004</v>
      </c>
      <c r="AV1023" s="312">
        <v>0.6542</v>
      </c>
      <c r="AW1023" s="312">
        <v>0.52329999999999999</v>
      </c>
      <c r="AX1023" s="312">
        <v>0.42920000000000003</v>
      </c>
      <c r="AY1023" s="312">
        <v>0.53759999999999997</v>
      </c>
      <c r="AZ1023" s="312">
        <v>0.61719999999999997</v>
      </c>
      <c r="BA1023" s="312">
        <v>0.43659999999999999</v>
      </c>
      <c r="BB1023" s="312">
        <v>0.3881</v>
      </c>
      <c r="BC1023" s="312">
        <v>0.63439999999999996</v>
      </c>
      <c r="BD1023" s="312">
        <v>0.66600000000000004</v>
      </c>
      <c r="BE1023" s="312">
        <v>0.73899999999999999</v>
      </c>
      <c r="BF1023" s="312">
        <v>0.59619999999999995</v>
      </c>
      <c r="BG1023" s="312">
        <v>0.625</v>
      </c>
      <c r="BH1023" s="312">
        <v>0.64200000000000002</v>
      </c>
      <c r="BI1023" s="312">
        <v>0.68200000000000005</v>
      </c>
      <c r="BJ1023" s="312">
        <v>0.59599999999999997</v>
      </c>
      <c r="BK1023" s="312">
        <v>0.6361</v>
      </c>
      <c r="BM1023">
        <f>(C1023-C612)*1000000/(RIMS_emp!C1023-RIMS_emp!C612)</f>
        <v>37549.172946585146</v>
      </c>
    </row>
    <row r="1024" spans="1:65" x14ac:dyDescent="0.25">
      <c r="A1024" s="306">
        <v>333220</v>
      </c>
      <c r="B1024" s="312" t="s">
        <v>185</v>
      </c>
      <c r="C1024" s="312">
        <v>0.91900000000000004</v>
      </c>
      <c r="D1024" s="312">
        <v>0</v>
      </c>
      <c r="E1024" s="312">
        <v>0.60960000000000003</v>
      </c>
      <c r="F1024" s="312">
        <v>0.54800000000000004</v>
      </c>
      <c r="G1024" s="312">
        <v>0.59699999999999998</v>
      </c>
      <c r="H1024" s="312">
        <v>0.67630000000000001</v>
      </c>
      <c r="I1024" s="312">
        <v>0.64629999999999999</v>
      </c>
      <c r="J1024" s="312">
        <v>0.60670000000000002</v>
      </c>
      <c r="K1024" s="312">
        <v>0</v>
      </c>
      <c r="L1024" s="312">
        <v>0</v>
      </c>
      <c r="M1024" s="312">
        <v>0.59050000000000002</v>
      </c>
      <c r="N1024" s="312">
        <v>0.62109999999999999</v>
      </c>
      <c r="O1024" s="312">
        <v>0</v>
      </c>
      <c r="P1024" s="312">
        <v>0.51170000000000004</v>
      </c>
      <c r="Q1024" s="312">
        <v>0</v>
      </c>
      <c r="R1024" s="312">
        <v>0.74719999999999998</v>
      </c>
      <c r="S1024" s="312">
        <v>0.63229999999999997</v>
      </c>
      <c r="T1024" s="312">
        <v>0.49740000000000001</v>
      </c>
      <c r="U1024" s="312">
        <v>0.57379999999999998</v>
      </c>
      <c r="V1024" s="312">
        <v>0.56659999999999999</v>
      </c>
      <c r="W1024" s="312">
        <v>0.60660000000000003</v>
      </c>
      <c r="X1024" s="312">
        <v>0.49940000000000001</v>
      </c>
      <c r="Y1024" s="312">
        <v>0</v>
      </c>
      <c r="Z1024" s="312">
        <v>0.71340000000000003</v>
      </c>
      <c r="AA1024" s="312">
        <v>0.6542</v>
      </c>
      <c r="AB1024" s="312">
        <v>0.58989999999999998</v>
      </c>
      <c r="AC1024" s="312">
        <v>0.51290000000000002</v>
      </c>
      <c r="AD1024" s="312">
        <v>0</v>
      </c>
      <c r="AE1024" s="312">
        <v>0.61080000000000001</v>
      </c>
      <c r="AF1024" s="312">
        <v>0.4148</v>
      </c>
      <c r="AG1024" s="312">
        <v>0.49349999999999999</v>
      </c>
      <c r="AH1024" s="312">
        <v>0.57340000000000002</v>
      </c>
      <c r="AI1024" s="312">
        <v>0.5837</v>
      </c>
      <c r="AJ1024" s="312">
        <v>0.45960000000000001</v>
      </c>
      <c r="AK1024" s="312">
        <v>0</v>
      </c>
      <c r="AL1024" s="312">
        <v>0.55030000000000001</v>
      </c>
      <c r="AM1024" s="312">
        <v>0.72799999999999998</v>
      </c>
      <c r="AN1024" s="312">
        <v>0.61650000000000005</v>
      </c>
      <c r="AO1024" s="312">
        <v>0.60719999999999996</v>
      </c>
      <c r="AP1024" s="312">
        <v>0.72440000000000004</v>
      </c>
      <c r="AQ1024" s="312">
        <v>0.50280000000000002</v>
      </c>
      <c r="AR1024" s="312">
        <v>0.61939999999999995</v>
      </c>
      <c r="AS1024" s="312">
        <v>0</v>
      </c>
      <c r="AT1024" s="312">
        <v>0.64129999999999998</v>
      </c>
      <c r="AU1024" s="312">
        <v>0.70599999999999996</v>
      </c>
      <c r="AV1024" s="312">
        <v>0.67800000000000005</v>
      </c>
      <c r="AW1024" s="312">
        <v>0.58209999999999995</v>
      </c>
      <c r="AX1024" s="312">
        <v>0.47139999999999999</v>
      </c>
      <c r="AY1024" s="312">
        <v>0.59250000000000003</v>
      </c>
      <c r="AZ1024" s="312">
        <v>0.66610000000000003</v>
      </c>
      <c r="BA1024" s="312">
        <v>0.45650000000000002</v>
      </c>
      <c r="BB1024" s="312">
        <v>0</v>
      </c>
      <c r="BC1024" s="312">
        <v>0.69530000000000003</v>
      </c>
      <c r="BD1024" s="312">
        <v>0.71589999999999998</v>
      </c>
      <c r="BE1024" s="312">
        <v>0.7792</v>
      </c>
      <c r="BF1024" s="312">
        <v>0.64270000000000005</v>
      </c>
      <c r="BG1024" s="312">
        <v>0.67500000000000004</v>
      </c>
      <c r="BH1024" s="312">
        <v>0.66269999999999996</v>
      </c>
      <c r="BI1024" s="312">
        <v>0.7147</v>
      </c>
      <c r="BJ1024" s="312">
        <v>0.63270000000000004</v>
      </c>
      <c r="BK1024" s="312">
        <v>0.68820000000000003</v>
      </c>
      <c r="BM1024">
        <f>(C1024-C613)*1000000/(RIMS_emp!C1024-RIMS_emp!C613)</f>
        <v>37539.580023090726</v>
      </c>
    </row>
    <row r="1025" spans="1:65" x14ac:dyDescent="0.25">
      <c r="A1025" s="306">
        <v>333295</v>
      </c>
      <c r="B1025" s="312" t="s">
        <v>186</v>
      </c>
      <c r="C1025" s="312">
        <v>0.87529999999999997</v>
      </c>
      <c r="D1025" s="312">
        <v>0</v>
      </c>
      <c r="E1025" s="312">
        <v>0.55369999999999997</v>
      </c>
      <c r="F1025" s="312">
        <v>0.51280000000000003</v>
      </c>
      <c r="G1025" s="312">
        <v>0.59619999999999995</v>
      </c>
      <c r="H1025" s="312">
        <v>0.68289999999999995</v>
      </c>
      <c r="I1025" s="312">
        <v>0.62839999999999996</v>
      </c>
      <c r="J1025" s="312">
        <v>0.59550000000000003</v>
      </c>
      <c r="K1025" s="312">
        <v>0</v>
      </c>
      <c r="L1025" s="312">
        <v>0</v>
      </c>
      <c r="M1025" s="312">
        <v>0.57940000000000003</v>
      </c>
      <c r="N1025" s="312">
        <v>0.60629999999999995</v>
      </c>
      <c r="O1025" s="312">
        <v>0</v>
      </c>
      <c r="P1025" s="312">
        <v>0.46820000000000001</v>
      </c>
      <c r="Q1025" s="312">
        <v>0.47870000000000001</v>
      </c>
      <c r="R1025" s="312">
        <v>0.6764</v>
      </c>
      <c r="S1025" s="312">
        <v>0</v>
      </c>
      <c r="T1025" s="312">
        <v>0</v>
      </c>
      <c r="U1025" s="312">
        <v>0.53500000000000003</v>
      </c>
      <c r="V1025" s="312">
        <v>0</v>
      </c>
      <c r="W1025" s="312">
        <v>0.61350000000000005</v>
      </c>
      <c r="X1025" s="312">
        <v>0.48559999999999998</v>
      </c>
      <c r="Y1025" s="312">
        <v>0</v>
      </c>
      <c r="Z1025" s="312">
        <v>0.64190000000000003</v>
      </c>
      <c r="AA1025" s="312">
        <v>0.62960000000000005</v>
      </c>
      <c r="AB1025" s="312">
        <v>0</v>
      </c>
      <c r="AC1025" s="312">
        <v>0</v>
      </c>
      <c r="AD1025" s="312">
        <v>0.47010000000000002</v>
      </c>
      <c r="AE1025" s="312">
        <v>0.57530000000000003</v>
      </c>
      <c r="AF1025" s="312">
        <v>0</v>
      </c>
      <c r="AG1025" s="312">
        <v>0</v>
      </c>
      <c r="AH1025" s="312">
        <v>0.55410000000000004</v>
      </c>
      <c r="AI1025" s="312">
        <v>0.56469999999999998</v>
      </c>
      <c r="AJ1025" s="312">
        <v>0</v>
      </c>
      <c r="AK1025" s="312">
        <v>0</v>
      </c>
      <c r="AL1025" s="312">
        <v>0.53339999999999999</v>
      </c>
      <c r="AM1025" s="312">
        <v>0.65510000000000002</v>
      </c>
      <c r="AN1025" s="312">
        <v>0</v>
      </c>
      <c r="AO1025" s="312">
        <v>0.59440000000000004</v>
      </c>
      <c r="AP1025" s="312">
        <v>0.68079999999999996</v>
      </c>
      <c r="AQ1025" s="312">
        <v>0</v>
      </c>
      <c r="AR1025" s="312">
        <v>0</v>
      </c>
      <c r="AS1025" s="312">
        <v>0</v>
      </c>
      <c r="AT1025" s="312">
        <v>0.5917</v>
      </c>
      <c r="AU1025" s="312">
        <v>0.66479999999999995</v>
      </c>
      <c r="AV1025" s="312">
        <v>0.63249999999999995</v>
      </c>
      <c r="AW1025" s="312">
        <v>0.55920000000000003</v>
      </c>
      <c r="AX1025" s="312">
        <v>0.47949999999999998</v>
      </c>
      <c r="AY1025" s="312">
        <v>0</v>
      </c>
      <c r="AZ1025" s="312">
        <v>0.60599999999999998</v>
      </c>
      <c r="BA1025" s="312">
        <v>0</v>
      </c>
      <c r="BB1025" s="312">
        <v>0</v>
      </c>
      <c r="BC1025" s="312">
        <v>0.69330000000000003</v>
      </c>
      <c r="BD1025" s="312">
        <v>0.67069999999999996</v>
      </c>
      <c r="BE1025" s="312">
        <v>0.70179999999999998</v>
      </c>
      <c r="BF1025" s="312">
        <v>0.60360000000000003</v>
      </c>
      <c r="BG1025" s="312">
        <v>0.64759999999999995</v>
      </c>
      <c r="BH1025" s="312">
        <v>0.59989999999999999</v>
      </c>
      <c r="BI1025" s="312">
        <v>0.66659999999999997</v>
      </c>
      <c r="BJ1025" s="312">
        <v>0.63029999999999997</v>
      </c>
      <c r="BK1025" s="312">
        <v>0.68789999999999996</v>
      </c>
      <c r="BM1025">
        <f>(C1025-C614)*1000000/(RIMS_emp!C1025-RIMS_emp!C614)</f>
        <v>37540.204502904315</v>
      </c>
    </row>
    <row r="1026" spans="1:65" x14ac:dyDescent="0.25">
      <c r="A1026" s="306" t="s">
        <v>730</v>
      </c>
      <c r="B1026" s="312" t="s">
        <v>184</v>
      </c>
      <c r="C1026" s="312">
        <v>0.93569999999999998</v>
      </c>
      <c r="D1026" s="312">
        <v>0</v>
      </c>
      <c r="E1026" s="312">
        <v>0.62790000000000001</v>
      </c>
      <c r="F1026" s="312">
        <v>0.57479999999999998</v>
      </c>
      <c r="G1026" s="312">
        <v>0.60419999999999996</v>
      </c>
      <c r="H1026" s="312">
        <v>0.69410000000000005</v>
      </c>
      <c r="I1026" s="312">
        <v>0.66969999999999996</v>
      </c>
      <c r="J1026" s="312">
        <v>0.624</v>
      </c>
      <c r="K1026" s="312">
        <v>0</v>
      </c>
      <c r="L1026" s="312">
        <v>0.43309999999999998</v>
      </c>
      <c r="M1026" s="312">
        <v>0.60399999999999998</v>
      </c>
      <c r="N1026" s="312">
        <v>0.65290000000000004</v>
      </c>
      <c r="O1026" s="312">
        <v>0</v>
      </c>
      <c r="P1026" s="312">
        <v>0.52449999999999997</v>
      </c>
      <c r="Q1026" s="312">
        <v>0.50919999999999999</v>
      </c>
      <c r="R1026" s="312">
        <v>0.75990000000000002</v>
      </c>
      <c r="S1026" s="312">
        <v>0.65900000000000003</v>
      </c>
      <c r="T1026" s="312">
        <v>0.50449999999999995</v>
      </c>
      <c r="U1026" s="312">
        <v>0.60429999999999995</v>
      </c>
      <c r="V1026" s="312">
        <v>0.59079999999999999</v>
      </c>
      <c r="W1026" s="312">
        <v>0.626</v>
      </c>
      <c r="X1026" s="312">
        <v>0.51970000000000005</v>
      </c>
      <c r="Y1026" s="312">
        <v>0.56940000000000002</v>
      </c>
      <c r="Z1026" s="312">
        <v>0.72789999999999999</v>
      </c>
      <c r="AA1026" s="312">
        <v>0.67579999999999996</v>
      </c>
      <c r="AB1026" s="312">
        <v>0.62170000000000003</v>
      </c>
      <c r="AC1026" s="312">
        <v>0.52559999999999996</v>
      </c>
      <c r="AD1026" s="312">
        <v>0.47649999999999998</v>
      </c>
      <c r="AE1026" s="312">
        <v>0.63109999999999999</v>
      </c>
      <c r="AF1026" s="312">
        <v>0.43009999999999998</v>
      </c>
      <c r="AG1026" s="312">
        <v>0.50280000000000002</v>
      </c>
      <c r="AH1026" s="312">
        <v>0.5907</v>
      </c>
      <c r="AI1026" s="312">
        <v>0.60040000000000004</v>
      </c>
      <c r="AJ1026" s="312">
        <v>0.47639999999999999</v>
      </c>
      <c r="AK1026" s="312">
        <v>0.53349999999999997</v>
      </c>
      <c r="AL1026" s="312">
        <v>0.56920000000000004</v>
      </c>
      <c r="AM1026" s="312">
        <v>0.74260000000000004</v>
      </c>
      <c r="AN1026" s="312">
        <v>0.62690000000000001</v>
      </c>
      <c r="AO1026" s="312">
        <v>0.63039999999999996</v>
      </c>
      <c r="AP1026" s="312">
        <v>0.74050000000000005</v>
      </c>
      <c r="AQ1026" s="312">
        <v>0.52810000000000001</v>
      </c>
      <c r="AR1026" s="312">
        <v>0.64859999999999995</v>
      </c>
      <c r="AS1026" s="312">
        <v>0.45689999999999997</v>
      </c>
      <c r="AT1026" s="312">
        <v>0.6603</v>
      </c>
      <c r="AU1026" s="312">
        <v>0.71619999999999995</v>
      </c>
      <c r="AV1026" s="312">
        <v>0.68879999999999997</v>
      </c>
      <c r="AW1026" s="312">
        <v>0.59050000000000002</v>
      </c>
      <c r="AX1026" s="312">
        <v>0.48820000000000002</v>
      </c>
      <c r="AY1026" s="312">
        <v>0.60919999999999996</v>
      </c>
      <c r="AZ1026" s="312">
        <v>0.67620000000000002</v>
      </c>
      <c r="BA1026" s="312">
        <v>0.4753</v>
      </c>
      <c r="BB1026" s="312">
        <v>0.43530000000000002</v>
      </c>
      <c r="BC1026" s="312">
        <v>0.71530000000000005</v>
      </c>
      <c r="BD1026" s="312">
        <v>0.73299999999999998</v>
      </c>
      <c r="BE1026" s="312">
        <v>0.79359999999999997</v>
      </c>
      <c r="BF1026" s="312">
        <v>0.66379999999999995</v>
      </c>
      <c r="BG1026" s="312">
        <v>0.69540000000000002</v>
      </c>
      <c r="BH1026" s="312">
        <v>0.68259999999999998</v>
      </c>
      <c r="BI1026" s="312">
        <v>0.72729999999999995</v>
      </c>
      <c r="BJ1026" s="312">
        <v>0.64549999999999996</v>
      </c>
      <c r="BK1026" s="312">
        <v>0.70489999999999997</v>
      </c>
      <c r="BM1026">
        <f>(C1026-C615)*1000000/(RIMS_emp!C1026-RIMS_emp!C615)</f>
        <v>37543.505108341771</v>
      </c>
    </row>
    <row r="1027" spans="1:65" x14ac:dyDescent="0.25">
      <c r="A1027" s="306">
        <v>333314</v>
      </c>
      <c r="B1027" s="312" t="s">
        <v>188</v>
      </c>
      <c r="C1027" s="312">
        <v>0.93989999999999996</v>
      </c>
      <c r="D1027" s="312">
        <v>0</v>
      </c>
      <c r="E1027" s="312">
        <v>0.63090000000000002</v>
      </c>
      <c r="F1027" s="312">
        <v>0.57599999999999996</v>
      </c>
      <c r="G1027" s="312">
        <v>0.6522</v>
      </c>
      <c r="H1027" s="312">
        <v>0.74009999999999998</v>
      </c>
      <c r="I1027" s="312">
        <v>0.71909999999999996</v>
      </c>
      <c r="J1027" s="312">
        <v>0.63690000000000002</v>
      </c>
      <c r="K1027" s="312">
        <v>0</v>
      </c>
      <c r="L1027" s="312">
        <v>0.46179999999999999</v>
      </c>
      <c r="M1027" s="312">
        <v>0.66390000000000005</v>
      </c>
      <c r="N1027" s="312">
        <v>0.70220000000000005</v>
      </c>
      <c r="O1027" s="312">
        <v>0.50739999999999996</v>
      </c>
      <c r="P1027" s="312">
        <v>0.52239999999999998</v>
      </c>
      <c r="Q1027" s="312">
        <v>0.53990000000000005</v>
      </c>
      <c r="R1027" s="312">
        <v>0.74470000000000003</v>
      </c>
      <c r="S1027" s="312">
        <v>0.64439999999999997</v>
      </c>
      <c r="T1027" s="312">
        <v>0.51639999999999997</v>
      </c>
      <c r="U1027" s="312">
        <v>0.61140000000000005</v>
      </c>
      <c r="V1027" s="312">
        <v>0.60680000000000001</v>
      </c>
      <c r="W1027" s="312">
        <v>0.66510000000000002</v>
      </c>
      <c r="X1027" s="312">
        <v>0.55659999999999998</v>
      </c>
      <c r="Y1027" s="312">
        <v>0.60070000000000001</v>
      </c>
      <c r="Z1027" s="312">
        <v>0.71350000000000002</v>
      </c>
      <c r="AA1027" s="312">
        <v>0.69140000000000001</v>
      </c>
      <c r="AB1027" s="312">
        <v>0.63729999999999998</v>
      </c>
      <c r="AC1027" s="312">
        <v>0.53659999999999997</v>
      </c>
      <c r="AD1027" s="312">
        <v>0.51419999999999999</v>
      </c>
      <c r="AE1027" s="312">
        <v>0.65259999999999996</v>
      </c>
      <c r="AF1027" s="312">
        <v>0.47649999999999998</v>
      </c>
      <c r="AG1027" s="312">
        <v>0.5202</v>
      </c>
      <c r="AH1027" s="312">
        <v>0.61329999999999996</v>
      </c>
      <c r="AI1027" s="312">
        <v>0.65800000000000003</v>
      </c>
      <c r="AJ1027" s="312">
        <v>0.52759999999999996</v>
      </c>
      <c r="AK1027" s="312">
        <v>0.58509999999999995</v>
      </c>
      <c r="AL1027" s="312">
        <v>0.60870000000000002</v>
      </c>
      <c r="AM1027" s="312">
        <v>0.72970000000000002</v>
      </c>
      <c r="AN1027" s="312">
        <v>0.62870000000000004</v>
      </c>
      <c r="AO1027" s="312">
        <v>0.65790000000000004</v>
      </c>
      <c r="AP1027" s="312">
        <v>0.74109999999999998</v>
      </c>
      <c r="AQ1027" s="312">
        <v>0.54920000000000002</v>
      </c>
      <c r="AR1027" s="312">
        <v>0</v>
      </c>
      <c r="AS1027" s="312">
        <v>0</v>
      </c>
      <c r="AT1027" s="312">
        <v>0.67259999999999998</v>
      </c>
      <c r="AU1027" s="312">
        <v>0.73960000000000004</v>
      </c>
      <c r="AV1027" s="312">
        <v>0.71160000000000001</v>
      </c>
      <c r="AW1027" s="312">
        <v>0.62129999999999996</v>
      </c>
      <c r="AX1027" s="312">
        <v>0.51819999999999999</v>
      </c>
      <c r="AY1027" s="312">
        <v>0.65300000000000002</v>
      </c>
      <c r="AZ1027" s="312">
        <v>0.67530000000000001</v>
      </c>
      <c r="BA1027" s="312">
        <v>0.49780000000000002</v>
      </c>
      <c r="BB1027" s="312">
        <v>0</v>
      </c>
      <c r="BC1027" s="312">
        <v>0.75</v>
      </c>
      <c r="BD1027" s="312">
        <v>0.76149999999999995</v>
      </c>
      <c r="BE1027" s="312">
        <v>0.78349999999999997</v>
      </c>
      <c r="BF1027" s="312">
        <v>0.67249999999999999</v>
      </c>
      <c r="BG1027" s="312">
        <v>0.74019999999999997</v>
      </c>
      <c r="BH1027" s="312">
        <v>0.68389999999999995</v>
      </c>
      <c r="BI1027" s="312">
        <v>0.74139999999999995</v>
      </c>
      <c r="BJ1027" s="312">
        <v>0.69610000000000005</v>
      </c>
      <c r="BK1027" s="312">
        <v>0.74850000000000005</v>
      </c>
      <c r="BM1027">
        <f>(C1027-C616)*1000000/(RIMS_emp!C1027-RIMS_emp!C616)</f>
        <v>37542.471387696707</v>
      </c>
    </row>
    <row r="1028" spans="1:65" x14ac:dyDescent="0.25">
      <c r="A1028" s="306">
        <v>333315</v>
      </c>
      <c r="B1028" s="312" t="s">
        <v>189</v>
      </c>
      <c r="C1028" s="312">
        <v>0.69650000000000001</v>
      </c>
      <c r="D1028" s="312">
        <v>0</v>
      </c>
      <c r="E1028" s="312">
        <v>0.46010000000000001</v>
      </c>
      <c r="F1028" s="312">
        <v>0</v>
      </c>
      <c r="G1028" s="312">
        <v>0.44500000000000001</v>
      </c>
      <c r="H1028" s="312">
        <v>0.51290000000000002</v>
      </c>
      <c r="I1028" s="312">
        <v>0.49559999999999998</v>
      </c>
      <c r="J1028" s="312">
        <v>0.46079999999999999</v>
      </c>
      <c r="K1028" s="312">
        <v>0</v>
      </c>
      <c r="L1028" s="312">
        <v>0</v>
      </c>
      <c r="M1028" s="312">
        <v>0.44819999999999999</v>
      </c>
      <c r="N1028" s="312">
        <v>0.49709999999999999</v>
      </c>
      <c r="O1028" s="312">
        <v>0</v>
      </c>
      <c r="P1028" s="312">
        <v>0</v>
      </c>
      <c r="Q1028" s="312">
        <v>0.38900000000000001</v>
      </c>
      <c r="R1028" s="312">
        <v>0.5393</v>
      </c>
      <c r="S1028" s="312">
        <v>0.48089999999999999</v>
      </c>
      <c r="T1028" s="312">
        <v>0.36620000000000003</v>
      </c>
      <c r="U1028" s="312">
        <v>0.44819999999999999</v>
      </c>
      <c r="V1028" s="312">
        <v>0</v>
      </c>
      <c r="W1028" s="312">
        <v>0.47689999999999999</v>
      </c>
      <c r="X1028" s="312">
        <v>0.37219999999999998</v>
      </c>
      <c r="Y1028" s="312">
        <v>0.4244</v>
      </c>
      <c r="Z1028" s="312">
        <v>0.51970000000000005</v>
      </c>
      <c r="AA1028" s="312">
        <v>0.49430000000000002</v>
      </c>
      <c r="AB1028" s="312">
        <v>0.45739999999999997</v>
      </c>
      <c r="AC1028" s="312">
        <v>0</v>
      </c>
      <c r="AD1028" s="312">
        <v>0.35539999999999999</v>
      </c>
      <c r="AE1028" s="312">
        <v>0.47960000000000003</v>
      </c>
      <c r="AF1028" s="312">
        <v>0.32900000000000001</v>
      </c>
      <c r="AG1028" s="312">
        <v>0.36720000000000003</v>
      </c>
      <c r="AH1028" s="312">
        <v>0.41920000000000002</v>
      </c>
      <c r="AI1028" s="312">
        <v>0.45519999999999999</v>
      </c>
      <c r="AJ1028" s="312">
        <v>0.36280000000000001</v>
      </c>
      <c r="AK1028" s="312">
        <v>0</v>
      </c>
      <c r="AL1028" s="312">
        <v>0.41980000000000001</v>
      </c>
      <c r="AM1028" s="312">
        <v>0.54310000000000003</v>
      </c>
      <c r="AN1028" s="312">
        <v>0.42909999999999998</v>
      </c>
      <c r="AO1028" s="312">
        <v>0.46289999999999998</v>
      </c>
      <c r="AP1028" s="312">
        <v>0.53369999999999995</v>
      </c>
      <c r="AQ1028" s="312">
        <v>0</v>
      </c>
      <c r="AR1028" s="312">
        <v>0.47710000000000002</v>
      </c>
      <c r="AS1028" s="312">
        <v>0</v>
      </c>
      <c r="AT1028" s="312">
        <v>0.48649999999999999</v>
      </c>
      <c r="AU1028" s="312">
        <v>0.54079999999999995</v>
      </c>
      <c r="AV1028" s="312">
        <v>0.50160000000000005</v>
      </c>
      <c r="AW1028" s="312">
        <v>0.44190000000000002</v>
      </c>
      <c r="AX1028" s="312">
        <v>0</v>
      </c>
      <c r="AY1028" s="312">
        <v>0.44569999999999999</v>
      </c>
      <c r="AZ1028" s="312">
        <v>0.49170000000000003</v>
      </c>
      <c r="BA1028" s="312">
        <v>0</v>
      </c>
      <c r="BB1028" s="312">
        <v>0</v>
      </c>
      <c r="BC1028" s="312">
        <v>0.54330000000000001</v>
      </c>
      <c r="BD1028" s="312">
        <v>0.53890000000000005</v>
      </c>
      <c r="BE1028" s="312">
        <v>0.57250000000000001</v>
      </c>
      <c r="BF1028" s="312">
        <v>0.48159999999999997</v>
      </c>
      <c r="BG1028" s="312">
        <v>0.52210000000000001</v>
      </c>
      <c r="BH1028" s="312">
        <v>0.50519999999999998</v>
      </c>
      <c r="BI1028" s="312">
        <v>0.54920000000000002</v>
      </c>
      <c r="BJ1028" s="312">
        <v>0.48170000000000002</v>
      </c>
      <c r="BK1028" s="312">
        <v>0.51800000000000002</v>
      </c>
      <c r="BM1028">
        <f>(C1028-C617)*1000000/(RIMS_emp!C1028-RIMS_emp!C617)</f>
        <v>37539.213320463321</v>
      </c>
    </row>
    <row r="1029" spans="1:65" x14ac:dyDescent="0.25">
      <c r="A1029" s="306">
        <v>333319</v>
      </c>
      <c r="B1029" s="312" t="s">
        <v>190</v>
      </c>
      <c r="C1029" s="312">
        <v>0.76139999999999997</v>
      </c>
      <c r="D1029" s="312">
        <v>0</v>
      </c>
      <c r="E1029" s="312">
        <v>0.4929</v>
      </c>
      <c r="F1029" s="312">
        <v>0.45219999999999999</v>
      </c>
      <c r="G1029" s="312">
        <v>0.46820000000000001</v>
      </c>
      <c r="H1029" s="312">
        <v>0.55940000000000001</v>
      </c>
      <c r="I1029" s="312">
        <v>0.51949999999999996</v>
      </c>
      <c r="J1029" s="312">
        <v>0.48980000000000001</v>
      </c>
      <c r="K1029" s="312">
        <v>0</v>
      </c>
      <c r="L1029" s="312">
        <v>0</v>
      </c>
      <c r="M1029" s="312">
        <v>0.48020000000000002</v>
      </c>
      <c r="N1029" s="312">
        <v>0.52100000000000002</v>
      </c>
      <c r="O1029" s="312">
        <v>0.34849999999999998</v>
      </c>
      <c r="P1029" s="312">
        <v>0.39560000000000001</v>
      </c>
      <c r="Q1029" s="312">
        <v>0.3841</v>
      </c>
      <c r="R1029" s="312">
        <v>0.60199999999999998</v>
      </c>
      <c r="S1029" s="312">
        <v>0.5131</v>
      </c>
      <c r="T1029" s="312">
        <v>0.38679999999999998</v>
      </c>
      <c r="U1029" s="312">
        <v>0.47889999999999999</v>
      </c>
      <c r="V1029" s="312">
        <v>0.45390000000000003</v>
      </c>
      <c r="W1029" s="312">
        <v>0.4975</v>
      </c>
      <c r="X1029" s="312">
        <v>0.4007</v>
      </c>
      <c r="Y1029" s="312">
        <v>0.44219999999999998</v>
      </c>
      <c r="Z1029" s="312">
        <v>0.5534</v>
      </c>
      <c r="AA1029" s="312">
        <v>0.52980000000000005</v>
      </c>
      <c r="AB1029" s="312">
        <v>0.48759999999999998</v>
      </c>
      <c r="AC1029" s="312">
        <v>0.4093</v>
      </c>
      <c r="AD1029" s="312">
        <v>0.3609</v>
      </c>
      <c r="AE1029" s="312">
        <v>0.49759999999999999</v>
      </c>
      <c r="AF1029" s="312">
        <v>0.33</v>
      </c>
      <c r="AG1029" s="312">
        <v>0.3866</v>
      </c>
      <c r="AH1029" s="312">
        <v>0.46229999999999999</v>
      </c>
      <c r="AI1029" s="312">
        <v>0.4798</v>
      </c>
      <c r="AJ1029" s="312">
        <v>0.36659999999999998</v>
      </c>
      <c r="AK1029" s="312">
        <v>0.41920000000000002</v>
      </c>
      <c r="AL1029" s="312">
        <v>0.44080000000000003</v>
      </c>
      <c r="AM1029" s="312">
        <v>0.58130000000000004</v>
      </c>
      <c r="AN1029" s="312">
        <v>0.4859</v>
      </c>
      <c r="AO1029" s="312">
        <v>0.47989999999999999</v>
      </c>
      <c r="AP1029" s="312">
        <v>0.58560000000000001</v>
      </c>
      <c r="AQ1029" s="312">
        <v>0.41439999999999999</v>
      </c>
      <c r="AR1029" s="312">
        <v>0.50349999999999995</v>
      </c>
      <c r="AS1029" s="312">
        <v>0.34760000000000002</v>
      </c>
      <c r="AT1029" s="312">
        <v>0.51910000000000001</v>
      </c>
      <c r="AU1029" s="312">
        <v>0.57609999999999995</v>
      </c>
      <c r="AV1029" s="312">
        <v>0.53959999999999997</v>
      </c>
      <c r="AW1029" s="312">
        <v>0.45619999999999999</v>
      </c>
      <c r="AX1029" s="312">
        <v>0.37919999999999998</v>
      </c>
      <c r="AY1029" s="312">
        <v>0.46579999999999999</v>
      </c>
      <c r="AZ1029" s="312">
        <v>0.52949999999999997</v>
      </c>
      <c r="BA1029" s="312">
        <v>0</v>
      </c>
      <c r="BB1029" s="312">
        <v>0.32919999999999999</v>
      </c>
      <c r="BC1029" s="312">
        <v>0.56889999999999996</v>
      </c>
      <c r="BD1029" s="312">
        <v>0.57940000000000003</v>
      </c>
      <c r="BE1029" s="312">
        <v>0.62629999999999997</v>
      </c>
      <c r="BF1029" s="312">
        <v>0.51890000000000003</v>
      </c>
      <c r="BG1029" s="312">
        <v>0.55610000000000004</v>
      </c>
      <c r="BH1029" s="312">
        <v>0.53959999999999997</v>
      </c>
      <c r="BI1029" s="312">
        <v>0.58550000000000002</v>
      </c>
      <c r="BJ1029" s="312">
        <v>0.50770000000000004</v>
      </c>
      <c r="BK1029" s="312">
        <v>0.56100000000000005</v>
      </c>
      <c r="BM1029">
        <f>(C1029-C618)*1000000/(RIMS_emp!C1029-RIMS_emp!C618)</f>
        <v>37539.836927279503</v>
      </c>
    </row>
    <row r="1030" spans="1:65" x14ac:dyDescent="0.25">
      <c r="A1030" s="306" t="s">
        <v>731</v>
      </c>
      <c r="B1030" s="312" t="s">
        <v>187</v>
      </c>
      <c r="C1030" s="312">
        <v>0.85119999999999996</v>
      </c>
      <c r="D1030" s="312">
        <v>0</v>
      </c>
      <c r="E1030" s="312">
        <v>0.52800000000000002</v>
      </c>
      <c r="F1030" s="312">
        <v>0.47589999999999999</v>
      </c>
      <c r="G1030" s="312">
        <v>0.51580000000000004</v>
      </c>
      <c r="H1030" s="312">
        <v>0.61260000000000003</v>
      </c>
      <c r="I1030" s="312">
        <v>0.57820000000000005</v>
      </c>
      <c r="J1030" s="312">
        <v>0.54520000000000002</v>
      </c>
      <c r="K1030" s="312">
        <v>0</v>
      </c>
      <c r="L1030" s="312">
        <v>0</v>
      </c>
      <c r="M1030" s="312">
        <v>0.53029999999999999</v>
      </c>
      <c r="N1030" s="312">
        <v>0.57569999999999999</v>
      </c>
      <c r="O1030" s="312">
        <v>0</v>
      </c>
      <c r="P1030" s="312">
        <v>0.4219</v>
      </c>
      <c r="Q1030" s="312">
        <v>0.4052</v>
      </c>
      <c r="R1030" s="312">
        <v>0.67220000000000002</v>
      </c>
      <c r="S1030" s="312">
        <v>0.55100000000000005</v>
      </c>
      <c r="T1030" s="312">
        <v>0.40329999999999999</v>
      </c>
      <c r="U1030" s="312">
        <v>0.51100000000000001</v>
      </c>
      <c r="V1030" s="312">
        <v>0.499</v>
      </c>
      <c r="W1030" s="312">
        <v>0.55489999999999995</v>
      </c>
      <c r="X1030" s="312">
        <v>0.44929999999999998</v>
      </c>
      <c r="Y1030" s="312">
        <v>0</v>
      </c>
      <c r="Z1030" s="312">
        <v>0.60960000000000003</v>
      </c>
      <c r="AA1030" s="312">
        <v>0.58799999999999997</v>
      </c>
      <c r="AB1030" s="312">
        <v>0.54110000000000003</v>
      </c>
      <c r="AC1030" s="312">
        <v>0</v>
      </c>
      <c r="AD1030" s="312">
        <v>0.37780000000000002</v>
      </c>
      <c r="AE1030" s="312">
        <v>0.55759999999999998</v>
      </c>
      <c r="AF1030" s="312">
        <v>0</v>
      </c>
      <c r="AG1030" s="312">
        <v>0.40570000000000001</v>
      </c>
      <c r="AH1030" s="312">
        <v>0.50739999999999996</v>
      </c>
      <c r="AI1030" s="312">
        <v>0.54459999999999997</v>
      </c>
      <c r="AJ1030" s="312">
        <v>0</v>
      </c>
      <c r="AK1030" s="312">
        <v>0</v>
      </c>
      <c r="AL1030" s="312">
        <v>0.48270000000000002</v>
      </c>
      <c r="AM1030" s="312">
        <v>0.63400000000000001</v>
      </c>
      <c r="AN1030" s="312">
        <v>0.51770000000000005</v>
      </c>
      <c r="AO1030" s="312">
        <v>0.50519999999999998</v>
      </c>
      <c r="AP1030" s="312">
        <v>0.65500000000000003</v>
      </c>
      <c r="AQ1030" s="312">
        <v>0</v>
      </c>
      <c r="AR1030" s="312">
        <v>0.55859999999999999</v>
      </c>
      <c r="AS1030" s="312">
        <v>0</v>
      </c>
      <c r="AT1030" s="312">
        <v>0.57640000000000002</v>
      </c>
      <c r="AU1030" s="312">
        <v>0.64500000000000002</v>
      </c>
      <c r="AV1030" s="312">
        <v>0.57850000000000001</v>
      </c>
      <c r="AW1030" s="312">
        <v>0.50729999999999997</v>
      </c>
      <c r="AX1030" s="312">
        <v>0</v>
      </c>
      <c r="AY1030" s="312">
        <v>0.49559999999999998</v>
      </c>
      <c r="AZ1030" s="312">
        <v>0.57140000000000002</v>
      </c>
      <c r="BA1030" s="312">
        <v>0.38569999999999999</v>
      </c>
      <c r="BB1030" s="312">
        <v>0.34599999999999997</v>
      </c>
      <c r="BC1030" s="312">
        <v>0.6331</v>
      </c>
      <c r="BD1030" s="312">
        <v>0.65049999999999997</v>
      </c>
      <c r="BE1030" s="312">
        <v>0.69869999999999999</v>
      </c>
      <c r="BF1030" s="312">
        <v>0.56530000000000002</v>
      </c>
      <c r="BG1030" s="312">
        <v>0.62639999999999996</v>
      </c>
      <c r="BH1030" s="312">
        <v>0.5887</v>
      </c>
      <c r="BI1030" s="312">
        <v>0.65159999999999996</v>
      </c>
      <c r="BJ1030" s="312">
        <v>0.55649999999999999</v>
      </c>
      <c r="BK1030" s="312">
        <v>0.60799999999999998</v>
      </c>
      <c r="BM1030">
        <f>(C1030-C619)*1000000/(RIMS_emp!C1030-RIMS_emp!C619)</f>
        <v>37544.43127962084</v>
      </c>
    </row>
    <row r="1031" spans="1:65" x14ac:dyDescent="0.25">
      <c r="A1031" s="306">
        <v>333414</v>
      </c>
      <c r="B1031" s="312" t="s">
        <v>5</v>
      </c>
      <c r="C1031" s="312">
        <v>0.81330000000000002</v>
      </c>
      <c r="D1031" s="312">
        <v>0.36609999999999998</v>
      </c>
      <c r="E1031" s="312">
        <v>0.52839999999999998</v>
      </c>
      <c r="F1031" s="312">
        <v>0</v>
      </c>
      <c r="G1031" s="312">
        <v>0.49490000000000001</v>
      </c>
      <c r="H1031" s="312">
        <v>0.57250000000000001</v>
      </c>
      <c r="I1031" s="312">
        <v>0.54079999999999995</v>
      </c>
      <c r="J1031" s="312">
        <v>0.505</v>
      </c>
      <c r="K1031" s="312">
        <v>0</v>
      </c>
      <c r="L1031" s="312">
        <v>0.36149999999999999</v>
      </c>
      <c r="M1031" s="312">
        <v>0.48880000000000001</v>
      </c>
      <c r="N1031" s="312">
        <v>0.55159999999999998</v>
      </c>
      <c r="O1031" s="312">
        <v>0.3674</v>
      </c>
      <c r="P1031" s="312">
        <v>0.4163</v>
      </c>
      <c r="Q1031" s="312">
        <v>0.39879999999999999</v>
      </c>
      <c r="R1031" s="312">
        <v>0.64859999999999995</v>
      </c>
      <c r="S1031" s="312">
        <v>0.55179999999999996</v>
      </c>
      <c r="T1031" s="312">
        <v>0.40400000000000003</v>
      </c>
      <c r="U1031" s="312">
        <v>0.49440000000000001</v>
      </c>
      <c r="V1031" s="312">
        <v>0.48380000000000001</v>
      </c>
      <c r="W1031" s="312">
        <v>0.5161</v>
      </c>
      <c r="X1031" s="312">
        <v>0.43769999999999998</v>
      </c>
      <c r="Y1031" s="312">
        <v>0.45390000000000003</v>
      </c>
      <c r="Z1031" s="312">
        <v>0.61170000000000002</v>
      </c>
      <c r="AA1031" s="312">
        <v>0.56769999999999998</v>
      </c>
      <c r="AB1031" s="312">
        <v>0.52139999999999997</v>
      </c>
      <c r="AC1031" s="312">
        <v>0.43530000000000002</v>
      </c>
      <c r="AD1031" s="312">
        <v>0</v>
      </c>
      <c r="AE1031" s="312">
        <v>0.51829999999999998</v>
      </c>
      <c r="AF1031" s="312">
        <v>0.33700000000000002</v>
      </c>
      <c r="AG1031" s="312">
        <v>0.4022</v>
      </c>
      <c r="AH1031" s="312">
        <v>0.47739999999999999</v>
      </c>
      <c r="AI1031" s="312">
        <v>0.50370000000000004</v>
      </c>
      <c r="AJ1031" s="312">
        <v>0.38640000000000002</v>
      </c>
      <c r="AK1031" s="312">
        <v>0.43440000000000001</v>
      </c>
      <c r="AL1031" s="312">
        <v>0.44990000000000002</v>
      </c>
      <c r="AM1031" s="312">
        <v>0.62660000000000005</v>
      </c>
      <c r="AN1031" s="312">
        <v>0.51880000000000004</v>
      </c>
      <c r="AO1031" s="312">
        <v>0.51980000000000004</v>
      </c>
      <c r="AP1031" s="312">
        <v>0.62060000000000004</v>
      </c>
      <c r="AQ1031" s="312">
        <v>0.42980000000000002</v>
      </c>
      <c r="AR1031" s="312">
        <v>0.52149999999999996</v>
      </c>
      <c r="AS1031" s="312">
        <v>0.34960000000000002</v>
      </c>
      <c r="AT1031" s="312">
        <v>0.56510000000000005</v>
      </c>
      <c r="AU1031" s="312">
        <v>0.60419999999999996</v>
      </c>
      <c r="AV1031" s="312">
        <v>0.58140000000000003</v>
      </c>
      <c r="AW1031" s="312">
        <v>0.4849</v>
      </c>
      <c r="AX1031" s="312">
        <v>0.3826</v>
      </c>
      <c r="AY1031" s="312">
        <v>0.49230000000000002</v>
      </c>
      <c r="AZ1031" s="312">
        <v>0.55410000000000004</v>
      </c>
      <c r="BA1031" s="312">
        <v>0</v>
      </c>
      <c r="BB1031" s="312">
        <v>0</v>
      </c>
      <c r="BC1031" s="312">
        <v>0.59040000000000004</v>
      </c>
      <c r="BD1031" s="312">
        <v>0.61519999999999997</v>
      </c>
      <c r="BE1031" s="312">
        <v>0.67589999999999995</v>
      </c>
      <c r="BF1031" s="312">
        <v>0.54959999999999998</v>
      </c>
      <c r="BG1031" s="312">
        <v>0.57599999999999996</v>
      </c>
      <c r="BH1031" s="312">
        <v>0.57769999999999999</v>
      </c>
      <c r="BI1031" s="312">
        <v>0.61509999999999998</v>
      </c>
      <c r="BJ1031" s="312">
        <v>0.53400000000000003</v>
      </c>
      <c r="BK1031" s="312">
        <v>0.58360000000000001</v>
      </c>
      <c r="BM1031">
        <f>(C1031-C620)*1000000/(RIMS_emp!C1031-RIMS_emp!C620)</f>
        <v>37533.581318454213</v>
      </c>
    </row>
    <row r="1032" spans="1:65" x14ac:dyDescent="0.25">
      <c r="A1032" s="306">
        <v>333415</v>
      </c>
      <c r="B1032" s="312" t="s">
        <v>192</v>
      </c>
      <c r="C1032" s="312">
        <v>0.70660000000000001</v>
      </c>
      <c r="D1032" s="312">
        <v>0</v>
      </c>
      <c r="E1032" s="312">
        <v>0.46210000000000001</v>
      </c>
      <c r="F1032" s="312">
        <v>0.42380000000000001</v>
      </c>
      <c r="G1032" s="312">
        <v>0.41909999999999997</v>
      </c>
      <c r="H1032" s="312">
        <v>0.4662</v>
      </c>
      <c r="I1032" s="312">
        <v>0.4602</v>
      </c>
      <c r="J1032" s="312">
        <v>0.42120000000000002</v>
      </c>
      <c r="K1032" s="312">
        <v>0</v>
      </c>
      <c r="L1032" s="312">
        <v>0.29139999999999999</v>
      </c>
      <c r="M1032" s="312">
        <v>0.40810000000000002</v>
      </c>
      <c r="N1032" s="312">
        <v>0.4834</v>
      </c>
      <c r="O1032" s="312">
        <v>0</v>
      </c>
      <c r="P1032" s="312">
        <v>0.37169999999999997</v>
      </c>
      <c r="Q1032" s="312">
        <v>0.32990000000000003</v>
      </c>
      <c r="R1032" s="312">
        <v>0.54549999999999998</v>
      </c>
      <c r="S1032" s="312">
        <v>0.48799999999999999</v>
      </c>
      <c r="T1032" s="312">
        <v>0.3594</v>
      </c>
      <c r="U1032" s="312">
        <v>0.44819999999999999</v>
      </c>
      <c r="V1032" s="312">
        <v>0.39729999999999999</v>
      </c>
      <c r="W1032" s="312">
        <v>0.42009999999999997</v>
      </c>
      <c r="X1032" s="312">
        <v>0.3553</v>
      </c>
      <c r="Y1032" s="312">
        <v>0.36699999999999999</v>
      </c>
      <c r="Z1032" s="312">
        <v>0.52180000000000004</v>
      </c>
      <c r="AA1032" s="312">
        <v>0.48620000000000002</v>
      </c>
      <c r="AB1032" s="312">
        <v>0.4592</v>
      </c>
      <c r="AC1032" s="312">
        <v>0.38740000000000002</v>
      </c>
      <c r="AD1032" s="312">
        <v>0</v>
      </c>
      <c r="AE1032" s="312">
        <v>0.44950000000000001</v>
      </c>
      <c r="AF1032" s="312">
        <v>0.29070000000000001</v>
      </c>
      <c r="AG1032" s="312">
        <v>0.33329999999999999</v>
      </c>
      <c r="AH1032" s="312">
        <v>0.41239999999999999</v>
      </c>
      <c r="AI1032" s="312">
        <v>0.41349999999999998</v>
      </c>
      <c r="AJ1032" s="312">
        <v>0.30680000000000002</v>
      </c>
      <c r="AK1032" s="312">
        <v>0.35270000000000001</v>
      </c>
      <c r="AL1032" s="312">
        <v>0.38150000000000001</v>
      </c>
      <c r="AM1032" s="312">
        <v>0.55289999999999995</v>
      </c>
      <c r="AN1032" s="312">
        <v>0.45290000000000002</v>
      </c>
      <c r="AO1032" s="312">
        <v>0.42099999999999999</v>
      </c>
      <c r="AP1032" s="312">
        <v>0.5444</v>
      </c>
      <c r="AQ1032" s="312">
        <v>0.35049999999999998</v>
      </c>
      <c r="AR1032" s="312">
        <v>0.47720000000000001</v>
      </c>
      <c r="AS1032" s="312">
        <v>0.2969</v>
      </c>
      <c r="AT1032" s="312">
        <v>0.49540000000000001</v>
      </c>
      <c r="AU1032" s="312">
        <v>0.52180000000000004</v>
      </c>
      <c r="AV1032" s="312">
        <v>0.46839999999999998</v>
      </c>
      <c r="AW1032" s="312">
        <v>0.42699999999999999</v>
      </c>
      <c r="AX1032" s="312">
        <v>0.31240000000000001</v>
      </c>
      <c r="AY1032" s="312">
        <v>0.40379999999999999</v>
      </c>
      <c r="AZ1032" s="312">
        <v>0.48820000000000002</v>
      </c>
      <c r="BA1032" s="312">
        <v>0</v>
      </c>
      <c r="BB1032" s="312">
        <v>0</v>
      </c>
      <c r="BC1032" s="312">
        <v>0.48499999999999999</v>
      </c>
      <c r="BD1032" s="312">
        <v>0.51819999999999999</v>
      </c>
      <c r="BE1032" s="312">
        <v>0.59299999999999997</v>
      </c>
      <c r="BF1032" s="312">
        <v>0.48659999999999998</v>
      </c>
      <c r="BG1032" s="312">
        <v>0.50349999999999995</v>
      </c>
      <c r="BH1032" s="312">
        <v>0.51339999999999997</v>
      </c>
      <c r="BI1032" s="312">
        <v>0.53600000000000003</v>
      </c>
      <c r="BJ1032" s="312">
        <v>0.44030000000000002</v>
      </c>
      <c r="BK1032" s="312">
        <v>0.4733</v>
      </c>
      <c r="BM1032">
        <f>(C1032-C621)*1000000/(RIMS_emp!C1032-RIMS_emp!C621)</f>
        <v>37538.653663177924</v>
      </c>
    </row>
    <row r="1033" spans="1:65" x14ac:dyDescent="0.25">
      <c r="A1033" s="306" t="s">
        <v>599</v>
      </c>
      <c r="B1033" s="312" t="s">
        <v>191</v>
      </c>
      <c r="C1033" s="312">
        <v>0.83960000000000001</v>
      </c>
      <c r="D1033" s="312">
        <v>0</v>
      </c>
      <c r="E1033" s="312">
        <v>0.56489999999999996</v>
      </c>
      <c r="F1033" s="312">
        <v>0.52629999999999999</v>
      </c>
      <c r="G1033" s="312">
        <v>0.52080000000000004</v>
      </c>
      <c r="H1033" s="312">
        <v>0.58450000000000002</v>
      </c>
      <c r="I1033" s="312">
        <v>0.56950000000000001</v>
      </c>
      <c r="J1033" s="312">
        <v>0.53939999999999999</v>
      </c>
      <c r="K1033" s="312">
        <v>0</v>
      </c>
      <c r="L1033" s="312">
        <v>0</v>
      </c>
      <c r="M1033" s="312">
        <v>0.52270000000000005</v>
      </c>
      <c r="N1033" s="312">
        <v>0.58930000000000005</v>
      </c>
      <c r="O1033" s="312">
        <v>0.38940000000000002</v>
      </c>
      <c r="P1033" s="312">
        <v>0.45</v>
      </c>
      <c r="Q1033" s="312">
        <v>0.42880000000000001</v>
      </c>
      <c r="R1033" s="312">
        <v>0.65969999999999995</v>
      </c>
      <c r="S1033" s="312">
        <v>0.57879999999999998</v>
      </c>
      <c r="T1033" s="312">
        <v>0.43180000000000002</v>
      </c>
      <c r="U1033" s="312">
        <v>0.53939999999999999</v>
      </c>
      <c r="V1033" s="312">
        <v>0.50090000000000001</v>
      </c>
      <c r="W1033" s="312">
        <v>0.53549999999999998</v>
      </c>
      <c r="X1033" s="312">
        <v>0.44069999999999998</v>
      </c>
      <c r="Y1033" s="312">
        <v>0</v>
      </c>
      <c r="Z1033" s="312">
        <v>0.61970000000000003</v>
      </c>
      <c r="AA1033" s="312">
        <v>0.57010000000000005</v>
      </c>
      <c r="AB1033" s="312">
        <v>0.55349999999999999</v>
      </c>
      <c r="AC1033" s="312">
        <v>0.47399999999999998</v>
      </c>
      <c r="AD1033" s="312">
        <v>0</v>
      </c>
      <c r="AE1033" s="312">
        <v>0.57189999999999996</v>
      </c>
      <c r="AF1033" s="312">
        <v>0</v>
      </c>
      <c r="AG1033" s="312">
        <v>0.43580000000000002</v>
      </c>
      <c r="AH1033" s="312">
        <v>0.50609999999999999</v>
      </c>
      <c r="AI1033" s="312">
        <v>0.52339999999999998</v>
      </c>
      <c r="AJ1033" s="312">
        <v>0.40079999999999999</v>
      </c>
      <c r="AK1033" s="312">
        <v>0.46300000000000002</v>
      </c>
      <c r="AL1033" s="312">
        <v>0.48520000000000002</v>
      </c>
      <c r="AM1033" s="312">
        <v>0.65769999999999995</v>
      </c>
      <c r="AN1033" s="312">
        <v>0.54879999999999995</v>
      </c>
      <c r="AO1033" s="312">
        <v>0.52649999999999997</v>
      </c>
      <c r="AP1033" s="312">
        <v>0.65059999999999996</v>
      </c>
      <c r="AQ1033" s="312">
        <v>0</v>
      </c>
      <c r="AR1033" s="312">
        <v>0.57969999999999999</v>
      </c>
      <c r="AS1033" s="312">
        <v>0.38840000000000002</v>
      </c>
      <c r="AT1033" s="312">
        <v>0.59119999999999995</v>
      </c>
      <c r="AU1033" s="312">
        <v>0.62690000000000001</v>
      </c>
      <c r="AV1033" s="312">
        <v>0.5907</v>
      </c>
      <c r="AW1033" s="312">
        <v>0.52349999999999997</v>
      </c>
      <c r="AX1033" s="312">
        <v>0.40820000000000001</v>
      </c>
      <c r="AY1033" s="312">
        <v>0.5081</v>
      </c>
      <c r="AZ1033" s="312">
        <v>0.58779999999999999</v>
      </c>
      <c r="BA1033" s="312">
        <v>0</v>
      </c>
      <c r="BB1033" s="312">
        <v>0.37169999999999997</v>
      </c>
      <c r="BC1033" s="312">
        <v>0.6169</v>
      </c>
      <c r="BD1033" s="312">
        <v>0.63670000000000004</v>
      </c>
      <c r="BE1033" s="312">
        <v>0.70099999999999996</v>
      </c>
      <c r="BF1033" s="312">
        <v>0.5776</v>
      </c>
      <c r="BG1033" s="312">
        <v>0.62560000000000004</v>
      </c>
      <c r="BH1033" s="312">
        <v>0.61570000000000003</v>
      </c>
      <c r="BI1033" s="312">
        <v>0.64439999999999997</v>
      </c>
      <c r="BJ1033" s="312">
        <v>0.55549999999999999</v>
      </c>
      <c r="BK1033" s="312">
        <v>0.5897</v>
      </c>
      <c r="BM1033">
        <f>(C1033-C622)*1000000/(RIMS_emp!C1033-RIMS_emp!C622)</f>
        <v>37549.580210457832</v>
      </c>
    </row>
    <row r="1034" spans="1:65" x14ac:dyDescent="0.25">
      <c r="A1034" s="306">
        <v>333511</v>
      </c>
      <c r="B1034" s="312" t="s">
        <v>193</v>
      </c>
      <c r="C1034" s="312">
        <v>1.0507</v>
      </c>
      <c r="D1034" s="312">
        <v>0</v>
      </c>
      <c r="E1034" s="312">
        <v>0.752</v>
      </c>
      <c r="F1034" s="312">
        <v>0.68969999999999998</v>
      </c>
      <c r="G1034" s="312">
        <v>0.74380000000000002</v>
      </c>
      <c r="H1034" s="312">
        <v>0.82420000000000004</v>
      </c>
      <c r="I1034" s="312">
        <v>0.80730000000000002</v>
      </c>
      <c r="J1034" s="312">
        <v>0.72599999999999998</v>
      </c>
      <c r="K1034" s="312">
        <v>0</v>
      </c>
      <c r="L1034" s="312">
        <v>0</v>
      </c>
      <c r="M1034" s="312">
        <v>0.74460000000000004</v>
      </c>
      <c r="N1034" s="312">
        <v>0.78059999999999996</v>
      </c>
      <c r="O1034" s="312">
        <v>0</v>
      </c>
      <c r="P1034" s="312">
        <v>0.63349999999999995</v>
      </c>
      <c r="Q1034" s="312">
        <v>0.64190000000000003</v>
      </c>
      <c r="R1034" s="312">
        <v>0.86180000000000001</v>
      </c>
      <c r="S1034" s="312">
        <v>0.7681</v>
      </c>
      <c r="T1034" s="312">
        <v>0.59960000000000002</v>
      </c>
      <c r="U1034" s="312">
        <v>0.71530000000000005</v>
      </c>
      <c r="V1034" s="312">
        <v>0.7077</v>
      </c>
      <c r="W1034" s="312">
        <v>0.73</v>
      </c>
      <c r="X1034" s="312">
        <v>0.64680000000000004</v>
      </c>
      <c r="Y1034" s="312">
        <v>0.70020000000000004</v>
      </c>
      <c r="Z1034" s="312">
        <v>0.83460000000000001</v>
      </c>
      <c r="AA1034" s="312">
        <v>0.78369999999999995</v>
      </c>
      <c r="AB1034" s="312">
        <v>0.7389</v>
      </c>
      <c r="AC1034" s="312">
        <v>0.64339999999999997</v>
      </c>
      <c r="AD1034" s="312">
        <v>0</v>
      </c>
      <c r="AE1034" s="312">
        <v>0.73319999999999996</v>
      </c>
      <c r="AF1034" s="312">
        <v>0</v>
      </c>
      <c r="AG1034" s="312">
        <v>0.63</v>
      </c>
      <c r="AH1034" s="312">
        <v>0.69069999999999998</v>
      </c>
      <c r="AI1034" s="312">
        <v>0.71330000000000005</v>
      </c>
      <c r="AJ1034" s="312">
        <v>0.6109</v>
      </c>
      <c r="AK1034" s="312">
        <v>0.67290000000000005</v>
      </c>
      <c r="AL1034" s="312">
        <v>0.68679999999999997</v>
      </c>
      <c r="AM1034" s="312">
        <v>0.84570000000000001</v>
      </c>
      <c r="AN1034" s="312">
        <v>0.74319999999999997</v>
      </c>
      <c r="AO1034" s="312">
        <v>0.74019999999999997</v>
      </c>
      <c r="AP1034" s="312">
        <v>0.84840000000000004</v>
      </c>
      <c r="AQ1034" s="312">
        <v>0.63180000000000003</v>
      </c>
      <c r="AR1034" s="312">
        <v>0.75870000000000004</v>
      </c>
      <c r="AS1034" s="312">
        <v>0.57830000000000004</v>
      </c>
      <c r="AT1034" s="312">
        <v>0.77669999999999995</v>
      </c>
      <c r="AU1034" s="312">
        <v>0.83550000000000002</v>
      </c>
      <c r="AV1034" s="312">
        <v>0.82089999999999996</v>
      </c>
      <c r="AW1034" s="312">
        <v>0.71179999999999999</v>
      </c>
      <c r="AX1034" s="312">
        <v>0.60509999999999997</v>
      </c>
      <c r="AY1034" s="312">
        <v>0.73780000000000001</v>
      </c>
      <c r="AZ1034" s="312">
        <v>0.77759999999999996</v>
      </c>
      <c r="BA1034" s="312">
        <v>0.59019999999999995</v>
      </c>
      <c r="BB1034" s="312">
        <v>0</v>
      </c>
      <c r="BC1034" s="312">
        <v>0.82809999999999995</v>
      </c>
      <c r="BD1034" s="312">
        <v>0.85619999999999996</v>
      </c>
      <c r="BE1034" s="312">
        <v>0.89900000000000002</v>
      </c>
      <c r="BF1034" s="312">
        <v>0.77359999999999995</v>
      </c>
      <c r="BG1034" s="312">
        <v>0.82240000000000002</v>
      </c>
      <c r="BH1034" s="312">
        <v>0.80110000000000003</v>
      </c>
      <c r="BI1034" s="312">
        <v>0.84419999999999995</v>
      </c>
      <c r="BJ1034" s="312">
        <v>0.78549999999999998</v>
      </c>
      <c r="BK1034" s="312">
        <v>0.83430000000000004</v>
      </c>
      <c r="BM1034">
        <f>(C1034-C623)*1000000/(RIMS_emp!C1034-RIMS_emp!C623)</f>
        <v>37543.992961126205</v>
      </c>
    </row>
    <row r="1035" spans="1:65" x14ac:dyDescent="0.25">
      <c r="A1035" s="306">
        <v>333514</v>
      </c>
      <c r="B1035" s="312" t="s">
        <v>195</v>
      </c>
      <c r="C1035" s="312">
        <v>1.0516000000000001</v>
      </c>
      <c r="D1035" s="312">
        <v>0</v>
      </c>
      <c r="E1035" s="312">
        <v>0.74039999999999995</v>
      </c>
      <c r="F1035" s="312">
        <v>0.67859999999999998</v>
      </c>
      <c r="G1035" s="312">
        <v>0.73350000000000004</v>
      </c>
      <c r="H1035" s="312">
        <v>0.8115</v>
      </c>
      <c r="I1035" s="312">
        <v>0.80149999999999999</v>
      </c>
      <c r="J1035" s="312">
        <v>0.72840000000000005</v>
      </c>
      <c r="K1035" s="312">
        <v>0</v>
      </c>
      <c r="L1035" s="312">
        <v>0</v>
      </c>
      <c r="M1035" s="312">
        <v>0.73119999999999996</v>
      </c>
      <c r="N1035" s="312">
        <v>0.75670000000000004</v>
      </c>
      <c r="O1035" s="312">
        <v>0</v>
      </c>
      <c r="P1035" s="312">
        <v>0.62680000000000002</v>
      </c>
      <c r="Q1035" s="312">
        <v>0.62660000000000005</v>
      </c>
      <c r="R1035" s="312">
        <v>0.86439999999999995</v>
      </c>
      <c r="S1035" s="312">
        <v>0.7671</v>
      </c>
      <c r="T1035" s="312">
        <v>0.59370000000000001</v>
      </c>
      <c r="U1035" s="312">
        <v>0.7056</v>
      </c>
      <c r="V1035" s="312">
        <v>0.69720000000000004</v>
      </c>
      <c r="W1035" s="312">
        <v>0.72319999999999995</v>
      </c>
      <c r="X1035" s="312">
        <v>0.62939999999999996</v>
      </c>
      <c r="Y1035" s="312">
        <v>0.69830000000000003</v>
      </c>
      <c r="Z1035" s="312">
        <v>0.83809999999999996</v>
      </c>
      <c r="AA1035" s="312">
        <v>0.7752</v>
      </c>
      <c r="AB1035" s="312">
        <v>0.73080000000000001</v>
      </c>
      <c r="AC1035" s="312">
        <v>0.63260000000000005</v>
      </c>
      <c r="AD1035" s="312">
        <v>0</v>
      </c>
      <c r="AE1035" s="312">
        <v>0.71830000000000005</v>
      </c>
      <c r="AF1035" s="312">
        <v>0.54220000000000002</v>
      </c>
      <c r="AG1035" s="312">
        <v>0.62250000000000005</v>
      </c>
      <c r="AH1035" s="312">
        <v>0.67469999999999997</v>
      </c>
      <c r="AI1035" s="312">
        <v>0.69799999999999995</v>
      </c>
      <c r="AJ1035" s="312">
        <v>0.60029999999999994</v>
      </c>
      <c r="AK1035" s="312">
        <v>0.65949999999999998</v>
      </c>
      <c r="AL1035" s="312">
        <v>0.68200000000000005</v>
      </c>
      <c r="AM1035" s="312">
        <v>0.84589999999999999</v>
      </c>
      <c r="AN1035" s="312">
        <v>0.74109999999999998</v>
      </c>
      <c r="AO1035" s="312">
        <v>0.72270000000000001</v>
      </c>
      <c r="AP1035" s="312">
        <v>0.84950000000000003</v>
      </c>
      <c r="AQ1035" s="312">
        <v>0.62949999999999995</v>
      </c>
      <c r="AR1035" s="312">
        <v>0.74170000000000003</v>
      </c>
      <c r="AS1035" s="312">
        <v>0.57110000000000005</v>
      </c>
      <c r="AT1035" s="312">
        <v>0.77529999999999999</v>
      </c>
      <c r="AU1035" s="312">
        <v>0.82199999999999995</v>
      </c>
      <c r="AV1035" s="312">
        <v>0.80620000000000003</v>
      </c>
      <c r="AW1035" s="312">
        <v>0.69120000000000004</v>
      </c>
      <c r="AX1035" s="312">
        <v>0.59019999999999995</v>
      </c>
      <c r="AY1035" s="312">
        <v>0.72870000000000001</v>
      </c>
      <c r="AZ1035" s="312">
        <v>0.77649999999999997</v>
      </c>
      <c r="BA1035" s="312">
        <v>0.57599999999999996</v>
      </c>
      <c r="BB1035" s="312">
        <v>0</v>
      </c>
      <c r="BC1035" s="312">
        <v>0.82440000000000002</v>
      </c>
      <c r="BD1035" s="312">
        <v>0.85940000000000005</v>
      </c>
      <c r="BE1035" s="312">
        <v>0.90049999999999997</v>
      </c>
      <c r="BF1035" s="312">
        <v>0.7671</v>
      </c>
      <c r="BG1035" s="312">
        <v>0.80289999999999995</v>
      </c>
      <c r="BH1035" s="312">
        <v>0.79630000000000001</v>
      </c>
      <c r="BI1035" s="312">
        <v>0.83240000000000003</v>
      </c>
      <c r="BJ1035" s="312">
        <v>0.77349999999999997</v>
      </c>
      <c r="BK1035" s="312">
        <v>0.82110000000000005</v>
      </c>
      <c r="BM1035">
        <f>(C1035-C624)*1000000/(RIMS_emp!C1035-RIMS_emp!C624)</f>
        <v>37539.082400183819</v>
      </c>
    </row>
    <row r="1036" spans="1:65" x14ac:dyDescent="0.25">
      <c r="A1036" s="306">
        <v>333515</v>
      </c>
      <c r="B1036" s="312" t="s">
        <v>196</v>
      </c>
      <c r="C1036" s="312">
        <v>0.93049999999999999</v>
      </c>
      <c r="D1036" s="312">
        <v>0</v>
      </c>
      <c r="E1036" s="312">
        <v>0.64529999999999998</v>
      </c>
      <c r="F1036" s="312">
        <v>0.60629999999999995</v>
      </c>
      <c r="G1036" s="312">
        <v>0.64510000000000001</v>
      </c>
      <c r="H1036" s="312">
        <v>0.72370000000000001</v>
      </c>
      <c r="I1036" s="312">
        <v>0.71689999999999998</v>
      </c>
      <c r="J1036" s="312">
        <v>0.64429999999999998</v>
      </c>
      <c r="K1036" s="312">
        <v>0</v>
      </c>
      <c r="L1036" s="312">
        <v>0</v>
      </c>
      <c r="M1036" s="312">
        <v>0.65529999999999999</v>
      </c>
      <c r="N1036" s="312">
        <v>0.68500000000000005</v>
      </c>
      <c r="O1036" s="312">
        <v>0</v>
      </c>
      <c r="P1036" s="312">
        <v>0.53749999999999998</v>
      </c>
      <c r="Q1036" s="312">
        <v>0.56130000000000002</v>
      </c>
      <c r="R1036" s="312">
        <v>0.75039999999999996</v>
      </c>
      <c r="S1036" s="312">
        <v>0.6694</v>
      </c>
      <c r="T1036" s="312">
        <v>0.51729999999999998</v>
      </c>
      <c r="U1036" s="312">
        <v>0.62709999999999999</v>
      </c>
      <c r="V1036" s="312">
        <v>0.62829999999999997</v>
      </c>
      <c r="W1036" s="312">
        <v>0.64849999999999997</v>
      </c>
      <c r="X1036" s="312">
        <v>0.55420000000000003</v>
      </c>
      <c r="Y1036" s="312">
        <v>0.63029999999999997</v>
      </c>
      <c r="Z1036" s="312">
        <v>0.73409999999999997</v>
      </c>
      <c r="AA1036" s="312">
        <v>0.67700000000000005</v>
      </c>
      <c r="AB1036" s="312">
        <v>0.64910000000000001</v>
      </c>
      <c r="AC1036" s="312">
        <v>0.5514</v>
      </c>
      <c r="AD1036" s="312">
        <v>0.54469999999999996</v>
      </c>
      <c r="AE1036" s="312">
        <v>0.66400000000000003</v>
      </c>
      <c r="AF1036" s="312">
        <v>0</v>
      </c>
      <c r="AG1036" s="312">
        <v>0.55269999999999997</v>
      </c>
      <c r="AH1036" s="312">
        <v>0.59930000000000005</v>
      </c>
      <c r="AI1036" s="312">
        <v>0.6341</v>
      </c>
      <c r="AJ1036" s="312">
        <v>0.54620000000000002</v>
      </c>
      <c r="AK1036" s="312">
        <v>0.6079</v>
      </c>
      <c r="AL1036" s="312">
        <v>0.61519999999999997</v>
      </c>
      <c r="AM1036" s="312">
        <v>0.74509999999999998</v>
      </c>
      <c r="AN1036" s="312">
        <v>0.64029999999999998</v>
      </c>
      <c r="AO1036" s="312">
        <v>0.64129999999999998</v>
      </c>
      <c r="AP1036" s="312">
        <v>0.748</v>
      </c>
      <c r="AQ1036" s="312">
        <v>0.56310000000000004</v>
      </c>
      <c r="AR1036" s="312">
        <v>0.66700000000000004</v>
      </c>
      <c r="AS1036" s="312">
        <v>0.49709999999999999</v>
      </c>
      <c r="AT1036" s="312">
        <v>0.67910000000000004</v>
      </c>
      <c r="AU1036" s="312">
        <v>0.72760000000000002</v>
      </c>
      <c r="AV1036" s="312">
        <v>0.74239999999999995</v>
      </c>
      <c r="AW1036" s="312">
        <v>0.62170000000000003</v>
      </c>
      <c r="AX1036" s="312">
        <v>0.5181</v>
      </c>
      <c r="AY1036" s="312">
        <v>0.63460000000000005</v>
      </c>
      <c r="AZ1036" s="312">
        <v>0.67430000000000001</v>
      </c>
      <c r="BA1036" s="312">
        <v>0</v>
      </c>
      <c r="BB1036" s="312">
        <v>0</v>
      </c>
      <c r="BC1036" s="312">
        <v>0.73629999999999995</v>
      </c>
      <c r="BD1036" s="312">
        <v>0.7591</v>
      </c>
      <c r="BE1036" s="312">
        <v>0.79310000000000003</v>
      </c>
      <c r="BF1036" s="312">
        <v>0.66810000000000003</v>
      </c>
      <c r="BG1036" s="312">
        <v>0.73619999999999997</v>
      </c>
      <c r="BH1036" s="312">
        <v>0.69640000000000002</v>
      </c>
      <c r="BI1036" s="312">
        <v>0.73770000000000002</v>
      </c>
      <c r="BJ1036" s="312">
        <v>0.70579999999999998</v>
      </c>
      <c r="BK1036" s="312">
        <v>0.72809999999999997</v>
      </c>
      <c r="BM1036">
        <f>(C1036-C625)*1000000/(RIMS_emp!C1036-RIMS_emp!C625)</f>
        <v>37537.961321787829</v>
      </c>
    </row>
    <row r="1037" spans="1:65" x14ac:dyDescent="0.25">
      <c r="A1037" s="306" t="s">
        <v>732</v>
      </c>
      <c r="B1037" s="312" t="s">
        <v>194</v>
      </c>
      <c r="C1037" s="312">
        <v>0.98550000000000004</v>
      </c>
      <c r="D1037" s="312">
        <v>0</v>
      </c>
      <c r="E1037" s="312">
        <v>0.65690000000000004</v>
      </c>
      <c r="F1037" s="312">
        <v>0.59850000000000003</v>
      </c>
      <c r="G1037" s="312">
        <v>0.65690000000000004</v>
      </c>
      <c r="H1037" s="312">
        <v>0.75070000000000003</v>
      </c>
      <c r="I1037" s="312">
        <v>0.72289999999999999</v>
      </c>
      <c r="J1037" s="312">
        <v>0.67100000000000004</v>
      </c>
      <c r="K1037" s="312">
        <v>0</v>
      </c>
      <c r="L1037" s="312">
        <v>0.47610000000000002</v>
      </c>
      <c r="M1037" s="312">
        <v>0.65710000000000002</v>
      </c>
      <c r="N1037" s="312">
        <v>0.69830000000000003</v>
      </c>
      <c r="O1037" s="312">
        <v>0</v>
      </c>
      <c r="P1037" s="312">
        <v>0.56169999999999998</v>
      </c>
      <c r="Q1037" s="312">
        <v>0.5504</v>
      </c>
      <c r="R1037" s="312">
        <v>0.80800000000000005</v>
      </c>
      <c r="S1037" s="312">
        <v>0.68359999999999999</v>
      </c>
      <c r="T1037" s="312">
        <v>0.54010000000000002</v>
      </c>
      <c r="U1037" s="312">
        <v>0.63460000000000005</v>
      </c>
      <c r="V1037" s="312">
        <v>0.62619999999999998</v>
      </c>
      <c r="W1037" s="312">
        <v>0.66659999999999997</v>
      </c>
      <c r="X1037" s="312">
        <v>0.56359999999999999</v>
      </c>
      <c r="Y1037" s="312">
        <v>0</v>
      </c>
      <c r="Z1037" s="312">
        <v>0.76970000000000005</v>
      </c>
      <c r="AA1037" s="312">
        <v>0.72589999999999999</v>
      </c>
      <c r="AB1037" s="312">
        <v>0.66110000000000002</v>
      </c>
      <c r="AC1037" s="312">
        <v>0.56640000000000001</v>
      </c>
      <c r="AD1037" s="312">
        <v>0.52110000000000001</v>
      </c>
      <c r="AE1037" s="312">
        <v>0.67800000000000005</v>
      </c>
      <c r="AF1037" s="312">
        <v>0</v>
      </c>
      <c r="AG1037" s="312">
        <v>0.54830000000000001</v>
      </c>
      <c r="AH1037" s="312">
        <v>0.63280000000000003</v>
      </c>
      <c r="AI1037" s="312">
        <v>0.64270000000000005</v>
      </c>
      <c r="AJ1037" s="312">
        <v>0.52080000000000004</v>
      </c>
      <c r="AK1037" s="312">
        <v>0.58809999999999996</v>
      </c>
      <c r="AL1037" s="312">
        <v>0.61629999999999996</v>
      </c>
      <c r="AM1037" s="312">
        <v>0.78269999999999995</v>
      </c>
      <c r="AN1037" s="312">
        <v>0.67110000000000003</v>
      </c>
      <c r="AO1037" s="312">
        <v>0.66479999999999995</v>
      </c>
      <c r="AP1037" s="312">
        <v>0.78149999999999997</v>
      </c>
      <c r="AQ1037" s="312">
        <v>0.56389999999999996</v>
      </c>
      <c r="AR1037" s="312">
        <v>0.68359999999999999</v>
      </c>
      <c r="AS1037" s="312">
        <v>0.50209999999999999</v>
      </c>
      <c r="AT1037" s="312">
        <v>0.69289999999999996</v>
      </c>
      <c r="AU1037" s="312">
        <v>0.75509999999999999</v>
      </c>
      <c r="AV1037" s="312">
        <v>0.7319</v>
      </c>
      <c r="AW1037" s="312">
        <v>0.64259999999999995</v>
      </c>
      <c r="AX1037" s="312">
        <v>0.52880000000000005</v>
      </c>
      <c r="AY1037" s="312">
        <v>0.66069999999999995</v>
      </c>
      <c r="AZ1037" s="312">
        <v>0.72130000000000005</v>
      </c>
      <c r="BA1037" s="312">
        <v>0</v>
      </c>
      <c r="BB1037" s="312">
        <v>0.47410000000000002</v>
      </c>
      <c r="BC1037" s="312">
        <v>0.76629999999999998</v>
      </c>
      <c r="BD1037" s="312">
        <v>0.7823</v>
      </c>
      <c r="BE1037" s="312">
        <v>0.83679999999999999</v>
      </c>
      <c r="BF1037" s="312">
        <v>0.70450000000000002</v>
      </c>
      <c r="BG1037" s="312">
        <v>0.74870000000000003</v>
      </c>
      <c r="BH1037" s="312">
        <v>0.71460000000000001</v>
      </c>
      <c r="BI1037" s="312">
        <v>0.7621</v>
      </c>
      <c r="BJ1037" s="312">
        <v>0.69569999999999999</v>
      </c>
      <c r="BK1037" s="312">
        <v>0.75900000000000001</v>
      </c>
      <c r="BM1037">
        <f>(C1037-C626)*1000000/(RIMS_emp!C1037-RIMS_emp!C626)</f>
        <v>37542.371074679686</v>
      </c>
    </row>
    <row r="1038" spans="1:65" x14ac:dyDescent="0.25">
      <c r="A1038" s="306" t="s">
        <v>733</v>
      </c>
      <c r="B1038" s="312" t="s">
        <v>197</v>
      </c>
      <c r="C1038" s="312">
        <v>0.93820000000000003</v>
      </c>
      <c r="D1038" s="312">
        <v>0</v>
      </c>
      <c r="E1038" s="312">
        <v>0.61529999999999996</v>
      </c>
      <c r="F1038" s="312">
        <v>0.56259999999999999</v>
      </c>
      <c r="G1038" s="312">
        <v>0.624</v>
      </c>
      <c r="H1038" s="312">
        <v>0.70540000000000003</v>
      </c>
      <c r="I1038" s="312">
        <v>0.69220000000000004</v>
      </c>
      <c r="J1038" s="312">
        <v>0.64249999999999996</v>
      </c>
      <c r="K1038" s="312">
        <v>0</v>
      </c>
      <c r="L1038" s="312">
        <v>0</v>
      </c>
      <c r="M1038" s="312">
        <v>0.62050000000000005</v>
      </c>
      <c r="N1038" s="312">
        <v>0.6583</v>
      </c>
      <c r="O1038" s="312">
        <v>0</v>
      </c>
      <c r="P1038" s="312">
        <v>0.52349999999999997</v>
      </c>
      <c r="Q1038" s="312">
        <v>0.51800000000000002</v>
      </c>
      <c r="R1038" s="312">
        <v>0.77110000000000001</v>
      </c>
      <c r="S1038" s="312">
        <v>0.6532</v>
      </c>
      <c r="T1038" s="312">
        <v>0.52049999999999996</v>
      </c>
      <c r="U1038" s="312">
        <v>0.58850000000000002</v>
      </c>
      <c r="V1038" s="312">
        <v>0</v>
      </c>
      <c r="W1038" s="312">
        <v>0.64090000000000003</v>
      </c>
      <c r="X1038" s="312">
        <v>0.52669999999999995</v>
      </c>
      <c r="Y1038" s="312">
        <v>0.58789999999999998</v>
      </c>
      <c r="Z1038" s="312">
        <v>0.73229999999999995</v>
      </c>
      <c r="AA1038" s="312">
        <v>0.67859999999999998</v>
      </c>
      <c r="AB1038" s="312">
        <v>0.62949999999999995</v>
      </c>
      <c r="AC1038" s="312">
        <v>0.52780000000000005</v>
      </c>
      <c r="AD1038" s="312">
        <v>0</v>
      </c>
      <c r="AE1038" s="312">
        <v>0.63919999999999999</v>
      </c>
      <c r="AF1038" s="312">
        <v>0</v>
      </c>
      <c r="AG1038" s="312">
        <v>0.52139999999999997</v>
      </c>
      <c r="AH1038" s="312">
        <v>0.60109999999999997</v>
      </c>
      <c r="AI1038" s="312">
        <v>0.60319999999999996</v>
      </c>
      <c r="AJ1038" s="312">
        <v>0</v>
      </c>
      <c r="AK1038" s="312">
        <v>0</v>
      </c>
      <c r="AL1038" s="312">
        <v>0.58760000000000001</v>
      </c>
      <c r="AM1038" s="312">
        <v>0.74539999999999995</v>
      </c>
      <c r="AN1038" s="312">
        <v>0.63549999999999995</v>
      </c>
      <c r="AO1038" s="312">
        <v>0</v>
      </c>
      <c r="AP1038" s="312">
        <v>0.74219999999999997</v>
      </c>
      <c r="AQ1038" s="312">
        <v>0.54100000000000004</v>
      </c>
      <c r="AR1038" s="312">
        <v>0.6411</v>
      </c>
      <c r="AS1038" s="312">
        <v>0.47739999999999999</v>
      </c>
      <c r="AT1038" s="312">
        <v>0.66320000000000001</v>
      </c>
      <c r="AU1038" s="312">
        <v>0.71130000000000004</v>
      </c>
      <c r="AV1038" s="312">
        <v>0.68669999999999998</v>
      </c>
      <c r="AW1038" s="312">
        <v>0.60350000000000004</v>
      </c>
      <c r="AX1038" s="312">
        <v>0</v>
      </c>
      <c r="AY1038" s="312">
        <v>0.63239999999999996</v>
      </c>
      <c r="AZ1038" s="312">
        <v>0.68940000000000001</v>
      </c>
      <c r="BA1038" s="312">
        <v>0.47570000000000001</v>
      </c>
      <c r="BB1038" s="312">
        <v>0</v>
      </c>
      <c r="BC1038" s="312">
        <v>0.73609999999999998</v>
      </c>
      <c r="BD1038" s="312">
        <v>0.74570000000000003</v>
      </c>
      <c r="BE1038" s="312">
        <v>0.79810000000000003</v>
      </c>
      <c r="BF1038" s="312">
        <v>0.66890000000000005</v>
      </c>
      <c r="BG1038" s="312">
        <v>0.70589999999999997</v>
      </c>
      <c r="BH1038" s="312">
        <v>0.6754</v>
      </c>
      <c r="BI1038" s="312">
        <v>0.71709999999999996</v>
      </c>
      <c r="BJ1038" s="312">
        <v>0.65839999999999999</v>
      </c>
      <c r="BK1038" s="312">
        <v>0.71430000000000005</v>
      </c>
      <c r="BM1038">
        <f>(C1038-C627)*1000000/(RIMS_emp!C1038-RIMS_emp!C627)</f>
        <v>37543.808574723713</v>
      </c>
    </row>
    <row r="1039" spans="1:65" x14ac:dyDescent="0.25">
      <c r="A1039" s="306">
        <v>333611</v>
      </c>
      <c r="B1039" s="312" t="s">
        <v>198</v>
      </c>
      <c r="C1039" s="312">
        <v>0.48799999999999999</v>
      </c>
      <c r="D1039" s="312">
        <v>0</v>
      </c>
      <c r="E1039" s="312">
        <v>0.31019999999999998</v>
      </c>
      <c r="F1039" s="312">
        <v>0.2492</v>
      </c>
      <c r="G1039" s="312">
        <v>0.28939999999999999</v>
      </c>
      <c r="H1039" s="312">
        <v>0.33600000000000002</v>
      </c>
      <c r="I1039" s="312">
        <v>0.31209999999999999</v>
      </c>
      <c r="J1039" s="312">
        <v>0.29270000000000002</v>
      </c>
      <c r="K1039" s="312">
        <v>3.7600000000000001E-2</v>
      </c>
      <c r="L1039" s="312">
        <v>0</v>
      </c>
      <c r="M1039" s="312">
        <v>0.2797</v>
      </c>
      <c r="N1039" s="312">
        <v>0.30690000000000001</v>
      </c>
      <c r="O1039" s="312">
        <v>0</v>
      </c>
      <c r="P1039" s="312">
        <v>0.2384</v>
      </c>
      <c r="Q1039" s="312">
        <v>0.221</v>
      </c>
      <c r="R1039" s="312">
        <v>0.38940000000000002</v>
      </c>
      <c r="S1039" s="312">
        <v>0.33229999999999998</v>
      </c>
      <c r="T1039" s="312">
        <v>0.2293</v>
      </c>
      <c r="U1039" s="312">
        <v>0.28439999999999999</v>
      </c>
      <c r="V1039" s="312">
        <v>0.28960000000000002</v>
      </c>
      <c r="W1039" s="312">
        <v>0.29549999999999998</v>
      </c>
      <c r="X1039" s="312">
        <v>0</v>
      </c>
      <c r="Y1039" s="312">
        <v>0.24149999999999999</v>
      </c>
      <c r="Z1039" s="312">
        <v>0.37469999999999998</v>
      </c>
      <c r="AA1039" s="312">
        <v>0.311</v>
      </c>
      <c r="AB1039" s="312">
        <v>0.28170000000000001</v>
      </c>
      <c r="AC1039" s="312">
        <v>0.25750000000000001</v>
      </c>
      <c r="AD1039" s="312">
        <v>0</v>
      </c>
      <c r="AE1039" s="312">
        <v>0.29060000000000002</v>
      </c>
      <c r="AF1039" s="312">
        <v>0.17399999999999999</v>
      </c>
      <c r="AG1039" s="312">
        <v>0</v>
      </c>
      <c r="AH1039" s="312">
        <v>0.2671</v>
      </c>
      <c r="AI1039" s="312">
        <v>0.27500000000000002</v>
      </c>
      <c r="AJ1039" s="312">
        <v>0</v>
      </c>
      <c r="AK1039" s="312">
        <v>0.26450000000000001</v>
      </c>
      <c r="AL1039" s="312">
        <v>0.2545</v>
      </c>
      <c r="AM1039" s="312">
        <v>0.38150000000000001</v>
      </c>
      <c r="AN1039" s="312">
        <v>0.29909999999999998</v>
      </c>
      <c r="AO1039" s="312">
        <v>0</v>
      </c>
      <c r="AP1039" s="312">
        <v>0.3735</v>
      </c>
      <c r="AQ1039" s="312">
        <v>0</v>
      </c>
      <c r="AR1039" s="312">
        <v>0.32390000000000002</v>
      </c>
      <c r="AS1039" s="312">
        <v>0.187</v>
      </c>
      <c r="AT1039" s="312">
        <v>0.34260000000000002</v>
      </c>
      <c r="AU1039" s="312">
        <v>0.36870000000000003</v>
      </c>
      <c r="AV1039" s="312">
        <v>0.33229999999999998</v>
      </c>
      <c r="AW1039" s="312">
        <v>0.27360000000000001</v>
      </c>
      <c r="AX1039" s="312">
        <v>0.20810000000000001</v>
      </c>
      <c r="AY1039" s="312">
        <v>0.28489999999999999</v>
      </c>
      <c r="AZ1039" s="312">
        <v>0.3332</v>
      </c>
      <c r="BA1039" s="312">
        <v>0</v>
      </c>
      <c r="BB1039" s="312">
        <v>0.1978</v>
      </c>
      <c r="BC1039" s="312">
        <v>0.33910000000000001</v>
      </c>
      <c r="BD1039" s="312">
        <v>0.36499999999999999</v>
      </c>
      <c r="BE1039" s="312">
        <v>0.40920000000000001</v>
      </c>
      <c r="BF1039" s="312">
        <v>0.30180000000000001</v>
      </c>
      <c r="BG1039" s="312">
        <v>0.32329999999999998</v>
      </c>
      <c r="BH1039" s="312">
        <v>0.35499999999999998</v>
      </c>
      <c r="BI1039" s="312">
        <v>0.37230000000000002</v>
      </c>
      <c r="BJ1039" s="312">
        <v>0.3115</v>
      </c>
      <c r="BK1039" s="312">
        <v>0.34560000000000002</v>
      </c>
      <c r="BM1039">
        <f>(C1039-C628)*1000000/(RIMS_emp!C1039-RIMS_emp!C628)</f>
        <v>37541.707028306962</v>
      </c>
    </row>
    <row r="1040" spans="1:65" x14ac:dyDescent="0.25">
      <c r="A1040" s="306">
        <v>333612</v>
      </c>
      <c r="B1040" s="312" t="s">
        <v>199</v>
      </c>
      <c r="C1040" s="312">
        <v>0.88200000000000001</v>
      </c>
      <c r="D1040" s="312">
        <v>0</v>
      </c>
      <c r="E1040" s="312">
        <v>0.60809999999999997</v>
      </c>
      <c r="F1040" s="312">
        <v>0</v>
      </c>
      <c r="G1040" s="312">
        <v>0.58299999999999996</v>
      </c>
      <c r="H1040" s="312">
        <v>0.65790000000000004</v>
      </c>
      <c r="I1040" s="312">
        <v>0</v>
      </c>
      <c r="J1040" s="312">
        <v>0.59719999999999995</v>
      </c>
      <c r="K1040" s="312">
        <v>0</v>
      </c>
      <c r="L1040" s="312">
        <v>0</v>
      </c>
      <c r="M1040" s="312">
        <v>0.58479999999999999</v>
      </c>
      <c r="N1040" s="312">
        <v>0.64019999999999999</v>
      </c>
      <c r="O1040" s="312">
        <v>0</v>
      </c>
      <c r="P1040" s="312">
        <v>0.49399999999999999</v>
      </c>
      <c r="Q1040" s="312">
        <v>0.49630000000000002</v>
      </c>
      <c r="R1040" s="312">
        <v>0.72399999999999998</v>
      </c>
      <c r="S1040" s="312">
        <v>0.63280000000000003</v>
      </c>
      <c r="T1040" s="312">
        <v>0.48399999999999999</v>
      </c>
      <c r="U1040" s="312">
        <v>0.57799999999999996</v>
      </c>
      <c r="V1040" s="312">
        <v>0.56569999999999998</v>
      </c>
      <c r="W1040" s="312">
        <v>0.59240000000000004</v>
      </c>
      <c r="X1040" s="312">
        <v>0.50919999999999999</v>
      </c>
      <c r="Y1040" s="312">
        <v>0.53269999999999995</v>
      </c>
      <c r="Z1040" s="312">
        <v>0.69669999999999999</v>
      </c>
      <c r="AA1040" s="312">
        <v>0.626</v>
      </c>
      <c r="AB1040" s="312">
        <v>0.57840000000000003</v>
      </c>
      <c r="AC1040" s="312">
        <v>0.51129999999999998</v>
      </c>
      <c r="AD1040" s="312">
        <v>0</v>
      </c>
      <c r="AE1040" s="312">
        <v>0.60419999999999996</v>
      </c>
      <c r="AF1040" s="312">
        <v>0</v>
      </c>
      <c r="AG1040" s="312">
        <v>0.49569999999999997</v>
      </c>
      <c r="AH1040" s="312">
        <v>0.5554</v>
      </c>
      <c r="AI1040" s="312">
        <v>0.57499999999999996</v>
      </c>
      <c r="AJ1040" s="312">
        <v>0.4733</v>
      </c>
      <c r="AK1040" s="312">
        <v>0</v>
      </c>
      <c r="AL1040" s="312">
        <v>0.55379999999999996</v>
      </c>
      <c r="AM1040" s="312">
        <v>0.70520000000000005</v>
      </c>
      <c r="AN1040" s="312">
        <v>0.58760000000000001</v>
      </c>
      <c r="AO1040" s="312">
        <v>0.59619999999999995</v>
      </c>
      <c r="AP1040" s="312">
        <v>0.70040000000000002</v>
      </c>
      <c r="AQ1040" s="312">
        <v>0</v>
      </c>
      <c r="AR1040" s="312">
        <v>0.6159</v>
      </c>
      <c r="AS1040" s="312">
        <v>0.4365</v>
      </c>
      <c r="AT1040" s="312">
        <v>0.64229999999999998</v>
      </c>
      <c r="AU1040" s="312">
        <v>0.68600000000000005</v>
      </c>
      <c r="AV1040" s="312">
        <v>0.64810000000000001</v>
      </c>
      <c r="AW1040" s="312">
        <v>0.57110000000000005</v>
      </c>
      <c r="AX1040" s="312">
        <v>0</v>
      </c>
      <c r="AY1040" s="312">
        <v>0.57799999999999996</v>
      </c>
      <c r="AZ1040" s="312">
        <v>0.64159999999999995</v>
      </c>
      <c r="BA1040" s="312">
        <v>0</v>
      </c>
      <c r="BB1040" s="312">
        <v>0</v>
      </c>
      <c r="BC1040" s="312">
        <v>0.68069999999999997</v>
      </c>
      <c r="BD1040" s="312">
        <v>0.70279999999999998</v>
      </c>
      <c r="BE1040" s="312">
        <v>0.75280000000000002</v>
      </c>
      <c r="BF1040" s="312">
        <v>0.61709999999999998</v>
      </c>
      <c r="BG1040" s="312">
        <v>0.66679999999999995</v>
      </c>
      <c r="BH1040" s="312">
        <v>0.66180000000000005</v>
      </c>
      <c r="BI1040" s="312">
        <v>0.69430000000000003</v>
      </c>
      <c r="BJ1040" s="312">
        <v>0.62119999999999997</v>
      </c>
      <c r="BK1040" s="312">
        <v>0.66859999999999997</v>
      </c>
      <c r="BM1040">
        <f>(C1040-C629)*1000000/(RIMS_emp!C1040-RIMS_emp!C629)</f>
        <v>37540.792263166673</v>
      </c>
    </row>
    <row r="1041" spans="1:65" x14ac:dyDescent="0.25">
      <c r="A1041" s="306">
        <v>333613</v>
      </c>
      <c r="B1041" s="312" t="s">
        <v>200</v>
      </c>
      <c r="C1041" s="312">
        <v>0.87019999999999997</v>
      </c>
      <c r="D1041" s="312">
        <v>0</v>
      </c>
      <c r="E1041" s="312">
        <v>0.59</v>
      </c>
      <c r="F1041" s="312">
        <v>0.51759999999999995</v>
      </c>
      <c r="G1041" s="312">
        <v>0</v>
      </c>
      <c r="H1041" s="312">
        <v>0.63129999999999997</v>
      </c>
      <c r="I1041" s="312">
        <v>0</v>
      </c>
      <c r="J1041" s="312">
        <v>0.57079999999999997</v>
      </c>
      <c r="K1041" s="312">
        <v>0</v>
      </c>
      <c r="L1041" s="312">
        <v>0</v>
      </c>
      <c r="M1041" s="312">
        <v>0.55159999999999998</v>
      </c>
      <c r="N1041" s="312">
        <v>0.6038</v>
      </c>
      <c r="O1041" s="312">
        <v>0</v>
      </c>
      <c r="P1041" s="312">
        <v>0</v>
      </c>
      <c r="Q1041" s="312">
        <v>0</v>
      </c>
      <c r="R1041" s="312">
        <v>0.70899999999999996</v>
      </c>
      <c r="S1041" s="312">
        <v>0.61709999999999998</v>
      </c>
      <c r="T1041" s="312">
        <v>0.45929999999999999</v>
      </c>
      <c r="U1041" s="312">
        <v>0.55779999999999996</v>
      </c>
      <c r="V1041" s="312">
        <v>0.5403</v>
      </c>
      <c r="W1041" s="312">
        <v>0.56520000000000004</v>
      </c>
      <c r="X1041" s="312">
        <v>0.48699999999999999</v>
      </c>
      <c r="Y1041" s="312">
        <v>0</v>
      </c>
      <c r="Z1041" s="312">
        <v>0.67800000000000005</v>
      </c>
      <c r="AA1041" s="312">
        <v>0.59909999999999997</v>
      </c>
      <c r="AB1041" s="312">
        <v>0.55479999999999996</v>
      </c>
      <c r="AC1041" s="312">
        <v>0.4914</v>
      </c>
      <c r="AD1041" s="312">
        <v>0</v>
      </c>
      <c r="AE1041" s="312">
        <v>0.57830000000000004</v>
      </c>
      <c r="AF1041" s="312">
        <v>0</v>
      </c>
      <c r="AG1041" s="312">
        <v>0.4677</v>
      </c>
      <c r="AH1041" s="312">
        <v>0.53480000000000005</v>
      </c>
      <c r="AI1041" s="312">
        <v>0.54530000000000001</v>
      </c>
      <c r="AJ1041" s="312">
        <v>0</v>
      </c>
      <c r="AK1041" s="312">
        <v>0</v>
      </c>
      <c r="AL1041" s="312">
        <v>0.52100000000000002</v>
      </c>
      <c r="AM1041" s="312">
        <v>0.6865</v>
      </c>
      <c r="AN1041" s="312">
        <v>0.57540000000000002</v>
      </c>
      <c r="AO1041" s="312">
        <v>0.57489999999999997</v>
      </c>
      <c r="AP1041" s="312">
        <v>0.6835</v>
      </c>
      <c r="AQ1041" s="312">
        <v>0.4718</v>
      </c>
      <c r="AR1041" s="312">
        <v>0.59640000000000004</v>
      </c>
      <c r="AS1041" s="312">
        <v>0</v>
      </c>
      <c r="AT1041" s="312">
        <v>0.6169</v>
      </c>
      <c r="AU1041" s="312">
        <v>0.66449999999999998</v>
      </c>
      <c r="AV1041" s="312">
        <v>0</v>
      </c>
      <c r="AW1041" s="312">
        <v>0</v>
      </c>
      <c r="AX1041" s="312">
        <v>0</v>
      </c>
      <c r="AY1041" s="312">
        <v>0.55059999999999998</v>
      </c>
      <c r="AZ1041" s="312">
        <v>0.6149</v>
      </c>
      <c r="BA1041" s="312">
        <v>0.43099999999999999</v>
      </c>
      <c r="BB1041" s="312">
        <v>0</v>
      </c>
      <c r="BC1041" s="312">
        <v>0.65310000000000001</v>
      </c>
      <c r="BD1041" s="312">
        <v>0.67920000000000003</v>
      </c>
      <c r="BE1041" s="312">
        <v>0.73650000000000004</v>
      </c>
      <c r="BF1041" s="312">
        <v>0.59450000000000003</v>
      </c>
      <c r="BG1041" s="312">
        <v>0.63990000000000002</v>
      </c>
      <c r="BH1041" s="312">
        <v>0.64119999999999999</v>
      </c>
      <c r="BI1041" s="312">
        <v>0.67300000000000004</v>
      </c>
      <c r="BJ1041" s="312">
        <v>0</v>
      </c>
      <c r="BK1041" s="312">
        <v>0.64200000000000002</v>
      </c>
      <c r="BM1041">
        <f>(C1041-C630)*1000000/(RIMS_emp!C1041-RIMS_emp!C630)</f>
        <v>37543.609739609099</v>
      </c>
    </row>
    <row r="1042" spans="1:65" x14ac:dyDescent="0.25">
      <c r="A1042" s="306">
        <v>333618</v>
      </c>
      <c r="B1042" s="312" t="s">
        <v>201</v>
      </c>
      <c r="C1042" s="312">
        <v>0.69779999999999998</v>
      </c>
      <c r="D1042" s="312">
        <v>0</v>
      </c>
      <c r="E1042" s="312">
        <v>0.4506</v>
      </c>
      <c r="F1042" s="312">
        <v>0.37209999999999999</v>
      </c>
      <c r="G1042" s="312">
        <v>0.35980000000000001</v>
      </c>
      <c r="H1042" s="312">
        <v>0.41849999999999998</v>
      </c>
      <c r="I1042" s="312">
        <v>0.3997</v>
      </c>
      <c r="J1042" s="312">
        <v>0.38990000000000002</v>
      </c>
      <c r="K1042" s="312">
        <v>0</v>
      </c>
      <c r="L1042" s="312">
        <v>0</v>
      </c>
      <c r="M1042" s="312">
        <v>0.34649999999999997</v>
      </c>
      <c r="N1042" s="312">
        <v>0.42149999999999999</v>
      </c>
      <c r="O1042" s="312">
        <v>0.2384</v>
      </c>
      <c r="P1042" s="312">
        <v>0.34539999999999998</v>
      </c>
      <c r="Q1042" s="312">
        <v>0</v>
      </c>
      <c r="R1042" s="312">
        <v>0.53710000000000002</v>
      </c>
      <c r="S1042" s="312">
        <v>0.47720000000000001</v>
      </c>
      <c r="T1042" s="312">
        <v>0.31169999999999998</v>
      </c>
      <c r="U1042" s="312">
        <v>0.42409999999999998</v>
      </c>
      <c r="V1042" s="312">
        <v>0.33679999999999999</v>
      </c>
      <c r="W1042" s="312">
        <v>0.37209999999999999</v>
      </c>
      <c r="X1042" s="312">
        <v>0.30570000000000003</v>
      </c>
      <c r="Y1042" s="312">
        <v>0</v>
      </c>
      <c r="Z1042" s="312">
        <v>0.50839999999999996</v>
      </c>
      <c r="AA1042" s="312">
        <v>0.41949999999999998</v>
      </c>
      <c r="AB1042" s="312">
        <v>0.41839999999999999</v>
      </c>
      <c r="AC1042" s="312">
        <v>0.35010000000000002</v>
      </c>
      <c r="AD1042" s="312">
        <v>0</v>
      </c>
      <c r="AE1042" s="312">
        <v>0.43130000000000002</v>
      </c>
      <c r="AF1042" s="312">
        <v>0.23519999999999999</v>
      </c>
      <c r="AG1042" s="312">
        <v>0</v>
      </c>
      <c r="AH1042" s="312">
        <v>0</v>
      </c>
      <c r="AI1042" s="312">
        <v>0.35560000000000003</v>
      </c>
      <c r="AJ1042" s="312">
        <v>0.25559999999999999</v>
      </c>
      <c r="AK1042" s="312">
        <v>0.31159999999999999</v>
      </c>
      <c r="AL1042" s="312">
        <v>0.32550000000000001</v>
      </c>
      <c r="AM1042" s="312">
        <v>0.52949999999999997</v>
      </c>
      <c r="AN1042" s="312">
        <v>0.39750000000000002</v>
      </c>
      <c r="AO1042" s="312">
        <v>0.39500000000000002</v>
      </c>
      <c r="AP1042" s="312">
        <v>0.50960000000000005</v>
      </c>
      <c r="AQ1042" s="312">
        <v>0</v>
      </c>
      <c r="AR1042" s="312">
        <v>0.45169999999999999</v>
      </c>
      <c r="AS1042" s="312">
        <v>0.26300000000000001</v>
      </c>
      <c r="AT1042" s="312">
        <v>0.4783</v>
      </c>
      <c r="AU1042" s="312">
        <v>0.47089999999999999</v>
      </c>
      <c r="AV1042" s="312">
        <v>0.44829999999999998</v>
      </c>
      <c r="AW1042" s="312">
        <v>0.35549999999999998</v>
      </c>
      <c r="AX1042" s="312">
        <v>0</v>
      </c>
      <c r="AY1042" s="312">
        <v>0.3594</v>
      </c>
      <c r="AZ1042" s="312">
        <v>0.48649999999999999</v>
      </c>
      <c r="BA1042" s="312">
        <v>0</v>
      </c>
      <c r="BB1042" s="312">
        <v>0</v>
      </c>
      <c r="BC1042" s="312">
        <v>0.44640000000000002</v>
      </c>
      <c r="BD1042" s="312">
        <v>0.46579999999999999</v>
      </c>
      <c r="BE1042" s="312">
        <v>0.57699999999999996</v>
      </c>
      <c r="BF1042" s="312">
        <v>0.44409999999999999</v>
      </c>
      <c r="BG1042" s="312">
        <v>0.44309999999999999</v>
      </c>
      <c r="BH1042" s="312">
        <v>0.50549999999999995</v>
      </c>
      <c r="BI1042" s="312">
        <v>0.48459999999999998</v>
      </c>
      <c r="BJ1042" s="312">
        <v>0.39889999999999998</v>
      </c>
      <c r="BK1042" s="312">
        <v>0.43740000000000001</v>
      </c>
      <c r="BM1042">
        <f>(C1042-C631)*1000000/(RIMS_emp!C1042-RIMS_emp!C631)</f>
        <v>37548.365727706594</v>
      </c>
    </row>
    <row r="1043" spans="1:65" x14ac:dyDescent="0.25">
      <c r="A1043" s="306">
        <v>333911</v>
      </c>
      <c r="B1043" s="312" t="s">
        <v>202</v>
      </c>
      <c r="C1043" s="312">
        <v>0.8105</v>
      </c>
      <c r="D1043" s="312">
        <v>0</v>
      </c>
      <c r="E1043" s="312">
        <v>0.54290000000000005</v>
      </c>
      <c r="F1043" s="312">
        <v>0.47370000000000001</v>
      </c>
      <c r="G1043" s="312">
        <v>0.49709999999999999</v>
      </c>
      <c r="H1043" s="312">
        <v>0.56679999999999997</v>
      </c>
      <c r="I1043" s="312">
        <v>0.53600000000000003</v>
      </c>
      <c r="J1043" s="312">
        <v>0.51229999999999998</v>
      </c>
      <c r="K1043" s="312">
        <v>0</v>
      </c>
      <c r="L1043" s="312">
        <v>0.34570000000000001</v>
      </c>
      <c r="M1043" s="312">
        <v>0.48180000000000001</v>
      </c>
      <c r="N1043" s="312">
        <v>0.54139999999999999</v>
      </c>
      <c r="O1043" s="312">
        <v>0</v>
      </c>
      <c r="P1043" s="312">
        <v>0.44209999999999999</v>
      </c>
      <c r="Q1043" s="312">
        <v>0</v>
      </c>
      <c r="R1043" s="312">
        <v>0.65500000000000003</v>
      </c>
      <c r="S1043" s="312">
        <v>0.5675</v>
      </c>
      <c r="T1043" s="312">
        <v>0.42699999999999999</v>
      </c>
      <c r="U1043" s="312">
        <v>0.50470000000000004</v>
      </c>
      <c r="V1043" s="312">
        <v>0.47849999999999998</v>
      </c>
      <c r="W1043" s="312">
        <v>0.50770000000000004</v>
      </c>
      <c r="X1043" s="312">
        <v>0.41149999999999998</v>
      </c>
      <c r="Y1043" s="312">
        <v>0.45450000000000002</v>
      </c>
      <c r="Z1043" s="312">
        <v>0.61899999999999999</v>
      </c>
      <c r="AA1043" s="312">
        <v>0.57289999999999996</v>
      </c>
      <c r="AB1043" s="312">
        <v>0.52459999999999996</v>
      </c>
      <c r="AC1043" s="312">
        <v>0.44340000000000002</v>
      </c>
      <c r="AD1043" s="312">
        <v>0.37769999999999998</v>
      </c>
      <c r="AE1043" s="312">
        <v>0.53</v>
      </c>
      <c r="AF1043" s="312">
        <v>0</v>
      </c>
      <c r="AG1043" s="312">
        <v>0.4108</v>
      </c>
      <c r="AH1043" s="312">
        <v>0.49940000000000001</v>
      </c>
      <c r="AI1043" s="312">
        <v>0.48730000000000001</v>
      </c>
      <c r="AJ1043" s="312">
        <v>0.3775</v>
      </c>
      <c r="AK1043" s="312">
        <v>0.43919999999999998</v>
      </c>
      <c r="AL1043" s="312">
        <v>0.45040000000000002</v>
      </c>
      <c r="AM1043" s="312">
        <v>0.63890000000000002</v>
      </c>
      <c r="AN1043" s="312">
        <v>0.5353</v>
      </c>
      <c r="AO1043" s="312">
        <v>0.52849999999999997</v>
      </c>
      <c r="AP1043" s="312">
        <v>0.63149999999999995</v>
      </c>
      <c r="AQ1043" s="312">
        <v>0.4284</v>
      </c>
      <c r="AR1043" s="312">
        <v>0.53959999999999997</v>
      </c>
      <c r="AS1043" s="312">
        <v>0.3634</v>
      </c>
      <c r="AT1043" s="312">
        <v>0.57030000000000003</v>
      </c>
      <c r="AU1043" s="312">
        <v>0.60580000000000001</v>
      </c>
      <c r="AV1043" s="312">
        <v>0.5867</v>
      </c>
      <c r="AW1043" s="312">
        <v>0.50029999999999997</v>
      </c>
      <c r="AX1043" s="312">
        <v>0.38850000000000001</v>
      </c>
      <c r="AY1043" s="312">
        <v>0.49609999999999999</v>
      </c>
      <c r="AZ1043" s="312">
        <v>0.5857</v>
      </c>
      <c r="BA1043" s="312">
        <v>0.40289999999999998</v>
      </c>
      <c r="BB1043" s="312">
        <v>0.35399999999999998</v>
      </c>
      <c r="BC1043" s="312">
        <v>0.58919999999999995</v>
      </c>
      <c r="BD1043" s="312">
        <v>0.60340000000000005</v>
      </c>
      <c r="BE1043" s="312">
        <v>0.68510000000000004</v>
      </c>
      <c r="BF1043" s="312">
        <v>0.56589999999999996</v>
      </c>
      <c r="BG1043" s="312">
        <v>0.57350000000000001</v>
      </c>
      <c r="BH1043" s="312">
        <v>0.59199999999999997</v>
      </c>
      <c r="BI1043" s="312">
        <v>0.61760000000000004</v>
      </c>
      <c r="BJ1043" s="312">
        <v>0.52869999999999995</v>
      </c>
      <c r="BK1043" s="312">
        <v>0.58330000000000004</v>
      </c>
      <c r="BM1043">
        <f>(C1043-C632)*1000000/(RIMS_emp!C1043-RIMS_emp!C632)</f>
        <v>37550.226830848987</v>
      </c>
    </row>
    <row r="1044" spans="1:65" x14ac:dyDescent="0.25">
      <c r="A1044" s="306">
        <v>333912</v>
      </c>
      <c r="B1044" s="312" t="s">
        <v>203</v>
      </c>
      <c r="C1044" s="312">
        <v>0.86850000000000005</v>
      </c>
      <c r="D1044" s="312">
        <v>0</v>
      </c>
      <c r="E1044" s="312">
        <v>0.56679999999999997</v>
      </c>
      <c r="F1044" s="312">
        <v>0.4783</v>
      </c>
      <c r="G1044" s="312">
        <v>0</v>
      </c>
      <c r="H1044" s="312">
        <v>0.60240000000000005</v>
      </c>
      <c r="I1044" s="312">
        <v>0.57410000000000005</v>
      </c>
      <c r="J1044" s="312">
        <v>0.54620000000000002</v>
      </c>
      <c r="K1044" s="312">
        <v>0</v>
      </c>
      <c r="L1044" s="312">
        <v>0</v>
      </c>
      <c r="M1044" s="312">
        <v>0.51200000000000001</v>
      </c>
      <c r="N1044" s="312">
        <v>0.56420000000000003</v>
      </c>
      <c r="O1044" s="312">
        <v>0</v>
      </c>
      <c r="P1044" s="312">
        <v>0.45119999999999999</v>
      </c>
      <c r="Q1044" s="312">
        <v>0</v>
      </c>
      <c r="R1044" s="312">
        <v>0.70089999999999997</v>
      </c>
      <c r="S1044" s="312">
        <v>0.59089999999999998</v>
      </c>
      <c r="T1044" s="312">
        <v>0.44090000000000001</v>
      </c>
      <c r="U1044" s="312">
        <v>0.52659999999999996</v>
      </c>
      <c r="V1044" s="312">
        <v>0.5111</v>
      </c>
      <c r="W1044" s="312">
        <v>0.54949999999999999</v>
      </c>
      <c r="X1044" s="312">
        <v>0.441</v>
      </c>
      <c r="Y1044" s="312">
        <v>0</v>
      </c>
      <c r="Z1044" s="312">
        <v>0.6542</v>
      </c>
      <c r="AA1044" s="312">
        <v>0.59740000000000004</v>
      </c>
      <c r="AB1044" s="312">
        <v>0.55659999999999998</v>
      </c>
      <c r="AC1044" s="312">
        <v>0.44879999999999998</v>
      </c>
      <c r="AD1044" s="312">
        <v>0</v>
      </c>
      <c r="AE1044" s="312">
        <v>0.56059999999999999</v>
      </c>
      <c r="AF1044" s="312">
        <v>0</v>
      </c>
      <c r="AG1044" s="312">
        <v>0.41649999999999998</v>
      </c>
      <c r="AH1044" s="312">
        <v>0.52449999999999997</v>
      </c>
      <c r="AI1044" s="312">
        <v>0.52300000000000002</v>
      </c>
      <c r="AJ1044" s="312">
        <v>0.3977</v>
      </c>
      <c r="AK1044" s="312">
        <v>0.45490000000000003</v>
      </c>
      <c r="AL1044" s="312">
        <v>0.48359999999999997</v>
      </c>
      <c r="AM1044" s="312">
        <v>0.67300000000000004</v>
      </c>
      <c r="AN1044" s="312">
        <v>0.56379999999999997</v>
      </c>
      <c r="AO1044" s="312">
        <v>0.53949999999999998</v>
      </c>
      <c r="AP1044" s="312">
        <v>0.67130000000000001</v>
      </c>
      <c r="AQ1044" s="312">
        <v>0.44950000000000001</v>
      </c>
      <c r="AR1044" s="312">
        <v>0.5645</v>
      </c>
      <c r="AS1044" s="312">
        <v>0.38229999999999997</v>
      </c>
      <c r="AT1044" s="312">
        <v>0.6028</v>
      </c>
      <c r="AU1044" s="312">
        <v>0.64690000000000003</v>
      </c>
      <c r="AV1044" s="312">
        <v>0.60780000000000001</v>
      </c>
      <c r="AW1044" s="312">
        <v>0.51160000000000005</v>
      </c>
      <c r="AX1044" s="312">
        <v>0</v>
      </c>
      <c r="AY1044" s="312">
        <v>0.51259999999999994</v>
      </c>
      <c r="AZ1044" s="312">
        <v>0.61560000000000004</v>
      </c>
      <c r="BA1044" s="312">
        <v>0.40460000000000002</v>
      </c>
      <c r="BB1044" s="312">
        <v>0</v>
      </c>
      <c r="BC1044" s="312">
        <v>0.63260000000000005</v>
      </c>
      <c r="BD1044" s="312">
        <v>0.64810000000000001</v>
      </c>
      <c r="BE1044" s="312">
        <v>0.72689999999999999</v>
      </c>
      <c r="BF1044" s="312">
        <v>0.58950000000000002</v>
      </c>
      <c r="BG1044" s="312">
        <v>0.60919999999999996</v>
      </c>
      <c r="BH1044" s="312">
        <v>0.622</v>
      </c>
      <c r="BI1044" s="312">
        <v>0.6542</v>
      </c>
      <c r="BJ1044" s="312">
        <v>0.56189999999999996</v>
      </c>
      <c r="BK1044" s="312">
        <v>0.61280000000000001</v>
      </c>
      <c r="BM1044">
        <f>(C1044-C633)*1000000/(RIMS_emp!C1044-RIMS_emp!C633)</f>
        <v>37544.602358633208</v>
      </c>
    </row>
    <row r="1045" spans="1:65" x14ac:dyDescent="0.25">
      <c r="A1045" s="306">
        <v>333920</v>
      </c>
      <c r="B1045" s="312" t="s">
        <v>204</v>
      </c>
      <c r="C1045" s="312">
        <v>0.87649999999999995</v>
      </c>
      <c r="D1045" s="312">
        <v>0.37319999999999998</v>
      </c>
      <c r="E1045" s="312">
        <v>0.58299999999999996</v>
      </c>
      <c r="F1045" s="312">
        <v>0.52</v>
      </c>
      <c r="G1045" s="312">
        <v>0.51819999999999999</v>
      </c>
      <c r="H1045" s="312">
        <v>0.60529999999999995</v>
      </c>
      <c r="I1045" s="312">
        <v>0.58609999999999995</v>
      </c>
      <c r="J1045" s="312">
        <v>0.54769999999999996</v>
      </c>
      <c r="K1045" s="312">
        <v>5.8999999999999997E-2</v>
      </c>
      <c r="L1045" s="312">
        <v>0.3775</v>
      </c>
      <c r="M1045" s="312">
        <v>0.52359999999999995</v>
      </c>
      <c r="N1045" s="312">
        <v>0.57509999999999994</v>
      </c>
      <c r="O1045" s="312">
        <v>0</v>
      </c>
      <c r="P1045" s="312">
        <v>0.4768</v>
      </c>
      <c r="Q1045" s="312">
        <v>0.42630000000000001</v>
      </c>
      <c r="R1045" s="312">
        <v>0.70760000000000001</v>
      </c>
      <c r="S1045" s="312">
        <v>0.6119</v>
      </c>
      <c r="T1045" s="312">
        <v>0.4511</v>
      </c>
      <c r="U1045" s="312">
        <v>0.55469999999999997</v>
      </c>
      <c r="V1045" s="312">
        <v>0.51570000000000005</v>
      </c>
      <c r="W1045" s="312">
        <v>0.53249999999999997</v>
      </c>
      <c r="X1045" s="312">
        <v>0.4506</v>
      </c>
      <c r="Y1045" s="312">
        <v>0.48399999999999999</v>
      </c>
      <c r="Z1045" s="312">
        <v>0.67230000000000001</v>
      </c>
      <c r="AA1045" s="312">
        <v>0.59519999999999995</v>
      </c>
      <c r="AB1045" s="312">
        <v>0.54400000000000004</v>
      </c>
      <c r="AC1045" s="312">
        <v>0.48159999999999997</v>
      </c>
      <c r="AD1045" s="312">
        <v>0</v>
      </c>
      <c r="AE1045" s="312">
        <v>0.56799999999999995</v>
      </c>
      <c r="AF1045" s="312">
        <v>0.37219999999999998</v>
      </c>
      <c r="AG1045" s="312">
        <v>0.45329999999999998</v>
      </c>
      <c r="AH1045" s="312">
        <v>0.51270000000000004</v>
      </c>
      <c r="AI1045" s="312">
        <v>0.52359999999999995</v>
      </c>
      <c r="AJ1045" s="312">
        <v>0.39760000000000001</v>
      </c>
      <c r="AK1045" s="312">
        <v>0.4577</v>
      </c>
      <c r="AL1045" s="312">
        <v>0.49109999999999998</v>
      </c>
      <c r="AM1045" s="312">
        <v>0.69259999999999999</v>
      </c>
      <c r="AN1045" s="312">
        <v>0.57089999999999996</v>
      </c>
      <c r="AO1045" s="312">
        <v>0.55930000000000002</v>
      </c>
      <c r="AP1045" s="312">
        <v>0.67810000000000004</v>
      </c>
      <c r="AQ1045" s="312">
        <v>0.44180000000000003</v>
      </c>
      <c r="AR1045" s="312">
        <v>0.59989999999999999</v>
      </c>
      <c r="AS1045" s="312">
        <v>0.39479999999999998</v>
      </c>
      <c r="AT1045" s="312">
        <v>0.60870000000000002</v>
      </c>
      <c r="AU1045" s="312">
        <v>0.64500000000000002</v>
      </c>
      <c r="AV1045" s="312">
        <v>0.62760000000000005</v>
      </c>
      <c r="AW1045" s="312">
        <v>0.51929999999999998</v>
      </c>
      <c r="AX1045" s="312">
        <v>0</v>
      </c>
      <c r="AY1045" s="312">
        <v>0.52690000000000003</v>
      </c>
      <c r="AZ1045" s="312">
        <v>0.61350000000000005</v>
      </c>
      <c r="BA1045" s="312">
        <v>0.42109999999999997</v>
      </c>
      <c r="BB1045" s="312">
        <v>0</v>
      </c>
      <c r="BC1045" s="312">
        <v>0.61939999999999995</v>
      </c>
      <c r="BD1045" s="312">
        <v>0.66010000000000002</v>
      </c>
      <c r="BE1045" s="312">
        <v>0.74170000000000003</v>
      </c>
      <c r="BF1045" s="312">
        <v>0.59619999999999995</v>
      </c>
      <c r="BG1045" s="312">
        <v>0.62129999999999996</v>
      </c>
      <c r="BH1045" s="312">
        <v>0.63870000000000005</v>
      </c>
      <c r="BI1045" s="312">
        <v>0.66620000000000001</v>
      </c>
      <c r="BJ1045" s="312">
        <v>0.56399999999999995</v>
      </c>
      <c r="BK1045" s="312">
        <v>0.61899999999999999</v>
      </c>
      <c r="BM1045">
        <f>(C1045-C634)*1000000/(RIMS_emp!C1045-RIMS_emp!C634)</f>
        <v>37538.20339186192</v>
      </c>
    </row>
    <row r="1046" spans="1:65" x14ac:dyDescent="0.25">
      <c r="A1046" s="306">
        <v>333991</v>
      </c>
      <c r="B1046" s="312" t="s">
        <v>205</v>
      </c>
      <c r="C1046" s="312">
        <v>0.61860000000000004</v>
      </c>
      <c r="D1046" s="312">
        <v>0</v>
      </c>
      <c r="E1046" s="312">
        <v>0.38719999999999999</v>
      </c>
      <c r="F1046" s="312">
        <v>0.3533</v>
      </c>
      <c r="G1046" s="312">
        <v>0.33700000000000002</v>
      </c>
      <c r="H1046" s="312">
        <v>0.39850000000000002</v>
      </c>
      <c r="I1046" s="312">
        <v>0.36099999999999999</v>
      </c>
      <c r="J1046" s="312">
        <v>0.37509999999999999</v>
      </c>
      <c r="K1046" s="312">
        <v>0</v>
      </c>
      <c r="L1046" s="312">
        <v>0</v>
      </c>
      <c r="M1046" s="312">
        <v>0.32040000000000002</v>
      </c>
      <c r="N1046" s="312">
        <v>0.3952</v>
      </c>
      <c r="O1046" s="312">
        <v>0</v>
      </c>
      <c r="P1046" s="312">
        <v>0.32650000000000001</v>
      </c>
      <c r="Q1046" s="312">
        <v>0.27660000000000001</v>
      </c>
      <c r="R1046" s="312">
        <v>0.49</v>
      </c>
      <c r="S1046" s="312">
        <v>0.42820000000000003</v>
      </c>
      <c r="T1046" s="312">
        <v>0.29039999999999999</v>
      </c>
      <c r="U1046" s="312">
        <v>0</v>
      </c>
      <c r="V1046" s="312">
        <v>0.31659999999999999</v>
      </c>
      <c r="W1046" s="312">
        <v>0.36559999999999998</v>
      </c>
      <c r="X1046" s="312">
        <v>0.2732</v>
      </c>
      <c r="Y1046" s="312">
        <v>0</v>
      </c>
      <c r="Z1046" s="312">
        <v>0.45240000000000002</v>
      </c>
      <c r="AA1046" s="312">
        <v>0.40910000000000002</v>
      </c>
      <c r="AB1046" s="312">
        <v>0.38990000000000002</v>
      </c>
      <c r="AC1046" s="312">
        <v>0.31059999999999999</v>
      </c>
      <c r="AD1046" s="312">
        <v>0</v>
      </c>
      <c r="AE1046" s="312">
        <v>0.39329999999999998</v>
      </c>
      <c r="AF1046" s="312">
        <v>0</v>
      </c>
      <c r="AG1046" s="312">
        <v>0.27160000000000001</v>
      </c>
      <c r="AH1046" s="312">
        <v>0</v>
      </c>
      <c r="AI1046" s="312">
        <v>0.34339999999999998</v>
      </c>
      <c r="AJ1046" s="312">
        <v>0</v>
      </c>
      <c r="AK1046" s="312">
        <v>0.29199999999999998</v>
      </c>
      <c r="AL1046" s="312">
        <v>0.3024</v>
      </c>
      <c r="AM1046" s="312">
        <v>0.48499999999999999</v>
      </c>
      <c r="AN1046" s="312">
        <v>0.3533</v>
      </c>
      <c r="AO1046" s="312">
        <v>0.37269999999999998</v>
      </c>
      <c r="AP1046" s="312">
        <v>0.47289999999999999</v>
      </c>
      <c r="AQ1046" s="312">
        <v>0.31509999999999999</v>
      </c>
      <c r="AR1046" s="312">
        <v>0.41170000000000001</v>
      </c>
      <c r="AS1046" s="312">
        <v>0</v>
      </c>
      <c r="AT1046" s="312">
        <v>0.43030000000000002</v>
      </c>
      <c r="AU1046" s="312">
        <v>0.4244</v>
      </c>
      <c r="AV1046" s="312">
        <v>0</v>
      </c>
      <c r="AW1046" s="312">
        <v>0.35110000000000002</v>
      </c>
      <c r="AX1046" s="312">
        <v>0.2606</v>
      </c>
      <c r="AY1046" s="312">
        <v>0.34029999999999999</v>
      </c>
      <c r="AZ1046" s="312">
        <v>0.43120000000000003</v>
      </c>
      <c r="BA1046" s="312">
        <v>0</v>
      </c>
      <c r="BB1046" s="312">
        <v>0</v>
      </c>
      <c r="BC1046" s="312">
        <v>0.43409999999999999</v>
      </c>
      <c r="BD1046" s="312">
        <v>0.43240000000000001</v>
      </c>
      <c r="BE1046" s="312">
        <v>0.51780000000000004</v>
      </c>
      <c r="BF1046" s="312">
        <v>0.41320000000000001</v>
      </c>
      <c r="BG1046" s="312">
        <v>0.41839999999999999</v>
      </c>
      <c r="BH1046" s="312">
        <v>0.4481</v>
      </c>
      <c r="BI1046" s="312">
        <v>0.43569999999999998</v>
      </c>
      <c r="BJ1046" s="312">
        <v>0.3538</v>
      </c>
      <c r="BK1046" s="312">
        <v>0.4098</v>
      </c>
      <c r="BM1046">
        <f>(C1046-C635)*1000000/(RIMS_emp!C1046-RIMS_emp!C635)</f>
        <v>37528.231078809302</v>
      </c>
    </row>
    <row r="1047" spans="1:65" x14ac:dyDescent="0.25">
      <c r="A1047" s="306">
        <v>333993</v>
      </c>
      <c r="B1047" s="312" t="s">
        <v>207</v>
      </c>
      <c r="C1047" s="312">
        <v>0.95569999999999999</v>
      </c>
      <c r="D1047" s="312">
        <v>0</v>
      </c>
      <c r="E1047" s="312">
        <v>0.6139</v>
      </c>
      <c r="F1047" s="312">
        <v>0.57250000000000001</v>
      </c>
      <c r="G1047" s="312">
        <v>0.60629999999999995</v>
      </c>
      <c r="H1047" s="312">
        <v>0.71919999999999995</v>
      </c>
      <c r="I1047" s="312">
        <v>0.67359999999999998</v>
      </c>
      <c r="J1047" s="312">
        <v>0.63739999999999997</v>
      </c>
      <c r="K1047" s="312">
        <v>0</v>
      </c>
      <c r="L1047" s="312">
        <v>0</v>
      </c>
      <c r="M1047" s="312">
        <v>0.62790000000000001</v>
      </c>
      <c r="N1047" s="312">
        <v>0.67749999999999999</v>
      </c>
      <c r="O1047" s="312">
        <v>0</v>
      </c>
      <c r="P1047" s="312">
        <v>0.52880000000000005</v>
      </c>
      <c r="Q1047" s="312">
        <v>0</v>
      </c>
      <c r="R1047" s="312">
        <v>0.77510000000000001</v>
      </c>
      <c r="S1047" s="312">
        <v>0.64039999999999997</v>
      </c>
      <c r="T1047" s="312">
        <v>0.51029999999999998</v>
      </c>
      <c r="U1047" s="312">
        <v>0.6109</v>
      </c>
      <c r="V1047" s="312">
        <v>0.58460000000000001</v>
      </c>
      <c r="W1047" s="312">
        <v>0.65439999999999998</v>
      </c>
      <c r="X1047" s="312">
        <v>0.52370000000000005</v>
      </c>
      <c r="Y1047" s="312">
        <v>0.58450000000000002</v>
      </c>
      <c r="Z1047" s="312">
        <v>0.72699999999999998</v>
      </c>
      <c r="AA1047" s="312">
        <v>0.69210000000000005</v>
      </c>
      <c r="AB1047" s="312">
        <v>0.62309999999999999</v>
      </c>
      <c r="AC1047" s="312">
        <v>0.52439999999999998</v>
      </c>
      <c r="AD1047" s="312">
        <v>0.48599999999999999</v>
      </c>
      <c r="AE1047" s="312">
        <v>0.65139999999999998</v>
      </c>
      <c r="AF1047" s="312">
        <v>0.44130000000000003</v>
      </c>
      <c r="AG1047" s="312">
        <v>0.5141</v>
      </c>
      <c r="AH1047" s="312">
        <v>0.60129999999999995</v>
      </c>
      <c r="AI1047" s="312">
        <v>0.62260000000000004</v>
      </c>
      <c r="AJ1047" s="312">
        <v>0.47889999999999999</v>
      </c>
      <c r="AK1047" s="312">
        <v>0.54039999999999999</v>
      </c>
      <c r="AL1047" s="312">
        <v>0.58179999999999998</v>
      </c>
      <c r="AM1047" s="312">
        <v>0.75249999999999995</v>
      </c>
      <c r="AN1047" s="312">
        <v>0.6079</v>
      </c>
      <c r="AO1047" s="312">
        <v>0.61639999999999995</v>
      </c>
      <c r="AP1047" s="312">
        <v>0.73870000000000002</v>
      </c>
      <c r="AQ1047" s="312">
        <v>0</v>
      </c>
      <c r="AR1047" s="312">
        <v>0.65549999999999997</v>
      </c>
      <c r="AS1047" s="312">
        <v>0</v>
      </c>
      <c r="AT1047" s="312">
        <v>0.66039999999999999</v>
      </c>
      <c r="AU1047" s="312">
        <v>0.7056</v>
      </c>
      <c r="AV1047" s="312">
        <v>0.69169999999999998</v>
      </c>
      <c r="AW1047" s="312">
        <v>0.61709999999999998</v>
      </c>
      <c r="AX1047" s="312">
        <v>0</v>
      </c>
      <c r="AY1047" s="312">
        <v>0.61829999999999996</v>
      </c>
      <c r="AZ1047" s="312">
        <v>0.69740000000000002</v>
      </c>
      <c r="BA1047" s="312">
        <v>0</v>
      </c>
      <c r="BB1047" s="312">
        <v>0</v>
      </c>
      <c r="BC1047" s="312">
        <v>0.74409999999999998</v>
      </c>
      <c r="BD1047" s="312">
        <v>0.73850000000000005</v>
      </c>
      <c r="BE1047" s="312">
        <v>0.80459999999999998</v>
      </c>
      <c r="BF1047" s="312">
        <v>0.6804</v>
      </c>
      <c r="BG1047" s="312">
        <v>0.72550000000000003</v>
      </c>
      <c r="BH1047" s="312">
        <v>0.69210000000000005</v>
      </c>
      <c r="BI1047" s="312">
        <v>0.71419999999999995</v>
      </c>
      <c r="BJ1047" s="312">
        <v>0.64859999999999995</v>
      </c>
      <c r="BK1047" s="312">
        <v>0.72489999999999999</v>
      </c>
      <c r="BM1047">
        <f>(C1047-C636)*1000000/(RIMS_emp!C1047-RIMS_emp!C636)</f>
        <v>37535.722136733348</v>
      </c>
    </row>
    <row r="1048" spans="1:65" x14ac:dyDescent="0.25">
      <c r="A1048" s="306">
        <v>333994</v>
      </c>
      <c r="B1048" s="312" t="s">
        <v>208</v>
      </c>
      <c r="C1048" s="312">
        <v>0.91300000000000003</v>
      </c>
      <c r="D1048" s="312">
        <v>0</v>
      </c>
      <c r="E1048" s="312">
        <v>0.6351</v>
      </c>
      <c r="F1048" s="312">
        <v>0</v>
      </c>
      <c r="G1048" s="312">
        <v>0.63049999999999995</v>
      </c>
      <c r="H1048" s="312">
        <v>0.71899999999999997</v>
      </c>
      <c r="I1048" s="312">
        <v>0.68920000000000003</v>
      </c>
      <c r="J1048" s="312">
        <v>0.62649999999999995</v>
      </c>
      <c r="K1048" s="312">
        <v>0</v>
      </c>
      <c r="L1048" s="312">
        <v>0</v>
      </c>
      <c r="M1048" s="312">
        <v>0.63229999999999997</v>
      </c>
      <c r="N1048" s="312">
        <v>0.66410000000000002</v>
      </c>
      <c r="O1048" s="312">
        <v>0</v>
      </c>
      <c r="P1048" s="312">
        <v>0.53620000000000001</v>
      </c>
      <c r="Q1048" s="312">
        <v>0.55210000000000004</v>
      </c>
      <c r="R1048" s="312">
        <v>0.74829999999999997</v>
      </c>
      <c r="S1048" s="312">
        <v>0.64149999999999996</v>
      </c>
      <c r="T1048" s="312">
        <v>0.52669999999999995</v>
      </c>
      <c r="U1048" s="312">
        <v>0.59189999999999998</v>
      </c>
      <c r="V1048" s="312">
        <v>0.59870000000000001</v>
      </c>
      <c r="W1048" s="312">
        <v>0.6482</v>
      </c>
      <c r="X1048" s="312">
        <v>0.53859999999999997</v>
      </c>
      <c r="Y1048" s="312">
        <v>0</v>
      </c>
      <c r="Z1048" s="312">
        <v>0.71960000000000002</v>
      </c>
      <c r="AA1048" s="312">
        <v>0.68930000000000002</v>
      </c>
      <c r="AB1048" s="312">
        <v>0.63970000000000005</v>
      </c>
      <c r="AC1048" s="312">
        <v>0</v>
      </c>
      <c r="AD1048" s="312">
        <v>0</v>
      </c>
      <c r="AE1048" s="312">
        <v>0.62150000000000005</v>
      </c>
      <c r="AF1048" s="312">
        <v>0</v>
      </c>
      <c r="AG1048" s="312">
        <v>0</v>
      </c>
      <c r="AH1048" s="312">
        <v>0.59960000000000002</v>
      </c>
      <c r="AI1048" s="312">
        <v>0.63339999999999996</v>
      </c>
      <c r="AJ1048" s="312">
        <v>0</v>
      </c>
      <c r="AK1048" s="312">
        <v>0.57030000000000003</v>
      </c>
      <c r="AL1048" s="312">
        <v>0.59789999999999999</v>
      </c>
      <c r="AM1048" s="312">
        <v>0.7258</v>
      </c>
      <c r="AN1048" s="312">
        <v>0.64549999999999996</v>
      </c>
      <c r="AO1048" s="312">
        <v>0.64600000000000002</v>
      </c>
      <c r="AP1048" s="312">
        <v>0.7339</v>
      </c>
      <c r="AQ1048" s="312">
        <v>0.54959999999999998</v>
      </c>
      <c r="AR1048" s="312">
        <v>0.63249999999999995</v>
      </c>
      <c r="AS1048" s="312">
        <v>0</v>
      </c>
      <c r="AT1048" s="312">
        <v>0.64159999999999995</v>
      </c>
      <c r="AU1048" s="312">
        <v>0.7056</v>
      </c>
      <c r="AV1048" s="312">
        <v>0</v>
      </c>
      <c r="AW1048" s="312">
        <v>0</v>
      </c>
      <c r="AX1048" s="312">
        <v>0</v>
      </c>
      <c r="AY1048" s="312">
        <v>0.61939999999999995</v>
      </c>
      <c r="AZ1048" s="312">
        <v>0.67730000000000001</v>
      </c>
      <c r="BA1048" s="312">
        <v>0.50309999999999999</v>
      </c>
      <c r="BB1048" s="312">
        <v>0</v>
      </c>
      <c r="BC1048" s="312">
        <v>0.72940000000000005</v>
      </c>
      <c r="BD1048" s="312">
        <v>0.75019999999999998</v>
      </c>
      <c r="BE1048" s="312">
        <v>0.77800000000000002</v>
      </c>
      <c r="BF1048" s="312">
        <v>0.67479999999999996</v>
      </c>
      <c r="BG1048" s="312">
        <v>0.69899999999999995</v>
      </c>
      <c r="BH1048" s="312">
        <v>0.66139999999999999</v>
      </c>
      <c r="BI1048" s="312">
        <v>0.7288</v>
      </c>
      <c r="BJ1048" s="312">
        <v>0.66569999999999996</v>
      </c>
      <c r="BK1048" s="312">
        <v>0.72289999999999999</v>
      </c>
      <c r="BM1048">
        <f>(C1048-C637)*1000000/(RIMS_emp!C1048-RIMS_emp!C637)</f>
        <v>37543.722385861576</v>
      </c>
    </row>
    <row r="1049" spans="1:65" x14ac:dyDescent="0.25">
      <c r="A1049" s="306" t="s">
        <v>734</v>
      </c>
      <c r="B1049" s="312" t="s">
        <v>206</v>
      </c>
      <c r="C1049" s="312">
        <v>0.87239999999999995</v>
      </c>
      <c r="D1049" s="312">
        <v>0.4133</v>
      </c>
      <c r="E1049" s="312">
        <v>0.58150000000000002</v>
      </c>
      <c r="F1049" s="312">
        <v>0.5302</v>
      </c>
      <c r="G1049" s="312">
        <v>0.55700000000000005</v>
      </c>
      <c r="H1049" s="312">
        <v>0.64649999999999996</v>
      </c>
      <c r="I1049" s="312">
        <v>0.61370000000000002</v>
      </c>
      <c r="J1049" s="312">
        <v>0.57299999999999995</v>
      </c>
      <c r="K1049" s="312">
        <v>0</v>
      </c>
      <c r="L1049" s="312">
        <v>0.40489999999999998</v>
      </c>
      <c r="M1049" s="312">
        <v>0.56499999999999995</v>
      </c>
      <c r="N1049" s="312">
        <v>0.61150000000000004</v>
      </c>
      <c r="O1049" s="312">
        <v>0</v>
      </c>
      <c r="P1049" s="312">
        <v>0.47899999999999998</v>
      </c>
      <c r="Q1049" s="312">
        <v>0.4723</v>
      </c>
      <c r="R1049" s="312">
        <v>0.69730000000000003</v>
      </c>
      <c r="S1049" s="312">
        <v>0.60399999999999998</v>
      </c>
      <c r="T1049" s="312">
        <v>0.4607</v>
      </c>
      <c r="U1049" s="312">
        <v>0.56179999999999997</v>
      </c>
      <c r="V1049" s="312">
        <v>0.54010000000000002</v>
      </c>
      <c r="W1049" s="312">
        <v>0.58250000000000002</v>
      </c>
      <c r="X1049" s="312">
        <v>0.4869</v>
      </c>
      <c r="Y1049" s="312">
        <v>0.52980000000000005</v>
      </c>
      <c r="Z1049" s="312">
        <v>0.66620000000000001</v>
      </c>
      <c r="AA1049" s="312">
        <v>0.626</v>
      </c>
      <c r="AB1049" s="312">
        <v>0.57599999999999996</v>
      </c>
      <c r="AC1049" s="312">
        <v>0.48970000000000002</v>
      </c>
      <c r="AD1049" s="312">
        <v>0.43680000000000002</v>
      </c>
      <c r="AE1049" s="312">
        <v>0.58579999999999999</v>
      </c>
      <c r="AF1049" s="312">
        <v>0</v>
      </c>
      <c r="AG1049" s="312">
        <v>0.47039999999999998</v>
      </c>
      <c r="AH1049" s="312">
        <v>0.54400000000000004</v>
      </c>
      <c r="AI1049" s="312">
        <v>0.56059999999999999</v>
      </c>
      <c r="AJ1049" s="312">
        <v>0.43919999999999998</v>
      </c>
      <c r="AK1049" s="312">
        <v>0.50670000000000004</v>
      </c>
      <c r="AL1049" s="312">
        <v>0.52749999999999997</v>
      </c>
      <c r="AM1049" s="312">
        <v>0.68589999999999995</v>
      </c>
      <c r="AN1049" s="312">
        <v>0.57199999999999995</v>
      </c>
      <c r="AO1049" s="312">
        <v>0.57950000000000002</v>
      </c>
      <c r="AP1049" s="312">
        <v>0.68269999999999997</v>
      </c>
      <c r="AQ1049" s="312">
        <v>0.49309999999999998</v>
      </c>
      <c r="AR1049" s="312">
        <v>0.5948</v>
      </c>
      <c r="AS1049" s="312">
        <v>0.42180000000000001</v>
      </c>
      <c r="AT1049" s="312">
        <v>0.61560000000000004</v>
      </c>
      <c r="AU1049" s="312">
        <v>0.66200000000000003</v>
      </c>
      <c r="AV1049" s="312">
        <v>0.63280000000000003</v>
      </c>
      <c r="AW1049" s="312">
        <v>0.54449999999999998</v>
      </c>
      <c r="AX1049" s="312">
        <v>0.44829999999999998</v>
      </c>
      <c r="AY1049" s="312">
        <v>0.55889999999999995</v>
      </c>
      <c r="AZ1049" s="312">
        <v>0.62370000000000003</v>
      </c>
      <c r="BA1049" s="312">
        <v>0.43880000000000002</v>
      </c>
      <c r="BB1049" s="312">
        <v>0.39850000000000002</v>
      </c>
      <c r="BC1049" s="312">
        <v>0.66420000000000001</v>
      </c>
      <c r="BD1049" s="312">
        <v>0.68069999999999997</v>
      </c>
      <c r="BE1049" s="312">
        <v>0.73340000000000005</v>
      </c>
      <c r="BF1049" s="312">
        <v>0.61319999999999997</v>
      </c>
      <c r="BG1049" s="312">
        <v>0.64700000000000002</v>
      </c>
      <c r="BH1049" s="312">
        <v>0.63549999999999995</v>
      </c>
      <c r="BI1049" s="312">
        <v>0.67210000000000003</v>
      </c>
      <c r="BJ1049" s="312">
        <v>0.59630000000000005</v>
      </c>
      <c r="BK1049" s="312">
        <v>0.65539999999999998</v>
      </c>
      <c r="BM1049">
        <f>(C1049-C638)*1000000/(RIMS_emp!C1049-RIMS_emp!C638)</f>
        <v>37545.456734821666</v>
      </c>
    </row>
    <row r="1050" spans="1:65" x14ac:dyDescent="0.25">
      <c r="A1050" s="306" t="s">
        <v>735</v>
      </c>
      <c r="B1050" s="312" t="s">
        <v>736</v>
      </c>
      <c r="C1050" s="312">
        <v>0.87539999999999996</v>
      </c>
      <c r="D1050" s="312">
        <v>0</v>
      </c>
      <c r="E1050" s="312">
        <v>0.59470000000000001</v>
      </c>
      <c r="F1050" s="312">
        <v>0.52569999999999995</v>
      </c>
      <c r="G1050" s="312">
        <v>0.55359999999999998</v>
      </c>
      <c r="H1050" s="312">
        <v>0.64639999999999997</v>
      </c>
      <c r="I1050" s="312">
        <v>0.61609999999999998</v>
      </c>
      <c r="J1050" s="312">
        <v>0.57550000000000001</v>
      </c>
      <c r="K1050" s="312">
        <v>0</v>
      </c>
      <c r="L1050" s="312">
        <v>0.39529999999999998</v>
      </c>
      <c r="M1050" s="312">
        <v>0.54700000000000004</v>
      </c>
      <c r="N1050" s="312">
        <v>0.58850000000000002</v>
      </c>
      <c r="O1050" s="312">
        <v>0</v>
      </c>
      <c r="P1050" s="312">
        <v>0.48620000000000002</v>
      </c>
      <c r="Q1050" s="312">
        <v>0.46600000000000003</v>
      </c>
      <c r="R1050" s="312">
        <v>0.71109999999999995</v>
      </c>
      <c r="S1050" s="312">
        <v>0.62129999999999996</v>
      </c>
      <c r="T1050" s="312">
        <v>0.46039999999999998</v>
      </c>
      <c r="U1050" s="312">
        <v>0.56820000000000004</v>
      </c>
      <c r="V1050" s="312">
        <v>0.54520000000000002</v>
      </c>
      <c r="W1050" s="312">
        <v>0.57399999999999995</v>
      </c>
      <c r="X1050" s="312">
        <v>0</v>
      </c>
      <c r="Y1050" s="312">
        <v>0.52180000000000004</v>
      </c>
      <c r="Z1050" s="312">
        <v>0.68640000000000001</v>
      </c>
      <c r="AA1050" s="312">
        <v>0.62109999999999999</v>
      </c>
      <c r="AB1050" s="312">
        <v>0.56399999999999995</v>
      </c>
      <c r="AC1050" s="312">
        <v>0.48630000000000001</v>
      </c>
      <c r="AD1050" s="312">
        <v>0.43819999999999998</v>
      </c>
      <c r="AE1050" s="312">
        <v>0.57399999999999995</v>
      </c>
      <c r="AF1050" s="312">
        <v>0</v>
      </c>
      <c r="AG1050" s="312">
        <v>0.46739999999999998</v>
      </c>
      <c r="AH1050" s="312">
        <v>0.54890000000000005</v>
      </c>
      <c r="AI1050" s="312">
        <v>0.54039999999999999</v>
      </c>
      <c r="AJ1050" s="312">
        <v>0.43559999999999999</v>
      </c>
      <c r="AK1050" s="312">
        <v>0.50060000000000004</v>
      </c>
      <c r="AL1050" s="312">
        <v>0.51919999999999999</v>
      </c>
      <c r="AM1050" s="312">
        <v>0.69669999999999999</v>
      </c>
      <c r="AN1050" s="312">
        <v>0.58189999999999997</v>
      </c>
      <c r="AO1050" s="312">
        <v>0.58409999999999995</v>
      </c>
      <c r="AP1050" s="312">
        <v>0.69310000000000005</v>
      </c>
      <c r="AQ1050" s="312">
        <v>0</v>
      </c>
      <c r="AR1050" s="312">
        <v>0.59940000000000004</v>
      </c>
      <c r="AS1050" s="312">
        <v>0.41599999999999998</v>
      </c>
      <c r="AT1050" s="312">
        <v>0.61909999999999998</v>
      </c>
      <c r="AU1050" s="312">
        <v>0.66710000000000003</v>
      </c>
      <c r="AV1050" s="312">
        <v>0.6421</v>
      </c>
      <c r="AW1050" s="312">
        <v>0.54249999999999998</v>
      </c>
      <c r="AX1050" s="312">
        <v>0.44390000000000002</v>
      </c>
      <c r="AY1050" s="312">
        <v>0.55020000000000002</v>
      </c>
      <c r="AZ1050" s="312">
        <v>0.62849999999999995</v>
      </c>
      <c r="BA1050" s="312">
        <v>0.44740000000000002</v>
      </c>
      <c r="BB1050" s="312">
        <v>0.40400000000000003</v>
      </c>
      <c r="BC1050" s="312">
        <v>0.66159999999999997</v>
      </c>
      <c r="BD1050" s="312">
        <v>0.68069999999999997</v>
      </c>
      <c r="BE1050" s="312">
        <v>0.74370000000000003</v>
      </c>
      <c r="BF1050" s="312">
        <v>0.60729999999999995</v>
      </c>
      <c r="BG1050" s="312">
        <v>0.63</v>
      </c>
      <c r="BH1050" s="312">
        <v>0.64470000000000005</v>
      </c>
      <c r="BI1050" s="312">
        <v>0.67820000000000003</v>
      </c>
      <c r="BJ1050" s="312">
        <v>0.59540000000000004</v>
      </c>
      <c r="BK1050" s="312">
        <v>0.65610000000000002</v>
      </c>
      <c r="BM1050">
        <f>(C1050-C639)*1000000/(RIMS_emp!C1050-RIMS_emp!C639)</f>
        <v>37536.150144600571</v>
      </c>
    </row>
    <row r="1051" spans="1:65" x14ac:dyDescent="0.25">
      <c r="A1051" s="306">
        <v>334111</v>
      </c>
      <c r="B1051" s="312" t="s">
        <v>209</v>
      </c>
      <c r="C1051" s="312">
        <v>0.56830000000000003</v>
      </c>
      <c r="D1051" s="312">
        <v>0</v>
      </c>
      <c r="E1051" s="312">
        <v>0.2838</v>
      </c>
      <c r="F1051" s="312">
        <v>0</v>
      </c>
      <c r="G1051" s="312">
        <v>0.33579999999999999</v>
      </c>
      <c r="H1051" s="312">
        <v>0.45739999999999997</v>
      </c>
      <c r="I1051" s="312">
        <v>0.44919999999999999</v>
      </c>
      <c r="J1051" s="312">
        <v>0.316</v>
      </c>
      <c r="K1051" s="312">
        <v>3.1699999999999999E-2</v>
      </c>
      <c r="L1051" s="312">
        <v>0</v>
      </c>
      <c r="M1051" s="312">
        <v>0.33110000000000001</v>
      </c>
      <c r="N1051" s="312">
        <v>0.36870000000000003</v>
      </c>
      <c r="O1051" s="312">
        <v>0.23180000000000001</v>
      </c>
      <c r="P1051" s="312">
        <v>0.22</v>
      </c>
      <c r="Q1051" s="312">
        <v>0.28549999999999998</v>
      </c>
      <c r="R1051" s="312">
        <v>0.36599999999999999</v>
      </c>
      <c r="S1051" s="312">
        <v>0.28820000000000001</v>
      </c>
      <c r="T1051" s="312">
        <v>0.23100000000000001</v>
      </c>
      <c r="U1051" s="312">
        <v>0.26719999999999999</v>
      </c>
      <c r="V1051" s="312">
        <v>0.25059999999999999</v>
      </c>
      <c r="W1051" s="312">
        <v>0.40510000000000002</v>
      </c>
      <c r="X1051" s="312">
        <v>0.26950000000000002</v>
      </c>
      <c r="Y1051" s="312">
        <v>0</v>
      </c>
      <c r="Z1051" s="312">
        <v>0.36380000000000001</v>
      </c>
      <c r="AA1051" s="312">
        <v>0.40100000000000002</v>
      </c>
      <c r="AB1051" s="312">
        <v>0.30280000000000001</v>
      </c>
      <c r="AC1051" s="312">
        <v>0.22120000000000001</v>
      </c>
      <c r="AD1051" s="312">
        <v>0.1993</v>
      </c>
      <c r="AE1051" s="312">
        <v>0.36049999999999999</v>
      </c>
      <c r="AF1051" s="312">
        <v>0.23519999999999999</v>
      </c>
      <c r="AG1051" s="312">
        <v>0</v>
      </c>
      <c r="AH1051" s="312">
        <v>0.34229999999999999</v>
      </c>
      <c r="AI1051" s="312">
        <v>0.32900000000000001</v>
      </c>
      <c r="AJ1051" s="312">
        <v>0.2487</v>
      </c>
      <c r="AK1051" s="312">
        <v>0.26519999999999999</v>
      </c>
      <c r="AL1051" s="312">
        <v>0.27889999999999998</v>
      </c>
      <c r="AM1051" s="312">
        <v>0.35570000000000002</v>
      </c>
      <c r="AN1051" s="312">
        <v>0.27439999999999998</v>
      </c>
      <c r="AO1051" s="312">
        <v>0.37309999999999999</v>
      </c>
      <c r="AP1051" s="312">
        <v>0.36030000000000001</v>
      </c>
      <c r="AQ1051" s="312">
        <v>0</v>
      </c>
      <c r="AR1051" s="312">
        <v>0.26939999999999997</v>
      </c>
      <c r="AS1051" s="312">
        <v>0</v>
      </c>
      <c r="AT1051" s="312">
        <v>0.30840000000000001</v>
      </c>
      <c r="AU1051" s="312">
        <v>0.4027</v>
      </c>
      <c r="AV1051" s="312">
        <v>0.39460000000000001</v>
      </c>
      <c r="AW1051" s="312">
        <v>0.31419999999999998</v>
      </c>
      <c r="AX1051" s="312">
        <v>0</v>
      </c>
      <c r="AY1051" s="312">
        <v>0.35649999999999998</v>
      </c>
      <c r="AZ1051" s="312">
        <v>0.36280000000000001</v>
      </c>
      <c r="BA1051" s="312">
        <v>0</v>
      </c>
      <c r="BB1051" s="312">
        <v>0</v>
      </c>
      <c r="BC1051" s="312">
        <v>0.45679999999999998</v>
      </c>
      <c r="BD1051" s="312">
        <v>0.3755</v>
      </c>
      <c r="BE1051" s="312">
        <v>0.3861</v>
      </c>
      <c r="BF1051" s="312">
        <v>0.3574</v>
      </c>
      <c r="BG1051" s="312">
        <v>0.38569999999999999</v>
      </c>
      <c r="BH1051" s="312">
        <v>0.308</v>
      </c>
      <c r="BI1051" s="312">
        <v>0.39190000000000003</v>
      </c>
      <c r="BJ1051" s="312">
        <v>0.42609999999999998</v>
      </c>
      <c r="BK1051" s="312">
        <v>0.46110000000000001</v>
      </c>
      <c r="BM1051">
        <f>(C1051-C640)*1000000/(RIMS_emp!C1051-RIMS_emp!C640)</f>
        <v>37544.365572315881</v>
      </c>
    </row>
    <row r="1052" spans="1:65" x14ac:dyDescent="0.25">
      <c r="A1052" s="306">
        <v>334112</v>
      </c>
      <c r="B1052" s="312" t="s">
        <v>210</v>
      </c>
      <c r="C1052" s="312">
        <v>0.80179999999999996</v>
      </c>
      <c r="D1052" s="312">
        <v>0</v>
      </c>
      <c r="E1052" s="312">
        <v>0.44109999999999999</v>
      </c>
      <c r="F1052" s="312">
        <v>0</v>
      </c>
      <c r="G1052" s="312">
        <v>0.48749999999999999</v>
      </c>
      <c r="H1052" s="312">
        <v>0.64539999999999997</v>
      </c>
      <c r="I1052" s="312">
        <v>0.63949999999999996</v>
      </c>
      <c r="J1052" s="312">
        <v>0.48080000000000001</v>
      </c>
      <c r="K1052" s="312">
        <v>0</v>
      </c>
      <c r="L1052" s="312">
        <v>0</v>
      </c>
      <c r="M1052" s="312">
        <v>0.49059999999999998</v>
      </c>
      <c r="N1052" s="312">
        <v>0.57310000000000005</v>
      </c>
      <c r="O1052" s="312">
        <v>0</v>
      </c>
      <c r="P1052" s="312">
        <v>0.3604</v>
      </c>
      <c r="Q1052" s="312">
        <v>0.43140000000000001</v>
      </c>
      <c r="R1052" s="312">
        <v>0.55659999999999998</v>
      </c>
      <c r="S1052" s="312">
        <v>0</v>
      </c>
      <c r="T1052" s="312">
        <v>0.37019999999999997</v>
      </c>
      <c r="U1052" s="312">
        <v>0</v>
      </c>
      <c r="V1052" s="312">
        <v>0</v>
      </c>
      <c r="W1052" s="312">
        <v>0.56740000000000002</v>
      </c>
      <c r="X1052" s="312">
        <v>0.42670000000000002</v>
      </c>
      <c r="Y1052" s="312">
        <v>0</v>
      </c>
      <c r="Z1052" s="312">
        <v>0.55310000000000004</v>
      </c>
      <c r="AA1052" s="312">
        <v>0.58260000000000001</v>
      </c>
      <c r="AB1052" s="312">
        <v>0</v>
      </c>
      <c r="AC1052" s="312">
        <v>0</v>
      </c>
      <c r="AD1052" s="312">
        <v>0</v>
      </c>
      <c r="AE1052" s="312">
        <v>0</v>
      </c>
      <c r="AF1052" s="312">
        <v>0</v>
      </c>
      <c r="AG1052" s="312">
        <v>0</v>
      </c>
      <c r="AH1052" s="312">
        <v>0.49719999999999998</v>
      </c>
      <c r="AI1052" s="312">
        <v>0.50190000000000001</v>
      </c>
      <c r="AJ1052" s="312">
        <v>0</v>
      </c>
      <c r="AK1052" s="312">
        <v>0</v>
      </c>
      <c r="AL1052" s="312">
        <v>0.41649999999999998</v>
      </c>
      <c r="AM1052" s="312">
        <v>0</v>
      </c>
      <c r="AN1052" s="312">
        <v>0.43740000000000001</v>
      </c>
      <c r="AO1052" s="312">
        <v>0</v>
      </c>
      <c r="AP1052" s="312">
        <v>0.54510000000000003</v>
      </c>
      <c r="AQ1052" s="312">
        <v>0</v>
      </c>
      <c r="AR1052" s="312">
        <v>0</v>
      </c>
      <c r="AS1052" s="312">
        <v>0.26840000000000003</v>
      </c>
      <c r="AT1052" s="312">
        <v>0.4824</v>
      </c>
      <c r="AU1052" s="312">
        <v>0.57069999999999999</v>
      </c>
      <c r="AV1052" s="312">
        <v>0.58050000000000002</v>
      </c>
      <c r="AW1052" s="312">
        <v>0.48380000000000001</v>
      </c>
      <c r="AX1052" s="312">
        <v>0</v>
      </c>
      <c r="AY1052" s="312">
        <v>0.53120000000000001</v>
      </c>
      <c r="AZ1052" s="312">
        <v>0.55020000000000002</v>
      </c>
      <c r="BA1052" s="312">
        <v>0</v>
      </c>
      <c r="BB1052" s="312">
        <v>0</v>
      </c>
      <c r="BC1052" s="312">
        <v>0.6472</v>
      </c>
      <c r="BD1052" s="312">
        <v>0.55700000000000005</v>
      </c>
      <c r="BE1052" s="312">
        <v>0.5857</v>
      </c>
      <c r="BF1052" s="312">
        <v>0.53859999999999997</v>
      </c>
      <c r="BG1052" s="312">
        <v>0.58109999999999995</v>
      </c>
      <c r="BH1052" s="312">
        <v>0.47849999999999998</v>
      </c>
      <c r="BI1052" s="312">
        <v>0.55769999999999997</v>
      </c>
      <c r="BJ1052" s="312">
        <v>0.6099</v>
      </c>
      <c r="BK1052" s="312">
        <v>0.65080000000000005</v>
      </c>
      <c r="BM1052">
        <f>(C1052-C641)*1000000/(RIMS_emp!C1052-RIMS_emp!C641)</f>
        <v>37536.849000982642</v>
      </c>
    </row>
    <row r="1053" spans="1:65" x14ac:dyDescent="0.25">
      <c r="A1053" s="306" t="s">
        <v>737</v>
      </c>
      <c r="B1053" s="312" t="s">
        <v>211</v>
      </c>
      <c r="C1053" s="312">
        <v>0.85619999999999996</v>
      </c>
      <c r="D1053" s="312">
        <v>0</v>
      </c>
      <c r="E1053" s="312">
        <v>0.50690000000000002</v>
      </c>
      <c r="F1053" s="312">
        <v>0.48220000000000002</v>
      </c>
      <c r="G1053" s="312">
        <v>0.53510000000000002</v>
      </c>
      <c r="H1053" s="312">
        <v>0.66349999999999998</v>
      </c>
      <c r="I1053" s="312">
        <v>0.64990000000000003</v>
      </c>
      <c r="J1053" s="312">
        <v>0.5514</v>
      </c>
      <c r="K1053" s="312">
        <v>5.8900000000000001E-2</v>
      </c>
      <c r="L1053" s="312">
        <v>0.3271</v>
      </c>
      <c r="M1053" s="312">
        <v>0.54410000000000003</v>
      </c>
      <c r="N1053" s="312">
        <v>0.61899999999999999</v>
      </c>
      <c r="O1053" s="312">
        <v>0</v>
      </c>
      <c r="P1053" s="312">
        <v>0.41870000000000002</v>
      </c>
      <c r="Q1053" s="312">
        <v>0.45050000000000001</v>
      </c>
      <c r="R1053" s="312">
        <v>0.65</v>
      </c>
      <c r="S1053" s="312">
        <v>0.53710000000000002</v>
      </c>
      <c r="T1053" s="312">
        <v>0.4158</v>
      </c>
      <c r="U1053" s="312">
        <v>0.50970000000000004</v>
      </c>
      <c r="V1053" s="312">
        <v>0.48849999999999999</v>
      </c>
      <c r="W1053" s="312">
        <v>0.59150000000000003</v>
      </c>
      <c r="X1053" s="312">
        <v>0.47249999999999998</v>
      </c>
      <c r="Y1053" s="312">
        <v>0</v>
      </c>
      <c r="Z1053" s="312">
        <v>0.62119999999999997</v>
      </c>
      <c r="AA1053" s="312">
        <v>0.60729999999999995</v>
      </c>
      <c r="AB1053" s="312">
        <v>0.5323</v>
      </c>
      <c r="AC1053" s="312">
        <v>0.436</v>
      </c>
      <c r="AD1053" s="312">
        <v>0.37680000000000002</v>
      </c>
      <c r="AE1053" s="312">
        <v>0.58760000000000001</v>
      </c>
      <c r="AF1053" s="312">
        <v>0.38019999999999998</v>
      </c>
      <c r="AG1053" s="312">
        <v>0.41860000000000003</v>
      </c>
      <c r="AH1053" s="312">
        <v>0.50539999999999996</v>
      </c>
      <c r="AI1053" s="312">
        <v>0.55069999999999997</v>
      </c>
      <c r="AJ1053" s="312">
        <v>0.43130000000000002</v>
      </c>
      <c r="AK1053" s="312">
        <v>0.46939999999999998</v>
      </c>
      <c r="AL1053" s="312">
        <v>0.47310000000000002</v>
      </c>
      <c r="AM1053" s="312">
        <v>0.62819999999999998</v>
      </c>
      <c r="AN1053" s="312">
        <v>0.48980000000000001</v>
      </c>
      <c r="AO1053" s="312">
        <v>0.57420000000000004</v>
      </c>
      <c r="AP1053" s="312">
        <v>0.63770000000000004</v>
      </c>
      <c r="AQ1053" s="312">
        <v>0.46189999999999998</v>
      </c>
      <c r="AR1053" s="312">
        <v>0.52769999999999995</v>
      </c>
      <c r="AS1053" s="312">
        <v>0.28689999999999999</v>
      </c>
      <c r="AT1053" s="312">
        <v>0.57150000000000001</v>
      </c>
      <c r="AU1053" s="312">
        <v>0.64890000000000003</v>
      </c>
      <c r="AV1053" s="312">
        <v>0.62060000000000004</v>
      </c>
      <c r="AW1053" s="312">
        <v>0.53369999999999995</v>
      </c>
      <c r="AX1053" s="312">
        <v>0.4229</v>
      </c>
      <c r="AY1053" s="312">
        <v>0.5665</v>
      </c>
      <c r="AZ1053" s="312">
        <v>0.58399999999999996</v>
      </c>
      <c r="BA1053" s="312">
        <v>0</v>
      </c>
      <c r="BB1053" s="312">
        <v>0.37890000000000001</v>
      </c>
      <c r="BC1053" s="312">
        <v>0.6794</v>
      </c>
      <c r="BD1053" s="312">
        <v>0.64649999999999996</v>
      </c>
      <c r="BE1053" s="312">
        <v>0.67520000000000002</v>
      </c>
      <c r="BF1053" s="312">
        <v>0.56989999999999996</v>
      </c>
      <c r="BG1053" s="312">
        <v>0.64359999999999995</v>
      </c>
      <c r="BH1053" s="312">
        <v>0.57130000000000003</v>
      </c>
      <c r="BI1053" s="312">
        <v>0.64429999999999998</v>
      </c>
      <c r="BJ1053" s="312">
        <v>0.61870000000000003</v>
      </c>
      <c r="BK1053" s="312">
        <v>0.67010000000000003</v>
      </c>
      <c r="BM1053">
        <f>(C1053-C642)*1000000/(RIMS_emp!C1053-RIMS_emp!C642)</f>
        <v>37543.248349814727</v>
      </c>
    </row>
    <row r="1054" spans="1:65" x14ac:dyDescent="0.25">
      <c r="A1054" s="306">
        <v>334210</v>
      </c>
      <c r="B1054" s="312" t="s">
        <v>212</v>
      </c>
      <c r="C1054" s="312">
        <v>0.64990000000000003</v>
      </c>
      <c r="D1054" s="312">
        <v>0</v>
      </c>
      <c r="E1054" s="312">
        <v>0.34749999999999998</v>
      </c>
      <c r="F1054" s="312">
        <v>0.3276</v>
      </c>
      <c r="G1054" s="312">
        <v>0.40760000000000002</v>
      </c>
      <c r="H1054" s="312">
        <v>0.51490000000000002</v>
      </c>
      <c r="I1054" s="312">
        <v>0.46550000000000002</v>
      </c>
      <c r="J1054" s="312">
        <v>0.3957</v>
      </c>
      <c r="K1054" s="312">
        <v>3.9100000000000003E-2</v>
      </c>
      <c r="L1054" s="312">
        <v>0.23350000000000001</v>
      </c>
      <c r="M1054" s="312">
        <v>0.41949999999999998</v>
      </c>
      <c r="N1054" s="312">
        <v>0.43819999999999998</v>
      </c>
      <c r="O1054" s="312">
        <v>0</v>
      </c>
      <c r="P1054" s="312">
        <v>0</v>
      </c>
      <c r="Q1054" s="312">
        <v>0.33100000000000002</v>
      </c>
      <c r="R1054" s="312">
        <v>0.48899999999999999</v>
      </c>
      <c r="S1054" s="312">
        <v>0</v>
      </c>
      <c r="T1054" s="312">
        <v>0.308</v>
      </c>
      <c r="U1054" s="312">
        <v>0.3337</v>
      </c>
      <c r="V1054" s="312">
        <v>0.31900000000000001</v>
      </c>
      <c r="W1054" s="312">
        <v>0.438</v>
      </c>
      <c r="X1054" s="312">
        <v>0.36170000000000002</v>
      </c>
      <c r="Y1054" s="312">
        <v>0</v>
      </c>
      <c r="Z1054" s="312">
        <v>0.41689999999999999</v>
      </c>
      <c r="AA1054" s="312">
        <v>0.43080000000000002</v>
      </c>
      <c r="AB1054" s="312">
        <v>0.36780000000000002</v>
      </c>
      <c r="AC1054" s="312">
        <v>0.2863</v>
      </c>
      <c r="AD1054" s="312">
        <v>0</v>
      </c>
      <c r="AE1054" s="312">
        <v>0.438</v>
      </c>
      <c r="AF1054" s="312">
        <v>0</v>
      </c>
      <c r="AG1054" s="312">
        <v>0.28699999999999998</v>
      </c>
      <c r="AH1054" s="312">
        <v>0.38790000000000002</v>
      </c>
      <c r="AI1054" s="312">
        <v>0.42720000000000002</v>
      </c>
      <c r="AJ1054" s="312">
        <v>0.32319999999999999</v>
      </c>
      <c r="AK1054" s="312">
        <v>0.32440000000000002</v>
      </c>
      <c r="AL1054" s="312">
        <v>0.35320000000000001</v>
      </c>
      <c r="AM1054" s="312">
        <v>0.43830000000000002</v>
      </c>
      <c r="AN1054" s="312">
        <v>0.33489999999999998</v>
      </c>
      <c r="AO1054" s="312">
        <v>0.41320000000000001</v>
      </c>
      <c r="AP1054" s="312">
        <v>0.44840000000000002</v>
      </c>
      <c r="AQ1054" s="312">
        <v>0.33829999999999999</v>
      </c>
      <c r="AR1054" s="312">
        <v>0.34449999999999997</v>
      </c>
      <c r="AS1054" s="312">
        <v>0</v>
      </c>
      <c r="AT1054" s="312">
        <v>0.3705</v>
      </c>
      <c r="AU1054" s="312">
        <v>0.49590000000000001</v>
      </c>
      <c r="AV1054" s="312">
        <v>0.47970000000000002</v>
      </c>
      <c r="AW1054" s="312">
        <v>0.40150000000000002</v>
      </c>
      <c r="AX1054" s="312">
        <v>0</v>
      </c>
      <c r="AY1054" s="312">
        <v>0.39479999999999998</v>
      </c>
      <c r="AZ1054" s="312">
        <v>0.39850000000000002</v>
      </c>
      <c r="BA1054" s="312">
        <v>0</v>
      </c>
      <c r="BB1054" s="312">
        <v>0</v>
      </c>
      <c r="BC1054" s="312">
        <v>0.51090000000000002</v>
      </c>
      <c r="BD1054" s="312">
        <v>0.47520000000000001</v>
      </c>
      <c r="BE1054" s="312">
        <v>0.48780000000000001</v>
      </c>
      <c r="BF1054" s="312">
        <v>0.41310000000000002</v>
      </c>
      <c r="BG1054" s="312">
        <v>0.47899999999999998</v>
      </c>
      <c r="BH1054" s="312">
        <v>0.37280000000000002</v>
      </c>
      <c r="BI1054" s="312">
        <v>0.48680000000000001</v>
      </c>
      <c r="BJ1054" s="312">
        <v>0.45500000000000002</v>
      </c>
      <c r="BK1054" s="312">
        <v>0.51819999999999999</v>
      </c>
      <c r="BM1054">
        <f>(C1054-C643)*1000000/(RIMS_emp!C1054-RIMS_emp!C643)</f>
        <v>37549.502949971713</v>
      </c>
    </row>
    <row r="1055" spans="1:65" x14ac:dyDescent="0.25">
      <c r="A1055" s="306">
        <v>334220</v>
      </c>
      <c r="B1055" s="312" t="s">
        <v>738</v>
      </c>
      <c r="C1055" s="312">
        <v>0.80169999999999997</v>
      </c>
      <c r="D1055" s="312">
        <v>0</v>
      </c>
      <c r="E1055" s="312">
        <v>0.42209999999999998</v>
      </c>
      <c r="F1055" s="312">
        <v>0.39439999999999997</v>
      </c>
      <c r="G1055" s="312">
        <v>0.51670000000000005</v>
      </c>
      <c r="H1055" s="312">
        <v>0.64639999999999997</v>
      </c>
      <c r="I1055" s="312">
        <v>0.58750000000000002</v>
      </c>
      <c r="J1055" s="312">
        <v>0.48470000000000002</v>
      </c>
      <c r="K1055" s="312">
        <v>5.5399999999999998E-2</v>
      </c>
      <c r="L1055" s="312">
        <v>0</v>
      </c>
      <c r="M1055" s="312">
        <v>0.53400000000000003</v>
      </c>
      <c r="N1055" s="312">
        <v>0.56040000000000001</v>
      </c>
      <c r="O1055" s="312">
        <v>0</v>
      </c>
      <c r="P1055" s="312">
        <v>0.34429999999999999</v>
      </c>
      <c r="Q1055" s="312">
        <v>0.40289999999999998</v>
      </c>
      <c r="R1055" s="312">
        <v>0.59470000000000001</v>
      </c>
      <c r="S1055" s="312">
        <v>0.46870000000000001</v>
      </c>
      <c r="T1055" s="312">
        <v>0.38490000000000002</v>
      </c>
      <c r="U1055" s="312">
        <v>0</v>
      </c>
      <c r="V1055" s="312">
        <v>0.39269999999999999</v>
      </c>
      <c r="W1055" s="312">
        <v>0.54090000000000005</v>
      </c>
      <c r="X1055" s="312">
        <v>0.45650000000000002</v>
      </c>
      <c r="Y1055" s="312">
        <v>0.46810000000000002</v>
      </c>
      <c r="Z1055" s="312">
        <v>0.5151</v>
      </c>
      <c r="AA1055" s="312">
        <v>0.52849999999999997</v>
      </c>
      <c r="AB1055" s="312">
        <v>0.4577</v>
      </c>
      <c r="AC1055" s="312">
        <v>0.3493</v>
      </c>
      <c r="AD1055" s="312">
        <v>0.32069999999999999</v>
      </c>
      <c r="AE1055" s="312">
        <v>0.53739999999999999</v>
      </c>
      <c r="AF1055" s="312">
        <v>0.31590000000000001</v>
      </c>
      <c r="AG1055" s="312">
        <v>0.35249999999999998</v>
      </c>
      <c r="AH1055" s="312">
        <v>0.48520000000000002</v>
      </c>
      <c r="AI1055" s="312">
        <v>0.53459999999999996</v>
      </c>
      <c r="AJ1055" s="312">
        <v>0.39839999999999998</v>
      </c>
      <c r="AK1055" s="312">
        <v>0.40300000000000002</v>
      </c>
      <c r="AL1055" s="312">
        <v>0.44209999999999999</v>
      </c>
      <c r="AM1055" s="312">
        <v>0.53100000000000003</v>
      </c>
      <c r="AN1055" s="312">
        <v>0.41849999999999998</v>
      </c>
      <c r="AO1055" s="312">
        <v>0.51449999999999996</v>
      </c>
      <c r="AP1055" s="312">
        <v>0.54330000000000001</v>
      </c>
      <c r="AQ1055" s="312">
        <v>0.42820000000000003</v>
      </c>
      <c r="AR1055" s="312">
        <v>0.41909999999999997</v>
      </c>
      <c r="AS1055" s="312">
        <v>0.26190000000000002</v>
      </c>
      <c r="AT1055" s="312">
        <v>0.45540000000000003</v>
      </c>
      <c r="AU1055" s="312">
        <v>0.60899999999999999</v>
      </c>
      <c r="AV1055" s="312">
        <v>0.60709999999999997</v>
      </c>
      <c r="AW1055" s="312">
        <v>0.50629999999999997</v>
      </c>
      <c r="AX1055" s="312">
        <v>0.37030000000000002</v>
      </c>
      <c r="AY1055" s="312">
        <v>0.5</v>
      </c>
      <c r="AZ1055" s="312">
        <v>0.4839</v>
      </c>
      <c r="BA1055" s="312">
        <v>0</v>
      </c>
      <c r="BB1055" s="312">
        <v>0</v>
      </c>
      <c r="BC1055" s="312">
        <v>0.62760000000000005</v>
      </c>
      <c r="BD1055" s="312">
        <v>0.58689999999999998</v>
      </c>
      <c r="BE1055" s="312">
        <v>0.59770000000000001</v>
      </c>
      <c r="BF1055" s="312">
        <v>0.51039999999999996</v>
      </c>
      <c r="BG1055" s="312">
        <v>0.60240000000000005</v>
      </c>
      <c r="BH1055" s="312">
        <v>0.45140000000000002</v>
      </c>
      <c r="BI1055" s="312">
        <v>0.59470000000000001</v>
      </c>
      <c r="BJ1055" s="312">
        <v>0.57579999999999998</v>
      </c>
      <c r="BK1055" s="312">
        <v>0.65169999999999995</v>
      </c>
      <c r="BM1055">
        <f>(C1055-C644)*1000000/(RIMS_emp!C1055-RIMS_emp!C644)</f>
        <v>37542.751562643316</v>
      </c>
    </row>
    <row r="1056" spans="1:65" x14ac:dyDescent="0.25">
      <c r="A1056" s="306">
        <v>334290</v>
      </c>
      <c r="B1056" s="312" t="s">
        <v>213</v>
      </c>
      <c r="C1056" s="312">
        <v>0.85899999999999999</v>
      </c>
      <c r="D1056" s="312">
        <v>0.30940000000000001</v>
      </c>
      <c r="E1056" s="312">
        <v>0.4904</v>
      </c>
      <c r="F1056" s="312">
        <v>0</v>
      </c>
      <c r="G1056" s="312">
        <v>0.54269999999999996</v>
      </c>
      <c r="H1056" s="312">
        <v>0.68799999999999994</v>
      </c>
      <c r="I1056" s="312">
        <v>0.66959999999999997</v>
      </c>
      <c r="J1056" s="312">
        <v>0.55169999999999997</v>
      </c>
      <c r="K1056" s="312">
        <v>0</v>
      </c>
      <c r="L1056" s="312">
        <v>0</v>
      </c>
      <c r="M1056" s="312">
        <v>0.55400000000000005</v>
      </c>
      <c r="N1056" s="312">
        <v>0.63539999999999996</v>
      </c>
      <c r="O1056" s="312">
        <v>0</v>
      </c>
      <c r="P1056" s="312">
        <v>0.41060000000000002</v>
      </c>
      <c r="Q1056" s="312">
        <v>0.44819999999999999</v>
      </c>
      <c r="R1056" s="312">
        <v>0.64170000000000005</v>
      </c>
      <c r="S1056" s="312">
        <v>0.51600000000000001</v>
      </c>
      <c r="T1056" s="312">
        <v>0.42080000000000001</v>
      </c>
      <c r="U1056" s="312">
        <v>0.47260000000000002</v>
      </c>
      <c r="V1056" s="312">
        <v>0.45379999999999998</v>
      </c>
      <c r="W1056" s="312">
        <v>0.60680000000000001</v>
      </c>
      <c r="X1056" s="312">
        <v>0.48199999999999998</v>
      </c>
      <c r="Y1056" s="312">
        <v>0.48649999999999999</v>
      </c>
      <c r="Z1056" s="312">
        <v>0.62470000000000003</v>
      </c>
      <c r="AA1056" s="312">
        <v>0.62549999999999994</v>
      </c>
      <c r="AB1056" s="312">
        <v>0.52859999999999996</v>
      </c>
      <c r="AC1056" s="312">
        <v>0.40720000000000001</v>
      </c>
      <c r="AD1056" s="312">
        <v>0.36449999999999999</v>
      </c>
      <c r="AE1056" s="312">
        <v>0.59379999999999999</v>
      </c>
      <c r="AF1056" s="312">
        <v>0</v>
      </c>
      <c r="AG1056" s="312">
        <v>0.41720000000000002</v>
      </c>
      <c r="AH1056" s="312">
        <v>0.53769999999999996</v>
      </c>
      <c r="AI1056" s="312">
        <v>0.56730000000000003</v>
      </c>
      <c r="AJ1056" s="312">
        <v>0.42730000000000001</v>
      </c>
      <c r="AK1056" s="312">
        <v>0.46510000000000001</v>
      </c>
      <c r="AL1056" s="312">
        <v>0.46910000000000002</v>
      </c>
      <c r="AM1056" s="312">
        <v>0.60109999999999997</v>
      </c>
      <c r="AN1056" s="312">
        <v>0.47120000000000001</v>
      </c>
      <c r="AO1056" s="312">
        <v>0.59709999999999996</v>
      </c>
      <c r="AP1056" s="312">
        <v>0.62070000000000003</v>
      </c>
      <c r="AQ1056" s="312">
        <v>0.49130000000000001</v>
      </c>
      <c r="AR1056" s="312">
        <v>0.49280000000000002</v>
      </c>
      <c r="AS1056" s="312">
        <v>0.28760000000000002</v>
      </c>
      <c r="AT1056" s="312">
        <v>0.54690000000000005</v>
      </c>
      <c r="AU1056" s="312">
        <v>0.64510000000000001</v>
      </c>
      <c r="AV1056" s="312">
        <v>0.65990000000000004</v>
      </c>
      <c r="AW1056" s="312">
        <v>0.54930000000000001</v>
      </c>
      <c r="AX1056" s="312">
        <v>0</v>
      </c>
      <c r="AY1056" s="312">
        <v>0.58409999999999995</v>
      </c>
      <c r="AZ1056" s="312">
        <v>0.59450000000000003</v>
      </c>
      <c r="BA1056" s="312">
        <v>0</v>
      </c>
      <c r="BB1056" s="312">
        <v>0</v>
      </c>
      <c r="BC1056" s="312">
        <v>0.69399999999999995</v>
      </c>
      <c r="BD1056" s="312">
        <v>0.62880000000000003</v>
      </c>
      <c r="BE1056" s="312">
        <v>0.66210000000000002</v>
      </c>
      <c r="BF1056" s="312">
        <v>0.57869999999999999</v>
      </c>
      <c r="BG1056" s="312">
        <v>0.6512</v>
      </c>
      <c r="BH1056" s="312">
        <v>0.5333</v>
      </c>
      <c r="BI1056" s="312">
        <v>0.626</v>
      </c>
      <c r="BJ1056" s="312">
        <v>0.64290000000000003</v>
      </c>
      <c r="BK1056" s="312">
        <v>0.69469999999999998</v>
      </c>
      <c r="BM1056">
        <f>(C1056-C645)*1000000/(RIMS_emp!C1056-RIMS_emp!C645)</f>
        <v>37546.627530116784</v>
      </c>
    </row>
    <row r="1057" spans="1:65" x14ac:dyDescent="0.25">
      <c r="A1057" s="306">
        <v>334300</v>
      </c>
      <c r="B1057" s="312" t="s">
        <v>214</v>
      </c>
      <c r="C1057" s="312">
        <v>0.69199999999999995</v>
      </c>
      <c r="D1057" s="312">
        <v>0</v>
      </c>
      <c r="E1057" s="312">
        <v>0.35770000000000002</v>
      </c>
      <c r="F1057" s="312">
        <v>0.33760000000000001</v>
      </c>
      <c r="G1057" s="312">
        <v>0.38009999999999999</v>
      </c>
      <c r="H1057" s="312">
        <v>0.52229999999999999</v>
      </c>
      <c r="I1057" s="312">
        <v>0.43409999999999999</v>
      </c>
      <c r="J1057" s="312">
        <v>0.38</v>
      </c>
      <c r="K1057" s="312">
        <v>3.6799999999999999E-2</v>
      </c>
      <c r="L1057" s="312">
        <v>0.22839999999999999</v>
      </c>
      <c r="M1057" s="312">
        <v>0.38429999999999997</v>
      </c>
      <c r="N1057" s="312">
        <v>0.4425</v>
      </c>
      <c r="O1057" s="312">
        <v>0</v>
      </c>
      <c r="P1057" s="312">
        <v>0.27750000000000002</v>
      </c>
      <c r="Q1057" s="312">
        <v>0.2989</v>
      </c>
      <c r="R1057" s="312">
        <v>0.48530000000000001</v>
      </c>
      <c r="S1057" s="312">
        <v>0.38500000000000001</v>
      </c>
      <c r="T1057" s="312">
        <v>0.27850000000000003</v>
      </c>
      <c r="U1057" s="312">
        <v>0.3785</v>
      </c>
      <c r="V1057" s="312">
        <v>0.30309999999999998</v>
      </c>
      <c r="W1057" s="312">
        <v>0.46339999999999998</v>
      </c>
      <c r="X1057" s="312">
        <v>0.33</v>
      </c>
      <c r="Y1057" s="312">
        <v>0.33750000000000002</v>
      </c>
      <c r="Z1057" s="312">
        <v>0.4698</v>
      </c>
      <c r="AA1057" s="312">
        <v>0.43130000000000002</v>
      </c>
      <c r="AB1057" s="312">
        <v>0.38300000000000001</v>
      </c>
      <c r="AC1057" s="312">
        <v>0.29060000000000002</v>
      </c>
      <c r="AD1057" s="312">
        <v>0</v>
      </c>
      <c r="AE1057" s="312">
        <v>0.41449999999999998</v>
      </c>
      <c r="AF1057" s="312">
        <v>0.2455</v>
      </c>
      <c r="AG1057" s="312">
        <v>0.27310000000000001</v>
      </c>
      <c r="AH1057" s="312">
        <v>0.37130000000000002</v>
      </c>
      <c r="AI1057" s="312">
        <v>0.43840000000000001</v>
      </c>
      <c r="AJ1057" s="312">
        <v>0.29339999999999999</v>
      </c>
      <c r="AK1057" s="312">
        <v>0.3019</v>
      </c>
      <c r="AL1057" s="312">
        <v>0.3382</v>
      </c>
      <c r="AM1057" s="312">
        <v>0.4672</v>
      </c>
      <c r="AN1057" s="312">
        <v>0.32490000000000002</v>
      </c>
      <c r="AO1057" s="312">
        <v>0.40150000000000002</v>
      </c>
      <c r="AP1057" s="312">
        <v>0.48099999999999998</v>
      </c>
      <c r="AQ1057" s="312">
        <v>0.31109999999999999</v>
      </c>
      <c r="AR1057" s="312">
        <v>0.373</v>
      </c>
      <c r="AS1057" s="312">
        <v>0</v>
      </c>
      <c r="AT1057" s="312">
        <v>0.40260000000000001</v>
      </c>
      <c r="AU1057" s="312">
        <v>0.4657</v>
      </c>
      <c r="AV1057" s="312">
        <v>0.45279999999999998</v>
      </c>
      <c r="AW1057" s="312">
        <v>0.35570000000000002</v>
      </c>
      <c r="AX1057" s="312">
        <v>0.29199999999999998</v>
      </c>
      <c r="AY1057" s="312">
        <v>0.38600000000000001</v>
      </c>
      <c r="AZ1057" s="312">
        <v>0.41959999999999997</v>
      </c>
      <c r="BA1057" s="312">
        <v>0.2402</v>
      </c>
      <c r="BB1057" s="312">
        <v>0.22020000000000001</v>
      </c>
      <c r="BC1057" s="312">
        <v>0.52649999999999997</v>
      </c>
      <c r="BD1057" s="312">
        <v>0.48309999999999997</v>
      </c>
      <c r="BE1057" s="312">
        <v>0.51</v>
      </c>
      <c r="BF1057" s="312">
        <v>0.40539999999999998</v>
      </c>
      <c r="BG1057" s="312">
        <v>0.4662</v>
      </c>
      <c r="BH1057" s="312">
        <v>0.42430000000000001</v>
      </c>
      <c r="BI1057" s="312">
        <v>0.46100000000000002</v>
      </c>
      <c r="BJ1057" s="312">
        <v>0.4345</v>
      </c>
      <c r="BK1057" s="312">
        <v>0.52929999999999999</v>
      </c>
      <c r="BM1057">
        <f>(C1057-C646)*1000000/(RIMS_emp!C1057-RIMS_emp!C646)</f>
        <v>37542.506679621081</v>
      </c>
    </row>
    <row r="1058" spans="1:65" x14ac:dyDescent="0.25">
      <c r="A1058" s="306">
        <v>334411</v>
      </c>
      <c r="B1058" s="312" t="s">
        <v>215</v>
      </c>
      <c r="C1058" s="312">
        <v>0.78320000000000001</v>
      </c>
      <c r="D1058" s="312">
        <v>0</v>
      </c>
      <c r="E1058" s="312">
        <v>0</v>
      </c>
      <c r="F1058" s="312">
        <v>0</v>
      </c>
      <c r="G1058" s="312">
        <v>0</v>
      </c>
      <c r="H1058" s="312">
        <v>0.56220000000000003</v>
      </c>
      <c r="I1058" s="312">
        <v>0.51670000000000005</v>
      </c>
      <c r="J1058" s="312">
        <v>0</v>
      </c>
      <c r="K1058" s="312">
        <v>0</v>
      </c>
      <c r="L1058" s="312">
        <v>0</v>
      </c>
      <c r="M1058" s="312">
        <v>0.45529999999999998</v>
      </c>
      <c r="N1058" s="312">
        <v>0</v>
      </c>
      <c r="O1058" s="312">
        <v>0</v>
      </c>
      <c r="P1058" s="312">
        <v>0</v>
      </c>
      <c r="Q1058" s="312">
        <v>0</v>
      </c>
      <c r="R1058" s="312">
        <v>0.57169999999999999</v>
      </c>
      <c r="S1058" s="312">
        <v>0</v>
      </c>
      <c r="T1058" s="312">
        <v>0</v>
      </c>
      <c r="U1058" s="312">
        <v>0.50629999999999997</v>
      </c>
      <c r="V1058" s="312">
        <v>0.42049999999999998</v>
      </c>
      <c r="W1058" s="312">
        <v>0.47139999999999999</v>
      </c>
      <c r="X1058" s="312">
        <v>0.39710000000000001</v>
      </c>
      <c r="Y1058" s="312">
        <v>0</v>
      </c>
      <c r="Z1058" s="312">
        <v>0.55449999999999999</v>
      </c>
      <c r="AA1058" s="312">
        <v>0</v>
      </c>
      <c r="AB1058" s="312">
        <v>0.44769999999999999</v>
      </c>
      <c r="AC1058" s="312">
        <v>0.39789999999999998</v>
      </c>
      <c r="AD1058" s="312">
        <v>0</v>
      </c>
      <c r="AE1058" s="312">
        <v>0</v>
      </c>
      <c r="AF1058" s="312">
        <v>0</v>
      </c>
      <c r="AG1058" s="312">
        <v>0</v>
      </c>
      <c r="AH1058" s="312">
        <v>0</v>
      </c>
      <c r="AI1058" s="312">
        <v>0.52700000000000002</v>
      </c>
      <c r="AJ1058" s="312">
        <v>0</v>
      </c>
      <c r="AK1058" s="312">
        <v>0</v>
      </c>
      <c r="AL1058" s="312">
        <v>0.41660000000000003</v>
      </c>
      <c r="AM1058" s="312">
        <v>0.60270000000000001</v>
      </c>
      <c r="AN1058" s="312">
        <v>0</v>
      </c>
      <c r="AO1058" s="312">
        <v>0</v>
      </c>
      <c r="AP1058" s="312">
        <v>0.61409999999999998</v>
      </c>
      <c r="AQ1058" s="312">
        <v>0</v>
      </c>
      <c r="AR1058" s="312">
        <v>0.49830000000000002</v>
      </c>
      <c r="AS1058" s="312">
        <v>0</v>
      </c>
      <c r="AT1058" s="312">
        <v>0</v>
      </c>
      <c r="AU1058" s="312">
        <v>0.55879999999999996</v>
      </c>
      <c r="AV1058" s="312">
        <v>0</v>
      </c>
      <c r="AW1058" s="312">
        <v>0</v>
      </c>
      <c r="AX1058" s="312">
        <v>0</v>
      </c>
      <c r="AY1058" s="312">
        <v>0</v>
      </c>
      <c r="AZ1058" s="312">
        <v>0.52710000000000001</v>
      </c>
      <c r="BA1058" s="312">
        <v>0</v>
      </c>
      <c r="BB1058" s="312">
        <v>0</v>
      </c>
      <c r="BC1058" s="312">
        <v>0.56499999999999995</v>
      </c>
      <c r="BD1058" s="312">
        <v>0.60940000000000005</v>
      </c>
      <c r="BE1058" s="312">
        <v>0.64580000000000004</v>
      </c>
      <c r="BF1058" s="312">
        <v>0.51949999999999996</v>
      </c>
      <c r="BG1058" s="312">
        <v>0.5544</v>
      </c>
      <c r="BH1058" s="312">
        <v>0.56810000000000005</v>
      </c>
      <c r="BI1058" s="312">
        <v>0.56010000000000004</v>
      </c>
      <c r="BJ1058" s="312">
        <v>0.50870000000000004</v>
      </c>
      <c r="BK1058" s="312">
        <v>0.57930000000000004</v>
      </c>
      <c r="BM1058">
        <f>(C1058-C647)*1000000/(RIMS_emp!C1058-RIMS_emp!C647)</f>
        <v>37542.75367178594</v>
      </c>
    </row>
    <row r="1059" spans="1:65" x14ac:dyDescent="0.25">
      <c r="A1059" s="306">
        <v>334412</v>
      </c>
      <c r="B1059" s="312" t="s">
        <v>216</v>
      </c>
      <c r="C1059" s="312">
        <v>0.86699999999999999</v>
      </c>
      <c r="D1059" s="312">
        <v>0</v>
      </c>
      <c r="E1059" s="312">
        <v>0.56240000000000001</v>
      </c>
      <c r="F1059" s="312">
        <v>0.50800000000000001</v>
      </c>
      <c r="G1059" s="312">
        <v>0.60360000000000003</v>
      </c>
      <c r="H1059" s="312">
        <v>0.6845</v>
      </c>
      <c r="I1059" s="312">
        <v>0.66790000000000005</v>
      </c>
      <c r="J1059" s="312">
        <v>0.57599999999999996</v>
      </c>
      <c r="K1059" s="312">
        <v>0</v>
      </c>
      <c r="L1059" s="312">
        <v>0</v>
      </c>
      <c r="M1059" s="312">
        <v>0.60119999999999996</v>
      </c>
      <c r="N1059" s="312">
        <v>0.62</v>
      </c>
      <c r="O1059" s="312">
        <v>0</v>
      </c>
      <c r="P1059" s="312">
        <v>0.45669999999999999</v>
      </c>
      <c r="Q1059" s="312">
        <v>0.49409999999999998</v>
      </c>
      <c r="R1059" s="312">
        <v>0.67849999999999999</v>
      </c>
      <c r="S1059" s="312">
        <v>0.56220000000000003</v>
      </c>
      <c r="T1059" s="312">
        <v>0.44840000000000002</v>
      </c>
      <c r="U1059" s="312">
        <v>0.53010000000000002</v>
      </c>
      <c r="V1059" s="312">
        <v>0.52559999999999996</v>
      </c>
      <c r="W1059" s="312">
        <v>0.59640000000000004</v>
      </c>
      <c r="X1059" s="312">
        <v>0.50749999999999995</v>
      </c>
      <c r="Y1059" s="312">
        <v>0.53639999999999999</v>
      </c>
      <c r="Z1059" s="312">
        <v>0.63470000000000004</v>
      </c>
      <c r="AA1059" s="312">
        <v>0.62419999999999998</v>
      </c>
      <c r="AB1059" s="312">
        <v>0.55200000000000005</v>
      </c>
      <c r="AC1059" s="312">
        <v>0.46729999999999999</v>
      </c>
      <c r="AD1059" s="312">
        <v>0</v>
      </c>
      <c r="AE1059" s="312">
        <v>0.61260000000000003</v>
      </c>
      <c r="AF1059" s="312">
        <v>0.40379999999999999</v>
      </c>
      <c r="AG1059" s="312">
        <v>0.44719999999999999</v>
      </c>
      <c r="AH1059" s="312">
        <v>0.53069999999999995</v>
      </c>
      <c r="AI1059" s="312">
        <v>0.59219999999999995</v>
      </c>
      <c r="AJ1059" s="312">
        <v>0.49709999999999999</v>
      </c>
      <c r="AK1059" s="312">
        <v>0.49099999999999999</v>
      </c>
      <c r="AL1059" s="312">
        <v>0.51900000000000002</v>
      </c>
      <c r="AM1059" s="312">
        <v>0.6411</v>
      </c>
      <c r="AN1059" s="312">
        <v>0.53549999999999998</v>
      </c>
      <c r="AO1059" s="312">
        <v>0.59189999999999998</v>
      </c>
      <c r="AP1059" s="312">
        <v>0.65539999999999998</v>
      </c>
      <c r="AQ1059" s="312">
        <v>0.4773</v>
      </c>
      <c r="AR1059" s="312">
        <v>0.5544</v>
      </c>
      <c r="AS1059" s="312">
        <v>0.32729999999999998</v>
      </c>
      <c r="AT1059" s="312">
        <v>0.59630000000000005</v>
      </c>
      <c r="AU1059" s="312">
        <v>0.68440000000000001</v>
      </c>
      <c r="AV1059" s="312">
        <v>0.65649999999999997</v>
      </c>
      <c r="AW1059" s="312">
        <v>0.55159999999999998</v>
      </c>
      <c r="AX1059" s="312">
        <v>0.49109999999999998</v>
      </c>
      <c r="AY1059" s="312">
        <v>0.57689999999999997</v>
      </c>
      <c r="AZ1059" s="312">
        <v>0.59230000000000005</v>
      </c>
      <c r="BA1059" s="312">
        <v>0</v>
      </c>
      <c r="BB1059" s="312">
        <v>0</v>
      </c>
      <c r="BC1059" s="312">
        <v>0.6925</v>
      </c>
      <c r="BD1059" s="312">
        <v>0.67400000000000004</v>
      </c>
      <c r="BE1059" s="312">
        <v>0.69450000000000001</v>
      </c>
      <c r="BF1059" s="312">
        <v>0.60899999999999999</v>
      </c>
      <c r="BG1059" s="312">
        <v>0.67649999999999999</v>
      </c>
      <c r="BH1059" s="312">
        <v>0.6038</v>
      </c>
      <c r="BI1059" s="312">
        <v>0.68310000000000004</v>
      </c>
      <c r="BJ1059" s="312">
        <v>0.65600000000000003</v>
      </c>
      <c r="BK1059" s="312">
        <v>0.69299999999999995</v>
      </c>
      <c r="BM1059">
        <f>(C1059-C648)*1000000/(RIMS_emp!C1059-RIMS_emp!C648)</f>
        <v>37550.436816149471</v>
      </c>
    </row>
    <row r="1060" spans="1:65" x14ac:dyDescent="0.25">
      <c r="A1060" s="306">
        <v>334413</v>
      </c>
      <c r="B1060" s="312" t="s">
        <v>217</v>
      </c>
      <c r="C1060" s="312">
        <v>0.64659999999999995</v>
      </c>
      <c r="D1060" s="312">
        <v>0</v>
      </c>
      <c r="E1060" s="312">
        <v>0.40100000000000002</v>
      </c>
      <c r="F1060" s="312">
        <v>0.3836</v>
      </c>
      <c r="G1060" s="312">
        <v>0.42220000000000002</v>
      </c>
      <c r="H1060" s="312">
        <v>0.49299999999999999</v>
      </c>
      <c r="I1060" s="312">
        <v>0.49569999999999997</v>
      </c>
      <c r="J1060" s="312">
        <v>0.41399999999999998</v>
      </c>
      <c r="K1060" s="312">
        <v>4.6399999999999997E-2</v>
      </c>
      <c r="L1060" s="312">
        <v>0.27879999999999999</v>
      </c>
      <c r="M1060" s="312">
        <v>0.42259999999999998</v>
      </c>
      <c r="N1060" s="312">
        <v>0.46889999999999998</v>
      </c>
      <c r="O1060" s="312">
        <v>0.35310000000000002</v>
      </c>
      <c r="P1060" s="312">
        <v>0.31900000000000001</v>
      </c>
      <c r="Q1060" s="312">
        <v>0.35980000000000001</v>
      </c>
      <c r="R1060" s="312">
        <v>0.50739999999999996</v>
      </c>
      <c r="S1060" s="312">
        <v>0.40920000000000001</v>
      </c>
      <c r="T1060" s="312">
        <v>0.33029999999999998</v>
      </c>
      <c r="U1060" s="312">
        <v>0.39079999999999998</v>
      </c>
      <c r="V1060" s="312">
        <v>0</v>
      </c>
      <c r="W1060" s="312">
        <v>0.43359999999999999</v>
      </c>
      <c r="X1060" s="312">
        <v>0.38129999999999997</v>
      </c>
      <c r="Y1060" s="312">
        <v>0.39660000000000001</v>
      </c>
      <c r="Z1060" s="312">
        <v>0.4677</v>
      </c>
      <c r="AA1060" s="312">
        <v>0.44109999999999999</v>
      </c>
      <c r="AB1060" s="312">
        <v>0.4234</v>
      </c>
      <c r="AC1060" s="312">
        <v>0.33739999999999998</v>
      </c>
      <c r="AD1060" s="312">
        <v>0.31030000000000002</v>
      </c>
      <c r="AE1060" s="312">
        <v>0.45129999999999998</v>
      </c>
      <c r="AF1060" s="312">
        <v>0</v>
      </c>
      <c r="AG1060" s="312">
        <v>0.32679999999999998</v>
      </c>
      <c r="AH1060" s="312">
        <v>0.37</v>
      </c>
      <c r="AI1060" s="312">
        <v>0.44829999999999998</v>
      </c>
      <c r="AJ1060" s="312">
        <v>0.36309999999999998</v>
      </c>
      <c r="AK1060" s="312">
        <v>0.3795</v>
      </c>
      <c r="AL1060" s="312">
        <v>0.37340000000000001</v>
      </c>
      <c r="AM1060" s="312">
        <v>0.4894</v>
      </c>
      <c r="AN1060" s="312">
        <v>0.38590000000000002</v>
      </c>
      <c r="AO1060" s="312">
        <v>0.43409999999999999</v>
      </c>
      <c r="AP1060" s="312">
        <v>0.49299999999999999</v>
      </c>
      <c r="AQ1060" s="312">
        <v>0.35270000000000001</v>
      </c>
      <c r="AR1060" s="312">
        <v>0.40189999999999998</v>
      </c>
      <c r="AS1060" s="312">
        <v>0.22020000000000001</v>
      </c>
      <c r="AT1060" s="312">
        <v>0.43490000000000001</v>
      </c>
      <c r="AU1060" s="312">
        <v>0.49330000000000002</v>
      </c>
      <c r="AV1060" s="312">
        <v>0.49809999999999999</v>
      </c>
      <c r="AW1060" s="312">
        <v>0.41270000000000001</v>
      </c>
      <c r="AX1060" s="312">
        <v>0.31919999999999998</v>
      </c>
      <c r="AY1060" s="312">
        <v>0.43169999999999997</v>
      </c>
      <c r="AZ1060" s="312">
        <v>0.42</v>
      </c>
      <c r="BA1060" s="312">
        <v>0.29699999999999999</v>
      </c>
      <c r="BB1060" s="312">
        <v>0</v>
      </c>
      <c r="BC1060" s="312">
        <v>0.49980000000000002</v>
      </c>
      <c r="BD1060" s="312">
        <v>0.50790000000000002</v>
      </c>
      <c r="BE1060" s="312">
        <v>0.52100000000000002</v>
      </c>
      <c r="BF1060" s="312">
        <v>0.43659999999999999</v>
      </c>
      <c r="BG1060" s="312">
        <v>0.50519999999999998</v>
      </c>
      <c r="BH1060" s="312">
        <v>0.43730000000000002</v>
      </c>
      <c r="BI1060" s="312">
        <v>0.49399999999999999</v>
      </c>
      <c r="BJ1060" s="312">
        <v>0.48409999999999997</v>
      </c>
      <c r="BK1060" s="312">
        <v>0.50209999999999999</v>
      </c>
      <c r="BM1060">
        <f>(C1060-C649)*1000000/(RIMS_emp!C1060-RIMS_emp!C649)</f>
        <v>37526.80486061472</v>
      </c>
    </row>
    <row r="1061" spans="1:65" x14ac:dyDescent="0.25">
      <c r="A1061" s="306">
        <v>334417</v>
      </c>
      <c r="B1061" s="312" t="s">
        <v>219</v>
      </c>
      <c r="C1061" s="312">
        <v>0.92330000000000001</v>
      </c>
      <c r="D1061" s="312">
        <v>0</v>
      </c>
      <c r="E1061" s="312">
        <v>0.58830000000000005</v>
      </c>
      <c r="F1061" s="312">
        <v>0.56659999999999999</v>
      </c>
      <c r="G1061" s="312">
        <v>0.59230000000000005</v>
      </c>
      <c r="H1061" s="312">
        <v>0.70979999999999999</v>
      </c>
      <c r="I1061" s="312">
        <v>0.68779999999999997</v>
      </c>
      <c r="J1061" s="312">
        <v>0.62670000000000003</v>
      </c>
      <c r="K1061" s="312">
        <v>0</v>
      </c>
      <c r="L1061" s="312">
        <v>0.39429999999999998</v>
      </c>
      <c r="M1061" s="312">
        <v>0.59619999999999995</v>
      </c>
      <c r="N1061" s="312">
        <v>0.65600000000000003</v>
      </c>
      <c r="O1061" s="312">
        <v>0</v>
      </c>
      <c r="P1061" s="312">
        <v>0.48520000000000002</v>
      </c>
      <c r="Q1061" s="312">
        <v>0</v>
      </c>
      <c r="R1061" s="312">
        <v>0.75029999999999997</v>
      </c>
      <c r="S1061" s="312">
        <v>0.61209999999999998</v>
      </c>
      <c r="T1061" s="312">
        <v>0.47689999999999999</v>
      </c>
      <c r="U1061" s="312">
        <v>0</v>
      </c>
      <c r="V1061" s="312">
        <v>0</v>
      </c>
      <c r="W1061" s="312">
        <v>0.6331</v>
      </c>
      <c r="X1061" s="312">
        <v>0.53790000000000004</v>
      </c>
      <c r="Y1061" s="312">
        <v>0.55910000000000004</v>
      </c>
      <c r="Z1061" s="312">
        <v>0.68930000000000002</v>
      </c>
      <c r="AA1061" s="312">
        <v>0.66359999999999997</v>
      </c>
      <c r="AB1061" s="312">
        <v>0.61470000000000002</v>
      </c>
      <c r="AC1061" s="312">
        <v>0.49590000000000001</v>
      </c>
      <c r="AD1061" s="312">
        <v>0</v>
      </c>
      <c r="AE1061" s="312">
        <v>0.64410000000000001</v>
      </c>
      <c r="AF1061" s="312">
        <v>0</v>
      </c>
      <c r="AG1061" s="312">
        <v>0.48859999999999998</v>
      </c>
      <c r="AH1061" s="312">
        <v>0.55900000000000005</v>
      </c>
      <c r="AI1061" s="312">
        <v>0.6431</v>
      </c>
      <c r="AJ1061" s="312">
        <v>0</v>
      </c>
      <c r="AK1061" s="312">
        <v>0.54459999999999997</v>
      </c>
      <c r="AL1061" s="312">
        <v>0.5534</v>
      </c>
      <c r="AM1061" s="312">
        <v>0.70760000000000001</v>
      </c>
      <c r="AN1061" s="312">
        <v>0.56389999999999996</v>
      </c>
      <c r="AO1061" s="312">
        <v>0.61919999999999997</v>
      </c>
      <c r="AP1061" s="312">
        <v>0.72850000000000004</v>
      </c>
      <c r="AQ1061" s="312">
        <v>0.53949999999999998</v>
      </c>
      <c r="AR1061" s="312">
        <v>0.58330000000000004</v>
      </c>
      <c r="AS1061" s="312">
        <v>0</v>
      </c>
      <c r="AT1061" s="312">
        <v>0.6331</v>
      </c>
      <c r="AU1061" s="312">
        <v>0.68869999999999998</v>
      </c>
      <c r="AV1061" s="312">
        <v>0.67479999999999996</v>
      </c>
      <c r="AW1061" s="312">
        <v>0.58520000000000005</v>
      </c>
      <c r="AX1061" s="312">
        <v>0</v>
      </c>
      <c r="AY1061" s="312">
        <v>0.60340000000000005</v>
      </c>
      <c r="AZ1061" s="312">
        <v>0</v>
      </c>
      <c r="BA1061" s="312">
        <v>0</v>
      </c>
      <c r="BB1061" s="312">
        <v>0</v>
      </c>
      <c r="BC1061" s="312">
        <v>0.73680000000000001</v>
      </c>
      <c r="BD1061" s="312">
        <v>0.73839999999999995</v>
      </c>
      <c r="BE1061" s="312">
        <v>0.76590000000000003</v>
      </c>
      <c r="BF1061" s="312">
        <v>0.6472</v>
      </c>
      <c r="BG1061" s="312">
        <v>0.70469999999999999</v>
      </c>
      <c r="BH1061" s="312">
        <v>0.63970000000000005</v>
      </c>
      <c r="BI1061" s="312">
        <v>0.69289999999999996</v>
      </c>
      <c r="BJ1061" s="312">
        <v>0.66190000000000004</v>
      </c>
      <c r="BK1061" s="312">
        <v>0.71589999999999998</v>
      </c>
      <c r="BM1061">
        <f>(C1061-C650)*1000000/(RIMS_emp!C1061-RIMS_emp!C650)</f>
        <v>37547.36087564996</v>
      </c>
    </row>
    <row r="1062" spans="1:65" x14ac:dyDescent="0.25">
      <c r="A1062" s="306">
        <v>334418</v>
      </c>
      <c r="B1062" s="312" t="s">
        <v>220</v>
      </c>
      <c r="C1062" s="312">
        <v>0.67769999999999997</v>
      </c>
      <c r="D1062" s="312">
        <v>0</v>
      </c>
      <c r="E1062" s="312">
        <v>0.3695</v>
      </c>
      <c r="F1062" s="312">
        <v>0.3695</v>
      </c>
      <c r="G1062" s="312">
        <v>0.45860000000000001</v>
      </c>
      <c r="H1062" s="312">
        <v>0.5373</v>
      </c>
      <c r="I1062" s="312">
        <v>0.51180000000000003</v>
      </c>
      <c r="J1062" s="312">
        <v>0.4133</v>
      </c>
      <c r="K1062" s="312">
        <v>0</v>
      </c>
      <c r="L1062" s="312">
        <v>0</v>
      </c>
      <c r="M1062" s="312">
        <v>0.44440000000000002</v>
      </c>
      <c r="N1062" s="312">
        <v>0.41660000000000003</v>
      </c>
      <c r="O1062" s="312">
        <v>0</v>
      </c>
      <c r="P1062" s="312">
        <v>0.30470000000000003</v>
      </c>
      <c r="Q1062" s="312">
        <v>0.36859999999999998</v>
      </c>
      <c r="R1062" s="312">
        <v>0.4869</v>
      </c>
      <c r="S1062" s="312">
        <v>0.39290000000000003</v>
      </c>
      <c r="T1062" s="312">
        <v>0.30790000000000001</v>
      </c>
      <c r="U1062" s="312">
        <v>0.3654</v>
      </c>
      <c r="V1062" s="312">
        <v>0.33629999999999999</v>
      </c>
      <c r="W1062" s="312">
        <v>0.47520000000000001</v>
      </c>
      <c r="X1062" s="312">
        <v>0.34329999999999999</v>
      </c>
      <c r="Y1062" s="312">
        <v>0.42449999999999999</v>
      </c>
      <c r="Z1062" s="312">
        <v>0.45419999999999999</v>
      </c>
      <c r="AA1062" s="312">
        <v>0.45860000000000001</v>
      </c>
      <c r="AB1062" s="312">
        <v>0.39800000000000002</v>
      </c>
      <c r="AC1062" s="312">
        <v>0.30759999999999998</v>
      </c>
      <c r="AD1062" s="312">
        <v>0.27939999999999998</v>
      </c>
      <c r="AE1062" s="312">
        <v>0.45269999999999999</v>
      </c>
      <c r="AF1062" s="312">
        <v>0.27779999999999999</v>
      </c>
      <c r="AG1062" s="312">
        <v>0.29809999999999998</v>
      </c>
      <c r="AH1062" s="312">
        <v>0.3947</v>
      </c>
      <c r="AI1062" s="312">
        <v>0.42809999999999998</v>
      </c>
      <c r="AJ1062" s="312">
        <v>0.36890000000000001</v>
      </c>
      <c r="AK1062" s="312">
        <v>0.35310000000000002</v>
      </c>
      <c r="AL1062" s="312">
        <v>0.37469999999999998</v>
      </c>
      <c r="AM1062" s="312">
        <v>0.48509999999999998</v>
      </c>
      <c r="AN1062" s="312">
        <v>0.35799999999999998</v>
      </c>
      <c r="AO1062" s="312">
        <v>0.47739999999999999</v>
      </c>
      <c r="AP1062" s="312">
        <v>0.4788</v>
      </c>
      <c r="AQ1062" s="312">
        <v>0.3231</v>
      </c>
      <c r="AR1062" s="312">
        <v>0.35780000000000001</v>
      </c>
      <c r="AS1062" s="312">
        <v>0.2276</v>
      </c>
      <c r="AT1062" s="312">
        <v>0.40139999999999998</v>
      </c>
      <c r="AU1062" s="312">
        <v>0.52239999999999998</v>
      </c>
      <c r="AV1062" s="312">
        <v>0.49659999999999999</v>
      </c>
      <c r="AW1062" s="312">
        <v>0.3962</v>
      </c>
      <c r="AX1062" s="312">
        <v>0.35670000000000002</v>
      </c>
      <c r="AY1062" s="312">
        <v>0.41909999999999997</v>
      </c>
      <c r="AZ1062" s="312">
        <v>0.42649999999999999</v>
      </c>
      <c r="BA1062" s="312">
        <v>0.2666</v>
      </c>
      <c r="BB1062" s="312">
        <v>0</v>
      </c>
      <c r="BC1062" s="312">
        <v>0.54830000000000001</v>
      </c>
      <c r="BD1062" s="312">
        <v>0.49469999999999997</v>
      </c>
      <c r="BE1062" s="312">
        <v>0.50309999999999999</v>
      </c>
      <c r="BF1062" s="312">
        <v>0.43190000000000001</v>
      </c>
      <c r="BG1062" s="312">
        <v>0.47970000000000002</v>
      </c>
      <c r="BH1062" s="312">
        <v>0.4012</v>
      </c>
      <c r="BI1062" s="312">
        <v>0.52280000000000004</v>
      </c>
      <c r="BJ1062" s="312">
        <v>0.50739999999999996</v>
      </c>
      <c r="BK1062" s="312">
        <v>0.54330000000000001</v>
      </c>
      <c r="BM1062">
        <f>(C1062-C651)*1000000/(RIMS_emp!C1062-RIMS_emp!C651)</f>
        <v>37541.656978997133</v>
      </c>
    </row>
    <row r="1063" spans="1:65" x14ac:dyDescent="0.25">
      <c r="A1063" s="306">
        <v>334419</v>
      </c>
      <c r="B1063" s="312" t="s">
        <v>221</v>
      </c>
      <c r="C1063" s="312">
        <v>0.92559999999999998</v>
      </c>
      <c r="D1063" s="312">
        <v>0</v>
      </c>
      <c r="E1063" s="312">
        <v>0.59889999999999999</v>
      </c>
      <c r="F1063" s="312">
        <v>0.57709999999999995</v>
      </c>
      <c r="G1063" s="312">
        <v>0.62949999999999995</v>
      </c>
      <c r="H1063" s="312">
        <v>0.73519999999999996</v>
      </c>
      <c r="I1063" s="312">
        <v>0.71809999999999996</v>
      </c>
      <c r="J1063" s="312">
        <v>0.63249999999999995</v>
      </c>
      <c r="K1063" s="312">
        <v>0</v>
      </c>
      <c r="L1063" s="312">
        <v>0.39810000000000001</v>
      </c>
      <c r="M1063" s="312">
        <v>0.63370000000000004</v>
      </c>
      <c r="N1063" s="312">
        <v>0.67500000000000004</v>
      </c>
      <c r="O1063" s="312">
        <v>0</v>
      </c>
      <c r="P1063" s="312">
        <v>0.502</v>
      </c>
      <c r="Q1063" s="312">
        <v>0.54139999999999999</v>
      </c>
      <c r="R1063" s="312">
        <v>0.75570000000000004</v>
      </c>
      <c r="S1063" s="312">
        <v>0.62229999999999996</v>
      </c>
      <c r="T1063" s="312">
        <v>0.49399999999999999</v>
      </c>
      <c r="U1063" s="312">
        <v>0.58950000000000002</v>
      </c>
      <c r="V1063" s="312">
        <v>0.5665</v>
      </c>
      <c r="W1063" s="312">
        <v>0.64480000000000004</v>
      </c>
      <c r="X1063" s="312">
        <v>0.55940000000000001</v>
      </c>
      <c r="Y1063" s="312">
        <v>0.58699999999999997</v>
      </c>
      <c r="Z1063" s="312">
        <v>0.69840000000000002</v>
      </c>
      <c r="AA1063" s="312">
        <v>0.68069999999999997</v>
      </c>
      <c r="AB1063" s="312">
        <v>0.61890000000000001</v>
      </c>
      <c r="AC1063" s="312">
        <v>0.50790000000000002</v>
      </c>
      <c r="AD1063" s="312">
        <v>0.4612</v>
      </c>
      <c r="AE1063" s="312">
        <v>0.66159999999999997</v>
      </c>
      <c r="AF1063" s="312">
        <v>0.43319999999999997</v>
      </c>
      <c r="AG1063" s="312">
        <v>0.50219999999999998</v>
      </c>
      <c r="AH1063" s="312">
        <v>0.5736</v>
      </c>
      <c r="AI1063" s="312">
        <v>0.65200000000000002</v>
      </c>
      <c r="AJ1063" s="312">
        <v>0.53269999999999995</v>
      </c>
      <c r="AK1063" s="312">
        <v>0.55369999999999997</v>
      </c>
      <c r="AL1063" s="312">
        <v>0.56399999999999995</v>
      </c>
      <c r="AM1063" s="312">
        <v>0.71160000000000001</v>
      </c>
      <c r="AN1063" s="312">
        <v>0.58240000000000003</v>
      </c>
      <c r="AO1063" s="312">
        <v>0.64610000000000001</v>
      </c>
      <c r="AP1063" s="312">
        <v>0.72629999999999995</v>
      </c>
      <c r="AQ1063" s="312">
        <v>0.5373</v>
      </c>
      <c r="AR1063" s="312">
        <v>0.59530000000000005</v>
      </c>
      <c r="AS1063" s="312">
        <v>0.34689999999999999</v>
      </c>
      <c r="AT1063" s="312">
        <v>0.64119999999999999</v>
      </c>
      <c r="AU1063" s="312">
        <v>0.71379999999999999</v>
      </c>
      <c r="AV1063" s="312">
        <v>0.70440000000000003</v>
      </c>
      <c r="AW1063" s="312">
        <v>0.60009999999999997</v>
      </c>
      <c r="AX1063" s="312">
        <v>0.50590000000000002</v>
      </c>
      <c r="AY1063" s="312">
        <v>0.62729999999999997</v>
      </c>
      <c r="AZ1063" s="312">
        <v>0.65449999999999997</v>
      </c>
      <c r="BA1063" s="312">
        <v>0.43969999999999998</v>
      </c>
      <c r="BB1063" s="312">
        <v>0</v>
      </c>
      <c r="BC1063" s="312">
        <v>0.74790000000000001</v>
      </c>
      <c r="BD1063" s="312">
        <v>0.74180000000000001</v>
      </c>
      <c r="BE1063" s="312">
        <v>0.76880000000000004</v>
      </c>
      <c r="BF1063" s="312">
        <v>0.6613</v>
      </c>
      <c r="BG1063" s="312">
        <v>0.72470000000000001</v>
      </c>
      <c r="BH1063" s="312">
        <v>0.64559999999999995</v>
      </c>
      <c r="BI1063" s="312">
        <v>0.7157</v>
      </c>
      <c r="BJ1063" s="312">
        <v>0.69079999999999997</v>
      </c>
      <c r="BK1063" s="312">
        <v>0.74050000000000005</v>
      </c>
      <c r="BM1063">
        <f>(C1063-C652)*1000000/(RIMS_emp!C1063-RIMS_emp!C652)</f>
        <v>37544.831343351347</v>
      </c>
    </row>
    <row r="1064" spans="1:65" x14ac:dyDescent="0.25">
      <c r="A1064" s="306" t="s">
        <v>739</v>
      </c>
      <c r="B1064" s="312" t="s">
        <v>218</v>
      </c>
      <c r="C1064" s="312">
        <v>0.92300000000000004</v>
      </c>
      <c r="D1064" s="312">
        <v>0</v>
      </c>
      <c r="E1064" s="312">
        <v>0.62260000000000004</v>
      </c>
      <c r="F1064" s="312">
        <v>0.59609999999999996</v>
      </c>
      <c r="G1064" s="312">
        <v>0.63539999999999996</v>
      </c>
      <c r="H1064" s="312">
        <v>0.72340000000000004</v>
      </c>
      <c r="I1064" s="312">
        <v>0.72</v>
      </c>
      <c r="J1064" s="312">
        <v>0.63790000000000002</v>
      </c>
      <c r="K1064" s="312">
        <v>0</v>
      </c>
      <c r="L1064" s="312">
        <v>0</v>
      </c>
      <c r="M1064" s="312">
        <v>0.63990000000000002</v>
      </c>
      <c r="N1064" s="312">
        <v>0.69279999999999997</v>
      </c>
      <c r="O1064" s="312">
        <v>0</v>
      </c>
      <c r="P1064" s="312">
        <v>0.52070000000000005</v>
      </c>
      <c r="Q1064" s="312">
        <v>0</v>
      </c>
      <c r="R1064" s="312">
        <v>0.75390000000000001</v>
      </c>
      <c r="S1064" s="312">
        <v>0.64</v>
      </c>
      <c r="T1064" s="312">
        <v>0.50539999999999996</v>
      </c>
      <c r="U1064" s="312">
        <v>0.61419999999999997</v>
      </c>
      <c r="V1064" s="312">
        <v>0.59830000000000005</v>
      </c>
      <c r="W1064" s="312">
        <v>0.63749999999999996</v>
      </c>
      <c r="X1064" s="312">
        <v>0.57269999999999999</v>
      </c>
      <c r="Y1064" s="312">
        <v>0.59809999999999997</v>
      </c>
      <c r="Z1064" s="312">
        <v>0.71030000000000004</v>
      </c>
      <c r="AA1064" s="312">
        <v>0.67620000000000002</v>
      </c>
      <c r="AB1064" s="312">
        <v>0.63349999999999995</v>
      </c>
      <c r="AC1064" s="312">
        <v>0.5333</v>
      </c>
      <c r="AD1064" s="312">
        <v>0</v>
      </c>
      <c r="AE1064" s="312">
        <v>0.67049999999999998</v>
      </c>
      <c r="AF1064" s="312">
        <v>0</v>
      </c>
      <c r="AG1064" s="312">
        <v>0.52610000000000001</v>
      </c>
      <c r="AH1064" s="312">
        <v>0.56940000000000002</v>
      </c>
      <c r="AI1064" s="312">
        <v>0.65590000000000004</v>
      </c>
      <c r="AJ1064" s="312">
        <v>0.54510000000000003</v>
      </c>
      <c r="AK1064" s="312">
        <v>0.56469999999999998</v>
      </c>
      <c r="AL1064" s="312">
        <v>0.57730000000000004</v>
      </c>
      <c r="AM1064" s="312">
        <v>0.72540000000000004</v>
      </c>
      <c r="AN1064" s="312">
        <v>0</v>
      </c>
      <c r="AO1064" s="312">
        <v>0.64549999999999996</v>
      </c>
      <c r="AP1064" s="312">
        <v>0.73650000000000004</v>
      </c>
      <c r="AQ1064" s="312">
        <v>0.55469999999999997</v>
      </c>
      <c r="AR1064" s="312">
        <v>0.62509999999999999</v>
      </c>
      <c r="AS1064" s="312">
        <v>0.35220000000000001</v>
      </c>
      <c r="AT1064" s="312">
        <v>0.66500000000000004</v>
      </c>
      <c r="AU1064" s="312">
        <v>0.71240000000000003</v>
      </c>
      <c r="AV1064" s="312">
        <v>0.71179999999999999</v>
      </c>
      <c r="AW1064" s="312">
        <v>0.61080000000000001</v>
      </c>
      <c r="AX1064" s="312">
        <v>0.51890000000000003</v>
      </c>
      <c r="AY1064" s="312">
        <v>0.63060000000000005</v>
      </c>
      <c r="AZ1064" s="312">
        <v>0.65239999999999998</v>
      </c>
      <c r="BA1064" s="312">
        <v>0.4602</v>
      </c>
      <c r="BB1064" s="312">
        <v>0</v>
      </c>
      <c r="BC1064" s="312">
        <v>0.7399</v>
      </c>
      <c r="BD1064" s="312">
        <v>0.754</v>
      </c>
      <c r="BE1064" s="312">
        <v>0.77680000000000005</v>
      </c>
      <c r="BF1064" s="312">
        <v>0.66800000000000004</v>
      </c>
      <c r="BG1064" s="312">
        <v>0.73899999999999999</v>
      </c>
      <c r="BH1064" s="312">
        <v>0.67249999999999999</v>
      </c>
      <c r="BI1064" s="312">
        <v>0.7177</v>
      </c>
      <c r="BJ1064" s="312">
        <v>0.69520000000000004</v>
      </c>
      <c r="BK1064" s="312">
        <v>0.73009999999999997</v>
      </c>
      <c r="BM1064">
        <f>(C1064-C653)*1000000/(RIMS_emp!C1064-RIMS_emp!C653)</f>
        <v>37547.945049566937</v>
      </c>
    </row>
    <row r="1065" spans="1:65" x14ac:dyDescent="0.25">
      <c r="A1065" s="306">
        <v>334510</v>
      </c>
      <c r="B1065" s="312" t="s">
        <v>222</v>
      </c>
      <c r="C1065" s="312">
        <v>0.78410000000000002</v>
      </c>
      <c r="D1065" s="312">
        <v>0</v>
      </c>
      <c r="E1065" s="312">
        <v>0</v>
      </c>
      <c r="F1065" s="312">
        <v>0</v>
      </c>
      <c r="G1065" s="312">
        <v>0.48820000000000002</v>
      </c>
      <c r="H1065" s="312">
        <v>0.60580000000000001</v>
      </c>
      <c r="I1065" s="312">
        <v>0.58209999999999995</v>
      </c>
      <c r="J1065" s="312">
        <v>0.50980000000000003</v>
      </c>
      <c r="K1065" s="312">
        <v>0</v>
      </c>
      <c r="L1065" s="312">
        <v>0.31180000000000002</v>
      </c>
      <c r="M1065" s="312">
        <v>0.50329999999999997</v>
      </c>
      <c r="N1065" s="312">
        <v>0.55830000000000002</v>
      </c>
      <c r="O1065" s="312">
        <v>0.39340000000000003</v>
      </c>
      <c r="P1065" s="312">
        <v>0.38229999999999997</v>
      </c>
      <c r="Q1065" s="312">
        <v>0.4133</v>
      </c>
      <c r="R1065" s="312">
        <v>0.61040000000000005</v>
      </c>
      <c r="S1065" s="312">
        <v>0.48970000000000002</v>
      </c>
      <c r="T1065" s="312">
        <v>0.38279999999999997</v>
      </c>
      <c r="U1065" s="312">
        <v>0.4637</v>
      </c>
      <c r="V1065" s="312">
        <v>0.44180000000000003</v>
      </c>
      <c r="W1065" s="312">
        <v>0.53580000000000005</v>
      </c>
      <c r="X1065" s="312">
        <v>0.43419999999999997</v>
      </c>
      <c r="Y1065" s="312">
        <v>0.44890000000000002</v>
      </c>
      <c r="Z1065" s="312">
        <v>0.57040000000000002</v>
      </c>
      <c r="AA1065" s="312">
        <v>0.56040000000000001</v>
      </c>
      <c r="AB1065" s="312">
        <v>0.49980000000000002</v>
      </c>
      <c r="AC1065" s="312">
        <v>0</v>
      </c>
      <c r="AD1065" s="312">
        <v>0.3382</v>
      </c>
      <c r="AE1065" s="312">
        <v>0.54010000000000002</v>
      </c>
      <c r="AF1065" s="312">
        <v>0</v>
      </c>
      <c r="AG1065" s="312">
        <v>0</v>
      </c>
      <c r="AH1065" s="312">
        <v>0.46739999999999998</v>
      </c>
      <c r="AI1065" s="312">
        <v>0.52780000000000005</v>
      </c>
      <c r="AJ1065" s="312">
        <v>0.40100000000000002</v>
      </c>
      <c r="AK1065" s="312">
        <v>0</v>
      </c>
      <c r="AL1065" s="312">
        <v>0.44230000000000003</v>
      </c>
      <c r="AM1065" s="312">
        <v>0.57979999999999998</v>
      </c>
      <c r="AN1065" s="312">
        <v>0.45169999999999999</v>
      </c>
      <c r="AO1065" s="312">
        <v>0.52010000000000001</v>
      </c>
      <c r="AP1065" s="312">
        <v>0.58740000000000003</v>
      </c>
      <c r="AQ1065" s="312">
        <v>0.43130000000000002</v>
      </c>
      <c r="AR1065" s="312">
        <v>0.47320000000000001</v>
      </c>
      <c r="AS1065" s="312">
        <v>0.26400000000000001</v>
      </c>
      <c r="AT1065" s="312">
        <v>0.51790000000000003</v>
      </c>
      <c r="AU1065" s="312">
        <v>0.57820000000000005</v>
      </c>
      <c r="AV1065" s="312">
        <v>0.55910000000000004</v>
      </c>
      <c r="AW1065" s="312">
        <v>0.48849999999999999</v>
      </c>
      <c r="AX1065" s="312">
        <v>0.38300000000000001</v>
      </c>
      <c r="AY1065" s="312">
        <v>0.50570000000000004</v>
      </c>
      <c r="AZ1065" s="312">
        <v>0.53979999999999995</v>
      </c>
      <c r="BA1065" s="312">
        <v>0</v>
      </c>
      <c r="BB1065" s="312">
        <v>0</v>
      </c>
      <c r="BC1065" s="312">
        <v>0.61890000000000001</v>
      </c>
      <c r="BD1065" s="312">
        <v>0.59660000000000002</v>
      </c>
      <c r="BE1065" s="312">
        <v>0.63</v>
      </c>
      <c r="BF1065" s="312">
        <v>0.5373</v>
      </c>
      <c r="BG1065" s="312">
        <v>0.59440000000000004</v>
      </c>
      <c r="BH1065" s="312">
        <v>0.51570000000000005</v>
      </c>
      <c r="BI1065" s="312">
        <v>0.57509999999999994</v>
      </c>
      <c r="BJ1065" s="312">
        <v>0.55569999999999997</v>
      </c>
      <c r="BK1065" s="312">
        <v>0.60819999999999996</v>
      </c>
      <c r="BM1065">
        <f>(C1065-C654)*1000000/(RIMS_emp!C1065-RIMS_emp!C654)</f>
        <v>37541.198853131107</v>
      </c>
    </row>
    <row r="1066" spans="1:65" x14ac:dyDescent="0.25">
      <c r="A1066" s="306">
        <v>334511</v>
      </c>
      <c r="B1066" s="312" t="s">
        <v>223</v>
      </c>
      <c r="C1066" s="312">
        <v>0.94420000000000004</v>
      </c>
      <c r="D1066" s="312">
        <v>0</v>
      </c>
      <c r="E1066" s="312">
        <v>0.59240000000000004</v>
      </c>
      <c r="F1066" s="312">
        <v>0.57240000000000002</v>
      </c>
      <c r="G1066" s="312">
        <v>0.65090000000000003</v>
      </c>
      <c r="H1066" s="312">
        <v>0.76819999999999999</v>
      </c>
      <c r="I1066" s="312">
        <v>0.75800000000000001</v>
      </c>
      <c r="J1066" s="312">
        <v>0.64339999999999997</v>
      </c>
      <c r="K1066" s="312">
        <v>7.6499999999999999E-2</v>
      </c>
      <c r="L1066" s="312">
        <v>0</v>
      </c>
      <c r="M1066" s="312">
        <v>0.66120000000000001</v>
      </c>
      <c r="N1066" s="312">
        <v>0.70220000000000005</v>
      </c>
      <c r="O1066" s="312">
        <v>0.54630000000000001</v>
      </c>
      <c r="P1066" s="312">
        <v>0.5</v>
      </c>
      <c r="Q1066" s="312">
        <v>0.55620000000000003</v>
      </c>
      <c r="R1066" s="312">
        <v>0.75570000000000004</v>
      </c>
      <c r="S1066" s="312">
        <v>0.61229999999999996</v>
      </c>
      <c r="T1066" s="312">
        <v>0.501</v>
      </c>
      <c r="U1066" s="312">
        <v>0.57899999999999996</v>
      </c>
      <c r="V1066" s="312">
        <v>0.57140000000000002</v>
      </c>
      <c r="W1066" s="312">
        <v>0.67330000000000001</v>
      </c>
      <c r="X1066" s="312">
        <v>0.58289999999999997</v>
      </c>
      <c r="Y1066" s="312">
        <v>0.60189999999999999</v>
      </c>
      <c r="Z1066" s="312">
        <v>0.70630000000000004</v>
      </c>
      <c r="AA1066" s="312">
        <v>0.69799999999999995</v>
      </c>
      <c r="AB1066" s="312">
        <v>0.63019999999999998</v>
      </c>
      <c r="AC1066" s="312">
        <v>0.51019999999999999</v>
      </c>
      <c r="AD1066" s="312">
        <v>0.4698</v>
      </c>
      <c r="AE1066" s="312">
        <v>0.67889999999999995</v>
      </c>
      <c r="AF1066" s="312">
        <v>0</v>
      </c>
      <c r="AG1066" s="312">
        <v>0.52100000000000002</v>
      </c>
      <c r="AH1066" s="312">
        <v>0.58960000000000001</v>
      </c>
      <c r="AI1066" s="312">
        <v>0.66990000000000005</v>
      </c>
      <c r="AJ1066" s="312">
        <v>0.55310000000000004</v>
      </c>
      <c r="AK1066" s="312">
        <v>0.57250000000000001</v>
      </c>
      <c r="AL1066" s="312">
        <v>0.58140000000000003</v>
      </c>
      <c r="AM1066" s="312">
        <v>0.71240000000000003</v>
      </c>
      <c r="AN1066" s="312">
        <v>0.5877</v>
      </c>
      <c r="AO1066" s="312">
        <v>0.66830000000000001</v>
      </c>
      <c r="AP1066" s="312">
        <v>0.72850000000000004</v>
      </c>
      <c r="AQ1066" s="312">
        <v>0.55530000000000002</v>
      </c>
      <c r="AR1066" s="312">
        <v>0.59150000000000003</v>
      </c>
      <c r="AS1066" s="312">
        <v>0.34320000000000001</v>
      </c>
      <c r="AT1066" s="312">
        <v>0.6381</v>
      </c>
      <c r="AU1066" s="312">
        <v>0.72989999999999999</v>
      </c>
      <c r="AV1066" s="312">
        <v>0.73380000000000001</v>
      </c>
      <c r="AW1066" s="312">
        <v>0.63580000000000003</v>
      </c>
      <c r="AX1066" s="312">
        <v>0.51880000000000004</v>
      </c>
      <c r="AY1066" s="312">
        <v>0.65920000000000001</v>
      </c>
      <c r="AZ1066" s="312">
        <v>0.66180000000000005</v>
      </c>
      <c r="BA1066" s="312">
        <v>0</v>
      </c>
      <c r="BB1066" s="312">
        <v>0.46039999999999998</v>
      </c>
      <c r="BC1066" s="312">
        <v>0.77449999999999997</v>
      </c>
      <c r="BD1066" s="312">
        <v>0.75319999999999998</v>
      </c>
      <c r="BE1066" s="312">
        <v>0.76770000000000005</v>
      </c>
      <c r="BF1066" s="312">
        <v>0.67210000000000003</v>
      </c>
      <c r="BG1066" s="312">
        <v>0.75360000000000005</v>
      </c>
      <c r="BH1066" s="312">
        <v>0.63649999999999995</v>
      </c>
      <c r="BI1066" s="312">
        <v>0.7248</v>
      </c>
      <c r="BJ1066" s="312">
        <v>0.72840000000000005</v>
      </c>
      <c r="BK1066" s="312">
        <v>0.77390000000000003</v>
      </c>
      <c r="BM1066">
        <f>(C1066-C655)*1000000/(RIMS_emp!C1066-RIMS_emp!C655)</f>
        <v>37539.358470833016</v>
      </c>
    </row>
    <row r="1067" spans="1:65" x14ac:dyDescent="0.25">
      <c r="A1067" s="306">
        <v>334512</v>
      </c>
      <c r="B1067" s="312" t="s">
        <v>224</v>
      </c>
      <c r="C1067" s="312">
        <v>0.82189999999999996</v>
      </c>
      <c r="D1067" s="312">
        <v>0.31340000000000001</v>
      </c>
      <c r="E1067" s="312">
        <v>0.50209999999999999</v>
      </c>
      <c r="F1067" s="312">
        <v>0.48330000000000001</v>
      </c>
      <c r="G1067" s="312">
        <v>0.5292</v>
      </c>
      <c r="H1067" s="312">
        <v>0.63690000000000002</v>
      </c>
      <c r="I1067" s="312">
        <v>0.61929999999999996</v>
      </c>
      <c r="J1067" s="312">
        <v>0.54579999999999995</v>
      </c>
      <c r="K1067" s="312">
        <v>0</v>
      </c>
      <c r="L1067" s="312">
        <v>0</v>
      </c>
      <c r="M1067" s="312">
        <v>0.52780000000000005</v>
      </c>
      <c r="N1067" s="312">
        <v>0.58909999999999996</v>
      </c>
      <c r="O1067" s="312">
        <v>0</v>
      </c>
      <c r="P1067" s="312">
        <v>0.41839999999999999</v>
      </c>
      <c r="Q1067" s="312">
        <v>0</v>
      </c>
      <c r="R1067" s="312">
        <v>0.6462</v>
      </c>
      <c r="S1067" s="312">
        <v>0.52249999999999996</v>
      </c>
      <c r="T1067" s="312">
        <v>0.4128</v>
      </c>
      <c r="U1067" s="312">
        <v>0.49540000000000001</v>
      </c>
      <c r="V1067" s="312">
        <v>0.46300000000000002</v>
      </c>
      <c r="W1067" s="312">
        <v>0.57240000000000002</v>
      </c>
      <c r="X1067" s="312">
        <v>0.4657</v>
      </c>
      <c r="Y1067" s="312">
        <v>0.48849999999999999</v>
      </c>
      <c r="Z1067" s="312">
        <v>0.61</v>
      </c>
      <c r="AA1067" s="312">
        <v>0.58620000000000005</v>
      </c>
      <c r="AB1067" s="312">
        <v>0.52739999999999998</v>
      </c>
      <c r="AC1067" s="312">
        <v>0</v>
      </c>
      <c r="AD1067" s="312">
        <v>0</v>
      </c>
      <c r="AE1067" s="312">
        <v>0.57440000000000002</v>
      </c>
      <c r="AF1067" s="312">
        <v>0</v>
      </c>
      <c r="AG1067" s="312">
        <v>0.42109999999999997</v>
      </c>
      <c r="AH1067" s="312">
        <v>0.50070000000000003</v>
      </c>
      <c r="AI1067" s="312">
        <v>0.55449999999999999</v>
      </c>
      <c r="AJ1067" s="312">
        <v>0.43109999999999998</v>
      </c>
      <c r="AK1067" s="312">
        <v>0.46400000000000002</v>
      </c>
      <c r="AL1067" s="312">
        <v>0.47310000000000002</v>
      </c>
      <c r="AM1067" s="312">
        <v>0.61339999999999995</v>
      </c>
      <c r="AN1067" s="312">
        <v>0.4738</v>
      </c>
      <c r="AO1067" s="312">
        <v>0.55300000000000005</v>
      </c>
      <c r="AP1067" s="312">
        <v>0.62390000000000001</v>
      </c>
      <c r="AQ1067" s="312">
        <v>0.46629999999999999</v>
      </c>
      <c r="AR1067" s="312">
        <v>0.50170000000000003</v>
      </c>
      <c r="AS1067" s="312">
        <v>0.28220000000000001</v>
      </c>
      <c r="AT1067" s="312">
        <v>0.54810000000000003</v>
      </c>
      <c r="AU1067" s="312">
        <v>0.61050000000000004</v>
      </c>
      <c r="AV1067" s="312">
        <v>0.61129999999999995</v>
      </c>
      <c r="AW1067" s="312">
        <v>0.52110000000000001</v>
      </c>
      <c r="AX1067" s="312">
        <v>0</v>
      </c>
      <c r="AY1067" s="312">
        <v>0.53779999999999994</v>
      </c>
      <c r="AZ1067" s="312">
        <v>0.56440000000000001</v>
      </c>
      <c r="BA1067" s="312">
        <v>0.36059999999999998</v>
      </c>
      <c r="BB1067" s="312">
        <v>0.3629</v>
      </c>
      <c r="BC1067" s="312">
        <v>0.65990000000000004</v>
      </c>
      <c r="BD1067" s="312">
        <v>0.63339999999999996</v>
      </c>
      <c r="BE1067" s="312">
        <v>0.66279999999999994</v>
      </c>
      <c r="BF1067" s="312">
        <v>0.56569999999999998</v>
      </c>
      <c r="BG1067" s="312">
        <v>0.62390000000000001</v>
      </c>
      <c r="BH1067" s="312">
        <v>0.54720000000000002</v>
      </c>
      <c r="BI1067" s="312">
        <v>0.60729999999999995</v>
      </c>
      <c r="BJ1067" s="312">
        <v>0.59650000000000003</v>
      </c>
      <c r="BK1067" s="312">
        <v>0.64049999999999996</v>
      </c>
      <c r="BM1067">
        <f>(C1067-C656)*1000000/(RIMS_emp!C1067-RIMS_emp!C656)</f>
        <v>37536.904259805975</v>
      </c>
    </row>
    <row r="1068" spans="1:65" x14ac:dyDescent="0.25">
      <c r="A1068" s="306">
        <v>334513</v>
      </c>
      <c r="B1068" s="312" t="s">
        <v>6</v>
      </c>
      <c r="C1068" s="312">
        <v>0.92420000000000002</v>
      </c>
      <c r="D1068" s="312">
        <v>0.38379999999999997</v>
      </c>
      <c r="E1068" s="312">
        <v>0.58430000000000004</v>
      </c>
      <c r="F1068" s="312">
        <v>0.54220000000000002</v>
      </c>
      <c r="G1068" s="312">
        <v>0.61829999999999996</v>
      </c>
      <c r="H1068" s="312">
        <v>0.73299999999999998</v>
      </c>
      <c r="I1068" s="312">
        <v>0.71750000000000003</v>
      </c>
      <c r="J1068" s="312">
        <v>0.61580000000000001</v>
      </c>
      <c r="K1068" s="312">
        <v>0</v>
      </c>
      <c r="L1068" s="312">
        <v>0.37480000000000002</v>
      </c>
      <c r="M1068" s="312">
        <v>0.61460000000000004</v>
      </c>
      <c r="N1068" s="312">
        <v>0.66659999999999997</v>
      </c>
      <c r="O1068" s="312">
        <v>0.49469999999999997</v>
      </c>
      <c r="P1068" s="312">
        <v>0.48599999999999999</v>
      </c>
      <c r="Q1068" s="312">
        <v>0.51029999999999998</v>
      </c>
      <c r="R1068" s="312">
        <v>0.73070000000000002</v>
      </c>
      <c r="S1068" s="312">
        <v>0.59950000000000003</v>
      </c>
      <c r="T1068" s="312">
        <v>0.47770000000000001</v>
      </c>
      <c r="U1068" s="312">
        <v>0.56269999999999998</v>
      </c>
      <c r="V1068" s="312">
        <v>0.54979999999999996</v>
      </c>
      <c r="W1068" s="312">
        <v>0.64049999999999996</v>
      </c>
      <c r="X1068" s="312">
        <v>0.54810000000000003</v>
      </c>
      <c r="Y1068" s="312">
        <v>0.55630000000000002</v>
      </c>
      <c r="Z1068" s="312">
        <v>0.6895</v>
      </c>
      <c r="AA1068" s="312">
        <v>0.67449999999999999</v>
      </c>
      <c r="AB1068" s="312">
        <v>0.59260000000000002</v>
      </c>
      <c r="AC1068" s="312">
        <v>0.4889</v>
      </c>
      <c r="AD1068" s="312">
        <v>0.44500000000000001</v>
      </c>
      <c r="AE1068" s="312">
        <v>0.64170000000000005</v>
      </c>
      <c r="AF1068" s="312">
        <v>0</v>
      </c>
      <c r="AG1068" s="312">
        <v>0.48559999999999998</v>
      </c>
      <c r="AH1068" s="312">
        <v>0.57020000000000004</v>
      </c>
      <c r="AI1068" s="312">
        <v>0.63160000000000005</v>
      </c>
      <c r="AJ1068" s="312">
        <v>0.50739999999999996</v>
      </c>
      <c r="AK1068" s="312">
        <v>0.5302</v>
      </c>
      <c r="AL1068" s="312">
        <v>0.54410000000000003</v>
      </c>
      <c r="AM1068" s="312">
        <v>0.69099999999999995</v>
      </c>
      <c r="AN1068" s="312">
        <v>0.57230000000000003</v>
      </c>
      <c r="AO1068" s="312">
        <v>0.63919999999999999</v>
      </c>
      <c r="AP1068" s="312">
        <v>0.70699999999999996</v>
      </c>
      <c r="AQ1068" s="312">
        <v>0.5292</v>
      </c>
      <c r="AR1068" s="312">
        <v>0.57520000000000004</v>
      </c>
      <c r="AS1068" s="312">
        <v>0.33289999999999997</v>
      </c>
      <c r="AT1068" s="312">
        <v>0.62649999999999995</v>
      </c>
      <c r="AU1068" s="312">
        <v>0.70640000000000003</v>
      </c>
      <c r="AV1068" s="312">
        <v>0.6986</v>
      </c>
      <c r="AW1068" s="312">
        <v>0.58919999999999995</v>
      </c>
      <c r="AX1068" s="312">
        <v>0.49680000000000002</v>
      </c>
      <c r="AY1068" s="312">
        <v>0.62480000000000002</v>
      </c>
      <c r="AZ1068" s="312">
        <v>0.6411</v>
      </c>
      <c r="BA1068" s="312">
        <v>0.42230000000000001</v>
      </c>
      <c r="BB1068" s="312">
        <v>0</v>
      </c>
      <c r="BC1068" s="312">
        <v>0.7399</v>
      </c>
      <c r="BD1068" s="312">
        <v>0.7208</v>
      </c>
      <c r="BE1068" s="312">
        <v>0.74780000000000002</v>
      </c>
      <c r="BF1068" s="312">
        <v>0.64610000000000001</v>
      </c>
      <c r="BG1068" s="312">
        <v>0.71109999999999995</v>
      </c>
      <c r="BH1068" s="312">
        <v>0.62739999999999996</v>
      </c>
      <c r="BI1068" s="312">
        <v>0.70220000000000005</v>
      </c>
      <c r="BJ1068" s="312">
        <v>0.68759999999999999</v>
      </c>
      <c r="BK1068" s="312">
        <v>0.73980000000000001</v>
      </c>
      <c r="BM1068">
        <f>(C1068-C657)*1000000/(RIMS_emp!C1068-RIMS_emp!C657)</f>
        <v>37542.196610631858</v>
      </c>
    </row>
    <row r="1069" spans="1:65" x14ac:dyDescent="0.25">
      <c r="A1069" s="306">
        <v>334514</v>
      </c>
      <c r="B1069" s="312" t="s">
        <v>225</v>
      </c>
      <c r="C1069" s="312">
        <v>0.80089999999999995</v>
      </c>
      <c r="D1069" s="312">
        <v>0</v>
      </c>
      <c r="E1069" s="312">
        <v>0.43340000000000001</v>
      </c>
      <c r="F1069" s="312">
        <v>0.38030000000000003</v>
      </c>
      <c r="G1069" s="312">
        <v>0.47110000000000002</v>
      </c>
      <c r="H1069" s="312">
        <v>0.61119999999999997</v>
      </c>
      <c r="I1069" s="312">
        <v>0.57920000000000005</v>
      </c>
      <c r="J1069" s="312">
        <v>0.47389999999999999</v>
      </c>
      <c r="K1069" s="312">
        <v>0</v>
      </c>
      <c r="L1069" s="312">
        <v>0</v>
      </c>
      <c r="M1069" s="312">
        <v>0.46050000000000002</v>
      </c>
      <c r="N1069" s="312">
        <v>0.53390000000000004</v>
      </c>
      <c r="O1069" s="312">
        <v>0</v>
      </c>
      <c r="P1069" s="312">
        <v>0.33910000000000001</v>
      </c>
      <c r="Q1069" s="312">
        <v>0.36220000000000002</v>
      </c>
      <c r="R1069" s="312">
        <v>0.55900000000000005</v>
      </c>
      <c r="S1069" s="312">
        <v>0.44840000000000002</v>
      </c>
      <c r="T1069" s="312">
        <v>0</v>
      </c>
      <c r="U1069" s="312">
        <v>0.39610000000000001</v>
      </c>
      <c r="V1069" s="312">
        <v>0.3584</v>
      </c>
      <c r="W1069" s="312">
        <v>0.54700000000000004</v>
      </c>
      <c r="X1069" s="312">
        <v>0.39389999999999997</v>
      </c>
      <c r="Y1069" s="312">
        <v>0</v>
      </c>
      <c r="Z1069" s="312">
        <v>0.5554</v>
      </c>
      <c r="AA1069" s="312">
        <v>0.55520000000000003</v>
      </c>
      <c r="AB1069" s="312">
        <v>0.44400000000000001</v>
      </c>
      <c r="AC1069" s="312">
        <v>0</v>
      </c>
      <c r="AD1069" s="312">
        <v>0</v>
      </c>
      <c r="AE1069" s="312">
        <v>0.51580000000000004</v>
      </c>
      <c r="AF1069" s="312">
        <v>0</v>
      </c>
      <c r="AG1069" s="312">
        <v>0.33110000000000001</v>
      </c>
      <c r="AH1069" s="312">
        <v>0</v>
      </c>
      <c r="AI1069" s="312">
        <v>0.47770000000000001</v>
      </c>
      <c r="AJ1069" s="312">
        <v>0.3427</v>
      </c>
      <c r="AK1069" s="312">
        <v>0.3715</v>
      </c>
      <c r="AL1069" s="312">
        <v>0.37909999999999999</v>
      </c>
      <c r="AM1069" s="312">
        <v>0.53190000000000004</v>
      </c>
      <c r="AN1069" s="312">
        <v>0.38790000000000002</v>
      </c>
      <c r="AO1069" s="312">
        <v>0.54020000000000001</v>
      </c>
      <c r="AP1069" s="312">
        <v>0.54900000000000004</v>
      </c>
      <c r="AQ1069" s="312">
        <v>0</v>
      </c>
      <c r="AR1069" s="312">
        <v>0.42180000000000001</v>
      </c>
      <c r="AS1069" s="312">
        <v>0</v>
      </c>
      <c r="AT1069" s="312">
        <v>0</v>
      </c>
      <c r="AU1069" s="312">
        <v>0.57999999999999996</v>
      </c>
      <c r="AV1069" s="312">
        <v>0</v>
      </c>
      <c r="AW1069" s="312">
        <v>0.4592</v>
      </c>
      <c r="AX1069" s="312">
        <v>0.36080000000000001</v>
      </c>
      <c r="AY1069" s="312">
        <v>0.51039999999999996</v>
      </c>
      <c r="AZ1069" s="312">
        <v>0.53059999999999996</v>
      </c>
      <c r="BA1069" s="312">
        <v>0.28920000000000001</v>
      </c>
      <c r="BB1069" s="312">
        <v>0</v>
      </c>
      <c r="BC1069" s="312">
        <v>0.62849999999999995</v>
      </c>
      <c r="BD1069" s="312">
        <v>0.5363</v>
      </c>
      <c r="BE1069" s="312">
        <v>0.58599999999999997</v>
      </c>
      <c r="BF1069" s="312">
        <v>0.50319999999999998</v>
      </c>
      <c r="BG1069" s="312">
        <v>0.55320000000000003</v>
      </c>
      <c r="BH1069" s="312">
        <v>0.46679999999999999</v>
      </c>
      <c r="BI1069" s="312">
        <v>0.55900000000000005</v>
      </c>
      <c r="BJ1069" s="312">
        <v>0.56840000000000002</v>
      </c>
      <c r="BK1069" s="312">
        <v>0.62160000000000004</v>
      </c>
      <c r="BM1069">
        <f>(C1069-C658)*1000000/(RIMS_emp!C1069-RIMS_emp!C658)</f>
        <v>37537.379990556627</v>
      </c>
    </row>
    <row r="1070" spans="1:65" x14ac:dyDescent="0.25">
      <c r="A1070" s="306">
        <v>334515</v>
      </c>
      <c r="B1070" s="312" t="s">
        <v>4</v>
      </c>
      <c r="C1070" s="312">
        <v>0.95299999999999996</v>
      </c>
      <c r="D1070" s="312">
        <v>0</v>
      </c>
      <c r="E1070" s="312">
        <v>0.64710000000000001</v>
      </c>
      <c r="F1070" s="312">
        <v>0.57079999999999997</v>
      </c>
      <c r="G1070" s="312">
        <v>0.70330000000000004</v>
      </c>
      <c r="H1070" s="312">
        <v>0.80220000000000002</v>
      </c>
      <c r="I1070" s="312">
        <v>0.77710000000000001</v>
      </c>
      <c r="J1070" s="312">
        <v>0.63790000000000002</v>
      </c>
      <c r="K1070" s="312">
        <v>7.9500000000000001E-2</v>
      </c>
      <c r="L1070" s="312">
        <v>0.3775</v>
      </c>
      <c r="M1070" s="312">
        <v>0.69010000000000005</v>
      </c>
      <c r="N1070" s="312">
        <v>0.71340000000000003</v>
      </c>
      <c r="O1070" s="312">
        <v>0</v>
      </c>
      <c r="P1070" s="312">
        <v>0.54700000000000004</v>
      </c>
      <c r="Q1070" s="312">
        <v>0.56679999999999997</v>
      </c>
      <c r="R1070" s="312">
        <v>0.73560000000000003</v>
      </c>
      <c r="S1070" s="312">
        <v>0.64610000000000001</v>
      </c>
      <c r="T1070" s="312">
        <v>0.53920000000000001</v>
      </c>
      <c r="U1070" s="312">
        <v>0.59760000000000002</v>
      </c>
      <c r="V1070" s="312">
        <v>0.59350000000000003</v>
      </c>
      <c r="W1070" s="312">
        <v>0.68200000000000005</v>
      </c>
      <c r="X1070" s="312">
        <v>0.61470000000000002</v>
      </c>
      <c r="Y1070" s="312">
        <v>0</v>
      </c>
      <c r="Z1070" s="312">
        <v>0.70289999999999997</v>
      </c>
      <c r="AA1070" s="312">
        <v>0.7167</v>
      </c>
      <c r="AB1070" s="312">
        <v>0.60580000000000001</v>
      </c>
      <c r="AC1070" s="312">
        <v>0.54259999999999997</v>
      </c>
      <c r="AD1070" s="312">
        <v>0.52910000000000001</v>
      </c>
      <c r="AE1070" s="312">
        <v>0.69089999999999996</v>
      </c>
      <c r="AF1070" s="312">
        <v>0</v>
      </c>
      <c r="AG1070" s="312">
        <v>0.53310000000000002</v>
      </c>
      <c r="AH1070" s="312">
        <v>0.62490000000000001</v>
      </c>
      <c r="AI1070" s="312">
        <v>0.66349999999999998</v>
      </c>
      <c r="AJ1070" s="312">
        <v>0.5927</v>
      </c>
      <c r="AK1070" s="312">
        <v>0.55049999999999999</v>
      </c>
      <c r="AL1070" s="312">
        <v>0.58179999999999998</v>
      </c>
      <c r="AM1070" s="312">
        <v>0.70609999999999995</v>
      </c>
      <c r="AN1070" s="312">
        <v>0.62239999999999995</v>
      </c>
      <c r="AO1070" s="312">
        <v>0.70350000000000001</v>
      </c>
      <c r="AP1070" s="312">
        <v>0.70909999999999995</v>
      </c>
      <c r="AQ1070" s="312">
        <v>0.55530000000000002</v>
      </c>
      <c r="AR1070" s="312">
        <v>0.62529999999999997</v>
      </c>
      <c r="AS1070" s="312">
        <v>0.39219999999999999</v>
      </c>
      <c r="AT1070" s="312">
        <v>0.66080000000000005</v>
      </c>
      <c r="AU1070" s="312">
        <v>0.77449999999999997</v>
      </c>
      <c r="AV1070" s="312">
        <v>0.75690000000000002</v>
      </c>
      <c r="AW1070" s="312">
        <v>0.61850000000000005</v>
      </c>
      <c r="AX1070" s="312">
        <v>0.60370000000000001</v>
      </c>
      <c r="AY1070" s="312">
        <v>0.69840000000000002</v>
      </c>
      <c r="AZ1070" s="312">
        <v>0.6784</v>
      </c>
      <c r="BA1070" s="312">
        <v>0.46379999999999999</v>
      </c>
      <c r="BB1070" s="312">
        <v>0</v>
      </c>
      <c r="BC1070" s="312">
        <v>0.79200000000000004</v>
      </c>
      <c r="BD1070" s="312">
        <v>0.73150000000000004</v>
      </c>
      <c r="BE1070" s="312">
        <v>0.75490000000000002</v>
      </c>
      <c r="BF1070" s="312">
        <v>0.67830000000000001</v>
      </c>
      <c r="BG1070" s="312">
        <v>0.74929999999999997</v>
      </c>
      <c r="BH1070" s="312">
        <v>0.66849999999999998</v>
      </c>
      <c r="BI1070" s="312">
        <v>0.75870000000000004</v>
      </c>
      <c r="BJ1070" s="312">
        <v>0.76400000000000001</v>
      </c>
      <c r="BK1070" s="312">
        <v>0.80740000000000001</v>
      </c>
      <c r="BM1070">
        <f>(C1070-C659)*1000000/(RIMS_emp!C1070-RIMS_emp!C659)</f>
        <v>37532.241352703859</v>
      </c>
    </row>
    <row r="1071" spans="1:65" x14ac:dyDescent="0.25">
      <c r="A1071" s="306">
        <v>334516</v>
      </c>
      <c r="B1071" s="312" t="s">
        <v>226</v>
      </c>
      <c r="C1071" s="312">
        <v>0.92030000000000001</v>
      </c>
      <c r="D1071" s="312">
        <v>0</v>
      </c>
      <c r="E1071" s="312">
        <v>0.5393</v>
      </c>
      <c r="F1071" s="312">
        <v>0</v>
      </c>
      <c r="G1071" s="312">
        <v>0.58789999999999998</v>
      </c>
      <c r="H1071" s="312">
        <v>0.73229999999999995</v>
      </c>
      <c r="I1071" s="312">
        <v>0.72589999999999999</v>
      </c>
      <c r="J1071" s="312">
        <v>0.60399999999999998</v>
      </c>
      <c r="K1071" s="312">
        <v>7.1199999999999999E-2</v>
      </c>
      <c r="L1071" s="312">
        <v>0.36349999999999999</v>
      </c>
      <c r="M1071" s="312">
        <v>0.59719999999999995</v>
      </c>
      <c r="N1071" s="312">
        <v>0.68630000000000002</v>
      </c>
      <c r="O1071" s="312">
        <v>0</v>
      </c>
      <c r="P1071" s="312">
        <v>0</v>
      </c>
      <c r="Q1071" s="312">
        <v>0.49430000000000002</v>
      </c>
      <c r="R1071" s="312">
        <v>0.70179999999999998</v>
      </c>
      <c r="S1071" s="312">
        <v>0.56079999999999997</v>
      </c>
      <c r="T1071" s="312">
        <v>0</v>
      </c>
      <c r="U1071" s="312">
        <v>0.53129999999999999</v>
      </c>
      <c r="V1071" s="312">
        <v>0.51259999999999994</v>
      </c>
      <c r="W1071" s="312">
        <v>0.65280000000000005</v>
      </c>
      <c r="X1071" s="312">
        <v>0.53069999999999995</v>
      </c>
      <c r="Y1071" s="312">
        <v>0.5353</v>
      </c>
      <c r="Z1071" s="312">
        <v>0.67920000000000003</v>
      </c>
      <c r="AA1071" s="312">
        <v>0.67449999999999999</v>
      </c>
      <c r="AB1071" s="312">
        <v>0.58650000000000002</v>
      </c>
      <c r="AC1071" s="312">
        <v>0.45810000000000001</v>
      </c>
      <c r="AD1071" s="312">
        <v>0.40839999999999999</v>
      </c>
      <c r="AE1071" s="312">
        <v>0.64610000000000001</v>
      </c>
      <c r="AF1071" s="312">
        <v>0</v>
      </c>
      <c r="AG1071" s="312">
        <v>0.46439999999999998</v>
      </c>
      <c r="AH1071" s="312">
        <v>0.57479999999999998</v>
      </c>
      <c r="AI1071" s="312">
        <v>0.62739999999999996</v>
      </c>
      <c r="AJ1071" s="312">
        <v>0.47420000000000001</v>
      </c>
      <c r="AK1071" s="312">
        <v>0.5181</v>
      </c>
      <c r="AL1071" s="312">
        <v>0.52259999999999995</v>
      </c>
      <c r="AM1071" s="312">
        <v>0.66279999999999994</v>
      </c>
      <c r="AN1071" s="312">
        <v>0.52549999999999997</v>
      </c>
      <c r="AO1071" s="312">
        <v>0.64380000000000004</v>
      </c>
      <c r="AP1071" s="312">
        <v>0.68389999999999995</v>
      </c>
      <c r="AQ1071" s="312">
        <v>0.53369999999999995</v>
      </c>
      <c r="AR1071" s="312">
        <v>0.54800000000000004</v>
      </c>
      <c r="AS1071" s="312">
        <v>0</v>
      </c>
      <c r="AT1071" s="312">
        <v>0.60270000000000001</v>
      </c>
      <c r="AU1071" s="312">
        <v>0.6925</v>
      </c>
      <c r="AV1071" s="312">
        <v>0.70230000000000004</v>
      </c>
      <c r="AW1071" s="312">
        <v>0.59770000000000001</v>
      </c>
      <c r="AX1071" s="312">
        <v>0.46289999999999998</v>
      </c>
      <c r="AY1071" s="312">
        <v>0.6321</v>
      </c>
      <c r="AZ1071" s="312">
        <v>0.63939999999999997</v>
      </c>
      <c r="BA1071" s="312">
        <v>0</v>
      </c>
      <c r="BB1071" s="312">
        <v>0.40329999999999999</v>
      </c>
      <c r="BC1071" s="312">
        <v>0.74780000000000002</v>
      </c>
      <c r="BD1071" s="312">
        <v>0.69550000000000001</v>
      </c>
      <c r="BE1071" s="312">
        <v>0.7238</v>
      </c>
      <c r="BF1071" s="312">
        <v>0.62929999999999997</v>
      </c>
      <c r="BG1071" s="312">
        <v>0.70960000000000001</v>
      </c>
      <c r="BH1071" s="312">
        <v>0.5897</v>
      </c>
      <c r="BI1071" s="312">
        <v>0.67630000000000001</v>
      </c>
      <c r="BJ1071" s="312">
        <v>0.69099999999999995</v>
      </c>
      <c r="BK1071" s="312">
        <v>0.73740000000000006</v>
      </c>
      <c r="BM1071">
        <f>(C1071-C660)*1000000/(RIMS_emp!C1071-RIMS_emp!C660)</f>
        <v>37543.090655891152</v>
      </c>
    </row>
    <row r="1072" spans="1:65" x14ac:dyDescent="0.25">
      <c r="A1072" s="306">
        <v>334517</v>
      </c>
      <c r="B1072" s="312" t="s">
        <v>227</v>
      </c>
      <c r="C1072" s="312">
        <v>0.70089999999999997</v>
      </c>
      <c r="D1072" s="312">
        <v>0.24360000000000001</v>
      </c>
      <c r="E1072" s="312">
        <v>0.40179999999999999</v>
      </c>
      <c r="F1072" s="312">
        <v>0</v>
      </c>
      <c r="G1072" s="312">
        <v>0.42470000000000002</v>
      </c>
      <c r="H1072" s="312">
        <v>0.54569999999999996</v>
      </c>
      <c r="I1072" s="312">
        <v>0.51780000000000004</v>
      </c>
      <c r="J1072" s="312">
        <v>0.45219999999999999</v>
      </c>
      <c r="K1072" s="312">
        <v>0</v>
      </c>
      <c r="L1072" s="312">
        <v>0</v>
      </c>
      <c r="M1072" s="312">
        <v>0.42559999999999998</v>
      </c>
      <c r="N1072" s="312">
        <v>0.47970000000000002</v>
      </c>
      <c r="O1072" s="312">
        <v>0</v>
      </c>
      <c r="P1072" s="312">
        <v>0.33650000000000002</v>
      </c>
      <c r="Q1072" s="312">
        <v>0</v>
      </c>
      <c r="R1072" s="312">
        <v>0.53290000000000004</v>
      </c>
      <c r="S1072" s="312">
        <v>0.43390000000000001</v>
      </c>
      <c r="T1072" s="312">
        <v>0.32819999999999999</v>
      </c>
      <c r="U1072" s="312">
        <v>0.41570000000000001</v>
      </c>
      <c r="V1072" s="312">
        <v>0.3831</v>
      </c>
      <c r="W1072" s="312">
        <v>0.48749999999999999</v>
      </c>
      <c r="X1072" s="312">
        <v>0.36759999999999998</v>
      </c>
      <c r="Y1072" s="312">
        <v>0</v>
      </c>
      <c r="Z1072" s="312">
        <v>0.52010000000000001</v>
      </c>
      <c r="AA1072" s="312">
        <v>0.49270000000000003</v>
      </c>
      <c r="AB1072" s="312">
        <v>0.42580000000000001</v>
      </c>
      <c r="AC1072" s="312">
        <v>0</v>
      </c>
      <c r="AD1072" s="312">
        <v>0</v>
      </c>
      <c r="AE1072" s="312">
        <v>0.4642</v>
      </c>
      <c r="AF1072" s="312">
        <v>0</v>
      </c>
      <c r="AG1072" s="312">
        <v>0</v>
      </c>
      <c r="AH1072" s="312">
        <v>0</v>
      </c>
      <c r="AI1072" s="312">
        <v>0.44669999999999999</v>
      </c>
      <c r="AJ1072" s="312">
        <v>0.33829999999999999</v>
      </c>
      <c r="AK1072" s="312">
        <v>0</v>
      </c>
      <c r="AL1072" s="312">
        <v>0.38219999999999998</v>
      </c>
      <c r="AM1072" s="312">
        <v>0.51190000000000002</v>
      </c>
      <c r="AN1072" s="312">
        <v>0.38540000000000002</v>
      </c>
      <c r="AO1072" s="312">
        <v>0.46010000000000001</v>
      </c>
      <c r="AP1072" s="312">
        <v>0.52329999999999999</v>
      </c>
      <c r="AQ1072" s="312">
        <v>0.37809999999999999</v>
      </c>
      <c r="AR1072" s="312">
        <v>0</v>
      </c>
      <c r="AS1072" s="312">
        <v>0</v>
      </c>
      <c r="AT1072" s="312">
        <v>0.45650000000000002</v>
      </c>
      <c r="AU1072" s="312">
        <v>0.51380000000000003</v>
      </c>
      <c r="AV1072" s="312">
        <v>0.4945</v>
      </c>
      <c r="AW1072" s="312">
        <v>0</v>
      </c>
      <c r="AX1072" s="312">
        <v>0.33510000000000001</v>
      </c>
      <c r="AY1072" s="312">
        <v>0.44400000000000001</v>
      </c>
      <c r="AZ1072" s="312">
        <v>0.47839999999999999</v>
      </c>
      <c r="BA1072" s="312">
        <v>0.28599999999999998</v>
      </c>
      <c r="BB1072" s="312">
        <v>0</v>
      </c>
      <c r="BC1072" s="312">
        <v>0.56040000000000001</v>
      </c>
      <c r="BD1072" s="312">
        <v>0.52759999999999996</v>
      </c>
      <c r="BE1072" s="312">
        <v>0.55279999999999996</v>
      </c>
      <c r="BF1072" s="312">
        <v>0.46039999999999998</v>
      </c>
      <c r="BG1072" s="312">
        <v>0.50229999999999997</v>
      </c>
      <c r="BH1072" s="312">
        <v>0.45879999999999999</v>
      </c>
      <c r="BI1072" s="312">
        <v>0.50739999999999996</v>
      </c>
      <c r="BJ1072" s="312">
        <v>0.49030000000000001</v>
      </c>
      <c r="BK1072" s="312">
        <v>0.54700000000000004</v>
      </c>
      <c r="BM1072">
        <f>(C1072-C661)*1000000/(RIMS_emp!C1072-RIMS_emp!C661)</f>
        <v>37527.163731734727</v>
      </c>
    </row>
    <row r="1073" spans="1:65" x14ac:dyDescent="0.25">
      <c r="A1073" s="306" t="s">
        <v>740</v>
      </c>
      <c r="B1073" s="312" t="s">
        <v>228</v>
      </c>
      <c r="C1073" s="312">
        <v>0.93779999999999997</v>
      </c>
      <c r="D1073" s="312">
        <v>0</v>
      </c>
      <c r="E1073" s="312">
        <v>0.57450000000000001</v>
      </c>
      <c r="F1073" s="312">
        <v>0.54390000000000005</v>
      </c>
      <c r="G1073" s="312">
        <v>0.62339999999999995</v>
      </c>
      <c r="H1073" s="312">
        <v>0.75570000000000004</v>
      </c>
      <c r="I1073" s="312">
        <v>0.74870000000000003</v>
      </c>
      <c r="J1073" s="312">
        <v>0.62329999999999997</v>
      </c>
      <c r="K1073" s="312">
        <v>0</v>
      </c>
      <c r="L1073" s="312">
        <v>0</v>
      </c>
      <c r="M1073" s="312">
        <v>0.62919999999999998</v>
      </c>
      <c r="N1073" s="312">
        <v>0.69869999999999999</v>
      </c>
      <c r="O1073" s="312">
        <v>0</v>
      </c>
      <c r="P1073" s="312">
        <v>0.48359999999999997</v>
      </c>
      <c r="Q1073" s="312">
        <v>0.52310000000000001</v>
      </c>
      <c r="R1073" s="312">
        <v>0.7288</v>
      </c>
      <c r="S1073" s="312">
        <v>0.59489999999999998</v>
      </c>
      <c r="T1073" s="312">
        <v>0.48430000000000001</v>
      </c>
      <c r="U1073" s="312">
        <v>0.56010000000000004</v>
      </c>
      <c r="V1073" s="312">
        <v>0.54930000000000001</v>
      </c>
      <c r="W1073" s="312">
        <v>0.66469999999999996</v>
      </c>
      <c r="X1073" s="312">
        <v>0.55679999999999996</v>
      </c>
      <c r="Y1073" s="312">
        <v>0.56330000000000002</v>
      </c>
      <c r="Z1073" s="312">
        <v>0.70109999999999995</v>
      </c>
      <c r="AA1073" s="312">
        <v>0.69230000000000003</v>
      </c>
      <c r="AB1073" s="312">
        <v>0.60419999999999996</v>
      </c>
      <c r="AC1073" s="312">
        <v>0.48809999999999998</v>
      </c>
      <c r="AD1073" s="312">
        <v>0.44600000000000001</v>
      </c>
      <c r="AE1073" s="312">
        <v>0.66039999999999999</v>
      </c>
      <c r="AF1073" s="312">
        <v>0.44169999999999998</v>
      </c>
      <c r="AG1073" s="312">
        <v>0.49330000000000002</v>
      </c>
      <c r="AH1073" s="312">
        <v>0.58689999999999998</v>
      </c>
      <c r="AI1073" s="312">
        <v>0.64370000000000005</v>
      </c>
      <c r="AJ1073" s="312">
        <v>0.51180000000000003</v>
      </c>
      <c r="AK1073" s="312">
        <v>0.54220000000000002</v>
      </c>
      <c r="AL1073" s="312">
        <v>0.55059999999999998</v>
      </c>
      <c r="AM1073" s="312">
        <v>0.68989999999999996</v>
      </c>
      <c r="AN1073" s="312">
        <v>0.56530000000000002</v>
      </c>
      <c r="AO1073" s="312">
        <v>0.66439999999999999</v>
      </c>
      <c r="AP1073" s="312">
        <v>0.70669999999999999</v>
      </c>
      <c r="AQ1073" s="312">
        <v>0.54830000000000001</v>
      </c>
      <c r="AR1073" s="312">
        <v>0.57599999999999996</v>
      </c>
      <c r="AS1073" s="312">
        <v>0</v>
      </c>
      <c r="AT1073" s="312">
        <v>0.63070000000000004</v>
      </c>
      <c r="AU1073" s="312">
        <v>0.71889999999999998</v>
      </c>
      <c r="AV1073" s="312">
        <v>0.72389999999999999</v>
      </c>
      <c r="AW1073" s="312">
        <v>0.61270000000000002</v>
      </c>
      <c r="AX1073" s="312">
        <v>0.49909999999999999</v>
      </c>
      <c r="AY1073" s="312">
        <v>0.65190000000000003</v>
      </c>
      <c r="AZ1073" s="312">
        <v>0.65529999999999999</v>
      </c>
      <c r="BA1073" s="312">
        <v>0.4173</v>
      </c>
      <c r="BB1073" s="312">
        <v>0.44030000000000002</v>
      </c>
      <c r="BC1073" s="312">
        <v>0.76190000000000002</v>
      </c>
      <c r="BD1073" s="312">
        <v>0.72160000000000002</v>
      </c>
      <c r="BE1073" s="312">
        <v>0.74709999999999999</v>
      </c>
      <c r="BF1073" s="312">
        <v>0.65139999999999998</v>
      </c>
      <c r="BG1073" s="312">
        <v>0.7278</v>
      </c>
      <c r="BH1073" s="312">
        <v>0.62209999999999999</v>
      </c>
      <c r="BI1073" s="312">
        <v>0.70579999999999998</v>
      </c>
      <c r="BJ1073" s="312">
        <v>0.71499999999999997</v>
      </c>
      <c r="BK1073" s="312">
        <v>0.76180000000000003</v>
      </c>
      <c r="BM1073">
        <f>(C1073-C662)*1000000/(RIMS_emp!C1073-RIMS_emp!C662)</f>
        <v>37537.8066539711</v>
      </c>
    </row>
    <row r="1074" spans="1:65" x14ac:dyDescent="0.25">
      <c r="A1074" s="306">
        <v>334613</v>
      </c>
      <c r="B1074" s="312" t="s">
        <v>229</v>
      </c>
      <c r="C1074" s="312">
        <v>0.64359999999999995</v>
      </c>
      <c r="D1074" s="312">
        <v>0</v>
      </c>
      <c r="E1074" s="312">
        <v>0.34910000000000002</v>
      </c>
      <c r="F1074" s="312">
        <v>0</v>
      </c>
      <c r="G1074" s="312">
        <v>0.33800000000000002</v>
      </c>
      <c r="H1074" s="312">
        <v>0.45660000000000001</v>
      </c>
      <c r="I1074" s="312">
        <v>0.43140000000000001</v>
      </c>
      <c r="J1074" s="312">
        <v>0.38119999999999998</v>
      </c>
      <c r="K1074" s="312">
        <v>3.7699999999999997E-2</v>
      </c>
      <c r="L1074" s="312">
        <v>0</v>
      </c>
      <c r="M1074" s="312">
        <v>0.34320000000000001</v>
      </c>
      <c r="N1074" s="312">
        <v>0.4582</v>
      </c>
      <c r="O1074" s="312">
        <v>0</v>
      </c>
      <c r="P1074" s="312">
        <v>0</v>
      </c>
      <c r="Q1074" s="312">
        <v>0</v>
      </c>
      <c r="R1074" s="312">
        <v>0.4521</v>
      </c>
      <c r="S1074" s="312">
        <v>0</v>
      </c>
      <c r="T1074" s="312">
        <v>0.2787</v>
      </c>
      <c r="U1074" s="312">
        <v>0</v>
      </c>
      <c r="V1074" s="312">
        <v>0</v>
      </c>
      <c r="W1074" s="312">
        <v>0.41959999999999997</v>
      </c>
      <c r="X1074" s="312">
        <v>0.30830000000000002</v>
      </c>
      <c r="Y1074" s="312">
        <v>0.31559999999999999</v>
      </c>
      <c r="Z1074" s="312">
        <v>0</v>
      </c>
      <c r="AA1074" s="312">
        <v>0.43740000000000001</v>
      </c>
      <c r="AB1074" s="312">
        <v>0</v>
      </c>
      <c r="AC1074" s="312">
        <v>0</v>
      </c>
      <c r="AD1074" s="312">
        <v>0</v>
      </c>
      <c r="AE1074" s="312">
        <v>0.4153</v>
      </c>
      <c r="AF1074" s="312">
        <v>0.2535</v>
      </c>
      <c r="AG1074" s="312">
        <v>0</v>
      </c>
      <c r="AH1074" s="312">
        <v>0</v>
      </c>
      <c r="AI1074" s="312">
        <v>0.39069999999999999</v>
      </c>
      <c r="AJ1074" s="312">
        <v>0</v>
      </c>
      <c r="AK1074" s="312">
        <v>0.29799999999999999</v>
      </c>
      <c r="AL1074" s="312">
        <v>0.2979</v>
      </c>
      <c r="AM1074" s="312">
        <v>0</v>
      </c>
      <c r="AN1074" s="312">
        <v>0.31640000000000001</v>
      </c>
      <c r="AO1074" s="312">
        <v>0</v>
      </c>
      <c r="AP1074" s="312">
        <v>0</v>
      </c>
      <c r="AQ1074" s="312">
        <v>0</v>
      </c>
      <c r="AR1074" s="312">
        <v>0</v>
      </c>
      <c r="AS1074" s="312">
        <v>0</v>
      </c>
      <c r="AT1074" s="312">
        <v>0</v>
      </c>
      <c r="AU1074" s="312">
        <v>0.4622</v>
      </c>
      <c r="AV1074" s="312">
        <v>0.42809999999999998</v>
      </c>
      <c r="AW1074" s="312">
        <v>0</v>
      </c>
      <c r="AX1074" s="312">
        <v>0</v>
      </c>
      <c r="AY1074" s="312">
        <v>0.39079999999999998</v>
      </c>
      <c r="AZ1074" s="312">
        <v>0</v>
      </c>
      <c r="BA1074" s="312">
        <v>0</v>
      </c>
      <c r="BB1074" s="312">
        <v>0</v>
      </c>
      <c r="BC1074" s="312">
        <v>0.48699999999999999</v>
      </c>
      <c r="BD1074" s="312">
        <v>0.43490000000000001</v>
      </c>
      <c r="BE1074" s="312">
        <v>0.48380000000000001</v>
      </c>
      <c r="BF1074" s="312">
        <v>0.40510000000000002</v>
      </c>
      <c r="BG1074" s="312">
        <v>0.45419999999999999</v>
      </c>
      <c r="BH1074" s="312">
        <v>0.4047</v>
      </c>
      <c r="BI1074" s="312">
        <v>0.45190000000000002</v>
      </c>
      <c r="BJ1074" s="312">
        <v>0.4118</v>
      </c>
      <c r="BK1074" s="312">
        <v>0.4617</v>
      </c>
      <c r="BM1074">
        <f>(C1074-C663)*1000000/(RIMS_emp!C1074-RIMS_emp!C663)</f>
        <v>37541.213723761939</v>
      </c>
    </row>
    <row r="1075" spans="1:65" x14ac:dyDescent="0.25">
      <c r="A1075" s="306" t="s">
        <v>741</v>
      </c>
      <c r="B1075" s="312" t="s">
        <v>742</v>
      </c>
      <c r="C1075" s="312">
        <v>0.83940000000000003</v>
      </c>
      <c r="D1075" s="312">
        <v>0</v>
      </c>
      <c r="E1075" s="312">
        <v>0.52129999999999999</v>
      </c>
      <c r="F1075" s="312">
        <v>0.47739999999999999</v>
      </c>
      <c r="G1075" s="312">
        <v>0.50739999999999996</v>
      </c>
      <c r="H1075" s="312">
        <v>0.62560000000000004</v>
      </c>
      <c r="I1075" s="312">
        <v>0.61150000000000004</v>
      </c>
      <c r="J1075" s="312">
        <v>0.53339999999999999</v>
      </c>
      <c r="K1075" s="312">
        <v>0.06</v>
      </c>
      <c r="L1075" s="312">
        <v>0.34039999999999998</v>
      </c>
      <c r="M1075" s="312">
        <v>0.5202</v>
      </c>
      <c r="N1075" s="312">
        <v>0.61709999999999998</v>
      </c>
      <c r="O1075" s="312">
        <v>0</v>
      </c>
      <c r="P1075" s="312">
        <v>0.4042</v>
      </c>
      <c r="Q1075" s="312">
        <v>0.44779999999999998</v>
      </c>
      <c r="R1075" s="312">
        <v>0.63060000000000005</v>
      </c>
      <c r="S1075" s="312">
        <v>0.51160000000000005</v>
      </c>
      <c r="T1075" s="312">
        <v>0.40479999999999999</v>
      </c>
      <c r="U1075" s="312">
        <v>0.48459999999999998</v>
      </c>
      <c r="V1075" s="312">
        <v>0.49309999999999998</v>
      </c>
      <c r="W1075" s="312">
        <v>0.56679999999999997</v>
      </c>
      <c r="X1075" s="312">
        <v>0.46800000000000003</v>
      </c>
      <c r="Y1075" s="312">
        <v>0.48349999999999999</v>
      </c>
      <c r="Z1075" s="312">
        <v>0.60389999999999999</v>
      </c>
      <c r="AA1075" s="312">
        <v>0.58460000000000001</v>
      </c>
      <c r="AB1075" s="312">
        <v>0.52680000000000005</v>
      </c>
      <c r="AC1075" s="312">
        <v>0</v>
      </c>
      <c r="AD1075" s="312">
        <v>0.37930000000000003</v>
      </c>
      <c r="AE1075" s="312">
        <v>0.58350000000000002</v>
      </c>
      <c r="AF1075" s="312">
        <v>0</v>
      </c>
      <c r="AG1075" s="312">
        <v>0.41370000000000001</v>
      </c>
      <c r="AH1075" s="312">
        <v>0.46829999999999999</v>
      </c>
      <c r="AI1075" s="312">
        <v>0.55320000000000003</v>
      </c>
      <c r="AJ1075" s="312">
        <v>0.41670000000000001</v>
      </c>
      <c r="AK1075" s="312">
        <v>0.45679999999999998</v>
      </c>
      <c r="AL1075" s="312">
        <v>0.46089999999999998</v>
      </c>
      <c r="AM1075" s="312">
        <v>0.60160000000000002</v>
      </c>
      <c r="AN1075" s="312">
        <v>0.48780000000000001</v>
      </c>
      <c r="AO1075" s="312">
        <v>0.5464</v>
      </c>
      <c r="AP1075" s="312">
        <v>0.61150000000000004</v>
      </c>
      <c r="AQ1075" s="312">
        <v>0.47</v>
      </c>
      <c r="AR1075" s="312">
        <v>0.50849999999999995</v>
      </c>
      <c r="AS1075" s="312">
        <v>0</v>
      </c>
      <c r="AT1075" s="312">
        <v>0.55500000000000005</v>
      </c>
      <c r="AU1075" s="312">
        <v>0.62380000000000002</v>
      </c>
      <c r="AV1075" s="312">
        <v>0.60109999999999997</v>
      </c>
      <c r="AW1075" s="312">
        <v>0.53549999999999998</v>
      </c>
      <c r="AX1075" s="312">
        <v>0.41439999999999999</v>
      </c>
      <c r="AY1075" s="312">
        <v>0.54500000000000004</v>
      </c>
      <c r="AZ1075" s="312">
        <v>0.5494</v>
      </c>
      <c r="BA1075" s="312">
        <v>0.37119999999999997</v>
      </c>
      <c r="BB1075" s="312">
        <v>0</v>
      </c>
      <c r="BC1075" s="312">
        <v>0.64870000000000005</v>
      </c>
      <c r="BD1075" s="312">
        <v>0.61650000000000005</v>
      </c>
      <c r="BE1075" s="312">
        <v>0.65110000000000001</v>
      </c>
      <c r="BF1075" s="312">
        <v>0.55649999999999999</v>
      </c>
      <c r="BG1075" s="312">
        <v>0.64559999999999995</v>
      </c>
      <c r="BH1075" s="312">
        <v>0.56869999999999998</v>
      </c>
      <c r="BI1075" s="312">
        <v>0.62280000000000002</v>
      </c>
      <c r="BJ1075" s="312">
        <v>0.5897</v>
      </c>
      <c r="BK1075" s="312">
        <v>0.63790000000000002</v>
      </c>
      <c r="BM1075">
        <f>(C1075-C664)*1000000/(RIMS_emp!C1075-RIMS_emp!C664)</f>
        <v>37543.644486715806</v>
      </c>
    </row>
    <row r="1076" spans="1:65" x14ac:dyDescent="0.25">
      <c r="A1076" s="306">
        <v>335110</v>
      </c>
      <c r="B1076" s="312" t="s">
        <v>230</v>
      </c>
      <c r="C1076" s="312">
        <v>0.64770000000000005</v>
      </c>
      <c r="D1076" s="312">
        <v>0</v>
      </c>
      <c r="E1076" s="312">
        <v>0.43259999999999998</v>
      </c>
      <c r="F1076" s="312">
        <v>0.373</v>
      </c>
      <c r="G1076" s="312">
        <v>0.4148</v>
      </c>
      <c r="H1076" s="312">
        <v>0.48270000000000002</v>
      </c>
      <c r="I1076" s="312">
        <v>0.47320000000000001</v>
      </c>
      <c r="J1076" s="312">
        <v>0.42099999999999999</v>
      </c>
      <c r="K1076" s="312">
        <v>0</v>
      </c>
      <c r="L1076" s="312">
        <v>0</v>
      </c>
      <c r="M1076" s="312">
        <v>0.42709999999999998</v>
      </c>
      <c r="N1076" s="312">
        <v>0</v>
      </c>
      <c r="O1076" s="312">
        <v>0</v>
      </c>
      <c r="P1076" s="312">
        <v>0.35759999999999997</v>
      </c>
      <c r="Q1076" s="312">
        <v>0</v>
      </c>
      <c r="R1076" s="312">
        <v>0.49730000000000002</v>
      </c>
      <c r="S1076" s="312">
        <v>0.44259999999999999</v>
      </c>
      <c r="T1076" s="312">
        <v>0</v>
      </c>
      <c r="U1076" s="312">
        <v>0.44490000000000002</v>
      </c>
      <c r="V1076" s="312">
        <v>0.40939999999999999</v>
      </c>
      <c r="W1076" s="312">
        <v>0.41899999999999998</v>
      </c>
      <c r="X1076" s="312">
        <v>0.37690000000000001</v>
      </c>
      <c r="Y1076" s="312">
        <v>0.41860000000000003</v>
      </c>
      <c r="Z1076" s="312">
        <v>0</v>
      </c>
      <c r="AA1076" s="312">
        <v>0</v>
      </c>
      <c r="AB1076" s="312">
        <v>0.4355</v>
      </c>
      <c r="AC1076" s="312">
        <v>0</v>
      </c>
      <c r="AD1076" s="312">
        <v>0</v>
      </c>
      <c r="AE1076" s="312">
        <v>0.46949999999999997</v>
      </c>
      <c r="AF1076" s="312">
        <v>0</v>
      </c>
      <c r="AG1076" s="312">
        <v>0</v>
      </c>
      <c r="AH1076" s="312">
        <v>0.40970000000000001</v>
      </c>
      <c r="AI1076" s="312">
        <v>0.46029999999999999</v>
      </c>
      <c r="AJ1076" s="312">
        <v>0</v>
      </c>
      <c r="AK1076" s="312">
        <v>0</v>
      </c>
      <c r="AL1076" s="312">
        <v>0.39879999999999999</v>
      </c>
      <c r="AM1076" s="312">
        <v>0.51980000000000004</v>
      </c>
      <c r="AN1076" s="312">
        <v>0</v>
      </c>
      <c r="AO1076" s="312">
        <v>0.4153</v>
      </c>
      <c r="AP1076" s="312">
        <v>0.52229999999999999</v>
      </c>
      <c r="AQ1076" s="312">
        <v>0</v>
      </c>
      <c r="AR1076" s="312">
        <v>0.4415</v>
      </c>
      <c r="AS1076" s="312">
        <v>0</v>
      </c>
      <c r="AT1076" s="312">
        <v>0.47720000000000001</v>
      </c>
      <c r="AU1076" s="312">
        <v>0.48</v>
      </c>
      <c r="AV1076" s="312">
        <v>0</v>
      </c>
      <c r="AW1076" s="312">
        <v>0.41339999999999999</v>
      </c>
      <c r="AX1076" s="312">
        <v>0.3448</v>
      </c>
      <c r="AY1076" s="312">
        <v>0</v>
      </c>
      <c r="AZ1076" s="312">
        <v>0</v>
      </c>
      <c r="BA1076" s="312">
        <v>0.35199999999999998</v>
      </c>
      <c r="BB1076" s="312">
        <v>0</v>
      </c>
      <c r="BC1076" s="312">
        <v>0.50049999999999994</v>
      </c>
      <c r="BD1076" s="312">
        <v>0.52649999999999997</v>
      </c>
      <c r="BE1076" s="312">
        <v>0.55089999999999995</v>
      </c>
      <c r="BF1076" s="312">
        <v>0.45519999999999999</v>
      </c>
      <c r="BG1076" s="312">
        <v>0.505</v>
      </c>
      <c r="BH1076" s="312">
        <v>0.49209999999999998</v>
      </c>
      <c r="BI1076" s="312">
        <v>0.48899999999999999</v>
      </c>
      <c r="BJ1076" s="312">
        <v>0.4546</v>
      </c>
      <c r="BK1076" s="312">
        <v>0.4909</v>
      </c>
      <c r="BM1076">
        <f>(C1076-C665)*1000000/(RIMS_emp!C1076-RIMS_emp!C665)</f>
        <v>37547.644148893036</v>
      </c>
    </row>
    <row r="1077" spans="1:65" x14ac:dyDescent="0.25">
      <c r="A1077" s="306">
        <v>335120</v>
      </c>
      <c r="B1077" s="312" t="s">
        <v>231</v>
      </c>
      <c r="C1077" s="312">
        <v>0.71050000000000002</v>
      </c>
      <c r="D1077" s="312">
        <v>0</v>
      </c>
      <c r="E1077" s="312">
        <v>0.46550000000000002</v>
      </c>
      <c r="F1077" s="312">
        <v>0.41220000000000001</v>
      </c>
      <c r="G1077" s="312">
        <v>0.43580000000000002</v>
      </c>
      <c r="H1077" s="312">
        <v>0.52059999999999995</v>
      </c>
      <c r="I1077" s="312">
        <v>0.48930000000000001</v>
      </c>
      <c r="J1077" s="312">
        <v>0.44369999999999998</v>
      </c>
      <c r="K1077" s="312">
        <v>0</v>
      </c>
      <c r="L1077" s="312">
        <v>0.31359999999999999</v>
      </c>
      <c r="M1077" s="312">
        <v>0.44969999999999999</v>
      </c>
      <c r="N1077" s="312">
        <v>0.50009999999999999</v>
      </c>
      <c r="O1077" s="312">
        <v>0.37930000000000003</v>
      </c>
      <c r="P1077" s="312">
        <v>0.37209999999999999</v>
      </c>
      <c r="Q1077" s="312">
        <v>0.3488</v>
      </c>
      <c r="R1077" s="312">
        <v>0.56589999999999996</v>
      </c>
      <c r="S1077" s="312">
        <v>0.47110000000000002</v>
      </c>
      <c r="T1077" s="312">
        <v>0.37040000000000001</v>
      </c>
      <c r="U1077" s="312">
        <v>0.46310000000000001</v>
      </c>
      <c r="V1077" s="312">
        <v>0.4244</v>
      </c>
      <c r="W1077" s="312">
        <v>0.45029999999999998</v>
      </c>
      <c r="X1077" s="312">
        <v>0.39510000000000001</v>
      </c>
      <c r="Y1077" s="312">
        <v>0.41770000000000002</v>
      </c>
      <c r="Z1077" s="312">
        <v>0.51600000000000001</v>
      </c>
      <c r="AA1077" s="312">
        <v>0.49349999999999999</v>
      </c>
      <c r="AB1077" s="312">
        <v>0.47989999999999999</v>
      </c>
      <c r="AC1077" s="312">
        <v>0.40489999999999998</v>
      </c>
      <c r="AD1077" s="312">
        <v>0.32850000000000001</v>
      </c>
      <c r="AE1077" s="312">
        <v>0.4788</v>
      </c>
      <c r="AF1077" s="312">
        <v>0</v>
      </c>
      <c r="AG1077" s="312">
        <v>0.35339999999999999</v>
      </c>
      <c r="AH1077" s="312">
        <v>0.43719999999999998</v>
      </c>
      <c r="AI1077" s="312">
        <v>0.4718</v>
      </c>
      <c r="AJ1077" s="312">
        <v>0.35320000000000001</v>
      </c>
      <c r="AK1077" s="312">
        <v>0.38800000000000001</v>
      </c>
      <c r="AL1077" s="312">
        <v>0.4012</v>
      </c>
      <c r="AM1077" s="312">
        <v>0.55700000000000005</v>
      </c>
      <c r="AN1077" s="312">
        <v>0.43149999999999999</v>
      </c>
      <c r="AO1077" s="312">
        <v>0.44059999999999999</v>
      </c>
      <c r="AP1077" s="312">
        <v>0.55269999999999997</v>
      </c>
      <c r="AQ1077" s="312">
        <v>0.39340000000000003</v>
      </c>
      <c r="AR1077" s="312">
        <v>0.46400000000000002</v>
      </c>
      <c r="AS1077" s="312">
        <v>0.316</v>
      </c>
      <c r="AT1077" s="312">
        <v>0.50719999999999998</v>
      </c>
      <c r="AU1077" s="312">
        <v>0.52239999999999998</v>
      </c>
      <c r="AV1077" s="312">
        <v>0.48820000000000002</v>
      </c>
      <c r="AW1077" s="312">
        <v>0.4476</v>
      </c>
      <c r="AX1077" s="312">
        <v>0.35659999999999997</v>
      </c>
      <c r="AY1077" s="312">
        <v>0.4501</v>
      </c>
      <c r="AZ1077" s="312">
        <v>0.49569999999999997</v>
      </c>
      <c r="BA1077" s="312">
        <v>0.3528</v>
      </c>
      <c r="BB1077" s="312">
        <v>0.27839999999999998</v>
      </c>
      <c r="BC1077" s="312">
        <v>0.53349999999999997</v>
      </c>
      <c r="BD1077" s="312">
        <v>0.54779999999999995</v>
      </c>
      <c r="BE1077" s="312">
        <v>0.59499999999999997</v>
      </c>
      <c r="BF1077" s="312">
        <v>0.49149999999999999</v>
      </c>
      <c r="BG1077" s="312">
        <v>0.52990000000000004</v>
      </c>
      <c r="BH1077" s="312">
        <v>0.51919999999999999</v>
      </c>
      <c r="BI1077" s="312">
        <v>0.53620000000000001</v>
      </c>
      <c r="BJ1077" s="312">
        <v>0.46489999999999998</v>
      </c>
      <c r="BK1077" s="312">
        <v>0.52669999999999995</v>
      </c>
      <c r="BM1077">
        <f>(C1077-C666)*1000000/(RIMS_emp!C1077-RIMS_emp!C666)</f>
        <v>37539.180318173763</v>
      </c>
    </row>
    <row r="1078" spans="1:65" x14ac:dyDescent="0.25">
      <c r="A1078" s="306">
        <v>335210</v>
      </c>
      <c r="B1078" s="312" t="s">
        <v>232</v>
      </c>
      <c r="C1078" s="312">
        <v>0.64059999999999995</v>
      </c>
      <c r="D1078" s="312">
        <v>0</v>
      </c>
      <c r="E1078" s="312">
        <v>0.42149999999999999</v>
      </c>
      <c r="F1078" s="312">
        <v>0.3705</v>
      </c>
      <c r="G1078" s="312">
        <v>0.35570000000000002</v>
      </c>
      <c r="H1078" s="312">
        <v>0.42749999999999999</v>
      </c>
      <c r="I1078" s="312">
        <v>0.40770000000000001</v>
      </c>
      <c r="J1078" s="312">
        <v>0.39579999999999999</v>
      </c>
      <c r="K1078" s="312">
        <v>0</v>
      </c>
      <c r="L1078" s="312">
        <v>0</v>
      </c>
      <c r="M1078" s="312">
        <v>0.3644</v>
      </c>
      <c r="N1078" s="312">
        <v>0</v>
      </c>
      <c r="O1078" s="312">
        <v>0</v>
      </c>
      <c r="P1078" s="312">
        <v>0.33679999999999999</v>
      </c>
      <c r="Q1078" s="312">
        <v>0.28439999999999999</v>
      </c>
      <c r="R1078" s="312">
        <v>0.50629999999999997</v>
      </c>
      <c r="S1078" s="312">
        <v>0.43109999999999998</v>
      </c>
      <c r="T1078" s="312">
        <v>0.32490000000000002</v>
      </c>
      <c r="U1078" s="312">
        <v>0.41389999999999999</v>
      </c>
      <c r="V1078" s="312">
        <v>0</v>
      </c>
      <c r="W1078" s="312">
        <v>0.39250000000000002</v>
      </c>
      <c r="X1078" s="312">
        <v>0.33069999999999999</v>
      </c>
      <c r="Y1078" s="312">
        <v>0</v>
      </c>
      <c r="Z1078" s="312">
        <v>0.45989999999999998</v>
      </c>
      <c r="AA1078" s="312">
        <v>0.44119999999999998</v>
      </c>
      <c r="AB1078" s="312">
        <v>0.43240000000000001</v>
      </c>
      <c r="AC1078" s="312">
        <v>0.35670000000000002</v>
      </c>
      <c r="AD1078" s="312">
        <v>0</v>
      </c>
      <c r="AE1078" s="312">
        <v>0.4355</v>
      </c>
      <c r="AF1078" s="312">
        <v>0</v>
      </c>
      <c r="AG1078" s="312">
        <v>0</v>
      </c>
      <c r="AH1078" s="312">
        <v>0</v>
      </c>
      <c r="AI1078" s="312">
        <v>0.4083</v>
      </c>
      <c r="AJ1078" s="312">
        <v>0</v>
      </c>
      <c r="AK1078" s="312">
        <v>0</v>
      </c>
      <c r="AL1078" s="312">
        <v>0.3362</v>
      </c>
      <c r="AM1078" s="312">
        <v>0.4985</v>
      </c>
      <c r="AN1078" s="312">
        <v>0</v>
      </c>
      <c r="AO1078" s="312">
        <v>0</v>
      </c>
      <c r="AP1078" s="312">
        <v>0.48430000000000001</v>
      </c>
      <c r="AQ1078" s="312">
        <v>0</v>
      </c>
      <c r="AR1078" s="312">
        <v>0.42880000000000001</v>
      </c>
      <c r="AS1078" s="312">
        <v>0.26300000000000001</v>
      </c>
      <c r="AT1078" s="312">
        <v>0.45590000000000003</v>
      </c>
      <c r="AU1078" s="312">
        <v>0.45540000000000003</v>
      </c>
      <c r="AV1078" s="312">
        <v>0.42309999999999998</v>
      </c>
      <c r="AW1078" s="312">
        <v>0.38179999999999997</v>
      </c>
      <c r="AX1078" s="312">
        <v>0</v>
      </c>
      <c r="AY1078" s="312">
        <v>0.37740000000000001</v>
      </c>
      <c r="AZ1078" s="312">
        <v>0.4395</v>
      </c>
      <c r="BA1078" s="312">
        <v>0</v>
      </c>
      <c r="BB1078" s="312">
        <v>0</v>
      </c>
      <c r="BC1078" s="312">
        <v>0.46889999999999998</v>
      </c>
      <c r="BD1078" s="312">
        <v>0.4667</v>
      </c>
      <c r="BE1078" s="312">
        <v>0.53059999999999996</v>
      </c>
      <c r="BF1078" s="312">
        <v>0.4395</v>
      </c>
      <c r="BG1078" s="312">
        <v>0.47010000000000002</v>
      </c>
      <c r="BH1078" s="312">
        <v>0.46429999999999999</v>
      </c>
      <c r="BI1078" s="312">
        <v>0.47149999999999997</v>
      </c>
      <c r="BJ1078" s="312">
        <v>0.38969999999999999</v>
      </c>
      <c r="BK1078" s="312">
        <v>0.432</v>
      </c>
      <c r="BM1078">
        <f>(C1078-C667)*1000000/(RIMS_emp!C1078-RIMS_emp!C667)</f>
        <v>37536.897343391262</v>
      </c>
    </row>
    <row r="1079" spans="1:65" x14ac:dyDescent="0.25">
      <c r="A1079" s="306">
        <v>335221</v>
      </c>
      <c r="B1079" s="312" t="s">
        <v>233</v>
      </c>
      <c r="C1079" s="312">
        <v>0.7046</v>
      </c>
      <c r="D1079" s="312">
        <v>0</v>
      </c>
      <c r="E1079" s="312">
        <v>0</v>
      </c>
      <c r="F1079" s="312">
        <v>0</v>
      </c>
      <c r="G1079" s="312">
        <v>0.35630000000000001</v>
      </c>
      <c r="H1079" s="312">
        <v>0.44640000000000002</v>
      </c>
      <c r="I1079" s="312">
        <v>0</v>
      </c>
      <c r="J1079" s="312">
        <v>0.39960000000000001</v>
      </c>
      <c r="K1079" s="312">
        <v>0</v>
      </c>
      <c r="L1079" s="312">
        <v>0</v>
      </c>
      <c r="M1079" s="312">
        <v>0.34300000000000003</v>
      </c>
      <c r="N1079" s="312">
        <v>0.42649999999999999</v>
      </c>
      <c r="O1079" s="312">
        <v>0</v>
      </c>
      <c r="P1079" s="312">
        <v>0.33389999999999997</v>
      </c>
      <c r="Q1079" s="312">
        <v>0.2611</v>
      </c>
      <c r="R1079" s="312">
        <v>0.53720000000000001</v>
      </c>
      <c r="S1079" s="312">
        <v>0.46379999999999999</v>
      </c>
      <c r="T1079" s="312">
        <v>0.30780000000000002</v>
      </c>
      <c r="U1079" s="312">
        <v>0.43049999999999999</v>
      </c>
      <c r="V1079" s="312">
        <v>0.32250000000000001</v>
      </c>
      <c r="W1079" s="312">
        <v>0</v>
      </c>
      <c r="X1079" s="312">
        <v>0.31590000000000001</v>
      </c>
      <c r="Y1079" s="312">
        <v>0</v>
      </c>
      <c r="Z1079" s="312">
        <v>0</v>
      </c>
      <c r="AA1079" s="312">
        <v>0</v>
      </c>
      <c r="AB1079" s="312">
        <v>0.42049999999999998</v>
      </c>
      <c r="AC1079" s="312">
        <v>0.34939999999999999</v>
      </c>
      <c r="AD1079" s="312">
        <v>0.23169999999999999</v>
      </c>
      <c r="AE1079" s="312">
        <v>0.41510000000000002</v>
      </c>
      <c r="AF1079" s="312">
        <v>0</v>
      </c>
      <c r="AG1079" s="312">
        <v>0</v>
      </c>
      <c r="AH1079" s="312">
        <v>0</v>
      </c>
      <c r="AI1079" s="312">
        <v>0.4098</v>
      </c>
      <c r="AJ1079" s="312">
        <v>0</v>
      </c>
      <c r="AK1079" s="312">
        <v>0.29609999999999997</v>
      </c>
      <c r="AL1079" s="312">
        <v>0.32450000000000001</v>
      </c>
      <c r="AM1079" s="312">
        <v>0.54120000000000001</v>
      </c>
      <c r="AN1079" s="312">
        <v>0.35189999999999999</v>
      </c>
      <c r="AO1079" s="312">
        <v>0.39290000000000003</v>
      </c>
      <c r="AP1079" s="312">
        <v>0.53169999999999995</v>
      </c>
      <c r="AQ1079" s="312">
        <v>0</v>
      </c>
      <c r="AR1079" s="312">
        <v>0.4259</v>
      </c>
      <c r="AS1079" s="312">
        <v>0</v>
      </c>
      <c r="AT1079" s="312">
        <v>0.46949999999999997</v>
      </c>
      <c r="AU1079" s="312">
        <v>0.45789999999999997</v>
      </c>
      <c r="AV1079" s="312">
        <v>0.42909999999999998</v>
      </c>
      <c r="AW1079" s="312">
        <v>0</v>
      </c>
      <c r="AX1079" s="312">
        <v>0</v>
      </c>
      <c r="AY1079" s="312">
        <v>0</v>
      </c>
      <c r="AZ1079" s="312">
        <v>0.4592</v>
      </c>
      <c r="BA1079" s="312">
        <v>0</v>
      </c>
      <c r="BB1079" s="312">
        <v>0</v>
      </c>
      <c r="BC1079" s="312">
        <v>0.48480000000000001</v>
      </c>
      <c r="BD1079" s="312">
        <v>0.50339999999999996</v>
      </c>
      <c r="BE1079" s="312">
        <v>0.57799999999999996</v>
      </c>
      <c r="BF1079" s="312">
        <v>0.45950000000000002</v>
      </c>
      <c r="BG1079" s="312">
        <v>0.44850000000000001</v>
      </c>
      <c r="BH1079" s="312">
        <v>0.48680000000000001</v>
      </c>
      <c r="BI1079" s="312">
        <v>0.46860000000000002</v>
      </c>
      <c r="BJ1079" s="312">
        <v>0.37830000000000003</v>
      </c>
      <c r="BK1079" s="312">
        <v>0.45119999999999999</v>
      </c>
      <c r="BM1079">
        <f>(C1079-C668)*1000000/(RIMS_emp!C1079-RIMS_emp!C668)</f>
        <v>37538.947776436049</v>
      </c>
    </row>
    <row r="1080" spans="1:65" x14ac:dyDescent="0.25">
      <c r="A1080" s="306">
        <v>335222</v>
      </c>
      <c r="B1080" s="312" t="s">
        <v>234</v>
      </c>
      <c r="C1080" s="312">
        <v>0.72419999999999995</v>
      </c>
      <c r="D1080" s="312">
        <v>0</v>
      </c>
      <c r="E1080" s="312">
        <v>0.46110000000000001</v>
      </c>
      <c r="F1080" s="312">
        <v>0.41239999999999999</v>
      </c>
      <c r="G1080" s="312">
        <v>0.37719999999999998</v>
      </c>
      <c r="H1080" s="312">
        <v>0.45250000000000001</v>
      </c>
      <c r="I1080" s="312">
        <v>0</v>
      </c>
      <c r="J1080" s="312">
        <v>0</v>
      </c>
      <c r="K1080" s="312">
        <v>0</v>
      </c>
      <c r="L1080" s="312">
        <v>0</v>
      </c>
      <c r="M1080" s="312">
        <v>0.38800000000000001</v>
      </c>
      <c r="N1080" s="312">
        <v>0</v>
      </c>
      <c r="O1080" s="312">
        <v>0</v>
      </c>
      <c r="P1080" s="312">
        <v>0.36980000000000002</v>
      </c>
      <c r="Q1080" s="312">
        <v>0</v>
      </c>
      <c r="R1080" s="312">
        <v>0.55589999999999995</v>
      </c>
      <c r="S1080" s="312">
        <v>0.48749999999999999</v>
      </c>
      <c r="T1080" s="312">
        <v>0</v>
      </c>
      <c r="U1080" s="312">
        <v>0.46510000000000001</v>
      </c>
      <c r="V1080" s="312">
        <v>0</v>
      </c>
      <c r="W1080" s="312">
        <v>0</v>
      </c>
      <c r="X1080" s="312">
        <v>0</v>
      </c>
      <c r="Y1080" s="312">
        <v>0</v>
      </c>
      <c r="Z1080" s="312">
        <v>0.51480000000000004</v>
      </c>
      <c r="AA1080" s="312">
        <v>0.48470000000000002</v>
      </c>
      <c r="AB1080" s="312">
        <v>0</v>
      </c>
      <c r="AC1080" s="312">
        <v>0.40489999999999998</v>
      </c>
      <c r="AD1080" s="312">
        <v>0</v>
      </c>
      <c r="AE1080" s="312">
        <v>0</v>
      </c>
      <c r="AF1080" s="312">
        <v>0</v>
      </c>
      <c r="AG1080" s="312">
        <v>0</v>
      </c>
      <c r="AH1080" s="312">
        <v>0</v>
      </c>
      <c r="AI1080" s="312">
        <v>0</v>
      </c>
      <c r="AJ1080" s="312">
        <v>0</v>
      </c>
      <c r="AK1080" s="312">
        <v>0</v>
      </c>
      <c r="AL1080" s="312">
        <v>0</v>
      </c>
      <c r="AM1080" s="312">
        <v>0.56510000000000005</v>
      </c>
      <c r="AN1080" s="312">
        <v>0</v>
      </c>
      <c r="AO1080" s="312">
        <v>0</v>
      </c>
      <c r="AP1080" s="312">
        <v>0</v>
      </c>
      <c r="AQ1080" s="312">
        <v>0</v>
      </c>
      <c r="AR1080" s="312">
        <v>0.48309999999999997</v>
      </c>
      <c r="AS1080" s="312">
        <v>0</v>
      </c>
      <c r="AT1080" s="312">
        <v>0</v>
      </c>
      <c r="AU1080" s="312">
        <v>0.51829999999999998</v>
      </c>
      <c r="AV1080" s="312">
        <v>0</v>
      </c>
      <c r="AW1080" s="312">
        <v>0</v>
      </c>
      <c r="AX1080" s="312">
        <v>0</v>
      </c>
      <c r="AY1080" s="312">
        <v>0.3967</v>
      </c>
      <c r="AZ1080" s="312">
        <v>0.4824</v>
      </c>
      <c r="BA1080" s="312">
        <v>0</v>
      </c>
      <c r="BB1080" s="312">
        <v>0</v>
      </c>
      <c r="BC1080" s="312">
        <v>0</v>
      </c>
      <c r="BD1080" s="312">
        <v>0</v>
      </c>
      <c r="BE1080" s="312">
        <v>0.60050000000000003</v>
      </c>
      <c r="BF1080" s="312">
        <v>0.4803</v>
      </c>
      <c r="BG1080" s="312">
        <v>0.51690000000000003</v>
      </c>
      <c r="BH1080" s="312">
        <v>0.5232</v>
      </c>
      <c r="BI1080" s="312">
        <v>0.53879999999999995</v>
      </c>
      <c r="BJ1080" s="312">
        <v>0.40970000000000001</v>
      </c>
      <c r="BK1080" s="312">
        <v>0.45600000000000002</v>
      </c>
      <c r="BM1080">
        <f>(C1080-C669)*1000000/(RIMS_emp!C1080-RIMS_emp!C669)</f>
        <v>37539.889759210906</v>
      </c>
    </row>
    <row r="1081" spans="1:65" x14ac:dyDescent="0.25">
      <c r="A1081" s="306">
        <v>335224</v>
      </c>
      <c r="B1081" s="312" t="s">
        <v>235</v>
      </c>
      <c r="C1081" s="312">
        <v>0.70679999999999998</v>
      </c>
      <c r="D1081" s="312">
        <v>0</v>
      </c>
      <c r="E1081" s="312">
        <v>0</v>
      </c>
      <c r="F1081" s="312">
        <v>0</v>
      </c>
      <c r="G1081" s="312">
        <v>0</v>
      </c>
      <c r="H1081" s="312">
        <v>0.47210000000000002</v>
      </c>
      <c r="I1081" s="312">
        <v>0</v>
      </c>
      <c r="J1081" s="312">
        <v>0</v>
      </c>
      <c r="K1081" s="312">
        <v>0</v>
      </c>
      <c r="L1081" s="312">
        <v>0</v>
      </c>
      <c r="M1081" s="312">
        <v>0.40200000000000002</v>
      </c>
      <c r="N1081" s="312">
        <v>0</v>
      </c>
      <c r="O1081" s="312">
        <v>0</v>
      </c>
      <c r="P1081" s="312">
        <v>0.36930000000000002</v>
      </c>
      <c r="Q1081" s="312">
        <v>0</v>
      </c>
      <c r="R1081" s="312">
        <v>0.56120000000000003</v>
      </c>
      <c r="S1081" s="312">
        <v>0</v>
      </c>
      <c r="T1081" s="312">
        <v>0</v>
      </c>
      <c r="U1081" s="312">
        <v>0</v>
      </c>
      <c r="V1081" s="312">
        <v>0</v>
      </c>
      <c r="W1081" s="312">
        <v>0</v>
      </c>
      <c r="X1081" s="312">
        <v>0</v>
      </c>
      <c r="Y1081" s="312">
        <v>0</v>
      </c>
      <c r="Z1081" s="312">
        <v>0.51490000000000002</v>
      </c>
      <c r="AA1081" s="312">
        <v>0</v>
      </c>
      <c r="AB1081" s="312">
        <v>0</v>
      </c>
      <c r="AC1081" s="312">
        <v>0</v>
      </c>
      <c r="AD1081" s="312">
        <v>0</v>
      </c>
      <c r="AE1081" s="312">
        <v>0</v>
      </c>
      <c r="AF1081" s="312">
        <v>0</v>
      </c>
      <c r="AG1081" s="312">
        <v>0</v>
      </c>
      <c r="AH1081" s="312">
        <v>0</v>
      </c>
      <c r="AI1081" s="312">
        <v>0.42799999999999999</v>
      </c>
      <c r="AJ1081" s="312">
        <v>0</v>
      </c>
      <c r="AK1081" s="312">
        <v>0</v>
      </c>
      <c r="AL1081" s="312">
        <v>0.36559999999999998</v>
      </c>
      <c r="AM1081" s="312">
        <v>0.56030000000000002</v>
      </c>
      <c r="AN1081" s="312">
        <v>0</v>
      </c>
      <c r="AO1081" s="312">
        <v>0</v>
      </c>
      <c r="AP1081" s="312">
        <v>0</v>
      </c>
      <c r="AQ1081" s="312">
        <v>0</v>
      </c>
      <c r="AR1081" s="312">
        <v>0</v>
      </c>
      <c r="AS1081" s="312">
        <v>0</v>
      </c>
      <c r="AT1081" s="312">
        <v>0</v>
      </c>
      <c r="AU1081" s="312">
        <v>0</v>
      </c>
      <c r="AV1081" s="312">
        <v>0</v>
      </c>
      <c r="AW1081" s="312">
        <v>0.41539999999999999</v>
      </c>
      <c r="AX1081" s="312">
        <v>0</v>
      </c>
      <c r="AY1081" s="312">
        <v>0</v>
      </c>
      <c r="AZ1081" s="312">
        <v>0</v>
      </c>
      <c r="BA1081" s="312">
        <v>0</v>
      </c>
      <c r="BB1081" s="312">
        <v>0</v>
      </c>
      <c r="BC1081" s="312">
        <v>0</v>
      </c>
      <c r="BD1081" s="312">
        <v>0.51539999999999997</v>
      </c>
      <c r="BE1081" s="312">
        <v>0.59299999999999997</v>
      </c>
      <c r="BF1081" s="312">
        <v>0.48330000000000001</v>
      </c>
      <c r="BG1081" s="312">
        <v>0.50339999999999996</v>
      </c>
      <c r="BH1081" s="312">
        <v>0</v>
      </c>
      <c r="BI1081" s="312">
        <v>0</v>
      </c>
      <c r="BJ1081" s="312">
        <v>0</v>
      </c>
      <c r="BK1081" s="312">
        <v>0.48020000000000002</v>
      </c>
      <c r="BM1081">
        <f>(C1081-C670)*1000000/(RIMS_emp!C1081-RIMS_emp!C670)</f>
        <v>37545.705877106928</v>
      </c>
    </row>
    <row r="1082" spans="1:65" x14ac:dyDescent="0.25">
      <c r="A1082" s="306">
        <v>335228</v>
      </c>
      <c r="B1082" s="312" t="s">
        <v>236</v>
      </c>
      <c r="C1082" s="312">
        <v>0.65780000000000005</v>
      </c>
      <c r="D1082" s="312">
        <v>0</v>
      </c>
      <c r="E1082" s="312">
        <v>0.40889999999999999</v>
      </c>
      <c r="F1082" s="312">
        <v>0</v>
      </c>
      <c r="G1082" s="312">
        <v>0</v>
      </c>
      <c r="H1082" s="312">
        <v>0.43730000000000002</v>
      </c>
      <c r="I1082" s="312">
        <v>0</v>
      </c>
      <c r="J1082" s="312">
        <v>0.38840000000000002</v>
      </c>
      <c r="K1082" s="312">
        <v>0</v>
      </c>
      <c r="L1082" s="312">
        <v>0</v>
      </c>
      <c r="M1082" s="312">
        <v>0.36170000000000002</v>
      </c>
      <c r="N1082" s="312">
        <v>0</v>
      </c>
      <c r="O1082" s="312">
        <v>0</v>
      </c>
      <c r="P1082" s="312">
        <v>0</v>
      </c>
      <c r="Q1082" s="312">
        <v>0</v>
      </c>
      <c r="R1082" s="312">
        <v>0</v>
      </c>
      <c r="S1082" s="312">
        <v>0</v>
      </c>
      <c r="T1082" s="312">
        <v>0</v>
      </c>
      <c r="U1082" s="312">
        <v>0.40310000000000001</v>
      </c>
      <c r="V1082" s="312">
        <v>0.34760000000000002</v>
      </c>
      <c r="W1082" s="312">
        <v>0.3952</v>
      </c>
      <c r="X1082" s="312">
        <v>0.33829999999999999</v>
      </c>
      <c r="Y1082" s="312">
        <v>0</v>
      </c>
      <c r="Z1082" s="312">
        <v>0.47049999999999997</v>
      </c>
      <c r="AA1082" s="312">
        <v>0.44190000000000002</v>
      </c>
      <c r="AB1082" s="312">
        <v>0</v>
      </c>
      <c r="AC1082" s="312">
        <v>0.34150000000000003</v>
      </c>
      <c r="AD1082" s="312">
        <v>0</v>
      </c>
      <c r="AE1082" s="312">
        <v>0.41760000000000003</v>
      </c>
      <c r="AF1082" s="312">
        <v>0</v>
      </c>
      <c r="AG1082" s="312">
        <v>0</v>
      </c>
      <c r="AH1082" s="312">
        <v>0.377</v>
      </c>
      <c r="AI1082" s="312">
        <v>0.40660000000000002</v>
      </c>
      <c r="AJ1082" s="312">
        <v>0</v>
      </c>
      <c r="AK1082" s="312">
        <v>0</v>
      </c>
      <c r="AL1082" s="312">
        <v>0.3301</v>
      </c>
      <c r="AM1082" s="312">
        <v>0.50209999999999999</v>
      </c>
      <c r="AN1082" s="312">
        <v>0</v>
      </c>
      <c r="AO1082" s="312">
        <v>0</v>
      </c>
      <c r="AP1082" s="312">
        <v>0.4874</v>
      </c>
      <c r="AQ1082" s="312">
        <v>0</v>
      </c>
      <c r="AR1082" s="312">
        <v>0.41289999999999999</v>
      </c>
      <c r="AS1082" s="312">
        <v>0</v>
      </c>
      <c r="AT1082" s="312">
        <v>0.44969999999999999</v>
      </c>
      <c r="AU1082" s="312">
        <v>0.4556</v>
      </c>
      <c r="AV1082" s="312">
        <v>0</v>
      </c>
      <c r="AW1082" s="312">
        <v>0</v>
      </c>
      <c r="AX1082" s="312">
        <v>0</v>
      </c>
      <c r="AY1082" s="312">
        <v>0.36930000000000002</v>
      </c>
      <c r="AZ1082" s="312">
        <v>0.42630000000000001</v>
      </c>
      <c r="BA1082" s="312">
        <v>0</v>
      </c>
      <c r="BB1082" s="312">
        <v>0</v>
      </c>
      <c r="BC1082" s="312">
        <v>0.47389999999999999</v>
      </c>
      <c r="BD1082" s="312">
        <v>0.47560000000000002</v>
      </c>
      <c r="BE1082" s="312">
        <v>0.53790000000000004</v>
      </c>
      <c r="BF1082" s="312">
        <v>0.43309999999999998</v>
      </c>
      <c r="BG1082" s="312">
        <v>0.45519999999999999</v>
      </c>
      <c r="BH1082" s="312">
        <v>0.45490000000000003</v>
      </c>
      <c r="BI1082" s="312">
        <v>0.46829999999999999</v>
      </c>
      <c r="BJ1082" s="312">
        <v>0</v>
      </c>
      <c r="BK1082" s="312">
        <v>0.43919999999999998</v>
      </c>
      <c r="BM1082">
        <f>(C1082-C671)*1000000/(RIMS_emp!C1082-RIMS_emp!C671)</f>
        <v>37543.915681890772</v>
      </c>
    </row>
    <row r="1083" spans="1:65" x14ac:dyDescent="0.25">
      <c r="A1083" s="306">
        <v>335311</v>
      </c>
      <c r="B1083" s="312" t="s">
        <v>237</v>
      </c>
      <c r="C1083" s="312">
        <v>0.74429999999999996</v>
      </c>
      <c r="D1083" s="312">
        <v>0.34689999999999999</v>
      </c>
      <c r="E1083" s="312">
        <v>0.50039999999999996</v>
      </c>
      <c r="F1083" s="312">
        <v>0.44729999999999998</v>
      </c>
      <c r="G1083" s="312">
        <v>0.44890000000000002</v>
      </c>
      <c r="H1083" s="312">
        <v>0.51729999999999998</v>
      </c>
      <c r="I1083" s="312">
        <v>0.51659999999999995</v>
      </c>
      <c r="J1083" s="312">
        <v>0.45629999999999998</v>
      </c>
      <c r="K1083" s="312">
        <v>0</v>
      </c>
      <c r="L1083" s="312">
        <v>0</v>
      </c>
      <c r="M1083" s="312">
        <v>0.45569999999999999</v>
      </c>
      <c r="N1083" s="312">
        <v>0.51970000000000005</v>
      </c>
      <c r="O1083" s="312">
        <v>0</v>
      </c>
      <c r="P1083" s="312">
        <v>0.39579999999999999</v>
      </c>
      <c r="Q1083" s="312">
        <v>0.34839999999999999</v>
      </c>
      <c r="R1083" s="312">
        <v>0.59370000000000001</v>
      </c>
      <c r="S1083" s="312">
        <v>0.50570000000000004</v>
      </c>
      <c r="T1083" s="312">
        <v>0.3916</v>
      </c>
      <c r="U1083" s="312">
        <v>0.48630000000000001</v>
      </c>
      <c r="V1083" s="312">
        <v>0.44969999999999999</v>
      </c>
      <c r="W1083" s="312">
        <v>0.4551</v>
      </c>
      <c r="X1083" s="312">
        <v>0.42559999999999998</v>
      </c>
      <c r="Y1083" s="312">
        <v>0</v>
      </c>
      <c r="Z1083" s="312">
        <v>0.54139999999999999</v>
      </c>
      <c r="AA1083" s="312">
        <v>0.48499999999999999</v>
      </c>
      <c r="AB1083" s="312">
        <v>0.48080000000000001</v>
      </c>
      <c r="AC1083" s="312">
        <v>0.44590000000000002</v>
      </c>
      <c r="AD1083" s="312">
        <v>0</v>
      </c>
      <c r="AE1083" s="312">
        <v>0.50290000000000001</v>
      </c>
      <c r="AF1083" s="312">
        <v>0</v>
      </c>
      <c r="AG1083" s="312">
        <v>0</v>
      </c>
      <c r="AH1083" s="312">
        <v>0.44529999999999997</v>
      </c>
      <c r="AI1083" s="312">
        <v>0.48349999999999999</v>
      </c>
      <c r="AJ1083" s="312">
        <v>0.37369999999999998</v>
      </c>
      <c r="AK1083" s="312">
        <v>0</v>
      </c>
      <c r="AL1083" s="312">
        <v>0.42799999999999999</v>
      </c>
      <c r="AM1083" s="312">
        <v>0.58150000000000002</v>
      </c>
      <c r="AN1083" s="312">
        <v>0.4894</v>
      </c>
      <c r="AO1083" s="312">
        <v>0.45590000000000003</v>
      </c>
      <c r="AP1083" s="312">
        <v>0.58919999999999995</v>
      </c>
      <c r="AQ1083" s="312">
        <v>0</v>
      </c>
      <c r="AR1083" s="312">
        <v>0.50829999999999997</v>
      </c>
      <c r="AS1083" s="312">
        <v>0.31240000000000001</v>
      </c>
      <c r="AT1083" s="312">
        <v>0.51629999999999998</v>
      </c>
      <c r="AU1083" s="312">
        <v>0.55279999999999996</v>
      </c>
      <c r="AV1083" s="312">
        <v>0.53339999999999999</v>
      </c>
      <c r="AW1083" s="312">
        <v>0.44369999999999998</v>
      </c>
      <c r="AX1083" s="312">
        <v>0.37790000000000001</v>
      </c>
      <c r="AY1083" s="312">
        <v>0.4521</v>
      </c>
      <c r="AZ1083" s="312">
        <v>0.48459999999999998</v>
      </c>
      <c r="BA1083" s="312">
        <v>0.38390000000000002</v>
      </c>
      <c r="BB1083" s="312">
        <v>0</v>
      </c>
      <c r="BC1083" s="312">
        <v>0.5363</v>
      </c>
      <c r="BD1083" s="312">
        <v>0.5917</v>
      </c>
      <c r="BE1083" s="312">
        <v>0.62160000000000004</v>
      </c>
      <c r="BF1083" s="312">
        <v>0.49220000000000003</v>
      </c>
      <c r="BG1083" s="312">
        <v>0.54830000000000001</v>
      </c>
      <c r="BH1083" s="312">
        <v>0.54169999999999996</v>
      </c>
      <c r="BI1083" s="312">
        <v>0.57650000000000001</v>
      </c>
      <c r="BJ1083" s="312">
        <v>0.48849999999999999</v>
      </c>
      <c r="BK1083" s="312">
        <v>0.52270000000000005</v>
      </c>
      <c r="BM1083">
        <f>(C1083-C672)*1000000/(RIMS_emp!C1083-RIMS_emp!C672)</f>
        <v>37545.167118337842</v>
      </c>
    </row>
    <row r="1084" spans="1:65" x14ac:dyDescent="0.25">
      <c r="A1084" s="306">
        <v>335312</v>
      </c>
      <c r="B1084" s="312" t="s">
        <v>238</v>
      </c>
      <c r="C1084" s="312">
        <v>0.73280000000000001</v>
      </c>
      <c r="D1084" s="312">
        <v>0</v>
      </c>
      <c r="E1084" s="312">
        <v>0.49940000000000001</v>
      </c>
      <c r="F1084" s="312">
        <v>0.43099999999999999</v>
      </c>
      <c r="G1084" s="312">
        <v>0.43780000000000002</v>
      </c>
      <c r="H1084" s="312">
        <v>0.50490000000000002</v>
      </c>
      <c r="I1084" s="312">
        <v>0.49390000000000001</v>
      </c>
      <c r="J1084" s="312">
        <v>0.4577</v>
      </c>
      <c r="K1084" s="312">
        <v>0</v>
      </c>
      <c r="L1084" s="312">
        <v>0.32929999999999998</v>
      </c>
      <c r="M1084" s="312">
        <v>0.43940000000000001</v>
      </c>
      <c r="N1084" s="312">
        <v>0.4995</v>
      </c>
      <c r="O1084" s="312">
        <v>0</v>
      </c>
      <c r="P1084" s="312">
        <v>0.40860000000000002</v>
      </c>
      <c r="Q1084" s="312">
        <v>0.34520000000000001</v>
      </c>
      <c r="R1084" s="312">
        <v>0.59219999999999995</v>
      </c>
      <c r="S1084" s="312">
        <v>0.51170000000000004</v>
      </c>
      <c r="T1084" s="312">
        <v>0.38419999999999999</v>
      </c>
      <c r="U1084" s="312">
        <v>0.49009999999999998</v>
      </c>
      <c r="V1084" s="312">
        <v>0.41799999999999998</v>
      </c>
      <c r="W1084" s="312">
        <v>0.44019999999999998</v>
      </c>
      <c r="X1084" s="312">
        <v>0.3982</v>
      </c>
      <c r="Y1084" s="312">
        <v>0.41930000000000001</v>
      </c>
      <c r="Z1084" s="312">
        <v>0.54690000000000005</v>
      </c>
      <c r="AA1084" s="312">
        <v>0.49469999999999997</v>
      </c>
      <c r="AB1084" s="312">
        <v>0.48670000000000002</v>
      </c>
      <c r="AC1084" s="312">
        <v>0.43269999999999997</v>
      </c>
      <c r="AD1084" s="312">
        <v>0.3377</v>
      </c>
      <c r="AE1084" s="312">
        <v>0.50139999999999996</v>
      </c>
      <c r="AF1084" s="312">
        <v>0</v>
      </c>
      <c r="AG1084" s="312">
        <v>0.37709999999999999</v>
      </c>
      <c r="AH1084" s="312">
        <v>0.44779999999999998</v>
      </c>
      <c r="AI1084" s="312">
        <v>0.4572</v>
      </c>
      <c r="AJ1084" s="312">
        <v>0.36499999999999999</v>
      </c>
      <c r="AK1084" s="312">
        <v>0.39179999999999998</v>
      </c>
      <c r="AL1084" s="312">
        <v>0.41410000000000002</v>
      </c>
      <c r="AM1084" s="312">
        <v>0.5806</v>
      </c>
      <c r="AN1084" s="312">
        <v>0.47089999999999999</v>
      </c>
      <c r="AO1084" s="312">
        <v>0.43430000000000002</v>
      </c>
      <c r="AP1084" s="312">
        <v>0.57040000000000002</v>
      </c>
      <c r="AQ1084" s="312">
        <v>0</v>
      </c>
      <c r="AR1084" s="312">
        <v>0.49919999999999998</v>
      </c>
      <c r="AS1084" s="312">
        <v>0</v>
      </c>
      <c r="AT1084" s="312">
        <v>0.52539999999999998</v>
      </c>
      <c r="AU1084" s="312">
        <v>0.52659999999999996</v>
      </c>
      <c r="AV1084" s="312">
        <v>0.51359999999999995</v>
      </c>
      <c r="AW1084" s="312">
        <v>0.44009999999999999</v>
      </c>
      <c r="AX1084" s="312">
        <v>0</v>
      </c>
      <c r="AY1084" s="312">
        <v>0.441</v>
      </c>
      <c r="AZ1084" s="312">
        <v>0.51790000000000003</v>
      </c>
      <c r="BA1084" s="312">
        <v>0.37930000000000003</v>
      </c>
      <c r="BB1084" s="312">
        <v>0.28920000000000001</v>
      </c>
      <c r="BC1084" s="312">
        <v>0.53280000000000005</v>
      </c>
      <c r="BD1084" s="312">
        <v>0.55659999999999998</v>
      </c>
      <c r="BE1084" s="312">
        <v>0.62019999999999997</v>
      </c>
      <c r="BF1084" s="312">
        <v>0.50139999999999996</v>
      </c>
      <c r="BG1084" s="312">
        <v>0.53080000000000005</v>
      </c>
      <c r="BH1084" s="312">
        <v>0.54310000000000003</v>
      </c>
      <c r="BI1084" s="312">
        <v>0.54359999999999997</v>
      </c>
      <c r="BJ1084" s="312">
        <v>0.47249999999999998</v>
      </c>
      <c r="BK1084" s="312">
        <v>0.51119999999999999</v>
      </c>
      <c r="BM1084">
        <f>(C1084-C673)*1000000/(RIMS_emp!C1084-RIMS_emp!C673)</f>
        <v>37545.157405814556</v>
      </c>
    </row>
    <row r="1085" spans="1:65" x14ac:dyDescent="0.25">
      <c r="A1085" s="306">
        <v>335313</v>
      </c>
      <c r="B1085" s="312" t="s">
        <v>239</v>
      </c>
      <c r="C1085" s="312">
        <v>0.66569999999999996</v>
      </c>
      <c r="D1085" s="312">
        <v>0.32340000000000002</v>
      </c>
      <c r="E1085" s="312">
        <v>0.43569999999999998</v>
      </c>
      <c r="F1085" s="312">
        <v>0.36820000000000003</v>
      </c>
      <c r="G1085" s="312">
        <v>0.41710000000000003</v>
      </c>
      <c r="H1085" s="312">
        <v>0.4859</v>
      </c>
      <c r="I1085" s="312">
        <v>0.46550000000000002</v>
      </c>
      <c r="J1085" s="312">
        <v>0.44440000000000002</v>
      </c>
      <c r="K1085" s="312">
        <v>0</v>
      </c>
      <c r="L1085" s="312">
        <v>0.30159999999999998</v>
      </c>
      <c r="M1085" s="312">
        <v>0.43540000000000001</v>
      </c>
      <c r="N1085" s="312">
        <v>0.4637</v>
      </c>
      <c r="O1085" s="312">
        <v>0</v>
      </c>
      <c r="P1085" s="312">
        <v>0.36359999999999998</v>
      </c>
      <c r="Q1085" s="312">
        <v>0</v>
      </c>
      <c r="R1085" s="312">
        <v>0.53820000000000001</v>
      </c>
      <c r="S1085" s="312">
        <v>0.44669999999999999</v>
      </c>
      <c r="T1085" s="312">
        <v>0.36509999999999998</v>
      </c>
      <c r="U1085" s="312">
        <v>0.42949999999999999</v>
      </c>
      <c r="V1085" s="312">
        <v>0.39979999999999999</v>
      </c>
      <c r="W1085" s="312">
        <v>0.43530000000000002</v>
      </c>
      <c r="X1085" s="312">
        <v>0.37730000000000002</v>
      </c>
      <c r="Y1085" s="312">
        <v>0.41930000000000001</v>
      </c>
      <c r="Z1085" s="312">
        <v>0.49</v>
      </c>
      <c r="AA1085" s="312">
        <v>0.48170000000000002</v>
      </c>
      <c r="AB1085" s="312">
        <v>0.44640000000000002</v>
      </c>
      <c r="AC1085" s="312">
        <v>0.38829999999999998</v>
      </c>
      <c r="AD1085" s="312">
        <v>0</v>
      </c>
      <c r="AE1085" s="312">
        <v>0.47089999999999999</v>
      </c>
      <c r="AF1085" s="312">
        <v>0</v>
      </c>
      <c r="AG1085" s="312">
        <v>0.35010000000000002</v>
      </c>
      <c r="AH1085" s="312">
        <v>0.41830000000000001</v>
      </c>
      <c r="AI1085" s="312">
        <v>0.43049999999999999</v>
      </c>
      <c r="AJ1085" s="312">
        <v>0.34560000000000002</v>
      </c>
      <c r="AK1085" s="312">
        <v>0.37719999999999998</v>
      </c>
      <c r="AL1085" s="312">
        <v>0.38879999999999998</v>
      </c>
      <c r="AM1085" s="312">
        <v>0.52810000000000001</v>
      </c>
      <c r="AN1085" s="312">
        <v>0.42180000000000001</v>
      </c>
      <c r="AO1085" s="312">
        <v>0.41189999999999999</v>
      </c>
      <c r="AP1085" s="312">
        <v>0.53139999999999998</v>
      </c>
      <c r="AQ1085" s="312">
        <v>0</v>
      </c>
      <c r="AR1085" s="312">
        <v>0.45610000000000001</v>
      </c>
      <c r="AS1085" s="312">
        <v>0.30380000000000001</v>
      </c>
      <c r="AT1085" s="312">
        <v>0.46820000000000001</v>
      </c>
      <c r="AU1085" s="312">
        <v>0.50360000000000005</v>
      </c>
      <c r="AV1085" s="312">
        <v>0.46660000000000001</v>
      </c>
      <c r="AW1085" s="312">
        <v>0.4244</v>
      </c>
      <c r="AX1085" s="312">
        <v>0</v>
      </c>
      <c r="AY1085" s="312">
        <v>0.44080000000000003</v>
      </c>
      <c r="AZ1085" s="312">
        <v>0.4854</v>
      </c>
      <c r="BA1085" s="312">
        <v>0.35270000000000001</v>
      </c>
      <c r="BB1085" s="312">
        <v>0.27339999999999998</v>
      </c>
      <c r="BC1085" s="312">
        <v>0.51990000000000003</v>
      </c>
      <c r="BD1085" s="312">
        <v>0.51949999999999996</v>
      </c>
      <c r="BE1085" s="312">
        <v>0.56269999999999998</v>
      </c>
      <c r="BF1085" s="312">
        <v>0.46560000000000001</v>
      </c>
      <c r="BG1085" s="312">
        <v>0.5111</v>
      </c>
      <c r="BH1085" s="312">
        <v>0.47610000000000002</v>
      </c>
      <c r="BI1085" s="312">
        <v>0.51049999999999995</v>
      </c>
      <c r="BJ1085" s="312">
        <v>0.44769999999999999</v>
      </c>
      <c r="BK1085" s="312">
        <v>0.49270000000000003</v>
      </c>
      <c r="BM1085">
        <f>(C1085-C674)*1000000/(RIMS_emp!C1085-RIMS_emp!C674)</f>
        <v>37543.793201401371</v>
      </c>
    </row>
    <row r="1086" spans="1:65" x14ac:dyDescent="0.25">
      <c r="A1086" s="306">
        <v>335314</v>
      </c>
      <c r="B1086" s="312" t="s">
        <v>9</v>
      </c>
      <c r="C1086" s="312">
        <v>0.73909999999999998</v>
      </c>
      <c r="D1086" s="312">
        <v>0.37219999999999998</v>
      </c>
      <c r="E1086" s="312">
        <v>0.48170000000000002</v>
      </c>
      <c r="F1086" s="312">
        <v>0.41439999999999999</v>
      </c>
      <c r="G1086" s="312">
        <v>0.48199999999999998</v>
      </c>
      <c r="H1086" s="312">
        <v>0.55989999999999995</v>
      </c>
      <c r="I1086" s="312">
        <v>0.54530000000000001</v>
      </c>
      <c r="J1086" s="312">
        <v>0.51339999999999997</v>
      </c>
      <c r="K1086" s="312">
        <v>0</v>
      </c>
      <c r="L1086" s="312">
        <v>0.33760000000000001</v>
      </c>
      <c r="M1086" s="312">
        <v>0.50949999999999995</v>
      </c>
      <c r="N1086" s="312">
        <v>0.51739999999999997</v>
      </c>
      <c r="O1086" s="312">
        <v>0</v>
      </c>
      <c r="P1086" s="312">
        <v>0.4017</v>
      </c>
      <c r="Q1086" s="312">
        <v>0.37390000000000001</v>
      </c>
      <c r="R1086" s="312">
        <v>0.60860000000000003</v>
      </c>
      <c r="S1086" s="312">
        <v>0.4924</v>
      </c>
      <c r="T1086" s="312">
        <v>0.41370000000000001</v>
      </c>
      <c r="U1086" s="312">
        <v>0.47089999999999999</v>
      </c>
      <c r="V1086" s="312">
        <v>0.45179999999999998</v>
      </c>
      <c r="W1086" s="312">
        <v>0.50719999999999998</v>
      </c>
      <c r="X1086" s="312">
        <v>0.42480000000000001</v>
      </c>
      <c r="Y1086" s="312">
        <v>0.48470000000000002</v>
      </c>
      <c r="Z1086" s="312">
        <v>0.55320000000000003</v>
      </c>
      <c r="AA1086" s="312">
        <v>0.56130000000000002</v>
      </c>
      <c r="AB1086" s="312">
        <v>0.495</v>
      </c>
      <c r="AC1086" s="312">
        <v>0.43140000000000001</v>
      </c>
      <c r="AD1086" s="312">
        <v>0</v>
      </c>
      <c r="AE1086" s="312">
        <v>0.54700000000000004</v>
      </c>
      <c r="AF1086" s="312">
        <v>0.2278</v>
      </c>
      <c r="AG1086" s="312">
        <v>0.39700000000000002</v>
      </c>
      <c r="AH1086" s="312">
        <v>0.4904</v>
      </c>
      <c r="AI1086" s="312">
        <v>0.49030000000000001</v>
      </c>
      <c r="AJ1086" s="312">
        <v>0.40189999999999998</v>
      </c>
      <c r="AK1086" s="312">
        <v>0.43540000000000001</v>
      </c>
      <c r="AL1086" s="312">
        <v>0.45369999999999999</v>
      </c>
      <c r="AM1086" s="312">
        <v>0.58919999999999995</v>
      </c>
      <c r="AN1086" s="312">
        <v>0.46949999999999997</v>
      </c>
      <c r="AO1086" s="312">
        <v>0.47060000000000002</v>
      </c>
      <c r="AP1086" s="312">
        <v>0.59460000000000002</v>
      </c>
      <c r="AQ1086" s="312">
        <v>0.42259999999999998</v>
      </c>
      <c r="AR1086" s="312">
        <v>0.51160000000000005</v>
      </c>
      <c r="AS1086" s="312">
        <v>0.35630000000000001</v>
      </c>
      <c r="AT1086" s="312">
        <v>0.51480000000000004</v>
      </c>
      <c r="AU1086" s="312">
        <v>0.56159999999999999</v>
      </c>
      <c r="AV1086" s="312">
        <v>0.53280000000000005</v>
      </c>
      <c r="AW1086" s="312">
        <v>0.49080000000000001</v>
      </c>
      <c r="AX1086" s="312">
        <v>0.40839999999999999</v>
      </c>
      <c r="AY1086" s="312">
        <v>0.51629999999999998</v>
      </c>
      <c r="AZ1086" s="312">
        <v>0.55910000000000004</v>
      </c>
      <c r="BA1086" s="312">
        <v>0.39839999999999998</v>
      </c>
      <c r="BB1086" s="312">
        <v>0.31130000000000002</v>
      </c>
      <c r="BC1086" s="312">
        <v>0.60309999999999997</v>
      </c>
      <c r="BD1086" s="312">
        <v>0.59</v>
      </c>
      <c r="BE1086" s="312">
        <v>0.62909999999999999</v>
      </c>
      <c r="BF1086" s="312">
        <v>0.5272</v>
      </c>
      <c r="BG1086" s="312">
        <v>0.58799999999999997</v>
      </c>
      <c r="BH1086" s="312">
        <v>0.52110000000000001</v>
      </c>
      <c r="BI1086" s="312">
        <v>0.56689999999999996</v>
      </c>
      <c r="BJ1086" s="312">
        <v>0.51729999999999998</v>
      </c>
      <c r="BK1086" s="312">
        <v>0.56820000000000004</v>
      </c>
      <c r="BM1086">
        <f>(C1086-C675)*1000000/(RIMS_emp!C1086-RIMS_emp!C675)</f>
        <v>37536.598538901046</v>
      </c>
    </row>
    <row r="1087" spans="1:65" x14ac:dyDescent="0.25">
      <c r="A1087" s="306">
        <v>335911</v>
      </c>
      <c r="B1087" s="312" t="s">
        <v>240</v>
      </c>
      <c r="C1087" s="312">
        <v>0.73329999999999995</v>
      </c>
      <c r="D1087" s="312">
        <v>0</v>
      </c>
      <c r="E1087" s="312">
        <v>0</v>
      </c>
      <c r="F1087" s="312">
        <v>0.40989999999999999</v>
      </c>
      <c r="G1087" s="312">
        <v>0.46039999999999998</v>
      </c>
      <c r="H1087" s="312">
        <v>0.52749999999999997</v>
      </c>
      <c r="I1087" s="312">
        <v>0.52249999999999996</v>
      </c>
      <c r="J1087" s="312">
        <v>0.46350000000000002</v>
      </c>
      <c r="K1087" s="312">
        <v>0</v>
      </c>
      <c r="L1087" s="312">
        <v>0.34160000000000001</v>
      </c>
      <c r="M1087" s="312">
        <v>0.4718</v>
      </c>
      <c r="N1087" s="312">
        <v>0.52470000000000006</v>
      </c>
      <c r="O1087" s="312">
        <v>0</v>
      </c>
      <c r="P1087" s="312">
        <v>0.38090000000000002</v>
      </c>
      <c r="Q1087" s="312">
        <v>0</v>
      </c>
      <c r="R1087" s="312">
        <v>0.5605</v>
      </c>
      <c r="S1087" s="312">
        <v>0.48060000000000003</v>
      </c>
      <c r="T1087" s="312">
        <v>0.3856</v>
      </c>
      <c r="U1087" s="312">
        <v>0.46779999999999999</v>
      </c>
      <c r="V1087" s="312">
        <v>0</v>
      </c>
      <c r="W1087" s="312">
        <v>0</v>
      </c>
      <c r="X1087" s="312">
        <v>0</v>
      </c>
      <c r="Y1087" s="312">
        <v>0</v>
      </c>
      <c r="Z1087" s="312">
        <v>0.52359999999999995</v>
      </c>
      <c r="AA1087" s="312">
        <v>0.51049999999999995</v>
      </c>
      <c r="AB1087" s="312">
        <v>0.51090000000000002</v>
      </c>
      <c r="AC1087" s="312">
        <v>0.41360000000000002</v>
      </c>
      <c r="AD1087" s="312">
        <v>0</v>
      </c>
      <c r="AE1087" s="312">
        <v>0.50380000000000003</v>
      </c>
      <c r="AF1087" s="312">
        <v>0</v>
      </c>
      <c r="AG1087" s="312">
        <v>0</v>
      </c>
      <c r="AH1087" s="312">
        <v>0</v>
      </c>
      <c r="AI1087" s="312">
        <v>0.50349999999999995</v>
      </c>
      <c r="AJ1087" s="312">
        <v>0</v>
      </c>
      <c r="AK1087" s="312">
        <v>0</v>
      </c>
      <c r="AL1087" s="312">
        <v>0</v>
      </c>
      <c r="AM1087" s="312">
        <v>0.56389999999999996</v>
      </c>
      <c r="AN1087" s="312">
        <v>0.4461</v>
      </c>
      <c r="AO1087" s="312">
        <v>0.4546</v>
      </c>
      <c r="AP1087" s="312">
        <v>0.57369999999999999</v>
      </c>
      <c r="AQ1087" s="312">
        <v>0.43890000000000001</v>
      </c>
      <c r="AR1087" s="312">
        <v>0.48680000000000001</v>
      </c>
      <c r="AS1087" s="312">
        <v>0</v>
      </c>
      <c r="AT1087" s="312">
        <v>0.52029999999999998</v>
      </c>
      <c r="AU1087" s="312">
        <v>0.54910000000000003</v>
      </c>
      <c r="AV1087" s="312">
        <v>0.55489999999999995</v>
      </c>
      <c r="AW1087" s="312">
        <v>0</v>
      </c>
      <c r="AX1087" s="312">
        <v>0</v>
      </c>
      <c r="AY1087" s="312">
        <v>0.48949999999999999</v>
      </c>
      <c r="AZ1087" s="312">
        <v>0.49030000000000001</v>
      </c>
      <c r="BA1087" s="312">
        <v>0.38479999999999998</v>
      </c>
      <c r="BB1087" s="312">
        <v>0</v>
      </c>
      <c r="BC1087" s="312">
        <v>0.55840000000000001</v>
      </c>
      <c r="BD1087" s="312">
        <v>0.57579999999999998</v>
      </c>
      <c r="BE1087" s="312">
        <v>0.59840000000000004</v>
      </c>
      <c r="BF1087" s="312">
        <v>0.50590000000000002</v>
      </c>
      <c r="BG1087" s="312">
        <v>0.55659999999999998</v>
      </c>
      <c r="BH1087" s="312">
        <v>0.53500000000000003</v>
      </c>
      <c r="BI1087" s="312">
        <v>0.55120000000000002</v>
      </c>
      <c r="BJ1087" s="312">
        <v>0.52849999999999997</v>
      </c>
      <c r="BK1087" s="312">
        <v>0.54990000000000006</v>
      </c>
      <c r="BM1087">
        <f>(C1087-C676)*1000000/(RIMS_emp!C1087-RIMS_emp!C676)</f>
        <v>37547.991519110648</v>
      </c>
    </row>
    <row r="1088" spans="1:65" x14ac:dyDescent="0.25">
      <c r="A1088" s="306">
        <v>335912</v>
      </c>
      <c r="B1088" s="312" t="s">
        <v>241</v>
      </c>
      <c r="C1088" s="312">
        <v>0.49340000000000001</v>
      </c>
      <c r="D1088" s="312">
        <v>0</v>
      </c>
      <c r="E1088" s="312">
        <v>0.32329999999999998</v>
      </c>
      <c r="F1088" s="312">
        <v>0</v>
      </c>
      <c r="G1088" s="312">
        <v>0.27460000000000001</v>
      </c>
      <c r="H1088" s="312">
        <v>0.3286</v>
      </c>
      <c r="I1088" s="312">
        <v>0.29720000000000002</v>
      </c>
      <c r="J1088" s="312">
        <v>0.30449999999999999</v>
      </c>
      <c r="K1088" s="312">
        <v>0</v>
      </c>
      <c r="L1088" s="312">
        <v>0</v>
      </c>
      <c r="M1088" s="312">
        <v>0.26569999999999999</v>
      </c>
      <c r="N1088" s="312">
        <v>0.30759999999999998</v>
      </c>
      <c r="O1088" s="312">
        <v>0</v>
      </c>
      <c r="P1088" s="312">
        <v>0.25540000000000002</v>
      </c>
      <c r="Q1088" s="312">
        <v>0</v>
      </c>
      <c r="R1088" s="312">
        <v>0.3735</v>
      </c>
      <c r="S1088" s="312">
        <v>0.32969999999999999</v>
      </c>
      <c r="T1088" s="312">
        <v>0</v>
      </c>
      <c r="U1088" s="312">
        <v>0.32069999999999999</v>
      </c>
      <c r="V1088" s="312">
        <v>0</v>
      </c>
      <c r="W1088" s="312">
        <v>0.29759999999999998</v>
      </c>
      <c r="X1088" s="312">
        <v>0</v>
      </c>
      <c r="Y1088" s="312">
        <v>0</v>
      </c>
      <c r="Z1088" s="312">
        <v>0</v>
      </c>
      <c r="AA1088" s="312">
        <v>0.32269999999999999</v>
      </c>
      <c r="AB1088" s="312">
        <v>0.30840000000000001</v>
      </c>
      <c r="AC1088" s="312">
        <v>0</v>
      </c>
      <c r="AD1088" s="312">
        <v>0</v>
      </c>
      <c r="AE1088" s="312">
        <v>0.31819999999999998</v>
      </c>
      <c r="AF1088" s="312">
        <v>0</v>
      </c>
      <c r="AG1088" s="312">
        <v>0</v>
      </c>
      <c r="AH1088" s="312">
        <v>0</v>
      </c>
      <c r="AI1088" s="312">
        <v>0.307</v>
      </c>
      <c r="AJ1088" s="312">
        <v>0</v>
      </c>
      <c r="AK1088" s="312">
        <v>0.23960000000000001</v>
      </c>
      <c r="AL1088" s="312">
        <v>0.2586</v>
      </c>
      <c r="AM1088" s="312">
        <v>0</v>
      </c>
      <c r="AN1088" s="312">
        <v>0</v>
      </c>
      <c r="AO1088" s="312">
        <v>0</v>
      </c>
      <c r="AP1088" s="312">
        <v>0.3866</v>
      </c>
      <c r="AQ1088" s="312">
        <v>0</v>
      </c>
      <c r="AR1088" s="312">
        <v>0.31940000000000002</v>
      </c>
      <c r="AS1088" s="312">
        <v>0</v>
      </c>
      <c r="AT1088" s="312">
        <v>0.35070000000000001</v>
      </c>
      <c r="AU1088" s="312">
        <v>0.3342</v>
      </c>
      <c r="AV1088" s="312">
        <v>0</v>
      </c>
      <c r="AW1088" s="312">
        <v>0</v>
      </c>
      <c r="AX1088" s="312">
        <v>0.24110000000000001</v>
      </c>
      <c r="AY1088" s="312">
        <v>0</v>
      </c>
      <c r="AZ1088" s="312">
        <v>0.33629999999999999</v>
      </c>
      <c r="BA1088" s="312">
        <v>0</v>
      </c>
      <c r="BB1088" s="312">
        <v>0</v>
      </c>
      <c r="BC1088" s="312">
        <v>0.36099999999999999</v>
      </c>
      <c r="BD1088" s="312">
        <v>0.37340000000000001</v>
      </c>
      <c r="BE1088" s="312">
        <v>0.41049999999999998</v>
      </c>
      <c r="BF1088" s="312">
        <v>0.3226</v>
      </c>
      <c r="BG1088" s="312">
        <v>0.33939999999999998</v>
      </c>
      <c r="BH1088" s="312">
        <v>0.36030000000000001</v>
      </c>
      <c r="BI1088" s="312">
        <v>0.34439999999999998</v>
      </c>
      <c r="BJ1088" s="312">
        <v>0.3014</v>
      </c>
      <c r="BK1088" s="312">
        <v>0.32940000000000003</v>
      </c>
      <c r="BM1088">
        <f>(C1088-C677)*1000000/(RIMS_emp!C1088-RIMS_emp!C677)</f>
        <v>37534.596550989991</v>
      </c>
    </row>
    <row r="1089" spans="1:65" x14ac:dyDescent="0.25">
      <c r="A1089" s="306">
        <v>335920</v>
      </c>
      <c r="B1089" s="312" t="s">
        <v>242</v>
      </c>
      <c r="C1089" s="312">
        <v>0.71150000000000002</v>
      </c>
      <c r="D1089" s="312">
        <v>0</v>
      </c>
      <c r="E1089" s="312">
        <v>0.4572</v>
      </c>
      <c r="F1089" s="312">
        <v>0.39560000000000001</v>
      </c>
      <c r="G1089" s="312">
        <v>0.4032</v>
      </c>
      <c r="H1089" s="312">
        <v>0.4496</v>
      </c>
      <c r="I1089" s="312">
        <v>0.41110000000000002</v>
      </c>
      <c r="J1089" s="312">
        <v>0.43859999999999999</v>
      </c>
      <c r="K1089" s="312">
        <v>0</v>
      </c>
      <c r="L1089" s="312">
        <v>0.28460000000000002</v>
      </c>
      <c r="M1089" s="312">
        <v>0.38819999999999999</v>
      </c>
      <c r="N1089" s="312">
        <v>0.50309999999999999</v>
      </c>
      <c r="O1089" s="312">
        <v>0</v>
      </c>
      <c r="P1089" s="312">
        <v>0.34520000000000001</v>
      </c>
      <c r="Q1089" s="312">
        <v>0.29110000000000003</v>
      </c>
      <c r="R1089" s="312">
        <v>0.52949999999999997</v>
      </c>
      <c r="S1089" s="312">
        <v>0.45710000000000001</v>
      </c>
      <c r="T1089" s="312">
        <v>0</v>
      </c>
      <c r="U1089" s="312">
        <v>0.45169999999999999</v>
      </c>
      <c r="V1089" s="312">
        <v>0</v>
      </c>
      <c r="W1089" s="312">
        <v>0.43419999999999997</v>
      </c>
      <c r="X1089" s="312">
        <v>0.33579999999999999</v>
      </c>
      <c r="Y1089" s="312">
        <v>0.3629</v>
      </c>
      <c r="Z1089" s="312">
        <v>0.46179999999999999</v>
      </c>
      <c r="AA1089" s="312">
        <v>0.41260000000000002</v>
      </c>
      <c r="AB1089" s="312">
        <v>0.44309999999999999</v>
      </c>
      <c r="AC1089" s="312">
        <v>0.39200000000000002</v>
      </c>
      <c r="AD1089" s="312">
        <v>0.28920000000000001</v>
      </c>
      <c r="AE1089" s="312">
        <v>0.4748</v>
      </c>
      <c r="AF1089" s="312">
        <v>0.18110000000000001</v>
      </c>
      <c r="AG1089" s="312">
        <v>0.32869999999999999</v>
      </c>
      <c r="AH1089" s="312">
        <v>0.42330000000000001</v>
      </c>
      <c r="AI1089" s="312">
        <v>0.4405</v>
      </c>
      <c r="AJ1089" s="312">
        <v>0.31059999999999999</v>
      </c>
      <c r="AK1089" s="312">
        <v>0.32750000000000001</v>
      </c>
      <c r="AL1089" s="312">
        <v>0.38369999999999999</v>
      </c>
      <c r="AM1089" s="312">
        <v>0.51759999999999995</v>
      </c>
      <c r="AN1089" s="312">
        <v>0</v>
      </c>
      <c r="AO1089" s="312">
        <v>0.3664</v>
      </c>
      <c r="AP1089" s="312">
        <v>0.53959999999999997</v>
      </c>
      <c r="AQ1089" s="312">
        <v>0.39760000000000001</v>
      </c>
      <c r="AR1089" s="312">
        <v>0.47020000000000001</v>
      </c>
      <c r="AS1089" s="312">
        <v>0</v>
      </c>
      <c r="AT1089" s="312">
        <v>0.4592</v>
      </c>
      <c r="AU1089" s="312">
        <v>0.5071</v>
      </c>
      <c r="AV1089" s="312">
        <v>0.4521</v>
      </c>
      <c r="AW1089" s="312">
        <v>0.39760000000000001</v>
      </c>
      <c r="AX1089" s="312">
        <v>0.35249999999999998</v>
      </c>
      <c r="AY1089" s="312">
        <v>0.38529999999999998</v>
      </c>
      <c r="AZ1089" s="312">
        <v>0.43380000000000002</v>
      </c>
      <c r="BA1089" s="312">
        <v>0</v>
      </c>
      <c r="BB1089" s="312">
        <v>0.2429</v>
      </c>
      <c r="BC1089" s="312">
        <v>0.51780000000000004</v>
      </c>
      <c r="BD1089" s="312">
        <v>0.52259999999999995</v>
      </c>
      <c r="BE1089" s="312">
        <v>0.5605</v>
      </c>
      <c r="BF1089" s="312">
        <v>0.44090000000000001</v>
      </c>
      <c r="BG1089" s="312">
        <v>0.50280000000000002</v>
      </c>
      <c r="BH1089" s="312">
        <v>0.49519999999999997</v>
      </c>
      <c r="BI1089" s="312">
        <v>0.51649999999999996</v>
      </c>
      <c r="BJ1089" s="312">
        <v>0.41499999999999998</v>
      </c>
      <c r="BK1089" s="312">
        <v>0.45019999999999999</v>
      </c>
      <c r="BM1089">
        <f>(C1089-C678)*1000000/(RIMS_emp!C1089-RIMS_emp!C678)</f>
        <v>37530.266343825671</v>
      </c>
    </row>
    <row r="1090" spans="1:65" x14ac:dyDescent="0.25">
      <c r="A1090" s="306">
        <v>335930</v>
      </c>
      <c r="B1090" s="312" t="s">
        <v>243</v>
      </c>
      <c r="C1090" s="312">
        <v>0.68420000000000003</v>
      </c>
      <c r="D1090" s="312">
        <v>0.33479999999999999</v>
      </c>
      <c r="E1090" s="312">
        <v>0.4627</v>
      </c>
      <c r="F1090" s="312">
        <v>0.3952</v>
      </c>
      <c r="G1090" s="312">
        <v>0.4269</v>
      </c>
      <c r="H1090" s="312">
        <v>0.49249999999999999</v>
      </c>
      <c r="I1090" s="312">
        <v>0.47399999999999998</v>
      </c>
      <c r="J1090" s="312">
        <v>0.43740000000000001</v>
      </c>
      <c r="K1090" s="312">
        <v>0</v>
      </c>
      <c r="L1090" s="312">
        <v>0.32169999999999999</v>
      </c>
      <c r="M1090" s="312">
        <v>0.433</v>
      </c>
      <c r="N1090" s="312">
        <v>0.46610000000000001</v>
      </c>
      <c r="O1090" s="312">
        <v>0</v>
      </c>
      <c r="P1090" s="312">
        <v>0.37230000000000002</v>
      </c>
      <c r="Q1090" s="312">
        <v>0.3377</v>
      </c>
      <c r="R1090" s="312">
        <v>0.54620000000000002</v>
      </c>
      <c r="S1090" s="312">
        <v>0.46460000000000001</v>
      </c>
      <c r="T1090" s="312">
        <v>0.36059999999999998</v>
      </c>
      <c r="U1090" s="312">
        <v>0.44640000000000002</v>
      </c>
      <c r="V1090" s="312">
        <v>0</v>
      </c>
      <c r="W1090" s="312">
        <v>0.433</v>
      </c>
      <c r="X1090" s="312">
        <v>0.37890000000000001</v>
      </c>
      <c r="Y1090" s="312">
        <v>0.4128</v>
      </c>
      <c r="Z1090" s="312">
        <v>0.50180000000000002</v>
      </c>
      <c r="AA1090" s="312">
        <v>0.47460000000000002</v>
      </c>
      <c r="AB1090" s="312">
        <v>0.45689999999999997</v>
      </c>
      <c r="AC1090" s="312">
        <v>0.39850000000000002</v>
      </c>
      <c r="AD1090" s="312">
        <v>0.33389999999999997</v>
      </c>
      <c r="AE1090" s="312">
        <v>0.45910000000000001</v>
      </c>
      <c r="AF1090" s="312">
        <v>0.19359999999999999</v>
      </c>
      <c r="AG1090" s="312">
        <v>0.35749999999999998</v>
      </c>
      <c r="AH1090" s="312">
        <v>0.41909999999999997</v>
      </c>
      <c r="AI1090" s="312">
        <v>0.45079999999999998</v>
      </c>
      <c r="AJ1090" s="312">
        <v>0.35859999999999997</v>
      </c>
      <c r="AK1090" s="312">
        <v>0.38629999999999998</v>
      </c>
      <c r="AL1090" s="312">
        <v>0.3987</v>
      </c>
      <c r="AM1090" s="312">
        <v>0.53469999999999995</v>
      </c>
      <c r="AN1090" s="312">
        <v>0.43030000000000002</v>
      </c>
      <c r="AO1090" s="312">
        <v>0.41449999999999998</v>
      </c>
      <c r="AP1090" s="312">
        <v>0.53669999999999995</v>
      </c>
      <c r="AQ1090" s="312">
        <v>0.39860000000000001</v>
      </c>
      <c r="AR1090" s="312">
        <v>0.4577</v>
      </c>
      <c r="AS1090" s="312">
        <v>0</v>
      </c>
      <c r="AT1090" s="312">
        <v>0.48499999999999999</v>
      </c>
      <c r="AU1090" s="312">
        <v>0.51529999999999998</v>
      </c>
      <c r="AV1090" s="312">
        <v>0.4829</v>
      </c>
      <c r="AW1090" s="312">
        <v>0.41770000000000002</v>
      </c>
      <c r="AX1090" s="312">
        <v>0</v>
      </c>
      <c r="AY1090" s="312">
        <v>0.43049999999999999</v>
      </c>
      <c r="AZ1090" s="312">
        <v>0.46879999999999999</v>
      </c>
      <c r="BA1090" s="312">
        <v>0</v>
      </c>
      <c r="BB1090" s="312">
        <v>0</v>
      </c>
      <c r="BC1090" s="312">
        <v>0.5161</v>
      </c>
      <c r="BD1090" s="312">
        <v>0.53290000000000004</v>
      </c>
      <c r="BE1090" s="312">
        <v>0.56850000000000001</v>
      </c>
      <c r="BF1090" s="312">
        <v>0.46729999999999999</v>
      </c>
      <c r="BG1090" s="312">
        <v>0.50419999999999998</v>
      </c>
      <c r="BH1090" s="312">
        <v>0.499</v>
      </c>
      <c r="BI1090" s="312">
        <v>0.52539999999999998</v>
      </c>
      <c r="BJ1090" s="312">
        <v>0.45679999999999998</v>
      </c>
      <c r="BK1090" s="312">
        <v>0.49980000000000002</v>
      </c>
      <c r="BM1090">
        <f>(C1090-C679)*1000000/(RIMS_emp!C1090-RIMS_emp!C679)</f>
        <v>37542.033258095726</v>
      </c>
    </row>
    <row r="1091" spans="1:65" x14ac:dyDescent="0.25">
      <c r="A1091" s="306">
        <v>335991</v>
      </c>
      <c r="B1091" s="312" t="s">
        <v>0</v>
      </c>
      <c r="C1091" s="312">
        <v>0.75549999999999995</v>
      </c>
      <c r="D1091" s="312">
        <v>0</v>
      </c>
      <c r="E1091" s="312">
        <v>0.50190000000000001</v>
      </c>
      <c r="F1091" s="312">
        <v>0.43030000000000002</v>
      </c>
      <c r="G1091" s="312">
        <v>0.4577</v>
      </c>
      <c r="H1091" s="312">
        <v>0.53710000000000002</v>
      </c>
      <c r="I1091" s="312">
        <v>0.53510000000000002</v>
      </c>
      <c r="J1091" s="312">
        <v>0.43359999999999999</v>
      </c>
      <c r="K1091" s="312">
        <v>0</v>
      </c>
      <c r="L1091" s="312">
        <v>0</v>
      </c>
      <c r="M1091" s="312">
        <v>0.4677</v>
      </c>
      <c r="N1091" s="312">
        <v>0</v>
      </c>
      <c r="O1091" s="312">
        <v>0</v>
      </c>
      <c r="P1091" s="312">
        <v>0.3896</v>
      </c>
      <c r="Q1091" s="312">
        <v>0</v>
      </c>
      <c r="R1091" s="312">
        <v>0.58499999999999996</v>
      </c>
      <c r="S1091" s="312">
        <v>0</v>
      </c>
      <c r="T1091" s="312">
        <v>0</v>
      </c>
      <c r="U1091" s="312">
        <v>0.49230000000000002</v>
      </c>
      <c r="V1091" s="312">
        <v>0</v>
      </c>
      <c r="W1091" s="312">
        <v>0.43140000000000001</v>
      </c>
      <c r="X1091" s="312">
        <v>0</v>
      </c>
      <c r="Y1091" s="312">
        <v>0.45319999999999999</v>
      </c>
      <c r="Z1091" s="312">
        <v>0.51200000000000001</v>
      </c>
      <c r="AA1091" s="312">
        <v>0.51039999999999996</v>
      </c>
      <c r="AB1091" s="312">
        <v>0.49230000000000002</v>
      </c>
      <c r="AC1091" s="312">
        <v>0</v>
      </c>
      <c r="AD1091" s="312">
        <v>0</v>
      </c>
      <c r="AE1091" s="312">
        <v>0.49099999999999999</v>
      </c>
      <c r="AF1091" s="312">
        <v>0</v>
      </c>
      <c r="AG1091" s="312">
        <v>0</v>
      </c>
      <c r="AH1091" s="312">
        <v>0.42149999999999999</v>
      </c>
      <c r="AI1091" s="312">
        <v>0.48520000000000002</v>
      </c>
      <c r="AJ1091" s="312">
        <v>0</v>
      </c>
      <c r="AK1091" s="312">
        <v>0</v>
      </c>
      <c r="AL1091" s="312">
        <v>0.41970000000000002</v>
      </c>
      <c r="AM1091" s="312">
        <v>0.57989999999999997</v>
      </c>
      <c r="AN1091" s="312">
        <v>0</v>
      </c>
      <c r="AO1091" s="312">
        <v>0.44409999999999999</v>
      </c>
      <c r="AP1091" s="312">
        <v>0.57369999999999999</v>
      </c>
      <c r="AQ1091" s="312">
        <v>0</v>
      </c>
      <c r="AR1091" s="312">
        <v>0.48459999999999998</v>
      </c>
      <c r="AS1091" s="312">
        <v>0</v>
      </c>
      <c r="AT1091" s="312">
        <v>0.50280000000000002</v>
      </c>
      <c r="AU1091" s="312">
        <v>0.59179999999999999</v>
      </c>
      <c r="AV1091" s="312">
        <v>0.53049999999999997</v>
      </c>
      <c r="AW1091" s="312">
        <v>0.46729999999999999</v>
      </c>
      <c r="AX1091" s="312">
        <v>0.3805</v>
      </c>
      <c r="AY1091" s="312">
        <v>0</v>
      </c>
      <c r="AZ1091" s="312">
        <v>0.50470000000000004</v>
      </c>
      <c r="BA1091" s="312">
        <v>0.41620000000000001</v>
      </c>
      <c r="BB1091" s="312">
        <v>0.36130000000000001</v>
      </c>
      <c r="BC1091" s="312">
        <v>0.51680000000000004</v>
      </c>
      <c r="BD1091" s="312">
        <v>0.56640000000000001</v>
      </c>
      <c r="BE1091" s="312">
        <v>0.61209999999999998</v>
      </c>
      <c r="BF1091" s="312">
        <v>0.50260000000000005</v>
      </c>
      <c r="BG1091" s="312">
        <v>0.55989999999999995</v>
      </c>
      <c r="BH1091" s="312">
        <v>0.54590000000000005</v>
      </c>
      <c r="BI1091" s="312">
        <v>0.61219999999999997</v>
      </c>
      <c r="BJ1091" s="312">
        <v>0.53310000000000002</v>
      </c>
      <c r="BK1091" s="312">
        <v>0.5474</v>
      </c>
      <c r="BM1091">
        <f>(C1091-C680)*1000000/(RIMS_emp!C1091-RIMS_emp!C680)</f>
        <v>37543.279057802742</v>
      </c>
    </row>
    <row r="1092" spans="1:65" x14ac:dyDescent="0.25">
      <c r="A1092" s="306">
        <v>335999</v>
      </c>
      <c r="B1092" s="312" t="s">
        <v>3</v>
      </c>
      <c r="C1092" s="312">
        <v>0.79339999999999999</v>
      </c>
      <c r="D1092" s="312">
        <v>0</v>
      </c>
      <c r="E1092" s="312">
        <v>0.51439999999999997</v>
      </c>
      <c r="F1092" s="312">
        <v>0.45590000000000003</v>
      </c>
      <c r="G1092" s="312">
        <v>0.54300000000000004</v>
      </c>
      <c r="H1092" s="312">
        <v>0.63190000000000002</v>
      </c>
      <c r="I1092" s="312">
        <v>0.60750000000000004</v>
      </c>
      <c r="J1092" s="312">
        <v>0.53749999999999998</v>
      </c>
      <c r="K1092" s="312">
        <v>0</v>
      </c>
      <c r="L1092" s="312">
        <v>0</v>
      </c>
      <c r="M1092" s="312">
        <v>0.56310000000000004</v>
      </c>
      <c r="N1092" s="312">
        <v>0.57440000000000002</v>
      </c>
      <c r="O1092" s="312">
        <v>0</v>
      </c>
      <c r="P1092" s="312">
        <v>0.4249</v>
      </c>
      <c r="Q1092" s="312">
        <v>0.41749999999999998</v>
      </c>
      <c r="R1092" s="312">
        <v>0.64449999999999996</v>
      </c>
      <c r="S1092" s="312">
        <v>0.52590000000000003</v>
      </c>
      <c r="T1092" s="312">
        <v>0.43409999999999999</v>
      </c>
      <c r="U1092" s="312">
        <v>0.50139999999999996</v>
      </c>
      <c r="V1092" s="312">
        <v>0.48089999999999999</v>
      </c>
      <c r="W1092" s="312">
        <v>0.5444</v>
      </c>
      <c r="X1092" s="312">
        <v>0.47860000000000003</v>
      </c>
      <c r="Y1092" s="312">
        <v>0.51739999999999997</v>
      </c>
      <c r="Z1092" s="312">
        <v>0.58040000000000003</v>
      </c>
      <c r="AA1092" s="312">
        <v>0.58930000000000005</v>
      </c>
      <c r="AB1092" s="312">
        <v>0.54200000000000004</v>
      </c>
      <c r="AC1092" s="312">
        <v>0.45119999999999999</v>
      </c>
      <c r="AD1092" s="312">
        <v>0.41439999999999999</v>
      </c>
      <c r="AE1092" s="312">
        <v>0.55310000000000004</v>
      </c>
      <c r="AF1092" s="312">
        <v>0</v>
      </c>
      <c r="AG1092" s="312">
        <v>0.43659999999999999</v>
      </c>
      <c r="AH1092" s="312">
        <v>0.51949999999999996</v>
      </c>
      <c r="AI1092" s="312">
        <v>0.56030000000000002</v>
      </c>
      <c r="AJ1092" s="312">
        <v>0.4531</v>
      </c>
      <c r="AK1092" s="312">
        <v>0.49049999999999999</v>
      </c>
      <c r="AL1092" s="312">
        <v>0.50529999999999997</v>
      </c>
      <c r="AM1092" s="312">
        <v>0.60599999999999998</v>
      </c>
      <c r="AN1092" s="312">
        <v>0.50929999999999997</v>
      </c>
      <c r="AO1092" s="312">
        <v>0.50919999999999999</v>
      </c>
      <c r="AP1092" s="312">
        <v>0.62560000000000004</v>
      </c>
      <c r="AQ1092" s="312">
        <v>0.4778</v>
      </c>
      <c r="AR1092" s="312">
        <v>0.52029999999999998</v>
      </c>
      <c r="AS1092" s="312">
        <v>0</v>
      </c>
      <c r="AT1092" s="312">
        <v>0.55400000000000005</v>
      </c>
      <c r="AU1092" s="312">
        <v>0.60860000000000003</v>
      </c>
      <c r="AV1092" s="312">
        <v>0.59189999999999998</v>
      </c>
      <c r="AW1092" s="312">
        <v>0.5151</v>
      </c>
      <c r="AX1092" s="312">
        <v>0.4405</v>
      </c>
      <c r="AY1092" s="312">
        <v>0.54390000000000005</v>
      </c>
      <c r="AZ1092" s="312">
        <v>0.56699999999999995</v>
      </c>
      <c r="BA1092" s="312">
        <v>0.4052</v>
      </c>
      <c r="BB1092" s="312">
        <v>0</v>
      </c>
      <c r="BC1092" s="312">
        <v>0.64039999999999997</v>
      </c>
      <c r="BD1092" s="312">
        <v>0.64190000000000003</v>
      </c>
      <c r="BE1092" s="312">
        <v>0.65759999999999996</v>
      </c>
      <c r="BF1092" s="312">
        <v>0.56389999999999996</v>
      </c>
      <c r="BG1092" s="312">
        <v>0.61899999999999999</v>
      </c>
      <c r="BH1092" s="312">
        <v>0.55410000000000004</v>
      </c>
      <c r="BI1092" s="312">
        <v>0.61350000000000005</v>
      </c>
      <c r="BJ1092" s="312">
        <v>0.58160000000000001</v>
      </c>
      <c r="BK1092" s="312">
        <v>0.63660000000000005</v>
      </c>
      <c r="BM1092">
        <f>(C1092-C681)*1000000/(RIMS_emp!C1092-RIMS_emp!C681)</f>
        <v>37537.239324726921</v>
      </c>
    </row>
    <row r="1093" spans="1:65" x14ac:dyDescent="0.25">
      <c r="A1093" s="306">
        <v>336111</v>
      </c>
      <c r="B1093" s="312" t="s">
        <v>244</v>
      </c>
      <c r="C1093" s="312">
        <v>0.65410000000000001</v>
      </c>
      <c r="D1093" s="312">
        <v>0</v>
      </c>
      <c r="E1093" s="312">
        <v>0.4325</v>
      </c>
      <c r="F1093" s="312">
        <v>0</v>
      </c>
      <c r="G1093" s="312">
        <v>0.28639999999999999</v>
      </c>
      <c r="H1093" s="312">
        <v>0.31469999999999998</v>
      </c>
      <c r="I1093" s="312">
        <v>0.28949999999999998</v>
      </c>
      <c r="J1093" s="312">
        <v>0</v>
      </c>
      <c r="K1093" s="312">
        <v>0</v>
      </c>
      <c r="L1093" s="312">
        <v>0.16300000000000001</v>
      </c>
      <c r="M1093" s="312">
        <v>0.2606</v>
      </c>
      <c r="N1093" s="312">
        <v>0.36680000000000001</v>
      </c>
      <c r="O1093" s="312">
        <v>0</v>
      </c>
      <c r="P1093" s="312">
        <v>0.35010000000000002</v>
      </c>
      <c r="Q1093" s="312">
        <v>0</v>
      </c>
      <c r="R1093" s="312">
        <v>0.4612</v>
      </c>
      <c r="S1093" s="312">
        <v>0.44340000000000002</v>
      </c>
      <c r="T1093" s="312">
        <v>0.252</v>
      </c>
      <c r="U1093" s="312">
        <v>0.41860000000000003</v>
      </c>
      <c r="V1093" s="312">
        <v>0.23019999999999999</v>
      </c>
      <c r="W1093" s="312">
        <v>0.254</v>
      </c>
      <c r="X1093" s="312">
        <v>0.21809999999999999</v>
      </c>
      <c r="Y1093" s="312">
        <v>0</v>
      </c>
      <c r="Z1093" s="312">
        <v>0.4904</v>
      </c>
      <c r="AA1093" s="312">
        <v>0.29149999999999998</v>
      </c>
      <c r="AB1093" s="312">
        <v>0.40189999999999998</v>
      </c>
      <c r="AC1093" s="312">
        <v>0</v>
      </c>
      <c r="AD1093" s="312">
        <v>0</v>
      </c>
      <c r="AE1093" s="312">
        <v>0.43759999999999999</v>
      </c>
      <c r="AF1093" s="312">
        <v>0.20549999999999999</v>
      </c>
      <c r="AG1093" s="312">
        <v>0</v>
      </c>
      <c r="AH1093" s="312">
        <v>0</v>
      </c>
      <c r="AI1093" s="312">
        <v>0.24959999999999999</v>
      </c>
      <c r="AJ1093" s="312">
        <v>0</v>
      </c>
      <c r="AK1093" s="312">
        <v>0.22969999999999999</v>
      </c>
      <c r="AL1093" s="312">
        <v>0.28749999999999998</v>
      </c>
      <c r="AM1093" s="312">
        <v>0.50529999999999997</v>
      </c>
      <c r="AN1093" s="312">
        <v>0.32200000000000001</v>
      </c>
      <c r="AO1093" s="312">
        <v>0.28699999999999998</v>
      </c>
      <c r="AP1093" s="312">
        <v>0.35189999999999999</v>
      </c>
      <c r="AQ1093" s="312">
        <v>0</v>
      </c>
      <c r="AR1093" s="312">
        <v>0.43619999999999998</v>
      </c>
      <c r="AS1093" s="312">
        <v>0.2051</v>
      </c>
      <c r="AT1093" s="312">
        <v>0.46889999999999998</v>
      </c>
      <c r="AU1093" s="312">
        <v>0.33629999999999999</v>
      </c>
      <c r="AV1093" s="312">
        <v>0</v>
      </c>
      <c r="AW1093" s="312">
        <v>0.29039999999999999</v>
      </c>
      <c r="AX1093" s="312">
        <v>0</v>
      </c>
      <c r="AY1093" s="312">
        <v>0.26850000000000002</v>
      </c>
      <c r="AZ1093" s="312">
        <v>0.4577</v>
      </c>
      <c r="BA1093" s="312">
        <v>0</v>
      </c>
      <c r="BB1093" s="312">
        <v>0</v>
      </c>
      <c r="BC1093" s="312">
        <v>0.3216</v>
      </c>
      <c r="BD1093" s="312">
        <v>0.35520000000000002</v>
      </c>
      <c r="BE1093" s="312">
        <v>0.54459999999999997</v>
      </c>
      <c r="BF1093" s="312">
        <v>0.37469999999999998</v>
      </c>
      <c r="BG1093" s="312">
        <v>0.38229999999999997</v>
      </c>
      <c r="BH1093" s="312">
        <v>0.47889999999999999</v>
      </c>
      <c r="BI1093" s="312">
        <v>0.35189999999999999</v>
      </c>
      <c r="BJ1093" s="312">
        <v>0.30030000000000001</v>
      </c>
      <c r="BK1093" s="312">
        <v>0.31680000000000003</v>
      </c>
      <c r="BM1093">
        <f>(C1093-C682)*1000000/(RIMS_emp!C1093-RIMS_emp!C682)</f>
        <v>37530.713517159427</v>
      </c>
    </row>
    <row r="1094" spans="1:65" x14ac:dyDescent="0.25">
      <c r="A1094" s="306">
        <v>336112</v>
      </c>
      <c r="B1094" s="312" t="s">
        <v>245</v>
      </c>
      <c r="C1094" s="312">
        <v>0.68279999999999996</v>
      </c>
      <c r="D1094" s="312">
        <v>0</v>
      </c>
      <c r="E1094" s="312">
        <v>0.44729999999999998</v>
      </c>
      <c r="F1094" s="312">
        <v>0</v>
      </c>
      <c r="G1094" s="312">
        <v>0.29320000000000002</v>
      </c>
      <c r="H1094" s="312">
        <v>0.32329999999999998</v>
      </c>
      <c r="I1094" s="312">
        <v>0</v>
      </c>
      <c r="J1094" s="312">
        <v>0</v>
      </c>
      <c r="K1094" s="312">
        <v>0</v>
      </c>
      <c r="L1094" s="312">
        <v>0</v>
      </c>
      <c r="M1094" s="312">
        <v>0</v>
      </c>
      <c r="N1094" s="312">
        <v>0.37609999999999999</v>
      </c>
      <c r="O1094" s="312">
        <v>0</v>
      </c>
      <c r="P1094" s="312">
        <v>0</v>
      </c>
      <c r="Q1094" s="312">
        <v>0.2137</v>
      </c>
      <c r="R1094" s="312">
        <v>0.48149999999999998</v>
      </c>
      <c r="S1094" s="312">
        <v>0.46100000000000002</v>
      </c>
      <c r="T1094" s="312">
        <v>0.25700000000000001</v>
      </c>
      <c r="U1094" s="312">
        <v>0.43259999999999998</v>
      </c>
      <c r="V1094" s="312">
        <v>0.23369999999999999</v>
      </c>
      <c r="W1094" s="312">
        <v>0.25929999999999997</v>
      </c>
      <c r="X1094" s="312">
        <v>0.22489999999999999</v>
      </c>
      <c r="Y1094" s="312">
        <v>0</v>
      </c>
      <c r="Z1094" s="312">
        <v>0.50819999999999999</v>
      </c>
      <c r="AA1094" s="312">
        <v>0.29730000000000001</v>
      </c>
      <c r="AB1094" s="312">
        <v>0.41510000000000002</v>
      </c>
      <c r="AC1094" s="312">
        <v>0.36</v>
      </c>
      <c r="AD1094" s="312">
        <v>0</v>
      </c>
      <c r="AE1094" s="312">
        <v>0.45290000000000002</v>
      </c>
      <c r="AF1094" s="312">
        <v>0</v>
      </c>
      <c r="AG1094" s="312">
        <v>0</v>
      </c>
      <c r="AH1094" s="312">
        <v>0</v>
      </c>
      <c r="AI1094" s="312">
        <v>0.254</v>
      </c>
      <c r="AJ1094" s="312">
        <v>0</v>
      </c>
      <c r="AK1094" s="312">
        <v>0</v>
      </c>
      <c r="AL1094" s="312">
        <v>0.29210000000000003</v>
      </c>
      <c r="AM1094" s="312">
        <v>0.52559999999999996</v>
      </c>
      <c r="AN1094" s="312">
        <v>0.33239999999999997</v>
      </c>
      <c r="AO1094" s="312">
        <v>0.29609999999999997</v>
      </c>
      <c r="AP1094" s="312">
        <v>0.36530000000000001</v>
      </c>
      <c r="AQ1094" s="312">
        <v>0</v>
      </c>
      <c r="AR1094" s="312">
        <v>0.4526</v>
      </c>
      <c r="AS1094" s="312">
        <v>0</v>
      </c>
      <c r="AT1094" s="312">
        <v>0</v>
      </c>
      <c r="AU1094" s="312">
        <v>0.3483</v>
      </c>
      <c r="AV1094" s="312">
        <v>0.4476</v>
      </c>
      <c r="AW1094" s="312">
        <v>0.29609999999999997</v>
      </c>
      <c r="AX1094" s="312">
        <v>0</v>
      </c>
      <c r="AY1094" s="312">
        <v>0.27050000000000002</v>
      </c>
      <c r="AZ1094" s="312">
        <v>0.47320000000000001</v>
      </c>
      <c r="BA1094" s="312">
        <v>0</v>
      </c>
      <c r="BB1094" s="312">
        <v>0</v>
      </c>
      <c r="BC1094" s="312">
        <v>0.33029999999999998</v>
      </c>
      <c r="BD1094" s="312">
        <v>0.36559999999999998</v>
      </c>
      <c r="BE1094" s="312">
        <v>0.56740000000000002</v>
      </c>
      <c r="BF1094" s="312">
        <v>0.38790000000000002</v>
      </c>
      <c r="BG1094" s="312">
        <v>0.39400000000000002</v>
      </c>
      <c r="BH1094" s="312">
        <v>0.49730000000000002</v>
      </c>
      <c r="BI1094" s="312">
        <v>0.36599999999999999</v>
      </c>
      <c r="BJ1094" s="312">
        <v>0.30930000000000002</v>
      </c>
      <c r="BK1094" s="312">
        <v>0.3246</v>
      </c>
      <c r="BM1094">
        <f>(C1094-C683)*1000000/(RIMS_emp!C1094-RIMS_emp!C683)</f>
        <v>37539.039062139411</v>
      </c>
    </row>
    <row r="1095" spans="1:65" x14ac:dyDescent="0.25">
      <c r="A1095" s="306">
        <v>336120</v>
      </c>
      <c r="B1095" s="312" t="s">
        <v>246</v>
      </c>
      <c r="C1095" s="312">
        <v>0.72889999999999999</v>
      </c>
      <c r="D1095" s="312">
        <v>0</v>
      </c>
      <c r="E1095" s="312">
        <v>0.4713</v>
      </c>
      <c r="F1095" s="312">
        <v>0.37709999999999999</v>
      </c>
      <c r="G1095" s="312">
        <v>0.29189999999999999</v>
      </c>
      <c r="H1095" s="312">
        <v>0.34039999999999998</v>
      </c>
      <c r="I1095" s="312">
        <v>0.36859999999999998</v>
      </c>
      <c r="J1095" s="312">
        <v>0.34089999999999998</v>
      </c>
      <c r="K1095" s="312">
        <v>0</v>
      </c>
      <c r="L1095" s="312">
        <v>0</v>
      </c>
      <c r="M1095" s="312">
        <v>0.28399999999999997</v>
      </c>
      <c r="N1095" s="312">
        <v>0.40289999999999998</v>
      </c>
      <c r="O1095" s="312">
        <v>0</v>
      </c>
      <c r="P1095" s="312">
        <v>0.36990000000000001</v>
      </c>
      <c r="Q1095" s="312">
        <v>0.21970000000000001</v>
      </c>
      <c r="R1095" s="312">
        <v>0.53149999999999997</v>
      </c>
      <c r="S1095" s="312">
        <v>0.49380000000000002</v>
      </c>
      <c r="T1095" s="312">
        <v>0.27950000000000003</v>
      </c>
      <c r="U1095" s="312">
        <v>0.45600000000000002</v>
      </c>
      <c r="V1095" s="312">
        <v>0.25490000000000002</v>
      </c>
      <c r="W1095" s="312">
        <v>0</v>
      </c>
      <c r="X1095" s="312">
        <v>0.2843</v>
      </c>
      <c r="Y1095" s="312">
        <v>0</v>
      </c>
      <c r="Z1095" s="312">
        <v>0.54079999999999995</v>
      </c>
      <c r="AA1095" s="312">
        <v>0.32900000000000001</v>
      </c>
      <c r="AB1095" s="312">
        <v>0.43830000000000002</v>
      </c>
      <c r="AC1095" s="312">
        <v>0.37109999999999999</v>
      </c>
      <c r="AD1095" s="312">
        <v>0.20419999999999999</v>
      </c>
      <c r="AE1095" s="312">
        <v>0.47089999999999999</v>
      </c>
      <c r="AF1095" s="312">
        <v>0.21010000000000001</v>
      </c>
      <c r="AG1095" s="312">
        <v>0.2954</v>
      </c>
      <c r="AH1095" s="312">
        <v>0</v>
      </c>
      <c r="AI1095" s="312">
        <v>0.28570000000000001</v>
      </c>
      <c r="AJ1095" s="312">
        <v>0.2147</v>
      </c>
      <c r="AK1095" s="312">
        <v>0</v>
      </c>
      <c r="AL1095" s="312">
        <v>0.30730000000000002</v>
      </c>
      <c r="AM1095" s="312">
        <v>0.54690000000000005</v>
      </c>
      <c r="AN1095" s="312">
        <v>0.378</v>
      </c>
      <c r="AO1095" s="312">
        <v>0.309</v>
      </c>
      <c r="AP1095" s="312">
        <v>0.42609999999999998</v>
      </c>
      <c r="AQ1095" s="312">
        <v>0</v>
      </c>
      <c r="AR1095" s="312">
        <v>0.47410000000000002</v>
      </c>
      <c r="AS1095" s="312">
        <v>0.2298</v>
      </c>
      <c r="AT1095" s="312">
        <v>0.51039999999999996</v>
      </c>
      <c r="AU1095" s="312">
        <v>0.38719999999999999</v>
      </c>
      <c r="AV1095" s="312">
        <v>0</v>
      </c>
      <c r="AW1095" s="312">
        <v>0.3039</v>
      </c>
      <c r="AX1095" s="312">
        <v>0</v>
      </c>
      <c r="AY1095" s="312">
        <v>0.28360000000000002</v>
      </c>
      <c r="AZ1095" s="312">
        <v>0.50870000000000004</v>
      </c>
      <c r="BA1095" s="312">
        <v>0.2772</v>
      </c>
      <c r="BB1095" s="312">
        <v>0</v>
      </c>
      <c r="BC1095" s="312">
        <v>0.36270000000000002</v>
      </c>
      <c r="BD1095" s="312">
        <v>0.39810000000000001</v>
      </c>
      <c r="BE1095" s="312">
        <v>0.60409999999999997</v>
      </c>
      <c r="BF1095" s="312">
        <v>0.42849999999999999</v>
      </c>
      <c r="BG1095" s="312">
        <v>0.42249999999999999</v>
      </c>
      <c r="BH1095" s="312">
        <v>0.52529999999999999</v>
      </c>
      <c r="BI1095" s="312">
        <v>0.40749999999999997</v>
      </c>
      <c r="BJ1095" s="312">
        <v>0.34379999999999999</v>
      </c>
      <c r="BK1095" s="312">
        <v>0.34239999999999998</v>
      </c>
      <c r="BM1095">
        <f>(C1095-C684)*1000000/(RIMS_emp!C1095-RIMS_emp!C684)</f>
        <v>37545.761148424659</v>
      </c>
    </row>
    <row r="1096" spans="1:65" x14ac:dyDescent="0.25">
      <c r="A1096" s="306">
        <v>336211</v>
      </c>
      <c r="B1096" s="312" t="s">
        <v>247</v>
      </c>
      <c r="C1096" s="312">
        <v>0.72619999999999996</v>
      </c>
      <c r="D1096" s="312">
        <v>0.27450000000000002</v>
      </c>
      <c r="E1096" s="312">
        <v>0.47420000000000001</v>
      </c>
      <c r="F1096" s="312">
        <v>0.4284</v>
      </c>
      <c r="G1096" s="312">
        <v>0.41399999999999998</v>
      </c>
      <c r="H1096" s="312">
        <v>0.49440000000000001</v>
      </c>
      <c r="I1096" s="312">
        <v>0.46160000000000001</v>
      </c>
      <c r="J1096" s="312">
        <v>0.42299999999999999</v>
      </c>
      <c r="K1096" s="312">
        <v>0</v>
      </c>
      <c r="L1096" s="312">
        <v>0.2697</v>
      </c>
      <c r="M1096" s="312">
        <v>0.41549999999999998</v>
      </c>
      <c r="N1096" s="312">
        <v>0.47639999999999999</v>
      </c>
      <c r="O1096" s="312">
        <v>0.33660000000000001</v>
      </c>
      <c r="P1096" s="312">
        <v>0.36849999999999999</v>
      </c>
      <c r="Q1096" s="312">
        <v>0.32700000000000001</v>
      </c>
      <c r="R1096" s="312">
        <v>0.52759999999999996</v>
      </c>
      <c r="S1096" s="312">
        <v>0.48949999999999999</v>
      </c>
      <c r="T1096" s="312">
        <v>0.35360000000000003</v>
      </c>
      <c r="U1096" s="312">
        <v>0.47089999999999999</v>
      </c>
      <c r="V1096" s="312">
        <v>0.39040000000000002</v>
      </c>
      <c r="W1096" s="312">
        <v>0.41549999999999998</v>
      </c>
      <c r="X1096" s="312">
        <v>0.34310000000000002</v>
      </c>
      <c r="Y1096" s="312">
        <v>0</v>
      </c>
      <c r="Z1096" s="312">
        <v>0.54279999999999995</v>
      </c>
      <c r="AA1096" s="312">
        <v>0.46479999999999999</v>
      </c>
      <c r="AB1096" s="312">
        <v>0.45390000000000003</v>
      </c>
      <c r="AC1096" s="312">
        <v>0.37959999999999999</v>
      </c>
      <c r="AD1096" s="312">
        <v>0.30599999999999999</v>
      </c>
      <c r="AE1096" s="312">
        <v>0.48530000000000001</v>
      </c>
      <c r="AF1096" s="312">
        <v>0.27979999999999999</v>
      </c>
      <c r="AG1096" s="312">
        <v>0.35239999999999999</v>
      </c>
      <c r="AH1096" s="312">
        <v>0.39750000000000002</v>
      </c>
      <c r="AI1096" s="312">
        <v>0.40810000000000002</v>
      </c>
      <c r="AJ1096" s="312">
        <v>0.31390000000000001</v>
      </c>
      <c r="AK1096" s="312">
        <v>0.37040000000000001</v>
      </c>
      <c r="AL1096" s="312">
        <v>0.38159999999999999</v>
      </c>
      <c r="AM1096" s="312">
        <v>0.56330000000000002</v>
      </c>
      <c r="AN1096" s="312">
        <v>0.43020000000000003</v>
      </c>
      <c r="AO1096" s="312">
        <v>0.43059999999999998</v>
      </c>
      <c r="AP1096" s="312">
        <v>0.52910000000000001</v>
      </c>
      <c r="AQ1096" s="312">
        <v>0.33090000000000003</v>
      </c>
      <c r="AR1096" s="312">
        <v>0.46820000000000001</v>
      </c>
      <c r="AS1096" s="312">
        <v>0.31419999999999998</v>
      </c>
      <c r="AT1096" s="312">
        <v>0.5151</v>
      </c>
      <c r="AU1096" s="312">
        <v>0.49030000000000001</v>
      </c>
      <c r="AV1096" s="312">
        <v>0.48649999999999999</v>
      </c>
      <c r="AW1096" s="312">
        <v>0.41909999999999997</v>
      </c>
      <c r="AX1096" s="312">
        <v>0.32469999999999999</v>
      </c>
      <c r="AY1096" s="312">
        <v>0.42949999999999999</v>
      </c>
      <c r="AZ1096" s="312">
        <v>0.50680000000000003</v>
      </c>
      <c r="BA1096" s="312">
        <v>0.32679999999999998</v>
      </c>
      <c r="BB1096" s="312">
        <v>0.28079999999999999</v>
      </c>
      <c r="BC1096" s="312">
        <v>0.48420000000000002</v>
      </c>
      <c r="BD1096" s="312">
        <v>0.51529999999999998</v>
      </c>
      <c r="BE1096" s="312">
        <v>0.60809999999999997</v>
      </c>
      <c r="BF1096" s="312">
        <v>0.48299999999999998</v>
      </c>
      <c r="BG1096" s="312">
        <v>0.5141</v>
      </c>
      <c r="BH1096" s="312">
        <v>0.52610000000000001</v>
      </c>
      <c r="BI1096" s="312">
        <v>0.52110000000000001</v>
      </c>
      <c r="BJ1096" s="312">
        <v>0.44690000000000002</v>
      </c>
      <c r="BK1096" s="312">
        <v>0.50609999999999999</v>
      </c>
      <c r="BM1096">
        <f>(C1096-C685)*1000000/(RIMS_emp!C1096-RIMS_emp!C685)</f>
        <v>37555.697008274969</v>
      </c>
    </row>
    <row r="1097" spans="1:65" x14ac:dyDescent="0.25">
      <c r="A1097" s="306">
        <v>336212</v>
      </c>
      <c r="B1097" s="312" t="s">
        <v>248</v>
      </c>
      <c r="C1097" s="312">
        <v>0.82699999999999996</v>
      </c>
      <c r="D1097" s="312">
        <v>0.30859999999999999</v>
      </c>
      <c r="E1097" s="312">
        <v>0.53369999999999995</v>
      </c>
      <c r="F1097" s="312">
        <v>0.5111</v>
      </c>
      <c r="G1097" s="312">
        <v>0.46300000000000002</v>
      </c>
      <c r="H1097" s="312">
        <v>0.53920000000000001</v>
      </c>
      <c r="I1097" s="312">
        <v>0.5141</v>
      </c>
      <c r="J1097" s="312">
        <v>0</v>
      </c>
      <c r="K1097" s="312">
        <v>0</v>
      </c>
      <c r="L1097" s="312">
        <v>0.29509999999999997</v>
      </c>
      <c r="M1097" s="312">
        <v>0.45519999999999999</v>
      </c>
      <c r="N1097" s="312">
        <v>0.56110000000000004</v>
      </c>
      <c r="O1097" s="312">
        <v>0</v>
      </c>
      <c r="P1097" s="312">
        <v>0.43869999999999998</v>
      </c>
      <c r="Q1097" s="312">
        <v>0.37390000000000001</v>
      </c>
      <c r="R1097" s="312">
        <v>0.58399999999999996</v>
      </c>
      <c r="S1097" s="312">
        <v>0.56079999999999997</v>
      </c>
      <c r="T1097" s="312">
        <v>0.39750000000000002</v>
      </c>
      <c r="U1097" s="312">
        <v>0.51290000000000002</v>
      </c>
      <c r="V1097" s="312">
        <v>0.42270000000000002</v>
      </c>
      <c r="W1097" s="312">
        <v>0.44030000000000002</v>
      </c>
      <c r="X1097" s="312">
        <v>0</v>
      </c>
      <c r="Y1097" s="312">
        <v>0.41360000000000002</v>
      </c>
      <c r="Z1097" s="312">
        <v>0.60499999999999998</v>
      </c>
      <c r="AA1097" s="312">
        <v>0.49880000000000002</v>
      </c>
      <c r="AB1097" s="312">
        <v>0.52239999999999998</v>
      </c>
      <c r="AC1097" s="312">
        <v>0.4521</v>
      </c>
      <c r="AD1097" s="312">
        <v>0.34820000000000001</v>
      </c>
      <c r="AE1097" s="312">
        <v>0.5272</v>
      </c>
      <c r="AF1097" s="312">
        <v>0.3054</v>
      </c>
      <c r="AG1097" s="312">
        <v>0.38769999999999999</v>
      </c>
      <c r="AH1097" s="312">
        <v>0</v>
      </c>
      <c r="AI1097" s="312">
        <v>0.43969999999999998</v>
      </c>
      <c r="AJ1097" s="312">
        <v>0.3493</v>
      </c>
      <c r="AK1097" s="312">
        <v>0</v>
      </c>
      <c r="AL1097" s="312">
        <v>0.42220000000000002</v>
      </c>
      <c r="AM1097" s="312">
        <v>0.63570000000000004</v>
      </c>
      <c r="AN1097" s="312">
        <v>0.49320000000000003</v>
      </c>
      <c r="AO1097" s="312">
        <v>0.4899</v>
      </c>
      <c r="AP1097" s="312">
        <v>0.58099999999999996</v>
      </c>
      <c r="AQ1097" s="312">
        <v>0.35099999999999998</v>
      </c>
      <c r="AR1097" s="312">
        <v>0.5514</v>
      </c>
      <c r="AS1097" s="312">
        <v>0.34949999999999998</v>
      </c>
      <c r="AT1097" s="312">
        <v>0.58730000000000004</v>
      </c>
      <c r="AU1097" s="312">
        <v>0.56159999999999999</v>
      </c>
      <c r="AV1097" s="312">
        <v>0.56089999999999995</v>
      </c>
      <c r="AW1097" s="312">
        <v>0.48249999999999998</v>
      </c>
      <c r="AX1097" s="312">
        <v>0</v>
      </c>
      <c r="AY1097" s="312">
        <v>0.48099999999999998</v>
      </c>
      <c r="AZ1097" s="312">
        <v>0.54220000000000002</v>
      </c>
      <c r="BA1097" s="312">
        <v>0.38179999999999997</v>
      </c>
      <c r="BB1097" s="312">
        <v>0</v>
      </c>
      <c r="BC1097" s="312">
        <v>0.52180000000000004</v>
      </c>
      <c r="BD1097" s="312">
        <v>0.56410000000000005</v>
      </c>
      <c r="BE1097" s="312">
        <v>0.6885</v>
      </c>
      <c r="BF1097" s="312">
        <v>0.55189999999999995</v>
      </c>
      <c r="BG1097" s="312">
        <v>0.58209999999999995</v>
      </c>
      <c r="BH1097" s="312">
        <v>0.59340000000000004</v>
      </c>
      <c r="BI1097" s="312">
        <v>0.59599999999999997</v>
      </c>
      <c r="BJ1097" s="312">
        <v>0.50380000000000003</v>
      </c>
      <c r="BK1097" s="312">
        <v>0.55840000000000001</v>
      </c>
      <c r="BM1097">
        <f>(C1097-C686)*1000000/(RIMS_emp!C1097-RIMS_emp!C686)</f>
        <v>37549.382010340058</v>
      </c>
    </row>
    <row r="1098" spans="1:65" x14ac:dyDescent="0.25">
      <c r="A1098" s="306">
        <v>336213</v>
      </c>
      <c r="B1098" s="312" t="s">
        <v>249</v>
      </c>
      <c r="C1098" s="312">
        <v>0.72699999999999998</v>
      </c>
      <c r="D1098" s="312">
        <v>0</v>
      </c>
      <c r="E1098" s="312">
        <v>0.46689999999999998</v>
      </c>
      <c r="F1098" s="312">
        <v>0</v>
      </c>
      <c r="G1098" s="312">
        <v>0.3659</v>
      </c>
      <c r="H1098" s="312">
        <v>0.4279</v>
      </c>
      <c r="I1098" s="312">
        <v>0</v>
      </c>
      <c r="J1098" s="312">
        <v>0</v>
      </c>
      <c r="K1098" s="312">
        <v>0</v>
      </c>
      <c r="L1098" s="312">
        <v>0</v>
      </c>
      <c r="M1098" s="312">
        <v>0.36940000000000001</v>
      </c>
      <c r="N1098" s="312">
        <v>0</v>
      </c>
      <c r="O1098" s="312">
        <v>0</v>
      </c>
      <c r="P1098" s="312">
        <v>0.32369999999999999</v>
      </c>
      <c r="Q1098" s="312">
        <v>0</v>
      </c>
      <c r="R1098" s="312">
        <v>0</v>
      </c>
      <c r="S1098" s="312">
        <v>0.46910000000000002</v>
      </c>
      <c r="T1098" s="312">
        <v>0</v>
      </c>
      <c r="U1098" s="312">
        <v>0</v>
      </c>
      <c r="V1098" s="312">
        <v>0</v>
      </c>
      <c r="W1098" s="312">
        <v>0</v>
      </c>
      <c r="X1098" s="312">
        <v>0</v>
      </c>
      <c r="Y1098" s="312">
        <v>0</v>
      </c>
      <c r="Z1098" s="312">
        <v>0.47549999999999998</v>
      </c>
      <c r="AA1098" s="312">
        <v>0.44440000000000002</v>
      </c>
      <c r="AB1098" s="312">
        <v>0.41720000000000002</v>
      </c>
      <c r="AC1098" s="312">
        <v>0.35539999999999999</v>
      </c>
      <c r="AD1098" s="312">
        <v>0</v>
      </c>
      <c r="AE1098" s="312">
        <v>0</v>
      </c>
      <c r="AF1098" s="312">
        <v>0</v>
      </c>
      <c r="AG1098" s="312">
        <v>0</v>
      </c>
      <c r="AH1098" s="312">
        <v>0</v>
      </c>
      <c r="AI1098" s="312">
        <v>0</v>
      </c>
      <c r="AJ1098" s="312">
        <v>0</v>
      </c>
      <c r="AK1098" s="312">
        <v>0</v>
      </c>
      <c r="AL1098" s="312">
        <v>0.32090000000000002</v>
      </c>
      <c r="AM1098" s="312">
        <v>0.54110000000000003</v>
      </c>
      <c r="AN1098" s="312">
        <v>0.39460000000000001</v>
      </c>
      <c r="AO1098" s="312">
        <v>0.41110000000000002</v>
      </c>
      <c r="AP1098" s="312">
        <v>0.49819999999999998</v>
      </c>
      <c r="AQ1098" s="312">
        <v>0</v>
      </c>
      <c r="AR1098" s="312">
        <v>0.44119999999999998</v>
      </c>
      <c r="AS1098" s="312">
        <v>0</v>
      </c>
      <c r="AT1098" s="312">
        <v>0</v>
      </c>
      <c r="AU1098" s="312">
        <v>0.43559999999999999</v>
      </c>
      <c r="AV1098" s="312">
        <v>0.41770000000000002</v>
      </c>
      <c r="AW1098" s="312">
        <v>0.40739999999999998</v>
      </c>
      <c r="AX1098" s="312">
        <v>0</v>
      </c>
      <c r="AY1098" s="312">
        <v>0</v>
      </c>
      <c r="AZ1098" s="312">
        <v>0.49830000000000002</v>
      </c>
      <c r="BA1098" s="312">
        <v>0</v>
      </c>
      <c r="BB1098" s="312">
        <v>0</v>
      </c>
      <c r="BC1098" s="312">
        <v>0</v>
      </c>
      <c r="BD1098" s="312">
        <v>0.45179999999999998</v>
      </c>
      <c r="BE1098" s="312">
        <v>0.59250000000000003</v>
      </c>
      <c r="BF1098" s="312">
        <v>0.44929999999999998</v>
      </c>
      <c r="BG1098" s="312">
        <v>0.50509999999999999</v>
      </c>
      <c r="BH1098" s="312">
        <v>0.52529999999999999</v>
      </c>
      <c r="BI1098" s="312">
        <v>0.4869</v>
      </c>
      <c r="BJ1098" s="312">
        <v>0.39650000000000002</v>
      </c>
      <c r="BK1098" s="312">
        <v>0.47439999999999999</v>
      </c>
      <c r="BM1098">
        <f>(C1098-C687)*1000000/(RIMS_emp!C1098-RIMS_emp!C687)</f>
        <v>37537.928045080182</v>
      </c>
    </row>
    <row r="1099" spans="1:65" x14ac:dyDescent="0.25">
      <c r="A1099" s="306">
        <v>336214</v>
      </c>
      <c r="B1099" s="312" t="s">
        <v>250</v>
      </c>
      <c r="C1099" s="312">
        <v>0.8508</v>
      </c>
      <c r="D1099" s="312">
        <v>0.32869999999999999</v>
      </c>
      <c r="E1099" s="312">
        <v>0.54090000000000005</v>
      </c>
      <c r="F1099" s="312">
        <v>0.51029999999999998</v>
      </c>
      <c r="G1099" s="312">
        <v>0.47370000000000001</v>
      </c>
      <c r="H1099" s="312">
        <v>0.54759999999999998</v>
      </c>
      <c r="I1099" s="312">
        <v>0.51839999999999997</v>
      </c>
      <c r="J1099" s="312">
        <v>0.46279999999999999</v>
      </c>
      <c r="K1099" s="312">
        <v>0</v>
      </c>
      <c r="L1099" s="312">
        <v>0</v>
      </c>
      <c r="M1099" s="312">
        <v>0.48</v>
      </c>
      <c r="N1099" s="312">
        <v>0.57399999999999995</v>
      </c>
      <c r="O1099" s="312">
        <v>0</v>
      </c>
      <c r="P1099" s="312">
        <v>0.43509999999999999</v>
      </c>
      <c r="Q1099" s="312">
        <v>0.3977</v>
      </c>
      <c r="R1099" s="312">
        <v>0.57499999999999996</v>
      </c>
      <c r="S1099" s="312">
        <v>0.56730000000000003</v>
      </c>
      <c r="T1099" s="312">
        <v>0.4073</v>
      </c>
      <c r="U1099" s="312">
        <v>0.52339999999999998</v>
      </c>
      <c r="V1099" s="312">
        <v>0.44919999999999999</v>
      </c>
      <c r="W1099" s="312">
        <v>0.4637</v>
      </c>
      <c r="X1099" s="312">
        <v>0.39510000000000001</v>
      </c>
      <c r="Y1099" s="312">
        <v>0.43819999999999998</v>
      </c>
      <c r="Z1099" s="312">
        <v>0.59130000000000005</v>
      </c>
      <c r="AA1099" s="312">
        <v>0.52410000000000001</v>
      </c>
      <c r="AB1099" s="312">
        <v>0.52690000000000003</v>
      </c>
      <c r="AC1099" s="312">
        <v>0.44379999999999997</v>
      </c>
      <c r="AD1099" s="312">
        <v>0.38200000000000001</v>
      </c>
      <c r="AE1099" s="312">
        <v>0.54330000000000001</v>
      </c>
      <c r="AF1099" s="312">
        <v>0.31990000000000002</v>
      </c>
      <c r="AG1099" s="312">
        <v>0.38819999999999999</v>
      </c>
      <c r="AH1099" s="312">
        <v>0.4506</v>
      </c>
      <c r="AI1099" s="312">
        <v>0.47070000000000001</v>
      </c>
      <c r="AJ1099" s="312">
        <v>0.37959999999999999</v>
      </c>
      <c r="AK1099" s="312">
        <v>0.41270000000000001</v>
      </c>
      <c r="AL1099" s="312">
        <v>0.43380000000000002</v>
      </c>
      <c r="AM1099" s="312">
        <v>0.63390000000000002</v>
      </c>
      <c r="AN1099" s="312">
        <v>0.50729999999999997</v>
      </c>
      <c r="AO1099" s="312">
        <v>0.49659999999999999</v>
      </c>
      <c r="AP1099" s="312">
        <v>0.59050000000000002</v>
      </c>
      <c r="AQ1099" s="312">
        <v>0</v>
      </c>
      <c r="AR1099" s="312">
        <v>0.57130000000000003</v>
      </c>
      <c r="AS1099" s="312">
        <v>0.34949999999999998</v>
      </c>
      <c r="AT1099" s="312">
        <v>0.59240000000000004</v>
      </c>
      <c r="AU1099" s="312">
        <v>0.58879999999999999</v>
      </c>
      <c r="AV1099" s="312">
        <v>0.56640000000000001</v>
      </c>
      <c r="AW1099" s="312">
        <v>0.47799999999999998</v>
      </c>
      <c r="AX1099" s="312">
        <v>0.39550000000000002</v>
      </c>
      <c r="AY1099" s="312">
        <v>0.50129999999999997</v>
      </c>
      <c r="AZ1099" s="312">
        <v>0.5575</v>
      </c>
      <c r="BA1099" s="312">
        <v>0</v>
      </c>
      <c r="BB1099" s="312">
        <v>0.33090000000000003</v>
      </c>
      <c r="BC1099" s="312">
        <v>0.54779999999999995</v>
      </c>
      <c r="BD1099" s="312">
        <v>0.57950000000000002</v>
      </c>
      <c r="BE1099" s="312">
        <v>0.69530000000000003</v>
      </c>
      <c r="BF1099" s="312">
        <v>0.55389999999999995</v>
      </c>
      <c r="BG1099" s="312">
        <v>0.60880000000000001</v>
      </c>
      <c r="BH1099" s="312">
        <v>0.61099999999999999</v>
      </c>
      <c r="BI1099" s="312">
        <v>0.61670000000000003</v>
      </c>
      <c r="BJ1099" s="312">
        <v>0.52410000000000001</v>
      </c>
      <c r="BK1099" s="312">
        <v>0.57869999999999999</v>
      </c>
      <c r="BM1099">
        <f>(C1099-C688)*1000000/(RIMS_emp!C1099-RIMS_emp!C688)</f>
        <v>37535.49820965551</v>
      </c>
    </row>
    <row r="1100" spans="1:65" x14ac:dyDescent="0.25">
      <c r="A1100" s="306">
        <v>336300</v>
      </c>
      <c r="B1100" s="312" t="s">
        <v>251</v>
      </c>
      <c r="C1100" s="312">
        <v>0.79990000000000006</v>
      </c>
      <c r="D1100" s="312">
        <v>0.29720000000000002</v>
      </c>
      <c r="E1100" s="312">
        <v>0.52159999999999995</v>
      </c>
      <c r="F1100" s="312">
        <v>0.46910000000000002</v>
      </c>
      <c r="G1100" s="312">
        <v>0.44640000000000002</v>
      </c>
      <c r="H1100" s="312">
        <v>0.52039999999999997</v>
      </c>
      <c r="I1100" s="312">
        <v>0.48799999999999999</v>
      </c>
      <c r="J1100" s="312">
        <v>0.46929999999999999</v>
      </c>
      <c r="K1100" s="312">
        <v>0</v>
      </c>
      <c r="L1100" s="312">
        <v>0.29370000000000002</v>
      </c>
      <c r="M1100" s="312">
        <v>0.42909999999999998</v>
      </c>
      <c r="N1100" s="312">
        <v>0.49990000000000001</v>
      </c>
      <c r="O1100" s="312">
        <v>0.35239999999999999</v>
      </c>
      <c r="P1100" s="312">
        <v>0.41599999999999998</v>
      </c>
      <c r="Q1100" s="312">
        <v>0.3604</v>
      </c>
      <c r="R1100" s="312">
        <v>0.60450000000000004</v>
      </c>
      <c r="S1100" s="312">
        <v>0.53739999999999999</v>
      </c>
      <c r="T1100" s="312">
        <v>0.38069999999999998</v>
      </c>
      <c r="U1100" s="312">
        <v>0.49909999999999999</v>
      </c>
      <c r="V1100" s="312">
        <v>0.41270000000000001</v>
      </c>
      <c r="W1100" s="312">
        <v>0.45240000000000002</v>
      </c>
      <c r="X1100" s="312">
        <v>0.37109999999999999</v>
      </c>
      <c r="Y1100" s="312">
        <v>0.39700000000000002</v>
      </c>
      <c r="Z1100" s="312">
        <v>0.60350000000000004</v>
      </c>
      <c r="AA1100" s="312">
        <v>0.50280000000000002</v>
      </c>
      <c r="AB1100" s="312">
        <v>0.50029999999999997</v>
      </c>
      <c r="AC1100" s="312">
        <v>0.41610000000000003</v>
      </c>
      <c r="AD1100" s="312">
        <v>0.33679999999999999</v>
      </c>
      <c r="AE1100" s="312">
        <v>0.51429999999999998</v>
      </c>
      <c r="AF1100" s="312">
        <v>0.29260000000000003</v>
      </c>
      <c r="AG1100" s="312">
        <v>0.38640000000000002</v>
      </c>
      <c r="AH1100" s="312">
        <v>0.44869999999999999</v>
      </c>
      <c r="AI1100" s="312">
        <v>0.43809999999999999</v>
      </c>
      <c r="AJ1100" s="312">
        <v>0.33960000000000001</v>
      </c>
      <c r="AK1100" s="312">
        <v>0.39750000000000002</v>
      </c>
      <c r="AL1100" s="312">
        <v>0.41060000000000002</v>
      </c>
      <c r="AM1100" s="312">
        <v>0.61539999999999995</v>
      </c>
      <c r="AN1100" s="312">
        <v>0.46850000000000003</v>
      </c>
      <c r="AO1100" s="312">
        <v>0.47020000000000001</v>
      </c>
      <c r="AP1100" s="312">
        <v>0.57869999999999999</v>
      </c>
      <c r="AQ1100" s="312">
        <v>0.37490000000000001</v>
      </c>
      <c r="AR1100" s="312">
        <v>0.52</v>
      </c>
      <c r="AS1100" s="312">
        <v>0.32369999999999999</v>
      </c>
      <c r="AT1100" s="312">
        <v>0.56020000000000003</v>
      </c>
      <c r="AU1100" s="312">
        <v>0.54320000000000002</v>
      </c>
      <c r="AV1100" s="312">
        <v>0.55169999999999997</v>
      </c>
      <c r="AW1100" s="312">
        <v>0.45040000000000002</v>
      </c>
      <c r="AX1100" s="312">
        <v>0.35970000000000002</v>
      </c>
      <c r="AY1100" s="312">
        <v>0.45379999999999998</v>
      </c>
      <c r="AZ1100" s="312">
        <v>0.54749999999999999</v>
      </c>
      <c r="BA1100" s="312">
        <v>0.37540000000000001</v>
      </c>
      <c r="BB1100" s="312">
        <v>0.30620000000000003</v>
      </c>
      <c r="BC1100" s="312">
        <v>0.54049999999999998</v>
      </c>
      <c r="BD1100" s="312">
        <v>0.56299999999999994</v>
      </c>
      <c r="BE1100" s="312">
        <v>0.6663</v>
      </c>
      <c r="BF1100" s="312">
        <v>0.52100000000000002</v>
      </c>
      <c r="BG1100" s="312">
        <v>0.53700000000000003</v>
      </c>
      <c r="BH1100" s="312">
        <v>0.57669999999999999</v>
      </c>
      <c r="BI1100" s="312">
        <v>0.55559999999999998</v>
      </c>
      <c r="BJ1100" s="312">
        <v>0.48309999999999997</v>
      </c>
      <c r="BK1100" s="312">
        <v>0.5353</v>
      </c>
      <c r="BM1100">
        <f>(C1100-C689)*1000000/(RIMS_emp!C1100-RIMS_emp!C689)</f>
        <v>37547.278840092455</v>
      </c>
    </row>
    <row r="1101" spans="1:65" x14ac:dyDescent="0.25">
      <c r="A1101" s="306">
        <v>336411</v>
      </c>
      <c r="B1101" s="312" t="s">
        <v>252</v>
      </c>
      <c r="C1101" s="312">
        <v>0.71060000000000001</v>
      </c>
      <c r="D1101" s="312">
        <v>0.26240000000000002</v>
      </c>
      <c r="E1101" s="312">
        <v>0.4153</v>
      </c>
      <c r="F1101" s="312">
        <v>0.3841</v>
      </c>
      <c r="G1101" s="312">
        <v>0.48320000000000002</v>
      </c>
      <c r="H1101" s="312">
        <v>0.53129999999999999</v>
      </c>
      <c r="I1101" s="312">
        <v>0.46439999999999998</v>
      </c>
      <c r="J1101" s="312">
        <v>0.45610000000000001</v>
      </c>
      <c r="K1101" s="312">
        <v>0</v>
      </c>
      <c r="L1101" s="312">
        <v>0.26529999999999998</v>
      </c>
      <c r="M1101" s="312">
        <v>0.45950000000000002</v>
      </c>
      <c r="N1101" s="312">
        <v>0.435</v>
      </c>
      <c r="O1101" s="312">
        <v>0</v>
      </c>
      <c r="P1101" s="312">
        <v>0.33779999999999999</v>
      </c>
      <c r="Q1101" s="312">
        <v>0.30120000000000002</v>
      </c>
      <c r="R1101" s="312">
        <v>0.44990000000000002</v>
      </c>
      <c r="S1101" s="312">
        <v>0.4279</v>
      </c>
      <c r="T1101" s="312">
        <v>0.3821</v>
      </c>
      <c r="U1101" s="312">
        <v>0.37169999999999997</v>
      </c>
      <c r="V1101" s="312">
        <v>0.33629999999999999</v>
      </c>
      <c r="W1101" s="312">
        <v>0.43819999999999998</v>
      </c>
      <c r="X1101" s="312">
        <v>0.38129999999999997</v>
      </c>
      <c r="Y1101" s="312">
        <v>0.3538</v>
      </c>
      <c r="Z1101" s="312">
        <v>0.45860000000000001</v>
      </c>
      <c r="AA1101" s="312">
        <v>0.4148</v>
      </c>
      <c r="AB1101" s="312">
        <v>0.41010000000000002</v>
      </c>
      <c r="AC1101" s="312">
        <v>0.31469999999999998</v>
      </c>
      <c r="AD1101" s="312">
        <v>0.28920000000000001</v>
      </c>
      <c r="AE1101" s="312">
        <v>0.4284</v>
      </c>
      <c r="AF1101" s="312">
        <v>0</v>
      </c>
      <c r="AG1101" s="312">
        <v>0</v>
      </c>
      <c r="AH1101" s="312">
        <v>0.40589999999999998</v>
      </c>
      <c r="AI1101" s="312">
        <v>0.40699999999999997</v>
      </c>
      <c r="AJ1101" s="312">
        <v>0.35620000000000002</v>
      </c>
      <c r="AK1101" s="312">
        <v>0.34889999999999999</v>
      </c>
      <c r="AL1101" s="312">
        <v>0.3881</v>
      </c>
      <c r="AM1101" s="312">
        <v>0.50670000000000004</v>
      </c>
      <c r="AN1101" s="312">
        <v>0.41039999999999999</v>
      </c>
      <c r="AO1101" s="312">
        <v>0.41460000000000002</v>
      </c>
      <c r="AP1101" s="312">
        <v>0.43590000000000001</v>
      </c>
      <c r="AQ1101" s="312">
        <v>0</v>
      </c>
      <c r="AR1101" s="312">
        <v>0.3871</v>
      </c>
      <c r="AS1101" s="312">
        <v>0.2676</v>
      </c>
      <c r="AT1101" s="312">
        <v>0.435</v>
      </c>
      <c r="AU1101" s="312">
        <v>0.51139999999999997</v>
      </c>
      <c r="AV1101" s="312">
        <v>0.50960000000000005</v>
      </c>
      <c r="AW1101" s="312">
        <v>0.39539999999999997</v>
      </c>
      <c r="AX1101" s="312">
        <v>0</v>
      </c>
      <c r="AY1101" s="312">
        <v>0.43790000000000001</v>
      </c>
      <c r="AZ1101" s="312">
        <v>0.38719999999999999</v>
      </c>
      <c r="BA1101" s="312">
        <v>0.31890000000000002</v>
      </c>
      <c r="BB1101" s="312">
        <v>0.2581</v>
      </c>
      <c r="BC1101" s="312">
        <v>0.5605</v>
      </c>
      <c r="BD1101" s="312">
        <v>0.48149999999999998</v>
      </c>
      <c r="BE1101" s="312">
        <v>0.52539999999999998</v>
      </c>
      <c r="BF1101" s="312">
        <v>0.48049999999999998</v>
      </c>
      <c r="BG1101" s="312">
        <v>0.49930000000000002</v>
      </c>
      <c r="BH1101" s="312">
        <v>0.43509999999999999</v>
      </c>
      <c r="BI1101" s="312">
        <v>0.50470000000000004</v>
      </c>
      <c r="BJ1101" s="312">
        <v>0.52400000000000002</v>
      </c>
      <c r="BK1101" s="312">
        <v>0.53290000000000004</v>
      </c>
      <c r="BM1101">
        <f>(C1101-C690)*1000000/(RIMS_emp!C1101-RIMS_emp!C690)</f>
        <v>37534.740701318675</v>
      </c>
    </row>
    <row r="1102" spans="1:65" x14ac:dyDescent="0.25">
      <c r="A1102" s="306">
        <v>336412</v>
      </c>
      <c r="B1102" s="312" t="s">
        <v>253</v>
      </c>
      <c r="C1102" s="312">
        <v>0.75980000000000003</v>
      </c>
      <c r="D1102" s="312">
        <v>0.31630000000000003</v>
      </c>
      <c r="E1102" s="312">
        <v>0.44729999999999998</v>
      </c>
      <c r="F1102" s="312">
        <v>0.40460000000000002</v>
      </c>
      <c r="G1102" s="312">
        <v>0.5262</v>
      </c>
      <c r="H1102" s="312">
        <v>0.53349999999999997</v>
      </c>
      <c r="I1102" s="312">
        <v>0.49309999999999998</v>
      </c>
      <c r="J1102" s="312">
        <v>0.51880000000000004</v>
      </c>
      <c r="K1102" s="312">
        <v>0</v>
      </c>
      <c r="L1102" s="312">
        <v>0</v>
      </c>
      <c r="M1102" s="312">
        <v>0.52349999999999997</v>
      </c>
      <c r="N1102" s="312">
        <v>0.51400000000000001</v>
      </c>
      <c r="O1102" s="312">
        <v>0</v>
      </c>
      <c r="P1102" s="312">
        <v>0.36770000000000003</v>
      </c>
      <c r="Q1102" s="312">
        <v>0.35220000000000001</v>
      </c>
      <c r="R1102" s="312">
        <v>0.52669999999999995</v>
      </c>
      <c r="S1102" s="312">
        <v>0.50329999999999997</v>
      </c>
      <c r="T1102" s="312">
        <v>0.42520000000000002</v>
      </c>
      <c r="U1102" s="312">
        <v>0.46300000000000002</v>
      </c>
      <c r="V1102" s="312">
        <v>0.41399999999999998</v>
      </c>
      <c r="W1102" s="312">
        <v>0.51929999999999998</v>
      </c>
      <c r="X1102" s="312">
        <v>0.37569999999999998</v>
      </c>
      <c r="Y1102" s="312">
        <v>0.44969999999999999</v>
      </c>
      <c r="Z1102" s="312">
        <v>0.53879999999999995</v>
      </c>
      <c r="AA1102" s="312">
        <v>0.45519999999999999</v>
      </c>
      <c r="AB1102" s="312">
        <v>0.42809999999999998</v>
      </c>
      <c r="AC1102" s="312">
        <v>0.3493</v>
      </c>
      <c r="AD1102" s="312">
        <v>0</v>
      </c>
      <c r="AE1102" s="312">
        <v>0.52690000000000003</v>
      </c>
      <c r="AF1102" s="312">
        <v>0</v>
      </c>
      <c r="AG1102" s="312">
        <v>0.35520000000000002</v>
      </c>
      <c r="AH1102" s="312">
        <v>0.47920000000000001</v>
      </c>
      <c r="AI1102" s="312">
        <v>0.43959999999999999</v>
      </c>
      <c r="AJ1102" s="312">
        <v>0.42899999999999999</v>
      </c>
      <c r="AK1102" s="312">
        <v>0.44190000000000002</v>
      </c>
      <c r="AL1102" s="312">
        <v>0.41720000000000002</v>
      </c>
      <c r="AM1102" s="312">
        <v>0.58479999999999999</v>
      </c>
      <c r="AN1102" s="312">
        <v>0.45279999999999998</v>
      </c>
      <c r="AO1102" s="312">
        <v>0.40639999999999998</v>
      </c>
      <c r="AP1102" s="312">
        <v>0.50539999999999996</v>
      </c>
      <c r="AQ1102" s="312">
        <v>0</v>
      </c>
      <c r="AR1102" s="312">
        <v>0.43969999999999998</v>
      </c>
      <c r="AS1102" s="312">
        <v>0.30830000000000002</v>
      </c>
      <c r="AT1102" s="312">
        <v>0.48749999999999999</v>
      </c>
      <c r="AU1102" s="312">
        <v>0.53820000000000001</v>
      </c>
      <c r="AV1102" s="312">
        <v>0.55640000000000001</v>
      </c>
      <c r="AW1102" s="312">
        <v>0.42470000000000002</v>
      </c>
      <c r="AX1102" s="312">
        <v>0.40360000000000001</v>
      </c>
      <c r="AY1102" s="312">
        <v>0.44269999999999998</v>
      </c>
      <c r="AZ1102" s="312">
        <v>0.44429999999999997</v>
      </c>
      <c r="BA1102" s="312">
        <v>0.37109999999999999</v>
      </c>
      <c r="BB1102" s="312">
        <v>0.30470000000000003</v>
      </c>
      <c r="BC1102" s="312">
        <v>0.60970000000000002</v>
      </c>
      <c r="BD1102" s="312">
        <v>0.5212</v>
      </c>
      <c r="BE1102" s="312">
        <v>0.63239999999999996</v>
      </c>
      <c r="BF1102" s="312">
        <v>0.47420000000000001</v>
      </c>
      <c r="BG1102" s="312">
        <v>0.55069999999999997</v>
      </c>
      <c r="BH1102" s="312">
        <v>0.48759999999999998</v>
      </c>
      <c r="BI1102" s="312">
        <v>0.53349999999999997</v>
      </c>
      <c r="BJ1102" s="312">
        <v>0.57310000000000005</v>
      </c>
      <c r="BK1102" s="312">
        <v>0.53010000000000002</v>
      </c>
      <c r="BM1102">
        <f>(C1102-C691)*1000000/(RIMS_emp!C1102-RIMS_emp!C691)</f>
        <v>37536.291995022817</v>
      </c>
    </row>
    <row r="1103" spans="1:65" x14ac:dyDescent="0.25">
      <c r="A1103" s="306">
        <v>336413</v>
      </c>
      <c r="B1103" s="312" t="s">
        <v>254</v>
      </c>
      <c r="C1103" s="312">
        <v>0.9224</v>
      </c>
      <c r="D1103" s="312">
        <v>0.4577</v>
      </c>
      <c r="E1103" s="312">
        <v>0.61970000000000003</v>
      </c>
      <c r="F1103" s="312">
        <v>0.59240000000000004</v>
      </c>
      <c r="G1103" s="312">
        <v>0.62370000000000003</v>
      </c>
      <c r="H1103" s="312">
        <v>0.70730000000000004</v>
      </c>
      <c r="I1103" s="312">
        <v>0.69110000000000005</v>
      </c>
      <c r="J1103" s="312">
        <v>0.61499999999999999</v>
      </c>
      <c r="K1103" s="312">
        <v>0</v>
      </c>
      <c r="L1103" s="312">
        <v>0.41210000000000002</v>
      </c>
      <c r="M1103" s="312">
        <v>0.61560000000000004</v>
      </c>
      <c r="N1103" s="312">
        <v>0.67569999999999997</v>
      </c>
      <c r="O1103" s="312">
        <v>0.54749999999999999</v>
      </c>
      <c r="P1103" s="312">
        <v>0.50609999999999999</v>
      </c>
      <c r="Q1103" s="312">
        <v>0.50829999999999997</v>
      </c>
      <c r="R1103" s="312">
        <v>0.70109999999999995</v>
      </c>
      <c r="S1103" s="312">
        <v>0.62280000000000002</v>
      </c>
      <c r="T1103" s="312">
        <v>0.51849999999999996</v>
      </c>
      <c r="U1103" s="312">
        <v>0.58860000000000001</v>
      </c>
      <c r="V1103" s="312">
        <v>0.56869999999999998</v>
      </c>
      <c r="W1103" s="312">
        <v>0.60929999999999995</v>
      </c>
      <c r="X1103" s="312">
        <v>0.52890000000000004</v>
      </c>
      <c r="Y1103" s="312">
        <v>0</v>
      </c>
      <c r="Z1103" s="312">
        <v>0.70789999999999997</v>
      </c>
      <c r="AA1103" s="312">
        <v>0.64229999999999998</v>
      </c>
      <c r="AB1103" s="312">
        <v>0.63019999999999998</v>
      </c>
      <c r="AC1103" s="312">
        <v>0.51600000000000001</v>
      </c>
      <c r="AD1103" s="312">
        <v>0.49399999999999999</v>
      </c>
      <c r="AE1103" s="312">
        <v>0.6391</v>
      </c>
      <c r="AF1103" s="312">
        <v>0.42580000000000001</v>
      </c>
      <c r="AG1103" s="312">
        <v>0.51449999999999996</v>
      </c>
      <c r="AH1103" s="312">
        <v>0.57420000000000004</v>
      </c>
      <c r="AI1103" s="312">
        <v>0.59819999999999995</v>
      </c>
      <c r="AJ1103" s="312">
        <v>0.50760000000000005</v>
      </c>
      <c r="AK1103" s="312">
        <v>0.57730000000000004</v>
      </c>
      <c r="AL1103" s="312">
        <v>0.56240000000000001</v>
      </c>
      <c r="AM1103" s="312">
        <v>0.71989999999999998</v>
      </c>
      <c r="AN1103" s="312">
        <v>0.6008</v>
      </c>
      <c r="AO1103" s="312">
        <v>0.60840000000000005</v>
      </c>
      <c r="AP1103" s="312">
        <v>0.69779999999999998</v>
      </c>
      <c r="AQ1103" s="312">
        <v>0</v>
      </c>
      <c r="AR1103" s="312">
        <v>0.62290000000000001</v>
      </c>
      <c r="AS1103" s="312">
        <v>0.45479999999999998</v>
      </c>
      <c r="AT1103" s="312">
        <v>0.67620000000000002</v>
      </c>
      <c r="AU1103" s="312">
        <v>0.71199999999999997</v>
      </c>
      <c r="AV1103" s="312">
        <v>0.70209999999999995</v>
      </c>
      <c r="AW1103" s="312">
        <v>0.60640000000000005</v>
      </c>
      <c r="AX1103" s="312">
        <v>0.49130000000000001</v>
      </c>
      <c r="AY1103" s="312">
        <v>0.63749999999999996</v>
      </c>
      <c r="AZ1103" s="312">
        <v>0.64929999999999999</v>
      </c>
      <c r="BA1103" s="312">
        <v>0.47560000000000002</v>
      </c>
      <c r="BB1103" s="312">
        <v>0.45400000000000001</v>
      </c>
      <c r="BC1103" s="312">
        <v>0.71809999999999996</v>
      </c>
      <c r="BD1103" s="312">
        <v>0.71209999999999996</v>
      </c>
      <c r="BE1103" s="312">
        <v>0.77129999999999999</v>
      </c>
      <c r="BF1103" s="312">
        <v>0.66100000000000003</v>
      </c>
      <c r="BG1103" s="312">
        <v>0.71150000000000002</v>
      </c>
      <c r="BH1103" s="312">
        <v>0.67110000000000003</v>
      </c>
      <c r="BI1103" s="312">
        <v>0.71619999999999995</v>
      </c>
      <c r="BJ1103" s="312">
        <v>0.6875</v>
      </c>
      <c r="BK1103" s="312">
        <v>0.71699999999999997</v>
      </c>
      <c r="BM1103">
        <f>(C1103-C692)*1000000/(RIMS_emp!C1103-RIMS_emp!C692)</f>
        <v>37537.725642047728</v>
      </c>
    </row>
    <row r="1104" spans="1:65" x14ac:dyDescent="0.25">
      <c r="A1104" s="306">
        <v>336414</v>
      </c>
      <c r="B1104" s="312" t="s">
        <v>255</v>
      </c>
      <c r="C1104" s="312">
        <v>0.96160000000000001</v>
      </c>
      <c r="D1104" s="312">
        <v>0</v>
      </c>
      <c r="E1104" s="312">
        <v>0.61919999999999997</v>
      </c>
      <c r="F1104" s="312">
        <v>0.504</v>
      </c>
      <c r="G1104" s="312">
        <v>0.67349999999999999</v>
      </c>
      <c r="H1104" s="312">
        <v>0.7722</v>
      </c>
      <c r="I1104" s="312">
        <v>0.72360000000000002</v>
      </c>
      <c r="J1104" s="312">
        <v>0</v>
      </c>
      <c r="K1104" s="312">
        <v>0</v>
      </c>
      <c r="L1104" s="312">
        <v>0</v>
      </c>
      <c r="M1104" s="312">
        <v>0.70309999999999995</v>
      </c>
      <c r="N1104" s="312">
        <v>0.63749999999999996</v>
      </c>
      <c r="O1104" s="312">
        <v>0</v>
      </c>
      <c r="P1104" s="312">
        <v>0</v>
      </c>
      <c r="Q1104" s="312">
        <v>0</v>
      </c>
      <c r="R1104" s="312">
        <v>0</v>
      </c>
      <c r="S1104" s="312">
        <v>0.54420000000000002</v>
      </c>
      <c r="T1104" s="312">
        <v>0</v>
      </c>
      <c r="U1104" s="312">
        <v>0</v>
      </c>
      <c r="V1104" s="312">
        <v>0</v>
      </c>
      <c r="W1104" s="312">
        <v>0.68079999999999996</v>
      </c>
      <c r="X1104" s="312">
        <v>0</v>
      </c>
      <c r="Y1104" s="312">
        <v>0</v>
      </c>
      <c r="Z1104" s="312">
        <v>0</v>
      </c>
      <c r="AA1104" s="312">
        <v>0</v>
      </c>
      <c r="AB1104" s="312">
        <v>0</v>
      </c>
      <c r="AC1104" s="312">
        <v>0</v>
      </c>
      <c r="AD1104" s="312">
        <v>0</v>
      </c>
      <c r="AE1104" s="312">
        <v>0</v>
      </c>
      <c r="AF1104" s="312">
        <v>0</v>
      </c>
      <c r="AG1104" s="312">
        <v>0</v>
      </c>
      <c r="AH1104" s="312">
        <v>0</v>
      </c>
      <c r="AI1104" s="312">
        <v>0</v>
      </c>
      <c r="AJ1104" s="312">
        <v>0.5151</v>
      </c>
      <c r="AK1104" s="312">
        <v>0.55010000000000003</v>
      </c>
      <c r="AL1104" s="312">
        <v>0</v>
      </c>
      <c r="AM1104" s="312">
        <v>0</v>
      </c>
      <c r="AN1104" s="312">
        <v>0.55489999999999995</v>
      </c>
      <c r="AO1104" s="312">
        <v>0</v>
      </c>
      <c r="AP1104" s="312">
        <v>0</v>
      </c>
      <c r="AQ1104" s="312">
        <v>0</v>
      </c>
      <c r="AR1104" s="312">
        <v>0</v>
      </c>
      <c r="AS1104" s="312">
        <v>0</v>
      </c>
      <c r="AT1104" s="312">
        <v>0</v>
      </c>
      <c r="AU1104" s="312">
        <v>0.68630000000000002</v>
      </c>
      <c r="AV1104" s="312">
        <v>0.69730000000000003</v>
      </c>
      <c r="AW1104" s="312">
        <v>0.57389999999999997</v>
      </c>
      <c r="AX1104" s="312">
        <v>0</v>
      </c>
      <c r="AY1104" s="312">
        <v>0</v>
      </c>
      <c r="AZ1104" s="312">
        <v>0</v>
      </c>
      <c r="BA1104" s="312">
        <v>0</v>
      </c>
      <c r="BB1104" s="312">
        <v>0</v>
      </c>
      <c r="BC1104" s="312">
        <v>0.76190000000000002</v>
      </c>
      <c r="BD1104" s="312">
        <v>0</v>
      </c>
      <c r="BE1104" s="312">
        <v>0.69810000000000005</v>
      </c>
      <c r="BF1104" s="312">
        <v>0</v>
      </c>
      <c r="BG1104" s="312">
        <v>0.74470000000000003</v>
      </c>
      <c r="BH1104" s="312">
        <v>0.67810000000000004</v>
      </c>
      <c r="BI1104" s="312">
        <v>0.71260000000000001</v>
      </c>
      <c r="BJ1104" s="312">
        <v>0.74260000000000004</v>
      </c>
      <c r="BK1104" s="312">
        <v>0.77600000000000002</v>
      </c>
      <c r="BM1104">
        <f>(C1104-C693)*1000000/(RIMS_emp!C1104-RIMS_emp!C693)</f>
        <v>37549.299159865834</v>
      </c>
    </row>
    <row r="1105" spans="1:65" x14ac:dyDescent="0.25">
      <c r="A1105" s="306" t="s">
        <v>743</v>
      </c>
      <c r="B1105" s="312" t="s">
        <v>744</v>
      </c>
      <c r="C1105" s="312">
        <v>1.0687</v>
      </c>
      <c r="D1105" s="312">
        <v>0</v>
      </c>
      <c r="E1105" s="312">
        <v>0.75209999999999999</v>
      </c>
      <c r="F1105" s="312">
        <v>0</v>
      </c>
      <c r="G1105" s="312">
        <v>0.78159999999999996</v>
      </c>
      <c r="H1105" s="312">
        <v>0.88639999999999997</v>
      </c>
      <c r="I1105" s="312">
        <v>0.83289999999999997</v>
      </c>
      <c r="J1105" s="312">
        <v>0</v>
      </c>
      <c r="K1105" s="312">
        <v>0</v>
      </c>
      <c r="L1105" s="312">
        <v>0</v>
      </c>
      <c r="M1105" s="312">
        <v>0.80889999999999995</v>
      </c>
      <c r="N1105" s="312">
        <v>0.75919999999999999</v>
      </c>
      <c r="O1105" s="312">
        <v>0</v>
      </c>
      <c r="P1105" s="312">
        <v>0</v>
      </c>
      <c r="Q1105" s="312">
        <v>0</v>
      </c>
      <c r="R1105" s="312">
        <v>0</v>
      </c>
      <c r="S1105" s="312">
        <v>0</v>
      </c>
      <c r="T1105" s="312">
        <v>0</v>
      </c>
      <c r="U1105" s="312">
        <v>0</v>
      </c>
      <c r="V1105" s="312">
        <v>0.68330000000000002</v>
      </c>
      <c r="W1105" s="312">
        <v>0.77449999999999997</v>
      </c>
      <c r="X1105" s="312">
        <v>0.64049999999999996</v>
      </c>
      <c r="Y1105" s="312">
        <v>0.66100000000000003</v>
      </c>
      <c r="Z1105" s="312">
        <v>0.79679999999999995</v>
      </c>
      <c r="AA1105" s="312">
        <v>0</v>
      </c>
      <c r="AB1105" s="312">
        <v>0</v>
      </c>
      <c r="AC1105" s="312">
        <v>0.61450000000000005</v>
      </c>
      <c r="AD1105" s="312">
        <v>0</v>
      </c>
      <c r="AE1105" s="312">
        <v>0</v>
      </c>
      <c r="AF1105" s="312">
        <v>0</v>
      </c>
      <c r="AG1105" s="312">
        <v>0</v>
      </c>
      <c r="AH1105" s="312">
        <v>0</v>
      </c>
      <c r="AI1105" s="312">
        <v>0</v>
      </c>
      <c r="AJ1105" s="312">
        <v>0</v>
      </c>
      <c r="AK1105" s="312">
        <v>0</v>
      </c>
      <c r="AL1105" s="312">
        <v>0.65759999999999996</v>
      </c>
      <c r="AM1105" s="312">
        <v>0.74650000000000005</v>
      </c>
      <c r="AN1105" s="312">
        <v>0.68059999999999998</v>
      </c>
      <c r="AO1105" s="312">
        <v>0</v>
      </c>
      <c r="AP1105" s="312">
        <v>0.7752</v>
      </c>
      <c r="AQ1105" s="312">
        <v>0</v>
      </c>
      <c r="AR1105" s="312">
        <v>0</v>
      </c>
      <c r="AS1105" s="312">
        <v>0.54849999999999999</v>
      </c>
      <c r="AT1105" s="312">
        <v>0</v>
      </c>
      <c r="AU1105" s="312">
        <v>0.80389999999999995</v>
      </c>
      <c r="AV1105" s="312">
        <v>0.82079999999999997</v>
      </c>
      <c r="AW1105" s="312">
        <v>0.69369999999999998</v>
      </c>
      <c r="AX1105" s="312">
        <v>0</v>
      </c>
      <c r="AY1105" s="312">
        <v>0.76900000000000002</v>
      </c>
      <c r="AZ1105" s="312">
        <v>0.71550000000000002</v>
      </c>
      <c r="BA1105" s="312">
        <v>0.55649999999999999</v>
      </c>
      <c r="BB1105" s="312">
        <v>0</v>
      </c>
      <c r="BC1105" s="312">
        <v>0.87970000000000004</v>
      </c>
      <c r="BD1105" s="312">
        <v>0.80210000000000004</v>
      </c>
      <c r="BE1105" s="312">
        <v>0.81379999999999997</v>
      </c>
      <c r="BF1105" s="312">
        <v>0.70920000000000005</v>
      </c>
      <c r="BG1105" s="312">
        <v>0.86160000000000003</v>
      </c>
      <c r="BH1105" s="312">
        <v>0.80569999999999997</v>
      </c>
      <c r="BI1105" s="312">
        <v>0.83340000000000003</v>
      </c>
      <c r="BJ1105" s="312">
        <v>0.86080000000000001</v>
      </c>
      <c r="BK1105" s="312">
        <v>0.89370000000000005</v>
      </c>
      <c r="BM1105">
        <f>(C1105-C694)*1000000/(RIMS_emp!C1105-RIMS_emp!C694)</f>
        <v>37538.703494372632</v>
      </c>
    </row>
    <row r="1106" spans="1:65" x14ac:dyDescent="0.25">
      <c r="A1106" s="306">
        <v>336500</v>
      </c>
      <c r="B1106" s="312" t="s">
        <v>256</v>
      </c>
      <c r="C1106" s="312">
        <v>0.69</v>
      </c>
      <c r="D1106" s="312">
        <v>0</v>
      </c>
      <c r="E1106" s="312">
        <v>0.43180000000000002</v>
      </c>
      <c r="F1106" s="312">
        <v>0.41089999999999999</v>
      </c>
      <c r="G1106" s="312">
        <v>0.38979999999999998</v>
      </c>
      <c r="H1106" s="312">
        <v>0.45600000000000002</v>
      </c>
      <c r="I1106" s="312">
        <v>0.45679999999999998</v>
      </c>
      <c r="J1106" s="312">
        <v>0.40400000000000003</v>
      </c>
      <c r="K1106" s="312">
        <v>0</v>
      </c>
      <c r="L1106" s="312">
        <v>0.26500000000000001</v>
      </c>
      <c r="M1106" s="312">
        <v>0.39360000000000001</v>
      </c>
      <c r="N1106" s="312">
        <v>0.47039999999999998</v>
      </c>
      <c r="O1106" s="312">
        <v>0</v>
      </c>
      <c r="P1106" s="312">
        <v>0.36609999999999998</v>
      </c>
      <c r="Q1106" s="312">
        <v>0.34279999999999999</v>
      </c>
      <c r="R1106" s="312">
        <v>0.53580000000000005</v>
      </c>
      <c r="S1106" s="312">
        <v>0.45900000000000002</v>
      </c>
      <c r="T1106" s="312">
        <v>0.35139999999999999</v>
      </c>
      <c r="U1106" s="312">
        <v>0.4123</v>
      </c>
      <c r="V1106" s="312">
        <v>0.4098</v>
      </c>
      <c r="W1106" s="312">
        <v>0</v>
      </c>
      <c r="X1106" s="312">
        <v>0.33660000000000001</v>
      </c>
      <c r="Y1106" s="312">
        <v>0.35930000000000001</v>
      </c>
      <c r="Z1106" s="312">
        <v>0.48849999999999999</v>
      </c>
      <c r="AA1106" s="312">
        <v>0.44109999999999999</v>
      </c>
      <c r="AB1106" s="312">
        <v>0.43909999999999999</v>
      </c>
      <c r="AC1106" s="312">
        <v>0</v>
      </c>
      <c r="AD1106" s="312">
        <v>0</v>
      </c>
      <c r="AE1106" s="312">
        <v>0.45069999999999999</v>
      </c>
      <c r="AF1106" s="312">
        <v>0</v>
      </c>
      <c r="AG1106" s="312">
        <v>0.35210000000000002</v>
      </c>
      <c r="AH1106" s="312">
        <v>0</v>
      </c>
      <c r="AI1106" s="312">
        <v>0.38219999999999998</v>
      </c>
      <c r="AJ1106" s="312">
        <v>0</v>
      </c>
      <c r="AK1106" s="312">
        <v>0.36</v>
      </c>
      <c r="AL1106" s="312">
        <v>0.38969999999999999</v>
      </c>
      <c r="AM1106" s="312">
        <v>0.50309999999999999</v>
      </c>
      <c r="AN1106" s="312">
        <v>0.41959999999999997</v>
      </c>
      <c r="AO1106" s="312">
        <v>0.42930000000000001</v>
      </c>
      <c r="AP1106" s="312">
        <v>0.52400000000000002</v>
      </c>
      <c r="AQ1106" s="312">
        <v>0</v>
      </c>
      <c r="AR1106" s="312">
        <v>0.46250000000000002</v>
      </c>
      <c r="AS1106" s="312">
        <v>0</v>
      </c>
      <c r="AT1106" s="312">
        <v>0.4471</v>
      </c>
      <c r="AU1106" s="312">
        <v>0.51270000000000004</v>
      </c>
      <c r="AV1106" s="312">
        <v>0.46110000000000001</v>
      </c>
      <c r="AW1106" s="312">
        <v>0.4405</v>
      </c>
      <c r="AX1106" s="312">
        <v>0.30769999999999997</v>
      </c>
      <c r="AY1106" s="312">
        <v>0.42570000000000002</v>
      </c>
      <c r="AZ1106" s="312">
        <v>0.46879999999999999</v>
      </c>
      <c r="BA1106" s="312">
        <v>0.33239999999999997</v>
      </c>
      <c r="BB1106" s="312">
        <v>0</v>
      </c>
      <c r="BC1106" s="312">
        <v>0.46889999999999998</v>
      </c>
      <c r="BD1106" s="312">
        <v>0.51910000000000001</v>
      </c>
      <c r="BE1106" s="312">
        <v>0.56000000000000005</v>
      </c>
      <c r="BF1106" s="312">
        <v>0.4551</v>
      </c>
      <c r="BG1106" s="312">
        <v>0.499</v>
      </c>
      <c r="BH1106" s="312">
        <v>0.45989999999999998</v>
      </c>
      <c r="BI1106" s="312">
        <v>0.52049999999999996</v>
      </c>
      <c r="BJ1106" s="312">
        <v>0.44679999999999997</v>
      </c>
      <c r="BK1106" s="312">
        <v>0.47089999999999999</v>
      </c>
      <c r="BM1106">
        <f>(C1106-C695)*1000000/(RIMS_emp!C1106-RIMS_emp!C695)</f>
        <v>37546.819330673883</v>
      </c>
    </row>
    <row r="1107" spans="1:65" x14ac:dyDescent="0.25">
      <c r="A1107" s="306">
        <v>336611</v>
      </c>
      <c r="B1107" s="312" t="s">
        <v>257</v>
      </c>
      <c r="C1107" s="312">
        <v>0.93220000000000003</v>
      </c>
      <c r="D1107" s="312">
        <v>0.47899999999999998</v>
      </c>
      <c r="E1107" s="312">
        <v>0.62539999999999996</v>
      </c>
      <c r="F1107" s="312">
        <v>0.55840000000000001</v>
      </c>
      <c r="G1107" s="312">
        <v>0</v>
      </c>
      <c r="H1107" s="312">
        <v>0.71479999999999999</v>
      </c>
      <c r="I1107" s="312">
        <v>0</v>
      </c>
      <c r="J1107" s="312">
        <v>0.61260000000000003</v>
      </c>
      <c r="K1107" s="312">
        <v>8.3799999999999999E-2</v>
      </c>
      <c r="L1107" s="312">
        <v>0.40920000000000001</v>
      </c>
      <c r="M1107" s="312">
        <v>0.64259999999999995</v>
      </c>
      <c r="N1107" s="312">
        <v>0.67449999999999999</v>
      </c>
      <c r="O1107" s="312">
        <v>0.55030000000000001</v>
      </c>
      <c r="P1107" s="312">
        <v>0</v>
      </c>
      <c r="Q1107" s="312">
        <v>0</v>
      </c>
      <c r="R1107" s="312">
        <v>0.72319999999999995</v>
      </c>
      <c r="S1107" s="312">
        <v>0.63170000000000004</v>
      </c>
      <c r="T1107" s="312">
        <v>0</v>
      </c>
      <c r="U1107" s="312">
        <v>0.59550000000000003</v>
      </c>
      <c r="V1107" s="312">
        <v>0.57589999999999997</v>
      </c>
      <c r="W1107" s="312">
        <v>0.63329999999999997</v>
      </c>
      <c r="X1107" s="312">
        <v>0.56479999999999997</v>
      </c>
      <c r="Y1107" s="312">
        <v>0.55010000000000003</v>
      </c>
      <c r="Z1107" s="312">
        <v>0.71489999999999998</v>
      </c>
      <c r="AA1107" s="312">
        <v>0</v>
      </c>
      <c r="AB1107" s="312">
        <v>0.61309999999999998</v>
      </c>
      <c r="AC1107" s="312">
        <v>0.52249999999999996</v>
      </c>
      <c r="AD1107" s="312">
        <v>0</v>
      </c>
      <c r="AE1107" s="312">
        <v>0.6522</v>
      </c>
      <c r="AF1107" s="312">
        <v>0</v>
      </c>
      <c r="AG1107" s="312">
        <v>0</v>
      </c>
      <c r="AH1107" s="312">
        <v>0.5796</v>
      </c>
      <c r="AI1107" s="312">
        <v>0.61739999999999995</v>
      </c>
      <c r="AJ1107" s="312">
        <v>0</v>
      </c>
      <c r="AK1107" s="312">
        <v>0</v>
      </c>
      <c r="AL1107" s="312">
        <v>0.59060000000000001</v>
      </c>
      <c r="AM1107" s="312">
        <v>0.70720000000000005</v>
      </c>
      <c r="AN1107" s="312">
        <v>0</v>
      </c>
      <c r="AO1107" s="312">
        <v>0.57830000000000004</v>
      </c>
      <c r="AP1107" s="312">
        <v>0.70230000000000004</v>
      </c>
      <c r="AQ1107" s="312">
        <v>0.49130000000000001</v>
      </c>
      <c r="AR1107" s="312">
        <v>0.64539999999999997</v>
      </c>
      <c r="AS1107" s="312">
        <v>0</v>
      </c>
      <c r="AT1107" s="312">
        <v>0.68840000000000001</v>
      </c>
      <c r="AU1107" s="312">
        <v>0.72760000000000002</v>
      </c>
      <c r="AV1107" s="312">
        <v>0.69089999999999996</v>
      </c>
      <c r="AW1107" s="312">
        <v>0.60409999999999997</v>
      </c>
      <c r="AX1107" s="312">
        <v>0</v>
      </c>
      <c r="AY1107" s="312">
        <v>0.63670000000000004</v>
      </c>
      <c r="AZ1107" s="312">
        <v>0.65620000000000001</v>
      </c>
      <c r="BA1107" s="312">
        <v>0</v>
      </c>
      <c r="BB1107" s="312">
        <v>0</v>
      </c>
      <c r="BC1107" s="312">
        <v>0.72289999999999999</v>
      </c>
      <c r="BD1107" s="312">
        <v>0.73609999999999998</v>
      </c>
      <c r="BE1107" s="312">
        <v>0.7772</v>
      </c>
      <c r="BF1107" s="312">
        <v>0.64670000000000005</v>
      </c>
      <c r="BG1107" s="312">
        <v>0.72770000000000001</v>
      </c>
      <c r="BH1107" s="312">
        <v>0.68230000000000002</v>
      </c>
      <c r="BI1107" s="312">
        <v>0.72870000000000001</v>
      </c>
      <c r="BJ1107" s="312">
        <v>0.68259999999999998</v>
      </c>
      <c r="BK1107" s="312">
        <v>0.72019999999999995</v>
      </c>
      <c r="BM1107">
        <f>(C1107-C696)*1000000/(RIMS_emp!C1107-RIMS_emp!C696)</f>
        <v>37535.777872935039</v>
      </c>
    </row>
    <row r="1108" spans="1:65" x14ac:dyDescent="0.25">
      <c r="A1108" s="306">
        <v>336612</v>
      </c>
      <c r="B1108" s="312" t="s">
        <v>258</v>
      </c>
      <c r="C1108" s="312">
        <v>0.81130000000000002</v>
      </c>
      <c r="D1108" s="312">
        <v>0.34350000000000003</v>
      </c>
      <c r="E1108" s="312">
        <v>0.52259999999999995</v>
      </c>
      <c r="F1108" s="312">
        <v>0.47110000000000002</v>
      </c>
      <c r="G1108" s="312">
        <v>0.47089999999999999</v>
      </c>
      <c r="H1108" s="312">
        <v>0.55249999999999999</v>
      </c>
      <c r="I1108" s="312">
        <v>0.54869999999999997</v>
      </c>
      <c r="J1108" s="312">
        <v>0.48870000000000002</v>
      </c>
      <c r="K1108" s="312">
        <v>0</v>
      </c>
      <c r="L1108" s="312">
        <v>0.315</v>
      </c>
      <c r="M1108" s="312">
        <v>0.48459999999999998</v>
      </c>
      <c r="N1108" s="312">
        <v>0.56459999999999999</v>
      </c>
      <c r="O1108" s="312">
        <v>0.40560000000000002</v>
      </c>
      <c r="P1108" s="312">
        <v>0.41880000000000001</v>
      </c>
      <c r="Q1108" s="312">
        <v>0.38419999999999999</v>
      </c>
      <c r="R1108" s="312">
        <v>0.58809999999999996</v>
      </c>
      <c r="S1108" s="312">
        <v>0.53310000000000002</v>
      </c>
      <c r="T1108" s="312">
        <v>0.39179999999999998</v>
      </c>
      <c r="U1108" s="312">
        <v>0.51019999999999999</v>
      </c>
      <c r="V1108" s="312">
        <v>0.44600000000000001</v>
      </c>
      <c r="W1108" s="312">
        <v>0.48049999999999998</v>
      </c>
      <c r="X1108" s="312">
        <v>0.41049999999999998</v>
      </c>
      <c r="Y1108" s="312">
        <v>0.4269</v>
      </c>
      <c r="Z1108" s="312">
        <v>0.60409999999999997</v>
      </c>
      <c r="AA1108" s="312">
        <v>0.50160000000000005</v>
      </c>
      <c r="AB1108" s="312">
        <v>0.52629999999999999</v>
      </c>
      <c r="AC1108" s="312">
        <v>0.43719999999999998</v>
      </c>
      <c r="AD1108" s="312">
        <v>0.37130000000000002</v>
      </c>
      <c r="AE1108" s="312">
        <v>0.55100000000000005</v>
      </c>
      <c r="AF1108" s="312">
        <v>0.32669999999999999</v>
      </c>
      <c r="AG1108" s="312">
        <v>0.39029999999999998</v>
      </c>
      <c r="AH1108" s="312">
        <v>0.45090000000000002</v>
      </c>
      <c r="AI1108" s="312">
        <v>0.47460000000000002</v>
      </c>
      <c r="AJ1108" s="312">
        <v>0</v>
      </c>
      <c r="AK1108" s="312">
        <v>0.4279</v>
      </c>
      <c r="AL1108" s="312">
        <v>0.44400000000000001</v>
      </c>
      <c r="AM1108" s="312">
        <v>0.60250000000000004</v>
      </c>
      <c r="AN1108" s="312">
        <v>0.47199999999999998</v>
      </c>
      <c r="AO1108" s="312">
        <v>0.47799999999999998</v>
      </c>
      <c r="AP1108" s="312">
        <v>0.56169999999999998</v>
      </c>
      <c r="AQ1108" s="312">
        <v>0.39369999999999999</v>
      </c>
      <c r="AR1108" s="312">
        <v>0.53380000000000005</v>
      </c>
      <c r="AS1108" s="312">
        <v>0</v>
      </c>
      <c r="AT1108" s="312">
        <v>0.5726</v>
      </c>
      <c r="AU1108" s="312">
        <v>0.56240000000000001</v>
      </c>
      <c r="AV1108" s="312">
        <v>0.57120000000000004</v>
      </c>
      <c r="AW1108" s="312">
        <v>0.49399999999999999</v>
      </c>
      <c r="AX1108" s="312">
        <v>0.38590000000000002</v>
      </c>
      <c r="AY1108" s="312">
        <v>0.50039999999999996</v>
      </c>
      <c r="AZ1108" s="312">
        <v>0.56010000000000004</v>
      </c>
      <c r="BA1108" s="312">
        <v>0.38069999999999998</v>
      </c>
      <c r="BB1108" s="312">
        <v>0</v>
      </c>
      <c r="BC1108" s="312">
        <v>0.56899999999999995</v>
      </c>
      <c r="BD1108" s="312">
        <v>0.56840000000000002</v>
      </c>
      <c r="BE1108" s="312">
        <v>0.66039999999999999</v>
      </c>
      <c r="BF1108" s="312">
        <v>0.53249999999999997</v>
      </c>
      <c r="BG1108" s="312">
        <v>0.59599999999999997</v>
      </c>
      <c r="BH1108" s="312">
        <v>0.57750000000000001</v>
      </c>
      <c r="BI1108" s="312">
        <v>0.57110000000000005</v>
      </c>
      <c r="BJ1108" s="312">
        <v>0.52780000000000005</v>
      </c>
      <c r="BK1108" s="312">
        <v>0.56669999999999998</v>
      </c>
      <c r="BM1108">
        <f>(C1108-C697)*1000000/(RIMS_emp!C1108-RIMS_emp!C697)</f>
        <v>37552.119752414997</v>
      </c>
    </row>
    <row r="1109" spans="1:65" x14ac:dyDescent="0.25">
      <c r="A1109" s="306">
        <v>336991</v>
      </c>
      <c r="B1109" s="312" t="s">
        <v>259</v>
      </c>
      <c r="C1109" s="312">
        <v>0.68810000000000004</v>
      </c>
      <c r="D1109" s="312">
        <v>0</v>
      </c>
      <c r="E1109" s="312">
        <v>0.42159999999999997</v>
      </c>
      <c r="F1109" s="312">
        <v>0.38400000000000001</v>
      </c>
      <c r="G1109" s="312">
        <v>0.40479999999999999</v>
      </c>
      <c r="H1109" s="312">
        <v>0.4859</v>
      </c>
      <c r="I1109" s="312">
        <v>0.45119999999999999</v>
      </c>
      <c r="J1109" s="312">
        <v>0.41270000000000001</v>
      </c>
      <c r="K1109" s="312">
        <v>0</v>
      </c>
      <c r="L1109" s="312">
        <v>0</v>
      </c>
      <c r="M1109" s="312">
        <v>0.38590000000000002</v>
      </c>
      <c r="N1109" s="312">
        <v>0.45319999999999999</v>
      </c>
      <c r="O1109" s="312">
        <v>0</v>
      </c>
      <c r="P1109" s="312">
        <v>0.32579999999999998</v>
      </c>
      <c r="Q1109" s="312">
        <v>0.31059999999999999</v>
      </c>
      <c r="R1109" s="312">
        <v>0.49149999999999999</v>
      </c>
      <c r="S1109" s="312">
        <v>0.43480000000000002</v>
      </c>
      <c r="T1109" s="312">
        <v>0.33019999999999999</v>
      </c>
      <c r="U1109" s="312">
        <v>0.40410000000000001</v>
      </c>
      <c r="V1109" s="312">
        <v>0.37059999999999998</v>
      </c>
      <c r="W1109" s="312">
        <v>0.40310000000000001</v>
      </c>
      <c r="X1109" s="312">
        <v>0.3342</v>
      </c>
      <c r="Y1109" s="312">
        <v>0.33279999999999998</v>
      </c>
      <c r="Z1109" s="312">
        <v>0.4919</v>
      </c>
      <c r="AA1109" s="312">
        <v>0.43080000000000002</v>
      </c>
      <c r="AB1109" s="312">
        <v>0.41949999999999998</v>
      </c>
      <c r="AC1109" s="312">
        <v>0</v>
      </c>
      <c r="AD1109" s="312">
        <v>0.29310000000000003</v>
      </c>
      <c r="AE1109" s="312">
        <v>0.4128</v>
      </c>
      <c r="AF1109" s="312">
        <v>0</v>
      </c>
      <c r="AG1109" s="312">
        <v>0.31230000000000002</v>
      </c>
      <c r="AH1109" s="312">
        <v>0.38519999999999999</v>
      </c>
      <c r="AI1109" s="312">
        <v>0.38159999999999999</v>
      </c>
      <c r="AJ1109" s="312">
        <v>0.29139999999999999</v>
      </c>
      <c r="AK1109" s="312">
        <v>0.33889999999999998</v>
      </c>
      <c r="AL1109" s="312">
        <v>0.35049999999999998</v>
      </c>
      <c r="AM1109" s="312">
        <v>0.51519999999999999</v>
      </c>
      <c r="AN1109" s="312">
        <v>0.39479999999999998</v>
      </c>
      <c r="AO1109" s="312">
        <v>0.43809999999999999</v>
      </c>
      <c r="AP1109" s="312">
        <v>0.50629999999999997</v>
      </c>
      <c r="AQ1109" s="312">
        <v>0.32390000000000002</v>
      </c>
      <c r="AR1109" s="312">
        <v>0.4234</v>
      </c>
      <c r="AS1109" s="312">
        <v>0.2843</v>
      </c>
      <c r="AT1109" s="312">
        <v>0.4617</v>
      </c>
      <c r="AU1109" s="312">
        <v>0.48759999999999998</v>
      </c>
      <c r="AV1109" s="312">
        <v>0.46389999999999998</v>
      </c>
      <c r="AW1109" s="312">
        <v>0.39810000000000001</v>
      </c>
      <c r="AX1109" s="312">
        <v>0</v>
      </c>
      <c r="AY1109" s="312">
        <v>0.42159999999999997</v>
      </c>
      <c r="AZ1109" s="312">
        <v>0.44669999999999999</v>
      </c>
      <c r="BA1109" s="312">
        <v>0</v>
      </c>
      <c r="BB1109" s="312">
        <v>0</v>
      </c>
      <c r="BC1109" s="312">
        <v>0.4718</v>
      </c>
      <c r="BD1109" s="312">
        <v>0.50280000000000002</v>
      </c>
      <c r="BE1109" s="312">
        <v>0.56030000000000002</v>
      </c>
      <c r="BF1109" s="312">
        <v>0.44929999999999998</v>
      </c>
      <c r="BG1109" s="312">
        <v>0.47049999999999997</v>
      </c>
      <c r="BH1109" s="312">
        <v>0.46629999999999999</v>
      </c>
      <c r="BI1109" s="312">
        <v>0.50039999999999996</v>
      </c>
      <c r="BJ1109" s="312">
        <v>0.43630000000000002</v>
      </c>
      <c r="BK1109" s="312">
        <v>0.496</v>
      </c>
      <c r="BM1109">
        <f>(C1109-C698)*1000000/(RIMS_emp!C1109-RIMS_emp!C698)</f>
        <v>37540.265331358874</v>
      </c>
    </row>
    <row r="1110" spans="1:65" x14ac:dyDescent="0.25">
      <c r="A1110" s="306">
        <v>336992</v>
      </c>
      <c r="B1110" s="312" t="s">
        <v>260</v>
      </c>
      <c r="C1110" s="312">
        <v>0.79059999999999997</v>
      </c>
      <c r="D1110" s="312">
        <v>0</v>
      </c>
      <c r="E1110" s="312">
        <v>0.52990000000000004</v>
      </c>
      <c r="F1110" s="312">
        <v>0</v>
      </c>
      <c r="G1110" s="312">
        <v>0.51629999999999998</v>
      </c>
      <c r="H1110" s="312">
        <v>0.59050000000000002</v>
      </c>
      <c r="I1110" s="312">
        <v>0</v>
      </c>
      <c r="J1110" s="312">
        <v>0</v>
      </c>
      <c r="K1110" s="312">
        <v>0</v>
      </c>
      <c r="L1110" s="312">
        <v>0</v>
      </c>
      <c r="M1110" s="312">
        <v>0.49830000000000002</v>
      </c>
      <c r="N1110" s="312">
        <v>0.55289999999999995</v>
      </c>
      <c r="O1110" s="312">
        <v>0</v>
      </c>
      <c r="P1110" s="312">
        <v>0</v>
      </c>
      <c r="Q1110" s="312">
        <v>0</v>
      </c>
      <c r="R1110" s="312">
        <v>0.60680000000000001</v>
      </c>
      <c r="S1110" s="312">
        <v>0</v>
      </c>
      <c r="T1110" s="312">
        <v>0</v>
      </c>
      <c r="U1110" s="312">
        <v>0</v>
      </c>
      <c r="V1110" s="312">
        <v>0.45079999999999998</v>
      </c>
      <c r="W1110" s="312">
        <v>0</v>
      </c>
      <c r="X1110" s="312">
        <v>0.41020000000000001</v>
      </c>
      <c r="Y1110" s="312">
        <v>0</v>
      </c>
      <c r="Z1110" s="312">
        <v>0.59499999999999997</v>
      </c>
      <c r="AA1110" s="312">
        <v>0.54359999999999997</v>
      </c>
      <c r="AB1110" s="312">
        <v>0</v>
      </c>
      <c r="AC1110" s="312">
        <v>0</v>
      </c>
      <c r="AD1110" s="312">
        <v>0</v>
      </c>
      <c r="AE1110" s="312">
        <v>0.5101</v>
      </c>
      <c r="AF1110" s="312">
        <v>0</v>
      </c>
      <c r="AG1110" s="312">
        <v>0</v>
      </c>
      <c r="AH1110" s="312">
        <v>0</v>
      </c>
      <c r="AI1110" s="312">
        <v>0.50390000000000001</v>
      </c>
      <c r="AJ1110" s="312">
        <v>0</v>
      </c>
      <c r="AK1110" s="312">
        <v>0</v>
      </c>
      <c r="AL1110" s="312">
        <v>0.45910000000000001</v>
      </c>
      <c r="AM1110" s="312">
        <v>0.61770000000000003</v>
      </c>
      <c r="AN1110" s="312">
        <v>0.50519999999999998</v>
      </c>
      <c r="AO1110" s="312">
        <v>0</v>
      </c>
      <c r="AP1110" s="312">
        <v>0.61219999999999997</v>
      </c>
      <c r="AQ1110" s="312">
        <v>0</v>
      </c>
      <c r="AR1110" s="312">
        <v>0.50580000000000003</v>
      </c>
      <c r="AS1110" s="312">
        <v>0</v>
      </c>
      <c r="AT1110" s="312">
        <v>0.56179999999999997</v>
      </c>
      <c r="AU1110" s="312">
        <v>0.58530000000000004</v>
      </c>
      <c r="AV1110" s="312">
        <v>0</v>
      </c>
      <c r="AW1110" s="312">
        <v>0.46820000000000001</v>
      </c>
      <c r="AX1110" s="312">
        <v>0</v>
      </c>
      <c r="AY1110" s="312">
        <v>0</v>
      </c>
      <c r="AZ1110" s="312">
        <v>0.54659999999999997</v>
      </c>
      <c r="BA1110" s="312">
        <v>0</v>
      </c>
      <c r="BB1110" s="312">
        <v>0</v>
      </c>
      <c r="BC1110" s="312">
        <v>0</v>
      </c>
      <c r="BD1110" s="312">
        <v>0.62450000000000006</v>
      </c>
      <c r="BE1110" s="312">
        <v>0.66839999999999999</v>
      </c>
      <c r="BF1110" s="312">
        <v>0.54259999999999997</v>
      </c>
      <c r="BG1110" s="312">
        <v>0.56569999999999998</v>
      </c>
      <c r="BH1110" s="312">
        <v>0.57789999999999997</v>
      </c>
      <c r="BI1110" s="312">
        <v>0.60329999999999995</v>
      </c>
      <c r="BJ1110" s="312">
        <v>0.54259999999999997</v>
      </c>
      <c r="BK1110" s="312">
        <v>0.59989999999999999</v>
      </c>
      <c r="BM1110">
        <f>(C1110-C699)*1000000/(RIMS_emp!C1110-RIMS_emp!C699)</f>
        <v>37534.545068027204</v>
      </c>
    </row>
    <row r="1111" spans="1:65" x14ac:dyDescent="0.25">
      <c r="A1111" s="306">
        <v>336999</v>
      </c>
      <c r="B1111" s="312" t="s">
        <v>261</v>
      </c>
      <c r="C1111" s="312">
        <v>0.66390000000000005</v>
      </c>
      <c r="D1111" s="312">
        <v>0</v>
      </c>
      <c r="E1111" s="312">
        <v>0.40679999999999999</v>
      </c>
      <c r="F1111" s="312">
        <v>0.37409999999999999</v>
      </c>
      <c r="G1111" s="312">
        <v>0.315</v>
      </c>
      <c r="H1111" s="312">
        <v>0.3871</v>
      </c>
      <c r="I1111" s="312">
        <v>0.3518</v>
      </c>
      <c r="J1111" s="312">
        <v>0.35699999999999998</v>
      </c>
      <c r="K1111" s="312">
        <v>0</v>
      </c>
      <c r="L1111" s="312">
        <v>0.2117</v>
      </c>
      <c r="M1111" s="312">
        <v>0.32400000000000001</v>
      </c>
      <c r="N1111" s="312">
        <v>0.40400000000000003</v>
      </c>
      <c r="O1111" s="312">
        <v>0</v>
      </c>
      <c r="P1111" s="312">
        <v>0.32969999999999999</v>
      </c>
      <c r="Q1111" s="312">
        <v>0.2487</v>
      </c>
      <c r="R1111" s="312">
        <v>0.48049999999999998</v>
      </c>
      <c r="S1111" s="312">
        <v>0.44640000000000002</v>
      </c>
      <c r="T1111" s="312">
        <v>0.27810000000000001</v>
      </c>
      <c r="U1111" s="312">
        <v>0.40460000000000002</v>
      </c>
      <c r="V1111" s="312">
        <v>0.32290000000000002</v>
      </c>
      <c r="W1111" s="312">
        <v>0</v>
      </c>
      <c r="X1111" s="312">
        <v>0.28310000000000002</v>
      </c>
      <c r="Y1111" s="312">
        <v>0</v>
      </c>
      <c r="Z1111" s="312">
        <v>0.48180000000000001</v>
      </c>
      <c r="AA1111" s="312">
        <v>0.40210000000000001</v>
      </c>
      <c r="AB1111" s="312">
        <v>0.40739999999999998</v>
      </c>
      <c r="AC1111" s="312">
        <v>0.32729999999999998</v>
      </c>
      <c r="AD1111" s="312">
        <v>0</v>
      </c>
      <c r="AE1111" s="312">
        <v>0.42409999999999998</v>
      </c>
      <c r="AF1111" s="312">
        <v>0</v>
      </c>
      <c r="AG1111" s="312">
        <v>0.29799999999999999</v>
      </c>
      <c r="AH1111" s="312">
        <v>0.32829999999999998</v>
      </c>
      <c r="AI1111" s="312">
        <v>0.34029999999999999</v>
      </c>
      <c r="AJ1111" s="312">
        <v>0</v>
      </c>
      <c r="AK1111" s="312">
        <v>0.27889999999999998</v>
      </c>
      <c r="AL1111" s="312">
        <v>0.29010000000000002</v>
      </c>
      <c r="AM1111" s="312">
        <v>0.48930000000000001</v>
      </c>
      <c r="AN1111" s="312">
        <v>0.371</v>
      </c>
      <c r="AO1111" s="312">
        <v>0.35730000000000001</v>
      </c>
      <c r="AP1111" s="312">
        <v>0.44869999999999999</v>
      </c>
      <c r="AQ1111" s="312">
        <v>0</v>
      </c>
      <c r="AR1111" s="312">
        <v>0.43559999999999999</v>
      </c>
      <c r="AS1111" s="312">
        <v>0.2409</v>
      </c>
      <c r="AT1111" s="312">
        <v>0.43609999999999999</v>
      </c>
      <c r="AU1111" s="312">
        <v>0.41930000000000001</v>
      </c>
      <c r="AV1111" s="312">
        <v>0.44009999999999999</v>
      </c>
      <c r="AW1111" s="312">
        <v>0.33910000000000001</v>
      </c>
      <c r="AX1111" s="312">
        <v>0.26640000000000003</v>
      </c>
      <c r="AY1111" s="312">
        <v>0.33200000000000002</v>
      </c>
      <c r="AZ1111" s="312">
        <v>0.4496</v>
      </c>
      <c r="BA1111" s="312">
        <v>0</v>
      </c>
      <c r="BB1111" s="312">
        <v>0.21010000000000001</v>
      </c>
      <c r="BC1111" s="312">
        <v>0.40989999999999999</v>
      </c>
      <c r="BD1111" s="312">
        <v>0.42080000000000001</v>
      </c>
      <c r="BE1111" s="312">
        <v>0.54390000000000005</v>
      </c>
      <c r="BF1111" s="312">
        <v>0.4219</v>
      </c>
      <c r="BG1111" s="312">
        <v>0.43680000000000002</v>
      </c>
      <c r="BH1111" s="312">
        <v>0.45619999999999999</v>
      </c>
      <c r="BI1111" s="312">
        <v>0.43930000000000002</v>
      </c>
      <c r="BJ1111" s="312">
        <v>0.34760000000000002</v>
      </c>
      <c r="BK1111" s="312">
        <v>0.39319999999999999</v>
      </c>
      <c r="BM1111">
        <f>(C1111-C700)*1000000/(RIMS_emp!C1111-RIMS_emp!C700)</f>
        <v>37548.062469342884</v>
      </c>
    </row>
    <row r="1112" spans="1:65" x14ac:dyDescent="0.25">
      <c r="A1112" s="306">
        <v>337110</v>
      </c>
      <c r="B1112" s="312" t="s">
        <v>262</v>
      </c>
      <c r="C1112" s="312">
        <v>0.88470000000000004</v>
      </c>
      <c r="D1112" s="312">
        <v>0.47</v>
      </c>
      <c r="E1112" s="312">
        <v>0.59950000000000003</v>
      </c>
      <c r="F1112" s="312">
        <v>0.5202</v>
      </c>
      <c r="G1112" s="312">
        <v>0.56579999999999997</v>
      </c>
      <c r="H1112" s="312">
        <v>0.65480000000000005</v>
      </c>
      <c r="I1112" s="312">
        <v>0.64410000000000001</v>
      </c>
      <c r="J1112" s="312">
        <v>0.53820000000000001</v>
      </c>
      <c r="K1112" s="312">
        <v>0.10009999999999999</v>
      </c>
      <c r="L1112" s="312">
        <v>0.40150000000000002</v>
      </c>
      <c r="M1112" s="312">
        <v>0.59489999999999998</v>
      </c>
      <c r="N1112" s="312">
        <v>0.68469999999999998</v>
      </c>
      <c r="O1112" s="312">
        <v>0.51690000000000003</v>
      </c>
      <c r="P1112" s="312">
        <v>0.435</v>
      </c>
      <c r="Q1112" s="312">
        <v>0.51680000000000004</v>
      </c>
      <c r="R1112" s="312">
        <v>0.6502</v>
      </c>
      <c r="S1112" s="312">
        <v>0.56259999999999999</v>
      </c>
      <c r="T1112" s="312">
        <v>0.44209999999999999</v>
      </c>
      <c r="U1112" s="312">
        <v>0.56979999999999997</v>
      </c>
      <c r="V1112" s="312">
        <v>0.57169999999999999</v>
      </c>
      <c r="W1112" s="312">
        <v>0.56599999999999995</v>
      </c>
      <c r="X1112" s="312">
        <v>0.5282</v>
      </c>
      <c r="Y1112" s="312">
        <v>0.58640000000000003</v>
      </c>
      <c r="Z1112" s="312">
        <v>0.63349999999999995</v>
      </c>
      <c r="AA1112" s="312">
        <v>0.60499999999999998</v>
      </c>
      <c r="AB1112" s="312">
        <v>0.58819999999999995</v>
      </c>
      <c r="AC1112" s="312">
        <v>0.54249999999999998</v>
      </c>
      <c r="AD1112" s="312">
        <v>0.52180000000000004</v>
      </c>
      <c r="AE1112" s="312">
        <v>0.62450000000000006</v>
      </c>
      <c r="AF1112" s="312">
        <v>0.40660000000000002</v>
      </c>
      <c r="AG1112" s="312">
        <v>0.41489999999999999</v>
      </c>
      <c r="AH1112" s="312">
        <v>0.53539999999999999</v>
      </c>
      <c r="AI1112" s="312">
        <v>0.57689999999999997</v>
      </c>
      <c r="AJ1112" s="312">
        <v>0.4763</v>
      </c>
      <c r="AK1112" s="312">
        <v>0.51480000000000004</v>
      </c>
      <c r="AL1112" s="312">
        <v>0.50109999999999999</v>
      </c>
      <c r="AM1112" s="312">
        <v>0.61050000000000004</v>
      </c>
      <c r="AN1112" s="312">
        <v>0.55179999999999996</v>
      </c>
      <c r="AO1112" s="312">
        <v>0.61929999999999996</v>
      </c>
      <c r="AP1112" s="312">
        <v>0.66469999999999996</v>
      </c>
      <c r="AQ1112" s="312">
        <v>0.49919999999999998</v>
      </c>
      <c r="AR1112" s="312">
        <v>0.60840000000000005</v>
      </c>
      <c r="AS1112" s="312">
        <v>0.45329999999999998</v>
      </c>
      <c r="AT1112" s="312">
        <v>0.61280000000000001</v>
      </c>
      <c r="AU1112" s="312">
        <v>0.68359999999999999</v>
      </c>
      <c r="AV1112" s="312">
        <v>0.63280000000000003</v>
      </c>
      <c r="AW1112" s="312">
        <v>0.61470000000000002</v>
      </c>
      <c r="AX1112" s="312">
        <v>0.46889999999999998</v>
      </c>
      <c r="AY1112" s="312">
        <v>0.61639999999999995</v>
      </c>
      <c r="AZ1112" s="312">
        <v>0.60960000000000003</v>
      </c>
      <c r="BA1112" s="312">
        <v>0.48670000000000002</v>
      </c>
      <c r="BB1112" s="312">
        <v>0.44469999999999998</v>
      </c>
      <c r="BC1112" s="312">
        <v>0.65959999999999996</v>
      </c>
      <c r="BD1112" s="312">
        <v>0.65949999999999998</v>
      </c>
      <c r="BE1112" s="312">
        <v>0.68730000000000002</v>
      </c>
      <c r="BF1112" s="312">
        <v>0.58979999999999999</v>
      </c>
      <c r="BG1112" s="312">
        <v>0.72430000000000005</v>
      </c>
      <c r="BH1112" s="312">
        <v>0.65429999999999999</v>
      </c>
      <c r="BI1112" s="312">
        <v>0.70660000000000001</v>
      </c>
      <c r="BJ1112" s="312">
        <v>0.6542</v>
      </c>
      <c r="BK1112" s="312">
        <v>0.70940000000000003</v>
      </c>
      <c r="BM1112">
        <f>(C1112-C701)*1000000/(RIMS_emp!C1112-RIMS_emp!C701)</f>
        <v>37532.20693176287</v>
      </c>
    </row>
    <row r="1113" spans="1:65" x14ac:dyDescent="0.25">
      <c r="A1113" s="306">
        <v>337121</v>
      </c>
      <c r="B1113" s="312" t="s">
        <v>263</v>
      </c>
      <c r="C1113" s="312">
        <v>0.77649999999999997</v>
      </c>
      <c r="D1113" s="312">
        <v>0</v>
      </c>
      <c r="E1113" s="312">
        <v>0.5222</v>
      </c>
      <c r="F1113" s="312">
        <v>0.45379999999999998</v>
      </c>
      <c r="G1113" s="312">
        <v>0.46820000000000001</v>
      </c>
      <c r="H1113" s="312">
        <v>0.54790000000000005</v>
      </c>
      <c r="I1113" s="312">
        <v>0.52290000000000003</v>
      </c>
      <c r="J1113" s="312">
        <v>0.48170000000000002</v>
      </c>
      <c r="K1113" s="312">
        <v>7.8600000000000003E-2</v>
      </c>
      <c r="L1113" s="312">
        <v>0</v>
      </c>
      <c r="M1113" s="312">
        <v>0.48199999999999998</v>
      </c>
      <c r="N1113" s="312">
        <v>0.59340000000000004</v>
      </c>
      <c r="O1113" s="312">
        <v>0</v>
      </c>
      <c r="P1113" s="312">
        <v>0.40150000000000002</v>
      </c>
      <c r="Q1113" s="312">
        <v>0.39729999999999999</v>
      </c>
      <c r="R1113" s="312">
        <v>0.56120000000000003</v>
      </c>
      <c r="S1113" s="312">
        <v>0.51090000000000002</v>
      </c>
      <c r="T1113" s="312">
        <v>0.38650000000000001</v>
      </c>
      <c r="U1113" s="312">
        <v>0.50390000000000001</v>
      </c>
      <c r="V1113" s="312">
        <v>0</v>
      </c>
      <c r="W1113" s="312">
        <v>0.50090000000000001</v>
      </c>
      <c r="X1113" s="312">
        <v>0.43219999999999997</v>
      </c>
      <c r="Y1113" s="312">
        <v>0</v>
      </c>
      <c r="Z1113" s="312">
        <v>0.54659999999999997</v>
      </c>
      <c r="AA1113" s="312">
        <v>0.50829999999999997</v>
      </c>
      <c r="AB1113" s="312">
        <v>0.49690000000000001</v>
      </c>
      <c r="AC1113" s="312">
        <v>0.49580000000000002</v>
      </c>
      <c r="AD1113" s="312">
        <v>0.40670000000000001</v>
      </c>
      <c r="AE1113" s="312">
        <v>0.57020000000000004</v>
      </c>
      <c r="AF1113" s="312">
        <v>0</v>
      </c>
      <c r="AG1113" s="312">
        <v>0</v>
      </c>
      <c r="AH1113" s="312">
        <v>0</v>
      </c>
      <c r="AI1113" s="312">
        <v>0.48609999999999998</v>
      </c>
      <c r="AJ1113" s="312">
        <v>0.40139999999999998</v>
      </c>
      <c r="AK1113" s="312">
        <v>0.4259</v>
      </c>
      <c r="AL1113" s="312">
        <v>0.4244</v>
      </c>
      <c r="AM1113" s="312">
        <v>0.55549999999999999</v>
      </c>
      <c r="AN1113" s="312">
        <v>0.45569999999999999</v>
      </c>
      <c r="AO1113" s="312">
        <v>0.495</v>
      </c>
      <c r="AP1113" s="312">
        <v>0.5927</v>
      </c>
      <c r="AQ1113" s="312">
        <v>0.45619999999999999</v>
      </c>
      <c r="AR1113" s="312">
        <v>0.56330000000000002</v>
      </c>
      <c r="AS1113" s="312">
        <v>0.37480000000000002</v>
      </c>
      <c r="AT1113" s="312">
        <v>0.54659999999999997</v>
      </c>
      <c r="AU1113" s="312">
        <v>0.57940000000000003</v>
      </c>
      <c r="AV1113" s="312">
        <v>0.51490000000000002</v>
      </c>
      <c r="AW1113" s="312">
        <v>0.52180000000000004</v>
      </c>
      <c r="AX1113" s="312">
        <v>0</v>
      </c>
      <c r="AY1113" s="312">
        <v>0.51359999999999995</v>
      </c>
      <c r="AZ1113" s="312">
        <v>0.55189999999999995</v>
      </c>
      <c r="BA1113" s="312">
        <v>0</v>
      </c>
      <c r="BB1113" s="312">
        <v>0.36580000000000001</v>
      </c>
      <c r="BC1113" s="312">
        <v>0.58940000000000003</v>
      </c>
      <c r="BD1113" s="312">
        <v>0.57599999999999996</v>
      </c>
      <c r="BE1113" s="312">
        <v>0.60570000000000002</v>
      </c>
      <c r="BF1113" s="312">
        <v>0.50219999999999998</v>
      </c>
      <c r="BG1113" s="312">
        <v>0.62450000000000006</v>
      </c>
      <c r="BH1113" s="312">
        <v>0.60309999999999997</v>
      </c>
      <c r="BI1113" s="312">
        <v>0.58899999999999997</v>
      </c>
      <c r="BJ1113" s="312">
        <v>0.51</v>
      </c>
      <c r="BK1113" s="312">
        <v>0.56930000000000003</v>
      </c>
      <c r="BM1113">
        <f>(C1113-C702)*1000000/(RIMS_emp!C1113-RIMS_emp!C702)</f>
        <v>37540.076568228229</v>
      </c>
    </row>
    <row r="1114" spans="1:65" x14ac:dyDescent="0.25">
      <c r="A1114" s="306">
        <v>337122</v>
      </c>
      <c r="B1114" s="312" t="s">
        <v>264</v>
      </c>
      <c r="C1114" s="312">
        <v>0.75470000000000004</v>
      </c>
      <c r="D1114" s="312">
        <v>0.40910000000000002</v>
      </c>
      <c r="E1114" s="312">
        <v>0.53990000000000005</v>
      </c>
      <c r="F1114" s="312">
        <v>0.47889999999999999</v>
      </c>
      <c r="G1114" s="312">
        <v>0.4829</v>
      </c>
      <c r="H1114" s="312">
        <v>0.5504</v>
      </c>
      <c r="I1114" s="312">
        <v>0.53669999999999995</v>
      </c>
      <c r="J1114" s="312">
        <v>0.46129999999999999</v>
      </c>
      <c r="K1114" s="312">
        <v>0</v>
      </c>
      <c r="L1114" s="312">
        <v>0.35089999999999999</v>
      </c>
      <c r="M1114" s="312">
        <v>0.50660000000000005</v>
      </c>
      <c r="N1114" s="312">
        <v>0.60440000000000005</v>
      </c>
      <c r="O1114" s="312">
        <v>0.44419999999999998</v>
      </c>
      <c r="P1114" s="312">
        <v>0.40250000000000002</v>
      </c>
      <c r="Q1114" s="312">
        <v>0.45750000000000002</v>
      </c>
      <c r="R1114" s="312">
        <v>0.55189999999999995</v>
      </c>
      <c r="S1114" s="312">
        <v>0.50190000000000001</v>
      </c>
      <c r="T1114" s="312">
        <v>0.39410000000000001</v>
      </c>
      <c r="U1114" s="312">
        <v>0.51090000000000002</v>
      </c>
      <c r="V1114" s="312">
        <v>0.50970000000000004</v>
      </c>
      <c r="W1114" s="312">
        <v>0.47910000000000003</v>
      </c>
      <c r="X1114" s="312">
        <v>0.44769999999999999</v>
      </c>
      <c r="Y1114" s="312">
        <v>0.51770000000000005</v>
      </c>
      <c r="Z1114" s="312">
        <v>0.56330000000000002</v>
      </c>
      <c r="AA1114" s="312">
        <v>0.52829999999999999</v>
      </c>
      <c r="AB1114" s="312">
        <v>0.50390000000000001</v>
      </c>
      <c r="AC1114" s="312">
        <v>0.50160000000000005</v>
      </c>
      <c r="AD1114" s="312">
        <v>0.46960000000000002</v>
      </c>
      <c r="AE1114" s="312">
        <v>0.56010000000000004</v>
      </c>
      <c r="AF1114" s="312">
        <v>0.3775</v>
      </c>
      <c r="AG1114" s="312">
        <v>0.36880000000000002</v>
      </c>
      <c r="AH1114" s="312">
        <v>0.4637</v>
      </c>
      <c r="AI1114" s="312">
        <v>0.48549999999999999</v>
      </c>
      <c r="AJ1114" s="312">
        <v>0.40860000000000002</v>
      </c>
      <c r="AK1114" s="312">
        <v>0.4496</v>
      </c>
      <c r="AL1114" s="312">
        <v>0.43120000000000003</v>
      </c>
      <c r="AM1114" s="312">
        <v>0.53700000000000003</v>
      </c>
      <c r="AN1114" s="312">
        <v>0.48330000000000001</v>
      </c>
      <c r="AO1114" s="312">
        <v>0.54310000000000003</v>
      </c>
      <c r="AP1114" s="312">
        <v>0.57789999999999997</v>
      </c>
      <c r="AQ1114" s="312">
        <v>0.43580000000000002</v>
      </c>
      <c r="AR1114" s="312">
        <v>0.54749999999999999</v>
      </c>
      <c r="AS1114" s="312">
        <v>0.42320000000000002</v>
      </c>
      <c r="AT1114" s="312">
        <v>0.54249999999999998</v>
      </c>
      <c r="AU1114" s="312">
        <v>0.58089999999999997</v>
      </c>
      <c r="AV1114" s="312">
        <v>0.53539999999999999</v>
      </c>
      <c r="AW1114" s="312">
        <v>0.53139999999999998</v>
      </c>
      <c r="AX1114" s="312">
        <v>0.40010000000000001</v>
      </c>
      <c r="AY1114" s="312">
        <v>0.53280000000000005</v>
      </c>
      <c r="AZ1114" s="312">
        <v>0.5524</v>
      </c>
      <c r="BA1114" s="312">
        <v>0.44190000000000002</v>
      </c>
      <c r="BB1114" s="312">
        <v>0.3982</v>
      </c>
      <c r="BC1114" s="312">
        <v>0.56059999999999999</v>
      </c>
      <c r="BD1114" s="312">
        <v>0.55910000000000004</v>
      </c>
      <c r="BE1114" s="312">
        <v>0.60150000000000003</v>
      </c>
      <c r="BF1114" s="312">
        <v>0.52080000000000004</v>
      </c>
      <c r="BG1114" s="312">
        <v>0.62319999999999998</v>
      </c>
      <c r="BH1114" s="312">
        <v>0.58879999999999999</v>
      </c>
      <c r="BI1114" s="312">
        <v>0.6099</v>
      </c>
      <c r="BJ1114" s="312">
        <v>0.55259999999999998</v>
      </c>
      <c r="BK1114" s="312">
        <v>0.60350000000000004</v>
      </c>
      <c r="BM1114">
        <f>(C1114-C703)*1000000/(RIMS_emp!C1114-RIMS_emp!C703)</f>
        <v>37538.624279709387</v>
      </c>
    </row>
    <row r="1115" spans="1:65" x14ac:dyDescent="0.25">
      <c r="A1115" s="306">
        <v>337127</v>
      </c>
      <c r="B1115" s="312" t="s">
        <v>266</v>
      </c>
      <c r="C1115" s="312">
        <v>0.79800000000000004</v>
      </c>
      <c r="D1115" s="312">
        <v>0</v>
      </c>
      <c r="E1115" s="312">
        <v>0.55069999999999997</v>
      </c>
      <c r="F1115" s="312">
        <v>0.48259999999999997</v>
      </c>
      <c r="G1115" s="312">
        <v>0.51029999999999998</v>
      </c>
      <c r="H1115" s="312">
        <v>0.58260000000000001</v>
      </c>
      <c r="I1115" s="312">
        <v>0.57120000000000004</v>
      </c>
      <c r="J1115" s="312">
        <v>0.49180000000000001</v>
      </c>
      <c r="K1115" s="312">
        <v>0</v>
      </c>
      <c r="L1115" s="312">
        <v>0.3664</v>
      </c>
      <c r="M1115" s="312">
        <v>0.52239999999999998</v>
      </c>
      <c r="N1115" s="312">
        <v>0.59650000000000003</v>
      </c>
      <c r="O1115" s="312">
        <v>0</v>
      </c>
      <c r="P1115" s="312">
        <v>0.4128</v>
      </c>
      <c r="Q1115" s="312">
        <v>0.434</v>
      </c>
      <c r="R1115" s="312">
        <v>0.61839999999999995</v>
      </c>
      <c r="S1115" s="312">
        <v>0.54179999999999995</v>
      </c>
      <c r="T1115" s="312">
        <v>0.41449999999999998</v>
      </c>
      <c r="U1115" s="312">
        <v>0.53469999999999995</v>
      </c>
      <c r="V1115" s="312">
        <v>0.48709999999999998</v>
      </c>
      <c r="W1115" s="312">
        <v>0.51270000000000004</v>
      </c>
      <c r="X1115" s="312">
        <v>0.47610000000000002</v>
      </c>
      <c r="Y1115" s="312">
        <v>0.50660000000000005</v>
      </c>
      <c r="Z1115" s="312">
        <v>0.59609999999999996</v>
      </c>
      <c r="AA1115" s="312">
        <v>0.55479999999999996</v>
      </c>
      <c r="AB1115" s="312">
        <v>0.53349999999999997</v>
      </c>
      <c r="AC1115" s="312">
        <v>0.503</v>
      </c>
      <c r="AD1115" s="312">
        <v>0.43630000000000002</v>
      </c>
      <c r="AE1115" s="312">
        <v>0.5554</v>
      </c>
      <c r="AF1115" s="312">
        <v>0.37419999999999998</v>
      </c>
      <c r="AG1115" s="312">
        <v>0.38569999999999999</v>
      </c>
      <c r="AH1115" s="312">
        <v>0.47470000000000001</v>
      </c>
      <c r="AI1115" s="312">
        <v>0.51680000000000004</v>
      </c>
      <c r="AJ1115" s="312">
        <v>0.41720000000000002</v>
      </c>
      <c r="AK1115" s="312">
        <v>0.45729999999999998</v>
      </c>
      <c r="AL1115" s="312">
        <v>0.45390000000000003</v>
      </c>
      <c r="AM1115" s="312">
        <v>0.5907</v>
      </c>
      <c r="AN1115" s="312">
        <v>0.50560000000000005</v>
      </c>
      <c r="AO1115" s="312">
        <v>0.55300000000000005</v>
      </c>
      <c r="AP1115" s="312">
        <v>0.61699999999999999</v>
      </c>
      <c r="AQ1115" s="312">
        <v>0</v>
      </c>
      <c r="AR1115" s="312">
        <v>0.55369999999999997</v>
      </c>
      <c r="AS1115" s="312">
        <v>0</v>
      </c>
      <c r="AT1115" s="312">
        <v>0.56930000000000003</v>
      </c>
      <c r="AU1115" s="312">
        <v>0.61709999999999998</v>
      </c>
      <c r="AV1115" s="312">
        <v>0.58330000000000004</v>
      </c>
      <c r="AW1115" s="312">
        <v>0.52949999999999997</v>
      </c>
      <c r="AX1115" s="312">
        <v>0.40239999999999998</v>
      </c>
      <c r="AY1115" s="312">
        <v>0.53480000000000005</v>
      </c>
      <c r="AZ1115" s="312">
        <v>0.55420000000000003</v>
      </c>
      <c r="BA1115" s="312">
        <v>0</v>
      </c>
      <c r="BB1115" s="312">
        <v>0</v>
      </c>
      <c r="BC1115" s="312">
        <v>0.58579999999999999</v>
      </c>
      <c r="BD1115" s="312">
        <v>0.60960000000000003</v>
      </c>
      <c r="BE1115" s="312">
        <v>0.65210000000000001</v>
      </c>
      <c r="BF1115" s="312">
        <v>0.54490000000000005</v>
      </c>
      <c r="BG1115" s="312">
        <v>0.621</v>
      </c>
      <c r="BH1115" s="312">
        <v>0.60329999999999995</v>
      </c>
      <c r="BI1115" s="312">
        <v>0.63329999999999997</v>
      </c>
      <c r="BJ1115" s="312">
        <v>0.56210000000000004</v>
      </c>
      <c r="BK1115" s="312">
        <v>0.60719999999999996</v>
      </c>
      <c r="BM1115">
        <f>(C1115-C704)*1000000/(RIMS_emp!C1115-RIMS_emp!C704)</f>
        <v>37543.605607845711</v>
      </c>
    </row>
    <row r="1116" spans="1:65" x14ac:dyDescent="0.25">
      <c r="A1116" s="306" t="s">
        <v>745</v>
      </c>
      <c r="B1116" s="312" t="s">
        <v>265</v>
      </c>
      <c r="C1116" s="312">
        <v>0.75409999999999999</v>
      </c>
      <c r="D1116" s="312">
        <v>0.34289999999999998</v>
      </c>
      <c r="E1116" s="312">
        <v>0.50309999999999999</v>
      </c>
      <c r="F1116" s="312">
        <v>0.4239</v>
      </c>
      <c r="G1116" s="312">
        <v>0.45069999999999999</v>
      </c>
      <c r="H1116" s="312">
        <v>0.52429999999999999</v>
      </c>
      <c r="I1116" s="312">
        <v>0.49569999999999997</v>
      </c>
      <c r="J1116" s="312">
        <v>0.46</v>
      </c>
      <c r="K1116" s="312">
        <v>7.3899999999999993E-2</v>
      </c>
      <c r="L1116" s="312">
        <v>0.3382</v>
      </c>
      <c r="M1116" s="312">
        <v>0.45500000000000002</v>
      </c>
      <c r="N1116" s="312">
        <v>0.52380000000000004</v>
      </c>
      <c r="O1116" s="312">
        <v>0.37769999999999998</v>
      </c>
      <c r="P1116" s="312">
        <v>0.38240000000000002</v>
      </c>
      <c r="Q1116" s="312">
        <v>0.3669</v>
      </c>
      <c r="R1116" s="312">
        <v>0.56279999999999997</v>
      </c>
      <c r="S1116" s="312">
        <v>0.49869999999999998</v>
      </c>
      <c r="T1116" s="312">
        <v>0.36809999999999998</v>
      </c>
      <c r="U1116" s="312">
        <v>0.48320000000000002</v>
      </c>
      <c r="V1116" s="312">
        <v>0</v>
      </c>
      <c r="W1116" s="312">
        <v>0.4698</v>
      </c>
      <c r="X1116" s="312">
        <v>0.40720000000000001</v>
      </c>
      <c r="Y1116" s="312">
        <v>0</v>
      </c>
      <c r="Z1116" s="312">
        <v>0.54269999999999996</v>
      </c>
      <c r="AA1116" s="312">
        <v>0.48749999999999999</v>
      </c>
      <c r="AB1116" s="312">
        <v>0.48459999999999998</v>
      </c>
      <c r="AC1116" s="312">
        <v>0.44319999999999998</v>
      </c>
      <c r="AD1116" s="312">
        <v>0.36480000000000001</v>
      </c>
      <c r="AE1116" s="312">
        <v>0.496</v>
      </c>
      <c r="AF1116" s="312">
        <v>0</v>
      </c>
      <c r="AG1116" s="312">
        <v>0.32969999999999999</v>
      </c>
      <c r="AH1116" s="312">
        <v>0.4254</v>
      </c>
      <c r="AI1116" s="312">
        <v>0.47199999999999998</v>
      </c>
      <c r="AJ1116" s="312">
        <v>0.35770000000000002</v>
      </c>
      <c r="AK1116" s="312">
        <v>0.38669999999999999</v>
      </c>
      <c r="AL1116" s="312">
        <v>0.39910000000000001</v>
      </c>
      <c r="AM1116" s="312">
        <v>0.55630000000000002</v>
      </c>
      <c r="AN1116" s="312">
        <v>0.44579999999999997</v>
      </c>
      <c r="AO1116" s="312">
        <v>0.47560000000000002</v>
      </c>
      <c r="AP1116" s="312">
        <v>0.57369999999999999</v>
      </c>
      <c r="AQ1116" s="312">
        <v>0</v>
      </c>
      <c r="AR1116" s="312">
        <v>0.51239999999999997</v>
      </c>
      <c r="AS1116" s="312">
        <v>0</v>
      </c>
      <c r="AT1116" s="312">
        <v>0.5242</v>
      </c>
      <c r="AU1116" s="312">
        <v>0.57630000000000003</v>
      </c>
      <c r="AV1116" s="312">
        <v>0.50429999999999997</v>
      </c>
      <c r="AW1116" s="312">
        <v>0.46429999999999999</v>
      </c>
      <c r="AX1116" s="312">
        <v>0.34410000000000002</v>
      </c>
      <c r="AY1116" s="312">
        <v>0.4657</v>
      </c>
      <c r="AZ1116" s="312">
        <v>0.48949999999999999</v>
      </c>
      <c r="BA1116" s="312">
        <v>0</v>
      </c>
      <c r="BB1116" s="312">
        <v>0.33539999999999998</v>
      </c>
      <c r="BC1116" s="312">
        <v>0.53879999999999995</v>
      </c>
      <c r="BD1116" s="312">
        <v>0.55830000000000002</v>
      </c>
      <c r="BE1116" s="312">
        <v>0.60599999999999998</v>
      </c>
      <c r="BF1116" s="312">
        <v>0.4894</v>
      </c>
      <c r="BG1116" s="312">
        <v>0.56100000000000005</v>
      </c>
      <c r="BH1116" s="312">
        <v>0.55649999999999999</v>
      </c>
      <c r="BI1116" s="312">
        <v>0.58640000000000003</v>
      </c>
      <c r="BJ1116" s="312">
        <v>0.48149999999999998</v>
      </c>
      <c r="BK1116" s="312">
        <v>0.53700000000000003</v>
      </c>
      <c r="BM1116">
        <f>(C1116-C705)*1000000/(RIMS_emp!C1116-RIMS_emp!C705)</f>
        <v>37543.185110888233</v>
      </c>
    </row>
    <row r="1117" spans="1:65" x14ac:dyDescent="0.25">
      <c r="A1117" s="306">
        <v>337212</v>
      </c>
      <c r="B1117" s="312" t="s">
        <v>268</v>
      </c>
      <c r="C1117" s="312">
        <v>0.74660000000000004</v>
      </c>
      <c r="D1117" s="312">
        <v>0</v>
      </c>
      <c r="E1117" s="312">
        <v>0.52190000000000003</v>
      </c>
      <c r="F1117" s="312">
        <v>0.45660000000000001</v>
      </c>
      <c r="G1117" s="312">
        <v>0.47989999999999999</v>
      </c>
      <c r="H1117" s="312">
        <v>0.54610000000000003</v>
      </c>
      <c r="I1117" s="312">
        <v>0.53269999999999995</v>
      </c>
      <c r="J1117" s="312">
        <v>0.47349999999999998</v>
      </c>
      <c r="K1117" s="312">
        <v>8.2500000000000004E-2</v>
      </c>
      <c r="L1117" s="312">
        <v>0.35849999999999999</v>
      </c>
      <c r="M1117" s="312">
        <v>0.4929</v>
      </c>
      <c r="N1117" s="312">
        <v>0.56920000000000004</v>
      </c>
      <c r="O1117" s="312">
        <v>0.43120000000000003</v>
      </c>
      <c r="P1117" s="312">
        <v>0.40450000000000003</v>
      </c>
      <c r="Q1117" s="312">
        <v>0.42209999999999998</v>
      </c>
      <c r="R1117" s="312">
        <v>0.57079999999999997</v>
      </c>
      <c r="S1117" s="312">
        <v>0.50900000000000001</v>
      </c>
      <c r="T1117" s="312">
        <v>0.39200000000000002</v>
      </c>
      <c r="U1117" s="312">
        <v>0.50580000000000003</v>
      </c>
      <c r="V1117" s="312">
        <v>0.4733</v>
      </c>
      <c r="W1117" s="312">
        <v>0.4869</v>
      </c>
      <c r="X1117" s="312">
        <v>0.44679999999999997</v>
      </c>
      <c r="Y1117" s="312">
        <v>0.48259999999999997</v>
      </c>
      <c r="Z1117" s="312">
        <v>0.56130000000000002</v>
      </c>
      <c r="AA1117" s="312">
        <v>0.52290000000000003</v>
      </c>
      <c r="AB1117" s="312">
        <v>0.49740000000000001</v>
      </c>
      <c r="AC1117" s="312">
        <v>0.47920000000000001</v>
      </c>
      <c r="AD1117" s="312">
        <v>0.42530000000000001</v>
      </c>
      <c r="AE1117" s="312">
        <v>0.53659999999999997</v>
      </c>
      <c r="AF1117" s="312">
        <v>0.36320000000000002</v>
      </c>
      <c r="AG1117" s="312">
        <v>0.36409999999999998</v>
      </c>
      <c r="AH1117" s="312">
        <v>0.45240000000000002</v>
      </c>
      <c r="AI1117" s="312">
        <v>0.49059999999999998</v>
      </c>
      <c r="AJ1117" s="312">
        <v>0.39789999999999998</v>
      </c>
      <c r="AK1117" s="312">
        <v>0.44159999999999999</v>
      </c>
      <c r="AL1117" s="312">
        <v>0.42759999999999998</v>
      </c>
      <c r="AM1117" s="312">
        <v>0.55230000000000001</v>
      </c>
      <c r="AN1117" s="312">
        <v>0.47439999999999999</v>
      </c>
      <c r="AO1117" s="312">
        <v>0.51490000000000002</v>
      </c>
      <c r="AP1117" s="312">
        <v>0.58089999999999997</v>
      </c>
      <c r="AQ1117" s="312">
        <v>0.44169999999999998</v>
      </c>
      <c r="AR1117" s="312">
        <v>0.53210000000000002</v>
      </c>
      <c r="AS1117" s="312">
        <v>0.39300000000000002</v>
      </c>
      <c r="AT1117" s="312">
        <v>0.53639999999999999</v>
      </c>
      <c r="AU1117" s="312">
        <v>0.57820000000000005</v>
      </c>
      <c r="AV1117" s="312">
        <v>0.53920000000000001</v>
      </c>
      <c r="AW1117" s="312">
        <v>0.50509999999999999</v>
      </c>
      <c r="AX1117" s="312">
        <v>0.3836</v>
      </c>
      <c r="AY1117" s="312">
        <v>0.50060000000000004</v>
      </c>
      <c r="AZ1117" s="312">
        <v>0.52980000000000005</v>
      </c>
      <c r="BA1117" s="312">
        <v>0.41930000000000001</v>
      </c>
      <c r="BB1117" s="312">
        <v>0</v>
      </c>
      <c r="BC1117" s="312">
        <v>0.55889999999999995</v>
      </c>
      <c r="BD1117" s="312">
        <v>0.57210000000000005</v>
      </c>
      <c r="BE1117" s="312">
        <v>0.61099999999999999</v>
      </c>
      <c r="BF1117" s="312">
        <v>0.51500000000000001</v>
      </c>
      <c r="BG1117" s="312">
        <v>0.59319999999999995</v>
      </c>
      <c r="BH1117" s="312">
        <v>0.57330000000000003</v>
      </c>
      <c r="BI1117" s="312">
        <v>0.59009999999999996</v>
      </c>
      <c r="BJ1117" s="312">
        <v>0.52859999999999996</v>
      </c>
      <c r="BK1117" s="312">
        <v>0.57179999999999997</v>
      </c>
      <c r="BM1117">
        <f>(C1117-C706)*1000000/(RIMS_emp!C1117-RIMS_emp!C706)</f>
        <v>37537.812170242709</v>
      </c>
    </row>
    <row r="1118" spans="1:65" x14ac:dyDescent="0.25">
      <c r="A1118" s="306">
        <v>337215</v>
      </c>
      <c r="B1118" s="312" t="s">
        <v>269</v>
      </c>
      <c r="C1118" s="312">
        <v>0.86639999999999995</v>
      </c>
      <c r="D1118" s="312">
        <v>0.43480000000000002</v>
      </c>
      <c r="E1118" s="312">
        <v>0.60770000000000002</v>
      </c>
      <c r="F1118" s="312">
        <v>0.52470000000000006</v>
      </c>
      <c r="G1118" s="312">
        <v>0.53410000000000002</v>
      </c>
      <c r="H1118" s="312">
        <v>0.61170000000000002</v>
      </c>
      <c r="I1118" s="312">
        <v>0.60160000000000002</v>
      </c>
      <c r="J1118" s="312">
        <v>0.52049999999999996</v>
      </c>
      <c r="K1118" s="312">
        <v>0</v>
      </c>
      <c r="L1118" s="312">
        <v>0</v>
      </c>
      <c r="M1118" s="312">
        <v>0.55089999999999995</v>
      </c>
      <c r="N1118" s="312">
        <v>0.62919999999999998</v>
      </c>
      <c r="O1118" s="312">
        <v>0.4763</v>
      </c>
      <c r="P1118" s="312">
        <v>0.45079999999999998</v>
      </c>
      <c r="Q1118" s="312">
        <v>0.45889999999999997</v>
      </c>
      <c r="R1118" s="312">
        <v>0.66510000000000002</v>
      </c>
      <c r="S1118" s="312">
        <v>0.58399999999999996</v>
      </c>
      <c r="T1118" s="312">
        <v>0.43769999999999998</v>
      </c>
      <c r="U1118" s="312">
        <v>0.58230000000000004</v>
      </c>
      <c r="V1118" s="312">
        <v>0.54669999999999996</v>
      </c>
      <c r="W1118" s="312">
        <v>0.53669999999999995</v>
      </c>
      <c r="X1118" s="312">
        <v>0.51190000000000002</v>
      </c>
      <c r="Y1118" s="312">
        <v>0.52600000000000002</v>
      </c>
      <c r="Z1118" s="312">
        <v>0.64690000000000003</v>
      </c>
      <c r="AA1118" s="312">
        <v>0.58099999999999996</v>
      </c>
      <c r="AB1118" s="312">
        <v>0.55530000000000002</v>
      </c>
      <c r="AC1118" s="312">
        <v>0.55330000000000001</v>
      </c>
      <c r="AD1118" s="312">
        <v>0.46850000000000003</v>
      </c>
      <c r="AE1118" s="312">
        <v>0.5958</v>
      </c>
      <c r="AF1118" s="312">
        <v>0.40389999999999998</v>
      </c>
      <c r="AG1118" s="312">
        <v>0.41549999999999998</v>
      </c>
      <c r="AH1118" s="312">
        <v>0.49390000000000001</v>
      </c>
      <c r="AI1118" s="312">
        <v>0.54890000000000005</v>
      </c>
      <c r="AJ1118" s="312">
        <v>0.44180000000000003</v>
      </c>
      <c r="AK1118" s="312">
        <v>0.48230000000000001</v>
      </c>
      <c r="AL1118" s="312">
        <v>0.4788</v>
      </c>
      <c r="AM1118" s="312">
        <v>0.63800000000000001</v>
      </c>
      <c r="AN1118" s="312">
        <v>0.5554</v>
      </c>
      <c r="AO1118" s="312">
        <v>0.5897</v>
      </c>
      <c r="AP1118" s="312">
        <v>0.67110000000000003</v>
      </c>
      <c r="AQ1118" s="312">
        <v>0.48230000000000001</v>
      </c>
      <c r="AR1118" s="312">
        <v>0.61140000000000005</v>
      </c>
      <c r="AS1118" s="312">
        <v>0.43459999999999999</v>
      </c>
      <c r="AT1118" s="312">
        <v>0.61209999999999998</v>
      </c>
      <c r="AU1118" s="312">
        <v>0.66620000000000001</v>
      </c>
      <c r="AV1118" s="312">
        <v>0.62170000000000003</v>
      </c>
      <c r="AW1118" s="312">
        <v>0.56499999999999995</v>
      </c>
      <c r="AX1118" s="312">
        <v>0.42130000000000001</v>
      </c>
      <c r="AY1118" s="312">
        <v>0.55840000000000001</v>
      </c>
      <c r="AZ1118" s="312">
        <v>0.58350000000000002</v>
      </c>
      <c r="BA1118" s="312">
        <v>0.47899999999999998</v>
      </c>
      <c r="BB1118" s="312">
        <v>0.41839999999999999</v>
      </c>
      <c r="BC1118" s="312">
        <v>0.6129</v>
      </c>
      <c r="BD1118" s="312">
        <v>0.66339999999999999</v>
      </c>
      <c r="BE1118" s="312">
        <v>0.7046</v>
      </c>
      <c r="BF1118" s="312">
        <v>0.57499999999999996</v>
      </c>
      <c r="BG1118" s="312">
        <v>0.66900000000000004</v>
      </c>
      <c r="BH1118" s="312">
        <v>0.66049999999999998</v>
      </c>
      <c r="BI1118" s="312">
        <v>0.6905</v>
      </c>
      <c r="BJ1118" s="312">
        <v>0.59060000000000001</v>
      </c>
      <c r="BK1118" s="312">
        <v>0.64</v>
      </c>
      <c r="BM1118">
        <f>(C1118-C707)*1000000/(RIMS_emp!C1118-RIMS_emp!C707)</f>
        <v>37539.558400931215</v>
      </c>
    </row>
    <row r="1119" spans="1:65" x14ac:dyDescent="0.25">
      <c r="A1119" s="306" t="s">
        <v>746</v>
      </c>
      <c r="B1119" s="312" t="s">
        <v>267</v>
      </c>
      <c r="C1119" s="312">
        <v>0.62250000000000005</v>
      </c>
      <c r="D1119" s="312">
        <v>0</v>
      </c>
      <c r="E1119" s="312">
        <v>0</v>
      </c>
      <c r="F1119" s="312">
        <v>0.3982</v>
      </c>
      <c r="G1119" s="312">
        <v>0.38600000000000001</v>
      </c>
      <c r="H1119" s="312">
        <v>0.43340000000000001</v>
      </c>
      <c r="I1119" s="312">
        <v>0</v>
      </c>
      <c r="J1119" s="312">
        <v>0.35770000000000002</v>
      </c>
      <c r="K1119" s="312">
        <v>0</v>
      </c>
      <c r="L1119" s="312">
        <v>0</v>
      </c>
      <c r="M1119" s="312">
        <v>0.40479999999999999</v>
      </c>
      <c r="N1119" s="312">
        <v>0.49890000000000001</v>
      </c>
      <c r="O1119" s="312">
        <v>0.35399999999999998</v>
      </c>
      <c r="P1119" s="312">
        <v>0.31290000000000001</v>
      </c>
      <c r="Q1119" s="312">
        <v>0.38469999999999999</v>
      </c>
      <c r="R1119" s="312">
        <v>0.43390000000000001</v>
      </c>
      <c r="S1119" s="312">
        <v>0.39489999999999997</v>
      </c>
      <c r="T1119" s="312">
        <v>0.3105</v>
      </c>
      <c r="U1119" s="312">
        <v>0</v>
      </c>
      <c r="V1119" s="312">
        <v>0.43309999999999998</v>
      </c>
      <c r="W1119" s="312">
        <v>0.37719999999999998</v>
      </c>
      <c r="X1119" s="312">
        <v>0.35249999999999998</v>
      </c>
      <c r="Y1119" s="312">
        <v>0.43080000000000002</v>
      </c>
      <c r="Z1119" s="312">
        <v>0.46850000000000003</v>
      </c>
      <c r="AA1119" s="312">
        <v>0.43519999999999998</v>
      </c>
      <c r="AB1119" s="312">
        <v>0.39050000000000001</v>
      </c>
      <c r="AC1119" s="312">
        <v>0</v>
      </c>
      <c r="AD1119" s="312">
        <v>0.39579999999999999</v>
      </c>
      <c r="AE1119" s="312">
        <v>0.46229999999999999</v>
      </c>
      <c r="AF1119" s="312">
        <v>0</v>
      </c>
      <c r="AG1119" s="312">
        <v>0.29039999999999999</v>
      </c>
      <c r="AH1119" s="312">
        <v>0</v>
      </c>
      <c r="AI1119" s="312">
        <v>0.38569999999999999</v>
      </c>
      <c r="AJ1119" s="312">
        <v>0.3296</v>
      </c>
      <c r="AK1119" s="312">
        <v>0.37959999999999999</v>
      </c>
      <c r="AL1119" s="312">
        <v>0.33839999999999998</v>
      </c>
      <c r="AM1119" s="312">
        <v>0.42309999999999998</v>
      </c>
      <c r="AN1119" s="312">
        <v>0.38850000000000001</v>
      </c>
      <c r="AO1119" s="312">
        <v>0.4556</v>
      </c>
      <c r="AP1119" s="312">
        <v>0.47099999999999997</v>
      </c>
      <c r="AQ1119" s="312">
        <v>0</v>
      </c>
      <c r="AR1119" s="312">
        <v>0.45789999999999997</v>
      </c>
      <c r="AS1119" s="312">
        <v>0</v>
      </c>
      <c r="AT1119" s="312">
        <v>0.42880000000000001</v>
      </c>
      <c r="AU1119" s="312">
        <v>0.49180000000000001</v>
      </c>
      <c r="AV1119" s="312">
        <v>0.42709999999999998</v>
      </c>
      <c r="AW1119" s="312">
        <v>0.44030000000000002</v>
      </c>
      <c r="AX1119" s="312">
        <v>0</v>
      </c>
      <c r="AY1119" s="312">
        <v>0.41920000000000002</v>
      </c>
      <c r="AZ1119" s="312">
        <v>0.45529999999999998</v>
      </c>
      <c r="BA1119" s="312">
        <v>0</v>
      </c>
      <c r="BB1119" s="312">
        <v>0.311</v>
      </c>
      <c r="BC1119" s="312">
        <v>0.44400000000000001</v>
      </c>
      <c r="BD1119" s="312">
        <v>0.44259999999999999</v>
      </c>
      <c r="BE1119" s="312">
        <v>0.49080000000000001</v>
      </c>
      <c r="BF1119" s="312">
        <v>0.42509999999999998</v>
      </c>
      <c r="BG1119" s="312">
        <v>0.51349999999999996</v>
      </c>
      <c r="BH1119" s="312">
        <v>0.4874</v>
      </c>
      <c r="BI1119" s="312">
        <v>0.51400000000000001</v>
      </c>
      <c r="BJ1119" s="312">
        <v>0.45789999999999997</v>
      </c>
      <c r="BK1119" s="312">
        <v>0.49130000000000001</v>
      </c>
      <c r="BM1119">
        <f>(C1119-C708)*1000000/(RIMS_emp!C1119-RIMS_emp!C708)</f>
        <v>37547.039268296801</v>
      </c>
    </row>
    <row r="1120" spans="1:65" x14ac:dyDescent="0.25">
      <c r="A1120" s="306">
        <v>337910</v>
      </c>
      <c r="B1120" s="312" t="s">
        <v>270</v>
      </c>
      <c r="C1120" s="312">
        <v>0.72989999999999999</v>
      </c>
      <c r="D1120" s="312">
        <v>0</v>
      </c>
      <c r="E1120" s="312">
        <v>0.44729999999999998</v>
      </c>
      <c r="F1120" s="312">
        <v>0.39529999999999998</v>
      </c>
      <c r="G1120" s="312">
        <v>0.4022</v>
      </c>
      <c r="H1120" s="312">
        <v>0.49349999999999999</v>
      </c>
      <c r="I1120" s="312">
        <v>0.45450000000000002</v>
      </c>
      <c r="J1120" s="312">
        <v>0.45229999999999998</v>
      </c>
      <c r="K1120" s="312">
        <v>0</v>
      </c>
      <c r="L1120" s="312">
        <v>0</v>
      </c>
      <c r="M1120" s="312">
        <v>0.41349999999999998</v>
      </c>
      <c r="N1120" s="312">
        <v>0.496</v>
      </c>
      <c r="O1120" s="312">
        <v>0.32940000000000003</v>
      </c>
      <c r="P1120" s="312">
        <v>0.34599999999999997</v>
      </c>
      <c r="Q1120" s="312">
        <v>0.29360000000000003</v>
      </c>
      <c r="R1120" s="312">
        <v>0.54779999999999995</v>
      </c>
      <c r="S1120" s="312">
        <v>0.46510000000000001</v>
      </c>
      <c r="T1120" s="312">
        <v>0.32379999999999998</v>
      </c>
      <c r="U1120" s="312">
        <v>0.46610000000000001</v>
      </c>
      <c r="V1120" s="312">
        <v>0.36830000000000002</v>
      </c>
      <c r="W1120" s="312">
        <v>0.43819999999999998</v>
      </c>
      <c r="X1120" s="312">
        <v>0.40770000000000001</v>
      </c>
      <c r="Y1120" s="312">
        <v>0.4219</v>
      </c>
      <c r="Z1120" s="312">
        <v>0.5</v>
      </c>
      <c r="AA1120" s="312">
        <v>0.46189999999999998</v>
      </c>
      <c r="AB1120" s="312">
        <v>0.4622</v>
      </c>
      <c r="AC1120" s="312">
        <v>0.41860000000000003</v>
      </c>
      <c r="AD1120" s="312">
        <v>0.29859999999999998</v>
      </c>
      <c r="AE1120" s="312">
        <v>0.47789999999999999</v>
      </c>
      <c r="AF1120" s="312">
        <v>0.26669999999999999</v>
      </c>
      <c r="AG1120" s="312">
        <v>0.28210000000000002</v>
      </c>
      <c r="AH1120" s="312">
        <v>0.41</v>
      </c>
      <c r="AI1120" s="312">
        <v>0.46010000000000001</v>
      </c>
      <c r="AJ1120" s="312">
        <v>0.3367</v>
      </c>
      <c r="AK1120" s="312">
        <v>0.3513</v>
      </c>
      <c r="AL1120" s="312">
        <v>0.35249999999999998</v>
      </c>
      <c r="AM1120" s="312">
        <v>0.52470000000000006</v>
      </c>
      <c r="AN1120" s="312">
        <v>0.4269</v>
      </c>
      <c r="AO1120" s="312">
        <v>0.44119999999999998</v>
      </c>
      <c r="AP1120" s="312">
        <v>0.5383</v>
      </c>
      <c r="AQ1120" s="312">
        <v>0</v>
      </c>
      <c r="AR1120" s="312">
        <v>0.50190000000000001</v>
      </c>
      <c r="AS1120" s="312">
        <v>0</v>
      </c>
      <c r="AT1120" s="312">
        <v>0.50480000000000003</v>
      </c>
      <c r="AU1120" s="312">
        <v>0.55420000000000003</v>
      </c>
      <c r="AV1120" s="312">
        <v>0.43530000000000002</v>
      </c>
      <c r="AW1120" s="312">
        <v>0.42630000000000001</v>
      </c>
      <c r="AX1120" s="312">
        <v>0</v>
      </c>
      <c r="AY1120" s="312">
        <v>0.4405</v>
      </c>
      <c r="AZ1120" s="312">
        <v>0.48880000000000001</v>
      </c>
      <c r="BA1120" s="312">
        <v>0.3458</v>
      </c>
      <c r="BB1120" s="312">
        <v>0</v>
      </c>
      <c r="BC1120" s="312">
        <v>0.53459999999999996</v>
      </c>
      <c r="BD1120" s="312">
        <v>0.53320000000000001</v>
      </c>
      <c r="BE1120" s="312">
        <v>0.57509999999999994</v>
      </c>
      <c r="BF1120" s="312">
        <v>0.45519999999999999</v>
      </c>
      <c r="BG1120" s="312">
        <v>0.53649999999999998</v>
      </c>
      <c r="BH1120" s="312">
        <v>0.53669999999999995</v>
      </c>
      <c r="BI1120" s="312">
        <v>0.55149999999999999</v>
      </c>
      <c r="BJ1120" s="312">
        <v>0.42670000000000002</v>
      </c>
      <c r="BK1120" s="312">
        <v>0.50080000000000002</v>
      </c>
      <c r="BM1120">
        <f>(C1120-C709)*1000000/(RIMS_emp!C1120-RIMS_emp!C709)</f>
        <v>37535.441343676684</v>
      </c>
    </row>
    <row r="1121" spans="1:65" x14ac:dyDescent="0.25">
      <c r="A1121" s="306">
        <v>337920</v>
      </c>
      <c r="B1121" s="312" t="s">
        <v>271</v>
      </c>
      <c r="C1121" s="312">
        <v>0.83620000000000005</v>
      </c>
      <c r="D1121" s="312">
        <v>0.39140000000000003</v>
      </c>
      <c r="E1121" s="312">
        <v>0.53239999999999998</v>
      </c>
      <c r="F1121" s="312">
        <v>0</v>
      </c>
      <c r="G1121" s="312">
        <v>0.53349999999999997</v>
      </c>
      <c r="H1121" s="312">
        <v>0.59709999999999996</v>
      </c>
      <c r="I1121" s="312">
        <v>0.55120000000000002</v>
      </c>
      <c r="J1121" s="312">
        <v>0.53420000000000001</v>
      </c>
      <c r="K1121" s="312">
        <v>0</v>
      </c>
      <c r="L1121" s="312">
        <v>0.36870000000000003</v>
      </c>
      <c r="M1121" s="312">
        <v>0.51980000000000004</v>
      </c>
      <c r="N1121" s="312">
        <v>0.62439999999999996</v>
      </c>
      <c r="O1121" s="312">
        <v>0.438</v>
      </c>
      <c r="P1121" s="312">
        <v>0.42670000000000002</v>
      </c>
      <c r="Q1121" s="312">
        <v>0</v>
      </c>
      <c r="R1121" s="312">
        <v>0.62280000000000002</v>
      </c>
      <c r="S1121" s="312">
        <v>0.57469999999999999</v>
      </c>
      <c r="T1121" s="312">
        <v>0.41020000000000001</v>
      </c>
      <c r="U1121" s="312">
        <v>0.53510000000000002</v>
      </c>
      <c r="V1121" s="312">
        <v>0.48770000000000002</v>
      </c>
      <c r="W1121" s="312">
        <v>0.55279999999999996</v>
      </c>
      <c r="X1121" s="312">
        <v>0.46289999999999998</v>
      </c>
      <c r="Y1121" s="312">
        <v>0</v>
      </c>
      <c r="Z1121" s="312">
        <v>0.60299999999999998</v>
      </c>
      <c r="AA1121" s="312">
        <v>0.56420000000000003</v>
      </c>
      <c r="AB1121" s="312">
        <v>0.5716</v>
      </c>
      <c r="AC1121" s="312">
        <v>0.48670000000000002</v>
      </c>
      <c r="AD1121" s="312">
        <v>0</v>
      </c>
      <c r="AE1121" s="312">
        <v>0.57799999999999996</v>
      </c>
      <c r="AF1121" s="312">
        <v>0.36009999999999998</v>
      </c>
      <c r="AG1121" s="312">
        <v>0.37419999999999998</v>
      </c>
      <c r="AH1121" s="312">
        <v>0.50890000000000002</v>
      </c>
      <c r="AI1121" s="312">
        <v>0.55759999999999998</v>
      </c>
      <c r="AJ1121" s="312">
        <v>0.41270000000000001</v>
      </c>
      <c r="AK1121" s="312">
        <v>0.46989999999999998</v>
      </c>
      <c r="AL1121" s="312">
        <v>0.46510000000000001</v>
      </c>
      <c r="AM1121" s="312">
        <v>0.63490000000000002</v>
      </c>
      <c r="AN1121" s="312">
        <v>0.49840000000000001</v>
      </c>
      <c r="AO1121" s="312">
        <v>0.51910000000000001</v>
      </c>
      <c r="AP1121" s="312">
        <v>0.64219999999999999</v>
      </c>
      <c r="AQ1121" s="312">
        <v>0.48859999999999998</v>
      </c>
      <c r="AR1121" s="312">
        <v>0.58640000000000003</v>
      </c>
      <c r="AS1121" s="312">
        <v>0.41909999999999997</v>
      </c>
      <c r="AT1121" s="312">
        <v>0.61029999999999995</v>
      </c>
      <c r="AU1121" s="312">
        <v>0.63200000000000001</v>
      </c>
      <c r="AV1121" s="312">
        <v>0.56040000000000001</v>
      </c>
      <c r="AW1121" s="312">
        <v>0.5413</v>
      </c>
      <c r="AX1121" s="312">
        <v>0.377</v>
      </c>
      <c r="AY1121" s="312">
        <v>0.53549999999999998</v>
      </c>
      <c r="AZ1121" s="312">
        <v>0.56810000000000005</v>
      </c>
      <c r="BA1121" s="312">
        <v>0</v>
      </c>
      <c r="BB1121" s="312">
        <v>0</v>
      </c>
      <c r="BC1121" s="312">
        <v>0.62439999999999996</v>
      </c>
      <c r="BD1121" s="312">
        <v>0.63790000000000002</v>
      </c>
      <c r="BE1121" s="312">
        <v>0.69120000000000004</v>
      </c>
      <c r="BF1121" s="312">
        <v>0.57730000000000004</v>
      </c>
      <c r="BG1121" s="312">
        <v>0.65769999999999995</v>
      </c>
      <c r="BH1121" s="312">
        <v>0.63249999999999995</v>
      </c>
      <c r="BI1121" s="312">
        <v>0.63600000000000001</v>
      </c>
      <c r="BJ1121" s="312">
        <v>0.55130000000000001</v>
      </c>
      <c r="BK1121" s="312">
        <v>0.60260000000000002</v>
      </c>
      <c r="BM1121">
        <f>(C1121-C710)*1000000/(RIMS_emp!C1121-RIMS_emp!C710)</f>
        <v>37552.138298406964</v>
      </c>
    </row>
    <row r="1122" spans="1:65" x14ac:dyDescent="0.25">
      <c r="A1122" s="306">
        <v>339112</v>
      </c>
      <c r="B1122" s="312" t="s">
        <v>747</v>
      </c>
      <c r="C1122" s="312">
        <v>0.79720000000000002</v>
      </c>
      <c r="D1122" s="312">
        <v>0.40439999999999998</v>
      </c>
      <c r="E1122" s="312">
        <v>0.54330000000000001</v>
      </c>
      <c r="F1122" s="312">
        <v>0.49940000000000001</v>
      </c>
      <c r="G1122" s="312">
        <v>0.55000000000000004</v>
      </c>
      <c r="H1122" s="312">
        <v>0.63800000000000001</v>
      </c>
      <c r="I1122" s="312">
        <v>0.61770000000000003</v>
      </c>
      <c r="J1122" s="312">
        <v>0.54179999999999995</v>
      </c>
      <c r="K1122" s="312">
        <v>0</v>
      </c>
      <c r="L1122" s="312">
        <v>0</v>
      </c>
      <c r="M1122" s="312">
        <v>0.58440000000000003</v>
      </c>
      <c r="N1122" s="312">
        <v>0.60670000000000002</v>
      </c>
      <c r="O1122" s="312">
        <v>0</v>
      </c>
      <c r="P1122" s="312">
        <v>0.44940000000000002</v>
      </c>
      <c r="Q1122" s="312">
        <v>0.45810000000000001</v>
      </c>
      <c r="R1122" s="312">
        <v>0.64859999999999995</v>
      </c>
      <c r="S1122" s="312">
        <v>0.56479999999999997</v>
      </c>
      <c r="T1122" s="312">
        <v>0.43990000000000001</v>
      </c>
      <c r="U1122" s="312">
        <v>0.52580000000000005</v>
      </c>
      <c r="V1122" s="312">
        <v>0.52080000000000004</v>
      </c>
      <c r="W1122" s="312">
        <v>0.57199999999999995</v>
      </c>
      <c r="X1122" s="312">
        <v>0.4849</v>
      </c>
      <c r="Y1122" s="312">
        <v>0.53159999999999996</v>
      </c>
      <c r="Z1122" s="312">
        <v>0.60399999999999998</v>
      </c>
      <c r="AA1122" s="312">
        <v>0.59660000000000002</v>
      </c>
      <c r="AB1122" s="312">
        <v>0.5524</v>
      </c>
      <c r="AC1122" s="312">
        <v>0.47720000000000001</v>
      </c>
      <c r="AD1122" s="312">
        <v>0.46179999999999999</v>
      </c>
      <c r="AE1122" s="312">
        <v>0.5736</v>
      </c>
      <c r="AF1122" s="312">
        <v>0.39439999999999997</v>
      </c>
      <c r="AG1122" s="312">
        <v>0.47049999999999997</v>
      </c>
      <c r="AH1122" s="312">
        <v>0.51700000000000002</v>
      </c>
      <c r="AI1122" s="312">
        <v>0.56779999999999997</v>
      </c>
      <c r="AJ1122" s="312">
        <v>0</v>
      </c>
      <c r="AK1122" s="312">
        <v>0.49609999999999999</v>
      </c>
      <c r="AL1122" s="312">
        <v>0.4995</v>
      </c>
      <c r="AM1122" s="312">
        <v>0.61040000000000005</v>
      </c>
      <c r="AN1122" s="312">
        <v>0.52729999999999999</v>
      </c>
      <c r="AO1122" s="312">
        <v>0.54410000000000003</v>
      </c>
      <c r="AP1122" s="312">
        <v>0.63039999999999996</v>
      </c>
      <c r="AQ1122" s="312">
        <v>0.5202</v>
      </c>
      <c r="AR1122" s="312">
        <v>0.57199999999999995</v>
      </c>
      <c r="AS1122" s="312">
        <v>0.44390000000000002</v>
      </c>
      <c r="AT1122" s="312">
        <v>0.57789999999999997</v>
      </c>
      <c r="AU1122" s="312">
        <v>0.61850000000000005</v>
      </c>
      <c r="AV1122" s="312">
        <v>0.6159</v>
      </c>
      <c r="AW1122" s="312">
        <v>0.52980000000000005</v>
      </c>
      <c r="AX1122" s="312">
        <v>0.47699999999999998</v>
      </c>
      <c r="AY1122" s="312">
        <v>0.55110000000000003</v>
      </c>
      <c r="AZ1122" s="312">
        <v>0.5635</v>
      </c>
      <c r="BA1122" s="312">
        <v>0</v>
      </c>
      <c r="BB1122" s="312">
        <v>0</v>
      </c>
      <c r="BC1122" s="312">
        <v>0.64590000000000003</v>
      </c>
      <c r="BD1122" s="312">
        <v>0.64929999999999999</v>
      </c>
      <c r="BE1122" s="312">
        <v>0.67110000000000003</v>
      </c>
      <c r="BF1122" s="312">
        <v>0.58420000000000005</v>
      </c>
      <c r="BG1122" s="312">
        <v>0.63639999999999997</v>
      </c>
      <c r="BH1122" s="312">
        <v>0.59030000000000005</v>
      </c>
      <c r="BI1122" s="312">
        <v>0.61780000000000002</v>
      </c>
      <c r="BJ1122" s="312">
        <v>0.59870000000000001</v>
      </c>
      <c r="BK1122" s="312">
        <v>0.64329999999999998</v>
      </c>
      <c r="BM1122">
        <f>(C1122-C711)*1000000/(RIMS_emp!C1122-RIMS_emp!C711)</f>
        <v>37543.156840523952</v>
      </c>
    </row>
    <row r="1123" spans="1:65" x14ac:dyDescent="0.25">
      <c r="A1123" s="306">
        <v>339114</v>
      </c>
      <c r="B1123" s="312" t="s">
        <v>272</v>
      </c>
      <c r="C1123" s="312">
        <v>0.8206</v>
      </c>
      <c r="D1123" s="312">
        <v>0</v>
      </c>
      <c r="E1123" s="312">
        <v>0.57489999999999997</v>
      </c>
      <c r="F1123" s="312">
        <v>0.51729999999999998</v>
      </c>
      <c r="G1123" s="312">
        <v>0.5776</v>
      </c>
      <c r="H1123" s="312">
        <v>0.64790000000000003</v>
      </c>
      <c r="I1123" s="312">
        <v>0.63490000000000002</v>
      </c>
      <c r="J1123" s="312">
        <v>0.54920000000000002</v>
      </c>
      <c r="K1123" s="312">
        <v>0</v>
      </c>
      <c r="L1123" s="312">
        <v>0.40660000000000002</v>
      </c>
      <c r="M1123" s="312">
        <v>0.59709999999999996</v>
      </c>
      <c r="N1123" s="312">
        <v>0.62250000000000005</v>
      </c>
      <c r="O1123" s="312">
        <v>0</v>
      </c>
      <c r="P1123" s="312">
        <v>0</v>
      </c>
      <c r="Q1123" s="312">
        <v>0.4829</v>
      </c>
      <c r="R1123" s="312">
        <v>0.65469999999999995</v>
      </c>
      <c r="S1123" s="312">
        <v>0.56950000000000001</v>
      </c>
      <c r="T1123" s="312">
        <v>0.4632</v>
      </c>
      <c r="U1123" s="312">
        <v>0.5504</v>
      </c>
      <c r="V1123" s="312">
        <v>0</v>
      </c>
      <c r="W1123" s="312">
        <v>0.56540000000000001</v>
      </c>
      <c r="X1123" s="312">
        <v>0.5081</v>
      </c>
      <c r="Y1123" s="312">
        <v>0</v>
      </c>
      <c r="Z1123" s="312">
        <v>0.62129999999999996</v>
      </c>
      <c r="AA1123" s="312">
        <v>0.59750000000000003</v>
      </c>
      <c r="AB1123" s="312">
        <v>0.57550000000000001</v>
      </c>
      <c r="AC1123" s="312">
        <v>0.48380000000000001</v>
      </c>
      <c r="AD1123" s="312">
        <v>0.49009999999999998</v>
      </c>
      <c r="AE1123" s="312">
        <v>0.57189999999999996</v>
      </c>
      <c r="AF1123" s="312">
        <v>0.41510000000000002</v>
      </c>
      <c r="AG1123" s="312">
        <v>0</v>
      </c>
      <c r="AH1123" s="312">
        <v>0</v>
      </c>
      <c r="AI1123" s="312">
        <v>0.56979999999999997</v>
      </c>
      <c r="AJ1123" s="312">
        <v>0.50149999999999995</v>
      </c>
      <c r="AK1123" s="312">
        <v>0.53490000000000004</v>
      </c>
      <c r="AL1123" s="312">
        <v>0.51790000000000003</v>
      </c>
      <c r="AM1123" s="312">
        <v>0.63349999999999995</v>
      </c>
      <c r="AN1123" s="312">
        <v>0.55520000000000003</v>
      </c>
      <c r="AO1123" s="312">
        <v>0.5806</v>
      </c>
      <c r="AP1123" s="312">
        <v>0.64239999999999997</v>
      </c>
      <c r="AQ1123" s="312">
        <v>0.51339999999999997</v>
      </c>
      <c r="AR1123" s="312">
        <v>0.57099999999999995</v>
      </c>
      <c r="AS1123" s="312">
        <v>0.4647</v>
      </c>
      <c r="AT1123" s="312">
        <v>0.60240000000000005</v>
      </c>
      <c r="AU1123" s="312">
        <v>0.6532</v>
      </c>
      <c r="AV1123" s="312">
        <v>0.6472</v>
      </c>
      <c r="AW1123" s="312">
        <v>0</v>
      </c>
      <c r="AX1123" s="312">
        <v>0</v>
      </c>
      <c r="AY1123" s="312">
        <v>0.5867</v>
      </c>
      <c r="AZ1123" s="312">
        <v>0.57989999999999997</v>
      </c>
      <c r="BA1123" s="312">
        <v>0</v>
      </c>
      <c r="BB1123" s="312">
        <v>0</v>
      </c>
      <c r="BC1123" s="312">
        <v>0.64370000000000005</v>
      </c>
      <c r="BD1123" s="312">
        <v>0.66090000000000004</v>
      </c>
      <c r="BE1123" s="312">
        <v>0.6845</v>
      </c>
      <c r="BF1123" s="312">
        <v>0.59589999999999999</v>
      </c>
      <c r="BG1123" s="312">
        <v>0.65600000000000003</v>
      </c>
      <c r="BH1123" s="312">
        <v>0.61729999999999996</v>
      </c>
      <c r="BI1123" s="312">
        <v>0.65310000000000001</v>
      </c>
      <c r="BJ1123" s="312">
        <v>0.63300000000000001</v>
      </c>
      <c r="BK1123" s="312">
        <v>0.66249999999999998</v>
      </c>
      <c r="BM1123">
        <f>(C1123-C712)*1000000/(RIMS_emp!C1123-RIMS_emp!C712)</f>
        <v>37532.482494655596</v>
      </c>
    </row>
    <row r="1124" spans="1:65" x14ac:dyDescent="0.25">
      <c r="A1124" s="306">
        <v>339115</v>
      </c>
      <c r="B1124" s="312" t="s">
        <v>273</v>
      </c>
      <c r="C1124" s="312">
        <v>0.73760000000000003</v>
      </c>
      <c r="D1124" s="312">
        <v>0</v>
      </c>
      <c r="E1124" s="312">
        <v>0.50419999999999998</v>
      </c>
      <c r="F1124" s="312">
        <v>0.47360000000000002</v>
      </c>
      <c r="G1124" s="312">
        <v>0.50900000000000001</v>
      </c>
      <c r="H1124" s="312">
        <v>0.59219999999999995</v>
      </c>
      <c r="I1124" s="312">
        <v>0.57679999999999998</v>
      </c>
      <c r="J1124" s="312">
        <v>0.50460000000000005</v>
      </c>
      <c r="K1124" s="312">
        <v>0</v>
      </c>
      <c r="L1124" s="312">
        <v>0</v>
      </c>
      <c r="M1124" s="312">
        <v>0.54659999999999997</v>
      </c>
      <c r="N1124" s="312">
        <v>0.56120000000000003</v>
      </c>
      <c r="O1124" s="312">
        <v>0.4587</v>
      </c>
      <c r="P1124" s="312">
        <v>0.4214</v>
      </c>
      <c r="Q1124" s="312">
        <v>0.43020000000000003</v>
      </c>
      <c r="R1124" s="312">
        <v>0.59919999999999995</v>
      </c>
      <c r="S1124" s="312">
        <v>0.53449999999999998</v>
      </c>
      <c r="T1124" s="312">
        <v>0.41039999999999999</v>
      </c>
      <c r="U1124" s="312">
        <v>0.49020000000000002</v>
      </c>
      <c r="V1124" s="312">
        <v>0.48570000000000002</v>
      </c>
      <c r="W1124" s="312">
        <v>0.52859999999999996</v>
      </c>
      <c r="X1124" s="312">
        <v>0.44409999999999999</v>
      </c>
      <c r="Y1124" s="312">
        <v>0.49459999999999998</v>
      </c>
      <c r="Z1124" s="312">
        <v>0.56110000000000004</v>
      </c>
      <c r="AA1124" s="312">
        <v>0.55689999999999995</v>
      </c>
      <c r="AB1124" s="312">
        <v>0.51759999999999995</v>
      </c>
      <c r="AC1124" s="312">
        <v>0.44590000000000002</v>
      </c>
      <c r="AD1124" s="312">
        <v>0.43530000000000002</v>
      </c>
      <c r="AE1124" s="312">
        <v>0.53369999999999995</v>
      </c>
      <c r="AF1124" s="312">
        <v>0</v>
      </c>
      <c r="AG1124" s="312">
        <v>0.4471</v>
      </c>
      <c r="AH1124" s="312">
        <v>0.47970000000000002</v>
      </c>
      <c r="AI1124" s="312">
        <v>0.52270000000000005</v>
      </c>
      <c r="AJ1124" s="312">
        <v>0.43319999999999997</v>
      </c>
      <c r="AK1124" s="312">
        <v>0.45960000000000001</v>
      </c>
      <c r="AL1124" s="312">
        <v>0.4612</v>
      </c>
      <c r="AM1124" s="312">
        <v>0.56730000000000003</v>
      </c>
      <c r="AN1124" s="312">
        <v>0.48759999999999998</v>
      </c>
      <c r="AO1124" s="312">
        <v>0.50580000000000003</v>
      </c>
      <c r="AP1124" s="312">
        <v>0.58499999999999996</v>
      </c>
      <c r="AQ1124" s="312">
        <v>0.48499999999999999</v>
      </c>
      <c r="AR1124" s="312">
        <v>0.53500000000000003</v>
      </c>
      <c r="AS1124" s="312">
        <v>0.41849999999999998</v>
      </c>
      <c r="AT1124" s="312">
        <v>0.53649999999999998</v>
      </c>
      <c r="AU1124" s="312">
        <v>0.5696</v>
      </c>
      <c r="AV1124" s="312">
        <v>0.57679999999999998</v>
      </c>
      <c r="AW1124" s="312">
        <v>0.48859999999999998</v>
      </c>
      <c r="AX1124" s="312">
        <v>0.44950000000000001</v>
      </c>
      <c r="AY1124" s="312">
        <v>0.51280000000000003</v>
      </c>
      <c r="AZ1124" s="312">
        <v>0.52769999999999995</v>
      </c>
      <c r="BA1124" s="312">
        <v>0.4088</v>
      </c>
      <c r="BB1124" s="312">
        <v>0.39450000000000002</v>
      </c>
      <c r="BC1124" s="312">
        <v>0.59909999999999997</v>
      </c>
      <c r="BD1124" s="312">
        <v>0.59930000000000005</v>
      </c>
      <c r="BE1124" s="312">
        <v>0.62509999999999999</v>
      </c>
      <c r="BF1124" s="312">
        <v>0.54990000000000006</v>
      </c>
      <c r="BG1124" s="312">
        <v>0.58919999999999995</v>
      </c>
      <c r="BH1124" s="312">
        <v>0.54579999999999995</v>
      </c>
      <c r="BI1124" s="312">
        <v>0.57020000000000004</v>
      </c>
      <c r="BJ1124" s="312">
        <v>0.56110000000000004</v>
      </c>
      <c r="BK1124" s="312">
        <v>0.59809999999999997</v>
      </c>
      <c r="BM1124">
        <f>(C1124-C713)*1000000/(RIMS_emp!C1124-RIMS_emp!C713)</f>
        <v>37541.301127948056</v>
      </c>
    </row>
    <row r="1125" spans="1:65" x14ac:dyDescent="0.25">
      <c r="A1125" s="306">
        <v>339116</v>
      </c>
      <c r="B1125" s="312" t="s">
        <v>748</v>
      </c>
      <c r="C1125" s="312">
        <v>1.1355999999999999</v>
      </c>
      <c r="D1125" s="312">
        <v>0.6714</v>
      </c>
      <c r="E1125" s="312">
        <v>0.82550000000000001</v>
      </c>
      <c r="F1125" s="312">
        <v>0.78539999999999999</v>
      </c>
      <c r="G1125" s="312">
        <v>0.85799999999999998</v>
      </c>
      <c r="H1125" s="312">
        <v>0.96109999999999995</v>
      </c>
      <c r="I1125" s="312">
        <v>0.95669999999999999</v>
      </c>
      <c r="J1125" s="312">
        <v>0.82450000000000001</v>
      </c>
      <c r="K1125" s="312">
        <v>0.186</v>
      </c>
      <c r="L1125" s="312">
        <v>0.64400000000000002</v>
      </c>
      <c r="M1125" s="312">
        <v>0.90720000000000001</v>
      </c>
      <c r="N1125" s="312">
        <v>0.89659999999999995</v>
      </c>
      <c r="O1125" s="312">
        <v>0.81630000000000003</v>
      </c>
      <c r="P1125" s="312">
        <v>0.70809999999999995</v>
      </c>
      <c r="Q1125" s="312">
        <v>0.74470000000000003</v>
      </c>
      <c r="R1125" s="312">
        <v>0.95450000000000002</v>
      </c>
      <c r="S1125" s="312">
        <v>0.83509999999999995</v>
      </c>
      <c r="T1125" s="312">
        <v>0.69650000000000001</v>
      </c>
      <c r="U1125" s="312">
        <v>0.82479999999999998</v>
      </c>
      <c r="V1125" s="312">
        <v>0.82440000000000002</v>
      </c>
      <c r="W1125" s="312">
        <v>0.84450000000000003</v>
      </c>
      <c r="X1125" s="312">
        <v>0.75080000000000002</v>
      </c>
      <c r="Y1125" s="312">
        <v>0.8206</v>
      </c>
      <c r="Z1125" s="312">
        <v>0.92290000000000005</v>
      </c>
      <c r="AA1125" s="312">
        <v>0.89910000000000001</v>
      </c>
      <c r="AB1125" s="312">
        <v>0.83819999999999995</v>
      </c>
      <c r="AC1125" s="312">
        <v>0.74419999999999997</v>
      </c>
      <c r="AD1125" s="312">
        <v>0.78739999999999999</v>
      </c>
      <c r="AE1125" s="312">
        <v>0.85850000000000004</v>
      </c>
      <c r="AF1125" s="312">
        <v>0.66</v>
      </c>
      <c r="AG1125" s="312">
        <v>0.73</v>
      </c>
      <c r="AH1125" s="312">
        <v>0.74780000000000002</v>
      </c>
      <c r="AI1125" s="312">
        <v>0.84499999999999997</v>
      </c>
      <c r="AJ1125" s="312">
        <v>0.76439999999999997</v>
      </c>
      <c r="AK1125" s="312">
        <v>0.80249999999999999</v>
      </c>
      <c r="AL1125" s="312">
        <v>0.79149999999999998</v>
      </c>
      <c r="AM1125" s="312">
        <v>0.89890000000000003</v>
      </c>
      <c r="AN1125" s="312">
        <v>0.83679999999999999</v>
      </c>
      <c r="AO1125" s="312">
        <v>0.86770000000000003</v>
      </c>
      <c r="AP1125" s="312">
        <v>0.92569999999999997</v>
      </c>
      <c r="AQ1125" s="312">
        <v>0.76729999999999998</v>
      </c>
      <c r="AR1125" s="312">
        <v>0.82699999999999996</v>
      </c>
      <c r="AS1125" s="312">
        <v>0.72130000000000005</v>
      </c>
      <c r="AT1125" s="312">
        <v>0.87329999999999997</v>
      </c>
      <c r="AU1125" s="312">
        <v>0.92279999999999995</v>
      </c>
      <c r="AV1125" s="312">
        <v>0.95330000000000004</v>
      </c>
      <c r="AW1125" s="312">
        <v>0.82010000000000005</v>
      </c>
      <c r="AX1125" s="312">
        <v>0.72130000000000005</v>
      </c>
      <c r="AY1125" s="312">
        <v>0.86680000000000001</v>
      </c>
      <c r="AZ1125" s="312">
        <v>0.87519999999999998</v>
      </c>
      <c r="BA1125" s="312">
        <v>0.67390000000000005</v>
      </c>
      <c r="BB1125" s="312">
        <v>0.70050000000000001</v>
      </c>
      <c r="BC1125" s="312">
        <v>0.94640000000000002</v>
      </c>
      <c r="BD1125" s="312">
        <v>0.96830000000000005</v>
      </c>
      <c r="BE1125" s="312">
        <v>0.9839</v>
      </c>
      <c r="BF1125" s="312">
        <v>0.87190000000000001</v>
      </c>
      <c r="BG1125" s="312">
        <v>0.95230000000000004</v>
      </c>
      <c r="BH1125" s="312">
        <v>0.88590000000000002</v>
      </c>
      <c r="BI1125" s="312">
        <v>0.92649999999999999</v>
      </c>
      <c r="BJ1125" s="312">
        <v>0.93659999999999999</v>
      </c>
      <c r="BK1125" s="312">
        <v>0.97050000000000003</v>
      </c>
      <c r="BM1125">
        <f>(C1125-C714)*1000000/(RIMS_emp!C1125-RIMS_emp!C714)</f>
        <v>37540.357271709661</v>
      </c>
    </row>
    <row r="1126" spans="1:65" x14ac:dyDescent="0.25">
      <c r="A1126" s="306" t="s">
        <v>749</v>
      </c>
      <c r="B1126" s="312" t="s">
        <v>750</v>
      </c>
      <c r="C1126" s="312">
        <v>0.78359999999999996</v>
      </c>
      <c r="D1126" s="312">
        <v>0.38429999999999997</v>
      </c>
      <c r="E1126" s="312">
        <v>0.53159999999999996</v>
      </c>
      <c r="F1126" s="312">
        <v>0.47560000000000002</v>
      </c>
      <c r="G1126" s="312">
        <v>0.53129999999999999</v>
      </c>
      <c r="H1126" s="312">
        <v>0.61370000000000002</v>
      </c>
      <c r="I1126" s="312">
        <v>0.58640000000000003</v>
      </c>
      <c r="J1126" s="312">
        <v>0.51449999999999996</v>
      </c>
      <c r="K1126" s="312">
        <v>0</v>
      </c>
      <c r="L1126" s="312">
        <v>0.37980000000000003</v>
      </c>
      <c r="M1126" s="312">
        <v>0.55679999999999996</v>
      </c>
      <c r="N1126" s="312">
        <v>0.58960000000000001</v>
      </c>
      <c r="O1126" s="312">
        <v>0.46529999999999999</v>
      </c>
      <c r="P1126" s="312">
        <v>0.43009999999999998</v>
      </c>
      <c r="Q1126" s="312">
        <v>0.43519999999999998</v>
      </c>
      <c r="R1126" s="312">
        <v>0.621</v>
      </c>
      <c r="S1126" s="312">
        <v>0.53979999999999995</v>
      </c>
      <c r="T1126" s="312">
        <v>0.4219</v>
      </c>
      <c r="U1126" s="312">
        <v>0.50839999999999996</v>
      </c>
      <c r="V1126" s="312">
        <v>0.50529999999999997</v>
      </c>
      <c r="W1126" s="312">
        <v>0.54420000000000002</v>
      </c>
      <c r="X1126" s="312">
        <v>0.46379999999999999</v>
      </c>
      <c r="Y1126" s="312">
        <v>0.51</v>
      </c>
      <c r="Z1126" s="312">
        <v>0.58350000000000002</v>
      </c>
      <c r="AA1126" s="312">
        <v>0.56640000000000001</v>
      </c>
      <c r="AB1126" s="312">
        <v>0.52329999999999999</v>
      </c>
      <c r="AC1126" s="312">
        <v>0.46200000000000002</v>
      </c>
      <c r="AD1126" s="312">
        <v>0.4405</v>
      </c>
      <c r="AE1126" s="312">
        <v>0.55020000000000002</v>
      </c>
      <c r="AF1126" s="312">
        <v>0.37330000000000002</v>
      </c>
      <c r="AG1126" s="312">
        <v>0.43940000000000001</v>
      </c>
      <c r="AH1126" s="312">
        <v>0.49320000000000003</v>
      </c>
      <c r="AI1126" s="312">
        <v>0.53879999999999995</v>
      </c>
      <c r="AJ1126" s="312">
        <v>0.44590000000000002</v>
      </c>
      <c r="AK1126" s="312">
        <v>0.47339999999999999</v>
      </c>
      <c r="AL1126" s="312">
        <v>0.47910000000000003</v>
      </c>
      <c r="AM1126" s="312">
        <v>0.59309999999999996</v>
      </c>
      <c r="AN1126" s="312">
        <v>0.50880000000000003</v>
      </c>
      <c r="AO1126" s="312">
        <v>0.52900000000000003</v>
      </c>
      <c r="AP1126" s="312">
        <v>0.60740000000000005</v>
      </c>
      <c r="AQ1126" s="312">
        <v>0.48809999999999998</v>
      </c>
      <c r="AR1126" s="312">
        <v>0.55159999999999998</v>
      </c>
      <c r="AS1126" s="312">
        <v>0.42049999999999998</v>
      </c>
      <c r="AT1126" s="312">
        <v>0.56689999999999996</v>
      </c>
      <c r="AU1126" s="312">
        <v>0.60250000000000004</v>
      </c>
      <c r="AV1126" s="312">
        <v>0.59099999999999997</v>
      </c>
      <c r="AW1126" s="312">
        <v>0.51549999999999996</v>
      </c>
      <c r="AX1126" s="312">
        <v>0.44750000000000001</v>
      </c>
      <c r="AY1126" s="312">
        <v>0.53339999999999999</v>
      </c>
      <c r="AZ1126" s="312">
        <v>0.54649999999999999</v>
      </c>
      <c r="BA1126" s="312">
        <v>0.41959999999999997</v>
      </c>
      <c r="BB1126" s="312">
        <v>0.40179999999999999</v>
      </c>
      <c r="BC1126" s="312">
        <v>0.61809999999999998</v>
      </c>
      <c r="BD1126" s="312">
        <v>0.62490000000000001</v>
      </c>
      <c r="BE1126" s="312">
        <v>0.64759999999999995</v>
      </c>
      <c r="BF1126" s="312">
        <v>0.55559999999999998</v>
      </c>
      <c r="BG1126" s="312">
        <v>0.62160000000000004</v>
      </c>
      <c r="BH1126" s="312">
        <v>0.58260000000000001</v>
      </c>
      <c r="BI1126" s="312">
        <v>0.60389999999999999</v>
      </c>
      <c r="BJ1126" s="312">
        <v>0.57140000000000002</v>
      </c>
      <c r="BK1126" s="312">
        <v>0.62209999999999999</v>
      </c>
      <c r="BM1126">
        <f>(C1126-C715)*1000000/(RIMS_emp!C1126-RIMS_emp!C715)</f>
        <v>37538.544040756118</v>
      </c>
    </row>
    <row r="1127" spans="1:65" x14ac:dyDescent="0.25">
      <c r="A1127" s="306">
        <v>339910</v>
      </c>
      <c r="B1127" s="312" t="s">
        <v>274</v>
      </c>
      <c r="C1127" s="312">
        <v>0.72699999999999998</v>
      </c>
      <c r="D1127" s="312">
        <v>0.35570000000000002</v>
      </c>
      <c r="E1127" s="312">
        <v>0.4849</v>
      </c>
      <c r="F1127" s="312">
        <v>0.42080000000000001</v>
      </c>
      <c r="G1127" s="312">
        <v>0.49030000000000001</v>
      </c>
      <c r="H1127" s="312">
        <v>0.55310000000000004</v>
      </c>
      <c r="I1127" s="312">
        <v>0.55430000000000001</v>
      </c>
      <c r="J1127" s="312">
        <v>0.46920000000000001</v>
      </c>
      <c r="K1127" s="312">
        <v>0</v>
      </c>
      <c r="L1127" s="312">
        <v>0.3342</v>
      </c>
      <c r="M1127" s="312">
        <v>0.49569999999999997</v>
      </c>
      <c r="N1127" s="312">
        <v>0.51270000000000004</v>
      </c>
      <c r="O1127" s="312">
        <v>0.45019999999999999</v>
      </c>
      <c r="P1127" s="312">
        <v>0.38229999999999997</v>
      </c>
      <c r="Q1127" s="312">
        <v>0.41160000000000002</v>
      </c>
      <c r="R1127" s="312">
        <v>0.55459999999999998</v>
      </c>
      <c r="S1127" s="312">
        <v>0.47989999999999999</v>
      </c>
      <c r="T1127" s="312">
        <v>0.37919999999999998</v>
      </c>
      <c r="U1127" s="312">
        <v>0.45939999999999998</v>
      </c>
      <c r="V1127" s="312">
        <v>0.48659999999999998</v>
      </c>
      <c r="W1127" s="312">
        <v>0.495</v>
      </c>
      <c r="X1127" s="312">
        <v>0.41589999999999999</v>
      </c>
      <c r="Y1127" s="312">
        <v>0.46679999999999999</v>
      </c>
      <c r="Z1127" s="312">
        <v>0.53900000000000003</v>
      </c>
      <c r="AA1127" s="312">
        <v>0.52800000000000002</v>
      </c>
      <c r="AB1127" s="312">
        <v>0.48830000000000001</v>
      </c>
      <c r="AC1127" s="312">
        <v>0.40410000000000001</v>
      </c>
      <c r="AD1127" s="312">
        <v>0.43280000000000002</v>
      </c>
      <c r="AE1127" s="312">
        <v>0.48749999999999999</v>
      </c>
      <c r="AF1127" s="312">
        <v>0.35820000000000002</v>
      </c>
      <c r="AG1127" s="312">
        <v>0.38379999999999997</v>
      </c>
      <c r="AH1127" s="312">
        <v>0.43930000000000002</v>
      </c>
      <c r="AI1127" s="312">
        <v>0.50380000000000003</v>
      </c>
      <c r="AJ1127" s="312">
        <v>0.43759999999999999</v>
      </c>
      <c r="AK1127" s="312">
        <v>0.4551</v>
      </c>
      <c r="AL1127" s="312">
        <v>0.4556</v>
      </c>
      <c r="AM1127" s="312">
        <v>0.54269999999999996</v>
      </c>
      <c r="AN1127" s="312">
        <v>0.48420000000000002</v>
      </c>
      <c r="AO1127" s="312">
        <v>0.4914</v>
      </c>
      <c r="AP1127" s="312">
        <v>0.56810000000000005</v>
      </c>
      <c r="AQ1127" s="312">
        <v>0.45979999999999999</v>
      </c>
      <c r="AR1127" s="312">
        <v>0.4839</v>
      </c>
      <c r="AS1127" s="312">
        <v>0.39600000000000002</v>
      </c>
      <c r="AT1127" s="312">
        <v>0.50519999999999998</v>
      </c>
      <c r="AU1127" s="312">
        <v>0.56850000000000001</v>
      </c>
      <c r="AV1127" s="312">
        <v>0.57830000000000004</v>
      </c>
      <c r="AW1127" s="312">
        <v>0.45739999999999997</v>
      </c>
      <c r="AX1127" s="312">
        <v>0.41639999999999999</v>
      </c>
      <c r="AY1127" s="312">
        <v>0.4955</v>
      </c>
      <c r="AZ1127" s="312">
        <v>0.48670000000000002</v>
      </c>
      <c r="BA1127" s="312">
        <v>0.37359999999999999</v>
      </c>
      <c r="BB1127" s="312">
        <v>0.36859999999999998</v>
      </c>
      <c r="BC1127" s="312">
        <v>0.56889999999999996</v>
      </c>
      <c r="BD1127" s="312">
        <v>0.58589999999999998</v>
      </c>
      <c r="BE1127" s="312">
        <v>0.58479999999999999</v>
      </c>
      <c r="BF1127" s="312">
        <v>0.50919999999999999</v>
      </c>
      <c r="BG1127" s="312">
        <v>0.54349999999999998</v>
      </c>
      <c r="BH1127" s="312">
        <v>0.51990000000000003</v>
      </c>
      <c r="BI1127" s="312">
        <v>0.5706</v>
      </c>
      <c r="BJ1127" s="312">
        <v>0.56579999999999997</v>
      </c>
      <c r="BK1127" s="312">
        <v>0.56810000000000005</v>
      </c>
      <c r="BM1127">
        <f>(C1127-C716)*1000000/(RIMS_emp!C1127-RIMS_emp!C716)</f>
        <v>37541.725069722408</v>
      </c>
    </row>
    <row r="1128" spans="1:65" x14ac:dyDescent="0.25">
      <c r="A1128" s="306">
        <v>339920</v>
      </c>
      <c r="B1128" s="312" t="s">
        <v>275</v>
      </c>
      <c r="C1128" s="312">
        <v>0.82940000000000003</v>
      </c>
      <c r="D1128" s="312">
        <v>0</v>
      </c>
      <c r="E1128" s="312">
        <v>0.55400000000000005</v>
      </c>
      <c r="F1128" s="312">
        <v>0.49159999999999998</v>
      </c>
      <c r="G1128" s="312">
        <v>0.5272</v>
      </c>
      <c r="H1128" s="312">
        <v>0.61399999999999999</v>
      </c>
      <c r="I1128" s="312">
        <v>0.58109999999999995</v>
      </c>
      <c r="J1128" s="312">
        <v>0.50549999999999995</v>
      </c>
      <c r="K1128" s="312">
        <v>0</v>
      </c>
      <c r="L1128" s="312">
        <v>0.3614</v>
      </c>
      <c r="M1128" s="312">
        <v>0.53039999999999998</v>
      </c>
      <c r="N1128" s="312">
        <v>0.58120000000000005</v>
      </c>
      <c r="O1128" s="312">
        <v>0.4491</v>
      </c>
      <c r="P1128" s="312">
        <v>0.44240000000000002</v>
      </c>
      <c r="Q1128" s="312">
        <v>0.432</v>
      </c>
      <c r="R1128" s="312">
        <v>0.65159999999999996</v>
      </c>
      <c r="S1128" s="312">
        <v>0.54879999999999995</v>
      </c>
      <c r="T1128" s="312">
        <v>0.42080000000000001</v>
      </c>
      <c r="U1128" s="312">
        <v>0.53879999999999995</v>
      </c>
      <c r="V1128" s="312">
        <v>0.51859999999999995</v>
      </c>
      <c r="W1128" s="312">
        <v>0.53710000000000002</v>
      </c>
      <c r="X1128" s="312">
        <v>0.45100000000000001</v>
      </c>
      <c r="Y1128" s="312">
        <v>0.4869</v>
      </c>
      <c r="Z1128" s="312">
        <v>0.60029999999999994</v>
      </c>
      <c r="AA1128" s="312">
        <v>0.56889999999999996</v>
      </c>
      <c r="AB1128" s="312">
        <v>0.54490000000000005</v>
      </c>
      <c r="AC1128" s="312">
        <v>0.47510000000000002</v>
      </c>
      <c r="AD1128" s="312">
        <v>0.44119999999999998</v>
      </c>
      <c r="AE1128" s="312">
        <v>0.53459999999999996</v>
      </c>
      <c r="AF1128" s="312">
        <v>0.35220000000000001</v>
      </c>
      <c r="AG1128" s="312">
        <v>0.41909999999999997</v>
      </c>
      <c r="AH1128" s="312">
        <v>0.47299999999999998</v>
      </c>
      <c r="AI1128" s="312">
        <v>0.51970000000000005</v>
      </c>
      <c r="AJ1128" s="312">
        <v>0.41889999999999999</v>
      </c>
      <c r="AK1128" s="312">
        <v>0.45490000000000003</v>
      </c>
      <c r="AL1128" s="312">
        <v>0.4677</v>
      </c>
      <c r="AM1128" s="312">
        <v>0.6079</v>
      </c>
      <c r="AN1128" s="312">
        <v>0.5181</v>
      </c>
      <c r="AO1128" s="312">
        <v>0.54669999999999996</v>
      </c>
      <c r="AP1128" s="312">
        <v>0.61760000000000004</v>
      </c>
      <c r="AQ1128" s="312">
        <v>0.46739999999999998</v>
      </c>
      <c r="AR1128" s="312">
        <v>0.5474</v>
      </c>
      <c r="AS1128" s="312">
        <v>0</v>
      </c>
      <c r="AT1128" s="312">
        <v>0.58760000000000001</v>
      </c>
      <c r="AU1128" s="312">
        <v>0.62170000000000003</v>
      </c>
      <c r="AV1128" s="312">
        <v>0.58850000000000002</v>
      </c>
      <c r="AW1128" s="312">
        <v>0.5262</v>
      </c>
      <c r="AX1128" s="312">
        <v>0.437</v>
      </c>
      <c r="AY1128" s="312">
        <v>0.54039999999999999</v>
      </c>
      <c r="AZ1128" s="312">
        <v>0.55740000000000001</v>
      </c>
      <c r="BA1128" s="312">
        <v>0.40579999999999999</v>
      </c>
      <c r="BB1128" s="312">
        <v>0.38479999999999998</v>
      </c>
      <c r="BC1128" s="312">
        <v>0.61550000000000005</v>
      </c>
      <c r="BD1128" s="312">
        <v>0.62529999999999997</v>
      </c>
      <c r="BE1128" s="312">
        <v>0.67349999999999999</v>
      </c>
      <c r="BF1128" s="312">
        <v>0.55889999999999995</v>
      </c>
      <c r="BG1128" s="312">
        <v>0.61419999999999997</v>
      </c>
      <c r="BH1128" s="312">
        <v>0.60909999999999997</v>
      </c>
      <c r="BI1128" s="312">
        <v>0.6321</v>
      </c>
      <c r="BJ1128" s="312">
        <v>0.56479999999999997</v>
      </c>
      <c r="BK1128" s="312">
        <v>0.62590000000000001</v>
      </c>
      <c r="BM1128">
        <f>(C1128-C717)*1000000/(RIMS_emp!C1128-RIMS_emp!C717)</f>
        <v>37541.322052360272</v>
      </c>
    </row>
    <row r="1129" spans="1:65" x14ac:dyDescent="0.25">
      <c r="A1129" s="306">
        <v>339930</v>
      </c>
      <c r="B1129" s="312" t="s">
        <v>276</v>
      </c>
      <c r="C1129" s="312">
        <v>0.69340000000000002</v>
      </c>
      <c r="D1129" s="312">
        <v>0.3</v>
      </c>
      <c r="E1129" s="312">
        <v>0</v>
      </c>
      <c r="F1129" s="312">
        <v>0.41289999999999999</v>
      </c>
      <c r="G1129" s="312">
        <v>0.41110000000000002</v>
      </c>
      <c r="H1129" s="312">
        <v>0.4909</v>
      </c>
      <c r="I1129" s="312">
        <v>0.45860000000000001</v>
      </c>
      <c r="J1129" s="312">
        <v>0.43709999999999999</v>
      </c>
      <c r="K1129" s="312">
        <v>0</v>
      </c>
      <c r="L1129" s="312">
        <v>0.317</v>
      </c>
      <c r="M1129" s="312">
        <v>0.43440000000000001</v>
      </c>
      <c r="N1129" s="312">
        <v>0.50680000000000003</v>
      </c>
      <c r="O1129" s="312">
        <v>0</v>
      </c>
      <c r="P1129" s="312">
        <v>0.36449999999999999</v>
      </c>
      <c r="Q1129" s="312">
        <v>0.35970000000000002</v>
      </c>
      <c r="R1129" s="312">
        <v>0.5272</v>
      </c>
      <c r="S1129" s="312">
        <v>0.45939999999999998</v>
      </c>
      <c r="T1129" s="312">
        <v>0.35320000000000001</v>
      </c>
      <c r="U1129" s="312">
        <v>0.44109999999999999</v>
      </c>
      <c r="V1129" s="312">
        <v>0.45779999999999998</v>
      </c>
      <c r="W1129" s="312">
        <v>0.4587</v>
      </c>
      <c r="X1129" s="312">
        <v>0.371</v>
      </c>
      <c r="Y1129" s="312">
        <v>0.41870000000000002</v>
      </c>
      <c r="Z1129" s="312">
        <v>0.50170000000000003</v>
      </c>
      <c r="AA1129" s="312">
        <v>0.46339999999999998</v>
      </c>
      <c r="AB1129" s="312">
        <v>0.44619999999999999</v>
      </c>
      <c r="AC1129" s="312">
        <v>0.40899999999999997</v>
      </c>
      <c r="AD1129" s="312">
        <v>0.35220000000000001</v>
      </c>
      <c r="AE1129" s="312">
        <v>0.47499999999999998</v>
      </c>
      <c r="AF1129" s="312">
        <v>0</v>
      </c>
      <c r="AG1129" s="312">
        <v>0.34370000000000001</v>
      </c>
      <c r="AH1129" s="312">
        <v>0.39340000000000003</v>
      </c>
      <c r="AI1129" s="312">
        <v>0.44700000000000001</v>
      </c>
      <c r="AJ1129" s="312">
        <v>0.34739999999999999</v>
      </c>
      <c r="AK1129" s="312">
        <v>0.37609999999999999</v>
      </c>
      <c r="AL1129" s="312">
        <v>0.3841</v>
      </c>
      <c r="AM1129" s="312">
        <v>0.51939999999999997</v>
      </c>
      <c r="AN1129" s="312">
        <v>0.42099999999999999</v>
      </c>
      <c r="AO1129" s="312">
        <v>0.43480000000000002</v>
      </c>
      <c r="AP1129" s="312">
        <v>0.51790000000000003</v>
      </c>
      <c r="AQ1129" s="312">
        <v>0.40899999999999997</v>
      </c>
      <c r="AR1129" s="312">
        <v>0</v>
      </c>
      <c r="AS1129" s="312">
        <v>0.34610000000000002</v>
      </c>
      <c r="AT1129" s="312">
        <v>0.49159999999999998</v>
      </c>
      <c r="AU1129" s="312">
        <v>0.52859999999999996</v>
      </c>
      <c r="AV1129" s="312">
        <v>0.4642</v>
      </c>
      <c r="AW1129" s="312">
        <v>0.44</v>
      </c>
      <c r="AX1129" s="312">
        <v>0.35580000000000001</v>
      </c>
      <c r="AY1129" s="312">
        <v>0.45319999999999999</v>
      </c>
      <c r="AZ1129" s="312">
        <v>0.46610000000000001</v>
      </c>
      <c r="BA1129" s="312">
        <v>0.34820000000000001</v>
      </c>
      <c r="BB1129" s="312">
        <v>0.31540000000000001</v>
      </c>
      <c r="BC1129" s="312">
        <v>0.52439999999999998</v>
      </c>
      <c r="BD1129" s="312">
        <v>0.51239999999999997</v>
      </c>
      <c r="BE1129" s="312">
        <v>0.5554</v>
      </c>
      <c r="BF1129" s="312">
        <v>0.45729999999999998</v>
      </c>
      <c r="BG1129" s="312">
        <v>0.53669999999999995</v>
      </c>
      <c r="BH1129" s="312">
        <v>0.51180000000000003</v>
      </c>
      <c r="BI1129" s="312">
        <v>0.53979999999999995</v>
      </c>
      <c r="BJ1129" s="312">
        <v>0.44750000000000001</v>
      </c>
      <c r="BK1129" s="312">
        <v>0.50239999999999996</v>
      </c>
      <c r="BM1129">
        <f>(C1129-C718)*1000000/(RIMS_emp!C1129-RIMS_emp!C718)</f>
        <v>37541.472874089115</v>
      </c>
    </row>
    <row r="1130" spans="1:65" x14ac:dyDescent="0.25">
      <c r="A1130" s="306">
        <v>339940</v>
      </c>
      <c r="B1130" s="312" t="s">
        <v>277</v>
      </c>
      <c r="C1130" s="312">
        <v>0.73960000000000004</v>
      </c>
      <c r="D1130" s="312">
        <v>0.36780000000000002</v>
      </c>
      <c r="E1130" s="312">
        <v>0.50170000000000003</v>
      </c>
      <c r="F1130" s="312">
        <v>0.47810000000000002</v>
      </c>
      <c r="G1130" s="312">
        <v>0.48320000000000002</v>
      </c>
      <c r="H1130" s="312">
        <v>0.54610000000000003</v>
      </c>
      <c r="I1130" s="312">
        <v>0.53879999999999995</v>
      </c>
      <c r="J1130" s="312">
        <v>0.47360000000000002</v>
      </c>
      <c r="K1130" s="312">
        <v>9.6799999999999997E-2</v>
      </c>
      <c r="L1130" s="312">
        <v>0.36720000000000003</v>
      </c>
      <c r="M1130" s="312">
        <v>0.50670000000000004</v>
      </c>
      <c r="N1130" s="312">
        <v>0.5645</v>
      </c>
      <c r="O1130" s="312">
        <v>0.43590000000000001</v>
      </c>
      <c r="P1130" s="312">
        <v>0.42449999999999999</v>
      </c>
      <c r="Q1130" s="312">
        <v>0.43280000000000002</v>
      </c>
      <c r="R1130" s="312">
        <v>0.57899999999999996</v>
      </c>
      <c r="S1130" s="312">
        <v>0.51929999999999998</v>
      </c>
      <c r="T1130" s="312">
        <v>0.40820000000000001</v>
      </c>
      <c r="U1130" s="312">
        <v>0.49059999999999998</v>
      </c>
      <c r="V1130" s="312">
        <v>0.50119999999999998</v>
      </c>
      <c r="W1130" s="312">
        <v>0.4859</v>
      </c>
      <c r="X1130" s="312">
        <v>0.42980000000000002</v>
      </c>
      <c r="Y1130" s="312">
        <v>0.4829</v>
      </c>
      <c r="Z1130" s="312">
        <v>0.55089999999999995</v>
      </c>
      <c r="AA1130" s="312">
        <v>0.51770000000000005</v>
      </c>
      <c r="AB1130" s="312">
        <v>0.50329999999999997</v>
      </c>
      <c r="AC1130" s="312">
        <v>0.45179999999999998</v>
      </c>
      <c r="AD1130" s="312">
        <v>0.43190000000000001</v>
      </c>
      <c r="AE1130" s="312">
        <v>0.52600000000000002</v>
      </c>
      <c r="AF1130" s="312">
        <v>0.36840000000000001</v>
      </c>
      <c r="AG1130" s="312">
        <v>0.41</v>
      </c>
      <c r="AH1130" s="312">
        <v>0.4415</v>
      </c>
      <c r="AI1130" s="312">
        <v>0.50519999999999998</v>
      </c>
      <c r="AJ1130" s="312">
        <v>0.42870000000000003</v>
      </c>
      <c r="AK1130" s="312">
        <v>0.44700000000000001</v>
      </c>
      <c r="AL1130" s="312">
        <v>0.44550000000000001</v>
      </c>
      <c r="AM1130" s="312">
        <v>0.56869999999999998</v>
      </c>
      <c r="AN1130" s="312">
        <v>0.4849</v>
      </c>
      <c r="AO1130" s="312">
        <v>0.50690000000000002</v>
      </c>
      <c r="AP1130" s="312">
        <v>0.56730000000000003</v>
      </c>
      <c r="AQ1130" s="312">
        <v>0.45279999999999998</v>
      </c>
      <c r="AR1130" s="312">
        <v>0.53110000000000002</v>
      </c>
      <c r="AS1130" s="312">
        <v>0.40589999999999998</v>
      </c>
      <c r="AT1130" s="312">
        <v>0.54269999999999996</v>
      </c>
      <c r="AU1130" s="312">
        <v>0.58250000000000002</v>
      </c>
      <c r="AV1130" s="312">
        <v>0.54259999999999997</v>
      </c>
      <c r="AW1130" s="312">
        <v>0.48880000000000001</v>
      </c>
      <c r="AX1130" s="312">
        <v>0</v>
      </c>
      <c r="AY1130" s="312">
        <v>0.50749999999999995</v>
      </c>
      <c r="AZ1130" s="312">
        <v>0.52729999999999999</v>
      </c>
      <c r="BA1130" s="312">
        <v>0.41710000000000003</v>
      </c>
      <c r="BB1130" s="312">
        <v>0.39169999999999999</v>
      </c>
      <c r="BC1130" s="312">
        <v>0.56679999999999997</v>
      </c>
      <c r="BD1130" s="312">
        <v>0.57669999999999999</v>
      </c>
      <c r="BE1130" s="312">
        <v>0.61209999999999998</v>
      </c>
      <c r="BF1130" s="312">
        <v>0.51739999999999997</v>
      </c>
      <c r="BG1130" s="312">
        <v>0.59019999999999995</v>
      </c>
      <c r="BH1130" s="312">
        <v>0.56399999999999995</v>
      </c>
      <c r="BI1130" s="312">
        <v>0.59289999999999998</v>
      </c>
      <c r="BJ1130" s="312">
        <v>0.52939999999999998</v>
      </c>
      <c r="BK1130" s="312">
        <v>0.5585</v>
      </c>
      <c r="BM1130">
        <f>(C1130-C719)*1000000/(RIMS_emp!C1130-RIMS_emp!C719)</f>
        <v>37541.54711513879</v>
      </c>
    </row>
    <row r="1131" spans="1:65" x14ac:dyDescent="0.25">
      <c r="A1131" s="306">
        <v>339950</v>
      </c>
      <c r="B1131" s="312" t="s">
        <v>278</v>
      </c>
      <c r="C1131" s="312">
        <v>0.95330000000000004</v>
      </c>
      <c r="D1131" s="312">
        <v>0.4466</v>
      </c>
      <c r="E1131" s="312">
        <v>0.65059999999999996</v>
      </c>
      <c r="F1131" s="312">
        <v>0.58069999999999999</v>
      </c>
      <c r="G1131" s="312">
        <v>0.60809999999999997</v>
      </c>
      <c r="H1131" s="312">
        <v>0.70820000000000005</v>
      </c>
      <c r="I1131" s="312">
        <v>0.68140000000000001</v>
      </c>
      <c r="J1131" s="312">
        <v>0.61280000000000001</v>
      </c>
      <c r="K1131" s="312">
        <v>0.1168</v>
      </c>
      <c r="L1131" s="312">
        <v>0.44450000000000001</v>
      </c>
      <c r="M1131" s="312">
        <v>0.62729999999999997</v>
      </c>
      <c r="N1131" s="312">
        <v>0.71870000000000001</v>
      </c>
      <c r="O1131" s="312">
        <v>0.53869999999999996</v>
      </c>
      <c r="P1131" s="312">
        <v>0.51629999999999998</v>
      </c>
      <c r="Q1131" s="312">
        <v>0.5222</v>
      </c>
      <c r="R1131" s="312">
        <v>0.75080000000000002</v>
      </c>
      <c r="S1131" s="312">
        <v>0.64929999999999999</v>
      </c>
      <c r="T1131" s="312">
        <v>0.502</v>
      </c>
      <c r="U1131" s="312">
        <v>0.63449999999999995</v>
      </c>
      <c r="V1131" s="312">
        <v>0.5998</v>
      </c>
      <c r="W1131" s="312">
        <v>0.64049999999999996</v>
      </c>
      <c r="X1131" s="312">
        <v>0.55549999999999999</v>
      </c>
      <c r="Y1131" s="312">
        <v>0.60950000000000004</v>
      </c>
      <c r="Z1131" s="312">
        <v>0.71220000000000006</v>
      </c>
      <c r="AA1131" s="312">
        <v>0.6764</v>
      </c>
      <c r="AB1131" s="312">
        <v>0.64470000000000005</v>
      </c>
      <c r="AC1131" s="312">
        <v>0.56369999999999998</v>
      </c>
      <c r="AD1131" s="312">
        <v>0.5131</v>
      </c>
      <c r="AE1131" s="312">
        <v>0.66400000000000003</v>
      </c>
      <c r="AF1131" s="312">
        <v>0.43540000000000001</v>
      </c>
      <c r="AG1131" s="312">
        <v>0.50519999999999998</v>
      </c>
      <c r="AH1131" s="312">
        <v>0.58209999999999995</v>
      </c>
      <c r="AI1131" s="312">
        <v>0.63460000000000005</v>
      </c>
      <c r="AJ1131" s="312">
        <v>0.50229999999999997</v>
      </c>
      <c r="AK1131" s="312">
        <v>0.56659999999999999</v>
      </c>
      <c r="AL1131" s="312">
        <v>0.55489999999999995</v>
      </c>
      <c r="AM1131" s="312">
        <v>0.72929999999999995</v>
      </c>
      <c r="AN1131" s="312">
        <v>0.6099</v>
      </c>
      <c r="AO1131" s="312">
        <v>0.64229999999999998</v>
      </c>
      <c r="AP1131" s="312">
        <v>0.72919999999999996</v>
      </c>
      <c r="AQ1131" s="312">
        <v>0.5847</v>
      </c>
      <c r="AR1131" s="312">
        <v>0.67130000000000001</v>
      </c>
      <c r="AS1131" s="312">
        <v>0.4914</v>
      </c>
      <c r="AT1131" s="312">
        <v>0.68889999999999996</v>
      </c>
      <c r="AU1131" s="312">
        <v>0.72719999999999996</v>
      </c>
      <c r="AV1131" s="312">
        <v>0.68700000000000006</v>
      </c>
      <c r="AW1131" s="312">
        <v>0.62760000000000005</v>
      </c>
      <c r="AX1131" s="312">
        <v>0.52259999999999995</v>
      </c>
      <c r="AY1131" s="312">
        <v>0.6401</v>
      </c>
      <c r="AZ1131" s="312">
        <v>0.66539999999999999</v>
      </c>
      <c r="BA1131" s="312">
        <v>0.49559999999999998</v>
      </c>
      <c r="BB1131" s="312">
        <v>0.46310000000000001</v>
      </c>
      <c r="BC1131" s="312">
        <v>0.73460000000000003</v>
      </c>
      <c r="BD1131" s="312">
        <v>0.73240000000000005</v>
      </c>
      <c r="BE1131" s="312">
        <v>0.78390000000000004</v>
      </c>
      <c r="BF1131" s="312">
        <v>0.66379999999999995</v>
      </c>
      <c r="BG1131" s="312">
        <v>0.74450000000000005</v>
      </c>
      <c r="BH1131" s="312">
        <v>0.71460000000000001</v>
      </c>
      <c r="BI1131" s="312">
        <v>0.73399999999999999</v>
      </c>
      <c r="BJ1131" s="312">
        <v>0.66100000000000003</v>
      </c>
      <c r="BK1131" s="312">
        <v>0.72250000000000003</v>
      </c>
      <c r="BM1131">
        <f>(C1131-C720)*1000000/(RIMS_emp!C1131-RIMS_emp!C720)</f>
        <v>37545.595803533055</v>
      </c>
    </row>
    <row r="1132" spans="1:65" x14ac:dyDescent="0.25">
      <c r="A1132" s="306">
        <v>339991</v>
      </c>
      <c r="B1132" s="312" t="s">
        <v>1</v>
      </c>
      <c r="C1132" s="312">
        <v>0.95330000000000004</v>
      </c>
      <c r="D1132" s="312">
        <v>0</v>
      </c>
      <c r="E1132" s="312">
        <v>0.67179999999999995</v>
      </c>
      <c r="F1132" s="312">
        <v>0.57940000000000003</v>
      </c>
      <c r="G1132" s="312">
        <v>0.61439999999999995</v>
      </c>
      <c r="H1132" s="312">
        <v>0.70250000000000001</v>
      </c>
      <c r="I1132" s="312">
        <v>0.68659999999999999</v>
      </c>
      <c r="J1132" s="312">
        <v>0.62770000000000004</v>
      </c>
      <c r="K1132" s="312">
        <v>0</v>
      </c>
      <c r="L1132" s="312">
        <v>0.44790000000000002</v>
      </c>
      <c r="M1132" s="312">
        <v>0.63280000000000003</v>
      </c>
      <c r="N1132" s="312">
        <v>0.67769999999999997</v>
      </c>
      <c r="O1132" s="312">
        <v>0</v>
      </c>
      <c r="P1132" s="312">
        <v>0.52549999999999997</v>
      </c>
      <c r="Q1132" s="312">
        <v>0</v>
      </c>
      <c r="R1132" s="312">
        <v>0.77470000000000006</v>
      </c>
      <c r="S1132" s="312">
        <v>0.68300000000000005</v>
      </c>
      <c r="T1132" s="312">
        <v>0.52329999999999999</v>
      </c>
      <c r="U1132" s="312">
        <v>0.66210000000000002</v>
      </c>
      <c r="V1132" s="312">
        <v>0.6764</v>
      </c>
      <c r="W1132" s="312">
        <v>0.65159999999999996</v>
      </c>
      <c r="X1132" s="312">
        <v>0.54300000000000004</v>
      </c>
      <c r="Y1132" s="312">
        <v>0.61560000000000004</v>
      </c>
      <c r="Z1132" s="312">
        <v>0.73340000000000005</v>
      </c>
      <c r="AA1132" s="312">
        <v>0.6704</v>
      </c>
      <c r="AB1132" s="312">
        <v>0.64910000000000001</v>
      </c>
      <c r="AC1132" s="312">
        <v>0.56140000000000001</v>
      </c>
      <c r="AD1132" s="312">
        <v>0.54790000000000005</v>
      </c>
      <c r="AE1132" s="312">
        <v>0.66979999999999995</v>
      </c>
      <c r="AF1132" s="312">
        <v>0</v>
      </c>
      <c r="AG1132" s="312">
        <v>0.52100000000000002</v>
      </c>
      <c r="AH1132" s="312">
        <v>0.59119999999999995</v>
      </c>
      <c r="AI1132" s="312">
        <v>0.61819999999999997</v>
      </c>
      <c r="AJ1132" s="312">
        <v>0.54020000000000001</v>
      </c>
      <c r="AK1132" s="312">
        <v>0.57240000000000002</v>
      </c>
      <c r="AL1132" s="312">
        <v>0.58430000000000004</v>
      </c>
      <c r="AM1132" s="312">
        <v>0.75060000000000004</v>
      </c>
      <c r="AN1132" s="312">
        <v>0.66449999999999998</v>
      </c>
      <c r="AO1132" s="312">
        <v>0.65990000000000004</v>
      </c>
      <c r="AP1132" s="312">
        <v>0.74370000000000003</v>
      </c>
      <c r="AQ1132" s="312">
        <v>0.60150000000000003</v>
      </c>
      <c r="AR1132" s="312">
        <v>0.6825</v>
      </c>
      <c r="AS1132" s="312">
        <v>0</v>
      </c>
      <c r="AT1132" s="312">
        <v>0.67679999999999996</v>
      </c>
      <c r="AU1132" s="312">
        <v>0.78569999999999995</v>
      </c>
      <c r="AV1132" s="312">
        <v>0.71779999999999999</v>
      </c>
      <c r="AW1132" s="312">
        <v>0.61770000000000003</v>
      </c>
      <c r="AX1132" s="312">
        <v>0.55779999999999996</v>
      </c>
      <c r="AY1132" s="312">
        <v>0.63680000000000003</v>
      </c>
      <c r="AZ1132" s="312">
        <v>0.68269999999999997</v>
      </c>
      <c r="BA1132" s="312">
        <v>0.54120000000000001</v>
      </c>
      <c r="BB1132" s="312">
        <v>0</v>
      </c>
      <c r="BC1132" s="312">
        <v>0.74060000000000004</v>
      </c>
      <c r="BD1132" s="312">
        <v>0.74750000000000005</v>
      </c>
      <c r="BE1132" s="312">
        <v>0.80410000000000004</v>
      </c>
      <c r="BF1132" s="312">
        <v>0.65529999999999999</v>
      </c>
      <c r="BG1132" s="312">
        <v>0.72440000000000004</v>
      </c>
      <c r="BH1132" s="312">
        <v>0.72509999999999997</v>
      </c>
      <c r="BI1132" s="312">
        <v>0.79120000000000001</v>
      </c>
      <c r="BJ1132" s="312">
        <v>0.66890000000000005</v>
      </c>
      <c r="BK1132" s="312">
        <v>0.71040000000000003</v>
      </c>
      <c r="BM1132">
        <f>(C1132-C721)*1000000/(RIMS_emp!C1132-RIMS_emp!C721)</f>
        <v>37545.595803533055</v>
      </c>
    </row>
    <row r="1133" spans="1:65" x14ac:dyDescent="0.25">
      <c r="A1133" s="306">
        <v>339992</v>
      </c>
      <c r="B1133" s="312" t="s">
        <v>279</v>
      </c>
      <c r="C1133" s="312">
        <v>0.91500000000000004</v>
      </c>
      <c r="D1133" s="312">
        <v>0</v>
      </c>
      <c r="E1133" s="312">
        <v>0</v>
      </c>
      <c r="F1133" s="312">
        <v>0.59440000000000004</v>
      </c>
      <c r="G1133" s="312">
        <v>0.64229999999999998</v>
      </c>
      <c r="H1133" s="312">
        <v>0.74039999999999995</v>
      </c>
      <c r="I1133" s="312">
        <v>0.68930000000000002</v>
      </c>
      <c r="J1133" s="312">
        <v>0.60509999999999997</v>
      </c>
      <c r="K1133" s="312">
        <v>0</v>
      </c>
      <c r="L1133" s="312">
        <v>0</v>
      </c>
      <c r="M1133" s="312">
        <v>0.65390000000000004</v>
      </c>
      <c r="N1133" s="312">
        <v>0.68579999999999997</v>
      </c>
      <c r="O1133" s="312">
        <v>0.60809999999999997</v>
      </c>
      <c r="P1133" s="312">
        <v>0.51470000000000005</v>
      </c>
      <c r="Q1133" s="312">
        <v>0.55220000000000002</v>
      </c>
      <c r="R1133" s="312">
        <v>0.7349</v>
      </c>
      <c r="S1133" s="312">
        <v>0.64739999999999998</v>
      </c>
      <c r="T1133" s="312">
        <v>0.51</v>
      </c>
      <c r="U1133" s="312">
        <v>0.59740000000000004</v>
      </c>
      <c r="V1133" s="312">
        <v>0.61770000000000003</v>
      </c>
      <c r="W1133" s="312">
        <v>0.64549999999999996</v>
      </c>
      <c r="X1133" s="312">
        <v>0.57999999999999996</v>
      </c>
      <c r="Y1133" s="312">
        <v>0.62529999999999997</v>
      </c>
      <c r="Z1133" s="312">
        <v>0.68889999999999996</v>
      </c>
      <c r="AA1133" s="312">
        <v>0.65159999999999996</v>
      </c>
      <c r="AB1133" s="312">
        <v>0.61950000000000005</v>
      </c>
      <c r="AC1133" s="312">
        <v>0.55640000000000001</v>
      </c>
      <c r="AD1133" s="312">
        <v>0.58909999999999996</v>
      </c>
      <c r="AE1133" s="312">
        <v>0.64790000000000003</v>
      </c>
      <c r="AF1133" s="312">
        <v>0.46350000000000002</v>
      </c>
      <c r="AG1133" s="312">
        <v>0.51919999999999999</v>
      </c>
      <c r="AH1133" s="312">
        <v>0.56869999999999998</v>
      </c>
      <c r="AI1133" s="312">
        <v>0.60619999999999996</v>
      </c>
      <c r="AJ1133" s="312">
        <v>0.55069999999999997</v>
      </c>
      <c r="AK1133" s="312">
        <v>0.56830000000000003</v>
      </c>
      <c r="AL1133" s="312">
        <v>0.5897</v>
      </c>
      <c r="AM1133" s="312">
        <v>0.70240000000000002</v>
      </c>
      <c r="AN1133" s="312">
        <v>0.61099999999999999</v>
      </c>
      <c r="AO1133" s="312">
        <v>0.67420000000000002</v>
      </c>
      <c r="AP1133" s="312">
        <v>0.71740000000000004</v>
      </c>
      <c r="AQ1133" s="312">
        <v>0.55000000000000004</v>
      </c>
      <c r="AR1133" s="312">
        <v>0.62509999999999999</v>
      </c>
      <c r="AS1133" s="312">
        <v>0.51719999999999999</v>
      </c>
      <c r="AT1133" s="312">
        <v>0.6855</v>
      </c>
      <c r="AU1133" s="312">
        <v>0.71730000000000005</v>
      </c>
      <c r="AV1133" s="312">
        <v>0.68859999999999999</v>
      </c>
      <c r="AW1133" s="312">
        <v>0.61519999999999997</v>
      </c>
      <c r="AX1133" s="312">
        <v>0.56769999999999998</v>
      </c>
      <c r="AY1133" s="312">
        <v>0.67500000000000004</v>
      </c>
      <c r="AZ1133" s="312">
        <v>0.66520000000000001</v>
      </c>
      <c r="BA1133" s="312">
        <v>0.49630000000000002</v>
      </c>
      <c r="BB1133" s="312">
        <v>0</v>
      </c>
      <c r="BC1133" s="312">
        <v>0.73499999999999999</v>
      </c>
      <c r="BD1133" s="312">
        <v>0.73329999999999995</v>
      </c>
      <c r="BE1133" s="312">
        <v>0.75970000000000004</v>
      </c>
      <c r="BF1133" s="312">
        <v>0.63990000000000002</v>
      </c>
      <c r="BG1133" s="312">
        <v>0.72519999999999996</v>
      </c>
      <c r="BH1133" s="312">
        <v>0.69669999999999999</v>
      </c>
      <c r="BI1133" s="312">
        <v>0.73009999999999997</v>
      </c>
      <c r="BJ1133" s="312">
        <v>0.69259999999999999</v>
      </c>
      <c r="BK1133" s="312">
        <v>0.76170000000000004</v>
      </c>
      <c r="BM1133">
        <f>(C1133-C722)*1000000/(RIMS_emp!C1133-RIMS_emp!C722)</f>
        <v>37543.916048588959</v>
      </c>
    </row>
    <row r="1134" spans="1:65" x14ac:dyDescent="0.25">
      <c r="A1134" s="306">
        <v>339994</v>
      </c>
      <c r="B1134" s="312" t="s">
        <v>281</v>
      </c>
      <c r="C1134" s="312">
        <v>0.81299999999999994</v>
      </c>
      <c r="D1134" s="312">
        <v>0</v>
      </c>
      <c r="E1134" s="312">
        <v>0.58520000000000005</v>
      </c>
      <c r="F1134" s="312">
        <v>0.52090000000000003</v>
      </c>
      <c r="G1134" s="312">
        <v>0</v>
      </c>
      <c r="H1134" s="312">
        <v>0.58889999999999998</v>
      </c>
      <c r="I1134" s="312">
        <v>0.58509999999999995</v>
      </c>
      <c r="J1134" s="312">
        <v>0.48930000000000001</v>
      </c>
      <c r="K1134" s="312">
        <v>0</v>
      </c>
      <c r="L1134" s="312">
        <v>0.38279999999999997</v>
      </c>
      <c r="M1134" s="312">
        <v>0.53690000000000004</v>
      </c>
      <c r="N1134" s="312">
        <v>0.63919999999999999</v>
      </c>
      <c r="O1134" s="312">
        <v>0</v>
      </c>
      <c r="P1134" s="312">
        <v>0.46989999999999998</v>
      </c>
      <c r="Q1134" s="312">
        <v>0</v>
      </c>
      <c r="R1134" s="312">
        <v>0.6321</v>
      </c>
      <c r="S1134" s="312">
        <v>0.56220000000000003</v>
      </c>
      <c r="T1134" s="312">
        <v>0.45989999999999998</v>
      </c>
      <c r="U1134" s="312">
        <v>0.54469999999999996</v>
      </c>
      <c r="V1134" s="312">
        <v>0.56310000000000004</v>
      </c>
      <c r="W1134" s="312">
        <v>0.50619999999999998</v>
      </c>
      <c r="X1134" s="312">
        <v>0.47670000000000001</v>
      </c>
      <c r="Y1134" s="312">
        <v>0</v>
      </c>
      <c r="Z1134" s="312">
        <v>0.60729999999999995</v>
      </c>
      <c r="AA1134" s="312">
        <v>0.56499999999999995</v>
      </c>
      <c r="AB1134" s="312">
        <v>0.55579999999999996</v>
      </c>
      <c r="AC1134" s="312">
        <v>0.51849999999999996</v>
      </c>
      <c r="AD1134" s="312">
        <v>0</v>
      </c>
      <c r="AE1134" s="312">
        <v>0.59870000000000001</v>
      </c>
      <c r="AF1134" s="312">
        <v>0</v>
      </c>
      <c r="AG1134" s="312">
        <v>0.45910000000000001</v>
      </c>
      <c r="AH1134" s="312">
        <v>0.48199999999999998</v>
      </c>
      <c r="AI1134" s="312">
        <v>0.55000000000000004</v>
      </c>
      <c r="AJ1134" s="312">
        <v>0</v>
      </c>
      <c r="AK1134" s="312">
        <v>0.4869</v>
      </c>
      <c r="AL1134" s="312">
        <v>0.45829999999999999</v>
      </c>
      <c r="AM1134" s="312">
        <v>0.61860000000000004</v>
      </c>
      <c r="AN1134" s="312">
        <v>0.54820000000000002</v>
      </c>
      <c r="AO1134" s="312">
        <v>0.55789999999999995</v>
      </c>
      <c r="AP1134" s="312">
        <v>0.62160000000000004</v>
      </c>
      <c r="AQ1134" s="312">
        <v>0.48630000000000001</v>
      </c>
      <c r="AR1134" s="312">
        <v>0.60129999999999995</v>
      </c>
      <c r="AS1134" s="312">
        <v>0.45979999999999999</v>
      </c>
      <c r="AT1134" s="312">
        <v>0.61299999999999999</v>
      </c>
      <c r="AU1134" s="312">
        <v>0.63149999999999995</v>
      </c>
      <c r="AV1134" s="312">
        <v>0</v>
      </c>
      <c r="AW1134" s="312">
        <v>0.55110000000000003</v>
      </c>
      <c r="AX1134" s="312">
        <v>0.46750000000000003</v>
      </c>
      <c r="AY1134" s="312">
        <v>0.55300000000000005</v>
      </c>
      <c r="AZ1134" s="312">
        <v>0.57889999999999997</v>
      </c>
      <c r="BA1134" s="312">
        <v>0</v>
      </c>
      <c r="BB1134" s="312">
        <v>0</v>
      </c>
      <c r="BC1134" s="312">
        <v>0.58689999999999998</v>
      </c>
      <c r="BD1134" s="312">
        <v>0.6089</v>
      </c>
      <c r="BE1134" s="312">
        <v>0.6623</v>
      </c>
      <c r="BF1134" s="312">
        <v>0.57599999999999996</v>
      </c>
      <c r="BG1134" s="312">
        <v>0.65569999999999995</v>
      </c>
      <c r="BH1134" s="312">
        <v>0.63390000000000002</v>
      </c>
      <c r="BI1134" s="312">
        <v>0.63900000000000001</v>
      </c>
      <c r="BJ1134" s="312">
        <v>0.5887</v>
      </c>
      <c r="BK1134" s="312">
        <v>0.60189999999999999</v>
      </c>
      <c r="BM1134">
        <f>(C1134-C723)*1000000/(RIMS_emp!C1134-RIMS_emp!C723)</f>
        <v>37551.526742217691</v>
      </c>
    </row>
    <row r="1135" spans="1:65" x14ac:dyDescent="0.25">
      <c r="A1135" s="306" t="s">
        <v>751</v>
      </c>
      <c r="B1135" s="312" t="s">
        <v>280</v>
      </c>
      <c r="C1135" s="312">
        <v>0.88480000000000003</v>
      </c>
      <c r="D1135" s="312">
        <v>0.4254</v>
      </c>
      <c r="E1135" s="312">
        <v>0.62139999999999995</v>
      </c>
      <c r="F1135" s="312">
        <v>0.55310000000000004</v>
      </c>
      <c r="G1135" s="312">
        <v>0.5857</v>
      </c>
      <c r="H1135" s="312">
        <v>0.66700000000000004</v>
      </c>
      <c r="I1135" s="312">
        <v>0.63160000000000005</v>
      </c>
      <c r="J1135" s="312">
        <v>0.57479999999999998</v>
      </c>
      <c r="K1135" s="312">
        <v>0</v>
      </c>
      <c r="L1135" s="312">
        <v>0</v>
      </c>
      <c r="M1135" s="312">
        <v>0.59419999999999995</v>
      </c>
      <c r="N1135" s="312">
        <v>0.65459999999999996</v>
      </c>
      <c r="O1135" s="312">
        <v>0.51280000000000003</v>
      </c>
      <c r="P1135" s="312">
        <v>0.49230000000000002</v>
      </c>
      <c r="Q1135" s="312">
        <v>0.49809999999999999</v>
      </c>
      <c r="R1135" s="312">
        <v>0.70120000000000005</v>
      </c>
      <c r="S1135" s="312">
        <v>0.62019999999999997</v>
      </c>
      <c r="T1135" s="312">
        <v>0.47670000000000001</v>
      </c>
      <c r="U1135" s="312">
        <v>0.59930000000000005</v>
      </c>
      <c r="V1135" s="312">
        <v>0.59599999999999997</v>
      </c>
      <c r="W1135" s="312">
        <v>0.57630000000000003</v>
      </c>
      <c r="X1135" s="312">
        <v>0.51539999999999997</v>
      </c>
      <c r="Y1135" s="312">
        <v>0.57369999999999999</v>
      </c>
      <c r="Z1135" s="312">
        <v>0.66320000000000001</v>
      </c>
      <c r="AA1135" s="312">
        <v>0.62970000000000004</v>
      </c>
      <c r="AB1135" s="312">
        <v>0.58689999999999998</v>
      </c>
      <c r="AC1135" s="312">
        <v>0.54730000000000001</v>
      </c>
      <c r="AD1135" s="312">
        <v>0.50509999999999999</v>
      </c>
      <c r="AE1135" s="312">
        <v>0.61970000000000003</v>
      </c>
      <c r="AF1135" s="312">
        <v>0.41460000000000002</v>
      </c>
      <c r="AG1135" s="312">
        <v>0.47199999999999998</v>
      </c>
      <c r="AH1135" s="312">
        <v>0.53849999999999998</v>
      </c>
      <c r="AI1135" s="312">
        <v>0.57399999999999995</v>
      </c>
      <c r="AJ1135" s="312">
        <v>0.4899</v>
      </c>
      <c r="AK1135" s="312">
        <v>0.52890000000000004</v>
      </c>
      <c r="AL1135" s="312">
        <v>0.52480000000000004</v>
      </c>
      <c r="AM1135" s="312">
        <v>0.68230000000000002</v>
      </c>
      <c r="AN1135" s="312">
        <v>0.59970000000000001</v>
      </c>
      <c r="AO1135" s="312">
        <v>0.60499999999999998</v>
      </c>
      <c r="AP1135" s="312">
        <v>0.68820000000000003</v>
      </c>
      <c r="AQ1135" s="312">
        <v>0.5302</v>
      </c>
      <c r="AR1135" s="312">
        <v>0.62309999999999999</v>
      </c>
      <c r="AS1135" s="312">
        <v>0.47820000000000001</v>
      </c>
      <c r="AT1135" s="312">
        <v>0.63400000000000001</v>
      </c>
      <c r="AU1135" s="312">
        <v>0.69610000000000005</v>
      </c>
      <c r="AV1135" s="312">
        <v>0.63939999999999997</v>
      </c>
      <c r="AW1135" s="312">
        <v>0.57069999999999999</v>
      </c>
      <c r="AX1135" s="312">
        <v>0.49230000000000002</v>
      </c>
      <c r="AY1135" s="312">
        <v>0.59689999999999999</v>
      </c>
      <c r="AZ1135" s="312">
        <v>0.62450000000000006</v>
      </c>
      <c r="BA1135" s="312">
        <v>0.47699999999999998</v>
      </c>
      <c r="BB1135" s="312">
        <v>0.45419999999999999</v>
      </c>
      <c r="BC1135" s="312">
        <v>0.66930000000000001</v>
      </c>
      <c r="BD1135" s="312">
        <v>0.68859999999999999</v>
      </c>
      <c r="BE1135" s="312">
        <v>0.73740000000000006</v>
      </c>
      <c r="BF1135" s="312">
        <v>0.61580000000000001</v>
      </c>
      <c r="BG1135" s="312">
        <v>0.68179999999999996</v>
      </c>
      <c r="BH1135" s="312">
        <v>0.67400000000000004</v>
      </c>
      <c r="BI1135" s="312">
        <v>0.7107</v>
      </c>
      <c r="BJ1135" s="312">
        <v>0.62909999999999999</v>
      </c>
      <c r="BK1135" s="312">
        <v>0.67979999999999996</v>
      </c>
      <c r="BM1135">
        <f>(C1135-C724)*1000000/(RIMS_emp!C1135-RIMS_emp!C724)</f>
        <v>37539.623179114584</v>
      </c>
    </row>
    <row r="1136" spans="1:65" x14ac:dyDescent="0.25">
      <c r="A1136" s="306">
        <v>420000</v>
      </c>
      <c r="B1136" s="312" t="s">
        <v>425</v>
      </c>
      <c r="C1136" s="312">
        <v>0.753</v>
      </c>
      <c r="D1136" s="312">
        <v>0.47099999999999997</v>
      </c>
      <c r="E1136" s="312">
        <v>0.54349999999999998</v>
      </c>
      <c r="F1136" s="312">
        <v>0.50749999999999995</v>
      </c>
      <c r="G1136" s="312">
        <v>0.57189999999999996</v>
      </c>
      <c r="H1136" s="312">
        <v>0.62790000000000001</v>
      </c>
      <c r="I1136" s="312">
        <v>0.62780000000000002</v>
      </c>
      <c r="J1136" s="312">
        <v>0.5252</v>
      </c>
      <c r="K1136" s="312">
        <v>0.09</v>
      </c>
      <c r="L1136" s="312">
        <v>0.40899999999999997</v>
      </c>
      <c r="M1136" s="312">
        <v>0.59279999999999999</v>
      </c>
      <c r="N1136" s="312">
        <v>0.61780000000000002</v>
      </c>
      <c r="O1136" s="312">
        <v>0.54220000000000002</v>
      </c>
      <c r="P1136" s="312">
        <v>0.46779999999999999</v>
      </c>
      <c r="Q1136" s="312">
        <v>0.48799999999999999</v>
      </c>
      <c r="R1136" s="312">
        <v>0.62529999999999997</v>
      </c>
      <c r="S1136" s="312">
        <v>0.54469999999999996</v>
      </c>
      <c r="T1136" s="312">
        <v>0.45050000000000001</v>
      </c>
      <c r="U1136" s="312">
        <v>0.51590000000000003</v>
      </c>
      <c r="V1136" s="312">
        <v>0.53600000000000003</v>
      </c>
      <c r="W1136" s="312">
        <v>0.55120000000000002</v>
      </c>
      <c r="X1136" s="312">
        <v>0.52749999999999997</v>
      </c>
      <c r="Y1136" s="312">
        <v>0.55020000000000002</v>
      </c>
      <c r="Z1136" s="312">
        <v>0.59499999999999997</v>
      </c>
      <c r="AA1136" s="312">
        <v>0.57830000000000004</v>
      </c>
      <c r="AB1136" s="312">
        <v>0.53900000000000003</v>
      </c>
      <c r="AC1136" s="312">
        <v>0.49399999999999999</v>
      </c>
      <c r="AD1136" s="312">
        <v>0.48849999999999999</v>
      </c>
      <c r="AE1136" s="312">
        <v>0.56030000000000002</v>
      </c>
      <c r="AF1136" s="312">
        <v>0.41760000000000003</v>
      </c>
      <c r="AG1136" s="312">
        <v>0.46989999999999998</v>
      </c>
      <c r="AH1136" s="312">
        <v>0.50290000000000001</v>
      </c>
      <c r="AI1136" s="312">
        <v>0.55389999999999995</v>
      </c>
      <c r="AJ1136" s="312">
        <v>0.49930000000000002</v>
      </c>
      <c r="AK1136" s="312">
        <v>0.52510000000000001</v>
      </c>
      <c r="AL1136" s="312">
        <v>0.495</v>
      </c>
      <c r="AM1136" s="312">
        <v>0.59689999999999999</v>
      </c>
      <c r="AN1136" s="312">
        <v>0.54690000000000005</v>
      </c>
      <c r="AO1136" s="312">
        <v>0.5403</v>
      </c>
      <c r="AP1136" s="312">
        <v>0.59409999999999996</v>
      </c>
      <c r="AQ1136" s="312">
        <v>0.48620000000000002</v>
      </c>
      <c r="AR1136" s="312">
        <v>0.54859999999999998</v>
      </c>
      <c r="AS1136" s="312">
        <v>0.44400000000000001</v>
      </c>
      <c r="AT1136" s="312">
        <v>0.57640000000000002</v>
      </c>
      <c r="AU1136" s="312">
        <v>0.62739999999999996</v>
      </c>
      <c r="AV1136" s="312">
        <v>0.61329999999999996</v>
      </c>
      <c r="AW1136" s="312">
        <v>0.54990000000000006</v>
      </c>
      <c r="AX1136" s="312">
        <v>0.45350000000000001</v>
      </c>
      <c r="AY1136" s="312">
        <v>0.57069999999999999</v>
      </c>
      <c r="AZ1136" s="312">
        <v>0.56420000000000003</v>
      </c>
      <c r="BA1136" s="312">
        <v>0.44790000000000002</v>
      </c>
      <c r="BB1136" s="312">
        <v>0.43090000000000001</v>
      </c>
      <c r="BC1136" s="312">
        <v>0.61260000000000003</v>
      </c>
      <c r="BD1136" s="312">
        <v>0.62919999999999998</v>
      </c>
      <c r="BE1136" s="312">
        <v>0.64139999999999997</v>
      </c>
      <c r="BF1136" s="312">
        <v>0.57069999999999999</v>
      </c>
      <c r="BG1136" s="312">
        <v>0.64039999999999997</v>
      </c>
      <c r="BH1136" s="312">
        <v>0.57940000000000003</v>
      </c>
      <c r="BI1136" s="312">
        <v>0.62729999999999997</v>
      </c>
      <c r="BJ1136" s="312">
        <v>0.60660000000000003</v>
      </c>
      <c r="BK1136" s="312">
        <v>0.63260000000000005</v>
      </c>
      <c r="BM1136">
        <f>(C1136-C725)*1000000/(RIMS_emp!C1136-RIMS_emp!C725)</f>
        <v>37539.757826014174</v>
      </c>
    </row>
    <row r="1137" spans="1:65" x14ac:dyDescent="0.25">
      <c r="A1137" s="306">
        <v>481000</v>
      </c>
      <c r="B1137" s="312" t="s">
        <v>752</v>
      </c>
      <c r="C1137" s="312">
        <v>0.90649999999999997</v>
      </c>
      <c r="D1137" s="312">
        <v>0.59240000000000004</v>
      </c>
      <c r="E1137" s="312">
        <v>0.60670000000000002</v>
      </c>
      <c r="F1137" s="312">
        <v>0.56930000000000003</v>
      </c>
      <c r="G1137" s="312">
        <v>0.63290000000000002</v>
      </c>
      <c r="H1137" s="312">
        <v>0.73719999999999997</v>
      </c>
      <c r="I1137" s="312">
        <v>0.69740000000000002</v>
      </c>
      <c r="J1137" s="312">
        <v>0.55610000000000004</v>
      </c>
      <c r="K1137" s="312">
        <v>8.2699999999999996E-2</v>
      </c>
      <c r="L1137" s="312">
        <v>0.46710000000000002</v>
      </c>
      <c r="M1137" s="312">
        <v>0.67359999999999998</v>
      </c>
      <c r="N1137" s="312">
        <v>0.65459999999999996</v>
      </c>
      <c r="O1137" s="312">
        <v>0.62749999999999995</v>
      </c>
      <c r="P1137" s="312">
        <v>0.4698</v>
      </c>
      <c r="Q1137" s="312">
        <v>0.52580000000000005</v>
      </c>
      <c r="R1137" s="312">
        <v>0.62819999999999998</v>
      </c>
      <c r="S1137" s="312">
        <v>0.6139</v>
      </c>
      <c r="T1137" s="312">
        <v>0.44829999999999998</v>
      </c>
      <c r="U1137" s="312">
        <v>0.441</v>
      </c>
      <c r="V1137" s="312">
        <v>0.59830000000000005</v>
      </c>
      <c r="W1137" s="312">
        <v>0.53359999999999996</v>
      </c>
      <c r="X1137" s="312">
        <v>0.55720000000000003</v>
      </c>
      <c r="Y1137" s="312">
        <v>0.61119999999999997</v>
      </c>
      <c r="Z1137" s="312">
        <v>0.52229999999999999</v>
      </c>
      <c r="AA1137" s="312">
        <v>0.57850000000000001</v>
      </c>
      <c r="AB1137" s="312">
        <v>0.53220000000000001</v>
      </c>
      <c r="AC1137" s="312">
        <v>0.57789999999999997</v>
      </c>
      <c r="AD1137" s="312">
        <v>0.59540000000000004</v>
      </c>
      <c r="AE1137" s="312">
        <v>0.55079999999999996</v>
      </c>
      <c r="AF1137" s="312">
        <v>0.41760000000000003</v>
      </c>
      <c r="AG1137" s="312">
        <v>0.44629999999999997</v>
      </c>
      <c r="AH1137" s="312">
        <v>0.55710000000000004</v>
      </c>
      <c r="AI1137" s="312">
        <v>0.51880000000000004</v>
      </c>
      <c r="AJ1137" s="312">
        <v>0.62719999999999998</v>
      </c>
      <c r="AK1137" s="312">
        <v>0.59989999999999999</v>
      </c>
      <c r="AL1137" s="312">
        <v>0.48930000000000001</v>
      </c>
      <c r="AM1137" s="312">
        <v>0.59060000000000001</v>
      </c>
      <c r="AN1137" s="312">
        <v>0.69430000000000003</v>
      </c>
      <c r="AO1137" s="312">
        <v>0.4582</v>
      </c>
      <c r="AP1137" s="312">
        <v>0.53849999999999998</v>
      </c>
      <c r="AQ1137" s="312">
        <v>0.5333</v>
      </c>
      <c r="AR1137" s="312">
        <v>0.61750000000000005</v>
      </c>
      <c r="AS1137" s="312">
        <v>0.49540000000000001</v>
      </c>
      <c r="AT1137" s="312">
        <v>0.58030000000000004</v>
      </c>
      <c r="AU1137" s="312">
        <v>0.74929999999999997</v>
      </c>
      <c r="AV1137" s="312">
        <v>0.68530000000000002</v>
      </c>
      <c r="AW1137" s="312">
        <v>0.54220000000000002</v>
      </c>
      <c r="AX1137" s="312">
        <v>0.54779999999999995</v>
      </c>
      <c r="AY1137" s="312">
        <v>0.69579999999999997</v>
      </c>
      <c r="AZ1137" s="312">
        <v>0.55759999999999998</v>
      </c>
      <c r="BA1137" s="312">
        <v>0.53500000000000003</v>
      </c>
      <c r="BB1137" s="312">
        <v>0.50029999999999997</v>
      </c>
      <c r="BC1137" s="312">
        <v>0.66239999999999999</v>
      </c>
      <c r="BD1137" s="312">
        <v>0.61529999999999996</v>
      </c>
      <c r="BE1137" s="312">
        <v>0.64739999999999998</v>
      </c>
      <c r="BF1137" s="312">
        <v>0.57469999999999999</v>
      </c>
      <c r="BG1137" s="312">
        <v>0.71</v>
      </c>
      <c r="BH1137" s="312">
        <v>0.57889999999999997</v>
      </c>
      <c r="BI1137" s="312">
        <v>0.75360000000000005</v>
      </c>
      <c r="BJ1137" s="312">
        <v>0.70389999999999997</v>
      </c>
      <c r="BK1137" s="312">
        <v>0.75760000000000005</v>
      </c>
      <c r="BM1137">
        <f>(C1137-C726)*1000000/(RIMS_emp!C1137-RIMS_emp!C726)</f>
        <v>37533.605265597471</v>
      </c>
    </row>
    <row r="1138" spans="1:65" x14ac:dyDescent="0.25">
      <c r="A1138" s="306">
        <v>482000</v>
      </c>
      <c r="B1138" s="312" t="s">
        <v>753</v>
      </c>
      <c r="C1138" s="312">
        <v>0.70630000000000004</v>
      </c>
      <c r="D1138" s="312">
        <v>0</v>
      </c>
      <c r="E1138" s="312">
        <v>0.45190000000000002</v>
      </c>
      <c r="F1138" s="312">
        <v>0.3921</v>
      </c>
      <c r="G1138" s="312">
        <v>0.46820000000000001</v>
      </c>
      <c r="H1138" s="312">
        <v>0.54490000000000005</v>
      </c>
      <c r="I1138" s="312">
        <v>0.53680000000000005</v>
      </c>
      <c r="J1138" s="312">
        <v>0.42780000000000001</v>
      </c>
      <c r="K1138" s="312">
        <v>6.3700000000000007E-2</v>
      </c>
      <c r="L1138" s="312">
        <v>0.34429999999999999</v>
      </c>
      <c r="M1138" s="312">
        <v>0.4975</v>
      </c>
      <c r="N1138" s="312">
        <v>0.50870000000000004</v>
      </c>
      <c r="O1138" s="312">
        <v>0</v>
      </c>
      <c r="P1138" s="312">
        <v>0.3231</v>
      </c>
      <c r="Q1138" s="312">
        <v>0.3836</v>
      </c>
      <c r="R1138" s="312">
        <v>0.54190000000000005</v>
      </c>
      <c r="S1138" s="312">
        <v>0.4269</v>
      </c>
      <c r="T1138" s="312">
        <v>0.33529999999999999</v>
      </c>
      <c r="U1138" s="312">
        <v>0.4022</v>
      </c>
      <c r="V1138" s="312">
        <v>0.43459999999999999</v>
      </c>
      <c r="W1138" s="312">
        <v>0.42830000000000001</v>
      </c>
      <c r="X1138" s="312">
        <v>0.4143</v>
      </c>
      <c r="Y1138" s="312">
        <v>0.43159999999999998</v>
      </c>
      <c r="Z1138" s="312">
        <v>0.46139999999999998</v>
      </c>
      <c r="AA1138" s="312">
        <v>0.4446</v>
      </c>
      <c r="AB1138" s="312">
        <v>0.42180000000000001</v>
      </c>
      <c r="AC1138" s="312">
        <v>0.40039999999999998</v>
      </c>
      <c r="AD1138" s="312">
        <v>0.39729999999999999</v>
      </c>
      <c r="AE1138" s="312">
        <v>0.4289</v>
      </c>
      <c r="AF1138" s="312">
        <v>0.33250000000000002</v>
      </c>
      <c r="AG1138" s="312">
        <v>0.34029999999999999</v>
      </c>
      <c r="AH1138" s="312">
        <v>0.43409999999999999</v>
      </c>
      <c r="AI1138" s="312">
        <v>0.44919999999999999</v>
      </c>
      <c r="AJ1138" s="312">
        <v>0.38590000000000002</v>
      </c>
      <c r="AK1138" s="312">
        <v>0.4259</v>
      </c>
      <c r="AL1138" s="312">
        <v>0.40820000000000001</v>
      </c>
      <c r="AM1138" s="312">
        <v>0.4551</v>
      </c>
      <c r="AN1138" s="312">
        <v>0.42699999999999999</v>
      </c>
      <c r="AO1138" s="312">
        <v>0.43149999999999999</v>
      </c>
      <c r="AP1138" s="312">
        <v>0.4909</v>
      </c>
      <c r="AQ1138" s="312">
        <v>0.36070000000000002</v>
      </c>
      <c r="AR1138" s="312">
        <v>0.46</v>
      </c>
      <c r="AS1138" s="312">
        <v>0.32290000000000002</v>
      </c>
      <c r="AT1138" s="312">
        <v>0.44550000000000001</v>
      </c>
      <c r="AU1138" s="312">
        <v>0.56379999999999997</v>
      </c>
      <c r="AV1138" s="312">
        <v>0.52200000000000002</v>
      </c>
      <c r="AW1138" s="312">
        <v>0.46879999999999999</v>
      </c>
      <c r="AX1138" s="312">
        <v>0.37280000000000002</v>
      </c>
      <c r="AY1138" s="312">
        <v>0.48409999999999997</v>
      </c>
      <c r="AZ1138" s="312">
        <v>0.40760000000000002</v>
      </c>
      <c r="BA1138" s="312">
        <v>0.32329999999999998</v>
      </c>
      <c r="BB1138" s="312">
        <v>0.33029999999999998</v>
      </c>
      <c r="BC1138" s="312">
        <v>0.50990000000000002</v>
      </c>
      <c r="BD1138" s="312">
        <v>0.53700000000000003</v>
      </c>
      <c r="BE1138" s="312">
        <v>0.52790000000000004</v>
      </c>
      <c r="BF1138" s="312">
        <v>0.44440000000000002</v>
      </c>
      <c r="BG1138" s="312">
        <v>0.54279999999999995</v>
      </c>
      <c r="BH1138" s="312">
        <v>0.48199999999999998</v>
      </c>
      <c r="BI1138" s="312">
        <v>0.56189999999999996</v>
      </c>
      <c r="BJ1138" s="312">
        <v>0.52470000000000006</v>
      </c>
      <c r="BK1138" s="312">
        <v>0.56000000000000005</v>
      </c>
      <c r="BM1138">
        <f>(C1138-C727)*1000000/(RIMS_emp!C1138-RIMS_emp!C727)</f>
        <v>37538.296796454393</v>
      </c>
    </row>
    <row r="1139" spans="1:65" x14ac:dyDescent="0.25">
      <c r="A1139" s="306">
        <v>483000</v>
      </c>
      <c r="B1139" s="312" t="s">
        <v>754</v>
      </c>
      <c r="C1139" s="312">
        <v>0.67989999999999995</v>
      </c>
      <c r="D1139" s="312">
        <v>0.32440000000000002</v>
      </c>
      <c r="E1139" s="312">
        <v>0.42770000000000002</v>
      </c>
      <c r="F1139" s="312">
        <v>0.3584</v>
      </c>
      <c r="G1139" s="312">
        <v>0.43049999999999999</v>
      </c>
      <c r="H1139" s="312">
        <v>0.51049999999999995</v>
      </c>
      <c r="I1139" s="312">
        <v>0</v>
      </c>
      <c r="J1139" s="312">
        <v>0.42399999999999999</v>
      </c>
      <c r="K1139" s="312">
        <v>4.8000000000000001E-2</v>
      </c>
      <c r="L1139" s="312">
        <v>0.33360000000000001</v>
      </c>
      <c r="M1139" s="312">
        <v>0.47539999999999999</v>
      </c>
      <c r="N1139" s="312">
        <v>0.49159999999999998</v>
      </c>
      <c r="O1139" s="312">
        <v>0.39850000000000002</v>
      </c>
      <c r="P1139" s="312">
        <v>0.27739999999999998</v>
      </c>
      <c r="Q1139" s="312">
        <v>0</v>
      </c>
      <c r="R1139" s="312">
        <v>0.48230000000000001</v>
      </c>
      <c r="S1139" s="312">
        <v>0.34549999999999997</v>
      </c>
      <c r="T1139" s="312">
        <v>0</v>
      </c>
      <c r="U1139" s="312">
        <v>0.37390000000000001</v>
      </c>
      <c r="V1139" s="312">
        <v>0.41810000000000003</v>
      </c>
      <c r="W1139" s="312">
        <v>0.39100000000000001</v>
      </c>
      <c r="X1139" s="312">
        <v>0.39939999999999998</v>
      </c>
      <c r="Y1139" s="312">
        <v>0.438</v>
      </c>
      <c r="Z1139" s="312">
        <v>0.434</v>
      </c>
      <c r="AA1139" s="312">
        <v>0.36749999999999999</v>
      </c>
      <c r="AB1139" s="312">
        <v>0.37990000000000002</v>
      </c>
      <c r="AC1139" s="312">
        <v>0.3357</v>
      </c>
      <c r="AD1139" s="312">
        <v>0</v>
      </c>
      <c r="AE1139" s="312">
        <v>0.40589999999999998</v>
      </c>
      <c r="AF1139" s="312">
        <v>0</v>
      </c>
      <c r="AG1139" s="312">
        <v>0</v>
      </c>
      <c r="AH1139" s="312">
        <v>0</v>
      </c>
      <c r="AI1139" s="312">
        <v>0.43180000000000002</v>
      </c>
      <c r="AJ1139" s="312">
        <v>0.38159999999999999</v>
      </c>
      <c r="AK1139" s="312">
        <v>0.4148</v>
      </c>
      <c r="AL1139" s="312">
        <v>0.34250000000000003</v>
      </c>
      <c r="AM1139" s="312">
        <v>0.42959999999999998</v>
      </c>
      <c r="AN1139" s="312">
        <v>0</v>
      </c>
      <c r="AO1139" s="312">
        <v>0.43219999999999997</v>
      </c>
      <c r="AP1139" s="312">
        <v>0.41880000000000001</v>
      </c>
      <c r="AQ1139" s="312">
        <v>0.37359999999999999</v>
      </c>
      <c r="AR1139" s="312">
        <v>0.46460000000000001</v>
      </c>
      <c r="AS1139" s="312">
        <v>0</v>
      </c>
      <c r="AT1139" s="312">
        <v>0.436</v>
      </c>
      <c r="AU1139" s="312">
        <v>0.52010000000000001</v>
      </c>
      <c r="AV1139" s="312">
        <v>0.49940000000000001</v>
      </c>
      <c r="AW1139" s="312">
        <v>0.44829999999999998</v>
      </c>
      <c r="AX1139" s="312">
        <v>0.35539999999999999</v>
      </c>
      <c r="AY1139" s="312">
        <v>0.47299999999999998</v>
      </c>
      <c r="AZ1139" s="312">
        <v>0.37830000000000003</v>
      </c>
      <c r="BA1139" s="312">
        <v>0.2727</v>
      </c>
      <c r="BB1139" s="312">
        <v>0.30009999999999998</v>
      </c>
      <c r="BC1139" s="312">
        <v>0.48230000000000001</v>
      </c>
      <c r="BD1139" s="312">
        <v>0.48599999999999999</v>
      </c>
      <c r="BE1139" s="312">
        <v>0.4773</v>
      </c>
      <c r="BF1139" s="312">
        <v>0.3705</v>
      </c>
      <c r="BG1139" s="312">
        <v>0.53610000000000002</v>
      </c>
      <c r="BH1139" s="312">
        <v>0.45600000000000002</v>
      </c>
      <c r="BI1139" s="312">
        <v>0.5222</v>
      </c>
      <c r="BJ1139" s="312">
        <v>0.46689999999999998</v>
      </c>
      <c r="BK1139" s="312">
        <v>0.53180000000000005</v>
      </c>
      <c r="BM1139">
        <f>(C1139-C728)*1000000/(RIMS_emp!C1139-RIMS_emp!C728)</f>
        <v>37527.423292031017</v>
      </c>
    </row>
    <row r="1140" spans="1:65" x14ac:dyDescent="0.25">
      <c r="A1140" s="306">
        <v>484000</v>
      </c>
      <c r="B1140" s="312" t="s">
        <v>755</v>
      </c>
      <c r="C1140" s="312">
        <v>0.91720000000000002</v>
      </c>
      <c r="D1140" s="312">
        <v>0.56459999999999999</v>
      </c>
      <c r="E1140" s="312">
        <v>0.62470000000000003</v>
      </c>
      <c r="F1140" s="312">
        <v>0.53059999999999996</v>
      </c>
      <c r="G1140" s="312">
        <v>0.626</v>
      </c>
      <c r="H1140" s="312">
        <v>0.72740000000000005</v>
      </c>
      <c r="I1140" s="312">
        <v>0.70860000000000001</v>
      </c>
      <c r="J1140" s="312">
        <v>0.59240000000000004</v>
      </c>
      <c r="K1140" s="312">
        <v>8.7800000000000003E-2</v>
      </c>
      <c r="L1140" s="312">
        <v>0.47270000000000001</v>
      </c>
      <c r="M1140" s="312">
        <v>0.66910000000000003</v>
      </c>
      <c r="N1140" s="312">
        <v>0.70730000000000004</v>
      </c>
      <c r="O1140" s="312">
        <v>0.63090000000000002</v>
      </c>
      <c r="P1140" s="312">
        <v>0.49459999999999998</v>
      </c>
      <c r="Q1140" s="312">
        <v>0.53080000000000005</v>
      </c>
      <c r="R1140" s="312">
        <v>0.71879999999999999</v>
      </c>
      <c r="S1140" s="312">
        <v>0.62709999999999999</v>
      </c>
      <c r="T1140" s="312">
        <v>0.49180000000000001</v>
      </c>
      <c r="U1140" s="312">
        <v>0.61240000000000006</v>
      </c>
      <c r="V1140" s="312">
        <v>0.63490000000000002</v>
      </c>
      <c r="W1140" s="312">
        <v>0.59660000000000002</v>
      </c>
      <c r="X1140" s="312">
        <v>0.60299999999999998</v>
      </c>
      <c r="Y1140" s="312">
        <v>0.62919999999999998</v>
      </c>
      <c r="Z1140" s="312">
        <v>0.68210000000000004</v>
      </c>
      <c r="AA1140" s="312">
        <v>0.62029999999999996</v>
      </c>
      <c r="AB1140" s="312">
        <v>0.59870000000000001</v>
      </c>
      <c r="AC1140" s="312">
        <v>0.57310000000000005</v>
      </c>
      <c r="AD1140" s="312">
        <v>0.56130000000000002</v>
      </c>
      <c r="AE1140" s="312">
        <v>0.63790000000000002</v>
      </c>
      <c r="AF1140" s="312">
        <v>0.45440000000000003</v>
      </c>
      <c r="AG1140" s="312">
        <v>0.44890000000000002</v>
      </c>
      <c r="AH1140" s="312">
        <v>0.5635</v>
      </c>
      <c r="AI1140" s="312">
        <v>0.65010000000000001</v>
      </c>
      <c r="AJ1140" s="312">
        <v>0.58879999999999999</v>
      </c>
      <c r="AK1140" s="312">
        <v>0.56769999999999998</v>
      </c>
      <c r="AL1140" s="312">
        <v>0.56169999999999998</v>
      </c>
      <c r="AM1140" s="312">
        <v>0.69869999999999999</v>
      </c>
      <c r="AN1140" s="312">
        <v>0.64270000000000005</v>
      </c>
      <c r="AO1140" s="312">
        <v>0.59419999999999995</v>
      </c>
      <c r="AP1140" s="312">
        <v>0.68069999999999997</v>
      </c>
      <c r="AQ1140" s="312">
        <v>0.54859999999999998</v>
      </c>
      <c r="AR1140" s="312">
        <v>0.65849999999999997</v>
      </c>
      <c r="AS1140" s="312">
        <v>0.46379999999999999</v>
      </c>
      <c r="AT1140" s="312">
        <v>0.64049999999999996</v>
      </c>
      <c r="AU1140" s="312">
        <v>0.75160000000000005</v>
      </c>
      <c r="AV1140" s="312">
        <v>0.68679999999999997</v>
      </c>
      <c r="AW1140" s="312">
        <v>0.61550000000000005</v>
      </c>
      <c r="AX1140" s="312">
        <v>0.50790000000000002</v>
      </c>
      <c r="AY1140" s="312">
        <v>0.64500000000000002</v>
      </c>
      <c r="AZ1140" s="312">
        <v>0.61209999999999998</v>
      </c>
      <c r="BA1140" s="312">
        <v>0.52329999999999999</v>
      </c>
      <c r="BB1140" s="312">
        <v>0.4995</v>
      </c>
      <c r="BC1140" s="312">
        <v>0.67810000000000004</v>
      </c>
      <c r="BD1140" s="312">
        <v>0.71079999999999999</v>
      </c>
      <c r="BE1140" s="312">
        <v>0.74960000000000004</v>
      </c>
      <c r="BF1140" s="312">
        <v>0.62360000000000004</v>
      </c>
      <c r="BG1140" s="312">
        <v>0.73599999999999999</v>
      </c>
      <c r="BH1140" s="312">
        <v>0.6835</v>
      </c>
      <c r="BI1140" s="312">
        <v>0.74670000000000003</v>
      </c>
      <c r="BJ1140" s="312">
        <v>0.69820000000000004</v>
      </c>
      <c r="BK1140" s="312">
        <v>0.7359</v>
      </c>
      <c r="BM1140">
        <f>(C1140-C729)*1000000/(RIMS_emp!C1140-RIMS_emp!C729)</f>
        <v>37530.779362079833</v>
      </c>
    </row>
    <row r="1141" spans="1:65" x14ac:dyDescent="0.25">
      <c r="A1141" s="306" t="s">
        <v>756</v>
      </c>
      <c r="B1141" s="312" t="s">
        <v>282</v>
      </c>
      <c r="C1141" s="312">
        <v>0.97099999999999997</v>
      </c>
      <c r="D1141" s="312">
        <v>0.55840000000000001</v>
      </c>
      <c r="E1141" s="312">
        <v>0.64959999999999996</v>
      </c>
      <c r="F1141" s="312">
        <v>0.57189999999999996</v>
      </c>
      <c r="G1141" s="312">
        <v>0.63800000000000001</v>
      </c>
      <c r="H1141" s="312">
        <v>0.74790000000000001</v>
      </c>
      <c r="I1141" s="312">
        <v>0.7268</v>
      </c>
      <c r="J1141" s="312">
        <v>0.62629999999999997</v>
      </c>
      <c r="K1141" s="312">
        <v>8.8200000000000001E-2</v>
      </c>
      <c r="L1141" s="312">
        <v>0.52</v>
      </c>
      <c r="M1141" s="312">
        <v>0.65690000000000004</v>
      </c>
      <c r="N1141" s="312">
        <v>0.71379999999999999</v>
      </c>
      <c r="O1141" s="312">
        <v>0.61539999999999995</v>
      </c>
      <c r="P1141" s="312">
        <v>0.52480000000000004</v>
      </c>
      <c r="Q1141" s="312">
        <v>0.5323</v>
      </c>
      <c r="R1141" s="312">
        <v>0.76880000000000004</v>
      </c>
      <c r="S1141" s="312">
        <v>0.65590000000000004</v>
      </c>
      <c r="T1141" s="312">
        <v>0.53149999999999997</v>
      </c>
      <c r="U1141" s="312">
        <v>0.61580000000000001</v>
      </c>
      <c r="V1141" s="312">
        <v>0.64039999999999997</v>
      </c>
      <c r="W1141" s="312">
        <v>0.64749999999999996</v>
      </c>
      <c r="X1141" s="312">
        <v>0.60560000000000003</v>
      </c>
      <c r="Y1141" s="312">
        <v>0.6008</v>
      </c>
      <c r="Z1141" s="312">
        <v>0.70399999999999996</v>
      </c>
      <c r="AA1141" s="312">
        <v>0.66459999999999997</v>
      </c>
      <c r="AB1141" s="312">
        <v>0.63280000000000003</v>
      </c>
      <c r="AC1141" s="312">
        <v>0.59809999999999997</v>
      </c>
      <c r="AD1141" s="312">
        <v>0.56620000000000004</v>
      </c>
      <c r="AE1141" s="312">
        <v>0.64470000000000005</v>
      </c>
      <c r="AF1141" s="312">
        <v>0.48170000000000002</v>
      </c>
      <c r="AG1141" s="312">
        <v>0.50190000000000001</v>
      </c>
      <c r="AH1141" s="312">
        <v>0.60899999999999999</v>
      </c>
      <c r="AI1141" s="312">
        <v>0.66679999999999995</v>
      </c>
      <c r="AJ1141" s="312">
        <v>0.59260000000000002</v>
      </c>
      <c r="AK1141" s="312">
        <v>0.57530000000000003</v>
      </c>
      <c r="AL1141" s="312">
        <v>0.57850000000000001</v>
      </c>
      <c r="AM1141" s="312">
        <v>0.72889999999999999</v>
      </c>
      <c r="AN1141" s="312">
        <v>0.64500000000000002</v>
      </c>
      <c r="AO1141" s="312">
        <v>0.61539999999999995</v>
      </c>
      <c r="AP1141" s="312">
        <v>0.71589999999999998</v>
      </c>
      <c r="AQ1141" s="312">
        <v>0.5423</v>
      </c>
      <c r="AR1141" s="312">
        <v>0.66390000000000005</v>
      </c>
      <c r="AS1141" s="312">
        <v>0.48799999999999999</v>
      </c>
      <c r="AT1141" s="312">
        <v>0.68669999999999998</v>
      </c>
      <c r="AU1141" s="312">
        <v>0.77400000000000002</v>
      </c>
      <c r="AV1141" s="312">
        <v>0.74590000000000001</v>
      </c>
      <c r="AW1141" s="312">
        <v>0.56220000000000003</v>
      </c>
      <c r="AX1141" s="312">
        <v>0.54100000000000004</v>
      </c>
      <c r="AY1141" s="312">
        <v>0.66200000000000003</v>
      </c>
      <c r="AZ1141" s="312">
        <v>0.66910000000000003</v>
      </c>
      <c r="BA1141" s="312">
        <v>0.53969999999999996</v>
      </c>
      <c r="BB1141" s="312">
        <v>0.47039999999999998</v>
      </c>
      <c r="BC1141" s="312">
        <v>0.7046</v>
      </c>
      <c r="BD1141" s="312">
        <v>0.72940000000000005</v>
      </c>
      <c r="BE1141" s="312">
        <v>0.78959999999999997</v>
      </c>
      <c r="BF1141" s="312">
        <v>0.65500000000000003</v>
      </c>
      <c r="BG1141" s="312">
        <v>0.74009999999999998</v>
      </c>
      <c r="BH1141" s="312">
        <v>0.70960000000000001</v>
      </c>
      <c r="BI1141" s="312">
        <v>0.77259999999999995</v>
      </c>
      <c r="BJ1141" s="312">
        <v>0.71309999999999996</v>
      </c>
      <c r="BK1141" s="312">
        <v>0.75170000000000003</v>
      </c>
      <c r="BM1141">
        <f>(C1141-C730)*1000000/(RIMS_emp!C1141-RIMS_emp!C730)</f>
        <v>37541.517456264664</v>
      </c>
    </row>
    <row r="1142" spans="1:65" x14ac:dyDescent="0.25">
      <c r="A1142" s="306">
        <v>486000</v>
      </c>
      <c r="B1142" s="312" t="s">
        <v>757</v>
      </c>
      <c r="C1142" s="312">
        <v>0.86519999999999997</v>
      </c>
      <c r="D1142" s="312">
        <v>0.49159999999999998</v>
      </c>
      <c r="E1142" s="312">
        <v>0.54600000000000004</v>
      </c>
      <c r="F1142" s="312">
        <v>0.45839999999999997</v>
      </c>
      <c r="G1142" s="312">
        <v>0.55810000000000004</v>
      </c>
      <c r="H1142" s="312">
        <v>0.66049999999999998</v>
      </c>
      <c r="I1142" s="312">
        <v>0.65090000000000003</v>
      </c>
      <c r="J1142" s="312">
        <v>0.50639999999999996</v>
      </c>
      <c r="K1142" s="312">
        <v>8.0399999999999999E-2</v>
      </c>
      <c r="L1142" s="312">
        <v>0.43930000000000002</v>
      </c>
      <c r="M1142" s="312">
        <v>0.57330000000000003</v>
      </c>
      <c r="N1142" s="312">
        <v>0.59960000000000002</v>
      </c>
      <c r="O1142" s="312">
        <v>0</v>
      </c>
      <c r="P1142" s="312">
        <v>0.41139999999999999</v>
      </c>
      <c r="Q1142" s="312">
        <v>0.4627</v>
      </c>
      <c r="R1142" s="312">
        <v>0.62</v>
      </c>
      <c r="S1142" s="312">
        <v>0.55830000000000002</v>
      </c>
      <c r="T1142" s="312">
        <v>0.4874</v>
      </c>
      <c r="U1142" s="312">
        <v>0.53839999999999999</v>
      </c>
      <c r="V1142" s="312">
        <v>0.59250000000000003</v>
      </c>
      <c r="W1142" s="312">
        <v>0.54590000000000005</v>
      </c>
      <c r="X1142" s="312">
        <v>0.5423</v>
      </c>
      <c r="Y1142" s="312">
        <v>0.44269999999999998</v>
      </c>
      <c r="Z1142" s="312">
        <v>0.58919999999999995</v>
      </c>
      <c r="AA1142" s="312">
        <v>0.51170000000000004</v>
      </c>
      <c r="AB1142" s="312">
        <v>0.54300000000000004</v>
      </c>
      <c r="AC1142" s="312">
        <v>0.50209999999999999</v>
      </c>
      <c r="AD1142" s="312">
        <v>0.496</v>
      </c>
      <c r="AE1142" s="312">
        <v>0.52229999999999999</v>
      </c>
      <c r="AF1142" s="312">
        <v>0.42149999999999999</v>
      </c>
      <c r="AG1142" s="312">
        <v>0.42130000000000001</v>
      </c>
      <c r="AH1142" s="312">
        <v>0.35639999999999999</v>
      </c>
      <c r="AI1142" s="312">
        <v>0.58809999999999996</v>
      </c>
      <c r="AJ1142" s="312">
        <v>0.53339999999999999</v>
      </c>
      <c r="AK1142" s="312">
        <v>0.4924</v>
      </c>
      <c r="AL1142" s="312">
        <v>0.47060000000000002</v>
      </c>
      <c r="AM1142" s="312">
        <v>0.60560000000000003</v>
      </c>
      <c r="AN1142" s="312">
        <v>0.59870000000000001</v>
      </c>
      <c r="AO1142" s="312">
        <v>0.55369999999999997</v>
      </c>
      <c r="AP1142" s="312">
        <v>0.62749999999999995</v>
      </c>
      <c r="AQ1142" s="312">
        <v>0.48780000000000001</v>
      </c>
      <c r="AR1142" s="312">
        <v>0.56810000000000005</v>
      </c>
      <c r="AS1142" s="312">
        <v>0.38469999999999999</v>
      </c>
      <c r="AT1142" s="312">
        <v>0.54910000000000003</v>
      </c>
      <c r="AU1142" s="312">
        <v>0.72250000000000003</v>
      </c>
      <c r="AV1142" s="312">
        <v>0.64849999999999997</v>
      </c>
      <c r="AW1142" s="312">
        <v>0.53490000000000004</v>
      </c>
      <c r="AX1142" s="312">
        <v>0</v>
      </c>
      <c r="AY1142" s="312">
        <v>0.54190000000000005</v>
      </c>
      <c r="AZ1142" s="312">
        <v>0.51080000000000003</v>
      </c>
      <c r="BA1142" s="312">
        <v>0.46100000000000002</v>
      </c>
      <c r="BB1142" s="312">
        <v>0.45319999999999999</v>
      </c>
      <c r="BC1142" s="312">
        <v>0.5806</v>
      </c>
      <c r="BD1142" s="312">
        <v>0.61460000000000004</v>
      </c>
      <c r="BE1142" s="312">
        <v>0.65980000000000005</v>
      </c>
      <c r="BF1142" s="312">
        <v>0.54339999999999999</v>
      </c>
      <c r="BG1142" s="312">
        <v>0.64980000000000004</v>
      </c>
      <c r="BH1142" s="312">
        <v>0.60809999999999997</v>
      </c>
      <c r="BI1142" s="312">
        <v>0.71889999999999998</v>
      </c>
      <c r="BJ1142" s="312">
        <v>0.65010000000000001</v>
      </c>
      <c r="BK1142" s="312">
        <v>0.67279999999999995</v>
      </c>
      <c r="BM1142">
        <f>(C1142-C731)*1000000/(RIMS_emp!C1142-RIMS_emp!C731)</f>
        <v>37542.496357455057</v>
      </c>
    </row>
    <row r="1143" spans="1:65" x14ac:dyDescent="0.25">
      <c r="A1143" s="306" t="s">
        <v>758</v>
      </c>
      <c r="B1143" s="312" t="s">
        <v>283</v>
      </c>
      <c r="C1143" s="312">
        <v>1.0584</v>
      </c>
      <c r="D1143" s="312">
        <v>0.6734</v>
      </c>
      <c r="E1143" s="312">
        <v>0.7671</v>
      </c>
      <c r="F1143" s="312">
        <v>0.71079999999999999</v>
      </c>
      <c r="G1143" s="312">
        <v>0.80889999999999995</v>
      </c>
      <c r="H1143" s="312">
        <v>0.8871</v>
      </c>
      <c r="I1143" s="312">
        <v>0.87070000000000003</v>
      </c>
      <c r="J1143" s="312">
        <v>0.69469999999999998</v>
      </c>
      <c r="K1143" s="312">
        <v>0.1067</v>
      </c>
      <c r="L1143" s="312">
        <v>0.62239999999999995</v>
      </c>
      <c r="M1143" s="312">
        <v>0.84609999999999996</v>
      </c>
      <c r="N1143" s="312">
        <v>0.86529999999999996</v>
      </c>
      <c r="O1143" s="312">
        <v>0.79139999999999999</v>
      </c>
      <c r="P1143" s="312">
        <v>0.59970000000000001</v>
      </c>
      <c r="Q1143" s="312">
        <v>0.68530000000000002</v>
      </c>
      <c r="R1143" s="312">
        <v>0.85419999999999996</v>
      </c>
      <c r="S1143" s="312">
        <v>0.755</v>
      </c>
      <c r="T1143" s="312">
        <v>0.63449999999999995</v>
      </c>
      <c r="U1143" s="312">
        <v>0.67059999999999997</v>
      </c>
      <c r="V1143" s="312">
        <v>0.75719999999999998</v>
      </c>
      <c r="W1143" s="312">
        <v>0.73919999999999997</v>
      </c>
      <c r="X1143" s="312">
        <v>0.76680000000000004</v>
      </c>
      <c r="Y1143" s="312">
        <v>0.77229999999999999</v>
      </c>
      <c r="Z1143" s="312">
        <v>0.81859999999999999</v>
      </c>
      <c r="AA1143" s="312">
        <v>0.77859999999999996</v>
      </c>
      <c r="AB1143" s="312">
        <v>0.71440000000000003</v>
      </c>
      <c r="AC1143" s="312">
        <v>0.6835</v>
      </c>
      <c r="AD1143" s="312">
        <v>0.71850000000000003</v>
      </c>
      <c r="AE1143" s="312">
        <v>0.7792</v>
      </c>
      <c r="AF1143" s="312">
        <v>0.56779999999999997</v>
      </c>
      <c r="AG1143" s="312">
        <v>0.63019999999999998</v>
      </c>
      <c r="AH1143" s="312">
        <v>0.71140000000000003</v>
      </c>
      <c r="AI1143" s="312">
        <v>0.78759999999999997</v>
      </c>
      <c r="AJ1143" s="312">
        <v>0.74750000000000005</v>
      </c>
      <c r="AK1143" s="312">
        <v>0.74180000000000001</v>
      </c>
      <c r="AL1143" s="312">
        <v>0.70120000000000005</v>
      </c>
      <c r="AM1143" s="312">
        <v>0.84189999999999998</v>
      </c>
      <c r="AN1143" s="312">
        <v>0.79120000000000001</v>
      </c>
      <c r="AO1143" s="312">
        <v>0.71299999999999997</v>
      </c>
      <c r="AP1143" s="312">
        <v>0.79069999999999996</v>
      </c>
      <c r="AQ1143" s="312">
        <v>0.68269999999999997</v>
      </c>
      <c r="AR1143" s="312">
        <v>0.80179999999999996</v>
      </c>
      <c r="AS1143" s="312">
        <v>0.59499999999999997</v>
      </c>
      <c r="AT1143" s="312">
        <v>0.76670000000000005</v>
      </c>
      <c r="AU1143" s="312">
        <v>0.89219999999999999</v>
      </c>
      <c r="AV1143" s="312">
        <v>0.86250000000000004</v>
      </c>
      <c r="AW1143" s="312">
        <v>0.75629999999999997</v>
      </c>
      <c r="AX1143" s="312">
        <v>0.69169999999999998</v>
      </c>
      <c r="AY1143" s="312">
        <v>0.81620000000000004</v>
      </c>
      <c r="AZ1143" s="312">
        <v>0.75900000000000001</v>
      </c>
      <c r="BA1143" s="312">
        <v>0.622</v>
      </c>
      <c r="BB1143" s="312">
        <v>0.57750000000000001</v>
      </c>
      <c r="BC1143" s="312">
        <v>0.83120000000000005</v>
      </c>
      <c r="BD1143" s="312">
        <v>0.87319999999999998</v>
      </c>
      <c r="BE1143" s="312">
        <v>0.8901</v>
      </c>
      <c r="BF1143" s="312">
        <v>0.76490000000000002</v>
      </c>
      <c r="BG1143" s="312">
        <v>0.90269999999999995</v>
      </c>
      <c r="BH1143" s="312">
        <v>0.80930000000000002</v>
      </c>
      <c r="BI1143" s="312">
        <v>0.88719999999999999</v>
      </c>
      <c r="BJ1143" s="312">
        <v>0.85629999999999995</v>
      </c>
      <c r="BK1143" s="312">
        <v>0.89749999999999996</v>
      </c>
      <c r="BM1143">
        <f>(C1143-C732)*1000000/(RIMS_emp!C1143-RIMS_emp!C732)</f>
        <v>37536.971236873978</v>
      </c>
    </row>
    <row r="1144" spans="1:65" x14ac:dyDescent="0.25">
      <c r="A1144" s="306">
        <v>491000</v>
      </c>
      <c r="B1144" s="312" t="s">
        <v>759</v>
      </c>
      <c r="C1144" s="312">
        <v>1.1224000000000001</v>
      </c>
      <c r="D1144" s="312">
        <v>0.8387</v>
      </c>
      <c r="E1144" s="312">
        <v>0.89039999999999997</v>
      </c>
      <c r="F1144" s="312">
        <v>0.82579999999999998</v>
      </c>
      <c r="G1144" s="312">
        <v>0.9173</v>
      </c>
      <c r="H1144" s="312">
        <v>0.96970000000000001</v>
      </c>
      <c r="I1144" s="312">
        <v>0.96499999999999997</v>
      </c>
      <c r="J1144" s="312">
        <v>0.86599999999999999</v>
      </c>
      <c r="K1144" s="312">
        <v>0.123</v>
      </c>
      <c r="L1144" s="312">
        <v>0.77439999999999998</v>
      </c>
      <c r="M1144" s="312">
        <v>0.93859999999999999</v>
      </c>
      <c r="N1144" s="312">
        <v>0.94099999999999995</v>
      </c>
      <c r="O1144" s="312">
        <v>0.89259999999999995</v>
      </c>
      <c r="P1144" s="312">
        <v>0.7903</v>
      </c>
      <c r="Q1144" s="312">
        <v>0.81799999999999995</v>
      </c>
      <c r="R1144" s="312">
        <v>0.95989999999999998</v>
      </c>
      <c r="S1144" s="312">
        <v>0.88290000000000002</v>
      </c>
      <c r="T1144" s="312">
        <v>0.75949999999999995</v>
      </c>
      <c r="U1144" s="312">
        <v>0.8468</v>
      </c>
      <c r="V1144" s="312">
        <v>0.88109999999999999</v>
      </c>
      <c r="W1144" s="312">
        <v>0.88139999999999996</v>
      </c>
      <c r="X1144" s="312">
        <v>0.85829999999999995</v>
      </c>
      <c r="Y1144" s="312">
        <v>0.88880000000000003</v>
      </c>
      <c r="Z1144" s="312">
        <v>0.93430000000000002</v>
      </c>
      <c r="AA1144" s="312">
        <v>0.89759999999999995</v>
      </c>
      <c r="AB1144" s="312">
        <v>0.84209999999999996</v>
      </c>
      <c r="AC1144" s="312">
        <v>0.84889999999999999</v>
      </c>
      <c r="AD1144" s="312">
        <v>0.84499999999999997</v>
      </c>
      <c r="AE1144" s="312">
        <v>0.89500000000000002</v>
      </c>
      <c r="AF1144" s="312">
        <v>0.74419999999999997</v>
      </c>
      <c r="AG1144" s="312">
        <v>0.75990000000000002</v>
      </c>
      <c r="AH1144" s="312">
        <v>0.82869999999999999</v>
      </c>
      <c r="AI1144" s="312">
        <v>0.89810000000000001</v>
      </c>
      <c r="AJ1144" s="312">
        <v>0.85609999999999997</v>
      </c>
      <c r="AK1144" s="312">
        <v>0.86219999999999997</v>
      </c>
      <c r="AL1144" s="312">
        <v>0.84309999999999996</v>
      </c>
      <c r="AM1144" s="312">
        <v>0.91820000000000002</v>
      </c>
      <c r="AN1144" s="312">
        <v>0.89839999999999998</v>
      </c>
      <c r="AO1144" s="312">
        <v>0.85589999999999999</v>
      </c>
      <c r="AP1144" s="312">
        <v>0.92169999999999996</v>
      </c>
      <c r="AQ1144" s="312">
        <v>0.80189999999999995</v>
      </c>
      <c r="AR1144" s="312">
        <v>0.89529999999999998</v>
      </c>
      <c r="AS1144" s="312">
        <v>0.78200000000000003</v>
      </c>
      <c r="AT1144" s="312">
        <v>0.90629999999999999</v>
      </c>
      <c r="AU1144" s="312">
        <v>0.98750000000000004</v>
      </c>
      <c r="AV1144" s="312">
        <v>0.96260000000000001</v>
      </c>
      <c r="AW1144" s="312">
        <v>0.83089999999999997</v>
      </c>
      <c r="AX1144" s="312">
        <v>0.75760000000000005</v>
      </c>
      <c r="AY1144" s="312">
        <v>0.91200000000000003</v>
      </c>
      <c r="AZ1144" s="312">
        <v>0.90010000000000001</v>
      </c>
      <c r="BA1144" s="312">
        <v>0.78859999999999997</v>
      </c>
      <c r="BB1144" s="312">
        <v>0.77259999999999995</v>
      </c>
      <c r="BC1144" s="312">
        <v>0.94889999999999997</v>
      </c>
      <c r="BD1144" s="312">
        <v>0.96699999999999997</v>
      </c>
      <c r="BE1144" s="312">
        <v>0.98199999999999998</v>
      </c>
      <c r="BF1144" s="312">
        <v>0.89400000000000002</v>
      </c>
      <c r="BG1144" s="312">
        <v>0.9829</v>
      </c>
      <c r="BH1144" s="312">
        <v>0.92190000000000005</v>
      </c>
      <c r="BI1144" s="312">
        <v>0.9849</v>
      </c>
      <c r="BJ1144" s="312">
        <v>0.9556</v>
      </c>
      <c r="BK1144" s="312">
        <v>0.9768</v>
      </c>
      <c r="BM1144">
        <f>(C1144-C733)*1000000/(RIMS_emp!C1144-RIMS_emp!C733)</f>
        <v>37538.95684564198</v>
      </c>
    </row>
    <row r="1145" spans="1:65" x14ac:dyDescent="0.25">
      <c r="A1145" s="306">
        <v>492000</v>
      </c>
      <c r="B1145" s="312" t="s">
        <v>284</v>
      </c>
      <c r="C1145" s="312">
        <v>0.79169999999999996</v>
      </c>
      <c r="D1145" s="312">
        <v>0.49130000000000001</v>
      </c>
      <c r="E1145" s="312">
        <v>0.55830000000000002</v>
      </c>
      <c r="F1145" s="312">
        <v>0.51719999999999999</v>
      </c>
      <c r="G1145" s="312">
        <v>0.57930000000000004</v>
      </c>
      <c r="H1145" s="312">
        <v>0.65369999999999995</v>
      </c>
      <c r="I1145" s="312">
        <v>0.6401</v>
      </c>
      <c r="J1145" s="312">
        <v>0.5373</v>
      </c>
      <c r="K1145" s="312">
        <v>9.11E-2</v>
      </c>
      <c r="L1145" s="312">
        <v>0.4355</v>
      </c>
      <c r="M1145" s="312">
        <v>0.60599999999999998</v>
      </c>
      <c r="N1145" s="312">
        <v>0.62760000000000005</v>
      </c>
      <c r="O1145" s="312">
        <v>0.57869999999999999</v>
      </c>
      <c r="P1145" s="312">
        <v>0.46289999999999998</v>
      </c>
      <c r="Q1145" s="312">
        <v>0.47910000000000003</v>
      </c>
      <c r="R1145" s="312">
        <v>0.63829999999999998</v>
      </c>
      <c r="S1145" s="312">
        <v>0.57110000000000005</v>
      </c>
      <c r="T1145" s="312">
        <v>0.41599999999999998</v>
      </c>
      <c r="U1145" s="312">
        <v>0.49719999999999998</v>
      </c>
      <c r="V1145" s="312">
        <v>0.58760000000000001</v>
      </c>
      <c r="W1145" s="312">
        <v>0.54890000000000005</v>
      </c>
      <c r="X1145" s="312">
        <v>0.54779999999999995</v>
      </c>
      <c r="Y1145" s="312">
        <v>0.54979999999999996</v>
      </c>
      <c r="Z1145" s="312">
        <v>0.59650000000000003</v>
      </c>
      <c r="AA1145" s="312">
        <v>0.57569999999999999</v>
      </c>
      <c r="AB1145" s="312">
        <v>0.55130000000000001</v>
      </c>
      <c r="AC1145" s="312">
        <v>0.51890000000000003</v>
      </c>
      <c r="AD1145" s="312">
        <v>0.5091</v>
      </c>
      <c r="AE1145" s="312">
        <v>0.57609999999999995</v>
      </c>
      <c r="AF1145" s="312">
        <v>0.41139999999999999</v>
      </c>
      <c r="AG1145" s="312">
        <v>0.43440000000000001</v>
      </c>
      <c r="AH1145" s="312">
        <v>0.53669999999999995</v>
      </c>
      <c r="AI1145" s="312">
        <v>0.57320000000000004</v>
      </c>
      <c r="AJ1145" s="312">
        <v>0.51629999999999998</v>
      </c>
      <c r="AK1145" s="312">
        <v>0.54039999999999999</v>
      </c>
      <c r="AL1145" s="312">
        <v>0.50580000000000003</v>
      </c>
      <c r="AM1145" s="312">
        <v>0.60499999999999998</v>
      </c>
      <c r="AN1145" s="312">
        <v>0.58830000000000005</v>
      </c>
      <c r="AO1145" s="312">
        <v>0.52339999999999998</v>
      </c>
      <c r="AP1145" s="312">
        <v>0.59160000000000001</v>
      </c>
      <c r="AQ1145" s="312">
        <v>0.49009999999999998</v>
      </c>
      <c r="AR1145" s="312">
        <v>0.58209999999999995</v>
      </c>
      <c r="AS1145" s="312">
        <v>0.43459999999999999</v>
      </c>
      <c r="AT1145" s="312">
        <v>0.53369999999999995</v>
      </c>
      <c r="AU1145" s="312">
        <v>0.66510000000000002</v>
      </c>
      <c r="AV1145" s="312">
        <v>0.64529999999999998</v>
      </c>
      <c r="AW1145" s="312">
        <v>0.54690000000000005</v>
      </c>
      <c r="AX1145" s="312">
        <v>0.48949999999999999</v>
      </c>
      <c r="AY1145" s="312">
        <v>0.59130000000000005</v>
      </c>
      <c r="AZ1145" s="312">
        <v>0.56459999999999999</v>
      </c>
      <c r="BA1145" s="312">
        <v>0.46429999999999999</v>
      </c>
      <c r="BB1145" s="312">
        <v>0.46110000000000001</v>
      </c>
      <c r="BC1145" s="312">
        <v>0.60819999999999996</v>
      </c>
      <c r="BD1145" s="312">
        <v>0.63380000000000003</v>
      </c>
      <c r="BE1145" s="312">
        <v>0.65129999999999999</v>
      </c>
      <c r="BF1145" s="312">
        <v>0.56869999999999998</v>
      </c>
      <c r="BG1145" s="312">
        <v>0.65010000000000001</v>
      </c>
      <c r="BH1145" s="312">
        <v>0.55940000000000001</v>
      </c>
      <c r="BI1145" s="312">
        <v>0.66639999999999999</v>
      </c>
      <c r="BJ1145" s="312">
        <v>0.63100000000000001</v>
      </c>
      <c r="BK1145" s="312">
        <v>0.66039999999999999</v>
      </c>
      <c r="BM1145">
        <f>(C1145-C734)*1000000/(RIMS_emp!C1145-RIMS_emp!C734)</f>
        <v>37539.310784092551</v>
      </c>
    </row>
    <row r="1146" spans="1:65" x14ac:dyDescent="0.25">
      <c r="A1146" s="306">
        <v>493000</v>
      </c>
      <c r="B1146" s="312" t="s">
        <v>285</v>
      </c>
      <c r="C1146" s="312">
        <v>0.96540000000000004</v>
      </c>
      <c r="D1146" s="312">
        <v>0.63349999999999995</v>
      </c>
      <c r="E1146" s="312">
        <v>0.72160000000000002</v>
      </c>
      <c r="F1146" s="312">
        <v>0.66080000000000005</v>
      </c>
      <c r="G1146" s="312">
        <v>0.73670000000000002</v>
      </c>
      <c r="H1146" s="312">
        <v>0.81200000000000006</v>
      </c>
      <c r="I1146" s="312">
        <v>0.80179999999999996</v>
      </c>
      <c r="J1146" s="312">
        <v>0.65500000000000003</v>
      </c>
      <c r="K1146" s="312">
        <v>0.1239</v>
      </c>
      <c r="L1146" s="312">
        <v>0.55000000000000004</v>
      </c>
      <c r="M1146" s="312">
        <v>0.76759999999999995</v>
      </c>
      <c r="N1146" s="312">
        <v>0.80640000000000001</v>
      </c>
      <c r="O1146" s="312">
        <v>0.70169999999999999</v>
      </c>
      <c r="P1146" s="312">
        <v>0.63160000000000005</v>
      </c>
      <c r="Q1146" s="312">
        <v>0.62770000000000004</v>
      </c>
      <c r="R1146" s="312">
        <v>0.79890000000000005</v>
      </c>
      <c r="S1146" s="312">
        <v>0.72629999999999995</v>
      </c>
      <c r="T1146" s="312">
        <v>0.62680000000000002</v>
      </c>
      <c r="U1146" s="312">
        <v>0.68030000000000002</v>
      </c>
      <c r="V1146" s="312">
        <v>0.72640000000000005</v>
      </c>
      <c r="W1146" s="312">
        <v>0.66039999999999999</v>
      </c>
      <c r="X1146" s="312">
        <v>0.70399999999999996</v>
      </c>
      <c r="Y1146" s="312">
        <v>0.70540000000000003</v>
      </c>
      <c r="Z1146" s="312">
        <v>0.76739999999999997</v>
      </c>
      <c r="AA1146" s="312">
        <v>0.73119999999999996</v>
      </c>
      <c r="AB1146" s="312">
        <v>0.69020000000000004</v>
      </c>
      <c r="AC1146" s="312">
        <v>0.6452</v>
      </c>
      <c r="AD1146" s="312">
        <v>0.63680000000000003</v>
      </c>
      <c r="AE1146" s="312">
        <v>0.71579999999999999</v>
      </c>
      <c r="AF1146" s="312">
        <v>0.58199999999999996</v>
      </c>
      <c r="AG1146" s="312">
        <v>0.61419999999999997</v>
      </c>
      <c r="AH1146" s="312">
        <v>0.71240000000000003</v>
      </c>
      <c r="AI1146" s="312">
        <v>0.72829999999999995</v>
      </c>
      <c r="AJ1146" s="312">
        <v>0.62690000000000001</v>
      </c>
      <c r="AK1146" s="312">
        <v>0.69440000000000002</v>
      </c>
      <c r="AL1146" s="312">
        <v>0.64790000000000003</v>
      </c>
      <c r="AM1146" s="312">
        <v>0.79159999999999997</v>
      </c>
      <c r="AN1146" s="312">
        <v>0.71240000000000003</v>
      </c>
      <c r="AO1146" s="312">
        <v>0.6784</v>
      </c>
      <c r="AP1146" s="312">
        <v>0.7712</v>
      </c>
      <c r="AQ1146" s="312">
        <v>0.69079999999999997</v>
      </c>
      <c r="AR1146" s="312">
        <v>0.73839999999999995</v>
      </c>
      <c r="AS1146" s="312">
        <v>0.58460000000000001</v>
      </c>
      <c r="AT1146" s="312">
        <v>0.73740000000000006</v>
      </c>
      <c r="AU1146" s="312">
        <v>0.82920000000000005</v>
      </c>
      <c r="AV1146" s="312">
        <v>0.79069999999999996</v>
      </c>
      <c r="AW1146" s="312">
        <v>0.71299999999999997</v>
      </c>
      <c r="AX1146" s="312">
        <v>0.51380000000000003</v>
      </c>
      <c r="AY1146" s="312">
        <v>0.74819999999999998</v>
      </c>
      <c r="AZ1146" s="312">
        <v>0.74839999999999995</v>
      </c>
      <c r="BA1146" s="312">
        <v>0.62909999999999999</v>
      </c>
      <c r="BB1146" s="312">
        <v>0.57499999999999996</v>
      </c>
      <c r="BC1146" s="312">
        <v>0.78820000000000001</v>
      </c>
      <c r="BD1146" s="312">
        <v>0.81100000000000005</v>
      </c>
      <c r="BE1146" s="312">
        <v>0.83069999999999999</v>
      </c>
      <c r="BF1146" s="312">
        <v>0.73529999999999995</v>
      </c>
      <c r="BG1146" s="312">
        <v>0.82989999999999997</v>
      </c>
      <c r="BH1146" s="312">
        <v>0.76019999999999999</v>
      </c>
      <c r="BI1146" s="312">
        <v>0.82589999999999997</v>
      </c>
      <c r="BJ1146" s="312">
        <v>0.78210000000000002</v>
      </c>
      <c r="BK1146" s="312">
        <v>0.81689999999999996</v>
      </c>
      <c r="BM1146">
        <f>(C1146-C735)*1000000/(RIMS_emp!C1146-RIMS_emp!C735)</f>
        <v>37543.256360589381</v>
      </c>
    </row>
    <row r="1147" spans="1:65" x14ac:dyDescent="0.25">
      <c r="A1147" s="306" t="s">
        <v>760</v>
      </c>
      <c r="B1147" s="312" t="s">
        <v>761</v>
      </c>
      <c r="C1147" s="312">
        <v>0.79020000000000001</v>
      </c>
      <c r="D1147" s="312">
        <v>0.51790000000000003</v>
      </c>
      <c r="E1147" s="312">
        <v>0.58150000000000002</v>
      </c>
      <c r="F1147" s="312">
        <v>0.53590000000000004</v>
      </c>
      <c r="G1147" s="312">
        <v>0.60360000000000003</v>
      </c>
      <c r="H1147" s="312">
        <v>0.65680000000000005</v>
      </c>
      <c r="I1147" s="312">
        <v>0.6532</v>
      </c>
      <c r="J1147" s="312">
        <v>0.5605</v>
      </c>
      <c r="K1147" s="312">
        <v>0.13339999999999999</v>
      </c>
      <c r="L1147" s="312">
        <v>0.45229999999999998</v>
      </c>
      <c r="M1147" s="312">
        <v>0.62470000000000003</v>
      </c>
      <c r="N1147" s="312">
        <v>0.65149999999999997</v>
      </c>
      <c r="O1147" s="312">
        <v>0.57420000000000004</v>
      </c>
      <c r="P1147" s="312">
        <v>0.50449999999999995</v>
      </c>
      <c r="Q1147" s="312">
        <v>0.51380000000000003</v>
      </c>
      <c r="R1147" s="312">
        <v>0.65790000000000004</v>
      </c>
      <c r="S1147" s="312">
        <v>0.58179999999999998</v>
      </c>
      <c r="T1147" s="312">
        <v>0.49280000000000002</v>
      </c>
      <c r="U1147" s="312">
        <v>0.56059999999999999</v>
      </c>
      <c r="V1147" s="312">
        <v>0.56979999999999997</v>
      </c>
      <c r="W1147" s="312">
        <v>0.57799999999999996</v>
      </c>
      <c r="X1147" s="312">
        <v>0.55879999999999996</v>
      </c>
      <c r="Y1147" s="312">
        <v>0.58260000000000001</v>
      </c>
      <c r="Z1147" s="312">
        <v>0.62439999999999996</v>
      </c>
      <c r="AA1147" s="312">
        <v>0.60399999999999998</v>
      </c>
      <c r="AB1147" s="312">
        <v>0.57720000000000005</v>
      </c>
      <c r="AC1147" s="312">
        <v>0.52939999999999998</v>
      </c>
      <c r="AD1147" s="312">
        <v>0.52749999999999997</v>
      </c>
      <c r="AE1147" s="312">
        <v>0.59209999999999996</v>
      </c>
      <c r="AF1147" s="312">
        <v>0.45739999999999997</v>
      </c>
      <c r="AG1147" s="312">
        <v>0.50529999999999997</v>
      </c>
      <c r="AH1147" s="312">
        <v>0.53149999999999997</v>
      </c>
      <c r="AI1147" s="312">
        <v>0.58950000000000002</v>
      </c>
      <c r="AJ1147" s="312">
        <v>0.53759999999999997</v>
      </c>
      <c r="AK1147" s="312">
        <v>0.55669999999999997</v>
      </c>
      <c r="AL1147" s="312">
        <v>0.53810000000000002</v>
      </c>
      <c r="AM1147" s="312">
        <v>0.63090000000000002</v>
      </c>
      <c r="AN1147" s="312">
        <v>0.58230000000000004</v>
      </c>
      <c r="AO1147" s="312">
        <v>0.57709999999999995</v>
      </c>
      <c r="AP1147" s="312">
        <v>0.62570000000000003</v>
      </c>
      <c r="AQ1147" s="312">
        <v>0.50990000000000002</v>
      </c>
      <c r="AR1147" s="312">
        <v>0.59630000000000005</v>
      </c>
      <c r="AS1147" s="312">
        <v>0.48039999999999999</v>
      </c>
      <c r="AT1147" s="312">
        <v>0.61680000000000001</v>
      </c>
      <c r="AU1147" s="312">
        <v>0.66379999999999995</v>
      </c>
      <c r="AV1147" s="312">
        <v>0.64710000000000001</v>
      </c>
      <c r="AW1147" s="312">
        <v>0.57189999999999996</v>
      </c>
      <c r="AX1147" s="312">
        <v>0.51270000000000004</v>
      </c>
      <c r="AY1147" s="312">
        <v>0.60270000000000001</v>
      </c>
      <c r="AZ1147" s="312">
        <v>0.59770000000000001</v>
      </c>
      <c r="BA1147" s="312">
        <v>0.4919</v>
      </c>
      <c r="BB1147" s="312">
        <v>0.47499999999999998</v>
      </c>
      <c r="BC1147" s="312">
        <v>0.63839999999999997</v>
      </c>
      <c r="BD1147" s="312">
        <v>0.66</v>
      </c>
      <c r="BE1147" s="312">
        <v>0.67279999999999995</v>
      </c>
      <c r="BF1147" s="312">
        <v>0.60009999999999997</v>
      </c>
      <c r="BG1147" s="312">
        <v>0.67200000000000004</v>
      </c>
      <c r="BH1147" s="312">
        <v>0.61929999999999996</v>
      </c>
      <c r="BI1147" s="312">
        <v>0.66239999999999999</v>
      </c>
      <c r="BJ1147" s="312">
        <v>0.63729999999999998</v>
      </c>
      <c r="BK1147" s="312">
        <v>0.66220000000000001</v>
      </c>
      <c r="BM1147">
        <f>(C1147-C736)*1000000/(RIMS_emp!C1147-RIMS_emp!C736)</f>
        <v>37541.210252047211</v>
      </c>
    </row>
    <row r="1148" spans="1:65" x14ac:dyDescent="0.25">
      <c r="A1148" s="306">
        <v>511110</v>
      </c>
      <c r="B1148" s="312" t="s">
        <v>286</v>
      </c>
      <c r="C1148" s="312">
        <v>0.80520000000000003</v>
      </c>
      <c r="D1148" s="312">
        <v>0.49330000000000002</v>
      </c>
      <c r="E1148" s="312">
        <v>0.56510000000000005</v>
      </c>
      <c r="F1148" s="312">
        <v>0.53920000000000001</v>
      </c>
      <c r="G1148" s="312">
        <v>0.58709999999999996</v>
      </c>
      <c r="H1148" s="312">
        <v>0.65649999999999997</v>
      </c>
      <c r="I1148" s="312">
        <v>0.64639999999999997</v>
      </c>
      <c r="J1148" s="312">
        <v>0.54190000000000005</v>
      </c>
      <c r="K1148" s="312">
        <v>0.12609999999999999</v>
      </c>
      <c r="L1148" s="312">
        <v>0.44390000000000002</v>
      </c>
      <c r="M1148" s="312">
        <v>0.61680000000000001</v>
      </c>
      <c r="N1148" s="312">
        <v>0.65890000000000004</v>
      </c>
      <c r="O1148" s="312">
        <v>0.54920000000000002</v>
      </c>
      <c r="P1148" s="312">
        <v>0.48649999999999999</v>
      </c>
      <c r="Q1148" s="312">
        <v>0.49</v>
      </c>
      <c r="R1148" s="312">
        <v>0.66059999999999997</v>
      </c>
      <c r="S1148" s="312">
        <v>0.56779999999999997</v>
      </c>
      <c r="T1148" s="312">
        <v>0.47910000000000003</v>
      </c>
      <c r="U1148" s="312">
        <v>0.54900000000000004</v>
      </c>
      <c r="V1148" s="312">
        <v>0.56100000000000005</v>
      </c>
      <c r="W1148" s="312">
        <v>0.6038</v>
      </c>
      <c r="X1148" s="312">
        <v>0.54620000000000002</v>
      </c>
      <c r="Y1148" s="312">
        <v>0.5857</v>
      </c>
      <c r="Z1148" s="312">
        <v>0.62580000000000002</v>
      </c>
      <c r="AA1148" s="312">
        <v>0.61480000000000001</v>
      </c>
      <c r="AB1148" s="312">
        <v>0.54459999999999997</v>
      </c>
      <c r="AC1148" s="312">
        <v>0.49590000000000001</v>
      </c>
      <c r="AD1148" s="312">
        <v>0.50600000000000001</v>
      </c>
      <c r="AE1148" s="312">
        <v>0.5948</v>
      </c>
      <c r="AF1148" s="312">
        <v>0.4279</v>
      </c>
      <c r="AG1148" s="312">
        <v>0.498</v>
      </c>
      <c r="AH1148" s="312">
        <v>0.53910000000000002</v>
      </c>
      <c r="AI1148" s="312">
        <v>0.56789999999999996</v>
      </c>
      <c r="AJ1148" s="312">
        <v>0.51470000000000005</v>
      </c>
      <c r="AK1148" s="312">
        <v>0.5232</v>
      </c>
      <c r="AL1148" s="312">
        <v>0.496</v>
      </c>
      <c r="AM1148" s="312">
        <v>0.63619999999999999</v>
      </c>
      <c r="AN1148" s="312">
        <v>0.56910000000000005</v>
      </c>
      <c r="AO1148" s="312">
        <v>0.59450000000000003</v>
      </c>
      <c r="AP1148" s="312">
        <v>0.621</v>
      </c>
      <c r="AQ1148" s="312">
        <v>0.53039999999999998</v>
      </c>
      <c r="AR1148" s="312">
        <v>0.57899999999999996</v>
      </c>
      <c r="AS1148" s="312">
        <v>0.4587</v>
      </c>
      <c r="AT1148" s="312">
        <v>0.61250000000000004</v>
      </c>
      <c r="AU1148" s="312">
        <v>0.65549999999999997</v>
      </c>
      <c r="AV1148" s="312">
        <v>0.64670000000000005</v>
      </c>
      <c r="AW1148" s="312">
        <v>0.54690000000000005</v>
      </c>
      <c r="AX1148" s="312">
        <v>0.50119999999999998</v>
      </c>
      <c r="AY1148" s="312">
        <v>0.60799999999999998</v>
      </c>
      <c r="AZ1148" s="312">
        <v>0.59550000000000003</v>
      </c>
      <c r="BA1148" s="312">
        <v>0.4718</v>
      </c>
      <c r="BB1148" s="312">
        <v>0.45579999999999998</v>
      </c>
      <c r="BC1148" s="312">
        <v>0.65159999999999996</v>
      </c>
      <c r="BD1148" s="312">
        <v>0.66</v>
      </c>
      <c r="BE1148" s="312">
        <v>0.67910000000000004</v>
      </c>
      <c r="BF1148" s="312">
        <v>0.60170000000000001</v>
      </c>
      <c r="BG1148" s="312">
        <v>0.6804</v>
      </c>
      <c r="BH1148" s="312">
        <v>0.60650000000000004</v>
      </c>
      <c r="BI1148" s="312">
        <v>0.66049999999999998</v>
      </c>
      <c r="BJ1148" s="312">
        <v>0.62619999999999998</v>
      </c>
      <c r="BK1148" s="312">
        <v>0.66690000000000005</v>
      </c>
      <c r="BM1148">
        <f>(C1148-C737)*1000000/(RIMS_emp!C1148-RIMS_emp!C737)</f>
        <v>37533.267233731676</v>
      </c>
    </row>
    <row r="1149" spans="1:65" x14ac:dyDescent="0.25">
      <c r="A1149" s="306">
        <v>511120</v>
      </c>
      <c r="B1149" s="312" t="s">
        <v>287</v>
      </c>
      <c r="C1149" s="312">
        <v>0.79320000000000002</v>
      </c>
      <c r="D1149" s="312">
        <v>0.42270000000000002</v>
      </c>
      <c r="E1149" s="312">
        <v>0.49569999999999997</v>
      </c>
      <c r="F1149" s="312">
        <v>0.47560000000000002</v>
      </c>
      <c r="G1149" s="312">
        <v>0.53049999999999997</v>
      </c>
      <c r="H1149" s="312">
        <v>0.62070000000000003</v>
      </c>
      <c r="I1149" s="312">
        <v>0.60429999999999995</v>
      </c>
      <c r="J1149" s="312">
        <v>0.51880000000000004</v>
      </c>
      <c r="K1149" s="312">
        <v>0.11070000000000001</v>
      </c>
      <c r="L1149" s="312">
        <v>0.37569999999999998</v>
      </c>
      <c r="M1149" s="312">
        <v>0.57250000000000001</v>
      </c>
      <c r="N1149" s="312">
        <v>0.63919999999999999</v>
      </c>
      <c r="O1149" s="312">
        <v>0.47370000000000001</v>
      </c>
      <c r="P1149" s="312">
        <v>0.43059999999999998</v>
      </c>
      <c r="Q1149" s="312">
        <v>0.41649999999999998</v>
      </c>
      <c r="R1149" s="312">
        <v>0.64200000000000002</v>
      </c>
      <c r="S1149" s="312">
        <v>0.53239999999999998</v>
      </c>
      <c r="T1149" s="312">
        <v>0.44280000000000003</v>
      </c>
      <c r="U1149" s="312">
        <v>0.51019999999999999</v>
      </c>
      <c r="V1149" s="312">
        <v>0.4869</v>
      </c>
      <c r="W1149" s="312">
        <v>0.57579999999999998</v>
      </c>
      <c r="X1149" s="312">
        <v>0.52659999999999996</v>
      </c>
      <c r="Y1149" s="312">
        <v>0.53110000000000002</v>
      </c>
      <c r="Z1149" s="312">
        <v>0.59460000000000002</v>
      </c>
      <c r="AA1149" s="312">
        <v>0.58660000000000001</v>
      </c>
      <c r="AB1149" s="312">
        <v>0.52070000000000005</v>
      </c>
      <c r="AC1149" s="312">
        <v>0.42170000000000002</v>
      </c>
      <c r="AD1149" s="312">
        <v>0.43909999999999999</v>
      </c>
      <c r="AE1149" s="312">
        <v>0.54169999999999996</v>
      </c>
      <c r="AF1149" s="312">
        <v>0.34849999999999998</v>
      </c>
      <c r="AG1149" s="312">
        <v>0.43880000000000002</v>
      </c>
      <c r="AH1149" s="312">
        <v>0.504</v>
      </c>
      <c r="AI1149" s="312">
        <v>0.56159999999999999</v>
      </c>
      <c r="AJ1149" s="312">
        <v>0.43340000000000001</v>
      </c>
      <c r="AK1149" s="312">
        <v>0.4793</v>
      </c>
      <c r="AL1149" s="312">
        <v>0.46550000000000002</v>
      </c>
      <c r="AM1149" s="312">
        <v>0.60140000000000005</v>
      </c>
      <c r="AN1149" s="312">
        <v>0.50619999999999998</v>
      </c>
      <c r="AO1149" s="312">
        <v>0.55379999999999996</v>
      </c>
      <c r="AP1149" s="312">
        <v>0.59740000000000004</v>
      </c>
      <c r="AQ1149" s="312">
        <v>0.48370000000000002</v>
      </c>
      <c r="AR1149" s="312">
        <v>0.51759999999999995</v>
      </c>
      <c r="AS1149" s="312">
        <v>0.38890000000000002</v>
      </c>
      <c r="AT1149" s="312">
        <v>0.5806</v>
      </c>
      <c r="AU1149" s="312">
        <v>0.61329999999999996</v>
      </c>
      <c r="AV1149" s="312">
        <v>0.61799999999999999</v>
      </c>
      <c r="AW1149" s="312">
        <v>0.52</v>
      </c>
      <c r="AX1149" s="312">
        <v>0.45960000000000001</v>
      </c>
      <c r="AY1149" s="312">
        <v>0.54110000000000003</v>
      </c>
      <c r="AZ1149" s="312">
        <v>0.55349999999999999</v>
      </c>
      <c r="BA1149" s="312">
        <v>0.39889999999999998</v>
      </c>
      <c r="BB1149" s="312">
        <v>0.37290000000000001</v>
      </c>
      <c r="BC1149" s="312">
        <v>0.62439999999999996</v>
      </c>
      <c r="BD1149" s="312">
        <v>0.64749999999999996</v>
      </c>
      <c r="BE1149" s="312">
        <v>0.65259999999999996</v>
      </c>
      <c r="BF1149" s="312">
        <v>0.56479999999999997</v>
      </c>
      <c r="BG1149" s="312">
        <v>0.65149999999999997</v>
      </c>
      <c r="BH1149" s="312">
        <v>0.57099999999999995</v>
      </c>
      <c r="BI1149" s="312">
        <v>0.60880000000000001</v>
      </c>
      <c r="BJ1149" s="312">
        <v>0.57779999999999998</v>
      </c>
      <c r="BK1149" s="312">
        <v>0.62629999999999997</v>
      </c>
      <c r="BM1149">
        <f>(C1149-C738)*1000000/(RIMS_emp!C1149-RIMS_emp!C738)</f>
        <v>37548.176893633368</v>
      </c>
    </row>
    <row r="1150" spans="1:65" x14ac:dyDescent="0.25">
      <c r="A1150" s="306">
        <v>511130</v>
      </c>
      <c r="B1150" s="312" t="s">
        <v>288</v>
      </c>
      <c r="C1150" s="312">
        <v>0.67579999999999996</v>
      </c>
      <c r="D1150" s="312">
        <v>0.35610000000000003</v>
      </c>
      <c r="E1150" s="312">
        <v>0.41699999999999998</v>
      </c>
      <c r="F1150" s="312">
        <v>0.38729999999999998</v>
      </c>
      <c r="G1150" s="312">
        <v>0.46379999999999999</v>
      </c>
      <c r="H1150" s="312">
        <v>0.53590000000000004</v>
      </c>
      <c r="I1150" s="312">
        <v>0.51100000000000001</v>
      </c>
      <c r="J1150" s="312">
        <v>0.44629999999999997</v>
      </c>
      <c r="K1150" s="312">
        <v>9.3799999999999994E-2</v>
      </c>
      <c r="L1150" s="312">
        <v>0.31740000000000002</v>
      </c>
      <c r="M1150" s="312">
        <v>0.4864</v>
      </c>
      <c r="N1150" s="312">
        <v>0.53990000000000005</v>
      </c>
      <c r="O1150" s="312">
        <v>0.39889999999999998</v>
      </c>
      <c r="P1150" s="312">
        <v>0.36109999999999998</v>
      </c>
      <c r="Q1150" s="312">
        <v>0.3523</v>
      </c>
      <c r="R1150" s="312">
        <v>0.5484</v>
      </c>
      <c r="S1150" s="312">
        <v>0.44700000000000001</v>
      </c>
      <c r="T1150" s="312">
        <v>0.37409999999999999</v>
      </c>
      <c r="U1150" s="312">
        <v>0.43109999999999998</v>
      </c>
      <c r="V1150" s="312">
        <v>0.41360000000000002</v>
      </c>
      <c r="W1150" s="312">
        <v>0.49320000000000003</v>
      </c>
      <c r="X1150" s="312">
        <v>0.44140000000000001</v>
      </c>
      <c r="Y1150" s="312">
        <v>0.43840000000000001</v>
      </c>
      <c r="Z1150" s="312">
        <v>0.50380000000000003</v>
      </c>
      <c r="AA1150" s="312">
        <v>0.49990000000000001</v>
      </c>
      <c r="AB1150" s="312">
        <v>0.44350000000000001</v>
      </c>
      <c r="AC1150" s="312">
        <v>0.3538</v>
      </c>
      <c r="AD1150" s="312">
        <v>0.36249999999999999</v>
      </c>
      <c r="AE1150" s="312">
        <v>0.46060000000000001</v>
      </c>
      <c r="AF1150" s="312">
        <v>0.30509999999999998</v>
      </c>
      <c r="AG1150" s="312">
        <v>0.37009999999999998</v>
      </c>
      <c r="AH1150" s="312">
        <v>0.4304</v>
      </c>
      <c r="AI1150" s="312">
        <v>0.47389999999999999</v>
      </c>
      <c r="AJ1150" s="312">
        <v>0.36780000000000002</v>
      </c>
      <c r="AK1150" s="312">
        <v>0.39600000000000002</v>
      </c>
      <c r="AL1150" s="312">
        <v>0.40110000000000001</v>
      </c>
      <c r="AM1150" s="312">
        <v>0.51049999999999995</v>
      </c>
      <c r="AN1150" s="312">
        <v>0.42209999999999998</v>
      </c>
      <c r="AO1150" s="312">
        <v>0.47099999999999997</v>
      </c>
      <c r="AP1150" s="312">
        <v>0.51</v>
      </c>
      <c r="AQ1150" s="312">
        <v>0.4143</v>
      </c>
      <c r="AR1150" s="312">
        <v>0.4289</v>
      </c>
      <c r="AS1150" s="312">
        <v>0.3221</v>
      </c>
      <c r="AT1150" s="312">
        <v>0.48399999999999999</v>
      </c>
      <c r="AU1150" s="312">
        <v>0.51819999999999999</v>
      </c>
      <c r="AV1150" s="312">
        <v>0.52200000000000002</v>
      </c>
      <c r="AW1150" s="312">
        <v>0.43409999999999999</v>
      </c>
      <c r="AX1150" s="312">
        <v>0.39219999999999999</v>
      </c>
      <c r="AY1150" s="312">
        <v>0.45879999999999999</v>
      </c>
      <c r="AZ1150" s="312">
        <v>0.46989999999999998</v>
      </c>
      <c r="BA1150" s="312">
        <v>0.33410000000000001</v>
      </c>
      <c r="BB1150" s="312">
        <v>0.31659999999999999</v>
      </c>
      <c r="BC1150" s="312">
        <v>0.53590000000000004</v>
      </c>
      <c r="BD1150" s="312">
        <v>0.55089999999999995</v>
      </c>
      <c r="BE1150" s="312">
        <v>0.55510000000000004</v>
      </c>
      <c r="BF1150" s="312">
        <v>0.47939999999999999</v>
      </c>
      <c r="BG1150" s="312">
        <v>0.5474</v>
      </c>
      <c r="BH1150" s="312">
        <v>0.47370000000000001</v>
      </c>
      <c r="BI1150" s="312">
        <v>0.5131</v>
      </c>
      <c r="BJ1150" s="312">
        <v>0.49180000000000001</v>
      </c>
      <c r="BK1150" s="312">
        <v>0.53890000000000005</v>
      </c>
      <c r="BM1150">
        <f>(C1150-C739)*1000000/(RIMS_emp!C1150-RIMS_emp!C739)</f>
        <v>37540.221666070785</v>
      </c>
    </row>
    <row r="1151" spans="1:65" x14ac:dyDescent="0.25">
      <c r="A1151" s="306" t="s">
        <v>762</v>
      </c>
      <c r="B1151" s="312" t="s">
        <v>289</v>
      </c>
      <c r="C1151" s="312">
        <v>0.65759999999999996</v>
      </c>
      <c r="D1151" s="312">
        <v>0.32769999999999999</v>
      </c>
      <c r="E1151" s="312">
        <v>0.3952</v>
      </c>
      <c r="F1151" s="312">
        <v>0.37819999999999998</v>
      </c>
      <c r="G1151" s="312">
        <v>0.42849999999999999</v>
      </c>
      <c r="H1151" s="312">
        <v>0.50409999999999999</v>
      </c>
      <c r="I1151" s="312">
        <v>0.49459999999999998</v>
      </c>
      <c r="J1151" s="312">
        <v>0.4274</v>
      </c>
      <c r="K1151" s="312">
        <v>9.01E-2</v>
      </c>
      <c r="L1151" s="312">
        <v>0.29399999999999998</v>
      </c>
      <c r="M1151" s="312">
        <v>0.46610000000000001</v>
      </c>
      <c r="N1151" s="312">
        <v>0.5212</v>
      </c>
      <c r="O1151" s="312">
        <v>0.37209999999999999</v>
      </c>
      <c r="P1151" s="312">
        <v>0.34350000000000003</v>
      </c>
      <c r="Q1151" s="312">
        <v>0.33069999999999999</v>
      </c>
      <c r="R1151" s="312">
        <v>0.53310000000000002</v>
      </c>
      <c r="S1151" s="312">
        <v>0.43120000000000003</v>
      </c>
      <c r="T1151" s="312">
        <v>0.35620000000000002</v>
      </c>
      <c r="U1151" s="312">
        <v>0.41520000000000001</v>
      </c>
      <c r="V1151" s="312">
        <v>0.3841</v>
      </c>
      <c r="W1151" s="312">
        <v>0.47610000000000002</v>
      </c>
      <c r="X1151" s="312">
        <v>0.43009999999999998</v>
      </c>
      <c r="Y1151" s="312">
        <v>0.42830000000000001</v>
      </c>
      <c r="Z1151" s="312">
        <v>0.48359999999999997</v>
      </c>
      <c r="AA1151" s="312">
        <v>0.48099999999999998</v>
      </c>
      <c r="AB1151" s="312">
        <v>0.4299</v>
      </c>
      <c r="AC1151" s="312">
        <v>0.33100000000000002</v>
      </c>
      <c r="AD1151" s="312">
        <v>0.34039999999999998</v>
      </c>
      <c r="AE1151" s="312">
        <v>0.43959999999999999</v>
      </c>
      <c r="AF1151" s="312">
        <v>0.2681</v>
      </c>
      <c r="AG1151" s="312">
        <v>0.35499999999999998</v>
      </c>
      <c r="AH1151" s="312">
        <v>0.4163</v>
      </c>
      <c r="AI1151" s="312">
        <v>0.46279999999999999</v>
      </c>
      <c r="AJ1151" s="312">
        <v>0.34379999999999999</v>
      </c>
      <c r="AK1151" s="312">
        <v>0.38109999999999999</v>
      </c>
      <c r="AL1151" s="312">
        <v>0.37830000000000003</v>
      </c>
      <c r="AM1151" s="312">
        <v>0.4929</v>
      </c>
      <c r="AN1151" s="312">
        <v>0.40139999999999998</v>
      </c>
      <c r="AO1151" s="312">
        <v>0.4521</v>
      </c>
      <c r="AP1151" s="312">
        <v>0.49690000000000001</v>
      </c>
      <c r="AQ1151" s="312">
        <v>0.39129999999999998</v>
      </c>
      <c r="AR1151" s="312">
        <v>0.41539999999999999</v>
      </c>
      <c r="AS1151" s="312">
        <v>0.30220000000000002</v>
      </c>
      <c r="AT1151" s="312">
        <v>0.46650000000000003</v>
      </c>
      <c r="AU1151" s="312">
        <v>0.50409999999999999</v>
      </c>
      <c r="AV1151" s="312">
        <v>0.50929999999999997</v>
      </c>
      <c r="AW1151" s="312">
        <v>0.42559999999999998</v>
      </c>
      <c r="AX1151" s="312">
        <v>0.37530000000000002</v>
      </c>
      <c r="AY1151" s="312">
        <v>0.43430000000000002</v>
      </c>
      <c r="AZ1151" s="312">
        <v>0.44640000000000002</v>
      </c>
      <c r="BA1151" s="312">
        <v>0.31669999999999998</v>
      </c>
      <c r="BB1151" s="312">
        <v>0.29020000000000001</v>
      </c>
      <c r="BC1151" s="312">
        <v>0.51790000000000003</v>
      </c>
      <c r="BD1151" s="312">
        <v>0.53169999999999995</v>
      </c>
      <c r="BE1151" s="312">
        <v>0.5383</v>
      </c>
      <c r="BF1151" s="312">
        <v>0.46200000000000002</v>
      </c>
      <c r="BG1151" s="312">
        <v>0.53459999999999996</v>
      </c>
      <c r="BH1151" s="312">
        <v>0.46100000000000002</v>
      </c>
      <c r="BI1151" s="312">
        <v>0.49790000000000001</v>
      </c>
      <c r="BJ1151" s="312">
        <v>0.47170000000000001</v>
      </c>
      <c r="BK1151" s="312">
        <v>0.50839999999999996</v>
      </c>
      <c r="BM1151">
        <f>(C1151-C740)*1000000/(RIMS_emp!C1151-RIMS_emp!C740)</f>
        <v>37540.535791306582</v>
      </c>
    </row>
    <row r="1152" spans="1:65" x14ac:dyDescent="0.25">
      <c r="A1152" s="306">
        <v>511200</v>
      </c>
      <c r="B1152" s="312" t="s">
        <v>290</v>
      </c>
      <c r="C1152" s="312">
        <v>0.82669999999999999</v>
      </c>
      <c r="D1152" s="312">
        <v>0.52229999999999999</v>
      </c>
      <c r="E1152" s="312">
        <v>0.58709999999999996</v>
      </c>
      <c r="F1152" s="312">
        <v>0.54649999999999999</v>
      </c>
      <c r="G1152" s="312">
        <v>0.63339999999999996</v>
      </c>
      <c r="H1152" s="312">
        <v>0.70499999999999996</v>
      </c>
      <c r="I1152" s="312">
        <v>0.69340000000000002</v>
      </c>
      <c r="J1152" s="312">
        <v>0.55979999999999996</v>
      </c>
      <c r="K1152" s="312">
        <v>0.14149999999999999</v>
      </c>
      <c r="L1152" s="312">
        <v>0.4743</v>
      </c>
      <c r="M1152" s="312">
        <v>0.66620000000000001</v>
      </c>
      <c r="N1152" s="312">
        <v>0.68400000000000005</v>
      </c>
      <c r="O1152" s="312">
        <v>0.59789999999999999</v>
      </c>
      <c r="P1152" s="312">
        <v>0.49509999999999998</v>
      </c>
      <c r="Q1152" s="312">
        <v>0.51519999999999999</v>
      </c>
      <c r="R1152" s="312">
        <v>0.68989999999999996</v>
      </c>
      <c r="S1152" s="312">
        <v>0.5877</v>
      </c>
      <c r="T1152" s="312">
        <v>0.49440000000000001</v>
      </c>
      <c r="U1152" s="312">
        <v>0.54520000000000002</v>
      </c>
      <c r="V1152" s="312">
        <v>0.59430000000000005</v>
      </c>
      <c r="W1152" s="312">
        <v>0.63280000000000003</v>
      </c>
      <c r="X1152" s="312">
        <v>0.57340000000000002</v>
      </c>
      <c r="Y1152" s="312">
        <v>0.59660000000000002</v>
      </c>
      <c r="Z1152" s="312">
        <v>0.6502</v>
      </c>
      <c r="AA1152" s="312">
        <v>0.63019999999999998</v>
      </c>
      <c r="AB1152" s="312">
        <v>0.55889999999999995</v>
      </c>
      <c r="AC1152" s="312">
        <v>0.51170000000000004</v>
      </c>
      <c r="AD1152" s="312">
        <v>0.53480000000000005</v>
      </c>
      <c r="AE1152" s="312">
        <v>0.61970000000000003</v>
      </c>
      <c r="AF1152" s="312">
        <v>0.45200000000000001</v>
      </c>
      <c r="AG1152" s="312">
        <v>0.50580000000000003</v>
      </c>
      <c r="AH1152" s="312">
        <v>0.56369999999999998</v>
      </c>
      <c r="AI1152" s="312">
        <v>0.59509999999999996</v>
      </c>
      <c r="AJ1152" s="312">
        <v>0.55620000000000003</v>
      </c>
      <c r="AK1152" s="312">
        <v>0.5625</v>
      </c>
      <c r="AL1152" s="312">
        <v>0.52429999999999999</v>
      </c>
      <c r="AM1152" s="312">
        <v>0.64539999999999997</v>
      </c>
      <c r="AN1152" s="312">
        <v>0.60229999999999995</v>
      </c>
      <c r="AO1152" s="312">
        <v>0.60719999999999996</v>
      </c>
      <c r="AP1152" s="312">
        <v>0.63029999999999997</v>
      </c>
      <c r="AQ1152" s="312">
        <v>0.55500000000000005</v>
      </c>
      <c r="AR1152" s="312">
        <v>0.60460000000000003</v>
      </c>
      <c r="AS1152" s="312">
        <v>0.4778</v>
      </c>
      <c r="AT1152" s="312">
        <v>0.63839999999999997</v>
      </c>
      <c r="AU1152" s="312">
        <v>0.69359999999999999</v>
      </c>
      <c r="AV1152" s="312">
        <v>0.67430000000000001</v>
      </c>
      <c r="AW1152" s="312">
        <v>0.56389999999999996</v>
      </c>
      <c r="AX1152" s="312">
        <v>0.50870000000000004</v>
      </c>
      <c r="AY1152" s="312">
        <v>0.63580000000000003</v>
      </c>
      <c r="AZ1152" s="312">
        <v>0.60289999999999999</v>
      </c>
      <c r="BA1152" s="312">
        <v>0.496</v>
      </c>
      <c r="BB1152" s="312">
        <v>0.47820000000000001</v>
      </c>
      <c r="BC1152" s="312">
        <v>0.67300000000000004</v>
      </c>
      <c r="BD1152" s="312">
        <v>0.68240000000000001</v>
      </c>
      <c r="BE1152" s="312">
        <v>0.69540000000000002</v>
      </c>
      <c r="BF1152" s="312">
        <v>0.61070000000000002</v>
      </c>
      <c r="BG1152" s="312">
        <v>0.71140000000000003</v>
      </c>
      <c r="BH1152" s="312">
        <v>0.62090000000000001</v>
      </c>
      <c r="BI1152" s="312">
        <v>0.69130000000000003</v>
      </c>
      <c r="BJ1152" s="312">
        <v>0.67330000000000001</v>
      </c>
      <c r="BK1152" s="312">
        <v>0.70940000000000003</v>
      </c>
      <c r="BM1152">
        <f>(C1152-C741)*1000000/(RIMS_emp!C1152-RIMS_emp!C741)</f>
        <v>37550.989287484277</v>
      </c>
    </row>
    <row r="1153" spans="1:65" x14ac:dyDescent="0.25">
      <c r="A1153" s="306">
        <v>512100</v>
      </c>
      <c r="B1153" s="312" t="s">
        <v>291</v>
      </c>
      <c r="C1153" s="312">
        <v>0.61080000000000001</v>
      </c>
      <c r="D1153" s="312">
        <v>0.32100000000000001</v>
      </c>
      <c r="E1153" s="312">
        <v>0.36859999999999998</v>
      </c>
      <c r="F1153" s="312">
        <v>0.35010000000000002</v>
      </c>
      <c r="G1153" s="312">
        <v>0.41470000000000001</v>
      </c>
      <c r="H1153" s="312">
        <v>0.51490000000000002</v>
      </c>
      <c r="I1153" s="312">
        <v>0.46100000000000002</v>
      </c>
      <c r="J1153" s="312">
        <v>0.36180000000000001</v>
      </c>
      <c r="K1153" s="312">
        <v>0.13439999999999999</v>
      </c>
      <c r="L1153" s="312">
        <v>0.29010000000000002</v>
      </c>
      <c r="M1153" s="312">
        <v>0.43459999999999999</v>
      </c>
      <c r="N1153" s="312">
        <v>0.45660000000000001</v>
      </c>
      <c r="O1153" s="312">
        <v>0.3478</v>
      </c>
      <c r="P1153" s="312">
        <v>0.32079999999999997</v>
      </c>
      <c r="Q1153" s="312">
        <v>0.312</v>
      </c>
      <c r="R1153" s="312">
        <v>0.4627</v>
      </c>
      <c r="S1153" s="312">
        <v>0.39279999999999998</v>
      </c>
      <c r="T1153" s="312">
        <v>0.2923</v>
      </c>
      <c r="U1153" s="312">
        <v>0.34129999999999999</v>
      </c>
      <c r="V1153" s="312">
        <v>0.37780000000000002</v>
      </c>
      <c r="W1153" s="312">
        <v>0.41510000000000002</v>
      </c>
      <c r="X1153" s="312">
        <v>0.3916</v>
      </c>
      <c r="Y1153" s="312">
        <v>0.38290000000000002</v>
      </c>
      <c r="Z1153" s="312">
        <v>0.4259</v>
      </c>
      <c r="AA1153" s="312">
        <v>0.41089999999999999</v>
      </c>
      <c r="AB1153" s="312">
        <v>0.3649</v>
      </c>
      <c r="AC1153" s="312">
        <v>0.31950000000000001</v>
      </c>
      <c r="AD1153" s="312">
        <v>0.33750000000000002</v>
      </c>
      <c r="AE1153" s="312">
        <v>0.4</v>
      </c>
      <c r="AF1153" s="312">
        <v>0.245</v>
      </c>
      <c r="AG1153" s="312">
        <v>0.32819999999999999</v>
      </c>
      <c r="AH1153" s="312">
        <v>0.2482</v>
      </c>
      <c r="AI1153" s="312">
        <v>0.40360000000000001</v>
      </c>
      <c r="AJ1153" s="312">
        <v>0.39789999999999998</v>
      </c>
      <c r="AK1153" s="312">
        <v>0.33300000000000002</v>
      </c>
      <c r="AL1153" s="312">
        <v>0.38819999999999999</v>
      </c>
      <c r="AM1153" s="312">
        <v>0.4158</v>
      </c>
      <c r="AN1153" s="312">
        <v>0.3841</v>
      </c>
      <c r="AO1153" s="312">
        <v>0.39950000000000002</v>
      </c>
      <c r="AP1153" s="312">
        <v>0.42099999999999999</v>
      </c>
      <c r="AQ1153" s="312">
        <v>0.33510000000000001</v>
      </c>
      <c r="AR1153" s="312">
        <v>0.38100000000000001</v>
      </c>
      <c r="AS1153" s="312">
        <v>0.24460000000000001</v>
      </c>
      <c r="AT1153" s="312">
        <v>0.45750000000000002</v>
      </c>
      <c r="AU1153" s="312">
        <v>0.45379999999999998</v>
      </c>
      <c r="AV1153" s="312">
        <v>0.44159999999999999</v>
      </c>
      <c r="AW1153" s="312">
        <v>0.36220000000000002</v>
      </c>
      <c r="AX1153" s="312">
        <v>0.37480000000000002</v>
      </c>
      <c r="AY1153" s="312">
        <v>0.3967</v>
      </c>
      <c r="AZ1153" s="312">
        <v>0.38500000000000001</v>
      </c>
      <c r="BA1153" s="312">
        <v>0.33579999999999999</v>
      </c>
      <c r="BB1153" s="312">
        <v>0.31909999999999999</v>
      </c>
      <c r="BC1153" s="312">
        <v>0.4284</v>
      </c>
      <c r="BD1153" s="312">
        <v>0.50219999999999998</v>
      </c>
      <c r="BE1153" s="312">
        <v>0.46160000000000001</v>
      </c>
      <c r="BF1153" s="312">
        <v>0.39369999999999999</v>
      </c>
      <c r="BG1153" s="312">
        <v>0.46700000000000003</v>
      </c>
      <c r="BH1153" s="312">
        <v>0.42230000000000001</v>
      </c>
      <c r="BI1153" s="312">
        <v>0.44900000000000001</v>
      </c>
      <c r="BJ1153" s="312">
        <v>0.43419999999999997</v>
      </c>
      <c r="BK1153" s="312">
        <v>0.51829999999999998</v>
      </c>
      <c r="BM1153">
        <f>(C1153-C742)*1000000/(RIMS_emp!C1153-RIMS_emp!C742)</f>
        <v>37547.29962160303</v>
      </c>
    </row>
    <row r="1154" spans="1:65" x14ac:dyDescent="0.25">
      <c r="A1154" s="306">
        <v>512200</v>
      </c>
      <c r="B1154" s="312" t="s">
        <v>292</v>
      </c>
      <c r="C1154" s="312">
        <v>0.80740000000000001</v>
      </c>
      <c r="D1154" s="312">
        <v>0.34310000000000002</v>
      </c>
      <c r="E1154" s="312">
        <v>0.40560000000000002</v>
      </c>
      <c r="F1154" s="312">
        <v>0.37380000000000002</v>
      </c>
      <c r="G1154" s="312">
        <v>0.46300000000000002</v>
      </c>
      <c r="H1154" s="312">
        <v>0.66169999999999995</v>
      </c>
      <c r="I1154" s="312">
        <v>0.54010000000000002</v>
      </c>
      <c r="J1154" s="312">
        <v>0.4017</v>
      </c>
      <c r="K1154" s="312">
        <v>0.1406</v>
      </c>
      <c r="L1154" s="312">
        <v>0.309</v>
      </c>
      <c r="M1154" s="312">
        <v>0.53849999999999998</v>
      </c>
      <c r="N1154" s="312">
        <v>0.56630000000000003</v>
      </c>
      <c r="O1154" s="312">
        <v>0.37380000000000002</v>
      </c>
      <c r="P1154" s="312">
        <v>0.33679999999999999</v>
      </c>
      <c r="Q1154" s="312">
        <v>0.33200000000000002</v>
      </c>
      <c r="R1154" s="312">
        <v>0.57609999999999995</v>
      </c>
      <c r="S1154" s="312">
        <v>0.4355</v>
      </c>
      <c r="T1154" s="312">
        <v>0.31109999999999999</v>
      </c>
      <c r="U1154" s="312">
        <v>0.37990000000000002</v>
      </c>
      <c r="V1154" s="312">
        <v>0.39660000000000001</v>
      </c>
      <c r="W1154" s="312">
        <v>0.4753</v>
      </c>
      <c r="X1154" s="312">
        <v>0.48330000000000001</v>
      </c>
      <c r="Y1154" s="312">
        <v>0.42730000000000001</v>
      </c>
      <c r="Z1154" s="312">
        <v>0.49919999999999998</v>
      </c>
      <c r="AA1154" s="312">
        <v>0.49159999999999998</v>
      </c>
      <c r="AB1154" s="312">
        <v>0.42149999999999999</v>
      </c>
      <c r="AC1154" s="312">
        <v>0.35449999999999998</v>
      </c>
      <c r="AD1154" s="312">
        <v>0.35849999999999999</v>
      </c>
      <c r="AE1154" s="312">
        <v>0.45419999999999999</v>
      </c>
      <c r="AF1154" s="312">
        <v>0.25700000000000001</v>
      </c>
      <c r="AG1154" s="312">
        <v>0.34910000000000002</v>
      </c>
      <c r="AH1154" s="312">
        <v>0.28370000000000001</v>
      </c>
      <c r="AI1154" s="312">
        <v>0.46899999999999997</v>
      </c>
      <c r="AJ1154" s="312">
        <v>0.43930000000000002</v>
      </c>
      <c r="AK1154" s="312">
        <v>0.44240000000000002</v>
      </c>
      <c r="AL1154" s="312">
        <v>0.49530000000000002</v>
      </c>
      <c r="AM1154" s="312">
        <v>0.47839999999999999</v>
      </c>
      <c r="AN1154" s="312">
        <v>0.42570000000000002</v>
      </c>
      <c r="AO1154" s="312">
        <v>0.43640000000000001</v>
      </c>
      <c r="AP1154" s="312">
        <v>0.50229999999999997</v>
      </c>
      <c r="AQ1154" s="312">
        <v>0.36570000000000003</v>
      </c>
      <c r="AR1154" s="312">
        <v>0.42370000000000002</v>
      </c>
      <c r="AS1154" s="312">
        <v>0.26229999999999998</v>
      </c>
      <c r="AT1154" s="312">
        <v>0.58689999999999998</v>
      </c>
      <c r="AU1154" s="312">
        <v>0.62009999999999998</v>
      </c>
      <c r="AV1154" s="312">
        <v>0.53469999999999995</v>
      </c>
      <c r="AW1154" s="312">
        <v>0.4173</v>
      </c>
      <c r="AX1154" s="312">
        <v>0.42799999999999999</v>
      </c>
      <c r="AY1154" s="312">
        <v>0.46479999999999999</v>
      </c>
      <c r="AZ1154" s="312">
        <v>0.46889999999999998</v>
      </c>
      <c r="BA1154" s="312">
        <v>0.35349999999999998</v>
      </c>
      <c r="BB1154" s="312">
        <v>0.33150000000000002</v>
      </c>
      <c r="BC1154" s="312">
        <v>0.49059999999999998</v>
      </c>
      <c r="BD1154" s="312">
        <v>0.65439999999999998</v>
      </c>
      <c r="BE1154" s="312">
        <v>0.55669999999999997</v>
      </c>
      <c r="BF1154" s="312">
        <v>0.44419999999999998</v>
      </c>
      <c r="BG1154" s="312">
        <v>0.5706</v>
      </c>
      <c r="BH1154" s="312">
        <v>0.56510000000000005</v>
      </c>
      <c r="BI1154" s="312">
        <v>0.60740000000000005</v>
      </c>
      <c r="BJ1154" s="312">
        <v>0.50980000000000003</v>
      </c>
      <c r="BK1154" s="312">
        <v>0.66710000000000003</v>
      </c>
      <c r="BM1154">
        <f>(C1154-C743)*1000000/(RIMS_emp!C1154-RIMS_emp!C743)</f>
        <v>37535.779339058019</v>
      </c>
    </row>
    <row r="1155" spans="1:65" x14ac:dyDescent="0.25">
      <c r="A1155" s="306">
        <v>515100</v>
      </c>
      <c r="B1155" s="312" t="s">
        <v>293</v>
      </c>
      <c r="C1155" s="312">
        <v>1.0829</v>
      </c>
      <c r="D1155" s="312">
        <v>0.60240000000000005</v>
      </c>
      <c r="E1155" s="312">
        <v>0.64280000000000004</v>
      </c>
      <c r="F1155" s="312">
        <v>0.57930000000000004</v>
      </c>
      <c r="G1155" s="312">
        <v>0.73</v>
      </c>
      <c r="H1155" s="312">
        <v>0.93120000000000003</v>
      </c>
      <c r="I1155" s="312">
        <v>0.83589999999999998</v>
      </c>
      <c r="J1155" s="312">
        <v>0.6462</v>
      </c>
      <c r="K1155" s="312">
        <v>0.1782</v>
      </c>
      <c r="L1155" s="312">
        <v>0.46479999999999999</v>
      </c>
      <c r="M1155" s="312">
        <v>0.7893</v>
      </c>
      <c r="N1155" s="312">
        <v>0.81179999999999997</v>
      </c>
      <c r="O1155" s="312">
        <v>0.65749999999999997</v>
      </c>
      <c r="P1155" s="312">
        <v>0.52610000000000001</v>
      </c>
      <c r="Q1155" s="312">
        <v>0.57940000000000003</v>
      </c>
      <c r="R1155" s="312">
        <v>0.80349999999999999</v>
      </c>
      <c r="S1155" s="312">
        <v>0.67600000000000005</v>
      </c>
      <c r="T1155" s="312">
        <v>0.50680000000000003</v>
      </c>
      <c r="U1155" s="312">
        <v>0.5897</v>
      </c>
      <c r="V1155" s="312">
        <v>0.75209999999999999</v>
      </c>
      <c r="W1155" s="312">
        <v>0.71589999999999998</v>
      </c>
      <c r="X1155" s="312">
        <v>0.6522</v>
      </c>
      <c r="Y1155" s="312">
        <v>0.69179999999999997</v>
      </c>
      <c r="Z1155" s="312">
        <v>0.74839999999999995</v>
      </c>
      <c r="AA1155" s="312">
        <v>0.73070000000000002</v>
      </c>
      <c r="AB1155" s="312">
        <v>0.65790000000000004</v>
      </c>
      <c r="AC1155" s="312">
        <v>0.5716</v>
      </c>
      <c r="AD1155" s="312">
        <v>0.61160000000000003</v>
      </c>
      <c r="AE1155" s="312">
        <v>0.73180000000000001</v>
      </c>
      <c r="AF1155" s="312">
        <v>0.48749999999999999</v>
      </c>
      <c r="AG1155" s="312">
        <v>0.57269999999999999</v>
      </c>
      <c r="AH1155" s="312">
        <v>0.56369999999999998</v>
      </c>
      <c r="AI1155" s="312">
        <v>0.67020000000000002</v>
      </c>
      <c r="AJ1155" s="312">
        <v>0.65580000000000005</v>
      </c>
      <c r="AK1155" s="312">
        <v>0.63190000000000002</v>
      </c>
      <c r="AL1155" s="312">
        <v>0.6915</v>
      </c>
      <c r="AM1155" s="312">
        <v>0.70489999999999997</v>
      </c>
      <c r="AN1155" s="312">
        <v>0.67989999999999995</v>
      </c>
      <c r="AO1155" s="312">
        <v>0.69599999999999995</v>
      </c>
      <c r="AP1155" s="312">
        <v>0.72209999999999996</v>
      </c>
      <c r="AQ1155" s="312">
        <v>0.58799999999999997</v>
      </c>
      <c r="AR1155" s="312">
        <v>0.62390000000000001</v>
      </c>
      <c r="AS1155" s="312">
        <v>0.54100000000000004</v>
      </c>
      <c r="AT1155" s="312">
        <v>0.83689999999999998</v>
      </c>
      <c r="AU1155" s="312">
        <v>0.80479999999999996</v>
      </c>
      <c r="AV1155" s="312">
        <v>0.83899999999999997</v>
      </c>
      <c r="AW1155" s="312">
        <v>0.65269999999999995</v>
      </c>
      <c r="AX1155" s="312">
        <v>0.58009999999999995</v>
      </c>
      <c r="AY1155" s="312">
        <v>0.71609999999999996</v>
      </c>
      <c r="AZ1155" s="312">
        <v>0.69910000000000005</v>
      </c>
      <c r="BA1155" s="312">
        <v>0.54069999999999996</v>
      </c>
      <c r="BB1155" s="312">
        <v>0.51580000000000004</v>
      </c>
      <c r="BC1155" s="312">
        <v>0.78620000000000001</v>
      </c>
      <c r="BD1155" s="312">
        <v>0.91020000000000001</v>
      </c>
      <c r="BE1155" s="312">
        <v>0.78720000000000001</v>
      </c>
      <c r="BF1155" s="312">
        <v>0.70199999999999996</v>
      </c>
      <c r="BG1155" s="312">
        <v>0.85929999999999995</v>
      </c>
      <c r="BH1155" s="312">
        <v>0.72119999999999995</v>
      </c>
      <c r="BI1155" s="312">
        <v>0.80149999999999999</v>
      </c>
      <c r="BJ1155" s="312">
        <v>0.79949999999999999</v>
      </c>
      <c r="BK1155" s="312">
        <v>0.93700000000000006</v>
      </c>
      <c r="BM1155">
        <f>(C1155-C744)*1000000/(RIMS_emp!C1155-RIMS_emp!C744)</f>
        <v>37542.926990163171</v>
      </c>
    </row>
    <row r="1156" spans="1:65" x14ac:dyDescent="0.25">
      <c r="A1156" s="306">
        <v>515200</v>
      </c>
      <c r="B1156" s="312" t="s">
        <v>294</v>
      </c>
      <c r="C1156" s="312">
        <v>1.0266</v>
      </c>
      <c r="D1156" s="312">
        <v>0.54610000000000003</v>
      </c>
      <c r="E1156" s="312">
        <v>0.61119999999999997</v>
      </c>
      <c r="F1156" s="312">
        <v>0.54730000000000001</v>
      </c>
      <c r="G1156" s="312">
        <v>0.67910000000000004</v>
      </c>
      <c r="H1156" s="312">
        <v>0.86909999999999998</v>
      </c>
      <c r="I1156" s="312">
        <v>0.79479999999999995</v>
      </c>
      <c r="J1156" s="312">
        <v>0.67500000000000004</v>
      </c>
      <c r="K1156" s="312">
        <v>0.15740000000000001</v>
      </c>
      <c r="L1156" s="312">
        <v>0.45569999999999999</v>
      </c>
      <c r="M1156" s="312">
        <v>0.70850000000000002</v>
      </c>
      <c r="N1156" s="312">
        <v>0.77470000000000006</v>
      </c>
      <c r="O1156" s="312">
        <v>0.60150000000000003</v>
      </c>
      <c r="P1156" s="312">
        <v>0.50370000000000004</v>
      </c>
      <c r="Q1156" s="312">
        <v>0.55420000000000003</v>
      </c>
      <c r="R1156" s="312">
        <v>0.74329999999999996</v>
      </c>
      <c r="S1156" s="312">
        <v>0.60980000000000001</v>
      </c>
      <c r="T1156" s="312">
        <v>0.499</v>
      </c>
      <c r="U1156" s="312">
        <v>0.54159999999999997</v>
      </c>
      <c r="V1156" s="312">
        <v>0.68910000000000005</v>
      </c>
      <c r="W1156" s="312">
        <v>0.66</v>
      </c>
      <c r="X1156" s="312">
        <v>0.62260000000000004</v>
      </c>
      <c r="Y1156" s="312">
        <v>0.67779999999999996</v>
      </c>
      <c r="Z1156" s="312">
        <v>0.6895</v>
      </c>
      <c r="AA1156" s="312">
        <v>0.67920000000000003</v>
      </c>
      <c r="AB1156" s="312">
        <v>0.60589999999999999</v>
      </c>
      <c r="AC1156" s="312">
        <v>0.54249999999999998</v>
      </c>
      <c r="AD1156" s="312">
        <v>0.56940000000000002</v>
      </c>
      <c r="AE1156" s="312">
        <v>0.71030000000000004</v>
      </c>
      <c r="AF1156" s="312">
        <v>0</v>
      </c>
      <c r="AG1156" s="312">
        <v>0.58489999999999998</v>
      </c>
      <c r="AH1156" s="312">
        <v>0.55389999999999995</v>
      </c>
      <c r="AI1156" s="312">
        <v>0.66339999999999999</v>
      </c>
      <c r="AJ1156" s="312">
        <v>0.59240000000000004</v>
      </c>
      <c r="AK1156" s="312">
        <v>0.58350000000000002</v>
      </c>
      <c r="AL1156" s="312">
        <v>0.64959999999999996</v>
      </c>
      <c r="AM1156" s="312">
        <v>0.6431</v>
      </c>
      <c r="AN1156" s="312">
        <v>0.66449999999999998</v>
      </c>
      <c r="AO1156" s="312">
        <v>0.62929999999999997</v>
      </c>
      <c r="AP1156" s="312">
        <v>0.6734</v>
      </c>
      <c r="AQ1156" s="312">
        <v>0.54810000000000003</v>
      </c>
      <c r="AR1156" s="312">
        <v>0.59279999999999999</v>
      </c>
      <c r="AS1156" s="312">
        <v>0.49919999999999998</v>
      </c>
      <c r="AT1156" s="312">
        <v>0.76859999999999995</v>
      </c>
      <c r="AU1156" s="312">
        <v>0.76200000000000001</v>
      </c>
      <c r="AV1156" s="312">
        <v>0.7863</v>
      </c>
      <c r="AW1156" s="312">
        <v>0.62749999999999995</v>
      </c>
      <c r="AX1156" s="312">
        <v>0.55489999999999995</v>
      </c>
      <c r="AY1156" s="312">
        <v>0.64219999999999999</v>
      </c>
      <c r="AZ1156" s="312">
        <v>0.63429999999999997</v>
      </c>
      <c r="BA1156" s="312">
        <v>0.50009999999999999</v>
      </c>
      <c r="BB1156" s="312">
        <v>0.49619999999999997</v>
      </c>
      <c r="BC1156" s="312">
        <v>0.78159999999999996</v>
      </c>
      <c r="BD1156" s="312">
        <v>0.85440000000000005</v>
      </c>
      <c r="BE1156" s="312">
        <v>0.72529999999999994</v>
      </c>
      <c r="BF1156" s="312">
        <v>0.65700000000000003</v>
      </c>
      <c r="BG1156" s="312">
        <v>0.81130000000000002</v>
      </c>
      <c r="BH1156" s="312">
        <v>0.67249999999999999</v>
      </c>
      <c r="BI1156" s="312">
        <v>0.75649999999999995</v>
      </c>
      <c r="BJ1156" s="312">
        <v>0.74939999999999996</v>
      </c>
      <c r="BK1156" s="312">
        <v>0.87360000000000004</v>
      </c>
      <c r="BM1156">
        <f>(C1156-C745)*1000000/(RIMS_emp!C1156-RIMS_emp!C745)</f>
        <v>37543.360586122573</v>
      </c>
    </row>
    <row r="1157" spans="1:65" x14ac:dyDescent="0.25">
      <c r="A1157" s="306">
        <v>517000</v>
      </c>
      <c r="B1157" s="312" t="s">
        <v>295</v>
      </c>
      <c r="C1157" s="312">
        <v>0.57010000000000005</v>
      </c>
      <c r="D1157" s="312">
        <v>0.3387</v>
      </c>
      <c r="E1157" s="312">
        <v>0.36409999999999998</v>
      </c>
      <c r="F1157" s="312">
        <v>0.33050000000000002</v>
      </c>
      <c r="G1157" s="312">
        <v>0.38969999999999999</v>
      </c>
      <c r="H1157" s="312">
        <v>0.47689999999999999</v>
      </c>
      <c r="I1157" s="312">
        <v>0.45700000000000002</v>
      </c>
      <c r="J1157" s="312">
        <v>0.37180000000000002</v>
      </c>
      <c r="K1157" s="312">
        <v>5.6899999999999999E-2</v>
      </c>
      <c r="L1157" s="312">
        <v>0.26900000000000002</v>
      </c>
      <c r="M1157" s="312">
        <v>0.41810000000000003</v>
      </c>
      <c r="N1157" s="312">
        <v>0.44519999999999998</v>
      </c>
      <c r="O1157" s="312">
        <v>0.38080000000000003</v>
      </c>
      <c r="P1157" s="312">
        <v>0.28510000000000002</v>
      </c>
      <c r="Q1157" s="312">
        <v>0.31580000000000003</v>
      </c>
      <c r="R1157" s="312">
        <v>0.43559999999999999</v>
      </c>
      <c r="S1157" s="312">
        <v>0.34889999999999999</v>
      </c>
      <c r="T1157" s="312">
        <v>0.28160000000000002</v>
      </c>
      <c r="U1157" s="312">
        <v>0.3337</v>
      </c>
      <c r="V1157" s="312">
        <v>0.36559999999999998</v>
      </c>
      <c r="W1157" s="312">
        <v>0.39040000000000002</v>
      </c>
      <c r="X1157" s="312">
        <v>0.3831</v>
      </c>
      <c r="Y1157" s="312">
        <v>0.35499999999999998</v>
      </c>
      <c r="Z1157" s="312">
        <v>0.38900000000000001</v>
      </c>
      <c r="AA1157" s="312">
        <v>0.375</v>
      </c>
      <c r="AB1157" s="312">
        <v>0.34739999999999999</v>
      </c>
      <c r="AC1157" s="312">
        <v>0.31419999999999998</v>
      </c>
      <c r="AD1157" s="312">
        <v>0.3241</v>
      </c>
      <c r="AE1157" s="312">
        <v>0.3705</v>
      </c>
      <c r="AF1157" s="312">
        <v>0.2601</v>
      </c>
      <c r="AG1157" s="312">
        <v>0.28660000000000002</v>
      </c>
      <c r="AH1157" s="312">
        <v>0.34870000000000001</v>
      </c>
      <c r="AI1157" s="312">
        <v>0.40720000000000001</v>
      </c>
      <c r="AJ1157" s="312">
        <v>0.35539999999999999</v>
      </c>
      <c r="AK1157" s="312">
        <v>0.33489999999999998</v>
      </c>
      <c r="AL1157" s="312">
        <v>0.34839999999999999</v>
      </c>
      <c r="AM1157" s="312">
        <v>0.38769999999999999</v>
      </c>
      <c r="AN1157" s="312">
        <v>0.38590000000000002</v>
      </c>
      <c r="AO1157" s="312">
        <v>0.35460000000000003</v>
      </c>
      <c r="AP1157" s="312">
        <v>0.40610000000000002</v>
      </c>
      <c r="AQ1157" s="312">
        <v>0.29239999999999999</v>
      </c>
      <c r="AR1157" s="312">
        <v>0.37640000000000001</v>
      </c>
      <c r="AS1157" s="312">
        <v>0.28129999999999999</v>
      </c>
      <c r="AT1157" s="312">
        <v>0.39700000000000002</v>
      </c>
      <c r="AU1157" s="312">
        <v>0.46229999999999999</v>
      </c>
      <c r="AV1157" s="312">
        <v>0.41439999999999999</v>
      </c>
      <c r="AW1157" s="312">
        <v>0.37069999999999997</v>
      </c>
      <c r="AX1157" s="312">
        <v>0.3256</v>
      </c>
      <c r="AY1157" s="312">
        <v>0.39610000000000001</v>
      </c>
      <c r="AZ1157" s="312">
        <v>0.35680000000000001</v>
      </c>
      <c r="BA1157" s="312">
        <v>0.3009</v>
      </c>
      <c r="BB1157" s="312">
        <v>0.27929999999999999</v>
      </c>
      <c r="BC1157" s="312">
        <v>0.43619999999999998</v>
      </c>
      <c r="BD1157" s="312">
        <v>0.4617</v>
      </c>
      <c r="BE1157" s="312">
        <v>0.42559999999999998</v>
      </c>
      <c r="BF1157" s="312">
        <v>0.38200000000000001</v>
      </c>
      <c r="BG1157" s="312">
        <v>0.46810000000000002</v>
      </c>
      <c r="BH1157" s="312">
        <v>0.38750000000000001</v>
      </c>
      <c r="BI1157" s="312">
        <v>0.45729999999999998</v>
      </c>
      <c r="BJ1157" s="312">
        <v>0.44019999999999998</v>
      </c>
      <c r="BK1157" s="312">
        <v>0.48099999999999998</v>
      </c>
      <c r="BM1157">
        <f>(C1157-C746)*1000000/(RIMS_emp!C1157-RIMS_emp!C746)</f>
        <v>37556.436008476929</v>
      </c>
    </row>
    <row r="1158" spans="1:65" x14ac:dyDescent="0.25">
      <c r="A1158" s="306" t="s">
        <v>763</v>
      </c>
      <c r="B1158" s="312" t="s">
        <v>764</v>
      </c>
      <c r="C1158" s="312">
        <v>0.75690000000000002</v>
      </c>
      <c r="D1158" s="312">
        <v>0.48609999999999998</v>
      </c>
      <c r="E1158" s="312">
        <v>0.53539999999999999</v>
      </c>
      <c r="F1158" s="312">
        <v>0.50229999999999997</v>
      </c>
      <c r="G1158" s="312">
        <v>0.57550000000000001</v>
      </c>
      <c r="H1158" s="312">
        <v>0.63560000000000005</v>
      </c>
      <c r="I1158" s="312">
        <v>0.62709999999999999</v>
      </c>
      <c r="J1158" s="312">
        <v>0.50029999999999997</v>
      </c>
      <c r="K1158" s="312">
        <v>0.1159</v>
      </c>
      <c r="L1158" s="312">
        <v>0.41070000000000001</v>
      </c>
      <c r="M1158" s="312">
        <v>0.59660000000000002</v>
      </c>
      <c r="N1158" s="312">
        <v>0.60829999999999995</v>
      </c>
      <c r="O1158" s="312">
        <v>0.52539999999999998</v>
      </c>
      <c r="P1158" s="312">
        <v>0.45960000000000001</v>
      </c>
      <c r="Q1158" s="312">
        <v>0.4511</v>
      </c>
      <c r="R1158" s="312">
        <v>0.61890000000000001</v>
      </c>
      <c r="S1158" s="312">
        <v>0.53069999999999995</v>
      </c>
      <c r="T1158" s="312">
        <v>0.41839999999999999</v>
      </c>
      <c r="U1158" s="312">
        <v>0.49740000000000001</v>
      </c>
      <c r="V1158" s="312">
        <v>0.52669999999999995</v>
      </c>
      <c r="W1158" s="312">
        <v>0.55179999999999996</v>
      </c>
      <c r="X1158" s="312">
        <v>0.50739999999999996</v>
      </c>
      <c r="Y1158" s="312">
        <v>0.52629999999999999</v>
      </c>
      <c r="Z1158" s="312">
        <v>0.58250000000000002</v>
      </c>
      <c r="AA1158" s="312">
        <v>0.56530000000000002</v>
      </c>
      <c r="AB1158" s="312">
        <v>0.51480000000000004</v>
      </c>
      <c r="AC1158" s="312">
        <v>0.45850000000000002</v>
      </c>
      <c r="AD1158" s="312">
        <v>0.4778</v>
      </c>
      <c r="AE1158" s="312">
        <v>0.54879999999999995</v>
      </c>
      <c r="AF1158" s="312">
        <v>0.40739999999999998</v>
      </c>
      <c r="AG1158" s="312">
        <v>0.43919999999999998</v>
      </c>
      <c r="AH1158" s="312">
        <v>0.4879</v>
      </c>
      <c r="AI1158" s="312">
        <v>0.54879999999999995</v>
      </c>
      <c r="AJ1158" s="312">
        <v>0.51090000000000002</v>
      </c>
      <c r="AK1158" s="312">
        <v>0.47320000000000001</v>
      </c>
      <c r="AL1158" s="312">
        <v>0.45519999999999999</v>
      </c>
      <c r="AM1158" s="312">
        <v>0.58960000000000001</v>
      </c>
      <c r="AN1158" s="312">
        <v>0.5403</v>
      </c>
      <c r="AO1158" s="312">
        <v>0.54169999999999996</v>
      </c>
      <c r="AP1158" s="312">
        <v>0.57720000000000005</v>
      </c>
      <c r="AQ1158" s="312">
        <v>0.4456</v>
      </c>
      <c r="AR1158" s="312">
        <v>0.52270000000000005</v>
      </c>
      <c r="AS1158" s="312">
        <v>0.42220000000000002</v>
      </c>
      <c r="AT1158" s="312">
        <v>0.56769999999999998</v>
      </c>
      <c r="AU1158" s="312">
        <v>0.63739999999999997</v>
      </c>
      <c r="AV1158" s="312">
        <v>0.61070000000000002</v>
      </c>
      <c r="AW1158" s="312">
        <v>0.50960000000000005</v>
      </c>
      <c r="AX1158" s="312">
        <v>0.44629999999999997</v>
      </c>
      <c r="AY1158" s="312">
        <v>0.5675</v>
      </c>
      <c r="AZ1158" s="312">
        <v>0.53900000000000003</v>
      </c>
      <c r="BA1158" s="312">
        <v>0.4143</v>
      </c>
      <c r="BB1158" s="312">
        <v>0.43959999999999999</v>
      </c>
      <c r="BC1158" s="312">
        <v>0.59970000000000001</v>
      </c>
      <c r="BD1158" s="312">
        <v>0.61260000000000003</v>
      </c>
      <c r="BE1158" s="312">
        <v>0.62580000000000002</v>
      </c>
      <c r="BF1158" s="312">
        <v>0.55559999999999998</v>
      </c>
      <c r="BG1158" s="312">
        <v>0.64280000000000004</v>
      </c>
      <c r="BH1158" s="312">
        <v>0.56010000000000004</v>
      </c>
      <c r="BI1158" s="312">
        <v>0.6321</v>
      </c>
      <c r="BJ1158" s="312">
        <v>0.61109999999999998</v>
      </c>
      <c r="BK1158" s="312">
        <v>0.64229999999999998</v>
      </c>
      <c r="BM1158">
        <f>(C1158-C747)*1000000/(RIMS_emp!C1158-RIMS_emp!C747)</f>
        <v>37540.246474963911</v>
      </c>
    </row>
    <row r="1159" spans="1:65" x14ac:dyDescent="0.25">
      <c r="A1159" s="306" t="s">
        <v>765</v>
      </c>
      <c r="B1159" s="312" t="s">
        <v>296</v>
      </c>
      <c r="C1159" s="312">
        <v>0.65610000000000002</v>
      </c>
      <c r="D1159" s="312">
        <v>0.39229999999999998</v>
      </c>
      <c r="E1159" s="312">
        <v>0.4481</v>
      </c>
      <c r="F1159" s="312">
        <v>0.40389999999999998</v>
      </c>
      <c r="G1159" s="312">
        <v>0.49159999999999998</v>
      </c>
      <c r="H1159" s="312">
        <v>0.54430000000000001</v>
      </c>
      <c r="I1159" s="312">
        <v>0.54379999999999995</v>
      </c>
      <c r="J1159" s="312">
        <v>0.44890000000000002</v>
      </c>
      <c r="K1159" s="312">
        <v>8.3599999999999994E-2</v>
      </c>
      <c r="L1159" s="312">
        <v>0.3639</v>
      </c>
      <c r="M1159" s="312">
        <v>0.51759999999999995</v>
      </c>
      <c r="N1159" s="312">
        <v>0.52700000000000002</v>
      </c>
      <c r="O1159" s="312">
        <v>0.4516</v>
      </c>
      <c r="P1159" s="312">
        <v>0.39829999999999999</v>
      </c>
      <c r="Q1159" s="312">
        <v>0.39600000000000002</v>
      </c>
      <c r="R1159" s="312">
        <v>0.5544</v>
      </c>
      <c r="S1159" s="312">
        <v>0.43659999999999999</v>
      </c>
      <c r="T1159" s="312">
        <v>0.3831</v>
      </c>
      <c r="U1159" s="312">
        <v>0.43180000000000002</v>
      </c>
      <c r="V1159" s="312">
        <v>0.44979999999999998</v>
      </c>
      <c r="W1159" s="312">
        <v>0.49519999999999997</v>
      </c>
      <c r="X1159" s="312">
        <v>0.45300000000000001</v>
      </c>
      <c r="Y1159" s="312">
        <v>0.46889999999999998</v>
      </c>
      <c r="Z1159" s="312">
        <v>0.48280000000000001</v>
      </c>
      <c r="AA1159" s="312">
        <v>0.49669999999999997</v>
      </c>
      <c r="AB1159" s="312">
        <v>0.45029999999999998</v>
      </c>
      <c r="AC1159" s="312">
        <v>0.40920000000000001</v>
      </c>
      <c r="AD1159" s="312">
        <v>0.41920000000000002</v>
      </c>
      <c r="AE1159" s="312">
        <v>0.45989999999999998</v>
      </c>
      <c r="AF1159" s="312">
        <v>0.34360000000000002</v>
      </c>
      <c r="AG1159" s="312">
        <v>0.39079999999999998</v>
      </c>
      <c r="AH1159" s="312">
        <v>0.42880000000000001</v>
      </c>
      <c r="AI1159" s="312">
        <v>0.48509999999999998</v>
      </c>
      <c r="AJ1159" s="312">
        <v>0.40810000000000002</v>
      </c>
      <c r="AK1159" s="312">
        <v>0.442</v>
      </c>
      <c r="AL1159" s="312">
        <v>0.4113</v>
      </c>
      <c r="AM1159" s="312">
        <v>0.49099999999999999</v>
      </c>
      <c r="AN1159" s="312">
        <v>0.45140000000000002</v>
      </c>
      <c r="AO1159" s="312">
        <v>0.45319999999999999</v>
      </c>
      <c r="AP1159" s="312">
        <v>0.49780000000000002</v>
      </c>
      <c r="AQ1159" s="312">
        <v>0.40989999999999999</v>
      </c>
      <c r="AR1159" s="312">
        <v>0.4652</v>
      </c>
      <c r="AS1159" s="312">
        <v>0.38469999999999999</v>
      </c>
      <c r="AT1159" s="312">
        <v>0.49759999999999999</v>
      </c>
      <c r="AU1159" s="312">
        <v>0.54310000000000003</v>
      </c>
      <c r="AV1159" s="312">
        <v>0.52859999999999996</v>
      </c>
      <c r="AW1159" s="312">
        <v>0.4551</v>
      </c>
      <c r="AX1159" s="312">
        <v>0.40610000000000002</v>
      </c>
      <c r="AY1159" s="312">
        <v>0.48120000000000002</v>
      </c>
      <c r="AZ1159" s="312">
        <v>0.46439999999999998</v>
      </c>
      <c r="BA1159" s="312">
        <v>0.37</v>
      </c>
      <c r="BB1159" s="312">
        <v>0.35959999999999998</v>
      </c>
      <c r="BC1159" s="312">
        <v>0.52980000000000005</v>
      </c>
      <c r="BD1159" s="312">
        <v>0.54849999999999999</v>
      </c>
      <c r="BE1159" s="312">
        <v>0.53700000000000003</v>
      </c>
      <c r="BF1159" s="312">
        <v>0.48070000000000002</v>
      </c>
      <c r="BG1159" s="312">
        <v>0.5474</v>
      </c>
      <c r="BH1159" s="312">
        <v>0.48509999999999998</v>
      </c>
      <c r="BI1159" s="312">
        <v>0.53749999999999998</v>
      </c>
      <c r="BJ1159" s="312">
        <v>0.51570000000000005</v>
      </c>
      <c r="BK1159" s="312">
        <v>0.54269999999999996</v>
      </c>
      <c r="BM1159">
        <f>(C1159-C748)*1000000/(RIMS_emp!C1159-RIMS_emp!C748)</f>
        <v>37548.837507205542</v>
      </c>
    </row>
    <row r="1160" spans="1:65" x14ac:dyDescent="0.25">
      <c r="A1160" s="306">
        <v>523000</v>
      </c>
      <c r="B1160" s="312" t="s">
        <v>297</v>
      </c>
      <c r="C1160" s="312">
        <v>1.1024</v>
      </c>
      <c r="D1160" s="312">
        <v>0.71299999999999997</v>
      </c>
      <c r="E1160" s="312">
        <v>0.77439999999999998</v>
      </c>
      <c r="F1160" s="312">
        <v>0.7107</v>
      </c>
      <c r="G1160" s="312">
        <v>0.82640000000000002</v>
      </c>
      <c r="H1160" s="312">
        <v>0.93100000000000005</v>
      </c>
      <c r="I1160" s="312">
        <v>0.91220000000000001</v>
      </c>
      <c r="J1160" s="312">
        <v>0.72330000000000005</v>
      </c>
      <c r="K1160" s="312">
        <v>0.17610000000000001</v>
      </c>
      <c r="L1160" s="312">
        <v>0.54720000000000002</v>
      </c>
      <c r="M1160" s="312">
        <v>0.87150000000000005</v>
      </c>
      <c r="N1160" s="312">
        <v>0.88349999999999995</v>
      </c>
      <c r="O1160" s="312">
        <v>0.77400000000000002</v>
      </c>
      <c r="P1160" s="312">
        <v>0.67190000000000005</v>
      </c>
      <c r="Q1160" s="312">
        <v>0.68479999999999996</v>
      </c>
      <c r="R1160" s="312">
        <v>0.94259999999999999</v>
      </c>
      <c r="S1160" s="312">
        <v>0.76990000000000003</v>
      </c>
      <c r="T1160" s="312">
        <v>0.64690000000000003</v>
      </c>
      <c r="U1160" s="312">
        <v>0.67</v>
      </c>
      <c r="V1160" s="312">
        <v>0.75549999999999995</v>
      </c>
      <c r="W1160" s="312">
        <v>0.86519999999999997</v>
      </c>
      <c r="X1160" s="312">
        <v>0.81530000000000002</v>
      </c>
      <c r="Y1160" s="312">
        <v>0.78310000000000002</v>
      </c>
      <c r="Z1160" s="312">
        <v>0.82189999999999996</v>
      </c>
      <c r="AA1160" s="312">
        <v>0.84289999999999998</v>
      </c>
      <c r="AB1160" s="312">
        <v>0.69989999999999997</v>
      </c>
      <c r="AC1160" s="312">
        <v>0.6966</v>
      </c>
      <c r="AD1160" s="312">
        <v>0.72130000000000005</v>
      </c>
      <c r="AE1160" s="312">
        <v>0.7974</v>
      </c>
      <c r="AF1160" s="312">
        <v>0.60529999999999995</v>
      </c>
      <c r="AG1160" s="312">
        <v>0.67769999999999997</v>
      </c>
      <c r="AH1160" s="312">
        <v>0.71120000000000005</v>
      </c>
      <c r="AI1160" s="312">
        <v>0.77170000000000005</v>
      </c>
      <c r="AJ1160" s="312">
        <v>0.73809999999999998</v>
      </c>
      <c r="AK1160" s="312">
        <v>0.74670000000000003</v>
      </c>
      <c r="AL1160" s="312">
        <v>0.65369999999999995</v>
      </c>
      <c r="AM1160" s="312">
        <v>0.82169999999999999</v>
      </c>
      <c r="AN1160" s="312">
        <v>0.7752</v>
      </c>
      <c r="AO1160" s="312">
        <v>0.78010000000000002</v>
      </c>
      <c r="AP1160" s="312">
        <v>0.81920000000000004</v>
      </c>
      <c r="AQ1160" s="312">
        <v>0.6583</v>
      </c>
      <c r="AR1160" s="312">
        <v>0.78849999999999998</v>
      </c>
      <c r="AS1160" s="312">
        <v>0.66559999999999997</v>
      </c>
      <c r="AT1160" s="312">
        <v>0.84179999999999999</v>
      </c>
      <c r="AU1160" s="312">
        <v>0.91949999999999998</v>
      </c>
      <c r="AV1160" s="312">
        <v>0.86970000000000003</v>
      </c>
      <c r="AW1160" s="312">
        <v>0.76429999999999998</v>
      </c>
      <c r="AX1160" s="312">
        <v>0.74590000000000001</v>
      </c>
      <c r="AY1160" s="312">
        <v>0.82489999999999997</v>
      </c>
      <c r="AZ1160" s="312">
        <v>0.75680000000000003</v>
      </c>
      <c r="BA1160" s="312">
        <v>0.628</v>
      </c>
      <c r="BB1160" s="312">
        <v>0.65329999999999999</v>
      </c>
      <c r="BC1160" s="312">
        <v>0.89119999999999999</v>
      </c>
      <c r="BD1160" s="312">
        <v>0.91569999999999996</v>
      </c>
      <c r="BE1160" s="312">
        <v>0.90510000000000002</v>
      </c>
      <c r="BF1160" s="312">
        <v>0.79930000000000001</v>
      </c>
      <c r="BG1160" s="312">
        <v>0.91469999999999996</v>
      </c>
      <c r="BH1160" s="312">
        <v>0.79700000000000004</v>
      </c>
      <c r="BI1160" s="312">
        <v>0.90329999999999999</v>
      </c>
      <c r="BJ1160" s="312">
        <v>0.86360000000000003</v>
      </c>
      <c r="BK1160" s="312">
        <v>0.92510000000000003</v>
      </c>
      <c r="BM1160">
        <f>(C1160-C749)*1000000/(RIMS_emp!C1160-RIMS_emp!C749)</f>
        <v>37546.695128459251</v>
      </c>
    </row>
    <row r="1161" spans="1:65" x14ac:dyDescent="0.25">
      <c r="A1161" s="306">
        <v>524100</v>
      </c>
      <c r="B1161" s="312" t="s">
        <v>298</v>
      </c>
      <c r="C1161" s="312">
        <v>0.8216</v>
      </c>
      <c r="D1161" s="312">
        <v>0.4612</v>
      </c>
      <c r="E1161" s="312">
        <v>0.58540000000000003</v>
      </c>
      <c r="F1161" s="312">
        <v>0.50009999999999999</v>
      </c>
      <c r="G1161" s="312">
        <v>0.63549999999999995</v>
      </c>
      <c r="H1161" s="312">
        <v>0.69410000000000005</v>
      </c>
      <c r="I1161" s="312">
        <v>0.67310000000000003</v>
      </c>
      <c r="J1161" s="312">
        <v>0.61009999999999998</v>
      </c>
      <c r="K1161" s="312">
        <v>6.88E-2</v>
      </c>
      <c r="L1161" s="312">
        <v>0.41560000000000002</v>
      </c>
      <c r="M1161" s="312">
        <v>0.66700000000000004</v>
      </c>
      <c r="N1161" s="312">
        <v>0.67910000000000004</v>
      </c>
      <c r="O1161" s="312">
        <v>0.55259999999999998</v>
      </c>
      <c r="P1161" s="312">
        <v>0.53810000000000002</v>
      </c>
      <c r="Q1161" s="312">
        <v>0.4753</v>
      </c>
      <c r="R1161" s="312">
        <v>0.70269999999999999</v>
      </c>
      <c r="S1161" s="312">
        <v>0.57230000000000003</v>
      </c>
      <c r="T1161" s="312">
        <v>0.49109999999999998</v>
      </c>
      <c r="U1161" s="312">
        <v>0.55840000000000001</v>
      </c>
      <c r="V1161" s="312">
        <v>0.59540000000000004</v>
      </c>
      <c r="W1161" s="312">
        <v>0.64039999999999997</v>
      </c>
      <c r="X1161" s="312">
        <v>0.60560000000000003</v>
      </c>
      <c r="Y1161" s="312">
        <v>0.61719999999999997</v>
      </c>
      <c r="Z1161" s="312">
        <v>0.60019999999999996</v>
      </c>
      <c r="AA1161" s="312">
        <v>0.63829999999999998</v>
      </c>
      <c r="AB1161" s="312">
        <v>0.57540000000000002</v>
      </c>
      <c r="AC1161" s="312">
        <v>0.51880000000000004</v>
      </c>
      <c r="AD1161" s="312">
        <v>0.56169999999999998</v>
      </c>
      <c r="AE1161" s="312">
        <v>0.54990000000000006</v>
      </c>
      <c r="AF1161" s="312">
        <v>0.40360000000000001</v>
      </c>
      <c r="AG1161" s="312">
        <v>0.49180000000000001</v>
      </c>
      <c r="AH1161" s="312">
        <v>0.59060000000000001</v>
      </c>
      <c r="AI1161" s="312">
        <v>0.624</v>
      </c>
      <c r="AJ1161" s="312">
        <v>0.48980000000000001</v>
      </c>
      <c r="AK1161" s="312">
        <v>0.54259999999999997</v>
      </c>
      <c r="AL1161" s="312">
        <v>0.53700000000000003</v>
      </c>
      <c r="AM1161" s="312">
        <v>0.62980000000000003</v>
      </c>
      <c r="AN1161" s="312">
        <v>0.5696</v>
      </c>
      <c r="AO1161" s="312">
        <v>0.57030000000000003</v>
      </c>
      <c r="AP1161" s="312">
        <v>0.63780000000000003</v>
      </c>
      <c r="AQ1161" s="312">
        <v>0.53739999999999999</v>
      </c>
      <c r="AR1161" s="312">
        <v>0.61240000000000006</v>
      </c>
      <c r="AS1161" s="312">
        <v>0.49569999999999997</v>
      </c>
      <c r="AT1161" s="312">
        <v>0.63360000000000005</v>
      </c>
      <c r="AU1161" s="312">
        <v>0.7006</v>
      </c>
      <c r="AV1161" s="312">
        <v>0.67110000000000003</v>
      </c>
      <c r="AW1161" s="312">
        <v>0.5484</v>
      </c>
      <c r="AX1161" s="312">
        <v>0.54590000000000005</v>
      </c>
      <c r="AY1161" s="312">
        <v>0.60240000000000005</v>
      </c>
      <c r="AZ1161" s="312">
        <v>0.60529999999999995</v>
      </c>
      <c r="BA1161" s="312">
        <v>0.48930000000000001</v>
      </c>
      <c r="BB1161" s="312">
        <v>0.42049999999999998</v>
      </c>
      <c r="BC1161" s="312">
        <v>0.6925</v>
      </c>
      <c r="BD1161" s="312">
        <v>0.70269999999999999</v>
      </c>
      <c r="BE1161" s="312">
        <v>0.68589999999999995</v>
      </c>
      <c r="BF1161" s="312">
        <v>0.62539999999999996</v>
      </c>
      <c r="BG1161" s="312">
        <v>0.69220000000000004</v>
      </c>
      <c r="BH1161" s="312">
        <v>0.62639999999999996</v>
      </c>
      <c r="BI1161" s="312">
        <v>0.69120000000000004</v>
      </c>
      <c r="BJ1161" s="312">
        <v>0.63770000000000004</v>
      </c>
      <c r="BK1161" s="312">
        <v>0.68600000000000005</v>
      </c>
      <c r="BM1161">
        <f>(C1161-C750)*1000000/(RIMS_emp!C1161-RIMS_emp!C750)</f>
        <v>37539.956527298309</v>
      </c>
    </row>
    <row r="1162" spans="1:65" x14ac:dyDescent="0.25">
      <c r="A1162" s="306">
        <v>524200</v>
      </c>
      <c r="B1162" s="312" t="s">
        <v>299</v>
      </c>
      <c r="C1162" s="312">
        <v>0.88800000000000001</v>
      </c>
      <c r="D1162" s="312">
        <v>0.54979999999999996</v>
      </c>
      <c r="E1162" s="312">
        <v>0.64890000000000003</v>
      </c>
      <c r="F1162" s="312">
        <v>0.56779999999999997</v>
      </c>
      <c r="G1162" s="312">
        <v>0.70799999999999996</v>
      </c>
      <c r="H1162" s="312">
        <v>0.76090000000000002</v>
      </c>
      <c r="I1162" s="312">
        <v>0.74119999999999997</v>
      </c>
      <c r="J1162" s="312">
        <v>0.64649999999999996</v>
      </c>
      <c r="K1162" s="312">
        <v>8.9899999999999994E-2</v>
      </c>
      <c r="L1162" s="312">
        <v>0.44900000000000001</v>
      </c>
      <c r="M1162" s="312">
        <v>0.73329999999999995</v>
      </c>
      <c r="N1162" s="312">
        <v>0.74360000000000004</v>
      </c>
      <c r="O1162" s="312">
        <v>0.63849999999999996</v>
      </c>
      <c r="P1162" s="312">
        <v>0.56950000000000001</v>
      </c>
      <c r="Q1162" s="312">
        <v>0.55300000000000005</v>
      </c>
      <c r="R1162" s="312">
        <v>0.75290000000000001</v>
      </c>
      <c r="S1162" s="312">
        <v>0.64049999999999996</v>
      </c>
      <c r="T1162" s="312">
        <v>0.53539999999999999</v>
      </c>
      <c r="U1162" s="312">
        <v>0.60680000000000001</v>
      </c>
      <c r="V1162" s="312">
        <v>0.65790000000000004</v>
      </c>
      <c r="W1162" s="312">
        <v>0.68010000000000004</v>
      </c>
      <c r="X1162" s="312">
        <v>0.66290000000000004</v>
      </c>
      <c r="Y1162" s="312">
        <v>0.65749999999999997</v>
      </c>
      <c r="Z1162" s="312">
        <v>0.67859999999999998</v>
      </c>
      <c r="AA1162" s="312">
        <v>0.67549999999999999</v>
      </c>
      <c r="AB1162" s="312">
        <v>0.61629999999999996</v>
      </c>
      <c r="AC1162" s="312">
        <v>0.58169999999999999</v>
      </c>
      <c r="AD1162" s="312">
        <v>0.60719999999999996</v>
      </c>
      <c r="AE1162" s="312">
        <v>0.63880000000000003</v>
      </c>
      <c r="AF1162" s="312">
        <v>0.45029999999999998</v>
      </c>
      <c r="AG1162" s="312">
        <v>0.52400000000000002</v>
      </c>
      <c r="AH1162" s="312">
        <v>0.63700000000000001</v>
      </c>
      <c r="AI1162" s="312">
        <v>0.67510000000000003</v>
      </c>
      <c r="AJ1162" s="312">
        <v>0.59109999999999996</v>
      </c>
      <c r="AK1162" s="312">
        <v>0.60719999999999996</v>
      </c>
      <c r="AL1162" s="312">
        <v>0.5726</v>
      </c>
      <c r="AM1162" s="312">
        <v>0.69530000000000003</v>
      </c>
      <c r="AN1162" s="312">
        <v>0.65149999999999997</v>
      </c>
      <c r="AO1162" s="312">
        <v>0.62909999999999999</v>
      </c>
      <c r="AP1162" s="312">
        <v>0.68389999999999995</v>
      </c>
      <c r="AQ1162" s="312">
        <v>0.56899999999999995</v>
      </c>
      <c r="AR1162" s="312">
        <v>0.68189999999999995</v>
      </c>
      <c r="AS1162" s="312">
        <v>0.52710000000000001</v>
      </c>
      <c r="AT1162" s="312">
        <v>0.69489999999999996</v>
      </c>
      <c r="AU1162" s="312">
        <v>0.77070000000000005</v>
      </c>
      <c r="AV1162" s="312">
        <v>0.72629999999999995</v>
      </c>
      <c r="AW1162" s="312">
        <v>0.62890000000000001</v>
      </c>
      <c r="AX1162" s="312">
        <v>0.59150000000000003</v>
      </c>
      <c r="AY1162" s="312">
        <v>0.67459999999999998</v>
      </c>
      <c r="AZ1162" s="312">
        <v>0.65510000000000002</v>
      </c>
      <c r="BA1162" s="312">
        <v>0.54569999999999996</v>
      </c>
      <c r="BB1162" s="312">
        <v>0.49170000000000003</v>
      </c>
      <c r="BC1162" s="312">
        <v>0.73460000000000003</v>
      </c>
      <c r="BD1162" s="312">
        <v>0.74780000000000002</v>
      </c>
      <c r="BE1162" s="312">
        <v>0.74870000000000003</v>
      </c>
      <c r="BF1162" s="312">
        <v>0.66390000000000005</v>
      </c>
      <c r="BG1162" s="312">
        <v>0.76529999999999998</v>
      </c>
      <c r="BH1162" s="312">
        <v>0.68610000000000004</v>
      </c>
      <c r="BI1162" s="312">
        <v>0.76529999999999998</v>
      </c>
      <c r="BJ1162" s="312">
        <v>0.72170000000000001</v>
      </c>
      <c r="BK1162" s="312">
        <v>0.75860000000000005</v>
      </c>
      <c r="BM1162">
        <f>(C1162-C751)*1000000/(RIMS_emp!C1162-RIMS_emp!C751)</f>
        <v>37550.13191051381</v>
      </c>
    </row>
    <row r="1163" spans="1:65" x14ac:dyDescent="0.25">
      <c r="A1163" s="306">
        <v>525000</v>
      </c>
      <c r="B1163" s="312" t="s">
        <v>300</v>
      </c>
      <c r="C1163" s="312">
        <v>1.0394000000000001</v>
      </c>
      <c r="D1163" s="312">
        <v>0.30530000000000002</v>
      </c>
      <c r="E1163" s="312">
        <v>0.36220000000000002</v>
      </c>
      <c r="F1163" s="312">
        <v>0.3342</v>
      </c>
      <c r="G1163" s="312">
        <v>0.44990000000000002</v>
      </c>
      <c r="H1163" s="312">
        <v>0.75319999999999998</v>
      </c>
      <c r="I1163" s="312">
        <v>0.69499999999999995</v>
      </c>
      <c r="J1163" s="312">
        <v>0.67810000000000004</v>
      </c>
      <c r="K1163" s="312">
        <v>0.10390000000000001</v>
      </c>
      <c r="L1163" s="312">
        <v>0.43409999999999999</v>
      </c>
      <c r="M1163" s="312">
        <v>0.55869999999999997</v>
      </c>
      <c r="N1163" s="312">
        <v>0.54420000000000002</v>
      </c>
      <c r="O1163" s="312">
        <v>0.35110000000000002</v>
      </c>
      <c r="P1163" s="312">
        <v>0.29649999999999999</v>
      </c>
      <c r="Q1163" s="312">
        <v>0.2989</v>
      </c>
      <c r="R1163" s="312">
        <v>0.88980000000000004</v>
      </c>
      <c r="S1163" s="312">
        <v>0.36730000000000002</v>
      </c>
      <c r="T1163" s="312">
        <v>0.34350000000000003</v>
      </c>
      <c r="U1163" s="312">
        <v>0.34639999999999999</v>
      </c>
      <c r="V1163" s="312">
        <v>0.34589999999999999</v>
      </c>
      <c r="W1163" s="312">
        <v>0.81620000000000004</v>
      </c>
      <c r="X1163" s="312">
        <v>0.64219999999999999</v>
      </c>
      <c r="Y1163" s="312">
        <v>0.3876</v>
      </c>
      <c r="Z1163" s="312">
        <v>0.40600000000000003</v>
      </c>
      <c r="AA1163" s="312">
        <v>0.63570000000000004</v>
      </c>
      <c r="AB1163" s="312">
        <v>0.42430000000000001</v>
      </c>
      <c r="AC1163" s="312">
        <v>0.28860000000000002</v>
      </c>
      <c r="AD1163" s="312">
        <v>0.35199999999999998</v>
      </c>
      <c r="AE1163" s="312">
        <v>0.45669999999999999</v>
      </c>
      <c r="AF1163" s="312">
        <v>0.24890000000000001</v>
      </c>
      <c r="AG1163" s="312">
        <v>0.31730000000000003</v>
      </c>
      <c r="AH1163" s="312">
        <v>0.62960000000000005</v>
      </c>
      <c r="AI1163" s="312">
        <v>0.72929999999999995</v>
      </c>
      <c r="AJ1163" s="312">
        <v>0.32569999999999999</v>
      </c>
      <c r="AK1163" s="312">
        <v>0.32050000000000001</v>
      </c>
      <c r="AL1163" s="312">
        <v>0.62109999999999999</v>
      </c>
      <c r="AM1163" s="312">
        <v>0.4335</v>
      </c>
      <c r="AN1163" s="312">
        <v>0.37059999999999998</v>
      </c>
      <c r="AO1163" s="312">
        <v>0.38669999999999999</v>
      </c>
      <c r="AP1163" s="312">
        <v>0.55820000000000003</v>
      </c>
      <c r="AQ1163" s="312">
        <v>0.60370000000000001</v>
      </c>
      <c r="AR1163" s="312">
        <v>0.36249999999999999</v>
      </c>
      <c r="AS1163" s="312">
        <v>0.27839999999999998</v>
      </c>
      <c r="AT1163" s="312">
        <v>0.53010000000000002</v>
      </c>
      <c r="AU1163" s="312">
        <v>0.624</v>
      </c>
      <c r="AV1163" s="312">
        <v>0.4909</v>
      </c>
      <c r="AW1163" s="312">
        <v>0.43180000000000002</v>
      </c>
      <c r="AX1163" s="312">
        <v>0.42309999999999998</v>
      </c>
      <c r="AY1163" s="312">
        <v>0.46629999999999999</v>
      </c>
      <c r="AZ1163" s="312">
        <v>0.43219999999999997</v>
      </c>
      <c r="BA1163" s="312">
        <v>0.26029999999999998</v>
      </c>
      <c r="BB1163" s="312">
        <v>0.27229999999999999</v>
      </c>
      <c r="BC1163" s="312">
        <v>0.84189999999999998</v>
      </c>
      <c r="BD1163" s="312">
        <v>0.86450000000000005</v>
      </c>
      <c r="BE1163" s="312">
        <v>0.6421</v>
      </c>
      <c r="BF1163" s="312">
        <v>0.4627</v>
      </c>
      <c r="BG1163" s="312">
        <v>0.56879999999999997</v>
      </c>
      <c r="BH1163" s="312">
        <v>0.42559999999999998</v>
      </c>
      <c r="BI1163" s="312">
        <v>0.55910000000000004</v>
      </c>
      <c r="BJ1163" s="312">
        <v>0.4859</v>
      </c>
      <c r="BK1163" s="312">
        <v>0.68489999999999995</v>
      </c>
      <c r="BM1163">
        <f>(C1163-C752)*1000000/(RIMS_emp!C1163-RIMS_emp!C752)</f>
        <v>37536.004851179954</v>
      </c>
    </row>
    <row r="1164" spans="1:65" x14ac:dyDescent="0.25">
      <c r="A1164" s="306" t="s">
        <v>766</v>
      </c>
      <c r="B1164" s="312" t="s">
        <v>767</v>
      </c>
      <c r="C1164" s="312">
        <v>0.63570000000000004</v>
      </c>
      <c r="D1164" s="312">
        <v>0.38440000000000002</v>
      </c>
      <c r="E1164" s="312">
        <v>0.4249</v>
      </c>
      <c r="F1164" s="312">
        <v>0.38450000000000001</v>
      </c>
      <c r="G1164" s="312">
        <v>0.45639999999999997</v>
      </c>
      <c r="H1164" s="312">
        <v>0.52490000000000003</v>
      </c>
      <c r="I1164" s="312">
        <v>0.51790000000000003</v>
      </c>
      <c r="J1164" s="312">
        <v>0.435</v>
      </c>
      <c r="K1164" s="312">
        <v>8.3599999999999994E-2</v>
      </c>
      <c r="L1164" s="312">
        <v>0.35199999999999998</v>
      </c>
      <c r="M1164" s="312">
        <v>0.48709999999999998</v>
      </c>
      <c r="N1164" s="312">
        <v>0.48899999999999999</v>
      </c>
      <c r="O1164" s="312">
        <v>0.42880000000000001</v>
      </c>
      <c r="P1164" s="312">
        <v>0.37540000000000001</v>
      </c>
      <c r="Q1164" s="312">
        <v>0.38159999999999999</v>
      </c>
      <c r="R1164" s="312">
        <v>0.54179999999999995</v>
      </c>
      <c r="S1164" s="312">
        <v>0.41610000000000003</v>
      </c>
      <c r="T1164" s="312">
        <v>0.3619</v>
      </c>
      <c r="U1164" s="312">
        <v>0.4037</v>
      </c>
      <c r="V1164" s="312">
        <v>0.4178</v>
      </c>
      <c r="W1164" s="312">
        <v>0.48749999999999999</v>
      </c>
      <c r="X1164" s="312">
        <v>0.44180000000000003</v>
      </c>
      <c r="Y1164" s="312">
        <v>0.43619999999999998</v>
      </c>
      <c r="Z1164" s="312">
        <v>0.4556</v>
      </c>
      <c r="AA1164" s="312">
        <v>0.47470000000000001</v>
      </c>
      <c r="AB1164" s="312">
        <v>0.41770000000000002</v>
      </c>
      <c r="AC1164" s="312">
        <v>0.3921</v>
      </c>
      <c r="AD1164" s="312">
        <v>0.40050000000000002</v>
      </c>
      <c r="AE1164" s="312">
        <v>0.44379999999999997</v>
      </c>
      <c r="AF1164" s="312">
        <v>0.33289999999999997</v>
      </c>
      <c r="AG1164" s="312">
        <v>0.36399999999999999</v>
      </c>
      <c r="AH1164" s="312">
        <v>0.41770000000000002</v>
      </c>
      <c r="AI1164" s="312">
        <v>0.46820000000000001</v>
      </c>
      <c r="AJ1164" s="312">
        <v>0.39660000000000001</v>
      </c>
      <c r="AK1164" s="312">
        <v>0.40760000000000002</v>
      </c>
      <c r="AL1164" s="312">
        <v>0.39589999999999997</v>
      </c>
      <c r="AM1164" s="312">
        <v>0.45579999999999998</v>
      </c>
      <c r="AN1164" s="312">
        <v>0.42809999999999998</v>
      </c>
      <c r="AO1164" s="312">
        <v>0.4204</v>
      </c>
      <c r="AP1164" s="312">
        <v>0.46679999999999999</v>
      </c>
      <c r="AQ1164" s="312">
        <v>0.40289999999999998</v>
      </c>
      <c r="AR1164" s="312">
        <v>0.4335</v>
      </c>
      <c r="AS1164" s="312">
        <v>0.36330000000000001</v>
      </c>
      <c r="AT1164" s="312">
        <v>0.47110000000000002</v>
      </c>
      <c r="AU1164" s="312">
        <v>0.51339999999999997</v>
      </c>
      <c r="AV1164" s="312">
        <v>0.48749999999999999</v>
      </c>
      <c r="AW1164" s="312">
        <v>0.42699999999999999</v>
      </c>
      <c r="AX1164" s="312">
        <v>0.39829999999999999</v>
      </c>
      <c r="AY1164" s="312">
        <v>0.45639999999999997</v>
      </c>
      <c r="AZ1164" s="312">
        <v>0.44019999999999998</v>
      </c>
      <c r="BA1164" s="312">
        <v>0.34939999999999999</v>
      </c>
      <c r="BB1164" s="312">
        <v>0.35759999999999997</v>
      </c>
      <c r="BC1164" s="312">
        <v>0.5181</v>
      </c>
      <c r="BD1164" s="312">
        <v>0.53069999999999995</v>
      </c>
      <c r="BE1164" s="312">
        <v>0.51149999999999995</v>
      </c>
      <c r="BF1164" s="312">
        <v>0.44719999999999999</v>
      </c>
      <c r="BG1164" s="312">
        <v>0.50949999999999995</v>
      </c>
      <c r="BH1164" s="312">
        <v>0.45600000000000002</v>
      </c>
      <c r="BI1164" s="312">
        <v>0.50290000000000001</v>
      </c>
      <c r="BJ1164" s="312">
        <v>0.48110000000000003</v>
      </c>
      <c r="BK1164" s="312">
        <v>0.51939999999999997</v>
      </c>
      <c r="BM1164">
        <f>(C1164-C753)*1000000/(RIMS_emp!C1164-RIMS_emp!C753)</f>
        <v>37544.410476741316</v>
      </c>
    </row>
    <row r="1165" spans="1:65" x14ac:dyDescent="0.25">
      <c r="A1165" s="306">
        <v>531000</v>
      </c>
      <c r="B1165" s="312" t="s">
        <v>416</v>
      </c>
      <c r="C1165" s="312">
        <v>0.35489999999999999</v>
      </c>
      <c r="D1165" s="312">
        <v>0.22969999999999999</v>
      </c>
      <c r="E1165" s="312">
        <v>0.25750000000000001</v>
      </c>
      <c r="F1165" s="312">
        <v>0.22559999999999999</v>
      </c>
      <c r="G1165" s="312">
        <v>0.27900000000000003</v>
      </c>
      <c r="H1165" s="312">
        <v>0.29609999999999997</v>
      </c>
      <c r="I1165" s="312">
        <v>0.30070000000000002</v>
      </c>
      <c r="J1165" s="312">
        <v>0.2452</v>
      </c>
      <c r="K1165" s="312">
        <v>6.3299999999999995E-2</v>
      </c>
      <c r="L1165" s="312">
        <v>0.21920000000000001</v>
      </c>
      <c r="M1165" s="312">
        <v>0.28639999999999999</v>
      </c>
      <c r="N1165" s="312">
        <v>0.29110000000000003</v>
      </c>
      <c r="O1165" s="312">
        <v>0.26419999999999999</v>
      </c>
      <c r="P1165" s="312">
        <v>0.21579999999999999</v>
      </c>
      <c r="Q1165" s="312">
        <v>0.22589999999999999</v>
      </c>
      <c r="R1165" s="312">
        <v>0.29720000000000002</v>
      </c>
      <c r="S1165" s="312">
        <v>0.25480000000000003</v>
      </c>
      <c r="T1165" s="312">
        <v>0.20810000000000001</v>
      </c>
      <c r="U1165" s="312">
        <v>0.2437</v>
      </c>
      <c r="V1165" s="312">
        <v>0.25480000000000003</v>
      </c>
      <c r="W1165" s="312">
        <v>0.26650000000000001</v>
      </c>
      <c r="X1165" s="312">
        <v>0.25679999999999997</v>
      </c>
      <c r="Y1165" s="312">
        <v>0.2581</v>
      </c>
      <c r="Z1165" s="312">
        <v>0.27089999999999997</v>
      </c>
      <c r="AA1165" s="312">
        <v>0.26700000000000002</v>
      </c>
      <c r="AB1165" s="312">
        <v>0.25340000000000001</v>
      </c>
      <c r="AC1165" s="312">
        <v>0.23430000000000001</v>
      </c>
      <c r="AD1165" s="312">
        <v>0.2303</v>
      </c>
      <c r="AE1165" s="312">
        <v>0.25719999999999998</v>
      </c>
      <c r="AF1165" s="312">
        <v>0.19750000000000001</v>
      </c>
      <c r="AG1165" s="312">
        <v>0.21390000000000001</v>
      </c>
      <c r="AH1165" s="312">
        <v>0.24979999999999999</v>
      </c>
      <c r="AI1165" s="312">
        <v>0.26790000000000003</v>
      </c>
      <c r="AJ1165" s="312">
        <v>0.2407</v>
      </c>
      <c r="AK1165" s="312">
        <v>0.25330000000000003</v>
      </c>
      <c r="AL1165" s="312">
        <v>0.2402</v>
      </c>
      <c r="AM1165" s="312">
        <v>0.27500000000000002</v>
      </c>
      <c r="AN1165" s="312">
        <v>0.25430000000000003</v>
      </c>
      <c r="AO1165" s="312">
        <v>0.26179999999999998</v>
      </c>
      <c r="AP1165" s="312">
        <v>0.27839999999999998</v>
      </c>
      <c r="AQ1165" s="312">
        <v>0.23599999999999999</v>
      </c>
      <c r="AR1165" s="312">
        <v>0.2722</v>
      </c>
      <c r="AS1165" s="312">
        <v>0.2064</v>
      </c>
      <c r="AT1165" s="312">
        <v>0.27739999999999998</v>
      </c>
      <c r="AU1165" s="312">
        <v>0.30549999999999999</v>
      </c>
      <c r="AV1165" s="312">
        <v>0.28949999999999998</v>
      </c>
      <c r="AW1165" s="312">
        <v>0.25690000000000002</v>
      </c>
      <c r="AX1165" s="312">
        <v>0.2361</v>
      </c>
      <c r="AY1165" s="312">
        <v>0.2737</v>
      </c>
      <c r="AZ1165" s="312">
        <v>0.25419999999999998</v>
      </c>
      <c r="BA1165" s="312">
        <v>0.20930000000000001</v>
      </c>
      <c r="BB1165" s="312">
        <v>0.2079</v>
      </c>
      <c r="BC1165" s="312">
        <v>0.28399999999999997</v>
      </c>
      <c r="BD1165" s="312">
        <v>0.29430000000000001</v>
      </c>
      <c r="BE1165" s="312">
        <v>0.29459999999999997</v>
      </c>
      <c r="BF1165" s="312">
        <v>0.25919999999999999</v>
      </c>
      <c r="BG1165" s="312">
        <v>0.30570000000000003</v>
      </c>
      <c r="BH1165" s="312">
        <v>0.27339999999999998</v>
      </c>
      <c r="BI1165" s="312">
        <v>0.3029</v>
      </c>
      <c r="BJ1165" s="312">
        <v>0.29360000000000003</v>
      </c>
      <c r="BK1165" s="312">
        <v>0.30030000000000001</v>
      </c>
      <c r="BM1165">
        <f>(C1165-C754)*1000000/(RIMS_emp!C1165-RIMS_emp!C754)</f>
        <v>37533.670781162109</v>
      </c>
    </row>
    <row r="1166" spans="1:65" x14ac:dyDescent="0.25">
      <c r="A1166" s="306">
        <v>532100</v>
      </c>
      <c r="B1166" s="312" t="s">
        <v>301</v>
      </c>
      <c r="C1166" s="312">
        <v>0.66220000000000001</v>
      </c>
      <c r="D1166" s="312">
        <v>0.37930000000000003</v>
      </c>
      <c r="E1166" s="312">
        <v>0.442</v>
      </c>
      <c r="F1166" s="312">
        <v>0.41149999999999998</v>
      </c>
      <c r="G1166" s="312">
        <v>0.4788</v>
      </c>
      <c r="H1166" s="312">
        <v>0.53259999999999996</v>
      </c>
      <c r="I1166" s="312">
        <v>0.54430000000000001</v>
      </c>
      <c r="J1166" s="312">
        <v>0.43740000000000001</v>
      </c>
      <c r="K1166" s="312">
        <v>6.6000000000000003E-2</v>
      </c>
      <c r="L1166" s="312">
        <v>0.34189999999999998</v>
      </c>
      <c r="M1166" s="312">
        <v>0.49590000000000001</v>
      </c>
      <c r="N1166" s="312">
        <v>0.52649999999999997</v>
      </c>
      <c r="O1166" s="312">
        <v>0.45650000000000002</v>
      </c>
      <c r="P1166" s="312">
        <v>0.37369999999999998</v>
      </c>
      <c r="Q1166" s="312">
        <v>0.39510000000000001</v>
      </c>
      <c r="R1166" s="312">
        <v>0.54700000000000004</v>
      </c>
      <c r="S1166" s="312">
        <v>0.44040000000000001</v>
      </c>
      <c r="T1166" s="312">
        <v>0.3669</v>
      </c>
      <c r="U1166" s="312">
        <v>0.43149999999999999</v>
      </c>
      <c r="V1166" s="312">
        <v>0.4345</v>
      </c>
      <c r="W1166" s="312">
        <v>0.47939999999999999</v>
      </c>
      <c r="X1166" s="312">
        <v>0.43359999999999999</v>
      </c>
      <c r="Y1166" s="312">
        <v>0.46260000000000001</v>
      </c>
      <c r="Z1166" s="312">
        <v>0.49740000000000001</v>
      </c>
      <c r="AA1166" s="312">
        <v>0.49280000000000002</v>
      </c>
      <c r="AB1166" s="312">
        <v>0.46089999999999998</v>
      </c>
      <c r="AC1166" s="312">
        <v>0.39100000000000001</v>
      </c>
      <c r="AD1166" s="312">
        <v>0.38419999999999999</v>
      </c>
      <c r="AE1166" s="312">
        <v>0.47089999999999999</v>
      </c>
      <c r="AF1166" s="312">
        <v>0.34770000000000001</v>
      </c>
      <c r="AG1166" s="312">
        <v>0.374</v>
      </c>
      <c r="AH1166" s="312">
        <v>0.44140000000000001</v>
      </c>
      <c r="AI1166" s="312">
        <v>0.47199999999999998</v>
      </c>
      <c r="AJ1166" s="312">
        <v>0.39319999999999999</v>
      </c>
      <c r="AK1166" s="312">
        <v>0.44700000000000001</v>
      </c>
      <c r="AL1166" s="312">
        <v>0.42099999999999999</v>
      </c>
      <c r="AM1166" s="312">
        <v>0.50919999999999999</v>
      </c>
      <c r="AN1166" s="312">
        <v>0.44619999999999999</v>
      </c>
      <c r="AO1166" s="312">
        <v>0.44669999999999999</v>
      </c>
      <c r="AP1166" s="312">
        <v>0.51139999999999997</v>
      </c>
      <c r="AQ1166" s="312">
        <v>0.42680000000000001</v>
      </c>
      <c r="AR1166" s="312">
        <v>0.45989999999999998</v>
      </c>
      <c r="AS1166" s="312">
        <v>0.35570000000000002</v>
      </c>
      <c r="AT1166" s="312">
        <v>0.4854</v>
      </c>
      <c r="AU1166" s="312">
        <v>0.52390000000000003</v>
      </c>
      <c r="AV1166" s="312">
        <v>0.53039999999999998</v>
      </c>
      <c r="AW1166" s="312">
        <v>0.4637</v>
      </c>
      <c r="AX1166" s="312">
        <v>0.36199999999999999</v>
      </c>
      <c r="AY1166" s="312">
        <v>0.47820000000000001</v>
      </c>
      <c r="AZ1166" s="312">
        <v>0.4788</v>
      </c>
      <c r="BA1166" s="312">
        <v>0.35830000000000001</v>
      </c>
      <c r="BB1166" s="312">
        <v>0.31909999999999999</v>
      </c>
      <c r="BC1166" s="312">
        <v>0.52270000000000005</v>
      </c>
      <c r="BD1166" s="312">
        <v>0.53810000000000002</v>
      </c>
      <c r="BE1166" s="312">
        <v>0.5494</v>
      </c>
      <c r="BF1166" s="312">
        <v>0.47760000000000002</v>
      </c>
      <c r="BG1166" s="312">
        <v>0.54700000000000004</v>
      </c>
      <c r="BH1166" s="312">
        <v>0.47839999999999999</v>
      </c>
      <c r="BI1166" s="312">
        <v>0.52370000000000005</v>
      </c>
      <c r="BJ1166" s="312">
        <v>0.51400000000000001</v>
      </c>
      <c r="BK1166" s="312">
        <v>0.53700000000000003</v>
      </c>
      <c r="BM1166">
        <f>(C1166-C755)*1000000/(RIMS_emp!C1166-RIMS_emp!C755)</f>
        <v>37551.758602636721</v>
      </c>
    </row>
    <row r="1167" spans="1:65" x14ac:dyDescent="0.25">
      <c r="A1167" s="306">
        <v>532230</v>
      </c>
      <c r="B1167" s="312" t="s">
        <v>303</v>
      </c>
      <c r="C1167" s="312">
        <v>0.87780000000000002</v>
      </c>
      <c r="D1167" s="312">
        <v>0.50570000000000004</v>
      </c>
      <c r="E1167" s="312">
        <v>0.60619999999999996</v>
      </c>
      <c r="F1167" s="312">
        <v>0.58360000000000001</v>
      </c>
      <c r="G1167" s="312">
        <v>0.66159999999999997</v>
      </c>
      <c r="H1167" s="312">
        <v>0.71479999999999999</v>
      </c>
      <c r="I1167" s="312">
        <v>0.74070000000000003</v>
      </c>
      <c r="J1167" s="312">
        <v>0.5927</v>
      </c>
      <c r="K1167" s="312">
        <v>8.3599999999999994E-2</v>
      </c>
      <c r="L1167" s="312">
        <v>0.45540000000000003</v>
      </c>
      <c r="M1167" s="312">
        <v>0.67110000000000003</v>
      </c>
      <c r="N1167" s="312">
        <v>0.71689999999999998</v>
      </c>
      <c r="O1167" s="312">
        <v>0.60629999999999995</v>
      </c>
      <c r="P1167" s="312">
        <v>0.50939999999999996</v>
      </c>
      <c r="Q1167" s="312">
        <v>0.55249999999999999</v>
      </c>
      <c r="R1167" s="312">
        <v>0.72599999999999998</v>
      </c>
      <c r="S1167" s="312">
        <v>0.61119999999999997</v>
      </c>
      <c r="T1167" s="312">
        <v>0.51229999999999998</v>
      </c>
      <c r="U1167" s="312">
        <v>0.59060000000000001</v>
      </c>
      <c r="V1167" s="312">
        <v>0.60640000000000005</v>
      </c>
      <c r="W1167" s="312">
        <v>0.6522</v>
      </c>
      <c r="X1167" s="312">
        <v>0.58489999999999998</v>
      </c>
      <c r="Y1167" s="312">
        <v>0.623</v>
      </c>
      <c r="Z1167" s="312">
        <v>0.68769999999999998</v>
      </c>
      <c r="AA1167" s="312">
        <v>0.69010000000000005</v>
      </c>
      <c r="AB1167" s="312">
        <v>0.629</v>
      </c>
      <c r="AC1167" s="312">
        <v>0.53559999999999997</v>
      </c>
      <c r="AD1167" s="312">
        <v>0.53779999999999994</v>
      </c>
      <c r="AE1167" s="312">
        <v>0.65039999999999998</v>
      </c>
      <c r="AF1167" s="312">
        <v>0.50029999999999997</v>
      </c>
      <c r="AG1167" s="312">
        <v>0.51190000000000002</v>
      </c>
      <c r="AH1167" s="312">
        <v>0.60840000000000005</v>
      </c>
      <c r="AI1167" s="312">
        <v>0.62909999999999999</v>
      </c>
      <c r="AJ1167" s="312">
        <v>0.53120000000000001</v>
      </c>
      <c r="AK1167" s="312">
        <v>0.60640000000000005</v>
      </c>
      <c r="AL1167" s="312">
        <v>0.56640000000000001</v>
      </c>
      <c r="AM1167" s="312">
        <v>0.69230000000000003</v>
      </c>
      <c r="AN1167" s="312">
        <v>0.60919999999999996</v>
      </c>
      <c r="AO1167" s="312">
        <v>0.621</v>
      </c>
      <c r="AP1167" s="312">
        <v>0.69669999999999999</v>
      </c>
      <c r="AQ1167" s="312">
        <v>0.57540000000000002</v>
      </c>
      <c r="AR1167" s="312">
        <v>0.62109999999999999</v>
      </c>
      <c r="AS1167" s="312">
        <v>0.50170000000000003</v>
      </c>
      <c r="AT1167" s="312">
        <v>0.66200000000000003</v>
      </c>
      <c r="AU1167" s="312">
        <v>0.70679999999999998</v>
      </c>
      <c r="AV1167" s="312">
        <v>0.72499999999999998</v>
      </c>
      <c r="AW1167" s="312">
        <v>0.62549999999999994</v>
      </c>
      <c r="AX1167" s="312">
        <v>0.48480000000000001</v>
      </c>
      <c r="AY1167" s="312">
        <v>0.66279999999999994</v>
      </c>
      <c r="AZ1167" s="312">
        <v>0.66790000000000005</v>
      </c>
      <c r="BA1167" s="312">
        <v>0.49940000000000001</v>
      </c>
      <c r="BB1167" s="312">
        <v>0.4461</v>
      </c>
      <c r="BC1167" s="312">
        <v>0.70669999999999999</v>
      </c>
      <c r="BD1167" s="312">
        <v>0.72409999999999997</v>
      </c>
      <c r="BE1167" s="312">
        <v>0.74550000000000005</v>
      </c>
      <c r="BF1167" s="312">
        <v>0.65990000000000004</v>
      </c>
      <c r="BG1167" s="312">
        <v>0.73750000000000004</v>
      </c>
      <c r="BH1167" s="312">
        <v>0.65610000000000002</v>
      </c>
      <c r="BI1167" s="312">
        <v>0.71309999999999996</v>
      </c>
      <c r="BJ1167" s="312">
        <v>0.70230000000000004</v>
      </c>
      <c r="BK1167" s="312">
        <v>0.72750000000000004</v>
      </c>
      <c r="BM1167">
        <f>(C1167-C756)*1000000/(RIMS_emp!C1167-RIMS_emp!C756)</f>
        <v>37543.683278280441</v>
      </c>
    </row>
    <row r="1168" spans="1:65" x14ac:dyDescent="0.25">
      <c r="A1168" s="306">
        <v>532400</v>
      </c>
      <c r="B1168" s="312" t="s">
        <v>304</v>
      </c>
      <c r="C1168" s="312">
        <v>0.76119999999999999</v>
      </c>
      <c r="D1168" s="312">
        <v>0.42930000000000001</v>
      </c>
      <c r="E1168" s="312">
        <v>0.51149999999999995</v>
      </c>
      <c r="F1168" s="312">
        <v>0.47860000000000003</v>
      </c>
      <c r="G1168" s="312">
        <v>0.56499999999999995</v>
      </c>
      <c r="H1168" s="312">
        <v>0.61760000000000004</v>
      </c>
      <c r="I1168" s="312">
        <v>0.63219999999999998</v>
      </c>
      <c r="J1168" s="312">
        <v>0.50229999999999997</v>
      </c>
      <c r="K1168" s="312">
        <v>7.5200000000000003E-2</v>
      </c>
      <c r="L1168" s="312">
        <v>0.39329999999999998</v>
      </c>
      <c r="M1168" s="312">
        <v>0.58230000000000004</v>
      </c>
      <c r="N1168" s="312">
        <v>0.61519999999999997</v>
      </c>
      <c r="O1168" s="312">
        <v>0.51880000000000004</v>
      </c>
      <c r="P1168" s="312">
        <v>0.4249</v>
      </c>
      <c r="Q1168" s="312">
        <v>0.45989999999999998</v>
      </c>
      <c r="R1168" s="312">
        <v>0.63060000000000005</v>
      </c>
      <c r="S1168" s="312">
        <v>0.51670000000000005</v>
      </c>
      <c r="T1168" s="312">
        <v>0.43009999999999998</v>
      </c>
      <c r="U1168" s="312">
        <v>0.50090000000000001</v>
      </c>
      <c r="V1168" s="312">
        <v>0.51580000000000004</v>
      </c>
      <c r="W1168" s="312">
        <v>0.55069999999999997</v>
      </c>
      <c r="X1168" s="312">
        <v>0.50839999999999996</v>
      </c>
      <c r="Y1168" s="312">
        <v>0.52629999999999999</v>
      </c>
      <c r="Z1168" s="312">
        <v>0.58220000000000005</v>
      </c>
      <c r="AA1168" s="312">
        <v>0.57189999999999996</v>
      </c>
      <c r="AB1168" s="312">
        <v>0.53210000000000002</v>
      </c>
      <c r="AC1168" s="312">
        <v>0.45119999999999999</v>
      </c>
      <c r="AD1168" s="312">
        <v>0.44490000000000002</v>
      </c>
      <c r="AE1168" s="312">
        <v>0.55010000000000003</v>
      </c>
      <c r="AF1168" s="312">
        <v>0.40089999999999998</v>
      </c>
      <c r="AG1168" s="312">
        <v>0.4254</v>
      </c>
      <c r="AH1168" s="312">
        <v>0.51739999999999997</v>
      </c>
      <c r="AI1168" s="312">
        <v>0.54910000000000003</v>
      </c>
      <c r="AJ1168" s="312">
        <v>0.45950000000000002</v>
      </c>
      <c r="AK1168" s="312">
        <v>0.51549999999999996</v>
      </c>
      <c r="AL1168" s="312">
        <v>0.47760000000000002</v>
      </c>
      <c r="AM1168" s="312">
        <v>0.59179999999999999</v>
      </c>
      <c r="AN1168" s="312">
        <v>0.5232</v>
      </c>
      <c r="AO1168" s="312">
        <v>0.52039999999999997</v>
      </c>
      <c r="AP1168" s="312">
        <v>0.59109999999999996</v>
      </c>
      <c r="AQ1168" s="312">
        <v>0.48680000000000001</v>
      </c>
      <c r="AR1168" s="312">
        <v>0.53580000000000005</v>
      </c>
      <c r="AS1168" s="312">
        <v>0.40739999999999998</v>
      </c>
      <c r="AT1168" s="312">
        <v>0.5655</v>
      </c>
      <c r="AU1168" s="312">
        <v>0.61399999999999999</v>
      </c>
      <c r="AV1168" s="312">
        <v>0.61439999999999995</v>
      </c>
      <c r="AW1168" s="312">
        <v>0.5353</v>
      </c>
      <c r="AX1168" s="312">
        <v>0.40539999999999998</v>
      </c>
      <c r="AY1168" s="312">
        <v>0.55640000000000001</v>
      </c>
      <c r="AZ1168" s="312">
        <v>0.55430000000000001</v>
      </c>
      <c r="BA1168" s="312">
        <v>0.41470000000000001</v>
      </c>
      <c r="BB1168" s="312">
        <v>0.36940000000000001</v>
      </c>
      <c r="BC1168" s="312">
        <v>0.59950000000000003</v>
      </c>
      <c r="BD1168" s="312">
        <v>0.61850000000000005</v>
      </c>
      <c r="BE1168" s="312">
        <v>0.63859999999999995</v>
      </c>
      <c r="BF1168" s="312">
        <v>0.55110000000000003</v>
      </c>
      <c r="BG1168" s="312">
        <v>0.63790000000000002</v>
      </c>
      <c r="BH1168" s="312">
        <v>0.55900000000000005</v>
      </c>
      <c r="BI1168" s="312">
        <v>0.61650000000000005</v>
      </c>
      <c r="BJ1168" s="312">
        <v>0.60060000000000002</v>
      </c>
      <c r="BK1168" s="312">
        <v>0.62409999999999999</v>
      </c>
      <c r="BM1168">
        <f>(C1168-C757)*1000000/(RIMS_emp!C1168-RIMS_emp!C757)</f>
        <v>37537.43392997612</v>
      </c>
    </row>
    <row r="1169" spans="1:65" x14ac:dyDescent="0.25">
      <c r="A1169" s="306" t="s">
        <v>768</v>
      </c>
      <c r="B1169" s="312" t="s">
        <v>302</v>
      </c>
      <c r="C1169" s="312">
        <v>0.95979999999999999</v>
      </c>
      <c r="D1169" s="312">
        <v>0.57789999999999997</v>
      </c>
      <c r="E1169" s="312">
        <v>0.66459999999999997</v>
      </c>
      <c r="F1169" s="312">
        <v>0.64070000000000005</v>
      </c>
      <c r="G1169" s="312">
        <v>0.71730000000000005</v>
      </c>
      <c r="H1169" s="312">
        <v>0.79</v>
      </c>
      <c r="I1169" s="312">
        <v>0.81079999999999997</v>
      </c>
      <c r="J1169" s="312">
        <v>0.64849999999999997</v>
      </c>
      <c r="K1169" s="312">
        <v>0.1019</v>
      </c>
      <c r="L1169" s="312">
        <v>0.50619999999999998</v>
      </c>
      <c r="M1169" s="312">
        <v>0.73870000000000002</v>
      </c>
      <c r="N1169" s="312">
        <v>0.78620000000000001</v>
      </c>
      <c r="O1169" s="312">
        <v>0.68789999999999996</v>
      </c>
      <c r="P1169" s="312">
        <v>0.56899999999999995</v>
      </c>
      <c r="Q1169" s="312">
        <v>0.61480000000000001</v>
      </c>
      <c r="R1169" s="312">
        <v>0.79990000000000006</v>
      </c>
      <c r="S1169" s="312">
        <v>0.66459999999999997</v>
      </c>
      <c r="T1169" s="312">
        <v>0.56359999999999999</v>
      </c>
      <c r="U1169" s="312">
        <v>0.64810000000000001</v>
      </c>
      <c r="V1169" s="312">
        <v>0.66400000000000003</v>
      </c>
      <c r="W1169" s="312">
        <v>0.71709999999999996</v>
      </c>
      <c r="X1169" s="312">
        <v>0.64890000000000003</v>
      </c>
      <c r="Y1169" s="312">
        <v>0.69579999999999997</v>
      </c>
      <c r="Z1169" s="312">
        <v>0.75380000000000003</v>
      </c>
      <c r="AA1169" s="312">
        <v>0.75160000000000005</v>
      </c>
      <c r="AB1169" s="312">
        <v>0.68820000000000003</v>
      </c>
      <c r="AC1169" s="312">
        <v>0.59809999999999997</v>
      </c>
      <c r="AD1169" s="312">
        <v>0.59360000000000002</v>
      </c>
      <c r="AE1169" s="312">
        <v>0.71689999999999998</v>
      </c>
      <c r="AF1169" s="312">
        <v>0.54820000000000002</v>
      </c>
      <c r="AG1169" s="312">
        <v>0.57579999999999998</v>
      </c>
      <c r="AH1169" s="312">
        <v>0.66930000000000001</v>
      </c>
      <c r="AI1169" s="312">
        <v>0.69599999999999995</v>
      </c>
      <c r="AJ1169" s="312">
        <v>0.6038</v>
      </c>
      <c r="AK1169" s="312">
        <v>0.67730000000000001</v>
      </c>
      <c r="AL1169" s="312">
        <v>0.63009999999999999</v>
      </c>
      <c r="AM1169" s="312">
        <v>0.75739999999999996</v>
      </c>
      <c r="AN1169" s="312">
        <v>0.67230000000000001</v>
      </c>
      <c r="AO1169" s="312">
        <v>0.67269999999999996</v>
      </c>
      <c r="AP1169" s="312">
        <v>0.76090000000000002</v>
      </c>
      <c r="AQ1169" s="312">
        <v>0.64170000000000005</v>
      </c>
      <c r="AR1169" s="312">
        <v>0.68269999999999997</v>
      </c>
      <c r="AS1169" s="312">
        <v>0.55759999999999998</v>
      </c>
      <c r="AT1169" s="312">
        <v>0.71870000000000001</v>
      </c>
      <c r="AU1169" s="312">
        <v>0.77190000000000003</v>
      </c>
      <c r="AV1169" s="312">
        <v>0.79190000000000005</v>
      </c>
      <c r="AW1169" s="312">
        <v>0.69579999999999997</v>
      </c>
      <c r="AX1169" s="312">
        <v>0.54220000000000002</v>
      </c>
      <c r="AY1169" s="312">
        <v>0.72260000000000002</v>
      </c>
      <c r="AZ1169" s="312">
        <v>0.72760000000000002</v>
      </c>
      <c r="BA1169" s="312">
        <v>0.55079999999999996</v>
      </c>
      <c r="BB1169" s="312">
        <v>0.49390000000000001</v>
      </c>
      <c r="BC1169" s="312">
        <v>0.7752</v>
      </c>
      <c r="BD1169" s="312">
        <v>0.79530000000000001</v>
      </c>
      <c r="BE1169" s="312">
        <v>0.81489999999999996</v>
      </c>
      <c r="BF1169" s="312">
        <v>0.72289999999999999</v>
      </c>
      <c r="BG1169" s="312">
        <v>0.81169999999999998</v>
      </c>
      <c r="BH1169" s="312">
        <v>0.71289999999999998</v>
      </c>
      <c r="BI1169" s="312">
        <v>0.77559999999999996</v>
      </c>
      <c r="BJ1169" s="312">
        <v>0.76970000000000005</v>
      </c>
      <c r="BK1169" s="312">
        <v>0.80059999999999998</v>
      </c>
      <c r="BM1169">
        <f>(C1169-C758)*1000000/(RIMS_emp!C1169-RIMS_emp!C758)</f>
        <v>37541.728232911941</v>
      </c>
    </row>
    <row r="1170" spans="1:65" x14ac:dyDescent="0.25">
      <c r="A1170" s="306">
        <v>533000</v>
      </c>
      <c r="B1170" s="312" t="s">
        <v>305</v>
      </c>
      <c r="C1170" s="312">
        <v>0.30690000000000001</v>
      </c>
      <c r="D1170" s="312">
        <v>0.1958</v>
      </c>
      <c r="E1170" s="312">
        <v>0.2175</v>
      </c>
      <c r="F1170" s="312">
        <v>0.19020000000000001</v>
      </c>
      <c r="G1170" s="312">
        <v>0.2344</v>
      </c>
      <c r="H1170" s="312">
        <v>0.25469999999999998</v>
      </c>
      <c r="I1170" s="312">
        <v>0.25740000000000002</v>
      </c>
      <c r="J1170" s="312">
        <v>0.20180000000000001</v>
      </c>
      <c r="K1170" s="312">
        <v>0</v>
      </c>
      <c r="L1170" s="312">
        <v>0.16170000000000001</v>
      </c>
      <c r="M1170" s="312">
        <v>0.24590000000000001</v>
      </c>
      <c r="N1170" s="312">
        <v>0.25269999999999998</v>
      </c>
      <c r="O1170" s="312">
        <v>0.22009999999999999</v>
      </c>
      <c r="P1170" s="312">
        <v>0.18290000000000001</v>
      </c>
      <c r="Q1170" s="312">
        <v>0.19020000000000001</v>
      </c>
      <c r="R1170" s="312">
        <v>0.25559999999999999</v>
      </c>
      <c r="S1170" s="312">
        <v>0.2102</v>
      </c>
      <c r="T1170" s="312">
        <v>0.18079999999999999</v>
      </c>
      <c r="U1170" s="312">
        <v>0.2021</v>
      </c>
      <c r="V1170" s="312">
        <v>0.2109</v>
      </c>
      <c r="W1170" s="312">
        <v>0.22750000000000001</v>
      </c>
      <c r="X1170" s="312">
        <v>0.21790000000000001</v>
      </c>
      <c r="Y1170" s="312">
        <v>0.22120000000000001</v>
      </c>
      <c r="Z1170" s="312">
        <v>0.23330000000000001</v>
      </c>
      <c r="AA1170" s="312">
        <v>0.23300000000000001</v>
      </c>
      <c r="AB1170" s="312">
        <v>0.21060000000000001</v>
      </c>
      <c r="AC1170" s="312">
        <v>0.1893</v>
      </c>
      <c r="AD1170" s="312">
        <v>0.20030000000000001</v>
      </c>
      <c r="AE1170" s="312">
        <v>0.21790000000000001</v>
      </c>
      <c r="AF1170" s="312">
        <v>0.17169999999999999</v>
      </c>
      <c r="AG1170" s="312">
        <v>0.17680000000000001</v>
      </c>
      <c r="AH1170" s="312">
        <v>0.21290000000000001</v>
      </c>
      <c r="AI1170" s="312">
        <v>0.2223</v>
      </c>
      <c r="AJ1170" s="312">
        <v>0.20300000000000001</v>
      </c>
      <c r="AK1170" s="312">
        <v>0.20880000000000001</v>
      </c>
      <c r="AL1170" s="312">
        <v>0.20499999999999999</v>
      </c>
      <c r="AM1170" s="312">
        <v>0.23430000000000001</v>
      </c>
      <c r="AN1170" s="312">
        <v>0.222</v>
      </c>
      <c r="AO1170" s="312">
        <v>0.20469999999999999</v>
      </c>
      <c r="AP1170" s="312">
        <v>0.2389</v>
      </c>
      <c r="AQ1170" s="312">
        <v>0.1993</v>
      </c>
      <c r="AR1170" s="312">
        <v>0.22589999999999999</v>
      </c>
      <c r="AS1170" s="312">
        <v>0.17780000000000001</v>
      </c>
      <c r="AT1170" s="312">
        <v>0.23269999999999999</v>
      </c>
      <c r="AU1170" s="312">
        <v>0.26100000000000001</v>
      </c>
      <c r="AV1170" s="312">
        <v>0.2467</v>
      </c>
      <c r="AW1170" s="312">
        <v>0.21909999999999999</v>
      </c>
      <c r="AX1170" s="312">
        <v>0.18970000000000001</v>
      </c>
      <c r="AY1170" s="312">
        <v>0.23169999999999999</v>
      </c>
      <c r="AZ1170" s="312">
        <v>0.22090000000000001</v>
      </c>
      <c r="BA1170" s="312">
        <v>0.1794</v>
      </c>
      <c r="BB1170" s="312">
        <v>0.16350000000000001</v>
      </c>
      <c r="BC1170" s="312">
        <v>0.2445</v>
      </c>
      <c r="BD1170" s="312">
        <v>0.25419999999999998</v>
      </c>
      <c r="BE1170" s="312">
        <v>0.25590000000000002</v>
      </c>
      <c r="BF1170" s="312">
        <v>0.2203</v>
      </c>
      <c r="BG1170" s="312">
        <v>0.26300000000000001</v>
      </c>
      <c r="BH1170" s="312">
        <v>0.22939999999999999</v>
      </c>
      <c r="BI1170" s="312">
        <v>0.25779999999999997</v>
      </c>
      <c r="BJ1170" s="312">
        <v>0.24640000000000001</v>
      </c>
      <c r="BK1170" s="312">
        <v>0.25669999999999998</v>
      </c>
      <c r="BM1170">
        <f>(C1170-C759)*1000000/(RIMS_emp!C1170-RIMS_emp!C759)</f>
        <v>37549.204175937026</v>
      </c>
    </row>
    <row r="1171" spans="1:65" x14ac:dyDescent="0.25">
      <c r="A1171" s="306">
        <v>541100</v>
      </c>
      <c r="B1171" s="312" t="s">
        <v>306</v>
      </c>
      <c r="C1171" s="312">
        <v>1.0716000000000001</v>
      </c>
      <c r="D1171" s="312">
        <v>0.76870000000000005</v>
      </c>
      <c r="E1171" s="312">
        <v>0.84030000000000005</v>
      </c>
      <c r="F1171" s="312">
        <v>0.78810000000000002</v>
      </c>
      <c r="G1171" s="312">
        <v>0.87170000000000003</v>
      </c>
      <c r="H1171" s="312">
        <v>0.92920000000000003</v>
      </c>
      <c r="I1171" s="312">
        <v>0.92300000000000004</v>
      </c>
      <c r="J1171" s="312">
        <v>0.81979999999999997</v>
      </c>
      <c r="K1171" s="312">
        <v>0.17349999999999999</v>
      </c>
      <c r="L1171" s="312">
        <v>0.66949999999999998</v>
      </c>
      <c r="M1171" s="312">
        <v>0.89990000000000003</v>
      </c>
      <c r="N1171" s="312">
        <v>0.9214</v>
      </c>
      <c r="O1171" s="312">
        <v>0.81299999999999994</v>
      </c>
      <c r="P1171" s="312">
        <v>0.74850000000000005</v>
      </c>
      <c r="Q1171" s="312">
        <v>0.77480000000000004</v>
      </c>
      <c r="R1171" s="312">
        <v>0.92059999999999997</v>
      </c>
      <c r="S1171" s="312">
        <v>0.83799999999999997</v>
      </c>
      <c r="T1171" s="312">
        <v>0.73250000000000004</v>
      </c>
      <c r="U1171" s="312">
        <v>0.80720000000000003</v>
      </c>
      <c r="V1171" s="312">
        <v>0.82979999999999998</v>
      </c>
      <c r="W1171" s="312">
        <v>0.86270000000000002</v>
      </c>
      <c r="X1171" s="312">
        <v>0.82399999999999995</v>
      </c>
      <c r="Y1171" s="312">
        <v>0.84619999999999995</v>
      </c>
      <c r="Z1171" s="312">
        <v>0.88390000000000002</v>
      </c>
      <c r="AA1171" s="312">
        <v>0.86760000000000004</v>
      </c>
      <c r="AB1171" s="312">
        <v>0.73939999999999995</v>
      </c>
      <c r="AC1171" s="312">
        <v>0.75509999999999999</v>
      </c>
      <c r="AD1171" s="312">
        <v>0.78900000000000003</v>
      </c>
      <c r="AE1171" s="312">
        <v>0.85119999999999996</v>
      </c>
      <c r="AF1171" s="312">
        <v>0.69079999999999997</v>
      </c>
      <c r="AG1171" s="312">
        <v>0.74309999999999998</v>
      </c>
      <c r="AH1171" s="312">
        <v>0.80500000000000005</v>
      </c>
      <c r="AI1171" s="312">
        <v>0.86160000000000003</v>
      </c>
      <c r="AJ1171" s="312">
        <v>0.7974</v>
      </c>
      <c r="AK1171" s="312">
        <v>0.81169999999999998</v>
      </c>
      <c r="AL1171" s="312">
        <v>0.74509999999999998</v>
      </c>
      <c r="AM1171" s="312">
        <v>0.88160000000000005</v>
      </c>
      <c r="AN1171" s="312">
        <v>0.8458</v>
      </c>
      <c r="AO1171" s="312">
        <v>0.83830000000000005</v>
      </c>
      <c r="AP1171" s="312">
        <v>0.85770000000000002</v>
      </c>
      <c r="AQ1171" s="312">
        <v>0.78469999999999995</v>
      </c>
      <c r="AR1171" s="312">
        <v>0.86370000000000002</v>
      </c>
      <c r="AS1171" s="312">
        <v>0.73470000000000002</v>
      </c>
      <c r="AT1171" s="312">
        <v>0.87409999999999999</v>
      </c>
      <c r="AU1171" s="312">
        <v>0.94010000000000005</v>
      </c>
      <c r="AV1171" s="312">
        <v>0.91249999999999998</v>
      </c>
      <c r="AW1171" s="312">
        <v>0.8</v>
      </c>
      <c r="AX1171" s="312">
        <v>0.79269999999999996</v>
      </c>
      <c r="AY1171" s="312">
        <v>0.87549999999999994</v>
      </c>
      <c r="AZ1171" s="312">
        <v>0.85309999999999997</v>
      </c>
      <c r="BA1171" s="312">
        <v>0.75239999999999996</v>
      </c>
      <c r="BB1171" s="312">
        <v>0.69910000000000005</v>
      </c>
      <c r="BC1171" s="312">
        <v>0.91200000000000003</v>
      </c>
      <c r="BD1171" s="312">
        <v>0.92110000000000003</v>
      </c>
      <c r="BE1171" s="312">
        <v>0.93410000000000004</v>
      </c>
      <c r="BF1171" s="312">
        <v>0.8518</v>
      </c>
      <c r="BG1171" s="312">
        <v>0.94520000000000004</v>
      </c>
      <c r="BH1171" s="312">
        <v>0.872</v>
      </c>
      <c r="BI1171" s="312">
        <v>0.93610000000000004</v>
      </c>
      <c r="BJ1171" s="312">
        <v>0.90749999999999997</v>
      </c>
      <c r="BK1171" s="312">
        <v>0.93520000000000003</v>
      </c>
      <c r="BM1171">
        <f>(C1171-C760)*1000000/(RIMS_emp!C1171-RIMS_emp!C760)</f>
        <v>37535.167776024158</v>
      </c>
    </row>
    <row r="1172" spans="1:65" x14ac:dyDescent="0.25">
      <c r="A1172" s="306">
        <v>541200</v>
      </c>
      <c r="B1172" s="312" t="s">
        <v>307</v>
      </c>
      <c r="C1172" s="312">
        <v>0.89039999999999997</v>
      </c>
      <c r="D1172" s="312">
        <v>0.63500000000000001</v>
      </c>
      <c r="E1172" s="312">
        <v>0.6754</v>
      </c>
      <c r="F1172" s="312">
        <v>0.62770000000000004</v>
      </c>
      <c r="G1172" s="312">
        <v>0.71340000000000003</v>
      </c>
      <c r="H1172" s="312">
        <v>0.76739999999999997</v>
      </c>
      <c r="I1172" s="312">
        <v>0.76990000000000003</v>
      </c>
      <c r="J1172" s="312">
        <v>0.6411</v>
      </c>
      <c r="K1172" s="312">
        <v>0.1019</v>
      </c>
      <c r="L1172" s="312">
        <v>0.52480000000000004</v>
      </c>
      <c r="M1172" s="312">
        <v>0.73950000000000005</v>
      </c>
      <c r="N1172" s="312">
        <v>0.74760000000000004</v>
      </c>
      <c r="O1172" s="312">
        <v>0.6915</v>
      </c>
      <c r="P1172" s="312">
        <v>0.57699999999999996</v>
      </c>
      <c r="Q1172" s="312">
        <v>0.61019999999999996</v>
      </c>
      <c r="R1172" s="312">
        <v>0.75229999999999997</v>
      </c>
      <c r="S1172" s="312">
        <v>0.67300000000000004</v>
      </c>
      <c r="T1172" s="312">
        <v>0.58099999999999996</v>
      </c>
      <c r="U1172" s="312">
        <v>0.64970000000000006</v>
      </c>
      <c r="V1172" s="312">
        <v>0.67959999999999998</v>
      </c>
      <c r="W1172" s="312">
        <v>0.69540000000000002</v>
      </c>
      <c r="X1172" s="312">
        <v>0.65590000000000004</v>
      </c>
      <c r="Y1172" s="312">
        <v>0.68740000000000001</v>
      </c>
      <c r="Z1172" s="312">
        <v>0.72460000000000002</v>
      </c>
      <c r="AA1172" s="312">
        <v>0.71040000000000003</v>
      </c>
      <c r="AB1172" s="312">
        <v>0.59760000000000002</v>
      </c>
      <c r="AC1172" s="312">
        <v>0.63639999999999997</v>
      </c>
      <c r="AD1172" s="312">
        <v>0.63249999999999995</v>
      </c>
      <c r="AE1172" s="312">
        <v>0.68820000000000003</v>
      </c>
      <c r="AF1172" s="312">
        <v>0.53220000000000001</v>
      </c>
      <c r="AG1172" s="312">
        <v>0.59519999999999995</v>
      </c>
      <c r="AH1172" s="312">
        <v>0.61899999999999999</v>
      </c>
      <c r="AI1172" s="312">
        <v>0.68120000000000003</v>
      </c>
      <c r="AJ1172" s="312">
        <v>0.64239999999999997</v>
      </c>
      <c r="AK1172" s="312">
        <v>0.65439999999999998</v>
      </c>
      <c r="AL1172" s="312">
        <v>0.58760000000000001</v>
      </c>
      <c r="AM1172" s="312">
        <v>0.71430000000000005</v>
      </c>
      <c r="AN1172" s="312">
        <v>0.69210000000000005</v>
      </c>
      <c r="AO1172" s="312">
        <v>0.66900000000000004</v>
      </c>
      <c r="AP1172" s="312">
        <v>0.70909999999999995</v>
      </c>
      <c r="AQ1172" s="312">
        <v>0.59199999999999997</v>
      </c>
      <c r="AR1172" s="312">
        <v>0.69879999999999998</v>
      </c>
      <c r="AS1172" s="312">
        <v>0.56010000000000004</v>
      </c>
      <c r="AT1172" s="312">
        <v>0.71050000000000002</v>
      </c>
      <c r="AU1172" s="312">
        <v>0.76929999999999998</v>
      </c>
      <c r="AV1172" s="312">
        <v>0.75060000000000004</v>
      </c>
      <c r="AW1172" s="312">
        <v>0.64829999999999999</v>
      </c>
      <c r="AX1172" s="312">
        <v>0.62739999999999996</v>
      </c>
      <c r="AY1172" s="312">
        <v>0.70989999999999998</v>
      </c>
      <c r="AZ1172" s="312">
        <v>0.68759999999999999</v>
      </c>
      <c r="BA1172" s="312">
        <v>0.57840000000000003</v>
      </c>
      <c r="BB1172" s="312">
        <v>0.58069999999999999</v>
      </c>
      <c r="BC1172" s="312">
        <v>0.74350000000000005</v>
      </c>
      <c r="BD1172" s="312">
        <v>0.75780000000000003</v>
      </c>
      <c r="BE1172" s="312">
        <v>0.76470000000000005</v>
      </c>
      <c r="BF1172" s="312">
        <v>0.69179999999999997</v>
      </c>
      <c r="BG1172" s="312">
        <v>0.77669999999999995</v>
      </c>
      <c r="BH1172" s="312">
        <v>0.71030000000000004</v>
      </c>
      <c r="BI1172" s="312">
        <v>0.76549999999999996</v>
      </c>
      <c r="BJ1172" s="312">
        <v>0.74719999999999998</v>
      </c>
      <c r="BK1172" s="312">
        <v>0.77210000000000001</v>
      </c>
      <c r="BM1172">
        <f>(C1172-C761)*1000000/(RIMS_emp!C1172-RIMS_emp!C761)</f>
        <v>37540.407257969367</v>
      </c>
    </row>
    <row r="1173" spans="1:65" x14ac:dyDescent="0.25">
      <c r="A1173" s="306">
        <v>541300</v>
      </c>
      <c r="B1173" s="312" t="s">
        <v>308</v>
      </c>
      <c r="C1173" s="312">
        <v>0.90210000000000001</v>
      </c>
      <c r="D1173" s="312">
        <v>0.58379999999999999</v>
      </c>
      <c r="E1173" s="312">
        <v>0.64380000000000004</v>
      </c>
      <c r="F1173" s="312">
        <v>0.5867</v>
      </c>
      <c r="G1173" s="312">
        <v>0.70050000000000001</v>
      </c>
      <c r="H1173" s="312">
        <v>0.76459999999999995</v>
      </c>
      <c r="I1173" s="312">
        <v>0.7631</v>
      </c>
      <c r="J1173" s="312">
        <v>0.63049999999999995</v>
      </c>
      <c r="K1173" s="312">
        <v>0.1143</v>
      </c>
      <c r="L1173" s="312">
        <v>0.45900000000000002</v>
      </c>
      <c r="M1173" s="312">
        <v>0.72870000000000001</v>
      </c>
      <c r="N1173" s="312">
        <v>0.73619999999999997</v>
      </c>
      <c r="O1173" s="312">
        <v>0.66110000000000002</v>
      </c>
      <c r="P1173" s="312">
        <v>0.53720000000000001</v>
      </c>
      <c r="Q1173" s="312">
        <v>0.59370000000000001</v>
      </c>
      <c r="R1173" s="312">
        <v>0.74450000000000005</v>
      </c>
      <c r="S1173" s="312">
        <v>0.64290000000000003</v>
      </c>
      <c r="T1173" s="312">
        <v>0.52170000000000005</v>
      </c>
      <c r="U1173" s="312">
        <v>0.60589999999999999</v>
      </c>
      <c r="V1173" s="312">
        <v>0.64710000000000001</v>
      </c>
      <c r="W1173" s="312">
        <v>0.68140000000000001</v>
      </c>
      <c r="X1173" s="312">
        <v>0.6401</v>
      </c>
      <c r="Y1173" s="312">
        <v>0.6391</v>
      </c>
      <c r="Z1173" s="312">
        <v>0.71109999999999995</v>
      </c>
      <c r="AA1173" s="312">
        <v>0.68579999999999997</v>
      </c>
      <c r="AB1173" s="312">
        <v>0.58320000000000005</v>
      </c>
      <c r="AC1173" s="312">
        <v>0.56079999999999997</v>
      </c>
      <c r="AD1173" s="312">
        <v>0.59309999999999996</v>
      </c>
      <c r="AE1173" s="312">
        <v>0.66220000000000001</v>
      </c>
      <c r="AF1173" s="312">
        <v>0.50980000000000003</v>
      </c>
      <c r="AG1173" s="312">
        <v>0.5524</v>
      </c>
      <c r="AH1173" s="312">
        <v>0.60629999999999995</v>
      </c>
      <c r="AI1173" s="312">
        <v>0.6764</v>
      </c>
      <c r="AJ1173" s="312">
        <v>0.62560000000000004</v>
      </c>
      <c r="AK1173" s="312">
        <v>0.62760000000000005</v>
      </c>
      <c r="AL1173" s="312">
        <v>0.59440000000000004</v>
      </c>
      <c r="AM1173" s="312">
        <v>0.69969999999999999</v>
      </c>
      <c r="AN1173" s="312">
        <v>0.65810000000000002</v>
      </c>
      <c r="AO1173" s="312">
        <v>0.65510000000000002</v>
      </c>
      <c r="AP1173" s="312">
        <v>0.70079999999999998</v>
      </c>
      <c r="AQ1173" s="312">
        <v>0.53439999999999999</v>
      </c>
      <c r="AR1173" s="312">
        <v>0.64580000000000004</v>
      </c>
      <c r="AS1173" s="312">
        <v>0.5302</v>
      </c>
      <c r="AT1173" s="312">
        <v>0.6925</v>
      </c>
      <c r="AU1173" s="312">
        <v>0.76949999999999996</v>
      </c>
      <c r="AV1173" s="312">
        <v>0.73799999999999999</v>
      </c>
      <c r="AW1173" s="312">
        <v>0.63170000000000004</v>
      </c>
      <c r="AX1173" s="312">
        <v>0.5746</v>
      </c>
      <c r="AY1173" s="312">
        <v>0.6946</v>
      </c>
      <c r="AZ1173" s="312">
        <v>0.65959999999999996</v>
      </c>
      <c r="BA1173" s="312">
        <v>0.55869999999999997</v>
      </c>
      <c r="BB1173" s="312">
        <v>0.50370000000000004</v>
      </c>
      <c r="BC1173" s="312">
        <v>0.74299999999999999</v>
      </c>
      <c r="BD1173" s="312">
        <v>0.75029999999999997</v>
      </c>
      <c r="BE1173" s="312">
        <v>0.76200000000000001</v>
      </c>
      <c r="BF1173" s="312">
        <v>0.66190000000000004</v>
      </c>
      <c r="BG1173" s="312">
        <v>0.77610000000000001</v>
      </c>
      <c r="BH1173" s="312">
        <v>0.68769999999999998</v>
      </c>
      <c r="BI1173" s="312">
        <v>0.76339999999999997</v>
      </c>
      <c r="BJ1173" s="312">
        <v>0.7399</v>
      </c>
      <c r="BK1173" s="312">
        <v>0.76929999999999998</v>
      </c>
      <c r="BM1173">
        <f>(C1173-C762)*1000000/(RIMS_emp!C1173-RIMS_emp!C762)</f>
        <v>37543.814703108081</v>
      </c>
    </row>
    <row r="1174" spans="1:65" x14ac:dyDescent="0.25">
      <c r="A1174" s="306">
        <v>541400</v>
      </c>
      <c r="B1174" s="312" t="s">
        <v>309</v>
      </c>
      <c r="C1174" s="312">
        <v>0.78359999999999996</v>
      </c>
      <c r="D1174" s="312">
        <v>0.52629999999999999</v>
      </c>
      <c r="E1174" s="312">
        <v>0.58169999999999999</v>
      </c>
      <c r="F1174" s="312">
        <v>0.54669999999999996</v>
      </c>
      <c r="G1174" s="312">
        <v>0.6099</v>
      </c>
      <c r="H1174" s="312">
        <v>0.66379999999999995</v>
      </c>
      <c r="I1174" s="312">
        <v>0.65900000000000003</v>
      </c>
      <c r="J1174" s="312">
        <v>0.53920000000000001</v>
      </c>
      <c r="K1174" s="312">
        <v>0.17780000000000001</v>
      </c>
      <c r="L1174" s="312">
        <v>0.49309999999999998</v>
      </c>
      <c r="M1174" s="312">
        <v>0.63170000000000004</v>
      </c>
      <c r="N1174" s="312">
        <v>0.66049999999999998</v>
      </c>
      <c r="O1174" s="312">
        <v>0.58620000000000005</v>
      </c>
      <c r="P1174" s="312">
        <v>0.48509999999999998</v>
      </c>
      <c r="Q1174" s="312">
        <v>0.53169999999999995</v>
      </c>
      <c r="R1174" s="312">
        <v>0.66300000000000003</v>
      </c>
      <c r="S1174" s="312">
        <v>0.58360000000000001</v>
      </c>
      <c r="T1174" s="312">
        <v>0.45710000000000001</v>
      </c>
      <c r="U1174" s="312">
        <v>0.55169999999999997</v>
      </c>
      <c r="V1174" s="312">
        <v>0.55700000000000005</v>
      </c>
      <c r="W1174" s="312">
        <v>0.60750000000000004</v>
      </c>
      <c r="X1174" s="312">
        <v>0.56079999999999997</v>
      </c>
      <c r="Y1174" s="312">
        <v>0.58809999999999996</v>
      </c>
      <c r="Z1174" s="312">
        <v>0.63200000000000001</v>
      </c>
      <c r="AA1174" s="312">
        <v>0.60719999999999996</v>
      </c>
      <c r="AB1174" s="312">
        <v>0.56059999999999999</v>
      </c>
      <c r="AC1174" s="312">
        <v>0.54490000000000005</v>
      </c>
      <c r="AD1174" s="312">
        <v>0.53839999999999999</v>
      </c>
      <c r="AE1174" s="312">
        <v>0.59409999999999996</v>
      </c>
      <c r="AF1174" s="312">
        <v>0.46660000000000001</v>
      </c>
      <c r="AG1174" s="312">
        <v>0.51219999999999999</v>
      </c>
      <c r="AH1174" s="312">
        <v>0.51060000000000005</v>
      </c>
      <c r="AI1174" s="312">
        <v>0.56240000000000001</v>
      </c>
      <c r="AJ1174" s="312">
        <v>0.54630000000000001</v>
      </c>
      <c r="AK1174" s="312">
        <v>0.54279999999999995</v>
      </c>
      <c r="AL1174" s="312">
        <v>0.52329999999999999</v>
      </c>
      <c r="AM1174" s="312">
        <v>0.62580000000000002</v>
      </c>
      <c r="AN1174" s="312">
        <v>0.59119999999999995</v>
      </c>
      <c r="AO1174" s="312">
        <v>0.59279999999999999</v>
      </c>
      <c r="AP1174" s="312">
        <v>0.62990000000000002</v>
      </c>
      <c r="AQ1174" s="312">
        <v>0.4677</v>
      </c>
      <c r="AR1174" s="312">
        <v>0.60880000000000001</v>
      </c>
      <c r="AS1174" s="312">
        <v>0.47989999999999999</v>
      </c>
      <c r="AT1174" s="312">
        <v>0.62229999999999996</v>
      </c>
      <c r="AU1174" s="312">
        <v>0.66739999999999999</v>
      </c>
      <c r="AV1174" s="312">
        <v>0.64059999999999995</v>
      </c>
      <c r="AW1174" s="312">
        <v>0.56930000000000003</v>
      </c>
      <c r="AX1174" s="312">
        <v>0.54749999999999999</v>
      </c>
      <c r="AY1174" s="312">
        <v>0.61380000000000001</v>
      </c>
      <c r="AZ1174" s="312">
        <v>0.59509999999999996</v>
      </c>
      <c r="BA1174" s="312">
        <v>0.48349999999999999</v>
      </c>
      <c r="BB1174" s="312">
        <v>0.47639999999999999</v>
      </c>
      <c r="BC1174" s="312">
        <v>0.63859999999999995</v>
      </c>
      <c r="BD1174" s="312">
        <v>0.6613</v>
      </c>
      <c r="BE1174" s="312">
        <v>0.67349999999999999</v>
      </c>
      <c r="BF1174" s="312">
        <v>0.59430000000000005</v>
      </c>
      <c r="BG1174" s="312">
        <v>0.68059999999999998</v>
      </c>
      <c r="BH1174" s="312">
        <v>0.61699999999999999</v>
      </c>
      <c r="BI1174" s="312">
        <v>0.66469999999999996</v>
      </c>
      <c r="BJ1174" s="312">
        <v>0.64290000000000003</v>
      </c>
      <c r="BK1174" s="312">
        <v>0.66920000000000002</v>
      </c>
      <c r="BM1174">
        <f>(C1174-C763)*1000000/(RIMS_emp!C1174-RIMS_emp!C763)</f>
        <v>37537.034306168127</v>
      </c>
    </row>
    <row r="1175" spans="1:65" x14ac:dyDescent="0.25">
      <c r="A1175" s="306">
        <v>541511</v>
      </c>
      <c r="B1175" s="312" t="s">
        <v>310</v>
      </c>
      <c r="C1175" s="312">
        <v>1.1116999999999999</v>
      </c>
      <c r="D1175" s="312">
        <v>0.73360000000000003</v>
      </c>
      <c r="E1175" s="312">
        <v>0.84230000000000005</v>
      </c>
      <c r="F1175" s="312">
        <v>0.77480000000000004</v>
      </c>
      <c r="G1175" s="312">
        <v>0.89770000000000005</v>
      </c>
      <c r="H1175" s="312">
        <v>0.96009999999999995</v>
      </c>
      <c r="I1175" s="312">
        <v>0.94640000000000002</v>
      </c>
      <c r="J1175" s="312">
        <v>0.74590000000000001</v>
      </c>
      <c r="K1175" s="312">
        <v>0.13389999999999999</v>
      </c>
      <c r="L1175" s="312">
        <v>0.55469999999999997</v>
      </c>
      <c r="M1175" s="312">
        <v>0.92379999999999995</v>
      </c>
      <c r="N1175" s="312">
        <v>0.9345</v>
      </c>
      <c r="O1175" s="312">
        <v>0.85609999999999997</v>
      </c>
      <c r="P1175" s="312">
        <v>0.71009999999999995</v>
      </c>
      <c r="Q1175" s="312">
        <v>0.77210000000000001</v>
      </c>
      <c r="R1175" s="312">
        <v>0.92869999999999997</v>
      </c>
      <c r="S1175" s="312">
        <v>0.83450000000000002</v>
      </c>
      <c r="T1175" s="312">
        <v>0.62590000000000001</v>
      </c>
      <c r="U1175" s="312">
        <v>0.74</v>
      </c>
      <c r="V1175" s="312">
        <v>0.82110000000000005</v>
      </c>
      <c r="W1175" s="312">
        <v>0.83289999999999997</v>
      </c>
      <c r="X1175" s="312">
        <v>0.77829999999999999</v>
      </c>
      <c r="Y1175" s="312">
        <v>0.84399999999999997</v>
      </c>
      <c r="Z1175" s="312">
        <v>0.89339999999999997</v>
      </c>
      <c r="AA1175" s="312">
        <v>0.87350000000000005</v>
      </c>
      <c r="AB1175" s="312">
        <v>0.76</v>
      </c>
      <c r="AC1175" s="312">
        <v>0.76980000000000004</v>
      </c>
      <c r="AD1175" s="312">
        <v>0.77170000000000005</v>
      </c>
      <c r="AE1175" s="312">
        <v>0.86250000000000004</v>
      </c>
      <c r="AF1175" s="312">
        <v>0.60429999999999995</v>
      </c>
      <c r="AG1175" s="312">
        <v>0.72799999999999998</v>
      </c>
      <c r="AH1175" s="312">
        <v>0.73409999999999997</v>
      </c>
      <c r="AI1175" s="312">
        <v>0.84619999999999995</v>
      </c>
      <c r="AJ1175" s="312">
        <v>0.79730000000000001</v>
      </c>
      <c r="AK1175" s="312">
        <v>0.78380000000000005</v>
      </c>
      <c r="AL1175" s="312">
        <v>0.70660000000000001</v>
      </c>
      <c r="AM1175" s="312">
        <v>0.8851</v>
      </c>
      <c r="AN1175" s="312">
        <v>0.85670000000000002</v>
      </c>
      <c r="AO1175" s="312">
        <v>0.83489999999999998</v>
      </c>
      <c r="AP1175" s="312">
        <v>0.86099999999999999</v>
      </c>
      <c r="AQ1175" s="312">
        <v>0.70120000000000005</v>
      </c>
      <c r="AR1175" s="312">
        <v>0.85850000000000004</v>
      </c>
      <c r="AS1175" s="312">
        <v>0.625</v>
      </c>
      <c r="AT1175" s="312">
        <v>0.87609999999999999</v>
      </c>
      <c r="AU1175" s="312">
        <v>0.96679999999999999</v>
      </c>
      <c r="AV1175" s="312">
        <v>0.92810000000000004</v>
      </c>
      <c r="AW1175" s="312">
        <v>0.77310000000000001</v>
      </c>
      <c r="AX1175" s="312">
        <v>0.75290000000000001</v>
      </c>
      <c r="AY1175" s="312">
        <v>0.88649999999999995</v>
      </c>
      <c r="AZ1175" s="312">
        <v>0.85340000000000005</v>
      </c>
      <c r="BA1175" s="312">
        <v>0.66569999999999996</v>
      </c>
      <c r="BB1175" s="312">
        <v>0.68869999999999998</v>
      </c>
      <c r="BC1175" s="312">
        <v>0.91510000000000002</v>
      </c>
      <c r="BD1175" s="312">
        <v>0.93400000000000005</v>
      </c>
      <c r="BE1175" s="312">
        <v>0.94640000000000002</v>
      </c>
      <c r="BF1175" s="312">
        <v>0.84519999999999995</v>
      </c>
      <c r="BG1175" s="312">
        <v>0.97219999999999995</v>
      </c>
      <c r="BH1175" s="312">
        <v>0.86960000000000004</v>
      </c>
      <c r="BI1175" s="312">
        <v>0.96189999999999998</v>
      </c>
      <c r="BJ1175" s="312">
        <v>0.93389999999999995</v>
      </c>
      <c r="BK1175" s="312">
        <v>0.96799999999999997</v>
      </c>
      <c r="BM1175">
        <f>(C1175-C764)*1000000/(RIMS_emp!C1175-RIMS_emp!C764)</f>
        <v>37542.758868331017</v>
      </c>
    </row>
    <row r="1176" spans="1:65" x14ac:dyDescent="0.25">
      <c r="A1176" s="306">
        <v>541512</v>
      </c>
      <c r="B1176" s="312" t="s">
        <v>311</v>
      </c>
      <c r="C1176" s="312">
        <v>1.0807</v>
      </c>
      <c r="D1176" s="312">
        <v>0.68759999999999999</v>
      </c>
      <c r="E1176" s="312">
        <v>0.78669999999999995</v>
      </c>
      <c r="F1176" s="312">
        <v>0.71189999999999998</v>
      </c>
      <c r="G1176" s="312">
        <v>0.84040000000000004</v>
      </c>
      <c r="H1176" s="312">
        <v>0.91890000000000005</v>
      </c>
      <c r="I1176" s="312">
        <v>0.91</v>
      </c>
      <c r="J1176" s="312">
        <v>0.70679999999999998</v>
      </c>
      <c r="K1176" s="312">
        <v>0.12620000000000001</v>
      </c>
      <c r="L1176" s="312">
        <v>0.52270000000000005</v>
      </c>
      <c r="M1176" s="312">
        <v>0.87029999999999996</v>
      </c>
      <c r="N1176" s="312">
        <v>0.88970000000000005</v>
      </c>
      <c r="O1176" s="312">
        <v>0.8014</v>
      </c>
      <c r="P1176" s="312">
        <v>0.64710000000000001</v>
      </c>
      <c r="Q1176" s="312">
        <v>0.71409999999999996</v>
      </c>
      <c r="R1176" s="312">
        <v>0.88919999999999999</v>
      </c>
      <c r="S1176" s="312">
        <v>0.77290000000000003</v>
      </c>
      <c r="T1176" s="312">
        <v>0.58169999999999999</v>
      </c>
      <c r="U1176" s="312">
        <v>0.69079999999999997</v>
      </c>
      <c r="V1176" s="312">
        <v>0.76149999999999995</v>
      </c>
      <c r="W1176" s="312">
        <v>0.80159999999999998</v>
      </c>
      <c r="X1176" s="312">
        <v>0.74199999999999999</v>
      </c>
      <c r="Y1176" s="312">
        <v>0.79100000000000004</v>
      </c>
      <c r="Z1176" s="312">
        <v>0.85060000000000002</v>
      </c>
      <c r="AA1176" s="312">
        <v>0.82709999999999995</v>
      </c>
      <c r="AB1176" s="312">
        <v>0.72740000000000005</v>
      </c>
      <c r="AC1176" s="312">
        <v>0.70940000000000003</v>
      </c>
      <c r="AD1176" s="312">
        <v>0.71830000000000005</v>
      </c>
      <c r="AE1176" s="312">
        <v>0.8044</v>
      </c>
      <c r="AF1176" s="312">
        <v>0.55769999999999997</v>
      </c>
      <c r="AG1176" s="312">
        <v>0.67010000000000003</v>
      </c>
      <c r="AH1176" s="312">
        <v>0.69340000000000002</v>
      </c>
      <c r="AI1176" s="312">
        <v>0.8095</v>
      </c>
      <c r="AJ1176" s="312">
        <v>0.74060000000000004</v>
      </c>
      <c r="AK1176" s="312">
        <v>0.7429</v>
      </c>
      <c r="AL1176" s="312">
        <v>0.66969999999999996</v>
      </c>
      <c r="AM1176" s="312">
        <v>0.83530000000000004</v>
      </c>
      <c r="AN1176" s="312">
        <v>0.79210000000000003</v>
      </c>
      <c r="AO1176" s="312">
        <v>0.78979999999999995</v>
      </c>
      <c r="AP1176" s="312">
        <v>0.82850000000000001</v>
      </c>
      <c r="AQ1176" s="312">
        <v>0.65759999999999996</v>
      </c>
      <c r="AR1176" s="312">
        <v>0.79969999999999997</v>
      </c>
      <c r="AS1176" s="312">
        <v>0.57609999999999995</v>
      </c>
      <c r="AT1176" s="312">
        <v>0.82240000000000002</v>
      </c>
      <c r="AU1176" s="312">
        <v>0.91720000000000002</v>
      </c>
      <c r="AV1176" s="312">
        <v>0.89019999999999999</v>
      </c>
      <c r="AW1176" s="312">
        <v>0.73929999999999996</v>
      </c>
      <c r="AX1176" s="312">
        <v>0.71299999999999997</v>
      </c>
      <c r="AY1176" s="312">
        <v>0.84130000000000005</v>
      </c>
      <c r="AZ1176" s="312">
        <v>0.79910000000000003</v>
      </c>
      <c r="BA1176" s="312">
        <v>0.61619999999999997</v>
      </c>
      <c r="BB1176" s="312">
        <v>0.63800000000000001</v>
      </c>
      <c r="BC1176" s="312">
        <v>0.87909999999999999</v>
      </c>
      <c r="BD1176" s="312">
        <v>0.8962</v>
      </c>
      <c r="BE1176" s="312">
        <v>0.90449999999999997</v>
      </c>
      <c r="BF1176" s="312">
        <v>0.79569999999999996</v>
      </c>
      <c r="BG1176" s="312">
        <v>0.93100000000000005</v>
      </c>
      <c r="BH1176" s="312">
        <v>0.81889999999999996</v>
      </c>
      <c r="BI1176" s="312">
        <v>0.90939999999999999</v>
      </c>
      <c r="BJ1176" s="312">
        <v>0.88829999999999998</v>
      </c>
      <c r="BK1176" s="312">
        <v>0.92720000000000002</v>
      </c>
      <c r="BM1176">
        <f>(C1176-C765)*1000000/(RIMS_emp!C1176-RIMS_emp!C765)</f>
        <v>37541.799517847423</v>
      </c>
    </row>
    <row r="1177" spans="1:65" x14ac:dyDescent="0.25">
      <c r="A1177" s="306" t="s">
        <v>769</v>
      </c>
      <c r="B1177" s="312" t="s">
        <v>312</v>
      </c>
      <c r="C1177" s="312">
        <v>0.92979999999999996</v>
      </c>
      <c r="D1177" s="312">
        <v>0.61470000000000002</v>
      </c>
      <c r="E1177" s="312">
        <v>0.69610000000000005</v>
      </c>
      <c r="F1177" s="312">
        <v>0.64359999999999995</v>
      </c>
      <c r="G1177" s="312">
        <v>0.74319999999999997</v>
      </c>
      <c r="H1177" s="312">
        <v>0.79690000000000005</v>
      </c>
      <c r="I1177" s="312">
        <v>0.7903</v>
      </c>
      <c r="J1177" s="312">
        <v>0.62229999999999996</v>
      </c>
      <c r="K1177" s="312">
        <v>0.1065</v>
      </c>
      <c r="L1177" s="312">
        <v>0.45619999999999999</v>
      </c>
      <c r="M1177" s="312">
        <v>0.76539999999999997</v>
      </c>
      <c r="N1177" s="312">
        <v>0.77329999999999999</v>
      </c>
      <c r="O1177" s="312">
        <v>0.7046</v>
      </c>
      <c r="P1177" s="312">
        <v>0.59130000000000005</v>
      </c>
      <c r="Q1177" s="312">
        <v>0.63570000000000004</v>
      </c>
      <c r="R1177" s="312">
        <v>0.77270000000000005</v>
      </c>
      <c r="S1177" s="312">
        <v>0.68789999999999996</v>
      </c>
      <c r="T1177" s="312">
        <v>0.51500000000000001</v>
      </c>
      <c r="U1177" s="312">
        <v>0.61299999999999999</v>
      </c>
      <c r="V1177" s="312">
        <v>0.67420000000000002</v>
      </c>
      <c r="W1177" s="312">
        <v>0.69140000000000001</v>
      </c>
      <c r="X1177" s="312">
        <v>0.64049999999999996</v>
      </c>
      <c r="Y1177" s="312">
        <v>0.70440000000000003</v>
      </c>
      <c r="Z1177" s="312">
        <v>0.73729999999999996</v>
      </c>
      <c r="AA1177" s="312">
        <v>0.73150000000000004</v>
      </c>
      <c r="AB1177" s="312">
        <v>0.63200000000000001</v>
      </c>
      <c r="AC1177" s="312">
        <v>0.63819999999999999</v>
      </c>
      <c r="AD1177" s="312">
        <v>0.64270000000000005</v>
      </c>
      <c r="AE1177" s="312">
        <v>0.71250000000000002</v>
      </c>
      <c r="AF1177" s="312">
        <v>0.50770000000000004</v>
      </c>
      <c r="AG1177" s="312">
        <v>0.60499999999999998</v>
      </c>
      <c r="AH1177" s="312">
        <v>0.60870000000000002</v>
      </c>
      <c r="AI1177" s="312">
        <v>0.70079999999999998</v>
      </c>
      <c r="AJ1177" s="312">
        <v>0.65359999999999996</v>
      </c>
      <c r="AK1177" s="312">
        <v>0.65400000000000003</v>
      </c>
      <c r="AL1177" s="312">
        <v>0.58750000000000002</v>
      </c>
      <c r="AM1177" s="312">
        <v>0.7298</v>
      </c>
      <c r="AN1177" s="312">
        <v>0.70469999999999999</v>
      </c>
      <c r="AO1177" s="312">
        <v>0.69140000000000001</v>
      </c>
      <c r="AP1177" s="312">
        <v>0.71699999999999997</v>
      </c>
      <c r="AQ1177" s="312">
        <v>0.58009999999999995</v>
      </c>
      <c r="AR1177" s="312">
        <v>0.70699999999999996</v>
      </c>
      <c r="AS1177" s="312">
        <v>0.52869999999999995</v>
      </c>
      <c r="AT1177" s="312">
        <v>0.72499999999999998</v>
      </c>
      <c r="AU1177" s="312">
        <v>0.80110000000000003</v>
      </c>
      <c r="AV1177" s="312">
        <v>0.77529999999999999</v>
      </c>
      <c r="AW1177" s="312">
        <v>0.64190000000000003</v>
      </c>
      <c r="AX1177" s="312">
        <v>0.63180000000000003</v>
      </c>
      <c r="AY1177" s="312">
        <v>0.7359</v>
      </c>
      <c r="AZ1177" s="312">
        <v>0.70950000000000002</v>
      </c>
      <c r="BA1177" s="312">
        <v>0.5534</v>
      </c>
      <c r="BB1177" s="312">
        <v>0.57589999999999997</v>
      </c>
      <c r="BC1177" s="312">
        <v>0.76339999999999997</v>
      </c>
      <c r="BD1177" s="312">
        <v>0.7792</v>
      </c>
      <c r="BE1177" s="312">
        <v>0.78510000000000002</v>
      </c>
      <c r="BF1177" s="312">
        <v>0.70789999999999997</v>
      </c>
      <c r="BG1177" s="312">
        <v>0.80700000000000005</v>
      </c>
      <c r="BH1177" s="312">
        <v>0.72109999999999996</v>
      </c>
      <c r="BI1177" s="312">
        <v>0.79730000000000001</v>
      </c>
      <c r="BJ1177" s="312">
        <v>0.7752</v>
      </c>
      <c r="BK1177" s="312">
        <v>0.80369999999999997</v>
      </c>
      <c r="BM1177">
        <f>(C1177-C766)*1000000/(RIMS_emp!C1177-RIMS_emp!C766)</f>
        <v>37542.507880198384</v>
      </c>
    </row>
    <row r="1178" spans="1:65" x14ac:dyDescent="0.25">
      <c r="A1178" s="306">
        <v>541610</v>
      </c>
      <c r="B1178" s="312" t="s">
        <v>313</v>
      </c>
      <c r="C1178" s="312">
        <v>0.95379999999999998</v>
      </c>
      <c r="D1178" s="312">
        <v>0.64449999999999996</v>
      </c>
      <c r="E1178" s="312">
        <v>0.67430000000000001</v>
      </c>
      <c r="F1178" s="312">
        <v>0.63100000000000001</v>
      </c>
      <c r="G1178" s="312">
        <v>0.74480000000000002</v>
      </c>
      <c r="H1178" s="312">
        <v>0.79879999999999995</v>
      </c>
      <c r="I1178" s="312">
        <v>0.79569999999999996</v>
      </c>
      <c r="J1178" s="312">
        <v>0.65429999999999999</v>
      </c>
      <c r="K1178" s="312">
        <v>0.16420000000000001</v>
      </c>
      <c r="L1178" s="312">
        <v>0.47499999999999998</v>
      </c>
      <c r="M1178" s="312">
        <v>0.7681</v>
      </c>
      <c r="N1178" s="312">
        <v>0.78100000000000003</v>
      </c>
      <c r="O1178" s="312">
        <v>0.69879999999999998</v>
      </c>
      <c r="P1178" s="312">
        <v>0.59760000000000002</v>
      </c>
      <c r="Q1178" s="312">
        <v>0.59319999999999995</v>
      </c>
      <c r="R1178" s="312">
        <v>0.78480000000000005</v>
      </c>
      <c r="S1178" s="312">
        <v>0.6643</v>
      </c>
      <c r="T1178" s="312">
        <v>0.56979999999999997</v>
      </c>
      <c r="U1178" s="312">
        <v>0.64329999999999998</v>
      </c>
      <c r="V1178" s="312">
        <v>0.66110000000000002</v>
      </c>
      <c r="W1178" s="312">
        <v>0.7167</v>
      </c>
      <c r="X1178" s="312">
        <v>0.64249999999999996</v>
      </c>
      <c r="Y1178" s="312">
        <v>0.65159999999999996</v>
      </c>
      <c r="Z1178" s="312">
        <v>0.72260000000000002</v>
      </c>
      <c r="AA1178" s="312">
        <v>0.7319</v>
      </c>
      <c r="AB1178" s="312">
        <v>0.64039999999999997</v>
      </c>
      <c r="AC1178" s="312">
        <v>0.59660000000000002</v>
      </c>
      <c r="AD1178" s="312">
        <v>0.63390000000000002</v>
      </c>
      <c r="AE1178" s="312">
        <v>0.69330000000000003</v>
      </c>
      <c r="AF1178" s="312">
        <v>0.53759999999999997</v>
      </c>
      <c r="AG1178" s="312">
        <v>0.60040000000000004</v>
      </c>
      <c r="AH1178" s="312">
        <v>0.65329999999999999</v>
      </c>
      <c r="AI1178" s="312">
        <v>0.70109999999999995</v>
      </c>
      <c r="AJ1178" s="312">
        <v>0.65169999999999995</v>
      </c>
      <c r="AK1178" s="312">
        <v>0.62929999999999997</v>
      </c>
      <c r="AL1178" s="312">
        <v>0.57769999999999999</v>
      </c>
      <c r="AM1178" s="312">
        <v>0.73699999999999999</v>
      </c>
      <c r="AN1178" s="312">
        <v>0.67700000000000005</v>
      </c>
      <c r="AO1178" s="312">
        <v>0.68140000000000001</v>
      </c>
      <c r="AP1178" s="312">
        <v>0.71640000000000004</v>
      </c>
      <c r="AQ1178" s="312">
        <v>0.6482</v>
      </c>
      <c r="AR1178" s="312">
        <v>0.7016</v>
      </c>
      <c r="AS1178" s="312">
        <v>0.48499999999999999</v>
      </c>
      <c r="AT1178" s="312">
        <v>0.6986</v>
      </c>
      <c r="AU1178" s="312">
        <v>0.79510000000000003</v>
      </c>
      <c r="AV1178" s="312">
        <v>0.78029999999999999</v>
      </c>
      <c r="AW1178" s="312">
        <v>0.64549999999999996</v>
      </c>
      <c r="AX1178" s="312">
        <v>0.6462</v>
      </c>
      <c r="AY1178" s="312">
        <v>0.72550000000000003</v>
      </c>
      <c r="AZ1178" s="312">
        <v>0.68969999999999998</v>
      </c>
      <c r="BA1178" s="312">
        <v>0.60780000000000001</v>
      </c>
      <c r="BB1178" s="312">
        <v>0.57579999999999998</v>
      </c>
      <c r="BC1178" s="312">
        <v>0.76839999999999997</v>
      </c>
      <c r="BD1178" s="312">
        <v>0.7752</v>
      </c>
      <c r="BE1178" s="312">
        <v>0.79510000000000003</v>
      </c>
      <c r="BF1178" s="312">
        <v>0.70599999999999996</v>
      </c>
      <c r="BG1178" s="312">
        <v>0.81559999999999999</v>
      </c>
      <c r="BH1178" s="312">
        <v>0.70209999999999995</v>
      </c>
      <c r="BI1178" s="312">
        <v>0.7893</v>
      </c>
      <c r="BJ1178" s="312">
        <v>0.77410000000000001</v>
      </c>
      <c r="BK1178" s="312">
        <v>0.8054</v>
      </c>
      <c r="BM1178">
        <f>(C1178-C767)*1000000/(RIMS_emp!C1178-RIMS_emp!C767)</f>
        <v>37534.279766952655</v>
      </c>
    </row>
    <row r="1179" spans="1:65" x14ac:dyDescent="0.25">
      <c r="A1179" s="306" t="s">
        <v>770</v>
      </c>
      <c r="B1179" s="312" t="s">
        <v>314</v>
      </c>
      <c r="C1179" s="312">
        <v>0.88300000000000001</v>
      </c>
      <c r="D1179" s="312">
        <v>0.58660000000000001</v>
      </c>
      <c r="E1179" s="312">
        <v>0.62770000000000004</v>
      </c>
      <c r="F1179" s="312">
        <v>0.57499999999999996</v>
      </c>
      <c r="G1179" s="312">
        <v>0.69069999999999998</v>
      </c>
      <c r="H1179" s="312">
        <v>0.73860000000000003</v>
      </c>
      <c r="I1179" s="312">
        <v>0.73380000000000001</v>
      </c>
      <c r="J1179" s="312">
        <v>0.59719999999999995</v>
      </c>
      <c r="K1179" s="312">
        <v>0.15049999999999999</v>
      </c>
      <c r="L1179" s="312">
        <v>0.43759999999999999</v>
      </c>
      <c r="M1179" s="312">
        <v>0.70730000000000004</v>
      </c>
      <c r="N1179" s="312">
        <v>0.72189999999999999</v>
      </c>
      <c r="O1179" s="312">
        <v>0.64880000000000004</v>
      </c>
      <c r="P1179" s="312">
        <v>0.5413</v>
      </c>
      <c r="Q1179" s="312">
        <v>0.54779999999999995</v>
      </c>
      <c r="R1179" s="312">
        <v>0.71760000000000002</v>
      </c>
      <c r="S1179" s="312">
        <v>0.61439999999999995</v>
      </c>
      <c r="T1179" s="312">
        <v>0.52390000000000003</v>
      </c>
      <c r="U1179" s="312">
        <v>0.59019999999999995</v>
      </c>
      <c r="V1179" s="312">
        <v>0.61680000000000001</v>
      </c>
      <c r="W1179" s="312">
        <v>0.66100000000000003</v>
      </c>
      <c r="X1179" s="312">
        <v>0.59509999999999996</v>
      </c>
      <c r="Y1179" s="312">
        <v>0.59260000000000002</v>
      </c>
      <c r="Z1179" s="312">
        <v>0.67169999999999996</v>
      </c>
      <c r="AA1179" s="312">
        <v>0.66739999999999999</v>
      </c>
      <c r="AB1179" s="312">
        <v>0.58789999999999998</v>
      </c>
      <c r="AC1179" s="312">
        <v>0.54759999999999998</v>
      </c>
      <c r="AD1179" s="312">
        <v>0.57850000000000001</v>
      </c>
      <c r="AE1179" s="312">
        <v>0.64200000000000002</v>
      </c>
      <c r="AF1179" s="312">
        <v>0.48899999999999999</v>
      </c>
      <c r="AG1179" s="312">
        <v>0.54510000000000003</v>
      </c>
      <c r="AH1179" s="312">
        <v>0.60729999999999995</v>
      </c>
      <c r="AI1179" s="312">
        <v>0.64880000000000004</v>
      </c>
      <c r="AJ1179" s="312">
        <v>0.60640000000000005</v>
      </c>
      <c r="AK1179" s="312">
        <v>0.5806</v>
      </c>
      <c r="AL1179" s="312">
        <v>0.52490000000000003</v>
      </c>
      <c r="AM1179" s="312">
        <v>0.68259999999999998</v>
      </c>
      <c r="AN1179" s="312">
        <v>0.62419999999999998</v>
      </c>
      <c r="AO1179" s="312">
        <v>0.63</v>
      </c>
      <c r="AP1179" s="312">
        <v>0.66259999999999997</v>
      </c>
      <c r="AQ1179" s="312">
        <v>0.59250000000000003</v>
      </c>
      <c r="AR1179" s="312">
        <v>0.65329999999999999</v>
      </c>
      <c r="AS1179" s="312">
        <v>0.43640000000000001</v>
      </c>
      <c r="AT1179" s="312">
        <v>0.64959999999999996</v>
      </c>
      <c r="AU1179" s="312">
        <v>0.73729999999999996</v>
      </c>
      <c r="AV1179" s="312">
        <v>0.71889999999999998</v>
      </c>
      <c r="AW1179" s="312">
        <v>0.59540000000000004</v>
      </c>
      <c r="AX1179" s="312">
        <v>0.58599999999999997</v>
      </c>
      <c r="AY1179" s="312">
        <v>0.67349999999999999</v>
      </c>
      <c r="AZ1179" s="312">
        <v>0.63180000000000003</v>
      </c>
      <c r="BA1179" s="312">
        <v>0.55510000000000004</v>
      </c>
      <c r="BB1179" s="312">
        <v>0.52190000000000003</v>
      </c>
      <c r="BC1179" s="312">
        <v>0.70799999999999996</v>
      </c>
      <c r="BD1179" s="312">
        <v>0.71060000000000001</v>
      </c>
      <c r="BE1179" s="312">
        <v>0.73540000000000005</v>
      </c>
      <c r="BF1179" s="312">
        <v>0.6452</v>
      </c>
      <c r="BG1179" s="312">
        <v>0.75549999999999995</v>
      </c>
      <c r="BH1179" s="312">
        <v>0.65429999999999999</v>
      </c>
      <c r="BI1179" s="312">
        <v>0.73380000000000001</v>
      </c>
      <c r="BJ1179" s="312">
        <v>0.71860000000000002</v>
      </c>
      <c r="BK1179" s="312">
        <v>0.74580000000000002</v>
      </c>
      <c r="BM1179">
        <f>(C1179-C768)*1000000/(RIMS_emp!C1179-RIMS_emp!C768)</f>
        <v>37547.291027196807</v>
      </c>
    </row>
    <row r="1180" spans="1:65" x14ac:dyDescent="0.25">
      <c r="A1180" s="306">
        <v>541700</v>
      </c>
      <c r="B1180" s="312" t="s">
        <v>315</v>
      </c>
      <c r="C1180" s="312">
        <v>0.99860000000000004</v>
      </c>
      <c r="D1180" s="312">
        <v>0.65210000000000001</v>
      </c>
      <c r="E1180" s="312">
        <v>0.72840000000000005</v>
      </c>
      <c r="F1180" s="312">
        <v>0.65149999999999997</v>
      </c>
      <c r="G1180" s="312">
        <v>0.76359999999999995</v>
      </c>
      <c r="H1180" s="312">
        <v>0.8377</v>
      </c>
      <c r="I1180" s="312">
        <v>0.82779999999999998</v>
      </c>
      <c r="J1180" s="312">
        <v>0.68010000000000004</v>
      </c>
      <c r="K1180" s="312">
        <v>0.1323</v>
      </c>
      <c r="L1180" s="312">
        <v>0.50539999999999996</v>
      </c>
      <c r="M1180" s="312">
        <v>0.79400000000000004</v>
      </c>
      <c r="N1180" s="312">
        <v>0.79920000000000002</v>
      </c>
      <c r="O1180" s="312">
        <v>0.71879999999999999</v>
      </c>
      <c r="P1180" s="312">
        <v>0.61570000000000003</v>
      </c>
      <c r="Q1180" s="312">
        <v>0.65820000000000001</v>
      </c>
      <c r="R1180" s="312">
        <v>0.82689999999999997</v>
      </c>
      <c r="S1180" s="312">
        <v>0.71050000000000002</v>
      </c>
      <c r="T1180" s="312">
        <v>0.58919999999999995</v>
      </c>
      <c r="U1180" s="312">
        <v>0.70520000000000005</v>
      </c>
      <c r="V1180" s="312">
        <v>0.69410000000000005</v>
      </c>
      <c r="W1180" s="312">
        <v>0.74839999999999995</v>
      </c>
      <c r="X1180" s="312">
        <v>0.69640000000000002</v>
      </c>
      <c r="Y1180" s="312">
        <v>0.72050000000000003</v>
      </c>
      <c r="Z1180" s="312">
        <v>0.7732</v>
      </c>
      <c r="AA1180" s="312">
        <v>0.74719999999999998</v>
      </c>
      <c r="AB1180" s="312">
        <v>0.65200000000000002</v>
      </c>
      <c r="AC1180" s="312">
        <v>0.60729999999999995</v>
      </c>
      <c r="AD1180" s="312">
        <v>0.63200000000000001</v>
      </c>
      <c r="AE1180" s="312">
        <v>0.74460000000000004</v>
      </c>
      <c r="AF1180" s="312">
        <v>0.53300000000000003</v>
      </c>
      <c r="AG1180" s="312">
        <v>0.59709999999999996</v>
      </c>
      <c r="AH1180" s="312">
        <v>0.64470000000000005</v>
      </c>
      <c r="AI1180" s="312">
        <v>0.74060000000000004</v>
      </c>
      <c r="AJ1180" s="312">
        <v>0.69530000000000003</v>
      </c>
      <c r="AK1180" s="312">
        <v>0.69069999999999998</v>
      </c>
      <c r="AL1180" s="312">
        <v>0.67069999999999996</v>
      </c>
      <c r="AM1180" s="312">
        <v>0.78080000000000005</v>
      </c>
      <c r="AN1180" s="312">
        <v>0.71930000000000005</v>
      </c>
      <c r="AO1180" s="312">
        <v>0.72160000000000002</v>
      </c>
      <c r="AP1180" s="312">
        <v>0.77349999999999997</v>
      </c>
      <c r="AQ1180" s="312">
        <v>0.59950000000000003</v>
      </c>
      <c r="AR1180" s="312">
        <v>0.71819999999999995</v>
      </c>
      <c r="AS1180" s="312">
        <v>0.39410000000000001</v>
      </c>
      <c r="AT1180" s="312">
        <v>0.77849999999999997</v>
      </c>
      <c r="AU1180" s="312">
        <v>0.84509999999999996</v>
      </c>
      <c r="AV1180" s="312">
        <v>0.80420000000000003</v>
      </c>
      <c r="AW1180" s="312">
        <v>0.6875</v>
      </c>
      <c r="AX1180" s="312">
        <v>0.64629999999999999</v>
      </c>
      <c r="AY1180" s="312">
        <v>0.76390000000000002</v>
      </c>
      <c r="AZ1180" s="312">
        <v>0.73040000000000005</v>
      </c>
      <c r="BA1180" s="312">
        <v>0.60650000000000004</v>
      </c>
      <c r="BB1180" s="312">
        <v>0.60709999999999997</v>
      </c>
      <c r="BC1180" s="312">
        <v>0.81440000000000001</v>
      </c>
      <c r="BD1180" s="312">
        <v>0.82340000000000002</v>
      </c>
      <c r="BE1180" s="312">
        <v>0.8407</v>
      </c>
      <c r="BF1180" s="312">
        <v>0.72529999999999994</v>
      </c>
      <c r="BG1180" s="312">
        <v>0.84819999999999995</v>
      </c>
      <c r="BH1180" s="312">
        <v>0.77090000000000003</v>
      </c>
      <c r="BI1180" s="312">
        <v>0.83620000000000005</v>
      </c>
      <c r="BJ1180" s="312">
        <v>0.80910000000000004</v>
      </c>
      <c r="BK1180" s="312">
        <v>0.84640000000000004</v>
      </c>
      <c r="BM1180">
        <f>(C1180-C769)*1000000/(RIMS_emp!C1180-RIMS_emp!C769)</f>
        <v>37545.103567258229</v>
      </c>
    </row>
    <row r="1181" spans="1:65" x14ac:dyDescent="0.25">
      <c r="A1181" s="306">
        <v>541800</v>
      </c>
      <c r="B1181" s="312" t="s">
        <v>316</v>
      </c>
      <c r="C1181" s="312">
        <v>0.89790000000000003</v>
      </c>
      <c r="D1181" s="312">
        <v>0.59689999999999999</v>
      </c>
      <c r="E1181" s="312">
        <v>0.63859999999999995</v>
      </c>
      <c r="F1181" s="312">
        <v>0.60160000000000002</v>
      </c>
      <c r="G1181" s="312">
        <v>0.67959999999999998</v>
      </c>
      <c r="H1181" s="312">
        <v>0.7651</v>
      </c>
      <c r="I1181" s="312">
        <v>0.74509999999999998</v>
      </c>
      <c r="J1181" s="312">
        <v>0.6109</v>
      </c>
      <c r="K1181" s="312">
        <v>0.17419999999999999</v>
      </c>
      <c r="L1181" s="312">
        <v>0.4859</v>
      </c>
      <c r="M1181" s="312">
        <v>0.71260000000000001</v>
      </c>
      <c r="N1181" s="312">
        <v>0.73770000000000002</v>
      </c>
      <c r="O1181" s="312">
        <v>0.66459999999999997</v>
      </c>
      <c r="P1181" s="312">
        <v>0.56640000000000001</v>
      </c>
      <c r="Q1181" s="312">
        <v>0.5776</v>
      </c>
      <c r="R1181" s="312">
        <v>0.74299999999999999</v>
      </c>
      <c r="S1181" s="312">
        <v>0.65290000000000004</v>
      </c>
      <c r="T1181" s="312">
        <v>0.50349999999999995</v>
      </c>
      <c r="U1181" s="312">
        <v>0.60680000000000001</v>
      </c>
      <c r="V1181" s="312">
        <v>0.64270000000000005</v>
      </c>
      <c r="W1181" s="312">
        <v>0.67700000000000005</v>
      </c>
      <c r="X1181" s="312">
        <v>0.62819999999999998</v>
      </c>
      <c r="Y1181" s="312">
        <v>0.65869999999999995</v>
      </c>
      <c r="Z1181" s="312">
        <v>0.69899999999999995</v>
      </c>
      <c r="AA1181" s="312">
        <v>0.69040000000000001</v>
      </c>
      <c r="AB1181" s="312">
        <v>0.59279999999999999</v>
      </c>
      <c r="AC1181" s="312">
        <v>0.59209999999999996</v>
      </c>
      <c r="AD1181" s="312">
        <v>0.59130000000000005</v>
      </c>
      <c r="AE1181" s="312">
        <v>0.65500000000000003</v>
      </c>
      <c r="AF1181" s="312">
        <v>0.45529999999999998</v>
      </c>
      <c r="AG1181" s="312">
        <v>0.56079999999999997</v>
      </c>
      <c r="AH1181" s="312">
        <v>0.59489999999999998</v>
      </c>
      <c r="AI1181" s="312">
        <v>0.66869999999999996</v>
      </c>
      <c r="AJ1181" s="312">
        <v>0.60980000000000001</v>
      </c>
      <c r="AK1181" s="312">
        <v>0.63759999999999994</v>
      </c>
      <c r="AL1181" s="312">
        <v>0.58279999999999998</v>
      </c>
      <c r="AM1181" s="312">
        <v>0.68859999999999999</v>
      </c>
      <c r="AN1181" s="312">
        <v>0.65159999999999996</v>
      </c>
      <c r="AO1181" s="312">
        <v>0.65639999999999998</v>
      </c>
      <c r="AP1181" s="312">
        <v>0.69369999999999998</v>
      </c>
      <c r="AQ1181" s="312">
        <v>0.56479999999999997</v>
      </c>
      <c r="AR1181" s="312">
        <v>0.64880000000000004</v>
      </c>
      <c r="AS1181" s="312">
        <v>0.55120000000000002</v>
      </c>
      <c r="AT1181" s="312">
        <v>0.70279999999999998</v>
      </c>
      <c r="AU1181" s="312">
        <v>0.74250000000000005</v>
      </c>
      <c r="AV1181" s="312">
        <v>0.72970000000000002</v>
      </c>
      <c r="AW1181" s="312">
        <v>0.63449999999999995</v>
      </c>
      <c r="AX1181" s="312">
        <v>0.59870000000000001</v>
      </c>
      <c r="AY1181" s="312">
        <v>0.6794</v>
      </c>
      <c r="AZ1181" s="312">
        <v>0.66110000000000002</v>
      </c>
      <c r="BA1181" s="312">
        <v>0.53920000000000001</v>
      </c>
      <c r="BB1181" s="312">
        <v>0.44840000000000002</v>
      </c>
      <c r="BC1181" s="312">
        <v>0.71189999999999998</v>
      </c>
      <c r="BD1181" s="312">
        <v>0.752</v>
      </c>
      <c r="BE1181" s="312">
        <v>0.74809999999999999</v>
      </c>
      <c r="BF1181" s="312">
        <v>0.67069999999999996</v>
      </c>
      <c r="BG1181" s="312">
        <v>0.75760000000000005</v>
      </c>
      <c r="BH1181" s="312">
        <v>0.68720000000000003</v>
      </c>
      <c r="BI1181" s="312">
        <v>0.73799999999999999</v>
      </c>
      <c r="BJ1181" s="312">
        <v>0.72250000000000003</v>
      </c>
      <c r="BK1181" s="312">
        <v>0.77010000000000001</v>
      </c>
      <c r="BM1181">
        <f>(C1181-C770)*1000000/(RIMS_emp!C1181-RIMS_emp!C770)</f>
        <v>37544.898269588513</v>
      </c>
    </row>
    <row r="1182" spans="1:65" x14ac:dyDescent="0.25">
      <c r="A1182" s="306">
        <v>541920</v>
      </c>
      <c r="B1182" s="312" t="s">
        <v>317</v>
      </c>
      <c r="C1182" s="312">
        <v>1.0902000000000001</v>
      </c>
      <c r="D1182" s="312">
        <v>0.71970000000000001</v>
      </c>
      <c r="E1182" s="312">
        <v>0.81399999999999995</v>
      </c>
      <c r="F1182" s="312">
        <v>0.73270000000000002</v>
      </c>
      <c r="G1182" s="312">
        <v>0.85750000000000004</v>
      </c>
      <c r="H1182" s="312">
        <v>0.92749999999999999</v>
      </c>
      <c r="I1182" s="312">
        <v>0.92320000000000002</v>
      </c>
      <c r="J1182" s="312">
        <v>0.75590000000000002</v>
      </c>
      <c r="K1182" s="312">
        <v>0.18890000000000001</v>
      </c>
      <c r="L1182" s="312">
        <v>0.66400000000000003</v>
      </c>
      <c r="M1182" s="312">
        <v>0.88039999999999996</v>
      </c>
      <c r="N1182" s="312">
        <v>0.9073</v>
      </c>
      <c r="O1182" s="312">
        <v>0.81820000000000004</v>
      </c>
      <c r="P1182" s="312">
        <v>0.70309999999999995</v>
      </c>
      <c r="Q1182" s="312">
        <v>0.73529999999999995</v>
      </c>
      <c r="R1182" s="312">
        <v>0.9173</v>
      </c>
      <c r="S1182" s="312">
        <v>0.82979999999999998</v>
      </c>
      <c r="T1182" s="312">
        <v>0.6925</v>
      </c>
      <c r="U1182" s="312">
        <v>0.74229999999999996</v>
      </c>
      <c r="V1182" s="312">
        <v>0.80200000000000005</v>
      </c>
      <c r="W1182" s="312">
        <v>0.80020000000000002</v>
      </c>
      <c r="X1182" s="312">
        <v>0.77139999999999997</v>
      </c>
      <c r="Y1182" s="312">
        <v>0.8085</v>
      </c>
      <c r="Z1182" s="312">
        <v>0.88</v>
      </c>
      <c r="AA1182" s="312">
        <v>0.84440000000000004</v>
      </c>
      <c r="AB1182" s="312">
        <v>0.79749999999999999</v>
      </c>
      <c r="AC1182" s="312">
        <v>0.745</v>
      </c>
      <c r="AD1182" s="312">
        <v>0.75180000000000002</v>
      </c>
      <c r="AE1182" s="312">
        <v>0.83720000000000006</v>
      </c>
      <c r="AF1182" s="312">
        <v>0.6502</v>
      </c>
      <c r="AG1182" s="312">
        <v>0.7</v>
      </c>
      <c r="AH1182" s="312">
        <v>0.7591</v>
      </c>
      <c r="AI1182" s="312">
        <v>0.82630000000000003</v>
      </c>
      <c r="AJ1182" s="312">
        <v>0.76459999999999995</v>
      </c>
      <c r="AK1182" s="312">
        <v>0.76539999999999997</v>
      </c>
      <c r="AL1182" s="312">
        <v>0.72760000000000002</v>
      </c>
      <c r="AM1182" s="312">
        <v>0.85360000000000003</v>
      </c>
      <c r="AN1182" s="312">
        <v>0.81230000000000002</v>
      </c>
      <c r="AO1182" s="312">
        <v>0.82350000000000001</v>
      </c>
      <c r="AP1182" s="312">
        <v>0.88129999999999997</v>
      </c>
      <c r="AQ1182" s="312">
        <v>0.78039999999999998</v>
      </c>
      <c r="AR1182" s="312">
        <v>0.79890000000000005</v>
      </c>
      <c r="AS1182" s="312">
        <v>0.68289999999999995</v>
      </c>
      <c r="AT1182" s="312">
        <v>0.85850000000000004</v>
      </c>
      <c r="AU1182" s="312">
        <v>0.93459999999999999</v>
      </c>
      <c r="AV1182" s="312">
        <v>0.90080000000000005</v>
      </c>
      <c r="AW1182" s="312">
        <v>0.79630000000000001</v>
      </c>
      <c r="AX1182" s="312">
        <v>0.74580000000000002</v>
      </c>
      <c r="AY1182" s="312">
        <v>0.81759999999999999</v>
      </c>
      <c r="AZ1182" s="312">
        <v>0.81289999999999996</v>
      </c>
      <c r="BA1182" s="312">
        <v>0.6895</v>
      </c>
      <c r="BB1182" s="312">
        <v>0.68030000000000002</v>
      </c>
      <c r="BC1182" s="312">
        <v>0.87770000000000004</v>
      </c>
      <c r="BD1182" s="312">
        <v>0.91579999999999995</v>
      </c>
      <c r="BE1182" s="312">
        <v>0.93340000000000001</v>
      </c>
      <c r="BF1182" s="312">
        <v>0.8276</v>
      </c>
      <c r="BG1182" s="312">
        <v>0.94689999999999996</v>
      </c>
      <c r="BH1182" s="312">
        <v>0.8538</v>
      </c>
      <c r="BI1182" s="312">
        <v>0.92559999999999998</v>
      </c>
      <c r="BJ1182" s="312">
        <v>0.90110000000000001</v>
      </c>
      <c r="BK1182" s="312">
        <v>0.93210000000000004</v>
      </c>
      <c r="BM1182">
        <f>(C1182-C771)*1000000/(RIMS_emp!C1182-RIMS_emp!C771)</f>
        <v>37542.760780534823</v>
      </c>
    </row>
    <row r="1183" spans="1:65" x14ac:dyDescent="0.25">
      <c r="A1183" s="306">
        <v>541940</v>
      </c>
      <c r="B1183" s="312" t="s">
        <v>318</v>
      </c>
      <c r="C1183" s="312">
        <v>0.9919</v>
      </c>
      <c r="D1183" s="312">
        <v>0.62909999999999999</v>
      </c>
      <c r="E1183" s="312">
        <v>0.70760000000000001</v>
      </c>
      <c r="F1183" s="312">
        <v>0.6431</v>
      </c>
      <c r="G1183" s="312">
        <v>0.7429</v>
      </c>
      <c r="H1183" s="312">
        <v>0.83209999999999995</v>
      </c>
      <c r="I1183" s="312">
        <v>0.81720000000000004</v>
      </c>
      <c r="J1183" s="312">
        <v>0.68169999999999997</v>
      </c>
      <c r="K1183" s="312">
        <v>0.157</v>
      </c>
      <c r="L1183" s="312">
        <v>0.58850000000000002</v>
      </c>
      <c r="M1183" s="312">
        <v>0.76619999999999999</v>
      </c>
      <c r="N1183" s="312">
        <v>0.78620000000000001</v>
      </c>
      <c r="O1183" s="312">
        <v>0.70760000000000001</v>
      </c>
      <c r="P1183" s="312">
        <v>0.61629999999999996</v>
      </c>
      <c r="Q1183" s="312">
        <v>0.63390000000000002</v>
      </c>
      <c r="R1183" s="312">
        <v>0.81820000000000004</v>
      </c>
      <c r="S1183" s="312">
        <v>0.73540000000000005</v>
      </c>
      <c r="T1183" s="312">
        <v>0.61160000000000003</v>
      </c>
      <c r="U1183" s="312">
        <v>0.64580000000000004</v>
      </c>
      <c r="V1183" s="312">
        <v>0.69240000000000002</v>
      </c>
      <c r="W1183" s="312">
        <v>0.73009999999999997</v>
      </c>
      <c r="X1183" s="312">
        <v>0.66410000000000002</v>
      </c>
      <c r="Y1183" s="312">
        <v>0.73939999999999995</v>
      </c>
      <c r="Z1183" s="312">
        <v>0.77690000000000003</v>
      </c>
      <c r="AA1183" s="312">
        <v>0.73470000000000002</v>
      </c>
      <c r="AB1183" s="312">
        <v>0.71309999999999996</v>
      </c>
      <c r="AC1183" s="312">
        <v>0.65700000000000003</v>
      </c>
      <c r="AD1183" s="312">
        <v>0.65849999999999997</v>
      </c>
      <c r="AE1183" s="312">
        <v>0.74860000000000004</v>
      </c>
      <c r="AF1183" s="312">
        <v>0.56789999999999996</v>
      </c>
      <c r="AG1183" s="312">
        <v>0.62019999999999997</v>
      </c>
      <c r="AH1183" s="312">
        <v>0.65980000000000005</v>
      </c>
      <c r="AI1183" s="312">
        <v>0.74419999999999997</v>
      </c>
      <c r="AJ1183" s="312">
        <v>0.66639999999999999</v>
      </c>
      <c r="AK1183" s="312">
        <v>0.67090000000000005</v>
      </c>
      <c r="AL1183" s="312">
        <v>0.63929999999999998</v>
      </c>
      <c r="AM1183" s="312">
        <v>0.75019999999999998</v>
      </c>
      <c r="AN1183" s="312">
        <v>0.70920000000000005</v>
      </c>
      <c r="AO1183" s="312">
        <v>0.7107</v>
      </c>
      <c r="AP1183" s="312">
        <v>0.79669999999999996</v>
      </c>
      <c r="AQ1183" s="312">
        <v>0.69259999999999999</v>
      </c>
      <c r="AR1183" s="312">
        <v>0.71330000000000005</v>
      </c>
      <c r="AS1183" s="312">
        <v>0.60009999999999997</v>
      </c>
      <c r="AT1183" s="312">
        <v>0.75280000000000002</v>
      </c>
      <c r="AU1183" s="312">
        <v>0.81359999999999999</v>
      </c>
      <c r="AV1183" s="312">
        <v>0.8125</v>
      </c>
      <c r="AW1183" s="312">
        <v>0.69750000000000001</v>
      </c>
      <c r="AX1183" s="312">
        <v>0.63870000000000005</v>
      </c>
      <c r="AY1183" s="312">
        <v>0.72419999999999995</v>
      </c>
      <c r="AZ1183" s="312">
        <v>0.72040000000000004</v>
      </c>
      <c r="BA1183" s="312">
        <v>0.61709999999999998</v>
      </c>
      <c r="BB1183" s="312">
        <v>0.59360000000000002</v>
      </c>
      <c r="BC1183" s="312">
        <v>0.80030000000000001</v>
      </c>
      <c r="BD1183" s="312">
        <v>0.82640000000000002</v>
      </c>
      <c r="BE1183" s="312">
        <v>0.83979999999999999</v>
      </c>
      <c r="BF1183" s="312">
        <v>0.7359</v>
      </c>
      <c r="BG1183" s="312">
        <v>0.83450000000000002</v>
      </c>
      <c r="BH1183" s="312">
        <v>0.74280000000000002</v>
      </c>
      <c r="BI1183" s="312">
        <v>0.81020000000000003</v>
      </c>
      <c r="BJ1183" s="312">
        <v>0.78910000000000002</v>
      </c>
      <c r="BK1183" s="312">
        <v>0.8377</v>
      </c>
      <c r="BM1183">
        <f>(C1183-C772)*1000000/(RIMS_emp!C1183-RIMS_emp!C772)</f>
        <v>37545.011650074142</v>
      </c>
    </row>
    <row r="1184" spans="1:65" x14ac:dyDescent="0.25">
      <c r="A1184" s="306" t="s">
        <v>771</v>
      </c>
      <c r="B1184" s="312" t="s">
        <v>319</v>
      </c>
      <c r="C1184" s="312">
        <v>1.1700999999999999</v>
      </c>
      <c r="D1184" s="312">
        <v>0.82469999999999999</v>
      </c>
      <c r="E1184" s="312">
        <v>0.9093</v>
      </c>
      <c r="F1184" s="312">
        <v>0.83050000000000002</v>
      </c>
      <c r="G1184" s="312">
        <v>0.95120000000000005</v>
      </c>
      <c r="H1184" s="312">
        <v>1.016</v>
      </c>
      <c r="I1184" s="312">
        <v>1.0093000000000001</v>
      </c>
      <c r="J1184" s="312">
        <v>0.84199999999999997</v>
      </c>
      <c r="K1184" s="312">
        <v>0.21690000000000001</v>
      </c>
      <c r="L1184" s="312">
        <v>0.75760000000000005</v>
      </c>
      <c r="M1184" s="312">
        <v>0.97989999999999999</v>
      </c>
      <c r="N1184" s="312">
        <v>0.98319999999999996</v>
      </c>
      <c r="O1184" s="312">
        <v>0.92300000000000004</v>
      </c>
      <c r="P1184" s="312">
        <v>0.80479999999999996</v>
      </c>
      <c r="Q1184" s="312">
        <v>0.83409999999999995</v>
      </c>
      <c r="R1184" s="312">
        <v>0.99729999999999996</v>
      </c>
      <c r="S1184" s="312">
        <v>0.91139999999999999</v>
      </c>
      <c r="T1184" s="312">
        <v>0.78510000000000002</v>
      </c>
      <c r="U1184" s="312">
        <v>0.8246</v>
      </c>
      <c r="V1184" s="312">
        <v>0.8992</v>
      </c>
      <c r="W1184" s="312">
        <v>0.88970000000000005</v>
      </c>
      <c r="X1184" s="312">
        <v>0.84750000000000003</v>
      </c>
      <c r="Y1184" s="312">
        <v>0.91849999999999998</v>
      </c>
      <c r="Z1184" s="312">
        <v>0.96199999999999997</v>
      </c>
      <c r="AA1184" s="312">
        <v>0.92810000000000004</v>
      </c>
      <c r="AB1184" s="312">
        <v>0.87690000000000001</v>
      </c>
      <c r="AC1184" s="312">
        <v>0.8468</v>
      </c>
      <c r="AD1184" s="312">
        <v>0.86219999999999997</v>
      </c>
      <c r="AE1184" s="312">
        <v>0.9204</v>
      </c>
      <c r="AF1184" s="312">
        <v>0.75370000000000004</v>
      </c>
      <c r="AG1184" s="312">
        <v>0.80600000000000005</v>
      </c>
      <c r="AH1184" s="312">
        <v>0.84570000000000001</v>
      </c>
      <c r="AI1184" s="312">
        <v>0.89639999999999997</v>
      </c>
      <c r="AJ1184" s="312">
        <v>0.87370000000000003</v>
      </c>
      <c r="AK1184" s="312">
        <v>0.85929999999999995</v>
      </c>
      <c r="AL1184" s="312">
        <v>0.8075</v>
      </c>
      <c r="AM1184" s="312">
        <v>0.93610000000000004</v>
      </c>
      <c r="AN1184" s="312">
        <v>0.91679999999999995</v>
      </c>
      <c r="AO1184" s="312">
        <v>0.91479999999999995</v>
      </c>
      <c r="AP1184" s="312">
        <v>0.96150000000000002</v>
      </c>
      <c r="AQ1184" s="312">
        <v>0.87060000000000004</v>
      </c>
      <c r="AR1184" s="312">
        <v>0.88870000000000005</v>
      </c>
      <c r="AS1184" s="312">
        <v>0.78790000000000004</v>
      </c>
      <c r="AT1184" s="312">
        <v>0.9446</v>
      </c>
      <c r="AU1184" s="312">
        <v>1.0255000000000001</v>
      </c>
      <c r="AV1184" s="312">
        <v>0.98850000000000005</v>
      </c>
      <c r="AW1184" s="312">
        <v>0.88080000000000003</v>
      </c>
      <c r="AX1184" s="312">
        <v>0.83630000000000004</v>
      </c>
      <c r="AY1184" s="312">
        <v>0.91590000000000005</v>
      </c>
      <c r="AZ1184" s="312">
        <v>0.90949999999999998</v>
      </c>
      <c r="BA1184" s="312">
        <v>0.77769999999999995</v>
      </c>
      <c r="BB1184" s="312">
        <v>0.78320000000000001</v>
      </c>
      <c r="BC1184" s="312">
        <v>0.97040000000000004</v>
      </c>
      <c r="BD1184" s="312">
        <v>0.99570000000000003</v>
      </c>
      <c r="BE1184" s="312">
        <v>1.0143</v>
      </c>
      <c r="BF1184" s="312">
        <v>0.92090000000000005</v>
      </c>
      <c r="BG1184" s="312">
        <v>1.0285</v>
      </c>
      <c r="BH1184" s="312">
        <v>0.9335</v>
      </c>
      <c r="BI1184" s="312">
        <v>1.0190999999999999</v>
      </c>
      <c r="BJ1184" s="312">
        <v>0.99</v>
      </c>
      <c r="BK1184" s="312">
        <v>1.0214000000000001</v>
      </c>
      <c r="BM1184">
        <f>(C1184-C773)*1000000/(RIMS_emp!C1184-RIMS_emp!C773)</f>
        <v>37547.135931046862</v>
      </c>
    </row>
    <row r="1185" spans="1:65" x14ac:dyDescent="0.25">
      <c r="A1185" s="306">
        <v>550000</v>
      </c>
      <c r="B1185" s="312" t="s">
        <v>320</v>
      </c>
      <c r="C1185" s="312">
        <v>0.93569999999999998</v>
      </c>
      <c r="D1185" s="312">
        <v>0.61739999999999995</v>
      </c>
      <c r="E1185" s="312">
        <v>0.67269999999999996</v>
      </c>
      <c r="F1185" s="312">
        <v>0.59850000000000003</v>
      </c>
      <c r="G1185" s="312">
        <v>0.71099999999999997</v>
      </c>
      <c r="H1185" s="312">
        <v>0.79710000000000003</v>
      </c>
      <c r="I1185" s="312">
        <v>0.79530000000000001</v>
      </c>
      <c r="J1185" s="312">
        <v>0.6855</v>
      </c>
      <c r="K1185" s="312">
        <v>0.11</v>
      </c>
      <c r="L1185" s="312">
        <v>0.4924</v>
      </c>
      <c r="M1185" s="312">
        <v>0.75329999999999997</v>
      </c>
      <c r="N1185" s="312">
        <v>0.76319999999999999</v>
      </c>
      <c r="O1185" s="312">
        <v>0.67789999999999995</v>
      </c>
      <c r="P1185" s="312">
        <v>0.56759999999999999</v>
      </c>
      <c r="Q1185" s="312">
        <v>0.60440000000000005</v>
      </c>
      <c r="R1185" s="312">
        <v>0.78439999999999999</v>
      </c>
      <c r="S1185" s="312">
        <v>0.623</v>
      </c>
      <c r="T1185" s="312">
        <v>0.57909999999999995</v>
      </c>
      <c r="U1185" s="312">
        <v>0.61219999999999997</v>
      </c>
      <c r="V1185" s="312">
        <v>0.6673</v>
      </c>
      <c r="W1185" s="312">
        <v>0.72219999999999995</v>
      </c>
      <c r="X1185" s="312">
        <v>0.65049999999999997</v>
      </c>
      <c r="Y1185" s="312">
        <v>0.68389999999999995</v>
      </c>
      <c r="Z1185" s="312">
        <v>0.70840000000000003</v>
      </c>
      <c r="AA1185" s="312">
        <v>0.71379999999999999</v>
      </c>
      <c r="AB1185" s="312">
        <v>0.65720000000000001</v>
      </c>
      <c r="AC1185" s="312">
        <v>0.6048</v>
      </c>
      <c r="AD1185" s="312">
        <v>0.62480000000000002</v>
      </c>
      <c r="AE1185" s="312">
        <v>0.67610000000000003</v>
      </c>
      <c r="AF1185" s="312">
        <v>0.55489999999999995</v>
      </c>
      <c r="AG1185" s="312">
        <v>0.57399999999999995</v>
      </c>
      <c r="AH1185" s="312">
        <v>0.59019999999999995</v>
      </c>
      <c r="AI1185" s="312">
        <v>0.68489999999999995</v>
      </c>
      <c r="AJ1185" s="312">
        <v>0.63870000000000005</v>
      </c>
      <c r="AK1185" s="312">
        <v>0.66020000000000001</v>
      </c>
      <c r="AL1185" s="312">
        <v>0.54620000000000002</v>
      </c>
      <c r="AM1185" s="312">
        <v>0.71440000000000003</v>
      </c>
      <c r="AN1185" s="312">
        <v>0.66769999999999996</v>
      </c>
      <c r="AO1185" s="312">
        <v>0.66700000000000004</v>
      </c>
      <c r="AP1185" s="312">
        <v>0.74460000000000004</v>
      </c>
      <c r="AQ1185" s="312">
        <v>0.59789999999999999</v>
      </c>
      <c r="AR1185" s="312">
        <v>0.67449999999999999</v>
      </c>
      <c r="AS1185" s="312">
        <v>0.48480000000000001</v>
      </c>
      <c r="AT1185" s="312">
        <v>0.70899999999999996</v>
      </c>
      <c r="AU1185" s="312">
        <v>0.78749999999999998</v>
      </c>
      <c r="AV1185" s="312">
        <v>0.76429999999999998</v>
      </c>
      <c r="AW1185" s="312">
        <v>0.66300000000000003</v>
      </c>
      <c r="AX1185" s="312">
        <v>0.6492</v>
      </c>
      <c r="AY1185" s="312">
        <v>0.67300000000000004</v>
      </c>
      <c r="AZ1185" s="312">
        <v>0.67110000000000003</v>
      </c>
      <c r="BA1185" s="312">
        <v>0.57969999999999999</v>
      </c>
      <c r="BB1185" s="312">
        <v>0.56269999999999998</v>
      </c>
      <c r="BC1185" s="312">
        <v>0.77739999999999998</v>
      </c>
      <c r="BD1185" s="312">
        <v>0.76649999999999996</v>
      </c>
      <c r="BE1185" s="312">
        <v>0.78090000000000004</v>
      </c>
      <c r="BF1185" s="312">
        <v>0.69130000000000003</v>
      </c>
      <c r="BG1185" s="312">
        <v>0.80020000000000002</v>
      </c>
      <c r="BH1185" s="312">
        <v>0.69379999999999997</v>
      </c>
      <c r="BI1185" s="312">
        <v>0.77539999999999998</v>
      </c>
      <c r="BJ1185" s="312">
        <v>0.75880000000000003</v>
      </c>
      <c r="BK1185" s="312">
        <v>0.79700000000000004</v>
      </c>
      <c r="BM1185">
        <f>(C1185-C774)*1000000/(RIMS_emp!C1185-RIMS_emp!C774)</f>
        <v>37541.819161595988</v>
      </c>
    </row>
    <row r="1186" spans="1:65" x14ac:dyDescent="0.25">
      <c r="A1186" s="306">
        <v>561100</v>
      </c>
      <c r="B1186" s="312" t="s">
        <v>323</v>
      </c>
      <c r="C1186" s="312">
        <v>1.0713999999999999</v>
      </c>
      <c r="D1186" s="312">
        <v>0.70679999999999998</v>
      </c>
      <c r="E1186" s="312">
        <v>0.78380000000000005</v>
      </c>
      <c r="F1186" s="312">
        <v>0.71130000000000004</v>
      </c>
      <c r="G1186" s="312">
        <v>0.8427</v>
      </c>
      <c r="H1186" s="312">
        <v>0.91700000000000004</v>
      </c>
      <c r="I1186" s="312">
        <v>0.91369999999999996</v>
      </c>
      <c r="J1186" s="312">
        <v>0.77839999999999998</v>
      </c>
      <c r="K1186" s="312">
        <v>0.2104</v>
      </c>
      <c r="L1186" s="312">
        <v>0.62890000000000001</v>
      </c>
      <c r="M1186" s="312">
        <v>0.88070000000000004</v>
      </c>
      <c r="N1186" s="312">
        <v>0.89449999999999996</v>
      </c>
      <c r="O1186" s="312">
        <v>0.80530000000000002</v>
      </c>
      <c r="P1186" s="312">
        <v>0.6613</v>
      </c>
      <c r="Q1186" s="312">
        <v>0.70940000000000003</v>
      </c>
      <c r="R1186" s="312">
        <v>0.90620000000000001</v>
      </c>
      <c r="S1186" s="312">
        <v>0.78239999999999998</v>
      </c>
      <c r="T1186" s="312">
        <v>0.64980000000000004</v>
      </c>
      <c r="U1186" s="312">
        <v>0.74360000000000004</v>
      </c>
      <c r="V1186" s="312">
        <v>0.7873</v>
      </c>
      <c r="W1186" s="312">
        <v>0.82250000000000001</v>
      </c>
      <c r="X1186" s="312">
        <v>0.78139999999999998</v>
      </c>
      <c r="Y1186" s="312">
        <v>0.79479999999999995</v>
      </c>
      <c r="Z1186" s="312">
        <v>0.8518</v>
      </c>
      <c r="AA1186" s="312">
        <v>0.83289999999999997</v>
      </c>
      <c r="AB1186" s="312">
        <v>0.76329999999999998</v>
      </c>
      <c r="AC1186" s="312">
        <v>0.70679999999999998</v>
      </c>
      <c r="AD1186" s="312">
        <v>0.72289999999999999</v>
      </c>
      <c r="AE1186" s="312">
        <v>0.8075</v>
      </c>
      <c r="AF1186" s="312">
        <v>0.61780000000000002</v>
      </c>
      <c r="AG1186" s="312">
        <v>0.67120000000000002</v>
      </c>
      <c r="AH1186" s="312">
        <v>0.75619999999999998</v>
      </c>
      <c r="AI1186" s="312">
        <v>0.8276</v>
      </c>
      <c r="AJ1186" s="312">
        <v>0.75380000000000003</v>
      </c>
      <c r="AK1186" s="312">
        <v>0.76859999999999995</v>
      </c>
      <c r="AL1186" s="312">
        <v>0.74929999999999997</v>
      </c>
      <c r="AM1186" s="312">
        <v>0.84919999999999995</v>
      </c>
      <c r="AN1186" s="312">
        <v>0.80989999999999995</v>
      </c>
      <c r="AO1186" s="312">
        <v>0.78820000000000001</v>
      </c>
      <c r="AP1186" s="312">
        <v>0.84609999999999996</v>
      </c>
      <c r="AQ1186" s="312">
        <v>0.73509999999999998</v>
      </c>
      <c r="AR1186" s="312">
        <v>0.78920000000000001</v>
      </c>
      <c r="AS1186" s="312">
        <v>0.64300000000000002</v>
      </c>
      <c r="AT1186" s="312">
        <v>0.83660000000000001</v>
      </c>
      <c r="AU1186" s="312">
        <v>0.91869999999999996</v>
      </c>
      <c r="AV1186" s="312">
        <v>0.873</v>
      </c>
      <c r="AW1186" s="312">
        <v>0.77400000000000002</v>
      </c>
      <c r="AX1186" s="312">
        <v>0.71460000000000001</v>
      </c>
      <c r="AY1186" s="312">
        <v>0.83589999999999998</v>
      </c>
      <c r="AZ1186" s="312">
        <v>0.80510000000000004</v>
      </c>
      <c r="BA1186" s="312">
        <v>0.66220000000000001</v>
      </c>
      <c r="BB1186" s="312">
        <v>0.64059999999999995</v>
      </c>
      <c r="BC1186" s="312">
        <v>0.88929999999999998</v>
      </c>
      <c r="BD1186" s="312">
        <v>0.91200000000000003</v>
      </c>
      <c r="BE1186" s="312">
        <v>0.91600000000000004</v>
      </c>
      <c r="BF1186" s="312">
        <v>0.80420000000000003</v>
      </c>
      <c r="BG1186" s="312">
        <v>0.93069999999999997</v>
      </c>
      <c r="BH1186" s="312">
        <v>0.83330000000000004</v>
      </c>
      <c r="BI1186" s="312">
        <v>0.91379999999999995</v>
      </c>
      <c r="BJ1186" s="312">
        <v>0.88460000000000005</v>
      </c>
      <c r="BK1186" s="312">
        <v>0.92100000000000004</v>
      </c>
      <c r="BM1186">
        <f>(C1186-C775)*1000000/(RIMS_emp!C1186-RIMS_emp!C775)</f>
        <v>37541.792083770444</v>
      </c>
    </row>
    <row r="1187" spans="1:65" x14ac:dyDescent="0.25">
      <c r="A1187" s="306">
        <v>561200</v>
      </c>
      <c r="B1187" s="312" t="s">
        <v>324</v>
      </c>
      <c r="C1187" s="312">
        <v>0.9214</v>
      </c>
      <c r="D1187" s="312">
        <v>0.5806</v>
      </c>
      <c r="E1187" s="312">
        <v>0.65810000000000002</v>
      </c>
      <c r="F1187" s="312">
        <v>0.58899999999999997</v>
      </c>
      <c r="G1187" s="312">
        <v>0.72089999999999999</v>
      </c>
      <c r="H1187" s="312">
        <v>0.7762</v>
      </c>
      <c r="I1187" s="312">
        <v>0.77</v>
      </c>
      <c r="J1187" s="312">
        <v>0.64939999999999998</v>
      </c>
      <c r="K1187" s="312">
        <v>0.17510000000000001</v>
      </c>
      <c r="L1187" s="312">
        <v>0.52059999999999995</v>
      </c>
      <c r="M1187" s="312">
        <v>0.74629999999999996</v>
      </c>
      <c r="N1187" s="312">
        <v>0.76419999999999999</v>
      </c>
      <c r="O1187" s="312">
        <v>0.65869999999999995</v>
      </c>
      <c r="P1187" s="312">
        <v>0.53939999999999999</v>
      </c>
      <c r="Q1187" s="312">
        <v>0.58819999999999995</v>
      </c>
      <c r="R1187" s="312">
        <v>0.76790000000000003</v>
      </c>
      <c r="S1187" s="312">
        <v>0.65629999999999999</v>
      </c>
      <c r="T1187" s="312">
        <v>0.55120000000000002</v>
      </c>
      <c r="U1187" s="312">
        <v>0.61850000000000005</v>
      </c>
      <c r="V1187" s="312">
        <v>0.66190000000000004</v>
      </c>
      <c r="W1187" s="312">
        <v>0.6885</v>
      </c>
      <c r="X1187" s="312">
        <v>0.65939999999999999</v>
      </c>
      <c r="Y1187" s="312">
        <v>0.65959999999999996</v>
      </c>
      <c r="Z1187" s="312">
        <v>0.71889999999999998</v>
      </c>
      <c r="AA1187" s="312">
        <v>0.6835</v>
      </c>
      <c r="AB1187" s="312">
        <v>0.6321</v>
      </c>
      <c r="AC1187" s="312">
        <v>0.58009999999999995</v>
      </c>
      <c r="AD1187" s="312">
        <v>0.59089999999999998</v>
      </c>
      <c r="AE1187" s="312">
        <v>0.68889999999999996</v>
      </c>
      <c r="AF1187" s="312">
        <v>0.49419999999999997</v>
      </c>
      <c r="AG1187" s="312">
        <v>0.55430000000000001</v>
      </c>
      <c r="AH1187" s="312">
        <v>0.63970000000000005</v>
      </c>
      <c r="AI1187" s="312">
        <v>0.69610000000000005</v>
      </c>
      <c r="AJ1187" s="312">
        <v>0.63360000000000005</v>
      </c>
      <c r="AK1187" s="312">
        <v>0.62790000000000001</v>
      </c>
      <c r="AL1187" s="312">
        <v>0.61839999999999995</v>
      </c>
      <c r="AM1187" s="312">
        <v>0.72</v>
      </c>
      <c r="AN1187" s="312">
        <v>0.67710000000000004</v>
      </c>
      <c r="AO1187" s="312">
        <v>0.65800000000000003</v>
      </c>
      <c r="AP1187" s="312">
        <v>0.72150000000000003</v>
      </c>
      <c r="AQ1187" s="312">
        <v>0.59799999999999998</v>
      </c>
      <c r="AR1187" s="312">
        <v>0.67390000000000005</v>
      </c>
      <c r="AS1187" s="312">
        <v>0.51280000000000003</v>
      </c>
      <c r="AT1187" s="312">
        <v>0.70879999999999999</v>
      </c>
      <c r="AU1187" s="312">
        <v>0.79310000000000003</v>
      </c>
      <c r="AV1187" s="312">
        <v>0.73670000000000002</v>
      </c>
      <c r="AW1187" s="312">
        <v>0.66180000000000005</v>
      </c>
      <c r="AX1187" s="312">
        <v>0.58120000000000005</v>
      </c>
      <c r="AY1187" s="312">
        <v>0.7006</v>
      </c>
      <c r="AZ1187" s="312">
        <v>0.66700000000000004</v>
      </c>
      <c r="BA1187" s="312">
        <v>0.54949999999999999</v>
      </c>
      <c r="BB1187" s="312">
        <v>0.51719999999999999</v>
      </c>
      <c r="BC1187" s="312">
        <v>0.74670000000000003</v>
      </c>
      <c r="BD1187" s="312">
        <v>0.76290000000000002</v>
      </c>
      <c r="BE1187" s="312">
        <v>0.78269999999999995</v>
      </c>
      <c r="BF1187" s="312">
        <v>0.66600000000000004</v>
      </c>
      <c r="BG1187" s="312">
        <v>0.79920000000000002</v>
      </c>
      <c r="BH1187" s="312">
        <v>0.69979999999999998</v>
      </c>
      <c r="BI1187" s="312">
        <v>0.78939999999999999</v>
      </c>
      <c r="BJ1187" s="312">
        <v>0.75080000000000002</v>
      </c>
      <c r="BK1187" s="312">
        <v>0.77990000000000004</v>
      </c>
      <c r="BM1187">
        <f>(C1187-C776)*1000000/(RIMS_emp!C1187-RIMS_emp!C776)</f>
        <v>37542.467565040934</v>
      </c>
    </row>
    <row r="1188" spans="1:65" x14ac:dyDescent="0.25">
      <c r="A1188" s="306">
        <v>561300</v>
      </c>
      <c r="B1188" s="312" t="s">
        <v>321</v>
      </c>
      <c r="C1188" s="312">
        <v>1.1208</v>
      </c>
      <c r="D1188" s="312">
        <v>0.81299999999999994</v>
      </c>
      <c r="E1188" s="312">
        <v>0.87970000000000004</v>
      </c>
      <c r="F1188" s="312">
        <v>0.82150000000000001</v>
      </c>
      <c r="G1188" s="312">
        <v>0.92030000000000001</v>
      </c>
      <c r="H1188" s="312">
        <v>0.98040000000000005</v>
      </c>
      <c r="I1188" s="312">
        <v>0.97809999999999997</v>
      </c>
      <c r="J1188" s="312">
        <v>0.84599999999999997</v>
      </c>
      <c r="K1188" s="312">
        <v>0.23799999999999999</v>
      </c>
      <c r="L1188" s="312">
        <v>0.69589999999999996</v>
      </c>
      <c r="M1188" s="312">
        <v>0.94810000000000005</v>
      </c>
      <c r="N1188" s="312">
        <v>0.95650000000000002</v>
      </c>
      <c r="O1188" s="312">
        <v>0.90480000000000005</v>
      </c>
      <c r="P1188" s="312">
        <v>0.76600000000000001</v>
      </c>
      <c r="Q1188" s="312">
        <v>0.81679999999999997</v>
      </c>
      <c r="R1188" s="312">
        <v>0.96130000000000004</v>
      </c>
      <c r="S1188" s="312">
        <v>0.87729999999999997</v>
      </c>
      <c r="T1188" s="312">
        <v>0.73409999999999997</v>
      </c>
      <c r="U1188" s="312">
        <v>0.83199999999999996</v>
      </c>
      <c r="V1188" s="312">
        <v>0.8821</v>
      </c>
      <c r="W1188" s="312">
        <v>0.88190000000000002</v>
      </c>
      <c r="X1188" s="312">
        <v>0.83809999999999996</v>
      </c>
      <c r="Y1188" s="312">
        <v>0.88649999999999995</v>
      </c>
      <c r="Z1188" s="312">
        <v>0.93610000000000004</v>
      </c>
      <c r="AA1188" s="312">
        <v>0.91390000000000005</v>
      </c>
      <c r="AB1188" s="312">
        <v>0.83860000000000001</v>
      </c>
      <c r="AC1188" s="312">
        <v>0.81699999999999995</v>
      </c>
      <c r="AD1188" s="312">
        <v>0.82769999999999999</v>
      </c>
      <c r="AE1188" s="312">
        <v>0.89339999999999997</v>
      </c>
      <c r="AF1188" s="312">
        <v>0.72840000000000005</v>
      </c>
      <c r="AG1188" s="312">
        <v>0.77200000000000002</v>
      </c>
      <c r="AH1188" s="312">
        <v>0.82440000000000002</v>
      </c>
      <c r="AI1188" s="312">
        <v>0.87970000000000004</v>
      </c>
      <c r="AJ1188" s="312">
        <v>0.85529999999999995</v>
      </c>
      <c r="AK1188" s="312">
        <v>0.86209999999999998</v>
      </c>
      <c r="AL1188" s="312">
        <v>0.81310000000000004</v>
      </c>
      <c r="AM1188" s="312">
        <v>0.92720000000000002</v>
      </c>
      <c r="AN1188" s="312">
        <v>0.89739999999999998</v>
      </c>
      <c r="AO1188" s="312">
        <v>0.87749999999999995</v>
      </c>
      <c r="AP1188" s="312">
        <v>0.91410000000000002</v>
      </c>
      <c r="AQ1188" s="312">
        <v>0.8155</v>
      </c>
      <c r="AR1188" s="312">
        <v>0.87129999999999996</v>
      </c>
      <c r="AS1188" s="312">
        <v>0.76160000000000005</v>
      </c>
      <c r="AT1188" s="312">
        <v>0.9093</v>
      </c>
      <c r="AU1188" s="312">
        <v>0.98240000000000005</v>
      </c>
      <c r="AV1188" s="312">
        <v>0.95230000000000004</v>
      </c>
      <c r="AW1188" s="312">
        <v>0.84009999999999996</v>
      </c>
      <c r="AX1188" s="312">
        <v>0.80630000000000002</v>
      </c>
      <c r="AY1188" s="312">
        <v>0.92159999999999997</v>
      </c>
      <c r="AZ1188" s="312">
        <v>0.90349999999999997</v>
      </c>
      <c r="BA1188" s="312">
        <v>0.75929999999999997</v>
      </c>
      <c r="BB1188" s="312">
        <v>0.75009999999999999</v>
      </c>
      <c r="BC1188" s="312">
        <v>0.95469999999999999</v>
      </c>
      <c r="BD1188" s="312">
        <v>0.9708</v>
      </c>
      <c r="BE1188" s="312">
        <v>0.98480000000000001</v>
      </c>
      <c r="BF1188" s="312">
        <v>0.89710000000000001</v>
      </c>
      <c r="BG1188" s="312">
        <v>0.99350000000000005</v>
      </c>
      <c r="BH1188" s="312">
        <v>0.91659999999999997</v>
      </c>
      <c r="BI1188" s="312">
        <v>0.98099999999999998</v>
      </c>
      <c r="BJ1188" s="312">
        <v>0.96140000000000003</v>
      </c>
      <c r="BK1188" s="312">
        <v>0.98799999999999999</v>
      </c>
      <c r="BM1188">
        <f>(C1188-C777)*1000000/(RIMS_emp!C1188-RIMS_emp!C777)</f>
        <v>37537.256078129991</v>
      </c>
    </row>
    <row r="1189" spans="1:65" x14ac:dyDescent="0.25">
      <c r="A1189" s="306">
        <v>561400</v>
      </c>
      <c r="B1189" s="312" t="s">
        <v>325</v>
      </c>
      <c r="C1189" s="312">
        <v>0.85160000000000002</v>
      </c>
      <c r="D1189" s="312">
        <v>0.55089999999999995</v>
      </c>
      <c r="E1189" s="312">
        <v>0.61660000000000004</v>
      </c>
      <c r="F1189" s="312">
        <v>0.56110000000000004</v>
      </c>
      <c r="G1189" s="312">
        <v>0.66120000000000001</v>
      </c>
      <c r="H1189" s="312">
        <v>0.72170000000000001</v>
      </c>
      <c r="I1189" s="312">
        <v>0.71650000000000003</v>
      </c>
      <c r="J1189" s="312">
        <v>0.60550000000000004</v>
      </c>
      <c r="K1189" s="312">
        <v>0.1613</v>
      </c>
      <c r="L1189" s="312">
        <v>0.48670000000000002</v>
      </c>
      <c r="M1189" s="312">
        <v>0.69069999999999998</v>
      </c>
      <c r="N1189" s="312">
        <v>0.7097</v>
      </c>
      <c r="O1189" s="312">
        <v>0.63390000000000002</v>
      </c>
      <c r="P1189" s="312">
        <v>0.51459999999999995</v>
      </c>
      <c r="Q1189" s="312">
        <v>0.55130000000000001</v>
      </c>
      <c r="R1189" s="312">
        <v>0.71220000000000006</v>
      </c>
      <c r="S1189" s="312">
        <v>0.61829999999999996</v>
      </c>
      <c r="T1189" s="312">
        <v>0.51170000000000004</v>
      </c>
      <c r="U1189" s="312">
        <v>0.58520000000000005</v>
      </c>
      <c r="V1189" s="312">
        <v>0.61709999999999998</v>
      </c>
      <c r="W1189" s="312">
        <v>0.63949999999999996</v>
      </c>
      <c r="X1189" s="312">
        <v>0.61399999999999999</v>
      </c>
      <c r="Y1189" s="312">
        <v>0.61470000000000002</v>
      </c>
      <c r="Z1189" s="312">
        <v>0.66979999999999995</v>
      </c>
      <c r="AA1189" s="312">
        <v>0.64859999999999995</v>
      </c>
      <c r="AB1189" s="312">
        <v>0.60229999999999995</v>
      </c>
      <c r="AC1189" s="312">
        <v>0.55349999999999999</v>
      </c>
      <c r="AD1189" s="312">
        <v>0.56159999999999999</v>
      </c>
      <c r="AE1189" s="312">
        <v>0.63449999999999995</v>
      </c>
      <c r="AF1189" s="312">
        <v>0.4728</v>
      </c>
      <c r="AG1189" s="312">
        <v>0.51829999999999998</v>
      </c>
      <c r="AH1189" s="312">
        <v>0.59179999999999999</v>
      </c>
      <c r="AI1189" s="312">
        <v>0.65310000000000001</v>
      </c>
      <c r="AJ1189" s="312">
        <v>0.59160000000000001</v>
      </c>
      <c r="AK1189" s="312">
        <v>0.59830000000000005</v>
      </c>
      <c r="AL1189" s="312">
        <v>0.57999999999999996</v>
      </c>
      <c r="AM1189" s="312">
        <v>0.6724</v>
      </c>
      <c r="AN1189" s="312">
        <v>0.63449999999999995</v>
      </c>
      <c r="AO1189" s="312">
        <v>0.62239999999999995</v>
      </c>
      <c r="AP1189" s="312">
        <v>0.66439999999999999</v>
      </c>
      <c r="AQ1189" s="312">
        <v>0.57250000000000001</v>
      </c>
      <c r="AR1189" s="312">
        <v>0.62529999999999997</v>
      </c>
      <c r="AS1189" s="312">
        <v>0.49330000000000002</v>
      </c>
      <c r="AT1189" s="312">
        <v>0.65800000000000003</v>
      </c>
      <c r="AU1189" s="312">
        <v>0.7248</v>
      </c>
      <c r="AV1189" s="312">
        <v>0.69030000000000002</v>
      </c>
      <c r="AW1189" s="312">
        <v>0.61150000000000004</v>
      </c>
      <c r="AX1189" s="312">
        <v>0.55359999999999998</v>
      </c>
      <c r="AY1189" s="312">
        <v>0.65739999999999998</v>
      </c>
      <c r="AZ1189" s="312">
        <v>0.62880000000000003</v>
      </c>
      <c r="BA1189" s="312">
        <v>0.5161</v>
      </c>
      <c r="BB1189" s="312">
        <v>0.49080000000000001</v>
      </c>
      <c r="BC1189" s="312">
        <v>0.69320000000000004</v>
      </c>
      <c r="BD1189" s="312">
        <v>0.71550000000000002</v>
      </c>
      <c r="BE1189" s="312">
        <v>0.72099999999999997</v>
      </c>
      <c r="BF1189" s="312">
        <v>0.63260000000000005</v>
      </c>
      <c r="BG1189" s="312">
        <v>0.73760000000000003</v>
      </c>
      <c r="BH1189" s="312">
        <v>0.65580000000000005</v>
      </c>
      <c r="BI1189" s="312">
        <v>0.72070000000000001</v>
      </c>
      <c r="BJ1189" s="312">
        <v>0.7006</v>
      </c>
      <c r="BK1189" s="312">
        <v>0.72729999999999995</v>
      </c>
      <c r="BM1189">
        <f>(C1189-C778)*1000000/(RIMS_emp!C1189-RIMS_emp!C778)</f>
        <v>37535.926186335098</v>
      </c>
    </row>
    <row r="1190" spans="1:65" x14ac:dyDescent="0.25">
      <c r="A1190" s="306">
        <v>561500</v>
      </c>
      <c r="B1190" s="312" t="s">
        <v>322</v>
      </c>
      <c r="C1190" s="312">
        <v>0.86499999999999999</v>
      </c>
      <c r="D1190" s="312">
        <v>0.54620000000000002</v>
      </c>
      <c r="E1190" s="312">
        <v>0.60489999999999999</v>
      </c>
      <c r="F1190" s="312">
        <v>0.54559999999999997</v>
      </c>
      <c r="G1190" s="312">
        <v>0.64729999999999999</v>
      </c>
      <c r="H1190" s="312">
        <v>0.72889999999999999</v>
      </c>
      <c r="I1190" s="312">
        <v>0.72360000000000002</v>
      </c>
      <c r="J1190" s="312">
        <v>0.6048</v>
      </c>
      <c r="K1190" s="312">
        <v>0.1603</v>
      </c>
      <c r="L1190" s="312">
        <v>0.47389999999999999</v>
      </c>
      <c r="M1190" s="312">
        <v>0.6804</v>
      </c>
      <c r="N1190" s="312">
        <v>0.70960000000000001</v>
      </c>
      <c r="O1190" s="312">
        <v>0.62109999999999999</v>
      </c>
      <c r="P1190" s="312">
        <v>0.51190000000000002</v>
      </c>
      <c r="Q1190" s="312">
        <v>0.54020000000000001</v>
      </c>
      <c r="R1190" s="312">
        <v>0.71740000000000004</v>
      </c>
      <c r="S1190" s="312">
        <v>0.6089</v>
      </c>
      <c r="T1190" s="312">
        <v>0.49969999999999998</v>
      </c>
      <c r="U1190" s="312">
        <v>0.57269999999999999</v>
      </c>
      <c r="V1190" s="312">
        <v>0.59789999999999999</v>
      </c>
      <c r="W1190" s="312">
        <v>0.64270000000000005</v>
      </c>
      <c r="X1190" s="312">
        <v>0.60940000000000005</v>
      </c>
      <c r="Y1190" s="312">
        <v>0.61570000000000003</v>
      </c>
      <c r="Z1190" s="312">
        <v>0.66569999999999996</v>
      </c>
      <c r="AA1190" s="312">
        <v>0.65810000000000002</v>
      </c>
      <c r="AB1190" s="312">
        <v>0.60570000000000002</v>
      </c>
      <c r="AC1190" s="312">
        <v>0.53639999999999999</v>
      </c>
      <c r="AD1190" s="312">
        <v>0.55510000000000004</v>
      </c>
      <c r="AE1190" s="312">
        <v>0.62590000000000001</v>
      </c>
      <c r="AF1190" s="312">
        <v>0.47289999999999999</v>
      </c>
      <c r="AG1190" s="312">
        <v>0.51980000000000004</v>
      </c>
      <c r="AH1190" s="312">
        <v>0.57630000000000003</v>
      </c>
      <c r="AI1190" s="312">
        <v>0.65090000000000003</v>
      </c>
      <c r="AJ1190" s="312">
        <v>0.56859999999999999</v>
      </c>
      <c r="AK1190" s="312">
        <v>0.59419999999999995</v>
      </c>
      <c r="AL1190" s="312">
        <v>0.58609999999999995</v>
      </c>
      <c r="AM1190" s="312">
        <v>0.66059999999999997</v>
      </c>
      <c r="AN1190" s="312">
        <v>0.61819999999999997</v>
      </c>
      <c r="AO1190" s="312">
        <v>0.62029999999999996</v>
      </c>
      <c r="AP1190" s="312">
        <v>0.66849999999999998</v>
      </c>
      <c r="AQ1190" s="312">
        <v>0.5706</v>
      </c>
      <c r="AR1190" s="312">
        <v>0.60270000000000001</v>
      </c>
      <c r="AS1190" s="312">
        <v>0.49419999999999997</v>
      </c>
      <c r="AT1190" s="312">
        <v>0.65159999999999996</v>
      </c>
      <c r="AU1190" s="312">
        <v>0.71840000000000004</v>
      </c>
      <c r="AV1190" s="312">
        <v>0.69820000000000004</v>
      </c>
      <c r="AW1190" s="312">
        <v>0.60599999999999998</v>
      </c>
      <c r="AX1190" s="312">
        <v>0.56110000000000004</v>
      </c>
      <c r="AY1190" s="312">
        <v>0.65010000000000001</v>
      </c>
      <c r="AZ1190" s="312">
        <v>0.62870000000000004</v>
      </c>
      <c r="BA1190" s="312">
        <v>0.50849999999999995</v>
      </c>
      <c r="BB1190" s="312">
        <v>0.48420000000000002</v>
      </c>
      <c r="BC1190" s="312">
        <v>0.69820000000000004</v>
      </c>
      <c r="BD1190" s="312">
        <v>0.7288</v>
      </c>
      <c r="BE1190" s="312">
        <v>0.72089999999999999</v>
      </c>
      <c r="BF1190" s="312">
        <v>0.63529999999999998</v>
      </c>
      <c r="BG1190" s="312">
        <v>0.73699999999999999</v>
      </c>
      <c r="BH1190" s="312">
        <v>0.64810000000000001</v>
      </c>
      <c r="BI1190" s="312">
        <v>0.70979999999999999</v>
      </c>
      <c r="BJ1190" s="312">
        <v>0.69550000000000001</v>
      </c>
      <c r="BK1190" s="312">
        <v>0.73370000000000002</v>
      </c>
      <c r="BM1190">
        <f>(C1190-C779)*1000000/(RIMS_emp!C1190-RIMS_emp!C779)</f>
        <v>37539.926401826589</v>
      </c>
    </row>
    <row r="1191" spans="1:65" x14ac:dyDescent="0.25">
      <c r="A1191" s="306">
        <v>561600</v>
      </c>
      <c r="B1191" s="312" t="s">
        <v>326</v>
      </c>
      <c r="C1191" s="312">
        <v>1.0587</v>
      </c>
      <c r="D1191" s="312">
        <v>0.72470000000000001</v>
      </c>
      <c r="E1191" s="312">
        <v>0.80200000000000005</v>
      </c>
      <c r="F1191" s="312">
        <v>0.7349</v>
      </c>
      <c r="G1191" s="312">
        <v>0.84019999999999995</v>
      </c>
      <c r="H1191" s="312">
        <v>0.90980000000000005</v>
      </c>
      <c r="I1191" s="312">
        <v>0.90739999999999998</v>
      </c>
      <c r="J1191" s="312">
        <v>0.77729999999999999</v>
      </c>
      <c r="K1191" s="312">
        <v>0.21079999999999999</v>
      </c>
      <c r="L1191" s="312">
        <v>0.627</v>
      </c>
      <c r="M1191" s="312">
        <v>0.86929999999999996</v>
      </c>
      <c r="N1191" s="312">
        <v>0.8851</v>
      </c>
      <c r="O1191" s="312">
        <v>0.81230000000000002</v>
      </c>
      <c r="P1191" s="312">
        <v>0.68689999999999996</v>
      </c>
      <c r="Q1191" s="312">
        <v>0.72670000000000001</v>
      </c>
      <c r="R1191" s="312">
        <v>0.89600000000000002</v>
      </c>
      <c r="S1191" s="312">
        <v>0.8014</v>
      </c>
      <c r="T1191" s="312">
        <v>0.66159999999999997</v>
      </c>
      <c r="U1191" s="312">
        <v>0.7591</v>
      </c>
      <c r="V1191" s="312">
        <v>0.79069999999999996</v>
      </c>
      <c r="W1191" s="312">
        <v>0.81469999999999998</v>
      </c>
      <c r="X1191" s="312">
        <v>0.77439999999999998</v>
      </c>
      <c r="Y1191" s="312">
        <v>0.80300000000000005</v>
      </c>
      <c r="Z1191" s="312">
        <v>0.85729999999999995</v>
      </c>
      <c r="AA1191" s="312">
        <v>0.84019999999999995</v>
      </c>
      <c r="AB1191" s="312">
        <v>0.77310000000000001</v>
      </c>
      <c r="AC1191" s="312">
        <v>0.72940000000000005</v>
      </c>
      <c r="AD1191" s="312">
        <v>0.73809999999999998</v>
      </c>
      <c r="AE1191" s="312">
        <v>0.81699999999999995</v>
      </c>
      <c r="AF1191" s="312">
        <v>0.64559999999999995</v>
      </c>
      <c r="AG1191" s="312">
        <v>0.69620000000000004</v>
      </c>
      <c r="AH1191" s="312">
        <v>0.75539999999999996</v>
      </c>
      <c r="AI1191" s="312">
        <v>0.81720000000000004</v>
      </c>
      <c r="AJ1191" s="312">
        <v>0.7651</v>
      </c>
      <c r="AK1191" s="312">
        <v>0.77190000000000003</v>
      </c>
      <c r="AL1191" s="312">
        <v>0.74260000000000004</v>
      </c>
      <c r="AM1191" s="312">
        <v>0.85419999999999996</v>
      </c>
      <c r="AN1191" s="312">
        <v>0.81059999999999999</v>
      </c>
      <c r="AO1191" s="312">
        <v>0.80349999999999999</v>
      </c>
      <c r="AP1191" s="312">
        <v>0.84930000000000005</v>
      </c>
      <c r="AQ1191" s="312">
        <v>0.7399</v>
      </c>
      <c r="AR1191" s="312">
        <v>0.79659999999999997</v>
      </c>
      <c r="AS1191" s="312">
        <v>0.67369999999999997</v>
      </c>
      <c r="AT1191" s="312">
        <v>0.83109999999999995</v>
      </c>
      <c r="AU1191" s="312">
        <v>0.91439999999999999</v>
      </c>
      <c r="AV1191" s="312">
        <v>0.87560000000000004</v>
      </c>
      <c r="AW1191" s="312">
        <v>0.77100000000000002</v>
      </c>
      <c r="AX1191" s="312">
        <v>0.73340000000000005</v>
      </c>
      <c r="AY1191" s="312">
        <v>0.8417</v>
      </c>
      <c r="AZ1191" s="312">
        <v>0.82140000000000002</v>
      </c>
      <c r="BA1191" s="312">
        <v>0.67969999999999997</v>
      </c>
      <c r="BB1191" s="312">
        <v>0.6623</v>
      </c>
      <c r="BC1191" s="312">
        <v>0.88400000000000001</v>
      </c>
      <c r="BD1191" s="312">
        <v>0.90249999999999997</v>
      </c>
      <c r="BE1191" s="312">
        <v>0.9133</v>
      </c>
      <c r="BF1191" s="312">
        <v>0.82230000000000003</v>
      </c>
      <c r="BG1191" s="312">
        <v>0.92269999999999996</v>
      </c>
      <c r="BH1191" s="312">
        <v>0.83989999999999998</v>
      </c>
      <c r="BI1191" s="312">
        <v>0.90910000000000002</v>
      </c>
      <c r="BJ1191" s="312">
        <v>0.88380000000000003</v>
      </c>
      <c r="BK1191" s="312">
        <v>0.91669999999999996</v>
      </c>
      <c r="BM1191">
        <f>(C1191-C780)*1000000/(RIMS_emp!C1191-RIMS_emp!C780)</f>
        <v>37548.25009674827</v>
      </c>
    </row>
    <row r="1192" spans="1:65" x14ac:dyDescent="0.25">
      <c r="A1192" s="306">
        <v>561700</v>
      </c>
      <c r="B1192" s="312" t="s">
        <v>327</v>
      </c>
      <c r="C1192" s="312">
        <v>0.89049999999999996</v>
      </c>
      <c r="D1192" s="312">
        <v>0.57130000000000003</v>
      </c>
      <c r="E1192" s="312">
        <v>0.62629999999999997</v>
      </c>
      <c r="F1192" s="312">
        <v>0.56859999999999999</v>
      </c>
      <c r="G1192" s="312">
        <v>0.65600000000000003</v>
      </c>
      <c r="H1192" s="312">
        <v>0.74360000000000004</v>
      </c>
      <c r="I1192" s="312">
        <v>0.73129999999999995</v>
      </c>
      <c r="J1192" s="312">
        <v>0.60209999999999997</v>
      </c>
      <c r="K1192" s="312">
        <v>0.1573</v>
      </c>
      <c r="L1192" s="312">
        <v>0.50109999999999999</v>
      </c>
      <c r="M1192" s="312">
        <v>0.68389999999999995</v>
      </c>
      <c r="N1192" s="312">
        <v>0.70130000000000003</v>
      </c>
      <c r="O1192" s="312">
        <v>0.64459999999999995</v>
      </c>
      <c r="P1192" s="312">
        <v>0.51849999999999996</v>
      </c>
      <c r="Q1192" s="312">
        <v>0.55049999999999999</v>
      </c>
      <c r="R1192" s="312">
        <v>0.72270000000000001</v>
      </c>
      <c r="S1192" s="312">
        <v>0.63380000000000003</v>
      </c>
      <c r="T1192" s="312">
        <v>0.53359999999999996</v>
      </c>
      <c r="U1192" s="312">
        <v>0.59789999999999999</v>
      </c>
      <c r="V1192" s="312">
        <v>0.64429999999999998</v>
      </c>
      <c r="W1192" s="312">
        <v>0.63400000000000001</v>
      </c>
      <c r="X1192" s="312">
        <v>0.60599999999999998</v>
      </c>
      <c r="Y1192" s="312">
        <v>0.61539999999999995</v>
      </c>
      <c r="Z1192" s="312">
        <v>0.66930000000000001</v>
      </c>
      <c r="AA1192" s="312">
        <v>0.65739999999999998</v>
      </c>
      <c r="AB1192" s="312">
        <v>0.59989999999999999</v>
      </c>
      <c r="AC1192" s="312">
        <v>0.57469999999999999</v>
      </c>
      <c r="AD1192" s="312">
        <v>0.5806</v>
      </c>
      <c r="AE1192" s="312">
        <v>0.63039999999999996</v>
      </c>
      <c r="AF1192" s="312">
        <v>0.49580000000000002</v>
      </c>
      <c r="AG1192" s="312">
        <v>0.51819999999999999</v>
      </c>
      <c r="AH1192" s="312">
        <v>0.58809999999999996</v>
      </c>
      <c r="AI1192" s="312">
        <v>0.66120000000000001</v>
      </c>
      <c r="AJ1192" s="312">
        <v>0.61350000000000005</v>
      </c>
      <c r="AK1192" s="312">
        <v>0.59250000000000003</v>
      </c>
      <c r="AL1192" s="312">
        <v>0.57330000000000003</v>
      </c>
      <c r="AM1192" s="312">
        <v>0.68200000000000005</v>
      </c>
      <c r="AN1192" s="312">
        <v>0.6633</v>
      </c>
      <c r="AO1192" s="312">
        <v>0.61439999999999995</v>
      </c>
      <c r="AP1192" s="312">
        <v>0.67859999999999998</v>
      </c>
      <c r="AQ1192" s="312">
        <v>0.56910000000000005</v>
      </c>
      <c r="AR1192" s="312">
        <v>0.62849999999999995</v>
      </c>
      <c r="AS1192" s="312">
        <v>0.4975</v>
      </c>
      <c r="AT1192" s="312">
        <v>0.65800000000000003</v>
      </c>
      <c r="AU1192" s="312">
        <v>0.75780000000000003</v>
      </c>
      <c r="AV1192" s="312">
        <v>0.71020000000000005</v>
      </c>
      <c r="AW1192" s="312">
        <v>0.60499999999999998</v>
      </c>
      <c r="AX1192" s="312">
        <v>0.55659999999999998</v>
      </c>
      <c r="AY1192" s="312">
        <v>0.66949999999999998</v>
      </c>
      <c r="AZ1192" s="312">
        <v>0.63119999999999998</v>
      </c>
      <c r="BA1192" s="312">
        <v>0.53210000000000002</v>
      </c>
      <c r="BB1192" s="312">
        <v>0.51739999999999997</v>
      </c>
      <c r="BC1192" s="312">
        <v>0.68840000000000001</v>
      </c>
      <c r="BD1192" s="312">
        <v>0.71550000000000002</v>
      </c>
      <c r="BE1192" s="312">
        <v>0.73199999999999998</v>
      </c>
      <c r="BF1192" s="312">
        <v>0.64119999999999999</v>
      </c>
      <c r="BG1192" s="312">
        <v>0.73170000000000002</v>
      </c>
      <c r="BH1192" s="312">
        <v>0.67110000000000003</v>
      </c>
      <c r="BI1192" s="312">
        <v>0.75419999999999998</v>
      </c>
      <c r="BJ1192" s="312">
        <v>0.71630000000000005</v>
      </c>
      <c r="BK1192" s="312">
        <v>0.74909999999999999</v>
      </c>
      <c r="BM1192">
        <f>(C1192-C781)*1000000/(RIMS_emp!C1192-RIMS_emp!C781)</f>
        <v>37551.31895616062</v>
      </c>
    </row>
    <row r="1193" spans="1:65" x14ac:dyDescent="0.25">
      <c r="A1193" s="306">
        <v>561900</v>
      </c>
      <c r="B1193" s="312" t="s">
        <v>328</v>
      </c>
      <c r="C1193" s="312">
        <v>0.71650000000000003</v>
      </c>
      <c r="D1193" s="312">
        <v>0.436</v>
      </c>
      <c r="E1193" s="312">
        <v>0.50180000000000002</v>
      </c>
      <c r="F1193" s="312">
        <v>0.44890000000000002</v>
      </c>
      <c r="G1193" s="312">
        <v>0.53490000000000004</v>
      </c>
      <c r="H1193" s="312">
        <v>0.59370000000000001</v>
      </c>
      <c r="I1193" s="312">
        <v>0.58740000000000003</v>
      </c>
      <c r="J1193" s="312">
        <v>0.49540000000000001</v>
      </c>
      <c r="K1193" s="312">
        <v>0.12770000000000001</v>
      </c>
      <c r="L1193" s="312">
        <v>0.3906</v>
      </c>
      <c r="M1193" s="312">
        <v>0.55859999999999999</v>
      </c>
      <c r="N1193" s="312">
        <v>0.58750000000000002</v>
      </c>
      <c r="O1193" s="312">
        <v>0.50590000000000002</v>
      </c>
      <c r="P1193" s="312">
        <v>0.41539999999999999</v>
      </c>
      <c r="Q1193" s="312">
        <v>0.43919999999999998</v>
      </c>
      <c r="R1193" s="312">
        <v>0.59370000000000001</v>
      </c>
      <c r="S1193" s="312">
        <v>0.50939999999999996</v>
      </c>
      <c r="T1193" s="312">
        <v>0.41199999999999998</v>
      </c>
      <c r="U1193" s="312">
        <v>0.47670000000000001</v>
      </c>
      <c r="V1193" s="312">
        <v>0.4904</v>
      </c>
      <c r="W1193" s="312">
        <v>0.52690000000000003</v>
      </c>
      <c r="X1193" s="312">
        <v>0.50170000000000003</v>
      </c>
      <c r="Y1193" s="312">
        <v>0.49969999999999998</v>
      </c>
      <c r="Z1193" s="312">
        <v>0.5524</v>
      </c>
      <c r="AA1193" s="312">
        <v>0.53620000000000001</v>
      </c>
      <c r="AB1193" s="312">
        <v>0.49740000000000001</v>
      </c>
      <c r="AC1193" s="312">
        <v>0.44159999999999999</v>
      </c>
      <c r="AD1193" s="312">
        <v>0.44779999999999998</v>
      </c>
      <c r="AE1193" s="312">
        <v>0.51990000000000003</v>
      </c>
      <c r="AF1193" s="312">
        <v>0.37680000000000002</v>
      </c>
      <c r="AG1193" s="312">
        <v>0.41849999999999998</v>
      </c>
      <c r="AH1193" s="312">
        <v>0.48220000000000002</v>
      </c>
      <c r="AI1193" s="312">
        <v>0.53790000000000004</v>
      </c>
      <c r="AJ1193" s="312">
        <v>0.4652</v>
      </c>
      <c r="AK1193" s="312">
        <v>0.48249999999999998</v>
      </c>
      <c r="AL1193" s="312">
        <v>0.4733</v>
      </c>
      <c r="AM1193" s="312">
        <v>0.55310000000000004</v>
      </c>
      <c r="AN1193" s="312">
        <v>0.50900000000000001</v>
      </c>
      <c r="AO1193" s="312">
        <v>0.50749999999999995</v>
      </c>
      <c r="AP1193" s="312">
        <v>0.55269999999999997</v>
      </c>
      <c r="AQ1193" s="312">
        <v>0.46929999999999999</v>
      </c>
      <c r="AR1193" s="312">
        <v>0.50680000000000003</v>
      </c>
      <c r="AS1193" s="312">
        <v>0.39489999999999997</v>
      </c>
      <c r="AT1193" s="312">
        <v>0.54320000000000002</v>
      </c>
      <c r="AU1193" s="312">
        <v>0.59419999999999995</v>
      </c>
      <c r="AV1193" s="312">
        <v>0.57069999999999999</v>
      </c>
      <c r="AW1193" s="312">
        <v>0.49590000000000001</v>
      </c>
      <c r="AX1193" s="312">
        <v>0.45140000000000002</v>
      </c>
      <c r="AY1193" s="312">
        <v>0.53239999999999998</v>
      </c>
      <c r="AZ1193" s="312">
        <v>0.51719999999999999</v>
      </c>
      <c r="BA1193" s="312">
        <v>0.41389999999999999</v>
      </c>
      <c r="BB1193" s="312">
        <v>0.38569999999999999</v>
      </c>
      <c r="BC1193" s="312">
        <v>0.57289999999999996</v>
      </c>
      <c r="BD1193" s="312">
        <v>0.5948</v>
      </c>
      <c r="BE1193" s="312">
        <v>0.60019999999999996</v>
      </c>
      <c r="BF1193" s="312">
        <v>0.51910000000000001</v>
      </c>
      <c r="BG1193" s="312">
        <v>0.6089</v>
      </c>
      <c r="BH1193" s="312">
        <v>0.54200000000000004</v>
      </c>
      <c r="BI1193" s="312">
        <v>0.58830000000000005</v>
      </c>
      <c r="BJ1193" s="312">
        <v>0.57050000000000001</v>
      </c>
      <c r="BK1193" s="312">
        <v>0.59789999999999999</v>
      </c>
      <c r="BM1193">
        <f>(C1193-C782)*1000000/(RIMS_emp!C1193-RIMS_emp!C782)</f>
        <v>37549.667903171423</v>
      </c>
    </row>
    <row r="1194" spans="1:65" x14ac:dyDescent="0.25">
      <c r="A1194" s="306">
        <v>562000</v>
      </c>
      <c r="B1194" s="312" t="s">
        <v>329</v>
      </c>
      <c r="C1194" s="312">
        <v>0.68879999999999997</v>
      </c>
      <c r="D1194" s="312">
        <v>0.39750000000000002</v>
      </c>
      <c r="E1194" s="312">
        <v>0.48899999999999999</v>
      </c>
      <c r="F1194" s="312">
        <v>0.4375</v>
      </c>
      <c r="G1194" s="312">
        <v>0.50949999999999995</v>
      </c>
      <c r="H1194" s="312">
        <v>0.55669999999999997</v>
      </c>
      <c r="I1194" s="312">
        <v>0.56079999999999997</v>
      </c>
      <c r="J1194" s="312">
        <v>0.50770000000000004</v>
      </c>
      <c r="K1194" s="312">
        <v>0.12620000000000001</v>
      </c>
      <c r="L1194" s="312">
        <v>0.4123</v>
      </c>
      <c r="M1194" s="312">
        <v>0.51839999999999997</v>
      </c>
      <c r="N1194" s="312">
        <v>0.53720000000000001</v>
      </c>
      <c r="O1194" s="312">
        <v>0.47970000000000002</v>
      </c>
      <c r="P1194" s="312">
        <v>0.40229999999999999</v>
      </c>
      <c r="Q1194" s="312">
        <v>0.42149999999999999</v>
      </c>
      <c r="R1194" s="312">
        <v>0.56869999999999998</v>
      </c>
      <c r="S1194" s="312">
        <v>0.50609999999999999</v>
      </c>
      <c r="T1194" s="312">
        <v>0.4249</v>
      </c>
      <c r="U1194" s="312">
        <v>0.47549999999999998</v>
      </c>
      <c r="V1194" s="312">
        <v>0.48049999999999998</v>
      </c>
      <c r="W1194" s="312">
        <v>0.505</v>
      </c>
      <c r="X1194" s="312">
        <v>0.50900000000000001</v>
      </c>
      <c r="Y1194" s="312">
        <v>0.49309999999999998</v>
      </c>
      <c r="Z1194" s="312">
        <v>0.52680000000000005</v>
      </c>
      <c r="AA1194" s="312">
        <v>0.49530000000000002</v>
      </c>
      <c r="AB1194" s="312">
        <v>0.48909999999999998</v>
      </c>
      <c r="AC1194" s="312">
        <v>0.44800000000000001</v>
      </c>
      <c r="AD1194" s="312">
        <v>0.40679999999999999</v>
      </c>
      <c r="AE1194" s="312">
        <v>0.48089999999999999</v>
      </c>
      <c r="AF1194" s="312">
        <v>0.35249999999999998</v>
      </c>
      <c r="AG1194" s="312">
        <v>0.39679999999999999</v>
      </c>
      <c r="AH1194" s="312">
        <v>0.50470000000000004</v>
      </c>
      <c r="AI1194" s="312">
        <v>0.55840000000000001</v>
      </c>
      <c r="AJ1194" s="312">
        <v>0.44919999999999999</v>
      </c>
      <c r="AK1194" s="312">
        <v>0.46279999999999999</v>
      </c>
      <c r="AL1194" s="312">
        <v>0.4496</v>
      </c>
      <c r="AM1194" s="312">
        <v>0.54690000000000005</v>
      </c>
      <c r="AN1194" s="312">
        <v>0.48880000000000001</v>
      </c>
      <c r="AO1194" s="312">
        <v>0.48780000000000001</v>
      </c>
      <c r="AP1194" s="312">
        <v>0.55230000000000001</v>
      </c>
      <c r="AQ1194" s="312">
        <v>0.4844</v>
      </c>
      <c r="AR1194" s="312">
        <v>0.51829999999999998</v>
      </c>
      <c r="AS1194" s="312">
        <v>0.36649999999999999</v>
      </c>
      <c r="AT1194" s="312">
        <v>0.53559999999999997</v>
      </c>
      <c r="AU1194" s="312">
        <v>0.56859999999999999</v>
      </c>
      <c r="AV1194" s="312">
        <v>0.5464</v>
      </c>
      <c r="AW1194" s="312">
        <v>0.5121</v>
      </c>
      <c r="AX1194" s="312">
        <v>0.43880000000000002</v>
      </c>
      <c r="AY1194" s="312">
        <v>0.51070000000000004</v>
      </c>
      <c r="AZ1194" s="312">
        <v>0.49859999999999999</v>
      </c>
      <c r="BA1194" s="312">
        <v>0.43190000000000001</v>
      </c>
      <c r="BB1194" s="312">
        <v>0.3715</v>
      </c>
      <c r="BC1194" s="312">
        <v>0.54979999999999996</v>
      </c>
      <c r="BD1194" s="312">
        <v>0.56510000000000005</v>
      </c>
      <c r="BE1194" s="312">
        <v>0.57879999999999998</v>
      </c>
      <c r="BF1194" s="312">
        <v>0.48920000000000002</v>
      </c>
      <c r="BG1194" s="312">
        <v>0.56820000000000004</v>
      </c>
      <c r="BH1194" s="312">
        <v>0.53220000000000001</v>
      </c>
      <c r="BI1194" s="312">
        <v>0.56599999999999995</v>
      </c>
      <c r="BJ1194" s="312">
        <v>0.54159999999999997</v>
      </c>
      <c r="BK1194" s="312">
        <v>0.5645</v>
      </c>
      <c r="BM1194">
        <f>(C1194-C783)*1000000/(RIMS_emp!C1194-RIMS_emp!C783)</f>
        <v>37531.835720059178</v>
      </c>
    </row>
    <row r="1195" spans="1:65" x14ac:dyDescent="0.25">
      <c r="A1195" s="306">
        <v>611100</v>
      </c>
      <c r="B1195" s="312" t="s">
        <v>772</v>
      </c>
      <c r="C1195" s="312">
        <v>0.96479999999999999</v>
      </c>
      <c r="D1195" s="312">
        <v>0.65969999999999995</v>
      </c>
      <c r="E1195" s="312">
        <v>0.7198</v>
      </c>
      <c r="F1195" s="312">
        <v>0.65990000000000004</v>
      </c>
      <c r="G1195" s="312">
        <v>0.75460000000000005</v>
      </c>
      <c r="H1195" s="312">
        <v>0.82310000000000005</v>
      </c>
      <c r="I1195" s="312">
        <v>0.81599999999999995</v>
      </c>
      <c r="J1195" s="312">
        <v>0.7006</v>
      </c>
      <c r="K1195" s="312">
        <v>0.1799</v>
      </c>
      <c r="L1195" s="312">
        <v>0.57740000000000002</v>
      </c>
      <c r="M1195" s="312">
        <v>0.78139999999999998</v>
      </c>
      <c r="N1195" s="312">
        <v>0.78990000000000005</v>
      </c>
      <c r="O1195" s="312">
        <v>0.72660000000000002</v>
      </c>
      <c r="P1195" s="312">
        <v>0.62029999999999996</v>
      </c>
      <c r="Q1195" s="312">
        <v>0.64600000000000002</v>
      </c>
      <c r="R1195" s="312">
        <v>0.80859999999999999</v>
      </c>
      <c r="S1195" s="312">
        <v>0.71809999999999996</v>
      </c>
      <c r="T1195" s="312">
        <v>0.62639999999999996</v>
      </c>
      <c r="U1195" s="312">
        <v>0.67849999999999999</v>
      </c>
      <c r="V1195" s="312">
        <v>0.70420000000000005</v>
      </c>
      <c r="W1195" s="312">
        <v>0.7409</v>
      </c>
      <c r="X1195" s="312">
        <v>0.70530000000000004</v>
      </c>
      <c r="Y1195" s="312">
        <v>0.70930000000000004</v>
      </c>
      <c r="Z1195" s="312">
        <v>0.75249999999999995</v>
      </c>
      <c r="AA1195" s="312">
        <v>0.75149999999999995</v>
      </c>
      <c r="AB1195" s="312">
        <v>0.72360000000000002</v>
      </c>
      <c r="AC1195" s="312">
        <v>0.66720000000000002</v>
      </c>
      <c r="AD1195" s="312">
        <v>0.66259999999999997</v>
      </c>
      <c r="AE1195" s="312">
        <v>0.73060000000000003</v>
      </c>
      <c r="AF1195" s="312">
        <v>0.58540000000000003</v>
      </c>
      <c r="AG1195" s="312">
        <v>0.61519999999999997</v>
      </c>
      <c r="AH1195" s="312">
        <v>0.64939999999999998</v>
      </c>
      <c r="AI1195" s="312">
        <v>0.7349</v>
      </c>
      <c r="AJ1195" s="312">
        <v>0.67059999999999997</v>
      </c>
      <c r="AK1195" s="312">
        <v>0.69499999999999995</v>
      </c>
      <c r="AL1195" s="312">
        <v>0.6895</v>
      </c>
      <c r="AM1195" s="312">
        <v>0.76839999999999997</v>
      </c>
      <c r="AN1195" s="312">
        <v>0.72170000000000001</v>
      </c>
      <c r="AO1195" s="312">
        <v>0.72509999999999997</v>
      </c>
      <c r="AP1195" s="312">
        <v>0.77270000000000005</v>
      </c>
      <c r="AQ1195" s="312">
        <v>0.63490000000000002</v>
      </c>
      <c r="AR1195" s="312">
        <v>0.73780000000000001</v>
      </c>
      <c r="AS1195" s="312">
        <v>0.5998</v>
      </c>
      <c r="AT1195" s="312">
        <v>0.76880000000000004</v>
      </c>
      <c r="AU1195" s="312">
        <v>0.82789999999999997</v>
      </c>
      <c r="AV1195" s="312">
        <v>0.79890000000000005</v>
      </c>
      <c r="AW1195" s="312">
        <v>0.70860000000000001</v>
      </c>
      <c r="AX1195" s="312">
        <v>0.66110000000000002</v>
      </c>
      <c r="AY1195" s="312">
        <v>0.75780000000000003</v>
      </c>
      <c r="AZ1195" s="312">
        <v>0.72919999999999996</v>
      </c>
      <c r="BA1195" s="312">
        <v>0.61660000000000004</v>
      </c>
      <c r="BB1195" s="312">
        <v>0.61399999999999999</v>
      </c>
      <c r="BC1195" s="312">
        <v>0.79290000000000005</v>
      </c>
      <c r="BD1195" s="312">
        <v>0.81699999999999995</v>
      </c>
      <c r="BE1195" s="312">
        <v>0.81499999999999995</v>
      </c>
      <c r="BF1195" s="312">
        <v>0.73309999999999997</v>
      </c>
      <c r="BG1195" s="312">
        <v>0.82130000000000003</v>
      </c>
      <c r="BH1195" s="312">
        <v>0.76470000000000005</v>
      </c>
      <c r="BI1195" s="312">
        <v>0.82750000000000001</v>
      </c>
      <c r="BJ1195" s="312">
        <v>0.79959999999999998</v>
      </c>
      <c r="BK1195" s="312">
        <v>0.83109999999999995</v>
      </c>
      <c r="BM1195">
        <f>(C1195-C784)*1000000/(RIMS_emp!C1195-RIMS_emp!C784)</f>
        <v>37541.918905971012</v>
      </c>
    </row>
    <row r="1196" spans="1:65" x14ac:dyDescent="0.25">
      <c r="A1196" s="306" t="s">
        <v>773</v>
      </c>
      <c r="B1196" s="312" t="s">
        <v>774</v>
      </c>
      <c r="C1196" s="312">
        <v>0.9879</v>
      </c>
      <c r="D1196" s="312">
        <v>0.67100000000000004</v>
      </c>
      <c r="E1196" s="312">
        <v>0.73150000000000004</v>
      </c>
      <c r="F1196" s="312">
        <v>0.67269999999999996</v>
      </c>
      <c r="G1196" s="312">
        <v>0.75319999999999998</v>
      </c>
      <c r="H1196" s="312">
        <v>0.82820000000000005</v>
      </c>
      <c r="I1196" s="312">
        <v>0.83299999999999996</v>
      </c>
      <c r="J1196" s="312">
        <v>0.70130000000000003</v>
      </c>
      <c r="K1196" s="312">
        <v>0.17660000000000001</v>
      </c>
      <c r="L1196" s="312">
        <v>0.57879999999999998</v>
      </c>
      <c r="M1196" s="312">
        <v>0.76780000000000004</v>
      </c>
      <c r="N1196" s="312">
        <v>0.78690000000000004</v>
      </c>
      <c r="O1196" s="312">
        <v>0.73919999999999997</v>
      </c>
      <c r="P1196" s="312">
        <v>0.62480000000000002</v>
      </c>
      <c r="Q1196" s="312">
        <v>0.65610000000000002</v>
      </c>
      <c r="R1196" s="312">
        <v>0.81320000000000003</v>
      </c>
      <c r="S1196" s="312">
        <v>0.72350000000000003</v>
      </c>
      <c r="T1196" s="312">
        <v>0.63600000000000001</v>
      </c>
      <c r="U1196" s="312">
        <v>0.69030000000000002</v>
      </c>
      <c r="V1196" s="312">
        <v>0.71140000000000003</v>
      </c>
      <c r="W1196" s="312">
        <v>0.7429</v>
      </c>
      <c r="X1196" s="312">
        <v>0.70320000000000005</v>
      </c>
      <c r="Y1196" s="312">
        <v>0.71509999999999996</v>
      </c>
      <c r="Z1196" s="312">
        <v>0.76559999999999995</v>
      </c>
      <c r="AA1196" s="312">
        <v>0.75519999999999998</v>
      </c>
      <c r="AB1196" s="312">
        <v>0.74199999999999999</v>
      </c>
      <c r="AC1196" s="312">
        <v>0.66820000000000002</v>
      </c>
      <c r="AD1196" s="312">
        <v>0.67579999999999996</v>
      </c>
      <c r="AE1196" s="312">
        <v>0.73480000000000001</v>
      </c>
      <c r="AF1196" s="312">
        <v>0.59789999999999999</v>
      </c>
      <c r="AG1196" s="312">
        <v>0.62719999999999998</v>
      </c>
      <c r="AH1196" s="312">
        <v>0.64570000000000005</v>
      </c>
      <c r="AI1196" s="312">
        <v>0.74229999999999996</v>
      </c>
      <c r="AJ1196" s="312">
        <v>0.68759999999999999</v>
      </c>
      <c r="AK1196" s="312">
        <v>0.69020000000000004</v>
      </c>
      <c r="AL1196" s="312">
        <v>0.68769999999999998</v>
      </c>
      <c r="AM1196" s="312">
        <v>0.78359999999999996</v>
      </c>
      <c r="AN1196" s="312">
        <v>0.7339</v>
      </c>
      <c r="AO1196" s="312">
        <v>0.72929999999999995</v>
      </c>
      <c r="AP1196" s="312">
        <v>0.79239999999999999</v>
      </c>
      <c r="AQ1196" s="312">
        <v>0.62350000000000005</v>
      </c>
      <c r="AR1196" s="312">
        <v>0.73419999999999996</v>
      </c>
      <c r="AS1196" s="312">
        <v>0.60740000000000005</v>
      </c>
      <c r="AT1196" s="312">
        <v>0.7702</v>
      </c>
      <c r="AU1196" s="312">
        <v>0.83899999999999997</v>
      </c>
      <c r="AV1196" s="312">
        <v>0.8135</v>
      </c>
      <c r="AW1196" s="312">
        <v>0.72130000000000005</v>
      </c>
      <c r="AX1196" s="312">
        <v>0.6613</v>
      </c>
      <c r="AY1196" s="312">
        <v>0.77070000000000005</v>
      </c>
      <c r="AZ1196" s="312">
        <v>0.7339</v>
      </c>
      <c r="BA1196" s="312">
        <v>0.63</v>
      </c>
      <c r="BB1196" s="312">
        <v>0.61619999999999997</v>
      </c>
      <c r="BC1196" s="312">
        <v>0.79749999999999999</v>
      </c>
      <c r="BD1196" s="312">
        <v>0.82450000000000001</v>
      </c>
      <c r="BE1196" s="312">
        <v>0.82609999999999995</v>
      </c>
      <c r="BF1196" s="312">
        <v>0.74950000000000006</v>
      </c>
      <c r="BG1196" s="312">
        <v>0.83109999999999995</v>
      </c>
      <c r="BH1196" s="312">
        <v>0.76919999999999999</v>
      </c>
      <c r="BI1196" s="312">
        <v>0.83579999999999999</v>
      </c>
      <c r="BJ1196" s="312">
        <v>0.81759999999999999</v>
      </c>
      <c r="BK1196" s="312">
        <v>0.83840000000000003</v>
      </c>
      <c r="BM1196">
        <f>(C1196-C785)*1000000/(RIMS_emp!C1196-RIMS_emp!C785)</f>
        <v>37536.419897492611</v>
      </c>
    </row>
    <row r="1197" spans="1:65" x14ac:dyDescent="0.25">
      <c r="A1197" s="306" t="s">
        <v>775</v>
      </c>
      <c r="B1197" s="312" t="s">
        <v>776</v>
      </c>
      <c r="C1197" s="312">
        <v>0.76249999999999996</v>
      </c>
      <c r="D1197" s="312">
        <v>0.46920000000000001</v>
      </c>
      <c r="E1197" s="312">
        <v>0.52890000000000004</v>
      </c>
      <c r="F1197" s="312">
        <v>0.4824</v>
      </c>
      <c r="G1197" s="312">
        <v>0.56599999999999995</v>
      </c>
      <c r="H1197" s="312">
        <v>0.6341</v>
      </c>
      <c r="I1197" s="312">
        <v>0.63080000000000003</v>
      </c>
      <c r="J1197" s="312">
        <v>0.54</v>
      </c>
      <c r="K1197" s="312">
        <v>0.1318</v>
      </c>
      <c r="L1197" s="312">
        <v>0.42980000000000002</v>
      </c>
      <c r="M1197" s="312">
        <v>0.59460000000000002</v>
      </c>
      <c r="N1197" s="312">
        <v>0.61819999999999997</v>
      </c>
      <c r="O1197" s="312">
        <v>0.5373</v>
      </c>
      <c r="P1197" s="312">
        <v>0.45379999999999998</v>
      </c>
      <c r="Q1197" s="312">
        <v>0.46550000000000002</v>
      </c>
      <c r="R1197" s="312">
        <v>0.63490000000000002</v>
      </c>
      <c r="S1197" s="312">
        <v>0.53469999999999995</v>
      </c>
      <c r="T1197" s="312">
        <v>0.46839999999999998</v>
      </c>
      <c r="U1197" s="312">
        <v>0.50780000000000003</v>
      </c>
      <c r="V1197" s="312">
        <v>0.51880000000000004</v>
      </c>
      <c r="W1197" s="312">
        <v>0.57899999999999996</v>
      </c>
      <c r="X1197" s="312">
        <v>0.54300000000000004</v>
      </c>
      <c r="Y1197" s="312">
        <v>0.5343</v>
      </c>
      <c r="Z1197" s="312">
        <v>0.58230000000000004</v>
      </c>
      <c r="AA1197" s="312">
        <v>0.57220000000000004</v>
      </c>
      <c r="AB1197" s="312">
        <v>0.54769999999999996</v>
      </c>
      <c r="AC1197" s="312">
        <v>0.4743</v>
      </c>
      <c r="AD1197" s="312">
        <v>0.47960000000000003</v>
      </c>
      <c r="AE1197" s="312">
        <v>0.55469999999999997</v>
      </c>
      <c r="AF1197" s="312">
        <v>0.41370000000000001</v>
      </c>
      <c r="AG1197" s="312">
        <v>0.45590000000000003</v>
      </c>
      <c r="AH1197" s="312">
        <v>0.49869999999999998</v>
      </c>
      <c r="AI1197" s="312">
        <v>0.57709999999999995</v>
      </c>
      <c r="AJ1197" s="312">
        <v>0.48709999999999998</v>
      </c>
      <c r="AK1197" s="312">
        <v>0.50090000000000001</v>
      </c>
      <c r="AL1197" s="312">
        <v>0.52110000000000001</v>
      </c>
      <c r="AM1197" s="312">
        <v>0.59350000000000003</v>
      </c>
      <c r="AN1197" s="312">
        <v>0.5363</v>
      </c>
      <c r="AO1197" s="312">
        <v>0.54379999999999995</v>
      </c>
      <c r="AP1197" s="312">
        <v>0.59699999999999998</v>
      </c>
      <c r="AQ1197" s="312">
        <v>0.48520000000000002</v>
      </c>
      <c r="AR1197" s="312">
        <v>0.54579999999999995</v>
      </c>
      <c r="AS1197" s="312">
        <v>0.42330000000000001</v>
      </c>
      <c r="AT1197" s="312">
        <v>0.57950000000000002</v>
      </c>
      <c r="AU1197" s="312">
        <v>0.63419999999999999</v>
      </c>
      <c r="AV1197" s="312">
        <v>0.60909999999999997</v>
      </c>
      <c r="AW1197" s="312">
        <v>0.54500000000000004</v>
      </c>
      <c r="AX1197" s="312">
        <v>0.48509999999999998</v>
      </c>
      <c r="AY1197" s="312">
        <v>0.57169999999999999</v>
      </c>
      <c r="AZ1197" s="312">
        <v>0.54910000000000003</v>
      </c>
      <c r="BA1197" s="312">
        <v>0.44450000000000001</v>
      </c>
      <c r="BB1197" s="312">
        <v>0.42380000000000001</v>
      </c>
      <c r="BC1197" s="312">
        <v>0.62019999999999997</v>
      </c>
      <c r="BD1197" s="312">
        <v>0.63970000000000005</v>
      </c>
      <c r="BE1197" s="312">
        <v>0.63549999999999995</v>
      </c>
      <c r="BF1197" s="312">
        <v>0.55900000000000005</v>
      </c>
      <c r="BG1197" s="312">
        <v>0.64239999999999997</v>
      </c>
      <c r="BH1197" s="312">
        <v>0.56830000000000003</v>
      </c>
      <c r="BI1197" s="312">
        <v>0.62739999999999996</v>
      </c>
      <c r="BJ1197" s="312">
        <v>0.60409999999999997</v>
      </c>
      <c r="BK1197" s="312">
        <v>0.6391</v>
      </c>
      <c r="BM1197">
        <f>(C1197-C786)*1000000/(RIMS_emp!C1197-RIMS_emp!C786)</f>
        <v>37543.226375322025</v>
      </c>
    </row>
    <row r="1198" spans="1:65" x14ac:dyDescent="0.25">
      <c r="A1198" s="306">
        <v>621600</v>
      </c>
      <c r="B1198" s="312" t="s">
        <v>331</v>
      </c>
      <c r="C1198" s="312">
        <v>1.1451</v>
      </c>
      <c r="D1198" s="312">
        <v>0.81200000000000006</v>
      </c>
      <c r="E1198" s="312">
        <v>0.88829999999999998</v>
      </c>
      <c r="F1198" s="312">
        <v>0.83260000000000001</v>
      </c>
      <c r="G1198" s="312">
        <v>0.92549999999999999</v>
      </c>
      <c r="H1198" s="312">
        <v>0.99199999999999999</v>
      </c>
      <c r="I1198" s="312">
        <v>0.9839</v>
      </c>
      <c r="J1198" s="312">
        <v>0.88270000000000004</v>
      </c>
      <c r="K1198" s="312">
        <v>0.17280000000000001</v>
      </c>
      <c r="L1198" s="312">
        <v>0.7177</v>
      </c>
      <c r="M1198" s="312">
        <v>0.95109999999999995</v>
      </c>
      <c r="N1198" s="312">
        <v>0.9637</v>
      </c>
      <c r="O1198" s="312">
        <v>0.89390000000000003</v>
      </c>
      <c r="P1198" s="312">
        <v>0.77380000000000004</v>
      </c>
      <c r="Q1198" s="312">
        <v>0.80500000000000005</v>
      </c>
      <c r="R1198" s="312">
        <v>0.98129999999999995</v>
      </c>
      <c r="S1198" s="312">
        <v>0.88190000000000002</v>
      </c>
      <c r="T1198" s="312">
        <v>0.77890000000000004</v>
      </c>
      <c r="U1198" s="312">
        <v>0.84440000000000004</v>
      </c>
      <c r="V1198" s="312">
        <v>0.88190000000000002</v>
      </c>
      <c r="W1198" s="312">
        <v>0.90820000000000001</v>
      </c>
      <c r="X1198" s="312">
        <v>0.85340000000000005</v>
      </c>
      <c r="Y1198" s="312">
        <v>0.8921</v>
      </c>
      <c r="Z1198" s="312">
        <v>0.94779999999999998</v>
      </c>
      <c r="AA1198" s="312">
        <v>0.91369999999999996</v>
      </c>
      <c r="AB1198" s="312">
        <v>0.85089999999999999</v>
      </c>
      <c r="AC1198" s="312">
        <v>0.82189999999999996</v>
      </c>
      <c r="AD1198" s="312">
        <v>0.82530000000000003</v>
      </c>
      <c r="AE1198" s="312">
        <v>0.91220000000000001</v>
      </c>
      <c r="AF1198" s="312">
        <v>0.7177</v>
      </c>
      <c r="AG1198" s="312">
        <v>0.78169999999999995</v>
      </c>
      <c r="AH1198" s="312">
        <v>0.84340000000000004</v>
      </c>
      <c r="AI1198" s="312">
        <v>0.91679999999999995</v>
      </c>
      <c r="AJ1198" s="312">
        <v>0.84430000000000005</v>
      </c>
      <c r="AK1198" s="312">
        <v>0.85850000000000004</v>
      </c>
      <c r="AL1198" s="312">
        <v>0.83789999999999998</v>
      </c>
      <c r="AM1198" s="312">
        <v>0.94579999999999997</v>
      </c>
      <c r="AN1198" s="312">
        <v>0.89570000000000005</v>
      </c>
      <c r="AO1198" s="312">
        <v>0.88439999999999996</v>
      </c>
      <c r="AP1198" s="312">
        <v>0.93679999999999997</v>
      </c>
      <c r="AQ1198" s="312">
        <v>0.81140000000000001</v>
      </c>
      <c r="AR1198" s="312">
        <v>0.91449999999999998</v>
      </c>
      <c r="AS1198" s="312">
        <v>0.75890000000000002</v>
      </c>
      <c r="AT1198" s="312">
        <v>0.92969999999999997</v>
      </c>
      <c r="AU1198" s="312">
        <v>0.99350000000000005</v>
      </c>
      <c r="AV1198" s="312">
        <v>0.96579999999999999</v>
      </c>
      <c r="AW1198" s="312">
        <v>0.86919999999999997</v>
      </c>
      <c r="AX1198" s="312">
        <v>0.79710000000000003</v>
      </c>
      <c r="AY1198" s="312">
        <v>0.92159999999999997</v>
      </c>
      <c r="AZ1198" s="312">
        <v>0.90269999999999995</v>
      </c>
      <c r="BA1198" s="312">
        <v>0.76449999999999996</v>
      </c>
      <c r="BB1198" s="312">
        <v>0.75949999999999995</v>
      </c>
      <c r="BC1198" s="312">
        <v>0.97460000000000002</v>
      </c>
      <c r="BD1198" s="312">
        <v>0.98760000000000003</v>
      </c>
      <c r="BE1198" s="312">
        <v>1.0015000000000001</v>
      </c>
      <c r="BF1198" s="312">
        <v>0.90500000000000003</v>
      </c>
      <c r="BG1198" s="312">
        <v>1.002</v>
      </c>
      <c r="BH1198" s="312">
        <v>0.92769999999999997</v>
      </c>
      <c r="BI1198" s="312">
        <v>0.99150000000000005</v>
      </c>
      <c r="BJ1198" s="312">
        <v>0.96360000000000001</v>
      </c>
      <c r="BK1198" s="312">
        <v>0.99870000000000003</v>
      </c>
      <c r="BM1198">
        <f>(C1198-C787)*1000000/(RIMS_emp!C1198-RIMS_emp!C787)</f>
        <v>37537.84056508576</v>
      </c>
    </row>
    <row r="1199" spans="1:65" x14ac:dyDescent="0.25">
      <c r="A1199" s="306" t="s">
        <v>777</v>
      </c>
      <c r="B1199" s="312" t="s">
        <v>330</v>
      </c>
      <c r="C1199" s="312">
        <v>1.0840000000000001</v>
      </c>
      <c r="D1199" s="312">
        <v>0.74909999999999999</v>
      </c>
      <c r="E1199" s="312">
        <v>0.82569999999999999</v>
      </c>
      <c r="F1199" s="312">
        <v>0.75970000000000004</v>
      </c>
      <c r="G1199" s="312">
        <v>0.86350000000000005</v>
      </c>
      <c r="H1199" s="312">
        <v>0.93269999999999997</v>
      </c>
      <c r="I1199" s="312">
        <v>0.92520000000000002</v>
      </c>
      <c r="J1199" s="312">
        <v>0.8226</v>
      </c>
      <c r="K1199" s="312">
        <v>0.15820000000000001</v>
      </c>
      <c r="L1199" s="312">
        <v>0.66279999999999994</v>
      </c>
      <c r="M1199" s="312">
        <v>0.89370000000000005</v>
      </c>
      <c r="N1199" s="312">
        <v>0.90329999999999999</v>
      </c>
      <c r="O1199" s="312">
        <v>0.82340000000000002</v>
      </c>
      <c r="P1199" s="312">
        <v>0.71279999999999999</v>
      </c>
      <c r="Q1199" s="312">
        <v>0.73660000000000003</v>
      </c>
      <c r="R1199" s="312">
        <v>0.91659999999999997</v>
      </c>
      <c r="S1199" s="312">
        <v>0.82220000000000004</v>
      </c>
      <c r="T1199" s="312">
        <v>0.72050000000000003</v>
      </c>
      <c r="U1199" s="312">
        <v>0.78420000000000001</v>
      </c>
      <c r="V1199" s="312">
        <v>0.80989999999999995</v>
      </c>
      <c r="W1199" s="312">
        <v>0.85329999999999995</v>
      </c>
      <c r="X1199" s="312">
        <v>0.79610000000000003</v>
      </c>
      <c r="Y1199" s="312">
        <v>0.83740000000000003</v>
      </c>
      <c r="Z1199" s="312">
        <v>0.88180000000000003</v>
      </c>
      <c r="AA1199" s="312">
        <v>0.85860000000000003</v>
      </c>
      <c r="AB1199" s="312">
        <v>0.79359999999999997</v>
      </c>
      <c r="AC1199" s="312">
        <v>0.75119999999999998</v>
      </c>
      <c r="AD1199" s="312">
        <v>0.76790000000000003</v>
      </c>
      <c r="AE1199" s="312">
        <v>0.84230000000000005</v>
      </c>
      <c r="AF1199" s="312">
        <v>0.6573</v>
      </c>
      <c r="AG1199" s="312">
        <v>0.72330000000000005</v>
      </c>
      <c r="AH1199" s="312">
        <v>0.78500000000000003</v>
      </c>
      <c r="AI1199" s="312">
        <v>0.86339999999999995</v>
      </c>
      <c r="AJ1199" s="312">
        <v>0.77890000000000004</v>
      </c>
      <c r="AK1199" s="312">
        <v>0.78879999999999995</v>
      </c>
      <c r="AL1199" s="312">
        <v>0.78129999999999999</v>
      </c>
      <c r="AM1199" s="312">
        <v>0.88019999999999998</v>
      </c>
      <c r="AN1199" s="312">
        <v>0.82609999999999995</v>
      </c>
      <c r="AO1199" s="312">
        <v>0.82120000000000004</v>
      </c>
      <c r="AP1199" s="312">
        <v>0.88119999999999998</v>
      </c>
      <c r="AQ1199" s="312">
        <v>0.75509999999999999</v>
      </c>
      <c r="AR1199" s="312">
        <v>0.85</v>
      </c>
      <c r="AS1199" s="312">
        <v>0.69710000000000005</v>
      </c>
      <c r="AT1199" s="312">
        <v>0.86609999999999998</v>
      </c>
      <c r="AU1199" s="312">
        <v>0.92600000000000005</v>
      </c>
      <c r="AV1199" s="312">
        <v>0.90280000000000005</v>
      </c>
      <c r="AW1199" s="312">
        <v>0.80720000000000003</v>
      </c>
      <c r="AX1199" s="312">
        <v>0.74890000000000001</v>
      </c>
      <c r="AY1199" s="312">
        <v>0.85680000000000001</v>
      </c>
      <c r="AZ1199" s="312">
        <v>0.84040000000000004</v>
      </c>
      <c r="BA1199" s="312">
        <v>0.70860000000000001</v>
      </c>
      <c r="BB1199" s="312">
        <v>0.69359999999999999</v>
      </c>
      <c r="BC1199" s="312">
        <v>0.91759999999999997</v>
      </c>
      <c r="BD1199" s="312">
        <v>0.93379999999999996</v>
      </c>
      <c r="BE1199" s="312">
        <v>0.94089999999999996</v>
      </c>
      <c r="BF1199" s="312">
        <v>0.84599999999999997</v>
      </c>
      <c r="BG1199" s="312">
        <v>0.94120000000000004</v>
      </c>
      <c r="BH1199" s="312">
        <v>0.86399999999999999</v>
      </c>
      <c r="BI1199" s="312">
        <v>0.92169999999999996</v>
      </c>
      <c r="BJ1199" s="312">
        <v>0.89990000000000003</v>
      </c>
      <c r="BK1199" s="312">
        <v>0.93899999999999995</v>
      </c>
      <c r="BM1199">
        <f>(C1199-C788)*1000000/(RIMS_emp!C1199-RIMS_emp!C788)</f>
        <v>37541.669896891246</v>
      </c>
    </row>
    <row r="1200" spans="1:65" x14ac:dyDescent="0.25">
      <c r="A1200" s="306" t="s">
        <v>778</v>
      </c>
      <c r="B1200" s="312" t="s">
        <v>332</v>
      </c>
      <c r="C1200" s="312">
        <v>1.0501</v>
      </c>
      <c r="D1200" s="312">
        <v>0.70079999999999998</v>
      </c>
      <c r="E1200" s="312">
        <v>0.78339999999999999</v>
      </c>
      <c r="F1200" s="312">
        <v>0.71809999999999996</v>
      </c>
      <c r="G1200" s="312">
        <v>0.8246</v>
      </c>
      <c r="H1200" s="312">
        <v>0.88959999999999995</v>
      </c>
      <c r="I1200" s="312">
        <v>0.88570000000000004</v>
      </c>
      <c r="J1200" s="312">
        <v>0.78590000000000004</v>
      </c>
      <c r="K1200" s="312">
        <v>0.1502</v>
      </c>
      <c r="L1200" s="312">
        <v>0.62760000000000005</v>
      </c>
      <c r="M1200" s="312">
        <v>0.85109999999999997</v>
      </c>
      <c r="N1200" s="312">
        <v>0.871</v>
      </c>
      <c r="O1200" s="312">
        <v>0.78200000000000003</v>
      </c>
      <c r="P1200" s="312">
        <v>0.65849999999999997</v>
      </c>
      <c r="Q1200" s="312">
        <v>0.68810000000000004</v>
      </c>
      <c r="R1200" s="312">
        <v>0.87429999999999997</v>
      </c>
      <c r="S1200" s="312">
        <v>0.78010000000000002</v>
      </c>
      <c r="T1200" s="312">
        <v>0.68110000000000004</v>
      </c>
      <c r="U1200" s="312">
        <v>0.74709999999999999</v>
      </c>
      <c r="V1200" s="312">
        <v>0.77610000000000001</v>
      </c>
      <c r="W1200" s="312">
        <v>0.81730000000000003</v>
      </c>
      <c r="X1200" s="312">
        <v>0.76419999999999999</v>
      </c>
      <c r="Y1200" s="312">
        <v>0.79169999999999996</v>
      </c>
      <c r="Z1200" s="312">
        <v>0.8417</v>
      </c>
      <c r="AA1200" s="312">
        <v>0.81599999999999995</v>
      </c>
      <c r="AB1200" s="312">
        <v>0.75939999999999996</v>
      </c>
      <c r="AC1200" s="312">
        <v>0.70579999999999998</v>
      </c>
      <c r="AD1200" s="312">
        <v>0.71209999999999996</v>
      </c>
      <c r="AE1200" s="312">
        <v>0.80420000000000003</v>
      </c>
      <c r="AF1200" s="312">
        <v>0.59970000000000001</v>
      </c>
      <c r="AG1200" s="312">
        <v>0.68010000000000004</v>
      </c>
      <c r="AH1200" s="312">
        <v>0.75070000000000003</v>
      </c>
      <c r="AI1200" s="312">
        <v>0.82950000000000002</v>
      </c>
      <c r="AJ1200" s="312">
        <v>0.73619999999999997</v>
      </c>
      <c r="AK1200" s="312">
        <v>0.75219999999999998</v>
      </c>
      <c r="AL1200" s="312">
        <v>0.73570000000000002</v>
      </c>
      <c r="AM1200" s="312">
        <v>0.84870000000000001</v>
      </c>
      <c r="AN1200" s="312">
        <v>0.78480000000000005</v>
      </c>
      <c r="AO1200" s="312">
        <v>0.78359999999999996</v>
      </c>
      <c r="AP1200" s="312">
        <v>0.84809999999999997</v>
      </c>
      <c r="AQ1200" s="312">
        <v>0.71899999999999997</v>
      </c>
      <c r="AR1200" s="312">
        <v>0.80969999999999998</v>
      </c>
      <c r="AS1200" s="312">
        <v>0.63629999999999998</v>
      </c>
      <c r="AT1200" s="312">
        <v>0.82769999999999999</v>
      </c>
      <c r="AU1200" s="312">
        <v>0.8881</v>
      </c>
      <c r="AV1200" s="312">
        <v>0.85799999999999998</v>
      </c>
      <c r="AW1200" s="312">
        <v>0.77749999999999997</v>
      </c>
      <c r="AX1200" s="312">
        <v>0.69699999999999995</v>
      </c>
      <c r="AY1200" s="312">
        <v>0.81520000000000004</v>
      </c>
      <c r="AZ1200" s="312">
        <v>0.79969999999999997</v>
      </c>
      <c r="BA1200" s="312">
        <v>0.66620000000000001</v>
      </c>
      <c r="BB1200" s="312">
        <v>0.64370000000000005</v>
      </c>
      <c r="BC1200" s="312">
        <v>0.87970000000000004</v>
      </c>
      <c r="BD1200" s="312">
        <v>0.89490000000000003</v>
      </c>
      <c r="BE1200" s="312">
        <v>0.90429999999999999</v>
      </c>
      <c r="BF1200" s="312">
        <v>0.80249999999999999</v>
      </c>
      <c r="BG1200" s="312">
        <v>0.90669999999999995</v>
      </c>
      <c r="BH1200" s="312">
        <v>0.82389999999999997</v>
      </c>
      <c r="BI1200" s="312">
        <v>0.88629999999999998</v>
      </c>
      <c r="BJ1200" s="312">
        <v>0.8609</v>
      </c>
      <c r="BK1200" s="312">
        <v>0.89700000000000002</v>
      </c>
      <c r="BM1200">
        <f>(C1200-C789)*1000000/(RIMS_emp!C1200-RIMS_emp!C789)</f>
        <v>37545.39361138067</v>
      </c>
    </row>
    <row r="1201" spans="1:65" x14ac:dyDescent="0.25">
      <c r="A1201" s="306">
        <v>622000</v>
      </c>
      <c r="B1201" s="312" t="s">
        <v>779</v>
      </c>
      <c r="C1201" s="312">
        <v>0.96619999999999995</v>
      </c>
      <c r="D1201" s="312">
        <v>0.62290000000000001</v>
      </c>
      <c r="E1201" s="312">
        <v>0.70420000000000005</v>
      </c>
      <c r="F1201" s="312">
        <v>0.64959999999999996</v>
      </c>
      <c r="G1201" s="312">
        <v>0.73809999999999998</v>
      </c>
      <c r="H1201" s="312">
        <v>0.81110000000000004</v>
      </c>
      <c r="I1201" s="312">
        <v>0.80620000000000003</v>
      </c>
      <c r="J1201" s="312">
        <v>0.70630000000000004</v>
      </c>
      <c r="K1201" s="312">
        <v>0.1125</v>
      </c>
      <c r="L1201" s="312">
        <v>0.56769999999999998</v>
      </c>
      <c r="M1201" s="312">
        <v>0.76359999999999995</v>
      </c>
      <c r="N1201" s="312">
        <v>0.78480000000000005</v>
      </c>
      <c r="O1201" s="312">
        <v>0.71040000000000003</v>
      </c>
      <c r="P1201" s="312">
        <v>0.59430000000000005</v>
      </c>
      <c r="Q1201" s="312">
        <v>0.62639999999999996</v>
      </c>
      <c r="R1201" s="312">
        <v>0.80079999999999996</v>
      </c>
      <c r="S1201" s="312">
        <v>0.70960000000000001</v>
      </c>
      <c r="T1201" s="312">
        <v>0.61409999999999998</v>
      </c>
      <c r="U1201" s="312">
        <v>0.67149999999999999</v>
      </c>
      <c r="V1201" s="312">
        <v>0.68679999999999997</v>
      </c>
      <c r="W1201" s="312">
        <v>0.74719999999999998</v>
      </c>
      <c r="X1201" s="312">
        <v>0.69510000000000005</v>
      </c>
      <c r="Y1201" s="312">
        <v>0.71840000000000004</v>
      </c>
      <c r="Z1201" s="312">
        <v>0.76049999999999995</v>
      </c>
      <c r="AA1201" s="312">
        <v>0.74880000000000002</v>
      </c>
      <c r="AB1201" s="312">
        <v>0.68430000000000002</v>
      </c>
      <c r="AC1201" s="312">
        <v>0.64029999999999998</v>
      </c>
      <c r="AD1201" s="312">
        <v>0.6341</v>
      </c>
      <c r="AE1201" s="312">
        <v>0.72960000000000003</v>
      </c>
      <c r="AF1201" s="312">
        <v>0.54769999999999996</v>
      </c>
      <c r="AG1201" s="312">
        <v>0.61460000000000004</v>
      </c>
      <c r="AH1201" s="312">
        <v>0.64790000000000003</v>
      </c>
      <c r="AI1201" s="312">
        <v>0.75080000000000002</v>
      </c>
      <c r="AJ1201" s="312">
        <v>0.65100000000000002</v>
      </c>
      <c r="AK1201" s="312">
        <v>0.67559999999999998</v>
      </c>
      <c r="AL1201" s="312">
        <v>0.66349999999999998</v>
      </c>
      <c r="AM1201" s="312">
        <v>0.7621</v>
      </c>
      <c r="AN1201" s="312">
        <v>0.70320000000000005</v>
      </c>
      <c r="AO1201" s="312">
        <v>0.70660000000000001</v>
      </c>
      <c r="AP1201" s="312">
        <v>0.76539999999999997</v>
      </c>
      <c r="AQ1201" s="312">
        <v>0.65269999999999995</v>
      </c>
      <c r="AR1201" s="312">
        <v>0.72960000000000003</v>
      </c>
      <c r="AS1201" s="312">
        <v>0.57450000000000001</v>
      </c>
      <c r="AT1201" s="312">
        <v>0.74360000000000004</v>
      </c>
      <c r="AU1201" s="312">
        <v>0.79959999999999998</v>
      </c>
      <c r="AV1201" s="312">
        <v>0.78510000000000002</v>
      </c>
      <c r="AW1201" s="312">
        <v>0.71240000000000003</v>
      </c>
      <c r="AX1201" s="312">
        <v>0.6008</v>
      </c>
      <c r="AY1201" s="312">
        <v>0.73970000000000002</v>
      </c>
      <c r="AZ1201" s="312">
        <v>0.72809999999999997</v>
      </c>
      <c r="BA1201" s="312">
        <v>0.5746</v>
      </c>
      <c r="BB1201" s="312">
        <v>0.57440000000000002</v>
      </c>
      <c r="BC1201" s="312">
        <v>0.80289999999999995</v>
      </c>
      <c r="BD1201" s="312">
        <v>0.81510000000000005</v>
      </c>
      <c r="BE1201" s="312">
        <v>0.81989999999999996</v>
      </c>
      <c r="BF1201" s="312">
        <v>0.73140000000000005</v>
      </c>
      <c r="BG1201" s="312">
        <v>0.82010000000000005</v>
      </c>
      <c r="BH1201" s="312">
        <v>0.74280000000000002</v>
      </c>
      <c r="BI1201" s="312">
        <v>0.79990000000000006</v>
      </c>
      <c r="BJ1201" s="312">
        <v>0.78129999999999999</v>
      </c>
      <c r="BK1201" s="312">
        <v>0.81910000000000005</v>
      </c>
      <c r="BM1201">
        <f>(C1201-C790)*1000000/(RIMS_emp!C1201-RIMS_emp!C790)</f>
        <v>37543.218735729657</v>
      </c>
    </row>
    <row r="1202" spans="1:65" x14ac:dyDescent="0.25">
      <c r="A1202" s="306">
        <v>623000</v>
      </c>
      <c r="B1202" s="312" t="s">
        <v>333</v>
      </c>
      <c r="C1202" s="312">
        <v>1.0105999999999999</v>
      </c>
      <c r="D1202" s="312">
        <v>0.68740000000000001</v>
      </c>
      <c r="E1202" s="312">
        <v>0.77090000000000003</v>
      </c>
      <c r="F1202" s="312">
        <v>0.6996</v>
      </c>
      <c r="G1202" s="312">
        <v>0.79810000000000003</v>
      </c>
      <c r="H1202" s="312">
        <v>0.85880000000000001</v>
      </c>
      <c r="I1202" s="312">
        <v>0.85960000000000003</v>
      </c>
      <c r="J1202" s="312">
        <v>0.75390000000000001</v>
      </c>
      <c r="K1202" s="312">
        <v>0.19719999999999999</v>
      </c>
      <c r="L1202" s="312">
        <v>0.63109999999999999</v>
      </c>
      <c r="M1202" s="312">
        <v>0.82050000000000001</v>
      </c>
      <c r="N1202" s="312">
        <v>0.82909999999999995</v>
      </c>
      <c r="O1202" s="312">
        <v>0.76949999999999996</v>
      </c>
      <c r="P1202" s="312">
        <v>0.67369999999999997</v>
      </c>
      <c r="Q1202" s="312">
        <v>0.68420000000000003</v>
      </c>
      <c r="R1202" s="312">
        <v>0.85740000000000005</v>
      </c>
      <c r="S1202" s="312">
        <v>0.76780000000000004</v>
      </c>
      <c r="T1202" s="312">
        <v>0.68369999999999997</v>
      </c>
      <c r="U1202" s="312">
        <v>0.74809999999999999</v>
      </c>
      <c r="V1202" s="312">
        <v>0.75870000000000004</v>
      </c>
      <c r="W1202" s="312">
        <v>0.77790000000000004</v>
      </c>
      <c r="X1202" s="312">
        <v>0.74209999999999998</v>
      </c>
      <c r="Y1202" s="312">
        <v>0.77449999999999997</v>
      </c>
      <c r="Z1202" s="312">
        <v>0.80889999999999995</v>
      </c>
      <c r="AA1202" s="312">
        <v>0.79410000000000003</v>
      </c>
      <c r="AB1202" s="312">
        <v>0.77500000000000002</v>
      </c>
      <c r="AC1202" s="312">
        <v>0.70879999999999999</v>
      </c>
      <c r="AD1202" s="312">
        <v>0.70679999999999998</v>
      </c>
      <c r="AE1202" s="312">
        <v>0.78249999999999997</v>
      </c>
      <c r="AF1202" s="312">
        <v>0.63349999999999995</v>
      </c>
      <c r="AG1202" s="312">
        <v>0.66990000000000005</v>
      </c>
      <c r="AH1202" s="312">
        <v>0.74170000000000003</v>
      </c>
      <c r="AI1202" s="312">
        <v>0.79630000000000001</v>
      </c>
      <c r="AJ1202" s="312">
        <v>0.72729999999999995</v>
      </c>
      <c r="AK1202" s="312">
        <v>0.72389999999999999</v>
      </c>
      <c r="AL1202" s="312">
        <v>0.73839999999999995</v>
      </c>
      <c r="AM1202" s="312">
        <v>0.82310000000000005</v>
      </c>
      <c r="AN1202" s="312">
        <v>0.77590000000000003</v>
      </c>
      <c r="AO1202" s="312">
        <v>0.76129999999999998</v>
      </c>
      <c r="AP1202" s="312">
        <v>0.83040000000000003</v>
      </c>
      <c r="AQ1202" s="312">
        <v>0.71379999999999999</v>
      </c>
      <c r="AR1202" s="312">
        <v>0.78859999999999997</v>
      </c>
      <c r="AS1202" s="312">
        <v>0.64419999999999999</v>
      </c>
      <c r="AT1202" s="312">
        <v>0.80820000000000003</v>
      </c>
      <c r="AU1202" s="312">
        <v>0.86809999999999998</v>
      </c>
      <c r="AV1202" s="312">
        <v>0.83830000000000005</v>
      </c>
      <c r="AW1202" s="312">
        <v>0.75970000000000004</v>
      </c>
      <c r="AX1202" s="312">
        <v>0.67469999999999997</v>
      </c>
      <c r="AY1202" s="312">
        <v>0.79579999999999995</v>
      </c>
      <c r="AZ1202" s="312">
        <v>0.78420000000000001</v>
      </c>
      <c r="BA1202" s="312">
        <v>0.66090000000000004</v>
      </c>
      <c r="BB1202" s="312">
        <v>0.64859999999999995</v>
      </c>
      <c r="BC1202" s="312">
        <v>0.84099999999999997</v>
      </c>
      <c r="BD1202" s="312">
        <v>0.85899999999999999</v>
      </c>
      <c r="BE1202" s="312">
        <v>0.87329999999999997</v>
      </c>
      <c r="BF1202" s="312">
        <v>0.78959999999999997</v>
      </c>
      <c r="BG1202" s="312">
        <v>0.87009999999999998</v>
      </c>
      <c r="BH1202" s="312">
        <v>0.81</v>
      </c>
      <c r="BI1202" s="312">
        <v>0.86809999999999998</v>
      </c>
      <c r="BJ1202" s="312">
        <v>0.83660000000000001</v>
      </c>
      <c r="BK1202" s="312">
        <v>0.86519999999999997</v>
      </c>
      <c r="BM1202">
        <f>(C1202-C791)*1000000/(RIMS_emp!C1202-RIMS_emp!C791)</f>
        <v>37535.602170433041</v>
      </c>
    </row>
    <row r="1203" spans="1:65" x14ac:dyDescent="0.25">
      <c r="A1203" s="306">
        <v>624200</v>
      </c>
      <c r="B1203" s="312" t="s">
        <v>336</v>
      </c>
      <c r="C1203" s="312">
        <v>0.92449999999999999</v>
      </c>
      <c r="D1203" s="312">
        <v>0.58289999999999997</v>
      </c>
      <c r="E1203" s="312">
        <v>0.66569999999999996</v>
      </c>
      <c r="F1203" s="312">
        <v>0.61040000000000005</v>
      </c>
      <c r="G1203" s="312">
        <v>0.6956</v>
      </c>
      <c r="H1203" s="312">
        <v>0.76380000000000003</v>
      </c>
      <c r="I1203" s="312">
        <v>0.75590000000000002</v>
      </c>
      <c r="J1203" s="312">
        <v>0.66610000000000003</v>
      </c>
      <c r="K1203" s="312">
        <v>0.18690000000000001</v>
      </c>
      <c r="L1203" s="312">
        <v>0.58560000000000001</v>
      </c>
      <c r="M1203" s="312">
        <v>0.72109999999999996</v>
      </c>
      <c r="N1203" s="312">
        <v>0.75049999999999994</v>
      </c>
      <c r="O1203" s="312">
        <v>0.6573</v>
      </c>
      <c r="P1203" s="312">
        <v>0.56079999999999997</v>
      </c>
      <c r="Q1203" s="312">
        <v>0.58479999999999999</v>
      </c>
      <c r="R1203" s="312">
        <v>0.77270000000000005</v>
      </c>
      <c r="S1203" s="312">
        <v>0.66349999999999998</v>
      </c>
      <c r="T1203" s="312">
        <v>0.5625</v>
      </c>
      <c r="U1203" s="312">
        <v>0.6381</v>
      </c>
      <c r="V1203" s="312">
        <v>0.64710000000000001</v>
      </c>
      <c r="W1203" s="312">
        <v>0.70140000000000002</v>
      </c>
      <c r="X1203" s="312">
        <v>0.66439999999999999</v>
      </c>
      <c r="Y1203" s="312">
        <v>0.65759999999999996</v>
      </c>
      <c r="Z1203" s="312">
        <v>0.70330000000000004</v>
      </c>
      <c r="AA1203" s="312">
        <v>0.69740000000000002</v>
      </c>
      <c r="AB1203" s="312">
        <v>0.66159999999999997</v>
      </c>
      <c r="AC1203" s="312">
        <v>0.60499999999999998</v>
      </c>
      <c r="AD1203" s="312">
        <v>0.59589999999999999</v>
      </c>
      <c r="AE1203" s="312">
        <v>0.6855</v>
      </c>
      <c r="AF1203" s="312">
        <v>0.51449999999999996</v>
      </c>
      <c r="AG1203" s="312">
        <v>0.55379999999999996</v>
      </c>
      <c r="AH1203" s="312">
        <v>0.65300000000000002</v>
      </c>
      <c r="AI1203" s="312">
        <v>0.7107</v>
      </c>
      <c r="AJ1203" s="312">
        <v>0.6129</v>
      </c>
      <c r="AK1203" s="312">
        <v>0.62180000000000002</v>
      </c>
      <c r="AL1203" s="312">
        <v>0.64339999999999997</v>
      </c>
      <c r="AM1203" s="312">
        <v>0.71940000000000004</v>
      </c>
      <c r="AN1203" s="312">
        <v>0.66410000000000002</v>
      </c>
      <c r="AO1203" s="312">
        <v>0.65590000000000004</v>
      </c>
      <c r="AP1203" s="312">
        <v>0.72819999999999996</v>
      </c>
      <c r="AQ1203" s="312">
        <v>0.61919999999999997</v>
      </c>
      <c r="AR1203" s="312">
        <v>0.69110000000000005</v>
      </c>
      <c r="AS1203" s="312">
        <v>0.53380000000000005</v>
      </c>
      <c r="AT1203" s="312">
        <v>0.71479999999999999</v>
      </c>
      <c r="AU1203" s="312">
        <v>0.76639999999999997</v>
      </c>
      <c r="AV1203" s="312">
        <v>0.72989999999999999</v>
      </c>
      <c r="AW1203" s="312">
        <v>0.66569999999999996</v>
      </c>
      <c r="AX1203" s="312">
        <v>0.59440000000000004</v>
      </c>
      <c r="AY1203" s="312">
        <v>0.68769999999999998</v>
      </c>
      <c r="AZ1203" s="312">
        <v>0.67679999999999996</v>
      </c>
      <c r="BA1203" s="312">
        <v>0.56459999999999999</v>
      </c>
      <c r="BB1203" s="312">
        <v>0.52980000000000005</v>
      </c>
      <c r="BC1203" s="312">
        <v>0.74909999999999999</v>
      </c>
      <c r="BD1203" s="312">
        <v>0.76919999999999999</v>
      </c>
      <c r="BE1203" s="312">
        <v>0.7722</v>
      </c>
      <c r="BF1203" s="312">
        <v>0.67759999999999998</v>
      </c>
      <c r="BG1203" s="312">
        <v>0.77639999999999998</v>
      </c>
      <c r="BH1203" s="312">
        <v>0.70620000000000005</v>
      </c>
      <c r="BI1203" s="312">
        <v>0.76559999999999995</v>
      </c>
      <c r="BJ1203" s="312">
        <v>0.73180000000000001</v>
      </c>
      <c r="BK1203" s="312">
        <v>0.76819999999999999</v>
      </c>
      <c r="BM1203">
        <f>(C1203-C792)*1000000/(RIMS_emp!C1203-RIMS_emp!C792)</f>
        <v>37543.321402193047</v>
      </c>
    </row>
    <row r="1204" spans="1:65" x14ac:dyDescent="0.25">
      <c r="A1204" s="306">
        <v>624400</v>
      </c>
      <c r="B1204" s="312" t="s">
        <v>334</v>
      </c>
      <c r="C1204" s="312">
        <v>0.81459999999999999</v>
      </c>
      <c r="D1204" s="312">
        <v>0.49969999999999998</v>
      </c>
      <c r="E1204" s="312">
        <v>0.56059999999999999</v>
      </c>
      <c r="F1204" s="312">
        <v>0.5202</v>
      </c>
      <c r="G1204" s="312">
        <v>0.59019999999999995</v>
      </c>
      <c r="H1204" s="312">
        <v>0.67230000000000001</v>
      </c>
      <c r="I1204" s="312">
        <v>0.65610000000000002</v>
      </c>
      <c r="J1204" s="312">
        <v>0.57950000000000002</v>
      </c>
      <c r="K1204" s="312">
        <v>0.15820000000000001</v>
      </c>
      <c r="L1204" s="312">
        <v>0.50349999999999995</v>
      </c>
      <c r="M1204" s="312">
        <v>0.61529999999999996</v>
      </c>
      <c r="N1204" s="312">
        <v>0.62929999999999997</v>
      </c>
      <c r="O1204" s="312">
        <v>0.56340000000000001</v>
      </c>
      <c r="P1204" s="312">
        <v>0.47289999999999999</v>
      </c>
      <c r="Q1204" s="312">
        <v>0.50129999999999997</v>
      </c>
      <c r="R1204" s="312">
        <v>0.67030000000000001</v>
      </c>
      <c r="S1204" s="312">
        <v>0.56130000000000002</v>
      </c>
      <c r="T1204" s="312">
        <v>0.47549999999999998</v>
      </c>
      <c r="U1204" s="312">
        <v>0.54359999999999997</v>
      </c>
      <c r="V1204" s="312">
        <v>0.55279999999999996</v>
      </c>
      <c r="W1204" s="312">
        <v>0.6129</v>
      </c>
      <c r="X1204" s="312">
        <v>0.56740000000000002</v>
      </c>
      <c r="Y1204" s="312">
        <v>0.56059999999999999</v>
      </c>
      <c r="Z1204" s="312">
        <v>0.58760000000000001</v>
      </c>
      <c r="AA1204" s="312">
        <v>0.60129999999999995</v>
      </c>
      <c r="AB1204" s="312">
        <v>0.57140000000000002</v>
      </c>
      <c r="AC1204" s="312">
        <v>0.51029999999999998</v>
      </c>
      <c r="AD1204" s="312">
        <v>0.51119999999999999</v>
      </c>
      <c r="AE1204" s="312">
        <v>0.57220000000000004</v>
      </c>
      <c r="AF1204" s="312">
        <v>0.44419999999999998</v>
      </c>
      <c r="AG1204" s="312">
        <v>0.4708</v>
      </c>
      <c r="AH1204" s="312">
        <v>0.5635</v>
      </c>
      <c r="AI1204" s="312">
        <v>0.62109999999999999</v>
      </c>
      <c r="AJ1204" s="312">
        <v>0.52949999999999997</v>
      </c>
      <c r="AK1204" s="312">
        <v>0.53100000000000003</v>
      </c>
      <c r="AL1204" s="312">
        <v>0.56720000000000004</v>
      </c>
      <c r="AM1204" s="312">
        <v>0.61070000000000002</v>
      </c>
      <c r="AN1204" s="312">
        <v>0.5605</v>
      </c>
      <c r="AO1204" s="312">
        <v>0.56369999999999998</v>
      </c>
      <c r="AP1204" s="312">
        <v>0.62560000000000004</v>
      </c>
      <c r="AQ1204" s="312">
        <v>0.53869999999999996</v>
      </c>
      <c r="AR1204" s="312">
        <v>0.57769999999999999</v>
      </c>
      <c r="AS1204" s="312">
        <v>0.45579999999999998</v>
      </c>
      <c r="AT1204" s="312">
        <v>0.61409999999999998</v>
      </c>
      <c r="AU1204" s="312">
        <v>0.6583</v>
      </c>
      <c r="AV1204" s="312">
        <v>0.62680000000000002</v>
      </c>
      <c r="AW1204" s="312">
        <v>0.56159999999999999</v>
      </c>
      <c r="AX1204" s="312">
        <v>0.51970000000000005</v>
      </c>
      <c r="AY1204" s="312">
        <v>0.5948</v>
      </c>
      <c r="AZ1204" s="312">
        <v>0.57720000000000005</v>
      </c>
      <c r="BA1204" s="312">
        <v>0.48170000000000002</v>
      </c>
      <c r="BB1204" s="312">
        <v>0.45529999999999998</v>
      </c>
      <c r="BC1204" s="312">
        <v>0.65469999999999995</v>
      </c>
      <c r="BD1204" s="312">
        <v>0.67889999999999995</v>
      </c>
      <c r="BE1204" s="312">
        <v>0.66100000000000003</v>
      </c>
      <c r="BF1204" s="312">
        <v>0.5776</v>
      </c>
      <c r="BG1204" s="312">
        <v>0.65280000000000005</v>
      </c>
      <c r="BH1204" s="312">
        <v>0.60150000000000003</v>
      </c>
      <c r="BI1204" s="312">
        <v>0.65259999999999996</v>
      </c>
      <c r="BJ1204" s="312">
        <v>0.62749999999999995</v>
      </c>
      <c r="BK1204" s="312">
        <v>0.67259999999999998</v>
      </c>
      <c r="BM1204">
        <f>(C1204-C793)*1000000/(RIMS_emp!C1204-RIMS_emp!C793)</f>
        <v>37540.461421404892</v>
      </c>
    </row>
    <row r="1205" spans="1:65" x14ac:dyDescent="0.25">
      <c r="A1205" s="306" t="s">
        <v>780</v>
      </c>
      <c r="B1205" s="312" t="s">
        <v>335</v>
      </c>
      <c r="C1205" s="312">
        <v>0.98450000000000004</v>
      </c>
      <c r="D1205" s="312">
        <v>0.64300000000000002</v>
      </c>
      <c r="E1205" s="312">
        <v>0.71909999999999996</v>
      </c>
      <c r="F1205" s="312">
        <v>0.66520000000000001</v>
      </c>
      <c r="G1205" s="312">
        <v>0.75439999999999996</v>
      </c>
      <c r="H1205" s="312">
        <v>0.82589999999999997</v>
      </c>
      <c r="I1205" s="312">
        <v>0.81840000000000002</v>
      </c>
      <c r="J1205" s="312">
        <v>0.72219999999999995</v>
      </c>
      <c r="K1205" s="312">
        <v>0.2064</v>
      </c>
      <c r="L1205" s="312">
        <v>0.63170000000000004</v>
      </c>
      <c r="M1205" s="312">
        <v>0.78039999999999998</v>
      </c>
      <c r="N1205" s="312">
        <v>0.80659999999999998</v>
      </c>
      <c r="O1205" s="312">
        <v>0.71860000000000002</v>
      </c>
      <c r="P1205" s="312">
        <v>0.61360000000000003</v>
      </c>
      <c r="Q1205" s="312">
        <v>0.64059999999999995</v>
      </c>
      <c r="R1205" s="312">
        <v>0.82410000000000005</v>
      </c>
      <c r="S1205" s="312">
        <v>0.71709999999999996</v>
      </c>
      <c r="T1205" s="312">
        <v>0.6169</v>
      </c>
      <c r="U1205" s="312">
        <v>0.68969999999999998</v>
      </c>
      <c r="V1205" s="312">
        <v>0.70720000000000005</v>
      </c>
      <c r="W1205" s="312">
        <v>0.75449999999999995</v>
      </c>
      <c r="X1205" s="312">
        <v>0.71430000000000005</v>
      </c>
      <c r="Y1205" s="312">
        <v>0.72109999999999996</v>
      </c>
      <c r="Z1205" s="312">
        <v>0.75980000000000003</v>
      </c>
      <c r="AA1205" s="312">
        <v>0.74590000000000001</v>
      </c>
      <c r="AB1205" s="312">
        <v>0.71909999999999996</v>
      </c>
      <c r="AC1205" s="312">
        <v>0.65720000000000001</v>
      </c>
      <c r="AD1205" s="312">
        <v>0.64990000000000003</v>
      </c>
      <c r="AE1205" s="312">
        <v>0.73670000000000002</v>
      </c>
      <c r="AF1205" s="312">
        <v>0.57220000000000004</v>
      </c>
      <c r="AG1205" s="312">
        <v>0.61160000000000003</v>
      </c>
      <c r="AH1205" s="312">
        <v>0.70120000000000005</v>
      </c>
      <c r="AI1205" s="312">
        <v>0.76980000000000004</v>
      </c>
      <c r="AJ1205" s="312">
        <v>0.67610000000000003</v>
      </c>
      <c r="AK1205" s="312">
        <v>0.68159999999999998</v>
      </c>
      <c r="AL1205" s="312">
        <v>0.70330000000000004</v>
      </c>
      <c r="AM1205" s="312">
        <v>0.78139999999999998</v>
      </c>
      <c r="AN1205" s="312">
        <v>0.72260000000000002</v>
      </c>
      <c r="AO1205" s="312">
        <v>0.71330000000000005</v>
      </c>
      <c r="AP1205" s="312">
        <v>0.78839999999999999</v>
      </c>
      <c r="AQ1205" s="312">
        <v>0.66590000000000005</v>
      </c>
      <c r="AR1205" s="312">
        <v>0.74329999999999996</v>
      </c>
      <c r="AS1205" s="312">
        <v>0.58730000000000004</v>
      </c>
      <c r="AT1205" s="312">
        <v>0.77310000000000001</v>
      </c>
      <c r="AU1205" s="312">
        <v>0.82310000000000005</v>
      </c>
      <c r="AV1205" s="312">
        <v>0.79379999999999995</v>
      </c>
      <c r="AW1205" s="312">
        <v>0.72299999999999998</v>
      </c>
      <c r="AX1205" s="312">
        <v>0.65310000000000001</v>
      </c>
      <c r="AY1205" s="312">
        <v>0.74870000000000003</v>
      </c>
      <c r="AZ1205" s="312">
        <v>0.73060000000000003</v>
      </c>
      <c r="BA1205" s="312">
        <v>0.62029999999999996</v>
      </c>
      <c r="BB1205" s="312">
        <v>0.58650000000000002</v>
      </c>
      <c r="BC1205" s="312">
        <v>0.8054</v>
      </c>
      <c r="BD1205" s="312">
        <v>0.83299999999999996</v>
      </c>
      <c r="BE1205" s="312">
        <v>0.83079999999999998</v>
      </c>
      <c r="BF1205" s="312">
        <v>0.73440000000000005</v>
      </c>
      <c r="BG1205" s="312">
        <v>0.83499999999999996</v>
      </c>
      <c r="BH1205" s="312">
        <v>0.76190000000000002</v>
      </c>
      <c r="BI1205" s="312">
        <v>0.8236</v>
      </c>
      <c r="BJ1205" s="312">
        <v>0.79220000000000002</v>
      </c>
      <c r="BK1205" s="312">
        <v>0.83020000000000005</v>
      </c>
      <c r="BM1205">
        <f>(C1205-C794)*1000000/(RIMS_emp!C1205-RIMS_emp!C794)</f>
        <v>37539.348023262028</v>
      </c>
    </row>
    <row r="1206" spans="1:65" x14ac:dyDescent="0.25">
      <c r="A1206" s="306">
        <v>711100</v>
      </c>
      <c r="B1206" s="312" t="s">
        <v>337</v>
      </c>
      <c r="C1206" s="312">
        <v>0.91</v>
      </c>
      <c r="D1206" s="312">
        <v>0.55620000000000003</v>
      </c>
      <c r="E1206" s="312">
        <v>0.58309999999999995</v>
      </c>
      <c r="F1206" s="312">
        <v>0.53390000000000004</v>
      </c>
      <c r="G1206" s="312">
        <v>0.56320000000000003</v>
      </c>
      <c r="H1206" s="312">
        <v>0.76619999999999999</v>
      </c>
      <c r="I1206" s="312">
        <v>0.71530000000000005</v>
      </c>
      <c r="J1206" s="312">
        <v>0.60929999999999995</v>
      </c>
      <c r="K1206" s="312">
        <v>0.20960000000000001</v>
      </c>
      <c r="L1206" s="312">
        <v>0.53310000000000002</v>
      </c>
      <c r="M1206" s="312">
        <v>0.65259999999999996</v>
      </c>
      <c r="N1206" s="312">
        <v>0.71299999999999997</v>
      </c>
      <c r="O1206" s="312">
        <v>0.64190000000000003</v>
      </c>
      <c r="P1206" s="312">
        <v>0.51649999999999996</v>
      </c>
      <c r="Q1206" s="312">
        <v>0.49509999999999998</v>
      </c>
      <c r="R1206" s="312">
        <v>0.6976</v>
      </c>
      <c r="S1206" s="312">
        <v>0.60099999999999998</v>
      </c>
      <c r="T1206" s="312">
        <v>0.47839999999999999</v>
      </c>
      <c r="U1206" s="312">
        <v>0.5464</v>
      </c>
      <c r="V1206" s="312">
        <v>0.60050000000000003</v>
      </c>
      <c r="W1206" s="312">
        <v>0.6109</v>
      </c>
      <c r="X1206" s="312">
        <v>0.59309999999999996</v>
      </c>
      <c r="Y1206" s="312">
        <v>0.60670000000000002</v>
      </c>
      <c r="Z1206" s="312">
        <v>0.66279999999999994</v>
      </c>
      <c r="AA1206" s="312">
        <v>0.65159999999999996</v>
      </c>
      <c r="AB1206" s="312">
        <v>0.57440000000000002</v>
      </c>
      <c r="AC1206" s="312">
        <v>0.496</v>
      </c>
      <c r="AD1206" s="312">
        <v>0.54979999999999996</v>
      </c>
      <c r="AE1206" s="312">
        <v>0.63100000000000001</v>
      </c>
      <c r="AF1206" s="312">
        <v>0.45900000000000002</v>
      </c>
      <c r="AG1206" s="312">
        <v>0.52749999999999997</v>
      </c>
      <c r="AH1206" s="312">
        <v>0.58499999999999996</v>
      </c>
      <c r="AI1206" s="312">
        <v>0.64159999999999995</v>
      </c>
      <c r="AJ1206" s="312">
        <v>0.57840000000000003</v>
      </c>
      <c r="AK1206" s="312">
        <v>0.61040000000000005</v>
      </c>
      <c r="AL1206" s="312">
        <v>0.59709999999999996</v>
      </c>
      <c r="AM1206" s="312">
        <v>0.63470000000000004</v>
      </c>
      <c r="AN1206" s="312">
        <v>0.62390000000000001</v>
      </c>
      <c r="AO1206" s="312">
        <v>0.60729999999999995</v>
      </c>
      <c r="AP1206" s="312">
        <v>0.63349999999999995</v>
      </c>
      <c r="AQ1206" s="312">
        <v>0.5625</v>
      </c>
      <c r="AR1206" s="312">
        <v>0.59419999999999995</v>
      </c>
      <c r="AS1206" s="312">
        <v>0.46600000000000003</v>
      </c>
      <c r="AT1206" s="312">
        <v>0.69799999999999995</v>
      </c>
      <c r="AU1206" s="312">
        <v>0.6885</v>
      </c>
      <c r="AV1206" s="312">
        <v>0.69550000000000001</v>
      </c>
      <c r="AW1206" s="312">
        <v>0.59419999999999995</v>
      </c>
      <c r="AX1206" s="312">
        <v>0.57850000000000001</v>
      </c>
      <c r="AY1206" s="312">
        <v>0.63290000000000002</v>
      </c>
      <c r="AZ1206" s="312">
        <v>0.60440000000000005</v>
      </c>
      <c r="BA1206" s="312">
        <v>0.46889999999999998</v>
      </c>
      <c r="BB1206" s="312">
        <v>0.3901</v>
      </c>
      <c r="BC1206" s="312">
        <v>0.67390000000000005</v>
      </c>
      <c r="BD1206" s="312">
        <v>0.75349999999999995</v>
      </c>
      <c r="BE1206" s="312">
        <v>0.70220000000000005</v>
      </c>
      <c r="BF1206" s="312">
        <v>0.61650000000000005</v>
      </c>
      <c r="BG1206" s="312">
        <v>0.71619999999999995</v>
      </c>
      <c r="BH1206" s="312">
        <v>0.6482</v>
      </c>
      <c r="BI1206" s="312">
        <v>0.69379999999999997</v>
      </c>
      <c r="BJ1206" s="312">
        <v>0.65649999999999997</v>
      </c>
      <c r="BK1206" s="312">
        <v>0.77159999999999995</v>
      </c>
      <c r="BM1206">
        <f>(C1206-C795)*1000000/(RIMS_emp!C1206-RIMS_emp!C795)</f>
        <v>37539.392120421573</v>
      </c>
    </row>
    <row r="1207" spans="1:65" x14ac:dyDescent="0.25">
      <c r="A1207" s="306">
        <v>711200</v>
      </c>
      <c r="B1207" s="312" t="s">
        <v>781</v>
      </c>
      <c r="C1207" s="312">
        <v>1.1000000000000001</v>
      </c>
      <c r="D1207" s="312">
        <v>0.7097</v>
      </c>
      <c r="E1207" s="312">
        <v>0.72050000000000003</v>
      </c>
      <c r="F1207" s="312">
        <v>0.67659999999999998</v>
      </c>
      <c r="G1207" s="312">
        <v>0.70989999999999998</v>
      </c>
      <c r="H1207" s="312">
        <v>0.93430000000000002</v>
      </c>
      <c r="I1207" s="312">
        <v>0.91520000000000001</v>
      </c>
      <c r="J1207" s="312">
        <v>0.73270000000000002</v>
      </c>
      <c r="K1207" s="312">
        <v>0.27700000000000002</v>
      </c>
      <c r="L1207" s="312">
        <v>0.67149999999999999</v>
      </c>
      <c r="M1207" s="312">
        <v>0.81779999999999997</v>
      </c>
      <c r="N1207" s="312">
        <v>0.87429999999999997</v>
      </c>
      <c r="O1207" s="312">
        <v>0.75419999999999998</v>
      </c>
      <c r="P1207" s="312">
        <v>0.6532</v>
      </c>
      <c r="Q1207" s="312">
        <v>0.61450000000000005</v>
      </c>
      <c r="R1207" s="312">
        <v>0.88580000000000003</v>
      </c>
      <c r="S1207" s="312">
        <v>0.80659999999999998</v>
      </c>
      <c r="T1207" s="312">
        <v>0.58550000000000002</v>
      </c>
      <c r="U1207" s="312">
        <v>0.71619999999999995</v>
      </c>
      <c r="V1207" s="312">
        <v>0.80310000000000004</v>
      </c>
      <c r="W1207" s="312">
        <v>0.78369999999999995</v>
      </c>
      <c r="X1207" s="312">
        <v>0.76229999999999998</v>
      </c>
      <c r="Y1207" s="312">
        <v>0.74570000000000003</v>
      </c>
      <c r="Z1207" s="312">
        <v>0.86650000000000005</v>
      </c>
      <c r="AA1207" s="312">
        <v>0.86739999999999995</v>
      </c>
      <c r="AB1207" s="312">
        <v>0.76219999999999999</v>
      </c>
      <c r="AC1207" s="312">
        <v>0.61429999999999996</v>
      </c>
      <c r="AD1207" s="312">
        <v>0.68369999999999997</v>
      </c>
      <c r="AE1207" s="312">
        <v>0.82389999999999997</v>
      </c>
      <c r="AF1207" s="312">
        <v>0.59460000000000002</v>
      </c>
      <c r="AG1207" s="312">
        <v>0.66969999999999996</v>
      </c>
      <c r="AH1207" s="312">
        <v>0.6966</v>
      </c>
      <c r="AI1207" s="312">
        <v>0.80269999999999997</v>
      </c>
      <c r="AJ1207" s="312">
        <v>0.70430000000000004</v>
      </c>
      <c r="AK1207" s="312">
        <v>0.71950000000000003</v>
      </c>
      <c r="AL1207" s="312">
        <v>0.72419999999999995</v>
      </c>
      <c r="AM1207" s="312">
        <v>0.83009999999999995</v>
      </c>
      <c r="AN1207" s="312">
        <v>0.78549999999999998</v>
      </c>
      <c r="AO1207" s="312">
        <v>0.78129999999999999</v>
      </c>
      <c r="AP1207" s="312">
        <v>0.8216</v>
      </c>
      <c r="AQ1207" s="312">
        <v>0.70109999999999995</v>
      </c>
      <c r="AR1207" s="312">
        <v>0.71079999999999999</v>
      </c>
      <c r="AS1207" s="312">
        <v>0.60019999999999996</v>
      </c>
      <c r="AT1207" s="312">
        <v>0.87490000000000001</v>
      </c>
      <c r="AU1207" s="312">
        <v>0.86</v>
      </c>
      <c r="AV1207" s="312">
        <v>0.89170000000000005</v>
      </c>
      <c r="AW1207" s="312">
        <v>0.73819999999999997</v>
      </c>
      <c r="AX1207" s="312">
        <v>0.69189999999999996</v>
      </c>
      <c r="AY1207" s="312">
        <v>0.83530000000000004</v>
      </c>
      <c r="AZ1207" s="312">
        <v>0.81220000000000003</v>
      </c>
      <c r="BA1207" s="312">
        <v>0.58720000000000006</v>
      </c>
      <c r="BB1207" s="312">
        <v>0.4899</v>
      </c>
      <c r="BC1207" s="312">
        <v>0.84460000000000002</v>
      </c>
      <c r="BD1207" s="312">
        <v>0.91979999999999995</v>
      </c>
      <c r="BE1207" s="312">
        <v>0.9093</v>
      </c>
      <c r="BF1207" s="312">
        <v>0.81810000000000005</v>
      </c>
      <c r="BG1207" s="312">
        <v>0.90469999999999995</v>
      </c>
      <c r="BH1207" s="312">
        <v>0.81879999999999997</v>
      </c>
      <c r="BI1207" s="312">
        <v>0.87429999999999997</v>
      </c>
      <c r="BJ1207" s="312">
        <v>0.83430000000000004</v>
      </c>
      <c r="BK1207" s="312">
        <v>0.94010000000000005</v>
      </c>
      <c r="BM1207">
        <f>(C1207-C796)*1000000/(RIMS_emp!C1207-RIMS_emp!C796)</f>
        <v>37542.857688597716</v>
      </c>
    </row>
    <row r="1208" spans="1:65" x14ac:dyDescent="0.25">
      <c r="A1208" s="306">
        <v>711500</v>
      </c>
      <c r="B1208" s="312" t="s">
        <v>339</v>
      </c>
      <c r="C1208" s="312">
        <v>0.71050000000000002</v>
      </c>
      <c r="D1208" s="312">
        <v>0.42970000000000003</v>
      </c>
      <c r="E1208" s="312">
        <v>0.44259999999999999</v>
      </c>
      <c r="F1208" s="312">
        <v>0.4098</v>
      </c>
      <c r="G1208" s="312">
        <v>0.43740000000000001</v>
      </c>
      <c r="H1208" s="312">
        <v>0.60440000000000005</v>
      </c>
      <c r="I1208" s="312">
        <v>0.56299999999999994</v>
      </c>
      <c r="J1208" s="312">
        <v>0.46660000000000001</v>
      </c>
      <c r="K1208" s="312">
        <v>0.17430000000000001</v>
      </c>
      <c r="L1208" s="312">
        <v>0.41010000000000002</v>
      </c>
      <c r="M1208" s="312">
        <v>0.52449999999999997</v>
      </c>
      <c r="N1208" s="312">
        <v>0.5706</v>
      </c>
      <c r="O1208" s="312">
        <v>0.49609999999999999</v>
      </c>
      <c r="P1208" s="312">
        <v>0.39290000000000003</v>
      </c>
      <c r="Q1208" s="312">
        <v>0.37280000000000002</v>
      </c>
      <c r="R1208" s="312">
        <v>0.53810000000000002</v>
      </c>
      <c r="S1208" s="312">
        <v>0.47639999999999999</v>
      </c>
      <c r="T1208" s="312">
        <v>0.3594</v>
      </c>
      <c r="U1208" s="312">
        <v>0.4274</v>
      </c>
      <c r="V1208" s="312">
        <v>0.48470000000000002</v>
      </c>
      <c r="W1208" s="312">
        <v>0.49099999999999999</v>
      </c>
      <c r="X1208" s="312">
        <v>0.47160000000000002</v>
      </c>
      <c r="Y1208" s="312">
        <v>0.46060000000000001</v>
      </c>
      <c r="Z1208" s="312">
        <v>0.53129999999999999</v>
      </c>
      <c r="AA1208" s="312">
        <v>0.51570000000000005</v>
      </c>
      <c r="AB1208" s="312">
        <v>0.45839999999999997</v>
      </c>
      <c r="AC1208" s="312">
        <v>0.37690000000000001</v>
      </c>
      <c r="AD1208" s="312">
        <v>0.41489999999999999</v>
      </c>
      <c r="AE1208" s="312">
        <v>0.48980000000000001</v>
      </c>
      <c r="AF1208" s="312">
        <v>0.35410000000000003</v>
      </c>
      <c r="AG1208" s="312">
        <v>0.40770000000000001</v>
      </c>
      <c r="AH1208" s="312">
        <v>0.43230000000000002</v>
      </c>
      <c r="AI1208" s="312">
        <v>0.51780000000000004</v>
      </c>
      <c r="AJ1208" s="312">
        <v>0.44019999999999998</v>
      </c>
      <c r="AK1208" s="312">
        <v>0.4753</v>
      </c>
      <c r="AL1208" s="312">
        <v>0.47339999999999999</v>
      </c>
      <c r="AM1208" s="312">
        <v>0.52280000000000004</v>
      </c>
      <c r="AN1208" s="312">
        <v>0.47570000000000001</v>
      </c>
      <c r="AO1208" s="312">
        <v>0.46970000000000001</v>
      </c>
      <c r="AP1208" s="312">
        <v>0.50419999999999998</v>
      </c>
      <c r="AQ1208" s="312">
        <v>0.42930000000000001</v>
      </c>
      <c r="AR1208" s="312">
        <v>0.44729999999999998</v>
      </c>
      <c r="AS1208" s="312">
        <v>0.3639</v>
      </c>
      <c r="AT1208" s="312">
        <v>0.55679999999999996</v>
      </c>
      <c r="AU1208" s="312">
        <v>0.5575</v>
      </c>
      <c r="AV1208" s="312">
        <v>0.55869999999999997</v>
      </c>
      <c r="AW1208" s="312">
        <v>0.46160000000000001</v>
      </c>
      <c r="AX1208" s="312">
        <v>0.43659999999999999</v>
      </c>
      <c r="AY1208" s="312">
        <v>0.50160000000000005</v>
      </c>
      <c r="AZ1208" s="312">
        <v>0.47399999999999998</v>
      </c>
      <c r="BA1208" s="312">
        <v>0.35899999999999999</v>
      </c>
      <c r="BB1208" s="312">
        <v>0.29189999999999999</v>
      </c>
      <c r="BC1208" s="312">
        <v>0.5262</v>
      </c>
      <c r="BD1208" s="312">
        <v>0.59540000000000004</v>
      </c>
      <c r="BE1208" s="312">
        <v>0.55989999999999995</v>
      </c>
      <c r="BF1208" s="312">
        <v>0.48320000000000002</v>
      </c>
      <c r="BG1208" s="312">
        <v>0.57169999999999999</v>
      </c>
      <c r="BH1208" s="312">
        <v>0.51249999999999996</v>
      </c>
      <c r="BI1208" s="312">
        <v>0.55640000000000001</v>
      </c>
      <c r="BJ1208" s="312">
        <v>0.51160000000000005</v>
      </c>
      <c r="BK1208" s="312">
        <v>0.60640000000000005</v>
      </c>
      <c r="BM1208">
        <f>(C1208-C797)*1000000/(RIMS_emp!C1208-RIMS_emp!C797)</f>
        <v>37538.625308632865</v>
      </c>
    </row>
    <row r="1209" spans="1:65" x14ac:dyDescent="0.25">
      <c r="A1209" s="306" t="s">
        <v>782</v>
      </c>
      <c r="B1209" s="312" t="s">
        <v>338</v>
      </c>
      <c r="C1209" s="312">
        <v>0.85189999999999999</v>
      </c>
      <c r="D1209" s="312">
        <v>0.47510000000000002</v>
      </c>
      <c r="E1209" s="312">
        <v>0.48849999999999999</v>
      </c>
      <c r="F1209" s="312">
        <v>0.43609999999999999</v>
      </c>
      <c r="G1209" s="312">
        <v>0.50870000000000004</v>
      </c>
      <c r="H1209" s="312">
        <v>0.70489999999999997</v>
      </c>
      <c r="I1209" s="312">
        <v>0.65039999999999998</v>
      </c>
      <c r="J1209" s="312">
        <v>0.55959999999999999</v>
      </c>
      <c r="K1209" s="312">
        <v>0.17660000000000001</v>
      </c>
      <c r="L1209" s="312">
        <v>0.46310000000000001</v>
      </c>
      <c r="M1209" s="312">
        <v>0.59350000000000003</v>
      </c>
      <c r="N1209" s="312">
        <v>0.64849999999999997</v>
      </c>
      <c r="O1209" s="312">
        <v>0.57020000000000004</v>
      </c>
      <c r="P1209" s="312">
        <v>0.43090000000000001</v>
      </c>
      <c r="Q1209" s="312">
        <v>0.40970000000000001</v>
      </c>
      <c r="R1209" s="312">
        <v>0.64390000000000003</v>
      </c>
      <c r="S1209" s="312">
        <v>0.51749999999999996</v>
      </c>
      <c r="T1209" s="312">
        <v>0.40510000000000002</v>
      </c>
      <c r="U1209" s="312">
        <v>0.46949999999999997</v>
      </c>
      <c r="V1209" s="312">
        <v>0.51600000000000001</v>
      </c>
      <c r="W1209" s="312">
        <v>0.57630000000000003</v>
      </c>
      <c r="X1209" s="312">
        <v>0.5444</v>
      </c>
      <c r="Y1209" s="312">
        <v>0.52010000000000001</v>
      </c>
      <c r="Z1209" s="312">
        <v>0.5746</v>
      </c>
      <c r="AA1209" s="312">
        <v>0.59119999999999995</v>
      </c>
      <c r="AB1209" s="312">
        <v>0.52139999999999997</v>
      </c>
      <c r="AC1209" s="312">
        <v>0.40660000000000002</v>
      </c>
      <c r="AD1209" s="312">
        <v>0.46710000000000002</v>
      </c>
      <c r="AE1209" s="312">
        <v>0.5262</v>
      </c>
      <c r="AF1209" s="312">
        <v>0.37830000000000003</v>
      </c>
      <c r="AG1209" s="312">
        <v>0.44440000000000002</v>
      </c>
      <c r="AH1209" s="312">
        <v>0.51100000000000001</v>
      </c>
      <c r="AI1209" s="312">
        <v>0.60440000000000005</v>
      </c>
      <c r="AJ1209" s="312">
        <v>0.48309999999999997</v>
      </c>
      <c r="AK1209" s="312">
        <v>0.54490000000000005</v>
      </c>
      <c r="AL1209" s="312">
        <v>0.5554</v>
      </c>
      <c r="AM1209" s="312">
        <v>0.56999999999999995</v>
      </c>
      <c r="AN1209" s="312">
        <v>0.52280000000000004</v>
      </c>
      <c r="AO1209" s="312">
        <v>0.53879999999999995</v>
      </c>
      <c r="AP1209" s="312">
        <v>0.58169999999999999</v>
      </c>
      <c r="AQ1209" s="312">
        <v>0.505</v>
      </c>
      <c r="AR1209" s="312">
        <v>0.50039999999999996</v>
      </c>
      <c r="AS1209" s="312">
        <v>0.3906</v>
      </c>
      <c r="AT1209" s="312">
        <v>0.6139</v>
      </c>
      <c r="AU1209" s="312">
        <v>0.629</v>
      </c>
      <c r="AV1209" s="312">
        <v>0.63419999999999999</v>
      </c>
      <c r="AW1209" s="312">
        <v>0.52259999999999995</v>
      </c>
      <c r="AX1209" s="312">
        <v>0.50349999999999995</v>
      </c>
      <c r="AY1209" s="312">
        <v>0.57079999999999997</v>
      </c>
      <c r="AZ1209" s="312">
        <v>0.53310000000000002</v>
      </c>
      <c r="BA1209" s="312">
        <v>0.39529999999999998</v>
      </c>
      <c r="BB1209" s="312">
        <v>0.3246</v>
      </c>
      <c r="BC1209" s="312">
        <v>0.62629999999999997</v>
      </c>
      <c r="BD1209" s="312">
        <v>0.7046</v>
      </c>
      <c r="BE1209" s="312">
        <v>0.63529999999999998</v>
      </c>
      <c r="BF1209" s="312">
        <v>0.54420000000000002</v>
      </c>
      <c r="BG1209" s="312">
        <v>0.65090000000000003</v>
      </c>
      <c r="BH1209" s="312">
        <v>0.56120000000000003</v>
      </c>
      <c r="BI1209" s="312">
        <v>0.62370000000000003</v>
      </c>
      <c r="BJ1209" s="312">
        <v>0.59419999999999995</v>
      </c>
      <c r="BK1209" s="312">
        <v>0.70669999999999999</v>
      </c>
      <c r="BM1209">
        <f>(C1209-C798)*1000000/(RIMS_emp!C1209-RIMS_emp!C798)</f>
        <v>37534.834397888975</v>
      </c>
    </row>
    <row r="1210" spans="1:65" x14ac:dyDescent="0.25">
      <c r="A1210" s="306">
        <v>712000</v>
      </c>
      <c r="B1210" s="312" t="s">
        <v>340</v>
      </c>
      <c r="C1210" s="312">
        <v>1.0025999999999999</v>
      </c>
      <c r="D1210" s="312">
        <v>0.69840000000000002</v>
      </c>
      <c r="E1210" s="312">
        <v>0.75490000000000002</v>
      </c>
      <c r="F1210" s="312">
        <v>0.69140000000000001</v>
      </c>
      <c r="G1210" s="312">
        <v>0.79179999999999995</v>
      </c>
      <c r="H1210" s="312">
        <v>0.85829999999999995</v>
      </c>
      <c r="I1210" s="312">
        <v>0.85580000000000001</v>
      </c>
      <c r="J1210" s="312">
        <v>0.72230000000000005</v>
      </c>
      <c r="K1210" s="312">
        <v>0.157</v>
      </c>
      <c r="L1210" s="312">
        <v>0.60529999999999995</v>
      </c>
      <c r="M1210" s="312">
        <v>0.81940000000000002</v>
      </c>
      <c r="N1210" s="312">
        <v>0.83399999999999996</v>
      </c>
      <c r="O1210" s="312">
        <v>0.76819999999999999</v>
      </c>
      <c r="P1210" s="312">
        <v>0.66890000000000005</v>
      </c>
      <c r="Q1210" s="312">
        <v>0.68440000000000001</v>
      </c>
      <c r="R1210" s="312">
        <v>0.85570000000000002</v>
      </c>
      <c r="S1210" s="312">
        <v>0.75600000000000001</v>
      </c>
      <c r="T1210" s="312">
        <v>0.67210000000000003</v>
      </c>
      <c r="U1210" s="312">
        <v>0.71340000000000003</v>
      </c>
      <c r="V1210" s="312">
        <v>0.73709999999999998</v>
      </c>
      <c r="W1210" s="312">
        <v>0.77759999999999996</v>
      </c>
      <c r="X1210" s="312">
        <v>0.73509999999999998</v>
      </c>
      <c r="Y1210" s="312">
        <v>0.76329999999999998</v>
      </c>
      <c r="Z1210" s="312">
        <v>0.79420000000000002</v>
      </c>
      <c r="AA1210" s="312">
        <v>0.78569999999999995</v>
      </c>
      <c r="AB1210" s="312">
        <v>0.68659999999999999</v>
      </c>
      <c r="AC1210" s="312">
        <v>0.68130000000000002</v>
      </c>
      <c r="AD1210" s="312">
        <v>0.69640000000000002</v>
      </c>
      <c r="AE1210" s="312">
        <v>0.76370000000000005</v>
      </c>
      <c r="AF1210" s="312">
        <v>0.60009999999999997</v>
      </c>
      <c r="AG1210" s="312">
        <v>0.64270000000000005</v>
      </c>
      <c r="AH1210" s="312">
        <v>0.70330000000000004</v>
      </c>
      <c r="AI1210" s="312">
        <v>0.73109999999999997</v>
      </c>
      <c r="AJ1210" s="312">
        <v>0.72030000000000005</v>
      </c>
      <c r="AK1210" s="312">
        <v>0.71499999999999997</v>
      </c>
      <c r="AL1210" s="312">
        <v>0.70479999999999998</v>
      </c>
      <c r="AM1210" s="312">
        <v>0.79210000000000003</v>
      </c>
      <c r="AN1210" s="312">
        <v>0.76160000000000005</v>
      </c>
      <c r="AO1210" s="312">
        <v>0.77349999999999997</v>
      </c>
      <c r="AP1210" s="312">
        <v>0.79169999999999996</v>
      </c>
      <c r="AQ1210" s="312">
        <v>0.67610000000000003</v>
      </c>
      <c r="AR1210" s="312">
        <v>0.75170000000000003</v>
      </c>
      <c r="AS1210" s="312">
        <v>0.64319999999999999</v>
      </c>
      <c r="AT1210" s="312">
        <v>0.79559999999999997</v>
      </c>
      <c r="AU1210" s="312">
        <v>0.86080000000000001</v>
      </c>
      <c r="AV1210" s="312">
        <v>0.82340000000000002</v>
      </c>
      <c r="AW1210" s="312">
        <v>0.75380000000000003</v>
      </c>
      <c r="AX1210" s="312">
        <v>0.68569999999999998</v>
      </c>
      <c r="AY1210" s="312">
        <v>0.79310000000000003</v>
      </c>
      <c r="AZ1210" s="312">
        <v>0.76390000000000002</v>
      </c>
      <c r="BA1210" s="312">
        <v>0.53029999999999999</v>
      </c>
      <c r="BB1210" s="312">
        <v>0.59440000000000004</v>
      </c>
      <c r="BC1210" s="312">
        <v>0.8357</v>
      </c>
      <c r="BD1210" s="312">
        <v>0.85570000000000002</v>
      </c>
      <c r="BE1210" s="312">
        <v>0.85570000000000002</v>
      </c>
      <c r="BF1210" s="312">
        <v>0.76480000000000004</v>
      </c>
      <c r="BG1210" s="312">
        <v>0.87160000000000004</v>
      </c>
      <c r="BH1210" s="312">
        <v>0.7893</v>
      </c>
      <c r="BI1210" s="312">
        <v>0.85760000000000003</v>
      </c>
      <c r="BJ1210" s="312">
        <v>0.83340000000000003</v>
      </c>
      <c r="BK1210" s="312">
        <v>0.86499999999999999</v>
      </c>
      <c r="BM1210">
        <f>(C1210-C799)*1000000/(RIMS_emp!C1210-RIMS_emp!C799)</f>
        <v>37541.517796334898</v>
      </c>
    </row>
    <row r="1211" spans="1:65" x14ac:dyDescent="0.25">
      <c r="A1211" s="306">
        <v>713940</v>
      </c>
      <c r="B1211" s="312" t="s">
        <v>341</v>
      </c>
      <c r="C1211" s="312">
        <v>0.83220000000000005</v>
      </c>
      <c r="D1211" s="312">
        <v>0.53459999999999996</v>
      </c>
      <c r="E1211" s="312">
        <v>0.5907</v>
      </c>
      <c r="F1211" s="312">
        <v>0.54410000000000003</v>
      </c>
      <c r="G1211" s="312">
        <v>0.63009999999999999</v>
      </c>
      <c r="H1211" s="312">
        <v>0.69140000000000001</v>
      </c>
      <c r="I1211" s="312">
        <v>0.6956</v>
      </c>
      <c r="J1211" s="312">
        <v>0.56840000000000002</v>
      </c>
      <c r="K1211" s="312">
        <v>0.1249</v>
      </c>
      <c r="L1211" s="312">
        <v>0.48930000000000001</v>
      </c>
      <c r="M1211" s="312">
        <v>0.65510000000000002</v>
      </c>
      <c r="N1211" s="312">
        <v>0.67949999999999999</v>
      </c>
      <c r="O1211" s="312">
        <v>0.60250000000000004</v>
      </c>
      <c r="P1211" s="312">
        <v>0.45179999999999998</v>
      </c>
      <c r="Q1211" s="312">
        <v>0.52149999999999996</v>
      </c>
      <c r="R1211" s="312">
        <v>0.68769999999999998</v>
      </c>
      <c r="S1211" s="312">
        <v>0.5454</v>
      </c>
      <c r="T1211" s="312">
        <v>0.50600000000000001</v>
      </c>
      <c r="U1211" s="312">
        <v>0.57489999999999997</v>
      </c>
      <c r="V1211" s="312">
        <v>0.59409999999999996</v>
      </c>
      <c r="W1211" s="312">
        <v>0.61499999999999999</v>
      </c>
      <c r="X1211" s="312">
        <v>0.59130000000000005</v>
      </c>
      <c r="Y1211" s="312">
        <v>0.60109999999999997</v>
      </c>
      <c r="Z1211" s="312">
        <v>0.64200000000000002</v>
      </c>
      <c r="AA1211" s="312">
        <v>0.63390000000000002</v>
      </c>
      <c r="AB1211" s="312">
        <v>0.59789999999999999</v>
      </c>
      <c r="AC1211" s="312">
        <v>0.50149999999999995</v>
      </c>
      <c r="AD1211" s="312">
        <v>0.54320000000000002</v>
      </c>
      <c r="AE1211" s="312">
        <v>0.6038</v>
      </c>
      <c r="AF1211" s="312">
        <v>0.44800000000000001</v>
      </c>
      <c r="AG1211" s="312">
        <v>0.51259999999999994</v>
      </c>
      <c r="AH1211" s="312">
        <v>0.56889999999999996</v>
      </c>
      <c r="AI1211" s="312">
        <v>0.64759999999999995</v>
      </c>
      <c r="AJ1211" s="312">
        <v>0.55059999999999998</v>
      </c>
      <c r="AK1211" s="312">
        <v>0.56769999999999998</v>
      </c>
      <c r="AL1211" s="312">
        <v>0.56759999999999999</v>
      </c>
      <c r="AM1211" s="312">
        <v>0.65</v>
      </c>
      <c r="AN1211" s="312">
        <v>0.59919999999999995</v>
      </c>
      <c r="AO1211" s="312">
        <v>0.61160000000000003</v>
      </c>
      <c r="AP1211" s="312">
        <v>0.65580000000000005</v>
      </c>
      <c r="AQ1211" s="312">
        <v>0.54890000000000005</v>
      </c>
      <c r="AR1211" s="312">
        <v>0.60389999999999999</v>
      </c>
      <c r="AS1211" s="312">
        <v>0.48049999999999998</v>
      </c>
      <c r="AT1211" s="312">
        <v>0.63180000000000003</v>
      </c>
      <c r="AU1211" s="312">
        <v>0.69820000000000004</v>
      </c>
      <c r="AV1211" s="312">
        <v>0.65869999999999995</v>
      </c>
      <c r="AW1211" s="312">
        <v>0.60750000000000004</v>
      </c>
      <c r="AX1211" s="312">
        <v>0.5302</v>
      </c>
      <c r="AY1211" s="312">
        <v>0.63080000000000003</v>
      </c>
      <c r="AZ1211" s="312">
        <v>0.61250000000000004</v>
      </c>
      <c r="BA1211" s="312">
        <v>0.49309999999999998</v>
      </c>
      <c r="BB1211" s="312">
        <v>0.46239999999999998</v>
      </c>
      <c r="BC1211" s="312">
        <v>0.67330000000000001</v>
      </c>
      <c r="BD1211" s="312">
        <v>0.69710000000000005</v>
      </c>
      <c r="BE1211" s="312">
        <v>0.69279999999999997</v>
      </c>
      <c r="BF1211" s="312">
        <v>0.61460000000000004</v>
      </c>
      <c r="BG1211" s="312">
        <v>0.70750000000000002</v>
      </c>
      <c r="BH1211" s="312">
        <v>0.63100000000000001</v>
      </c>
      <c r="BI1211" s="312">
        <v>0.69599999999999995</v>
      </c>
      <c r="BJ1211" s="312">
        <v>0.67069999999999996</v>
      </c>
      <c r="BK1211" s="312">
        <v>0.69810000000000005</v>
      </c>
      <c r="BM1211">
        <f>(C1211-C800)*1000000/(RIMS_emp!C1211-RIMS_emp!C800)</f>
        <v>37543.394559111272</v>
      </c>
    </row>
    <row r="1212" spans="1:65" x14ac:dyDescent="0.25">
      <c r="A1212" s="306">
        <v>713950</v>
      </c>
      <c r="B1212" s="312" t="s">
        <v>342</v>
      </c>
      <c r="C1212" s="312">
        <v>0.76739999999999997</v>
      </c>
      <c r="D1212" s="312">
        <v>0.4879</v>
      </c>
      <c r="E1212" s="312">
        <v>0.54349999999999998</v>
      </c>
      <c r="F1212" s="312">
        <v>0.50329999999999997</v>
      </c>
      <c r="G1212" s="312">
        <v>0.56879999999999997</v>
      </c>
      <c r="H1212" s="312">
        <v>0.63219999999999998</v>
      </c>
      <c r="I1212" s="312">
        <v>0.63790000000000002</v>
      </c>
      <c r="J1212" s="312">
        <v>0.51370000000000005</v>
      </c>
      <c r="K1212" s="312">
        <v>0.1114</v>
      </c>
      <c r="L1212" s="312">
        <v>0.439</v>
      </c>
      <c r="M1212" s="312">
        <v>0.59209999999999996</v>
      </c>
      <c r="N1212" s="312">
        <v>0.622</v>
      </c>
      <c r="O1212" s="312">
        <v>0.55269999999999997</v>
      </c>
      <c r="P1212" s="312">
        <v>0.42770000000000002</v>
      </c>
      <c r="Q1212" s="312">
        <v>0.48459999999999998</v>
      </c>
      <c r="R1212" s="312">
        <v>0.63019999999999998</v>
      </c>
      <c r="S1212" s="312">
        <v>0.51039999999999996</v>
      </c>
      <c r="T1212" s="312">
        <v>0.47510000000000002</v>
      </c>
      <c r="U1212" s="312">
        <v>0.53639999999999999</v>
      </c>
      <c r="V1212" s="312">
        <v>0.5363</v>
      </c>
      <c r="W1212" s="312">
        <v>0.56330000000000002</v>
      </c>
      <c r="X1212" s="312">
        <v>0.53449999999999998</v>
      </c>
      <c r="Y1212" s="312">
        <v>0.55689999999999995</v>
      </c>
      <c r="Z1212" s="312">
        <v>0.58560000000000001</v>
      </c>
      <c r="AA1212" s="312">
        <v>0.58750000000000002</v>
      </c>
      <c r="AB1212" s="312">
        <v>0.55349999999999999</v>
      </c>
      <c r="AC1212" s="312">
        <v>0.4587</v>
      </c>
      <c r="AD1212" s="312">
        <v>0.49840000000000001</v>
      </c>
      <c r="AE1212" s="312">
        <v>0.55589999999999995</v>
      </c>
      <c r="AF1212" s="312">
        <v>0.42659999999999998</v>
      </c>
      <c r="AG1212" s="312">
        <v>0.4798</v>
      </c>
      <c r="AH1212" s="312">
        <v>0.52010000000000001</v>
      </c>
      <c r="AI1212" s="312">
        <v>0.58709999999999996</v>
      </c>
      <c r="AJ1212" s="312">
        <v>0.51080000000000003</v>
      </c>
      <c r="AK1212" s="312">
        <v>0.50719999999999998</v>
      </c>
      <c r="AL1212" s="312">
        <v>0.51639999999999997</v>
      </c>
      <c r="AM1212" s="312">
        <v>0.60150000000000003</v>
      </c>
      <c r="AN1212" s="312">
        <v>0.55330000000000001</v>
      </c>
      <c r="AO1212" s="312">
        <v>0.5665</v>
      </c>
      <c r="AP1212" s="312">
        <v>0.60399999999999998</v>
      </c>
      <c r="AQ1212" s="312">
        <v>0.50139999999999996</v>
      </c>
      <c r="AR1212" s="312">
        <v>0.54179999999999995</v>
      </c>
      <c r="AS1212" s="312">
        <v>0.44519999999999998</v>
      </c>
      <c r="AT1212" s="312">
        <v>0.57530000000000003</v>
      </c>
      <c r="AU1212" s="312">
        <v>0.62919999999999998</v>
      </c>
      <c r="AV1212" s="312">
        <v>0.59840000000000004</v>
      </c>
      <c r="AW1212" s="312">
        <v>0.55349999999999999</v>
      </c>
      <c r="AX1212" s="312">
        <v>0.49619999999999997</v>
      </c>
      <c r="AY1212" s="312">
        <v>0.57879999999999998</v>
      </c>
      <c r="AZ1212" s="312">
        <v>0.57769999999999999</v>
      </c>
      <c r="BA1212" s="312">
        <v>0.45250000000000001</v>
      </c>
      <c r="BB1212" s="312">
        <v>0.42680000000000001</v>
      </c>
      <c r="BC1212" s="312">
        <v>0.61599999999999999</v>
      </c>
      <c r="BD1212" s="312">
        <v>0.63590000000000002</v>
      </c>
      <c r="BE1212" s="312">
        <v>0.64439999999999997</v>
      </c>
      <c r="BF1212" s="312">
        <v>0.57550000000000001</v>
      </c>
      <c r="BG1212" s="312">
        <v>0.64280000000000004</v>
      </c>
      <c r="BH1212" s="312">
        <v>0.58409999999999995</v>
      </c>
      <c r="BI1212" s="312">
        <v>0.62780000000000002</v>
      </c>
      <c r="BJ1212" s="312">
        <v>0.61</v>
      </c>
      <c r="BK1212" s="312">
        <v>0.63949999999999996</v>
      </c>
      <c r="BM1212">
        <f>(C1212-C801)*1000000/(RIMS_emp!C1212-RIMS_emp!C801)</f>
        <v>37533.365272739698</v>
      </c>
    </row>
    <row r="1213" spans="1:65" x14ac:dyDescent="0.25">
      <c r="A1213" s="306" t="s">
        <v>783</v>
      </c>
      <c r="B1213" s="312" t="s">
        <v>343</v>
      </c>
      <c r="C1213" s="312">
        <v>0.83440000000000003</v>
      </c>
      <c r="D1213" s="312">
        <v>0.55520000000000003</v>
      </c>
      <c r="E1213" s="312">
        <v>0.60740000000000005</v>
      </c>
      <c r="F1213" s="312">
        <v>0.56410000000000005</v>
      </c>
      <c r="G1213" s="312">
        <v>0.63400000000000001</v>
      </c>
      <c r="H1213" s="312">
        <v>0.7056</v>
      </c>
      <c r="I1213" s="312">
        <v>0.7016</v>
      </c>
      <c r="J1213" s="312">
        <v>0.57430000000000003</v>
      </c>
      <c r="K1213" s="312">
        <v>0.13300000000000001</v>
      </c>
      <c r="L1213" s="312">
        <v>0.49830000000000002</v>
      </c>
      <c r="M1213" s="312">
        <v>0.66459999999999997</v>
      </c>
      <c r="N1213" s="312">
        <v>0.68530000000000002</v>
      </c>
      <c r="O1213" s="312">
        <v>0.61560000000000004</v>
      </c>
      <c r="P1213" s="312">
        <v>0.47070000000000001</v>
      </c>
      <c r="Q1213" s="312">
        <v>0.5474</v>
      </c>
      <c r="R1213" s="312">
        <v>0.69099999999999995</v>
      </c>
      <c r="S1213" s="312">
        <v>0.55330000000000001</v>
      </c>
      <c r="T1213" s="312">
        <v>0.52580000000000005</v>
      </c>
      <c r="U1213" s="312">
        <v>0.58909999999999996</v>
      </c>
      <c r="V1213" s="312">
        <v>0.60860000000000003</v>
      </c>
      <c r="W1213" s="312">
        <v>0.628</v>
      </c>
      <c r="X1213" s="312">
        <v>0.59850000000000003</v>
      </c>
      <c r="Y1213" s="312">
        <v>0.623</v>
      </c>
      <c r="Z1213" s="312">
        <v>0.65849999999999997</v>
      </c>
      <c r="AA1213" s="312">
        <v>0.6462</v>
      </c>
      <c r="AB1213" s="312">
        <v>0.60970000000000002</v>
      </c>
      <c r="AC1213" s="312">
        <v>0.51749999999999996</v>
      </c>
      <c r="AD1213" s="312">
        <v>0.56679999999999997</v>
      </c>
      <c r="AE1213" s="312">
        <v>0.62239999999999995</v>
      </c>
      <c r="AF1213" s="312">
        <v>0.47410000000000002</v>
      </c>
      <c r="AG1213" s="312">
        <v>0.53790000000000004</v>
      </c>
      <c r="AH1213" s="312">
        <v>0.58099999999999996</v>
      </c>
      <c r="AI1213" s="312">
        <v>0.65790000000000004</v>
      </c>
      <c r="AJ1213" s="312">
        <v>0.57410000000000005</v>
      </c>
      <c r="AK1213" s="312">
        <v>0.57689999999999997</v>
      </c>
      <c r="AL1213" s="312">
        <v>0.57979999999999998</v>
      </c>
      <c r="AM1213" s="312">
        <v>0.65980000000000005</v>
      </c>
      <c r="AN1213" s="312">
        <v>0.61860000000000004</v>
      </c>
      <c r="AO1213" s="312">
        <v>0.62290000000000001</v>
      </c>
      <c r="AP1213" s="312">
        <v>0.6673</v>
      </c>
      <c r="AQ1213" s="312">
        <v>0.56399999999999995</v>
      </c>
      <c r="AR1213" s="312">
        <v>0.60980000000000001</v>
      </c>
      <c r="AS1213" s="312">
        <v>0.50739999999999996</v>
      </c>
      <c r="AT1213" s="312">
        <v>0.63629999999999998</v>
      </c>
      <c r="AU1213" s="312">
        <v>0.70140000000000002</v>
      </c>
      <c r="AV1213" s="312">
        <v>0.66110000000000002</v>
      </c>
      <c r="AW1213" s="312">
        <v>0.61699999999999999</v>
      </c>
      <c r="AX1213" s="312">
        <v>0.55989999999999995</v>
      </c>
      <c r="AY1213" s="312">
        <v>0.64300000000000002</v>
      </c>
      <c r="AZ1213" s="312">
        <v>0.63390000000000002</v>
      </c>
      <c r="BA1213" s="312">
        <v>0.51290000000000002</v>
      </c>
      <c r="BB1213" s="312">
        <v>0.48609999999999998</v>
      </c>
      <c r="BC1213" s="312">
        <v>0.68640000000000001</v>
      </c>
      <c r="BD1213" s="312">
        <v>0.7056</v>
      </c>
      <c r="BE1213" s="312">
        <v>0.70520000000000005</v>
      </c>
      <c r="BF1213" s="312">
        <v>0.63029999999999997</v>
      </c>
      <c r="BG1213" s="312">
        <v>0.71440000000000003</v>
      </c>
      <c r="BH1213" s="312">
        <v>0.64219999999999999</v>
      </c>
      <c r="BI1213" s="312">
        <v>0.69820000000000004</v>
      </c>
      <c r="BJ1213" s="312">
        <v>0.6734</v>
      </c>
      <c r="BK1213" s="312">
        <v>0.71099999999999997</v>
      </c>
      <c r="BM1213">
        <f>(C1213-C802)*1000000/(RIMS_emp!C1213-RIMS_emp!C802)</f>
        <v>37542.017600181287</v>
      </c>
    </row>
    <row r="1214" spans="1:65" x14ac:dyDescent="0.25">
      <c r="A1214" s="306" t="s">
        <v>784</v>
      </c>
      <c r="B1214" s="312" t="s">
        <v>344</v>
      </c>
      <c r="C1214" s="312">
        <v>0.81120000000000003</v>
      </c>
      <c r="D1214" s="312">
        <v>0.52700000000000002</v>
      </c>
      <c r="E1214" s="312">
        <v>0.58789999999999998</v>
      </c>
      <c r="F1214" s="312">
        <v>0.53879999999999995</v>
      </c>
      <c r="G1214" s="312">
        <v>0.61129999999999995</v>
      </c>
      <c r="H1214" s="312">
        <v>0.67349999999999999</v>
      </c>
      <c r="I1214" s="312">
        <v>0.67179999999999995</v>
      </c>
      <c r="J1214" s="312">
        <v>0.55030000000000001</v>
      </c>
      <c r="K1214" s="312">
        <v>0.123</v>
      </c>
      <c r="L1214" s="312">
        <v>0.47720000000000001</v>
      </c>
      <c r="M1214" s="312">
        <v>0.63780000000000003</v>
      </c>
      <c r="N1214" s="312">
        <v>0.66039999999999999</v>
      </c>
      <c r="O1214" s="312">
        <v>0.58940000000000003</v>
      </c>
      <c r="P1214" s="312">
        <v>0.44629999999999997</v>
      </c>
      <c r="Q1214" s="312">
        <v>0.51890000000000003</v>
      </c>
      <c r="R1214" s="312">
        <v>0.66479999999999995</v>
      </c>
      <c r="S1214" s="312">
        <v>0.53680000000000005</v>
      </c>
      <c r="T1214" s="312">
        <v>0.50039999999999996</v>
      </c>
      <c r="U1214" s="312">
        <v>0.56710000000000005</v>
      </c>
      <c r="V1214" s="312">
        <v>0.58260000000000001</v>
      </c>
      <c r="W1214" s="312">
        <v>0.59860000000000002</v>
      </c>
      <c r="X1214" s="312">
        <v>0.5736</v>
      </c>
      <c r="Y1214" s="312">
        <v>0.59260000000000002</v>
      </c>
      <c r="Z1214" s="312">
        <v>0.62919999999999998</v>
      </c>
      <c r="AA1214" s="312">
        <v>0.61609999999999998</v>
      </c>
      <c r="AB1214" s="312">
        <v>0.58330000000000004</v>
      </c>
      <c r="AC1214" s="312">
        <v>0.49680000000000002</v>
      </c>
      <c r="AD1214" s="312">
        <v>0.53649999999999998</v>
      </c>
      <c r="AE1214" s="312">
        <v>0.59660000000000002</v>
      </c>
      <c r="AF1214" s="312">
        <v>0.44629999999999997</v>
      </c>
      <c r="AG1214" s="312">
        <v>0.50529999999999997</v>
      </c>
      <c r="AH1214" s="312">
        <v>0.55789999999999995</v>
      </c>
      <c r="AI1214" s="312">
        <v>0.63070000000000004</v>
      </c>
      <c r="AJ1214" s="312">
        <v>0.54590000000000005</v>
      </c>
      <c r="AK1214" s="312">
        <v>0.55079999999999996</v>
      </c>
      <c r="AL1214" s="312">
        <v>0.55120000000000002</v>
      </c>
      <c r="AM1214" s="312">
        <v>0.63800000000000001</v>
      </c>
      <c r="AN1214" s="312">
        <v>0.58919999999999995</v>
      </c>
      <c r="AO1214" s="312">
        <v>0.59970000000000001</v>
      </c>
      <c r="AP1214" s="312">
        <v>0.64170000000000005</v>
      </c>
      <c r="AQ1214" s="312">
        <v>0.53939999999999999</v>
      </c>
      <c r="AR1214" s="312">
        <v>0.59809999999999997</v>
      </c>
      <c r="AS1214" s="312">
        <v>0.4753</v>
      </c>
      <c r="AT1214" s="312">
        <v>0.62050000000000005</v>
      </c>
      <c r="AU1214" s="312">
        <v>0.67789999999999995</v>
      </c>
      <c r="AV1214" s="312">
        <v>0.63690000000000002</v>
      </c>
      <c r="AW1214" s="312">
        <v>0.5917</v>
      </c>
      <c r="AX1214" s="312">
        <v>0.52549999999999997</v>
      </c>
      <c r="AY1214" s="312">
        <v>0.61960000000000004</v>
      </c>
      <c r="AZ1214" s="312">
        <v>0.60309999999999997</v>
      </c>
      <c r="BA1214" s="312">
        <v>0.48809999999999998</v>
      </c>
      <c r="BB1214" s="312">
        <v>0.45929999999999999</v>
      </c>
      <c r="BC1214" s="312">
        <v>0.65680000000000005</v>
      </c>
      <c r="BD1214" s="312">
        <v>0.67600000000000005</v>
      </c>
      <c r="BE1214" s="312">
        <v>0.67649999999999999</v>
      </c>
      <c r="BF1214" s="312">
        <v>0.60119999999999996</v>
      </c>
      <c r="BG1214" s="312">
        <v>0.68869999999999998</v>
      </c>
      <c r="BH1214" s="312">
        <v>0.62639999999999996</v>
      </c>
      <c r="BI1214" s="312">
        <v>0.67659999999999998</v>
      </c>
      <c r="BJ1214" s="312">
        <v>0.65080000000000005</v>
      </c>
      <c r="BK1214" s="312">
        <v>0.68140000000000001</v>
      </c>
      <c r="BM1214">
        <f>(C1214-C803)*1000000/(RIMS_emp!C1214-RIMS_emp!C803)</f>
        <v>37541.601377863539</v>
      </c>
    </row>
    <row r="1215" spans="1:65" x14ac:dyDescent="0.25">
      <c r="A1215" s="306" t="s">
        <v>785</v>
      </c>
      <c r="B1215" s="312" t="s">
        <v>345</v>
      </c>
      <c r="C1215" s="312">
        <v>0.75139999999999996</v>
      </c>
      <c r="D1215" s="312">
        <v>0.48349999999999999</v>
      </c>
      <c r="E1215" s="312">
        <v>0.53039999999999998</v>
      </c>
      <c r="F1215" s="312">
        <v>0.49869999999999998</v>
      </c>
      <c r="G1215" s="312">
        <v>0.56289999999999996</v>
      </c>
      <c r="H1215" s="312">
        <v>0.62180000000000002</v>
      </c>
      <c r="I1215" s="312">
        <v>0.62129999999999996</v>
      </c>
      <c r="J1215" s="312">
        <v>0.52280000000000004</v>
      </c>
      <c r="K1215" s="312">
        <v>0.1249</v>
      </c>
      <c r="L1215" s="312">
        <v>0.47439999999999999</v>
      </c>
      <c r="M1215" s="312">
        <v>0.58779999999999999</v>
      </c>
      <c r="N1215" s="312">
        <v>0.61539999999999995</v>
      </c>
      <c r="O1215" s="312">
        <v>0.54869999999999997</v>
      </c>
      <c r="P1215" s="312">
        <v>0.45700000000000002</v>
      </c>
      <c r="Q1215" s="312">
        <v>0.48359999999999997</v>
      </c>
      <c r="R1215" s="312">
        <v>0.62560000000000004</v>
      </c>
      <c r="S1215" s="312">
        <v>0.52710000000000001</v>
      </c>
      <c r="T1215" s="312">
        <v>0.46650000000000003</v>
      </c>
      <c r="U1215" s="312">
        <v>0.51639999999999997</v>
      </c>
      <c r="V1215" s="312">
        <v>0.53859999999999997</v>
      </c>
      <c r="W1215" s="312">
        <v>0.57079999999999997</v>
      </c>
      <c r="X1215" s="312">
        <v>0.49299999999999999</v>
      </c>
      <c r="Y1215" s="312">
        <v>0.54649999999999999</v>
      </c>
      <c r="Z1215" s="312">
        <v>0.58589999999999998</v>
      </c>
      <c r="AA1215" s="312">
        <v>0.57179999999999997</v>
      </c>
      <c r="AB1215" s="312">
        <v>0.54330000000000001</v>
      </c>
      <c r="AC1215" s="312">
        <v>0.47620000000000001</v>
      </c>
      <c r="AD1215" s="312">
        <v>0.4844</v>
      </c>
      <c r="AE1215" s="312">
        <v>0.55030000000000001</v>
      </c>
      <c r="AF1215" s="312">
        <v>0.42080000000000001</v>
      </c>
      <c r="AG1215" s="312">
        <v>0.46929999999999999</v>
      </c>
      <c r="AH1215" s="312">
        <v>0.51</v>
      </c>
      <c r="AI1215" s="312">
        <v>0.56269999999999998</v>
      </c>
      <c r="AJ1215" s="312">
        <v>0.50119999999999998</v>
      </c>
      <c r="AK1215" s="312">
        <v>0.51719999999999999</v>
      </c>
      <c r="AL1215" s="312">
        <v>0.50439999999999996</v>
      </c>
      <c r="AM1215" s="312">
        <v>0.59</v>
      </c>
      <c r="AN1215" s="312">
        <v>0.54579999999999995</v>
      </c>
      <c r="AO1215" s="312">
        <v>0.55159999999999998</v>
      </c>
      <c r="AP1215" s="312">
        <v>0.59419999999999995</v>
      </c>
      <c r="AQ1215" s="312">
        <v>0.502</v>
      </c>
      <c r="AR1215" s="312">
        <v>0.54620000000000002</v>
      </c>
      <c r="AS1215" s="312">
        <v>0.443</v>
      </c>
      <c r="AT1215" s="312">
        <v>0.57850000000000001</v>
      </c>
      <c r="AU1215" s="312">
        <v>0.61709999999999998</v>
      </c>
      <c r="AV1215" s="312">
        <v>0.60729999999999995</v>
      </c>
      <c r="AW1215" s="312">
        <v>0.53839999999999999</v>
      </c>
      <c r="AX1215" s="312">
        <v>0.48280000000000001</v>
      </c>
      <c r="AY1215" s="312">
        <v>0.56559999999999999</v>
      </c>
      <c r="AZ1215" s="312">
        <v>0.56030000000000002</v>
      </c>
      <c r="BA1215" s="312">
        <v>0.4425</v>
      </c>
      <c r="BB1215" s="312">
        <v>0.4229</v>
      </c>
      <c r="BC1215" s="312">
        <v>0.61219999999999997</v>
      </c>
      <c r="BD1215" s="312">
        <v>0.626</v>
      </c>
      <c r="BE1215" s="312">
        <v>0.63329999999999997</v>
      </c>
      <c r="BF1215" s="312">
        <v>0.56299999999999994</v>
      </c>
      <c r="BG1215" s="312">
        <v>0.6381</v>
      </c>
      <c r="BH1215" s="312">
        <v>0.57089999999999996</v>
      </c>
      <c r="BI1215" s="312">
        <v>0.61670000000000003</v>
      </c>
      <c r="BJ1215" s="312">
        <v>0.60099999999999998</v>
      </c>
      <c r="BK1215" s="312">
        <v>0.62929999999999997</v>
      </c>
      <c r="BM1215">
        <f>(C1215-C804)*1000000/(RIMS_emp!C1215-RIMS_emp!C804)</f>
        <v>37554.353145142122</v>
      </c>
    </row>
    <row r="1216" spans="1:65" x14ac:dyDescent="0.25">
      <c r="A1216" s="306" t="s">
        <v>786</v>
      </c>
      <c r="B1216" s="312" t="s">
        <v>346</v>
      </c>
      <c r="C1216" s="312">
        <v>0.6653</v>
      </c>
      <c r="D1216" s="312">
        <v>0.40960000000000002</v>
      </c>
      <c r="E1216" s="312">
        <v>0.46089999999999998</v>
      </c>
      <c r="F1216" s="312">
        <v>0.4224</v>
      </c>
      <c r="G1216" s="312">
        <v>0.48749999999999999</v>
      </c>
      <c r="H1216" s="312">
        <v>0.53690000000000004</v>
      </c>
      <c r="I1216" s="312">
        <v>0.54269999999999996</v>
      </c>
      <c r="J1216" s="312">
        <v>0.44969999999999999</v>
      </c>
      <c r="K1216" s="312">
        <v>9.9000000000000005E-2</v>
      </c>
      <c r="L1216" s="312">
        <v>0.4032</v>
      </c>
      <c r="M1216" s="312">
        <v>0.50949999999999995</v>
      </c>
      <c r="N1216" s="312">
        <v>0.53610000000000002</v>
      </c>
      <c r="O1216" s="312">
        <v>0.47310000000000002</v>
      </c>
      <c r="P1216" s="312">
        <v>0.379</v>
      </c>
      <c r="Q1216" s="312">
        <v>0.40100000000000002</v>
      </c>
      <c r="R1216" s="312">
        <v>0.54469999999999996</v>
      </c>
      <c r="S1216" s="312">
        <v>0.45739999999999997</v>
      </c>
      <c r="T1216" s="312">
        <v>0.39240000000000003</v>
      </c>
      <c r="U1216" s="312">
        <v>0.45040000000000002</v>
      </c>
      <c r="V1216" s="312">
        <v>0.4632</v>
      </c>
      <c r="W1216" s="312">
        <v>0.48970000000000002</v>
      </c>
      <c r="X1216" s="312">
        <v>0.435</v>
      </c>
      <c r="Y1216" s="312">
        <v>0.4667</v>
      </c>
      <c r="Z1216" s="312">
        <v>0.50139999999999996</v>
      </c>
      <c r="AA1216" s="312">
        <v>0.48880000000000001</v>
      </c>
      <c r="AB1216" s="312">
        <v>0.46929999999999999</v>
      </c>
      <c r="AC1216" s="312">
        <v>0.40629999999999999</v>
      </c>
      <c r="AD1216" s="312">
        <v>0.41039999999999999</v>
      </c>
      <c r="AE1216" s="312">
        <v>0.4713</v>
      </c>
      <c r="AF1216" s="312">
        <v>0.34549999999999997</v>
      </c>
      <c r="AG1216" s="312">
        <v>0.38879999999999998</v>
      </c>
      <c r="AH1216" s="312">
        <v>0.4425</v>
      </c>
      <c r="AI1216" s="312">
        <v>0.48920000000000002</v>
      </c>
      <c r="AJ1216" s="312">
        <v>0.42849999999999999</v>
      </c>
      <c r="AK1216" s="312">
        <v>0.43840000000000001</v>
      </c>
      <c r="AL1216" s="312">
        <v>0.43049999999999999</v>
      </c>
      <c r="AM1216" s="312">
        <v>0.51390000000000002</v>
      </c>
      <c r="AN1216" s="312">
        <v>0.4733</v>
      </c>
      <c r="AO1216" s="312">
        <v>0.47670000000000001</v>
      </c>
      <c r="AP1216" s="312">
        <v>0.51470000000000005</v>
      </c>
      <c r="AQ1216" s="312">
        <v>0.42959999999999998</v>
      </c>
      <c r="AR1216" s="312">
        <v>0.47760000000000002</v>
      </c>
      <c r="AS1216" s="312">
        <v>0.35970000000000002</v>
      </c>
      <c r="AT1216" s="312">
        <v>0.50249999999999995</v>
      </c>
      <c r="AU1216" s="312">
        <v>0.5423</v>
      </c>
      <c r="AV1216" s="312">
        <v>0.52370000000000005</v>
      </c>
      <c r="AW1216" s="312">
        <v>0.4677</v>
      </c>
      <c r="AX1216" s="312">
        <v>0.40810000000000002</v>
      </c>
      <c r="AY1216" s="312">
        <v>0.48880000000000001</v>
      </c>
      <c r="AZ1216" s="312">
        <v>0.47749999999999998</v>
      </c>
      <c r="BA1216" s="312">
        <v>0.37659999999999999</v>
      </c>
      <c r="BB1216" s="312">
        <v>0.35049999999999998</v>
      </c>
      <c r="BC1216" s="312">
        <v>0.52790000000000004</v>
      </c>
      <c r="BD1216" s="312">
        <v>0.54069999999999996</v>
      </c>
      <c r="BE1216" s="312">
        <v>0.55069999999999997</v>
      </c>
      <c r="BF1216" s="312">
        <v>0.48149999999999998</v>
      </c>
      <c r="BG1216" s="312">
        <v>0.55710000000000004</v>
      </c>
      <c r="BH1216" s="312">
        <v>0.49809999999999999</v>
      </c>
      <c r="BI1216" s="312">
        <v>0.54190000000000005</v>
      </c>
      <c r="BJ1216" s="312">
        <v>0.5232</v>
      </c>
      <c r="BK1216" s="312">
        <v>0.54510000000000003</v>
      </c>
      <c r="BM1216">
        <f>(C1216-C805)*1000000/(RIMS_emp!C1216-RIMS_emp!C805)</f>
        <v>37549.344702352741</v>
      </c>
    </row>
    <row r="1217" spans="1:65" x14ac:dyDescent="0.25">
      <c r="A1217" s="306">
        <v>722000</v>
      </c>
      <c r="B1217" s="312" t="s">
        <v>347</v>
      </c>
      <c r="C1217" s="312">
        <v>0.83450000000000002</v>
      </c>
      <c r="D1217" s="312">
        <v>0.49440000000000001</v>
      </c>
      <c r="E1217" s="312">
        <v>0.57750000000000001</v>
      </c>
      <c r="F1217" s="312">
        <v>0.55620000000000003</v>
      </c>
      <c r="G1217" s="312">
        <v>0.59089999999999998</v>
      </c>
      <c r="H1217" s="312">
        <v>0.66369999999999996</v>
      </c>
      <c r="I1217" s="312">
        <v>0.66479999999999995</v>
      </c>
      <c r="J1217" s="312">
        <v>0.56110000000000004</v>
      </c>
      <c r="K1217" s="312">
        <v>0.15359999999999999</v>
      </c>
      <c r="L1217" s="312">
        <v>0.47699999999999998</v>
      </c>
      <c r="M1217" s="312">
        <v>0.61539999999999995</v>
      </c>
      <c r="N1217" s="312">
        <v>0.65849999999999997</v>
      </c>
      <c r="O1217" s="312">
        <v>0.56850000000000001</v>
      </c>
      <c r="P1217" s="312">
        <v>0.50129999999999997</v>
      </c>
      <c r="Q1217" s="312">
        <v>0.51529999999999998</v>
      </c>
      <c r="R1217" s="312">
        <v>0.67210000000000003</v>
      </c>
      <c r="S1217" s="312">
        <v>0.59009999999999996</v>
      </c>
      <c r="T1217" s="312">
        <v>0.49390000000000001</v>
      </c>
      <c r="U1217" s="312">
        <v>0.57420000000000004</v>
      </c>
      <c r="V1217" s="312">
        <v>0.56910000000000005</v>
      </c>
      <c r="W1217" s="312">
        <v>0.59440000000000004</v>
      </c>
      <c r="X1217" s="312">
        <v>0.55469999999999997</v>
      </c>
      <c r="Y1217" s="312">
        <v>0.5756</v>
      </c>
      <c r="Z1217" s="312">
        <v>0.62539999999999996</v>
      </c>
      <c r="AA1217" s="312">
        <v>0.63200000000000001</v>
      </c>
      <c r="AB1217" s="312">
        <v>0.60329999999999995</v>
      </c>
      <c r="AC1217" s="312">
        <v>0.52890000000000004</v>
      </c>
      <c r="AD1217" s="312">
        <v>0.51170000000000004</v>
      </c>
      <c r="AE1217" s="312">
        <v>0.5998</v>
      </c>
      <c r="AF1217" s="312">
        <v>0.45610000000000001</v>
      </c>
      <c r="AG1217" s="312">
        <v>0.50480000000000003</v>
      </c>
      <c r="AH1217" s="312">
        <v>0.52610000000000001</v>
      </c>
      <c r="AI1217" s="312">
        <v>0.59830000000000005</v>
      </c>
      <c r="AJ1217" s="312">
        <v>0.5232</v>
      </c>
      <c r="AK1217" s="312">
        <v>0.54290000000000005</v>
      </c>
      <c r="AL1217" s="312">
        <v>0.54449999999999998</v>
      </c>
      <c r="AM1217" s="312">
        <v>0.64629999999999999</v>
      </c>
      <c r="AN1217" s="312">
        <v>0.5837</v>
      </c>
      <c r="AO1217" s="312">
        <v>0.59460000000000002</v>
      </c>
      <c r="AP1217" s="312">
        <v>0.64810000000000001</v>
      </c>
      <c r="AQ1217" s="312">
        <v>0.52959999999999996</v>
      </c>
      <c r="AR1217" s="312">
        <v>0.58679999999999999</v>
      </c>
      <c r="AS1217" s="312">
        <v>0.47489999999999999</v>
      </c>
      <c r="AT1217" s="312">
        <v>0.62409999999999999</v>
      </c>
      <c r="AU1217" s="312">
        <v>0.66779999999999995</v>
      </c>
      <c r="AV1217" s="312">
        <v>0.65439999999999998</v>
      </c>
      <c r="AW1217" s="312">
        <v>0.58409999999999995</v>
      </c>
      <c r="AX1217" s="312">
        <v>0.50249999999999995</v>
      </c>
      <c r="AY1217" s="312">
        <v>0.60780000000000001</v>
      </c>
      <c r="AZ1217" s="312">
        <v>0.61450000000000005</v>
      </c>
      <c r="BA1217" s="312">
        <v>0.48399999999999999</v>
      </c>
      <c r="BB1217" s="312">
        <v>0.44440000000000002</v>
      </c>
      <c r="BC1217" s="312">
        <v>0.64549999999999996</v>
      </c>
      <c r="BD1217" s="312">
        <v>0.66690000000000005</v>
      </c>
      <c r="BE1217" s="312">
        <v>0.69389999999999996</v>
      </c>
      <c r="BF1217" s="312">
        <v>0.62309999999999999</v>
      </c>
      <c r="BG1217" s="312">
        <v>0.68069999999999997</v>
      </c>
      <c r="BH1217" s="312">
        <v>0.62970000000000004</v>
      </c>
      <c r="BI1217" s="312">
        <v>0.67469999999999997</v>
      </c>
      <c r="BJ1217" s="312">
        <v>0.64380000000000004</v>
      </c>
      <c r="BK1217" s="312">
        <v>0.6744</v>
      </c>
      <c r="BM1217">
        <f>(C1217-C806)*1000000/(RIMS_emp!C1217-RIMS_emp!C806)</f>
        <v>37537.764350453173</v>
      </c>
    </row>
    <row r="1218" spans="1:65" x14ac:dyDescent="0.25">
      <c r="A1218" s="306">
        <v>811192</v>
      </c>
      <c r="B1218" s="312" t="s">
        <v>349</v>
      </c>
      <c r="C1218" s="312">
        <v>0.83230000000000004</v>
      </c>
      <c r="D1218" s="312">
        <v>0.52470000000000006</v>
      </c>
      <c r="E1218" s="312">
        <v>0.60409999999999997</v>
      </c>
      <c r="F1218" s="312">
        <v>0.54690000000000005</v>
      </c>
      <c r="G1218" s="312">
        <v>0.62460000000000004</v>
      </c>
      <c r="H1218" s="312">
        <v>0.67659999999999998</v>
      </c>
      <c r="I1218" s="312">
        <v>0.67420000000000002</v>
      </c>
      <c r="J1218" s="312">
        <v>0.59430000000000005</v>
      </c>
      <c r="K1218" s="312">
        <v>0.12189999999999999</v>
      </c>
      <c r="L1218" s="312">
        <v>0.46650000000000003</v>
      </c>
      <c r="M1218" s="312">
        <v>0.64180000000000004</v>
      </c>
      <c r="N1218" s="312">
        <v>0.66930000000000001</v>
      </c>
      <c r="O1218" s="312">
        <v>0.59109999999999996</v>
      </c>
      <c r="P1218" s="312">
        <v>0.51039999999999996</v>
      </c>
      <c r="Q1218" s="312">
        <v>0.52239999999999998</v>
      </c>
      <c r="R1218" s="312">
        <v>0.68830000000000002</v>
      </c>
      <c r="S1218" s="312">
        <v>0.60240000000000005</v>
      </c>
      <c r="T1218" s="312">
        <v>0.50619999999999998</v>
      </c>
      <c r="U1218" s="312">
        <v>0.58720000000000006</v>
      </c>
      <c r="V1218" s="312">
        <v>0.58299999999999996</v>
      </c>
      <c r="W1218" s="312">
        <v>0.59850000000000003</v>
      </c>
      <c r="X1218" s="312">
        <v>0.59289999999999998</v>
      </c>
      <c r="Y1218" s="312">
        <v>0.59330000000000005</v>
      </c>
      <c r="Z1218" s="312">
        <v>0.65149999999999997</v>
      </c>
      <c r="AA1218" s="312">
        <v>0.60980000000000001</v>
      </c>
      <c r="AB1218" s="312">
        <v>0.60350000000000004</v>
      </c>
      <c r="AC1218" s="312">
        <v>0.55169999999999997</v>
      </c>
      <c r="AD1218" s="312">
        <v>0.53139999999999998</v>
      </c>
      <c r="AE1218" s="312">
        <v>0.61229999999999996</v>
      </c>
      <c r="AF1218" s="312">
        <v>0.44240000000000002</v>
      </c>
      <c r="AG1218" s="312">
        <v>0.50990000000000002</v>
      </c>
      <c r="AH1218" s="312">
        <v>0.56410000000000005</v>
      </c>
      <c r="AI1218" s="312">
        <v>0.62270000000000003</v>
      </c>
      <c r="AJ1218" s="312">
        <v>0.55389999999999995</v>
      </c>
      <c r="AK1218" s="312">
        <v>0.56710000000000005</v>
      </c>
      <c r="AL1218" s="312">
        <v>0.57820000000000005</v>
      </c>
      <c r="AM1218" s="312">
        <v>0.66120000000000001</v>
      </c>
      <c r="AN1218" s="312">
        <v>0.60629999999999995</v>
      </c>
      <c r="AO1218" s="312">
        <v>0.58599999999999997</v>
      </c>
      <c r="AP1218" s="312">
        <v>0.64639999999999997</v>
      </c>
      <c r="AQ1218" s="312">
        <v>0.53610000000000002</v>
      </c>
      <c r="AR1218" s="312">
        <v>0.62880000000000003</v>
      </c>
      <c r="AS1218" s="312">
        <v>0.47910000000000003</v>
      </c>
      <c r="AT1218" s="312">
        <v>0.62970000000000004</v>
      </c>
      <c r="AU1218" s="312">
        <v>0.69010000000000005</v>
      </c>
      <c r="AV1218" s="312">
        <v>0.67069999999999996</v>
      </c>
      <c r="AW1218" s="312">
        <v>0.60719999999999996</v>
      </c>
      <c r="AX1218" s="312">
        <v>0.53190000000000004</v>
      </c>
      <c r="AY1218" s="312">
        <v>0.61570000000000003</v>
      </c>
      <c r="AZ1218" s="312">
        <v>0.61770000000000003</v>
      </c>
      <c r="BA1218" s="312">
        <v>0.51070000000000004</v>
      </c>
      <c r="BB1218" s="312">
        <v>0.4778</v>
      </c>
      <c r="BC1218" s="312">
        <v>0.65990000000000004</v>
      </c>
      <c r="BD1218" s="312">
        <v>0.6845</v>
      </c>
      <c r="BE1218" s="312">
        <v>0.70540000000000003</v>
      </c>
      <c r="BF1218" s="312">
        <v>0.61360000000000003</v>
      </c>
      <c r="BG1218" s="312">
        <v>0.69620000000000004</v>
      </c>
      <c r="BH1218" s="312">
        <v>0.64649999999999996</v>
      </c>
      <c r="BI1218" s="312">
        <v>0.68820000000000003</v>
      </c>
      <c r="BJ1218" s="312">
        <v>0.65849999999999997</v>
      </c>
      <c r="BK1218" s="312">
        <v>0.68149999999999999</v>
      </c>
      <c r="BM1218">
        <f>(C1218-C807)*1000000/(RIMS_emp!C1218-RIMS_emp!C807)</f>
        <v>37536.760529604064</v>
      </c>
    </row>
    <row r="1219" spans="1:65" x14ac:dyDescent="0.25">
      <c r="A1219" s="306" t="s">
        <v>787</v>
      </c>
      <c r="B1219" s="312" t="s">
        <v>348</v>
      </c>
      <c r="C1219" s="312">
        <v>0.81840000000000002</v>
      </c>
      <c r="D1219" s="312">
        <v>0.49680000000000002</v>
      </c>
      <c r="E1219" s="312">
        <v>0.60189999999999999</v>
      </c>
      <c r="F1219" s="312">
        <v>0.54390000000000005</v>
      </c>
      <c r="G1219" s="312">
        <v>0.59689999999999999</v>
      </c>
      <c r="H1219" s="312">
        <v>0.64790000000000003</v>
      </c>
      <c r="I1219" s="312">
        <v>0.64239999999999997</v>
      </c>
      <c r="J1219" s="312">
        <v>0.57899999999999996</v>
      </c>
      <c r="K1219" s="312">
        <v>0.1125</v>
      </c>
      <c r="L1219" s="312">
        <v>0.44259999999999999</v>
      </c>
      <c r="M1219" s="312">
        <v>0.61270000000000002</v>
      </c>
      <c r="N1219" s="312">
        <v>0.64839999999999998</v>
      </c>
      <c r="O1219" s="312">
        <v>0.56120000000000003</v>
      </c>
      <c r="P1219" s="312">
        <v>0.50690000000000002</v>
      </c>
      <c r="Q1219" s="312">
        <v>0.50609999999999999</v>
      </c>
      <c r="R1219" s="312">
        <v>0.67490000000000006</v>
      </c>
      <c r="S1219" s="312">
        <v>0.60109999999999997</v>
      </c>
      <c r="T1219" s="312">
        <v>0.48470000000000002</v>
      </c>
      <c r="U1219" s="312">
        <v>0.58120000000000005</v>
      </c>
      <c r="V1219" s="312">
        <v>0.55200000000000005</v>
      </c>
      <c r="W1219" s="312">
        <v>0.58089999999999997</v>
      </c>
      <c r="X1219" s="312">
        <v>0.56589999999999996</v>
      </c>
      <c r="Y1219" s="312">
        <v>0.57540000000000002</v>
      </c>
      <c r="Z1219" s="312">
        <v>0.64939999999999998</v>
      </c>
      <c r="AA1219" s="312">
        <v>0.59560000000000002</v>
      </c>
      <c r="AB1219" s="312">
        <v>0.59770000000000001</v>
      </c>
      <c r="AC1219" s="312">
        <v>0.54459999999999997</v>
      </c>
      <c r="AD1219" s="312">
        <v>0.50639999999999996</v>
      </c>
      <c r="AE1219" s="312">
        <v>0.60840000000000005</v>
      </c>
      <c r="AF1219" s="312">
        <v>0.43099999999999999</v>
      </c>
      <c r="AG1219" s="312">
        <v>0.50139999999999996</v>
      </c>
      <c r="AH1219" s="312">
        <v>0.55020000000000002</v>
      </c>
      <c r="AI1219" s="312">
        <v>0.59370000000000001</v>
      </c>
      <c r="AJ1219" s="312">
        <v>0.5272</v>
      </c>
      <c r="AK1219" s="312">
        <v>0.54510000000000003</v>
      </c>
      <c r="AL1219" s="312">
        <v>0.55379999999999996</v>
      </c>
      <c r="AM1219" s="312">
        <v>0.65549999999999997</v>
      </c>
      <c r="AN1219" s="312">
        <v>0.58620000000000005</v>
      </c>
      <c r="AO1219" s="312">
        <v>0.57230000000000003</v>
      </c>
      <c r="AP1219" s="312">
        <v>0.63149999999999995</v>
      </c>
      <c r="AQ1219" s="312">
        <v>0.51859999999999995</v>
      </c>
      <c r="AR1219" s="312">
        <v>0.62190000000000001</v>
      </c>
      <c r="AS1219" s="312">
        <v>0.46689999999999998</v>
      </c>
      <c r="AT1219" s="312">
        <v>0.62009999999999998</v>
      </c>
      <c r="AU1219" s="312">
        <v>0.65939999999999999</v>
      </c>
      <c r="AV1219" s="312">
        <v>0.65269999999999995</v>
      </c>
      <c r="AW1219" s="312">
        <v>0.58550000000000002</v>
      </c>
      <c r="AX1219" s="312">
        <v>0.52259999999999995</v>
      </c>
      <c r="AY1219" s="312">
        <v>0.59119999999999995</v>
      </c>
      <c r="AZ1219" s="312">
        <v>0.61819999999999997</v>
      </c>
      <c r="BA1219" s="312">
        <v>0.50390000000000001</v>
      </c>
      <c r="BB1219" s="312">
        <v>0.46050000000000002</v>
      </c>
      <c r="BC1219" s="312">
        <v>0.64410000000000001</v>
      </c>
      <c r="BD1219" s="312">
        <v>0.65800000000000003</v>
      </c>
      <c r="BE1219" s="312">
        <v>0.69969999999999999</v>
      </c>
      <c r="BF1219" s="312">
        <v>0.60329999999999995</v>
      </c>
      <c r="BG1219" s="312">
        <v>0.67120000000000002</v>
      </c>
      <c r="BH1219" s="312">
        <v>0.6391</v>
      </c>
      <c r="BI1219" s="312">
        <v>0.65890000000000004</v>
      </c>
      <c r="BJ1219" s="312">
        <v>0.62670000000000003</v>
      </c>
      <c r="BK1219" s="312">
        <v>0.65269999999999995</v>
      </c>
      <c r="BM1219">
        <f>(C1219-C808)*1000000/(RIMS_emp!C1219-RIMS_emp!C808)</f>
        <v>37531.44734815423</v>
      </c>
    </row>
    <row r="1220" spans="1:65" x14ac:dyDescent="0.25">
      <c r="A1220" s="306">
        <v>811200</v>
      </c>
      <c r="B1220" s="312" t="s">
        <v>350</v>
      </c>
      <c r="C1220" s="312">
        <v>0.87860000000000005</v>
      </c>
      <c r="D1220" s="312">
        <v>0.58309999999999995</v>
      </c>
      <c r="E1220" s="312">
        <v>0.63870000000000005</v>
      </c>
      <c r="F1220" s="312">
        <v>0.5675</v>
      </c>
      <c r="G1220" s="312">
        <v>0.69579999999999997</v>
      </c>
      <c r="H1220" s="312">
        <v>0.74309999999999998</v>
      </c>
      <c r="I1220" s="312">
        <v>0.71750000000000003</v>
      </c>
      <c r="J1220" s="312">
        <v>0.61970000000000003</v>
      </c>
      <c r="K1220" s="312">
        <v>9.4200000000000006E-2</v>
      </c>
      <c r="L1220" s="312">
        <v>0.48170000000000002</v>
      </c>
      <c r="M1220" s="312">
        <v>0.70189999999999997</v>
      </c>
      <c r="N1220" s="312">
        <v>0.71319999999999995</v>
      </c>
      <c r="O1220" s="312">
        <v>0.63170000000000004</v>
      </c>
      <c r="P1220" s="312">
        <v>0.53559999999999997</v>
      </c>
      <c r="Q1220" s="312">
        <v>0.59589999999999999</v>
      </c>
      <c r="R1220" s="312">
        <v>0.71779999999999999</v>
      </c>
      <c r="S1220" s="312">
        <v>0.6583</v>
      </c>
      <c r="T1220" s="312">
        <v>0.52900000000000003</v>
      </c>
      <c r="U1220" s="312">
        <v>0.61219999999999997</v>
      </c>
      <c r="V1220" s="312">
        <v>0.62619999999999998</v>
      </c>
      <c r="W1220" s="312">
        <v>0.64</v>
      </c>
      <c r="X1220" s="312">
        <v>0.6038</v>
      </c>
      <c r="Y1220" s="312">
        <v>0.64229999999999998</v>
      </c>
      <c r="Z1220" s="312">
        <v>0.70250000000000001</v>
      </c>
      <c r="AA1220" s="312">
        <v>0.66779999999999995</v>
      </c>
      <c r="AB1220" s="312">
        <v>0.56679999999999997</v>
      </c>
      <c r="AC1220" s="312">
        <v>0.59360000000000002</v>
      </c>
      <c r="AD1220" s="312">
        <v>0.56230000000000002</v>
      </c>
      <c r="AE1220" s="312">
        <v>0.66359999999999997</v>
      </c>
      <c r="AF1220" s="312">
        <v>0.38009999999999999</v>
      </c>
      <c r="AG1220" s="312">
        <v>0.53410000000000002</v>
      </c>
      <c r="AH1220" s="312">
        <v>0.51939999999999997</v>
      </c>
      <c r="AI1220" s="312">
        <v>0.64580000000000004</v>
      </c>
      <c r="AJ1220" s="312">
        <v>0.61480000000000001</v>
      </c>
      <c r="AK1220" s="312">
        <v>0.62360000000000004</v>
      </c>
      <c r="AL1220" s="312">
        <v>0.60360000000000003</v>
      </c>
      <c r="AM1220" s="312">
        <v>0.70489999999999997</v>
      </c>
      <c r="AN1220" s="312">
        <v>0.65500000000000003</v>
      </c>
      <c r="AO1220" s="312">
        <v>0.62260000000000004</v>
      </c>
      <c r="AP1220" s="312">
        <v>0.66220000000000001</v>
      </c>
      <c r="AQ1220" s="312">
        <v>0.58350000000000002</v>
      </c>
      <c r="AR1220" s="312">
        <v>0.66539999999999999</v>
      </c>
      <c r="AS1220" s="312">
        <v>0.53939999999999999</v>
      </c>
      <c r="AT1220" s="312">
        <v>0.65800000000000003</v>
      </c>
      <c r="AU1220" s="312">
        <v>0.74670000000000003</v>
      </c>
      <c r="AV1220" s="312">
        <v>0.7228</v>
      </c>
      <c r="AW1220" s="312">
        <v>0.61439999999999995</v>
      </c>
      <c r="AX1220" s="312">
        <v>0.56520000000000004</v>
      </c>
      <c r="AY1220" s="312">
        <v>0.67110000000000003</v>
      </c>
      <c r="AZ1220" s="312">
        <v>0.6522</v>
      </c>
      <c r="BA1220" s="312">
        <v>0.55359999999999998</v>
      </c>
      <c r="BB1220" s="312">
        <v>0.50109999999999999</v>
      </c>
      <c r="BC1220" s="312">
        <v>0.72470000000000001</v>
      </c>
      <c r="BD1220" s="312">
        <v>0.72860000000000003</v>
      </c>
      <c r="BE1220" s="312">
        <v>0.74709999999999999</v>
      </c>
      <c r="BF1220" s="312">
        <v>0.65</v>
      </c>
      <c r="BG1220" s="312">
        <v>0.74460000000000004</v>
      </c>
      <c r="BH1220" s="312">
        <v>0.67549999999999999</v>
      </c>
      <c r="BI1220" s="312">
        <v>0.74519999999999997</v>
      </c>
      <c r="BJ1220" s="312">
        <v>0.71740000000000004</v>
      </c>
      <c r="BK1220" s="312">
        <v>0.74770000000000003</v>
      </c>
      <c r="BM1220">
        <f>(C1220-C809)*1000000/(RIMS_emp!C1220-RIMS_emp!C809)</f>
        <v>37541.397161679095</v>
      </c>
    </row>
    <row r="1221" spans="1:65" x14ac:dyDescent="0.25">
      <c r="A1221" s="306">
        <v>811300</v>
      </c>
      <c r="B1221" s="312" t="s">
        <v>351</v>
      </c>
      <c r="C1221" s="312">
        <v>0.77690000000000003</v>
      </c>
      <c r="D1221" s="312">
        <v>0.48120000000000002</v>
      </c>
      <c r="E1221" s="312">
        <v>0.54749999999999999</v>
      </c>
      <c r="F1221" s="312">
        <v>0.50539999999999996</v>
      </c>
      <c r="G1221" s="312">
        <v>0.59489999999999998</v>
      </c>
      <c r="H1221" s="312">
        <v>0.64449999999999996</v>
      </c>
      <c r="I1221" s="312">
        <v>0.62819999999999998</v>
      </c>
      <c r="J1221" s="312">
        <v>0.54169999999999996</v>
      </c>
      <c r="K1221" s="312">
        <v>0.11260000000000001</v>
      </c>
      <c r="L1221" s="312">
        <v>0.48070000000000002</v>
      </c>
      <c r="M1221" s="312">
        <v>0.60729999999999995</v>
      </c>
      <c r="N1221" s="312">
        <v>0.61499999999999999</v>
      </c>
      <c r="O1221" s="312">
        <v>0.56330000000000002</v>
      </c>
      <c r="P1221" s="312">
        <v>0.48299999999999998</v>
      </c>
      <c r="Q1221" s="312">
        <v>0.50949999999999995</v>
      </c>
      <c r="R1221" s="312">
        <v>0.64570000000000005</v>
      </c>
      <c r="S1221" s="312">
        <v>0.56340000000000001</v>
      </c>
      <c r="T1221" s="312">
        <v>0.49719999999999998</v>
      </c>
      <c r="U1221" s="312">
        <v>0.56169999999999998</v>
      </c>
      <c r="V1221" s="312">
        <v>0.55289999999999995</v>
      </c>
      <c r="W1221" s="312">
        <v>0.56569999999999998</v>
      </c>
      <c r="X1221" s="312">
        <v>0.55020000000000002</v>
      </c>
      <c r="Y1221" s="312">
        <v>0.54139999999999999</v>
      </c>
      <c r="Z1221" s="312">
        <v>0.61370000000000002</v>
      </c>
      <c r="AA1221" s="312">
        <v>0.58940000000000003</v>
      </c>
      <c r="AB1221" s="312">
        <v>0.57150000000000001</v>
      </c>
      <c r="AC1221" s="312">
        <v>0.51380000000000003</v>
      </c>
      <c r="AD1221" s="312">
        <v>0.50690000000000002</v>
      </c>
      <c r="AE1221" s="312">
        <v>0.5645</v>
      </c>
      <c r="AF1221" s="312">
        <v>0.40849999999999997</v>
      </c>
      <c r="AG1221" s="312">
        <v>0.48899999999999999</v>
      </c>
      <c r="AH1221" s="312">
        <v>0.54349999999999998</v>
      </c>
      <c r="AI1221" s="312">
        <v>0.5605</v>
      </c>
      <c r="AJ1221" s="312">
        <v>0.52100000000000002</v>
      </c>
      <c r="AK1221" s="312">
        <v>0.52649999999999997</v>
      </c>
      <c r="AL1221" s="312">
        <v>0.53580000000000005</v>
      </c>
      <c r="AM1221" s="312">
        <v>0.62380000000000002</v>
      </c>
      <c r="AN1221" s="312">
        <v>0.57609999999999995</v>
      </c>
      <c r="AO1221" s="312">
        <v>0.51990000000000003</v>
      </c>
      <c r="AP1221" s="312">
        <v>0.62180000000000002</v>
      </c>
      <c r="AQ1221" s="312">
        <v>0.56379999999999997</v>
      </c>
      <c r="AR1221" s="312">
        <v>0.59150000000000003</v>
      </c>
      <c r="AS1221" s="312">
        <v>0.46910000000000002</v>
      </c>
      <c r="AT1221" s="312">
        <v>0.58099999999999996</v>
      </c>
      <c r="AU1221" s="312">
        <v>0.65090000000000003</v>
      </c>
      <c r="AV1221" s="312">
        <v>0.62460000000000004</v>
      </c>
      <c r="AW1221" s="312">
        <v>0.56999999999999995</v>
      </c>
      <c r="AX1221" s="312">
        <v>0.47689999999999999</v>
      </c>
      <c r="AY1221" s="312">
        <v>0.56889999999999996</v>
      </c>
      <c r="AZ1221" s="312">
        <v>0.58930000000000005</v>
      </c>
      <c r="BA1221" s="312">
        <v>0.48249999999999998</v>
      </c>
      <c r="BB1221" s="312">
        <v>0.46600000000000003</v>
      </c>
      <c r="BC1221" s="312">
        <v>0.62970000000000004</v>
      </c>
      <c r="BD1221" s="312">
        <v>0.64559999999999995</v>
      </c>
      <c r="BE1221" s="312">
        <v>0.66569999999999996</v>
      </c>
      <c r="BF1221" s="312">
        <v>0.58979999999999999</v>
      </c>
      <c r="BG1221" s="312">
        <v>0.6532</v>
      </c>
      <c r="BH1221" s="312">
        <v>0.6008</v>
      </c>
      <c r="BI1221" s="312">
        <v>0.65239999999999998</v>
      </c>
      <c r="BJ1221" s="312">
        <v>0.61819999999999997</v>
      </c>
      <c r="BK1221" s="312">
        <v>0.64290000000000003</v>
      </c>
      <c r="BM1221">
        <f>(C1221-C810)*1000000/(RIMS_emp!C1221-RIMS_emp!C810)</f>
        <v>37534.309549885744</v>
      </c>
    </row>
    <row r="1222" spans="1:65" x14ac:dyDescent="0.25">
      <c r="A1222" s="306">
        <v>811400</v>
      </c>
      <c r="B1222" s="312" t="s">
        <v>352</v>
      </c>
      <c r="C1222" s="312">
        <v>0.63790000000000002</v>
      </c>
      <c r="D1222" s="312">
        <v>0.36969999999999997</v>
      </c>
      <c r="E1222" s="312">
        <v>0.44550000000000001</v>
      </c>
      <c r="F1222" s="312">
        <v>0.39539999999999997</v>
      </c>
      <c r="G1222" s="312">
        <v>0.4642</v>
      </c>
      <c r="H1222" s="312">
        <v>0.51149999999999995</v>
      </c>
      <c r="I1222" s="312">
        <v>0.50090000000000001</v>
      </c>
      <c r="J1222" s="312">
        <v>0.44280000000000003</v>
      </c>
      <c r="K1222" s="312">
        <v>9.1700000000000004E-2</v>
      </c>
      <c r="L1222" s="312">
        <v>0.2984</v>
      </c>
      <c r="M1222" s="312">
        <v>0.47510000000000002</v>
      </c>
      <c r="N1222" s="312">
        <v>0.50490000000000002</v>
      </c>
      <c r="O1222" s="312">
        <v>0.4274</v>
      </c>
      <c r="P1222" s="312">
        <v>0.36759999999999998</v>
      </c>
      <c r="Q1222" s="312">
        <v>0.37809999999999999</v>
      </c>
      <c r="R1222" s="312">
        <v>0.52749999999999997</v>
      </c>
      <c r="S1222" s="312">
        <v>0.45279999999999998</v>
      </c>
      <c r="T1222" s="312">
        <v>0.35120000000000001</v>
      </c>
      <c r="U1222" s="312">
        <v>0.4209</v>
      </c>
      <c r="V1222" s="312">
        <v>0.42620000000000002</v>
      </c>
      <c r="W1222" s="312">
        <v>0.4617</v>
      </c>
      <c r="X1222" s="312">
        <v>0.44440000000000002</v>
      </c>
      <c r="Y1222" s="312">
        <v>0.43669999999999998</v>
      </c>
      <c r="Z1222" s="312">
        <v>0.47820000000000001</v>
      </c>
      <c r="AA1222" s="312">
        <v>0.46700000000000003</v>
      </c>
      <c r="AB1222" s="312">
        <v>0.44359999999999999</v>
      </c>
      <c r="AC1222" s="312">
        <v>0.38650000000000001</v>
      </c>
      <c r="AD1222" s="312">
        <v>0.38490000000000002</v>
      </c>
      <c r="AE1222" s="312">
        <v>0.45479999999999998</v>
      </c>
      <c r="AF1222" s="312">
        <v>0.31609999999999999</v>
      </c>
      <c r="AG1222" s="312">
        <v>0.36180000000000001</v>
      </c>
      <c r="AH1222" s="312">
        <v>0.42799999999999999</v>
      </c>
      <c r="AI1222" s="312">
        <v>0.4632</v>
      </c>
      <c r="AJ1222" s="312">
        <v>0.39439999999999997</v>
      </c>
      <c r="AK1222" s="312">
        <v>0.41049999999999998</v>
      </c>
      <c r="AL1222" s="312">
        <v>0.41370000000000001</v>
      </c>
      <c r="AM1222" s="312">
        <v>0.49020000000000002</v>
      </c>
      <c r="AN1222" s="312">
        <v>0.44259999999999999</v>
      </c>
      <c r="AO1222" s="312">
        <v>0.44180000000000003</v>
      </c>
      <c r="AP1222" s="312">
        <v>0.4894</v>
      </c>
      <c r="AQ1222" s="312">
        <v>0.42320000000000002</v>
      </c>
      <c r="AR1222" s="312">
        <v>0.45839999999999997</v>
      </c>
      <c r="AS1222" s="312">
        <v>0.34649999999999997</v>
      </c>
      <c r="AT1222" s="312">
        <v>0.47820000000000001</v>
      </c>
      <c r="AU1222" s="312">
        <v>0.51880000000000004</v>
      </c>
      <c r="AV1222" s="312">
        <v>0.47649999999999998</v>
      </c>
      <c r="AW1222" s="312">
        <v>0.43159999999999998</v>
      </c>
      <c r="AX1222" s="312">
        <v>0.3831</v>
      </c>
      <c r="AY1222" s="312">
        <v>0.45900000000000002</v>
      </c>
      <c r="AZ1222" s="312">
        <v>0.4612</v>
      </c>
      <c r="BA1222" s="312">
        <v>0.374</v>
      </c>
      <c r="BB1222" s="312">
        <v>0.34460000000000002</v>
      </c>
      <c r="BC1222" s="312">
        <v>0.50370000000000004</v>
      </c>
      <c r="BD1222" s="312">
        <v>0.51570000000000005</v>
      </c>
      <c r="BE1222" s="312">
        <v>0.53339999999999999</v>
      </c>
      <c r="BF1222" s="312">
        <v>0.45939999999999998</v>
      </c>
      <c r="BG1222" s="312">
        <v>0.52339999999999998</v>
      </c>
      <c r="BH1222" s="312">
        <v>0.47710000000000002</v>
      </c>
      <c r="BI1222" s="312">
        <v>0.51870000000000005</v>
      </c>
      <c r="BJ1222" s="312">
        <v>0.48709999999999998</v>
      </c>
      <c r="BK1222" s="312">
        <v>0.51529999999999998</v>
      </c>
      <c r="BM1222">
        <f>(C1222-C811)*1000000/(RIMS_emp!C1222-RIMS_emp!C811)</f>
        <v>37549.407114624504</v>
      </c>
    </row>
    <row r="1223" spans="1:65" x14ac:dyDescent="0.25">
      <c r="A1223" s="306">
        <v>812100</v>
      </c>
      <c r="B1223" s="312" t="s">
        <v>353</v>
      </c>
      <c r="C1223" s="312">
        <v>0.81740000000000002</v>
      </c>
      <c r="D1223" s="312">
        <v>0.55589999999999995</v>
      </c>
      <c r="E1223" s="312">
        <v>0.59689999999999999</v>
      </c>
      <c r="F1223" s="312">
        <v>0.56399999999999995</v>
      </c>
      <c r="G1223" s="312">
        <v>0.64259999999999995</v>
      </c>
      <c r="H1223" s="312">
        <v>0.69189999999999996</v>
      </c>
      <c r="I1223" s="312">
        <v>0.69030000000000002</v>
      </c>
      <c r="J1223" s="312">
        <v>0.6069</v>
      </c>
      <c r="K1223" s="312">
        <v>0.1719</v>
      </c>
      <c r="L1223" s="312">
        <v>0.51790000000000003</v>
      </c>
      <c r="M1223" s="312">
        <v>0.66410000000000002</v>
      </c>
      <c r="N1223" s="312">
        <v>0.67559999999999998</v>
      </c>
      <c r="O1223" s="312">
        <v>0.61990000000000001</v>
      </c>
      <c r="P1223" s="312">
        <v>0.53039999999999998</v>
      </c>
      <c r="Q1223" s="312">
        <v>0.54949999999999999</v>
      </c>
      <c r="R1223" s="312">
        <v>0.69399999999999995</v>
      </c>
      <c r="S1223" s="312">
        <v>0.60870000000000002</v>
      </c>
      <c r="T1223" s="312">
        <v>0.52410000000000001</v>
      </c>
      <c r="U1223" s="312">
        <v>0.57809999999999995</v>
      </c>
      <c r="V1223" s="312">
        <v>0.59760000000000002</v>
      </c>
      <c r="W1223" s="312">
        <v>0.63639999999999997</v>
      </c>
      <c r="X1223" s="312">
        <v>0.60919999999999996</v>
      </c>
      <c r="Y1223" s="312">
        <v>0.60940000000000005</v>
      </c>
      <c r="Z1223" s="312">
        <v>0.64629999999999999</v>
      </c>
      <c r="AA1223" s="312">
        <v>0.64019999999999999</v>
      </c>
      <c r="AB1223" s="312">
        <v>0.62050000000000005</v>
      </c>
      <c r="AC1223" s="312">
        <v>0.5494</v>
      </c>
      <c r="AD1223" s="312">
        <v>0.55720000000000003</v>
      </c>
      <c r="AE1223" s="312">
        <v>0.61950000000000005</v>
      </c>
      <c r="AF1223" s="312">
        <v>0.48849999999999999</v>
      </c>
      <c r="AG1223" s="312">
        <v>0.53249999999999997</v>
      </c>
      <c r="AH1223" s="312">
        <v>0.56379999999999997</v>
      </c>
      <c r="AI1223" s="312">
        <v>0.65310000000000001</v>
      </c>
      <c r="AJ1223" s="312">
        <v>0.57509999999999994</v>
      </c>
      <c r="AK1223" s="312">
        <v>0.59550000000000003</v>
      </c>
      <c r="AL1223" s="312">
        <v>0.59499999999999997</v>
      </c>
      <c r="AM1223" s="312">
        <v>0.66510000000000002</v>
      </c>
      <c r="AN1223" s="312">
        <v>0.60089999999999999</v>
      </c>
      <c r="AO1223" s="312">
        <v>0.6149</v>
      </c>
      <c r="AP1223" s="312">
        <v>0.66090000000000004</v>
      </c>
      <c r="AQ1223" s="312">
        <v>0.57669999999999999</v>
      </c>
      <c r="AR1223" s="312">
        <v>0.62580000000000002</v>
      </c>
      <c r="AS1223" s="312">
        <v>0.50760000000000005</v>
      </c>
      <c r="AT1223" s="312">
        <v>0.65539999999999998</v>
      </c>
      <c r="AU1223" s="312">
        <v>0.69379999999999997</v>
      </c>
      <c r="AV1223" s="312">
        <v>0.67789999999999995</v>
      </c>
      <c r="AW1223" s="312">
        <v>0.62060000000000004</v>
      </c>
      <c r="AX1223" s="312">
        <v>0.55659999999999998</v>
      </c>
      <c r="AY1223" s="312">
        <v>0.62339999999999995</v>
      </c>
      <c r="AZ1223" s="312">
        <v>0.61990000000000001</v>
      </c>
      <c r="BA1223" s="312">
        <v>0.50690000000000002</v>
      </c>
      <c r="BB1223" s="312">
        <v>0.50739999999999996</v>
      </c>
      <c r="BC1223" s="312">
        <v>0.68169999999999997</v>
      </c>
      <c r="BD1223" s="312">
        <v>0.70020000000000004</v>
      </c>
      <c r="BE1223" s="312">
        <v>0.70409999999999995</v>
      </c>
      <c r="BF1223" s="312">
        <v>0.62919999999999998</v>
      </c>
      <c r="BG1223" s="312">
        <v>0.70750000000000002</v>
      </c>
      <c r="BH1223" s="312">
        <v>0.64049999999999996</v>
      </c>
      <c r="BI1223" s="312">
        <v>0.68969999999999998</v>
      </c>
      <c r="BJ1223" s="312">
        <v>0.67449999999999999</v>
      </c>
      <c r="BK1223" s="312">
        <v>0.69440000000000002</v>
      </c>
      <c r="BM1223">
        <f>(C1223-C812)*1000000/(RIMS_emp!C1223-RIMS_emp!C812)</f>
        <v>37540.161932913506</v>
      </c>
    </row>
    <row r="1224" spans="1:65" x14ac:dyDescent="0.25">
      <c r="A1224" s="306">
        <v>812200</v>
      </c>
      <c r="B1224" s="312" t="s">
        <v>354</v>
      </c>
      <c r="C1224" s="312">
        <v>0.95289999999999997</v>
      </c>
      <c r="D1224" s="312">
        <v>0.54249999999999998</v>
      </c>
      <c r="E1224" s="312">
        <v>0.70640000000000003</v>
      </c>
      <c r="F1224" s="312">
        <v>0.63329999999999997</v>
      </c>
      <c r="G1224" s="312">
        <v>0.70979999999999999</v>
      </c>
      <c r="H1224" s="312">
        <v>0.77659999999999996</v>
      </c>
      <c r="I1224" s="312">
        <v>0.73529999999999995</v>
      </c>
      <c r="J1224" s="312">
        <v>0.69040000000000001</v>
      </c>
      <c r="K1224" s="312">
        <v>0.21329999999999999</v>
      </c>
      <c r="L1224" s="312">
        <v>0.55759999999999998</v>
      </c>
      <c r="M1224" s="312">
        <v>0.70860000000000001</v>
      </c>
      <c r="N1224" s="312">
        <v>0.76559999999999995</v>
      </c>
      <c r="O1224" s="312">
        <v>0.63570000000000004</v>
      </c>
      <c r="P1224" s="312">
        <v>0.55989999999999995</v>
      </c>
      <c r="Q1224" s="312">
        <v>0.58489999999999998</v>
      </c>
      <c r="R1224" s="312">
        <v>0.79469999999999996</v>
      </c>
      <c r="S1224" s="312">
        <v>0.71179999999999999</v>
      </c>
      <c r="T1224" s="312">
        <v>0.5958</v>
      </c>
      <c r="U1224" s="312">
        <v>0.6734</v>
      </c>
      <c r="V1224" s="312">
        <v>0.63990000000000002</v>
      </c>
      <c r="W1224" s="312">
        <v>0.67020000000000002</v>
      </c>
      <c r="X1224" s="312">
        <v>0.65800000000000003</v>
      </c>
      <c r="Y1224" s="312">
        <v>0.68479999999999996</v>
      </c>
      <c r="Z1224" s="312">
        <v>0.71309999999999996</v>
      </c>
      <c r="AA1224" s="312">
        <v>0.72570000000000001</v>
      </c>
      <c r="AB1224" s="312">
        <v>0.67659999999999998</v>
      </c>
      <c r="AC1224" s="312">
        <v>0.63600000000000001</v>
      </c>
      <c r="AD1224" s="312">
        <v>0.59740000000000004</v>
      </c>
      <c r="AE1224" s="312">
        <v>0.71120000000000005</v>
      </c>
      <c r="AF1224" s="312">
        <v>0.52590000000000003</v>
      </c>
      <c r="AG1224" s="312">
        <v>0.55530000000000002</v>
      </c>
      <c r="AH1224" s="312">
        <v>0.68879999999999997</v>
      </c>
      <c r="AI1224" s="312">
        <v>0.69940000000000002</v>
      </c>
      <c r="AJ1224" s="312">
        <v>0.56820000000000004</v>
      </c>
      <c r="AK1224" s="312">
        <v>0.6593</v>
      </c>
      <c r="AL1224" s="312">
        <v>0.62219999999999998</v>
      </c>
      <c r="AM1224" s="312">
        <v>0.75690000000000002</v>
      </c>
      <c r="AN1224" s="312">
        <v>0.70330000000000004</v>
      </c>
      <c r="AO1224" s="312">
        <v>0.68010000000000004</v>
      </c>
      <c r="AP1224" s="312">
        <v>0.76659999999999995</v>
      </c>
      <c r="AQ1224" s="312">
        <v>0.6341</v>
      </c>
      <c r="AR1224" s="312">
        <v>0.70599999999999996</v>
      </c>
      <c r="AS1224" s="312">
        <v>0.55640000000000001</v>
      </c>
      <c r="AT1224" s="312">
        <v>0.72509999999999997</v>
      </c>
      <c r="AU1224" s="312">
        <v>0.76390000000000002</v>
      </c>
      <c r="AV1224" s="312">
        <v>0.74509999999999998</v>
      </c>
      <c r="AW1224" s="312">
        <v>0.65100000000000002</v>
      </c>
      <c r="AX1224" s="312">
        <v>0.59389999999999998</v>
      </c>
      <c r="AY1224" s="312">
        <v>0.69059999999999999</v>
      </c>
      <c r="AZ1224" s="312">
        <v>0.72030000000000005</v>
      </c>
      <c r="BA1224" s="312">
        <v>0.55310000000000004</v>
      </c>
      <c r="BB1224" s="312">
        <v>0.51119999999999999</v>
      </c>
      <c r="BC1224" s="312">
        <v>0.76019999999999999</v>
      </c>
      <c r="BD1224" s="312">
        <v>0.77229999999999999</v>
      </c>
      <c r="BE1224" s="312">
        <v>0.81599999999999995</v>
      </c>
      <c r="BF1224" s="312">
        <v>0.70340000000000003</v>
      </c>
      <c r="BG1224" s="312">
        <v>0.77629999999999999</v>
      </c>
      <c r="BH1224" s="312">
        <v>0.74650000000000005</v>
      </c>
      <c r="BI1224" s="312">
        <v>0.76929999999999998</v>
      </c>
      <c r="BJ1224" s="312">
        <v>0.75839999999999996</v>
      </c>
      <c r="BK1224" s="312">
        <v>0.78669999999999995</v>
      </c>
      <c r="BM1224">
        <f>(C1224-C813)*1000000/(RIMS_emp!C1224-RIMS_emp!C813)</f>
        <v>37537.206482195994</v>
      </c>
    </row>
    <row r="1225" spans="1:65" x14ac:dyDescent="0.25">
      <c r="A1225" s="306">
        <v>812300</v>
      </c>
      <c r="B1225" s="312" t="s">
        <v>355</v>
      </c>
      <c r="C1225" s="312">
        <v>0.73060000000000003</v>
      </c>
      <c r="D1225" s="312">
        <v>0.51180000000000003</v>
      </c>
      <c r="E1225" s="312">
        <v>0.56489999999999996</v>
      </c>
      <c r="F1225" s="312">
        <v>0.52010000000000001</v>
      </c>
      <c r="G1225" s="312">
        <v>0.57630000000000003</v>
      </c>
      <c r="H1225" s="312">
        <v>0.62160000000000004</v>
      </c>
      <c r="I1225" s="312">
        <v>0.61809999999999998</v>
      </c>
      <c r="J1225" s="312">
        <v>0.5544</v>
      </c>
      <c r="K1225" s="312">
        <v>0.11749999999999999</v>
      </c>
      <c r="L1225" s="312">
        <v>0.4405</v>
      </c>
      <c r="M1225" s="312">
        <v>0.59279999999999999</v>
      </c>
      <c r="N1225" s="312">
        <v>0.60050000000000003</v>
      </c>
      <c r="O1225" s="312">
        <v>0.55920000000000003</v>
      </c>
      <c r="P1225" s="312">
        <v>0.48080000000000001</v>
      </c>
      <c r="Q1225" s="312">
        <v>0.49830000000000002</v>
      </c>
      <c r="R1225" s="312">
        <v>0.62319999999999998</v>
      </c>
      <c r="S1225" s="312">
        <v>0.57020000000000004</v>
      </c>
      <c r="T1225" s="312">
        <v>0.49399999999999999</v>
      </c>
      <c r="U1225" s="312">
        <v>0.54810000000000003</v>
      </c>
      <c r="V1225" s="312">
        <v>0.56189999999999996</v>
      </c>
      <c r="W1225" s="312">
        <v>0.5595</v>
      </c>
      <c r="X1225" s="312">
        <v>0.53480000000000005</v>
      </c>
      <c r="Y1225" s="312">
        <v>0.5675</v>
      </c>
      <c r="Z1225" s="312">
        <v>0.59509999999999996</v>
      </c>
      <c r="AA1225" s="312">
        <v>0.57569999999999999</v>
      </c>
      <c r="AB1225" s="312">
        <v>0.54700000000000004</v>
      </c>
      <c r="AC1225" s="312">
        <v>0.53300000000000003</v>
      </c>
      <c r="AD1225" s="312">
        <v>0.51349999999999996</v>
      </c>
      <c r="AE1225" s="312">
        <v>0.57730000000000004</v>
      </c>
      <c r="AF1225" s="312">
        <v>0.38119999999999998</v>
      </c>
      <c r="AG1225" s="312">
        <v>0.48330000000000001</v>
      </c>
      <c r="AH1225" s="312">
        <v>0.53939999999999999</v>
      </c>
      <c r="AI1225" s="312">
        <v>0.57879999999999998</v>
      </c>
      <c r="AJ1225" s="312">
        <v>0.53269999999999995</v>
      </c>
      <c r="AK1225" s="312">
        <v>0.54100000000000004</v>
      </c>
      <c r="AL1225" s="312">
        <v>0.52910000000000001</v>
      </c>
      <c r="AM1225" s="312">
        <v>0.60099999999999998</v>
      </c>
      <c r="AN1225" s="312">
        <v>0.56730000000000003</v>
      </c>
      <c r="AO1225" s="312">
        <v>0.53539999999999999</v>
      </c>
      <c r="AP1225" s="312">
        <v>0.6048</v>
      </c>
      <c r="AQ1225" s="312">
        <v>0.47810000000000002</v>
      </c>
      <c r="AR1225" s="312">
        <v>0.57909999999999995</v>
      </c>
      <c r="AS1225" s="312">
        <v>0.48730000000000001</v>
      </c>
      <c r="AT1225" s="312">
        <v>0.56269999999999998</v>
      </c>
      <c r="AU1225" s="312">
        <v>0.62580000000000002</v>
      </c>
      <c r="AV1225" s="312">
        <v>0.6129</v>
      </c>
      <c r="AW1225" s="312">
        <v>0.54549999999999998</v>
      </c>
      <c r="AX1225" s="312">
        <v>0.52</v>
      </c>
      <c r="AY1225" s="312">
        <v>0.57840000000000003</v>
      </c>
      <c r="AZ1225" s="312">
        <v>0.57779999999999998</v>
      </c>
      <c r="BA1225" s="312">
        <v>0.45910000000000001</v>
      </c>
      <c r="BB1225" s="312">
        <v>0.47799999999999998</v>
      </c>
      <c r="BC1225" s="312">
        <v>0.60960000000000003</v>
      </c>
      <c r="BD1225" s="312">
        <v>0.62370000000000003</v>
      </c>
      <c r="BE1225" s="312">
        <v>0.63590000000000002</v>
      </c>
      <c r="BF1225" s="312">
        <v>0.57589999999999997</v>
      </c>
      <c r="BG1225" s="312">
        <v>0.63180000000000003</v>
      </c>
      <c r="BH1225" s="312">
        <v>0.59079999999999999</v>
      </c>
      <c r="BI1225" s="312">
        <v>0.62680000000000002</v>
      </c>
      <c r="BJ1225" s="312">
        <v>0.60570000000000002</v>
      </c>
      <c r="BK1225" s="312">
        <v>0.62519999999999998</v>
      </c>
      <c r="BM1225">
        <f>(C1225-C814)*1000000/(RIMS_emp!C1225-RIMS_emp!C814)</f>
        <v>37542.416748145173</v>
      </c>
    </row>
    <row r="1226" spans="1:65" x14ac:dyDescent="0.25">
      <c r="A1226" s="306">
        <v>812900</v>
      </c>
      <c r="B1226" s="312" t="s">
        <v>356</v>
      </c>
      <c r="C1226" s="312">
        <v>0.52729999999999999</v>
      </c>
      <c r="D1226" s="312">
        <v>0.27</v>
      </c>
      <c r="E1226" s="312">
        <v>0.3322</v>
      </c>
      <c r="F1226" s="312">
        <v>0.28670000000000001</v>
      </c>
      <c r="G1226" s="312">
        <v>0.36320000000000002</v>
      </c>
      <c r="H1226" s="312">
        <v>0.42349999999999999</v>
      </c>
      <c r="I1226" s="312">
        <v>0.41410000000000002</v>
      </c>
      <c r="J1226" s="312">
        <v>0.33839999999999998</v>
      </c>
      <c r="K1226" s="312">
        <v>6.9599999999999995E-2</v>
      </c>
      <c r="L1226" s="312">
        <v>0.25030000000000002</v>
      </c>
      <c r="M1226" s="312">
        <v>0.39429999999999998</v>
      </c>
      <c r="N1226" s="312">
        <v>0.4178</v>
      </c>
      <c r="O1226" s="312">
        <v>0.34589999999999999</v>
      </c>
      <c r="P1226" s="312">
        <v>0.27279999999999999</v>
      </c>
      <c r="Q1226" s="312">
        <v>0.27350000000000002</v>
      </c>
      <c r="R1226" s="312">
        <v>0.42420000000000002</v>
      </c>
      <c r="S1226" s="312">
        <v>0.3427</v>
      </c>
      <c r="T1226" s="312">
        <v>0.27160000000000001</v>
      </c>
      <c r="U1226" s="312">
        <v>0.30280000000000001</v>
      </c>
      <c r="V1226" s="312">
        <v>0.32979999999999998</v>
      </c>
      <c r="W1226" s="312">
        <v>0.37319999999999998</v>
      </c>
      <c r="X1226" s="312">
        <v>0.34749999999999998</v>
      </c>
      <c r="Y1226" s="312">
        <v>0.3271</v>
      </c>
      <c r="Z1226" s="312">
        <v>0.37680000000000002</v>
      </c>
      <c r="AA1226" s="312">
        <v>0.35930000000000001</v>
      </c>
      <c r="AB1226" s="312">
        <v>0.34499999999999997</v>
      </c>
      <c r="AC1226" s="312">
        <v>0.27960000000000002</v>
      </c>
      <c r="AD1226" s="312">
        <v>0.27860000000000001</v>
      </c>
      <c r="AE1226" s="312">
        <v>0.35510000000000003</v>
      </c>
      <c r="AF1226" s="312">
        <v>0.22109999999999999</v>
      </c>
      <c r="AG1226" s="312">
        <v>0.25829999999999997</v>
      </c>
      <c r="AH1226" s="312">
        <v>0.34329999999999999</v>
      </c>
      <c r="AI1226" s="312">
        <v>0.38429999999999997</v>
      </c>
      <c r="AJ1226" s="312">
        <v>0.30380000000000001</v>
      </c>
      <c r="AK1226" s="312">
        <v>0.31140000000000001</v>
      </c>
      <c r="AL1226" s="312">
        <v>0.33160000000000001</v>
      </c>
      <c r="AM1226" s="312">
        <v>0.38500000000000001</v>
      </c>
      <c r="AN1226" s="312">
        <v>0.34360000000000002</v>
      </c>
      <c r="AO1226" s="312">
        <v>0.34160000000000001</v>
      </c>
      <c r="AP1226" s="312">
        <v>0.37219999999999998</v>
      </c>
      <c r="AQ1226" s="312">
        <v>0.31580000000000003</v>
      </c>
      <c r="AR1226" s="312">
        <v>0.35580000000000001</v>
      </c>
      <c r="AS1226" s="312">
        <v>0.2361</v>
      </c>
      <c r="AT1226" s="312">
        <v>0.37890000000000001</v>
      </c>
      <c r="AU1226" s="312">
        <v>0.41770000000000002</v>
      </c>
      <c r="AV1226" s="312">
        <v>0.38869999999999999</v>
      </c>
      <c r="AW1226" s="312">
        <v>0.34639999999999999</v>
      </c>
      <c r="AX1226" s="312">
        <v>0.28999999999999998</v>
      </c>
      <c r="AY1226" s="312">
        <v>0.35709999999999997</v>
      </c>
      <c r="AZ1226" s="312">
        <v>0.33600000000000002</v>
      </c>
      <c r="BA1226" s="312">
        <v>0.26400000000000001</v>
      </c>
      <c r="BB1226" s="312">
        <v>0.23169999999999999</v>
      </c>
      <c r="BC1226" s="312">
        <v>0.39900000000000002</v>
      </c>
      <c r="BD1226" s="312">
        <v>0.42830000000000001</v>
      </c>
      <c r="BE1226" s="312">
        <v>0.42030000000000001</v>
      </c>
      <c r="BF1226" s="312">
        <v>0.34749999999999998</v>
      </c>
      <c r="BG1226" s="312">
        <v>0.42899999999999999</v>
      </c>
      <c r="BH1226" s="312">
        <v>0.3639</v>
      </c>
      <c r="BI1226" s="312">
        <v>0.41370000000000001</v>
      </c>
      <c r="BJ1226" s="312">
        <v>0.39710000000000001</v>
      </c>
      <c r="BK1226" s="312">
        <v>0.4254</v>
      </c>
      <c r="BM1226">
        <f>(C1226-C815)*1000000/(RIMS_emp!C1226-RIMS_emp!C815)</f>
        <v>37555.037555037547</v>
      </c>
    </row>
    <row r="1227" spans="1:65" x14ac:dyDescent="0.25">
      <c r="A1227" s="306">
        <v>813100</v>
      </c>
      <c r="B1227" s="312" t="s">
        <v>357</v>
      </c>
      <c r="C1227" s="312">
        <v>1.0874999999999999</v>
      </c>
      <c r="D1227" s="312">
        <v>0.63990000000000002</v>
      </c>
      <c r="E1227" s="312">
        <v>0.69110000000000005</v>
      </c>
      <c r="F1227" s="312">
        <v>0.63339999999999996</v>
      </c>
      <c r="G1227" s="312">
        <v>0.75949999999999995</v>
      </c>
      <c r="H1227" s="312">
        <v>0.88870000000000005</v>
      </c>
      <c r="I1227" s="312">
        <v>0.87849999999999995</v>
      </c>
      <c r="J1227" s="312">
        <v>0.78500000000000003</v>
      </c>
      <c r="K1227" s="312">
        <v>0.15809999999999999</v>
      </c>
      <c r="L1227" s="312">
        <v>0.64170000000000005</v>
      </c>
      <c r="M1227" s="312">
        <v>0.80989999999999995</v>
      </c>
      <c r="N1227" s="312">
        <v>0.81489999999999996</v>
      </c>
      <c r="O1227" s="312">
        <v>0.6925</v>
      </c>
      <c r="P1227" s="312">
        <v>0.60519999999999996</v>
      </c>
      <c r="Q1227" s="312">
        <v>0.61609999999999998</v>
      </c>
      <c r="R1227" s="312">
        <v>0.92030000000000001</v>
      </c>
      <c r="S1227" s="312">
        <v>0.68969999999999998</v>
      </c>
      <c r="T1227" s="312">
        <v>0.60589999999999999</v>
      </c>
      <c r="U1227" s="312">
        <v>0.67630000000000001</v>
      </c>
      <c r="V1227" s="312">
        <v>0.6845</v>
      </c>
      <c r="W1227" s="312">
        <v>0.82920000000000005</v>
      </c>
      <c r="X1227" s="312">
        <v>0.75360000000000005</v>
      </c>
      <c r="Y1227" s="312">
        <v>0.70860000000000001</v>
      </c>
      <c r="Z1227" s="312">
        <v>0.73929999999999996</v>
      </c>
      <c r="AA1227" s="312">
        <v>0.79830000000000001</v>
      </c>
      <c r="AB1227" s="312">
        <v>0.71889999999999998</v>
      </c>
      <c r="AC1227" s="312">
        <v>0.62819999999999998</v>
      </c>
      <c r="AD1227" s="312">
        <v>0.6462</v>
      </c>
      <c r="AE1227" s="312">
        <v>0.73340000000000005</v>
      </c>
      <c r="AF1227" s="312">
        <v>0.55579999999999996</v>
      </c>
      <c r="AG1227" s="312">
        <v>0.61460000000000004</v>
      </c>
      <c r="AH1227" s="312">
        <v>0.75429999999999997</v>
      </c>
      <c r="AI1227" s="312">
        <v>0.82550000000000001</v>
      </c>
      <c r="AJ1227" s="312">
        <v>0.65620000000000001</v>
      </c>
      <c r="AK1227" s="312">
        <v>0.67230000000000001</v>
      </c>
      <c r="AL1227" s="312">
        <v>0.74960000000000004</v>
      </c>
      <c r="AM1227" s="312">
        <v>0.75419999999999998</v>
      </c>
      <c r="AN1227" s="312">
        <v>0.69359999999999999</v>
      </c>
      <c r="AO1227" s="312">
        <v>0.70889999999999997</v>
      </c>
      <c r="AP1227" s="312">
        <v>0.79159999999999997</v>
      </c>
      <c r="AQ1227" s="312">
        <v>0.72550000000000003</v>
      </c>
      <c r="AR1227" s="312">
        <v>0.71960000000000002</v>
      </c>
      <c r="AS1227" s="312">
        <v>0.59009999999999996</v>
      </c>
      <c r="AT1227" s="312">
        <v>0.77669999999999995</v>
      </c>
      <c r="AU1227" s="312">
        <v>0.86729999999999996</v>
      </c>
      <c r="AV1227" s="312">
        <v>0.80359999999999998</v>
      </c>
      <c r="AW1227" s="312">
        <v>0.68830000000000002</v>
      </c>
      <c r="AX1227" s="312">
        <v>0.65500000000000003</v>
      </c>
      <c r="AY1227" s="312">
        <v>0.75080000000000002</v>
      </c>
      <c r="AZ1227" s="312">
        <v>0.72350000000000003</v>
      </c>
      <c r="BA1227" s="312">
        <v>0.57410000000000005</v>
      </c>
      <c r="BB1227" s="312">
        <v>0.58550000000000002</v>
      </c>
      <c r="BC1227" s="312">
        <v>0.89170000000000005</v>
      </c>
      <c r="BD1227" s="312">
        <v>0.92179999999999995</v>
      </c>
      <c r="BE1227" s="312">
        <v>0.8508</v>
      </c>
      <c r="BF1227" s="312">
        <v>0.7429</v>
      </c>
      <c r="BG1227" s="312">
        <v>0.8518</v>
      </c>
      <c r="BH1227" s="312">
        <v>0.74829999999999997</v>
      </c>
      <c r="BI1227" s="312">
        <v>0.84619999999999995</v>
      </c>
      <c r="BJ1227" s="312">
        <v>0.80559999999999998</v>
      </c>
      <c r="BK1227" s="312">
        <v>0.87450000000000006</v>
      </c>
      <c r="BM1227">
        <f>(C1227-C816)*1000000/(RIMS_emp!C1227-RIMS_emp!C816)</f>
        <v>37548.662564360158</v>
      </c>
    </row>
    <row r="1228" spans="1:65" x14ac:dyDescent="0.25">
      <c r="A1228" s="306" t="s">
        <v>788</v>
      </c>
      <c r="B1228" s="312" t="s">
        <v>358</v>
      </c>
      <c r="C1228" s="312">
        <v>0.94179999999999997</v>
      </c>
      <c r="D1228" s="312">
        <v>0.53779999999999994</v>
      </c>
      <c r="E1228" s="312">
        <v>0.58720000000000006</v>
      </c>
      <c r="F1228" s="312">
        <v>0.53480000000000005</v>
      </c>
      <c r="G1228" s="312">
        <v>0.67159999999999997</v>
      </c>
      <c r="H1228" s="312">
        <v>0.76959999999999995</v>
      </c>
      <c r="I1228" s="312">
        <v>0.76119999999999999</v>
      </c>
      <c r="J1228" s="312">
        <v>0.65620000000000001</v>
      </c>
      <c r="K1228" s="312">
        <v>0.14030000000000001</v>
      </c>
      <c r="L1228" s="312">
        <v>0.52610000000000001</v>
      </c>
      <c r="M1228" s="312">
        <v>0.71350000000000002</v>
      </c>
      <c r="N1228" s="312">
        <v>0.74</v>
      </c>
      <c r="O1228" s="312">
        <v>0.60119999999999996</v>
      </c>
      <c r="P1228" s="312">
        <v>0.50849999999999995</v>
      </c>
      <c r="Q1228" s="312">
        <v>0.51170000000000004</v>
      </c>
      <c r="R1228" s="312">
        <v>0.78080000000000005</v>
      </c>
      <c r="S1228" s="312">
        <v>0.59689999999999999</v>
      </c>
      <c r="T1228" s="312">
        <v>0.52580000000000005</v>
      </c>
      <c r="U1228" s="312">
        <v>0.58279999999999998</v>
      </c>
      <c r="V1228" s="312">
        <v>0.5857</v>
      </c>
      <c r="W1228" s="312">
        <v>0.69979999999999998</v>
      </c>
      <c r="X1228" s="312">
        <v>0.65</v>
      </c>
      <c r="Y1228" s="312">
        <v>0.61750000000000005</v>
      </c>
      <c r="Z1228" s="312">
        <v>0.65959999999999996</v>
      </c>
      <c r="AA1228" s="312">
        <v>0.67759999999999998</v>
      </c>
      <c r="AB1228" s="312">
        <v>0.61829999999999996</v>
      </c>
      <c r="AC1228" s="312">
        <v>0.51980000000000004</v>
      </c>
      <c r="AD1228" s="312">
        <v>0.53820000000000001</v>
      </c>
      <c r="AE1228" s="312">
        <v>0.64470000000000005</v>
      </c>
      <c r="AF1228" s="312">
        <v>0.4486</v>
      </c>
      <c r="AG1228" s="312">
        <v>0.51149999999999995</v>
      </c>
      <c r="AH1228" s="312">
        <v>0.63800000000000001</v>
      </c>
      <c r="AI1228" s="312">
        <v>0.71020000000000005</v>
      </c>
      <c r="AJ1228" s="312">
        <v>0.55730000000000002</v>
      </c>
      <c r="AK1228" s="312">
        <v>0.57879999999999998</v>
      </c>
      <c r="AL1228" s="312">
        <v>0.62709999999999999</v>
      </c>
      <c r="AM1228" s="312">
        <v>0.67330000000000001</v>
      </c>
      <c r="AN1228" s="312">
        <v>0.61170000000000002</v>
      </c>
      <c r="AO1228" s="312">
        <v>0.61580000000000001</v>
      </c>
      <c r="AP1228" s="312">
        <v>0.69289999999999996</v>
      </c>
      <c r="AQ1228" s="312">
        <v>0.59719999999999995</v>
      </c>
      <c r="AR1228" s="312">
        <v>0.63149999999999995</v>
      </c>
      <c r="AS1228" s="312">
        <v>0.46910000000000002</v>
      </c>
      <c r="AT1228" s="312">
        <v>0.6784</v>
      </c>
      <c r="AU1228" s="312">
        <v>0.75870000000000004</v>
      </c>
      <c r="AV1228" s="312">
        <v>0.70989999999999998</v>
      </c>
      <c r="AW1228" s="312">
        <v>0.61560000000000004</v>
      </c>
      <c r="AX1228" s="312">
        <v>0.55889999999999995</v>
      </c>
      <c r="AY1228" s="312">
        <v>0.65749999999999997</v>
      </c>
      <c r="AZ1228" s="312">
        <v>0.62309999999999999</v>
      </c>
      <c r="BA1228" s="312">
        <v>0.49259999999999998</v>
      </c>
      <c r="BB1228" s="312">
        <v>0.46989999999999998</v>
      </c>
      <c r="BC1228" s="312">
        <v>0.75419999999999998</v>
      </c>
      <c r="BD1228" s="312">
        <v>0.78390000000000004</v>
      </c>
      <c r="BE1228" s="312">
        <v>0.75160000000000005</v>
      </c>
      <c r="BF1228" s="312">
        <v>0.63939999999999997</v>
      </c>
      <c r="BG1228" s="312">
        <v>0.77010000000000001</v>
      </c>
      <c r="BH1228" s="312">
        <v>0.65280000000000005</v>
      </c>
      <c r="BI1228" s="312">
        <v>0.74739999999999995</v>
      </c>
      <c r="BJ1228" s="312">
        <v>0.71060000000000001</v>
      </c>
      <c r="BK1228" s="312">
        <v>0.76439999999999997</v>
      </c>
      <c r="BM1228">
        <f>(C1228-C817)*1000000/(RIMS_emp!C1228-RIMS_emp!C817)</f>
        <v>37545.174675411596</v>
      </c>
    </row>
    <row r="1229" spans="1:65" x14ac:dyDescent="0.25">
      <c r="A1229" s="306" t="s">
        <v>789</v>
      </c>
      <c r="B1229" s="312" t="s">
        <v>359</v>
      </c>
      <c r="C1229" s="312">
        <v>0.92020000000000002</v>
      </c>
      <c r="D1229" s="312">
        <v>0.53059999999999996</v>
      </c>
      <c r="E1229" s="312">
        <v>0.60370000000000001</v>
      </c>
      <c r="F1229" s="312">
        <v>0.53649999999999998</v>
      </c>
      <c r="G1229" s="312">
        <v>0.64290000000000003</v>
      </c>
      <c r="H1229" s="312">
        <v>0.74790000000000001</v>
      </c>
      <c r="I1229" s="312">
        <v>0.72899999999999998</v>
      </c>
      <c r="J1229" s="312">
        <v>0.63339999999999996</v>
      </c>
      <c r="K1229" s="312">
        <v>0.12770000000000001</v>
      </c>
      <c r="L1229" s="312">
        <v>0.52549999999999997</v>
      </c>
      <c r="M1229" s="312">
        <v>0.68269999999999997</v>
      </c>
      <c r="N1229" s="312">
        <v>0.71179999999999999</v>
      </c>
      <c r="O1229" s="312">
        <v>0.59419999999999995</v>
      </c>
      <c r="P1229" s="312">
        <v>0.51970000000000005</v>
      </c>
      <c r="Q1229" s="312">
        <v>0.51280000000000003</v>
      </c>
      <c r="R1229" s="312">
        <v>0.75019999999999998</v>
      </c>
      <c r="S1229" s="312">
        <v>0.58989999999999998</v>
      </c>
      <c r="T1229" s="312">
        <v>0.52449999999999997</v>
      </c>
      <c r="U1229" s="312">
        <v>0.57909999999999995</v>
      </c>
      <c r="V1229" s="312">
        <v>0.57369999999999999</v>
      </c>
      <c r="W1229" s="312">
        <v>0.67320000000000002</v>
      </c>
      <c r="X1229" s="312">
        <v>0.61029999999999995</v>
      </c>
      <c r="Y1229" s="312">
        <v>0.60640000000000005</v>
      </c>
      <c r="Z1229" s="312">
        <v>0.64680000000000004</v>
      </c>
      <c r="AA1229" s="312">
        <v>0.66290000000000004</v>
      </c>
      <c r="AB1229" s="312">
        <v>0.61890000000000001</v>
      </c>
      <c r="AC1229" s="312">
        <v>0.53320000000000001</v>
      </c>
      <c r="AD1229" s="312">
        <v>0.54020000000000001</v>
      </c>
      <c r="AE1229" s="312">
        <v>0.62450000000000006</v>
      </c>
      <c r="AF1229" s="312">
        <v>0.46239999999999998</v>
      </c>
      <c r="AG1229" s="312">
        <v>0.50639999999999996</v>
      </c>
      <c r="AH1229" s="312">
        <v>0.60089999999999999</v>
      </c>
      <c r="AI1229" s="312">
        <v>0.67549999999999999</v>
      </c>
      <c r="AJ1229" s="312">
        <v>0.53810000000000002</v>
      </c>
      <c r="AK1229" s="312">
        <v>0.56879999999999997</v>
      </c>
      <c r="AL1229" s="312">
        <v>0.6179</v>
      </c>
      <c r="AM1229" s="312">
        <v>0.66320000000000001</v>
      </c>
      <c r="AN1229" s="312">
        <v>0.60560000000000003</v>
      </c>
      <c r="AO1229" s="312">
        <v>0.59960000000000002</v>
      </c>
      <c r="AP1229" s="312">
        <v>0.6855</v>
      </c>
      <c r="AQ1229" s="312">
        <v>0.57730000000000004</v>
      </c>
      <c r="AR1229" s="312">
        <v>0.62690000000000001</v>
      </c>
      <c r="AS1229" s="312">
        <v>0.4975</v>
      </c>
      <c r="AT1229" s="312">
        <v>0.67479999999999996</v>
      </c>
      <c r="AU1229" s="312">
        <v>0.7429</v>
      </c>
      <c r="AV1229" s="312">
        <v>0.6976</v>
      </c>
      <c r="AW1229" s="312">
        <v>0.58420000000000005</v>
      </c>
      <c r="AX1229" s="312">
        <v>0.55010000000000003</v>
      </c>
      <c r="AY1229" s="312">
        <v>0.63939999999999997</v>
      </c>
      <c r="AZ1229" s="312">
        <v>0.61709999999999998</v>
      </c>
      <c r="BA1229" s="312">
        <v>0.48920000000000002</v>
      </c>
      <c r="BB1229" s="312">
        <v>0.47460000000000002</v>
      </c>
      <c r="BC1229" s="312">
        <v>0.72750000000000004</v>
      </c>
      <c r="BD1229" s="312">
        <v>0.76839999999999997</v>
      </c>
      <c r="BE1229" s="312">
        <v>0.72750000000000004</v>
      </c>
      <c r="BF1229" s="312">
        <v>0.63649999999999995</v>
      </c>
      <c r="BG1229" s="312">
        <v>0.73580000000000001</v>
      </c>
      <c r="BH1229" s="312">
        <v>0.66020000000000001</v>
      </c>
      <c r="BI1229" s="312">
        <v>0.73070000000000002</v>
      </c>
      <c r="BJ1229" s="312">
        <v>0.68559999999999999</v>
      </c>
      <c r="BK1229" s="312">
        <v>0.74490000000000001</v>
      </c>
      <c r="BM1229">
        <f>(C1229-C818)*1000000/(RIMS_emp!C1229-RIMS_emp!C818)</f>
        <v>37547.376592538458</v>
      </c>
    </row>
    <row r="1230" spans="1:65" x14ac:dyDescent="0.25">
      <c r="A1230" s="306" t="s">
        <v>790</v>
      </c>
      <c r="B1230" s="312" t="s">
        <v>791</v>
      </c>
      <c r="C1230" s="312">
        <v>0.55610000000000004</v>
      </c>
      <c r="D1230" s="312">
        <v>0.25659999999999999</v>
      </c>
      <c r="E1230" s="312">
        <v>0.3286</v>
      </c>
      <c r="F1230" s="312">
        <v>0.27079999999999999</v>
      </c>
      <c r="G1230" s="312">
        <v>0.34260000000000002</v>
      </c>
      <c r="H1230" s="312">
        <v>0.39379999999999998</v>
      </c>
      <c r="I1230" s="312">
        <v>0.39279999999999998</v>
      </c>
      <c r="J1230" s="312">
        <v>0.30159999999999998</v>
      </c>
      <c r="K1230" s="312">
        <v>3.7999999999999999E-2</v>
      </c>
      <c r="L1230" s="312">
        <v>0.25750000000000001</v>
      </c>
      <c r="M1230" s="312">
        <v>0.36509999999999998</v>
      </c>
      <c r="N1230" s="312">
        <v>0.38519999999999999</v>
      </c>
      <c r="O1230" s="312">
        <v>0.31840000000000002</v>
      </c>
      <c r="P1230" s="312">
        <v>0.22889999999999999</v>
      </c>
      <c r="Q1230" s="312">
        <v>0.24440000000000001</v>
      </c>
      <c r="R1230" s="312">
        <v>0.39800000000000002</v>
      </c>
      <c r="S1230" s="312">
        <v>0.33400000000000002</v>
      </c>
      <c r="T1230" s="312">
        <v>0.2399</v>
      </c>
      <c r="U1230" s="312">
        <v>0.32369999999999999</v>
      </c>
      <c r="V1230" s="312">
        <v>0.3145</v>
      </c>
      <c r="W1230" s="312">
        <v>0.33389999999999997</v>
      </c>
      <c r="X1230" s="312">
        <v>0.31900000000000001</v>
      </c>
      <c r="Y1230" s="312">
        <v>0.32740000000000002</v>
      </c>
      <c r="Z1230" s="312">
        <v>0.36</v>
      </c>
      <c r="AA1230" s="312">
        <v>0.34310000000000002</v>
      </c>
      <c r="AB1230" s="312">
        <v>0.34660000000000002</v>
      </c>
      <c r="AC1230" s="312">
        <v>0.28299999999999997</v>
      </c>
      <c r="AD1230" s="312">
        <v>0.26600000000000001</v>
      </c>
      <c r="AE1230" s="312">
        <v>0.32900000000000001</v>
      </c>
      <c r="AF1230" s="312">
        <v>0.2079</v>
      </c>
      <c r="AG1230" s="312">
        <v>0.21609999999999999</v>
      </c>
      <c r="AH1230" s="312">
        <v>0.31</v>
      </c>
      <c r="AI1230" s="312">
        <v>0.35589999999999999</v>
      </c>
      <c r="AJ1230" s="312">
        <v>0.28339999999999999</v>
      </c>
      <c r="AK1230" s="312">
        <v>0.27739999999999998</v>
      </c>
      <c r="AL1230" s="312">
        <v>0.2782</v>
      </c>
      <c r="AM1230" s="312">
        <v>0.37909999999999999</v>
      </c>
      <c r="AN1230" s="312">
        <v>0.32529999999999998</v>
      </c>
      <c r="AO1230" s="312">
        <v>0.32300000000000001</v>
      </c>
      <c r="AP1230" s="312">
        <v>0.38429999999999997</v>
      </c>
      <c r="AQ1230" s="312">
        <v>0.29849999999999999</v>
      </c>
      <c r="AR1230" s="312">
        <v>0.34649999999999997</v>
      </c>
      <c r="AS1230" s="312">
        <v>0.21510000000000001</v>
      </c>
      <c r="AT1230" s="312">
        <v>0.38250000000000001</v>
      </c>
      <c r="AU1230" s="312">
        <v>0.41349999999999998</v>
      </c>
      <c r="AV1230" s="312">
        <v>0.38009999999999999</v>
      </c>
      <c r="AW1230" s="312">
        <v>0.32400000000000001</v>
      </c>
      <c r="AX1230" s="312">
        <v>0.27929999999999999</v>
      </c>
      <c r="AY1230" s="312">
        <v>0.34899999999999998</v>
      </c>
      <c r="AZ1230" s="312">
        <v>0.33829999999999999</v>
      </c>
      <c r="BA1230" s="312">
        <v>0.2586</v>
      </c>
      <c r="BB1230" s="312">
        <v>0.1988</v>
      </c>
      <c r="BC1230" s="312">
        <v>0.38069999999999998</v>
      </c>
      <c r="BD1230" s="312">
        <v>0.39389999999999997</v>
      </c>
      <c r="BE1230" s="312">
        <v>0.41899999999999998</v>
      </c>
      <c r="BF1230" s="312">
        <v>0.33860000000000001</v>
      </c>
      <c r="BG1230" s="312">
        <v>0.41470000000000001</v>
      </c>
      <c r="BH1230" s="312">
        <v>0.37819999999999998</v>
      </c>
      <c r="BI1230" s="312">
        <v>0.41370000000000001</v>
      </c>
      <c r="BJ1230" s="312">
        <v>0.38019999999999998</v>
      </c>
      <c r="BK1230" s="312">
        <v>0.40300000000000002</v>
      </c>
      <c r="BM1230">
        <f>(C1230-C819)*1000000/(RIMS_emp!C1230-RIMS_emp!C819)</f>
        <v>37541.602252091077</v>
      </c>
    </row>
    <row r="1231" spans="1:65" x14ac:dyDescent="0.25">
      <c r="A1231" s="306" t="s">
        <v>792</v>
      </c>
      <c r="B1231" s="312" t="s">
        <v>793</v>
      </c>
      <c r="C1231" s="312">
        <v>0.20669999999999999</v>
      </c>
      <c r="D1231" s="312">
        <v>6.9900000000000004E-2</v>
      </c>
      <c r="E1231" s="312">
        <v>0.1123</v>
      </c>
      <c r="F1231" s="312">
        <v>7.6399999999999996E-2</v>
      </c>
      <c r="G1231" s="312">
        <v>0.1338</v>
      </c>
      <c r="H1231" s="312">
        <v>0.14360000000000001</v>
      </c>
      <c r="I1231" s="312">
        <v>0.15720000000000001</v>
      </c>
      <c r="J1231" s="312">
        <v>0.1179</v>
      </c>
      <c r="K1231" s="312">
        <v>1.6299999999999999E-2</v>
      </c>
      <c r="L1231" s="312">
        <v>0.1002</v>
      </c>
      <c r="M1231" s="312">
        <v>0.14560000000000001</v>
      </c>
      <c r="N1231" s="312">
        <v>0.1535</v>
      </c>
      <c r="O1231" s="312">
        <v>9.7299999999999998E-2</v>
      </c>
      <c r="P1231" s="312">
        <v>9.6299999999999997E-2</v>
      </c>
      <c r="Q1231" s="312">
        <v>8.3699999999999997E-2</v>
      </c>
      <c r="R1231" s="312">
        <v>0.16020000000000001</v>
      </c>
      <c r="S1231" s="312">
        <v>0.109</v>
      </c>
      <c r="T1231" s="312">
        <v>7.5300000000000006E-2</v>
      </c>
      <c r="U1231" s="312">
        <v>0.11</v>
      </c>
      <c r="V1231" s="312">
        <v>9.3700000000000006E-2</v>
      </c>
      <c r="W1231" s="312">
        <v>0.1153</v>
      </c>
      <c r="X1231" s="312">
        <v>0.12540000000000001</v>
      </c>
      <c r="Y1231" s="312">
        <v>0.1158</v>
      </c>
      <c r="Z1231" s="312">
        <v>0.11609999999999999</v>
      </c>
      <c r="AA1231" s="312">
        <v>0.1237</v>
      </c>
      <c r="AB1231" s="312">
        <v>0.12509999999999999</v>
      </c>
      <c r="AC1231" s="312">
        <v>8.9499999999999996E-2</v>
      </c>
      <c r="AD1231" s="312">
        <v>8.4099999999999994E-2</v>
      </c>
      <c r="AE1231" s="312">
        <v>0.11700000000000001</v>
      </c>
      <c r="AF1231" s="312">
        <v>6.4899999999999999E-2</v>
      </c>
      <c r="AG1231" s="312">
        <v>8.4000000000000005E-2</v>
      </c>
      <c r="AH1231" s="312">
        <v>0.10979999999999999</v>
      </c>
      <c r="AI1231" s="312">
        <v>0.13320000000000001</v>
      </c>
      <c r="AJ1231" s="312">
        <v>8.1100000000000005E-2</v>
      </c>
      <c r="AK1231" s="312">
        <v>0.1125</v>
      </c>
      <c r="AL1231" s="312">
        <v>0.11070000000000001</v>
      </c>
      <c r="AM1231" s="312">
        <v>0.12989999999999999</v>
      </c>
      <c r="AN1231" s="312">
        <v>9.6199999999999994E-2</v>
      </c>
      <c r="AO1231" s="312">
        <v>0.1211</v>
      </c>
      <c r="AP1231" s="312">
        <v>0.1353</v>
      </c>
      <c r="AQ1231" s="312">
        <v>0.1042</v>
      </c>
      <c r="AR1231" s="312">
        <v>0.13489999999999999</v>
      </c>
      <c r="AS1231" s="312">
        <v>8.2199999999999995E-2</v>
      </c>
      <c r="AT1231" s="312">
        <v>0.13830000000000001</v>
      </c>
      <c r="AU1231" s="312">
        <v>0.1605</v>
      </c>
      <c r="AV1231" s="312">
        <v>0.1459</v>
      </c>
      <c r="AW1231" s="312">
        <v>0.12790000000000001</v>
      </c>
      <c r="AX1231" s="312">
        <v>8.72E-2</v>
      </c>
      <c r="AY1231" s="312">
        <v>0.12520000000000001</v>
      </c>
      <c r="AZ1231" s="312">
        <v>0.1128</v>
      </c>
      <c r="BA1231" s="312">
        <v>7.17E-2</v>
      </c>
      <c r="BB1231" s="312">
        <v>5.9200000000000003E-2</v>
      </c>
      <c r="BC1231" s="312">
        <v>0.13780000000000001</v>
      </c>
      <c r="BD1231" s="312">
        <v>0.15390000000000001</v>
      </c>
      <c r="BE1231" s="312">
        <v>0.14929999999999999</v>
      </c>
      <c r="BF1231" s="312">
        <v>0.12280000000000001</v>
      </c>
      <c r="BG1231" s="312">
        <v>0.16259999999999999</v>
      </c>
      <c r="BH1231" s="312">
        <v>0.13170000000000001</v>
      </c>
      <c r="BI1231" s="312">
        <v>0.15740000000000001</v>
      </c>
      <c r="BJ1231" s="312">
        <v>0.14480000000000001</v>
      </c>
      <c r="BK1231" s="312">
        <v>0.14810000000000001</v>
      </c>
      <c r="BM1231">
        <f>(C1231-C820)*1000000/(RIMS_emp!C1231-RIMS_emp!C820)</f>
        <v>37558.446838788368</v>
      </c>
    </row>
    <row r="1232" spans="1:65" x14ac:dyDescent="0.25">
      <c r="A1232" s="306" t="s">
        <v>794</v>
      </c>
      <c r="B1232" s="312" t="s">
        <v>795</v>
      </c>
      <c r="C1232" s="312">
        <v>0.84460000000000002</v>
      </c>
      <c r="D1232" s="312">
        <v>0.52329999999999999</v>
      </c>
      <c r="E1232" s="312">
        <v>0.60289999999999999</v>
      </c>
      <c r="F1232" s="312">
        <v>0.52129999999999999</v>
      </c>
      <c r="G1232" s="312">
        <v>0.60980000000000001</v>
      </c>
      <c r="H1232" s="312">
        <v>0.67049999999999998</v>
      </c>
      <c r="I1232" s="312">
        <v>0.67510000000000003</v>
      </c>
      <c r="J1232" s="312">
        <v>0.54339999999999999</v>
      </c>
      <c r="K1232" s="312">
        <v>7.4499999999999997E-2</v>
      </c>
      <c r="L1232" s="312">
        <v>0.4783</v>
      </c>
      <c r="M1232" s="312">
        <v>0.61660000000000004</v>
      </c>
      <c r="N1232" s="312">
        <v>0.64280000000000004</v>
      </c>
      <c r="O1232" s="312">
        <v>0.56489999999999996</v>
      </c>
      <c r="P1232" s="312">
        <v>0.46560000000000001</v>
      </c>
      <c r="Q1232" s="312">
        <v>0.50519999999999998</v>
      </c>
      <c r="R1232" s="312">
        <v>0.65849999999999997</v>
      </c>
      <c r="S1232" s="312">
        <v>0.57689999999999997</v>
      </c>
      <c r="T1232" s="312">
        <v>0.48870000000000002</v>
      </c>
      <c r="U1232" s="312">
        <v>0.54730000000000001</v>
      </c>
      <c r="V1232" s="312">
        <v>0.58799999999999997</v>
      </c>
      <c r="W1232" s="312">
        <v>0.58189999999999997</v>
      </c>
      <c r="X1232" s="312">
        <v>0.54159999999999997</v>
      </c>
      <c r="Y1232" s="312">
        <v>0.56320000000000003</v>
      </c>
      <c r="Z1232" s="312">
        <v>0.60519999999999996</v>
      </c>
      <c r="AA1232" s="312">
        <v>0.57950000000000002</v>
      </c>
      <c r="AB1232" s="312">
        <v>0.57979999999999998</v>
      </c>
      <c r="AC1232" s="312">
        <v>0.5302</v>
      </c>
      <c r="AD1232" s="312">
        <v>0.53200000000000003</v>
      </c>
      <c r="AE1232" s="312">
        <v>0.57620000000000005</v>
      </c>
      <c r="AF1232" s="312">
        <v>0.44490000000000002</v>
      </c>
      <c r="AG1232" s="312">
        <v>0.46310000000000001</v>
      </c>
      <c r="AH1232" s="312">
        <v>0.54530000000000001</v>
      </c>
      <c r="AI1232" s="312">
        <v>0.60160000000000002</v>
      </c>
      <c r="AJ1232" s="312">
        <v>0.54469999999999996</v>
      </c>
      <c r="AK1232" s="312">
        <v>0.54890000000000005</v>
      </c>
      <c r="AL1232" s="312">
        <v>0.51749999999999996</v>
      </c>
      <c r="AM1232" s="312">
        <v>0.6331</v>
      </c>
      <c r="AN1232" s="312">
        <v>0.59699999999999998</v>
      </c>
      <c r="AO1232" s="312">
        <v>0.57530000000000003</v>
      </c>
      <c r="AP1232" s="312">
        <v>0.64590000000000003</v>
      </c>
      <c r="AQ1232" s="312">
        <v>0.51359999999999995</v>
      </c>
      <c r="AR1232" s="312">
        <v>0.60640000000000005</v>
      </c>
      <c r="AS1232" s="312">
        <v>0.44919999999999999</v>
      </c>
      <c r="AT1232" s="312">
        <v>0.62380000000000002</v>
      </c>
      <c r="AU1232" s="312">
        <v>0.7087</v>
      </c>
      <c r="AV1232" s="312">
        <v>0.66649999999999998</v>
      </c>
      <c r="AW1232" s="312">
        <v>0.54990000000000006</v>
      </c>
      <c r="AX1232" s="312">
        <v>0.51970000000000005</v>
      </c>
      <c r="AY1232" s="312">
        <v>0.61519999999999997</v>
      </c>
      <c r="AZ1232" s="312">
        <v>0.57520000000000004</v>
      </c>
      <c r="BA1232" s="312">
        <v>0.50470000000000004</v>
      </c>
      <c r="BB1232" s="312">
        <v>0.47360000000000002</v>
      </c>
      <c r="BC1232" s="312">
        <v>0.63370000000000004</v>
      </c>
      <c r="BD1232" s="312">
        <v>0.65329999999999999</v>
      </c>
      <c r="BE1232" s="312">
        <v>0.6764</v>
      </c>
      <c r="BF1232" s="312">
        <v>0.58230000000000004</v>
      </c>
      <c r="BG1232" s="312">
        <v>0.67789999999999995</v>
      </c>
      <c r="BH1232" s="312">
        <v>0.64039999999999997</v>
      </c>
      <c r="BI1232" s="312">
        <v>0.70860000000000001</v>
      </c>
      <c r="BJ1232" s="312">
        <v>0.66710000000000003</v>
      </c>
      <c r="BK1232" s="312">
        <v>0.68320000000000003</v>
      </c>
      <c r="BM1232">
        <f>(C1232-C821)*1000000/(RIMS_emp!C1232-RIMS_emp!C821)</f>
        <v>37551.15240618433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BK1232"/>
  <sheetViews>
    <sheetView workbookViewId="0">
      <selection activeCell="B855" sqref="B855"/>
    </sheetView>
  </sheetViews>
  <sheetFormatPr defaultRowHeight="15" x14ac:dyDescent="0.25"/>
  <cols>
    <col min="1" max="1" width="9.140625" style="132"/>
    <col min="2" max="2" width="24.140625" bestFit="1" customWidth="1"/>
    <col min="3" max="3" width="23.28515625" bestFit="1" customWidth="1"/>
    <col min="4" max="4" width="13.28515625" bestFit="1" customWidth="1"/>
    <col min="5" max="5" width="12.85546875" bestFit="1" customWidth="1"/>
    <col min="6" max="6" width="13.28515625" bestFit="1" customWidth="1"/>
    <col min="7" max="7" width="13.140625" bestFit="1" customWidth="1"/>
    <col min="8" max="8" width="13.28515625" bestFit="1" customWidth="1"/>
    <col min="9" max="9" width="13.42578125" bestFit="1" customWidth="1"/>
    <col min="10" max="10" width="12.85546875" bestFit="1" customWidth="1"/>
    <col min="11" max="11" width="13.28515625" bestFit="1" customWidth="1"/>
    <col min="12" max="12" width="13.140625" bestFit="1" customWidth="1"/>
    <col min="13" max="13" width="12.5703125" bestFit="1" customWidth="1"/>
    <col min="14" max="14" width="13.42578125" bestFit="1" customWidth="1"/>
    <col min="15" max="17" width="12.5703125" bestFit="1" customWidth="1"/>
    <col min="18" max="18" width="12.140625" bestFit="1" customWidth="1"/>
    <col min="19" max="19" width="12.7109375" bestFit="1" customWidth="1"/>
    <col min="20" max="22" width="12.85546875" bestFit="1" customWidth="1"/>
    <col min="23" max="24" width="13.85546875" bestFit="1" customWidth="1"/>
    <col min="25" max="25" width="13.5703125" bestFit="1" customWidth="1"/>
    <col min="26" max="26" width="13.140625" bestFit="1" customWidth="1"/>
    <col min="27" max="28" width="14" bestFit="1" customWidth="1"/>
    <col min="29" max="30" width="13.5703125" bestFit="1" customWidth="1"/>
    <col min="31" max="31" width="13.42578125" bestFit="1" customWidth="1"/>
    <col min="32" max="32" width="13.5703125" bestFit="1" customWidth="1"/>
    <col min="33" max="33" width="13.28515625" bestFit="1" customWidth="1"/>
    <col min="34" max="34" width="13.5703125" bestFit="1" customWidth="1"/>
    <col min="35" max="35" width="12.85546875" bestFit="1" customWidth="1"/>
    <col min="36" max="36" width="14" bestFit="1" customWidth="1"/>
    <col min="37" max="37" width="13.5703125" bestFit="1" customWidth="1"/>
    <col min="38" max="38" width="13.28515625" bestFit="1" customWidth="1"/>
    <col min="39" max="39" width="13.5703125" bestFit="1" customWidth="1"/>
    <col min="40" max="41" width="13.42578125" bestFit="1" customWidth="1"/>
    <col min="42" max="42" width="13.28515625" bestFit="1" customWidth="1"/>
    <col min="43" max="43" width="12.42578125" bestFit="1" customWidth="1"/>
    <col min="44" max="44" width="12.85546875" bestFit="1" customWidth="1"/>
    <col min="45" max="45" width="13.140625" bestFit="1" customWidth="1"/>
    <col min="46" max="46" width="13.28515625" bestFit="1" customWidth="1"/>
    <col min="47" max="47" width="12.85546875" bestFit="1" customWidth="1"/>
    <col min="48" max="48" width="13.140625" bestFit="1" customWidth="1"/>
    <col min="49" max="49" width="13.42578125" bestFit="1" customWidth="1"/>
    <col min="50" max="50" width="13.140625" bestFit="1" customWidth="1"/>
    <col min="51" max="51" width="14" bestFit="1" customWidth="1"/>
    <col min="52" max="52" width="13.28515625" bestFit="1" customWidth="1"/>
    <col min="53" max="53" width="14" bestFit="1" customWidth="1"/>
    <col min="54" max="54" width="13.7109375" bestFit="1" customWidth="1"/>
    <col min="55" max="55" width="28.85546875" bestFit="1" customWidth="1"/>
    <col min="56" max="56" width="28" bestFit="1" customWidth="1"/>
    <col min="57" max="57" width="27.5703125" bestFit="1" customWidth="1"/>
    <col min="58" max="58" width="28.42578125" bestFit="1" customWidth="1"/>
    <col min="59" max="59" width="25.5703125" bestFit="1" customWidth="1"/>
    <col min="60" max="60" width="27.140625" bestFit="1" customWidth="1"/>
    <col min="61" max="61" width="28" bestFit="1" customWidth="1"/>
    <col min="62" max="62" width="25.140625" bestFit="1" customWidth="1"/>
    <col min="63" max="63" width="22.28515625" bestFit="1" customWidth="1"/>
  </cols>
  <sheetData>
    <row r="2" spans="1:63" s="134" customFormat="1" ht="64.5" customHeight="1" x14ac:dyDescent="0.25">
      <c r="A2" s="134" t="s">
        <v>582</v>
      </c>
      <c r="B2" s="134" t="s">
        <v>412</v>
      </c>
      <c r="C2" s="134" t="str">
        <f>RIMS_lists!C1</f>
        <v>USA-National</v>
      </c>
      <c r="D2" s="134" t="str">
        <f>RIMS_lists!D1</f>
        <v>AK</v>
      </c>
      <c r="E2" s="134" t="str">
        <f>RIMS_lists!E1</f>
        <v>AL</v>
      </c>
      <c r="F2" s="134" t="str">
        <f>RIMS_lists!F1</f>
        <v>AR</v>
      </c>
      <c r="G2" s="134" t="str">
        <f>RIMS_lists!G1</f>
        <v>AZ</v>
      </c>
      <c r="H2" s="134" t="str">
        <f>RIMS_lists!H1</f>
        <v>CA</v>
      </c>
      <c r="I2" s="134" t="str">
        <f>RIMS_lists!I1</f>
        <v>CO</v>
      </c>
      <c r="J2" s="134" t="str">
        <f>RIMS_lists!J1</f>
        <v>CT</v>
      </c>
      <c r="K2" s="134" t="e">
        <f>RIMS_lists!#REF!</f>
        <v>#REF!</v>
      </c>
      <c r="L2" s="134" t="str">
        <f>RIMS_lists!K1</f>
        <v>DE</v>
      </c>
      <c r="M2" s="134" t="str">
        <f>RIMS_lists!L1</f>
        <v>FL</v>
      </c>
      <c r="N2" s="134" t="str">
        <f>RIMS_lists!M1</f>
        <v>GA</v>
      </c>
      <c r="O2" s="134" t="str">
        <f>RIMS_lists!N1</f>
        <v>HI</v>
      </c>
      <c r="P2" s="134" t="str">
        <f>RIMS_lists!O1</f>
        <v>IA</v>
      </c>
      <c r="Q2" s="134" t="str">
        <f>RIMS_lists!P1</f>
        <v>ID</v>
      </c>
      <c r="R2" s="134" t="str">
        <f>RIMS_lists!Q1</f>
        <v>IL</v>
      </c>
      <c r="S2" s="134" t="str">
        <f>RIMS_lists!R1</f>
        <v>IN</v>
      </c>
      <c r="T2" s="134" t="str">
        <f>RIMS_lists!S1</f>
        <v>KS</v>
      </c>
      <c r="U2" s="134" t="str">
        <f>RIMS_lists!T1</f>
        <v>KY</v>
      </c>
      <c r="V2" s="134" t="str">
        <f>RIMS_lists!U1</f>
        <v>LA</v>
      </c>
      <c r="W2" s="134" t="str">
        <f>RIMS_lists!V1</f>
        <v>MA</v>
      </c>
      <c r="X2" s="134" t="str">
        <f>RIMS_lists!W1</f>
        <v>MD</v>
      </c>
      <c r="Y2" s="134" t="str">
        <f>RIMS_lists!X1</f>
        <v>ME</v>
      </c>
      <c r="Z2" s="134" t="str">
        <f>RIMS_lists!Y1</f>
        <v>MI</v>
      </c>
      <c r="AA2" s="134" t="str">
        <f>RIMS_lists!Z1</f>
        <v>MN</v>
      </c>
      <c r="AB2" s="134" t="str">
        <f>RIMS_lists!AA1</f>
        <v>MO</v>
      </c>
      <c r="AC2" s="134" t="str">
        <f>RIMS_lists!AB1</f>
        <v>MS</v>
      </c>
      <c r="AD2" s="134" t="str">
        <f>RIMS_lists!AC1</f>
        <v>MT</v>
      </c>
      <c r="AE2" s="134" t="str">
        <f>RIMS_lists!AD1</f>
        <v>NC</v>
      </c>
      <c r="AF2" s="134" t="str">
        <f>RIMS_lists!AE1</f>
        <v>ND</v>
      </c>
      <c r="AG2" s="134" t="str">
        <f>RIMS_lists!AF1</f>
        <v>NE</v>
      </c>
      <c r="AH2" s="134" t="str">
        <f>RIMS_lists!AG1</f>
        <v>NH</v>
      </c>
      <c r="AI2" s="134" t="str">
        <f>RIMS_lists!AH1</f>
        <v>NJ</v>
      </c>
      <c r="AJ2" s="134" t="str">
        <f>RIMS_lists!AI1</f>
        <v>NM</v>
      </c>
      <c r="AK2" s="134" t="str">
        <f>RIMS_lists!AJ1</f>
        <v>NV</v>
      </c>
      <c r="AL2" s="134" t="str">
        <f>RIMS_lists!AK1</f>
        <v>NY</v>
      </c>
      <c r="AM2" s="134" t="str">
        <f>RIMS_lists!AL1</f>
        <v>OH</v>
      </c>
      <c r="AN2" s="134" t="str">
        <f>RIMS_lists!AM1</f>
        <v>OK</v>
      </c>
      <c r="AO2" s="134" t="str">
        <f>RIMS_lists!AN1</f>
        <v>OR</v>
      </c>
      <c r="AP2" s="134" t="str">
        <f>RIMS_lists!AO1</f>
        <v>PA</v>
      </c>
      <c r="AQ2" s="134" t="str">
        <f>RIMS_lists!AP1</f>
        <v>RI</v>
      </c>
      <c r="AR2" s="134" t="str">
        <f>RIMS_lists!AQ1</f>
        <v>SC</v>
      </c>
      <c r="AS2" s="134" t="str">
        <f>RIMS_lists!AR1</f>
        <v>SD</v>
      </c>
      <c r="AT2" s="134" t="str">
        <f>RIMS_lists!AS1</f>
        <v>TN</v>
      </c>
      <c r="AU2" s="134" t="str">
        <f>RIMS_lists!AT1</f>
        <v>TX</v>
      </c>
      <c r="AV2" s="134" t="str">
        <f>RIMS_lists!AU1</f>
        <v>UT</v>
      </c>
      <c r="AW2" s="134" t="str">
        <f>RIMS_lists!AV1</f>
        <v>VA</v>
      </c>
      <c r="AX2" s="134" t="str">
        <f>RIMS_lists!AW1</f>
        <v>VT</v>
      </c>
      <c r="AY2" s="134" t="str">
        <f>RIMS_lists!AX1</f>
        <v>WA</v>
      </c>
      <c r="AZ2" s="134" t="str">
        <f>RIMS_lists!AY1</f>
        <v>WI</v>
      </c>
      <c r="BA2" s="134" t="str">
        <f>RIMS_lists!AZ1</f>
        <v>WV</v>
      </c>
      <c r="BB2" s="134" t="str">
        <f>RIMS_lists!BA1</f>
        <v>WY</v>
      </c>
      <c r="BC2" s="134" t="str">
        <f>RIMS_lists!BB1</f>
        <v>Census Division 1-New England</v>
      </c>
      <c r="BD2" s="134" t="str">
        <f>RIMS_lists!BC1</f>
        <v>Census Division 2-Middle Atlantic</v>
      </c>
      <c r="BE2" s="134" t="str">
        <f>RIMS_lists!BD1</f>
        <v>Census Division 3-East North Central</v>
      </c>
      <c r="BF2" s="134" t="str">
        <f>RIMS_lists!BE1</f>
        <v>Census Division 4-West North Central</v>
      </c>
      <c r="BG2" s="134" t="str">
        <f>RIMS_lists!BF1</f>
        <v>Census Division 5-South Atlantic</v>
      </c>
      <c r="BH2" s="134" t="str">
        <f>RIMS_lists!BG1</f>
        <v>Census Division 6-East South Central</v>
      </c>
      <c r="BI2" s="134" t="str">
        <f>RIMS_lists!BH1</f>
        <v>Census Division 7-West South Central</v>
      </c>
      <c r="BJ2" s="134" t="str">
        <f>RIMS_lists!BI1</f>
        <v>Census Division 8-Mountain</v>
      </c>
      <c r="BK2" s="134" t="str">
        <f>RIMS_lists!BJ1</f>
        <v>Census Division 9-Pacific</v>
      </c>
    </row>
    <row r="3" spans="1:63" x14ac:dyDescent="0.25">
      <c r="B3" s="133" t="s">
        <v>1064</v>
      </c>
    </row>
    <row r="4" spans="1:63" x14ac:dyDescent="0.25">
      <c r="A4" s="306" t="s">
        <v>617</v>
      </c>
      <c r="B4" s="313" t="s">
        <v>618</v>
      </c>
      <c r="C4" s="313" t="s">
        <v>1259</v>
      </c>
      <c r="D4" s="313" t="s">
        <v>1260</v>
      </c>
      <c r="E4" s="313" t="s">
        <v>1261</v>
      </c>
      <c r="F4" s="313" t="s">
        <v>1262</v>
      </c>
      <c r="G4" s="313" t="s">
        <v>1263</v>
      </c>
      <c r="H4" s="313" t="s">
        <v>1264</v>
      </c>
      <c r="I4" s="313" t="s">
        <v>1265</v>
      </c>
      <c r="J4" s="313" t="s">
        <v>1266</v>
      </c>
      <c r="K4" s="313" t="s">
        <v>1267</v>
      </c>
      <c r="L4" s="313" t="s">
        <v>1268</v>
      </c>
      <c r="M4" s="313" t="s">
        <v>1269</v>
      </c>
      <c r="N4" s="313" t="s">
        <v>1270</v>
      </c>
      <c r="O4" s="313" t="s">
        <v>1271</v>
      </c>
      <c r="P4" s="313" t="s">
        <v>1272</v>
      </c>
      <c r="Q4" s="313" t="s">
        <v>1273</v>
      </c>
      <c r="R4" s="313" t="s">
        <v>1274</v>
      </c>
      <c r="S4" s="313" t="s">
        <v>1275</v>
      </c>
      <c r="T4" s="313" t="s">
        <v>1276</v>
      </c>
      <c r="U4" s="313" t="s">
        <v>1277</v>
      </c>
      <c r="V4" s="313" t="s">
        <v>1278</v>
      </c>
      <c r="W4" s="313" t="s">
        <v>1279</v>
      </c>
      <c r="X4" s="313" t="s">
        <v>1280</v>
      </c>
      <c r="Y4" s="313" t="s">
        <v>1281</v>
      </c>
      <c r="Z4" s="313" t="s">
        <v>1282</v>
      </c>
      <c r="AA4" s="313" t="s">
        <v>1283</v>
      </c>
      <c r="AB4" s="313" t="s">
        <v>1284</v>
      </c>
      <c r="AC4" s="313" t="s">
        <v>1285</v>
      </c>
      <c r="AD4" s="313" t="s">
        <v>1286</v>
      </c>
      <c r="AE4" s="313" t="s">
        <v>1287</v>
      </c>
      <c r="AF4" s="313" t="s">
        <v>1288</v>
      </c>
      <c r="AG4" s="313" t="s">
        <v>1289</v>
      </c>
      <c r="AH4" s="313" t="s">
        <v>1290</v>
      </c>
      <c r="AI4" s="313" t="s">
        <v>1291</v>
      </c>
      <c r="AJ4" s="313" t="s">
        <v>1292</v>
      </c>
      <c r="AK4" s="313" t="s">
        <v>1293</v>
      </c>
      <c r="AL4" s="313" t="s">
        <v>1294</v>
      </c>
      <c r="AM4" s="313" t="s">
        <v>1295</v>
      </c>
      <c r="AN4" s="313" t="s">
        <v>1296</v>
      </c>
      <c r="AO4" s="313" t="s">
        <v>1297</v>
      </c>
      <c r="AP4" s="313" t="s">
        <v>1298</v>
      </c>
      <c r="AQ4" s="313" t="s">
        <v>1299</v>
      </c>
      <c r="AR4" s="313" t="s">
        <v>1300</v>
      </c>
      <c r="AS4" s="313" t="s">
        <v>1301</v>
      </c>
      <c r="AT4" s="313" t="s">
        <v>1302</v>
      </c>
      <c r="AU4" s="313" t="s">
        <v>1303</v>
      </c>
      <c r="AV4" s="313" t="s">
        <v>1304</v>
      </c>
      <c r="AW4" s="313" t="s">
        <v>1305</v>
      </c>
      <c r="AX4" s="313" t="s">
        <v>1306</v>
      </c>
      <c r="AY4" s="313" t="s">
        <v>1307</v>
      </c>
      <c r="AZ4" s="313" t="s">
        <v>1308</v>
      </c>
      <c r="BA4" s="313" t="s">
        <v>1309</v>
      </c>
      <c r="BB4" s="313" t="s">
        <v>1310</v>
      </c>
      <c r="BC4" s="313" t="s">
        <v>1311</v>
      </c>
      <c r="BD4" s="313" t="s">
        <v>1312</v>
      </c>
      <c r="BE4" s="313" t="s">
        <v>1313</v>
      </c>
      <c r="BF4" s="313" t="s">
        <v>1314</v>
      </c>
      <c r="BG4" s="313" t="s">
        <v>1315</v>
      </c>
      <c r="BH4" s="313" t="s">
        <v>1316</v>
      </c>
      <c r="BI4" s="313" t="s">
        <v>1317</v>
      </c>
      <c r="BJ4" s="313" t="s">
        <v>1318</v>
      </c>
      <c r="BK4" s="313" t="s">
        <v>1319</v>
      </c>
    </row>
    <row r="5" spans="1:63" x14ac:dyDescent="0.25">
      <c r="A5" s="306" t="s">
        <v>680</v>
      </c>
      <c r="B5" s="313" t="s">
        <v>681</v>
      </c>
      <c r="C5" s="313">
        <v>1</v>
      </c>
      <c r="D5" s="313">
        <v>1</v>
      </c>
      <c r="E5" s="313">
        <v>1</v>
      </c>
      <c r="F5" s="313">
        <v>1</v>
      </c>
      <c r="G5" s="313">
        <v>1</v>
      </c>
      <c r="H5" s="313">
        <v>1</v>
      </c>
      <c r="I5" s="313">
        <v>1</v>
      </c>
      <c r="J5" s="313">
        <v>1</v>
      </c>
      <c r="K5" s="313">
        <v>0</v>
      </c>
      <c r="L5" s="313">
        <v>1</v>
      </c>
      <c r="M5" s="313">
        <v>1</v>
      </c>
      <c r="N5" s="313">
        <v>1</v>
      </c>
      <c r="O5" s="313">
        <v>1</v>
      </c>
      <c r="P5" s="313">
        <v>1</v>
      </c>
      <c r="Q5" s="313">
        <v>1</v>
      </c>
      <c r="R5" s="313">
        <v>1</v>
      </c>
      <c r="S5" s="313">
        <v>1</v>
      </c>
      <c r="T5" s="313">
        <v>1</v>
      </c>
      <c r="U5" s="313">
        <v>1</v>
      </c>
      <c r="V5" s="313">
        <v>1</v>
      </c>
      <c r="W5" s="313">
        <v>1</v>
      </c>
      <c r="X5" s="313">
        <v>1</v>
      </c>
      <c r="Y5" s="313">
        <v>1</v>
      </c>
      <c r="Z5" s="313">
        <v>1</v>
      </c>
      <c r="AA5" s="313">
        <v>1</v>
      </c>
      <c r="AB5" s="313">
        <v>1</v>
      </c>
      <c r="AC5" s="313">
        <v>1</v>
      </c>
      <c r="AD5" s="313">
        <v>1</v>
      </c>
      <c r="AE5" s="313">
        <v>1</v>
      </c>
      <c r="AF5" s="313">
        <v>1</v>
      </c>
      <c r="AG5" s="313">
        <v>1</v>
      </c>
      <c r="AH5" s="313">
        <v>1</v>
      </c>
      <c r="AI5" s="313">
        <v>1</v>
      </c>
      <c r="AJ5" s="313">
        <v>1</v>
      </c>
      <c r="AK5" s="313">
        <v>1</v>
      </c>
      <c r="AL5" s="313">
        <v>1</v>
      </c>
      <c r="AM5" s="313">
        <v>1</v>
      </c>
      <c r="AN5" s="313">
        <v>1</v>
      </c>
      <c r="AO5" s="313">
        <v>1</v>
      </c>
      <c r="AP5" s="313">
        <v>1</v>
      </c>
      <c r="AQ5" s="313">
        <v>1</v>
      </c>
      <c r="AR5" s="313">
        <v>1</v>
      </c>
      <c r="AS5" s="313">
        <v>1</v>
      </c>
      <c r="AT5" s="313">
        <v>1</v>
      </c>
      <c r="AU5" s="313">
        <v>1</v>
      </c>
      <c r="AV5" s="313">
        <v>1</v>
      </c>
      <c r="AW5" s="313">
        <v>1</v>
      </c>
      <c r="AX5" s="313">
        <v>1</v>
      </c>
      <c r="AY5" s="313">
        <v>1</v>
      </c>
      <c r="AZ5" s="313">
        <v>1</v>
      </c>
      <c r="BA5" s="313">
        <v>1</v>
      </c>
      <c r="BB5" s="313">
        <v>1</v>
      </c>
      <c r="BC5" s="313">
        <v>1</v>
      </c>
      <c r="BD5" s="313">
        <v>1</v>
      </c>
      <c r="BE5" s="313">
        <v>1</v>
      </c>
      <c r="BF5" s="313">
        <v>1</v>
      </c>
      <c r="BG5" s="313">
        <v>1</v>
      </c>
      <c r="BH5" s="313">
        <v>1</v>
      </c>
      <c r="BI5" s="313">
        <v>1</v>
      </c>
      <c r="BJ5" s="313">
        <v>1</v>
      </c>
      <c r="BK5" s="313">
        <v>1</v>
      </c>
    </row>
    <row r="6" spans="1:63" x14ac:dyDescent="0.25">
      <c r="A6" s="306">
        <v>111200</v>
      </c>
      <c r="B6" s="313" t="s">
        <v>11</v>
      </c>
      <c r="C6" s="313">
        <v>1</v>
      </c>
      <c r="D6" s="313">
        <v>1</v>
      </c>
      <c r="E6" s="313">
        <v>1</v>
      </c>
      <c r="F6" s="313">
        <v>1</v>
      </c>
      <c r="G6" s="313">
        <v>1</v>
      </c>
      <c r="H6" s="313">
        <v>1</v>
      </c>
      <c r="I6" s="313">
        <v>1</v>
      </c>
      <c r="J6" s="313">
        <v>1</v>
      </c>
      <c r="K6" s="313">
        <v>0</v>
      </c>
      <c r="L6" s="313">
        <v>1</v>
      </c>
      <c r="M6" s="313">
        <v>1</v>
      </c>
      <c r="N6" s="313">
        <v>1</v>
      </c>
      <c r="O6" s="313">
        <v>1</v>
      </c>
      <c r="P6" s="313">
        <v>1</v>
      </c>
      <c r="Q6" s="313">
        <v>1</v>
      </c>
      <c r="R6" s="313">
        <v>1</v>
      </c>
      <c r="S6" s="313">
        <v>1</v>
      </c>
      <c r="T6" s="313">
        <v>1</v>
      </c>
      <c r="U6" s="313">
        <v>1</v>
      </c>
      <c r="V6" s="313">
        <v>1</v>
      </c>
      <c r="W6" s="313">
        <v>1</v>
      </c>
      <c r="X6" s="313">
        <v>1</v>
      </c>
      <c r="Y6" s="313">
        <v>1</v>
      </c>
      <c r="Z6" s="313">
        <v>1</v>
      </c>
      <c r="AA6" s="313">
        <v>1</v>
      </c>
      <c r="AB6" s="313">
        <v>1</v>
      </c>
      <c r="AC6" s="313">
        <v>1</v>
      </c>
      <c r="AD6" s="313">
        <v>1</v>
      </c>
      <c r="AE6" s="313">
        <v>1</v>
      </c>
      <c r="AF6" s="313">
        <v>1</v>
      </c>
      <c r="AG6" s="313">
        <v>1</v>
      </c>
      <c r="AH6" s="313">
        <v>1</v>
      </c>
      <c r="AI6" s="313">
        <v>1</v>
      </c>
      <c r="AJ6" s="313">
        <v>1</v>
      </c>
      <c r="AK6" s="313">
        <v>1</v>
      </c>
      <c r="AL6" s="313">
        <v>1</v>
      </c>
      <c r="AM6" s="313">
        <v>1</v>
      </c>
      <c r="AN6" s="313">
        <v>1</v>
      </c>
      <c r="AO6" s="313">
        <v>1</v>
      </c>
      <c r="AP6" s="313">
        <v>1</v>
      </c>
      <c r="AQ6" s="313">
        <v>1</v>
      </c>
      <c r="AR6" s="313">
        <v>1</v>
      </c>
      <c r="AS6" s="313">
        <v>1</v>
      </c>
      <c r="AT6" s="313">
        <v>1</v>
      </c>
      <c r="AU6" s="313">
        <v>1</v>
      </c>
      <c r="AV6" s="313">
        <v>1</v>
      </c>
      <c r="AW6" s="313">
        <v>1</v>
      </c>
      <c r="AX6" s="313">
        <v>1</v>
      </c>
      <c r="AY6" s="313">
        <v>1</v>
      </c>
      <c r="AZ6" s="313">
        <v>1</v>
      </c>
      <c r="BA6" s="313">
        <v>1</v>
      </c>
      <c r="BB6" s="313">
        <v>1</v>
      </c>
      <c r="BC6" s="313">
        <v>1</v>
      </c>
      <c r="BD6" s="313">
        <v>1</v>
      </c>
      <c r="BE6" s="313">
        <v>1</v>
      </c>
      <c r="BF6" s="313">
        <v>1</v>
      </c>
      <c r="BG6" s="313">
        <v>1</v>
      </c>
      <c r="BH6" s="313">
        <v>1</v>
      </c>
      <c r="BI6" s="313">
        <v>1</v>
      </c>
      <c r="BJ6" s="313">
        <v>1</v>
      </c>
      <c r="BK6" s="313">
        <v>1</v>
      </c>
    </row>
    <row r="7" spans="1:63" x14ac:dyDescent="0.25">
      <c r="A7" s="306" t="s">
        <v>682</v>
      </c>
      <c r="B7" s="313" t="s">
        <v>683</v>
      </c>
      <c r="C7" s="313">
        <v>1</v>
      </c>
      <c r="D7" s="313">
        <v>1</v>
      </c>
      <c r="E7" s="313">
        <v>1</v>
      </c>
      <c r="F7" s="313">
        <v>1</v>
      </c>
      <c r="G7" s="313">
        <v>1</v>
      </c>
      <c r="H7" s="313">
        <v>1</v>
      </c>
      <c r="I7" s="313">
        <v>1</v>
      </c>
      <c r="J7" s="313">
        <v>1</v>
      </c>
      <c r="K7" s="313">
        <v>0</v>
      </c>
      <c r="L7" s="313">
        <v>1</v>
      </c>
      <c r="M7" s="313">
        <v>1</v>
      </c>
      <c r="N7" s="313">
        <v>1</v>
      </c>
      <c r="O7" s="313">
        <v>1</v>
      </c>
      <c r="P7" s="313">
        <v>1</v>
      </c>
      <c r="Q7" s="313">
        <v>1</v>
      </c>
      <c r="R7" s="313">
        <v>1</v>
      </c>
      <c r="S7" s="313">
        <v>1</v>
      </c>
      <c r="T7" s="313">
        <v>1</v>
      </c>
      <c r="U7" s="313">
        <v>1</v>
      </c>
      <c r="V7" s="313">
        <v>1</v>
      </c>
      <c r="W7" s="313">
        <v>1</v>
      </c>
      <c r="X7" s="313">
        <v>1</v>
      </c>
      <c r="Y7" s="313">
        <v>1</v>
      </c>
      <c r="Z7" s="313">
        <v>1</v>
      </c>
      <c r="AA7" s="313">
        <v>1</v>
      </c>
      <c r="AB7" s="313">
        <v>1</v>
      </c>
      <c r="AC7" s="313">
        <v>1</v>
      </c>
      <c r="AD7" s="313">
        <v>1</v>
      </c>
      <c r="AE7" s="313">
        <v>1</v>
      </c>
      <c r="AF7" s="313">
        <v>1</v>
      </c>
      <c r="AG7" s="313">
        <v>1</v>
      </c>
      <c r="AH7" s="313">
        <v>1</v>
      </c>
      <c r="AI7" s="313">
        <v>1</v>
      </c>
      <c r="AJ7" s="313">
        <v>1</v>
      </c>
      <c r="AK7" s="313">
        <v>1</v>
      </c>
      <c r="AL7" s="313">
        <v>1</v>
      </c>
      <c r="AM7" s="313">
        <v>1</v>
      </c>
      <c r="AN7" s="313">
        <v>1</v>
      </c>
      <c r="AO7" s="313">
        <v>1</v>
      </c>
      <c r="AP7" s="313">
        <v>1</v>
      </c>
      <c r="AQ7" s="313">
        <v>1</v>
      </c>
      <c r="AR7" s="313">
        <v>1</v>
      </c>
      <c r="AS7" s="313">
        <v>1</v>
      </c>
      <c r="AT7" s="313">
        <v>1</v>
      </c>
      <c r="AU7" s="313">
        <v>1</v>
      </c>
      <c r="AV7" s="313">
        <v>1</v>
      </c>
      <c r="AW7" s="313">
        <v>1</v>
      </c>
      <c r="AX7" s="313">
        <v>1</v>
      </c>
      <c r="AY7" s="313">
        <v>1</v>
      </c>
      <c r="AZ7" s="313">
        <v>1</v>
      </c>
      <c r="BA7" s="313">
        <v>1</v>
      </c>
      <c r="BB7" s="313">
        <v>1</v>
      </c>
      <c r="BC7" s="313">
        <v>1</v>
      </c>
      <c r="BD7" s="313">
        <v>1</v>
      </c>
      <c r="BE7" s="313">
        <v>1</v>
      </c>
      <c r="BF7" s="313">
        <v>1</v>
      </c>
      <c r="BG7" s="313">
        <v>1</v>
      </c>
      <c r="BH7" s="313">
        <v>1</v>
      </c>
      <c r="BI7" s="313">
        <v>1</v>
      </c>
      <c r="BJ7" s="313">
        <v>1</v>
      </c>
      <c r="BK7" s="313">
        <v>1</v>
      </c>
    </row>
    <row r="8" spans="1:63" x14ac:dyDescent="0.25">
      <c r="A8" s="306">
        <v>111400</v>
      </c>
      <c r="B8" s="313" t="s">
        <v>12</v>
      </c>
      <c r="C8" s="313">
        <v>1</v>
      </c>
      <c r="D8" s="313">
        <v>1</v>
      </c>
      <c r="E8" s="313">
        <v>1</v>
      </c>
      <c r="F8" s="313">
        <v>1</v>
      </c>
      <c r="G8" s="313">
        <v>1</v>
      </c>
      <c r="H8" s="313">
        <v>1</v>
      </c>
      <c r="I8" s="313">
        <v>1</v>
      </c>
      <c r="J8" s="313">
        <v>1</v>
      </c>
      <c r="K8" s="313">
        <v>0</v>
      </c>
      <c r="L8" s="313">
        <v>1</v>
      </c>
      <c r="M8" s="313">
        <v>1</v>
      </c>
      <c r="N8" s="313">
        <v>1</v>
      </c>
      <c r="O8" s="313">
        <v>1</v>
      </c>
      <c r="P8" s="313">
        <v>1</v>
      </c>
      <c r="Q8" s="313">
        <v>1</v>
      </c>
      <c r="R8" s="313">
        <v>1</v>
      </c>
      <c r="S8" s="313">
        <v>1</v>
      </c>
      <c r="T8" s="313">
        <v>1</v>
      </c>
      <c r="U8" s="313">
        <v>1</v>
      </c>
      <c r="V8" s="313">
        <v>1</v>
      </c>
      <c r="W8" s="313">
        <v>1</v>
      </c>
      <c r="X8" s="313">
        <v>1</v>
      </c>
      <c r="Y8" s="313">
        <v>1</v>
      </c>
      <c r="Z8" s="313">
        <v>1</v>
      </c>
      <c r="AA8" s="313">
        <v>1</v>
      </c>
      <c r="AB8" s="313">
        <v>1</v>
      </c>
      <c r="AC8" s="313">
        <v>1</v>
      </c>
      <c r="AD8" s="313">
        <v>1</v>
      </c>
      <c r="AE8" s="313">
        <v>1</v>
      </c>
      <c r="AF8" s="313">
        <v>1</v>
      </c>
      <c r="AG8" s="313">
        <v>1</v>
      </c>
      <c r="AH8" s="313">
        <v>1</v>
      </c>
      <c r="AI8" s="313">
        <v>1</v>
      </c>
      <c r="AJ8" s="313">
        <v>1</v>
      </c>
      <c r="AK8" s="313">
        <v>1</v>
      </c>
      <c r="AL8" s="313">
        <v>1</v>
      </c>
      <c r="AM8" s="313">
        <v>1</v>
      </c>
      <c r="AN8" s="313">
        <v>1</v>
      </c>
      <c r="AO8" s="313">
        <v>1</v>
      </c>
      <c r="AP8" s="313">
        <v>1</v>
      </c>
      <c r="AQ8" s="313">
        <v>1</v>
      </c>
      <c r="AR8" s="313">
        <v>1</v>
      </c>
      <c r="AS8" s="313">
        <v>1</v>
      </c>
      <c r="AT8" s="313">
        <v>1</v>
      </c>
      <c r="AU8" s="313">
        <v>1</v>
      </c>
      <c r="AV8" s="313">
        <v>1</v>
      </c>
      <c r="AW8" s="313">
        <v>1</v>
      </c>
      <c r="AX8" s="313">
        <v>1</v>
      </c>
      <c r="AY8" s="313">
        <v>1</v>
      </c>
      <c r="AZ8" s="313">
        <v>1</v>
      </c>
      <c r="BA8" s="313">
        <v>1</v>
      </c>
      <c r="BB8" s="313">
        <v>1</v>
      </c>
      <c r="BC8" s="313">
        <v>1</v>
      </c>
      <c r="BD8" s="313">
        <v>1</v>
      </c>
      <c r="BE8" s="313">
        <v>1</v>
      </c>
      <c r="BF8" s="313">
        <v>1</v>
      </c>
      <c r="BG8" s="313">
        <v>1</v>
      </c>
      <c r="BH8" s="313">
        <v>1</v>
      </c>
      <c r="BI8" s="313">
        <v>1</v>
      </c>
      <c r="BJ8" s="313">
        <v>1</v>
      </c>
      <c r="BK8" s="313">
        <v>1</v>
      </c>
    </row>
    <row r="9" spans="1:63" x14ac:dyDescent="0.25">
      <c r="A9" s="306">
        <v>111910</v>
      </c>
      <c r="B9" s="313" t="s">
        <v>13</v>
      </c>
      <c r="C9" s="313">
        <v>1</v>
      </c>
      <c r="D9" s="313">
        <v>0</v>
      </c>
      <c r="E9" s="313">
        <v>0</v>
      </c>
      <c r="F9" s="313">
        <v>0</v>
      </c>
      <c r="G9" s="313">
        <v>0</v>
      </c>
      <c r="H9" s="313">
        <v>0</v>
      </c>
      <c r="I9" s="313">
        <v>0</v>
      </c>
      <c r="J9" s="313">
        <v>1</v>
      </c>
      <c r="K9" s="313">
        <v>0</v>
      </c>
      <c r="L9" s="313">
        <v>0</v>
      </c>
      <c r="M9" s="313">
        <v>1</v>
      </c>
      <c r="N9" s="313">
        <v>1</v>
      </c>
      <c r="O9" s="313">
        <v>0</v>
      </c>
      <c r="P9" s="313">
        <v>0</v>
      </c>
      <c r="Q9" s="313">
        <v>0</v>
      </c>
      <c r="R9" s="313">
        <v>1</v>
      </c>
      <c r="S9" s="313">
        <v>1</v>
      </c>
      <c r="T9" s="313">
        <v>0</v>
      </c>
      <c r="U9" s="313">
        <v>1</v>
      </c>
      <c r="V9" s="313">
        <v>0</v>
      </c>
      <c r="W9" s="313">
        <v>1</v>
      </c>
      <c r="X9" s="313">
        <v>1</v>
      </c>
      <c r="Y9" s="313">
        <v>0</v>
      </c>
      <c r="Z9" s="313">
        <v>0</v>
      </c>
      <c r="AA9" s="313">
        <v>0</v>
      </c>
      <c r="AB9" s="313">
        <v>1</v>
      </c>
      <c r="AC9" s="313">
        <v>0</v>
      </c>
      <c r="AD9" s="313">
        <v>0</v>
      </c>
      <c r="AE9" s="313">
        <v>1</v>
      </c>
      <c r="AF9" s="313">
        <v>0</v>
      </c>
      <c r="AG9" s="313">
        <v>0</v>
      </c>
      <c r="AH9" s="313">
        <v>0</v>
      </c>
      <c r="AI9" s="313">
        <v>0</v>
      </c>
      <c r="AJ9" s="313">
        <v>0</v>
      </c>
      <c r="AK9" s="313">
        <v>0</v>
      </c>
      <c r="AL9" s="313">
        <v>0</v>
      </c>
      <c r="AM9" s="313">
        <v>1</v>
      </c>
      <c r="AN9" s="313">
        <v>0</v>
      </c>
      <c r="AO9" s="313">
        <v>0</v>
      </c>
      <c r="AP9" s="313">
        <v>1</v>
      </c>
      <c r="AQ9" s="313">
        <v>0</v>
      </c>
      <c r="AR9" s="313">
        <v>1</v>
      </c>
      <c r="AS9" s="313">
        <v>0</v>
      </c>
      <c r="AT9" s="313">
        <v>1</v>
      </c>
      <c r="AU9" s="313">
        <v>0</v>
      </c>
      <c r="AV9" s="313">
        <v>0</v>
      </c>
      <c r="AW9" s="313">
        <v>1</v>
      </c>
      <c r="AX9" s="313">
        <v>0</v>
      </c>
      <c r="AY9" s="313">
        <v>0</v>
      </c>
      <c r="AZ9" s="313">
        <v>1</v>
      </c>
      <c r="BA9" s="313">
        <v>1</v>
      </c>
      <c r="BB9" s="313">
        <v>0</v>
      </c>
      <c r="BC9" s="313">
        <v>1</v>
      </c>
      <c r="BD9" s="313">
        <v>1</v>
      </c>
      <c r="BE9" s="313">
        <v>1</v>
      </c>
      <c r="BF9" s="313">
        <v>1</v>
      </c>
      <c r="BG9" s="313">
        <v>1</v>
      </c>
      <c r="BH9" s="313">
        <v>1</v>
      </c>
      <c r="BI9" s="313">
        <v>0</v>
      </c>
      <c r="BJ9" s="313">
        <v>0</v>
      </c>
      <c r="BK9" s="313">
        <v>0</v>
      </c>
    </row>
    <row r="10" spans="1:63" x14ac:dyDescent="0.25">
      <c r="A10" s="306">
        <v>111920</v>
      </c>
      <c r="B10" s="313" t="s">
        <v>14</v>
      </c>
      <c r="C10" s="313">
        <v>1</v>
      </c>
      <c r="D10" s="313">
        <v>0</v>
      </c>
      <c r="E10" s="313">
        <v>1</v>
      </c>
      <c r="F10" s="313">
        <v>1</v>
      </c>
      <c r="G10" s="313">
        <v>1</v>
      </c>
      <c r="H10" s="313">
        <v>1</v>
      </c>
      <c r="I10" s="313">
        <v>0</v>
      </c>
      <c r="J10" s="313">
        <v>0</v>
      </c>
      <c r="K10" s="313">
        <v>0</v>
      </c>
      <c r="L10" s="313">
        <v>0</v>
      </c>
      <c r="M10" s="313">
        <v>1</v>
      </c>
      <c r="N10" s="313">
        <v>1</v>
      </c>
      <c r="O10" s="313">
        <v>0</v>
      </c>
      <c r="P10" s="313">
        <v>0</v>
      </c>
      <c r="Q10" s="313">
        <v>0</v>
      </c>
      <c r="R10" s="313">
        <v>0</v>
      </c>
      <c r="S10" s="313">
        <v>0</v>
      </c>
      <c r="T10" s="313">
        <v>1</v>
      </c>
      <c r="U10" s="313">
        <v>0</v>
      </c>
      <c r="V10" s="313">
        <v>1</v>
      </c>
      <c r="W10" s="313">
        <v>0</v>
      </c>
      <c r="X10" s="313">
        <v>0</v>
      </c>
      <c r="Y10" s="313">
        <v>0</v>
      </c>
      <c r="Z10" s="313">
        <v>0</v>
      </c>
      <c r="AA10" s="313">
        <v>0</v>
      </c>
      <c r="AB10" s="313">
        <v>1</v>
      </c>
      <c r="AC10" s="313">
        <v>1</v>
      </c>
      <c r="AD10" s="313">
        <v>0</v>
      </c>
      <c r="AE10" s="313">
        <v>1</v>
      </c>
      <c r="AF10" s="313">
        <v>0</v>
      </c>
      <c r="AG10" s="313">
        <v>0</v>
      </c>
      <c r="AH10" s="313">
        <v>0</v>
      </c>
      <c r="AI10" s="313">
        <v>0</v>
      </c>
      <c r="AJ10" s="313">
        <v>1</v>
      </c>
      <c r="AK10" s="313">
        <v>0</v>
      </c>
      <c r="AL10" s="313">
        <v>0</v>
      </c>
      <c r="AM10" s="313">
        <v>0</v>
      </c>
      <c r="AN10" s="313">
        <v>1</v>
      </c>
      <c r="AO10" s="313">
        <v>0</v>
      </c>
      <c r="AP10" s="313">
        <v>0</v>
      </c>
      <c r="AQ10" s="313">
        <v>0</v>
      </c>
      <c r="AR10" s="313">
        <v>1</v>
      </c>
      <c r="AS10" s="313">
        <v>0</v>
      </c>
      <c r="AT10" s="313">
        <v>1</v>
      </c>
      <c r="AU10" s="313">
        <v>1</v>
      </c>
      <c r="AV10" s="313">
        <v>0</v>
      </c>
      <c r="AW10" s="313">
        <v>1</v>
      </c>
      <c r="AX10" s="313">
        <v>0</v>
      </c>
      <c r="AY10" s="313">
        <v>0</v>
      </c>
      <c r="AZ10" s="313">
        <v>0</v>
      </c>
      <c r="BA10" s="313">
        <v>0</v>
      </c>
      <c r="BB10" s="313">
        <v>0</v>
      </c>
      <c r="BC10" s="313">
        <v>0</v>
      </c>
      <c r="BD10" s="313">
        <v>0</v>
      </c>
      <c r="BE10" s="313">
        <v>0</v>
      </c>
      <c r="BF10" s="313">
        <v>1</v>
      </c>
      <c r="BG10" s="313">
        <v>1</v>
      </c>
      <c r="BH10" s="313">
        <v>1</v>
      </c>
      <c r="BI10" s="313">
        <v>1</v>
      </c>
      <c r="BJ10" s="313">
        <v>1</v>
      </c>
      <c r="BK10" s="313">
        <v>1</v>
      </c>
    </row>
    <row r="11" spans="1:63" x14ac:dyDescent="0.25">
      <c r="A11" s="306" t="s">
        <v>684</v>
      </c>
      <c r="B11" s="313" t="s">
        <v>685</v>
      </c>
      <c r="C11" s="313">
        <v>1</v>
      </c>
      <c r="D11" s="313">
        <v>1</v>
      </c>
      <c r="E11" s="313">
        <v>1</v>
      </c>
      <c r="F11" s="313">
        <v>1</v>
      </c>
      <c r="G11" s="313">
        <v>1</v>
      </c>
      <c r="H11" s="313">
        <v>1</v>
      </c>
      <c r="I11" s="313">
        <v>1</v>
      </c>
      <c r="J11" s="313">
        <v>1</v>
      </c>
      <c r="K11" s="313">
        <v>0</v>
      </c>
      <c r="L11" s="313">
        <v>1</v>
      </c>
      <c r="M11" s="313">
        <v>1</v>
      </c>
      <c r="N11" s="313">
        <v>1</v>
      </c>
      <c r="O11" s="313">
        <v>1</v>
      </c>
      <c r="P11" s="313">
        <v>1</v>
      </c>
      <c r="Q11" s="313">
        <v>1</v>
      </c>
      <c r="R11" s="313">
        <v>1</v>
      </c>
      <c r="S11" s="313">
        <v>1</v>
      </c>
      <c r="T11" s="313">
        <v>1</v>
      </c>
      <c r="U11" s="313">
        <v>1</v>
      </c>
      <c r="V11" s="313">
        <v>1</v>
      </c>
      <c r="W11" s="313">
        <v>1</v>
      </c>
      <c r="X11" s="313">
        <v>1</v>
      </c>
      <c r="Y11" s="313">
        <v>1</v>
      </c>
      <c r="Z11" s="313">
        <v>1</v>
      </c>
      <c r="AA11" s="313">
        <v>1</v>
      </c>
      <c r="AB11" s="313">
        <v>1</v>
      </c>
      <c r="AC11" s="313">
        <v>1</v>
      </c>
      <c r="AD11" s="313">
        <v>1</v>
      </c>
      <c r="AE11" s="313">
        <v>1</v>
      </c>
      <c r="AF11" s="313">
        <v>1</v>
      </c>
      <c r="AG11" s="313">
        <v>1</v>
      </c>
      <c r="AH11" s="313">
        <v>1</v>
      </c>
      <c r="AI11" s="313">
        <v>1</v>
      </c>
      <c r="AJ11" s="313">
        <v>1</v>
      </c>
      <c r="AK11" s="313">
        <v>1</v>
      </c>
      <c r="AL11" s="313">
        <v>1</v>
      </c>
      <c r="AM11" s="313">
        <v>1</v>
      </c>
      <c r="AN11" s="313">
        <v>1</v>
      </c>
      <c r="AO11" s="313">
        <v>1</v>
      </c>
      <c r="AP11" s="313">
        <v>1</v>
      </c>
      <c r="AQ11" s="313">
        <v>1</v>
      </c>
      <c r="AR11" s="313">
        <v>1</v>
      </c>
      <c r="AS11" s="313">
        <v>1</v>
      </c>
      <c r="AT11" s="313">
        <v>1</v>
      </c>
      <c r="AU11" s="313">
        <v>1</v>
      </c>
      <c r="AV11" s="313">
        <v>1</v>
      </c>
      <c r="AW11" s="313">
        <v>1</v>
      </c>
      <c r="AX11" s="313">
        <v>1</v>
      </c>
      <c r="AY11" s="313">
        <v>1</v>
      </c>
      <c r="AZ11" s="313">
        <v>1</v>
      </c>
      <c r="BA11" s="313">
        <v>1</v>
      </c>
      <c r="BB11" s="313">
        <v>1</v>
      </c>
      <c r="BC11" s="313">
        <v>1</v>
      </c>
      <c r="BD11" s="313">
        <v>1</v>
      </c>
      <c r="BE11" s="313">
        <v>1</v>
      </c>
      <c r="BF11" s="313">
        <v>1</v>
      </c>
      <c r="BG11" s="313">
        <v>1</v>
      </c>
      <c r="BH11" s="313">
        <v>1</v>
      </c>
      <c r="BI11" s="313">
        <v>1</v>
      </c>
      <c r="BJ11" s="313">
        <v>1</v>
      </c>
      <c r="BK11" s="313">
        <v>1</v>
      </c>
    </row>
    <row r="12" spans="1:63" x14ac:dyDescent="0.25">
      <c r="A12" s="306">
        <v>112120</v>
      </c>
      <c r="B12" s="313" t="s">
        <v>16</v>
      </c>
      <c r="C12" s="313">
        <v>1</v>
      </c>
      <c r="D12" s="313">
        <v>1</v>
      </c>
      <c r="E12" s="313">
        <v>1</v>
      </c>
      <c r="F12" s="313">
        <v>1</v>
      </c>
      <c r="G12" s="313">
        <v>1</v>
      </c>
      <c r="H12" s="313">
        <v>1</v>
      </c>
      <c r="I12" s="313">
        <v>1</v>
      </c>
      <c r="J12" s="313">
        <v>1</v>
      </c>
      <c r="K12" s="313">
        <v>0</v>
      </c>
      <c r="L12" s="313">
        <v>1</v>
      </c>
      <c r="M12" s="313">
        <v>1</v>
      </c>
      <c r="N12" s="313">
        <v>1</v>
      </c>
      <c r="O12" s="313">
        <v>1</v>
      </c>
      <c r="P12" s="313">
        <v>1</v>
      </c>
      <c r="Q12" s="313">
        <v>1</v>
      </c>
      <c r="R12" s="313">
        <v>1</v>
      </c>
      <c r="S12" s="313">
        <v>1</v>
      </c>
      <c r="T12" s="313">
        <v>1</v>
      </c>
      <c r="U12" s="313">
        <v>1</v>
      </c>
      <c r="V12" s="313">
        <v>1</v>
      </c>
      <c r="W12" s="313">
        <v>1</v>
      </c>
      <c r="X12" s="313">
        <v>1</v>
      </c>
      <c r="Y12" s="313">
        <v>1</v>
      </c>
      <c r="Z12" s="313">
        <v>1</v>
      </c>
      <c r="AA12" s="313">
        <v>1</v>
      </c>
      <c r="AB12" s="313">
        <v>1</v>
      </c>
      <c r="AC12" s="313">
        <v>1</v>
      </c>
      <c r="AD12" s="313">
        <v>1</v>
      </c>
      <c r="AE12" s="313">
        <v>1</v>
      </c>
      <c r="AF12" s="313">
        <v>1</v>
      </c>
      <c r="AG12" s="313">
        <v>1</v>
      </c>
      <c r="AH12" s="313">
        <v>1</v>
      </c>
      <c r="AI12" s="313">
        <v>1</v>
      </c>
      <c r="AJ12" s="313">
        <v>1</v>
      </c>
      <c r="AK12" s="313">
        <v>1</v>
      </c>
      <c r="AL12" s="313">
        <v>1</v>
      </c>
      <c r="AM12" s="313">
        <v>1</v>
      </c>
      <c r="AN12" s="313">
        <v>1</v>
      </c>
      <c r="AO12" s="313">
        <v>1</v>
      </c>
      <c r="AP12" s="313">
        <v>1</v>
      </c>
      <c r="AQ12" s="313">
        <v>1</v>
      </c>
      <c r="AR12" s="313">
        <v>1</v>
      </c>
      <c r="AS12" s="313">
        <v>1</v>
      </c>
      <c r="AT12" s="313">
        <v>1</v>
      </c>
      <c r="AU12" s="313">
        <v>1</v>
      </c>
      <c r="AV12" s="313">
        <v>1</v>
      </c>
      <c r="AW12" s="313">
        <v>1</v>
      </c>
      <c r="AX12" s="313">
        <v>1</v>
      </c>
      <c r="AY12" s="313">
        <v>1</v>
      </c>
      <c r="AZ12" s="313">
        <v>1</v>
      </c>
      <c r="BA12" s="313">
        <v>1</v>
      </c>
      <c r="BB12" s="313">
        <v>1</v>
      </c>
      <c r="BC12" s="313">
        <v>1</v>
      </c>
      <c r="BD12" s="313">
        <v>1</v>
      </c>
      <c r="BE12" s="313">
        <v>1</v>
      </c>
      <c r="BF12" s="313">
        <v>1</v>
      </c>
      <c r="BG12" s="313">
        <v>1</v>
      </c>
      <c r="BH12" s="313">
        <v>1</v>
      </c>
      <c r="BI12" s="313">
        <v>1</v>
      </c>
      <c r="BJ12" s="313">
        <v>1</v>
      </c>
      <c r="BK12" s="313">
        <v>1</v>
      </c>
    </row>
    <row r="13" spans="1:63" x14ac:dyDescent="0.25">
      <c r="A13" s="306" t="s">
        <v>686</v>
      </c>
      <c r="B13" s="313" t="s">
        <v>15</v>
      </c>
      <c r="C13" s="313">
        <v>1</v>
      </c>
      <c r="D13" s="313">
        <v>1</v>
      </c>
      <c r="E13" s="313">
        <v>1</v>
      </c>
      <c r="F13" s="313">
        <v>1</v>
      </c>
      <c r="G13" s="313">
        <v>1</v>
      </c>
      <c r="H13" s="313">
        <v>1</v>
      </c>
      <c r="I13" s="313">
        <v>1</v>
      </c>
      <c r="J13" s="313">
        <v>1</v>
      </c>
      <c r="K13" s="313">
        <v>0</v>
      </c>
      <c r="L13" s="313">
        <v>1</v>
      </c>
      <c r="M13" s="313">
        <v>1</v>
      </c>
      <c r="N13" s="313">
        <v>1</v>
      </c>
      <c r="O13" s="313">
        <v>1</v>
      </c>
      <c r="P13" s="313">
        <v>1</v>
      </c>
      <c r="Q13" s="313">
        <v>1</v>
      </c>
      <c r="R13" s="313">
        <v>1</v>
      </c>
      <c r="S13" s="313">
        <v>1</v>
      </c>
      <c r="T13" s="313">
        <v>1</v>
      </c>
      <c r="U13" s="313">
        <v>1</v>
      </c>
      <c r="V13" s="313">
        <v>1</v>
      </c>
      <c r="W13" s="313">
        <v>1</v>
      </c>
      <c r="X13" s="313">
        <v>1</v>
      </c>
      <c r="Y13" s="313">
        <v>1</v>
      </c>
      <c r="Z13" s="313">
        <v>1</v>
      </c>
      <c r="AA13" s="313">
        <v>1</v>
      </c>
      <c r="AB13" s="313">
        <v>1</v>
      </c>
      <c r="AC13" s="313">
        <v>1</v>
      </c>
      <c r="AD13" s="313">
        <v>1</v>
      </c>
      <c r="AE13" s="313">
        <v>1</v>
      </c>
      <c r="AF13" s="313">
        <v>1</v>
      </c>
      <c r="AG13" s="313">
        <v>1</v>
      </c>
      <c r="AH13" s="313">
        <v>1</v>
      </c>
      <c r="AI13" s="313">
        <v>1</v>
      </c>
      <c r="AJ13" s="313">
        <v>1</v>
      </c>
      <c r="AK13" s="313">
        <v>1</v>
      </c>
      <c r="AL13" s="313">
        <v>1</v>
      </c>
      <c r="AM13" s="313">
        <v>1</v>
      </c>
      <c r="AN13" s="313">
        <v>1</v>
      </c>
      <c r="AO13" s="313">
        <v>1</v>
      </c>
      <c r="AP13" s="313">
        <v>1</v>
      </c>
      <c r="AQ13" s="313">
        <v>1</v>
      </c>
      <c r="AR13" s="313">
        <v>1</v>
      </c>
      <c r="AS13" s="313">
        <v>1</v>
      </c>
      <c r="AT13" s="313">
        <v>1</v>
      </c>
      <c r="AU13" s="313">
        <v>1</v>
      </c>
      <c r="AV13" s="313">
        <v>1</v>
      </c>
      <c r="AW13" s="313">
        <v>1</v>
      </c>
      <c r="AX13" s="313">
        <v>1</v>
      </c>
      <c r="AY13" s="313">
        <v>1</v>
      </c>
      <c r="AZ13" s="313">
        <v>1</v>
      </c>
      <c r="BA13" s="313">
        <v>1</v>
      </c>
      <c r="BB13" s="313">
        <v>1</v>
      </c>
      <c r="BC13" s="313">
        <v>1</v>
      </c>
      <c r="BD13" s="313">
        <v>1</v>
      </c>
      <c r="BE13" s="313">
        <v>1</v>
      </c>
      <c r="BF13" s="313">
        <v>1</v>
      </c>
      <c r="BG13" s="313">
        <v>1</v>
      </c>
      <c r="BH13" s="313">
        <v>1</v>
      </c>
      <c r="BI13" s="313">
        <v>1</v>
      </c>
      <c r="BJ13" s="313">
        <v>1</v>
      </c>
      <c r="BK13" s="313">
        <v>1</v>
      </c>
    </row>
    <row r="14" spans="1:63" x14ac:dyDescent="0.25">
      <c r="A14" s="306">
        <v>112300</v>
      </c>
      <c r="B14" s="313" t="s">
        <v>17</v>
      </c>
      <c r="C14" s="313">
        <v>1</v>
      </c>
      <c r="D14" s="313">
        <v>1</v>
      </c>
      <c r="E14" s="313">
        <v>1</v>
      </c>
      <c r="F14" s="313">
        <v>1</v>
      </c>
      <c r="G14" s="313">
        <v>1</v>
      </c>
      <c r="H14" s="313">
        <v>1</v>
      </c>
      <c r="I14" s="313">
        <v>1</v>
      </c>
      <c r="J14" s="313">
        <v>1</v>
      </c>
      <c r="K14" s="313">
        <v>0</v>
      </c>
      <c r="L14" s="313">
        <v>1</v>
      </c>
      <c r="M14" s="313">
        <v>1</v>
      </c>
      <c r="N14" s="313">
        <v>1</v>
      </c>
      <c r="O14" s="313">
        <v>1</v>
      </c>
      <c r="P14" s="313">
        <v>1</v>
      </c>
      <c r="Q14" s="313">
        <v>1</v>
      </c>
      <c r="R14" s="313">
        <v>1</v>
      </c>
      <c r="S14" s="313">
        <v>1</v>
      </c>
      <c r="T14" s="313">
        <v>1</v>
      </c>
      <c r="U14" s="313">
        <v>1</v>
      </c>
      <c r="V14" s="313">
        <v>1</v>
      </c>
      <c r="W14" s="313">
        <v>1</v>
      </c>
      <c r="X14" s="313">
        <v>1</v>
      </c>
      <c r="Y14" s="313">
        <v>1</v>
      </c>
      <c r="Z14" s="313">
        <v>1</v>
      </c>
      <c r="AA14" s="313">
        <v>1</v>
      </c>
      <c r="AB14" s="313">
        <v>1</v>
      </c>
      <c r="AC14" s="313">
        <v>1</v>
      </c>
      <c r="AD14" s="313">
        <v>1</v>
      </c>
      <c r="AE14" s="313">
        <v>1</v>
      </c>
      <c r="AF14" s="313">
        <v>1</v>
      </c>
      <c r="AG14" s="313">
        <v>1</v>
      </c>
      <c r="AH14" s="313">
        <v>1</v>
      </c>
      <c r="AI14" s="313">
        <v>1</v>
      </c>
      <c r="AJ14" s="313">
        <v>1</v>
      </c>
      <c r="AK14" s="313">
        <v>1</v>
      </c>
      <c r="AL14" s="313">
        <v>1</v>
      </c>
      <c r="AM14" s="313">
        <v>1</v>
      </c>
      <c r="AN14" s="313">
        <v>1</v>
      </c>
      <c r="AO14" s="313">
        <v>1</v>
      </c>
      <c r="AP14" s="313">
        <v>1</v>
      </c>
      <c r="AQ14" s="313">
        <v>1</v>
      </c>
      <c r="AR14" s="313">
        <v>1</v>
      </c>
      <c r="AS14" s="313">
        <v>1</v>
      </c>
      <c r="AT14" s="313">
        <v>1</v>
      </c>
      <c r="AU14" s="313">
        <v>1</v>
      </c>
      <c r="AV14" s="313">
        <v>1</v>
      </c>
      <c r="AW14" s="313">
        <v>1</v>
      </c>
      <c r="AX14" s="313">
        <v>1</v>
      </c>
      <c r="AY14" s="313">
        <v>1</v>
      </c>
      <c r="AZ14" s="313">
        <v>1</v>
      </c>
      <c r="BA14" s="313">
        <v>1</v>
      </c>
      <c r="BB14" s="313">
        <v>1</v>
      </c>
      <c r="BC14" s="313">
        <v>1</v>
      </c>
      <c r="BD14" s="313">
        <v>1</v>
      </c>
      <c r="BE14" s="313">
        <v>1</v>
      </c>
      <c r="BF14" s="313">
        <v>1</v>
      </c>
      <c r="BG14" s="313">
        <v>1</v>
      </c>
      <c r="BH14" s="313">
        <v>1</v>
      </c>
      <c r="BI14" s="313">
        <v>1</v>
      </c>
      <c r="BJ14" s="313">
        <v>1</v>
      </c>
      <c r="BK14" s="313">
        <v>1</v>
      </c>
    </row>
    <row r="15" spans="1:63" x14ac:dyDescent="0.25">
      <c r="A15" s="306" t="s">
        <v>687</v>
      </c>
      <c r="B15" s="313" t="s">
        <v>18</v>
      </c>
      <c r="C15" s="313">
        <v>1</v>
      </c>
      <c r="D15" s="313">
        <v>1</v>
      </c>
      <c r="E15" s="313">
        <v>1</v>
      </c>
      <c r="F15" s="313">
        <v>1</v>
      </c>
      <c r="G15" s="313">
        <v>1</v>
      </c>
      <c r="H15" s="313">
        <v>1</v>
      </c>
      <c r="I15" s="313">
        <v>1</v>
      </c>
      <c r="J15" s="313">
        <v>1</v>
      </c>
      <c r="K15" s="313">
        <v>0</v>
      </c>
      <c r="L15" s="313">
        <v>1</v>
      </c>
      <c r="M15" s="313">
        <v>1</v>
      </c>
      <c r="N15" s="313">
        <v>1</v>
      </c>
      <c r="O15" s="313">
        <v>1</v>
      </c>
      <c r="P15" s="313">
        <v>1</v>
      </c>
      <c r="Q15" s="313">
        <v>1</v>
      </c>
      <c r="R15" s="313">
        <v>1</v>
      </c>
      <c r="S15" s="313">
        <v>1</v>
      </c>
      <c r="T15" s="313">
        <v>1</v>
      </c>
      <c r="U15" s="313">
        <v>1</v>
      </c>
      <c r="V15" s="313">
        <v>1</v>
      </c>
      <c r="W15" s="313">
        <v>1</v>
      </c>
      <c r="X15" s="313">
        <v>1</v>
      </c>
      <c r="Y15" s="313">
        <v>1</v>
      </c>
      <c r="Z15" s="313">
        <v>1</v>
      </c>
      <c r="AA15" s="313">
        <v>1</v>
      </c>
      <c r="AB15" s="313">
        <v>1</v>
      </c>
      <c r="AC15" s="313">
        <v>1</v>
      </c>
      <c r="AD15" s="313">
        <v>1</v>
      </c>
      <c r="AE15" s="313">
        <v>1</v>
      </c>
      <c r="AF15" s="313">
        <v>1</v>
      </c>
      <c r="AG15" s="313">
        <v>1</v>
      </c>
      <c r="AH15" s="313">
        <v>1</v>
      </c>
      <c r="AI15" s="313">
        <v>1</v>
      </c>
      <c r="AJ15" s="313">
        <v>1</v>
      </c>
      <c r="AK15" s="313">
        <v>1</v>
      </c>
      <c r="AL15" s="313">
        <v>1</v>
      </c>
      <c r="AM15" s="313">
        <v>1</v>
      </c>
      <c r="AN15" s="313">
        <v>1</v>
      </c>
      <c r="AO15" s="313">
        <v>1</v>
      </c>
      <c r="AP15" s="313">
        <v>1</v>
      </c>
      <c r="AQ15" s="313">
        <v>1</v>
      </c>
      <c r="AR15" s="313">
        <v>1</v>
      </c>
      <c r="AS15" s="313">
        <v>1</v>
      </c>
      <c r="AT15" s="313">
        <v>1</v>
      </c>
      <c r="AU15" s="313">
        <v>1</v>
      </c>
      <c r="AV15" s="313">
        <v>1</v>
      </c>
      <c r="AW15" s="313">
        <v>1</v>
      </c>
      <c r="AX15" s="313">
        <v>1</v>
      </c>
      <c r="AY15" s="313">
        <v>1</v>
      </c>
      <c r="AZ15" s="313">
        <v>1</v>
      </c>
      <c r="BA15" s="313">
        <v>1</v>
      </c>
      <c r="BB15" s="313">
        <v>1</v>
      </c>
      <c r="BC15" s="313">
        <v>1</v>
      </c>
      <c r="BD15" s="313">
        <v>1</v>
      </c>
      <c r="BE15" s="313">
        <v>1</v>
      </c>
      <c r="BF15" s="313">
        <v>1</v>
      </c>
      <c r="BG15" s="313">
        <v>1</v>
      </c>
      <c r="BH15" s="313">
        <v>1</v>
      </c>
      <c r="BI15" s="313">
        <v>1</v>
      </c>
      <c r="BJ15" s="313">
        <v>1</v>
      </c>
      <c r="BK15" s="313">
        <v>1</v>
      </c>
    </row>
    <row r="16" spans="1:63" x14ac:dyDescent="0.25">
      <c r="A16" s="306">
        <v>113300</v>
      </c>
      <c r="B16" s="313" t="s">
        <v>688</v>
      </c>
      <c r="C16" s="313">
        <v>1</v>
      </c>
      <c r="D16" s="313">
        <v>1</v>
      </c>
      <c r="E16" s="313">
        <v>1</v>
      </c>
      <c r="F16" s="313">
        <v>1</v>
      </c>
      <c r="G16" s="313">
        <v>1</v>
      </c>
      <c r="H16" s="313">
        <v>1</v>
      </c>
      <c r="I16" s="313">
        <v>1</v>
      </c>
      <c r="J16" s="313">
        <v>1</v>
      </c>
      <c r="K16" s="313">
        <v>0</v>
      </c>
      <c r="L16" s="313">
        <v>1</v>
      </c>
      <c r="M16" s="313">
        <v>1</v>
      </c>
      <c r="N16" s="313">
        <v>1</v>
      </c>
      <c r="O16" s="313">
        <v>1</v>
      </c>
      <c r="P16" s="313">
        <v>1</v>
      </c>
      <c r="Q16" s="313">
        <v>1</v>
      </c>
      <c r="R16" s="313">
        <v>1</v>
      </c>
      <c r="S16" s="313">
        <v>1</v>
      </c>
      <c r="T16" s="313">
        <v>1</v>
      </c>
      <c r="U16" s="313">
        <v>1</v>
      </c>
      <c r="V16" s="313">
        <v>1</v>
      </c>
      <c r="W16" s="313">
        <v>1</v>
      </c>
      <c r="X16" s="313">
        <v>1</v>
      </c>
      <c r="Y16" s="313">
        <v>1</v>
      </c>
      <c r="Z16" s="313">
        <v>1</v>
      </c>
      <c r="AA16" s="313">
        <v>1</v>
      </c>
      <c r="AB16" s="313">
        <v>1</v>
      </c>
      <c r="AC16" s="313">
        <v>1</v>
      </c>
      <c r="AD16" s="313">
        <v>1</v>
      </c>
      <c r="AE16" s="313">
        <v>1</v>
      </c>
      <c r="AF16" s="313">
        <v>0</v>
      </c>
      <c r="AG16" s="313">
        <v>1</v>
      </c>
      <c r="AH16" s="313">
        <v>1</v>
      </c>
      <c r="AI16" s="313">
        <v>1</v>
      </c>
      <c r="AJ16" s="313">
        <v>1</v>
      </c>
      <c r="AK16" s="313">
        <v>1</v>
      </c>
      <c r="AL16" s="313">
        <v>1</v>
      </c>
      <c r="AM16" s="313">
        <v>1</v>
      </c>
      <c r="AN16" s="313">
        <v>1</v>
      </c>
      <c r="AO16" s="313">
        <v>1</v>
      </c>
      <c r="AP16" s="313">
        <v>1</v>
      </c>
      <c r="AQ16" s="313">
        <v>1</v>
      </c>
      <c r="AR16" s="313">
        <v>1</v>
      </c>
      <c r="AS16" s="313">
        <v>1</v>
      </c>
      <c r="AT16" s="313">
        <v>1</v>
      </c>
      <c r="AU16" s="313">
        <v>1</v>
      </c>
      <c r="AV16" s="313">
        <v>1</v>
      </c>
      <c r="AW16" s="313">
        <v>1</v>
      </c>
      <c r="AX16" s="313">
        <v>1</v>
      </c>
      <c r="AY16" s="313">
        <v>1</v>
      </c>
      <c r="AZ16" s="313">
        <v>1</v>
      </c>
      <c r="BA16" s="313">
        <v>1</v>
      </c>
      <c r="BB16" s="313">
        <v>1</v>
      </c>
      <c r="BC16" s="313">
        <v>1</v>
      </c>
      <c r="BD16" s="313">
        <v>1</v>
      </c>
      <c r="BE16" s="313">
        <v>1</v>
      </c>
      <c r="BF16" s="313">
        <v>1</v>
      </c>
      <c r="BG16" s="313">
        <v>1</v>
      </c>
      <c r="BH16" s="313">
        <v>1</v>
      </c>
      <c r="BI16" s="313">
        <v>1</v>
      </c>
      <c r="BJ16" s="313">
        <v>1</v>
      </c>
      <c r="BK16" s="313">
        <v>1</v>
      </c>
    </row>
    <row r="17" spans="1:63" x14ac:dyDescent="0.25">
      <c r="A17" s="306" t="s">
        <v>689</v>
      </c>
      <c r="B17" s="313" t="s">
        <v>690</v>
      </c>
      <c r="C17" s="313">
        <v>1</v>
      </c>
      <c r="D17" s="313">
        <v>1</v>
      </c>
      <c r="E17" s="313">
        <v>1</v>
      </c>
      <c r="F17" s="313">
        <v>1</v>
      </c>
      <c r="G17" s="313">
        <v>1</v>
      </c>
      <c r="H17" s="313">
        <v>1</v>
      </c>
      <c r="I17" s="313">
        <v>1</v>
      </c>
      <c r="J17" s="313">
        <v>0</v>
      </c>
      <c r="K17" s="313">
        <v>0</v>
      </c>
      <c r="L17" s="313">
        <v>0</v>
      </c>
      <c r="M17" s="313">
        <v>1</v>
      </c>
      <c r="N17" s="313">
        <v>1</v>
      </c>
      <c r="O17" s="313">
        <v>1</v>
      </c>
      <c r="P17" s="313">
        <v>0</v>
      </c>
      <c r="Q17" s="313">
        <v>1</v>
      </c>
      <c r="R17" s="313">
        <v>1</v>
      </c>
      <c r="S17" s="313">
        <v>1</v>
      </c>
      <c r="T17" s="313">
        <v>0</v>
      </c>
      <c r="U17" s="313">
        <v>1</v>
      </c>
      <c r="V17" s="313">
        <v>1</v>
      </c>
      <c r="W17" s="313">
        <v>1</v>
      </c>
      <c r="X17" s="313">
        <v>1</v>
      </c>
      <c r="Y17" s="313">
        <v>1</v>
      </c>
      <c r="Z17" s="313">
        <v>1</v>
      </c>
      <c r="AA17" s="313">
        <v>1</v>
      </c>
      <c r="AB17" s="313">
        <v>1</v>
      </c>
      <c r="AC17" s="313">
        <v>1</v>
      </c>
      <c r="AD17" s="313">
        <v>1</v>
      </c>
      <c r="AE17" s="313">
        <v>1</v>
      </c>
      <c r="AF17" s="313">
        <v>1</v>
      </c>
      <c r="AG17" s="313">
        <v>1</v>
      </c>
      <c r="AH17" s="313">
        <v>1</v>
      </c>
      <c r="AI17" s="313">
        <v>1</v>
      </c>
      <c r="AJ17" s="313">
        <v>1</v>
      </c>
      <c r="AK17" s="313">
        <v>0</v>
      </c>
      <c r="AL17" s="313">
        <v>1</v>
      </c>
      <c r="AM17" s="313">
        <v>1</v>
      </c>
      <c r="AN17" s="313">
        <v>1</v>
      </c>
      <c r="AO17" s="313">
        <v>1</v>
      </c>
      <c r="AP17" s="313">
        <v>1</v>
      </c>
      <c r="AQ17" s="313">
        <v>0</v>
      </c>
      <c r="AR17" s="313">
        <v>1</v>
      </c>
      <c r="AS17" s="313">
        <v>1</v>
      </c>
      <c r="AT17" s="313">
        <v>1</v>
      </c>
      <c r="AU17" s="313">
        <v>1</v>
      </c>
      <c r="AV17" s="313">
        <v>0</v>
      </c>
      <c r="AW17" s="313">
        <v>1</v>
      </c>
      <c r="AX17" s="313">
        <v>1</v>
      </c>
      <c r="AY17" s="313">
        <v>1</v>
      </c>
      <c r="AZ17" s="313">
        <v>1</v>
      </c>
      <c r="BA17" s="313">
        <v>1</v>
      </c>
      <c r="BB17" s="313">
        <v>0</v>
      </c>
      <c r="BC17" s="313">
        <v>1</v>
      </c>
      <c r="BD17" s="313">
        <v>1</v>
      </c>
      <c r="BE17" s="313">
        <v>1</v>
      </c>
      <c r="BF17" s="313">
        <v>1</v>
      </c>
      <c r="BG17" s="313">
        <v>1</v>
      </c>
      <c r="BH17" s="313">
        <v>1</v>
      </c>
      <c r="BI17" s="313">
        <v>1</v>
      </c>
      <c r="BJ17" s="313">
        <v>1</v>
      </c>
      <c r="BK17" s="313">
        <v>1</v>
      </c>
    </row>
    <row r="18" spans="1:63" x14ac:dyDescent="0.25">
      <c r="A18" s="306">
        <v>114100</v>
      </c>
      <c r="B18" s="313" t="s">
        <v>691</v>
      </c>
      <c r="C18" s="313">
        <v>1</v>
      </c>
      <c r="D18" s="313">
        <v>1</v>
      </c>
      <c r="E18" s="313">
        <v>1</v>
      </c>
      <c r="F18" s="313">
        <v>1</v>
      </c>
      <c r="G18" s="313">
        <v>0</v>
      </c>
      <c r="H18" s="313">
        <v>1</v>
      </c>
      <c r="I18" s="313">
        <v>0</v>
      </c>
      <c r="J18" s="313">
        <v>1</v>
      </c>
      <c r="K18" s="313">
        <v>0</v>
      </c>
      <c r="L18" s="313">
        <v>1</v>
      </c>
      <c r="M18" s="313">
        <v>1</v>
      </c>
      <c r="N18" s="313">
        <v>1</v>
      </c>
      <c r="O18" s="313">
        <v>1</v>
      </c>
      <c r="P18" s="313">
        <v>0</v>
      </c>
      <c r="Q18" s="313">
        <v>1</v>
      </c>
      <c r="R18" s="313">
        <v>1</v>
      </c>
      <c r="S18" s="313">
        <v>0</v>
      </c>
      <c r="T18" s="313">
        <v>0</v>
      </c>
      <c r="U18" s="313">
        <v>1</v>
      </c>
      <c r="V18" s="313">
        <v>1</v>
      </c>
      <c r="W18" s="313">
        <v>1</v>
      </c>
      <c r="X18" s="313">
        <v>1</v>
      </c>
      <c r="Y18" s="313">
        <v>1</v>
      </c>
      <c r="Z18" s="313">
        <v>1</v>
      </c>
      <c r="AA18" s="313">
        <v>1</v>
      </c>
      <c r="AB18" s="313">
        <v>0</v>
      </c>
      <c r="AC18" s="313">
        <v>1</v>
      </c>
      <c r="AD18" s="313">
        <v>1</v>
      </c>
      <c r="AE18" s="313">
        <v>1</v>
      </c>
      <c r="AF18" s="313">
        <v>0</v>
      </c>
      <c r="AG18" s="313">
        <v>0</v>
      </c>
      <c r="AH18" s="313">
        <v>1</v>
      </c>
      <c r="AI18" s="313">
        <v>1</v>
      </c>
      <c r="AJ18" s="313">
        <v>0</v>
      </c>
      <c r="AK18" s="313">
        <v>1</v>
      </c>
      <c r="AL18" s="313">
        <v>1</v>
      </c>
      <c r="AM18" s="313">
        <v>1</v>
      </c>
      <c r="AN18" s="313">
        <v>0</v>
      </c>
      <c r="AO18" s="313">
        <v>1</v>
      </c>
      <c r="AP18" s="313">
        <v>1</v>
      </c>
      <c r="AQ18" s="313">
        <v>1</v>
      </c>
      <c r="AR18" s="313">
        <v>1</v>
      </c>
      <c r="AS18" s="313">
        <v>0</v>
      </c>
      <c r="AT18" s="313">
        <v>1</v>
      </c>
      <c r="AU18" s="313">
        <v>1</v>
      </c>
      <c r="AV18" s="313">
        <v>1</v>
      </c>
      <c r="AW18" s="313">
        <v>1</v>
      </c>
      <c r="AX18" s="313">
        <v>0</v>
      </c>
      <c r="AY18" s="313">
        <v>1</v>
      </c>
      <c r="AZ18" s="313">
        <v>1</v>
      </c>
      <c r="BA18" s="313">
        <v>0</v>
      </c>
      <c r="BB18" s="313">
        <v>0</v>
      </c>
      <c r="BC18" s="313">
        <v>1</v>
      </c>
      <c r="BD18" s="313">
        <v>1</v>
      </c>
      <c r="BE18" s="313">
        <v>1</v>
      </c>
      <c r="BF18" s="313">
        <v>1</v>
      </c>
      <c r="BG18" s="313">
        <v>1</v>
      </c>
      <c r="BH18" s="313">
        <v>1</v>
      </c>
      <c r="BI18" s="313">
        <v>1</v>
      </c>
      <c r="BJ18" s="313">
        <v>1</v>
      </c>
      <c r="BK18" s="313">
        <v>1</v>
      </c>
    </row>
    <row r="19" spans="1:63" x14ac:dyDescent="0.25">
      <c r="A19" s="306">
        <v>114200</v>
      </c>
      <c r="B19" s="313" t="s">
        <v>692</v>
      </c>
      <c r="C19" s="313">
        <v>1</v>
      </c>
      <c r="D19" s="313">
        <v>0</v>
      </c>
      <c r="E19" s="313">
        <v>1</v>
      </c>
      <c r="F19" s="313">
        <v>1</v>
      </c>
      <c r="G19" s="313">
        <v>1</v>
      </c>
      <c r="H19" s="313">
        <v>1</v>
      </c>
      <c r="I19" s="313">
        <v>1</v>
      </c>
      <c r="J19" s="313">
        <v>1</v>
      </c>
      <c r="K19" s="313">
        <v>0</v>
      </c>
      <c r="L19" s="313">
        <v>0</v>
      </c>
      <c r="M19" s="313">
        <v>1</v>
      </c>
      <c r="N19" s="313">
        <v>1</v>
      </c>
      <c r="O19" s="313">
        <v>1</v>
      </c>
      <c r="P19" s="313">
        <v>1</v>
      </c>
      <c r="Q19" s="313">
        <v>1</v>
      </c>
      <c r="R19" s="313">
        <v>1</v>
      </c>
      <c r="S19" s="313">
        <v>1</v>
      </c>
      <c r="T19" s="313">
        <v>1</v>
      </c>
      <c r="U19" s="313">
        <v>1</v>
      </c>
      <c r="V19" s="313">
        <v>1</v>
      </c>
      <c r="W19" s="313">
        <v>1</v>
      </c>
      <c r="X19" s="313">
        <v>1</v>
      </c>
      <c r="Y19" s="313">
        <v>0</v>
      </c>
      <c r="Z19" s="313">
        <v>1</v>
      </c>
      <c r="AA19" s="313">
        <v>1</v>
      </c>
      <c r="AB19" s="313">
        <v>1</v>
      </c>
      <c r="AC19" s="313">
        <v>1</v>
      </c>
      <c r="AD19" s="313">
        <v>1</v>
      </c>
      <c r="AE19" s="313">
        <v>1</v>
      </c>
      <c r="AF19" s="313">
        <v>1</v>
      </c>
      <c r="AG19" s="313">
        <v>1</v>
      </c>
      <c r="AH19" s="313">
        <v>0</v>
      </c>
      <c r="AI19" s="313">
        <v>1</v>
      </c>
      <c r="AJ19" s="313">
        <v>0</v>
      </c>
      <c r="AK19" s="313">
        <v>1</v>
      </c>
      <c r="AL19" s="313">
        <v>1</v>
      </c>
      <c r="AM19" s="313">
        <v>1</v>
      </c>
      <c r="AN19" s="313">
        <v>1</v>
      </c>
      <c r="AO19" s="313">
        <v>1</v>
      </c>
      <c r="AP19" s="313">
        <v>1</v>
      </c>
      <c r="AQ19" s="313">
        <v>0</v>
      </c>
      <c r="AR19" s="313">
        <v>1</v>
      </c>
      <c r="AS19" s="313">
        <v>1</v>
      </c>
      <c r="AT19" s="313">
        <v>1</v>
      </c>
      <c r="AU19" s="313">
        <v>1</v>
      </c>
      <c r="AV19" s="313">
        <v>1</v>
      </c>
      <c r="AW19" s="313">
        <v>1</v>
      </c>
      <c r="AX19" s="313">
        <v>1</v>
      </c>
      <c r="AY19" s="313">
        <v>1</v>
      </c>
      <c r="AZ19" s="313">
        <v>1</v>
      </c>
      <c r="BA19" s="313">
        <v>1</v>
      </c>
      <c r="BB19" s="313">
        <v>1</v>
      </c>
      <c r="BC19" s="313">
        <v>1</v>
      </c>
      <c r="BD19" s="313">
        <v>1</v>
      </c>
      <c r="BE19" s="313">
        <v>1</v>
      </c>
      <c r="BF19" s="313">
        <v>1</v>
      </c>
      <c r="BG19" s="313">
        <v>1</v>
      </c>
      <c r="BH19" s="313">
        <v>1</v>
      </c>
      <c r="BI19" s="313">
        <v>1</v>
      </c>
      <c r="BJ19" s="313">
        <v>1</v>
      </c>
      <c r="BK19" s="313">
        <v>1</v>
      </c>
    </row>
    <row r="20" spans="1:63" x14ac:dyDescent="0.25">
      <c r="A20" s="306">
        <v>115000</v>
      </c>
      <c r="B20" s="313" t="s">
        <v>19</v>
      </c>
      <c r="C20" s="313">
        <v>1</v>
      </c>
      <c r="D20" s="313">
        <v>1</v>
      </c>
      <c r="E20" s="313">
        <v>1</v>
      </c>
      <c r="F20" s="313">
        <v>1</v>
      </c>
      <c r="G20" s="313">
        <v>1</v>
      </c>
      <c r="H20" s="313">
        <v>1</v>
      </c>
      <c r="I20" s="313">
        <v>1</v>
      </c>
      <c r="J20" s="313">
        <v>1</v>
      </c>
      <c r="K20" s="313">
        <v>0</v>
      </c>
      <c r="L20" s="313">
        <v>1</v>
      </c>
      <c r="M20" s="313">
        <v>1</v>
      </c>
      <c r="N20" s="313">
        <v>1</v>
      </c>
      <c r="O20" s="313">
        <v>1</v>
      </c>
      <c r="P20" s="313">
        <v>1</v>
      </c>
      <c r="Q20" s="313">
        <v>1</v>
      </c>
      <c r="R20" s="313">
        <v>1</v>
      </c>
      <c r="S20" s="313">
        <v>1</v>
      </c>
      <c r="T20" s="313">
        <v>1</v>
      </c>
      <c r="U20" s="313">
        <v>1</v>
      </c>
      <c r="V20" s="313">
        <v>1</v>
      </c>
      <c r="W20" s="313">
        <v>1</v>
      </c>
      <c r="X20" s="313">
        <v>1</v>
      </c>
      <c r="Y20" s="313">
        <v>1</v>
      </c>
      <c r="Z20" s="313">
        <v>1</v>
      </c>
      <c r="AA20" s="313">
        <v>1</v>
      </c>
      <c r="AB20" s="313">
        <v>1</v>
      </c>
      <c r="AC20" s="313">
        <v>1</v>
      </c>
      <c r="AD20" s="313">
        <v>1</v>
      </c>
      <c r="AE20" s="313">
        <v>1</v>
      </c>
      <c r="AF20" s="313">
        <v>1</v>
      </c>
      <c r="AG20" s="313">
        <v>1</v>
      </c>
      <c r="AH20" s="313">
        <v>1</v>
      </c>
      <c r="AI20" s="313">
        <v>1</v>
      </c>
      <c r="AJ20" s="313">
        <v>1</v>
      </c>
      <c r="AK20" s="313">
        <v>1</v>
      </c>
      <c r="AL20" s="313">
        <v>1</v>
      </c>
      <c r="AM20" s="313">
        <v>1</v>
      </c>
      <c r="AN20" s="313">
        <v>1</v>
      </c>
      <c r="AO20" s="313">
        <v>1</v>
      </c>
      <c r="AP20" s="313">
        <v>1</v>
      </c>
      <c r="AQ20" s="313">
        <v>1</v>
      </c>
      <c r="AR20" s="313">
        <v>1</v>
      </c>
      <c r="AS20" s="313">
        <v>1</v>
      </c>
      <c r="AT20" s="313">
        <v>1</v>
      </c>
      <c r="AU20" s="313">
        <v>1</v>
      </c>
      <c r="AV20" s="313">
        <v>1</v>
      </c>
      <c r="AW20" s="313">
        <v>1</v>
      </c>
      <c r="AX20" s="313">
        <v>1</v>
      </c>
      <c r="AY20" s="313">
        <v>1</v>
      </c>
      <c r="AZ20" s="313">
        <v>1</v>
      </c>
      <c r="BA20" s="313">
        <v>1</v>
      </c>
      <c r="BB20" s="313">
        <v>1</v>
      </c>
      <c r="BC20" s="313">
        <v>1</v>
      </c>
      <c r="BD20" s="313">
        <v>1</v>
      </c>
      <c r="BE20" s="313">
        <v>1</v>
      </c>
      <c r="BF20" s="313">
        <v>1</v>
      </c>
      <c r="BG20" s="313">
        <v>1</v>
      </c>
      <c r="BH20" s="313">
        <v>1</v>
      </c>
      <c r="BI20" s="313">
        <v>1</v>
      </c>
      <c r="BJ20" s="313">
        <v>1</v>
      </c>
      <c r="BK20" s="313">
        <v>1</v>
      </c>
    </row>
    <row r="21" spans="1:63" x14ac:dyDescent="0.25">
      <c r="A21" s="306">
        <v>211000</v>
      </c>
      <c r="B21" s="313" t="s">
        <v>693</v>
      </c>
      <c r="C21" s="313">
        <v>1</v>
      </c>
      <c r="D21" s="313">
        <v>1</v>
      </c>
      <c r="E21" s="313">
        <v>1</v>
      </c>
      <c r="F21" s="313">
        <v>1</v>
      </c>
      <c r="G21" s="313">
        <v>1</v>
      </c>
      <c r="H21" s="313">
        <v>1</v>
      </c>
      <c r="I21" s="313">
        <v>1</v>
      </c>
      <c r="J21" s="313">
        <v>1</v>
      </c>
      <c r="K21" s="313">
        <v>0</v>
      </c>
      <c r="L21" s="313">
        <v>0</v>
      </c>
      <c r="M21" s="313">
        <v>1</v>
      </c>
      <c r="N21" s="313">
        <v>0</v>
      </c>
      <c r="O21" s="313">
        <v>1</v>
      </c>
      <c r="P21" s="313">
        <v>0</v>
      </c>
      <c r="Q21" s="313">
        <v>1</v>
      </c>
      <c r="R21" s="313">
        <v>1</v>
      </c>
      <c r="S21" s="313">
        <v>1</v>
      </c>
      <c r="T21" s="313">
        <v>1</v>
      </c>
      <c r="U21" s="313">
        <v>1</v>
      </c>
      <c r="V21" s="313">
        <v>1</v>
      </c>
      <c r="W21" s="313">
        <v>1</v>
      </c>
      <c r="X21" s="313">
        <v>1</v>
      </c>
      <c r="Y21" s="313">
        <v>1</v>
      </c>
      <c r="Z21" s="313">
        <v>1</v>
      </c>
      <c r="AA21" s="313">
        <v>1</v>
      </c>
      <c r="AB21" s="313">
        <v>1</v>
      </c>
      <c r="AC21" s="313">
        <v>1</v>
      </c>
      <c r="AD21" s="313">
        <v>1</v>
      </c>
      <c r="AE21" s="313">
        <v>1</v>
      </c>
      <c r="AF21" s="313">
        <v>1</v>
      </c>
      <c r="AG21" s="313">
        <v>1</v>
      </c>
      <c r="AH21" s="313">
        <v>0</v>
      </c>
      <c r="AI21" s="313">
        <v>1</v>
      </c>
      <c r="AJ21" s="313">
        <v>1</v>
      </c>
      <c r="AK21" s="313">
        <v>1</v>
      </c>
      <c r="AL21" s="313">
        <v>1</v>
      </c>
      <c r="AM21" s="313">
        <v>1</v>
      </c>
      <c r="AN21" s="313">
        <v>1</v>
      </c>
      <c r="AO21" s="313">
        <v>1</v>
      </c>
      <c r="AP21" s="313">
        <v>1</v>
      </c>
      <c r="AQ21" s="313">
        <v>1</v>
      </c>
      <c r="AR21" s="313">
        <v>1</v>
      </c>
      <c r="AS21" s="313">
        <v>1</v>
      </c>
      <c r="AT21" s="313">
        <v>1</v>
      </c>
      <c r="AU21" s="313">
        <v>1</v>
      </c>
      <c r="AV21" s="313">
        <v>1</v>
      </c>
      <c r="AW21" s="313">
        <v>1</v>
      </c>
      <c r="AX21" s="313">
        <v>0</v>
      </c>
      <c r="AY21" s="313">
        <v>0</v>
      </c>
      <c r="AZ21" s="313">
        <v>1</v>
      </c>
      <c r="BA21" s="313">
        <v>1</v>
      </c>
      <c r="BB21" s="313">
        <v>1</v>
      </c>
      <c r="BC21" s="313">
        <v>1</v>
      </c>
      <c r="BD21" s="313">
        <v>1</v>
      </c>
      <c r="BE21" s="313">
        <v>1</v>
      </c>
      <c r="BF21" s="313">
        <v>1</v>
      </c>
      <c r="BG21" s="313">
        <v>1</v>
      </c>
      <c r="BH21" s="313">
        <v>1</v>
      </c>
      <c r="BI21" s="313">
        <v>1</v>
      </c>
      <c r="BJ21" s="313">
        <v>1</v>
      </c>
      <c r="BK21" s="313">
        <v>1</v>
      </c>
    </row>
    <row r="22" spans="1:63" x14ac:dyDescent="0.25">
      <c r="A22" s="306">
        <v>212100</v>
      </c>
      <c r="B22" s="313" t="s">
        <v>694</v>
      </c>
      <c r="C22" s="313">
        <v>1</v>
      </c>
      <c r="D22" s="313">
        <v>1</v>
      </c>
      <c r="E22" s="313">
        <v>1</v>
      </c>
      <c r="F22" s="313">
        <v>1</v>
      </c>
      <c r="G22" s="313">
        <v>1</v>
      </c>
      <c r="H22" s="313">
        <v>1</v>
      </c>
      <c r="I22" s="313">
        <v>1</v>
      </c>
      <c r="J22" s="313">
        <v>0</v>
      </c>
      <c r="K22" s="313">
        <v>0</v>
      </c>
      <c r="L22" s="313">
        <v>0</v>
      </c>
      <c r="M22" s="313">
        <v>0</v>
      </c>
      <c r="N22" s="313">
        <v>1</v>
      </c>
      <c r="O22" s="313">
        <v>0</v>
      </c>
      <c r="P22" s="313">
        <v>0</v>
      </c>
      <c r="Q22" s="313">
        <v>0</v>
      </c>
      <c r="R22" s="313">
        <v>1</v>
      </c>
      <c r="S22" s="313">
        <v>1</v>
      </c>
      <c r="T22" s="313">
        <v>1</v>
      </c>
      <c r="U22" s="313">
        <v>1</v>
      </c>
      <c r="V22" s="313">
        <v>1</v>
      </c>
      <c r="W22" s="313">
        <v>0</v>
      </c>
      <c r="X22" s="313">
        <v>1</v>
      </c>
      <c r="Y22" s="313">
        <v>0</v>
      </c>
      <c r="Z22" s="313">
        <v>0</v>
      </c>
      <c r="AA22" s="313">
        <v>0</v>
      </c>
      <c r="AB22" s="313">
        <v>1</v>
      </c>
      <c r="AC22" s="313">
        <v>1</v>
      </c>
      <c r="AD22" s="313">
        <v>1</v>
      </c>
      <c r="AE22" s="313">
        <v>1</v>
      </c>
      <c r="AF22" s="313">
        <v>1</v>
      </c>
      <c r="AG22" s="313">
        <v>0</v>
      </c>
      <c r="AH22" s="313">
        <v>0</v>
      </c>
      <c r="AI22" s="313">
        <v>0</v>
      </c>
      <c r="AJ22" s="313">
        <v>1</v>
      </c>
      <c r="AK22" s="313">
        <v>0</v>
      </c>
      <c r="AL22" s="313">
        <v>1</v>
      </c>
      <c r="AM22" s="313">
        <v>1</v>
      </c>
      <c r="AN22" s="313">
        <v>1</v>
      </c>
      <c r="AO22" s="313">
        <v>0</v>
      </c>
      <c r="AP22" s="313">
        <v>1</v>
      </c>
      <c r="AQ22" s="313">
        <v>0</v>
      </c>
      <c r="AR22" s="313">
        <v>1</v>
      </c>
      <c r="AS22" s="313">
        <v>0</v>
      </c>
      <c r="AT22" s="313">
        <v>1</v>
      </c>
      <c r="AU22" s="313">
        <v>1</v>
      </c>
      <c r="AV22" s="313">
        <v>1</v>
      </c>
      <c r="AW22" s="313">
        <v>1</v>
      </c>
      <c r="AX22" s="313">
        <v>0</v>
      </c>
      <c r="AY22" s="313">
        <v>1</v>
      </c>
      <c r="AZ22" s="313">
        <v>0</v>
      </c>
      <c r="BA22" s="313">
        <v>1</v>
      </c>
      <c r="BB22" s="313">
        <v>1</v>
      </c>
      <c r="BC22" s="313">
        <v>0</v>
      </c>
      <c r="BD22" s="313">
        <v>1</v>
      </c>
      <c r="BE22" s="313">
        <v>1</v>
      </c>
      <c r="BF22" s="313">
        <v>1</v>
      </c>
      <c r="BG22" s="313">
        <v>1</v>
      </c>
      <c r="BH22" s="313">
        <v>1</v>
      </c>
      <c r="BI22" s="313">
        <v>1</v>
      </c>
      <c r="BJ22" s="313">
        <v>1</v>
      </c>
      <c r="BK22" s="313">
        <v>1</v>
      </c>
    </row>
    <row r="23" spans="1:63" x14ac:dyDescent="0.25">
      <c r="A23" s="306">
        <v>212210</v>
      </c>
      <c r="B23" s="313" t="s">
        <v>695</v>
      </c>
      <c r="C23" s="313">
        <v>1</v>
      </c>
      <c r="D23" s="313">
        <v>0</v>
      </c>
      <c r="E23" s="313">
        <v>1</v>
      </c>
      <c r="F23" s="313">
        <v>0</v>
      </c>
      <c r="G23" s="313">
        <v>1</v>
      </c>
      <c r="H23" s="313">
        <v>1</v>
      </c>
      <c r="I23" s="313">
        <v>1</v>
      </c>
      <c r="J23" s="313">
        <v>0</v>
      </c>
      <c r="K23" s="313">
        <v>0</v>
      </c>
      <c r="L23" s="313">
        <v>0</v>
      </c>
      <c r="M23" s="313">
        <v>1</v>
      </c>
      <c r="N23" s="313">
        <v>0</v>
      </c>
      <c r="O23" s="313">
        <v>0</v>
      </c>
      <c r="P23" s="313">
        <v>0</v>
      </c>
      <c r="Q23" s="313">
        <v>0</v>
      </c>
      <c r="R23" s="313">
        <v>0</v>
      </c>
      <c r="S23" s="313">
        <v>0</v>
      </c>
      <c r="T23" s="313">
        <v>0</v>
      </c>
      <c r="U23" s="313">
        <v>0</v>
      </c>
      <c r="V23" s="313">
        <v>1</v>
      </c>
      <c r="W23" s="313">
        <v>0</v>
      </c>
      <c r="X23" s="313">
        <v>0</v>
      </c>
      <c r="Y23" s="313">
        <v>0</v>
      </c>
      <c r="Z23" s="313">
        <v>1</v>
      </c>
      <c r="AA23" s="313">
        <v>1</v>
      </c>
      <c r="AB23" s="313">
        <v>0</v>
      </c>
      <c r="AC23" s="313">
        <v>0</v>
      </c>
      <c r="AD23" s="313">
        <v>1</v>
      </c>
      <c r="AE23" s="313">
        <v>0</v>
      </c>
      <c r="AF23" s="313">
        <v>0</v>
      </c>
      <c r="AG23" s="313">
        <v>0</v>
      </c>
      <c r="AH23" s="313">
        <v>0</v>
      </c>
      <c r="AI23" s="313">
        <v>0</v>
      </c>
      <c r="AJ23" s="313">
        <v>0</v>
      </c>
      <c r="AK23" s="313">
        <v>1</v>
      </c>
      <c r="AL23" s="313">
        <v>0</v>
      </c>
      <c r="AM23" s="313">
        <v>0</v>
      </c>
      <c r="AN23" s="313">
        <v>0</v>
      </c>
      <c r="AO23" s="313">
        <v>0</v>
      </c>
      <c r="AP23" s="313">
        <v>1</v>
      </c>
      <c r="AQ23" s="313">
        <v>0</v>
      </c>
      <c r="AR23" s="313">
        <v>1</v>
      </c>
      <c r="AS23" s="313">
        <v>0</v>
      </c>
      <c r="AT23" s="313">
        <v>0</v>
      </c>
      <c r="AU23" s="313">
        <v>1</v>
      </c>
      <c r="AV23" s="313">
        <v>0</v>
      </c>
      <c r="AW23" s="313">
        <v>1</v>
      </c>
      <c r="AX23" s="313">
        <v>0</v>
      </c>
      <c r="AY23" s="313">
        <v>1</v>
      </c>
      <c r="AZ23" s="313">
        <v>0</v>
      </c>
      <c r="BA23" s="313">
        <v>1</v>
      </c>
      <c r="BB23" s="313">
        <v>0</v>
      </c>
      <c r="BC23" s="313">
        <v>0</v>
      </c>
      <c r="BD23" s="313">
        <v>1</v>
      </c>
      <c r="BE23" s="313">
        <v>1</v>
      </c>
      <c r="BF23" s="313">
        <v>1</v>
      </c>
      <c r="BG23" s="313">
        <v>1</v>
      </c>
      <c r="BH23" s="313">
        <v>1</v>
      </c>
      <c r="BI23" s="313">
        <v>1</v>
      </c>
      <c r="BJ23" s="313">
        <v>1</v>
      </c>
      <c r="BK23" s="313">
        <v>1</v>
      </c>
    </row>
    <row r="24" spans="1:63" x14ac:dyDescent="0.25">
      <c r="A24" s="306">
        <v>212230</v>
      </c>
      <c r="B24" s="313" t="s">
        <v>696</v>
      </c>
      <c r="C24" s="313">
        <v>1</v>
      </c>
      <c r="D24" s="313">
        <v>1</v>
      </c>
      <c r="E24" s="313">
        <v>0</v>
      </c>
      <c r="F24" s="313">
        <v>0</v>
      </c>
      <c r="G24" s="313">
        <v>1</v>
      </c>
      <c r="H24" s="313">
        <v>0</v>
      </c>
      <c r="I24" s="313">
        <v>1</v>
      </c>
      <c r="J24" s="313">
        <v>0</v>
      </c>
      <c r="K24" s="313">
        <v>0</v>
      </c>
      <c r="L24" s="313">
        <v>0</v>
      </c>
      <c r="M24" s="313">
        <v>0</v>
      </c>
      <c r="N24" s="313">
        <v>0</v>
      </c>
      <c r="O24" s="313">
        <v>0</v>
      </c>
      <c r="P24" s="313">
        <v>0</v>
      </c>
      <c r="Q24" s="313">
        <v>1</v>
      </c>
      <c r="R24" s="313">
        <v>0</v>
      </c>
      <c r="S24" s="313">
        <v>0</v>
      </c>
      <c r="T24" s="313">
        <v>0</v>
      </c>
      <c r="U24" s="313">
        <v>0</v>
      </c>
      <c r="V24" s="313">
        <v>1</v>
      </c>
      <c r="W24" s="313">
        <v>0</v>
      </c>
      <c r="X24" s="313">
        <v>0</v>
      </c>
      <c r="Y24" s="313">
        <v>0</v>
      </c>
      <c r="Z24" s="313">
        <v>1</v>
      </c>
      <c r="AA24" s="313">
        <v>1</v>
      </c>
      <c r="AB24" s="313">
        <v>1</v>
      </c>
      <c r="AC24" s="313">
        <v>0</v>
      </c>
      <c r="AD24" s="313">
        <v>1</v>
      </c>
      <c r="AE24" s="313">
        <v>0</v>
      </c>
      <c r="AF24" s="313">
        <v>0</v>
      </c>
      <c r="AG24" s="313">
        <v>0</v>
      </c>
      <c r="AH24" s="313">
        <v>0</v>
      </c>
      <c r="AI24" s="313">
        <v>0</v>
      </c>
      <c r="AJ24" s="313">
        <v>1</v>
      </c>
      <c r="AK24" s="313">
        <v>1</v>
      </c>
      <c r="AL24" s="313">
        <v>1</v>
      </c>
      <c r="AM24" s="313">
        <v>0</v>
      </c>
      <c r="AN24" s="313">
        <v>1</v>
      </c>
      <c r="AO24" s="313">
        <v>0</v>
      </c>
      <c r="AP24" s="313">
        <v>0</v>
      </c>
      <c r="AQ24" s="313">
        <v>0</v>
      </c>
      <c r="AR24" s="313">
        <v>0</v>
      </c>
      <c r="AS24" s="313">
        <v>1</v>
      </c>
      <c r="AT24" s="313">
        <v>1</v>
      </c>
      <c r="AU24" s="313">
        <v>0</v>
      </c>
      <c r="AV24" s="313">
        <v>1</v>
      </c>
      <c r="AW24" s="313">
        <v>0</v>
      </c>
      <c r="AX24" s="313">
        <v>1</v>
      </c>
      <c r="AY24" s="313">
        <v>1</v>
      </c>
      <c r="AZ24" s="313">
        <v>0</v>
      </c>
      <c r="BA24" s="313">
        <v>0</v>
      </c>
      <c r="BB24" s="313">
        <v>0</v>
      </c>
      <c r="BC24" s="313">
        <v>1</v>
      </c>
      <c r="BD24" s="313">
        <v>1</v>
      </c>
      <c r="BE24" s="313">
        <v>1</v>
      </c>
      <c r="BF24" s="313">
        <v>1</v>
      </c>
      <c r="BG24" s="313">
        <v>0</v>
      </c>
      <c r="BH24" s="313">
        <v>1</v>
      </c>
      <c r="BI24" s="313">
        <v>1</v>
      </c>
      <c r="BJ24" s="313">
        <v>1</v>
      </c>
      <c r="BK24" s="313">
        <v>1</v>
      </c>
    </row>
    <row r="25" spans="1:63" x14ac:dyDescent="0.25">
      <c r="A25" s="306" t="s">
        <v>697</v>
      </c>
      <c r="B25" s="313" t="s">
        <v>698</v>
      </c>
      <c r="C25" s="313">
        <v>1</v>
      </c>
      <c r="D25" s="313">
        <v>1</v>
      </c>
      <c r="E25" s="313">
        <v>1</v>
      </c>
      <c r="F25" s="313">
        <v>1</v>
      </c>
      <c r="G25" s="313">
        <v>1</v>
      </c>
      <c r="H25" s="313">
        <v>1</v>
      </c>
      <c r="I25" s="313">
        <v>1</v>
      </c>
      <c r="J25" s="313">
        <v>0</v>
      </c>
      <c r="K25" s="313">
        <v>0</v>
      </c>
      <c r="L25" s="313">
        <v>0</v>
      </c>
      <c r="M25" s="313">
        <v>1</v>
      </c>
      <c r="N25" s="313">
        <v>0</v>
      </c>
      <c r="O25" s="313">
        <v>0</v>
      </c>
      <c r="P25" s="313">
        <v>0</v>
      </c>
      <c r="Q25" s="313">
        <v>1</v>
      </c>
      <c r="R25" s="313">
        <v>1</v>
      </c>
      <c r="S25" s="313">
        <v>0</v>
      </c>
      <c r="T25" s="313">
        <v>0</v>
      </c>
      <c r="U25" s="313">
        <v>0</v>
      </c>
      <c r="V25" s="313">
        <v>1</v>
      </c>
      <c r="W25" s="313">
        <v>0</v>
      </c>
      <c r="X25" s="313">
        <v>0</v>
      </c>
      <c r="Y25" s="313">
        <v>0</v>
      </c>
      <c r="Z25" s="313">
        <v>0</v>
      </c>
      <c r="AA25" s="313">
        <v>0</v>
      </c>
      <c r="AB25" s="313">
        <v>1</v>
      </c>
      <c r="AC25" s="313">
        <v>0</v>
      </c>
      <c r="AD25" s="313">
        <v>1</v>
      </c>
      <c r="AE25" s="313">
        <v>1</v>
      </c>
      <c r="AF25" s="313">
        <v>0</v>
      </c>
      <c r="AG25" s="313">
        <v>1</v>
      </c>
      <c r="AH25" s="313">
        <v>0</v>
      </c>
      <c r="AI25" s="313">
        <v>0</v>
      </c>
      <c r="AJ25" s="313">
        <v>1</v>
      </c>
      <c r="AK25" s="313">
        <v>1</v>
      </c>
      <c r="AL25" s="313">
        <v>1</v>
      </c>
      <c r="AM25" s="313">
        <v>0</v>
      </c>
      <c r="AN25" s="313">
        <v>1</v>
      </c>
      <c r="AO25" s="313">
        <v>1</v>
      </c>
      <c r="AP25" s="313">
        <v>1</v>
      </c>
      <c r="AQ25" s="313">
        <v>0</v>
      </c>
      <c r="AR25" s="313">
        <v>1</v>
      </c>
      <c r="AS25" s="313">
        <v>1</v>
      </c>
      <c r="AT25" s="313">
        <v>0</v>
      </c>
      <c r="AU25" s="313">
        <v>1</v>
      </c>
      <c r="AV25" s="313">
        <v>1</v>
      </c>
      <c r="AW25" s="313">
        <v>1</v>
      </c>
      <c r="AX25" s="313">
        <v>0</v>
      </c>
      <c r="AY25" s="313">
        <v>1</v>
      </c>
      <c r="AZ25" s="313">
        <v>0</v>
      </c>
      <c r="BA25" s="313">
        <v>1</v>
      </c>
      <c r="BB25" s="313">
        <v>1</v>
      </c>
      <c r="BC25" s="313">
        <v>0</v>
      </c>
      <c r="BD25" s="313">
        <v>1</v>
      </c>
      <c r="BE25" s="313">
        <v>1</v>
      </c>
      <c r="BF25" s="313">
        <v>1</v>
      </c>
      <c r="BG25" s="313">
        <v>1</v>
      </c>
      <c r="BH25" s="313">
        <v>1</v>
      </c>
      <c r="BI25" s="313">
        <v>1</v>
      </c>
      <c r="BJ25" s="313">
        <v>1</v>
      </c>
      <c r="BK25" s="313">
        <v>1</v>
      </c>
    </row>
    <row r="26" spans="1:63" x14ac:dyDescent="0.25">
      <c r="A26" s="306">
        <v>212310</v>
      </c>
      <c r="B26" s="313" t="s">
        <v>699</v>
      </c>
      <c r="C26" s="313">
        <v>1</v>
      </c>
      <c r="D26" s="313">
        <v>1</v>
      </c>
      <c r="E26" s="313">
        <v>1</v>
      </c>
      <c r="F26" s="313">
        <v>1</v>
      </c>
      <c r="G26" s="313">
        <v>1</v>
      </c>
      <c r="H26" s="313">
        <v>1</v>
      </c>
      <c r="I26" s="313">
        <v>1</v>
      </c>
      <c r="J26" s="313">
        <v>1</v>
      </c>
      <c r="K26" s="313">
        <v>0</v>
      </c>
      <c r="L26" s="313">
        <v>0</v>
      </c>
      <c r="M26" s="313">
        <v>1</v>
      </c>
      <c r="N26" s="313">
        <v>1</v>
      </c>
      <c r="O26" s="313">
        <v>1</v>
      </c>
      <c r="P26" s="313">
        <v>1</v>
      </c>
      <c r="Q26" s="313">
        <v>1</v>
      </c>
      <c r="R26" s="313">
        <v>1</v>
      </c>
      <c r="S26" s="313">
        <v>1</v>
      </c>
      <c r="T26" s="313">
        <v>1</v>
      </c>
      <c r="U26" s="313">
        <v>1</v>
      </c>
      <c r="V26" s="313">
        <v>1</v>
      </c>
      <c r="W26" s="313">
        <v>1</v>
      </c>
      <c r="X26" s="313">
        <v>1</v>
      </c>
      <c r="Y26" s="313">
        <v>1</v>
      </c>
      <c r="Z26" s="313">
        <v>1</v>
      </c>
      <c r="AA26" s="313">
        <v>1</v>
      </c>
      <c r="AB26" s="313">
        <v>1</v>
      </c>
      <c r="AC26" s="313">
        <v>1</v>
      </c>
      <c r="AD26" s="313">
        <v>1</v>
      </c>
      <c r="AE26" s="313">
        <v>1</v>
      </c>
      <c r="AF26" s="313">
        <v>0</v>
      </c>
      <c r="AG26" s="313">
        <v>1</v>
      </c>
      <c r="AH26" s="313">
        <v>1</v>
      </c>
      <c r="AI26" s="313">
        <v>1</v>
      </c>
      <c r="AJ26" s="313">
        <v>1</v>
      </c>
      <c r="AK26" s="313">
        <v>1</v>
      </c>
      <c r="AL26" s="313">
        <v>1</v>
      </c>
      <c r="AM26" s="313">
        <v>1</v>
      </c>
      <c r="AN26" s="313">
        <v>1</v>
      </c>
      <c r="AO26" s="313">
        <v>1</v>
      </c>
      <c r="AP26" s="313">
        <v>1</v>
      </c>
      <c r="AQ26" s="313">
        <v>1</v>
      </c>
      <c r="AR26" s="313">
        <v>1</v>
      </c>
      <c r="AS26" s="313">
        <v>1</v>
      </c>
      <c r="AT26" s="313">
        <v>1</v>
      </c>
      <c r="AU26" s="313">
        <v>1</v>
      </c>
      <c r="AV26" s="313">
        <v>1</v>
      </c>
      <c r="AW26" s="313">
        <v>1</v>
      </c>
      <c r="AX26" s="313">
        <v>1</v>
      </c>
      <c r="AY26" s="313">
        <v>1</v>
      </c>
      <c r="AZ26" s="313">
        <v>1</v>
      </c>
      <c r="BA26" s="313">
        <v>1</v>
      </c>
      <c r="BB26" s="313">
        <v>1</v>
      </c>
      <c r="BC26" s="313">
        <v>1</v>
      </c>
      <c r="BD26" s="313">
        <v>1</v>
      </c>
      <c r="BE26" s="313">
        <v>1</v>
      </c>
      <c r="BF26" s="313">
        <v>1</v>
      </c>
      <c r="BG26" s="313">
        <v>1</v>
      </c>
      <c r="BH26" s="313">
        <v>1</v>
      </c>
      <c r="BI26" s="313">
        <v>1</v>
      </c>
      <c r="BJ26" s="313">
        <v>1</v>
      </c>
      <c r="BK26" s="313">
        <v>1</v>
      </c>
    </row>
    <row r="27" spans="1:63" x14ac:dyDescent="0.25">
      <c r="A27" s="306">
        <v>212320</v>
      </c>
      <c r="B27" s="313" t="s">
        <v>700</v>
      </c>
      <c r="C27" s="313">
        <v>1</v>
      </c>
      <c r="D27" s="313">
        <v>1</v>
      </c>
      <c r="E27" s="313">
        <v>1</v>
      </c>
      <c r="F27" s="313">
        <v>1</v>
      </c>
      <c r="G27" s="313">
        <v>1</v>
      </c>
      <c r="H27" s="313">
        <v>1</v>
      </c>
      <c r="I27" s="313">
        <v>1</v>
      </c>
      <c r="J27" s="313">
        <v>1</v>
      </c>
      <c r="K27" s="313">
        <v>0</v>
      </c>
      <c r="L27" s="313">
        <v>1</v>
      </c>
      <c r="M27" s="313">
        <v>1</v>
      </c>
      <c r="N27" s="313">
        <v>1</v>
      </c>
      <c r="O27" s="313">
        <v>1</v>
      </c>
      <c r="P27" s="313">
        <v>1</v>
      </c>
      <c r="Q27" s="313">
        <v>1</v>
      </c>
      <c r="R27" s="313">
        <v>1</v>
      </c>
      <c r="S27" s="313">
        <v>1</v>
      </c>
      <c r="T27" s="313">
        <v>1</v>
      </c>
      <c r="U27" s="313">
        <v>1</v>
      </c>
      <c r="V27" s="313">
        <v>1</v>
      </c>
      <c r="W27" s="313">
        <v>1</v>
      </c>
      <c r="X27" s="313">
        <v>1</v>
      </c>
      <c r="Y27" s="313">
        <v>1</v>
      </c>
      <c r="Z27" s="313">
        <v>1</v>
      </c>
      <c r="AA27" s="313">
        <v>1</v>
      </c>
      <c r="AB27" s="313">
        <v>1</v>
      </c>
      <c r="AC27" s="313">
        <v>1</v>
      </c>
      <c r="AD27" s="313">
        <v>1</v>
      </c>
      <c r="AE27" s="313">
        <v>1</v>
      </c>
      <c r="AF27" s="313">
        <v>1</v>
      </c>
      <c r="AG27" s="313">
        <v>1</v>
      </c>
      <c r="AH27" s="313">
        <v>1</v>
      </c>
      <c r="AI27" s="313">
        <v>1</v>
      </c>
      <c r="AJ27" s="313">
        <v>1</v>
      </c>
      <c r="AK27" s="313">
        <v>1</v>
      </c>
      <c r="AL27" s="313">
        <v>1</v>
      </c>
      <c r="AM27" s="313">
        <v>1</v>
      </c>
      <c r="AN27" s="313">
        <v>1</v>
      </c>
      <c r="AO27" s="313">
        <v>1</v>
      </c>
      <c r="AP27" s="313">
        <v>1</v>
      </c>
      <c r="AQ27" s="313">
        <v>1</v>
      </c>
      <c r="AR27" s="313">
        <v>1</v>
      </c>
      <c r="AS27" s="313">
        <v>1</v>
      </c>
      <c r="AT27" s="313">
        <v>1</v>
      </c>
      <c r="AU27" s="313">
        <v>1</v>
      </c>
      <c r="AV27" s="313">
        <v>1</v>
      </c>
      <c r="AW27" s="313">
        <v>1</v>
      </c>
      <c r="AX27" s="313">
        <v>1</v>
      </c>
      <c r="AY27" s="313">
        <v>1</v>
      </c>
      <c r="AZ27" s="313">
        <v>1</v>
      </c>
      <c r="BA27" s="313">
        <v>1</v>
      </c>
      <c r="BB27" s="313">
        <v>1</v>
      </c>
      <c r="BC27" s="313">
        <v>1</v>
      </c>
      <c r="BD27" s="313">
        <v>1</v>
      </c>
      <c r="BE27" s="313">
        <v>1</v>
      </c>
      <c r="BF27" s="313">
        <v>1</v>
      </c>
      <c r="BG27" s="313">
        <v>1</v>
      </c>
      <c r="BH27" s="313">
        <v>1</v>
      </c>
      <c r="BI27" s="313">
        <v>1</v>
      </c>
      <c r="BJ27" s="313">
        <v>1</v>
      </c>
      <c r="BK27" s="313">
        <v>1</v>
      </c>
    </row>
    <row r="28" spans="1:63" x14ac:dyDescent="0.25">
      <c r="A28" s="306">
        <v>212390</v>
      </c>
      <c r="B28" s="313" t="s">
        <v>701</v>
      </c>
      <c r="C28" s="313">
        <v>1</v>
      </c>
      <c r="D28" s="313">
        <v>1</v>
      </c>
      <c r="E28" s="313">
        <v>1</v>
      </c>
      <c r="F28" s="313">
        <v>1</v>
      </c>
      <c r="G28" s="313">
        <v>1</v>
      </c>
      <c r="H28" s="313">
        <v>1</v>
      </c>
      <c r="I28" s="313">
        <v>1</v>
      </c>
      <c r="J28" s="313">
        <v>1</v>
      </c>
      <c r="K28" s="313">
        <v>0</v>
      </c>
      <c r="L28" s="313">
        <v>0</v>
      </c>
      <c r="M28" s="313">
        <v>1</v>
      </c>
      <c r="N28" s="313">
        <v>1</v>
      </c>
      <c r="O28" s="313">
        <v>1</v>
      </c>
      <c r="P28" s="313">
        <v>1</v>
      </c>
      <c r="Q28" s="313">
        <v>1</v>
      </c>
      <c r="R28" s="313">
        <v>1</v>
      </c>
      <c r="S28" s="313">
        <v>1</v>
      </c>
      <c r="T28" s="313">
        <v>1</v>
      </c>
      <c r="U28" s="313">
        <v>0</v>
      </c>
      <c r="V28" s="313">
        <v>1</v>
      </c>
      <c r="W28" s="313">
        <v>0</v>
      </c>
      <c r="X28" s="313">
        <v>1</v>
      </c>
      <c r="Y28" s="313">
        <v>1</v>
      </c>
      <c r="Z28" s="313">
        <v>1</v>
      </c>
      <c r="AA28" s="313">
        <v>1</v>
      </c>
      <c r="AB28" s="313">
        <v>1</v>
      </c>
      <c r="AC28" s="313">
        <v>1</v>
      </c>
      <c r="AD28" s="313">
        <v>1</v>
      </c>
      <c r="AE28" s="313">
        <v>1</v>
      </c>
      <c r="AF28" s="313">
        <v>0</v>
      </c>
      <c r="AG28" s="313">
        <v>1</v>
      </c>
      <c r="AH28" s="313">
        <v>1</v>
      </c>
      <c r="AI28" s="313">
        <v>1</v>
      </c>
      <c r="AJ28" s="313">
        <v>1</v>
      </c>
      <c r="AK28" s="313">
        <v>1</v>
      </c>
      <c r="AL28" s="313">
        <v>1</v>
      </c>
      <c r="AM28" s="313">
        <v>1</v>
      </c>
      <c r="AN28" s="313">
        <v>1</v>
      </c>
      <c r="AO28" s="313">
        <v>1</v>
      </c>
      <c r="AP28" s="313">
        <v>1</v>
      </c>
      <c r="AQ28" s="313">
        <v>0</v>
      </c>
      <c r="AR28" s="313">
        <v>1</v>
      </c>
      <c r="AS28" s="313">
        <v>1</v>
      </c>
      <c r="AT28" s="313">
        <v>1</v>
      </c>
      <c r="AU28" s="313">
        <v>1</v>
      </c>
      <c r="AV28" s="313">
        <v>1</v>
      </c>
      <c r="AW28" s="313">
        <v>1</v>
      </c>
      <c r="AX28" s="313">
        <v>1</v>
      </c>
      <c r="AY28" s="313">
        <v>1</v>
      </c>
      <c r="AZ28" s="313">
        <v>1</v>
      </c>
      <c r="BA28" s="313">
        <v>1</v>
      </c>
      <c r="BB28" s="313">
        <v>1</v>
      </c>
      <c r="BC28" s="313">
        <v>1</v>
      </c>
      <c r="BD28" s="313">
        <v>1</v>
      </c>
      <c r="BE28" s="313">
        <v>1</v>
      </c>
      <c r="BF28" s="313">
        <v>1</v>
      </c>
      <c r="BG28" s="313">
        <v>1</v>
      </c>
      <c r="BH28" s="313">
        <v>1</v>
      </c>
      <c r="BI28" s="313">
        <v>1</v>
      </c>
      <c r="BJ28" s="313">
        <v>1</v>
      </c>
      <c r="BK28" s="313">
        <v>1</v>
      </c>
    </row>
    <row r="29" spans="1:63" x14ac:dyDescent="0.25">
      <c r="A29" s="306">
        <v>213111</v>
      </c>
      <c r="B29" s="313" t="s">
        <v>20</v>
      </c>
      <c r="C29" s="313">
        <v>1</v>
      </c>
      <c r="D29" s="313">
        <v>1</v>
      </c>
      <c r="E29" s="313">
        <v>1</v>
      </c>
      <c r="F29" s="313">
        <v>1</v>
      </c>
      <c r="G29" s="313">
        <v>1</v>
      </c>
      <c r="H29" s="313">
        <v>1</v>
      </c>
      <c r="I29" s="313">
        <v>1</v>
      </c>
      <c r="J29" s="313">
        <v>1</v>
      </c>
      <c r="K29" s="313">
        <v>0</v>
      </c>
      <c r="L29" s="313">
        <v>1</v>
      </c>
      <c r="M29" s="313">
        <v>1</v>
      </c>
      <c r="N29" s="313">
        <v>1</v>
      </c>
      <c r="O29" s="313">
        <v>0</v>
      </c>
      <c r="P29" s="313">
        <v>1</v>
      </c>
      <c r="Q29" s="313">
        <v>1</v>
      </c>
      <c r="R29" s="313">
        <v>1</v>
      </c>
      <c r="S29" s="313">
        <v>1</v>
      </c>
      <c r="T29" s="313">
        <v>1</v>
      </c>
      <c r="U29" s="313">
        <v>1</v>
      </c>
      <c r="V29" s="313">
        <v>1</v>
      </c>
      <c r="W29" s="313">
        <v>1</v>
      </c>
      <c r="X29" s="313">
        <v>1</v>
      </c>
      <c r="Y29" s="313">
        <v>1</v>
      </c>
      <c r="Z29" s="313">
        <v>1</v>
      </c>
      <c r="AA29" s="313">
        <v>1</v>
      </c>
      <c r="AB29" s="313">
        <v>1</v>
      </c>
      <c r="AC29" s="313">
        <v>1</v>
      </c>
      <c r="AD29" s="313">
        <v>1</v>
      </c>
      <c r="AE29" s="313">
        <v>1</v>
      </c>
      <c r="AF29" s="313">
        <v>1</v>
      </c>
      <c r="AG29" s="313">
        <v>1</v>
      </c>
      <c r="AH29" s="313">
        <v>1</v>
      </c>
      <c r="AI29" s="313">
        <v>1</v>
      </c>
      <c r="AJ29" s="313">
        <v>1</v>
      </c>
      <c r="AK29" s="313">
        <v>1</v>
      </c>
      <c r="AL29" s="313">
        <v>1</v>
      </c>
      <c r="AM29" s="313">
        <v>1</v>
      </c>
      <c r="AN29" s="313">
        <v>1</v>
      </c>
      <c r="AO29" s="313">
        <v>1</v>
      </c>
      <c r="AP29" s="313">
        <v>1</v>
      </c>
      <c r="AQ29" s="313">
        <v>1</v>
      </c>
      <c r="AR29" s="313">
        <v>1</v>
      </c>
      <c r="AS29" s="313">
        <v>1</v>
      </c>
      <c r="AT29" s="313">
        <v>1</v>
      </c>
      <c r="AU29" s="313">
        <v>1</v>
      </c>
      <c r="AV29" s="313">
        <v>1</v>
      </c>
      <c r="AW29" s="313">
        <v>1</v>
      </c>
      <c r="AX29" s="313">
        <v>0</v>
      </c>
      <c r="AY29" s="313">
        <v>1</v>
      </c>
      <c r="AZ29" s="313">
        <v>1</v>
      </c>
      <c r="BA29" s="313">
        <v>1</v>
      </c>
      <c r="BB29" s="313">
        <v>1</v>
      </c>
      <c r="BC29" s="313">
        <v>1</v>
      </c>
      <c r="BD29" s="313">
        <v>1</v>
      </c>
      <c r="BE29" s="313">
        <v>1</v>
      </c>
      <c r="BF29" s="313">
        <v>1</v>
      </c>
      <c r="BG29" s="313">
        <v>1</v>
      </c>
      <c r="BH29" s="313">
        <v>1</v>
      </c>
      <c r="BI29" s="313">
        <v>1</v>
      </c>
      <c r="BJ29" s="313">
        <v>1</v>
      </c>
      <c r="BK29" s="313">
        <v>1</v>
      </c>
    </row>
    <row r="30" spans="1:63" x14ac:dyDescent="0.25">
      <c r="A30" s="306">
        <v>213112</v>
      </c>
      <c r="B30" s="313" t="s">
        <v>21</v>
      </c>
      <c r="C30" s="313">
        <v>1</v>
      </c>
      <c r="D30" s="313">
        <v>1</v>
      </c>
      <c r="E30" s="313">
        <v>1</v>
      </c>
      <c r="F30" s="313">
        <v>1</v>
      </c>
      <c r="G30" s="313">
        <v>1</v>
      </c>
      <c r="H30" s="313">
        <v>1</v>
      </c>
      <c r="I30" s="313">
        <v>1</v>
      </c>
      <c r="J30" s="313">
        <v>1</v>
      </c>
      <c r="K30" s="313">
        <v>0</v>
      </c>
      <c r="L30" s="313">
        <v>0</v>
      </c>
      <c r="M30" s="313">
        <v>1</v>
      </c>
      <c r="N30" s="313">
        <v>1</v>
      </c>
      <c r="O30" s="313">
        <v>1</v>
      </c>
      <c r="P30" s="313">
        <v>1</v>
      </c>
      <c r="Q30" s="313">
        <v>1</v>
      </c>
      <c r="R30" s="313">
        <v>1</v>
      </c>
      <c r="S30" s="313">
        <v>1</v>
      </c>
      <c r="T30" s="313">
        <v>1</v>
      </c>
      <c r="U30" s="313">
        <v>1</v>
      </c>
      <c r="V30" s="313">
        <v>1</v>
      </c>
      <c r="W30" s="313">
        <v>1</v>
      </c>
      <c r="X30" s="313">
        <v>1</v>
      </c>
      <c r="Y30" s="313">
        <v>0</v>
      </c>
      <c r="Z30" s="313">
        <v>1</v>
      </c>
      <c r="AA30" s="313">
        <v>1</v>
      </c>
      <c r="AB30" s="313">
        <v>1</v>
      </c>
      <c r="AC30" s="313">
        <v>1</v>
      </c>
      <c r="AD30" s="313">
        <v>1</v>
      </c>
      <c r="AE30" s="313">
        <v>1</v>
      </c>
      <c r="AF30" s="313">
        <v>1</v>
      </c>
      <c r="AG30" s="313">
        <v>1</v>
      </c>
      <c r="AH30" s="313">
        <v>0</v>
      </c>
      <c r="AI30" s="313">
        <v>1</v>
      </c>
      <c r="AJ30" s="313">
        <v>1</v>
      </c>
      <c r="AK30" s="313">
        <v>1</v>
      </c>
      <c r="AL30" s="313">
        <v>1</v>
      </c>
      <c r="AM30" s="313">
        <v>1</v>
      </c>
      <c r="AN30" s="313">
        <v>1</v>
      </c>
      <c r="AO30" s="313">
        <v>1</v>
      </c>
      <c r="AP30" s="313">
        <v>1</v>
      </c>
      <c r="AQ30" s="313">
        <v>0</v>
      </c>
      <c r="AR30" s="313">
        <v>1</v>
      </c>
      <c r="AS30" s="313">
        <v>1</v>
      </c>
      <c r="AT30" s="313">
        <v>1</v>
      </c>
      <c r="AU30" s="313">
        <v>1</v>
      </c>
      <c r="AV30" s="313">
        <v>1</v>
      </c>
      <c r="AW30" s="313">
        <v>1</v>
      </c>
      <c r="AX30" s="313">
        <v>0</v>
      </c>
      <c r="AY30" s="313">
        <v>1</v>
      </c>
      <c r="AZ30" s="313">
        <v>1</v>
      </c>
      <c r="BA30" s="313">
        <v>1</v>
      </c>
      <c r="BB30" s="313">
        <v>1</v>
      </c>
      <c r="BC30" s="313">
        <v>1</v>
      </c>
      <c r="BD30" s="313">
        <v>1</v>
      </c>
      <c r="BE30" s="313">
        <v>1</v>
      </c>
      <c r="BF30" s="313">
        <v>1</v>
      </c>
      <c r="BG30" s="313">
        <v>1</v>
      </c>
      <c r="BH30" s="313">
        <v>1</v>
      </c>
      <c r="BI30" s="313">
        <v>1</v>
      </c>
      <c r="BJ30" s="313">
        <v>1</v>
      </c>
      <c r="BK30" s="313">
        <v>1</v>
      </c>
    </row>
    <row r="31" spans="1:63" x14ac:dyDescent="0.25">
      <c r="A31" s="306" t="s">
        <v>702</v>
      </c>
      <c r="B31" s="313" t="s">
        <v>22</v>
      </c>
      <c r="C31" s="313">
        <v>1</v>
      </c>
      <c r="D31" s="313">
        <v>1</v>
      </c>
      <c r="E31" s="313">
        <v>1</v>
      </c>
      <c r="F31" s="313">
        <v>1</v>
      </c>
      <c r="G31" s="313">
        <v>1</v>
      </c>
      <c r="H31" s="313">
        <v>1</v>
      </c>
      <c r="I31" s="313">
        <v>1</v>
      </c>
      <c r="J31" s="313">
        <v>1</v>
      </c>
      <c r="K31" s="313">
        <v>0</v>
      </c>
      <c r="L31" s="313">
        <v>0</v>
      </c>
      <c r="M31" s="313">
        <v>1</v>
      </c>
      <c r="N31" s="313">
        <v>1</v>
      </c>
      <c r="O31" s="313">
        <v>0</v>
      </c>
      <c r="P31" s="313">
        <v>1</v>
      </c>
      <c r="Q31" s="313">
        <v>1</v>
      </c>
      <c r="R31" s="313">
        <v>1</v>
      </c>
      <c r="S31" s="313">
        <v>1</v>
      </c>
      <c r="T31" s="313">
        <v>1</v>
      </c>
      <c r="U31" s="313">
        <v>1</v>
      </c>
      <c r="V31" s="313">
        <v>1</v>
      </c>
      <c r="W31" s="313">
        <v>1</v>
      </c>
      <c r="X31" s="313">
        <v>1</v>
      </c>
      <c r="Y31" s="313">
        <v>0</v>
      </c>
      <c r="Z31" s="313">
        <v>1</v>
      </c>
      <c r="AA31" s="313">
        <v>1</v>
      </c>
      <c r="AB31" s="313">
        <v>1</v>
      </c>
      <c r="AC31" s="313">
        <v>1</v>
      </c>
      <c r="AD31" s="313">
        <v>1</v>
      </c>
      <c r="AE31" s="313">
        <v>1</v>
      </c>
      <c r="AF31" s="313">
        <v>1</v>
      </c>
      <c r="AG31" s="313">
        <v>1</v>
      </c>
      <c r="AH31" s="313">
        <v>1</v>
      </c>
      <c r="AI31" s="313">
        <v>1</v>
      </c>
      <c r="AJ31" s="313">
        <v>1</v>
      </c>
      <c r="AK31" s="313">
        <v>1</v>
      </c>
      <c r="AL31" s="313">
        <v>1</v>
      </c>
      <c r="AM31" s="313">
        <v>1</v>
      </c>
      <c r="AN31" s="313">
        <v>1</v>
      </c>
      <c r="AO31" s="313">
        <v>1</v>
      </c>
      <c r="AP31" s="313">
        <v>1</v>
      </c>
      <c r="AQ31" s="313">
        <v>0</v>
      </c>
      <c r="AR31" s="313">
        <v>1</v>
      </c>
      <c r="AS31" s="313">
        <v>1</v>
      </c>
      <c r="AT31" s="313">
        <v>1</v>
      </c>
      <c r="AU31" s="313">
        <v>1</v>
      </c>
      <c r="AV31" s="313">
        <v>1</v>
      </c>
      <c r="AW31" s="313">
        <v>1</v>
      </c>
      <c r="AX31" s="313">
        <v>1</v>
      </c>
      <c r="AY31" s="313">
        <v>1</v>
      </c>
      <c r="AZ31" s="313">
        <v>1</v>
      </c>
      <c r="BA31" s="313">
        <v>1</v>
      </c>
      <c r="BB31" s="313">
        <v>1</v>
      </c>
      <c r="BC31" s="313">
        <v>1</v>
      </c>
      <c r="BD31" s="313">
        <v>1</v>
      </c>
      <c r="BE31" s="313">
        <v>1</v>
      </c>
      <c r="BF31" s="313">
        <v>1</v>
      </c>
      <c r="BG31" s="313">
        <v>1</v>
      </c>
      <c r="BH31" s="313">
        <v>1</v>
      </c>
      <c r="BI31" s="313">
        <v>1</v>
      </c>
      <c r="BJ31" s="313">
        <v>1</v>
      </c>
      <c r="BK31" s="313">
        <v>1</v>
      </c>
    </row>
    <row r="32" spans="1:63" x14ac:dyDescent="0.25">
      <c r="A32" s="306" t="s">
        <v>602</v>
      </c>
      <c r="B32" s="313" t="s">
        <v>23</v>
      </c>
      <c r="C32" s="313">
        <v>1</v>
      </c>
      <c r="D32" s="313">
        <v>1</v>
      </c>
      <c r="E32" s="313">
        <v>1</v>
      </c>
      <c r="F32" s="313">
        <v>1</v>
      </c>
      <c r="G32" s="313">
        <v>1</v>
      </c>
      <c r="H32" s="313">
        <v>1</v>
      </c>
      <c r="I32" s="313">
        <v>1</v>
      </c>
      <c r="J32" s="313">
        <v>1</v>
      </c>
      <c r="K32" s="313">
        <v>1</v>
      </c>
      <c r="L32" s="313">
        <v>1</v>
      </c>
      <c r="M32" s="313">
        <v>1</v>
      </c>
      <c r="N32" s="313">
        <v>1</v>
      </c>
      <c r="O32" s="313">
        <v>1</v>
      </c>
      <c r="P32" s="313">
        <v>1</v>
      </c>
      <c r="Q32" s="313">
        <v>1</v>
      </c>
      <c r="R32" s="313">
        <v>1</v>
      </c>
      <c r="S32" s="313">
        <v>1</v>
      </c>
      <c r="T32" s="313">
        <v>1</v>
      </c>
      <c r="U32" s="313">
        <v>1</v>
      </c>
      <c r="V32" s="313">
        <v>1</v>
      </c>
      <c r="W32" s="313">
        <v>1</v>
      </c>
      <c r="X32" s="313">
        <v>1</v>
      </c>
      <c r="Y32" s="313">
        <v>1</v>
      </c>
      <c r="Z32" s="313">
        <v>1</v>
      </c>
      <c r="AA32" s="313">
        <v>1</v>
      </c>
      <c r="AB32" s="313">
        <v>1</v>
      </c>
      <c r="AC32" s="313">
        <v>1</v>
      </c>
      <c r="AD32" s="313">
        <v>1</v>
      </c>
      <c r="AE32" s="313">
        <v>1</v>
      </c>
      <c r="AF32" s="313">
        <v>1</v>
      </c>
      <c r="AG32" s="313">
        <v>1</v>
      </c>
      <c r="AH32" s="313">
        <v>1</v>
      </c>
      <c r="AI32" s="313">
        <v>1</v>
      </c>
      <c r="AJ32" s="313">
        <v>1</v>
      </c>
      <c r="AK32" s="313">
        <v>1</v>
      </c>
      <c r="AL32" s="313">
        <v>1</v>
      </c>
      <c r="AM32" s="313">
        <v>1</v>
      </c>
      <c r="AN32" s="313">
        <v>1</v>
      </c>
      <c r="AO32" s="313">
        <v>1</v>
      </c>
      <c r="AP32" s="313">
        <v>1</v>
      </c>
      <c r="AQ32" s="313">
        <v>1</v>
      </c>
      <c r="AR32" s="313">
        <v>1</v>
      </c>
      <c r="AS32" s="313">
        <v>1</v>
      </c>
      <c r="AT32" s="313">
        <v>1</v>
      </c>
      <c r="AU32" s="313">
        <v>1</v>
      </c>
      <c r="AV32" s="313">
        <v>1</v>
      </c>
      <c r="AW32" s="313">
        <v>1</v>
      </c>
      <c r="AX32" s="313">
        <v>1</v>
      </c>
      <c r="AY32" s="313">
        <v>1</v>
      </c>
      <c r="AZ32" s="313">
        <v>1</v>
      </c>
      <c r="BA32" s="313">
        <v>1</v>
      </c>
      <c r="BB32" s="313">
        <v>1</v>
      </c>
      <c r="BC32" s="313">
        <v>1</v>
      </c>
      <c r="BD32" s="313">
        <v>1</v>
      </c>
      <c r="BE32" s="313">
        <v>1</v>
      </c>
      <c r="BF32" s="313">
        <v>1</v>
      </c>
      <c r="BG32" s="313">
        <v>1</v>
      </c>
      <c r="BH32" s="313">
        <v>1</v>
      </c>
      <c r="BI32" s="313">
        <v>1</v>
      </c>
      <c r="BJ32" s="313">
        <v>1</v>
      </c>
      <c r="BK32" s="313">
        <v>1</v>
      </c>
    </row>
    <row r="33" spans="1:63" x14ac:dyDescent="0.25">
      <c r="A33" s="306">
        <v>221200</v>
      </c>
      <c r="B33" s="313" t="s">
        <v>24</v>
      </c>
      <c r="C33" s="313">
        <v>1</v>
      </c>
      <c r="D33" s="313">
        <v>1</v>
      </c>
      <c r="E33" s="313">
        <v>1</v>
      </c>
      <c r="F33" s="313">
        <v>1</v>
      </c>
      <c r="G33" s="313">
        <v>1</v>
      </c>
      <c r="H33" s="313">
        <v>1</v>
      </c>
      <c r="I33" s="313">
        <v>1</v>
      </c>
      <c r="J33" s="313">
        <v>1</v>
      </c>
      <c r="K33" s="313">
        <v>1</v>
      </c>
      <c r="L33" s="313">
        <v>1</v>
      </c>
      <c r="M33" s="313">
        <v>1</v>
      </c>
      <c r="N33" s="313">
        <v>1</v>
      </c>
      <c r="O33" s="313">
        <v>1</v>
      </c>
      <c r="P33" s="313">
        <v>1</v>
      </c>
      <c r="Q33" s="313">
        <v>1</v>
      </c>
      <c r="R33" s="313">
        <v>1</v>
      </c>
      <c r="S33" s="313">
        <v>1</v>
      </c>
      <c r="T33" s="313">
        <v>1</v>
      </c>
      <c r="U33" s="313">
        <v>1</v>
      </c>
      <c r="V33" s="313">
        <v>1</v>
      </c>
      <c r="W33" s="313">
        <v>1</v>
      </c>
      <c r="X33" s="313">
        <v>1</v>
      </c>
      <c r="Y33" s="313">
        <v>1</v>
      </c>
      <c r="Z33" s="313">
        <v>1</v>
      </c>
      <c r="AA33" s="313">
        <v>1</v>
      </c>
      <c r="AB33" s="313">
        <v>1</v>
      </c>
      <c r="AC33" s="313">
        <v>1</v>
      </c>
      <c r="AD33" s="313">
        <v>1</v>
      </c>
      <c r="AE33" s="313">
        <v>1</v>
      </c>
      <c r="AF33" s="313">
        <v>1</v>
      </c>
      <c r="AG33" s="313">
        <v>1</v>
      </c>
      <c r="AH33" s="313">
        <v>1</v>
      </c>
      <c r="AI33" s="313">
        <v>1</v>
      </c>
      <c r="AJ33" s="313">
        <v>1</v>
      </c>
      <c r="AK33" s="313">
        <v>1</v>
      </c>
      <c r="AL33" s="313">
        <v>1</v>
      </c>
      <c r="AM33" s="313">
        <v>1</v>
      </c>
      <c r="AN33" s="313">
        <v>1</v>
      </c>
      <c r="AO33" s="313">
        <v>1</v>
      </c>
      <c r="AP33" s="313">
        <v>1</v>
      </c>
      <c r="AQ33" s="313">
        <v>1</v>
      </c>
      <c r="AR33" s="313">
        <v>1</v>
      </c>
      <c r="AS33" s="313">
        <v>1</v>
      </c>
      <c r="AT33" s="313">
        <v>1</v>
      </c>
      <c r="AU33" s="313">
        <v>1</v>
      </c>
      <c r="AV33" s="313">
        <v>1</v>
      </c>
      <c r="AW33" s="313">
        <v>1</v>
      </c>
      <c r="AX33" s="313">
        <v>1</v>
      </c>
      <c r="AY33" s="313">
        <v>1</v>
      </c>
      <c r="AZ33" s="313">
        <v>1</v>
      </c>
      <c r="BA33" s="313">
        <v>1</v>
      </c>
      <c r="BB33" s="313">
        <v>1</v>
      </c>
      <c r="BC33" s="313">
        <v>1</v>
      </c>
      <c r="BD33" s="313">
        <v>1</v>
      </c>
      <c r="BE33" s="313">
        <v>1</v>
      </c>
      <c r="BF33" s="313">
        <v>1</v>
      </c>
      <c r="BG33" s="313">
        <v>1</v>
      </c>
      <c r="BH33" s="313">
        <v>1</v>
      </c>
      <c r="BI33" s="313">
        <v>1</v>
      </c>
      <c r="BJ33" s="313">
        <v>1</v>
      </c>
      <c r="BK33" s="313">
        <v>1</v>
      </c>
    </row>
    <row r="34" spans="1:63" x14ac:dyDescent="0.25">
      <c r="A34" s="306">
        <v>221300</v>
      </c>
      <c r="B34" s="313" t="s">
        <v>703</v>
      </c>
      <c r="C34" s="313">
        <v>1</v>
      </c>
      <c r="D34" s="313">
        <v>1</v>
      </c>
      <c r="E34" s="313">
        <v>1</v>
      </c>
      <c r="F34" s="313">
        <v>1</v>
      </c>
      <c r="G34" s="313">
        <v>1</v>
      </c>
      <c r="H34" s="313">
        <v>1</v>
      </c>
      <c r="I34" s="313">
        <v>1</v>
      </c>
      <c r="J34" s="313">
        <v>1</v>
      </c>
      <c r="K34" s="313">
        <v>1</v>
      </c>
      <c r="L34" s="313">
        <v>1</v>
      </c>
      <c r="M34" s="313">
        <v>1</v>
      </c>
      <c r="N34" s="313">
        <v>1</v>
      </c>
      <c r="O34" s="313">
        <v>1</v>
      </c>
      <c r="P34" s="313">
        <v>1</v>
      </c>
      <c r="Q34" s="313">
        <v>1</v>
      </c>
      <c r="R34" s="313">
        <v>1</v>
      </c>
      <c r="S34" s="313">
        <v>1</v>
      </c>
      <c r="T34" s="313">
        <v>1</v>
      </c>
      <c r="U34" s="313">
        <v>1</v>
      </c>
      <c r="V34" s="313">
        <v>1</v>
      </c>
      <c r="W34" s="313">
        <v>1</v>
      </c>
      <c r="X34" s="313">
        <v>1</v>
      </c>
      <c r="Y34" s="313">
        <v>1</v>
      </c>
      <c r="Z34" s="313">
        <v>1</v>
      </c>
      <c r="AA34" s="313">
        <v>1</v>
      </c>
      <c r="AB34" s="313">
        <v>1</v>
      </c>
      <c r="AC34" s="313">
        <v>1</v>
      </c>
      <c r="AD34" s="313">
        <v>1</v>
      </c>
      <c r="AE34" s="313">
        <v>1</v>
      </c>
      <c r="AF34" s="313">
        <v>1</v>
      </c>
      <c r="AG34" s="313">
        <v>1</v>
      </c>
      <c r="AH34" s="313">
        <v>1</v>
      </c>
      <c r="AI34" s="313">
        <v>1</v>
      </c>
      <c r="AJ34" s="313">
        <v>1</v>
      </c>
      <c r="AK34" s="313">
        <v>1</v>
      </c>
      <c r="AL34" s="313">
        <v>1</v>
      </c>
      <c r="AM34" s="313">
        <v>1</v>
      </c>
      <c r="AN34" s="313">
        <v>1</v>
      </c>
      <c r="AO34" s="313">
        <v>1</v>
      </c>
      <c r="AP34" s="313">
        <v>1</v>
      </c>
      <c r="AQ34" s="313">
        <v>1</v>
      </c>
      <c r="AR34" s="313">
        <v>1</v>
      </c>
      <c r="AS34" s="313">
        <v>1</v>
      </c>
      <c r="AT34" s="313">
        <v>1</v>
      </c>
      <c r="AU34" s="313">
        <v>1</v>
      </c>
      <c r="AV34" s="313">
        <v>1</v>
      </c>
      <c r="AW34" s="313">
        <v>1</v>
      </c>
      <c r="AX34" s="313">
        <v>1</v>
      </c>
      <c r="AY34" s="313">
        <v>1</v>
      </c>
      <c r="AZ34" s="313">
        <v>1</v>
      </c>
      <c r="BA34" s="313">
        <v>1</v>
      </c>
      <c r="BB34" s="313">
        <v>1</v>
      </c>
      <c r="BC34" s="313">
        <v>1</v>
      </c>
      <c r="BD34" s="313">
        <v>1</v>
      </c>
      <c r="BE34" s="313">
        <v>1</v>
      </c>
      <c r="BF34" s="313">
        <v>1</v>
      </c>
      <c r="BG34" s="313">
        <v>1</v>
      </c>
      <c r="BH34" s="313">
        <v>1</v>
      </c>
      <c r="BI34" s="313">
        <v>1</v>
      </c>
      <c r="BJ34" s="313">
        <v>1</v>
      </c>
      <c r="BK34" s="313">
        <v>1</v>
      </c>
    </row>
    <row r="35" spans="1:63" x14ac:dyDescent="0.25">
      <c r="A35" s="306">
        <v>230000</v>
      </c>
      <c r="B35" s="313" t="s">
        <v>426</v>
      </c>
      <c r="C35" s="313">
        <v>1</v>
      </c>
      <c r="D35" s="313">
        <v>1</v>
      </c>
      <c r="E35" s="313">
        <v>1</v>
      </c>
      <c r="F35" s="313">
        <v>1</v>
      </c>
      <c r="G35" s="313">
        <v>1</v>
      </c>
      <c r="H35" s="313">
        <v>1</v>
      </c>
      <c r="I35" s="313">
        <v>1</v>
      </c>
      <c r="J35" s="313">
        <v>1</v>
      </c>
      <c r="K35" s="313">
        <v>1</v>
      </c>
      <c r="L35" s="313">
        <v>1</v>
      </c>
      <c r="M35" s="313">
        <v>1</v>
      </c>
      <c r="N35" s="313">
        <v>1</v>
      </c>
      <c r="O35" s="313">
        <v>1</v>
      </c>
      <c r="P35" s="313">
        <v>1</v>
      </c>
      <c r="Q35" s="313">
        <v>1</v>
      </c>
      <c r="R35" s="313">
        <v>1</v>
      </c>
      <c r="S35" s="313">
        <v>1</v>
      </c>
      <c r="T35" s="313">
        <v>1</v>
      </c>
      <c r="U35" s="313">
        <v>1</v>
      </c>
      <c r="V35" s="313">
        <v>1</v>
      </c>
      <c r="W35" s="313">
        <v>1</v>
      </c>
      <c r="X35" s="313">
        <v>1</v>
      </c>
      <c r="Y35" s="313">
        <v>1</v>
      </c>
      <c r="Z35" s="313">
        <v>1</v>
      </c>
      <c r="AA35" s="313">
        <v>1</v>
      </c>
      <c r="AB35" s="313">
        <v>1</v>
      </c>
      <c r="AC35" s="313">
        <v>1</v>
      </c>
      <c r="AD35" s="313">
        <v>1</v>
      </c>
      <c r="AE35" s="313">
        <v>1</v>
      </c>
      <c r="AF35" s="313">
        <v>1</v>
      </c>
      <c r="AG35" s="313">
        <v>1</v>
      </c>
      <c r="AH35" s="313">
        <v>1</v>
      </c>
      <c r="AI35" s="313">
        <v>1</v>
      </c>
      <c r="AJ35" s="313">
        <v>1</v>
      </c>
      <c r="AK35" s="313">
        <v>1</v>
      </c>
      <c r="AL35" s="313">
        <v>1</v>
      </c>
      <c r="AM35" s="313">
        <v>1</v>
      </c>
      <c r="AN35" s="313">
        <v>1</v>
      </c>
      <c r="AO35" s="313">
        <v>1</v>
      </c>
      <c r="AP35" s="313">
        <v>1</v>
      </c>
      <c r="AQ35" s="313">
        <v>1</v>
      </c>
      <c r="AR35" s="313">
        <v>1</v>
      </c>
      <c r="AS35" s="313">
        <v>1</v>
      </c>
      <c r="AT35" s="313">
        <v>1</v>
      </c>
      <c r="AU35" s="313">
        <v>1</v>
      </c>
      <c r="AV35" s="313">
        <v>1</v>
      </c>
      <c r="AW35" s="313">
        <v>1</v>
      </c>
      <c r="AX35" s="313">
        <v>1</v>
      </c>
      <c r="AY35" s="313">
        <v>1</v>
      </c>
      <c r="AZ35" s="313">
        <v>1</v>
      </c>
      <c r="BA35" s="313">
        <v>1</v>
      </c>
      <c r="BB35" s="313">
        <v>1</v>
      </c>
      <c r="BC35" s="313">
        <v>1</v>
      </c>
      <c r="BD35" s="313">
        <v>1</v>
      </c>
      <c r="BE35" s="313">
        <v>1</v>
      </c>
      <c r="BF35" s="313">
        <v>1</v>
      </c>
      <c r="BG35" s="313">
        <v>1</v>
      </c>
      <c r="BH35" s="313">
        <v>1</v>
      </c>
      <c r="BI35" s="313">
        <v>1</v>
      </c>
      <c r="BJ35" s="313">
        <v>1</v>
      </c>
      <c r="BK35" s="313">
        <v>1</v>
      </c>
    </row>
    <row r="36" spans="1:63" x14ac:dyDescent="0.25">
      <c r="A36" s="306">
        <v>311111</v>
      </c>
      <c r="B36" s="313" t="s">
        <v>25</v>
      </c>
      <c r="C36" s="313">
        <v>1</v>
      </c>
      <c r="D36" s="313">
        <v>1</v>
      </c>
      <c r="E36" s="313">
        <v>1</v>
      </c>
      <c r="F36" s="313">
        <v>1</v>
      </c>
      <c r="G36" s="313">
        <v>1</v>
      </c>
      <c r="H36" s="313">
        <v>1</v>
      </c>
      <c r="I36" s="313">
        <v>1</v>
      </c>
      <c r="J36" s="313">
        <v>0</v>
      </c>
      <c r="K36" s="313">
        <v>0</v>
      </c>
      <c r="L36" s="313">
        <v>1</v>
      </c>
      <c r="M36" s="313">
        <v>1</v>
      </c>
      <c r="N36" s="313">
        <v>1</v>
      </c>
      <c r="O36" s="313">
        <v>1</v>
      </c>
      <c r="P36" s="313">
        <v>1</v>
      </c>
      <c r="Q36" s="313">
        <v>0</v>
      </c>
      <c r="R36" s="313">
        <v>1</v>
      </c>
      <c r="S36" s="313">
        <v>1</v>
      </c>
      <c r="T36" s="313">
        <v>1</v>
      </c>
      <c r="U36" s="313">
        <v>1</v>
      </c>
      <c r="V36" s="313">
        <v>0</v>
      </c>
      <c r="W36" s="313">
        <v>1</v>
      </c>
      <c r="X36" s="313">
        <v>1</v>
      </c>
      <c r="Y36" s="313">
        <v>0</v>
      </c>
      <c r="Z36" s="313">
        <v>1</v>
      </c>
      <c r="AA36" s="313">
        <v>1</v>
      </c>
      <c r="AB36" s="313">
        <v>1</v>
      </c>
      <c r="AC36" s="313">
        <v>1</v>
      </c>
      <c r="AD36" s="313">
        <v>1</v>
      </c>
      <c r="AE36" s="313">
        <v>1</v>
      </c>
      <c r="AF36" s="313">
        <v>0</v>
      </c>
      <c r="AG36" s="313">
        <v>1</v>
      </c>
      <c r="AH36" s="313">
        <v>1</v>
      </c>
      <c r="AI36" s="313">
        <v>1</v>
      </c>
      <c r="AJ36" s="313">
        <v>1</v>
      </c>
      <c r="AK36" s="313">
        <v>1</v>
      </c>
      <c r="AL36" s="313">
        <v>1</v>
      </c>
      <c r="AM36" s="313">
        <v>1</v>
      </c>
      <c r="AN36" s="313">
        <v>1</v>
      </c>
      <c r="AO36" s="313">
        <v>1</v>
      </c>
      <c r="AP36" s="313">
        <v>1</v>
      </c>
      <c r="AQ36" s="313">
        <v>0</v>
      </c>
      <c r="AR36" s="313">
        <v>1</v>
      </c>
      <c r="AS36" s="313">
        <v>1</v>
      </c>
      <c r="AT36" s="313">
        <v>1</v>
      </c>
      <c r="AU36" s="313">
        <v>1</v>
      </c>
      <c r="AV36" s="313">
        <v>1</v>
      </c>
      <c r="AW36" s="313">
        <v>1</v>
      </c>
      <c r="AX36" s="313">
        <v>1</v>
      </c>
      <c r="AY36" s="313">
        <v>1</v>
      </c>
      <c r="AZ36" s="313">
        <v>1</v>
      </c>
      <c r="BA36" s="313">
        <v>1</v>
      </c>
      <c r="BB36" s="313">
        <v>0</v>
      </c>
      <c r="BC36" s="313">
        <v>1</v>
      </c>
      <c r="BD36" s="313">
        <v>1</v>
      </c>
      <c r="BE36" s="313">
        <v>1</v>
      </c>
      <c r="BF36" s="313">
        <v>1</v>
      </c>
      <c r="BG36" s="313">
        <v>1</v>
      </c>
      <c r="BH36" s="313">
        <v>1</v>
      </c>
      <c r="BI36" s="313">
        <v>1</v>
      </c>
      <c r="BJ36" s="313">
        <v>1</v>
      </c>
      <c r="BK36" s="313">
        <v>1</v>
      </c>
    </row>
    <row r="37" spans="1:63" x14ac:dyDescent="0.25">
      <c r="A37" s="306">
        <v>311119</v>
      </c>
      <c r="B37" s="313" t="s">
        <v>26</v>
      </c>
      <c r="C37" s="313">
        <v>1</v>
      </c>
      <c r="D37" s="313">
        <v>0</v>
      </c>
      <c r="E37" s="313">
        <v>1</v>
      </c>
      <c r="F37" s="313">
        <v>1</v>
      </c>
      <c r="G37" s="313">
        <v>1</v>
      </c>
      <c r="H37" s="313">
        <v>1</v>
      </c>
      <c r="I37" s="313">
        <v>1</v>
      </c>
      <c r="J37" s="313">
        <v>1</v>
      </c>
      <c r="K37" s="313">
        <v>0</v>
      </c>
      <c r="L37" s="313">
        <v>1</v>
      </c>
      <c r="M37" s="313">
        <v>1</v>
      </c>
      <c r="N37" s="313">
        <v>1</v>
      </c>
      <c r="O37" s="313">
        <v>0</v>
      </c>
      <c r="P37" s="313">
        <v>1</v>
      </c>
      <c r="Q37" s="313">
        <v>1</v>
      </c>
      <c r="R37" s="313">
        <v>1</v>
      </c>
      <c r="S37" s="313">
        <v>1</v>
      </c>
      <c r="T37" s="313">
        <v>1</v>
      </c>
      <c r="U37" s="313">
        <v>1</v>
      </c>
      <c r="V37" s="313">
        <v>1</v>
      </c>
      <c r="W37" s="313">
        <v>1</v>
      </c>
      <c r="X37" s="313">
        <v>1</v>
      </c>
      <c r="Y37" s="313">
        <v>1</v>
      </c>
      <c r="Z37" s="313">
        <v>1</v>
      </c>
      <c r="AA37" s="313">
        <v>1</v>
      </c>
      <c r="AB37" s="313">
        <v>1</v>
      </c>
      <c r="AC37" s="313">
        <v>1</v>
      </c>
      <c r="AD37" s="313">
        <v>1</v>
      </c>
      <c r="AE37" s="313">
        <v>1</v>
      </c>
      <c r="AF37" s="313">
        <v>1</v>
      </c>
      <c r="AG37" s="313">
        <v>1</v>
      </c>
      <c r="AH37" s="313">
        <v>1</v>
      </c>
      <c r="AI37" s="313">
        <v>1</v>
      </c>
      <c r="AJ37" s="313">
        <v>1</v>
      </c>
      <c r="AK37" s="313">
        <v>1</v>
      </c>
      <c r="AL37" s="313">
        <v>1</v>
      </c>
      <c r="AM37" s="313">
        <v>1</v>
      </c>
      <c r="AN37" s="313">
        <v>1</v>
      </c>
      <c r="AO37" s="313">
        <v>1</v>
      </c>
      <c r="AP37" s="313">
        <v>1</v>
      </c>
      <c r="AQ37" s="313">
        <v>0</v>
      </c>
      <c r="AR37" s="313">
        <v>1</v>
      </c>
      <c r="AS37" s="313">
        <v>1</v>
      </c>
      <c r="AT37" s="313">
        <v>1</v>
      </c>
      <c r="AU37" s="313">
        <v>1</v>
      </c>
      <c r="AV37" s="313">
        <v>1</v>
      </c>
      <c r="AW37" s="313">
        <v>1</v>
      </c>
      <c r="AX37" s="313">
        <v>1</v>
      </c>
      <c r="AY37" s="313">
        <v>1</v>
      </c>
      <c r="AZ37" s="313">
        <v>1</v>
      </c>
      <c r="BA37" s="313">
        <v>0</v>
      </c>
      <c r="BB37" s="313">
        <v>1</v>
      </c>
      <c r="BC37" s="313">
        <v>1</v>
      </c>
      <c r="BD37" s="313">
        <v>1</v>
      </c>
      <c r="BE37" s="313">
        <v>1</v>
      </c>
      <c r="BF37" s="313">
        <v>1</v>
      </c>
      <c r="BG37" s="313">
        <v>1</v>
      </c>
      <c r="BH37" s="313">
        <v>1</v>
      </c>
      <c r="BI37" s="313">
        <v>1</v>
      </c>
      <c r="BJ37" s="313">
        <v>1</v>
      </c>
      <c r="BK37" s="313">
        <v>1</v>
      </c>
    </row>
    <row r="38" spans="1:63" x14ac:dyDescent="0.25">
      <c r="A38" s="306">
        <v>311210</v>
      </c>
      <c r="B38" s="313" t="s">
        <v>27</v>
      </c>
      <c r="C38" s="313">
        <v>1</v>
      </c>
      <c r="D38" s="313">
        <v>0</v>
      </c>
      <c r="E38" s="313">
        <v>1</v>
      </c>
      <c r="F38" s="313">
        <v>1</v>
      </c>
      <c r="G38" s="313">
        <v>1</v>
      </c>
      <c r="H38" s="313">
        <v>1</v>
      </c>
      <c r="I38" s="313">
        <v>1</v>
      </c>
      <c r="J38" s="313">
        <v>0</v>
      </c>
      <c r="K38" s="313">
        <v>0</v>
      </c>
      <c r="L38" s="313">
        <v>0</v>
      </c>
      <c r="M38" s="313">
        <v>1</v>
      </c>
      <c r="N38" s="313">
        <v>1</v>
      </c>
      <c r="O38" s="313">
        <v>1</v>
      </c>
      <c r="P38" s="313">
        <v>1</v>
      </c>
      <c r="Q38" s="313">
        <v>1</v>
      </c>
      <c r="R38" s="313">
        <v>1</v>
      </c>
      <c r="S38" s="313">
        <v>1</v>
      </c>
      <c r="T38" s="313">
        <v>1</v>
      </c>
      <c r="U38" s="313">
        <v>1</v>
      </c>
      <c r="V38" s="313">
        <v>1</v>
      </c>
      <c r="W38" s="313">
        <v>1</v>
      </c>
      <c r="X38" s="313">
        <v>1</v>
      </c>
      <c r="Y38" s="313">
        <v>1</v>
      </c>
      <c r="Z38" s="313">
        <v>1</v>
      </c>
      <c r="AA38" s="313">
        <v>1</v>
      </c>
      <c r="AB38" s="313">
        <v>1</v>
      </c>
      <c r="AC38" s="313">
        <v>1</v>
      </c>
      <c r="AD38" s="313">
        <v>1</v>
      </c>
      <c r="AE38" s="313">
        <v>1</v>
      </c>
      <c r="AF38" s="313">
        <v>1</v>
      </c>
      <c r="AG38" s="313">
        <v>1</v>
      </c>
      <c r="AH38" s="313">
        <v>0</v>
      </c>
      <c r="AI38" s="313">
        <v>1</v>
      </c>
      <c r="AJ38" s="313">
        <v>0</v>
      </c>
      <c r="AK38" s="313">
        <v>0</v>
      </c>
      <c r="AL38" s="313">
        <v>1</v>
      </c>
      <c r="AM38" s="313">
        <v>1</v>
      </c>
      <c r="AN38" s="313">
        <v>1</v>
      </c>
      <c r="AO38" s="313">
        <v>1</v>
      </c>
      <c r="AP38" s="313">
        <v>1</v>
      </c>
      <c r="AQ38" s="313">
        <v>1</v>
      </c>
      <c r="AR38" s="313">
        <v>1</v>
      </c>
      <c r="AS38" s="313">
        <v>0</v>
      </c>
      <c r="AT38" s="313">
        <v>1</v>
      </c>
      <c r="AU38" s="313">
        <v>1</v>
      </c>
      <c r="AV38" s="313">
        <v>1</v>
      </c>
      <c r="AW38" s="313">
        <v>1</v>
      </c>
      <c r="AX38" s="313">
        <v>0</v>
      </c>
      <c r="AY38" s="313">
        <v>1</v>
      </c>
      <c r="AZ38" s="313">
        <v>1</v>
      </c>
      <c r="BA38" s="313">
        <v>0</v>
      </c>
      <c r="BB38" s="313">
        <v>0</v>
      </c>
      <c r="BC38" s="313">
        <v>1</v>
      </c>
      <c r="BD38" s="313">
        <v>1</v>
      </c>
      <c r="BE38" s="313">
        <v>1</v>
      </c>
      <c r="BF38" s="313">
        <v>1</v>
      </c>
      <c r="BG38" s="313">
        <v>1</v>
      </c>
      <c r="BH38" s="313">
        <v>1</v>
      </c>
      <c r="BI38" s="313">
        <v>1</v>
      </c>
      <c r="BJ38" s="313">
        <v>1</v>
      </c>
      <c r="BK38" s="313">
        <v>1</v>
      </c>
    </row>
    <row r="39" spans="1:63" x14ac:dyDescent="0.25">
      <c r="A39" s="306">
        <v>311221</v>
      </c>
      <c r="B39" s="313" t="s">
        <v>28</v>
      </c>
      <c r="C39" s="313">
        <v>1</v>
      </c>
      <c r="D39" s="313">
        <v>0</v>
      </c>
      <c r="E39" s="313">
        <v>1</v>
      </c>
      <c r="F39" s="313">
        <v>1</v>
      </c>
      <c r="G39" s="313">
        <v>0</v>
      </c>
      <c r="H39" s="313">
        <v>1</v>
      </c>
      <c r="I39" s="313">
        <v>1</v>
      </c>
      <c r="J39" s="313">
        <v>0</v>
      </c>
      <c r="K39" s="313">
        <v>0</v>
      </c>
      <c r="L39" s="313">
        <v>0</v>
      </c>
      <c r="M39" s="313">
        <v>1</v>
      </c>
      <c r="N39" s="313">
        <v>0</v>
      </c>
      <c r="O39" s="313">
        <v>0</v>
      </c>
      <c r="P39" s="313">
        <v>1</v>
      </c>
      <c r="Q39" s="313">
        <v>1</v>
      </c>
      <c r="R39" s="313">
        <v>1</v>
      </c>
      <c r="S39" s="313">
        <v>1</v>
      </c>
      <c r="T39" s="313">
        <v>1</v>
      </c>
      <c r="U39" s="313">
        <v>0</v>
      </c>
      <c r="V39" s="313">
        <v>0</v>
      </c>
      <c r="W39" s="313">
        <v>0</v>
      </c>
      <c r="X39" s="313">
        <v>0</v>
      </c>
      <c r="Y39" s="313">
        <v>1</v>
      </c>
      <c r="Z39" s="313">
        <v>0</v>
      </c>
      <c r="AA39" s="313">
        <v>1</v>
      </c>
      <c r="AB39" s="313">
        <v>1</v>
      </c>
      <c r="AC39" s="313">
        <v>0</v>
      </c>
      <c r="AD39" s="313">
        <v>0</v>
      </c>
      <c r="AE39" s="313">
        <v>1</v>
      </c>
      <c r="AF39" s="313">
        <v>1</v>
      </c>
      <c r="AG39" s="313">
        <v>0</v>
      </c>
      <c r="AH39" s="313">
        <v>0</v>
      </c>
      <c r="AI39" s="313">
        <v>1</v>
      </c>
      <c r="AJ39" s="313">
        <v>0</v>
      </c>
      <c r="AK39" s="313">
        <v>0</v>
      </c>
      <c r="AL39" s="313">
        <v>0</v>
      </c>
      <c r="AM39" s="313">
        <v>1</v>
      </c>
      <c r="AN39" s="313">
        <v>0</v>
      </c>
      <c r="AO39" s="313">
        <v>1</v>
      </c>
      <c r="AP39" s="313">
        <v>1</v>
      </c>
      <c r="AQ39" s="313">
        <v>0</v>
      </c>
      <c r="AR39" s="313">
        <v>1</v>
      </c>
      <c r="AS39" s="313">
        <v>0</v>
      </c>
      <c r="AT39" s="313">
        <v>1</v>
      </c>
      <c r="AU39" s="313">
        <v>1</v>
      </c>
      <c r="AV39" s="313">
        <v>0</v>
      </c>
      <c r="AW39" s="313">
        <v>0</v>
      </c>
      <c r="AX39" s="313">
        <v>0</v>
      </c>
      <c r="AY39" s="313">
        <v>1</v>
      </c>
      <c r="AZ39" s="313">
        <v>0</v>
      </c>
      <c r="BA39" s="313">
        <v>0</v>
      </c>
      <c r="BB39" s="313">
        <v>0</v>
      </c>
      <c r="BC39" s="313">
        <v>1</v>
      </c>
      <c r="BD39" s="313">
        <v>1</v>
      </c>
      <c r="BE39" s="313">
        <v>1</v>
      </c>
      <c r="BF39" s="313">
        <v>1</v>
      </c>
      <c r="BG39" s="313">
        <v>1</v>
      </c>
      <c r="BH39" s="313">
        <v>1</v>
      </c>
      <c r="BI39" s="313">
        <v>1</v>
      </c>
      <c r="BJ39" s="313">
        <v>1</v>
      </c>
      <c r="BK39" s="313">
        <v>1</v>
      </c>
    </row>
    <row r="40" spans="1:63" x14ac:dyDescent="0.25">
      <c r="A40" s="306">
        <v>311225</v>
      </c>
      <c r="B40" s="313" t="s">
        <v>30</v>
      </c>
      <c r="C40" s="313">
        <v>1</v>
      </c>
      <c r="D40" s="313">
        <v>0</v>
      </c>
      <c r="E40" s="313">
        <v>1</v>
      </c>
      <c r="F40" s="313">
        <v>1</v>
      </c>
      <c r="G40" s="313">
        <v>1</v>
      </c>
      <c r="H40" s="313">
        <v>1</v>
      </c>
      <c r="I40" s="313">
        <v>1</v>
      </c>
      <c r="J40" s="313">
        <v>1</v>
      </c>
      <c r="K40" s="313">
        <v>0</v>
      </c>
      <c r="L40" s="313">
        <v>1</v>
      </c>
      <c r="M40" s="313">
        <v>1</v>
      </c>
      <c r="N40" s="313">
        <v>1</v>
      </c>
      <c r="O40" s="313">
        <v>0</v>
      </c>
      <c r="P40" s="313">
        <v>1</v>
      </c>
      <c r="Q40" s="313">
        <v>0</v>
      </c>
      <c r="R40" s="313">
        <v>1</v>
      </c>
      <c r="S40" s="313">
        <v>1</v>
      </c>
      <c r="T40" s="313">
        <v>1</v>
      </c>
      <c r="U40" s="313">
        <v>1</v>
      </c>
      <c r="V40" s="313">
        <v>1</v>
      </c>
      <c r="W40" s="313">
        <v>1</v>
      </c>
      <c r="X40" s="313">
        <v>1</v>
      </c>
      <c r="Y40" s="313">
        <v>0</v>
      </c>
      <c r="Z40" s="313">
        <v>1</v>
      </c>
      <c r="AA40" s="313">
        <v>1</v>
      </c>
      <c r="AB40" s="313">
        <v>1</v>
      </c>
      <c r="AC40" s="313">
        <v>0</v>
      </c>
      <c r="AD40" s="313">
        <v>1</v>
      </c>
      <c r="AE40" s="313">
        <v>0</v>
      </c>
      <c r="AF40" s="313">
        <v>1</v>
      </c>
      <c r="AG40" s="313">
        <v>1</v>
      </c>
      <c r="AH40" s="313">
        <v>0</v>
      </c>
      <c r="AI40" s="313">
        <v>1</v>
      </c>
      <c r="AJ40" s="313">
        <v>0</v>
      </c>
      <c r="AK40" s="313">
        <v>0</v>
      </c>
      <c r="AL40" s="313">
        <v>1</v>
      </c>
      <c r="AM40" s="313">
        <v>1</v>
      </c>
      <c r="AN40" s="313">
        <v>1</v>
      </c>
      <c r="AO40" s="313">
        <v>1</v>
      </c>
      <c r="AP40" s="313">
        <v>1</v>
      </c>
      <c r="AQ40" s="313">
        <v>0</v>
      </c>
      <c r="AR40" s="313">
        <v>1</v>
      </c>
      <c r="AS40" s="313">
        <v>1</v>
      </c>
      <c r="AT40" s="313">
        <v>1</v>
      </c>
      <c r="AU40" s="313">
        <v>1</v>
      </c>
      <c r="AV40" s="313">
        <v>0</v>
      </c>
      <c r="AW40" s="313">
        <v>1</v>
      </c>
      <c r="AX40" s="313">
        <v>0</v>
      </c>
      <c r="AY40" s="313">
        <v>1</v>
      </c>
      <c r="AZ40" s="313">
        <v>0</v>
      </c>
      <c r="BA40" s="313">
        <v>0</v>
      </c>
      <c r="BB40" s="313">
        <v>0</v>
      </c>
      <c r="BC40" s="313">
        <v>1</v>
      </c>
      <c r="BD40" s="313">
        <v>1</v>
      </c>
      <c r="BE40" s="313">
        <v>1</v>
      </c>
      <c r="BF40" s="313">
        <v>1</v>
      </c>
      <c r="BG40" s="313">
        <v>1</v>
      </c>
      <c r="BH40" s="313">
        <v>1</v>
      </c>
      <c r="BI40" s="313">
        <v>1</v>
      </c>
      <c r="BJ40" s="313">
        <v>1</v>
      </c>
      <c r="BK40" s="313">
        <v>1</v>
      </c>
    </row>
    <row r="41" spans="1:63" x14ac:dyDescent="0.25">
      <c r="A41" s="306" t="s">
        <v>704</v>
      </c>
      <c r="B41" s="313" t="s">
        <v>29</v>
      </c>
      <c r="C41" s="313">
        <v>1</v>
      </c>
      <c r="D41" s="313">
        <v>0</v>
      </c>
      <c r="E41" s="313">
        <v>1</v>
      </c>
      <c r="F41" s="313">
        <v>1</v>
      </c>
      <c r="G41" s="313">
        <v>1</v>
      </c>
      <c r="H41" s="313">
        <v>1</v>
      </c>
      <c r="I41" s="313">
        <v>1</v>
      </c>
      <c r="J41" s="313">
        <v>0</v>
      </c>
      <c r="K41" s="313">
        <v>0</v>
      </c>
      <c r="L41" s="313">
        <v>0</v>
      </c>
      <c r="M41" s="313">
        <v>0</v>
      </c>
      <c r="N41" s="313">
        <v>1</v>
      </c>
      <c r="O41" s="313">
        <v>1</v>
      </c>
      <c r="P41" s="313">
        <v>1</v>
      </c>
      <c r="Q41" s="313">
        <v>1</v>
      </c>
      <c r="R41" s="313">
        <v>1</v>
      </c>
      <c r="S41" s="313">
        <v>1</v>
      </c>
      <c r="T41" s="313">
        <v>1</v>
      </c>
      <c r="U41" s="313">
        <v>1</v>
      </c>
      <c r="V41" s="313">
        <v>1</v>
      </c>
      <c r="W41" s="313">
        <v>1</v>
      </c>
      <c r="X41" s="313">
        <v>0</v>
      </c>
      <c r="Y41" s="313">
        <v>0</v>
      </c>
      <c r="Z41" s="313">
        <v>1</v>
      </c>
      <c r="AA41" s="313">
        <v>1</v>
      </c>
      <c r="AB41" s="313">
        <v>1</v>
      </c>
      <c r="AC41" s="313">
        <v>1</v>
      </c>
      <c r="AD41" s="313">
        <v>1</v>
      </c>
      <c r="AE41" s="313">
        <v>1</v>
      </c>
      <c r="AF41" s="313">
        <v>1</v>
      </c>
      <c r="AG41" s="313">
        <v>1</v>
      </c>
      <c r="AH41" s="313">
        <v>0</v>
      </c>
      <c r="AI41" s="313">
        <v>0</v>
      </c>
      <c r="AJ41" s="313">
        <v>0</v>
      </c>
      <c r="AK41" s="313">
        <v>1</v>
      </c>
      <c r="AL41" s="313">
        <v>1</v>
      </c>
      <c r="AM41" s="313">
        <v>1</v>
      </c>
      <c r="AN41" s="313">
        <v>1</v>
      </c>
      <c r="AO41" s="313">
        <v>0</v>
      </c>
      <c r="AP41" s="313">
        <v>1</v>
      </c>
      <c r="AQ41" s="313">
        <v>0</v>
      </c>
      <c r="AR41" s="313">
        <v>1</v>
      </c>
      <c r="AS41" s="313">
        <v>1</v>
      </c>
      <c r="AT41" s="313">
        <v>1</v>
      </c>
      <c r="AU41" s="313">
        <v>1</v>
      </c>
      <c r="AV41" s="313">
        <v>1</v>
      </c>
      <c r="AW41" s="313">
        <v>0</v>
      </c>
      <c r="AX41" s="313">
        <v>1</v>
      </c>
      <c r="AY41" s="313">
        <v>1</v>
      </c>
      <c r="AZ41" s="313">
        <v>1</v>
      </c>
      <c r="BA41" s="313">
        <v>0</v>
      </c>
      <c r="BB41" s="313">
        <v>0</v>
      </c>
      <c r="BC41" s="313">
        <v>1</v>
      </c>
      <c r="BD41" s="313">
        <v>1</v>
      </c>
      <c r="BE41" s="313">
        <v>1</v>
      </c>
      <c r="BF41" s="313">
        <v>1</v>
      </c>
      <c r="BG41" s="313">
        <v>1</v>
      </c>
      <c r="BH41" s="313">
        <v>1</v>
      </c>
      <c r="BI41" s="313">
        <v>1</v>
      </c>
      <c r="BJ41" s="313">
        <v>1</v>
      </c>
      <c r="BK41" s="313">
        <v>1</v>
      </c>
    </row>
    <row r="42" spans="1:63" x14ac:dyDescent="0.25">
      <c r="A42" s="306">
        <v>311230</v>
      </c>
      <c r="B42" s="313" t="s">
        <v>31</v>
      </c>
      <c r="C42" s="313">
        <v>1</v>
      </c>
      <c r="D42" s="313">
        <v>0</v>
      </c>
      <c r="E42" s="313">
        <v>0</v>
      </c>
      <c r="F42" s="313">
        <v>1</v>
      </c>
      <c r="G42" s="313">
        <v>0</v>
      </c>
      <c r="H42" s="313">
        <v>1</v>
      </c>
      <c r="I42" s="313">
        <v>1</v>
      </c>
      <c r="J42" s="313">
        <v>1</v>
      </c>
      <c r="K42" s="313">
        <v>0</v>
      </c>
      <c r="L42" s="313">
        <v>0</v>
      </c>
      <c r="M42" s="313">
        <v>0</v>
      </c>
      <c r="N42" s="313">
        <v>1</v>
      </c>
      <c r="O42" s="313">
        <v>0</v>
      </c>
      <c r="P42" s="313">
        <v>1</v>
      </c>
      <c r="Q42" s="313">
        <v>0</v>
      </c>
      <c r="R42" s="313">
        <v>1</v>
      </c>
      <c r="S42" s="313">
        <v>0</v>
      </c>
      <c r="T42" s="313">
        <v>1</v>
      </c>
      <c r="U42" s="313">
        <v>0</v>
      </c>
      <c r="V42" s="313">
        <v>0</v>
      </c>
      <c r="W42" s="313">
        <v>1</v>
      </c>
      <c r="X42" s="313">
        <v>1</v>
      </c>
      <c r="Y42" s="313">
        <v>0</v>
      </c>
      <c r="Z42" s="313">
        <v>1</v>
      </c>
      <c r="AA42" s="313">
        <v>1</v>
      </c>
      <c r="AB42" s="313">
        <v>1</v>
      </c>
      <c r="AC42" s="313">
        <v>0</v>
      </c>
      <c r="AD42" s="313">
        <v>1</v>
      </c>
      <c r="AE42" s="313">
        <v>1</v>
      </c>
      <c r="AF42" s="313">
        <v>0</v>
      </c>
      <c r="AG42" s="313">
        <v>1</v>
      </c>
      <c r="AH42" s="313">
        <v>0</v>
      </c>
      <c r="AI42" s="313">
        <v>1</v>
      </c>
      <c r="AJ42" s="313">
        <v>1</v>
      </c>
      <c r="AK42" s="313">
        <v>1</v>
      </c>
      <c r="AL42" s="313">
        <v>0</v>
      </c>
      <c r="AM42" s="313">
        <v>1</v>
      </c>
      <c r="AN42" s="313">
        <v>0</v>
      </c>
      <c r="AO42" s="313">
        <v>1</v>
      </c>
      <c r="AP42" s="313">
        <v>1</v>
      </c>
      <c r="AQ42" s="313">
        <v>0</v>
      </c>
      <c r="AR42" s="313">
        <v>0</v>
      </c>
      <c r="AS42" s="313">
        <v>0</v>
      </c>
      <c r="AT42" s="313">
        <v>1</v>
      </c>
      <c r="AU42" s="313">
        <v>1</v>
      </c>
      <c r="AV42" s="313">
        <v>1</v>
      </c>
      <c r="AW42" s="313">
        <v>0</v>
      </c>
      <c r="AX42" s="313">
        <v>0</v>
      </c>
      <c r="AY42" s="313">
        <v>1</v>
      </c>
      <c r="AZ42" s="313">
        <v>1</v>
      </c>
      <c r="BA42" s="313">
        <v>0</v>
      </c>
      <c r="BB42" s="313">
        <v>1</v>
      </c>
      <c r="BC42" s="313">
        <v>1</v>
      </c>
      <c r="BD42" s="313">
        <v>1</v>
      </c>
      <c r="BE42" s="313">
        <v>1</v>
      </c>
      <c r="BF42" s="313">
        <v>1</v>
      </c>
      <c r="BG42" s="313">
        <v>1</v>
      </c>
      <c r="BH42" s="313">
        <v>1</v>
      </c>
      <c r="BI42" s="313">
        <v>1</v>
      </c>
      <c r="BJ42" s="313">
        <v>1</v>
      </c>
      <c r="BK42" s="313">
        <v>1</v>
      </c>
    </row>
    <row r="43" spans="1:63" x14ac:dyDescent="0.25">
      <c r="A43" s="306">
        <v>311313</v>
      </c>
      <c r="B43" s="313" t="s">
        <v>33</v>
      </c>
      <c r="C43" s="313">
        <v>1</v>
      </c>
      <c r="D43" s="313">
        <v>0</v>
      </c>
      <c r="E43" s="313">
        <v>0</v>
      </c>
      <c r="F43" s="313">
        <v>0</v>
      </c>
      <c r="G43" s="313">
        <v>0</v>
      </c>
      <c r="H43" s="313">
        <v>1</v>
      </c>
      <c r="I43" s="313">
        <v>1</v>
      </c>
      <c r="J43" s="313">
        <v>0</v>
      </c>
      <c r="K43" s="313">
        <v>0</v>
      </c>
      <c r="L43" s="313">
        <v>0</v>
      </c>
      <c r="M43" s="313">
        <v>0</v>
      </c>
      <c r="N43" s="313">
        <v>0</v>
      </c>
      <c r="O43" s="313">
        <v>0</v>
      </c>
      <c r="P43" s="313">
        <v>0</v>
      </c>
      <c r="Q43" s="313">
        <v>1</v>
      </c>
      <c r="R43" s="313">
        <v>0</v>
      </c>
      <c r="S43" s="313">
        <v>0</v>
      </c>
      <c r="T43" s="313">
        <v>0</v>
      </c>
      <c r="U43" s="313">
        <v>1</v>
      </c>
      <c r="V43" s="313">
        <v>1</v>
      </c>
      <c r="W43" s="313">
        <v>0</v>
      </c>
      <c r="X43" s="313">
        <v>0</v>
      </c>
      <c r="Y43" s="313">
        <v>0</v>
      </c>
      <c r="Z43" s="313">
        <v>1</v>
      </c>
      <c r="AA43" s="313">
        <v>1</v>
      </c>
      <c r="AB43" s="313">
        <v>0</v>
      </c>
      <c r="AC43" s="313">
        <v>0</v>
      </c>
      <c r="AD43" s="313">
        <v>1</v>
      </c>
      <c r="AE43" s="313">
        <v>0</v>
      </c>
      <c r="AF43" s="313">
        <v>1</v>
      </c>
      <c r="AG43" s="313">
        <v>1</v>
      </c>
      <c r="AH43" s="313">
        <v>0</v>
      </c>
      <c r="AI43" s="313">
        <v>1</v>
      </c>
      <c r="AJ43" s="313">
        <v>0</v>
      </c>
      <c r="AK43" s="313">
        <v>0</v>
      </c>
      <c r="AL43" s="313">
        <v>1</v>
      </c>
      <c r="AM43" s="313">
        <v>1</v>
      </c>
      <c r="AN43" s="313">
        <v>0</v>
      </c>
      <c r="AO43" s="313">
        <v>1</v>
      </c>
      <c r="AP43" s="313">
        <v>0</v>
      </c>
      <c r="AQ43" s="313">
        <v>0</v>
      </c>
      <c r="AR43" s="313">
        <v>0</v>
      </c>
      <c r="AS43" s="313">
        <v>1</v>
      </c>
      <c r="AT43" s="313">
        <v>0</v>
      </c>
      <c r="AU43" s="313">
        <v>0</v>
      </c>
      <c r="AV43" s="313">
        <v>0</v>
      </c>
      <c r="AW43" s="313">
        <v>0</v>
      </c>
      <c r="AX43" s="313">
        <v>0</v>
      </c>
      <c r="AY43" s="313">
        <v>0</v>
      </c>
      <c r="AZ43" s="313">
        <v>0</v>
      </c>
      <c r="BA43" s="313">
        <v>0</v>
      </c>
      <c r="BB43" s="313">
        <v>1</v>
      </c>
      <c r="BC43" s="313">
        <v>0</v>
      </c>
      <c r="BD43" s="313">
        <v>1</v>
      </c>
      <c r="BE43" s="313">
        <v>1</v>
      </c>
      <c r="BF43" s="313">
        <v>1</v>
      </c>
      <c r="BG43" s="313">
        <v>0</v>
      </c>
      <c r="BH43" s="313">
        <v>1</v>
      </c>
      <c r="BI43" s="313">
        <v>1</v>
      </c>
      <c r="BJ43" s="313">
        <v>1</v>
      </c>
      <c r="BK43" s="313">
        <v>1</v>
      </c>
    </row>
    <row r="44" spans="1:63" x14ac:dyDescent="0.25">
      <c r="A44" s="306" t="s">
        <v>705</v>
      </c>
      <c r="B44" s="313" t="s">
        <v>32</v>
      </c>
      <c r="C44" s="313">
        <v>1</v>
      </c>
      <c r="D44" s="313">
        <v>0</v>
      </c>
      <c r="E44" s="313">
        <v>1</v>
      </c>
      <c r="F44" s="313">
        <v>0</v>
      </c>
      <c r="G44" s="313">
        <v>0</v>
      </c>
      <c r="H44" s="313">
        <v>1</v>
      </c>
      <c r="I44" s="313">
        <v>0</v>
      </c>
      <c r="J44" s="313">
        <v>0</v>
      </c>
      <c r="K44" s="313">
        <v>0</v>
      </c>
      <c r="L44" s="313">
        <v>0</v>
      </c>
      <c r="M44" s="313">
        <v>1</v>
      </c>
      <c r="N44" s="313">
        <v>1</v>
      </c>
      <c r="O44" s="313">
        <v>1</v>
      </c>
      <c r="P44" s="313">
        <v>0</v>
      </c>
      <c r="Q44" s="313">
        <v>0</v>
      </c>
      <c r="R44" s="313">
        <v>1</v>
      </c>
      <c r="S44" s="313">
        <v>0</v>
      </c>
      <c r="T44" s="313">
        <v>0</v>
      </c>
      <c r="U44" s="313">
        <v>0</v>
      </c>
      <c r="V44" s="313">
        <v>1</v>
      </c>
      <c r="W44" s="313">
        <v>0</v>
      </c>
      <c r="X44" s="313">
        <v>1</v>
      </c>
      <c r="Y44" s="313">
        <v>0</v>
      </c>
      <c r="Z44" s="313">
        <v>1</v>
      </c>
      <c r="AA44" s="313">
        <v>0</v>
      </c>
      <c r="AB44" s="313">
        <v>0</v>
      </c>
      <c r="AC44" s="313">
        <v>0</v>
      </c>
      <c r="AD44" s="313">
        <v>0</v>
      </c>
      <c r="AE44" s="313">
        <v>0</v>
      </c>
      <c r="AF44" s="313">
        <v>0</v>
      </c>
      <c r="AG44" s="313">
        <v>1</v>
      </c>
      <c r="AH44" s="313">
        <v>1</v>
      </c>
      <c r="AI44" s="313">
        <v>0</v>
      </c>
      <c r="AJ44" s="313">
        <v>0</v>
      </c>
      <c r="AK44" s="313">
        <v>0</v>
      </c>
      <c r="AL44" s="313">
        <v>1</v>
      </c>
      <c r="AM44" s="313">
        <v>1</v>
      </c>
      <c r="AN44" s="313">
        <v>0</v>
      </c>
      <c r="AO44" s="313">
        <v>0</v>
      </c>
      <c r="AP44" s="313">
        <v>0</v>
      </c>
      <c r="AQ44" s="313">
        <v>0</v>
      </c>
      <c r="AR44" s="313">
        <v>0</v>
      </c>
      <c r="AS44" s="313">
        <v>0</v>
      </c>
      <c r="AT44" s="313">
        <v>1</v>
      </c>
      <c r="AU44" s="313">
        <v>1</v>
      </c>
      <c r="AV44" s="313">
        <v>0</v>
      </c>
      <c r="AW44" s="313">
        <v>0</v>
      </c>
      <c r="AX44" s="313">
        <v>0</v>
      </c>
      <c r="AY44" s="313">
        <v>0</v>
      </c>
      <c r="AZ44" s="313">
        <v>0</v>
      </c>
      <c r="BA44" s="313">
        <v>0</v>
      </c>
      <c r="BB44" s="313">
        <v>0</v>
      </c>
      <c r="BC44" s="313">
        <v>1</v>
      </c>
      <c r="BD44" s="313">
        <v>1</v>
      </c>
      <c r="BE44" s="313">
        <v>1</v>
      </c>
      <c r="BF44" s="313">
        <v>1</v>
      </c>
      <c r="BG44" s="313">
        <v>1</v>
      </c>
      <c r="BH44" s="313">
        <v>1</v>
      </c>
      <c r="BI44" s="313">
        <v>1</v>
      </c>
      <c r="BJ44" s="313">
        <v>0</v>
      </c>
      <c r="BK44" s="313">
        <v>1</v>
      </c>
    </row>
    <row r="45" spans="1:63" x14ac:dyDescent="0.25">
      <c r="A45" s="306">
        <v>311320</v>
      </c>
      <c r="B45" s="313" t="s">
        <v>34</v>
      </c>
      <c r="C45" s="313">
        <v>1</v>
      </c>
      <c r="D45" s="313">
        <v>0</v>
      </c>
      <c r="E45" s="313">
        <v>0</v>
      </c>
      <c r="F45" s="313">
        <v>1</v>
      </c>
      <c r="G45" s="313">
        <v>0</v>
      </c>
      <c r="H45" s="313">
        <v>1</v>
      </c>
      <c r="I45" s="313">
        <v>1</v>
      </c>
      <c r="J45" s="313">
        <v>1</v>
      </c>
      <c r="K45" s="313">
        <v>0</v>
      </c>
      <c r="L45" s="313">
        <v>0</v>
      </c>
      <c r="M45" s="313">
        <v>1</v>
      </c>
      <c r="N45" s="313">
        <v>1</v>
      </c>
      <c r="O45" s="313">
        <v>0</v>
      </c>
      <c r="P45" s="313">
        <v>0</v>
      </c>
      <c r="Q45" s="313">
        <v>0</v>
      </c>
      <c r="R45" s="313">
        <v>1</v>
      </c>
      <c r="S45" s="313">
        <v>0</v>
      </c>
      <c r="T45" s="313">
        <v>0</v>
      </c>
      <c r="U45" s="313">
        <v>0</v>
      </c>
      <c r="V45" s="313">
        <v>0</v>
      </c>
      <c r="W45" s="313">
        <v>1</v>
      </c>
      <c r="X45" s="313">
        <v>1</v>
      </c>
      <c r="Y45" s="313">
        <v>0</v>
      </c>
      <c r="Z45" s="313">
        <v>1</v>
      </c>
      <c r="AA45" s="313">
        <v>1</v>
      </c>
      <c r="AB45" s="313">
        <v>1</v>
      </c>
      <c r="AC45" s="313">
        <v>0</v>
      </c>
      <c r="AD45" s="313">
        <v>0</v>
      </c>
      <c r="AE45" s="313">
        <v>0</v>
      </c>
      <c r="AF45" s="313">
        <v>0</v>
      </c>
      <c r="AG45" s="313">
        <v>0</v>
      </c>
      <c r="AH45" s="313">
        <v>1</v>
      </c>
      <c r="AI45" s="313">
        <v>1</v>
      </c>
      <c r="AJ45" s="313">
        <v>1</v>
      </c>
      <c r="AK45" s="313">
        <v>1</v>
      </c>
      <c r="AL45" s="313">
        <v>1</v>
      </c>
      <c r="AM45" s="313">
        <v>1</v>
      </c>
      <c r="AN45" s="313">
        <v>1</v>
      </c>
      <c r="AO45" s="313">
        <v>1</v>
      </c>
      <c r="AP45" s="313">
        <v>1</v>
      </c>
      <c r="AQ45" s="313">
        <v>0</v>
      </c>
      <c r="AR45" s="313">
        <v>0</v>
      </c>
      <c r="AS45" s="313">
        <v>0</v>
      </c>
      <c r="AT45" s="313">
        <v>1</v>
      </c>
      <c r="AU45" s="313">
        <v>1</v>
      </c>
      <c r="AV45" s="313">
        <v>1</v>
      </c>
      <c r="AW45" s="313">
        <v>0</v>
      </c>
      <c r="AX45" s="313">
        <v>0</v>
      </c>
      <c r="AY45" s="313">
        <v>1</v>
      </c>
      <c r="AZ45" s="313">
        <v>1</v>
      </c>
      <c r="BA45" s="313">
        <v>0</v>
      </c>
      <c r="BB45" s="313">
        <v>0</v>
      </c>
      <c r="BC45" s="313">
        <v>1</v>
      </c>
      <c r="BD45" s="313">
        <v>1</v>
      </c>
      <c r="BE45" s="313">
        <v>1</v>
      </c>
      <c r="BF45" s="313">
        <v>1</v>
      </c>
      <c r="BG45" s="313">
        <v>1</v>
      </c>
      <c r="BH45" s="313">
        <v>1</v>
      </c>
      <c r="BI45" s="313">
        <v>1</v>
      </c>
      <c r="BJ45" s="313">
        <v>1</v>
      </c>
      <c r="BK45" s="313">
        <v>1</v>
      </c>
    </row>
    <row r="46" spans="1:63" x14ac:dyDescent="0.25">
      <c r="A46" s="306">
        <v>311330</v>
      </c>
      <c r="B46" s="313" t="s">
        <v>35</v>
      </c>
      <c r="C46" s="313">
        <v>1</v>
      </c>
      <c r="D46" s="313">
        <v>1</v>
      </c>
      <c r="E46" s="313">
        <v>1</v>
      </c>
      <c r="F46" s="313">
        <v>1</v>
      </c>
      <c r="G46" s="313">
        <v>1</v>
      </c>
      <c r="H46" s="313">
        <v>1</v>
      </c>
      <c r="I46" s="313">
        <v>1</v>
      </c>
      <c r="J46" s="313">
        <v>1</v>
      </c>
      <c r="K46" s="313">
        <v>1</v>
      </c>
      <c r="L46" s="313">
        <v>1</v>
      </c>
      <c r="M46" s="313">
        <v>1</v>
      </c>
      <c r="N46" s="313">
        <v>1</v>
      </c>
      <c r="O46" s="313">
        <v>1</v>
      </c>
      <c r="P46" s="313">
        <v>1</v>
      </c>
      <c r="Q46" s="313">
        <v>1</v>
      </c>
      <c r="R46" s="313">
        <v>1</v>
      </c>
      <c r="S46" s="313">
        <v>1</v>
      </c>
      <c r="T46" s="313">
        <v>1</v>
      </c>
      <c r="U46" s="313">
        <v>1</v>
      </c>
      <c r="V46" s="313">
        <v>1</v>
      </c>
      <c r="W46" s="313">
        <v>1</v>
      </c>
      <c r="X46" s="313">
        <v>1</v>
      </c>
      <c r="Y46" s="313">
        <v>1</v>
      </c>
      <c r="Z46" s="313">
        <v>1</v>
      </c>
      <c r="AA46" s="313">
        <v>1</v>
      </c>
      <c r="AB46" s="313">
        <v>1</v>
      </c>
      <c r="AC46" s="313">
        <v>1</v>
      </c>
      <c r="AD46" s="313">
        <v>1</v>
      </c>
      <c r="AE46" s="313">
        <v>1</v>
      </c>
      <c r="AF46" s="313">
        <v>1</v>
      </c>
      <c r="AG46" s="313">
        <v>1</v>
      </c>
      <c r="AH46" s="313">
        <v>1</v>
      </c>
      <c r="AI46" s="313">
        <v>1</v>
      </c>
      <c r="AJ46" s="313">
        <v>1</v>
      </c>
      <c r="AK46" s="313">
        <v>1</v>
      </c>
      <c r="AL46" s="313">
        <v>1</v>
      </c>
      <c r="AM46" s="313">
        <v>1</v>
      </c>
      <c r="AN46" s="313">
        <v>0</v>
      </c>
      <c r="AO46" s="313">
        <v>1</v>
      </c>
      <c r="AP46" s="313">
        <v>1</v>
      </c>
      <c r="AQ46" s="313">
        <v>1</v>
      </c>
      <c r="AR46" s="313">
        <v>1</v>
      </c>
      <c r="AS46" s="313">
        <v>1</v>
      </c>
      <c r="AT46" s="313">
        <v>1</v>
      </c>
      <c r="AU46" s="313">
        <v>1</v>
      </c>
      <c r="AV46" s="313">
        <v>1</v>
      </c>
      <c r="AW46" s="313">
        <v>1</v>
      </c>
      <c r="AX46" s="313">
        <v>1</v>
      </c>
      <c r="AY46" s="313">
        <v>1</v>
      </c>
      <c r="AZ46" s="313">
        <v>1</v>
      </c>
      <c r="BA46" s="313">
        <v>1</v>
      </c>
      <c r="BB46" s="313">
        <v>1</v>
      </c>
      <c r="BC46" s="313">
        <v>1</v>
      </c>
      <c r="BD46" s="313">
        <v>1</v>
      </c>
      <c r="BE46" s="313">
        <v>1</v>
      </c>
      <c r="BF46" s="313">
        <v>1</v>
      </c>
      <c r="BG46" s="313">
        <v>1</v>
      </c>
      <c r="BH46" s="313">
        <v>1</v>
      </c>
      <c r="BI46" s="313">
        <v>1</v>
      </c>
      <c r="BJ46" s="313">
        <v>1</v>
      </c>
      <c r="BK46" s="313">
        <v>1</v>
      </c>
    </row>
    <row r="47" spans="1:63" x14ac:dyDescent="0.25">
      <c r="A47" s="306">
        <v>311340</v>
      </c>
      <c r="B47" s="313" t="s">
        <v>36</v>
      </c>
      <c r="C47" s="313">
        <v>1</v>
      </c>
      <c r="D47" s="313">
        <v>1</v>
      </c>
      <c r="E47" s="313">
        <v>1</v>
      </c>
      <c r="F47" s="313">
        <v>1</v>
      </c>
      <c r="G47" s="313">
        <v>1</v>
      </c>
      <c r="H47" s="313">
        <v>1</v>
      </c>
      <c r="I47" s="313">
        <v>1</v>
      </c>
      <c r="J47" s="313">
        <v>1</v>
      </c>
      <c r="K47" s="313">
        <v>0</v>
      </c>
      <c r="L47" s="313">
        <v>1</v>
      </c>
      <c r="M47" s="313">
        <v>1</v>
      </c>
      <c r="N47" s="313">
        <v>1</v>
      </c>
      <c r="O47" s="313">
        <v>1</v>
      </c>
      <c r="P47" s="313">
        <v>1</v>
      </c>
      <c r="Q47" s="313">
        <v>1</v>
      </c>
      <c r="R47" s="313">
        <v>1</v>
      </c>
      <c r="S47" s="313">
        <v>1</v>
      </c>
      <c r="T47" s="313">
        <v>1</v>
      </c>
      <c r="U47" s="313">
        <v>1</v>
      </c>
      <c r="V47" s="313">
        <v>1</v>
      </c>
      <c r="W47" s="313">
        <v>1</v>
      </c>
      <c r="X47" s="313">
        <v>1</v>
      </c>
      <c r="Y47" s="313">
        <v>1</v>
      </c>
      <c r="Z47" s="313">
        <v>1</v>
      </c>
      <c r="AA47" s="313">
        <v>1</v>
      </c>
      <c r="AB47" s="313">
        <v>1</v>
      </c>
      <c r="AC47" s="313">
        <v>1</v>
      </c>
      <c r="AD47" s="313">
        <v>1</v>
      </c>
      <c r="AE47" s="313">
        <v>1</v>
      </c>
      <c r="AF47" s="313">
        <v>0</v>
      </c>
      <c r="AG47" s="313">
        <v>1</v>
      </c>
      <c r="AH47" s="313">
        <v>1</v>
      </c>
      <c r="AI47" s="313">
        <v>1</v>
      </c>
      <c r="AJ47" s="313">
        <v>1</v>
      </c>
      <c r="AK47" s="313">
        <v>1</v>
      </c>
      <c r="AL47" s="313">
        <v>1</v>
      </c>
      <c r="AM47" s="313">
        <v>1</v>
      </c>
      <c r="AN47" s="313">
        <v>1</v>
      </c>
      <c r="AO47" s="313">
        <v>1</v>
      </c>
      <c r="AP47" s="313">
        <v>1</v>
      </c>
      <c r="AQ47" s="313">
        <v>0</v>
      </c>
      <c r="AR47" s="313">
        <v>1</v>
      </c>
      <c r="AS47" s="313">
        <v>1</v>
      </c>
      <c r="AT47" s="313">
        <v>1</v>
      </c>
      <c r="AU47" s="313">
        <v>1</v>
      </c>
      <c r="AV47" s="313">
        <v>1</v>
      </c>
      <c r="AW47" s="313">
        <v>1</v>
      </c>
      <c r="AX47" s="313">
        <v>1</v>
      </c>
      <c r="AY47" s="313">
        <v>1</v>
      </c>
      <c r="AZ47" s="313">
        <v>1</v>
      </c>
      <c r="BA47" s="313">
        <v>1</v>
      </c>
      <c r="BB47" s="313">
        <v>1</v>
      </c>
      <c r="BC47" s="313">
        <v>1</v>
      </c>
      <c r="BD47" s="313">
        <v>1</v>
      </c>
      <c r="BE47" s="313">
        <v>1</v>
      </c>
      <c r="BF47" s="313">
        <v>1</v>
      </c>
      <c r="BG47" s="313">
        <v>1</v>
      </c>
      <c r="BH47" s="313">
        <v>1</v>
      </c>
      <c r="BI47" s="313">
        <v>1</v>
      </c>
      <c r="BJ47" s="313">
        <v>1</v>
      </c>
      <c r="BK47" s="313">
        <v>1</v>
      </c>
    </row>
    <row r="48" spans="1:63" x14ac:dyDescent="0.25">
      <c r="A48" s="306">
        <v>311410</v>
      </c>
      <c r="B48" s="313" t="s">
        <v>37</v>
      </c>
      <c r="C48" s="313">
        <v>1</v>
      </c>
      <c r="D48" s="313">
        <v>0</v>
      </c>
      <c r="E48" s="313">
        <v>0</v>
      </c>
      <c r="F48" s="313">
        <v>1</v>
      </c>
      <c r="G48" s="313">
        <v>1</v>
      </c>
      <c r="H48" s="313">
        <v>1</v>
      </c>
      <c r="I48" s="313">
        <v>1</v>
      </c>
      <c r="J48" s="313">
        <v>1</v>
      </c>
      <c r="K48" s="313">
        <v>0</v>
      </c>
      <c r="L48" s="313">
        <v>1</v>
      </c>
      <c r="M48" s="313">
        <v>1</v>
      </c>
      <c r="N48" s="313">
        <v>1</v>
      </c>
      <c r="O48" s="313">
        <v>1</v>
      </c>
      <c r="P48" s="313">
        <v>1</v>
      </c>
      <c r="Q48" s="313">
        <v>1</v>
      </c>
      <c r="R48" s="313">
        <v>1</v>
      </c>
      <c r="S48" s="313">
        <v>1</v>
      </c>
      <c r="T48" s="313">
        <v>1</v>
      </c>
      <c r="U48" s="313">
        <v>1</v>
      </c>
      <c r="V48" s="313">
        <v>1</v>
      </c>
      <c r="W48" s="313">
        <v>1</v>
      </c>
      <c r="X48" s="313">
        <v>1</v>
      </c>
      <c r="Y48" s="313">
        <v>1</v>
      </c>
      <c r="Z48" s="313">
        <v>1</v>
      </c>
      <c r="AA48" s="313">
        <v>1</v>
      </c>
      <c r="AB48" s="313">
        <v>1</v>
      </c>
      <c r="AC48" s="313">
        <v>1</v>
      </c>
      <c r="AD48" s="313">
        <v>0</v>
      </c>
      <c r="AE48" s="313">
        <v>1</v>
      </c>
      <c r="AF48" s="313">
        <v>1</v>
      </c>
      <c r="AG48" s="313">
        <v>1</v>
      </c>
      <c r="AH48" s="313">
        <v>1</v>
      </c>
      <c r="AI48" s="313">
        <v>1</v>
      </c>
      <c r="AJ48" s="313">
        <v>1</v>
      </c>
      <c r="AK48" s="313">
        <v>1</v>
      </c>
      <c r="AL48" s="313">
        <v>1</v>
      </c>
      <c r="AM48" s="313">
        <v>1</v>
      </c>
      <c r="AN48" s="313">
        <v>1</v>
      </c>
      <c r="AO48" s="313">
        <v>1</v>
      </c>
      <c r="AP48" s="313">
        <v>1</v>
      </c>
      <c r="AQ48" s="313">
        <v>1</v>
      </c>
      <c r="AR48" s="313">
        <v>1</v>
      </c>
      <c r="AS48" s="313">
        <v>1</v>
      </c>
      <c r="AT48" s="313">
        <v>1</v>
      </c>
      <c r="AU48" s="313">
        <v>1</v>
      </c>
      <c r="AV48" s="313">
        <v>1</v>
      </c>
      <c r="AW48" s="313">
        <v>1</v>
      </c>
      <c r="AX48" s="313">
        <v>1</v>
      </c>
      <c r="AY48" s="313">
        <v>1</v>
      </c>
      <c r="AZ48" s="313">
        <v>1</v>
      </c>
      <c r="BA48" s="313">
        <v>1</v>
      </c>
      <c r="BB48" s="313">
        <v>0</v>
      </c>
      <c r="BC48" s="313">
        <v>1</v>
      </c>
      <c r="BD48" s="313">
        <v>1</v>
      </c>
      <c r="BE48" s="313">
        <v>1</v>
      </c>
      <c r="BF48" s="313">
        <v>1</v>
      </c>
      <c r="BG48" s="313">
        <v>1</v>
      </c>
      <c r="BH48" s="313">
        <v>1</v>
      </c>
      <c r="BI48" s="313">
        <v>1</v>
      </c>
      <c r="BJ48" s="313">
        <v>1</v>
      </c>
      <c r="BK48" s="313">
        <v>1</v>
      </c>
    </row>
    <row r="49" spans="1:63" x14ac:dyDescent="0.25">
      <c r="A49" s="306">
        <v>311420</v>
      </c>
      <c r="B49" s="313" t="s">
        <v>38</v>
      </c>
      <c r="C49" s="313">
        <v>1</v>
      </c>
      <c r="D49" s="313">
        <v>0</v>
      </c>
      <c r="E49" s="313">
        <v>1</v>
      </c>
      <c r="F49" s="313">
        <v>1</v>
      </c>
      <c r="G49" s="313">
        <v>1</v>
      </c>
      <c r="H49" s="313">
        <v>1</v>
      </c>
      <c r="I49" s="313">
        <v>1</v>
      </c>
      <c r="J49" s="313">
        <v>1</v>
      </c>
      <c r="K49" s="313">
        <v>0</v>
      </c>
      <c r="L49" s="313">
        <v>1</v>
      </c>
      <c r="M49" s="313">
        <v>1</v>
      </c>
      <c r="N49" s="313">
        <v>1</v>
      </c>
      <c r="O49" s="313">
        <v>1</v>
      </c>
      <c r="P49" s="313">
        <v>1</v>
      </c>
      <c r="Q49" s="313">
        <v>1</v>
      </c>
      <c r="R49" s="313">
        <v>1</v>
      </c>
      <c r="S49" s="313">
        <v>1</v>
      </c>
      <c r="T49" s="313">
        <v>1</v>
      </c>
      <c r="U49" s="313">
        <v>1</v>
      </c>
      <c r="V49" s="313">
        <v>1</v>
      </c>
      <c r="W49" s="313">
        <v>1</v>
      </c>
      <c r="X49" s="313">
        <v>1</v>
      </c>
      <c r="Y49" s="313">
        <v>1</v>
      </c>
      <c r="Z49" s="313">
        <v>1</v>
      </c>
      <c r="AA49" s="313">
        <v>1</v>
      </c>
      <c r="AB49" s="313">
        <v>1</v>
      </c>
      <c r="AC49" s="313">
        <v>1</v>
      </c>
      <c r="AD49" s="313">
        <v>1</v>
      </c>
      <c r="AE49" s="313">
        <v>1</v>
      </c>
      <c r="AF49" s="313">
        <v>1</v>
      </c>
      <c r="AG49" s="313">
        <v>1</v>
      </c>
      <c r="AH49" s="313">
        <v>1</v>
      </c>
      <c r="AI49" s="313">
        <v>1</v>
      </c>
      <c r="AJ49" s="313">
        <v>1</v>
      </c>
      <c r="AK49" s="313">
        <v>1</v>
      </c>
      <c r="AL49" s="313">
        <v>1</v>
      </c>
      <c r="AM49" s="313">
        <v>1</v>
      </c>
      <c r="AN49" s="313">
        <v>1</v>
      </c>
      <c r="AO49" s="313">
        <v>1</v>
      </c>
      <c r="AP49" s="313">
        <v>1</v>
      </c>
      <c r="AQ49" s="313">
        <v>1</v>
      </c>
      <c r="AR49" s="313">
        <v>1</v>
      </c>
      <c r="AS49" s="313">
        <v>0</v>
      </c>
      <c r="AT49" s="313">
        <v>1</v>
      </c>
      <c r="AU49" s="313">
        <v>1</v>
      </c>
      <c r="AV49" s="313">
        <v>1</v>
      </c>
      <c r="AW49" s="313">
        <v>1</v>
      </c>
      <c r="AX49" s="313">
        <v>1</v>
      </c>
      <c r="AY49" s="313">
        <v>1</v>
      </c>
      <c r="AZ49" s="313">
        <v>1</v>
      </c>
      <c r="BA49" s="313">
        <v>1</v>
      </c>
      <c r="BB49" s="313">
        <v>0</v>
      </c>
      <c r="BC49" s="313">
        <v>1</v>
      </c>
      <c r="BD49" s="313">
        <v>1</v>
      </c>
      <c r="BE49" s="313">
        <v>1</v>
      </c>
      <c r="BF49" s="313">
        <v>1</v>
      </c>
      <c r="BG49" s="313">
        <v>1</v>
      </c>
      <c r="BH49" s="313">
        <v>1</v>
      </c>
      <c r="BI49" s="313">
        <v>1</v>
      </c>
      <c r="BJ49" s="313">
        <v>1</v>
      </c>
      <c r="BK49" s="313">
        <v>1</v>
      </c>
    </row>
    <row r="50" spans="1:63" x14ac:dyDescent="0.25">
      <c r="A50" s="306">
        <v>311513</v>
      </c>
      <c r="B50" s="313" t="s">
        <v>40</v>
      </c>
      <c r="C50" s="313">
        <v>1</v>
      </c>
      <c r="D50" s="313">
        <v>0</v>
      </c>
      <c r="E50" s="313">
        <v>1</v>
      </c>
      <c r="F50" s="313">
        <v>1</v>
      </c>
      <c r="G50" s="313">
        <v>0</v>
      </c>
      <c r="H50" s="313">
        <v>1</v>
      </c>
      <c r="I50" s="313">
        <v>1</v>
      </c>
      <c r="J50" s="313">
        <v>1</v>
      </c>
      <c r="K50" s="313">
        <v>0</v>
      </c>
      <c r="L50" s="313">
        <v>0</v>
      </c>
      <c r="M50" s="313">
        <v>1</v>
      </c>
      <c r="N50" s="313">
        <v>1</v>
      </c>
      <c r="O50" s="313">
        <v>1</v>
      </c>
      <c r="P50" s="313">
        <v>1</v>
      </c>
      <c r="Q50" s="313">
        <v>1</v>
      </c>
      <c r="R50" s="313">
        <v>1</v>
      </c>
      <c r="S50" s="313">
        <v>1</v>
      </c>
      <c r="T50" s="313">
        <v>0</v>
      </c>
      <c r="U50" s="313">
        <v>1</v>
      </c>
      <c r="V50" s="313">
        <v>1</v>
      </c>
      <c r="W50" s="313">
        <v>1</v>
      </c>
      <c r="X50" s="313">
        <v>1</v>
      </c>
      <c r="Y50" s="313">
        <v>1</v>
      </c>
      <c r="Z50" s="313">
        <v>1</v>
      </c>
      <c r="AA50" s="313">
        <v>1</v>
      </c>
      <c r="AB50" s="313">
        <v>1</v>
      </c>
      <c r="AC50" s="313">
        <v>0</v>
      </c>
      <c r="AD50" s="313">
        <v>0</v>
      </c>
      <c r="AE50" s="313">
        <v>1</v>
      </c>
      <c r="AF50" s="313">
        <v>1</v>
      </c>
      <c r="AG50" s="313">
        <v>1</v>
      </c>
      <c r="AH50" s="313">
        <v>0</v>
      </c>
      <c r="AI50" s="313">
        <v>1</v>
      </c>
      <c r="AJ50" s="313">
        <v>1</v>
      </c>
      <c r="AK50" s="313">
        <v>0</v>
      </c>
      <c r="AL50" s="313">
        <v>1</v>
      </c>
      <c r="AM50" s="313">
        <v>1</v>
      </c>
      <c r="AN50" s="313">
        <v>1</v>
      </c>
      <c r="AO50" s="313">
        <v>1</v>
      </c>
      <c r="AP50" s="313">
        <v>1</v>
      </c>
      <c r="AQ50" s="313">
        <v>1</v>
      </c>
      <c r="AR50" s="313">
        <v>1</v>
      </c>
      <c r="AS50" s="313">
        <v>1</v>
      </c>
      <c r="AT50" s="313">
        <v>1</v>
      </c>
      <c r="AU50" s="313">
        <v>1</v>
      </c>
      <c r="AV50" s="313">
        <v>1</v>
      </c>
      <c r="AW50" s="313">
        <v>0</v>
      </c>
      <c r="AX50" s="313">
        <v>1</v>
      </c>
      <c r="AY50" s="313">
        <v>1</v>
      </c>
      <c r="AZ50" s="313">
        <v>1</v>
      </c>
      <c r="BA50" s="313">
        <v>0</v>
      </c>
      <c r="BB50" s="313">
        <v>0</v>
      </c>
      <c r="BC50" s="313">
        <v>1</v>
      </c>
      <c r="BD50" s="313">
        <v>1</v>
      </c>
      <c r="BE50" s="313">
        <v>1</v>
      </c>
      <c r="BF50" s="313">
        <v>1</v>
      </c>
      <c r="BG50" s="313">
        <v>1</v>
      </c>
      <c r="BH50" s="313">
        <v>1</v>
      </c>
      <c r="BI50" s="313">
        <v>1</v>
      </c>
      <c r="BJ50" s="313">
        <v>1</v>
      </c>
      <c r="BK50" s="313">
        <v>1</v>
      </c>
    </row>
    <row r="51" spans="1:63" x14ac:dyDescent="0.25">
      <c r="A51" s="306">
        <v>311514</v>
      </c>
      <c r="B51" s="313" t="s">
        <v>41</v>
      </c>
      <c r="C51" s="313">
        <v>1</v>
      </c>
      <c r="D51" s="313">
        <v>0</v>
      </c>
      <c r="E51" s="313">
        <v>0</v>
      </c>
      <c r="F51" s="313">
        <v>1</v>
      </c>
      <c r="G51" s="313">
        <v>1</v>
      </c>
      <c r="H51" s="313">
        <v>1</v>
      </c>
      <c r="I51" s="313">
        <v>1</v>
      </c>
      <c r="J51" s="313">
        <v>0</v>
      </c>
      <c r="K51" s="313">
        <v>0</v>
      </c>
      <c r="L51" s="313">
        <v>0</v>
      </c>
      <c r="M51" s="313">
        <v>1</v>
      </c>
      <c r="N51" s="313">
        <v>1</v>
      </c>
      <c r="O51" s="313">
        <v>0</v>
      </c>
      <c r="P51" s="313">
        <v>1</v>
      </c>
      <c r="Q51" s="313">
        <v>1</v>
      </c>
      <c r="R51" s="313">
        <v>1</v>
      </c>
      <c r="S51" s="313">
        <v>1</v>
      </c>
      <c r="T51" s="313">
        <v>1</v>
      </c>
      <c r="U51" s="313">
        <v>1</v>
      </c>
      <c r="V51" s="313">
        <v>1</v>
      </c>
      <c r="W51" s="313">
        <v>1</v>
      </c>
      <c r="X51" s="313">
        <v>1</v>
      </c>
      <c r="Y51" s="313">
        <v>0</v>
      </c>
      <c r="Z51" s="313">
        <v>1</v>
      </c>
      <c r="AA51" s="313">
        <v>1</v>
      </c>
      <c r="AB51" s="313">
        <v>1</v>
      </c>
      <c r="AC51" s="313">
        <v>0</v>
      </c>
      <c r="AD51" s="313">
        <v>0</v>
      </c>
      <c r="AE51" s="313">
        <v>0</v>
      </c>
      <c r="AF51" s="313">
        <v>0</v>
      </c>
      <c r="AG51" s="313">
        <v>1</v>
      </c>
      <c r="AH51" s="313">
        <v>0</v>
      </c>
      <c r="AI51" s="313">
        <v>1</v>
      </c>
      <c r="AJ51" s="313">
        <v>1</v>
      </c>
      <c r="AK51" s="313">
        <v>0</v>
      </c>
      <c r="AL51" s="313">
        <v>1</v>
      </c>
      <c r="AM51" s="313">
        <v>1</v>
      </c>
      <c r="AN51" s="313">
        <v>1</v>
      </c>
      <c r="AO51" s="313">
        <v>1</v>
      </c>
      <c r="AP51" s="313">
        <v>1</v>
      </c>
      <c r="AQ51" s="313">
        <v>0</v>
      </c>
      <c r="AR51" s="313">
        <v>0</v>
      </c>
      <c r="AS51" s="313">
        <v>1</v>
      </c>
      <c r="AT51" s="313">
        <v>1</v>
      </c>
      <c r="AU51" s="313">
        <v>1</v>
      </c>
      <c r="AV51" s="313">
        <v>1</v>
      </c>
      <c r="AW51" s="313">
        <v>1</v>
      </c>
      <c r="AX51" s="313">
        <v>1</v>
      </c>
      <c r="AY51" s="313">
        <v>1</v>
      </c>
      <c r="AZ51" s="313">
        <v>1</v>
      </c>
      <c r="BA51" s="313">
        <v>0</v>
      </c>
      <c r="BB51" s="313">
        <v>0</v>
      </c>
      <c r="BC51" s="313">
        <v>1</v>
      </c>
      <c r="BD51" s="313">
        <v>1</v>
      </c>
      <c r="BE51" s="313">
        <v>1</v>
      </c>
      <c r="BF51" s="313">
        <v>1</v>
      </c>
      <c r="BG51" s="313">
        <v>1</v>
      </c>
      <c r="BH51" s="313">
        <v>1</v>
      </c>
      <c r="BI51" s="313">
        <v>1</v>
      </c>
      <c r="BJ51" s="313">
        <v>1</v>
      </c>
      <c r="BK51" s="313">
        <v>1</v>
      </c>
    </row>
    <row r="52" spans="1:63" x14ac:dyDescent="0.25">
      <c r="A52" s="306" t="s">
        <v>706</v>
      </c>
      <c r="B52" s="313" t="s">
        <v>39</v>
      </c>
      <c r="C52" s="313">
        <v>1</v>
      </c>
      <c r="D52" s="313">
        <v>0</v>
      </c>
      <c r="E52" s="313">
        <v>1</v>
      </c>
      <c r="F52" s="313">
        <v>1</v>
      </c>
      <c r="G52" s="313">
        <v>1</v>
      </c>
      <c r="H52" s="313">
        <v>1</v>
      </c>
      <c r="I52" s="313">
        <v>1</v>
      </c>
      <c r="J52" s="313">
        <v>1</v>
      </c>
      <c r="K52" s="313">
        <v>0</v>
      </c>
      <c r="L52" s="313">
        <v>1</v>
      </c>
      <c r="M52" s="313">
        <v>1</v>
      </c>
      <c r="N52" s="313">
        <v>1</v>
      </c>
      <c r="O52" s="313">
        <v>1</v>
      </c>
      <c r="P52" s="313">
        <v>1</v>
      </c>
      <c r="Q52" s="313">
        <v>1</v>
      </c>
      <c r="R52" s="313">
        <v>1</v>
      </c>
      <c r="S52" s="313">
        <v>1</v>
      </c>
      <c r="T52" s="313">
        <v>1</v>
      </c>
      <c r="U52" s="313">
        <v>1</v>
      </c>
      <c r="V52" s="313">
        <v>1</v>
      </c>
      <c r="W52" s="313">
        <v>1</v>
      </c>
      <c r="X52" s="313">
        <v>1</v>
      </c>
      <c r="Y52" s="313">
        <v>1</v>
      </c>
      <c r="Z52" s="313">
        <v>1</v>
      </c>
      <c r="AA52" s="313">
        <v>1</v>
      </c>
      <c r="AB52" s="313">
        <v>1</v>
      </c>
      <c r="AC52" s="313">
        <v>1</v>
      </c>
      <c r="AD52" s="313">
        <v>1</v>
      </c>
      <c r="AE52" s="313">
        <v>1</v>
      </c>
      <c r="AF52" s="313">
        <v>1</v>
      </c>
      <c r="AG52" s="313">
        <v>1</v>
      </c>
      <c r="AH52" s="313">
        <v>1</v>
      </c>
      <c r="AI52" s="313">
        <v>1</v>
      </c>
      <c r="AJ52" s="313">
        <v>1</v>
      </c>
      <c r="AK52" s="313">
        <v>1</v>
      </c>
      <c r="AL52" s="313">
        <v>1</v>
      </c>
      <c r="AM52" s="313">
        <v>1</v>
      </c>
      <c r="AN52" s="313">
        <v>1</v>
      </c>
      <c r="AO52" s="313">
        <v>1</v>
      </c>
      <c r="AP52" s="313">
        <v>1</v>
      </c>
      <c r="AQ52" s="313">
        <v>1</v>
      </c>
      <c r="AR52" s="313">
        <v>1</v>
      </c>
      <c r="AS52" s="313">
        <v>1</v>
      </c>
      <c r="AT52" s="313">
        <v>1</v>
      </c>
      <c r="AU52" s="313">
        <v>1</v>
      </c>
      <c r="AV52" s="313">
        <v>1</v>
      </c>
      <c r="AW52" s="313">
        <v>1</v>
      </c>
      <c r="AX52" s="313">
        <v>1</v>
      </c>
      <c r="AY52" s="313">
        <v>1</v>
      </c>
      <c r="AZ52" s="313">
        <v>1</v>
      </c>
      <c r="BA52" s="313">
        <v>1</v>
      </c>
      <c r="BB52" s="313">
        <v>1</v>
      </c>
      <c r="BC52" s="313">
        <v>1</v>
      </c>
      <c r="BD52" s="313">
        <v>1</v>
      </c>
      <c r="BE52" s="313">
        <v>1</v>
      </c>
      <c r="BF52" s="313">
        <v>1</v>
      </c>
      <c r="BG52" s="313">
        <v>1</v>
      </c>
      <c r="BH52" s="313">
        <v>1</v>
      </c>
      <c r="BI52" s="313">
        <v>1</v>
      </c>
      <c r="BJ52" s="313">
        <v>1</v>
      </c>
      <c r="BK52" s="313">
        <v>1</v>
      </c>
    </row>
    <row r="53" spans="1:63" x14ac:dyDescent="0.25">
      <c r="A53" s="306">
        <v>311520</v>
      </c>
      <c r="B53" s="313" t="s">
        <v>42</v>
      </c>
      <c r="C53" s="313">
        <v>1</v>
      </c>
      <c r="D53" s="313">
        <v>1</v>
      </c>
      <c r="E53" s="313">
        <v>1</v>
      </c>
      <c r="F53" s="313">
        <v>1</v>
      </c>
      <c r="G53" s="313">
        <v>1</v>
      </c>
      <c r="H53" s="313">
        <v>1</v>
      </c>
      <c r="I53" s="313">
        <v>1</v>
      </c>
      <c r="J53" s="313">
        <v>1</v>
      </c>
      <c r="K53" s="313">
        <v>0</v>
      </c>
      <c r="L53" s="313">
        <v>0</v>
      </c>
      <c r="M53" s="313">
        <v>1</v>
      </c>
      <c r="N53" s="313">
        <v>1</v>
      </c>
      <c r="O53" s="313">
        <v>1</v>
      </c>
      <c r="P53" s="313">
        <v>1</v>
      </c>
      <c r="Q53" s="313">
        <v>0</v>
      </c>
      <c r="R53" s="313">
        <v>1</v>
      </c>
      <c r="S53" s="313">
        <v>1</v>
      </c>
      <c r="T53" s="313">
        <v>0</v>
      </c>
      <c r="U53" s="313">
        <v>1</v>
      </c>
      <c r="V53" s="313">
        <v>0</v>
      </c>
      <c r="W53" s="313">
        <v>1</v>
      </c>
      <c r="X53" s="313">
        <v>1</v>
      </c>
      <c r="Y53" s="313">
        <v>1</v>
      </c>
      <c r="Z53" s="313">
        <v>1</v>
      </c>
      <c r="AA53" s="313">
        <v>1</v>
      </c>
      <c r="AB53" s="313">
        <v>1</v>
      </c>
      <c r="AC53" s="313">
        <v>1</v>
      </c>
      <c r="AD53" s="313">
        <v>1</v>
      </c>
      <c r="AE53" s="313">
        <v>1</v>
      </c>
      <c r="AF53" s="313">
        <v>0</v>
      </c>
      <c r="AG53" s="313">
        <v>1</v>
      </c>
      <c r="AH53" s="313">
        <v>1</v>
      </c>
      <c r="AI53" s="313">
        <v>1</v>
      </c>
      <c r="AJ53" s="313">
        <v>0</v>
      </c>
      <c r="AK53" s="313">
        <v>1</v>
      </c>
      <c r="AL53" s="313">
        <v>1</v>
      </c>
      <c r="AM53" s="313">
        <v>1</v>
      </c>
      <c r="AN53" s="313">
        <v>1</v>
      </c>
      <c r="AO53" s="313">
        <v>1</v>
      </c>
      <c r="AP53" s="313">
        <v>1</v>
      </c>
      <c r="AQ53" s="313">
        <v>1</v>
      </c>
      <c r="AR53" s="313">
        <v>1</v>
      </c>
      <c r="AS53" s="313">
        <v>1</v>
      </c>
      <c r="AT53" s="313">
        <v>1</v>
      </c>
      <c r="AU53" s="313">
        <v>1</v>
      </c>
      <c r="AV53" s="313">
        <v>1</v>
      </c>
      <c r="AW53" s="313">
        <v>1</v>
      </c>
      <c r="AX53" s="313">
        <v>1</v>
      </c>
      <c r="AY53" s="313">
        <v>1</v>
      </c>
      <c r="AZ53" s="313">
        <v>1</v>
      </c>
      <c r="BA53" s="313">
        <v>1</v>
      </c>
      <c r="BB53" s="313">
        <v>0</v>
      </c>
      <c r="BC53" s="313">
        <v>1</v>
      </c>
      <c r="BD53" s="313">
        <v>1</v>
      </c>
      <c r="BE53" s="313">
        <v>1</v>
      </c>
      <c r="BF53" s="313">
        <v>1</v>
      </c>
      <c r="BG53" s="313">
        <v>1</v>
      </c>
      <c r="BH53" s="313">
        <v>1</v>
      </c>
      <c r="BI53" s="313">
        <v>1</v>
      </c>
      <c r="BJ53" s="313">
        <v>1</v>
      </c>
      <c r="BK53" s="313">
        <v>1</v>
      </c>
    </row>
    <row r="54" spans="1:63" x14ac:dyDescent="0.25">
      <c r="A54" s="306">
        <v>311615</v>
      </c>
      <c r="B54" s="313" t="s">
        <v>44</v>
      </c>
      <c r="C54" s="313">
        <v>1</v>
      </c>
      <c r="D54" s="313">
        <v>1</v>
      </c>
      <c r="E54" s="313">
        <v>1</v>
      </c>
      <c r="F54" s="313">
        <v>1</v>
      </c>
      <c r="G54" s="313">
        <v>1</v>
      </c>
      <c r="H54" s="313">
        <v>1</v>
      </c>
      <c r="I54" s="313">
        <v>1</v>
      </c>
      <c r="J54" s="313">
        <v>1</v>
      </c>
      <c r="K54" s="313">
        <v>0</v>
      </c>
      <c r="L54" s="313">
        <v>1</v>
      </c>
      <c r="M54" s="313">
        <v>1</v>
      </c>
      <c r="N54" s="313">
        <v>1</v>
      </c>
      <c r="O54" s="313">
        <v>1</v>
      </c>
      <c r="P54" s="313">
        <v>1</v>
      </c>
      <c r="Q54" s="313">
        <v>1</v>
      </c>
      <c r="R54" s="313">
        <v>1</v>
      </c>
      <c r="S54" s="313">
        <v>1</v>
      </c>
      <c r="T54" s="313">
        <v>1</v>
      </c>
      <c r="U54" s="313">
        <v>1</v>
      </c>
      <c r="V54" s="313">
        <v>1</v>
      </c>
      <c r="W54" s="313">
        <v>1</v>
      </c>
      <c r="X54" s="313">
        <v>1</v>
      </c>
      <c r="Y54" s="313">
        <v>1</v>
      </c>
      <c r="Z54" s="313">
        <v>1</v>
      </c>
      <c r="AA54" s="313">
        <v>1</v>
      </c>
      <c r="AB54" s="313">
        <v>1</v>
      </c>
      <c r="AC54" s="313">
        <v>1</v>
      </c>
      <c r="AD54" s="313">
        <v>1</v>
      </c>
      <c r="AE54" s="313">
        <v>1</v>
      </c>
      <c r="AF54" s="313">
        <v>0</v>
      </c>
      <c r="AG54" s="313">
        <v>1</v>
      </c>
      <c r="AH54" s="313">
        <v>0</v>
      </c>
      <c r="AI54" s="313">
        <v>1</v>
      </c>
      <c r="AJ54" s="313">
        <v>1</v>
      </c>
      <c r="AK54" s="313">
        <v>0</v>
      </c>
      <c r="AL54" s="313">
        <v>1</v>
      </c>
      <c r="AM54" s="313">
        <v>1</v>
      </c>
      <c r="AN54" s="313">
        <v>1</v>
      </c>
      <c r="AO54" s="313">
        <v>1</v>
      </c>
      <c r="AP54" s="313">
        <v>1</v>
      </c>
      <c r="AQ54" s="313">
        <v>1</v>
      </c>
      <c r="AR54" s="313">
        <v>1</v>
      </c>
      <c r="AS54" s="313">
        <v>1</v>
      </c>
      <c r="AT54" s="313">
        <v>1</v>
      </c>
      <c r="AU54" s="313">
        <v>1</v>
      </c>
      <c r="AV54" s="313">
        <v>1</v>
      </c>
      <c r="AW54" s="313">
        <v>1</v>
      </c>
      <c r="AX54" s="313">
        <v>0</v>
      </c>
      <c r="AY54" s="313">
        <v>1</v>
      </c>
      <c r="AZ54" s="313">
        <v>1</v>
      </c>
      <c r="BA54" s="313">
        <v>1</v>
      </c>
      <c r="BB54" s="313">
        <v>0</v>
      </c>
      <c r="BC54" s="313">
        <v>1</v>
      </c>
      <c r="BD54" s="313">
        <v>1</v>
      </c>
      <c r="BE54" s="313">
        <v>1</v>
      </c>
      <c r="BF54" s="313">
        <v>1</v>
      </c>
      <c r="BG54" s="313">
        <v>1</v>
      </c>
      <c r="BH54" s="313">
        <v>1</v>
      </c>
      <c r="BI54" s="313">
        <v>1</v>
      </c>
      <c r="BJ54" s="313">
        <v>1</v>
      </c>
      <c r="BK54" s="313">
        <v>1</v>
      </c>
    </row>
    <row r="55" spans="1:63" x14ac:dyDescent="0.25">
      <c r="A55" s="306" t="s">
        <v>707</v>
      </c>
      <c r="B55" s="313" t="s">
        <v>43</v>
      </c>
      <c r="C55" s="313">
        <v>1</v>
      </c>
      <c r="D55" s="313">
        <v>1</v>
      </c>
      <c r="E55" s="313">
        <v>1</v>
      </c>
      <c r="F55" s="313">
        <v>1</v>
      </c>
      <c r="G55" s="313">
        <v>1</v>
      </c>
      <c r="H55" s="313">
        <v>1</v>
      </c>
      <c r="I55" s="313">
        <v>1</v>
      </c>
      <c r="J55" s="313">
        <v>1</v>
      </c>
      <c r="K55" s="313">
        <v>0</v>
      </c>
      <c r="L55" s="313">
        <v>1</v>
      </c>
      <c r="M55" s="313">
        <v>1</v>
      </c>
      <c r="N55" s="313">
        <v>1</v>
      </c>
      <c r="O55" s="313">
        <v>1</v>
      </c>
      <c r="P55" s="313">
        <v>1</v>
      </c>
      <c r="Q55" s="313">
        <v>1</v>
      </c>
      <c r="R55" s="313">
        <v>1</v>
      </c>
      <c r="S55" s="313">
        <v>1</v>
      </c>
      <c r="T55" s="313">
        <v>1</v>
      </c>
      <c r="U55" s="313">
        <v>1</v>
      </c>
      <c r="V55" s="313">
        <v>1</v>
      </c>
      <c r="W55" s="313">
        <v>1</v>
      </c>
      <c r="X55" s="313">
        <v>1</v>
      </c>
      <c r="Y55" s="313">
        <v>1</v>
      </c>
      <c r="Z55" s="313">
        <v>1</v>
      </c>
      <c r="AA55" s="313">
        <v>1</v>
      </c>
      <c r="AB55" s="313">
        <v>1</v>
      </c>
      <c r="AC55" s="313">
        <v>1</v>
      </c>
      <c r="AD55" s="313">
        <v>1</v>
      </c>
      <c r="AE55" s="313">
        <v>1</v>
      </c>
      <c r="AF55" s="313">
        <v>1</v>
      </c>
      <c r="AG55" s="313">
        <v>1</v>
      </c>
      <c r="AH55" s="313">
        <v>1</v>
      </c>
      <c r="AI55" s="313">
        <v>1</v>
      </c>
      <c r="AJ55" s="313">
        <v>1</v>
      </c>
      <c r="AK55" s="313">
        <v>1</v>
      </c>
      <c r="AL55" s="313">
        <v>1</v>
      </c>
      <c r="AM55" s="313">
        <v>1</v>
      </c>
      <c r="AN55" s="313">
        <v>1</v>
      </c>
      <c r="AO55" s="313">
        <v>1</v>
      </c>
      <c r="AP55" s="313">
        <v>1</v>
      </c>
      <c r="AQ55" s="313">
        <v>1</v>
      </c>
      <c r="AR55" s="313">
        <v>1</v>
      </c>
      <c r="AS55" s="313">
        <v>1</v>
      </c>
      <c r="AT55" s="313">
        <v>1</v>
      </c>
      <c r="AU55" s="313">
        <v>1</v>
      </c>
      <c r="AV55" s="313">
        <v>1</v>
      </c>
      <c r="AW55" s="313">
        <v>1</v>
      </c>
      <c r="AX55" s="313">
        <v>1</v>
      </c>
      <c r="AY55" s="313">
        <v>1</v>
      </c>
      <c r="AZ55" s="313">
        <v>1</v>
      </c>
      <c r="BA55" s="313">
        <v>1</v>
      </c>
      <c r="BB55" s="313">
        <v>1</v>
      </c>
      <c r="BC55" s="313">
        <v>1</v>
      </c>
      <c r="BD55" s="313">
        <v>1</v>
      </c>
      <c r="BE55" s="313">
        <v>1</v>
      </c>
      <c r="BF55" s="313">
        <v>1</v>
      </c>
      <c r="BG55" s="313">
        <v>1</v>
      </c>
      <c r="BH55" s="313">
        <v>1</v>
      </c>
      <c r="BI55" s="313">
        <v>1</v>
      </c>
      <c r="BJ55" s="313">
        <v>1</v>
      </c>
      <c r="BK55" s="313">
        <v>1</v>
      </c>
    </row>
    <row r="56" spans="1:63" x14ac:dyDescent="0.25">
      <c r="A56" s="306">
        <v>311700</v>
      </c>
      <c r="B56" s="313" t="s">
        <v>45</v>
      </c>
      <c r="C56" s="313">
        <v>1</v>
      </c>
      <c r="D56" s="313">
        <v>1</v>
      </c>
      <c r="E56" s="313">
        <v>1</v>
      </c>
      <c r="F56" s="313">
        <v>1</v>
      </c>
      <c r="G56" s="313">
        <v>0</v>
      </c>
      <c r="H56" s="313">
        <v>1</v>
      </c>
      <c r="I56" s="313">
        <v>1</v>
      </c>
      <c r="J56" s="313">
        <v>1</v>
      </c>
      <c r="K56" s="313">
        <v>0</v>
      </c>
      <c r="L56" s="313">
        <v>1</v>
      </c>
      <c r="M56" s="313">
        <v>1</v>
      </c>
      <c r="N56" s="313">
        <v>1</v>
      </c>
      <c r="O56" s="313">
        <v>1</v>
      </c>
      <c r="P56" s="313">
        <v>1</v>
      </c>
      <c r="Q56" s="313">
        <v>1</v>
      </c>
      <c r="R56" s="313">
        <v>1</v>
      </c>
      <c r="S56" s="313">
        <v>1</v>
      </c>
      <c r="T56" s="313">
        <v>0</v>
      </c>
      <c r="U56" s="313">
        <v>1</v>
      </c>
      <c r="V56" s="313">
        <v>1</v>
      </c>
      <c r="W56" s="313">
        <v>1</v>
      </c>
      <c r="X56" s="313">
        <v>1</v>
      </c>
      <c r="Y56" s="313">
        <v>1</v>
      </c>
      <c r="Z56" s="313">
        <v>1</v>
      </c>
      <c r="AA56" s="313">
        <v>1</v>
      </c>
      <c r="AB56" s="313">
        <v>0</v>
      </c>
      <c r="AC56" s="313">
        <v>1</v>
      </c>
      <c r="AD56" s="313">
        <v>1</v>
      </c>
      <c r="AE56" s="313">
        <v>1</v>
      </c>
      <c r="AF56" s="313">
        <v>1</v>
      </c>
      <c r="AG56" s="313">
        <v>1</v>
      </c>
      <c r="AH56" s="313">
        <v>1</v>
      </c>
      <c r="AI56" s="313">
        <v>1</v>
      </c>
      <c r="AJ56" s="313">
        <v>0</v>
      </c>
      <c r="AK56" s="313">
        <v>1</v>
      </c>
      <c r="AL56" s="313">
        <v>1</v>
      </c>
      <c r="AM56" s="313">
        <v>1</v>
      </c>
      <c r="AN56" s="313">
        <v>0</v>
      </c>
      <c r="AO56" s="313">
        <v>1</v>
      </c>
      <c r="AP56" s="313">
        <v>1</v>
      </c>
      <c r="AQ56" s="313">
        <v>1</v>
      </c>
      <c r="AR56" s="313">
        <v>1</v>
      </c>
      <c r="AS56" s="313">
        <v>0</v>
      </c>
      <c r="AT56" s="313">
        <v>0</v>
      </c>
      <c r="AU56" s="313">
        <v>1</v>
      </c>
      <c r="AV56" s="313">
        <v>0</v>
      </c>
      <c r="AW56" s="313">
        <v>1</v>
      </c>
      <c r="AX56" s="313">
        <v>0</v>
      </c>
      <c r="AY56" s="313">
        <v>1</v>
      </c>
      <c r="AZ56" s="313">
        <v>1</v>
      </c>
      <c r="BA56" s="313">
        <v>0</v>
      </c>
      <c r="BB56" s="313">
        <v>0</v>
      </c>
      <c r="BC56" s="313">
        <v>1</v>
      </c>
      <c r="BD56" s="313">
        <v>1</v>
      </c>
      <c r="BE56" s="313">
        <v>1</v>
      </c>
      <c r="BF56" s="313">
        <v>1</v>
      </c>
      <c r="BG56" s="313">
        <v>1</v>
      </c>
      <c r="BH56" s="313">
        <v>1</v>
      </c>
      <c r="BI56" s="313">
        <v>1</v>
      </c>
      <c r="BJ56" s="313">
        <v>1</v>
      </c>
      <c r="BK56" s="313">
        <v>1</v>
      </c>
    </row>
    <row r="57" spans="1:63" x14ac:dyDescent="0.25">
      <c r="A57" s="306">
        <v>311810</v>
      </c>
      <c r="B57" s="313" t="s">
        <v>46</v>
      </c>
      <c r="C57" s="313">
        <v>1</v>
      </c>
      <c r="D57" s="313">
        <v>1</v>
      </c>
      <c r="E57" s="313">
        <v>1</v>
      </c>
      <c r="F57" s="313">
        <v>1</v>
      </c>
      <c r="G57" s="313">
        <v>1</v>
      </c>
      <c r="H57" s="313">
        <v>1</v>
      </c>
      <c r="I57" s="313">
        <v>1</v>
      </c>
      <c r="J57" s="313">
        <v>1</v>
      </c>
      <c r="K57" s="313">
        <v>1</v>
      </c>
      <c r="L57" s="313">
        <v>1</v>
      </c>
      <c r="M57" s="313">
        <v>1</v>
      </c>
      <c r="N57" s="313">
        <v>1</v>
      </c>
      <c r="O57" s="313">
        <v>1</v>
      </c>
      <c r="P57" s="313">
        <v>1</v>
      </c>
      <c r="Q57" s="313">
        <v>1</v>
      </c>
      <c r="R57" s="313">
        <v>1</v>
      </c>
      <c r="S57" s="313">
        <v>1</v>
      </c>
      <c r="T57" s="313">
        <v>1</v>
      </c>
      <c r="U57" s="313">
        <v>1</v>
      </c>
      <c r="V57" s="313">
        <v>1</v>
      </c>
      <c r="W57" s="313">
        <v>1</v>
      </c>
      <c r="X57" s="313">
        <v>1</v>
      </c>
      <c r="Y57" s="313">
        <v>1</v>
      </c>
      <c r="Z57" s="313">
        <v>1</v>
      </c>
      <c r="AA57" s="313">
        <v>1</v>
      </c>
      <c r="AB57" s="313">
        <v>1</v>
      </c>
      <c r="AC57" s="313">
        <v>1</v>
      </c>
      <c r="AD57" s="313">
        <v>1</v>
      </c>
      <c r="AE57" s="313">
        <v>1</v>
      </c>
      <c r="AF57" s="313">
        <v>1</v>
      </c>
      <c r="AG57" s="313">
        <v>1</v>
      </c>
      <c r="AH57" s="313">
        <v>1</v>
      </c>
      <c r="AI57" s="313">
        <v>1</v>
      </c>
      <c r="AJ57" s="313">
        <v>1</v>
      </c>
      <c r="AK57" s="313">
        <v>1</v>
      </c>
      <c r="AL57" s="313">
        <v>1</v>
      </c>
      <c r="AM57" s="313">
        <v>1</v>
      </c>
      <c r="AN57" s="313">
        <v>1</v>
      </c>
      <c r="AO57" s="313">
        <v>1</v>
      </c>
      <c r="AP57" s="313">
        <v>1</v>
      </c>
      <c r="AQ57" s="313">
        <v>1</v>
      </c>
      <c r="AR57" s="313">
        <v>1</v>
      </c>
      <c r="AS57" s="313">
        <v>1</v>
      </c>
      <c r="AT57" s="313">
        <v>1</v>
      </c>
      <c r="AU57" s="313">
        <v>1</v>
      </c>
      <c r="AV57" s="313">
        <v>1</v>
      </c>
      <c r="AW57" s="313">
        <v>1</v>
      </c>
      <c r="AX57" s="313">
        <v>1</v>
      </c>
      <c r="AY57" s="313">
        <v>1</v>
      </c>
      <c r="AZ57" s="313">
        <v>1</v>
      </c>
      <c r="BA57" s="313">
        <v>1</v>
      </c>
      <c r="BB57" s="313">
        <v>1</v>
      </c>
      <c r="BC57" s="313">
        <v>1</v>
      </c>
      <c r="BD57" s="313">
        <v>1</v>
      </c>
      <c r="BE57" s="313">
        <v>1</v>
      </c>
      <c r="BF57" s="313">
        <v>1</v>
      </c>
      <c r="BG57" s="313">
        <v>1</v>
      </c>
      <c r="BH57" s="313">
        <v>1</v>
      </c>
      <c r="BI57" s="313">
        <v>1</v>
      </c>
      <c r="BJ57" s="313">
        <v>1</v>
      </c>
      <c r="BK57" s="313">
        <v>1</v>
      </c>
    </row>
    <row r="58" spans="1:63" x14ac:dyDescent="0.25">
      <c r="A58" s="306">
        <v>311820</v>
      </c>
      <c r="B58" s="313" t="s">
        <v>47</v>
      </c>
      <c r="C58" s="313">
        <v>1</v>
      </c>
      <c r="D58" s="313">
        <v>0</v>
      </c>
      <c r="E58" s="313">
        <v>1</v>
      </c>
      <c r="F58" s="313">
        <v>1</v>
      </c>
      <c r="G58" s="313">
        <v>1</v>
      </c>
      <c r="H58" s="313">
        <v>1</v>
      </c>
      <c r="I58" s="313">
        <v>1</v>
      </c>
      <c r="J58" s="313">
        <v>1</v>
      </c>
      <c r="K58" s="313">
        <v>1</v>
      </c>
      <c r="L58" s="313">
        <v>0</v>
      </c>
      <c r="M58" s="313">
        <v>1</v>
      </c>
      <c r="N58" s="313">
        <v>1</v>
      </c>
      <c r="O58" s="313">
        <v>1</v>
      </c>
      <c r="P58" s="313">
        <v>1</v>
      </c>
      <c r="Q58" s="313">
        <v>1</v>
      </c>
      <c r="R58" s="313">
        <v>1</v>
      </c>
      <c r="S58" s="313">
        <v>1</v>
      </c>
      <c r="T58" s="313">
        <v>1</v>
      </c>
      <c r="U58" s="313">
        <v>1</v>
      </c>
      <c r="V58" s="313">
        <v>1</v>
      </c>
      <c r="W58" s="313">
        <v>1</v>
      </c>
      <c r="X58" s="313">
        <v>1</v>
      </c>
      <c r="Y58" s="313">
        <v>1</v>
      </c>
      <c r="Z58" s="313">
        <v>1</v>
      </c>
      <c r="AA58" s="313">
        <v>1</v>
      </c>
      <c r="AB58" s="313">
        <v>1</v>
      </c>
      <c r="AC58" s="313">
        <v>1</v>
      </c>
      <c r="AD58" s="313">
        <v>1</v>
      </c>
      <c r="AE58" s="313">
        <v>1</v>
      </c>
      <c r="AF58" s="313">
        <v>1</v>
      </c>
      <c r="AG58" s="313">
        <v>1</v>
      </c>
      <c r="AH58" s="313">
        <v>1</v>
      </c>
      <c r="AI58" s="313">
        <v>1</v>
      </c>
      <c r="AJ58" s="313">
        <v>1</v>
      </c>
      <c r="AK58" s="313">
        <v>1</v>
      </c>
      <c r="AL58" s="313">
        <v>1</v>
      </c>
      <c r="AM58" s="313">
        <v>1</v>
      </c>
      <c r="AN58" s="313">
        <v>1</v>
      </c>
      <c r="AO58" s="313">
        <v>1</v>
      </c>
      <c r="AP58" s="313">
        <v>1</v>
      </c>
      <c r="AQ58" s="313">
        <v>1</v>
      </c>
      <c r="AR58" s="313">
        <v>1</v>
      </c>
      <c r="AS58" s="313">
        <v>1</v>
      </c>
      <c r="AT58" s="313">
        <v>1</v>
      </c>
      <c r="AU58" s="313">
        <v>1</v>
      </c>
      <c r="AV58" s="313">
        <v>1</v>
      </c>
      <c r="AW58" s="313">
        <v>1</v>
      </c>
      <c r="AX58" s="313">
        <v>1</v>
      </c>
      <c r="AY58" s="313">
        <v>1</v>
      </c>
      <c r="AZ58" s="313">
        <v>1</v>
      </c>
      <c r="BA58" s="313">
        <v>1</v>
      </c>
      <c r="BB58" s="313">
        <v>0</v>
      </c>
      <c r="BC58" s="313">
        <v>1</v>
      </c>
      <c r="BD58" s="313">
        <v>1</v>
      </c>
      <c r="BE58" s="313">
        <v>1</v>
      </c>
      <c r="BF58" s="313">
        <v>1</v>
      </c>
      <c r="BG58" s="313">
        <v>1</v>
      </c>
      <c r="BH58" s="313">
        <v>1</v>
      </c>
      <c r="BI58" s="313">
        <v>1</v>
      </c>
      <c r="BJ58" s="313">
        <v>1</v>
      </c>
      <c r="BK58" s="313">
        <v>1</v>
      </c>
    </row>
    <row r="59" spans="1:63" x14ac:dyDescent="0.25">
      <c r="A59" s="306">
        <v>311830</v>
      </c>
      <c r="B59" s="313" t="s">
        <v>48</v>
      </c>
      <c r="C59" s="313">
        <v>1</v>
      </c>
      <c r="D59" s="313">
        <v>1</v>
      </c>
      <c r="E59" s="313">
        <v>0</v>
      </c>
      <c r="F59" s="313">
        <v>1</v>
      </c>
      <c r="G59" s="313">
        <v>1</v>
      </c>
      <c r="H59" s="313">
        <v>1</v>
      </c>
      <c r="I59" s="313">
        <v>1</v>
      </c>
      <c r="J59" s="313">
        <v>0</v>
      </c>
      <c r="K59" s="313">
        <v>0</v>
      </c>
      <c r="L59" s="313">
        <v>0</v>
      </c>
      <c r="M59" s="313">
        <v>1</v>
      </c>
      <c r="N59" s="313">
        <v>1</v>
      </c>
      <c r="O59" s="313">
        <v>1</v>
      </c>
      <c r="P59" s="313">
        <v>0</v>
      </c>
      <c r="Q59" s="313">
        <v>1</v>
      </c>
      <c r="R59" s="313">
        <v>1</v>
      </c>
      <c r="S59" s="313">
        <v>1</v>
      </c>
      <c r="T59" s="313">
        <v>1</v>
      </c>
      <c r="U59" s="313">
        <v>0</v>
      </c>
      <c r="V59" s="313">
        <v>0</v>
      </c>
      <c r="W59" s="313">
        <v>1</v>
      </c>
      <c r="X59" s="313">
        <v>1</v>
      </c>
      <c r="Y59" s="313">
        <v>0</v>
      </c>
      <c r="Z59" s="313">
        <v>1</v>
      </c>
      <c r="AA59" s="313">
        <v>1</v>
      </c>
      <c r="AB59" s="313">
        <v>1</v>
      </c>
      <c r="AC59" s="313">
        <v>0</v>
      </c>
      <c r="AD59" s="313">
        <v>1</v>
      </c>
      <c r="AE59" s="313">
        <v>1</v>
      </c>
      <c r="AF59" s="313">
        <v>0</v>
      </c>
      <c r="AG59" s="313">
        <v>1</v>
      </c>
      <c r="AH59" s="313">
        <v>0</v>
      </c>
      <c r="AI59" s="313">
        <v>1</v>
      </c>
      <c r="AJ59" s="313">
        <v>1</v>
      </c>
      <c r="AK59" s="313">
        <v>1</v>
      </c>
      <c r="AL59" s="313">
        <v>1</v>
      </c>
      <c r="AM59" s="313">
        <v>1</v>
      </c>
      <c r="AN59" s="313">
        <v>1</v>
      </c>
      <c r="AO59" s="313">
        <v>1</v>
      </c>
      <c r="AP59" s="313">
        <v>1</v>
      </c>
      <c r="AQ59" s="313">
        <v>1</v>
      </c>
      <c r="AR59" s="313">
        <v>0</v>
      </c>
      <c r="AS59" s="313">
        <v>1</v>
      </c>
      <c r="AT59" s="313">
        <v>1</v>
      </c>
      <c r="AU59" s="313">
        <v>1</v>
      </c>
      <c r="AV59" s="313">
        <v>1</v>
      </c>
      <c r="AW59" s="313">
        <v>1</v>
      </c>
      <c r="AX59" s="313">
        <v>0</v>
      </c>
      <c r="AY59" s="313">
        <v>1</v>
      </c>
      <c r="AZ59" s="313">
        <v>1</v>
      </c>
      <c r="BA59" s="313">
        <v>0</v>
      </c>
      <c r="BB59" s="313">
        <v>0</v>
      </c>
      <c r="BC59" s="313">
        <v>1</v>
      </c>
      <c r="BD59" s="313">
        <v>1</v>
      </c>
      <c r="BE59" s="313">
        <v>1</v>
      </c>
      <c r="BF59" s="313">
        <v>1</v>
      </c>
      <c r="BG59" s="313">
        <v>1</v>
      </c>
      <c r="BH59" s="313">
        <v>1</v>
      </c>
      <c r="BI59" s="313">
        <v>1</v>
      </c>
      <c r="BJ59" s="313">
        <v>1</v>
      </c>
      <c r="BK59" s="313">
        <v>1</v>
      </c>
    </row>
    <row r="60" spans="1:63" x14ac:dyDescent="0.25">
      <c r="A60" s="306">
        <v>311910</v>
      </c>
      <c r="B60" s="313" t="s">
        <v>49</v>
      </c>
      <c r="C60" s="313">
        <v>1</v>
      </c>
      <c r="D60" s="313">
        <v>1</v>
      </c>
      <c r="E60" s="313">
        <v>1</v>
      </c>
      <c r="F60" s="313">
        <v>1</v>
      </c>
      <c r="G60" s="313">
        <v>1</v>
      </c>
      <c r="H60" s="313">
        <v>1</v>
      </c>
      <c r="I60" s="313">
        <v>1</v>
      </c>
      <c r="J60" s="313">
        <v>1</v>
      </c>
      <c r="K60" s="313">
        <v>0</v>
      </c>
      <c r="L60" s="313">
        <v>0</v>
      </c>
      <c r="M60" s="313">
        <v>1</v>
      </c>
      <c r="N60" s="313">
        <v>1</v>
      </c>
      <c r="O60" s="313">
        <v>1</v>
      </c>
      <c r="P60" s="313">
        <v>1</v>
      </c>
      <c r="Q60" s="313">
        <v>1</v>
      </c>
      <c r="R60" s="313">
        <v>1</v>
      </c>
      <c r="S60" s="313">
        <v>1</v>
      </c>
      <c r="T60" s="313">
        <v>1</v>
      </c>
      <c r="U60" s="313">
        <v>1</v>
      </c>
      <c r="V60" s="313">
        <v>1</v>
      </c>
      <c r="W60" s="313">
        <v>1</v>
      </c>
      <c r="X60" s="313">
        <v>1</v>
      </c>
      <c r="Y60" s="313">
        <v>0</v>
      </c>
      <c r="Z60" s="313">
        <v>1</v>
      </c>
      <c r="AA60" s="313">
        <v>1</v>
      </c>
      <c r="AB60" s="313">
        <v>1</v>
      </c>
      <c r="AC60" s="313">
        <v>1</v>
      </c>
      <c r="AD60" s="313">
        <v>1</v>
      </c>
      <c r="AE60" s="313">
        <v>1</v>
      </c>
      <c r="AF60" s="313">
        <v>1</v>
      </c>
      <c r="AG60" s="313">
        <v>1</v>
      </c>
      <c r="AH60" s="313">
        <v>1</v>
      </c>
      <c r="AI60" s="313">
        <v>1</v>
      </c>
      <c r="AJ60" s="313">
        <v>1</v>
      </c>
      <c r="AK60" s="313">
        <v>1</v>
      </c>
      <c r="AL60" s="313">
        <v>1</v>
      </c>
      <c r="AM60" s="313">
        <v>1</v>
      </c>
      <c r="AN60" s="313">
        <v>1</v>
      </c>
      <c r="AO60" s="313">
        <v>1</v>
      </c>
      <c r="AP60" s="313">
        <v>1</v>
      </c>
      <c r="AQ60" s="313">
        <v>1</v>
      </c>
      <c r="AR60" s="313">
        <v>1</v>
      </c>
      <c r="AS60" s="313">
        <v>1</v>
      </c>
      <c r="AT60" s="313">
        <v>1</v>
      </c>
      <c r="AU60" s="313">
        <v>1</v>
      </c>
      <c r="AV60" s="313">
        <v>1</v>
      </c>
      <c r="AW60" s="313">
        <v>1</v>
      </c>
      <c r="AX60" s="313">
        <v>1</v>
      </c>
      <c r="AY60" s="313">
        <v>1</v>
      </c>
      <c r="AZ60" s="313">
        <v>1</v>
      </c>
      <c r="BA60" s="313">
        <v>1</v>
      </c>
      <c r="BB60" s="313">
        <v>0</v>
      </c>
      <c r="BC60" s="313">
        <v>1</v>
      </c>
      <c r="BD60" s="313">
        <v>1</v>
      </c>
      <c r="BE60" s="313">
        <v>1</v>
      </c>
      <c r="BF60" s="313">
        <v>1</v>
      </c>
      <c r="BG60" s="313">
        <v>1</v>
      </c>
      <c r="BH60" s="313">
        <v>1</v>
      </c>
      <c r="BI60" s="313">
        <v>1</v>
      </c>
      <c r="BJ60" s="313">
        <v>1</v>
      </c>
      <c r="BK60" s="313">
        <v>1</v>
      </c>
    </row>
    <row r="61" spans="1:63" x14ac:dyDescent="0.25">
      <c r="A61" s="306">
        <v>311920</v>
      </c>
      <c r="B61" s="313" t="s">
        <v>50</v>
      </c>
      <c r="C61" s="313">
        <v>1</v>
      </c>
      <c r="D61" s="313">
        <v>1</v>
      </c>
      <c r="E61" s="313">
        <v>1</v>
      </c>
      <c r="F61" s="313">
        <v>1</v>
      </c>
      <c r="G61" s="313">
        <v>1</v>
      </c>
      <c r="H61" s="313">
        <v>1</v>
      </c>
      <c r="I61" s="313">
        <v>1</v>
      </c>
      <c r="J61" s="313">
        <v>1</v>
      </c>
      <c r="K61" s="313">
        <v>0</v>
      </c>
      <c r="L61" s="313">
        <v>0</v>
      </c>
      <c r="M61" s="313">
        <v>1</v>
      </c>
      <c r="N61" s="313">
        <v>1</v>
      </c>
      <c r="O61" s="313">
        <v>1</v>
      </c>
      <c r="P61" s="313">
        <v>1</v>
      </c>
      <c r="Q61" s="313">
        <v>1</v>
      </c>
      <c r="R61" s="313">
        <v>1</v>
      </c>
      <c r="S61" s="313">
        <v>1</v>
      </c>
      <c r="T61" s="313">
        <v>1</v>
      </c>
      <c r="U61" s="313">
        <v>1</v>
      </c>
      <c r="V61" s="313">
        <v>1</v>
      </c>
      <c r="W61" s="313">
        <v>1</v>
      </c>
      <c r="X61" s="313">
        <v>1</v>
      </c>
      <c r="Y61" s="313">
        <v>1</v>
      </c>
      <c r="Z61" s="313">
        <v>1</v>
      </c>
      <c r="AA61" s="313">
        <v>1</v>
      </c>
      <c r="AB61" s="313">
        <v>1</v>
      </c>
      <c r="AC61" s="313">
        <v>0</v>
      </c>
      <c r="AD61" s="313">
        <v>1</v>
      </c>
      <c r="AE61" s="313">
        <v>1</v>
      </c>
      <c r="AF61" s="313">
        <v>0</v>
      </c>
      <c r="AG61" s="313">
        <v>1</v>
      </c>
      <c r="AH61" s="313">
        <v>1</v>
      </c>
      <c r="AI61" s="313">
        <v>1</v>
      </c>
      <c r="AJ61" s="313">
        <v>0</v>
      </c>
      <c r="AK61" s="313">
        <v>1</v>
      </c>
      <c r="AL61" s="313">
        <v>1</v>
      </c>
      <c r="AM61" s="313">
        <v>1</v>
      </c>
      <c r="AN61" s="313">
        <v>1</v>
      </c>
      <c r="AO61" s="313">
        <v>1</v>
      </c>
      <c r="AP61" s="313">
        <v>1</v>
      </c>
      <c r="AQ61" s="313">
        <v>1</v>
      </c>
      <c r="AR61" s="313">
        <v>1</v>
      </c>
      <c r="AS61" s="313">
        <v>0</v>
      </c>
      <c r="AT61" s="313">
        <v>1</v>
      </c>
      <c r="AU61" s="313">
        <v>1</v>
      </c>
      <c r="AV61" s="313">
        <v>1</v>
      </c>
      <c r="AW61" s="313">
        <v>1</v>
      </c>
      <c r="AX61" s="313">
        <v>1</v>
      </c>
      <c r="AY61" s="313">
        <v>1</v>
      </c>
      <c r="AZ61" s="313">
        <v>1</v>
      </c>
      <c r="BA61" s="313">
        <v>0</v>
      </c>
      <c r="BB61" s="313">
        <v>1</v>
      </c>
      <c r="BC61" s="313">
        <v>1</v>
      </c>
      <c r="BD61" s="313">
        <v>1</v>
      </c>
      <c r="BE61" s="313">
        <v>1</v>
      </c>
      <c r="BF61" s="313">
        <v>1</v>
      </c>
      <c r="BG61" s="313">
        <v>1</v>
      </c>
      <c r="BH61" s="313">
        <v>1</v>
      </c>
      <c r="BI61" s="313">
        <v>1</v>
      </c>
      <c r="BJ61" s="313">
        <v>1</v>
      </c>
      <c r="BK61" s="313">
        <v>1</v>
      </c>
    </row>
    <row r="62" spans="1:63" x14ac:dyDescent="0.25">
      <c r="A62" s="306">
        <v>311930</v>
      </c>
      <c r="B62" s="313" t="s">
        <v>51</v>
      </c>
      <c r="C62" s="313">
        <v>1</v>
      </c>
      <c r="D62" s="313">
        <v>0</v>
      </c>
      <c r="E62" s="313">
        <v>1</v>
      </c>
      <c r="F62" s="313">
        <v>1</v>
      </c>
      <c r="G62" s="313">
        <v>1</v>
      </c>
      <c r="H62" s="313">
        <v>1</v>
      </c>
      <c r="I62" s="313">
        <v>0</v>
      </c>
      <c r="J62" s="313">
        <v>1</v>
      </c>
      <c r="K62" s="313">
        <v>0</v>
      </c>
      <c r="L62" s="313">
        <v>0</v>
      </c>
      <c r="M62" s="313">
        <v>1</v>
      </c>
      <c r="N62" s="313">
        <v>1</v>
      </c>
      <c r="O62" s="313">
        <v>1</v>
      </c>
      <c r="P62" s="313">
        <v>0</v>
      </c>
      <c r="Q62" s="313">
        <v>0</v>
      </c>
      <c r="R62" s="313">
        <v>1</v>
      </c>
      <c r="S62" s="313">
        <v>1</v>
      </c>
      <c r="T62" s="313">
        <v>1</v>
      </c>
      <c r="U62" s="313">
        <v>1</v>
      </c>
      <c r="V62" s="313">
        <v>1</v>
      </c>
      <c r="W62" s="313">
        <v>0</v>
      </c>
      <c r="X62" s="313">
        <v>1</v>
      </c>
      <c r="Y62" s="313">
        <v>0</v>
      </c>
      <c r="Z62" s="313">
        <v>1</v>
      </c>
      <c r="AA62" s="313">
        <v>0</v>
      </c>
      <c r="AB62" s="313">
        <v>1</v>
      </c>
      <c r="AC62" s="313">
        <v>1</v>
      </c>
      <c r="AD62" s="313">
        <v>0</v>
      </c>
      <c r="AE62" s="313">
        <v>1</v>
      </c>
      <c r="AF62" s="313">
        <v>0</v>
      </c>
      <c r="AG62" s="313">
        <v>0</v>
      </c>
      <c r="AH62" s="313">
        <v>1</v>
      </c>
      <c r="AI62" s="313">
        <v>1</v>
      </c>
      <c r="AJ62" s="313">
        <v>0</v>
      </c>
      <c r="AK62" s="313">
        <v>1</v>
      </c>
      <c r="AL62" s="313">
        <v>1</v>
      </c>
      <c r="AM62" s="313">
        <v>1</v>
      </c>
      <c r="AN62" s="313">
        <v>1</v>
      </c>
      <c r="AO62" s="313">
        <v>1</v>
      </c>
      <c r="AP62" s="313">
        <v>1</v>
      </c>
      <c r="AQ62" s="313">
        <v>1</v>
      </c>
      <c r="AR62" s="313">
        <v>0</v>
      </c>
      <c r="AS62" s="313">
        <v>0</v>
      </c>
      <c r="AT62" s="313">
        <v>1</v>
      </c>
      <c r="AU62" s="313">
        <v>1</v>
      </c>
      <c r="AV62" s="313">
        <v>0</v>
      </c>
      <c r="AW62" s="313">
        <v>0</v>
      </c>
      <c r="AX62" s="313">
        <v>0</v>
      </c>
      <c r="AY62" s="313">
        <v>1</v>
      </c>
      <c r="AZ62" s="313">
        <v>1</v>
      </c>
      <c r="BA62" s="313">
        <v>0</v>
      </c>
      <c r="BB62" s="313">
        <v>0</v>
      </c>
      <c r="BC62" s="313">
        <v>1</v>
      </c>
      <c r="BD62" s="313">
        <v>1</v>
      </c>
      <c r="BE62" s="313">
        <v>1</v>
      </c>
      <c r="BF62" s="313">
        <v>1</v>
      </c>
      <c r="BG62" s="313">
        <v>1</v>
      </c>
      <c r="BH62" s="313">
        <v>1</v>
      </c>
      <c r="BI62" s="313">
        <v>1</v>
      </c>
      <c r="BJ62" s="313">
        <v>1</v>
      </c>
      <c r="BK62" s="313">
        <v>1</v>
      </c>
    </row>
    <row r="63" spans="1:63" x14ac:dyDescent="0.25">
      <c r="A63" s="306">
        <v>311940</v>
      </c>
      <c r="B63" s="313" t="s">
        <v>52</v>
      </c>
      <c r="C63" s="313">
        <v>1</v>
      </c>
      <c r="D63" s="313">
        <v>0</v>
      </c>
      <c r="E63" s="313">
        <v>1</v>
      </c>
      <c r="F63" s="313">
        <v>1</v>
      </c>
      <c r="G63" s="313">
        <v>1</v>
      </c>
      <c r="H63" s="313">
        <v>1</v>
      </c>
      <c r="I63" s="313">
        <v>1</v>
      </c>
      <c r="J63" s="313">
        <v>1</v>
      </c>
      <c r="K63" s="313">
        <v>0</v>
      </c>
      <c r="L63" s="313">
        <v>1</v>
      </c>
      <c r="M63" s="313">
        <v>1</v>
      </c>
      <c r="N63" s="313">
        <v>1</v>
      </c>
      <c r="O63" s="313">
        <v>1</v>
      </c>
      <c r="P63" s="313">
        <v>1</v>
      </c>
      <c r="Q63" s="313">
        <v>1</v>
      </c>
      <c r="R63" s="313">
        <v>1</v>
      </c>
      <c r="S63" s="313">
        <v>1</v>
      </c>
      <c r="T63" s="313">
        <v>1</v>
      </c>
      <c r="U63" s="313">
        <v>1</v>
      </c>
      <c r="V63" s="313">
        <v>1</v>
      </c>
      <c r="W63" s="313">
        <v>1</v>
      </c>
      <c r="X63" s="313">
        <v>1</v>
      </c>
      <c r="Y63" s="313">
        <v>1</v>
      </c>
      <c r="Z63" s="313">
        <v>1</v>
      </c>
      <c r="AA63" s="313">
        <v>1</v>
      </c>
      <c r="AB63" s="313">
        <v>1</v>
      </c>
      <c r="AC63" s="313">
        <v>1</v>
      </c>
      <c r="AD63" s="313">
        <v>1</v>
      </c>
      <c r="AE63" s="313">
        <v>1</v>
      </c>
      <c r="AF63" s="313">
        <v>1</v>
      </c>
      <c r="AG63" s="313">
        <v>1</v>
      </c>
      <c r="AH63" s="313">
        <v>1</v>
      </c>
      <c r="AI63" s="313">
        <v>1</v>
      </c>
      <c r="AJ63" s="313">
        <v>1</v>
      </c>
      <c r="AK63" s="313">
        <v>1</v>
      </c>
      <c r="AL63" s="313">
        <v>1</v>
      </c>
      <c r="AM63" s="313">
        <v>1</v>
      </c>
      <c r="AN63" s="313">
        <v>1</v>
      </c>
      <c r="AO63" s="313">
        <v>1</v>
      </c>
      <c r="AP63" s="313">
        <v>1</v>
      </c>
      <c r="AQ63" s="313">
        <v>1</v>
      </c>
      <c r="AR63" s="313">
        <v>1</v>
      </c>
      <c r="AS63" s="313">
        <v>1</v>
      </c>
      <c r="AT63" s="313">
        <v>1</v>
      </c>
      <c r="AU63" s="313">
        <v>1</v>
      </c>
      <c r="AV63" s="313">
        <v>1</v>
      </c>
      <c r="AW63" s="313">
        <v>1</v>
      </c>
      <c r="AX63" s="313">
        <v>1</v>
      </c>
      <c r="AY63" s="313">
        <v>1</v>
      </c>
      <c r="AZ63" s="313">
        <v>1</v>
      </c>
      <c r="BA63" s="313">
        <v>1</v>
      </c>
      <c r="BB63" s="313">
        <v>1</v>
      </c>
      <c r="BC63" s="313">
        <v>1</v>
      </c>
      <c r="BD63" s="313">
        <v>1</v>
      </c>
      <c r="BE63" s="313">
        <v>1</v>
      </c>
      <c r="BF63" s="313">
        <v>1</v>
      </c>
      <c r="BG63" s="313">
        <v>1</v>
      </c>
      <c r="BH63" s="313">
        <v>1</v>
      </c>
      <c r="BI63" s="313">
        <v>1</v>
      </c>
      <c r="BJ63" s="313">
        <v>1</v>
      </c>
      <c r="BK63" s="313">
        <v>1</v>
      </c>
    </row>
    <row r="64" spans="1:63" x14ac:dyDescent="0.25">
      <c r="A64" s="306">
        <v>311990</v>
      </c>
      <c r="B64" s="313" t="s">
        <v>53</v>
      </c>
      <c r="C64" s="313">
        <v>1</v>
      </c>
      <c r="D64" s="313">
        <v>1</v>
      </c>
      <c r="E64" s="313">
        <v>1</v>
      </c>
      <c r="F64" s="313">
        <v>1</v>
      </c>
      <c r="G64" s="313">
        <v>1</v>
      </c>
      <c r="H64" s="313">
        <v>1</v>
      </c>
      <c r="I64" s="313">
        <v>1</v>
      </c>
      <c r="J64" s="313">
        <v>1</v>
      </c>
      <c r="K64" s="313">
        <v>1</v>
      </c>
      <c r="L64" s="313">
        <v>1</v>
      </c>
      <c r="M64" s="313">
        <v>1</v>
      </c>
      <c r="N64" s="313">
        <v>1</v>
      </c>
      <c r="O64" s="313">
        <v>1</v>
      </c>
      <c r="P64" s="313">
        <v>1</v>
      </c>
      <c r="Q64" s="313">
        <v>1</v>
      </c>
      <c r="R64" s="313">
        <v>1</v>
      </c>
      <c r="S64" s="313">
        <v>1</v>
      </c>
      <c r="T64" s="313">
        <v>1</v>
      </c>
      <c r="U64" s="313">
        <v>1</v>
      </c>
      <c r="V64" s="313">
        <v>1</v>
      </c>
      <c r="W64" s="313">
        <v>1</v>
      </c>
      <c r="X64" s="313">
        <v>1</v>
      </c>
      <c r="Y64" s="313">
        <v>1</v>
      </c>
      <c r="Z64" s="313">
        <v>1</v>
      </c>
      <c r="AA64" s="313">
        <v>1</v>
      </c>
      <c r="AB64" s="313">
        <v>1</v>
      </c>
      <c r="AC64" s="313">
        <v>1</v>
      </c>
      <c r="AD64" s="313">
        <v>1</v>
      </c>
      <c r="AE64" s="313">
        <v>1</v>
      </c>
      <c r="AF64" s="313">
        <v>1</v>
      </c>
      <c r="AG64" s="313">
        <v>1</v>
      </c>
      <c r="AH64" s="313">
        <v>1</v>
      </c>
      <c r="AI64" s="313">
        <v>1</v>
      </c>
      <c r="AJ64" s="313">
        <v>1</v>
      </c>
      <c r="AK64" s="313">
        <v>1</v>
      </c>
      <c r="AL64" s="313">
        <v>1</v>
      </c>
      <c r="AM64" s="313">
        <v>1</v>
      </c>
      <c r="AN64" s="313">
        <v>1</v>
      </c>
      <c r="AO64" s="313">
        <v>1</v>
      </c>
      <c r="AP64" s="313">
        <v>1</v>
      </c>
      <c r="AQ64" s="313">
        <v>1</v>
      </c>
      <c r="AR64" s="313">
        <v>1</v>
      </c>
      <c r="AS64" s="313">
        <v>1</v>
      </c>
      <c r="AT64" s="313">
        <v>1</v>
      </c>
      <c r="AU64" s="313">
        <v>1</v>
      </c>
      <c r="AV64" s="313">
        <v>1</v>
      </c>
      <c r="AW64" s="313">
        <v>1</v>
      </c>
      <c r="AX64" s="313">
        <v>1</v>
      </c>
      <c r="AY64" s="313">
        <v>1</v>
      </c>
      <c r="AZ64" s="313">
        <v>1</v>
      </c>
      <c r="BA64" s="313">
        <v>1</v>
      </c>
      <c r="BB64" s="313">
        <v>0</v>
      </c>
      <c r="BC64" s="313">
        <v>1</v>
      </c>
      <c r="BD64" s="313">
        <v>1</v>
      </c>
      <c r="BE64" s="313">
        <v>1</v>
      </c>
      <c r="BF64" s="313">
        <v>1</v>
      </c>
      <c r="BG64" s="313">
        <v>1</v>
      </c>
      <c r="BH64" s="313">
        <v>1</v>
      </c>
      <c r="BI64" s="313">
        <v>1</v>
      </c>
      <c r="BJ64" s="313">
        <v>1</v>
      </c>
      <c r="BK64" s="313">
        <v>1</v>
      </c>
    </row>
    <row r="65" spans="1:63" x14ac:dyDescent="0.25">
      <c r="A65" s="306">
        <v>312110</v>
      </c>
      <c r="B65" s="313" t="s">
        <v>54</v>
      </c>
      <c r="C65" s="313">
        <v>1</v>
      </c>
      <c r="D65" s="313">
        <v>1</v>
      </c>
      <c r="E65" s="313">
        <v>1</v>
      </c>
      <c r="F65" s="313">
        <v>1</v>
      </c>
      <c r="G65" s="313">
        <v>1</v>
      </c>
      <c r="H65" s="313">
        <v>1</v>
      </c>
      <c r="I65" s="313">
        <v>1</v>
      </c>
      <c r="J65" s="313">
        <v>1</v>
      </c>
      <c r="K65" s="313">
        <v>0</v>
      </c>
      <c r="L65" s="313">
        <v>1</v>
      </c>
      <c r="M65" s="313">
        <v>1</v>
      </c>
      <c r="N65" s="313">
        <v>1</v>
      </c>
      <c r="O65" s="313">
        <v>1</v>
      </c>
      <c r="P65" s="313">
        <v>1</v>
      </c>
      <c r="Q65" s="313">
        <v>1</v>
      </c>
      <c r="R65" s="313">
        <v>1</v>
      </c>
      <c r="S65" s="313">
        <v>1</v>
      </c>
      <c r="T65" s="313">
        <v>1</v>
      </c>
      <c r="U65" s="313">
        <v>1</v>
      </c>
      <c r="V65" s="313">
        <v>1</v>
      </c>
      <c r="W65" s="313">
        <v>1</v>
      </c>
      <c r="X65" s="313">
        <v>1</v>
      </c>
      <c r="Y65" s="313">
        <v>1</v>
      </c>
      <c r="Z65" s="313">
        <v>1</v>
      </c>
      <c r="AA65" s="313">
        <v>1</v>
      </c>
      <c r="AB65" s="313">
        <v>1</v>
      </c>
      <c r="AC65" s="313">
        <v>1</v>
      </c>
      <c r="AD65" s="313">
        <v>1</v>
      </c>
      <c r="AE65" s="313">
        <v>1</v>
      </c>
      <c r="AF65" s="313">
        <v>1</v>
      </c>
      <c r="AG65" s="313">
        <v>1</v>
      </c>
      <c r="AH65" s="313">
        <v>1</v>
      </c>
      <c r="AI65" s="313">
        <v>1</v>
      </c>
      <c r="AJ65" s="313">
        <v>1</v>
      </c>
      <c r="AK65" s="313">
        <v>1</v>
      </c>
      <c r="AL65" s="313">
        <v>1</v>
      </c>
      <c r="AM65" s="313">
        <v>1</v>
      </c>
      <c r="AN65" s="313">
        <v>1</v>
      </c>
      <c r="AO65" s="313">
        <v>1</v>
      </c>
      <c r="AP65" s="313">
        <v>1</v>
      </c>
      <c r="AQ65" s="313">
        <v>1</v>
      </c>
      <c r="AR65" s="313">
        <v>1</v>
      </c>
      <c r="AS65" s="313">
        <v>1</v>
      </c>
      <c r="AT65" s="313">
        <v>1</v>
      </c>
      <c r="AU65" s="313">
        <v>1</v>
      </c>
      <c r="AV65" s="313">
        <v>1</v>
      </c>
      <c r="AW65" s="313">
        <v>1</v>
      </c>
      <c r="AX65" s="313">
        <v>1</v>
      </c>
      <c r="AY65" s="313">
        <v>1</v>
      </c>
      <c r="AZ65" s="313">
        <v>1</v>
      </c>
      <c r="BA65" s="313">
        <v>1</v>
      </c>
      <c r="BB65" s="313">
        <v>1</v>
      </c>
      <c r="BC65" s="313">
        <v>1</v>
      </c>
      <c r="BD65" s="313">
        <v>1</v>
      </c>
      <c r="BE65" s="313">
        <v>1</v>
      </c>
      <c r="BF65" s="313">
        <v>1</v>
      </c>
      <c r="BG65" s="313">
        <v>1</v>
      </c>
      <c r="BH65" s="313">
        <v>1</v>
      </c>
      <c r="BI65" s="313">
        <v>1</v>
      </c>
      <c r="BJ65" s="313">
        <v>1</v>
      </c>
      <c r="BK65" s="313">
        <v>1</v>
      </c>
    </row>
    <row r="66" spans="1:63" x14ac:dyDescent="0.25">
      <c r="A66" s="306">
        <v>312120</v>
      </c>
      <c r="B66" s="313" t="s">
        <v>55</v>
      </c>
      <c r="C66" s="313">
        <v>1</v>
      </c>
      <c r="D66" s="313">
        <v>1</v>
      </c>
      <c r="E66" s="313">
        <v>0</v>
      </c>
      <c r="F66" s="313">
        <v>1</v>
      </c>
      <c r="G66" s="313">
        <v>1</v>
      </c>
      <c r="H66" s="313">
        <v>1</v>
      </c>
      <c r="I66" s="313">
        <v>1</v>
      </c>
      <c r="J66" s="313">
        <v>1</v>
      </c>
      <c r="K66" s="313">
        <v>1</v>
      </c>
      <c r="L66" s="313">
        <v>1</v>
      </c>
      <c r="M66" s="313">
        <v>1</v>
      </c>
      <c r="N66" s="313">
        <v>1</v>
      </c>
      <c r="O66" s="313">
        <v>1</v>
      </c>
      <c r="P66" s="313">
        <v>1</v>
      </c>
      <c r="Q66" s="313">
        <v>1</v>
      </c>
      <c r="R66" s="313">
        <v>1</v>
      </c>
      <c r="S66" s="313">
        <v>1</v>
      </c>
      <c r="T66" s="313">
        <v>1</v>
      </c>
      <c r="U66" s="313">
        <v>1</v>
      </c>
      <c r="V66" s="313">
        <v>1</v>
      </c>
      <c r="W66" s="313">
        <v>1</v>
      </c>
      <c r="X66" s="313">
        <v>1</v>
      </c>
      <c r="Y66" s="313">
        <v>1</v>
      </c>
      <c r="Z66" s="313">
        <v>1</v>
      </c>
      <c r="AA66" s="313">
        <v>1</v>
      </c>
      <c r="AB66" s="313">
        <v>1</v>
      </c>
      <c r="AC66" s="313">
        <v>1</v>
      </c>
      <c r="AD66" s="313">
        <v>1</v>
      </c>
      <c r="AE66" s="313">
        <v>1</v>
      </c>
      <c r="AF66" s="313">
        <v>0</v>
      </c>
      <c r="AG66" s="313">
        <v>1</v>
      </c>
      <c r="AH66" s="313">
        <v>1</v>
      </c>
      <c r="AI66" s="313">
        <v>1</v>
      </c>
      <c r="AJ66" s="313">
        <v>1</v>
      </c>
      <c r="AK66" s="313">
        <v>1</v>
      </c>
      <c r="AL66" s="313">
        <v>1</v>
      </c>
      <c r="AM66" s="313">
        <v>1</v>
      </c>
      <c r="AN66" s="313">
        <v>1</v>
      </c>
      <c r="AO66" s="313">
        <v>1</v>
      </c>
      <c r="AP66" s="313">
        <v>1</v>
      </c>
      <c r="AQ66" s="313">
        <v>1</v>
      </c>
      <c r="AR66" s="313">
        <v>1</v>
      </c>
      <c r="AS66" s="313">
        <v>1</v>
      </c>
      <c r="AT66" s="313">
        <v>1</v>
      </c>
      <c r="AU66" s="313">
        <v>1</v>
      </c>
      <c r="AV66" s="313">
        <v>1</v>
      </c>
      <c r="AW66" s="313">
        <v>1</v>
      </c>
      <c r="AX66" s="313">
        <v>1</v>
      </c>
      <c r="AY66" s="313">
        <v>1</v>
      </c>
      <c r="AZ66" s="313">
        <v>1</v>
      </c>
      <c r="BA66" s="313">
        <v>1</v>
      </c>
      <c r="BB66" s="313">
        <v>0</v>
      </c>
      <c r="BC66" s="313">
        <v>1</v>
      </c>
      <c r="BD66" s="313">
        <v>1</v>
      </c>
      <c r="BE66" s="313">
        <v>1</v>
      </c>
      <c r="BF66" s="313">
        <v>1</v>
      </c>
      <c r="BG66" s="313">
        <v>1</v>
      </c>
      <c r="BH66" s="313">
        <v>1</v>
      </c>
      <c r="BI66" s="313">
        <v>1</v>
      </c>
      <c r="BJ66" s="313">
        <v>1</v>
      </c>
      <c r="BK66" s="313">
        <v>1</v>
      </c>
    </row>
    <row r="67" spans="1:63" x14ac:dyDescent="0.25">
      <c r="A67" s="306">
        <v>312130</v>
      </c>
      <c r="B67" s="313" t="s">
        <v>56</v>
      </c>
      <c r="C67" s="313">
        <v>1</v>
      </c>
      <c r="D67" s="313">
        <v>1</v>
      </c>
      <c r="E67" s="313">
        <v>1</v>
      </c>
      <c r="F67" s="313">
        <v>1</v>
      </c>
      <c r="G67" s="313">
        <v>1</v>
      </c>
      <c r="H67" s="313">
        <v>1</v>
      </c>
      <c r="I67" s="313">
        <v>1</v>
      </c>
      <c r="J67" s="313">
        <v>1</v>
      </c>
      <c r="K67" s="313">
        <v>0</v>
      </c>
      <c r="L67" s="313">
        <v>0</v>
      </c>
      <c r="M67" s="313">
        <v>1</v>
      </c>
      <c r="N67" s="313">
        <v>1</v>
      </c>
      <c r="O67" s="313">
        <v>1</v>
      </c>
      <c r="P67" s="313">
        <v>1</v>
      </c>
      <c r="Q67" s="313">
        <v>1</v>
      </c>
      <c r="R67" s="313">
        <v>1</v>
      </c>
      <c r="S67" s="313">
        <v>1</v>
      </c>
      <c r="T67" s="313">
        <v>1</v>
      </c>
      <c r="U67" s="313">
        <v>1</v>
      </c>
      <c r="V67" s="313">
        <v>1</v>
      </c>
      <c r="W67" s="313">
        <v>1</v>
      </c>
      <c r="X67" s="313">
        <v>1</v>
      </c>
      <c r="Y67" s="313">
        <v>1</v>
      </c>
      <c r="Z67" s="313">
        <v>1</v>
      </c>
      <c r="AA67" s="313">
        <v>1</v>
      </c>
      <c r="AB67" s="313">
        <v>1</v>
      </c>
      <c r="AC67" s="313">
        <v>0</v>
      </c>
      <c r="AD67" s="313">
        <v>1</v>
      </c>
      <c r="AE67" s="313">
        <v>1</v>
      </c>
      <c r="AF67" s="313">
        <v>1</v>
      </c>
      <c r="AG67" s="313">
        <v>1</v>
      </c>
      <c r="AH67" s="313">
        <v>1</v>
      </c>
      <c r="AI67" s="313">
        <v>1</v>
      </c>
      <c r="AJ67" s="313">
        <v>1</v>
      </c>
      <c r="AK67" s="313">
        <v>0</v>
      </c>
      <c r="AL67" s="313">
        <v>1</v>
      </c>
      <c r="AM67" s="313">
        <v>1</v>
      </c>
      <c r="AN67" s="313">
        <v>1</v>
      </c>
      <c r="AO67" s="313">
        <v>1</v>
      </c>
      <c r="AP67" s="313">
        <v>1</v>
      </c>
      <c r="AQ67" s="313">
        <v>1</v>
      </c>
      <c r="AR67" s="313">
        <v>1</v>
      </c>
      <c r="AS67" s="313">
        <v>1</v>
      </c>
      <c r="AT67" s="313">
        <v>1</v>
      </c>
      <c r="AU67" s="313">
        <v>1</v>
      </c>
      <c r="AV67" s="313">
        <v>0</v>
      </c>
      <c r="AW67" s="313">
        <v>1</v>
      </c>
      <c r="AX67" s="313">
        <v>1</v>
      </c>
      <c r="AY67" s="313">
        <v>1</v>
      </c>
      <c r="AZ67" s="313">
        <v>1</v>
      </c>
      <c r="BA67" s="313">
        <v>1</v>
      </c>
      <c r="BB67" s="313">
        <v>0</v>
      </c>
      <c r="BC67" s="313">
        <v>1</v>
      </c>
      <c r="BD67" s="313">
        <v>1</v>
      </c>
      <c r="BE67" s="313">
        <v>1</v>
      </c>
      <c r="BF67" s="313">
        <v>1</v>
      </c>
      <c r="BG67" s="313">
        <v>1</v>
      </c>
      <c r="BH67" s="313">
        <v>1</v>
      </c>
      <c r="BI67" s="313">
        <v>1</v>
      </c>
      <c r="BJ67" s="313">
        <v>1</v>
      </c>
      <c r="BK67" s="313">
        <v>1</v>
      </c>
    </row>
    <row r="68" spans="1:63" x14ac:dyDescent="0.25">
      <c r="A68" s="306">
        <v>312140</v>
      </c>
      <c r="B68" s="313" t="s">
        <v>57</v>
      </c>
      <c r="C68" s="313">
        <v>1</v>
      </c>
      <c r="D68" s="313">
        <v>0</v>
      </c>
      <c r="E68" s="313">
        <v>0</v>
      </c>
      <c r="F68" s="313">
        <v>1</v>
      </c>
      <c r="G68" s="313">
        <v>0</v>
      </c>
      <c r="H68" s="313">
        <v>1</v>
      </c>
      <c r="I68" s="313">
        <v>1</v>
      </c>
      <c r="J68" s="313">
        <v>1</v>
      </c>
      <c r="K68" s="313">
        <v>0</v>
      </c>
      <c r="L68" s="313">
        <v>0</v>
      </c>
      <c r="M68" s="313">
        <v>1</v>
      </c>
      <c r="N68" s="313">
        <v>1</v>
      </c>
      <c r="O68" s="313">
        <v>1</v>
      </c>
      <c r="P68" s="313">
        <v>1</v>
      </c>
      <c r="Q68" s="313">
        <v>1</v>
      </c>
      <c r="R68" s="313">
        <v>1</v>
      </c>
      <c r="S68" s="313">
        <v>1</v>
      </c>
      <c r="T68" s="313">
        <v>0</v>
      </c>
      <c r="U68" s="313">
        <v>1</v>
      </c>
      <c r="V68" s="313">
        <v>0</v>
      </c>
      <c r="W68" s="313">
        <v>0</v>
      </c>
      <c r="X68" s="313">
        <v>1</v>
      </c>
      <c r="Y68" s="313">
        <v>1</v>
      </c>
      <c r="Z68" s="313">
        <v>1</v>
      </c>
      <c r="AA68" s="313">
        <v>1</v>
      </c>
      <c r="AB68" s="313">
        <v>1</v>
      </c>
      <c r="AC68" s="313">
        <v>0</v>
      </c>
      <c r="AD68" s="313">
        <v>0</v>
      </c>
      <c r="AE68" s="313">
        <v>0</v>
      </c>
      <c r="AF68" s="313">
        <v>0</v>
      </c>
      <c r="AG68" s="313">
        <v>0</v>
      </c>
      <c r="AH68" s="313">
        <v>1</v>
      </c>
      <c r="AI68" s="313">
        <v>1</v>
      </c>
      <c r="AJ68" s="313">
        <v>0</v>
      </c>
      <c r="AK68" s="313">
        <v>0</v>
      </c>
      <c r="AL68" s="313">
        <v>1</v>
      </c>
      <c r="AM68" s="313">
        <v>1</v>
      </c>
      <c r="AN68" s="313">
        <v>0</v>
      </c>
      <c r="AO68" s="313">
        <v>1</v>
      </c>
      <c r="AP68" s="313">
        <v>1</v>
      </c>
      <c r="AQ68" s="313">
        <v>0</v>
      </c>
      <c r="AR68" s="313">
        <v>0</v>
      </c>
      <c r="AS68" s="313">
        <v>0</v>
      </c>
      <c r="AT68" s="313">
        <v>1</v>
      </c>
      <c r="AU68" s="313">
        <v>1</v>
      </c>
      <c r="AV68" s="313">
        <v>1</v>
      </c>
      <c r="AW68" s="313">
        <v>0</v>
      </c>
      <c r="AX68" s="313">
        <v>0</v>
      </c>
      <c r="AY68" s="313">
        <v>1</v>
      </c>
      <c r="AZ68" s="313">
        <v>1</v>
      </c>
      <c r="BA68" s="313">
        <v>0</v>
      </c>
      <c r="BB68" s="313">
        <v>1</v>
      </c>
      <c r="BC68" s="313">
        <v>1</v>
      </c>
      <c r="BD68" s="313">
        <v>1</v>
      </c>
      <c r="BE68" s="313">
        <v>1</v>
      </c>
      <c r="BF68" s="313">
        <v>1</v>
      </c>
      <c r="BG68" s="313">
        <v>1</v>
      </c>
      <c r="BH68" s="313">
        <v>1</v>
      </c>
      <c r="BI68" s="313">
        <v>1</v>
      </c>
      <c r="BJ68" s="313">
        <v>1</v>
      </c>
      <c r="BK68" s="313">
        <v>1</v>
      </c>
    </row>
    <row r="69" spans="1:63" x14ac:dyDescent="0.25">
      <c r="A69" s="306" t="s">
        <v>708</v>
      </c>
      <c r="B69" s="313" t="s">
        <v>58</v>
      </c>
      <c r="C69" s="313">
        <v>1</v>
      </c>
      <c r="D69" s="313">
        <v>0</v>
      </c>
      <c r="E69" s="313">
        <v>1</v>
      </c>
      <c r="F69" s="313">
        <v>0</v>
      </c>
      <c r="G69" s="313">
        <v>0</v>
      </c>
      <c r="H69" s="313">
        <v>1</v>
      </c>
      <c r="I69" s="313">
        <v>0</v>
      </c>
      <c r="J69" s="313">
        <v>1</v>
      </c>
      <c r="K69" s="313">
        <v>1</v>
      </c>
      <c r="L69" s="313">
        <v>0</v>
      </c>
      <c r="M69" s="313">
        <v>1</v>
      </c>
      <c r="N69" s="313">
        <v>1</v>
      </c>
      <c r="O69" s="313">
        <v>0</v>
      </c>
      <c r="P69" s="313">
        <v>0</v>
      </c>
      <c r="Q69" s="313">
        <v>0</v>
      </c>
      <c r="R69" s="313">
        <v>1</v>
      </c>
      <c r="S69" s="313">
        <v>1</v>
      </c>
      <c r="T69" s="313">
        <v>0</v>
      </c>
      <c r="U69" s="313">
        <v>1</v>
      </c>
      <c r="V69" s="313">
        <v>0</v>
      </c>
      <c r="W69" s="313">
        <v>0</v>
      </c>
      <c r="X69" s="313">
        <v>0</v>
      </c>
      <c r="Y69" s="313">
        <v>0</v>
      </c>
      <c r="Z69" s="313">
        <v>0</v>
      </c>
      <c r="AA69" s="313">
        <v>0</v>
      </c>
      <c r="AB69" s="313">
        <v>1</v>
      </c>
      <c r="AC69" s="313">
        <v>0</v>
      </c>
      <c r="AD69" s="313">
        <v>0</v>
      </c>
      <c r="AE69" s="313">
        <v>1</v>
      </c>
      <c r="AF69" s="313">
        <v>0</v>
      </c>
      <c r="AG69" s="313">
        <v>0</v>
      </c>
      <c r="AH69" s="313">
        <v>0</v>
      </c>
      <c r="AI69" s="313">
        <v>1</v>
      </c>
      <c r="AJ69" s="313">
        <v>1</v>
      </c>
      <c r="AK69" s="313">
        <v>0</v>
      </c>
      <c r="AL69" s="313">
        <v>1</v>
      </c>
      <c r="AM69" s="313">
        <v>0</v>
      </c>
      <c r="AN69" s="313">
        <v>1</v>
      </c>
      <c r="AO69" s="313">
        <v>0</v>
      </c>
      <c r="AP69" s="313">
        <v>1</v>
      </c>
      <c r="AQ69" s="313">
        <v>0</v>
      </c>
      <c r="AR69" s="313">
        <v>1</v>
      </c>
      <c r="AS69" s="313">
        <v>0</v>
      </c>
      <c r="AT69" s="313">
        <v>1</v>
      </c>
      <c r="AU69" s="313">
        <v>1</v>
      </c>
      <c r="AV69" s="313">
        <v>1</v>
      </c>
      <c r="AW69" s="313">
        <v>1</v>
      </c>
      <c r="AX69" s="313">
        <v>0</v>
      </c>
      <c r="AY69" s="313">
        <v>1</v>
      </c>
      <c r="AZ69" s="313">
        <v>1</v>
      </c>
      <c r="BA69" s="313">
        <v>1</v>
      </c>
      <c r="BB69" s="313">
        <v>1</v>
      </c>
      <c r="BC69" s="313">
        <v>1</v>
      </c>
      <c r="BD69" s="313">
        <v>1</v>
      </c>
      <c r="BE69" s="313">
        <v>1</v>
      </c>
      <c r="BF69" s="313">
        <v>1</v>
      </c>
      <c r="BG69" s="313">
        <v>1</v>
      </c>
      <c r="BH69" s="313">
        <v>1</v>
      </c>
      <c r="BI69" s="313">
        <v>1</v>
      </c>
      <c r="BJ69" s="313">
        <v>1</v>
      </c>
      <c r="BK69" s="313">
        <v>1</v>
      </c>
    </row>
    <row r="70" spans="1:63" x14ac:dyDescent="0.25">
      <c r="A70" s="306">
        <v>313100</v>
      </c>
      <c r="B70" s="313" t="s">
        <v>59</v>
      </c>
      <c r="C70" s="313">
        <v>1</v>
      </c>
      <c r="D70" s="313">
        <v>0</v>
      </c>
      <c r="E70" s="313">
        <v>1</v>
      </c>
      <c r="F70" s="313">
        <v>0</v>
      </c>
      <c r="G70" s="313">
        <v>1</v>
      </c>
      <c r="H70" s="313">
        <v>1</v>
      </c>
      <c r="I70" s="313">
        <v>0</v>
      </c>
      <c r="J70" s="313">
        <v>1</v>
      </c>
      <c r="K70" s="313">
        <v>0</v>
      </c>
      <c r="L70" s="313">
        <v>0</v>
      </c>
      <c r="M70" s="313">
        <v>1</v>
      </c>
      <c r="N70" s="313">
        <v>1</v>
      </c>
      <c r="O70" s="313">
        <v>0</v>
      </c>
      <c r="P70" s="313">
        <v>0</v>
      </c>
      <c r="Q70" s="313">
        <v>1</v>
      </c>
      <c r="R70" s="313">
        <v>1</v>
      </c>
      <c r="S70" s="313">
        <v>1</v>
      </c>
      <c r="T70" s="313">
        <v>1</v>
      </c>
      <c r="U70" s="313">
        <v>0</v>
      </c>
      <c r="V70" s="313">
        <v>1</v>
      </c>
      <c r="W70" s="313">
        <v>1</v>
      </c>
      <c r="X70" s="313">
        <v>1</v>
      </c>
      <c r="Y70" s="313">
        <v>1</v>
      </c>
      <c r="Z70" s="313">
        <v>1</v>
      </c>
      <c r="AA70" s="313">
        <v>0</v>
      </c>
      <c r="AB70" s="313">
        <v>0</v>
      </c>
      <c r="AC70" s="313">
        <v>1</v>
      </c>
      <c r="AD70" s="313">
        <v>0</v>
      </c>
      <c r="AE70" s="313">
        <v>1</v>
      </c>
      <c r="AF70" s="313">
        <v>0</v>
      </c>
      <c r="AG70" s="313">
        <v>1</v>
      </c>
      <c r="AH70" s="313">
        <v>1</v>
      </c>
      <c r="AI70" s="313">
        <v>1</v>
      </c>
      <c r="AJ70" s="313">
        <v>1</v>
      </c>
      <c r="AK70" s="313">
        <v>0</v>
      </c>
      <c r="AL70" s="313">
        <v>1</v>
      </c>
      <c r="AM70" s="313">
        <v>1</v>
      </c>
      <c r="AN70" s="313">
        <v>1</v>
      </c>
      <c r="AO70" s="313">
        <v>1</v>
      </c>
      <c r="AP70" s="313">
        <v>1</v>
      </c>
      <c r="AQ70" s="313">
        <v>1</v>
      </c>
      <c r="AR70" s="313">
        <v>1</v>
      </c>
      <c r="AS70" s="313">
        <v>0</v>
      </c>
      <c r="AT70" s="313">
        <v>1</v>
      </c>
      <c r="AU70" s="313">
        <v>1</v>
      </c>
      <c r="AV70" s="313">
        <v>1</v>
      </c>
      <c r="AW70" s="313">
        <v>1</v>
      </c>
      <c r="AX70" s="313">
        <v>1</v>
      </c>
      <c r="AY70" s="313">
        <v>1</v>
      </c>
      <c r="AZ70" s="313">
        <v>1</v>
      </c>
      <c r="BA70" s="313">
        <v>1</v>
      </c>
      <c r="BB70" s="313">
        <v>1</v>
      </c>
      <c r="BC70" s="313">
        <v>1</v>
      </c>
      <c r="BD70" s="313">
        <v>1</v>
      </c>
      <c r="BE70" s="313">
        <v>1</v>
      </c>
      <c r="BF70" s="313">
        <v>1</v>
      </c>
      <c r="BG70" s="313">
        <v>1</v>
      </c>
      <c r="BH70" s="313">
        <v>1</v>
      </c>
      <c r="BI70" s="313">
        <v>1</v>
      </c>
      <c r="BJ70" s="313">
        <v>1</v>
      </c>
      <c r="BK70" s="313">
        <v>1</v>
      </c>
    </row>
    <row r="71" spans="1:63" x14ac:dyDescent="0.25">
      <c r="A71" s="306">
        <v>313210</v>
      </c>
      <c r="B71" s="313" t="s">
        <v>60</v>
      </c>
      <c r="C71" s="313">
        <v>1</v>
      </c>
      <c r="D71" s="313">
        <v>0</v>
      </c>
      <c r="E71" s="313">
        <v>1</v>
      </c>
      <c r="F71" s="313">
        <v>1</v>
      </c>
      <c r="G71" s="313">
        <v>1</v>
      </c>
      <c r="H71" s="313">
        <v>1</v>
      </c>
      <c r="I71" s="313">
        <v>0</v>
      </c>
      <c r="J71" s="313">
        <v>1</v>
      </c>
      <c r="K71" s="313">
        <v>1</v>
      </c>
      <c r="L71" s="313">
        <v>1</v>
      </c>
      <c r="M71" s="313">
        <v>1</v>
      </c>
      <c r="N71" s="313">
        <v>1</v>
      </c>
      <c r="O71" s="313">
        <v>0</v>
      </c>
      <c r="P71" s="313">
        <v>0</v>
      </c>
      <c r="Q71" s="313">
        <v>1</v>
      </c>
      <c r="R71" s="313">
        <v>1</v>
      </c>
      <c r="S71" s="313">
        <v>1</v>
      </c>
      <c r="T71" s="313">
        <v>0</v>
      </c>
      <c r="U71" s="313">
        <v>1</v>
      </c>
      <c r="V71" s="313">
        <v>1</v>
      </c>
      <c r="W71" s="313">
        <v>1</v>
      </c>
      <c r="X71" s="313">
        <v>1</v>
      </c>
      <c r="Y71" s="313">
        <v>1</v>
      </c>
      <c r="Z71" s="313">
        <v>1</v>
      </c>
      <c r="AA71" s="313">
        <v>1</v>
      </c>
      <c r="AB71" s="313">
        <v>1</v>
      </c>
      <c r="AC71" s="313">
        <v>1</v>
      </c>
      <c r="AD71" s="313">
        <v>1</v>
      </c>
      <c r="AE71" s="313">
        <v>1</v>
      </c>
      <c r="AF71" s="313">
        <v>1</v>
      </c>
      <c r="AG71" s="313">
        <v>0</v>
      </c>
      <c r="AH71" s="313">
        <v>1</v>
      </c>
      <c r="AI71" s="313">
        <v>1</v>
      </c>
      <c r="AJ71" s="313">
        <v>1</v>
      </c>
      <c r="AK71" s="313">
        <v>1</v>
      </c>
      <c r="AL71" s="313">
        <v>1</v>
      </c>
      <c r="AM71" s="313">
        <v>1</v>
      </c>
      <c r="AN71" s="313">
        <v>1</v>
      </c>
      <c r="AO71" s="313">
        <v>1</v>
      </c>
      <c r="AP71" s="313">
        <v>1</v>
      </c>
      <c r="AQ71" s="313">
        <v>1</v>
      </c>
      <c r="AR71" s="313">
        <v>1</v>
      </c>
      <c r="AS71" s="313">
        <v>0</v>
      </c>
      <c r="AT71" s="313">
        <v>1</v>
      </c>
      <c r="AU71" s="313">
        <v>1</v>
      </c>
      <c r="AV71" s="313">
        <v>1</v>
      </c>
      <c r="AW71" s="313">
        <v>1</v>
      </c>
      <c r="AX71" s="313">
        <v>1</v>
      </c>
      <c r="AY71" s="313">
        <v>1</v>
      </c>
      <c r="AZ71" s="313">
        <v>1</v>
      </c>
      <c r="BA71" s="313">
        <v>0</v>
      </c>
      <c r="BB71" s="313">
        <v>0</v>
      </c>
      <c r="BC71" s="313">
        <v>1</v>
      </c>
      <c r="BD71" s="313">
        <v>1</v>
      </c>
      <c r="BE71" s="313">
        <v>1</v>
      </c>
      <c r="BF71" s="313">
        <v>1</v>
      </c>
      <c r="BG71" s="313">
        <v>1</v>
      </c>
      <c r="BH71" s="313">
        <v>1</v>
      </c>
      <c r="BI71" s="313">
        <v>1</v>
      </c>
      <c r="BJ71" s="313">
        <v>1</v>
      </c>
      <c r="BK71" s="313">
        <v>1</v>
      </c>
    </row>
    <row r="72" spans="1:63" x14ac:dyDescent="0.25">
      <c r="A72" s="306">
        <v>313220</v>
      </c>
      <c r="B72" s="313" t="s">
        <v>61</v>
      </c>
      <c r="C72" s="313">
        <v>1</v>
      </c>
      <c r="D72" s="313">
        <v>0</v>
      </c>
      <c r="E72" s="313">
        <v>1</v>
      </c>
      <c r="F72" s="313">
        <v>0</v>
      </c>
      <c r="G72" s="313">
        <v>1</v>
      </c>
      <c r="H72" s="313">
        <v>1</v>
      </c>
      <c r="I72" s="313">
        <v>1</v>
      </c>
      <c r="J72" s="313">
        <v>1</v>
      </c>
      <c r="K72" s="313">
        <v>0</v>
      </c>
      <c r="L72" s="313">
        <v>0</v>
      </c>
      <c r="M72" s="313">
        <v>1</v>
      </c>
      <c r="N72" s="313">
        <v>1</v>
      </c>
      <c r="O72" s="313">
        <v>0</v>
      </c>
      <c r="P72" s="313">
        <v>0</v>
      </c>
      <c r="Q72" s="313">
        <v>1</v>
      </c>
      <c r="R72" s="313">
        <v>1</v>
      </c>
      <c r="S72" s="313">
        <v>0</v>
      </c>
      <c r="T72" s="313">
        <v>1</v>
      </c>
      <c r="U72" s="313">
        <v>1</v>
      </c>
      <c r="V72" s="313">
        <v>1</v>
      </c>
      <c r="W72" s="313">
        <v>1</v>
      </c>
      <c r="X72" s="313">
        <v>1</v>
      </c>
      <c r="Y72" s="313">
        <v>1</v>
      </c>
      <c r="Z72" s="313">
        <v>1</v>
      </c>
      <c r="AA72" s="313">
        <v>1</v>
      </c>
      <c r="AB72" s="313">
        <v>0</v>
      </c>
      <c r="AC72" s="313">
        <v>0</v>
      </c>
      <c r="AD72" s="313">
        <v>1</v>
      </c>
      <c r="AE72" s="313">
        <v>1</v>
      </c>
      <c r="AF72" s="313">
        <v>0</v>
      </c>
      <c r="AG72" s="313">
        <v>0</v>
      </c>
      <c r="AH72" s="313">
        <v>1</v>
      </c>
      <c r="AI72" s="313">
        <v>1</v>
      </c>
      <c r="AJ72" s="313">
        <v>1</v>
      </c>
      <c r="AK72" s="313">
        <v>0</v>
      </c>
      <c r="AL72" s="313">
        <v>1</v>
      </c>
      <c r="AM72" s="313">
        <v>1</v>
      </c>
      <c r="AN72" s="313">
        <v>1</v>
      </c>
      <c r="AO72" s="313">
        <v>0</v>
      </c>
      <c r="AP72" s="313">
        <v>1</v>
      </c>
      <c r="AQ72" s="313">
        <v>1</v>
      </c>
      <c r="AR72" s="313">
        <v>1</v>
      </c>
      <c r="AS72" s="313">
        <v>0</v>
      </c>
      <c r="AT72" s="313">
        <v>1</v>
      </c>
      <c r="AU72" s="313">
        <v>1</v>
      </c>
      <c r="AV72" s="313">
        <v>1</v>
      </c>
      <c r="AW72" s="313">
        <v>1</v>
      </c>
      <c r="AX72" s="313">
        <v>0</v>
      </c>
      <c r="AY72" s="313">
        <v>0</v>
      </c>
      <c r="AZ72" s="313">
        <v>0</v>
      </c>
      <c r="BA72" s="313">
        <v>0</v>
      </c>
      <c r="BB72" s="313">
        <v>0</v>
      </c>
      <c r="BC72" s="313">
        <v>1</v>
      </c>
      <c r="BD72" s="313">
        <v>1</v>
      </c>
      <c r="BE72" s="313">
        <v>1</v>
      </c>
      <c r="BF72" s="313">
        <v>1</v>
      </c>
      <c r="BG72" s="313">
        <v>1</v>
      </c>
      <c r="BH72" s="313">
        <v>1</v>
      </c>
      <c r="BI72" s="313">
        <v>1</v>
      </c>
      <c r="BJ72" s="313">
        <v>1</v>
      </c>
      <c r="BK72" s="313">
        <v>1</v>
      </c>
    </row>
    <row r="73" spans="1:63" x14ac:dyDescent="0.25">
      <c r="A73" s="306">
        <v>313230</v>
      </c>
      <c r="B73" s="313" t="s">
        <v>62</v>
      </c>
      <c r="C73" s="313">
        <v>1</v>
      </c>
      <c r="D73" s="313">
        <v>0</v>
      </c>
      <c r="E73" s="313">
        <v>1</v>
      </c>
      <c r="F73" s="313">
        <v>1</v>
      </c>
      <c r="G73" s="313">
        <v>1</v>
      </c>
      <c r="H73" s="313">
        <v>1</v>
      </c>
      <c r="I73" s="313">
        <v>0</v>
      </c>
      <c r="J73" s="313">
        <v>1</v>
      </c>
      <c r="K73" s="313">
        <v>0</v>
      </c>
      <c r="L73" s="313">
        <v>1</v>
      </c>
      <c r="M73" s="313">
        <v>1</v>
      </c>
      <c r="N73" s="313">
        <v>1</v>
      </c>
      <c r="O73" s="313">
        <v>0</v>
      </c>
      <c r="P73" s="313">
        <v>0</v>
      </c>
      <c r="Q73" s="313">
        <v>1</v>
      </c>
      <c r="R73" s="313">
        <v>1</v>
      </c>
      <c r="S73" s="313">
        <v>1</v>
      </c>
      <c r="T73" s="313">
        <v>1</v>
      </c>
      <c r="U73" s="313">
        <v>1</v>
      </c>
      <c r="V73" s="313">
        <v>0</v>
      </c>
      <c r="W73" s="313">
        <v>1</v>
      </c>
      <c r="X73" s="313">
        <v>1</v>
      </c>
      <c r="Y73" s="313">
        <v>1</v>
      </c>
      <c r="Z73" s="313">
        <v>0</v>
      </c>
      <c r="AA73" s="313">
        <v>0</v>
      </c>
      <c r="AB73" s="313">
        <v>1</v>
      </c>
      <c r="AC73" s="313">
        <v>1</v>
      </c>
      <c r="AD73" s="313">
        <v>0</v>
      </c>
      <c r="AE73" s="313">
        <v>1</v>
      </c>
      <c r="AF73" s="313">
        <v>0</v>
      </c>
      <c r="AG73" s="313">
        <v>1</v>
      </c>
      <c r="AH73" s="313">
        <v>1</v>
      </c>
      <c r="AI73" s="313">
        <v>1</v>
      </c>
      <c r="AJ73" s="313">
        <v>0</v>
      </c>
      <c r="AK73" s="313">
        <v>1</v>
      </c>
      <c r="AL73" s="313">
        <v>1</v>
      </c>
      <c r="AM73" s="313">
        <v>1</v>
      </c>
      <c r="AN73" s="313">
        <v>1</v>
      </c>
      <c r="AO73" s="313">
        <v>0</v>
      </c>
      <c r="AP73" s="313">
        <v>1</v>
      </c>
      <c r="AQ73" s="313">
        <v>1</v>
      </c>
      <c r="AR73" s="313">
        <v>1</v>
      </c>
      <c r="AS73" s="313">
        <v>0</v>
      </c>
      <c r="AT73" s="313">
        <v>1</v>
      </c>
      <c r="AU73" s="313">
        <v>1</v>
      </c>
      <c r="AV73" s="313">
        <v>0</v>
      </c>
      <c r="AW73" s="313">
        <v>1</v>
      </c>
      <c r="AX73" s="313">
        <v>0</v>
      </c>
      <c r="AY73" s="313">
        <v>1</v>
      </c>
      <c r="AZ73" s="313">
        <v>1</v>
      </c>
      <c r="BA73" s="313">
        <v>1</v>
      </c>
      <c r="BB73" s="313">
        <v>0</v>
      </c>
      <c r="BC73" s="313">
        <v>1</v>
      </c>
      <c r="BD73" s="313">
        <v>1</v>
      </c>
      <c r="BE73" s="313">
        <v>1</v>
      </c>
      <c r="BF73" s="313">
        <v>1</v>
      </c>
      <c r="BG73" s="313">
        <v>1</v>
      </c>
      <c r="BH73" s="313">
        <v>1</v>
      </c>
      <c r="BI73" s="313">
        <v>1</v>
      </c>
      <c r="BJ73" s="313">
        <v>1</v>
      </c>
      <c r="BK73" s="313">
        <v>1</v>
      </c>
    </row>
    <row r="74" spans="1:63" x14ac:dyDescent="0.25">
      <c r="A74" s="306">
        <v>313240</v>
      </c>
      <c r="B74" s="313" t="s">
        <v>63</v>
      </c>
      <c r="C74" s="313">
        <v>1</v>
      </c>
      <c r="D74" s="313">
        <v>0</v>
      </c>
      <c r="E74" s="313">
        <v>1</v>
      </c>
      <c r="F74" s="313">
        <v>0</v>
      </c>
      <c r="G74" s="313">
        <v>1</v>
      </c>
      <c r="H74" s="313">
        <v>1</v>
      </c>
      <c r="I74" s="313">
        <v>0</v>
      </c>
      <c r="J74" s="313">
        <v>0</v>
      </c>
      <c r="K74" s="313">
        <v>0</v>
      </c>
      <c r="L74" s="313">
        <v>0</v>
      </c>
      <c r="M74" s="313">
        <v>1</v>
      </c>
      <c r="N74" s="313">
        <v>1</v>
      </c>
      <c r="O74" s="313">
        <v>0</v>
      </c>
      <c r="P74" s="313">
        <v>1</v>
      </c>
      <c r="Q74" s="313">
        <v>0</v>
      </c>
      <c r="R74" s="313">
        <v>1</v>
      </c>
      <c r="S74" s="313">
        <v>1</v>
      </c>
      <c r="T74" s="313">
        <v>1</v>
      </c>
      <c r="U74" s="313">
        <v>1</v>
      </c>
      <c r="V74" s="313">
        <v>0</v>
      </c>
      <c r="W74" s="313">
        <v>1</v>
      </c>
      <c r="X74" s="313">
        <v>1</v>
      </c>
      <c r="Y74" s="313">
        <v>1</v>
      </c>
      <c r="Z74" s="313">
        <v>1</v>
      </c>
      <c r="AA74" s="313">
        <v>1</v>
      </c>
      <c r="AB74" s="313">
        <v>1</v>
      </c>
      <c r="AC74" s="313">
        <v>1</v>
      </c>
      <c r="AD74" s="313">
        <v>0</v>
      </c>
      <c r="AE74" s="313">
        <v>1</v>
      </c>
      <c r="AF74" s="313">
        <v>0</v>
      </c>
      <c r="AG74" s="313">
        <v>0</v>
      </c>
      <c r="AH74" s="313">
        <v>1</v>
      </c>
      <c r="AI74" s="313">
        <v>1</v>
      </c>
      <c r="AJ74" s="313">
        <v>0</v>
      </c>
      <c r="AK74" s="313">
        <v>0</v>
      </c>
      <c r="AL74" s="313">
        <v>1</v>
      </c>
      <c r="AM74" s="313">
        <v>0</v>
      </c>
      <c r="AN74" s="313">
        <v>0</v>
      </c>
      <c r="AO74" s="313">
        <v>0</v>
      </c>
      <c r="AP74" s="313">
        <v>1</v>
      </c>
      <c r="AQ74" s="313">
        <v>1</v>
      </c>
      <c r="AR74" s="313">
        <v>1</v>
      </c>
      <c r="AS74" s="313">
        <v>0</v>
      </c>
      <c r="AT74" s="313">
        <v>1</v>
      </c>
      <c r="AU74" s="313">
        <v>0</v>
      </c>
      <c r="AV74" s="313">
        <v>0</v>
      </c>
      <c r="AW74" s="313">
        <v>0</v>
      </c>
      <c r="AX74" s="313">
        <v>0</v>
      </c>
      <c r="AY74" s="313">
        <v>0</v>
      </c>
      <c r="AZ74" s="313">
        <v>1</v>
      </c>
      <c r="BA74" s="313">
        <v>0</v>
      </c>
      <c r="BB74" s="313">
        <v>0</v>
      </c>
      <c r="BC74" s="313">
        <v>1</v>
      </c>
      <c r="BD74" s="313">
        <v>1</v>
      </c>
      <c r="BE74" s="313">
        <v>1</v>
      </c>
      <c r="BF74" s="313">
        <v>1</v>
      </c>
      <c r="BG74" s="313">
        <v>1</v>
      </c>
      <c r="BH74" s="313">
        <v>1</v>
      </c>
      <c r="BI74" s="313">
        <v>0</v>
      </c>
      <c r="BJ74" s="313">
        <v>1</v>
      </c>
      <c r="BK74" s="313">
        <v>1</v>
      </c>
    </row>
    <row r="75" spans="1:63" x14ac:dyDescent="0.25">
      <c r="A75" s="306">
        <v>313310</v>
      </c>
      <c r="B75" s="313" t="s">
        <v>64</v>
      </c>
      <c r="C75" s="313">
        <v>1</v>
      </c>
      <c r="D75" s="313">
        <v>1</v>
      </c>
      <c r="E75" s="313">
        <v>1</v>
      </c>
      <c r="F75" s="313">
        <v>1</v>
      </c>
      <c r="G75" s="313">
        <v>1</v>
      </c>
      <c r="H75" s="313">
        <v>1</v>
      </c>
      <c r="I75" s="313">
        <v>1</v>
      </c>
      <c r="J75" s="313">
        <v>1</v>
      </c>
      <c r="K75" s="313">
        <v>1</v>
      </c>
      <c r="L75" s="313">
        <v>1</v>
      </c>
      <c r="M75" s="313">
        <v>1</v>
      </c>
      <c r="N75" s="313">
        <v>1</v>
      </c>
      <c r="O75" s="313">
        <v>1</v>
      </c>
      <c r="P75" s="313">
        <v>1</v>
      </c>
      <c r="Q75" s="313">
        <v>1</v>
      </c>
      <c r="R75" s="313">
        <v>1</v>
      </c>
      <c r="S75" s="313">
        <v>1</v>
      </c>
      <c r="T75" s="313">
        <v>1</v>
      </c>
      <c r="U75" s="313">
        <v>1</v>
      </c>
      <c r="V75" s="313">
        <v>1</v>
      </c>
      <c r="W75" s="313">
        <v>1</v>
      </c>
      <c r="X75" s="313">
        <v>1</v>
      </c>
      <c r="Y75" s="313">
        <v>1</v>
      </c>
      <c r="Z75" s="313">
        <v>1</v>
      </c>
      <c r="AA75" s="313">
        <v>1</v>
      </c>
      <c r="AB75" s="313">
        <v>1</v>
      </c>
      <c r="AC75" s="313">
        <v>1</v>
      </c>
      <c r="AD75" s="313">
        <v>1</v>
      </c>
      <c r="AE75" s="313">
        <v>1</v>
      </c>
      <c r="AF75" s="313">
        <v>1</v>
      </c>
      <c r="AG75" s="313">
        <v>1</v>
      </c>
      <c r="AH75" s="313">
        <v>1</v>
      </c>
      <c r="AI75" s="313">
        <v>1</v>
      </c>
      <c r="AJ75" s="313">
        <v>1</v>
      </c>
      <c r="AK75" s="313">
        <v>0</v>
      </c>
      <c r="AL75" s="313">
        <v>1</v>
      </c>
      <c r="AM75" s="313">
        <v>1</v>
      </c>
      <c r="AN75" s="313">
        <v>1</v>
      </c>
      <c r="AO75" s="313">
        <v>1</v>
      </c>
      <c r="AP75" s="313">
        <v>1</v>
      </c>
      <c r="AQ75" s="313">
        <v>1</v>
      </c>
      <c r="AR75" s="313">
        <v>1</v>
      </c>
      <c r="AS75" s="313">
        <v>1</v>
      </c>
      <c r="AT75" s="313">
        <v>1</v>
      </c>
      <c r="AU75" s="313">
        <v>1</v>
      </c>
      <c r="AV75" s="313">
        <v>1</v>
      </c>
      <c r="AW75" s="313">
        <v>1</v>
      </c>
      <c r="AX75" s="313">
        <v>1</v>
      </c>
      <c r="AY75" s="313">
        <v>1</v>
      </c>
      <c r="AZ75" s="313">
        <v>1</v>
      </c>
      <c r="BA75" s="313">
        <v>0</v>
      </c>
      <c r="BB75" s="313">
        <v>1</v>
      </c>
      <c r="BC75" s="313">
        <v>1</v>
      </c>
      <c r="BD75" s="313">
        <v>1</v>
      </c>
      <c r="BE75" s="313">
        <v>1</v>
      </c>
      <c r="BF75" s="313">
        <v>1</v>
      </c>
      <c r="BG75" s="313">
        <v>1</v>
      </c>
      <c r="BH75" s="313">
        <v>1</v>
      </c>
      <c r="BI75" s="313">
        <v>1</v>
      </c>
      <c r="BJ75" s="313">
        <v>1</v>
      </c>
      <c r="BK75" s="313">
        <v>1</v>
      </c>
    </row>
    <row r="76" spans="1:63" x14ac:dyDescent="0.25">
      <c r="A76" s="306">
        <v>313320</v>
      </c>
      <c r="B76" s="313" t="s">
        <v>65</v>
      </c>
      <c r="C76" s="313">
        <v>1</v>
      </c>
      <c r="D76" s="313">
        <v>0</v>
      </c>
      <c r="E76" s="313">
        <v>0</v>
      </c>
      <c r="F76" s="313">
        <v>1</v>
      </c>
      <c r="G76" s="313">
        <v>1</v>
      </c>
      <c r="H76" s="313">
        <v>1</v>
      </c>
      <c r="I76" s="313">
        <v>1</v>
      </c>
      <c r="J76" s="313">
        <v>1</v>
      </c>
      <c r="K76" s="313">
        <v>0</v>
      </c>
      <c r="L76" s="313">
        <v>1</v>
      </c>
      <c r="M76" s="313">
        <v>1</v>
      </c>
      <c r="N76" s="313">
        <v>1</v>
      </c>
      <c r="O76" s="313">
        <v>0</v>
      </c>
      <c r="P76" s="313">
        <v>0</v>
      </c>
      <c r="Q76" s="313">
        <v>0</v>
      </c>
      <c r="R76" s="313">
        <v>1</v>
      </c>
      <c r="S76" s="313">
        <v>1</v>
      </c>
      <c r="T76" s="313">
        <v>0</v>
      </c>
      <c r="U76" s="313">
        <v>0</v>
      </c>
      <c r="V76" s="313">
        <v>0</v>
      </c>
      <c r="W76" s="313">
        <v>1</v>
      </c>
      <c r="X76" s="313">
        <v>1</v>
      </c>
      <c r="Y76" s="313">
        <v>1</v>
      </c>
      <c r="Z76" s="313">
        <v>1</v>
      </c>
      <c r="AA76" s="313">
        <v>1</v>
      </c>
      <c r="AB76" s="313">
        <v>1</v>
      </c>
      <c r="AC76" s="313">
        <v>0</v>
      </c>
      <c r="AD76" s="313">
        <v>0</v>
      </c>
      <c r="AE76" s="313">
        <v>1</v>
      </c>
      <c r="AF76" s="313">
        <v>0</v>
      </c>
      <c r="AG76" s="313">
        <v>0</v>
      </c>
      <c r="AH76" s="313">
        <v>1</v>
      </c>
      <c r="AI76" s="313">
        <v>1</v>
      </c>
      <c r="AJ76" s="313">
        <v>1</v>
      </c>
      <c r="AK76" s="313">
        <v>1</v>
      </c>
      <c r="AL76" s="313">
        <v>1</v>
      </c>
      <c r="AM76" s="313">
        <v>1</v>
      </c>
      <c r="AN76" s="313">
        <v>1</v>
      </c>
      <c r="AO76" s="313">
        <v>0</v>
      </c>
      <c r="AP76" s="313">
        <v>1</v>
      </c>
      <c r="AQ76" s="313">
        <v>1</v>
      </c>
      <c r="AR76" s="313">
        <v>1</v>
      </c>
      <c r="AS76" s="313">
        <v>0</v>
      </c>
      <c r="AT76" s="313">
        <v>1</v>
      </c>
      <c r="AU76" s="313">
        <v>1</v>
      </c>
      <c r="AV76" s="313">
        <v>1</v>
      </c>
      <c r="AW76" s="313">
        <v>1</v>
      </c>
      <c r="AX76" s="313">
        <v>0</v>
      </c>
      <c r="AY76" s="313">
        <v>1</v>
      </c>
      <c r="AZ76" s="313">
        <v>1</v>
      </c>
      <c r="BA76" s="313">
        <v>0</v>
      </c>
      <c r="BB76" s="313">
        <v>0</v>
      </c>
      <c r="BC76" s="313">
        <v>1</v>
      </c>
      <c r="BD76" s="313">
        <v>1</v>
      </c>
      <c r="BE76" s="313">
        <v>1</v>
      </c>
      <c r="BF76" s="313">
        <v>1</v>
      </c>
      <c r="BG76" s="313">
        <v>1</v>
      </c>
      <c r="BH76" s="313">
        <v>1</v>
      </c>
      <c r="BI76" s="313">
        <v>1</v>
      </c>
      <c r="BJ76" s="313">
        <v>1</v>
      </c>
      <c r="BK76" s="313">
        <v>1</v>
      </c>
    </row>
    <row r="77" spans="1:63" x14ac:dyDescent="0.25">
      <c r="A77" s="306">
        <v>314110</v>
      </c>
      <c r="B77" s="313" t="s">
        <v>66</v>
      </c>
      <c r="C77" s="313">
        <v>1</v>
      </c>
      <c r="D77" s="313">
        <v>0</v>
      </c>
      <c r="E77" s="313">
        <v>1</v>
      </c>
      <c r="F77" s="313">
        <v>1</v>
      </c>
      <c r="G77" s="313">
        <v>1</v>
      </c>
      <c r="H77" s="313">
        <v>1</v>
      </c>
      <c r="I77" s="313">
        <v>1</v>
      </c>
      <c r="J77" s="313">
        <v>1</v>
      </c>
      <c r="K77" s="313">
        <v>1</v>
      </c>
      <c r="L77" s="313">
        <v>0</v>
      </c>
      <c r="M77" s="313">
        <v>1</v>
      </c>
      <c r="N77" s="313">
        <v>1</v>
      </c>
      <c r="O77" s="313">
        <v>0</v>
      </c>
      <c r="P77" s="313">
        <v>1</v>
      </c>
      <c r="Q77" s="313">
        <v>0</v>
      </c>
      <c r="R77" s="313">
        <v>1</v>
      </c>
      <c r="S77" s="313">
        <v>1</v>
      </c>
      <c r="T77" s="313">
        <v>1</v>
      </c>
      <c r="U77" s="313">
        <v>1</v>
      </c>
      <c r="V77" s="313">
        <v>0</v>
      </c>
      <c r="W77" s="313">
        <v>1</v>
      </c>
      <c r="X77" s="313">
        <v>1</v>
      </c>
      <c r="Y77" s="313">
        <v>1</v>
      </c>
      <c r="Z77" s="313">
        <v>1</v>
      </c>
      <c r="AA77" s="313">
        <v>1</v>
      </c>
      <c r="AB77" s="313">
        <v>1</v>
      </c>
      <c r="AC77" s="313">
        <v>0</v>
      </c>
      <c r="AD77" s="313">
        <v>0</v>
      </c>
      <c r="AE77" s="313">
        <v>1</v>
      </c>
      <c r="AF77" s="313">
        <v>0</v>
      </c>
      <c r="AG77" s="313">
        <v>1</v>
      </c>
      <c r="AH77" s="313">
        <v>1</v>
      </c>
      <c r="AI77" s="313">
        <v>1</v>
      </c>
      <c r="AJ77" s="313">
        <v>1</v>
      </c>
      <c r="AK77" s="313">
        <v>0</v>
      </c>
      <c r="AL77" s="313">
        <v>1</v>
      </c>
      <c r="AM77" s="313">
        <v>1</v>
      </c>
      <c r="AN77" s="313">
        <v>1</v>
      </c>
      <c r="AO77" s="313">
        <v>0</v>
      </c>
      <c r="AP77" s="313">
        <v>1</v>
      </c>
      <c r="AQ77" s="313">
        <v>1</v>
      </c>
      <c r="AR77" s="313">
        <v>1</v>
      </c>
      <c r="AS77" s="313">
        <v>0</v>
      </c>
      <c r="AT77" s="313">
        <v>1</v>
      </c>
      <c r="AU77" s="313">
        <v>1</v>
      </c>
      <c r="AV77" s="313">
        <v>0</v>
      </c>
      <c r="AW77" s="313">
        <v>1</v>
      </c>
      <c r="AX77" s="313">
        <v>1</v>
      </c>
      <c r="AY77" s="313">
        <v>1</v>
      </c>
      <c r="AZ77" s="313">
        <v>1</v>
      </c>
      <c r="BA77" s="313">
        <v>0</v>
      </c>
      <c r="BB77" s="313">
        <v>0</v>
      </c>
      <c r="BC77" s="313">
        <v>1</v>
      </c>
      <c r="BD77" s="313">
        <v>1</v>
      </c>
      <c r="BE77" s="313">
        <v>1</v>
      </c>
      <c r="BF77" s="313">
        <v>1</v>
      </c>
      <c r="BG77" s="313">
        <v>1</v>
      </c>
      <c r="BH77" s="313">
        <v>1</v>
      </c>
      <c r="BI77" s="313">
        <v>1</v>
      </c>
      <c r="BJ77" s="313">
        <v>1</v>
      </c>
      <c r="BK77" s="313">
        <v>1</v>
      </c>
    </row>
    <row r="78" spans="1:63" x14ac:dyDescent="0.25">
      <c r="A78" s="306">
        <v>314120</v>
      </c>
      <c r="B78" s="313" t="s">
        <v>67</v>
      </c>
      <c r="C78" s="313">
        <v>1</v>
      </c>
      <c r="D78" s="313">
        <v>0</v>
      </c>
      <c r="E78" s="313">
        <v>1</v>
      </c>
      <c r="F78" s="313">
        <v>1</v>
      </c>
      <c r="G78" s="313">
        <v>1</v>
      </c>
      <c r="H78" s="313">
        <v>1</v>
      </c>
      <c r="I78" s="313">
        <v>1</v>
      </c>
      <c r="J78" s="313">
        <v>1</v>
      </c>
      <c r="K78" s="313">
        <v>1</v>
      </c>
      <c r="L78" s="313">
        <v>1</v>
      </c>
      <c r="M78" s="313">
        <v>1</v>
      </c>
      <c r="N78" s="313">
        <v>1</v>
      </c>
      <c r="O78" s="313">
        <v>1</v>
      </c>
      <c r="P78" s="313">
        <v>1</v>
      </c>
      <c r="Q78" s="313">
        <v>1</v>
      </c>
      <c r="R78" s="313">
        <v>1</v>
      </c>
      <c r="S78" s="313">
        <v>1</v>
      </c>
      <c r="T78" s="313">
        <v>1</v>
      </c>
      <c r="U78" s="313">
        <v>1</v>
      </c>
      <c r="V78" s="313">
        <v>1</v>
      </c>
      <c r="W78" s="313">
        <v>1</v>
      </c>
      <c r="X78" s="313">
        <v>1</v>
      </c>
      <c r="Y78" s="313">
        <v>1</v>
      </c>
      <c r="Z78" s="313">
        <v>1</v>
      </c>
      <c r="AA78" s="313">
        <v>1</v>
      </c>
      <c r="AB78" s="313">
        <v>1</v>
      </c>
      <c r="AC78" s="313">
        <v>1</v>
      </c>
      <c r="AD78" s="313">
        <v>1</v>
      </c>
      <c r="AE78" s="313">
        <v>1</v>
      </c>
      <c r="AF78" s="313">
        <v>1</v>
      </c>
      <c r="AG78" s="313">
        <v>1</v>
      </c>
      <c r="AH78" s="313">
        <v>1</v>
      </c>
      <c r="AI78" s="313">
        <v>1</v>
      </c>
      <c r="AJ78" s="313">
        <v>1</v>
      </c>
      <c r="AK78" s="313">
        <v>1</v>
      </c>
      <c r="AL78" s="313">
        <v>1</v>
      </c>
      <c r="AM78" s="313">
        <v>1</v>
      </c>
      <c r="AN78" s="313">
        <v>1</v>
      </c>
      <c r="AO78" s="313">
        <v>1</v>
      </c>
      <c r="AP78" s="313">
        <v>1</v>
      </c>
      <c r="AQ78" s="313">
        <v>1</v>
      </c>
      <c r="AR78" s="313">
        <v>1</v>
      </c>
      <c r="AS78" s="313">
        <v>1</v>
      </c>
      <c r="AT78" s="313">
        <v>1</v>
      </c>
      <c r="AU78" s="313">
        <v>1</v>
      </c>
      <c r="AV78" s="313">
        <v>1</v>
      </c>
      <c r="AW78" s="313">
        <v>1</v>
      </c>
      <c r="AX78" s="313">
        <v>1</v>
      </c>
      <c r="AY78" s="313">
        <v>1</v>
      </c>
      <c r="AZ78" s="313">
        <v>1</v>
      </c>
      <c r="BA78" s="313">
        <v>1</v>
      </c>
      <c r="BB78" s="313">
        <v>1</v>
      </c>
      <c r="BC78" s="313">
        <v>1</v>
      </c>
      <c r="BD78" s="313">
        <v>1</v>
      </c>
      <c r="BE78" s="313">
        <v>1</v>
      </c>
      <c r="BF78" s="313">
        <v>1</v>
      </c>
      <c r="BG78" s="313">
        <v>1</v>
      </c>
      <c r="BH78" s="313">
        <v>1</v>
      </c>
      <c r="BI78" s="313">
        <v>1</v>
      </c>
      <c r="BJ78" s="313">
        <v>1</v>
      </c>
      <c r="BK78" s="313">
        <v>1</v>
      </c>
    </row>
    <row r="79" spans="1:63" x14ac:dyDescent="0.25">
      <c r="A79" s="306">
        <v>314910</v>
      </c>
      <c r="B79" s="313" t="s">
        <v>68</v>
      </c>
      <c r="C79" s="313">
        <v>1</v>
      </c>
      <c r="D79" s="313">
        <v>1</v>
      </c>
      <c r="E79" s="313">
        <v>1</v>
      </c>
      <c r="F79" s="313">
        <v>1</v>
      </c>
      <c r="G79" s="313">
        <v>1</v>
      </c>
      <c r="H79" s="313">
        <v>1</v>
      </c>
      <c r="I79" s="313">
        <v>1</v>
      </c>
      <c r="J79" s="313">
        <v>1</v>
      </c>
      <c r="K79" s="313">
        <v>0</v>
      </c>
      <c r="L79" s="313">
        <v>1</v>
      </c>
      <c r="M79" s="313">
        <v>1</v>
      </c>
      <c r="N79" s="313">
        <v>1</v>
      </c>
      <c r="O79" s="313">
        <v>1</v>
      </c>
      <c r="P79" s="313">
        <v>1</v>
      </c>
      <c r="Q79" s="313">
        <v>1</v>
      </c>
      <c r="R79" s="313">
        <v>1</v>
      </c>
      <c r="S79" s="313">
        <v>1</v>
      </c>
      <c r="T79" s="313">
        <v>1</v>
      </c>
      <c r="U79" s="313">
        <v>1</v>
      </c>
      <c r="V79" s="313">
        <v>1</v>
      </c>
      <c r="W79" s="313">
        <v>1</v>
      </c>
      <c r="X79" s="313">
        <v>1</v>
      </c>
      <c r="Y79" s="313">
        <v>1</v>
      </c>
      <c r="Z79" s="313">
        <v>1</v>
      </c>
      <c r="AA79" s="313">
        <v>1</v>
      </c>
      <c r="AB79" s="313">
        <v>1</v>
      </c>
      <c r="AC79" s="313">
        <v>1</v>
      </c>
      <c r="AD79" s="313">
        <v>1</v>
      </c>
      <c r="AE79" s="313">
        <v>1</v>
      </c>
      <c r="AF79" s="313">
        <v>1</v>
      </c>
      <c r="AG79" s="313">
        <v>1</v>
      </c>
      <c r="AH79" s="313">
        <v>1</v>
      </c>
      <c r="AI79" s="313">
        <v>1</v>
      </c>
      <c r="AJ79" s="313">
        <v>1</v>
      </c>
      <c r="AK79" s="313">
        <v>1</v>
      </c>
      <c r="AL79" s="313">
        <v>1</v>
      </c>
      <c r="AM79" s="313">
        <v>1</v>
      </c>
      <c r="AN79" s="313">
        <v>1</v>
      </c>
      <c r="AO79" s="313">
        <v>1</v>
      </c>
      <c r="AP79" s="313">
        <v>1</v>
      </c>
      <c r="AQ79" s="313">
        <v>1</v>
      </c>
      <c r="AR79" s="313">
        <v>1</v>
      </c>
      <c r="AS79" s="313">
        <v>1</v>
      </c>
      <c r="AT79" s="313">
        <v>1</v>
      </c>
      <c r="AU79" s="313">
        <v>1</v>
      </c>
      <c r="AV79" s="313">
        <v>1</v>
      </c>
      <c r="AW79" s="313">
        <v>1</v>
      </c>
      <c r="AX79" s="313">
        <v>1</v>
      </c>
      <c r="AY79" s="313">
        <v>1</v>
      </c>
      <c r="AZ79" s="313">
        <v>1</v>
      </c>
      <c r="BA79" s="313">
        <v>1</v>
      </c>
      <c r="BB79" s="313">
        <v>1</v>
      </c>
      <c r="BC79" s="313">
        <v>1</v>
      </c>
      <c r="BD79" s="313">
        <v>1</v>
      </c>
      <c r="BE79" s="313">
        <v>1</v>
      </c>
      <c r="BF79" s="313">
        <v>1</v>
      </c>
      <c r="BG79" s="313">
        <v>1</v>
      </c>
      <c r="BH79" s="313">
        <v>1</v>
      </c>
      <c r="BI79" s="313">
        <v>1</v>
      </c>
      <c r="BJ79" s="313">
        <v>1</v>
      </c>
      <c r="BK79" s="313">
        <v>1</v>
      </c>
    </row>
    <row r="80" spans="1:63" x14ac:dyDescent="0.25">
      <c r="A80" s="306">
        <v>314990</v>
      </c>
      <c r="B80" s="313" t="s">
        <v>69</v>
      </c>
      <c r="C80" s="313">
        <v>1</v>
      </c>
      <c r="D80" s="313">
        <v>1</v>
      </c>
      <c r="E80" s="313">
        <v>1</v>
      </c>
      <c r="F80" s="313">
        <v>1</v>
      </c>
      <c r="G80" s="313">
        <v>1</v>
      </c>
      <c r="H80" s="313">
        <v>1</v>
      </c>
      <c r="I80" s="313">
        <v>1</v>
      </c>
      <c r="J80" s="313">
        <v>1</v>
      </c>
      <c r="K80" s="313">
        <v>0</v>
      </c>
      <c r="L80" s="313">
        <v>1</v>
      </c>
      <c r="M80" s="313">
        <v>1</v>
      </c>
      <c r="N80" s="313">
        <v>1</v>
      </c>
      <c r="O80" s="313">
        <v>1</v>
      </c>
      <c r="P80" s="313">
        <v>1</v>
      </c>
      <c r="Q80" s="313">
        <v>1</v>
      </c>
      <c r="R80" s="313">
        <v>1</v>
      </c>
      <c r="S80" s="313">
        <v>1</v>
      </c>
      <c r="T80" s="313">
        <v>1</v>
      </c>
      <c r="U80" s="313">
        <v>1</v>
      </c>
      <c r="V80" s="313">
        <v>1</v>
      </c>
      <c r="W80" s="313">
        <v>1</v>
      </c>
      <c r="X80" s="313">
        <v>1</v>
      </c>
      <c r="Y80" s="313">
        <v>1</v>
      </c>
      <c r="Z80" s="313">
        <v>1</v>
      </c>
      <c r="AA80" s="313">
        <v>1</v>
      </c>
      <c r="AB80" s="313">
        <v>1</v>
      </c>
      <c r="AC80" s="313">
        <v>1</v>
      </c>
      <c r="AD80" s="313">
        <v>1</v>
      </c>
      <c r="AE80" s="313">
        <v>1</v>
      </c>
      <c r="AF80" s="313">
        <v>1</v>
      </c>
      <c r="AG80" s="313">
        <v>1</v>
      </c>
      <c r="AH80" s="313">
        <v>1</v>
      </c>
      <c r="AI80" s="313">
        <v>1</v>
      </c>
      <c r="AJ80" s="313">
        <v>1</v>
      </c>
      <c r="AK80" s="313">
        <v>1</v>
      </c>
      <c r="AL80" s="313">
        <v>1</v>
      </c>
      <c r="AM80" s="313">
        <v>1</v>
      </c>
      <c r="AN80" s="313">
        <v>1</v>
      </c>
      <c r="AO80" s="313">
        <v>1</v>
      </c>
      <c r="AP80" s="313">
        <v>1</v>
      </c>
      <c r="AQ80" s="313">
        <v>1</v>
      </c>
      <c r="AR80" s="313">
        <v>1</v>
      </c>
      <c r="AS80" s="313">
        <v>1</v>
      </c>
      <c r="AT80" s="313">
        <v>1</v>
      </c>
      <c r="AU80" s="313">
        <v>1</v>
      </c>
      <c r="AV80" s="313">
        <v>1</v>
      </c>
      <c r="AW80" s="313">
        <v>1</v>
      </c>
      <c r="AX80" s="313">
        <v>1</v>
      </c>
      <c r="AY80" s="313">
        <v>1</v>
      </c>
      <c r="AZ80" s="313">
        <v>1</v>
      </c>
      <c r="BA80" s="313">
        <v>1</v>
      </c>
      <c r="BB80" s="313">
        <v>1</v>
      </c>
      <c r="BC80" s="313">
        <v>1</v>
      </c>
      <c r="BD80" s="313">
        <v>1</v>
      </c>
      <c r="BE80" s="313">
        <v>1</v>
      </c>
      <c r="BF80" s="313">
        <v>1</v>
      </c>
      <c r="BG80" s="313">
        <v>1</v>
      </c>
      <c r="BH80" s="313">
        <v>1</v>
      </c>
      <c r="BI80" s="313">
        <v>1</v>
      </c>
      <c r="BJ80" s="313">
        <v>1</v>
      </c>
      <c r="BK80" s="313">
        <v>1</v>
      </c>
    </row>
    <row r="81" spans="1:63" x14ac:dyDescent="0.25">
      <c r="A81" s="306">
        <v>315100</v>
      </c>
      <c r="B81" s="313" t="s">
        <v>70</v>
      </c>
      <c r="C81" s="313">
        <v>1</v>
      </c>
      <c r="D81" s="313">
        <v>0</v>
      </c>
      <c r="E81" s="313">
        <v>1</v>
      </c>
      <c r="F81" s="313">
        <v>1</v>
      </c>
      <c r="G81" s="313">
        <v>1</v>
      </c>
      <c r="H81" s="313">
        <v>1</v>
      </c>
      <c r="I81" s="313">
        <v>1</v>
      </c>
      <c r="J81" s="313">
        <v>0</v>
      </c>
      <c r="K81" s="313">
        <v>0</v>
      </c>
      <c r="L81" s="313">
        <v>0</v>
      </c>
      <c r="M81" s="313">
        <v>1</v>
      </c>
      <c r="N81" s="313">
        <v>1</v>
      </c>
      <c r="O81" s="313">
        <v>0</v>
      </c>
      <c r="P81" s="313">
        <v>1</v>
      </c>
      <c r="Q81" s="313">
        <v>0</v>
      </c>
      <c r="R81" s="313">
        <v>1</v>
      </c>
      <c r="S81" s="313">
        <v>1</v>
      </c>
      <c r="T81" s="313">
        <v>1</v>
      </c>
      <c r="U81" s="313">
        <v>1</v>
      </c>
      <c r="V81" s="313">
        <v>1</v>
      </c>
      <c r="W81" s="313">
        <v>1</v>
      </c>
      <c r="X81" s="313">
        <v>0</v>
      </c>
      <c r="Y81" s="313">
        <v>0</v>
      </c>
      <c r="Z81" s="313">
        <v>1</v>
      </c>
      <c r="AA81" s="313">
        <v>1</v>
      </c>
      <c r="AB81" s="313">
        <v>1</v>
      </c>
      <c r="AC81" s="313">
        <v>1</v>
      </c>
      <c r="AD81" s="313">
        <v>0</v>
      </c>
      <c r="AE81" s="313">
        <v>1</v>
      </c>
      <c r="AF81" s="313">
        <v>0</v>
      </c>
      <c r="AG81" s="313">
        <v>0</v>
      </c>
      <c r="AH81" s="313">
        <v>0</v>
      </c>
      <c r="AI81" s="313">
        <v>1</v>
      </c>
      <c r="AJ81" s="313">
        <v>1</v>
      </c>
      <c r="AK81" s="313">
        <v>0</v>
      </c>
      <c r="AL81" s="313">
        <v>1</v>
      </c>
      <c r="AM81" s="313">
        <v>1</v>
      </c>
      <c r="AN81" s="313">
        <v>0</v>
      </c>
      <c r="AO81" s="313">
        <v>1</v>
      </c>
      <c r="AP81" s="313">
        <v>1</v>
      </c>
      <c r="AQ81" s="313">
        <v>1</v>
      </c>
      <c r="AR81" s="313">
        <v>1</v>
      </c>
      <c r="AS81" s="313">
        <v>0</v>
      </c>
      <c r="AT81" s="313">
        <v>1</v>
      </c>
      <c r="AU81" s="313">
        <v>1</v>
      </c>
      <c r="AV81" s="313">
        <v>1</v>
      </c>
      <c r="AW81" s="313">
        <v>1</v>
      </c>
      <c r="AX81" s="313">
        <v>1</v>
      </c>
      <c r="AY81" s="313">
        <v>0</v>
      </c>
      <c r="AZ81" s="313">
        <v>1</v>
      </c>
      <c r="BA81" s="313">
        <v>0</v>
      </c>
      <c r="BB81" s="313">
        <v>0</v>
      </c>
      <c r="BC81" s="313">
        <v>1</v>
      </c>
      <c r="BD81" s="313">
        <v>1</v>
      </c>
      <c r="BE81" s="313">
        <v>1</v>
      </c>
      <c r="BF81" s="313">
        <v>1</v>
      </c>
      <c r="BG81" s="313">
        <v>1</v>
      </c>
      <c r="BH81" s="313">
        <v>1</v>
      </c>
      <c r="BI81" s="313">
        <v>1</v>
      </c>
      <c r="BJ81" s="313">
        <v>1</v>
      </c>
      <c r="BK81" s="313">
        <v>1</v>
      </c>
    </row>
    <row r="82" spans="1:63" x14ac:dyDescent="0.25">
      <c r="A82" s="306">
        <v>315210</v>
      </c>
      <c r="B82" s="313" t="s">
        <v>71</v>
      </c>
      <c r="C82" s="313">
        <v>1</v>
      </c>
      <c r="D82" s="313">
        <v>0</v>
      </c>
      <c r="E82" s="313">
        <v>1</v>
      </c>
      <c r="F82" s="313">
        <v>1</v>
      </c>
      <c r="G82" s="313">
        <v>1</v>
      </c>
      <c r="H82" s="313">
        <v>1</v>
      </c>
      <c r="I82" s="313">
        <v>1</v>
      </c>
      <c r="J82" s="313">
        <v>1</v>
      </c>
      <c r="K82" s="313">
        <v>1</v>
      </c>
      <c r="L82" s="313">
        <v>1</v>
      </c>
      <c r="M82" s="313">
        <v>1</v>
      </c>
      <c r="N82" s="313">
        <v>1</v>
      </c>
      <c r="O82" s="313">
        <v>1</v>
      </c>
      <c r="P82" s="313">
        <v>1</v>
      </c>
      <c r="Q82" s="313">
        <v>1</v>
      </c>
      <c r="R82" s="313">
        <v>1</v>
      </c>
      <c r="S82" s="313">
        <v>1</v>
      </c>
      <c r="T82" s="313">
        <v>1</v>
      </c>
      <c r="U82" s="313">
        <v>1</v>
      </c>
      <c r="V82" s="313">
        <v>1</v>
      </c>
      <c r="W82" s="313">
        <v>1</v>
      </c>
      <c r="X82" s="313">
        <v>1</v>
      </c>
      <c r="Y82" s="313">
        <v>1</v>
      </c>
      <c r="Z82" s="313">
        <v>1</v>
      </c>
      <c r="AA82" s="313">
        <v>1</v>
      </c>
      <c r="AB82" s="313">
        <v>1</v>
      </c>
      <c r="AC82" s="313">
        <v>1</v>
      </c>
      <c r="AD82" s="313">
        <v>0</v>
      </c>
      <c r="AE82" s="313">
        <v>1</v>
      </c>
      <c r="AF82" s="313">
        <v>1</v>
      </c>
      <c r="AG82" s="313">
        <v>1</v>
      </c>
      <c r="AH82" s="313">
        <v>1</v>
      </c>
      <c r="AI82" s="313">
        <v>1</v>
      </c>
      <c r="AJ82" s="313">
        <v>1</v>
      </c>
      <c r="AK82" s="313">
        <v>1</v>
      </c>
      <c r="AL82" s="313">
        <v>1</v>
      </c>
      <c r="AM82" s="313">
        <v>1</v>
      </c>
      <c r="AN82" s="313">
        <v>1</v>
      </c>
      <c r="AO82" s="313">
        <v>1</v>
      </c>
      <c r="AP82" s="313">
        <v>1</v>
      </c>
      <c r="AQ82" s="313">
        <v>1</v>
      </c>
      <c r="AR82" s="313">
        <v>1</v>
      </c>
      <c r="AS82" s="313">
        <v>1</v>
      </c>
      <c r="AT82" s="313">
        <v>1</v>
      </c>
      <c r="AU82" s="313">
        <v>1</v>
      </c>
      <c r="AV82" s="313">
        <v>1</v>
      </c>
      <c r="AW82" s="313">
        <v>1</v>
      </c>
      <c r="AX82" s="313">
        <v>1</v>
      </c>
      <c r="AY82" s="313">
        <v>1</v>
      </c>
      <c r="AZ82" s="313">
        <v>1</v>
      </c>
      <c r="BA82" s="313">
        <v>1</v>
      </c>
      <c r="BB82" s="313">
        <v>0</v>
      </c>
      <c r="BC82" s="313">
        <v>1</v>
      </c>
      <c r="BD82" s="313">
        <v>1</v>
      </c>
      <c r="BE82" s="313">
        <v>1</v>
      </c>
      <c r="BF82" s="313">
        <v>1</v>
      </c>
      <c r="BG82" s="313">
        <v>1</v>
      </c>
      <c r="BH82" s="313">
        <v>1</v>
      </c>
      <c r="BI82" s="313">
        <v>1</v>
      </c>
      <c r="BJ82" s="313">
        <v>1</v>
      </c>
      <c r="BK82" s="313">
        <v>1</v>
      </c>
    </row>
    <row r="83" spans="1:63" x14ac:dyDescent="0.25">
      <c r="A83" s="306">
        <v>315220</v>
      </c>
      <c r="B83" s="313" t="s">
        <v>72</v>
      </c>
      <c r="C83" s="313">
        <v>1</v>
      </c>
      <c r="D83" s="313">
        <v>0</v>
      </c>
      <c r="E83" s="313">
        <v>1</v>
      </c>
      <c r="F83" s="313">
        <v>1</v>
      </c>
      <c r="G83" s="313">
        <v>1</v>
      </c>
      <c r="H83" s="313">
        <v>1</v>
      </c>
      <c r="I83" s="313">
        <v>1</v>
      </c>
      <c r="J83" s="313">
        <v>1</v>
      </c>
      <c r="K83" s="313">
        <v>1</v>
      </c>
      <c r="L83" s="313">
        <v>0</v>
      </c>
      <c r="M83" s="313">
        <v>1</v>
      </c>
      <c r="N83" s="313">
        <v>1</v>
      </c>
      <c r="O83" s="313">
        <v>1</v>
      </c>
      <c r="P83" s="313">
        <v>1</v>
      </c>
      <c r="Q83" s="313">
        <v>1</v>
      </c>
      <c r="R83" s="313">
        <v>1</v>
      </c>
      <c r="S83" s="313">
        <v>1</v>
      </c>
      <c r="T83" s="313">
        <v>1</v>
      </c>
      <c r="U83" s="313">
        <v>1</v>
      </c>
      <c r="V83" s="313">
        <v>1</v>
      </c>
      <c r="W83" s="313">
        <v>1</v>
      </c>
      <c r="X83" s="313">
        <v>1</v>
      </c>
      <c r="Y83" s="313">
        <v>1</v>
      </c>
      <c r="Z83" s="313">
        <v>1</v>
      </c>
      <c r="AA83" s="313">
        <v>1</v>
      </c>
      <c r="AB83" s="313">
        <v>1</v>
      </c>
      <c r="AC83" s="313">
        <v>1</v>
      </c>
      <c r="AD83" s="313">
        <v>0</v>
      </c>
      <c r="AE83" s="313">
        <v>1</v>
      </c>
      <c r="AF83" s="313">
        <v>0</v>
      </c>
      <c r="AG83" s="313">
        <v>1</v>
      </c>
      <c r="AH83" s="313">
        <v>1</v>
      </c>
      <c r="AI83" s="313">
        <v>1</v>
      </c>
      <c r="AJ83" s="313">
        <v>1</v>
      </c>
      <c r="AK83" s="313">
        <v>1</v>
      </c>
      <c r="AL83" s="313">
        <v>1</v>
      </c>
      <c r="AM83" s="313">
        <v>1</v>
      </c>
      <c r="AN83" s="313">
        <v>1</v>
      </c>
      <c r="AO83" s="313">
        <v>1</v>
      </c>
      <c r="AP83" s="313">
        <v>1</v>
      </c>
      <c r="AQ83" s="313">
        <v>1</v>
      </c>
      <c r="AR83" s="313">
        <v>1</v>
      </c>
      <c r="AS83" s="313">
        <v>0</v>
      </c>
      <c r="AT83" s="313">
        <v>1</v>
      </c>
      <c r="AU83" s="313">
        <v>1</v>
      </c>
      <c r="AV83" s="313">
        <v>1</v>
      </c>
      <c r="AW83" s="313">
        <v>1</v>
      </c>
      <c r="AX83" s="313">
        <v>1</v>
      </c>
      <c r="AY83" s="313">
        <v>1</v>
      </c>
      <c r="AZ83" s="313">
        <v>1</v>
      </c>
      <c r="BA83" s="313">
        <v>1</v>
      </c>
      <c r="BB83" s="313">
        <v>1</v>
      </c>
      <c r="BC83" s="313">
        <v>1</v>
      </c>
      <c r="BD83" s="313">
        <v>1</v>
      </c>
      <c r="BE83" s="313">
        <v>1</v>
      </c>
      <c r="BF83" s="313">
        <v>1</v>
      </c>
      <c r="BG83" s="313">
        <v>1</v>
      </c>
      <c r="BH83" s="313">
        <v>1</v>
      </c>
      <c r="BI83" s="313">
        <v>1</v>
      </c>
      <c r="BJ83" s="313">
        <v>1</v>
      </c>
      <c r="BK83" s="313">
        <v>1</v>
      </c>
    </row>
    <row r="84" spans="1:63" x14ac:dyDescent="0.25">
      <c r="A84" s="306">
        <v>315230</v>
      </c>
      <c r="B84" s="313" t="s">
        <v>73</v>
      </c>
      <c r="C84" s="313">
        <v>1</v>
      </c>
      <c r="D84" s="313">
        <v>0</v>
      </c>
      <c r="E84" s="313">
        <v>1</v>
      </c>
      <c r="F84" s="313">
        <v>1</v>
      </c>
      <c r="G84" s="313">
        <v>1</v>
      </c>
      <c r="H84" s="313">
        <v>1</v>
      </c>
      <c r="I84" s="313">
        <v>1</v>
      </c>
      <c r="J84" s="313">
        <v>1</v>
      </c>
      <c r="K84" s="313">
        <v>1</v>
      </c>
      <c r="L84" s="313">
        <v>0</v>
      </c>
      <c r="M84" s="313">
        <v>1</v>
      </c>
      <c r="N84" s="313">
        <v>1</v>
      </c>
      <c r="O84" s="313">
        <v>1</v>
      </c>
      <c r="P84" s="313">
        <v>1</v>
      </c>
      <c r="Q84" s="313">
        <v>1</v>
      </c>
      <c r="R84" s="313">
        <v>1</v>
      </c>
      <c r="S84" s="313">
        <v>1</v>
      </c>
      <c r="T84" s="313">
        <v>1</v>
      </c>
      <c r="U84" s="313">
        <v>1</v>
      </c>
      <c r="V84" s="313">
        <v>1</v>
      </c>
      <c r="W84" s="313">
        <v>1</v>
      </c>
      <c r="X84" s="313">
        <v>1</v>
      </c>
      <c r="Y84" s="313">
        <v>1</v>
      </c>
      <c r="Z84" s="313">
        <v>1</v>
      </c>
      <c r="AA84" s="313">
        <v>1</v>
      </c>
      <c r="AB84" s="313">
        <v>1</v>
      </c>
      <c r="AC84" s="313">
        <v>1</v>
      </c>
      <c r="AD84" s="313">
        <v>0</v>
      </c>
      <c r="AE84" s="313">
        <v>1</v>
      </c>
      <c r="AF84" s="313">
        <v>1</v>
      </c>
      <c r="AG84" s="313">
        <v>1</v>
      </c>
      <c r="AH84" s="313">
        <v>1</v>
      </c>
      <c r="AI84" s="313">
        <v>1</v>
      </c>
      <c r="AJ84" s="313">
        <v>1</v>
      </c>
      <c r="AK84" s="313">
        <v>1</v>
      </c>
      <c r="AL84" s="313">
        <v>1</v>
      </c>
      <c r="AM84" s="313">
        <v>1</v>
      </c>
      <c r="AN84" s="313">
        <v>1</v>
      </c>
      <c r="AO84" s="313">
        <v>1</v>
      </c>
      <c r="AP84" s="313">
        <v>1</v>
      </c>
      <c r="AQ84" s="313">
        <v>0</v>
      </c>
      <c r="AR84" s="313">
        <v>1</v>
      </c>
      <c r="AS84" s="313">
        <v>0</v>
      </c>
      <c r="AT84" s="313">
        <v>1</v>
      </c>
      <c r="AU84" s="313">
        <v>1</v>
      </c>
      <c r="AV84" s="313">
        <v>1</v>
      </c>
      <c r="AW84" s="313">
        <v>1</v>
      </c>
      <c r="AX84" s="313">
        <v>1</v>
      </c>
      <c r="AY84" s="313">
        <v>1</v>
      </c>
      <c r="AZ84" s="313">
        <v>1</v>
      </c>
      <c r="BA84" s="313">
        <v>0</v>
      </c>
      <c r="BB84" s="313">
        <v>1</v>
      </c>
      <c r="BC84" s="313">
        <v>1</v>
      </c>
      <c r="BD84" s="313">
        <v>1</v>
      </c>
      <c r="BE84" s="313">
        <v>1</v>
      </c>
      <c r="BF84" s="313">
        <v>1</v>
      </c>
      <c r="BG84" s="313">
        <v>1</v>
      </c>
      <c r="BH84" s="313">
        <v>1</v>
      </c>
      <c r="BI84" s="313">
        <v>1</v>
      </c>
      <c r="BJ84" s="313">
        <v>1</v>
      </c>
      <c r="BK84" s="313">
        <v>1</v>
      </c>
    </row>
    <row r="85" spans="1:63" x14ac:dyDescent="0.25">
      <c r="A85" s="306">
        <v>315290</v>
      </c>
      <c r="B85" s="313" t="s">
        <v>74</v>
      </c>
      <c r="C85" s="313">
        <v>1</v>
      </c>
      <c r="D85" s="313">
        <v>0</v>
      </c>
      <c r="E85" s="313">
        <v>1</v>
      </c>
      <c r="F85" s="313">
        <v>0</v>
      </c>
      <c r="G85" s="313">
        <v>1</v>
      </c>
      <c r="H85" s="313">
        <v>1</v>
      </c>
      <c r="I85" s="313">
        <v>1</v>
      </c>
      <c r="J85" s="313">
        <v>1</v>
      </c>
      <c r="K85" s="313">
        <v>0</v>
      </c>
      <c r="L85" s="313">
        <v>0</v>
      </c>
      <c r="M85" s="313">
        <v>1</v>
      </c>
      <c r="N85" s="313">
        <v>1</v>
      </c>
      <c r="O85" s="313">
        <v>1</v>
      </c>
      <c r="P85" s="313">
        <v>1</v>
      </c>
      <c r="Q85" s="313">
        <v>1</v>
      </c>
      <c r="R85" s="313">
        <v>1</v>
      </c>
      <c r="S85" s="313">
        <v>1</v>
      </c>
      <c r="T85" s="313">
        <v>1</v>
      </c>
      <c r="U85" s="313">
        <v>1</v>
      </c>
      <c r="V85" s="313">
        <v>1</v>
      </c>
      <c r="W85" s="313">
        <v>1</v>
      </c>
      <c r="X85" s="313">
        <v>1</v>
      </c>
      <c r="Y85" s="313">
        <v>1</v>
      </c>
      <c r="Z85" s="313">
        <v>1</v>
      </c>
      <c r="AA85" s="313">
        <v>1</v>
      </c>
      <c r="AB85" s="313">
        <v>1</v>
      </c>
      <c r="AC85" s="313">
        <v>1</v>
      </c>
      <c r="AD85" s="313">
        <v>0</v>
      </c>
      <c r="AE85" s="313">
        <v>1</v>
      </c>
      <c r="AF85" s="313">
        <v>0</v>
      </c>
      <c r="AG85" s="313">
        <v>1</v>
      </c>
      <c r="AH85" s="313">
        <v>1</v>
      </c>
      <c r="AI85" s="313">
        <v>1</v>
      </c>
      <c r="AJ85" s="313">
        <v>1</v>
      </c>
      <c r="AK85" s="313">
        <v>1</v>
      </c>
      <c r="AL85" s="313">
        <v>1</v>
      </c>
      <c r="AM85" s="313">
        <v>1</v>
      </c>
      <c r="AN85" s="313">
        <v>1</v>
      </c>
      <c r="AO85" s="313">
        <v>1</v>
      </c>
      <c r="AP85" s="313">
        <v>1</v>
      </c>
      <c r="AQ85" s="313">
        <v>1</v>
      </c>
      <c r="AR85" s="313">
        <v>1</v>
      </c>
      <c r="AS85" s="313">
        <v>1</v>
      </c>
      <c r="AT85" s="313">
        <v>1</v>
      </c>
      <c r="AU85" s="313">
        <v>1</v>
      </c>
      <c r="AV85" s="313">
        <v>1</v>
      </c>
      <c r="AW85" s="313">
        <v>1</v>
      </c>
      <c r="AX85" s="313">
        <v>1</v>
      </c>
      <c r="AY85" s="313">
        <v>1</v>
      </c>
      <c r="AZ85" s="313">
        <v>1</v>
      </c>
      <c r="BA85" s="313">
        <v>0</v>
      </c>
      <c r="BB85" s="313">
        <v>0</v>
      </c>
      <c r="BC85" s="313">
        <v>1</v>
      </c>
      <c r="BD85" s="313">
        <v>1</v>
      </c>
      <c r="BE85" s="313">
        <v>1</v>
      </c>
      <c r="BF85" s="313">
        <v>1</v>
      </c>
      <c r="BG85" s="313">
        <v>1</v>
      </c>
      <c r="BH85" s="313">
        <v>1</v>
      </c>
      <c r="BI85" s="313">
        <v>1</v>
      </c>
      <c r="BJ85" s="313">
        <v>1</v>
      </c>
      <c r="BK85" s="313">
        <v>1</v>
      </c>
    </row>
    <row r="86" spans="1:63" x14ac:dyDescent="0.25">
      <c r="A86" s="306">
        <v>315900</v>
      </c>
      <c r="B86" s="313" t="s">
        <v>75</v>
      </c>
      <c r="C86" s="313">
        <v>1</v>
      </c>
      <c r="D86" s="313">
        <v>1</v>
      </c>
      <c r="E86" s="313">
        <v>1</v>
      </c>
      <c r="F86" s="313">
        <v>1</v>
      </c>
      <c r="G86" s="313">
        <v>1</v>
      </c>
      <c r="H86" s="313">
        <v>1</v>
      </c>
      <c r="I86" s="313">
        <v>1</v>
      </c>
      <c r="J86" s="313">
        <v>1</v>
      </c>
      <c r="K86" s="313">
        <v>0</v>
      </c>
      <c r="L86" s="313">
        <v>1</v>
      </c>
      <c r="M86" s="313">
        <v>1</v>
      </c>
      <c r="N86" s="313">
        <v>1</v>
      </c>
      <c r="O86" s="313">
        <v>1</v>
      </c>
      <c r="P86" s="313">
        <v>1</v>
      </c>
      <c r="Q86" s="313">
        <v>1</v>
      </c>
      <c r="R86" s="313">
        <v>1</v>
      </c>
      <c r="S86" s="313">
        <v>1</v>
      </c>
      <c r="T86" s="313">
        <v>1</v>
      </c>
      <c r="U86" s="313">
        <v>1</v>
      </c>
      <c r="V86" s="313">
        <v>1</v>
      </c>
      <c r="W86" s="313">
        <v>1</v>
      </c>
      <c r="X86" s="313">
        <v>1</v>
      </c>
      <c r="Y86" s="313">
        <v>1</v>
      </c>
      <c r="Z86" s="313">
        <v>1</v>
      </c>
      <c r="AA86" s="313">
        <v>1</v>
      </c>
      <c r="AB86" s="313">
        <v>1</v>
      </c>
      <c r="AC86" s="313">
        <v>1</v>
      </c>
      <c r="AD86" s="313">
        <v>1</v>
      </c>
      <c r="AE86" s="313">
        <v>1</v>
      </c>
      <c r="AF86" s="313">
        <v>1</v>
      </c>
      <c r="AG86" s="313">
        <v>1</v>
      </c>
      <c r="AH86" s="313">
        <v>1</v>
      </c>
      <c r="AI86" s="313">
        <v>1</v>
      </c>
      <c r="AJ86" s="313">
        <v>1</v>
      </c>
      <c r="AK86" s="313">
        <v>1</v>
      </c>
      <c r="AL86" s="313">
        <v>1</v>
      </c>
      <c r="AM86" s="313">
        <v>1</v>
      </c>
      <c r="AN86" s="313">
        <v>1</v>
      </c>
      <c r="AO86" s="313">
        <v>1</v>
      </c>
      <c r="AP86" s="313">
        <v>1</v>
      </c>
      <c r="AQ86" s="313">
        <v>1</v>
      </c>
      <c r="AR86" s="313">
        <v>1</v>
      </c>
      <c r="AS86" s="313">
        <v>1</v>
      </c>
      <c r="AT86" s="313">
        <v>1</v>
      </c>
      <c r="AU86" s="313">
        <v>1</v>
      </c>
      <c r="AV86" s="313">
        <v>1</v>
      </c>
      <c r="AW86" s="313">
        <v>1</v>
      </c>
      <c r="AX86" s="313">
        <v>1</v>
      </c>
      <c r="AY86" s="313">
        <v>1</v>
      </c>
      <c r="AZ86" s="313">
        <v>1</v>
      </c>
      <c r="BA86" s="313">
        <v>1</v>
      </c>
      <c r="BB86" s="313">
        <v>1</v>
      </c>
      <c r="BC86" s="313">
        <v>1</v>
      </c>
      <c r="BD86" s="313">
        <v>1</v>
      </c>
      <c r="BE86" s="313">
        <v>1</v>
      </c>
      <c r="BF86" s="313">
        <v>1</v>
      </c>
      <c r="BG86" s="313">
        <v>1</v>
      </c>
      <c r="BH86" s="313">
        <v>1</v>
      </c>
      <c r="BI86" s="313">
        <v>1</v>
      </c>
      <c r="BJ86" s="313">
        <v>1</v>
      </c>
      <c r="BK86" s="313">
        <v>1</v>
      </c>
    </row>
    <row r="87" spans="1:63" x14ac:dyDescent="0.25">
      <c r="A87" s="306">
        <v>316100</v>
      </c>
      <c r="B87" s="313" t="s">
        <v>76</v>
      </c>
      <c r="C87" s="313">
        <v>1</v>
      </c>
      <c r="D87" s="313">
        <v>1</v>
      </c>
      <c r="E87" s="313">
        <v>1</v>
      </c>
      <c r="F87" s="313">
        <v>0</v>
      </c>
      <c r="G87" s="313">
        <v>1</v>
      </c>
      <c r="H87" s="313">
        <v>1</v>
      </c>
      <c r="I87" s="313">
        <v>1</v>
      </c>
      <c r="J87" s="313">
        <v>0</v>
      </c>
      <c r="K87" s="313">
        <v>0</v>
      </c>
      <c r="L87" s="313">
        <v>0</v>
      </c>
      <c r="M87" s="313">
        <v>1</v>
      </c>
      <c r="N87" s="313">
        <v>1</v>
      </c>
      <c r="O87" s="313">
        <v>0</v>
      </c>
      <c r="P87" s="313">
        <v>1</v>
      </c>
      <c r="Q87" s="313">
        <v>1</v>
      </c>
      <c r="R87" s="313">
        <v>1</v>
      </c>
      <c r="S87" s="313">
        <v>1</v>
      </c>
      <c r="T87" s="313">
        <v>0</v>
      </c>
      <c r="U87" s="313">
        <v>1</v>
      </c>
      <c r="V87" s="313">
        <v>1</v>
      </c>
      <c r="W87" s="313">
        <v>1</v>
      </c>
      <c r="X87" s="313">
        <v>1</v>
      </c>
      <c r="Y87" s="313">
        <v>1</v>
      </c>
      <c r="Z87" s="313">
        <v>1</v>
      </c>
      <c r="AA87" s="313">
        <v>1</v>
      </c>
      <c r="AB87" s="313">
        <v>1</v>
      </c>
      <c r="AC87" s="313">
        <v>1</v>
      </c>
      <c r="AD87" s="313">
        <v>1</v>
      </c>
      <c r="AE87" s="313">
        <v>1</v>
      </c>
      <c r="AF87" s="313">
        <v>0</v>
      </c>
      <c r="AG87" s="313">
        <v>1</v>
      </c>
      <c r="AH87" s="313">
        <v>1</v>
      </c>
      <c r="AI87" s="313">
        <v>1</v>
      </c>
      <c r="AJ87" s="313">
        <v>0</v>
      </c>
      <c r="AK87" s="313">
        <v>0</v>
      </c>
      <c r="AL87" s="313">
        <v>1</v>
      </c>
      <c r="AM87" s="313">
        <v>1</v>
      </c>
      <c r="AN87" s="313">
        <v>1</v>
      </c>
      <c r="AO87" s="313">
        <v>1</v>
      </c>
      <c r="AP87" s="313">
        <v>1</v>
      </c>
      <c r="AQ87" s="313">
        <v>0</v>
      </c>
      <c r="AR87" s="313">
        <v>1</v>
      </c>
      <c r="AS87" s="313">
        <v>0</v>
      </c>
      <c r="AT87" s="313">
        <v>1</v>
      </c>
      <c r="AU87" s="313">
        <v>1</v>
      </c>
      <c r="AV87" s="313">
        <v>1</v>
      </c>
      <c r="AW87" s="313">
        <v>0</v>
      </c>
      <c r="AX87" s="313">
        <v>0</v>
      </c>
      <c r="AY87" s="313">
        <v>1</v>
      </c>
      <c r="AZ87" s="313">
        <v>1</v>
      </c>
      <c r="BA87" s="313">
        <v>1</v>
      </c>
      <c r="BB87" s="313">
        <v>1</v>
      </c>
      <c r="BC87" s="313">
        <v>1</v>
      </c>
      <c r="BD87" s="313">
        <v>1</v>
      </c>
      <c r="BE87" s="313">
        <v>1</v>
      </c>
      <c r="BF87" s="313">
        <v>1</v>
      </c>
      <c r="BG87" s="313">
        <v>1</v>
      </c>
      <c r="BH87" s="313">
        <v>1</v>
      </c>
      <c r="BI87" s="313">
        <v>1</v>
      </c>
      <c r="BJ87" s="313">
        <v>1</v>
      </c>
      <c r="BK87" s="313">
        <v>1</v>
      </c>
    </row>
    <row r="88" spans="1:63" x14ac:dyDescent="0.25">
      <c r="A88" s="306">
        <v>316200</v>
      </c>
      <c r="B88" s="313" t="s">
        <v>77</v>
      </c>
      <c r="C88" s="313">
        <v>1</v>
      </c>
      <c r="D88" s="313">
        <v>0</v>
      </c>
      <c r="E88" s="313">
        <v>0</v>
      </c>
      <c r="F88" s="313">
        <v>1</v>
      </c>
      <c r="G88" s="313">
        <v>1</v>
      </c>
      <c r="H88" s="313">
        <v>1</v>
      </c>
      <c r="I88" s="313">
        <v>1</v>
      </c>
      <c r="J88" s="313">
        <v>0</v>
      </c>
      <c r="K88" s="313">
        <v>0</v>
      </c>
      <c r="L88" s="313">
        <v>0</v>
      </c>
      <c r="M88" s="313">
        <v>1</v>
      </c>
      <c r="N88" s="313">
        <v>1</v>
      </c>
      <c r="O88" s="313">
        <v>1</v>
      </c>
      <c r="P88" s="313">
        <v>0</v>
      </c>
      <c r="Q88" s="313">
        <v>1</v>
      </c>
      <c r="R88" s="313">
        <v>1</v>
      </c>
      <c r="S88" s="313">
        <v>1</v>
      </c>
      <c r="T88" s="313">
        <v>0</v>
      </c>
      <c r="U88" s="313">
        <v>1</v>
      </c>
      <c r="V88" s="313">
        <v>0</v>
      </c>
      <c r="W88" s="313">
        <v>1</v>
      </c>
      <c r="X88" s="313">
        <v>1</v>
      </c>
      <c r="Y88" s="313">
        <v>1</v>
      </c>
      <c r="Z88" s="313">
        <v>1</v>
      </c>
      <c r="AA88" s="313">
        <v>1</v>
      </c>
      <c r="AB88" s="313">
        <v>1</v>
      </c>
      <c r="AC88" s="313">
        <v>0</v>
      </c>
      <c r="AD88" s="313">
        <v>1</v>
      </c>
      <c r="AE88" s="313">
        <v>1</v>
      </c>
      <c r="AF88" s="313">
        <v>1</v>
      </c>
      <c r="AG88" s="313">
        <v>1</v>
      </c>
      <c r="AH88" s="313">
        <v>1</v>
      </c>
      <c r="AI88" s="313">
        <v>1</v>
      </c>
      <c r="AJ88" s="313">
        <v>0</v>
      </c>
      <c r="AK88" s="313">
        <v>0</v>
      </c>
      <c r="AL88" s="313">
        <v>1</v>
      </c>
      <c r="AM88" s="313">
        <v>1</v>
      </c>
      <c r="AN88" s="313">
        <v>1</v>
      </c>
      <c r="AO88" s="313">
        <v>1</v>
      </c>
      <c r="AP88" s="313">
        <v>1</v>
      </c>
      <c r="AQ88" s="313">
        <v>0</v>
      </c>
      <c r="AR88" s="313">
        <v>1</v>
      </c>
      <c r="AS88" s="313">
        <v>0</v>
      </c>
      <c r="AT88" s="313">
        <v>1</v>
      </c>
      <c r="AU88" s="313">
        <v>1</v>
      </c>
      <c r="AV88" s="313">
        <v>0</v>
      </c>
      <c r="AW88" s="313">
        <v>1</v>
      </c>
      <c r="AX88" s="313">
        <v>0</v>
      </c>
      <c r="AY88" s="313">
        <v>1</v>
      </c>
      <c r="AZ88" s="313">
        <v>1</v>
      </c>
      <c r="BA88" s="313">
        <v>0</v>
      </c>
      <c r="BB88" s="313">
        <v>0</v>
      </c>
      <c r="BC88" s="313">
        <v>1</v>
      </c>
      <c r="BD88" s="313">
        <v>1</v>
      </c>
      <c r="BE88" s="313">
        <v>1</v>
      </c>
      <c r="BF88" s="313">
        <v>1</v>
      </c>
      <c r="BG88" s="313">
        <v>1</v>
      </c>
      <c r="BH88" s="313">
        <v>1</v>
      </c>
      <c r="BI88" s="313">
        <v>1</v>
      </c>
      <c r="BJ88" s="313">
        <v>1</v>
      </c>
      <c r="BK88" s="313">
        <v>1</v>
      </c>
    </row>
    <row r="89" spans="1:63" x14ac:dyDescent="0.25">
      <c r="A89" s="306">
        <v>316900</v>
      </c>
      <c r="B89" s="313" t="s">
        <v>78</v>
      </c>
      <c r="C89" s="313">
        <v>1</v>
      </c>
      <c r="D89" s="313">
        <v>0</v>
      </c>
      <c r="E89" s="313">
        <v>1</v>
      </c>
      <c r="F89" s="313">
        <v>1</v>
      </c>
      <c r="G89" s="313">
        <v>1</v>
      </c>
      <c r="H89" s="313">
        <v>1</v>
      </c>
      <c r="I89" s="313">
        <v>1</v>
      </c>
      <c r="J89" s="313">
        <v>1</v>
      </c>
      <c r="K89" s="313">
        <v>0</v>
      </c>
      <c r="L89" s="313">
        <v>1</v>
      </c>
      <c r="M89" s="313">
        <v>1</v>
      </c>
      <c r="N89" s="313">
        <v>1</v>
      </c>
      <c r="O89" s="313">
        <v>0</v>
      </c>
      <c r="P89" s="313">
        <v>1</v>
      </c>
      <c r="Q89" s="313">
        <v>1</v>
      </c>
      <c r="R89" s="313">
        <v>1</v>
      </c>
      <c r="S89" s="313">
        <v>1</v>
      </c>
      <c r="T89" s="313">
        <v>1</v>
      </c>
      <c r="U89" s="313">
        <v>1</v>
      </c>
      <c r="V89" s="313">
        <v>1</v>
      </c>
      <c r="W89" s="313">
        <v>1</v>
      </c>
      <c r="X89" s="313">
        <v>1</v>
      </c>
      <c r="Y89" s="313">
        <v>1</v>
      </c>
      <c r="Z89" s="313">
        <v>1</v>
      </c>
      <c r="AA89" s="313">
        <v>1</v>
      </c>
      <c r="AB89" s="313">
        <v>1</v>
      </c>
      <c r="AC89" s="313">
        <v>1</v>
      </c>
      <c r="AD89" s="313">
        <v>1</v>
      </c>
      <c r="AE89" s="313">
        <v>1</v>
      </c>
      <c r="AF89" s="313">
        <v>1</v>
      </c>
      <c r="AG89" s="313">
        <v>1</v>
      </c>
      <c r="AH89" s="313">
        <v>1</v>
      </c>
      <c r="AI89" s="313">
        <v>1</v>
      </c>
      <c r="AJ89" s="313">
        <v>1</v>
      </c>
      <c r="AK89" s="313">
        <v>1</v>
      </c>
      <c r="AL89" s="313">
        <v>1</v>
      </c>
      <c r="AM89" s="313">
        <v>1</v>
      </c>
      <c r="AN89" s="313">
        <v>1</v>
      </c>
      <c r="AO89" s="313">
        <v>1</v>
      </c>
      <c r="AP89" s="313">
        <v>1</v>
      </c>
      <c r="AQ89" s="313">
        <v>1</v>
      </c>
      <c r="AR89" s="313">
        <v>1</v>
      </c>
      <c r="AS89" s="313">
        <v>1</v>
      </c>
      <c r="AT89" s="313">
        <v>1</v>
      </c>
      <c r="AU89" s="313">
        <v>1</v>
      </c>
      <c r="AV89" s="313">
        <v>1</v>
      </c>
      <c r="AW89" s="313">
        <v>1</v>
      </c>
      <c r="AX89" s="313">
        <v>1</v>
      </c>
      <c r="AY89" s="313">
        <v>1</v>
      </c>
      <c r="AZ89" s="313">
        <v>1</v>
      </c>
      <c r="BA89" s="313">
        <v>0</v>
      </c>
      <c r="BB89" s="313">
        <v>1</v>
      </c>
      <c r="BC89" s="313">
        <v>1</v>
      </c>
      <c r="BD89" s="313">
        <v>1</v>
      </c>
      <c r="BE89" s="313">
        <v>1</v>
      </c>
      <c r="BF89" s="313">
        <v>1</v>
      </c>
      <c r="BG89" s="313">
        <v>1</v>
      </c>
      <c r="BH89" s="313">
        <v>1</v>
      </c>
      <c r="BI89" s="313">
        <v>1</v>
      </c>
      <c r="BJ89" s="313">
        <v>1</v>
      </c>
      <c r="BK89" s="313">
        <v>1</v>
      </c>
    </row>
    <row r="90" spans="1:63" x14ac:dyDescent="0.25">
      <c r="A90" s="306">
        <v>321100</v>
      </c>
      <c r="B90" s="313" t="s">
        <v>79</v>
      </c>
      <c r="C90" s="313">
        <v>1</v>
      </c>
      <c r="D90" s="313">
        <v>1</v>
      </c>
      <c r="E90" s="313">
        <v>1</v>
      </c>
      <c r="F90" s="313">
        <v>1</v>
      </c>
      <c r="G90" s="313">
        <v>1</v>
      </c>
      <c r="H90" s="313">
        <v>1</v>
      </c>
      <c r="I90" s="313">
        <v>1</v>
      </c>
      <c r="J90" s="313">
        <v>1</v>
      </c>
      <c r="K90" s="313">
        <v>0</v>
      </c>
      <c r="L90" s="313">
        <v>1</v>
      </c>
      <c r="M90" s="313">
        <v>1</v>
      </c>
      <c r="N90" s="313">
        <v>1</v>
      </c>
      <c r="O90" s="313">
        <v>1</v>
      </c>
      <c r="P90" s="313">
        <v>1</v>
      </c>
      <c r="Q90" s="313">
        <v>1</v>
      </c>
      <c r="R90" s="313">
        <v>1</v>
      </c>
      <c r="S90" s="313">
        <v>1</v>
      </c>
      <c r="T90" s="313">
        <v>1</v>
      </c>
      <c r="U90" s="313">
        <v>1</v>
      </c>
      <c r="V90" s="313">
        <v>1</v>
      </c>
      <c r="W90" s="313">
        <v>1</v>
      </c>
      <c r="X90" s="313">
        <v>1</v>
      </c>
      <c r="Y90" s="313">
        <v>1</v>
      </c>
      <c r="Z90" s="313">
        <v>1</v>
      </c>
      <c r="AA90" s="313">
        <v>1</v>
      </c>
      <c r="AB90" s="313">
        <v>1</v>
      </c>
      <c r="AC90" s="313">
        <v>1</v>
      </c>
      <c r="AD90" s="313">
        <v>1</v>
      </c>
      <c r="AE90" s="313">
        <v>1</v>
      </c>
      <c r="AF90" s="313">
        <v>1</v>
      </c>
      <c r="AG90" s="313">
        <v>1</v>
      </c>
      <c r="AH90" s="313">
        <v>1</v>
      </c>
      <c r="AI90" s="313">
        <v>1</v>
      </c>
      <c r="AJ90" s="313">
        <v>1</v>
      </c>
      <c r="AK90" s="313">
        <v>1</v>
      </c>
      <c r="AL90" s="313">
        <v>1</v>
      </c>
      <c r="AM90" s="313">
        <v>1</v>
      </c>
      <c r="AN90" s="313">
        <v>1</v>
      </c>
      <c r="AO90" s="313">
        <v>1</v>
      </c>
      <c r="AP90" s="313">
        <v>1</v>
      </c>
      <c r="AQ90" s="313">
        <v>1</v>
      </c>
      <c r="AR90" s="313">
        <v>1</v>
      </c>
      <c r="AS90" s="313">
        <v>1</v>
      </c>
      <c r="AT90" s="313">
        <v>1</v>
      </c>
      <c r="AU90" s="313">
        <v>1</v>
      </c>
      <c r="AV90" s="313">
        <v>1</v>
      </c>
      <c r="AW90" s="313">
        <v>1</v>
      </c>
      <c r="AX90" s="313">
        <v>1</v>
      </c>
      <c r="AY90" s="313">
        <v>1</v>
      </c>
      <c r="AZ90" s="313">
        <v>1</v>
      </c>
      <c r="BA90" s="313">
        <v>1</v>
      </c>
      <c r="BB90" s="313">
        <v>1</v>
      </c>
      <c r="BC90" s="313">
        <v>1</v>
      </c>
      <c r="BD90" s="313">
        <v>1</v>
      </c>
      <c r="BE90" s="313">
        <v>1</v>
      </c>
      <c r="BF90" s="313">
        <v>1</v>
      </c>
      <c r="BG90" s="313">
        <v>1</v>
      </c>
      <c r="BH90" s="313">
        <v>1</v>
      </c>
      <c r="BI90" s="313">
        <v>1</v>
      </c>
      <c r="BJ90" s="313">
        <v>1</v>
      </c>
      <c r="BK90" s="313">
        <v>1</v>
      </c>
    </row>
    <row r="91" spans="1:63" x14ac:dyDescent="0.25">
      <c r="A91" s="306">
        <v>321219</v>
      </c>
      <c r="B91" s="313" t="s">
        <v>82</v>
      </c>
      <c r="C91" s="313">
        <v>1</v>
      </c>
      <c r="D91" s="313">
        <v>0</v>
      </c>
      <c r="E91" s="313">
        <v>1</v>
      </c>
      <c r="F91" s="313">
        <v>1</v>
      </c>
      <c r="G91" s="313">
        <v>1</v>
      </c>
      <c r="H91" s="313">
        <v>1</v>
      </c>
      <c r="I91" s="313">
        <v>1</v>
      </c>
      <c r="J91" s="313">
        <v>0</v>
      </c>
      <c r="K91" s="313">
        <v>0</v>
      </c>
      <c r="L91" s="313">
        <v>1</v>
      </c>
      <c r="M91" s="313">
        <v>1</v>
      </c>
      <c r="N91" s="313">
        <v>1</v>
      </c>
      <c r="O91" s="313">
        <v>0</v>
      </c>
      <c r="P91" s="313">
        <v>0</v>
      </c>
      <c r="Q91" s="313">
        <v>1</v>
      </c>
      <c r="R91" s="313">
        <v>1</v>
      </c>
      <c r="S91" s="313">
        <v>1</v>
      </c>
      <c r="T91" s="313">
        <v>0</v>
      </c>
      <c r="U91" s="313">
        <v>1</v>
      </c>
      <c r="V91" s="313">
        <v>1</v>
      </c>
      <c r="W91" s="313">
        <v>1</v>
      </c>
      <c r="X91" s="313">
        <v>1</v>
      </c>
      <c r="Y91" s="313">
        <v>1</v>
      </c>
      <c r="Z91" s="313">
        <v>1</v>
      </c>
      <c r="AA91" s="313">
        <v>1</v>
      </c>
      <c r="AB91" s="313">
        <v>1</v>
      </c>
      <c r="AC91" s="313">
        <v>1</v>
      </c>
      <c r="AD91" s="313">
        <v>1</v>
      </c>
      <c r="AE91" s="313">
        <v>1</v>
      </c>
      <c r="AF91" s="313">
        <v>1</v>
      </c>
      <c r="AG91" s="313">
        <v>0</v>
      </c>
      <c r="AH91" s="313">
        <v>1</v>
      </c>
      <c r="AI91" s="313">
        <v>1</v>
      </c>
      <c r="AJ91" s="313">
        <v>1</v>
      </c>
      <c r="AK91" s="313">
        <v>1</v>
      </c>
      <c r="AL91" s="313">
        <v>1</v>
      </c>
      <c r="AM91" s="313">
        <v>1</v>
      </c>
      <c r="AN91" s="313">
        <v>1</v>
      </c>
      <c r="AO91" s="313">
        <v>1</v>
      </c>
      <c r="AP91" s="313">
        <v>1</v>
      </c>
      <c r="AQ91" s="313">
        <v>0</v>
      </c>
      <c r="AR91" s="313">
        <v>1</v>
      </c>
      <c r="AS91" s="313">
        <v>1</v>
      </c>
      <c r="AT91" s="313">
        <v>1</v>
      </c>
      <c r="AU91" s="313">
        <v>1</v>
      </c>
      <c r="AV91" s="313">
        <v>0</v>
      </c>
      <c r="AW91" s="313">
        <v>1</v>
      </c>
      <c r="AX91" s="313">
        <v>0</v>
      </c>
      <c r="AY91" s="313">
        <v>1</v>
      </c>
      <c r="AZ91" s="313">
        <v>1</v>
      </c>
      <c r="BA91" s="313">
        <v>1</v>
      </c>
      <c r="BB91" s="313">
        <v>0</v>
      </c>
      <c r="BC91" s="313">
        <v>1</v>
      </c>
      <c r="BD91" s="313">
        <v>1</v>
      </c>
      <c r="BE91" s="313">
        <v>1</v>
      </c>
      <c r="BF91" s="313">
        <v>1</v>
      </c>
      <c r="BG91" s="313">
        <v>1</v>
      </c>
      <c r="BH91" s="313">
        <v>1</v>
      </c>
      <c r="BI91" s="313">
        <v>1</v>
      </c>
      <c r="BJ91" s="313">
        <v>1</v>
      </c>
      <c r="BK91" s="313">
        <v>1</v>
      </c>
    </row>
    <row r="92" spans="1:63" x14ac:dyDescent="0.25">
      <c r="A92" s="306" t="s">
        <v>709</v>
      </c>
      <c r="B92" s="313" t="s">
        <v>80</v>
      </c>
      <c r="C92" s="313">
        <v>1</v>
      </c>
      <c r="D92" s="313">
        <v>1</v>
      </c>
      <c r="E92" s="313">
        <v>1</v>
      </c>
      <c r="F92" s="313">
        <v>1</v>
      </c>
      <c r="G92" s="313">
        <v>1</v>
      </c>
      <c r="H92" s="313">
        <v>1</v>
      </c>
      <c r="I92" s="313">
        <v>1</v>
      </c>
      <c r="J92" s="313">
        <v>0</v>
      </c>
      <c r="K92" s="313">
        <v>0</v>
      </c>
      <c r="L92" s="313">
        <v>1</v>
      </c>
      <c r="M92" s="313">
        <v>1</v>
      </c>
      <c r="N92" s="313">
        <v>1</v>
      </c>
      <c r="O92" s="313">
        <v>1</v>
      </c>
      <c r="P92" s="313">
        <v>1</v>
      </c>
      <c r="Q92" s="313">
        <v>1</v>
      </c>
      <c r="R92" s="313">
        <v>1</v>
      </c>
      <c r="S92" s="313">
        <v>1</v>
      </c>
      <c r="T92" s="313">
        <v>0</v>
      </c>
      <c r="U92" s="313">
        <v>1</v>
      </c>
      <c r="V92" s="313">
        <v>1</v>
      </c>
      <c r="W92" s="313">
        <v>1</v>
      </c>
      <c r="X92" s="313">
        <v>1</v>
      </c>
      <c r="Y92" s="313">
        <v>1</v>
      </c>
      <c r="Z92" s="313">
        <v>1</v>
      </c>
      <c r="AA92" s="313">
        <v>1</v>
      </c>
      <c r="AB92" s="313">
        <v>1</v>
      </c>
      <c r="AC92" s="313">
        <v>1</v>
      </c>
      <c r="AD92" s="313">
        <v>1</v>
      </c>
      <c r="AE92" s="313">
        <v>1</v>
      </c>
      <c r="AF92" s="313">
        <v>0</v>
      </c>
      <c r="AG92" s="313">
        <v>1</v>
      </c>
      <c r="AH92" s="313">
        <v>1</v>
      </c>
      <c r="AI92" s="313">
        <v>1</v>
      </c>
      <c r="AJ92" s="313">
        <v>0</v>
      </c>
      <c r="AK92" s="313">
        <v>0</v>
      </c>
      <c r="AL92" s="313">
        <v>1</v>
      </c>
      <c r="AM92" s="313">
        <v>1</v>
      </c>
      <c r="AN92" s="313">
        <v>1</v>
      </c>
      <c r="AO92" s="313">
        <v>1</v>
      </c>
      <c r="AP92" s="313">
        <v>1</v>
      </c>
      <c r="AQ92" s="313">
        <v>1</v>
      </c>
      <c r="AR92" s="313">
        <v>1</v>
      </c>
      <c r="AS92" s="313">
        <v>0</v>
      </c>
      <c r="AT92" s="313">
        <v>1</v>
      </c>
      <c r="AU92" s="313">
        <v>1</v>
      </c>
      <c r="AV92" s="313">
        <v>1</v>
      </c>
      <c r="AW92" s="313">
        <v>1</v>
      </c>
      <c r="AX92" s="313">
        <v>1</v>
      </c>
      <c r="AY92" s="313">
        <v>1</v>
      </c>
      <c r="AZ92" s="313">
        <v>1</v>
      </c>
      <c r="BA92" s="313">
        <v>1</v>
      </c>
      <c r="BB92" s="313">
        <v>0</v>
      </c>
      <c r="BC92" s="313">
        <v>1</v>
      </c>
      <c r="BD92" s="313">
        <v>1</v>
      </c>
      <c r="BE92" s="313">
        <v>1</v>
      </c>
      <c r="BF92" s="313">
        <v>1</v>
      </c>
      <c r="BG92" s="313">
        <v>1</v>
      </c>
      <c r="BH92" s="313">
        <v>1</v>
      </c>
      <c r="BI92" s="313">
        <v>1</v>
      </c>
      <c r="BJ92" s="313">
        <v>1</v>
      </c>
      <c r="BK92" s="313">
        <v>1</v>
      </c>
    </row>
    <row r="93" spans="1:63" x14ac:dyDescent="0.25">
      <c r="A93" s="306" t="s">
        <v>710</v>
      </c>
      <c r="B93" s="313" t="s">
        <v>81</v>
      </c>
      <c r="C93" s="313">
        <v>1</v>
      </c>
      <c r="D93" s="313">
        <v>1</v>
      </c>
      <c r="E93" s="313">
        <v>1</v>
      </c>
      <c r="F93" s="313">
        <v>1</v>
      </c>
      <c r="G93" s="313">
        <v>1</v>
      </c>
      <c r="H93" s="313">
        <v>1</v>
      </c>
      <c r="I93" s="313">
        <v>1</v>
      </c>
      <c r="J93" s="313">
        <v>1</v>
      </c>
      <c r="K93" s="313">
        <v>0</v>
      </c>
      <c r="L93" s="313">
        <v>1</v>
      </c>
      <c r="M93" s="313">
        <v>1</v>
      </c>
      <c r="N93" s="313">
        <v>1</v>
      </c>
      <c r="O93" s="313">
        <v>1</v>
      </c>
      <c r="P93" s="313">
        <v>1</v>
      </c>
      <c r="Q93" s="313">
        <v>1</v>
      </c>
      <c r="R93" s="313">
        <v>1</v>
      </c>
      <c r="S93" s="313">
        <v>1</v>
      </c>
      <c r="T93" s="313">
        <v>1</v>
      </c>
      <c r="U93" s="313">
        <v>1</v>
      </c>
      <c r="V93" s="313">
        <v>1</v>
      </c>
      <c r="W93" s="313">
        <v>1</v>
      </c>
      <c r="X93" s="313">
        <v>1</v>
      </c>
      <c r="Y93" s="313">
        <v>1</v>
      </c>
      <c r="Z93" s="313">
        <v>1</v>
      </c>
      <c r="AA93" s="313">
        <v>1</v>
      </c>
      <c r="AB93" s="313">
        <v>1</v>
      </c>
      <c r="AC93" s="313">
        <v>1</v>
      </c>
      <c r="AD93" s="313">
        <v>1</v>
      </c>
      <c r="AE93" s="313">
        <v>1</v>
      </c>
      <c r="AF93" s="313">
        <v>1</v>
      </c>
      <c r="AG93" s="313">
        <v>1</v>
      </c>
      <c r="AH93" s="313">
        <v>1</v>
      </c>
      <c r="AI93" s="313">
        <v>1</v>
      </c>
      <c r="AJ93" s="313">
        <v>1</v>
      </c>
      <c r="AK93" s="313">
        <v>1</v>
      </c>
      <c r="AL93" s="313">
        <v>1</v>
      </c>
      <c r="AM93" s="313">
        <v>1</v>
      </c>
      <c r="AN93" s="313">
        <v>1</v>
      </c>
      <c r="AO93" s="313">
        <v>1</v>
      </c>
      <c r="AP93" s="313">
        <v>1</v>
      </c>
      <c r="AQ93" s="313">
        <v>1</v>
      </c>
      <c r="AR93" s="313">
        <v>1</v>
      </c>
      <c r="AS93" s="313">
        <v>1</v>
      </c>
      <c r="AT93" s="313">
        <v>1</v>
      </c>
      <c r="AU93" s="313">
        <v>1</v>
      </c>
      <c r="AV93" s="313">
        <v>1</v>
      </c>
      <c r="AW93" s="313">
        <v>1</v>
      </c>
      <c r="AX93" s="313">
        <v>1</v>
      </c>
      <c r="AY93" s="313">
        <v>1</v>
      </c>
      <c r="AZ93" s="313">
        <v>1</v>
      </c>
      <c r="BA93" s="313">
        <v>1</v>
      </c>
      <c r="BB93" s="313">
        <v>1</v>
      </c>
      <c r="BC93" s="313">
        <v>1</v>
      </c>
      <c r="BD93" s="313">
        <v>1</v>
      </c>
      <c r="BE93" s="313">
        <v>1</v>
      </c>
      <c r="BF93" s="313">
        <v>1</v>
      </c>
      <c r="BG93" s="313">
        <v>1</v>
      </c>
      <c r="BH93" s="313">
        <v>1</v>
      </c>
      <c r="BI93" s="313">
        <v>1</v>
      </c>
      <c r="BJ93" s="313">
        <v>1</v>
      </c>
      <c r="BK93" s="313">
        <v>1</v>
      </c>
    </row>
    <row r="94" spans="1:63" x14ac:dyDescent="0.25">
      <c r="A94" s="306">
        <v>321910</v>
      </c>
      <c r="B94" s="313" t="s">
        <v>711</v>
      </c>
      <c r="C94" s="313">
        <v>1</v>
      </c>
      <c r="D94" s="313">
        <v>1</v>
      </c>
      <c r="E94" s="313">
        <v>1</v>
      </c>
      <c r="F94" s="313">
        <v>1</v>
      </c>
      <c r="G94" s="313">
        <v>1</v>
      </c>
      <c r="H94" s="313">
        <v>1</v>
      </c>
      <c r="I94" s="313">
        <v>1</v>
      </c>
      <c r="J94" s="313">
        <v>1</v>
      </c>
      <c r="K94" s="313">
        <v>0</v>
      </c>
      <c r="L94" s="313">
        <v>1</v>
      </c>
      <c r="M94" s="313">
        <v>1</v>
      </c>
      <c r="N94" s="313">
        <v>1</v>
      </c>
      <c r="O94" s="313">
        <v>1</v>
      </c>
      <c r="P94" s="313">
        <v>1</v>
      </c>
      <c r="Q94" s="313">
        <v>1</v>
      </c>
      <c r="R94" s="313">
        <v>1</v>
      </c>
      <c r="S94" s="313">
        <v>1</v>
      </c>
      <c r="T94" s="313">
        <v>1</v>
      </c>
      <c r="U94" s="313">
        <v>1</v>
      </c>
      <c r="V94" s="313">
        <v>1</v>
      </c>
      <c r="W94" s="313">
        <v>1</v>
      </c>
      <c r="X94" s="313">
        <v>1</v>
      </c>
      <c r="Y94" s="313">
        <v>1</v>
      </c>
      <c r="Z94" s="313">
        <v>1</v>
      </c>
      <c r="AA94" s="313">
        <v>1</v>
      </c>
      <c r="AB94" s="313">
        <v>1</v>
      </c>
      <c r="AC94" s="313">
        <v>1</v>
      </c>
      <c r="AD94" s="313">
        <v>1</v>
      </c>
      <c r="AE94" s="313">
        <v>1</v>
      </c>
      <c r="AF94" s="313">
        <v>1</v>
      </c>
      <c r="AG94" s="313">
        <v>1</v>
      </c>
      <c r="AH94" s="313">
        <v>1</v>
      </c>
      <c r="AI94" s="313">
        <v>1</v>
      </c>
      <c r="AJ94" s="313">
        <v>1</v>
      </c>
      <c r="AK94" s="313">
        <v>1</v>
      </c>
      <c r="AL94" s="313">
        <v>1</v>
      </c>
      <c r="AM94" s="313">
        <v>1</v>
      </c>
      <c r="AN94" s="313">
        <v>1</v>
      </c>
      <c r="AO94" s="313">
        <v>1</v>
      </c>
      <c r="AP94" s="313">
        <v>1</v>
      </c>
      <c r="AQ94" s="313">
        <v>1</v>
      </c>
      <c r="AR94" s="313">
        <v>1</v>
      </c>
      <c r="AS94" s="313">
        <v>1</v>
      </c>
      <c r="AT94" s="313">
        <v>1</v>
      </c>
      <c r="AU94" s="313">
        <v>1</v>
      </c>
      <c r="AV94" s="313">
        <v>1</v>
      </c>
      <c r="AW94" s="313">
        <v>1</v>
      </c>
      <c r="AX94" s="313">
        <v>1</v>
      </c>
      <c r="AY94" s="313">
        <v>1</v>
      </c>
      <c r="AZ94" s="313">
        <v>1</v>
      </c>
      <c r="BA94" s="313">
        <v>1</v>
      </c>
      <c r="BB94" s="313">
        <v>1</v>
      </c>
      <c r="BC94" s="313">
        <v>1</v>
      </c>
      <c r="BD94" s="313">
        <v>1</v>
      </c>
      <c r="BE94" s="313">
        <v>1</v>
      </c>
      <c r="BF94" s="313">
        <v>1</v>
      </c>
      <c r="BG94" s="313">
        <v>1</v>
      </c>
      <c r="BH94" s="313">
        <v>1</v>
      </c>
      <c r="BI94" s="313">
        <v>1</v>
      </c>
      <c r="BJ94" s="313">
        <v>1</v>
      </c>
      <c r="BK94" s="313">
        <v>1</v>
      </c>
    </row>
    <row r="95" spans="1:63" x14ac:dyDescent="0.25">
      <c r="A95" s="306">
        <v>321920</v>
      </c>
      <c r="B95" s="313" t="s">
        <v>83</v>
      </c>
      <c r="C95" s="313">
        <v>1</v>
      </c>
      <c r="D95" s="313">
        <v>1</v>
      </c>
      <c r="E95" s="313">
        <v>1</v>
      </c>
      <c r="F95" s="313">
        <v>1</v>
      </c>
      <c r="G95" s="313">
        <v>1</v>
      </c>
      <c r="H95" s="313">
        <v>1</v>
      </c>
      <c r="I95" s="313">
        <v>1</v>
      </c>
      <c r="J95" s="313">
        <v>1</v>
      </c>
      <c r="K95" s="313">
        <v>0</v>
      </c>
      <c r="L95" s="313">
        <v>1</v>
      </c>
      <c r="M95" s="313">
        <v>1</v>
      </c>
      <c r="N95" s="313">
        <v>1</v>
      </c>
      <c r="O95" s="313">
        <v>0</v>
      </c>
      <c r="P95" s="313">
        <v>1</v>
      </c>
      <c r="Q95" s="313">
        <v>1</v>
      </c>
      <c r="R95" s="313">
        <v>1</v>
      </c>
      <c r="S95" s="313">
        <v>1</v>
      </c>
      <c r="T95" s="313">
        <v>1</v>
      </c>
      <c r="U95" s="313">
        <v>1</v>
      </c>
      <c r="V95" s="313">
        <v>1</v>
      </c>
      <c r="W95" s="313">
        <v>1</v>
      </c>
      <c r="X95" s="313">
        <v>1</v>
      </c>
      <c r="Y95" s="313">
        <v>1</v>
      </c>
      <c r="Z95" s="313">
        <v>1</v>
      </c>
      <c r="AA95" s="313">
        <v>1</v>
      </c>
      <c r="AB95" s="313">
        <v>1</v>
      </c>
      <c r="AC95" s="313">
        <v>1</v>
      </c>
      <c r="AD95" s="313">
        <v>1</v>
      </c>
      <c r="AE95" s="313">
        <v>1</v>
      </c>
      <c r="AF95" s="313">
        <v>1</v>
      </c>
      <c r="AG95" s="313">
        <v>1</v>
      </c>
      <c r="AH95" s="313">
        <v>1</v>
      </c>
      <c r="AI95" s="313">
        <v>1</v>
      </c>
      <c r="AJ95" s="313">
        <v>1</v>
      </c>
      <c r="AK95" s="313">
        <v>1</v>
      </c>
      <c r="AL95" s="313">
        <v>1</v>
      </c>
      <c r="AM95" s="313">
        <v>1</v>
      </c>
      <c r="AN95" s="313">
        <v>1</v>
      </c>
      <c r="AO95" s="313">
        <v>1</v>
      </c>
      <c r="AP95" s="313">
        <v>1</v>
      </c>
      <c r="AQ95" s="313">
        <v>1</v>
      </c>
      <c r="AR95" s="313">
        <v>1</v>
      </c>
      <c r="AS95" s="313">
        <v>1</v>
      </c>
      <c r="AT95" s="313">
        <v>1</v>
      </c>
      <c r="AU95" s="313">
        <v>1</v>
      </c>
      <c r="AV95" s="313">
        <v>1</v>
      </c>
      <c r="AW95" s="313">
        <v>1</v>
      </c>
      <c r="AX95" s="313">
        <v>1</v>
      </c>
      <c r="AY95" s="313">
        <v>1</v>
      </c>
      <c r="AZ95" s="313">
        <v>1</v>
      </c>
      <c r="BA95" s="313">
        <v>1</v>
      </c>
      <c r="BB95" s="313">
        <v>1</v>
      </c>
      <c r="BC95" s="313">
        <v>1</v>
      </c>
      <c r="BD95" s="313">
        <v>1</v>
      </c>
      <c r="BE95" s="313">
        <v>1</v>
      </c>
      <c r="BF95" s="313">
        <v>1</v>
      </c>
      <c r="BG95" s="313">
        <v>1</v>
      </c>
      <c r="BH95" s="313">
        <v>1</v>
      </c>
      <c r="BI95" s="313">
        <v>1</v>
      </c>
      <c r="BJ95" s="313">
        <v>1</v>
      </c>
      <c r="BK95" s="313">
        <v>1</v>
      </c>
    </row>
    <row r="96" spans="1:63" x14ac:dyDescent="0.25">
      <c r="A96" s="306">
        <v>321991</v>
      </c>
      <c r="B96" s="313" t="s">
        <v>84</v>
      </c>
      <c r="C96" s="313">
        <v>1</v>
      </c>
      <c r="D96" s="313">
        <v>0</v>
      </c>
      <c r="E96" s="313">
        <v>1</v>
      </c>
      <c r="F96" s="313">
        <v>1</v>
      </c>
      <c r="G96" s="313">
        <v>1</v>
      </c>
      <c r="H96" s="313">
        <v>1</v>
      </c>
      <c r="I96" s="313">
        <v>1</v>
      </c>
      <c r="J96" s="313">
        <v>0</v>
      </c>
      <c r="K96" s="313">
        <v>0</v>
      </c>
      <c r="L96" s="313">
        <v>0</v>
      </c>
      <c r="M96" s="313">
        <v>1</v>
      </c>
      <c r="N96" s="313">
        <v>1</v>
      </c>
      <c r="O96" s="313">
        <v>0</v>
      </c>
      <c r="P96" s="313">
        <v>1</v>
      </c>
      <c r="Q96" s="313">
        <v>1</v>
      </c>
      <c r="R96" s="313">
        <v>1</v>
      </c>
      <c r="S96" s="313">
        <v>1</v>
      </c>
      <c r="T96" s="313">
        <v>1</v>
      </c>
      <c r="U96" s="313">
        <v>1</v>
      </c>
      <c r="V96" s="313">
        <v>1</v>
      </c>
      <c r="W96" s="313">
        <v>0</v>
      </c>
      <c r="X96" s="313">
        <v>1</v>
      </c>
      <c r="Y96" s="313">
        <v>1</v>
      </c>
      <c r="Z96" s="313">
        <v>1</v>
      </c>
      <c r="AA96" s="313">
        <v>1</v>
      </c>
      <c r="AB96" s="313">
        <v>1</v>
      </c>
      <c r="AC96" s="313">
        <v>1</v>
      </c>
      <c r="AD96" s="313">
        <v>1</v>
      </c>
      <c r="AE96" s="313">
        <v>1</v>
      </c>
      <c r="AF96" s="313">
        <v>1</v>
      </c>
      <c r="AG96" s="313">
        <v>1</v>
      </c>
      <c r="AH96" s="313">
        <v>0</v>
      </c>
      <c r="AI96" s="313">
        <v>1</v>
      </c>
      <c r="AJ96" s="313">
        <v>1</v>
      </c>
      <c r="AK96" s="313">
        <v>0</v>
      </c>
      <c r="AL96" s="313">
        <v>1</v>
      </c>
      <c r="AM96" s="313">
        <v>1</v>
      </c>
      <c r="AN96" s="313">
        <v>1</v>
      </c>
      <c r="AO96" s="313">
        <v>1</v>
      </c>
      <c r="AP96" s="313">
        <v>1</v>
      </c>
      <c r="AQ96" s="313">
        <v>0</v>
      </c>
      <c r="AR96" s="313">
        <v>1</v>
      </c>
      <c r="AS96" s="313">
        <v>1</v>
      </c>
      <c r="AT96" s="313">
        <v>1</v>
      </c>
      <c r="AU96" s="313">
        <v>1</v>
      </c>
      <c r="AV96" s="313">
        <v>1</v>
      </c>
      <c r="AW96" s="313">
        <v>1</v>
      </c>
      <c r="AX96" s="313">
        <v>1</v>
      </c>
      <c r="AY96" s="313">
        <v>1</v>
      </c>
      <c r="AZ96" s="313">
        <v>1</v>
      </c>
      <c r="BA96" s="313">
        <v>1</v>
      </c>
      <c r="BB96" s="313">
        <v>1</v>
      </c>
      <c r="BC96" s="313">
        <v>1</v>
      </c>
      <c r="BD96" s="313">
        <v>1</v>
      </c>
      <c r="BE96" s="313">
        <v>1</v>
      </c>
      <c r="BF96" s="313">
        <v>1</v>
      </c>
      <c r="BG96" s="313">
        <v>1</v>
      </c>
      <c r="BH96" s="313">
        <v>1</v>
      </c>
      <c r="BI96" s="313">
        <v>1</v>
      </c>
      <c r="BJ96" s="313">
        <v>1</v>
      </c>
      <c r="BK96" s="313">
        <v>1</v>
      </c>
    </row>
    <row r="97" spans="1:63" x14ac:dyDescent="0.25">
      <c r="A97" s="306">
        <v>321992</v>
      </c>
      <c r="B97" s="313" t="s">
        <v>85</v>
      </c>
      <c r="C97" s="313">
        <v>1</v>
      </c>
      <c r="D97" s="313">
        <v>1</v>
      </c>
      <c r="E97" s="313">
        <v>1</v>
      </c>
      <c r="F97" s="313">
        <v>1</v>
      </c>
      <c r="G97" s="313">
        <v>1</v>
      </c>
      <c r="H97" s="313">
        <v>1</v>
      </c>
      <c r="I97" s="313">
        <v>1</v>
      </c>
      <c r="J97" s="313">
        <v>1</v>
      </c>
      <c r="K97" s="313">
        <v>0</v>
      </c>
      <c r="L97" s="313">
        <v>1</v>
      </c>
      <c r="M97" s="313">
        <v>1</v>
      </c>
      <c r="N97" s="313">
        <v>1</v>
      </c>
      <c r="O97" s="313">
        <v>1</v>
      </c>
      <c r="P97" s="313">
        <v>1</v>
      </c>
      <c r="Q97" s="313">
        <v>1</v>
      </c>
      <c r="R97" s="313">
        <v>1</v>
      </c>
      <c r="S97" s="313">
        <v>1</v>
      </c>
      <c r="T97" s="313">
        <v>1</v>
      </c>
      <c r="U97" s="313">
        <v>1</v>
      </c>
      <c r="V97" s="313">
        <v>1</v>
      </c>
      <c r="W97" s="313">
        <v>1</v>
      </c>
      <c r="X97" s="313">
        <v>1</v>
      </c>
      <c r="Y97" s="313">
        <v>1</v>
      </c>
      <c r="Z97" s="313">
        <v>1</v>
      </c>
      <c r="AA97" s="313">
        <v>1</v>
      </c>
      <c r="AB97" s="313">
        <v>1</v>
      </c>
      <c r="AC97" s="313">
        <v>1</v>
      </c>
      <c r="AD97" s="313">
        <v>1</v>
      </c>
      <c r="AE97" s="313">
        <v>1</v>
      </c>
      <c r="AF97" s="313">
        <v>1</v>
      </c>
      <c r="AG97" s="313">
        <v>1</v>
      </c>
      <c r="AH97" s="313">
        <v>1</v>
      </c>
      <c r="AI97" s="313">
        <v>1</v>
      </c>
      <c r="AJ97" s="313">
        <v>1</v>
      </c>
      <c r="AK97" s="313">
        <v>1</v>
      </c>
      <c r="AL97" s="313">
        <v>1</v>
      </c>
      <c r="AM97" s="313">
        <v>1</v>
      </c>
      <c r="AN97" s="313">
        <v>1</v>
      </c>
      <c r="AO97" s="313">
        <v>1</v>
      </c>
      <c r="AP97" s="313">
        <v>1</v>
      </c>
      <c r="AQ97" s="313">
        <v>1</v>
      </c>
      <c r="AR97" s="313">
        <v>1</v>
      </c>
      <c r="AS97" s="313">
        <v>1</v>
      </c>
      <c r="AT97" s="313">
        <v>1</v>
      </c>
      <c r="AU97" s="313">
        <v>1</v>
      </c>
      <c r="AV97" s="313">
        <v>1</v>
      </c>
      <c r="AW97" s="313">
        <v>1</v>
      </c>
      <c r="AX97" s="313">
        <v>1</v>
      </c>
      <c r="AY97" s="313">
        <v>1</v>
      </c>
      <c r="AZ97" s="313">
        <v>1</v>
      </c>
      <c r="BA97" s="313">
        <v>1</v>
      </c>
      <c r="BB97" s="313">
        <v>1</v>
      </c>
      <c r="BC97" s="313">
        <v>1</v>
      </c>
      <c r="BD97" s="313">
        <v>1</v>
      </c>
      <c r="BE97" s="313">
        <v>1</v>
      </c>
      <c r="BF97" s="313">
        <v>1</v>
      </c>
      <c r="BG97" s="313">
        <v>1</v>
      </c>
      <c r="BH97" s="313">
        <v>1</v>
      </c>
      <c r="BI97" s="313">
        <v>1</v>
      </c>
      <c r="BJ97" s="313">
        <v>1</v>
      </c>
      <c r="BK97" s="313">
        <v>1</v>
      </c>
    </row>
    <row r="98" spans="1:63" x14ac:dyDescent="0.25">
      <c r="A98" s="306">
        <v>321999</v>
      </c>
      <c r="B98" s="313" t="s">
        <v>86</v>
      </c>
      <c r="C98" s="313">
        <v>1</v>
      </c>
      <c r="D98" s="313">
        <v>1</v>
      </c>
      <c r="E98" s="313">
        <v>1</v>
      </c>
      <c r="F98" s="313">
        <v>1</v>
      </c>
      <c r="G98" s="313">
        <v>1</v>
      </c>
      <c r="H98" s="313">
        <v>1</v>
      </c>
      <c r="I98" s="313">
        <v>1</v>
      </c>
      <c r="J98" s="313">
        <v>1</v>
      </c>
      <c r="K98" s="313">
        <v>0</v>
      </c>
      <c r="L98" s="313">
        <v>0</v>
      </c>
      <c r="M98" s="313">
        <v>1</v>
      </c>
      <c r="N98" s="313">
        <v>1</v>
      </c>
      <c r="O98" s="313">
        <v>1</v>
      </c>
      <c r="P98" s="313">
        <v>1</v>
      </c>
      <c r="Q98" s="313">
        <v>1</v>
      </c>
      <c r="R98" s="313">
        <v>1</v>
      </c>
      <c r="S98" s="313">
        <v>1</v>
      </c>
      <c r="T98" s="313">
        <v>1</v>
      </c>
      <c r="U98" s="313">
        <v>1</v>
      </c>
      <c r="V98" s="313">
        <v>1</v>
      </c>
      <c r="W98" s="313">
        <v>1</v>
      </c>
      <c r="X98" s="313">
        <v>1</v>
      </c>
      <c r="Y98" s="313">
        <v>1</v>
      </c>
      <c r="Z98" s="313">
        <v>1</v>
      </c>
      <c r="AA98" s="313">
        <v>1</v>
      </c>
      <c r="AB98" s="313">
        <v>1</v>
      </c>
      <c r="AC98" s="313">
        <v>1</v>
      </c>
      <c r="AD98" s="313">
        <v>1</v>
      </c>
      <c r="AE98" s="313">
        <v>1</v>
      </c>
      <c r="AF98" s="313">
        <v>1</v>
      </c>
      <c r="AG98" s="313">
        <v>1</v>
      </c>
      <c r="AH98" s="313">
        <v>1</v>
      </c>
      <c r="AI98" s="313">
        <v>1</v>
      </c>
      <c r="AJ98" s="313">
        <v>1</v>
      </c>
      <c r="AK98" s="313">
        <v>1</v>
      </c>
      <c r="AL98" s="313">
        <v>1</v>
      </c>
      <c r="AM98" s="313">
        <v>1</v>
      </c>
      <c r="AN98" s="313">
        <v>1</v>
      </c>
      <c r="AO98" s="313">
        <v>1</v>
      </c>
      <c r="AP98" s="313">
        <v>1</v>
      </c>
      <c r="AQ98" s="313">
        <v>1</v>
      </c>
      <c r="AR98" s="313">
        <v>1</v>
      </c>
      <c r="AS98" s="313">
        <v>1</v>
      </c>
      <c r="AT98" s="313">
        <v>1</v>
      </c>
      <c r="AU98" s="313">
        <v>1</v>
      </c>
      <c r="AV98" s="313">
        <v>1</v>
      </c>
      <c r="AW98" s="313">
        <v>1</v>
      </c>
      <c r="AX98" s="313">
        <v>1</v>
      </c>
      <c r="AY98" s="313">
        <v>1</v>
      </c>
      <c r="AZ98" s="313">
        <v>1</v>
      </c>
      <c r="BA98" s="313">
        <v>1</v>
      </c>
      <c r="BB98" s="313">
        <v>1</v>
      </c>
      <c r="BC98" s="313">
        <v>1</v>
      </c>
      <c r="BD98" s="313">
        <v>1</v>
      </c>
      <c r="BE98" s="313">
        <v>1</v>
      </c>
      <c r="BF98" s="313">
        <v>1</v>
      </c>
      <c r="BG98" s="313">
        <v>1</v>
      </c>
      <c r="BH98" s="313">
        <v>1</v>
      </c>
      <c r="BI98" s="313">
        <v>1</v>
      </c>
      <c r="BJ98" s="313">
        <v>1</v>
      </c>
      <c r="BK98" s="313">
        <v>1</v>
      </c>
    </row>
    <row r="99" spans="1:63" x14ac:dyDescent="0.25">
      <c r="A99" s="306">
        <v>322110</v>
      </c>
      <c r="B99" s="313" t="s">
        <v>87</v>
      </c>
      <c r="C99" s="313">
        <v>1</v>
      </c>
      <c r="D99" s="313">
        <v>0</v>
      </c>
      <c r="E99" s="313">
        <v>1</v>
      </c>
      <c r="F99" s="313">
        <v>0</v>
      </c>
      <c r="G99" s="313">
        <v>1</v>
      </c>
      <c r="H99" s="313">
        <v>1</v>
      </c>
      <c r="I99" s="313">
        <v>0</v>
      </c>
      <c r="J99" s="313">
        <v>0</v>
      </c>
      <c r="K99" s="313">
        <v>0</v>
      </c>
      <c r="L99" s="313">
        <v>0</v>
      </c>
      <c r="M99" s="313">
        <v>1</v>
      </c>
      <c r="N99" s="313">
        <v>1</v>
      </c>
      <c r="O99" s="313">
        <v>0</v>
      </c>
      <c r="P99" s="313">
        <v>1</v>
      </c>
      <c r="Q99" s="313">
        <v>0</v>
      </c>
      <c r="R99" s="313">
        <v>0</v>
      </c>
      <c r="S99" s="313">
        <v>0</v>
      </c>
      <c r="T99" s="313">
        <v>0</v>
      </c>
      <c r="U99" s="313">
        <v>0</v>
      </c>
      <c r="V99" s="313">
        <v>0</v>
      </c>
      <c r="W99" s="313">
        <v>0</v>
      </c>
      <c r="X99" s="313">
        <v>1</v>
      </c>
      <c r="Y99" s="313">
        <v>1</v>
      </c>
      <c r="Z99" s="313">
        <v>1</v>
      </c>
      <c r="AA99" s="313">
        <v>0</v>
      </c>
      <c r="AB99" s="313">
        <v>0</v>
      </c>
      <c r="AC99" s="313">
        <v>1</v>
      </c>
      <c r="AD99" s="313">
        <v>0</v>
      </c>
      <c r="AE99" s="313">
        <v>1</v>
      </c>
      <c r="AF99" s="313">
        <v>0</v>
      </c>
      <c r="AG99" s="313">
        <v>0</v>
      </c>
      <c r="AH99" s="313">
        <v>0</v>
      </c>
      <c r="AI99" s="313">
        <v>0</v>
      </c>
      <c r="AJ99" s="313">
        <v>0</v>
      </c>
      <c r="AK99" s="313">
        <v>0</v>
      </c>
      <c r="AL99" s="313">
        <v>1</v>
      </c>
      <c r="AM99" s="313">
        <v>1</v>
      </c>
      <c r="AN99" s="313">
        <v>1</v>
      </c>
      <c r="AO99" s="313">
        <v>1</v>
      </c>
      <c r="AP99" s="313">
        <v>0</v>
      </c>
      <c r="AQ99" s="313">
        <v>0</v>
      </c>
      <c r="AR99" s="313">
        <v>1</v>
      </c>
      <c r="AS99" s="313">
        <v>0</v>
      </c>
      <c r="AT99" s="313">
        <v>1</v>
      </c>
      <c r="AU99" s="313">
        <v>1</v>
      </c>
      <c r="AV99" s="313">
        <v>0</v>
      </c>
      <c r="AW99" s="313">
        <v>0</v>
      </c>
      <c r="AX99" s="313">
        <v>0</v>
      </c>
      <c r="AY99" s="313">
        <v>1</v>
      </c>
      <c r="AZ99" s="313">
        <v>1</v>
      </c>
      <c r="BA99" s="313">
        <v>1</v>
      </c>
      <c r="BB99" s="313">
        <v>0</v>
      </c>
      <c r="BC99" s="313">
        <v>1</v>
      </c>
      <c r="BD99" s="313">
        <v>1</v>
      </c>
      <c r="BE99" s="313">
        <v>1</v>
      </c>
      <c r="BF99" s="313">
        <v>1</v>
      </c>
      <c r="BG99" s="313">
        <v>1</v>
      </c>
      <c r="BH99" s="313">
        <v>1</v>
      </c>
      <c r="BI99" s="313">
        <v>1</v>
      </c>
      <c r="BJ99" s="313">
        <v>1</v>
      </c>
      <c r="BK99" s="313">
        <v>1</v>
      </c>
    </row>
    <row r="100" spans="1:63" x14ac:dyDescent="0.25">
      <c r="A100" s="306">
        <v>322120</v>
      </c>
      <c r="B100" s="313" t="s">
        <v>88</v>
      </c>
      <c r="C100" s="313">
        <v>1</v>
      </c>
      <c r="D100" s="313">
        <v>0</v>
      </c>
      <c r="E100" s="313">
        <v>1</v>
      </c>
      <c r="F100" s="313">
        <v>1</v>
      </c>
      <c r="G100" s="313">
        <v>1</v>
      </c>
      <c r="H100" s="313">
        <v>1</v>
      </c>
      <c r="I100" s="313">
        <v>1</v>
      </c>
      <c r="J100" s="313">
        <v>1</v>
      </c>
      <c r="K100" s="313">
        <v>0</v>
      </c>
      <c r="L100" s="313">
        <v>0</v>
      </c>
      <c r="M100" s="313">
        <v>1</v>
      </c>
      <c r="N100" s="313">
        <v>1</v>
      </c>
      <c r="O100" s="313">
        <v>1</v>
      </c>
      <c r="P100" s="313">
        <v>1</v>
      </c>
      <c r="Q100" s="313">
        <v>1</v>
      </c>
      <c r="R100" s="313">
        <v>1</v>
      </c>
      <c r="S100" s="313">
        <v>1</v>
      </c>
      <c r="T100" s="313">
        <v>1</v>
      </c>
      <c r="U100" s="313">
        <v>1</v>
      </c>
      <c r="V100" s="313">
        <v>1</v>
      </c>
      <c r="W100" s="313">
        <v>1</v>
      </c>
      <c r="X100" s="313">
        <v>1</v>
      </c>
      <c r="Y100" s="313">
        <v>1</v>
      </c>
      <c r="Z100" s="313">
        <v>1</v>
      </c>
      <c r="AA100" s="313">
        <v>1</v>
      </c>
      <c r="AB100" s="313">
        <v>1</v>
      </c>
      <c r="AC100" s="313">
        <v>1</v>
      </c>
      <c r="AD100" s="313">
        <v>0</v>
      </c>
      <c r="AE100" s="313">
        <v>1</v>
      </c>
      <c r="AF100" s="313">
        <v>0</v>
      </c>
      <c r="AG100" s="313">
        <v>1</v>
      </c>
      <c r="AH100" s="313">
        <v>1</v>
      </c>
      <c r="AI100" s="313">
        <v>1</v>
      </c>
      <c r="AJ100" s="313">
        <v>1</v>
      </c>
      <c r="AK100" s="313">
        <v>0</v>
      </c>
      <c r="AL100" s="313">
        <v>1</v>
      </c>
      <c r="AM100" s="313">
        <v>1</v>
      </c>
      <c r="AN100" s="313">
        <v>1</v>
      </c>
      <c r="AO100" s="313">
        <v>1</v>
      </c>
      <c r="AP100" s="313">
        <v>1</v>
      </c>
      <c r="AQ100" s="313">
        <v>0</v>
      </c>
      <c r="AR100" s="313">
        <v>1</v>
      </c>
      <c r="AS100" s="313">
        <v>0</v>
      </c>
      <c r="AT100" s="313">
        <v>1</v>
      </c>
      <c r="AU100" s="313">
        <v>1</v>
      </c>
      <c r="AV100" s="313">
        <v>1</v>
      </c>
      <c r="AW100" s="313">
        <v>1</v>
      </c>
      <c r="AX100" s="313">
        <v>1</v>
      </c>
      <c r="AY100" s="313">
        <v>1</v>
      </c>
      <c r="AZ100" s="313">
        <v>1</v>
      </c>
      <c r="BA100" s="313">
        <v>0</v>
      </c>
      <c r="BB100" s="313">
        <v>0</v>
      </c>
      <c r="BC100" s="313">
        <v>1</v>
      </c>
      <c r="BD100" s="313">
        <v>1</v>
      </c>
      <c r="BE100" s="313">
        <v>1</v>
      </c>
      <c r="BF100" s="313">
        <v>1</v>
      </c>
      <c r="BG100" s="313">
        <v>1</v>
      </c>
      <c r="BH100" s="313">
        <v>1</v>
      </c>
      <c r="BI100" s="313">
        <v>1</v>
      </c>
      <c r="BJ100" s="313">
        <v>1</v>
      </c>
      <c r="BK100" s="313">
        <v>1</v>
      </c>
    </row>
    <row r="101" spans="1:63" x14ac:dyDescent="0.25">
      <c r="A101" s="306">
        <v>322130</v>
      </c>
      <c r="B101" s="313" t="s">
        <v>712</v>
      </c>
      <c r="C101" s="313">
        <v>1</v>
      </c>
      <c r="D101" s="313">
        <v>0</v>
      </c>
      <c r="E101" s="313">
        <v>1</v>
      </c>
      <c r="F101" s="313">
        <v>1</v>
      </c>
      <c r="G101" s="313">
        <v>1</v>
      </c>
      <c r="H101" s="313">
        <v>1</v>
      </c>
      <c r="I101" s="313">
        <v>0</v>
      </c>
      <c r="J101" s="313">
        <v>1</v>
      </c>
      <c r="K101" s="313">
        <v>0</v>
      </c>
      <c r="L101" s="313">
        <v>0</v>
      </c>
      <c r="M101" s="313">
        <v>1</v>
      </c>
      <c r="N101" s="313">
        <v>1</v>
      </c>
      <c r="O101" s="313">
        <v>0</v>
      </c>
      <c r="P101" s="313">
        <v>1</v>
      </c>
      <c r="Q101" s="313">
        <v>1</v>
      </c>
      <c r="R101" s="313">
        <v>1</v>
      </c>
      <c r="S101" s="313">
        <v>1</v>
      </c>
      <c r="T101" s="313">
        <v>1</v>
      </c>
      <c r="U101" s="313">
        <v>1</v>
      </c>
      <c r="V101" s="313">
        <v>1</v>
      </c>
      <c r="W101" s="313">
        <v>1</v>
      </c>
      <c r="X101" s="313">
        <v>1</v>
      </c>
      <c r="Y101" s="313">
        <v>1</v>
      </c>
      <c r="Z101" s="313">
        <v>1</v>
      </c>
      <c r="AA101" s="313">
        <v>1</v>
      </c>
      <c r="AB101" s="313">
        <v>1</v>
      </c>
      <c r="AC101" s="313">
        <v>1</v>
      </c>
      <c r="AD101" s="313">
        <v>1</v>
      </c>
      <c r="AE101" s="313">
        <v>1</v>
      </c>
      <c r="AF101" s="313">
        <v>0</v>
      </c>
      <c r="AG101" s="313">
        <v>0</v>
      </c>
      <c r="AH101" s="313">
        <v>0</v>
      </c>
      <c r="AI101" s="313">
        <v>1</v>
      </c>
      <c r="AJ101" s="313">
        <v>0</v>
      </c>
      <c r="AK101" s="313">
        <v>0</v>
      </c>
      <c r="AL101" s="313">
        <v>1</v>
      </c>
      <c r="AM101" s="313">
        <v>1</v>
      </c>
      <c r="AN101" s="313">
        <v>1</v>
      </c>
      <c r="AO101" s="313">
        <v>1</v>
      </c>
      <c r="AP101" s="313">
        <v>1</v>
      </c>
      <c r="AQ101" s="313">
        <v>1</v>
      </c>
      <c r="AR101" s="313">
        <v>1</v>
      </c>
      <c r="AS101" s="313">
        <v>0</v>
      </c>
      <c r="AT101" s="313">
        <v>1</v>
      </c>
      <c r="AU101" s="313">
        <v>1</v>
      </c>
      <c r="AV101" s="313">
        <v>0</v>
      </c>
      <c r="AW101" s="313">
        <v>1</v>
      </c>
      <c r="AX101" s="313">
        <v>1</v>
      </c>
      <c r="AY101" s="313">
        <v>1</v>
      </c>
      <c r="AZ101" s="313">
        <v>1</v>
      </c>
      <c r="BA101" s="313">
        <v>1</v>
      </c>
      <c r="BB101" s="313">
        <v>0</v>
      </c>
      <c r="BC101" s="313">
        <v>1</v>
      </c>
      <c r="BD101" s="313">
        <v>1</v>
      </c>
      <c r="BE101" s="313">
        <v>1</v>
      </c>
      <c r="BF101" s="313">
        <v>1</v>
      </c>
      <c r="BG101" s="313">
        <v>1</v>
      </c>
      <c r="BH101" s="313">
        <v>1</v>
      </c>
      <c r="BI101" s="313">
        <v>1</v>
      </c>
      <c r="BJ101" s="313">
        <v>1</v>
      </c>
      <c r="BK101" s="313">
        <v>1</v>
      </c>
    </row>
    <row r="102" spans="1:63" x14ac:dyDescent="0.25">
      <c r="A102" s="306">
        <v>322210</v>
      </c>
      <c r="B102" s="313" t="s">
        <v>89</v>
      </c>
      <c r="C102" s="313">
        <v>1</v>
      </c>
      <c r="D102" s="313">
        <v>0</v>
      </c>
      <c r="E102" s="313">
        <v>1</v>
      </c>
      <c r="F102" s="313">
        <v>1</v>
      </c>
      <c r="G102" s="313">
        <v>1</v>
      </c>
      <c r="H102" s="313">
        <v>1</v>
      </c>
      <c r="I102" s="313">
        <v>1</v>
      </c>
      <c r="J102" s="313">
        <v>1</v>
      </c>
      <c r="K102" s="313">
        <v>0</v>
      </c>
      <c r="L102" s="313">
        <v>1</v>
      </c>
      <c r="M102" s="313">
        <v>1</v>
      </c>
      <c r="N102" s="313">
        <v>1</v>
      </c>
      <c r="O102" s="313">
        <v>1</v>
      </c>
      <c r="P102" s="313">
        <v>1</v>
      </c>
      <c r="Q102" s="313">
        <v>1</v>
      </c>
      <c r="R102" s="313">
        <v>1</v>
      </c>
      <c r="S102" s="313">
        <v>1</v>
      </c>
      <c r="T102" s="313">
        <v>1</v>
      </c>
      <c r="U102" s="313">
        <v>1</v>
      </c>
      <c r="V102" s="313">
        <v>1</v>
      </c>
      <c r="W102" s="313">
        <v>1</v>
      </c>
      <c r="X102" s="313">
        <v>1</v>
      </c>
      <c r="Y102" s="313">
        <v>1</v>
      </c>
      <c r="Z102" s="313">
        <v>1</v>
      </c>
      <c r="AA102" s="313">
        <v>1</v>
      </c>
      <c r="AB102" s="313">
        <v>1</v>
      </c>
      <c r="AC102" s="313">
        <v>1</v>
      </c>
      <c r="AD102" s="313">
        <v>1</v>
      </c>
      <c r="AE102" s="313">
        <v>1</v>
      </c>
      <c r="AF102" s="313">
        <v>1</v>
      </c>
      <c r="AG102" s="313">
        <v>1</v>
      </c>
      <c r="AH102" s="313">
        <v>1</v>
      </c>
      <c r="AI102" s="313">
        <v>1</v>
      </c>
      <c r="AJ102" s="313">
        <v>1</v>
      </c>
      <c r="AK102" s="313">
        <v>1</v>
      </c>
      <c r="AL102" s="313">
        <v>1</v>
      </c>
      <c r="AM102" s="313">
        <v>1</v>
      </c>
      <c r="AN102" s="313">
        <v>1</v>
      </c>
      <c r="AO102" s="313">
        <v>1</v>
      </c>
      <c r="AP102" s="313">
        <v>1</v>
      </c>
      <c r="AQ102" s="313">
        <v>1</v>
      </c>
      <c r="AR102" s="313">
        <v>1</v>
      </c>
      <c r="AS102" s="313">
        <v>1</v>
      </c>
      <c r="AT102" s="313">
        <v>1</v>
      </c>
      <c r="AU102" s="313">
        <v>1</v>
      </c>
      <c r="AV102" s="313">
        <v>1</v>
      </c>
      <c r="AW102" s="313">
        <v>1</v>
      </c>
      <c r="AX102" s="313">
        <v>1</v>
      </c>
      <c r="AY102" s="313">
        <v>1</v>
      </c>
      <c r="AZ102" s="313">
        <v>1</v>
      </c>
      <c r="BA102" s="313">
        <v>1</v>
      </c>
      <c r="BB102" s="313">
        <v>0</v>
      </c>
      <c r="BC102" s="313">
        <v>1</v>
      </c>
      <c r="BD102" s="313">
        <v>1</v>
      </c>
      <c r="BE102" s="313">
        <v>1</v>
      </c>
      <c r="BF102" s="313">
        <v>1</v>
      </c>
      <c r="BG102" s="313">
        <v>1</v>
      </c>
      <c r="BH102" s="313">
        <v>1</v>
      </c>
      <c r="BI102" s="313">
        <v>1</v>
      </c>
      <c r="BJ102" s="313">
        <v>1</v>
      </c>
      <c r="BK102" s="313">
        <v>1</v>
      </c>
    </row>
    <row r="103" spans="1:63" x14ac:dyDescent="0.25">
      <c r="A103" s="306" t="s">
        <v>713</v>
      </c>
      <c r="B103" s="313" t="s">
        <v>90</v>
      </c>
      <c r="C103" s="313">
        <v>1</v>
      </c>
      <c r="D103" s="313">
        <v>0</v>
      </c>
      <c r="E103" s="313">
        <v>1</v>
      </c>
      <c r="F103" s="313">
        <v>1</v>
      </c>
      <c r="G103" s="313">
        <v>1</v>
      </c>
      <c r="H103" s="313">
        <v>1</v>
      </c>
      <c r="I103" s="313">
        <v>1</v>
      </c>
      <c r="J103" s="313">
        <v>1</v>
      </c>
      <c r="K103" s="313">
        <v>0</v>
      </c>
      <c r="L103" s="313">
        <v>1</v>
      </c>
      <c r="M103" s="313">
        <v>1</v>
      </c>
      <c r="N103" s="313">
        <v>1</v>
      </c>
      <c r="O103" s="313">
        <v>0</v>
      </c>
      <c r="P103" s="313">
        <v>1</v>
      </c>
      <c r="Q103" s="313">
        <v>0</v>
      </c>
      <c r="R103" s="313">
        <v>1</v>
      </c>
      <c r="S103" s="313">
        <v>1</v>
      </c>
      <c r="T103" s="313">
        <v>1</v>
      </c>
      <c r="U103" s="313">
        <v>1</v>
      </c>
      <c r="V103" s="313">
        <v>1</v>
      </c>
      <c r="W103" s="313">
        <v>1</v>
      </c>
      <c r="X103" s="313">
        <v>1</v>
      </c>
      <c r="Y103" s="313">
        <v>0</v>
      </c>
      <c r="Z103" s="313">
        <v>1</v>
      </c>
      <c r="AA103" s="313">
        <v>1</v>
      </c>
      <c r="AB103" s="313">
        <v>1</v>
      </c>
      <c r="AC103" s="313">
        <v>1</v>
      </c>
      <c r="AD103" s="313">
        <v>0</v>
      </c>
      <c r="AE103" s="313">
        <v>1</v>
      </c>
      <c r="AF103" s="313">
        <v>0</v>
      </c>
      <c r="AG103" s="313">
        <v>1</v>
      </c>
      <c r="AH103" s="313">
        <v>1</v>
      </c>
      <c r="AI103" s="313">
        <v>1</v>
      </c>
      <c r="AJ103" s="313">
        <v>1</v>
      </c>
      <c r="AK103" s="313">
        <v>1</v>
      </c>
      <c r="AL103" s="313">
        <v>1</v>
      </c>
      <c r="AM103" s="313">
        <v>1</v>
      </c>
      <c r="AN103" s="313">
        <v>1</v>
      </c>
      <c r="AO103" s="313">
        <v>1</v>
      </c>
      <c r="AP103" s="313">
        <v>1</v>
      </c>
      <c r="AQ103" s="313">
        <v>1</v>
      </c>
      <c r="AR103" s="313">
        <v>1</v>
      </c>
      <c r="AS103" s="313">
        <v>0</v>
      </c>
      <c r="AT103" s="313">
        <v>1</v>
      </c>
      <c r="AU103" s="313">
        <v>1</v>
      </c>
      <c r="AV103" s="313">
        <v>1</v>
      </c>
      <c r="AW103" s="313">
        <v>1</v>
      </c>
      <c r="AX103" s="313">
        <v>1</v>
      </c>
      <c r="AY103" s="313">
        <v>1</v>
      </c>
      <c r="AZ103" s="313">
        <v>1</v>
      </c>
      <c r="BA103" s="313">
        <v>0</v>
      </c>
      <c r="BB103" s="313">
        <v>0</v>
      </c>
      <c r="BC103" s="313">
        <v>1</v>
      </c>
      <c r="BD103" s="313">
        <v>1</v>
      </c>
      <c r="BE103" s="313">
        <v>1</v>
      </c>
      <c r="BF103" s="313">
        <v>1</v>
      </c>
      <c r="BG103" s="313">
        <v>1</v>
      </c>
      <c r="BH103" s="313">
        <v>1</v>
      </c>
      <c r="BI103" s="313">
        <v>1</v>
      </c>
      <c r="BJ103" s="313">
        <v>1</v>
      </c>
      <c r="BK103" s="313">
        <v>1</v>
      </c>
    </row>
    <row r="104" spans="1:63" x14ac:dyDescent="0.25">
      <c r="A104" s="306" t="s">
        <v>714</v>
      </c>
      <c r="B104" s="313" t="s">
        <v>91</v>
      </c>
      <c r="C104" s="313">
        <v>1</v>
      </c>
      <c r="D104" s="313">
        <v>0</v>
      </c>
      <c r="E104" s="313">
        <v>1</v>
      </c>
      <c r="F104" s="313">
        <v>1</v>
      </c>
      <c r="G104" s="313">
        <v>1</v>
      </c>
      <c r="H104" s="313">
        <v>1</v>
      </c>
      <c r="I104" s="313">
        <v>0</v>
      </c>
      <c r="J104" s="313">
        <v>1</v>
      </c>
      <c r="K104" s="313">
        <v>0</v>
      </c>
      <c r="L104" s="313">
        <v>0</v>
      </c>
      <c r="M104" s="313">
        <v>1</v>
      </c>
      <c r="N104" s="313">
        <v>1</v>
      </c>
      <c r="O104" s="313">
        <v>1</v>
      </c>
      <c r="P104" s="313">
        <v>1</v>
      </c>
      <c r="Q104" s="313">
        <v>0</v>
      </c>
      <c r="R104" s="313">
        <v>1</v>
      </c>
      <c r="S104" s="313">
        <v>1</v>
      </c>
      <c r="T104" s="313">
        <v>1</v>
      </c>
      <c r="U104" s="313">
        <v>1</v>
      </c>
      <c r="V104" s="313">
        <v>1</v>
      </c>
      <c r="W104" s="313">
        <v>1</v>
      </c>
      <c r="X104" s="313">
        <v>0</v>
      </c>
      <c r="Y104" s="313">
        <v>1</v>
      </c>
      <c r="Z104" s="313">
        <v>1</v>
      </c>
      <c r="AA104" s="313">
        <v>1</v>
      </c>
      <c r="AB104" s="313">
        <v>1</v>
      </c>
      <c r="AC104" s="313">
        <v>1</v>
      </c>
      <c r="AD104" s="313">
        <v>0</v>
      </c>
      <c r="AE104" s="313">
        <v>1</v>
      </c>
      <c r="AF104" s="313">
        <v>0</v>
      </c>
      <c r="AG104" s="313">
        <v>1</v>
      </c>
      <c r="AH104" s="313">
        <v>1</v>
      </c>
      <c r="AI104" s="313">
        <v>1</v>
      </c>
      <c r="AJ104" s="313">
        <v>0</v>
      </c>
      <c r="AK104" s="313">
        <v>1</v>
      </c>
      <c r="AL104" s="313">
        <v>1</v>
      </c>
      <c r="AM104" s="313">
        <v>1</v>
      </c>
      <c r="AN104" s="313">
        <v>1</v>
      </c>
      <c r="AO104" s="313">
        <v>1</v>
      </c>
      <c r="AP104" s="313">
        <v>1</v>
      </c>
      <c r="AQ104" s="313">
        <v>1</v>
      </c>
      <c r="AR104" s="313">
        <v>1</v>
      </c>
      <c r="AS104" s="313">
        <v>0</v>
      </c>
      <c r="AT104" s="313">
        <v>1</v>
      </c>
      <c r="AU104" s="313">
        <v>1</v>
      </c>
      <c r="AV104" s="313">
        <v>1</v>
      </c>
      <c r="AW104" s="313">
        <v>1</v>
      </c>
      <c r="AX104" s="313">
        <v>0</v>
      </c>
      <c r="AY104" s="313">
        <v>1</v>
      </c>
      <c r="AZ104" s="313">
        <v>1</v>
      </c>
      <c r="BA104" s="313">
        <v>1</v>
      </c>
      <c r="BB104" s="313">
        <v>0</v>
      </c>
      <c r="BC104" s="313">
        <v>1</v>
      </c>
      <c r="BD104" s="313">
        <v>1</v>
      </c>
      <c r="BE104" s="313">
        <v>1</v>
      </c>
      <c r="BF104" s="313">
        <v>1</v>
      </c>
      <c r="BG104" s="313">
        <v>1</v>
      </c>
      <c r="BH104" s="313">
        <v>1</v>
      </c>
      <c r="BI104" s="313">
        <v>1</v>
      </c>
      <c r="BJ104" s="313">
        <v>1</v>
      </c>
      <c r="BK104" s="313">
        <v>1</v>
      </c>
    </row>
    <row r="105" spans="1:63" x14ac:dyDescent="0.25">
      <c r="A105" s="306">
        <v>322230</v>
      </c>
      <c r="B105" s="313" t="s">
        <v>92</v>
      </c>
      <c r="C105" s="313">
        <v>1</v>
      </c>
      <c r="D105" s="313">
        <v>0</v>
      </c>
      <c r="E105" s="313">
        <v>1</v>
      </c>
      <c r="F105" s="313">
        <v>1</v>
      </c>
      <c r="G105" s="313">
        <v>1</v>
      </c>
      <c r="H105" s="313">
        <v>1</v>
      </c>
      <c r="I105" s="313">
        <v>1</v>
      </c>
      <c r="J105" s="313">
        <v>1</v>
      </c>
      <c r="K105" s="313">
        <v>0</v>
      </c>
      <c r="L105" s="313">
        <v>0</v>
      </c>
      <c r="M105" s="313">
        <v>1</v>
      </c>
      <c r="N105" s="313">
        <v>1</v>
      </c>
      <c r="O105" s="313">
        <v>1</v>
      </c>
      <c r="P105" s="313">
        <v>1</v>
      </c>
      <c r="Q105" s="313">
        <v>1</v>
      </c>
      <c r="R105" s="313">
        <v>1</v>
      </c>
      <c r="S105" s="313">
        <v>1</v>
      </c>
      <c r="T105" s="313">
        <v>1</v>
      </c>
      <c r="U105" s="313">
        <v>1</v>
      </c>
      <c r="V105" s="313">
        <v>1</v>
      </c>
      <c r="W105" s="313">
        <v>1</v>
      </c>
      <c r="X105" s="313">
        <v>1</v>
      </c>
      <c r="Y105" s="313">
        <v>1</v>
      </c>
      <c r="Z105" s="313">
        <v>1</v>
      </c>
      <c r="AA105" s="313">
        <v>1</v>
      </c>
      <c r="AB105" s="313">
        <v>1</v>
      </c>
      <c r="AC105" s="313">
        <v>1</v>
      </c>
      <c r="AD105" s="313">
        <v>0</v>
      </c>
      <c r="AE105" s="313">
        <v>1</v>
      </c>
      <c r="AF105" s="313">
        <v>0</v>
      </c>
      <c r="AG105" s="313">
        <v>1</v>
      </c>
      <c r="AH105" s="313">
        <v>1</v>
      </c>
      <c r="AI105" s="313">
        <v>1</v>
      </c>
      <c r="AJ105" s="313">
        <v>1</v>
      </c>
      <c r="AK105" s="313">
        <v>1</v>
      </c>
      <c r="AL105" s="313">
        <v>1</v>
      </c>
      <c r="AM105" s="313">
        <v>1</v>
      </c>
      <c r="AN105" s="313">
        <v>1</v>
      </c>
      <c r="AO105" s="313">
        <v>1</v>
      </c>
      <c r="AP105" s="313">
        <v>1</v>
      </c>
      <c r="AQ105" s="313">
        <v>1</v>
      </c>
      <c r="AR105" s="313">
        <v>1</v>
      </c>
      <c r="AS105" s="313">
        <v>1</v>
      </c>
      <c r="AT105" s="313">
        <v>1</v>
      </c>
      <c r="AU105" s="313">
        <v>1</v>
      </c>
      <c r="AV105" s="313">
        <v>1</v>
      </c>
      <c r="AW105" s="313">
        <v>1</v>
      </c>
      <c r="AX105" s="313">
        <v>0</v>
      </c>
      <c r="AY105" s="313">
        <v>1</v>
      </c>
      <c r="AZ105" s="313">
        <v>1</v>
      </c>
      <c r="BA105" s="313">
        <v>1</v>
      </c>
      <c r="BB105" s="313">
        <v>0</v>
      </c>
      <c r="BC105" s="313">
        <v>1</v>
      </c>
      <c r="BD105" s="313">
        <v>1</v>
      </c>
      <c r="BE105" s="313">
        <v>1</v>
      </c>
      <c r="BF105" s="313">
        <v>1</v>
      </c>
      <c r="BG105" s="313">
        <v>1</v>
      </c>
      <c r="BH105" s="313">
        <v>1</v>
      </c>
      <c r="BI105" s="313">
        <v>1</v>
      </c>
      <c r="BJ105" s="313">
        <v>1</v>
      </c>
      <c r="BK105" s="313">
        <v>1</v>
      </c>
    </row>
    <row r="106" spans="1:63" x14ac:dyDescent="0.25">
      <c r="A106" s="306">
        <v>322291</v>
      </c>
      <c r="B106" s="313" t="s">
        <v>93</v>
      </c>
      <c r="C106" s="313">
        <v>1</v>
      </c>
      <c r="D106" s="313">
        <v>0</v>
      </c>
      <c r="E106" s="313">
        <v>0</v>
      </c>
      <c r="F106" s="313">
        <v>1</v>
      </c>
      <c r="G106" s="313">
        <v>1</v>
      </c>
      <c r="H106" s="313">
        <v>1</v>
      </c>
      <c r="I106" s="313">
        <v>0</v>
      </c>
      <c r="J106" s="313">
        <v>0</v>
      </c>
      <c r="K106" s="313">
        <v>0</v>
      </c>
      <c r="L106" s="313">
        <v>1</v>
      </c>
      <c r="M106" s="313">
        <v>1</v>
      </c>
      <c r="N106" s="313">
        <v>1</v>
      </c>
      <c r="O106" s="313">
        <v>0</v>
      </c>
      <c r="P106" s="313">
        <v>0</v>
      </c>
      <c r="Q106" s="313">
        <v>1</v>
      </c>
      <c r="R106" s="313">
        <v>1</v>
      </c>
      <c r="S106" s="313">
        <v>1</v>
      </c>
      <c r="T106" s="313">
        <v>0</v>
      </c>
      <c r="U106" s="313">
        <v>1</v>
      </c>
      <c r="V106" s="313">
        <v>0</v>
      </c>
      <c r="W106" s="313">
        <v>1</v>
      </c>
      <c r="X106" s="313">
        <v>1</v>
      </c>
      <c r="Y106" s="313">
        <v>1</v>
      </c>
      <c r="Z106" s="313">
        <v>1</v>
      </c>
      <c r="AA106" s="313">
        <v>1</v>
      </c>
      <c r="AB106" s="313">
        <v>1</v>
      </c>
      <c r="AC106" s="313">
        <v>1</v>
      </c>
      <c r="AD106" s="313">
        <v>0</v>
      </c>
      <c r="AE106" s="313">
        <v>1</v>
      </c>
      <c r="AF106" s="313">
        <v>0</v>
      </c>
      <c r="AG106" s="313">
        <v>1</v>
      </c>
      <c r="AH106" s="313">
        <v>0</v>
      </c>
      <c r="AI106" s="313">
        <v>1</v>
      </c>
      <c r="AJ106" s="313">
        <v>1</v>
      </c>
      <c r="AK106" s="313">
        <v>1</v>
      </c>
      <c r="AL106" s="313">
        <v>1</v>
      </c>
      <c r="AM106" s="313">
        <v>1</v>
      </c>
      <c r="AN106" s="313">
        <v>0</v>
      </c>
      <c r="AO106" s="313">
        <v>1</v>
      </c>
      <c r="AP106" s="313">
        <v>1</v>
      </c>
      <c r="AQ106" s="313">
        <v>0</v>
      </c>
      <c r="AR106" s="313">
        <v>1</v>
      </c>
      <c r="AS106" s="313">
        <v>0</v>
      </c>
      <c r="AT106" s="313">
        <v>1</v>
      </c>
      <c r="AU106" s="313">
        <v>1</v>
      </c>
      <c r="AV106" s="313">
        <v>1</v>
      </c>
      <c r="AW106" s="313">
        <v>0</v>
      </c>
      <c r="AX106" s="313">
        <v>0</v>
      </c>
      <c r="AY106" s="313">
        <v>1</v>
      </c>
      <c r="AZ106" s="313">
        <v>1</v>
      </c>
      <c r="BA106" s="313">
        <v>0</v>
      </c>
      <c r="BB106" s="313">
        <v>0</v>
      </c>
      <c r="BC106" s="313">
        <v>1</v>
      </c>
      <c r="BD106" s="313">
        <v>1</v>
      </c>
      <c r="BE106" s="313">
        <v>1</v>
      </c>
      <c r="BF106" s="313">
        <v>1</v>
      </c>
      <c r="BG106" s="313">
        <v>1</v>
      </c>
      <c r="BH106" s="313">
        <v>1</v>
      </c>
      <c r="BI106" s="313">
        <v>1</v>
      </c>
      <c r="BJ106" s="313">
        <v>1</v>
      </c>
      <c r="BK106" s="313">
        <v>1</v>
      </c>
    </row>
    <row r="107" spans="1:63" x14ac:dyDescent="0.25">
      <c r="A107" s="306">
        <v>322299</v>
      </c>
      <c r="B107" s="313" t="s">
        <v>94</v>
      </c>
      <c r="C107" s="313">
        <v>1</v>
      </c>
      <c r="D107" s="313">
        <v>1</v>
      </c>
      <c r="E107" s="313">
        <v>1</v>
      </c>
      <c r="F107" s="313">
        <v>1</v>
      </c>
      <c r="G107" s="313">
        <v>1</v>
      </c>
      <c r="H107" s="313">
        <v>1</v>
      </c>
      <c r="I107" s="313">
        <v>1</v>
      </c>
      <c r="J107" s="313">
        <v>1</v>
      </c>
      <c r="K107" s="313">
        <v>0</v>
      </c>
      <c r="L107" s="313">
        <v>1</v>
      </c>
      <c r="M107" s="313">
        <v>1</v>
      </c>
      <c r="N107" s="313">
        <v>1</v>
      </c>
      <c r="O107" s="313">
        <v>1</v>
      </c>
      <c r="P107" s="313">
        <v>1</v>
      </c>
      <c r="Q107" s="313">
        <v>1</v>
      </c>
      <c r="R107" s="313">
        <v>1</v>
      </c>
      <c r="S107" s="313">
        <v>1</v>
      </c>
      <c r="T107" s="313">
        <v>1</v>
      </c>
      <c r="U107" s="313">
        <v>1</v>
      </c>
      <c r="V107" s="313">
        <v>1</v>
      </c>
      <c r="W107" s="313">
        <v>1</v>
      </c>
      <c r="X107" s="313">
        <v>1</v>
      </c>
      <c r="Y107" s="313">
        <v>1</v>
      </c>
      <c r="Z107" s="313">
        <v>1</v>
      </c>
      <c r="AA107" s="313">
        <v>1</v>
      </c>
      <c r="AB107" s="313">
        <v>1</v>
      </c>
      <c r="AC107" s="313">
        <v>1</v>
      </c>
      <c r="AD107" s="313">
        <v>1</v>
      </c>
      <c r="AE107" s="313">
        <v>1</v>
      </c>
      <c r="AF107" s="313">
        <v>1</v>
      </c>
      <c r="AG107" s="313">
        <v>1</v>
      </c>
      <c r="AH107" s="313">
        <v>1</v>
      </c>
      <c r="AI107" s="313">
        <v>1</v>
      </c>
      <c r="AJ107" s="313">
        <v>0</v>
      </c>
      <c r="AK107" s="313">
        <v>1</v>
      </c>
      <c r="AL107" s="313">
        <v>1</v>
      </c>
      <c r="AM107" s="313">
        <v>1</v>
      </c>
      <c r="AN107" s="313">
        <v>1</v>
      </c>
      <c r="AO107" s="313">
        <v>1</v>
      </c>
      <c r="AP107" s="313">
        <v>1</v>
      </c>
      <c r="AQ107" s="313">
        <v>1</v>
      </c>
      <c r="AR107" s="313">
        <v>1</v>
      </c>
      <c r="AS107" s="313">
        <v>0</v>
      </c>
      <c r="AT107" s="313">
        <v>1</v>
      </c>
      <c r="AU107" s="313">
        <v>1</v>
      </c>
      <c r="AV107" s="313">
        <v>1</v>
      </c>
      <c r="AW107" s="313">
        <v>1</v>
      </c>
      <c r="AX107" s="313">
        <v>0</v>
      </c>
      <c r="AY107" s="313">
        <v>1</v>
      </c>
      <c r="AZ107" s="313">
        <v>1</v>
      </c>
      <c r="BA107" s="313">
        <v>0</v>
      </c>
      <c r="BB107" s="313">
        <v>0</v>
      </c>
      <c r="BC107" s="313">
        <v>1</v>
      </c>
      <c r="BD107" s="313">
        <v>1</v>
      </c>
      <c r="BE107" s="313">
        <v>1</v>
      </c>
      <c r="BF107" s="313">
        <v>1</v>
      </c>
      <c r="BG107" s="313">
        <v>1</v>
      </c>
      <c r="BH107" s="313">
        <v>1</v>
      </c>
      <c r="BI107" s="313">
        <v>1</v>
      </c>
      <c r="BJ107" s="313">
        <v>1</v>
      </c>
      <c r="BK107" s="313">
        <v>1</v>
      </c>
    </row>
    <row r="108" spans="1:63" x14ac:dyDescent="0.25">
      <c r="A108" s="306">
        <v>323110</v>
      </c>
      <c r="B108" s="313" t="s">
        <v>95</v>
      </c>
      <c r="C108" s="313">
        <v>1</v>
      </c>
      <c r="D108" s="313">
        <v>1</v>
      </c>
      <c r="E108" s="313">
        <v>1</v>
      </c>
      <c r="F108" s="313">
        <v>1</v>
      </c>
      <c r="G108" s="313">
        <v>1</v>
      </c>
      <c r="H108" s="313">
        <v>1</v>
      </c>
      <c r="I108" s="313">
        <v>1</v>
      </c>
      <c r="J108" s="313">
        <v>1</v>
      </c>
      <c r="K108" s="313">
        <v>1</v>
      </c>
      <c r="L108" s="313">
        <v>1</v>
      </c>
      <c r="M108" s="313">
        <v>1</v>
      </c>
      <c r="N108" s="313">
        <v>1</v>
      </c>
      <c r="O108" s="313">
        <v>1</v>
      </c>
      <c r="P108" s="313">
        <v>1</v>
      </c>
      <c r="Q108" s="313">
        <v>1</v>
      </c>
      <c r="R108" s="313">
        <v>1</v>
      </c>
      <c r="S108" s="313">
        <v>1</v>
      </c>
      <c r="T108" s="313">
        <v>1</v>
      </c>
      <c r="U108" s="313">
        <v>1</v>
      </c>
      <c r="V108" s="313">
        <v>1</v>
      </c>
      <c r="W108" s="313">
        <v>1</v>
      </c>
      <c r="X108" s="313">
        <v>1</v>
      </c>
      <c r="Y108" s="313">
        <v>1</v>
      </c>
      <c r="Z108" s="313">
        <v>1</v>
      </c>
      <c r="AA108" s="313">
        <v>1</v>
      </c>
      <c r="AB108" s="313">
        <v>1</v>
      </c>
      <c r="AC108" s="313">
        <v>1</v>
      </c>
      <c r="AD108" s="313">
        <v>1</v>
      </c>
      <c r="AE108" s="313">
        <v>1</v>
      </c>
      <c r="AF108" s="313">
        <v>1</v>
      </c>
      <c r="AG108" s="313">
        <v>1</v>
      </c>
      <c r="AH108" s="313">
        <v>1</v>
      </c>
      <c r="AI108" s="313">
        <v>1</v>
      </c>
      <c r="AJ108" s="313">
        <v>1</v>
      </c>
      <c r="AK108" s="313">
        <v>1</v>
      </c>
      <c r="AL108" s="313">
        <v>1</v>
      </c>
      <c r="AM108" s="313">
        <v>1</v>
      </c>
      <c r="AN108" s="313">
        <v>1</v>
      </c>
      <c r="AO108" s="313">
        <v>1</v>
      </c>
      <c r="AP108" s="313">
        <v>1</v>
      </c>
      <c r="AQ108" s="313">
        <v>1</v>
      </c>
      <c r="AR108" s="313">
        <v>1</v>
      </c>
      <c r="AS108" s="313">
        <v>1</v>
      </c>
      <c r="AT108" s="313">
        <v>1</v>
      </c>
      <c r="AU108" s="313">
        <v>1</v>
      </c>
      <c r="AV108" s="313">
        <v>1</v>
      </c>
      <c r="AW108" s="313">
        <v>1</v>
      </c>
      <c r="AX108" s="313">
        <v>1</v>
      </c>
      <c r="AY108" s="313">
        <v>1</v>
      </c>
      <c r="AZ108" s="313">
        <v>1</v>
      </c>
      <c r="BA108" s="313">
        <v>1</v>
      </c>
      <c r="BB108" s="313">
        <v>1</v>
      </c>
      <c r="BC108" s="313">
        <v>1</v>
      </c>
      <c r="BD108" s="313">
        <v>1</v>
      </c>
      <c r="BE108" s="313">
        <v>1</v>
      </c>
      <c r="BF108" s="313">
        <v>1</v>
      </c>
      <c r="BG108" s="313">
        <v>1</v>
      </c>
      <c r="BH108" s="313">
        <v>1</v>
      </c>
      <c r="BI108" s="313">
        <v>1</v>
      </c>
      <c r="BJ108" s="313">
        <v>1</v>
      </c>
      <c r="BK108" s="313">
        <v>1</v>
      </c>
    </row>
    <row r="109" spans="1:63" x14ac:dyDescent="0.25">
      <c r="A109" s="306">
        <v>323120</v>
      </c>
      <c r="B109" s="313" t="s">
        <v>96</v>
      </c>
      <c r="C109" s="313">
        <v>1</v>
      </c>
      <c r="D109" s="313">
        <v>1</v>
      </c>
      <c r="E109" s="313">
        <v>1</v>
      </c>
      <c r="F109" s="313">
        <v>1</v>
      </c>
      <c r="G109" s="313">
        <v>1</v>
      </c>
      <c r="H109" s="313">
        <v>1</v>
      </c>
      <c r="I109" s="313">
        <v>1</v>
      </c>
      <c r="J109" s="313">
        <v>1</v>
      </c>
      <c r="K109" s="313">
        <v>1</v>
      </c>
      <c r="L109" s="313">
        <v>1</v>
      </c>
      <c r="M109" s="313">
        <v>1</v>
      </c>
      <c r="N109" s="313">
        <v>1</v>
      </c>
      <c r="O109" s="313">
        <v>1</v>
      </c>
      <c r="P109" s="313">
        <v>1</v>
      </c>
      <c r="Q109" s="313">
        <v>1</v>
      </c>
      <c r="R109" s="313">
        <v>1</v>
      </c>
      <c r="S109" s="313">
        <v>1</v>
      </c>
      <c r="T109" s="313">
        <v>1</v>
      </c>
      <c r="U109" s="313">
        <v>1</v>
      </c>
      <c r="V109" s="313">
        <v>1</v>
      </c>
      <c r="W109" s="313">
        <v>1</v>
      </c>
      <c r="X109" s="313">
        <v>1</v>
      </c>
      <c r="Y109" s="313">
        <v>1</v>
      </c>
      <c r="Z109" s="313">
        <v>1</v>
      </c>
      <c r="AA109" s="313">
        <v>1</v>
      </c>
      <c r="AB109" s="313">
        <v>1</v>
      </c>
      <c r="AC109" s="313">
        <v>1</v>
      </c>
      <c r="AD109" s="313">
        <v>1</v>
      </c>
      <c r="AE109" s="313">
        <v>1</v>
      </c>
      <c r="AF109" s="313">
        <v>1</v>
      </c>
      <c r="AG109" s="313">
        <v>1</v>
      </c>
      <c r="AH109" s="313">
        <v>1</v>
      </c>
      <c r="AI109" s="313">
        <v>1</v>
      </c>
      <c r="AJ109" s="313">
        <v>1</v>
      </c>
      <c r="AK109" s="313">
        <v>1</v>
      </c>
      <c r="AL109" s="313">
        <v>1</v>
      </c>
      <c r="AM109" s="313">
        <v>1</v>
      </c>
      <c r="AN109" s="313">
        <v>1</v>
      </c>
      <c r="AO109" s="313">
        <v>1</v>
      </c>
      <c r="AP109" s="313">
        <v>1</v>
      </c>
      <c r="AQ109" s="313">
        <v>1</v>
      </c>
      <c r="AR109" s="313">
        <v>1</v>
      </c>
      <c r="AS109" s="313">
        <v>0</v>
      </c>
      <c r="AT109" s="313">
        <v>1</v>
      </c>
      <c r="AU109" s="313">
        <v>1</v>
      </c>
      <c r="AV109" s="313">
        <v>1</v>
      </c>
      <c r="AW109" s="313">
        <v>1</v>
      </c>
      <c r="AX109" s="313">
        <v>1</v>
      </c>
      <c r="AY109" s="313">
        <v>1</v>
      </c>
      <c r="AZ109" s="313">
        <v>1</v>
      </c>
      <c r="BA109" s="313">
        <v>0</v>
      </c>
      <c r="BB109" s="313">
        <v>0</v>
      </c>
      <c r="BC109" s="313">
        <v>1</v>
      </c>
      <c r="BD109" s="313">
        <v>1</v>
      </c>
      <c r="BE109" s="313">
        <v>1</v>
      </c>
      <c r="BF109" s="313">
        <v>1</v>
      </c>
      <c r="BG109" s="313">
        <v>1</v>
      </c>
      <c r="BH109" s="313">
        <v>1</v>
      </c>
      <c r="BI109" s="313">
        <v>1</v>
      </c>
      <c r="BJ109" s="313">
        <v>1</v>
      </c>
      <c r="BK109" s="313">
        <v>1</v>
      </c>
    </row>
    <row r="110" spans="1:63" x14ac:dyDescent="0.25">
      <c r="A110" s="306">
        <v>324110</v>
      </c>
      <c r="B110" s="313" t="s">
        <v>97</v>
      </c>
      <c r="C110" s="313">
        <v>1</v>
      </c>
      <c r="D110" s="313">
        <v>1</v>
      </c>
      <c r="E110" s="313">
        <v>1</v>
      </c>
      <c r="F110" s="313">
        <v>1</v>
      </c>
      <c r="G110" s="313">
        <v>1</v>
      </c>
      <c r="H110" s="313">
        <v>1</v>
      </c>
      <c r="I110" s="313">
        <v>1</v>
      </c>
      <c r="J110" s="313">
        <v>0</v>
      </c>
      <c r="K110" s="313">
        <v>1</v>
      </c>
      <c r="L110" s="313">
        <v>1</v>
      </c>
      <c r="M110" s="313">
        <v>1</v>
      </c>
      <c r="N110" s="313">
        <v>1</v>
      </c>
      <c r="O110" s="313">
        <v>1</v>
      </c>
      <c r="P110" s="313">
        <v>1</v>
      </c>
      <c r="Q110" s="313">
        <v>1</v>
      </c>
      <c r="R110" s="313">
        <v>1</v>
      </c>
      <c r="S110" s="313">
        <v>1</v>
      </c>
      <c r="T110" s="313">
        <v>1</v>
      </c>
      <c r="U110" s="313">
        <v>1</v>
      </c>
      <c r="V110" s="313">
        <v>1</v>
      </c>
      <c r="W110" s="313">
        <v>1</v>
      </c>
      <c r="X110" s="313">
        <v>1</v>
      </c>
      <c r="Y110" s="313">
        <v>1</v>
      </c>
      <c r="Z110" s="313">
        <v>1</v>
      </c>
      <c r="AA110" s="313">
        <v>1</v>
      </c>
      <c r="AB110" s="313">
        <v>1</v>
      </c>
      <c r="AC110" s="313">
        <v>1</v>
      </c>
      <c r="AD110" s="313">
        <v>1</v>
      </c>
      <c r="AE110" s="313">
        <v>1</v>
      </c>
      <c r="AF110" s="313">
        <v>1</v>
      </c>
      <c r="AG110" s="313">
        <v>1</v>
      </c>
      <c r="AH110" s="313">
        <v>1</v>
      </c>
      <c r="AI110" s="313">
        <v>1</v>
      </c>
      <c r="AJ110" s="313">
        <v>1</v>
      </c>
      <c r="AK110" s="313">
        <v>1</v>
      </c>
      <c r="AL110" s="313">
        <v>1</v>
      </c>
      <c r="AM110" s="313">
        <v>1</v>
      </c>
      <c r="AN110" s="313">
        <v>1</v>
      </c>
      <c r="AO110" s="313">
        <v>1</v>
      </c>
      <c r="AP110" s="313">
        <v>1</v>
      </c>
      <c r="AQ110" s="313">
        <v>0</v>
      </c>
      <c r="AR110" s="313">
        <v>1</v>
      </c>
      <c r="AS110" s="313">
        <v>1</v>
      </c>
      <c r="AT110" s="313">
        <v>1</v>
      </c>
      <c r="AU110" s="313">
        <v>1</v>
      </c>
      <c r="AV110" s="313">
        <v>1</v>
      </c>
      <c r="AW110" s="313">
        <v>1</v>
      </c>
      <c r="AX110" s="313">
        <v>0</v>
      </c>
      <c r="AY110" s="313">
        <v>1</v>
      </c>
      <c r="AZ110" s="313">
        <v>1</v>
      </c>
      <c r="BA110" s="313">
        <v>1</v>
      </c>
      <c r="BB110" s="313">
        <v>1</v>
      </c>
      <c r="BC110" s="313">
        <v>1</v>
      </c>
      <c r="BD110" s="313">
        <v>1</v>
      </c>
      <c r="BE110" s="313">
        <v>1</v>
      </c>
      <c r="BF110" s="313">
        <v>1</v>
      </c>
      <c r="BG110" s="313">
        <v>1</v>
      </c>
      <c r="BH110" s="313">
        <v>1</v>
      </c>
      <c r="BI110" s="313">
        <v>1</v>
      </c>
      <c r="BJ110" s="313">
        <v>1</v>
      </c>
      <c r="BK110" s="313">
        <v>1</v>
      </c>
    </row>
    <row r="111" spans="1:63" x14ac:dyDescent="0.25">
      <c r="A111" s="306">
        <v>324121</v>
      </c>
      <c r="B111" s="313" t="s">
        <v>98</v>
      </c>
      <c r="C111" s="313">
        <v>1</v>
      </c>
      <c r="D111" s="313">
        <v>1</v>
      </c>
      <c r="E111" s="313">
        <v>1</v>
      </c>
      <c r="F111" s="313">
        <v>1</v>
      </c>
      <c r="G111" s="313">
        <v>1</v>
      </c>
      <c r="H111" s="313">
        <v>1</v>
      </c>
      <c r="I111" s="313">
        <v>1</v>
      </c>
      <c r="J111" s="313">
        <v>1</v>
      </c>
      <c r="K111" s="313">
        <v>0</v>
      </c>
      <c r="L111" s="313">
        <v>1</v>
      </c>
      <c r="M111" s="313">
        <v>1</v>
      </c>
      <c r="N111" s="313">
        <v>1</v>
      </c>
      <c r="O111" s="313">
        <v>1</v>
      </c>
      <c r="P111" s="313">
        <v>1</v>
      </c>
      <c r="Q111" s="313">
        <v>1</v>
      </c>
      <c r="R111" s="313">
        <v>1</v>
      </c>
      <c r="S111" s="313">
        <v>1</v>
      </c>
      <c r="T111" s="313">
        <v>1</v>
      </c>
      <c r="U111" s="313">
        <v>1</v>
      </c>
      <c r="V111" s="313">
        <v>1</v>
      </c>
      <c r="W111" s="313">
        <v>1</v>
      </c>
      <c r="X111" s="313">
        <v>1</v>
      </c>
      <c r="Y111" s="313">
        <v>1</v>
      </c>
      <c r="Z111" s="313">
        <v>1</v>
      </c>
      <c r="AA111" s="313">
        <v>1</v>
      </c>
      <c r="AB111" s="313">
        <v>1</v>
      </c>
      <c r="AC111" s="313">
        <v>1</v>
      </c>
      <c r="AD111" s="313">
        <v>1</v>
      </c>
      <c r="AE111" s="313">
        <v>1</v>
      </c>
      <c r="AF111" s="313">
        <v>0</v>
      </c>
      <c r="AG111" s="313">
        <v>0</v>
      </c>
      <c r="AH111" s="313">
        <v>1</v>
      </c>
      <c r="AI111" s="313">
        <v>1</v>
      </c>
      <c r="AJ111" s="313">
        <v>1</v>
      </c>
      <c r="AK111" s="313">
        <v>1</v>
      </c>
      <c r="AL111" s="313">
        <v>1</v>
      </c>
      <c r="AM111" s="313">
        <v>1</v>
      </c>
      <c r="AN111" s="313">
        <v>1</v>
      </c>
      <c r="AO111" s="313">
        <v>1</v>
      </c>
      <c r="AP111" s="313">
        <v>1</v>
      </c>
      <c r="AQ111" s="313">
        <v>1</v>
      </c>
      <c r="AR111" s="313">
        <v>1</v>
      </c>
      <c r="AS111" s="313">
        <v>1</v>
      </c>
      <c r="AT111" s="313">
        <v>1</v>
      </c>
      <c r="AU111" s="313">
        <v>1</v>
      </c>
      <c r="AV111" s="313">
        <v>1</v>
      </c>
      <c r="AW111" s="313">
        <v>1</v>
      </c>
      <c r="AX111" s="313">
        <v>1</v>
      </c>
      <c r="AY111" s="313">
        <v>1</v>
      </c>
      <c r="AZ111" s="313">
        <v>1</v>
      </c>
      <c r="BA111" s="313">
        <v>1</v>
      </c>
      <c r="BB111" s="313">
        <v>1</v>
      </c>
      <c r="BC111" s="313">
        <v>1</v>
      </c>
      <c r="BD111" s="313">
        <v>1</v>
      </c>
      <c r="BE111" s="313">
        <v>1</v>
      </c>
      <c r="BF111" s="313">
        <v>1</v>
      </c>
      <c r="BG111" s="313">
        <v>1</v>
      </c>
      <c r="BH111" s="313">
        <v>1</v>
      </c>
      <c r="BI111" s="313">
        <v>1</v>
      </c>
      <c r="BJ111" s="313">
        <v>1</v>
      </c>
      <c r="BK111" s="313">
        <v>1</v>
      </c>
    </row>
    <row r="112" spans="1:63" x14ac:dyDescent="0.25">
      <c r="A112" s="306">
        <v>324122</v>
      </c>
      <c r="B112" s="313" t="s">
        <v>99</v>
      </c>
      <c r="C112" s="313">
        <v>1</v>
      </c>
      <c r="D112" s="313">
        <v>0</v>
      </c>
      <c r="E112" s="313">
        <v>1</v>
      </c>
      <c r="F112" s="313">
        <v>1</v>
      </c>
      <c r="G112" s="313">
        <v>1</v>
      </c>
      <c r="H112" s="313">
        <v>1</v>
      </c>
      <c r="I112" s="313">
        <v>1</v>
      </c>
      <c r="J112" s="313">
        <v>1</v>
      </c>
      <c r="K112" s="313">
        <v>0</v>
      </c>
      <c r="L112" s="313">
        <v>1</v>
      </c>
      <c r="M112" s="313">
        <v>1</v>
      </c>
      <c r="N112" s="313">
        <v>1</v>
      </c>
      <c r="O112" s="313">
        <v>0</v>
      </c>
      <c r="P112" s="313">
        <v>1</v>
      </c>
      <c r="Q112" s="313">
        <v>1</v>
      </c>
      <c r="R112" s="313">
        <v>1</v>
      </c>
      <c r="S112" s="313">
        <v>1</v>
      </c>
      <c r="T112" s="313">
        <v>1</v>
      </c>
      <c r="U112" s="313">
        <v>0</v>
      </c>
      <c r="V112" s="313">
        <v>1</v>
      </c>
      <c r="W112" s="313">
        <v>1</v>
      </c>
      <c r="X112" s="313">
        <v>1</v>
      </c>
      <c r="Y112" s="313">
        <v>0</v>
      </c>
      <c r="Z112" s="313">
        <v>1</v>
      </c>
      <c r="AA112" s="313">
        <v>1</v>
      </c>
      <c r="AB112" s="313">
        <v>1</v>
      </c>
      <c r="AC112" s="313">
        <v>1</v>
      </c>
      <c r="AD112" s="313">
        <v>0</v>
      </c>
      <c r="AE112" s="313">
        <v>1</v>
      </c>
      <c r="AF112" s="313">
        <v>0</v>
      </c>
      <c r="AG112" s="313">
        <v>1</v>
      </c>
      <c r="AH112" s="313">
        <v>1</v>
      </c>
      <c r="AI112" s="313">
        <v>1</v>
      </c>
      <c r="AJ112" s="313">
        <v>0</v>
      </c>
      <c r="AK112" s="313">
        <v>1</v>
      </c>
      <c r="AL112" s="313">
        <v>1</v>
      </c>
      <c r="AM112" s="313">
        <v>1</v>
      </c>
      <c r="AN112" s="313">
        <v>1</v>
      </c>
      <c r="AO112" s="313">
        <v>1</v>
      </c>
      <c r="AP112" s="313">
        <v>1</v>
      </c>
      <c r="AQ112" s="313">
        <v>0</v>
      </c>
      <c r="AR112" s="313">
        <v>1</v>
      </c>
      <c r="AS112" s="313">
        <v>0</v>
      </c>
      <c r="AT112" s="313">
        <v>1</v>
      </c>
      <c r="AU112" s="313">
        <v>1</v>
      </c>
      <c r="AV112" s="313">
        <v>1</v>
      </c>
      <c r="AW112" s="313">
        <v>1</v>
      </c>
      <c r="AX112" s="313">
        <v>0</v>
      </c>
      <c r="AY112" s="313">
        <v>1</v>
      </c>
      <c r="AZ112" s="313">
        <v>1</v>
      </c>
      <c r="BA112" s="313">
        <v>0</v>
      </c>
      <c r="BB112" s="313">
        <v>1</v>
      </c>
      <c r="BC112" s="313">
        <v>1</v>
      </c>
      <c r="BD112" s="313">
        <v>1</v>
      </c>
      <c r="BE112" s="313">
        <v>1</v>
      </c>
      <c r="BF112" s="313">
        <v>1</v>
      </c>
      <c r="BG112" s="313">
        <v>1</v>
      </c>
      <c r="BH112" s="313">
        <v>1</v>
      </c>
      <c r="BI112" s="313">
        <v>1</v>
      </c>
      <c r="BJ112" s="313">
        <v>1</v>
      </c>
      <c r="BK112" s="313">
        <v>1</v>
      </c>
    </row>
    <row r="113" spans="1:63" x14ac:dyDescent="0.25">
      <c r="A113" s="306">
        <v>324191</v>
      </c>
      <c r="B113" s="313" t="s">
        <v>100</v>
      </c>
      <c r="C113" s="313">
        <v>1</v>
      </c>
      <c r="D113" s="313">
        <v>0</v>
      </c>
      <c r="E113" s="313">
        <v>1</v>
      </c>
      <c r="F113" s="313">
        <v>1</v>
      </c>
      <c r="G113" s="313">
        <v>1</v>
      </c>
      <c r="H113" s="313">
        <v>1</v>
      </c>
      <c r="I113" s="313">
        <v>1</v>
      </c>
      <c r="J113" s="313">
        <v>1</v>
      </c>
      <c r="K113" s="313">
        <v>0</v>
      </c>
      <c r="L113" s="313">
        <v>1</v>
      </c>
      <c r="M113" s="313">
        <v>1</v>
      </c>
      <c r="N113" s="313">
        <v>1</v>
      </c>
      <c r="O113" s="313">
        <v>0</v>
      </c>
      <c r="P113" s="313">
        <v>1</v>
      </c>
      <c r="Q113" s="313">
        <v>0</v>
      </c>
      <c r="R113" s="313">
        <v>1</v>
      </c>
      <c r="S113" s="313">
        <v>1</v>
      </c>
      <c r="T113" s="313">
        <v>1</v>
      </c>
      <c r="U113" s="313">
        <v>1</v>
      </c>
      <c r="V113" s="313">
        <v>1</v>
      </c>
      <c r="W113" s="313">
        <v>1</v>
      </c>
      <c r="X113" s="313">
        <v>1</v>
      </c>
      <c r="Y113" s="313">
        <v>0</v>
      </c>
      <c r="Z113" s="313">
        <v>1</v>
      </c>
      <c r="AA113" s="313">
        <v>1</v>
      </c>
      <c r="AB113" s="313">
        <v>1</v>
      </c>
      <c r="AC113" s="313">
        <v>1</v>
      </c>
      <c r="AD113" s="313">
        <v>0</v>
      </c>
      <c r="AE113" s="313">
        <v>1</v>
      </c>
      <c r="AF113" s="313">
        <v>0</v>
      </c>
      <c r="AG113" s="313">
        <v>1</v>
      </c>
      <c r="AH113" s="313">
        <v>1</v>
      </c>
      <c r="AI113" s="313">
        <v>1</v>
      </c>
      <c r="AJ113" s="313">
        <v>1</v>
      </c>
      <c r="AK113" s="313">
        <v>1</v>
      </c>
      <c r="AL113" s="313">
        <v>1</v>
      </c>
      <c r="AM113" s="313">
        <v>1</v>
      </c>
      <c r="AN113" s="313">
        <v>1</v>
      </c>
      <c r="AO113" s="313">
        <v>1</v>
      </c>
      <c r="AP113" s="313">
        <v>1</v>
      </c>
      <c r="AQ113" s="313">
        <v>0</v>
      </c>
      <c r="AR113" s="313">
        <v>1</v>
      </c>
      <c r="AS113" s="313">
        <v>0</v>
      </c>
      <c r="AT113" s="313">
        <v>1</v>
      </c>
      <c r="AU113" s="313">
        <v>1</v>
      </c>
      <c r="AV113" s="313">
        <v>1</v>
      </c>
      <c r="AW113" s="313">
        <v>0</v>
      </c>
      <c r="AX113" s="313">
        <v>0</v>
      </c>
      <c r="AY113" s="313">
        <v>1</v>
      </c>
      <c r="AZ113" s="313">
        <v>1</v>
      </c>
      <c r="BA113" s="313">
        <v>1</v>
      </c>
      <c r="BB113" s="313">
        <v>0</v>
      </c>
      <c r="BC113" s="313">
        <v>1</v>
      </c>
      <c r="BD113" s="313">
        <v>1</v>
      </c>
      <c r="BE113" s="313">
        <v>1</v>
      </c>
      <c r="BF113" s="313">
        <v>1</v>
      </c>
      <c r="BG113" s="313">
        <v>1</v>
      </c>
      <c r="BH113" s="313">
        <v>1</v>
      </c>
      <c r="BI113" s="313">
        <v>1</v>
      </c>
      <c r="BJ113" s="313">
        <v>1</v>
      </c>
      <c r="BK113" s="313">
        <v>1</v>
      </c>
    </row>
    <row r="114" spans="1:63" x14ac:dyDescent="0.25">
      <c r="A114" s="306">
        <v>324199</v>
      </c>
      <c r="B114" s="313" t="s">
        <v>101</v>
      </c>
      <c r="C114" s="313">
        <v>1</v>
      </c>
      <c r="D114" s="313">
        <v>0</v>
      </c>
      <c r="E114" s="313">
        <v>1</v>
      </c>
      <c r="F114" s="313">
        <v>0</v>
      </c>
      <c r="G114" s="313">
        <v>0</v>
      </c>
      <c r="H114" s="313">
        <v>1</v>
      </c>
      <c r="I114" s="313">
        <v>1</v>
      </c>
      <c r="J114" s="313">
        <v>0</v>
      </c>
      <c r="K114" s="313">
        <v>0</v>
      </c>
      <c r="L114" s="313">
        <v>0</v>
      </c>
      <c r="M114" s="313">
        <v>1</v>
      </c>
      <c r="N114" s="313">
        <v>1</v>
      </c>
      <c r="O114" s="313">
        <v>0</v>
      </c>
      <c r="P114" s="313">
        <v>0</v>
      </c>
      <c r="Q114" s="313">
        <v>0</v>
      </c>
      <c r="R114" s="313">
        <v>1</v>
      </c>
      <c r="S114" s="313">
        <v>1</v>
      </c>
      <c r="T114" s="313">
        <v>0</v>
      </c>
      <c r="U114" s="313">
        <v>1</v>
      </c>
      <c r="V114" s="313">
        <v>1</v>
      </c>
      <c r="W114" s="313">
        <v>0</v>
      </c>
      <c r="X114" s="313">
        <v>0</v>
      </c>
      <c r="Y114" s="313">
        <v>0</v>
      </c>
      <c r="Z114" s="313">
        <v>1</v>
      </c>
      <c r="AA114" s="313">
        <v>1</v>
      </c>
      <c r="AB114" s="313">
        <v>0</v>
      </c>
      <c r="AC114" s="313">
        <v>1</v>
      </c>
      <c r="AD114" s="313">
        <v>0</v>
      </c>
      <c r="AE114" s="313">
        <v>0</v>
      </c>
      <c r="AF114" s="313">
        <v>0</v>
      </c>
      <c r="AG114" s="313">
        <v>1</v>
      </c>
      <c r="AH114" s="313">
        <v>0</v>
      </c>
      <c r="AI114" s="313">
        <v>1</v>
      </c>
      <c r="AJ114" s="313">
        <v>0</v>
      </c>
      <c r="AK114" s="313">
        <v>0</v>
      </c>
      <c r="AL114" s="313">
        <v>1</v>
      </c>
      <c r="AM114" s="313">
        <v>1</v>
      </c>
      <c r="AN114" s="313">
        <v>1</v>
      </c>
      <c r="AO114" s="313">
        <v>0</v>
      </c>
      <c r="AP114" s="313">
        <v>1</v>
      </c>
      <c r="AQ114" s="313">
        <v>0</v>
      </c>
      <c r="AR114" s="313">
        <v>1</v>
      </c>
      <c r="AS114" s="313">
        <v>0</v>
      </c>
      <c r="AT114" s="313">
        <v>1</v>
      </c>
      <c r="AU114" s="313">
        <v>1</v>
      </c>
      <c r="AV114" s="313">
        <v>1</v>
      </c>
      <c r="AW114" s="313">
        <v>1</v>
      </c>
      <c r="AX114" s="313">
        <v>0</v>
      </c>
      <c r="AY114" s="313">
        <v>0</v>
      </c>
      <c r="AZ114" s="313">
        <v>1</v>
      </c>
      <c r="BA114" s="313">
        <v>1</v>
      </c>
      <c r="BB114" s="313">
        <v>1</v>
      </c>
      <c r="BC114" s="313">
        <v>0</v>
      </c>
      <c r="BD114" s="313">
        <v>1</v>
      </c>
      <c r="BE114" s="313">
        <v>1</v>
      </c>
      <c r="BF114" s="313">
        <v>1</v>
      </c>
      <c r="BG114" s="313">
        <v>1</v>
      </c>
      <c r="BH114" s="313">
        <v>1</v>
      </c>
      <c r="BI114" s="313">
        <v>1</v>
      </c>
      <c r="BJ114" s="313">
        <v>1</v>
      </c>
      <c r="BK114" s="313">
        <v>1</v>
      </c>
    </row>
    <row r="115" spans="1:63" x14ac:dyDescent="0.25">
      <c r="A115" s="306">
        <v>325110</v>
      </c>
      <c r="B115" s="313" t="s">
        <v>102</v>
      </c>
      <c r="C115" s="313">
        <v>1</v>
      </c>
      <c r="D115" s="313">
        <v>0</v>
      </c>
      <c r="E115" s="313">
        <v>1</v>
      </c>
      <c r="F115" s="313">
        <v>1</v>
      </c>
      <c r="G115" s="313">
        <v>0</v>
      </c>
      <c r="H115" s="313">
        <v>1</v>
      </c>
      <c r="I115" s="313">
        <v>0</v>
      </c>
      <c r="J115" s="313">
        <v>1</v>
      </c>
      <c r="K115" s="313">
        <v>0</v>
      </c>
      <c r="L115" s="313">
        <v>1</v>
      </c>
      <c r="M115" s="313">
        <v>1</v>
      </c>
      <c r="N115" s="313">
        <v>1</v>
      </c>
      <c r="O115" s="313">
        <v>0</v>
      </c>
      <c r="P115" s="313">
        <v>0</v>
      </c>
      <c r="Q115" s="313">
        <v>0</v>
      </c>
      <c r="R115" s="313">
        <v>1</v>
      </c>
      <c r="S115" s="313">
        <v>0</v>
      </c>
      <c r="T115" s="313">
        <v>0</v>
      </c>
      <c r="U115" s="313">
        <v>0</v>
      </c>
      <c r="V115" s="313">
        <v>1</v>
      </c>
      <c r="W115" s="313">
        <v>1</v>
      </c>
      <c r="X115" s="313">
        <v>0</v>
      </c>
      <c r="Y115" s="313">
        <v>1</v>
      </c>
      <c r="Z115" s="313">
        <v>1</v>
      </c>
      <c r="AA115" s="313">
        <v>0</v>
      </c>
      <c r="AB115" s="313">
        <v>1</v>
      </c>
      <c r="AC115" s="313">
        <v>1</v>
      </c>
      <c r="AD115" s="313">
        <v>0</v>
      </c>
      <c r="AE115" s="313">
        <v>1</v>
      </c>
      <c r="AF115" s="313">
        <v>0</v>
      </c>
      <c r="AG115" s="313">
        <v>0</v>
      </c>
      <c r="AH115" s="313">
        <v>0</v>
      </c>
      <c r="AI115" s="313">
        <v>1</v>
      </c>
      <c r="AJ115" s="313">
        <v>0</v>
      </c>
      <c r="AK115" s="313">
        <v>0</v>
      </c>
      <c r="AL115" s="313">
        <v>1</v>
      </c>
      <c r="AM115" s="313">
        <v>1</v>
      </c>
      <c r="AN115" s="313">
        <v>0</v>
      </c>
      <c r="AO115" s="313">
        <v>0</v>
      </c>
      <c r="AP115" s="313">
        <v>1</v>
      </c>
      <c r="AQ115" s="313">
        <v>0</v>
      </c>
      <c r="AR115" s="313">
        <v>1</v>
      </c>
      <c r="AS115" s="313">
        <v>0</v>
      </c>
      <c r="AT115" s="313">
        <v>1</v>
      </c>
      <c r="AU115" s="313">
        <v>1</v>
      </c>
      <c r="AV115" s="313">
        <v>0</v>
      </c>
      <c r="AW115" s="313">
        <v>0</v>
      </c>
      <c r="AX115" s="313">
        <v>0</v>
      </c>
      <c r="AY115" s="313">
        <v>1</v>
      </c>
      <c r="AZ115" s="313">
        <v>0</v>
      </c>
      <c r="BA115" s="313">
        <v>1</v>
      </c>
      <c r="BB115" s="313">
        <v>0</v>
      </c>
      <c r="BC115" s="313">
        <v>1</v>
      </c>
      <c r="BD115" s="313">
        <v>1</v>
      </c>
      <c r="BE115" s="313">
        <v>1</v>
      </c>
      <c r="BF115" s="313">
        <v>1</v>
      </c>
      <c r="BG115" s="313">
        <v>1</v>
      </c>
      <c r="BH115" s="313">
        <v>1</v>
      </c>
      <c r="BI115" s="313">
        <v>1</v>
      </c>
      <c r="BJ115" s="313">
        <v>0</v>
      </c>
      <c r="BK115" s="313">
        <v>1</v>
      </c>
    </row>
    <row r="116" spans="1:63" x14ac:dyDescent="0.25">
      <c r="A116" s="306">
        <v>325120</v>
      </c>
      <c r="B116" s="313" t="s">
        <v>103</v>
      </c>
      <c r="C116" s="313">
        <v>1</v>
      </c>
      <c r="D116" s="313">
        <v>0</v>
      </c>
      <c r="E116" s="313">
        <v>1</v>
      </c>
      <c r="F116" s="313">
        <v>1</v>
      </c>
      <c r="G116" s="313">
        <v>1</v>
      </c>
      <c r="H116" s="313">
        <v>1</v>
      </c>
      <c r="I116" s="313">
        <v>1</v>
      </c>
      <c r="J116" s="313">
        <v>1</v>
      </c>
      <c r="K116" s="313">
        <v>0</v>
      </c>
      <c r="L116" s="313">
        <v>1</v>
      </c>
      <c r="M116" s="313">
        <v>1</v>
      </c>
      <c r="N116" s="313">
        <v>1</v>
      </c>
      <c r="O116" s="313">
        <v>1</v>
      </c>
      <c r="P116" s="313">
        <v>1</v>
      </c>
      <c r="Q116" s="313">
        <v>1</v>
      </c>
      <c r="R116" s="313">
        <v>1</v>
      </c>
      <c r="S116" s="313">
        <v>1</v>
      </c>
      <c r="T116" s="313">
        <v>1</v>
      </c>
      <c r="U116" s="313">
        <v>1</v>
      </c>
      <c r="V116" s="313">
        <v>1</v>
      </c>
      <c r="W116" s="313">
        <v>1</v>
      </c>
      <c r="X116" s="313">
        <v>1</v>
      </c>
      <c r="Y116" s="313">
        <v>1</v>
      </c>
      <c r="Z116" s="313">
        <v>1</v>
      </c>
      <c r="AA116" s="313">
        <v>1</v>
      </c>
      <c r="AB116" s="313">
        <v>1</v>
      </c>
      <c r="AC116" s="313">
        <v>1</v>
      </c>
      <c r="AD116" s="313">
        <v>1</v>
      </c>
      <c r="AE116" s="313">
        <v>1</v>
      </c>
      <c r="AF116" s="313">
        <v>0</v>
      </c>
      <c r="AG116" s="313">
        <v>1</v>
      </c>
      <c r="AH116" s="313">
        <v>0</v>
      </c>
      <c r="AI116" s="313">
        <v>1</v>
      </c>
      <c r="AJ116" s="313">
        <v>1</v>
      </c>
      <c r="AK116" s="313">
        <v>1</v>
      </c>
      <c r="AL116" s="313">
        <v>1</v>
      </c>
      <c r="AM116" s="313">
        <v>1</v>
      </c>
      <c r="AN116" s="313">
        <v>1</v>
      </c>
      <c r="AO116" s="313">
        <v>1</v>
      </c>
      <c r="AP116" s="313">
        <v>1</v>
      </c>
      <c r="AQ116" s="313">
        <v>1</v>
      </c>
      <c r="AR116" s="313">
        <v>1</v>
      </c>
      <c r="AS116" s="313">
        <v>0</v>
      </c>
      <c r="AT116" s="313">
        <v>1</v>
      </c>
      <c r="AU116" s="313">
        <v>1</v>
      </c>
      <c r="AV116" s="313">
        <v>1</v>
      </c>
      <c r="AW116" s="313">
        <v>1</v>
      </c>
      <c r="AX116" s="313">
        <v>0</v>
      </c>
      <c r="AY116" s="313">
        <v>1</v>
      </c>
      <c r="AZ116" s="313">
        <v>1</v>
      </c>
      <c r="BA116" s="313">
        <v>1</v>
      </c>
      <c r="BB116" s="313">
        <v>1</v>
      </c>
      <c r="BC116" s="313">
        <v>1</v>
      </c>
      <c r="BD116" s="313">
        <v>1</v>
      </c>
      <c r="BE116" s="313">
        <v>1</v>
      </c>
      <c r="BF116" s="313">
        <v>1</v>
      </c>
      <c r="BG116" s="313">
        <v>1</v>
      </c>
      <c r="BH116" s="313">
        <v>1</v>
      </c>
      <c r="BI116" s="313">
        <v>1</v>
      </c>
      <c r="BJ116" s="313">
        <v>1</v>
      </c>
      <c r="BK116" s="313">
        <v>1</v>
      </c>
    </row>
    <row r="117" spans="1:63" x14ac:dyDescent="0.25">
      <c r="A117" s="306">
        <v>325130</v>
      </c>
      <c r="B117" s="313" t="s">
        <v>104</v>
      </c>
      <c r="C117" s="313">
        <v>1</v>
      </c>
      <c r="D117" s="313">
        <v>0</v>
      </c>
      <c r="E117" s="313">
        <v>1</v>
      </c>
      <c r="F117" s="313">
        <v>1</v>
      </c>
      <c r="G117" s="313">
        <v>1</v>
      </c>
      <c r="H117" s="313">
        <v>1</v>
      </c>
      <c r="I117" s="313">
        <v>1</v>
      </c>
      <c r="J117" s="313">
        <v>1</v>
      </c>
      <c r="K117" s="313">
        <v>0</v>
      </c>
      <c r="L117" s="313">
        <v>1</v>
      </c>
      <c r="M117" s="313">
        <v>1</v>
      </c>
      <c r="N117" s="313">
        <v>1</v>
      </c>
      <c r="O117" s="313">
        <v>0</v>
      </c>
      <c r="P117" s="313">
        <v>1</v>
      </c>
      <c r="Q117" s="313">
        <v>1</v>
      </c>
      <c r="R117" s="313">
        <v>1</v>
      </c>
      <c r="S117" s="313">
        <v>1</v>
      </c>
      <c r="T117" s="313">
        <v>1</v>
      </c>
      <c r="U117" s="313">
        <v>1</v>
      </c>
      <c r="V117" s="313">
        <v>1</v>
      </c>
      <c r="W117" s="313">
        <v>1</v>
      </c>
      <c r="X117" s="313">
        <v>1</v>
      </c>
      <c r="Y117" s="313">
        <v>0</v>
      </c>
      <c r="Z117" s="313">
        <v>1</v>
      </c>
      <c r="AA117" s="313">
        <v>1</v>
      </c>
      <c r="AB117" s="313">
        <v>1</v>
      </c>
      <c r="AC117" s="313">
        <v>1</v>
      </c>
      <c r="AD117" s="313">
        <v>0</v>
      </c>
      <c r="AE117" s="313">
        <v>1</v>
      </c>
      <c r="AF117" s="313">
        <v>0</v>
      </c>
      <c r="AG117" s="313">
        <v>0</v>
      </c>
      <c r="AH117" s="313">
        <v>1</v>
      </c>
      <c r="AI117" s="313">
        <v>1</v>
      </c>
      <c r="AJ117" s="313">
        <v>0</v>
      </c>
      <c r="AK117" s="313">
        <v>0</v>
      </c>
      <c r="AL117" s="313">
        <v>1</v>
      </c>
      <c r="AM117" s="313">
        <v>1</v>
      </c>
      <c r="AN117" s="313">
        <v>1</v>
      </c>
      <c r="AO117" s="313">
        <v>1</v>
      </c>
      <c r="AP117" s="313">
        <v>1</v>
      </c>
      <c r="AQ117" s="313">
        <v>1</v>
      </c>
      <c r="AR117" s="313">
        <v>1</v>
      </c>
      <c r="AS117" s="313">
        <v>0</v>
      </c>
      <c r="AT117" s="313">
        <v>1</v>
      </c>
      <c r="AU117" s="313">
        <v>1</v>
      </c>
      <c r="AV117" s="313">
        <v>0</v>
      </c>
      <c r="AW117" s="313">
        <v>1</v>
      </c>
      <c r="AX117" s="313">
        <v>0</v>
      </c>
      <c r="AY117" s="313">
        <v>1</v>
      </c>
      <c r="AZ117" s="313">
        <v>1</v>
      </c>
      <c r="BA117" s="313">
        <v>1</v>
      </c>
      <c r="BB117" s="313">
        <v>0</v>
      </c>
      <c r="BC117" s="313">
        <v>1</v>
      </c>
      <c r="BD117" s="313">
        <v>1</v>
      </c>
      <c r="BE117" s="313">
        <v>1</v>
      </c>
      <c r="BF117" s="313">
        <v>1</v>
      </c>
      <c r="BG117" s="313">
        <v>1</v>
      </c>
      <c r="BH117" s="313">
        <v>1</v>
      </c>
      <c r="BI117" s="313">
        <v>1</v>
      </c>
      <c r="BJ117" s="313">
        <v>1</v>
      </c>
      <c r="BK117" s="313">
        <v>1</v>
      </c>
    </row>
    <row r="118" spans="1:63" x14ac:dyDescent="0.25">
      <c r="A118" s="306">
        <v>325181</v>
      </c>
      <c r="B118" s="313" t="s">
        <v>105</v>
      </c>
      <c r="C118" s="313">
        <v>1</v>
      </c>
      <c r="D118" s="313">
        <v>0</v>
      </c>
      <c r="E118" s="313">
        <v>1</v>
      </c>
      <c r="F118" s="313">
        <v>0</v>
      </c>
      <c r="G118" s="313">
        <v>0</v>
      </c>
      <c r="H118" s="313">
        <v>1</v>
      </c>
      <c r="I118" s="313">
        <v>1</v>
      </c>
      <c r="J118" s="313">
        <v>0</v>
      </c>
      <c r="K118" s="313">
        <v>0</v>
      </c>
      <c r="L118" s="313">
        <v>1</v>
      </c>
      <c r="M118" s="313">
        <v>1</v>
      </c>
      <c r="N118" s="313">
        <v>1</v>
      </c>
      <c r="O118" s="313">
        <v>0</v>
      </c>
      <c r="P118" s="313">
        <v>1</v>
      </c>
      <c r="Q118" s="313">
        <v>0</v>
      </c>
      <c r="R118" s="313">
        <v>1</v>
      </c>
      <c r="S118" s="313">
        <v>0</v>
      </c>
      <c r="T118" s="313">
        <v>1</v>
      </c>
      <c r="U118" s="313">
        <v>0</v>
      </c>
      <c r="V118" s="313">
        <v>1</v>
      </c>
      <c r="W118" s="313">
        <v>0</v>
      </c>
      <c r="X118" s="313">
        <v>1</v>
      </c>
      <c r="Y118" s="313">
        <v>0</v>
      </c>
      <c r="Z118" s="313">
        <v>1</v>
      </c>
      <c r="AA118" s="313">
        <v>0</v>
      </c>
      <c r="AB118" s="313">
        <v>0</v>
      </c>
      <c r="AC118" s="313">
        <v>1</v>
      </c>
      <c r="AD118" s="313">
        <v>0</v>
      </c>
      <c r="AE118" s="313">
        <v>0</v>
      </c>
      <c r="AF118" s="313">
        <v>0</v>
      </c>
      <c r="AG118" s="313">
        <v>0</v>
      </c>
      <c r="AH118" s="313">
        <v>0</v>
      </c>
      <c r="AI118" s="313">
        <v>1</v>
      </c>
      <c r="AJ118" s="313">
        <v>0</v>
      </c>
      <c r="AK118" s="313">
        <v>1</v>
      </c>
      <c r="AL118" s="313">
        <v>1</v>
      </c>
      <c r="AM118" s="313">
        <v>1</v>
      </c>
      <c r="AN118" s="313">
        <v>1</v>
      </c>
      <c r="AO118" s="313">
        <v>0</v>
      </c>
      <c r="AP118" s="313">
        <v>1</v>
      </c>
      <c r="AQ118" s="313">
        <v>0</v>
      </c>
      <c r="AR118" s="313">
        <v>0</v>
      </c>
      <c r="AS118" s="313">
        <v>0</v>
      </c>
      <c r="AT118" s="313">
        <v>1</v>
      </c>
      <c r="AU118" s="313">
        <v>1</v>
      </c>
      <c r="AV118" s="313">
        <v>1</v>
      </c>
      <c r="AW118" s="313">
        <v>1</v>
      </c>
      <c r="AX118" s="313">
        <v>0</v>
      </c>
      <c r="AY118" s="313">
        <v>1</v>
      </c>
      <c r="AZ118" s="313">
        <v>1</v>
      </c>
      <c r="BA118" s="313">
        <v>1</v>
      </c>
      <c r="BB118" s="313">
        <v>1</v>
      </c>
      <c r="BC118" s="313">
        <v>0</v>
      </c>
      <c r="BD118" s="313">
        <v>1</v>
      </c>
      <c r="BE118" s="313">
        <v>1</v>
      </c>
      <c r="BF118" s="313">
        <v>1</v>
      </c>
      <c r="BG118" s="313">
        <v>1</v>
      </c>
      <c r="BH118" s="313">
        <v>1</v>
      </c>
      <c r="BI118" s="313">
        <v>1</v>
      </c>
      <c r="BJ118" s="313">
        <v>1</v>
      </c>
      <c r="BK118" s="313">
        <v>1</v>
      </c>
    </row>
    <row r="119" spans="1:63" x14ac:dyDescent="0.25">
      <c r="A119" s="306">
        <v>325182</v>
      </c>
      <c r="B119" s="313" t="s">
        <v>106</v>
      </c>
      <c r="C119" s="313">
        <v>1</v>
      </c>
      <c r="D119" s="313">
        <v>0</v>
      </c>
      <c r="E119" s="313">
        <v>1</v>
      </c>
      <c r="F119" s="313">
        <v>0</v>
      </c>
      <c r="G119" s="313">
        <v>0</v>
      </c>
      <c r="H119" s="313">
        <v>0</v>
      </c>
      <c r="I119" s="313">
        <v>0</v>
      </c>
      <c r="J119" s="313">
        <v>0</v>
      </c>
      <c r="K119" s="313">
        <v>0</v>
      </c>
      <c r="L119" s="313">
        <v>0</v>
      </c>
      <c r="M119" s="313">
        <v>0</v>
      </c>
      <c r="N119" s="313">
        <v>1</v>
      </c>
      <c r="O119" s="313">
        <v>0</v>
      </c>
      <c r="P119" s="313">
        <v>0</v>
      </c>
      <c r="Q119" s="313">
        <v>0</v>
      </c>
      <c r="R119" s="313">
        <v>0</v>
      </c>
      <c r="S119" s="313">
        <v>0</v>
      </c>
      <c r="T119" s="313">
        <v>1</v>
      </c>
      <c r="U119" s="313">
        <v>1</v>
      </c>
      <c r="V119" s="313">
        <v>1</v>
      </c>
      <c r="W119" s="313">
        <v>0</v>
      </c>
      <c r="X119" s="313">
        <v>0</v>
      </c>
      <c r="Y119" s="313">
        <v>0</v>
      </c>
      <c r="Z119" s="313">
        <v>0</v>
      </c>
      <c r="AA119" s="313">
        <v>0</v>
      </c>
      <c r="AB119" s="313">
        <v>0</v>
      </c>
      <c r="AC119" s="313">
        <v>0</v>
      </c>
      <c r="AD119" s="313">
        <v>0</v>
      </c>
      <c r="AE119" s="313">
        <v>1</v>
      </c>
      <c r="AF119" s="313">
        <v>0</v>
      </c>
      <c r="AG119" s="313">
        <v>0</v>
      </c>
      <c r="AH119" s="313">
        <v>0</v>
      </c>
      <c r="AI119" s="313">
        <v>0</v>
      </c>
      <c r="AJ119" s="313">
        <v>0</v>
      </c>
      <c r="AK119" s="313">
        <v>0</v>
      </c>
      <c r="AL119" s="313">
        <v>0</v>
      </c>
      <c r="AM119" s="313">
        <v>1</v>
      </c>
      <c r="AN119" s="313">
        <v>1</v>
      </c>
      <c r="AO119" s="313">
        <v>0</v>
      </c>
      <c r="AP119" s="313">
        <v>0</v>
      </c>
      <c r="AQ119" s="313">
        <v>0</v>
      </c>
      <c r="AR119" s="313">
        <v>0</v>
      </c>
      <c r="AS119" s="313">
        <v>0</v>
      </c>
      <c r="AT119" s="313">
        <v>0</v>
      </c>
      <c r="AU119" s="313">
        <v>1</v>
      </c>
      <c r="AV119" s="313">
        <v>0</v>
      </c>
      <c r="AW119" s="313">
        <v>0</v>
      </c>
      <c r="AX119" s="313">
        <v>0</v>
      </c>
      <c r="AY119" s="313">
        <v>0</v>
      </c>
      <c r="AZ119" s="313">
        <v>0</v>
      </c>
      <c r="BA119" s="313">
        <v>1</v>
      </c>
      <c r="BB119" s="313">
        <v>0</v>
      </c>
      <c r="BC119" s="313">
        <v>0</v>
      </c>
      <c r="BD119" s="313">
        <v>0</v>
      </c>
      <c r="BE119" s="313">
        <v>1</v>
      </c>
      <c r="BF119" s="313">
        <v>1</v>
      </c>
      <c r="BG119" s="313">
        <v>1</v>
      </c>
      <c r="BH119" s="313">
        <v>1</v>
      </c>
      <c r="BI119" s="313">
        <v>1</v>
      </c>
      <c r="BJ119" s="313">
        <v>0</v>
      </c>
      <c r="BK119" s="313">
        <v>0</v>
      </c>
    </row>
    <row r="120" spans="1:63" x14ac:dyDescent="0.25">
      <c r="A120" s="306">
        <v>325188</v>
      </c>
      <c r="B120" s="313" t="s">
        <v>107</v>
      </c>
      <c r="C120" s="313">
        <v>1</v>
      </c>
      <c r="D120" s="313">
        <v>0</v>
      </c>
      <c r="E120" s="313">
        <v>1</v>
      </c>
      <c r="F120" s="313">
        <v>1</v>
      </c>
      <c r="G120" s="313">
        <v>1</v>
      </c>
      <c r="H120" s="313">
        <v>1</v>
      </c>
      <c r="I120" s="313">
        <v>1</v>
      </c>
      <c r="J120" s="313">
        <v>1</v>
      </c>
      <c r="K120" s="313">
        <v>0</v>
      </c>
      <c r="L120" s="313">
        <v>1</v>
      </c>
      <c r="M120" s="313">
        <v>1</v>
      </c>
      <c r="N120" s="313">
        <v>1</v>
      </c>
      <c r="O120" s="313">
        <v>1</v>
      </c>
      <c r="P120" s="313">
        <v>1</v>
      </c>
      <c r="Q120" s="313">
        <v>1</v>
      </c>
      <c r="R120" s="313">
        <v>1</v>
      </c>
      <c r="S120" s="313">
        <v>1</v>
      </c>
      <c r="T120" s="313">
        <v>1</v>
      </c>
      <c r="U120" s="313">
        <v>1</v>
      </c>
      <c r="V120" s="313">
        <v>1</v>
      </c>
      <c r="W120" s="313">
        <v>1</v>
      </c>
      <c r="X120" s="313">
        <v>1</v>
      </c>
      <c r="Y120" s="313">
        <v>1</v>
      </c>
      <c r="Z120" s="313">
        <v>1</v>
      </c>
      <c r="AA120" s="313">
        <v>0</v>
      </c>
      <c r="AB120" s="313">
        <v>1</v>
      </c>
      <c r="AC120" s="313">
        <v>1</v>
      </c>
      <c r="AD120" s="313">
        <v>1</v>
      </c>
      <c r="AE120" s="313">
        <v>1</v>
      </c>
      <c r="AF120" s="313">
        <v>0</v>
      </c>
      <c r="AG120" s="313">
        <v>1</v>
      </c>
      <c r="AH120" s="313">
        <v>0</v>
      </c>
      <c r="AI120" s="313">
        <v>1</v>
      </c>
      <c r="AJ120" s="313">
        <v>1</v>
      </c>
      <c r="AK120" s="313">
        <v>1</v>
      </c>
      <c r="AL120" s="313">
        <v>1</v>
      </c>
      <c r="AM120" s="313">
        <v>1</v>
      </c>
      <c r="AN120" s="313">
        <v>1</v>
      </c>
      <c r="AO120" s="313">
        <v>1</v>
      </c>
      <c r="AP120" s="313">
        <v>1</v>
      </c>
      <c r="AQ120" s="313">
        <v>1</v>
      </c>
      <c r="AR120" s="313">
        <v>1</v>
      </c>
      <c r="AS120" s="313">
        <v>0</v>
      </c>
      <c r="AT120" s="313">
        <v>1</v>
      </c>
      <c r="AU120" s="313">
        <v>1</v>
      </c>
      <c r="AV120" s="313">
        <v>1</v>
      </c>
      <c r="AW120" s="313">
        <v>1</v>
      </c>
      <c r="AX120" s="313">
        <v>0</v>
      </c>
      <c r="AY120" s="313">
        <v>1</v>
      </c>
      <c r="AZ120" s="313">
        <v>1</v>
      </c>
      <c r="BA120" s="313">
        <v>1</v>
      </c>
      <c r="BB120" s="313">
        <v>1</v>
      </c>
      <c r="BC120" s="313">
        <v>1</v>
      </c>
      <c r="BD120" s="313">
        <v>1</v>
      </c>
      <c r="BE120" s="313">
        <v>1</v>
      </c>
      <c r="BF120" s="313">
        <v>1</v>
      </c>
      <c r="BG120" s="313">
        <v>1</v>
      </c>
      <c r="BH120" s="313">
        <v>1</v>
      </c>
      <c r="BI120" s="313">
        <v>1</v>
      </c>
      <c r="BJ120" s="313">
        <v>1</v>
      </c>
      <c r="BK120" s="313">
        <v>1</v>
      </c>
    </row>
    <row r="121" spans="1:63" x14ac:dyDescent="0.25">
      <c r="A121" s="306">
        <v>325190</v>
      </c>
      <c r="B121" s="313" t="s">
        <v>108</v>
      </c>
      <c r="C121" s="313">
        <v>1</v>
      </c>
      <c r="D121" s="313">
        <v>0</v>
      </c>
      <c r="E121" s="313">
        <v>1</v>
      </c>
      <c r="F121" s="313">
        <v>1</v>
      </c>
      <c r="G121" s="313">
        <v>1</v>
      </c>
      <c r="H121" s="313">
        <v>1</v>
      </c>
      <c r="I121" s="313">
        <v>1</v>
      </c>
      <c r="J121" s="313">
        <v>1</v>
      </c>
      <c r="K121" s="313">
        <v>0</v>
      </c>
      <c r="L121" s="313">
        <v>1</v>
      </c>
      <c r="M121" s="313">
        <v>1</v>
      </c>
      <c r="N121" s="313">
        <v>1</v>
      </c>
      <c r="O121" s="313">
        <v>0</v>
      </c>
      <c r="P121" s="313">
        <v>1</v>
      </c>
      <c r="Q121" s="313">
        <v>1</v>
      </c>
      <c r="R121" s="313">
        <v>1</v>
      </c>
      <c r="S121" s="313">
        <v>1</v>
      </c>
      <c r="T121" s="313">
        <v>1</v>
      </c>
      <c r="U121" s="313">
        <v>1</v>
      </c>
      <c r="V121" s="313">
        <v>1</v>
      </c>
      <c r="W121" s="313">
        <v>1</v>
      </c>
      <c r="X121" s="313">
        <v>1</v>
      </c>
      <c r="Y121" s="313">
        <v>1</v>
      </c>
      <c r="Z121" s="313">
        <v>1</v>
      </c>
      <c r="AA121" s="313">
        <v>1</v>
      </c>
      <c r="AB121" s="313">
        <v>1</v>
      </c>
      <c r="AC121" s="313">
        <v>1</v>
      </c>
      <c r="AD121" s="313">
        <v>1</v>
      </c>
      <c r="AE121" s="313">
        <v>1</v>
      </c>
      <c r="AF121" s="313">
        <v>1</v>
      </c>
      <c r="AG121" s="313">
        <v>1</v>
      </c>
      <c r="AH121" s="313">
        <v>0</v>
      </c>
      <c r="AI121" s="313">
        <v>1</v>
      </c>
      <c r="AJ121" s="313">
        <v>1</v>
      </c>
      <c r="AK121" s="313">
        <v>1</v>
      </c>
      <c r="AL121" s="313">
        <v>1</v>
      </c>
      <c r="AM121" s="313">
        <v>1</v>
      </c>
      <c r="AN121" s="313">
        <v>1</v>
      </c>
      <c r="AO121" s="313">
        <v>1</v>
      </c>
      <c r="AP121" s="313">
        <v>1</v>
      </c>
      <c r="AQ121" s="313">
        <v>1</v>
      </c>
      <c r="AR121" s="313">
        <v>1</v>
      </c>
      <c r="AS121" s="313">
        <v>1</v>
      </c>
      <c r="AT121" s="313">
        <v>1</v>
      </c>
      <c r="AU121" s="313">
        <v>1</v>
      </c>
      <c r="AV121" s="313">
        <v>0</v>
      </c>
      <c r="AW121" s="313">
        <v>1</v>
      </c>
      <c r="AX121" s="313">
        <v>0</v>
      </c>
      <c r="AY121" s="313">
        <v>1</v>
      </c>
      <c r="AZ121" s="313">
        <v>1</v>
      </c>
      <c r="BA121" s="313">
        <v>1</v>
      </c>
      <c r="BB121" s="313">
        <v>1</v>
      </c>
      <c r="BC121" s="313">
        <v>1</v>
      </c>
      <c r="BD121" s="313">
        <v>1</v>
      </c>
      <c r="BE121" s="313">
        <v>1</v>
      </c>
      <c r="BF121" s="313">
        <v>1</v>
      </c>
      <c r="BG121" s="313">
        <v>1</v>
      </c>
      <c r="BH121" s="313">
        <v>1</v>
      </c>
      <c r="BI121" s="313">
        <v>1</v>
      </c>
      <c r="BJ121" s="313">
        <v>1</v>
      </c>
      <c r="BK121" s="313">
        <v>1</v>
      </c>
    </row>
    <row r="122" spans="1:63" x14ac:dyDescent="0.25">
      <c r="A122" s="306">
        <v>325211</v>
      </c>
      <c r="B122" s="313" t="s">
        <v>2</v>
      </c>
      <c r="C122" s="313">
        <v>1</v>
      </c>
      <c r="D122" s="313">
        <v>1</v>
      </c>
      <c r="E122" s="313">
        <v>1</v>
      </c>
      <c r="F122" s="313">
        <v>1</v>
      </c>
      <c r="G122" s="313">
        <v>1</v>
      </c>
      <c r="H122" s="313">
        <v>1</v>
      </c>
      <c r="I122" s="313">
        <v>1</v>
      </c>
      <c r="J122" s="313">
        <v>1</v>
      </c>
      <c r="K122" s="313">
        <v>0</v>
      </c>
      <c r="L122" s="313">
        <v>1</v>
      </c>
      <c r="M122" s="313">
        <v>1</v>
      </c>
      <c r="N122" s="313">
        <v>1</v>
      </c>
      <c r="O122" s="313">
        <v>0</v>
      </c>
      <c r="P122" s="313">
        <v>1</v>
      </c>
      <c r="Q122" s="313">
        <v>1</v>
      </c>
      <c r="R122" s="313">
        <v>1</v>
      </c>
      <c r="S122" s="313">
        <v>1</v>
      </c>
      <c r="T122" s="313">
        <v>1</v>
      </c>
      <c r="U122" s="313">
        <v>1</v>
      </c>
      <c r="V122" s="313">
        <v>1</v>
      </c>
      <c r="W122" s="313">
        <v>1</v>
      </c>
      <c r="X122" s="313">
        <v>1</v>
      </c>
      <c r="Y122" s="313">
        <v>1</v>
      </c>
      <c r="Z122" s="313">
        <v>1</v>
      </c>
      <c r="AA122" s="313">
        <v>1</v>
      </c>
      <c r="AB122" s="313">
        <v>1</v>
      </c>
      <c r="AC122" s="313">
        <v>1</v>
      </c>
      <c r="AD122" s="313">
        <v>1</v>
      </c>
      <c r="AE122" s="313">
        <v>1</v>
      </c>
      <c r="AF122" s="313">
        <v>0</v>
      </c>
      <c r="AG122" s="313">
        <v>1</v>
      </c>
      <c r="AH122" s="313">
        <v>1</v>
      </c>
      <c r="AI122" s="313">
        <v>1</v>
      </c>
      <c r="AJ122" s="313">
        <v>1</v>
      </c>
      <c r="AK122" s="313">
        <v>1</v>
      </c>
      <c r="AL122" s="313">
        <v>1</v>
      </c>
      <c r="AM122" s="313">
        <v>1</v>
      </c>
      <c r="AN122" s="313">
        <v>1</v>
      </c>
      <c r="AO122" s="313">
        <v>1</v>
      </c>
      <c r="AP122" s="313">
        <v>1</v>
      </c>
      <c r="AQ122" s="313">
        <v>1</v>
      </c>
      <c r="AR122" s="313">
        <v>1</v>
      </c>
      <c r="AS122" s="313">
        <v>1</v>
      </c>
      <c r="AT122" s="313">
        <v>1</v>
      </c>
      <c r="AU122" s="313">
        <v>1</v>
      </c>
      <c r="AV122" s="313">
        <v>1</v>
      </c>
      <c r="AW122" s="313">
        <v>1</v>
      </c>
      <c r="AX122" s="313">
        <v>1</v>
      </c>
      <c r="AY122" s="313">
        <v>1</v>
      </c>
      <c r="AZ122" s="313">
        <v>1</v>
      </c>
      <c r="BA122" s="313">
        <v>1</v>
      </c>
      <c r="BB122" s="313">
        <v>0</v>
      </c>
      <c r="BC122" s="313">
        <v>1</v>
      </c>
      <c r="BD122" s="313">
        <v>1</v>
      </c>
      <c r="BE122" s="313">
        <v>1</v>
      </c>
      <c r="BF122" s="313">
        <v>1</v>
      </c>
      <c r="BG122" s="313">
        <v>1</v>
      </c>
      <c r="BH122" s="313">
        <v>1</v>
      </c>
      <c r="BI122" s="313">
        <v>1</v>
      </c>
      <c r="BJ122" s="313">
        <v>1</v>
      </c>
      <c r="BK122" s="313">
        <v>1</v>
      </c>
    </row>
    <row r="123" spans="1:63" x14ac:dyDescent="0.25">
      <c r="A123" s="306">
        <v>325212</v>
      </c>
      <c r="B123" s="313" t="s">
        <v>109</v>
      </c>
      <c r="C123" s="313">
        <v>1</v>
      </c>
      <c r="D123" s="313">
        <v>0</v>
      </c>
      <c r="E123" s="313">
        <v>1</v>
      </c>
      <c r="F123" s="313">
        <v>0</v>
      </c>
      <c r="G123" s="313">
        <v>1</v>
      </c>
      <c r="H123" s="313">
        <v>1</v>
      </c>
      <c r="I123" s="313">
        <v>0</v>
      </c>
      <c r="J123" s="313">
        <v>1</v>
      </c>
      <c r="K123" s="313">
        <v>0</v>
      </c>
      <c r="L123" s="313">
        <v>1</v>
      </c>
      <c r="M123" s="313">
        <v>1</v>
      </c>
      <c r="N123" s="313">
        <v>1</v>
      </c>
      <c r="O123" s="313">
        <v>0</v>
      </c>
      <c r="P123" s="313">
        <v>0</v>
      </c>
      <c r="Q123" s="313">
        <v>0</v>
      </c>
      <c r="R123" s="313">
        <v>1</v>
      </c>
      <c r="S123" s="313">
        <v>1</v>
      </c>
      <c r="T123" s="313">
        <v>0</v>
      </c>
      <c r="U123" s="313">
        <v>1</v>
      </c>
      <c r="V123" s="313">
        <v>1</v>
      </c>
      <c r="W123" s="313">
        <v>1</v>
      </c>
      <c r="X123" s="313">
        <v>1</v>
      </c>
      <c r="Y123" s="313">
        <v>1</v>
      </c>
      <c r="Z123" s="313">
        <v>1</v>
      </c>
      <c r="AA123" s="313">
        <v>1</v>
      </c>
      <c r="AB123" s="313">
        <v>0</v>
      </c>
      <c r="AC123" s="313">
        <v>1</v>
      </c>
      <c r="AD123" s="313">
        <v>0</v>
      </c>
      <c r="AE123" s="313">
        <v>1</v>
      </c>
      <c r="AF123" s="313">
        <v>0</v>
      </c>
      <c r="AG123" s="313">
        <v>0</v>
      </c>
      <c r="AH123" s="313">
        <v>1</v>
      </c>
      <c r="AI123" s="313">
        <v>1</v>
      </c>
      <c r="AJ123" s="313">
        <v>1</v>
      </c>
      <c r="AK123" s="313">
        <v>0</v>
      </c>
      <c r="AL123" s="313">
        <v>1</v>
      </c>
      <c r="AM123" s="313">
        <v>1</v>
      </c>
      <c r="AN123" s="313">
        <v>1</v>
      </c>
      <c r="AO123" s="313">
        <v>1</v>
      </c>
      <c r="AP123" s="313">
        <v>1</v>
      </c>
      <c r="AQ123" s="313">
        <v>1</v>
      </c>
      <c r="AR123" s="313">
        <v>1</v>
      </c>
      <c r="AS123" s="313">
        <v>0</v>
      </c>
      <c r="AT123" s="313">
        <v>1</v>
      </c>
      <c r="AU123" s="313">
        <v>1</v>
      </c>
      <c r="AV123" s="313">
        <v>1</v>
      </c>
      <c r="AW123" s="313">
        <v>1</v>
      </c>
      <c r="AX123" s="313">
        <v>0</v>
      </c>
      <c r="AY123" s="313">
        <v>1</v>
      </c>
      <c r="AZ123" s="313">
        <v>1</v>
      </c>
      <c r="BA123" s="313">
        <v>0</v>
      </c>
      <c r="BB123" s="313">
        <v>0</v>
      </c>
      <c r="BC123" s="313">
        <v>1</v>
      </c>
      <c r="BD123" s="313">
        <v>1</v>
      </c>
      <c r="BE123" s="313">
        <v>1</v>
      </c>
      <c r="BF123" s="313">
        <v>1</v>
      </c>
      <c r="BG123" s="313">
        <v>1</v>
      </c>
      <c r="BH123" s="313">
        <v>1</v>
      </c>
      <c r="BI123" s="313">
        <v>1</v>
      </c>
      <c r="BJ123" s="313">
        <v>1</v>
      </c>
      <c r="BK123" s="313">
        <v>1</v>
      </c>
    </row>
    <row r="124" spans="1:63" x14ac:dyDescent="0.25">
      <c r="A124" s="306">
        <v>325220</v>
      </c>
      <c r="B124" s="313" t="s">
        <v>110</v>
      </c>
      <c r="C124" s="313">
        <v>1</v>
      </c>
      <c r="D124" s="313">
        <v>0</v>
      </c>
      <c r="E124" s="313">
        <v>1</v>
      </c>
      <c r="F124" s="313">
        <v>1</v>
      </c>
      <c r="G124" s="313">
        <v>1</v>
      </c>
      <c r="H124" s="313">
        <v>1</v>
      </c>
      <c r="I124" s="313">
        <v>1</v>
      </c>
      <c r="J124" s="313">
        <v>1</v>
      </c>
      <c r="K124" s="313">
        <v>0</v>
      </c>
      <c r="L124" s="313">
        <v>1</v>
      </c>
      <c r="M124" s="313">
        <v>1</v>
      </c>
      <c r="N124" s="313">
        <v>1</v>
      </c>
      <c r="O124" s="313">
        <v>1</v>
      </c>
      <c r="P124" s="313">
        <v>1</v>
      </c>
      <c r="Q124" s="313">
        <v>0</v>
      </c>
      <c r="R124" s="313">
        <v>1</v>
      </c>
      <c r="S124" s="313">
        <v>0</v>
      </c>
      <c r="T124" s="313">
        <v>1</v>
      </c>
      <c r="U124" s="313">
        <v>0</v>
      </c>
      <c r="V124" s="313">
        <v>0</v>
      </c>
      <c r="W124" s="313">
        <v>1</v>
      </c>
      <c r="X124" s="313">
        <v>1</v>
      </c>
      <c r="Y124" s="313">
        <v>0</v>
      </c>
      <c r="Z124" s="313">
        <v>1</v>
      </c>
      <c r="AA124" s="313">
        <v>0</v>
      </c>
      <c r="AB124" s="313">
        <v>0</v>
      </c>
      <c r="AC124" s="313">
        <v>1</v>
      </c>
      <c r="AD124" s="313">
        <v>0</v>
      </c>
      <c r="AE124" s="313">
        <v>1</v>
      </c>
      <c r="AF124" s="313">
        <v>0</v>
      </c>
      <c r="AG124" s="313">
        <v>0</v>
      </c>
      <c r="AH124" s="313">
        <v>1</v>
      </c>
      <c r="AI124" s="313">
        <v>1</v>
      </c>
      <c r="AJ124" s="313">
        <v>1</v>
      </c>
      <c r="AK124" s="313">
        <v>0</v>
      </c>
      <c r="AL124" s="313">
        <v>1</v>
      </c>
      <c r="AM124" s="313">
        <v>1</v>
      </c>
      <c r="AN124" s="313">
        <v>0</v>
      </c>
      <c r="AO124" s="313">
        <v>1</v>
      </c>
      <c r="AP124" s="313">
        <v>1</v>
      </c>
      <c r="AQ124" s="313">
        <v>0</v>
      </c>
      <c r="AR124" s="313">
        <v>1</v>
      </c>
      <c r="AS124" s="313">
        <v>0</v>
      </c>
      <c r="AT124" s="313">
        <v>1</v>
      </c>
      <c r="AU124" s="313">
        <v>1</v>
      </c>
      <c r="AV124" s="313">
        <v>1</v>
      </c>
      <c r="AW124" s="313">
        <v>1</v>
      </c>
      <c r="AX124" s="313">
        <v>1</v>
      </c>
      <c r="AY124" s="313">
        <v>0</v>
      </c>
      <c r="AZ124" s="313">
        <v>0</v>
      </c>
      <c r="BA124" s="313">
        <v>0</v>
      </c>
      <c r="BB124" s="313">
        <v>0</v>
      </c>
      <c r="BC124" s="313">
        <v>1</v>
      </c>
      <c r="BD124" s="313">
        <v>1</v>
      </c>
      <c r="BE124" s="313">
        <v>1</v>
      </c>
      <c r="BF124" s="313">
        <v>1</v>
      </c>
      <c r="BG124" s="313">
        <v>1</v>
      </c>
      <c r="BH124" s="313">
        <v>1</v>
      </c>
      <c r="BI124" s="313">
        <v>1</v>
      </c>
      <c r="BJ124" s="313">
        <v>1</v>
      </c>
      <c r="BK124" s="313">
        <v>1</v>
      </c>
    </row>
    <row r="125" spans="1:63" x14ac:dyDescent="0.25">
      <c r="A125" s="306">
        <v>325310</v>
      </c>
      <c r="B125" s="313" t="s">
        <v>111</v>
      </c>
      <c r="C125" s="313">
        <v>1</v>
      </c>
      <c r="D125" s="313">
        <v>1</v>
      </c>
      <c r="E125" s="313">
        <v>1</v>
      </c>
      <c r="F125" s="313">
        <v>1</v>
      </c>
      <c r="G125" s="313">
        <v>1</v>
      </c>
      <c r="H125" s="313">
        <v>1</v>
      </c>
      <c r="I125" s="313">
        <v>1</v>
      </c>
      <c r="J125" s="313">
        <v>1</v>
      </c>
      <c r="K125" s="313">
        <v>1</v>
      </c>
      <c r="L125" s="313">
        <v>1</v>
      </c>
      <c r="M125" s="313">
        <v>1</v>
      </c>
      <c r="N125" s="313">
        <v>1</v>
      </c>
      <c r="O125" s="313">
        <v>1</v>
      </c>
      <c r="P125" s="313">
        <v>1</v>
      </c>
      <c r="Q125" s="313">
        <v>1</v>
      </c>
      <c r="R125" s="313">
        <v>1</v>
      </c>
      <c r="S125" s="313">
        <v>1</v>
      </c>
      <c r="T125" s="313">
        <v>1</v>
      </c>
      <c r="U125" s="313">
        <v>1</v>
      </c>
      <c r="V125" s="313">
        <v>1</v>
      </c>
      <c r="W125" s="313">
        <v>1</v>
      </c>
      <c r="X125" s="313">
        <v>1</v>
      </c>
      <c r="Y125" s="313">
        <v>1</v>
      </c>
      <c r="Z125" s="313">
        <v>1</v>
      </c>
      <c r="AA125" s="313">
        <v>1</v>
      </c>
      <c r="AB125" s="313">
        <v>1</v>
      </c>
      <c r="AC125" s="313">
        <v>1</v>
      </c>
      <c r="AD125" s="313">
        <v>1</v>
      </c>
      <c r="AE125" s="313">
        <v>1</v>
      </c>
      <c r="AF125" s="313">
        <v>0</v>
      </c>
      <c r="AG125" s="313">
        <v>1</v>
      </c>
      <c r="AH125" s="313">
        <v>0</v>
      </c>
      <c r="AI125" s="313">
        <v>1</v>
      </c>
      <c r="AJ125" s="313">
        <v>1</v>
      </c>
      <c r="AK125" s="313">
        <v>1</v>
      </c>
      <c r="AL125" s="313">
        <v>1</v>
      </c>
      <c r="AM125" s="313">
        <v>1</v>
      </c>
      <c r="AN125" s="313">
        <v>1</v>
      </c>
      <c r="AO125" s="313">
        <v>1</v>
      </c>
      <c r="AP125" s="313">
        <v>1</v>
      </c>
      <c r="AQ125" s="313">
        <v>0</v>
      </c>
      <c r="AR125" s="313">
        <v>1</v>
      </c>
      <c r="AS125" s="313">
        <v>1</v>
      </c>
      <c r="AT125" s="313">
        <v>1</v>
      </c>
      <c r="AU125" s="313">
        <v>1</v>
      </c>
      <c r="AV125" s="313">
        <v>1</v>
      </c>
      <c r="AW125" s="313">
        <v>1</v>
      </c>
      <c r="AX125" s="313">
        <v>1</v>
      </c>
      <c r="AY125" s="313">
        <v>1</v>
      </c>
      <c r="AZ125" s="313">
        <v>1</v>
      </c>
      <c r="BA125" s="313">
        <v>1</v>
      </c>
      <c r="BB125" s="313">
        <v>1</v>
      </c>
      <c r="BC125" s="313">
        <v>1</v>
      </c>
      <c r="BD125" s="313">
        <v>1</v>
      </c>
      <c r="BE125" s="313">
        <v>1</v>
      </c>
      <c r="BF125" s="313">
        <v>1</v>
      </c>
      <c r="BG125" s="313">
        <v>1</v>
      </c>
      <c r="BH125" s="313">
        <v>1</v>
      </c>
      <c r="BI125" s="313">
        <v>1</v>
      </c>
      <c r="BJ125" s="313">
        <v>1</v>
      </c>
      <c r="BK125" s="313">
        <v>1</v>
      </c>
    </row>
    <row r="126" spans="1:63" x14ac:dyDescent="0.25">
      <c r="A126" s="306">
        <v>325320</v>
      </c>
      <c r="B126" s="313" t="s">
        <v>112</v>
      </c>
      <c r="C126" s="313">
        <v>1</v>
      </c>
      <c r="D126" s="313">
        <v>0</v>
      </c>
      <c r="E126" s="313">
        <v>1</v>
      </c>
      <c r="F126" s="313">
        <v>1</v>
      </c>
      <c r="G126" s="313">
        <v>1</v>
      </c>
      <c r="H126" s="313">
        <v>1</v>
      </c>
      <c r="I126" s="313">
        <v>1</v>
      </c>
      <c r="J126" s="313">
        <v>1</v>
      </c>
      <c r="K126" s="313">
        <v>0</v>
      </c>
      <c r="L126" s="313">
        <v>0</v>
      </c>
      <c r="M126" s="313">
        <v>1</v>
      </c>
      <c r="N126" s="313">
        <v>1</v>
      </c>
      <c r="O126" s="313">
        <v>0</v>
      </c>
      <c r="P126" s="313">
        <v>1</v>
      </c>
      <c r="Q126" s="313">
        <v>1</v>
      </c>
      <c r="R126" s="313">
        <v>1</v>
      </c>
      <c r="S126" s="313">
        <v>1</v>
      </c>
      <c r="T126" s="313">
        <v>1</v>
      </c>
      <c r="U126" s="313">
        <v>1</v>
      </c>
      <c r="V126" s="313">
        <v>1</v>
      </c>
      <c r="W126" s="313">
        <v>1</v>
      </c>
      <c r="X126" s="313">
        <v>1</v>
      </c>
      <c r="Y126" s="313">
        <v>1</v>
      </c>
      <c r="Z126" s="313">
        <v>1</v>
      </c>
      <c r="AA126" s="313">
        <v>1</v>
      </c>
      <c r="AB126" s="313">
        <v>1</v>
      </c>
      <c r="AC126" s="313">
        <v>1</v>
      </c>
      <c r="AD126" s="313">
        <v>1</v>
      </c>
      <c r="AE126" s="313">
        <v>1</v>
      </c>
      <c r="AF126" s="313">
        <v>1</v>
      </c>
      <c r="AG126" s="313">
        <v>1</v>
      </c>
      <c r="AH126" s="313">
        <v>0</v>
      </c>
      <c r="AI126" s="313">
        <v>1</v>
      </c>
      <c r="AJ126" s="313">
        <v>1</v>
      </c>
      <c r="AK126" s="313">
        <v>0</v>
      </c>
      <c r="AL126" s="313">
        <v>1</v>
      </c>
      <c r="AM126" s="313">
        <v>1</v>
      </c>
      <c r="AN126" s="313">
        <v>1</v>
      </c>
      <c r="AO126" s="313">
        <v>1</v>
      </c>
      <c r="AP126" s="313">
        <v>1</v>
      </c>
      <c r="AQ126" s="313">
        <v>0</v>
      </c>
      <c r="AR126" s="313">
        <v>1</v>
      </c>
      <c r="AS126" s="313">
        <v>0</v>
      </c>
      <c r="AT126" s="313">
        <v>1</v>
      </c>
      <c r="AU126" s="313">
        <v>1</v>
      </c>
      <c r="AV126" s="313">
        <v>1</v>
      </c>
      <c r="AW126" s="313">
        <v>1</v>
      </c>
      <c r="AX126" s="313">
        <v>0</v>
      </c>
      <c r="AY126" s="313">
        <v>1</v>
      </c>
      <c r="AZ126" s="313">
        <v>1</v>
      </c>
      <c r="BA126" s="313">
        <v>1</v>
      </c>
      <c r="BB126" s="313">
        <v>0</v>
      </c>
      <c r="BC126" s="313">
        <v>1</v>
      </c>
      <c r="BD126" s="313">
        <v>1</v>
      </c>
      <c r="BE126" s="313">
        <v>1</v>
      </c>
      <c r="BF126" s="313">
        <v>1</v>
      </c>
      <c r="BG126" s="313">
        <v>1</v>
      </c>
      <c r="BH126" s="313">
        <v>1</v>
      </c>
      <c r="BI126" s="313">
        <v>1</v>
      </c>
      <c r="BJ126" s="313">
        <v>1</v>
      </c>
      <c r="BK126" s="313">
        <v>1</v>
      </c>
    </row>
    <row r="127" spans="1:63" x14ac:dyDescent="0.25">
      <c r="A127" s="306">
        <v>325411</v>
      </c>
      <c r="B127" s="313" t="s">
        <v>113</v>
      </c>
      <c r="C127" s="313">
        <v>1</v>
      </c>
      <c r="D127" s="313">
        <v>0</v>
      </c>
      <c r="E127" s="313">
        <v>1</v>
      </c>
      <c r="F127" s="313">
        <v>1</v>
      </c>
      <c r="G127" s="313">
        <v>1</v>
      </c>
      <c r="H127" s="313">
        <v>1</v>
      </c>
      <c r="I127" s="313">
        <v>1</v>
      </c>
      <c r="J127" s="313">
        <v>1</v>
      </c>
      <c r="K127" s="313">
        <v>0</v>
      </c>
      <c r="L127" s="313">
        <v>0</v>
      </c>
      <c r="M127" s="313">
        <v>1</v>
      </c>
      <c r="N127" s="313">
        <v>1</v>
      </c>
      <c r="O127" s="313">
        <v>0</v>
      </c>
      <c r="P127" s="313">
        <v>1</v>
      </c>
      <c r="Q127" s="313">
        <v>1</v>
      </c>
      <c r="R127" s="313">
        <v>1</v>
      </c>
      <c r="S127" s="313">
        <v>1</v>
      </c>
      <c r="T127" s="313">
        <v>1</v>
      </c>
      <c r="U127" s="313">
        <v>1</v>
      </c>
      <c r="V127" s="313">
        <v>1</v>
      </c>
      <c r="W127" s="313">
        <v>1</v>
      </c>
      <c r="X127" s="313">
        <v>1</v>
      </c>
      <c r="Y127" s="313">
        <v>1</v>
      </c>
      <c r="Z127" s="313">
        <v>1</v>
      </c>
      <c r="AA127" s="313">
        <v>1</v>
      </c>
      <c r="AB127" s="313">
        <v>1</v>
      </c>
      <c r="AC127" s="313">
        <v>1</v>
      </c>
      <c r="AD127" s="313">
        <v>1</v>
      </c>
      <c r="AE127" s="313">
        <v>1</v>
      </c>
      <c r="AF127" s="313">
        <v>0</v>
      </c>
      <c r="AG127" s="313">
        <v>1</v>
      </c>
      <c r="AH127" s="313">
        <v>1</v>
      </c>
      <c r="AI127" s="313">
        <v>1</v>
      </c>
      <c r="AJ127" s="313">
        <v>1</v>
      </c>
      <c r="AK127" s="313">
        <v>1</v>
      </c>
      <c r="AL127" s="313">
        <v>1</v>
      </c>
      <c r="AM127" s="313">
        <v>1</v>
      </c>
      <c r="AN127" s="313">
        <v>0</v>
      </c>
      <c r="AO127" s="313">
        <v>1</v>
      </c>
      <c r="AP127" s="313">
        <v>1</v>
      </c>
      <c r="AQ127" s="313">
        <v>0</v>
      </c>
      <c r="AR127" s="313">
        <v>1</v>
      </c>
      <c r="AS127" s="313">
        <v>0</v>
      </c>
      <c r="AT127" s="313">
        <v>1</v>
      </c>
      <c r="AU127" s="313">
        <v>1</v>
      </c>
      <c r="AV127" s="313">
        <v>1</v>
      </c>
      <c r="AW127" s="313">
        <v>1</v>
      </c>
      <c r="AX127" s="313">
        <v>0</v>
      </c>
      <c r="AY127" s="313">
        <v>1</v>
      </c>
      <c r="AZ127" s="313">
        <v>1</v>
      </c>
      <c r="BA127" s="313">
        <v>1</v>
      </c>
      <c r="BB127" s="313">
        <v>1</v>
      </c>
      <c r="BC127" s="313">
        <v>1</v>
      </c>
      <c r="BD127" s="313">
        <v>1</v>
      </c>
      <c r="BE127" s="313">
        <v>1</v>
      </c>
      <c r="BF127" s="313">
        <v>1</v>
      </c>
      <c r="BG127" s="313">
        <v>1</v>
      </c>
      <c r="BH127" s="313">
        <v>1</v>
      </c>
      <c r="BI127" s="313">
        <v>1</v>
      </c>
      <c r="BJ127" s="313">
        <v>1</v>
      </c>
      <c r="BK127" s="313">
        <v>1</v>
      </c>
    </row>
    <row r="128" spans="1:63" x14ac:dyDescent="0.25">
      <c r="A128" s="306">
        <v>325412</v>
      </c>
      <c r="B128" s="313" t="s">
        <v>114</v>
      </c>
      <c r="C128" s="313">
        <v>1</v>
      </c>
      <c r="D128" s="313">
        <v>0</v>
      </c>
      <c r="E128" s="313">
        <v>1</v>
      </c>
      <c r="F128" s="313">
        <v>1</v>
      </c>
      <c r="G128" s="313">
        <v>1</v>
      </c>
      <c r="H128" s="313">
        <v>1</v>
      </c>
      <c r="I128" s="313">
        <v>1</v>
      </c>
      <c r="J128" s="313">
        <v>1</v>
      </c>
      <c r="K128" s="313">
        <v>1</v>
      </c>
      <c r="L128" s="313">
        <v>1</v>
      </c>
      <c r="M128" s="313">
        <v>1</v>
      </c>
      <c r="N128" s="313">
        <v>1</v>
      </c>
      <c r="O128" s="313">
        <v>1</v>
      </c>
      <c r="P128" s="313">
        <v>1</v>
      </c>
      <c r="Q128" s="313">
        <v>1</v>
      </c>
      <c r="R128" s="313">
        <v>1</v>
      </c>
      <c r="S128" s="313">
        <v>1</v>
      </c>
      <c r="T128" s="313">
        <v>1</v>
      </c>
      <c r="U128" s="313">
        <v>1</v>
      </c>
      <c r="V128" s="313">
        <v>1</v>
      </c>
      <c r="W128" s="313">
        <v>1</v>
      </c>
      <c r="X128" s="313">
        <v>1</v>
      </c>
      <c r="Y128" s="313">
        <v>1</v>
      </c>
      <c r="Z128" s="313">
        <v>1</v>
      </c>
      <c r="AA128" s="313">
        <v>1</v>
      </c>
      <c r="AB128" s="313">
        <v>1</v>
      </c>
      <c r="AC128" s="313">
        <v>1</v>
      </c>
      <c r="AD128" s="313">
        <v>1</v>
      </c>
      <c r="AE128" s="313">
        <v>1</v>
      </c>
      <c r="AF128" s="313">
        <v>0</v>
      </c>
      <c r="AG128" s="313">
        <v>1</v>
      </c>
      <c r="AH128" s="313">
        <v>1</v>
      </c>
      <c r="AI128" s="313">
        <v>1</v>
      </c>
      <c r="AJ128" s="313">
        <v>1</v>
      </c>
      <c r="AK128" s="313">
        <v>1</v>
      </c>
      <c r="AL128" s="313">
        <v>1</v>
      </c>
      <c r="AM128" s="313">
        <v>1</v>
      </c>
      <c r="AN128" s="313">
        <v>1</v>
      </c>
      <c r="AO128" s="313">
        <v>1</v>
      </c>
      <c r="AP128" s="313">
        <v>1</v>
      </c>
      <c r="AQ128" s="313">
        <v>1</v>
      </c>
      <c r="AR128" s="313">
        <v>1</v>
      </c>
      <c r="AS128" s="313">
        <v>1</v>
      </c>
      <c r="AT128" s="313">
        <v>1</v>
      </c>
      <c r="AU128" s="313">
        <v>1</v>
      </c>
      <c r="AV128" s="313">
        <v>1</v>
      </c>
      <c r="AW128" s="313">
        <v>1</v>
      </c>
      <c r="AX128" s="313">
        <v>1</v>
      </c>
      <c r="AY128" s="313">
        <v>1</v>
      </c>
      <c r="AZ128" s="313">
        <v>1</v>
      </c>
      <c r="BA128" s="313">
        <v>1</v>
      </c>
      <c r="BB128" s="313">
        <v>1</v>
      </c>
      <c r="BC128" s="313">
        <v>1</v>
      </c>
      <c r="BD128" s="313">
        <v>1</v>
      </c>
      <c r="BE128" s="313">
        <v>1</v>
      </c>
      <c r="BF128" s="313">
        <v>1</v>
      </c>
      <c r="BG128" s="313">
        <v>1</v>
      </c>
      <c r="BH128" s="313">
        <v>1</v>
      </c>
      <c r="BI128" s="313">
        <v>1</v>
      </c>
      <c r="BJ128" s="313">
        <v>1</v>
      </c>
      <c r="BK128" s="313">
        <v>1</v>
      </c>
    </row>
    <row r="129" spans="1:63" x14ac:dyDescent="0.25">
      <c r="A129" s="306">
        <v>325413</v>
      </c>
      <c r="B129" s="313" t="s">
        <v>115</v>
      </c>
      <c r="C129" s="313">
        <v>1</v>
      </c>
      <c r="D129" s="313">
        <v>0</v>
      </c>
      <c r="E129" s="313">
        <v>0</v>
      </c>
      <c r="F129" s="313">
        <v>1</v>
      </c>
      <c r="G129" s="313">
        <v>0</v>
      </c>
      <c r="H129" s="313">
        <v>1</v>
      </c>
      <c r="I129" s="313">
        <v>1</v>
      </c>
      <c r="J129" s="313">
        <v>1</v>
      </c>
      <c r="K129" s="313">
        <v>0</v>
      </c>
      <c r="L129" s="313">
        <v>0</v>
      </c>
      <c r="M129" s="313">
        <v>1</v>
      </c>
      <c r="N129" s="313">
        <v>1</v>
      </c>
      <c r="O129" s="313">
        <v>0</v>
      </c>
      <c r="P129" s="313">
        <v>1</v>
      </c>
      <c r="Q129" s="313">
        <v>0</v>
      </c>
      <c r="R129" s="313">
        <v>1</v>
      </c>
      <c r="S129" s="313">
        <v>1</v>
      </c>
      <c r="T129" s="313">
        <v>1</v>
      </c>
      <c r="U129" s="313">
        <v>1</v>
      </c>
      <c r="V129" s="313">
        <v>1</v>
      </c>
      <c r="W129" s="313">
        <v>1</v>
      </c>
      <c r="X129" s="313">
        <v>1</v>
      </c>
      <c r="Y129" s="313">
        <v>1</v>
      </c>
      <c r="Z129" s="313">
        <v>1</v>
      </c>
      <c r="AA129" s="313">
        <v>1</v>
      </c>
      <c r="AB129" s="313">
        <v>1</v>
      </c>
      <c r="AC129" s="313">
        <v>0</v>
      </c>
      <c r="AD129" s="313">
        <v>0</v>
      </c>
      <c r="AE129" s="313">
        <v>1</v>
      </c>
      <c r="AF129" s="313">
        <v>0</v>
      </c>
      <c r="AG129" s="313">
        <v>1</v>
      </c>
      <c r="AH129" s="313">
        <v>0</v>
      </c>
      <c r="AI129" s="313">
        <v>1</v>
      </c>
      <c r="AJ129" s="313">
        <v>1</v>
      </c>
      <c r="AK129" s="313">
        <v>0</v>
      </c>
      <c r="AL129" s="313">
        <v>1</v>
      </c>
      <c r="AM129" s="313">
        <v>1</v>
      </c>
      <c r="AN129" s="313">
        <v>1</v>
      </c>
      <c r="AO129" s="313">
        <v>1</v>
      </c>
      <c r="AP129" s="313">
        <v>1</v>
      </c>
      <c r="AQ129" s="313">
        <v>1</v>
      </c>
      <c r="AR129" s="313">
        <v>1</v>
      </c>
      <c r="AS129" s="313">
        <v>0</v>
      </c>
      <c r="AT129" s="313">
        <v>1</v>
      </c>
      <c r="AU129" s="313">
        <v>1</v>
      </c>
      <c r="AV129" s="313">
        <v>1</v>
      </c>
      <c r="AW129" s="313">
        <v>1</v>
      </c>
      <c r="AX129" s="313">
        <v>1</v>
      </c>
      <c r="AY129" s="313">
        <v>1</v>
      </c>
      <c r="AZ129" s="313">
        <v>1</v>
      </c>
      <c r="BA129" s="313">
        <v>0</v>
      </c>
      <c r="BB129" s="313">
        <v>0</v>
      </c>
      <c r="BC129" s="313">
        <v>1</v>
      </c>
      <c r="BD129" s="313">
        <v>1</v>
      </c>
      <c r="BE129" s="313">
        <v>1</v>
      </c>
      <c r="BF129" s="313">
        <v>1</v>
      </c>
      <c r="BG129" s="313">
        <v>1</v>
      </c>
      <c r="BH129" s="313">
        <v>1</v>
      </c>
      <c r="BI129" s="313">
        <v>1</v>
      </c>
      <c r="BJ129" s="313">
        <v>1</v>
      </c>
      <c r="BK129" s="313">
        <v>1</v>
      </c>
    </row>
    <row r="130" spans="1:63" x14ac:dyDescent="0.25">
      <c r="A130" s="306">
        <v>325414</v>
      </c>
      <c r="B130" s="313" t="s">
        <v>116</v>
      </c>
      <c r="C130" s="313">
        <v>1</v>
      </c>
      <c r="D130" s="313">
        <v>0</v>
      </c>
      <c r="E130" s="313">
        <v>1</v>
      </c>
      <c r="F130" s="313">
        <v>1</v>
      </c>
      <c r="G130" s="313">
        <v>1</v>
      </c>
      <c r="H130" s="313">
        <v>1</v>
      </c>
      <c r="I130" s="313">
        <v>1</v>
      </c>
      <c r="J130" s="313">
        <v>1</v>
      </c>
      <c r="K130" s="313">
        <v>0</v>
      </c>
      <c r="L130" s="313">
        <v>1</v>
      </c>
      <c r="M130" s="313">
        <v>1</v>
      </c>
      <c r="N130" s="313">
        <v>1</v>
      </c>
      <c r="O130" s="313">
        <v>1</v>
      </c>
      <c r="P130" s="313">
        <v>1</v>
      </c>
      <c r="Q130" s="313">
        <v>0</v>
      </c>
      <c r="R130" s="313">
        <v>1</v>
      </c>
      <c r="S130" s="313">
        <v>1</v>
      </c>
      <c r="T130" s="313">
        <v>1</v>
      </c>
      <c r="U130" s="313">
        <v>0</v>
      </c>
      <c r="V130" s="313">
        <v>1</v>
      </c>
      <c r="W130" s="313">
        <v>1</v>
      </c>
      <c r="X130" s="313">
        <v>1</v>
      </c>
      <c r="Y130" s="313">
        <v>1</v>
      </c>
      <c r="Z130" s="313">
        <v>1</v>
      </c>
      <c r="AA130" s="313">
        <v>1</v>
      </c>
      <c r="AB130" s="313">
        <v>1</v>
      </c>
      <c r="AC130" s="313">
        <v>1</v>
      </c>
      <c r="AD130" s="313">
        <v>1</v>
      </c>
      <c r="AE130" s="313">
        <v>1</v>
      </c>
      <c r="AF130" s="313">
        <v>0</v>
      </c>
      <c r="AG130" s="313">
        <v>1</v>
      </c>
      <c r="AH130" s="313">
        <v>1</v>
      </c>
      <c r="AI130" s="313">
        <v>1</v>
      </c>
      <c r="AJ130" s="313">
        <v>0</v>
      </c>
      <c r="AK130" s="313">
        <v>0</v>
      </c>
      <c r="AL130" s="313">
        <v>1</v>
      </c>
      <c r="AM130" s="313">
        <v>1</v>
      </c>
      <c r="AN130" s="313">
        <v>1</v>
      </c>
      <c r="AO130" s="313">
        <v>1</v>
      </c>
      <c r="AP130" s="313">
        <v>1</v>
      </c>
      <c r="AQ130" s="313">
        <v>0</v>
      </c>
      <c r="AR130" s="313">
        <v>1</v>
      </c>
      <c r="AS130" s="313">
        <v>0</v>
      </c>
      <c r="AT130" s="313">
        <v>1</v>
      </c>
      <c r="AU130" s="313">
        <v>1</v>
      </c>
      <c r="AV130" s="313">
        <v>0</v>
      </c>
      <c r="AW130" s="313">
        <v>1</v>
      </c>
      <c r="AX130" s="313">
        <v>1</v>
      </c>
      <c r="AY130" s="313">
        <v>1</v>
      </c>
      <c r="AZ130" s="313">
        <v>1</v>
      </c>
      <c r="BA130" s="313">
        <v>0</v>
      </c>
      <c r="BB130" s="313">
        <v>0</v>
      </c>
      <c r="BC130" s="313">
        <v>1</v>
      </c>
      <c r="BD130" s="313">
        <v>1</v>
      </c>
      <c r="BE130" s="313">
        <v>1</v>
      </c>
      <c r="BF130" s="313">
        <v>1</v>
      </c>
      <c r="BG130" s="313">
        <v>1</v>
      </c>
      <c r="BH130" s="313">
        <v>1</v>
      </c>
      <c r="BI130" s="313">
        <v>1</v>
      </c>
      <c r="BJ130" s="313">
        <v>1</v>
      </c>
      <c r="BK130" s="313">
        <v>1</v>
      </c>
    </row>
    <row r="131" spans="1:63" x14ac:dyDescent="0.25">
      <c r="A131" s="306">
        <v>325510</v>
      </c>
      <c r="B131" s="313" t="s">
        <v>117</v>
      </c>
      <c r="C131" s="313">
        <v>1</v>
      </c>
      <c r="D131" s="313">
        <v>0</v>
      </c>
      <c r="E131" s="313">
        <v>1</v>
      </c>
      <c r="F131" s="313">
        <v>1</v>
      </c>
      <c r="G131" s="313">
        <v>1</v>
      </c>
      <c r="H131" s="313">
        <v>1</v>
      </c>
      <c r="I131" s="313">
        <v>1</v>
      </c>
      <c r="J131" s="313">
        <v>1</v>
      </c>
      <c r="K131" s="313">
        <v>0</v>
      </c>
      <c r="L131" s="313">
        <v>1</v>
      </c>
      <c r="M131" s="313">
        <v>1</v>
      </c>
      <c r="N131" s="313">
        <v>1</v>
      </c>
      <c r="O131" s="313">
        <v>0</v>
      </c>
      <c r="P131" s="313">
        <v>1</v>
      </c>
      <c r="Q131" s="313">
        <v>1</v>
      </c>
      <c r="R131" s="313">
        <v>1</v>
      </c>
      <c r="S131" s="313">
        <v>1</v>
      </c>
      <c r="T131" s="313">
        <v>1</v>
      </c>
      <c r="U131" s="313">
        <v>1</v>
      </c>
      <c r="V131" s="313">
        <v>1</v>
      </c>
      <c r="W131" s="313">
        <v>1</v>
      </c>
      <c r="X131" s="313">
        <v>1</v>
      </c>
      <c r="Y131" s="313">
        <v>0</v>
      </c>
      <c r="Z131" s="313">
        <v>1</v>
      </c>
      <c r="AA131" s="313">
        <v>1</v>
      </c>
      <c r="AB131" s="313">
        <v>1</v>
      </c>
      <c r="AC131" s="313">
        <v>1</v>
      </c>
      <c r="AD131" s="313">
        <v>0</v>
      </c>
      <c r="AE131" s="313">
        <v>1</v>
      </c>
      <c r="AF131" s="313">
        <v>1</v>
      </c>
      <c r="AG131" s="313">
        <v>1</v>
      </c>
      <c r="AH131" s="313">
        <v>1</v>
      </c>
      <c r="AI131" s="313">
        <v>1</v>
      </c>
      <c r="AJ131" s="313">
        <v>1</v>
      </c>
      <c r="AK131" s="313">
        <v>1</v>
      </c>
      <c r="AL131" s="313">
        <v>1</v>
      </c>
      <c r="AM131" s="313">
        <v>1</v>
      </c>
      <c r="AN131" s="313">
        <v>1</v>
      </c>
      <c r="AO131" s="313">
        <v>1</v>
      </c>
      <c r="AP131" s="313">
        <v>1</v>
      </c>
      <c r="AQ131" s="313">
        <v>1</v>
      </c>
      <c r="AR131" s="313">
        <v>1</v>
      </c>
      <c r="AS131" s="313">
        <v>1</v>
      </c>
      <c r="AT131" s="313">
        <v>1</v>
      </c>
      <c r="AU131" s="313">
        <v>1</v>
      </c>
      <c r="AV131" s="313">
        <v>1</v>
      </c>
      <c r="AW131" s="313">
        <v>1</v>
      </c>
      <c r="AX131" s="313">
        <v>1</v>
      </c>
      <c r="AY131" s="313">
        <v>1</v>
      </c>
      <c r="AZ131" s="313">
        <v>1</v>
      </c>
      <c r="BA131" s="313">
        <v>1</v>
      </c>
      <c r="BB131" s="313">
        <v>0</v>
      </c>
      <c r="BC131" s="313">
        <v>1</v>
      </c>
      <c r="BD131" s="313">
        <v>1</v>
      </c>
      <c r="BE131" s="313">
        <v>1</v>
      </c>
      <c r="BF131" s="313">
        <v>1</v>
      </c>
      <c r="BG131" s="313">
        <v>1</v>
      </c>
      <c r="BH131" s="313">
        <v>1</v>
      </c>
      <c r="BI131" s="313">
        <v>1</v>
      </c>
      <c r="BJ131" s="313">
        <v>1</v>
      </c>
      <c r="BK131" s="313">
        <v>1</v>
      </c>
    </row>
    <row r="132" spans="1:63" x14ac:dyDescent="0.25">
      <c r="A132" s="306">
        <v>325520</v>
      </c>
      <c r="B132" s="313" t="s">
        <v>118</v>
      </c>
      <c r="C132" s="313">
        <v>1</v>
      </c>
      <c r="D132" s="313">
        <v>0</v>
      </c>
      <c r="E132" s="313">
        <v>1</v>
      </c>
      <c r="F132" s="313">
        <v>1</v>
      </c>
      <c r="G132" s="313">
        <v>1</v>
      </c>
      <c r="H132" s="313">
        <v>1</v>
      </c>
      <c r="I132" s="313">
        <v>1</v>
      </c>
      <c r="J132" s="313">
        <v>1</v>
      </c>
      <c r="K132" s="313">
        <v>1</v>
      </c>
      <c r="L132" s="313">
        <v>1</v>
      </c>
      <c r="M132" s="313">
        <v>1</v>
      </c>
      <c r="N132" s="313">
        <v>1</v>
      </c>
      <c r="O132" s="313">
        <v>0</v>
      </c>
      <c r="P132" s="313">
        <v>1</v>
      </c>
      <c r="Q132" s="313">
        <v>0</v>
      </c>
      <c r="R132" s="313">
        <v>1</v>
      </c>
      <c r="S132" s="313">
        <v>1</v>
      </c>
      <c r="T132" s="313">
        <v>1</v>
      </c>
      <c r="U132" s="313">
        <v>1</v>
      </c>
      <c r="V132" s="313">
        <v>1</v>
      </c>
      <c r="W132" s="313">
        <v>1</v>
      </c>
      <c r="X132" s="313">
        <v>1</v>
      </c>
      <c r="Y132" s="313">
        <v>0</v>
      </c>
      <c r="Z132" s="313">
        <v>1</v>
      </c>
      <c r="AA132" s="313">
        <v>1</v>
      </c>
      <c r="AB132" s="313">
        <v>1</v>
      </c>
      <c r="AC132" s="313">
        <v>1</v>
      </c>
      <c r="AD132" s="313">
        <v>0</v>
      </c>
      <c r="AE132" s="313">
        <v>1</v>
      </c>
      <c r="AF132" s="313">
        <v>1</v>
      </c>
      <c r="AG132" s="313">
        <v>1</v>
      </c>
      <c r="AH132" s="313">
        <v>1</v>
      </c>
      <c r="AI132" s="313">
        <v>1</v>
      </c>
      <c r="AJ132" s="313">
        <v>0</v>
      </c>
      <c r="AK132" s="313">
        <v>1</v>
      </c>
      <c r="AL132" s="313">
        <v>1</v>
      </c>
      <c r="AM132" s="313">
        <v>1</v>
      </c>
      <c r="AN132" s="313">
        <v>1</v>
      </c>
      <c r="AO132" s="313">
        <v>1</v>
      </c>
      <c r="AP132" s="313">
        <v>1</v>
      </c>
      <c r="AQ132" s="313">
        <v>1</v>
      </c>
      <c r="AR132" s="313">
        <v>1</v>
      </c>
      <c r="AS132" s="313">
        <v>0</v>
      </c>
      <c r="AT132" s="313">
        <v>1</v>
      </c>
      <c r="AU132" s="313">
        <v>1</v>
      </c>
      <c r="AV132" s="313">
        <v>1</v>
      </c>
      <c r="AW132" s="313">
        <v>1</v>
      </c>
      <c r="AX132" s="313">
        <v>1</v>
      </c>
      <c r="AY132" s="313">
        <v>1</v>
      </c>
      <c r="AZ132" s="313">
        <v>1</v>
      </c>
      <c r="BA132" s="313">
        <v>1</v>
      </c>
      <c r="BB132" s="313">
        <v>0</v>
      </c>
      <c r="BC132" s="313">
        <v>1</v>
      </c>
      <c r="BD132" s="313">
        <v>1</v>
      </c>
      <c r="BE132" s="313">
        <v>1</v>
      </c>
      <c r="BF132" s="313">
        <v>1</v>
      </c>
      <c r="BG132" s="313">
        <v>1</v>
      </c>
      <c r="BH132" s="313">
        <v>1</v>
      </c>
      <c r="BI132" s="313">
        <v>1</v>
      </c>
      <c r="BJ132" s="313">
        <v>1</v>
      </c>
      <c r="BK132" s="313">
        <v>1</v>
      </c>
    </row>
    <row r="133" spans="1:63" x14ac:dyDescent="0.25">
      <c r="A133" s="306">
        <v>325610</v>
      </c>
      <c r="B133" s="313" t="s">
        <v>119</v>
      </c>
      <c r="C133" s="313">
        <v>1</v>
      </c>
      <c r="D133" s="313">
        <v>1</v>
      </c>
      <c r="E133" s="313">
        <v>1</v>
      </c>
      <c r="F133" s="313">
        <v>1</v>
      </c>
      <c r="G133" s="313">
        <v>1</v>
      </c>
      <c r="H133" s="313">
        <v>1</v>
      </c>
      <c r="I133" s="313">
        <v>1</v>
      </c>
      <c r="J133" s="313">
        <v>1</v>
      </c>
      <c r="K133" s="313">
        <v>1</v>
      </c>
      <c r="L133" s="313">
        <v>1</v>
      </c>
      <c r="M133" s="313">
        <v>1</v>
      </c>
      <c r="N133" s="313">
        <v>1</v>
      </c>
      <c r="O133" s="313">
        <v>1</v>
      </c>
      <c r="P133" s="313">
        <v>1</v>
      </c>
      <c r="Q133" s="313">
        <v>1</v>
      </c>
      <c r="R133" s="313">
        <v>1</v>
      </c>
      <c r="S133" s="313">
        <v>1</v>
      </c>
      <c r="T133" s="313">
        <v>1</v>
      </c>
      <c r="U133" s="313">
        <v>1</v>
      </c>
      <c r="V133" s="313">
        <v>1</v>
      </c>
      <c r="W133" s="313">
        <v>1</v>
      </c>
      <c r="X133" s="313">
        <v>1</v>
      </c>
      <c r="Y133" s="313">
        <v>1</v>
      </c>
      <c r="Z133" s="313">
        <v>1</v>
      </c>
      <c r="AA133" s="313">
        <v>1</v>
      </c>
      <c r="AB133" s="313">
        <v>1</v>
      </c>
      <c r="AC133" s="313">
        <v>1</v>
      </c>
      <c r="AD133" s="313">
        <v>1</v>
      </c>
      <c r="AE133" s="313">
        <v>1</v>
      </c>
      <c r="AF133" s="313">
        <v>0</v>
      </c>
      <c r="AG133" s="313">
        <v>1</v>
      </c>
      <c r="AH133" s="313">
        <v>1</v>
      </c>
      <c r="AI133" s="313">
        <v>1</v>
      </c>
      <c r="AJ133" s="313">
        <v>1</v>
      </c>
      <c r="AK133" s="313">
        <v>1</v>
      </c>
      <c r="AL133" s="313">
        <v>1</v>
      </c>
      <c r="AM133" s="313">
        <v>1</v>
      </c>
      <c r="AN133" s="313">
        <v>1</v>
      </c>
      <c r="AO133" s="313">
        <v>1</v>
      </c>
      <c r="AP133" s="313">
        <v>1</v>
      </c>
      <c r="AQ133" s="313">
        <v>1</v>
      </c>
      <c r="AR133" s="313">
        <v>1</v>
      </c>
      <c r="AS133" s="313">
        <v>1</v>
      </c>
      <c r="AT133" s="313">
        <v>1</v>
      </c>
      <c r="AU133" s="313">
        <v>1</v>
      </c>
      <c r="AV133" s="313">
        <v>1</v>
      </c>
      <c r="AW133" s="313">
        <v>1</v>
      </c>
      <c r="AX133" s="313">
        <v>1</v>
      </c>
      <c r="AY133" s="313">
        <v>1</v>
      </c>
      <c r="AZ133" s="313">
        <v>1</v>
      </c>
      <c r="BA133" s="313">
        <v>1</v>
      </c>
      <c r="BB133" s="313">
        <v>1</v>
      </c>
      <c r="BC133" s="313">
        <v>1</v>
      </c>
      <c r="BD133" s="313">
        <v>1</v>
      </c>
      <c r="BE133" s="313">
        <v>1</v>
      </c>
      <c r="BF133" s="313">
        <v>1</v>
      </c>
      <c r="BG133" s="313">
        <v>1</v>
      </c>
      <c r="BH133" s="313">
        <v>1</v>
      </c>
      <c r="BI133" s="313">
        <v>1</v>
      </c>
      <c r="BJ133" s="313">
        <v>1</v>
      </c>
      <c r="BK133" s="313">
        <v>1</v>
      </c>
    </row>
    <row r="134" spans="1:63" x14ac:dyDescent="0.25">
      <c r="A134" s="306">
        <v>325620</v>
      </c>
      <c r="B134" s="313" t="s">
        <v>120</v>
      </c>
      <c r="C134" s="313">
        <v>1</v>
      </c>
      <c r="D134" s="313">
        <v>0</v>
      </c>
      <c r="E134" s="313">
        <v>1</v>
      </c>
      <c r="F134" s="313">
        <v>1</v>
      </c>
      <c r="G134" s="313">
        <v>1</v>
      </c>
      <c r="H134" s="313">
        <v>1</v>
      </c>
      <c r="I134" s="313">
        <v>1</v>
      </c>
      <c r="J134" s="313">
        <v>1</v>
      </c>
      <c r="K134" s="313">
        <v>0</v>
      </c>
      <c r="L134" s="313">
        <v>1</v>
      </c>
      <c r="M134" s="313">
        <v>1</v>
      </c>
      <c r="N134" s="313">
        <v>1</v>
      </c>
      <c r="O134" s="313">
        <v>1</v>
      </c>
      <c r="P134" s="313">
        <v>1</v>
      </c>
      <c r="Q134" s="313">
        <v>1</v>
      </c>
      <c r="R134" s="313">
        <v>1</v>
      </c>
      <c r="S134" s="313">
        <v>1</v>
      </c>
      <c r="T134" s="313">
        <v>1</v>
      </c>
      <c r="U134" s="313">
        <v>1</v>
      </c>
      <c r="V134" s="313">
        <v>1</v>
      </c>
      <c r="W134" s="313">
        <v>1</v>
      </c>
      <c r="X134" s="313">
        <v>1</v>
      </c>
      <c r="Y134" s="313">
        <v>1</v>
      </c>
      <c r="Z134" s="313">
        <v>1</v>
      </c>
      <c r="AA134" s="313">
        <v>1</v>
      </c>
      <c r="AB134" s="313">
        <v>1</v>
      </c>
      <c r="AC134" s="313">
        <v>1</v>
      </c>
      <c r="AD134" s="313">
        <v>1</v>
      </c>
      <c r="AE134" s="313">
        <v>1</v>
      </c>
      <c r="AF134" s="313">
        <v>1</v>
      </c>
      <c r="AG134" s="313">
        <v>1</v>
      </c>
      <c r="AH134" s="313">
        <v>1</v>
      </c>
      <c r="AI134" s="313">
        <v>1</v>
      </c>
      <c r="AJ134" s="313">
        <v>1</v>
      </c>
      <c r="AK134" s="313">
        <v>1</v>
      </c>
      <c r="AL134" s="313">
        <v>1</v>
      </c>
      <c r="AM134" s="313">
        <v>1</v>
      </c>
      <c r="AN134" s="313">
        <v>1</v>
      </c>
      <c r="AO134" s="313">
        <v>1</v>
      </c>
      <c r="AP134" s="313">
        <v>1</v>
      </c>
      <c r="AQ134" s="313">
        <v>1</v>
      </c>
      <c r="AR134" s="313">
        <v>1</v>
      </c>
      <c r="AS134" s="313">
        <v>1</v>
      </c>
      <c r="AT134" s="313">
        <v>1</v>
      </c>
      <c r="AU134" s="313">
        <v>1</v>
      </c>
      <c r="AV134" s="313">
        <v>1</v>
      </c>
      <c r="AW134" s="313">
        <v>1</v>
      </c>
      <c r="AX134" s="313">
        <v>1</v>
      </c>
      <c r="AY134" s="313">
        <v>1</v>
      </c>
      <c r="AZ134" s="313">
        <v>1</v>
      </c>
      <c r="BA134" s="313">
        <v>0</v>
      </c>
      <c r="BB134" s="313">
        <v>1</v>
      </c>
      <c r="BC134" s="313">
        <v>1</v>
      </c>
      <c r="BD134" s="313">
        <v>1</v>
      </c>
      <c r="BE134" s="313">
        <v>1</v>
      </c>
      <c r="BF134" s="313">
        <v>1</v>
      </c>
      <c r="BG134" s="313">
        <v>1</v>
      </c>
      <c r="BH134" s="313">
        <v>1</v>
      </c>
      <c r="BI134" s="313">
        <v>1</v>
      </c>
      <c r="BJ134" s="313">
        <v>1</v>
      </c>
      <c r="BK134" s="313">
        <v>1</v>
      </c>
    </row>
    <row r="135" spans="1:63" x14ac:dyDescent="0.25">
      <c r="A135" s="306">
        <v>325910</v>
      </c>
      <c r="B135" s="313" t="s">
        <v>121</v>
      </c>
      <c r="C135" s="313">
        <v>1</v>
      </c>
      <c r="D135" s="313">
        <v>0</v>
      </c>
      <c r="E135" s="313">
        <v>1</v>
      </c>
      <c r="F135" s="313">
        <v>1</v>
      </c>
      <c r="G135" s="313">
        <v>1</v>
      </c>
      <c r="H135" s="313">
        <v>1</v>
      </c>
      <c r="I135" s="313">
        <v>1</v>
      </c>
      <c r="J135" s="313">
        <v>1</v>
      </c>
      <c r="K135" s="313">
        <v>0</v>
      </c>
      <c r="L135" s="313">
        <v>1</v>
      </c>
      <c r="M135" s="313">
        <v>1</v>
      </c>
      <c r="N135" s="313">
        <v>1</v>
      </c>
      <c r="O135" s="313">
        <v>0</v>
      </c>
      <c r="P135" s="313">
        <v>1</v>
      </c>
      <c r="Q135" s="313">
        <v>0</v>
      </c>
      <c r="R135" s="313">
        <v>1</v>
      </c>
      <c r="S135" s="313">
        <v>1</v>
      </c>
      <c r="T135" s="313">
        <v>1</v>
      </c>
      <c r="U135" s="313">
        <v>1</v>
      </c>
      <c r="V135" s="313">
        <v>1</v>
      </c>
      <c r="W135" s="313">
        <v>1</v>
      </c>
      <c r="X135" s="313">
        <v>1</v>
      </c>
      <c r="Y135" s="313">
        <v>1</v>
      </c>
      <c r="Z135" s="313">
        <v>1</v>
      </c>
      <c r="AA135" s="313">
        <v>1</v>
      </c>
      <c r="AB135" s="313">
        <v>1</v>
      </c>
      <c r="AC135" s="313">
        <v>0</v>
      </c>
      <c r="AD135" s="313">
        <v>0</v>
      </c>
      <c r="AE135" s="313">
        <v>1</v>
      </c>
      <c r="AF135" s="313">
        <v>0</v>
      </c>
      <c r="AG135" s="313">
        <v>1</v>
      </c>
      <c r="AH135" s="313">
        <v>1</v>
      </c>
      <c r="AI135" s="313">
        <v>1</v>
      </c>
      <c r="AJ135" s="313">
        <v>1</v>
      </c>
      <c r="AK135" s="313">
        <v>1</v>
      </c>
      <c r="AL135" s="313">
        <v>1</v>
      </c>
      <c r="AM135" s="313">
        <v>1</v>
      </c>
      <c r="AN135" s="313">
        <v>1</v>
      </c>
      <c r="AO135" s="313">
        <v>1</v>
      </c>
      <c r="AP135" s="313">
        <v>1</v>
      </c>
      <c r="AQ135" s="313">
        <v>1</v>
      </c>
      <c r="AR135" s="313">
        <v>1</v>
      </c>
      <c r="AS135" s="313">
        <v>0</v>
      </c>
      <c r="AT135" s="313">
        <v>1</v>
      </c>
      <c r="AU135" s="313">
        <v>1</v>
      </c>
      <c r="AV135" s="313">
        <v>1</v>
      </c>
      <c r="AW135" s="313">
        <v>1</v>
      </c>
      <c r="AX135" s="313">
        <v>0</v>
      </c>
      <c r="AY135" s="313">
        <v>1</v>
      </c>
      <c r="AZ135" s="313">
        <v>1</v>
      </c>
      <c r="BA135" s="313">
        <v>0</v>
      </c>
      <c r="BB135" s="313">
        <v>0</v>
      </c>
      <c r="BC135" s="313">
        <v>1</v>
      </c>
      <c r="BD135" s="313">
        <v>1</v>
      </c>
      <c r="BE135" s="313">
        <v>1</v>
      </c>
      <c r="BF135" s="313">
        <v>1</v>
      </c>
      <c r="BG135" s="313">
        <v>1</v>
      </c>
      <c r="BH135" s="313">
        <v>1</v>
      </c>
      <c r="BI135" s="313">
        <v>1</v>
      </c>
      <c r="BJ135" s="313">
        <v>1</v>
      </c>
      <c r="BK135" s="313">
        <v>1</v>
      </c>
    </row>
    <row r="136" spans="1:63" x14ac:dyDescent="0.25">
      <c r="A136" s="306" t="s">
        <v>715</v>
      </c>
      <c r="B136" s="313" t="s">
        <v>122</v>
      </c>
      <c r="C136" s="313">
        <v>1</v>
      </c>
      <c r="D136" s="313">
        <v>1</v>
      </c>
      <c r="E136" s="313">
        <v>1</v>
      </c>
      <c r="F136" s="313">
        <v>1</v>
      </c>
      <c r="G136" s="313">
        <v>1</v>
      </c>
      <c r="H136" s="313">
        <v>1</v>
      </c>
      <c r="I136" s="313">
        <v>1</v>
      </c>
      <c r="J136" s="313">
        <v>1</v>
      </c>
      <c r="K136" s="313">
        <v>0</v>
      </c>
      <c r="L136" s="313">
        <v>1</v>
      </c>
      <c r="M136" s="313">
        <v>1</v>
      </c>
      <c r="N136" s="313">
        <v>1</v>
      </c>
      <c r="O136" s="313">
        <v>1</v>
      </c>
      <c r="P136" s="313">
        <v>1</v>
      </c>
      <c r="Q136" s="313">
        <v>1</v>
      </c>
      <c r="R136" s="313">
        <v>1</v>
      </c>
      <c r="S136" s="313">
        <v>1</v>
      </c>
      <c r="T136" s="313">
        <v>1</v>
      </c>
      <c r="U136" s="313">
        <v>1</v>
      </c>
      <c r="V136" s="313">
        <v>1</v>
      </c>
      <c r="W136" s="313">
        <v>1</v>
      </c>
      <c r="X136" s="313">
        <v>1</v>
      </c>
      <c r="Y136" s="313">
        <v>1</v>
      </c>
      <c r="Z136" s="313">
        <v>1</v>
      </c>
      <c r="AA136" s="313">
        <v>1</v>
      </c>
      <c r="AB136" s="313">
        <v>1</v>
      </c>
      <c r="AC136" s="313">
        <v>1</v>
      </c>
      <c r="AD136" s="313">
        <v>1</v>
      </c>
      <c r="AE136" s="313">
        <v>1</v>
      </c>
      <c r="AF136" s="313">
        <v>1</v>
      </c>
      <c r="AG136" s="313">
        <v>1</v>
      </c>
      <c r="AH136" s="313">
        <v>1</v>
      </c>
      <c r="AI136" s="313">
        <v>1</v>
      </c>
      <c r="AJ136" s="313">
        <v>1</v>
      </c>
      <c r="AK136" s="313">
        <v>1</v>
      </c>
      <c r="AL136" s="313">
        <v>1</v>
      </c>
      <c r="AM136" s="313">
        <v>1</v>
      </c>
      <c r="AN136" s="313">
        <v>1</v>
      </c>
      <c r="AO136" s="313">
        <v>1</v>
      </c>
      <c r="AP136" s="313">
        <v>1</v>
      </c>
      <c r="AQ136" s="313">
        <v>1</v>
      </c>
      <c r="AR136" s="313">
        <v>1</v>
      </c>
      <c r="AS136" s="313">
        <v>1</v>
      </c>
      <c r="AT136" s="313">
        <v>1</v>
      </c>
      <c r="AU136" s="313">
        <v>1</v>
      </c>
      <c r="AV136" s="313">
        <v>1</v>
      </c>
      <c r="AW136" s="313">
        <v>1</v>
      </c>
      <c r="AX136" s="313">
        <v>1</v>
      </c>
      <c r="AY136" s="313">
        <v>1</v>
      </c>
      <c r="AZ136" s="313">
        <v>1</v>
      </c>
      <c r="BA136" s="313">
        <v>1</v>
      </c>
      <c r="BB136" s="313">
        <v>1</v>
      </c>
      <c r="BC136" s="313">
        <v>1</v>
      </c>
      <c r="BD136" s="313">
        <v>1</v>
      </c>
      <c r="BE136" s="313">
        <v>1</v>
      </c>
      <c r="BF136" s="313">
        <v>1</v>
      </c>
      <c r="BG136" s="313">
        <v>1</v>
      </c>
      <c r="BH136" s="313">
        <v>1</v>
      </c>
      <c r="BI136" s="313">
        <v>1</v>
      </c>
      <c r="BJ136" s="313">
        <v>1</v>
      </c>
      <c r="BK136" s="313">
        <v>1</v>
      </c>
    </row>
    <row r="137" spans="1:63" x14ac:dyDescent="0.25">
      <c r="A137" s="306">
        <v>326110</v>
      </c>
      <c r="B137" s="313" t="s">
        <v>123</v>
      </c>
      <c r="C137" s="313">
        <v>1</v>
      </c>
      <c r="D137" s="313">
        <v>0</v>
      </c>
      <c r="E137" s="313">
        <v>1</v>
      </c>
      <c r="F137" s="313">
        <v>1</v>
      </c>
      <c r="G137" s="313">
        <v>1</v>
      </c>
      <c r="H137" s="313">
        <v>1</v>
      </c>
      <c r="I137" s="313">
        <v>1</v>
      </c>
      <c r="J137" s="313">
        <v>1</v>
      </c>
      <c r="K137" s="313">
        <v>0</v>
      </c>
      <c r="L137" s="313">
        <v>1</v>
      </c>
      <c r="M137" s="313">
        <v>1</v>
      </c>
      <c r="N137" s="313">
        <v>1</v>
      </c>
      <c r="O137" s="313">
        <v>1</v>
      </c>
      <c r="P137" s="313">
        <v>1</v>
      </c>
      <c r="Q137" s="313">
        <v>1</v>
      </c>
      <c r="R137" s="313">
        <v>1</v>
      </c>
      <c r="S137" s="313">
        <v>1</v>
      </c>
      <c r="T137" s="313">
        <v>1</v>
      </c>
      <c r="U137" s="313">
        <v>1</v>
      </c>
      <c r="V137" s="313">
        <v>1</v>
      </c>
      <c r="W137" s="313">
        <v>1</v>
      </c>
      <c r="X137" s="313">
        <v>1</v>
      </c>
      <c r="Y137" s="313">
        <v>1</v>
      </c>
      <c r="Z137" s="313">
        <v>1</v>
      </c>
      <c r="AA137" s="313">
        <v>1</v>
      </c>
      <c r="AB137" s="313">
        <v>1</v>
      </c>
      <c r="AC137" s="313">
        <v>1</v>
      </c>
      <c r="AD137" s="313">
        <v>0</v>
      </c>
      <c r="AE137" s="313">
        <v>1</v>
      </c>
      <c r="AF137" s="313">
        <v>1</v>
      </c>
      <c r="AG137" s="313">
        <v>1</v>
      </c>
      <c r="AH137" s="313">
        <v>1</v>
      </c>
      <c r="AI137" s="313">
        <v>1</v>
      </c>
      <c r="AJ137" s="313">
        <v>1</v>
      </c>
      <c r="AK137" s="313">
        <v>1</v>
      </c>
      <c r="AL137" s="313">
        <v>1</v>
      </c>
      <c r="AM137" s="313">
        <v>1</v>
      </c>
      <c r="AN137" s="313">
        <v>1</v>
      </c>
      <c r="AO137" s="313">
        <v>1</v>
      </c>
      <c r="AP137" s="313">
        <v>1</v>
      </c>
      <c r="AQ137" s="313">
        <v>1</v>
      </c>
      <c r="AR137" s="313">
        <v>1</v>
      </c>
      <c r="AS137" s="313">
        <v>1</v>
      </c>
      <c r="AT137" s="313">
        <v>1</v>
      </c>
      <c r="AU137" s="313">
        <v>1</v>
      </c>
      <c r="AV137" s="313">
        <v>1</v>
      </c>
      <c r="AW137" s="313">
        <v>1</v>
      </c>
      <c r="AX137" s="313">
        <v>1</v>
      </c>
      <c r="AY137" s="313">
        <v>1</v>
      </c>
      <c r="AZ137" s="313">
        <v>1</v>
      </c>
      <c r="BA137" s="313">
        <v>1</v>
      </c>
      <c r="BB137" s="313">
        <v>0</v>
      </c>
      <c r="BC137" s="313">
        <v>1</v>
      </c>
      <c r="BD137" s="313">
        <v>1</v>
      </c>
      <c r="BE137" s="313">
        <v>1</v>
      </c>
      <c r="BF137" s="313">
        <v>1</v>
      </c>
      <c r="BG137" s="313">
        <v>1</v>
      </c>
      <c r="BH137" s="313">
        <v>1</v>
      </c>
      <c r="BI137" s="313">
        <v>1</v>
      </c>
      <c r="BJ137" s="313">
        <v>1</v>
      </c>
      <c r="BK137" s="313">
        <v>1</v>
      </c>
    </row>
    <row r="138" spans="1:63" x14ac:dyDescent="0.25">
      <c r="A138" s="306">
        <v>326121</v>
      </c>
      <c r="B138" s="313" t="s">
        <v>124</v>
      </c>
      <c r="C138" s="313">
        <v>1</v>
      </c>
      <c r="D138" s="313">
        <v>0</v>
      </c>
      <c r="E138" s="313">
        <v>1</v>
      </c>
      <c r="F138" s="313">
        <v>1</v>
      </c>
      <c r="G138" s="313">
        <v>1</v>
      </c>
      <c r="H138" s="313">
        <v>1</v>
      </c>
      <c r="I138" s="313">
        <v>1</v>
      </c>
      <c r="J138" s="313">
        <v>1</v>
      </c>
      <c r="K138" s="313">
        <v>0</v>
      </c>
      <c r="L138" s="313">
        <v>1</v>
      </c>
      <c r="M138" s="313">
        <v>1</v>
      </c>
      <c r="N138" s="313">
        <v>1</v>
      </c>
      <c r="O138" s="313">
        <v>1</v>
      </c>
      <c r="P138" s="313">
        <v>1</v>
      </c>
      <c r="Q138" s="313">
        <v>1</v>
      </c>
      <c r="R138" s="313">
        <v>1</v>
      </c>
      <c r="S138" s="313">
        <v>1</v>
      </c>
      <c r="T138" s="313">
        <v>1</v>
      </c>
      <c r="U138" s="313">
        <v>1</v>
      </c>
      <c r="V138" s="313">
        <v>1</v>
      </c>
      <c r="W138" s="313">
        <v>1</v>
      </c>
      <c r="X138" s="313">
        <v>1</v>
      </c>
      <c r="Y138" s="313">
        <v>0</v>
      </c>
      <c r="Z138" s="313">
        <v>1</v>
      </c>
      <c r="AA138" s="313">
        <v>1</v>
      </c>
      <c r="AB138" s="313">
        <v>1</v>
      </c>
      <c r="AC138" s="313">
        <v>1</v>
      </c>
      <c r="AD138" s="313">
        <v>1</v>
      </c>
      <c r="AE138" s="313">
        <v>1</v>
      </c>
      <c r="AF138" s="313">
        <v>1</v>
      </c>
      <c r="AG138" s="313">
        <v>0</v>
      </c>
      <c r="AH138" s="313">
        <v>1</v>
      </c>
      <c r="AI138" s="313">
        <v>1</v>
      </c>
      <c r="AJ138" s="313">
        <v>0</v>
      </c>
      <c r="AK138" s="313">
        <v>1</v>
      </c>
      <c r="AL138" s="313">
        <v>1</v>
      </c>
      <c r="AM138" s="313">
        <v>1</v>
      </c>
      <c r="AN138" s="313">
        <v>1</v>
      </c>
      <c r="AO138" s="313">
        <v>1</v>
      </c>
      <c r="AP138" s="313">
        <v>1</v>
      </c>
      <c r="AQ138" s="313">
        <v>1</v>
      </c>
      <c r="AR138" s="313">
        <v>1</v>
      </c>
      <c r="AS138" s="313">
        <v>0</v>
      </c>
      <c r="AT138" s="313">
        <v>1</v>
      </c>
      <c r="AU138" s="313">
        <v>1</v>
      </c>
      <c r="AV138" s="313">
        <v>1</v>
      </c>
      <c r="AW138" s="313">
        <v>1</v>
      </c>
      <c r="AX138" s="313">
        <v>0</v>
      </c>
      <c r="AY138" s="313">
        <v>1</v>
      </c>
      <c r="AZ138" s="313">
        <v>1</v>
      </c>
      <c r="BA138" s="313">
        <v>1</v>
      </c>
      <c r="BB138" s="313">
        <v>0</v>
      </c>
      <c r="BC138" s="313">
        <v>1</v>
      </c>
      <c r="BD138" s="313">
        <v>1</v>
      </c>
      <c r="BE138" s="313">
        <v>1</v>
      </c>
      <c r="BF138" s="313">
        <v>1</v>
      </c>
      <c r="BG138" s="313">
        <v>1</v>
      </c>
      <c r="BH138" s="313">
        <v>1</v>
      </c>
      <c r="BI138" s="313">
        <v>1</v>
      </c>
      <c r="BJ138" s="313">
        <v>1</v>
      </c>
      <c r="BK138" s="313">
        <v>1</v>
      </c>
    </row>
    <row r="139" spans="1:63" x14ac:dyDescent="0.25">
      <c r="A139" s="306">
        <v>326122</v>
      </c>
      <c r="B139" s="313" t="s">
        <v>125</v>
      </c>
      <c r="C139" s="313">
        <v>1</v>
      </c>
      <c r="D139" s="313">
        <v>0</v>
      </c>
      <c r="E139" s="313">
        <v>1</v>
      </c>
      <c r="F139" s="313">
        <v>1</v>
      </c>
      <c r="G139" s="313">
        <v>1</v>
      </c>
      <c r="H139" s="313">
        <v>1</v>
      </c>
      <c r="I139" s="313">
        <v>1</v>
      </c>
      <c r="J139" s="313">
        <v>1</v>
      </c>
      <c r="K139" s="313">
        <v>0</v>
      </c>
      <c r="L139" s="313">
        <v>0</v>
      </c>
      <c r="M139" s="313">
        <v>1</v>
      </c>
      <c r="N139" s="313">
        <v>1</v>
      </c>
      <c r="O139" s="313">
        <v>0</v>
      </c>
      <c r="P139" s="313">
        <v>1</v>
      </c>
      <c r="Q139" s="313">
        <v>1</v>
      </c>
      <c r="R139" s="313">
        <v>1</v>
      </c>
      <c r="S139" s="313">
        <v>1</v>
      </c>
      <c r="T139" s="313">
        <v>1</v>
      </c>
      <c r="U139" s="313">
        <v>1</v>
      </c>
      <c r="V139" s="313">
        <v>1</v>
      </c>
      <c r="W139" s="313">
        <v>1</v>
      </c>
      <c r="X139" s="313">
        <v>1</v>
      </c>
      <c r="Y139" s="313">
        <v>1</v>
      </c>
      <c r="Z139" s="313">
        <v>1</v>
      </c>
      <c r="AA139" s="313">
        <v>1</v>
      </c>
      <c r="AB139" s="313">
        <v>1</v>
      </c>
      <c r="AC139" s="313">
        <v>1</v>
      </c>
      <c r="AD139" s="313">
        <v>1</v>
      </c>
      <c r="AE139" s="313">
        <v>1</v>
      </c>
      <c r="AF139" s="313">
        <v>1</v>
      </c>
      <c r="AG139" s="313">
        <v>1</v>
      </c>
      <c r="AH139" s="313">
        <v>1</v>
      </c>
      <c r="AI139" s="313">
        <v>1</v>
      </c>
      <c r="AJ139" s="313">
        <v>1</v>
      </c>
      <c r="AK139" s="313">
        <v>1</v>
      </c>
      <c r="AL139" s="313">
        <v>1</v>
      </c>
      <c r="AM139" s="313">
        <v>1</v>
      </c>
      <c r="AN139" s="313">
        <v>1</v>
      </c>
      <c r="AO139" s="313">
        <v>1</v>
      </c>
      <c r="AP139" s="313">
        <v>1</v>
      </c>
      <c r="AQ139" s="313">
        <v>0</v>
      </c>
      <c r="AR139" s="313">
        <v>1</v>
      </c>
      <c r="AS139" s="313">
        <v>0</v>
      </c>
      <c r="AT139" s="313">
        <v>1</v>
      </c>
      <c r="AU139" s="313">
        <v>1</v>
      </c>
      <c r="AV139" s="313">
        <v>1</v>
      </c>
      <c r="AW139" s="313">
        <v>1</v>
      </c>
      <c r="AX139" s="313">
        <v>1</v>
      </c>
      <c r="AY139" s="313">
        <v>1</v>
      </c>
      <c r="AZ139" s="313">
        <v>1</v>
      </c>
      <c r="BA139" s="313">
        <v>1</v>
      </c>
      <c r="BB139" s="313">
        <v>1</v>
      </c>
      <c r="BC139" s="313">
        <v>1</v>
      </c>
      <c r="BD139" s="313">
        <v>1</v>
      </c>
      <c r="BE139" s="313">
        <v>1</v>
      </c>
      <c r="BF139" s="313">
        <v>1</v>
      </c>
      <c r="BG139" s="313">
        <v>1</v>
      </c>
      <c r="BH139" s="313">
        <v>1</v>
      </c>
      <c r="BI139" s="313">
        <v>1</v>
      </c>
      <c r="BJ139" s="313">
        <v>1</v>
      </c>
      <c r="BK139" s="313">
        <v>1</v>
      </c>
    </row>
    <row r="140" spans="1:63" x14ac:dyDescent="0.25">
      <c r="A140" s="306">
        <v>326130</v>
      </c>
      <c r="B140" s="313" t="s">
        <v>126</v>
      </c>
      <c r="C140" s="313">
        <v>1</v>
      </c>
      <c r="D140" s="313">
        <v>0</v>
      </c>
      <c r="E140" s="313">
        <v>1</v>
      </c>
      <c r="F140" s="313">
        <v>1</v>
      </c>
      <c r="G140" s="313">
        <v>1</v>
      </c>
      <c r="H140" s="313">
        <v>1</v>
      </c>
      <c r="I140" s="313">
        <v>1</v>
      </c>
      <c r="J140" s="313">
        <v>1</v>
      </c>
      <c r="K140" s="313">
        <v>0</v>
      </c>
      <c r="L140" s="313">
        <v>1</v>
      </c>
      <c r="M140" s="313">
        <v>1</v>
      </c>
      <c r="N140" s="313">
        <v>1</v>
      </c>
      <c r="O140" s="313">
        <v>0</v>
      </c>
      <c r="P140" s="313">
        <v>1</v>
      </c>
      <c r="Q140" s="313">
        <v>1</v>
      </c>
      <c r="R140" s="313">
        <v>1</v>
      </c>
      <c r="S140" s="313">
        <v>1</v>
      </c>
      <c r="T140" s="313">
        <v>1</v>
      </c>
      <c r="U140" s="313">
        <v>1</v>
      </c>
      <c r="V140" s="313">
        <v>1</v>
      </c>
      <c r="W140" s="313">
        <v>1</v>
      </c>
      <c r="X140" s="313">
        <v>1</v>
      </c>
      <c r="Y140" s="313">
        <v>1</v>
      </c>
      <c r="Z140" s="313">
        <v>1</v>
      </c>
      <c r="AA140" s="313">
        <v>1</v>
      </c>
      <c r="AB140" s="313">
        <v>1</v>
      </c>
      <c r="AC140" s="313">
        <v>1</v>
      </c>
      <c r="AD140" s="313">
        <v>0</v>
      </c>
      <c r="AE140" s="313">
        <v>1</v>
      </c>
      <c r="AF140" s="313">
        <v>0</v>
      </c>
      <c r="AG140" s="313">
        <v>1</v>
      </c>
      <c r="AH140" s="313">
        <v>1</v>
      </c>
      <c r="AI140" s="313">
        <v>1</v>
      </c>
      <c r="AJ140" s="313">
        <v>0</v>
      </c>
      <c r="AK140" s="313">
        <v>0</v>
      </c>
      <c r="AL140" s="313">
        <v>1</v>
      </c>
      <c r="AM140" s="313">
        <v>1</v>
      </c>
      <c r="AN140" s="313">
        <v>1</v>
      </c>
      <c r="AO140" s="313">
        <v>1</v>
      </c>
      <c r="AP140" s="313">
        <v>1</v>
      </c>
      <c r="AQ140" s="313">
        <v>1</v>
      </c>
      <c r="AR140" s="313">
        <v>1</v>
      </c>
      <c r="AS140" s="313">
        <v>1</v>
      </c>
      <c r="AT140" s="313">
        <v>1</v>
      </c>
      <c r="AU140" s="313">
        <v>1</v>
      </c>
      <c r="AV140" s="313">
        <v>1</v>
      </c>
      <c r="AW140" s="313">
        <v>1</v>
      </c>
      <c r="AX140" s="313">
        <v>1</v>
      </c>
      <c r="AY140" s="313">
        <v>1</v>
      </c>
      <c r="AZ140" s="313">
        <v>1</v>
      </c>
      <c r="BA140" s="313">
        <v>0</v>
      </c>
      <c r="BB140" s="313">
        <v>1</v>
      </c>
      <c r="BC140" s="313">
        <v>1</v>
      </c>
      <c r="BD140" s="313">
        <v>1</v>
      </c>
      <c r="BE140" s="313">
        <v>1</v>
      </c>
      <c r="BF140" s="313">
        <v>1</v>
      </c>
      <c r="BG140" s="313">
        <v>1</v>
      </c>
      <c r="BH140" s="313">
        <v>1</v>
      </c>
      <c r="BI140" s="313">
        <v>1</v>
      </c>
      <c r="BJ140" s="313">
        <v>1</v>
      </c>
      <c r="BK140" s="313">
        <v>1</v>
      </c>
    </row>
    <row r="141" spans="1:63" x14ac:dyDescent="0.25">
      <c r="A141" s="306">
        <v>326140</v>
      </c>
      <c r="B141" s="313" t="s">
        <v>127</v>
      </c>
      <c r="C141" s="313">
        <v>1</v>
      </c>
      <c r="D141" s="313">
        <v>1</v>
      </c>
      <c r="E141" s="313">
        <v>1</v>
      </c>
      <c r="F141" s="313">
        <v>1</v>
      </c>
      <c r="G141" s="313">
        <v>1</v>
      </c>
      <c r="H141" s="313">
        <v>1</v>
      </c>
      <c r="I141" s="313">
        <v>1</v>
      </c>
      <c r="J141" s="313">
        <v>1</v>
      </c>
      <c r="K141" s="313">
        <v>0</v>
      </c>
      <c r="L141" s="313">
        <v>1</v>
      </c>
      <c r="M141" s="313">
        <v>1</v>
      </c>
      <c r="N141" s="313">
        <v>1</v>
      </c>
      <c r="O141" s="313">
        <v>1</v>
      </c>
      <c r="P141" s="313">
        <v>1</v>
      </c>
      <c r="Q141" s="313">
        <v>1</v>
      </c>
      <c r="R141" s="313">
        <v>1</v>
      </c>
      <c r="S141" s="313">
        <v>1</v>
      </c>
      <c r="T141" s="313">
        <v>1</v>
      </c>
      <c r="U141" s="313">
        <v>1</v>
      </c>
      <c r="V141" s="313">
        <v>1</v>
      </c>
      <c r="W141" s="313">
        <v>1</v>
      </c>
      <c r="X141" s="313">
        <v>1</v>
      </c>
      <c r="Y141" s="313">
        <v>1</v>
      </c>
      <c r="Z141" s="313">
        <v>1</v>
      </c>
      <c r="AA141" s="313">
        <v>1</v>
      </c>
      <c r="AB141" s="313">
        <v>1</v>
      </c>
      <c r="AC141" s="313">
        <v>1</v>
      </c>
      <c r="AD141" s="313">
        <v>1</v>
      </c>
      <c r="AE141" s="313">
        <v>1</v>
      </c>
      <c r="AF141" s="313">
        <v>0</v>
      </c>
      <c r="AG141" s="313">
        <v>1</v>
      </c>
      <c r="AH141" s="313">
        <v>1</v>
      </c>
      <c r="AI141" s="313">
        <v>1</v>
      </c>
      <c r="AJ141" s="313">
        <v>1</v>
      </c>
      <c r="AK141" s="313">
        <v>1</v>
      </c>
      <c r="AL141" s="313">
        <v>1</v>
      </c>
      <c r="AM141" s="313">
        <v>1</v>
      </c>
      <c r="AN141" s="313">
        <v>1</v>
      </c>
      <c r="AO141" s="313">
        <v>1</v>
      </c>
      <c r="AP141" s="313">
        <v>1</v>
      </c>
      <c r="AQ141" s="313">
        <v>1</v>
      </c>
      <c r="AR141" s="313">
        <v>1</v>
      </c>
      <c r="AS141" s="313">
        <v>1</v>
      </c>
      <c r="AT141" s="313">
        <v>1</v>
      </c>
      <c r="AU141" s="313">
        <v>1</v>
      </c>
      <c r="AV141" s="313">
        <v>1</v>
      </c>
      <c r="AW141" s="313">
        <v>1</v>
      </c>
      <c r="AX141" s="313">
        <v>0</v>
      </c>
      <c r="AY141" s="313">
        <v>1</v>
      </c>
      <c r="AZ141" s="313">
        <v>1</v>
      </c>
      <c r="BA141" s="313">
        <v>1</v>
      </c>
      <c r="BB141" s="313">
        <v>0</v>
      </c>
      <c r="BC141" s="313">
        <v>1</v>
      </c>
      <c r="BD141" s="313">
        <v>1</v>
      </c>
      <c r="BE141" s="313">
        <v>1</v>
      </c>
      <c r="BF141" s="313">
        <v>1</v>
      </c>
      <c r="BG141" s="313">
        <v>1</v>
      </c>
      <c r="BH141" s="313">
        <v>1</v>
      </c>
      <c r="BI141" s="313">
        <v>1</v>
      </c>
      <c r="BJ141" s="313">
        <v>1</v>
      </c>
      <c r="BK141" s="313">
        <v>1</v>
      </c>
    </row>
    <row r="142" spans="1:63" x14ac:dyDescent="0.25">
      <c r="A142" s="306">
        <v>326150</v>
      </c>
      <c r="B142" s="313" t="s">
        <v>128</v>
      </c>
      <c r="C142" s="313">
        <v>1</v>
      </c>
      <c r="D142" s="313">
        <v>1</v>
      </c>
      <c r="E142" s="313">
        <v>1</v>
      </c>
      <c r="F142" s="313">
        <v>1</v>
      </c>
      <c r="G142" s="313">
        <v>1</v>
      </c>
      <c r="H142" s="313">
        <v>1</v>
      </c>
      <c r="I142" s="313">
        <v>1</v>
      </c>
      <c r="J142" s="313">
        <v>1</v>
      </c>
      <c r="K142" s="313">
        <v>0</v>
      </c>
      <c r="L142" s="313">
        <v>1</v>
      </c>
      <c r="M142" s="313">
        <v>1</v>
      </c>
      <c r="N142" s="313">
        <v>1</v>
      </c>
      <c r="O142" s="313">
        <v>0</v>
      </c>
      <c r="P142" s="313">
        <v>1</v>
      </c>
      <c r="Q142" s="313">
        <v>0</v>
      </c>
      <c r="R142" s="313">
        <v>1</v>
      </c>
      <c r="S142" s="313">
        <v>1</v>
      </c>
      <c r="T142" s="313">
        <v>1</v>
      </c>
      <c r="U142" s="313">
        <v>1</v>
      </c>
      <c r="V142" s="313">
        <v>1</v>
      </c>
      <c r="W142" s="313">
        <v>1</v>
      </c>
      <c r="X142" s="313">
        <v>1</v>
      </c>
      <c r="Y142" s="313">
        <v>1</v>
      </c>
      <c r="Z142" s="313">
        <v>1</v>
      </c>
      <c r="AA142" s="313">
        <v>1</v>
      </c>
      <c r="AB142" s="313">
        <v>1</v>
      </c>
      <c r="AC142" s="313">
        <v>1</v>
      </c>
      <c r="AD142" s="313">
        <v>0</v>
      </c>
      <c r="AE142" s="313">
        <v>1</v>
      </c>
      <c r="AF142" s="313">
        <v>0</v>
      </c>
      <c r="AG142" s="313">
        <v>1</v>
      </c>
      <c r="AH142" s="313">
        <v>1</v>
      </c>
      <c r="AI142" s="313">
        <v>1</v>
      </c>
      <c r="AJ142" s="313">
        <v>1</v>
      </c>
      <c r="AK142" s="313">
        <v>1</v>
      </c>
      <c r="AL142" s="313">
        <v>1</v>
      </c>
      <c r="AM142" s="313">
        <v>1</v>
      </c>
      <c r="AN142" s="313">
        <v>1</v>
      </c>
      <c r="AO142" s="313">
        <v>1</v>
      </c>
      <c r="AP142" s="313">
        <v>1</v>
      </c>
      <c r="AQ142" s="313">
        <v>1</v>
      </c>
      <c r="AR142" s="313">
        <v>1</v>
      </c>
      <c r="AS142" s="313">
        <v>0</v>
      </c>
      <c r="AT142" s="313">
        <v>1</v>
      </c>
      <c r="AU142" s="313">
        <v>1</v>
      </c>
      <c r="AV142" s="313">
        <v>1</v>
      </c>
      <c r="AW142" s="313">
        <v>1</v>
      </c>
      <c r="AX142" s="313">
        <v>0</v>
      </c>
      <c r="AY142" s="313">
        <v>1</v>
      </c>
      <c r="AZ142" s="313">
        <v>1</v>
      </c>
      <c r="BA142" s="313">
        <v>1</v>
      </c>
      <c r="BB142" s="313">
        <v>0</v>
      </c>
      <c r="BC142" s="313">
        <v>1</v>
      </c>
      <c r="BD142" s="313">
        <v>1</v>
      </c>
      <c r="BE142" s="313">
        <v>1</v>
      </c>
      <c r="BF142" s="313">
        <v>1</v>
      </c>
      <c r="BG142" s="313">
        <v>1</v>
      </c>
      <c r="BH142" s="313">
        <v>1</v>
      </c>
      <c r="BI142" s="313">
        <v>1</v>
      </c>
      <c r="BJ142" s="313">
        <v>1</v>
      </c>
      <c r="BK142" s="313">
        <v>1</v>
      </c>
    </row>
    <row r="143" spans="1:63" x14ac:dyDescent="0.25">
      <c r="A143" s="306">
        <v>326160</v>
      </c>
      <c r="B143" s="313" t="s">
        <v>129</v>
      </c>
      <c r="C143" s="313">
        <v>1</v>
      </c>
      <c r="D143" s="313">
        <v>0</v>
      </c>
      <c r="E143" s="313">
        <v>1</v>
      </c>
      <c r="F143" s="313">
        <v>1</v>
      </c>
      <c r="G143" s="313">
        <v>1</v>
      </c>
      <c r="H143" s="313">
        <v>1</v>
      </c>
      <c r="I143" s="313">
        <v>1</v>
      </c>
      <c r="J143" s="313">
        <v>1</v>
      </c>
      <c r="K143" s="313">
        <v>0</v>
      </c>
      <c r="L143" s="313">
        <v>1</v>
      </c>
      <c r="M143" s="313">
        <v>1</v>
      </c>
      <c r="N143" s="313">
        <v>1</v>
      </c>
      <c r="O143" s="313">
        <v>1</v>
      </c>
      <c r="P143" s="313">
        <v>1</v>
      </c>
      <c r="Q143" s="313">
        <v>0</v>
      </c>
      <c r="R143" s="313">
        <v>1</v>
      </c>
      <c r="S143" s="313">
        <v>1</v>
      </c>
      <c r="T143" s="313">
        <v>1</v>
      </c>
      <c r="U143" s="313">
        <v>1</v>
      </c>
      <c r="V143" s="313">
        <v>1</v>
      </c>
      <c r="W143" s="313">
        <v>1</v>
      </c>
      <c r="X143" s="313">
        <v>1</v>
      </c>
      <c r="Y143" s="313">
        <v>1</v>
      </c>
      <c r="Z143" s="313">
        <v>1</v>
      </c>
      <c r="AA143" s="313">
        <v>1</v>
      </c>
      <c r="AB143" s="313">
        <v>1</v>
      </c>
      <c r="AC143" s="313">
        <v>1</v>
      </c>
      <c r="AD143" s="313">
        <v>1</v>
      </c>
      <c r="AE143" s="313">
        <v>1</v>
      </c>
      <c r="AF143" s="313">
        <v>1</v>
      </c>
      <c r="AG143" s="313">
        <v>0</v>
      </c>
      <c r="AH143" s="313">
        <v>1</v>
      </c>
      <c r="AI143" s="313">
        <v>1</v>
      </c>
      <c r="AJ143" s="313">
        <v>0</v>
      </c>
      <c r="AK143" s="313">
        <v>1</v>
      </c>
      <c r="AL143" s="313">
        <v>1</v>
      </c>
      <c r="AM143" s="313">
        <v>1</v>
      </c>
      <c r="AN143" s="313">
        <v>1</v>
      </c>
      <c r="AO143" s="313">
        <v>1</v>
      </c>
      <c r="AP143" s="313">
        <v>1</v>
      </c>
      <c r="AQ143" s="313">
        <v>1</v>
      </c>
      <c r="AR143" s="313">
        <v>1</v>
      </c>
      <c r="AS143" s="313">
        <v>1</v>
      </c>
      <c r="AT143" s="313">
        <v>1</v>
      </c>
      <c r="AU143" s="313">
        <v>1</v>
      </c>
      <c r="AV143" s="313">
        <v>1</v>
      </c>
      <c r="AW143" s="313">
        <v>1</v>
      </c>
      <c r="AX143" s="313">
        <v>1</v>
      </c>
      <c r="AY143" s="313">
        <v>1</v>
      </c>
      <c r="AZ143" s="313">
        <v>1</v>
      </c>
      <c r="BA143" s="313">
        <v>1</v>
      </c>
      <c r="BB143" s="313">
        <v>1</v>
      </c>
      <c r="BC143" s="313">
        <v>1</v>
      </c>
      <c r="BD143" s="313">
        <v>1</v>
      </c>
      <c r="BE143" s="313">
        <v>1</v>
      </c>
      <c r="BF143" s="313">
        <v>1</v>
      </c>
      <c r="BG143" s="313">
        <v>1</v>
      </c>
      <c r="BH143" s="313">
        <v>1</v>
      </c>
      <c r="BI143" s="313">
        <v>1</v>
      </c>
      <c r="BJ143" s="313">
        <v>1</v>
      </c>
      <c r="BK143" s="313">
        <v>1</v>
      </c>
    </row>
    <row r="144" spans="1:63" x14ac:dyDescent="0.25">
      <c r="A144" s="306" t="s">
        <v>716</v>
      </c>
      <c r="B144" s="313" t="s">
        <v>130</v>
      </c>
      <c r="C144" s="313">
        <v>1</v>
      </c>
      <c r="D144" s="313">
        <v>1</v>
      </c>
      <c r="E144" s="313">
        <v>1</v>
      </c>
      <c r="F144" s="313">
        <v>1</v>
      </c>
      <c r="G144" s="313">
        <v>1</v>
      </c>
      <c r="H144" s="313">
        <v>1</v>
      </c>
      <c r="I144" s="313">
        <v>1</v>
      </c>
      <c r="J144" s="313">
        <v>1</v>
      </c>
      <c r="K144" s="313">
        <v>0</v>
      </c>
      <c r="L144" s="313">
        <v>1</v>
      </c>
      <c r="M144" s="313">
        <v>1</v>
      </c>
      <c r="N144" s="313">
        <v>1</v>
      </c>
      <c r="O144" s="313">
        <v>1</v>
      </c>
      <c r="P144" s="313">
        <v>1</v>
      </c>
      <c r="Q144" s="313">
        <v>1</v>
      </c>
      <c r="R144" s="313">
        <v>1</v>
      </c>
      <c r="S144" s="313">
        <v>1</v>
      </c>
      <c r="T144" s="313">
        <v>1</v>
      </c>
      <c r="U144" s="313">
        <v>1</v>
      </c>
      <c r="V144" s="313">
        <v>1</v>
      </c>
      <c r="W144" s="313">
        <v>1</v>
      </c>
      <c r="X144" s="313">
        <v>1</v>
      </c>
      <c r="Y144" s="313">
        <v>1</v>
      </c>
      <c r="Z144" s="313">
        <v>1</v>
      </c>
      <c r="AA144" s="313">
        <v>1</v>
      </c>
      <c r="AB144" s="313">
        <v>1</v>
      </c>
      <c r="AC144" s="313">
        <v>1</v>
      </c>
      <c r="AD144" s="313">
        <v>1</v>
      </c>
      <c r="AE144" s="313">
        <v>1</v>
      </c>
      <c r="AF144" s="313">
        <v>1</v>
      </c>
      <c r="AG144" s="313">
        <v>1</v>
      </c>
      <c r="AH144" s="313">
        <v>1</v>
      </c>
      <c r="AI144" s="313">
        <v>1</v>
      </c>
      <c r="AJ144" s="313">
        <v>1</v>
      </c>
      <c r="AK144" s="313">
        <v>1</v>
      </c>
      <c r="AL144" s="313">
        <v>1</v>
      </c>
      <c r="AM144" s="313">
        <v>1</v>
      </c>
      <c r="AN144" s="313">
        <v>1</v>
      </c>
      <c r="AO144" s="313">
        <v>1</v>
      </c>
      <c r="AP144" s="313">
        <v>1</v>
      </c>
      <c r="AQ144" s="313">
        <v>1</v>
      </c>
      <c r="AR144" s="313">
        <v>1</v>
      </c>
      <c r="AS144" s="313">
        <v>1</v>
      </c>
      <c r="AT144" s="313">
        <v>1</v>
      </c>
      <c r="AU144" s="313">
        <v>1</v>
      </c>
      <c r="AV144" s="313">
        <v>1</v>
      </c>
      <c r="AW144" s="313">
        <v>1</v>
      </c>
      <c r="AX144" s="313">
        <v>1</v>
      </c>
      <c r="AY144" s="313">
        <v>1</v>
      </c>
      <c r="AZ144" s="313">
        <v>1</v>
      </c>
      <c r="BA144" s="313">
        <v>1</v>
      </c>
      <c r="BB144" s="313">
        <v>1</v>
      </c>
      <c r="BC144" s="313">
        <v>1</v>
      </c>
      <c r="BD144" s="313">
        <v>1</v>
      </c>
      <c r="BE144" s="313">
        <v>1</v>
      </c>
      <c r="BF144" s="313">
        <v>1</v>
      </c>
      <c r="BG144" s="313">
        <v>1</v>
      </c>
      <c r="BH144" s="313">
        <v>1</v>
      </c>
      <c r="BI144" s="313">
        <v>1</v>
      </c>
      <c r="BJ144" s="313">
        <v>1</v>
      </c>
      <c r="BK144" s="313">
        <v>1</v>
      </c>
    </row>
    <row r="145" spans="1:63" x14ac:dyDescent="0.25">
      <c r="A145" s="306">
        <v>326210</v>
      </c>
      <c r="B145" s="313" t="s">
        <v>131</v>
      </c>
      <c r="C145" s="313">
        <v>1</v>
      </c>
      <c r="D145" s="313">
        <v>0</v>
      </c>
      <c r="E145" s="313">
        <v>1</v>
      </c>
      <c r="F145" s="313">
        <v>1</v>
      </c>
      <c r="G145" s="313">
        <v>1</v>
      </c>
      <c r="H145" s="313">
        <v>1</v>
      </c>
      <c r="I145" s="313">
        <v>1</v>
      </c>
      <c r="J145" s="313">
        <v>1</v>
      </c>
      <c r="K145" s="313">
        <v>0</v>
      </c>
      <c r="L145" s="313">
        <v>1</v>
      </c>
      <c r="M145" s="313">
        <v>1</v>
      </c>
      <c r="N145" s="313">
        <v>1</v>
      </c>
      <c r="O145" s="313">
        <v>1</v>
      </c>
      <c r="P145" s="313">
        <v>1</v>
      </c>
      <c r="Q145" s="313">
        <v>1</v>
      </c>
      <c r="R145" s="313">
        <v>1</v>
      </c>
      <c r="S145" s="313">
        <v>1</v>
      </c>
      <c r="T145" s="313">
        <v>1</v>
      </c>
      <c r="U145" s="313">
        <v>1</v>
      </c>
      <c r="V145" s="313">
        <v>1</v>
      </c>
      <c r="W145" s="313">
        <v>1</v>
      </c>
      <c r="X145" s="313">
        <v>1</v>
      </c>
      <c r="Y145" s="313">
        <v>1</v>
      </c>
      <c r="Z145" s="313">
        <v>1</v>
      </c>
      <c r="AA145" s="313">
        <v>1</v>
      </c>
      <c r="AB145" s="313">
        <v>1</v>
      </c>
      <c r="AC145" s="313">
        <v>1</v>
      </c>
      <c r="AD145" s="313">
        <v>1</v>
      </c>
      <c r="AE145" s="313">
        <v>1</v>
      </c>
      <c r="AF145" s="313">
        <v>1</v>
      </c>
      <c r="AG145" s="313">
        <v>1</v>
      </c>
      <c r="AH145" s="313">
        <v>1</v>
      </c>
      <c r="AI145" s="313">
        <v>1</v>
      </c>
      <c r="AJ145" s="313">
        <v>1</v>
      </c>
      <c r="AK145" s="313">
        <v>1</v>
      </c>
      <c r="AL145" s="313">
        <v>1</v>
      </c>
      <c r="AM145" s="313">
        <v>1</v>
      </c>
      <c r="AN145" s="313">
        <v>1</v>
      </c>
      <c r="AO145" s="313">
        <v>1</v>
      </c>
      <c r="AP145" s="313">
        <v>1</v>
      </c>
      <c r="AQ145" s="313">
        <v>0</v>
      </c>
      <c r="AR145" s="313">
        <v>1</v>
      </c>
      <c r="AS145" s="313">
        <v>1</v>
      </c>
      <c r="AT145" s="313">
        <v>1</v>
      </c>
      <c r="AU145" s="313">
        <v>1</v>
      </c>
      <c r="AV145" s="313">
        <v>1</v>
      </c>
      <c r="AW145" s="313">
        <v>1</v>
      </c>
      <c r="AX145" s="313">
        <v>0</v>
      </c>
      <c r="AY145" s="313">
        <v>1</v>
      </c>
      <c r="AZ145" s="313">
        <v>1</v>
      </c>
      <c r="BA145" s="313">
        <v>1</v>
      </c>
      <c r="BB145" s="313">
        <v>0</v>
      </c>
      <c r="BC145" s="313">
        <v>1</v>
      </c>
      <c r="BD145" s="313">
        <v>1</v>
      </c>
      <c r="BE145" s="313">
        <v>1</v>
      </c>
      <c r="BF145" s="313">
        <v>1</v>
      </c>
      <c r="BG145" s="313">
        <v>1</v>
      </c>
      <c r="BH145" s="313">
        <v>1</v>
      </c>
      <c r="BI145" s="313">
        <v>1</v>
      </c>
      <c r="BJ145" s="313">
        <v>1</v>
      </c>
      <c r="BK145" s="313">
        <v>1</v>
      </c>
    </row>
    <row r="146" spans="1:63" x14ac:dyDescent="0.25">
      <c r="A146" s="306">
        <v>326220</v>
      </c>
      <c r="B146" s="313" t="s">
        <v>132</v>
      </c>
      <c r="C146" s="313">
        <v>1</v>
      </c>
      <c r="D146" s="313">
        <v>0</v>
      </c>
      <c r="E146" s="313">
        <v>1</v>
      </c>
      <c r="F146" s="313">
        <v>1</v>
      </c>
      <c r="G146" s="313">
        <v>1</v>
      </c>
      <c r="H146" s="313">
        <v>1</v>
      </c>
      <c r="I146" s="313">
        <v>1</v>
      </c>
      <c r="J146" s="313">
        <v>1</v>
      </c>
      <c r="K146" s="313">
        <v>0</v>
      </c>
      <c r="L146" s="313">
        <v>1</v>
      </c>
      <c r="M146" s="313">
        <v>1</v>
      </c>
      <c r="N146" s="313">
        <v>1</v>
      </c>
      <c r="O146" s="313">
        <v>0</v>
      </c>
      <c r="P146" s="313">
        <v>1</v>
      </c>
      <c r="Q146" s="313">
        <v>1</v>
      </c>
      <c r="R146" s="313">
        <v>1</v>
      </c>
      <c r="S146" s="313">
        <v>1</v>
      </c>
      <c r="T146" s="313">
        <v>1</v>
      </c>
      <c r="U146" s="313">
        <v>1</v>
      </c>
      <c r="V146" s="313">
        <v>1</v>
      </c>
      <c r="W146" s="313">
        <v>1</v>
      </c>
      <c r="X146" s="313">
        <v>1</v>
      </c>
      <c r="Y146" s="313">
        <v>0</v>
      </c>
      <c r="Z146" s="313">
        <v>1</v>
      </c>
      <c r="AA146" s="313">
        <v>1</v>
      </c>
      <c r="AB146" s="313">
        <v>1</v>
      </c>
      <c r="AC146" s="313">
        <v>1</v>
      </c>
      <c r="AD146" s="313">
        <v>0</v>
      </c>
      <c r="AE146" s="313">
        <v>1</v>
      </c>
      <c r="AF146" s="313">
        <v>1</v>
      </c>
      <c r="AG146" s="313">
        <v>1</v>
      </c>
      <c r="AH146" s="313">
        <v>1</v>
      </c>
      <c r="AI146" s="313">
        <v>1</v>
      </c>
      <c r="AJ146" s="313">
        <v>0</v>
      </c>
      <c r="AK146" s="313">
        <v>1</v>
      </c>
      <c r="AL146" s="313">
        <v>1</v>
      </c>
      <c r="AM146" s="313">
        <v>1</v>
      </c>
      <c r="AN146" s="313">
        <v>1</v>
      </c>
      <c r="AO146" s="313">
        <v>1</v>
      </c>
      <c r="AP146" s="313">
        <v>1</v>
      </c>
      <c r="AQ146" s="313">
        <v>1</v>
      </c>
      <c r="AR146" s="313">
        <v>1</v>
      </c>
      <c r="AS146" s="313">
        <v>0</v>
      </c>
      <c r="AT146" s="313">
        <v>1</v>
      </c>
      <c r="AU146" s="313">
        <v>1</v>
      </c>
      <c r="AV146" s="313">
        <v>1</v>
      </c>
      <c r="AW146" s="313">
        <v>1</v>
      </c>
      <c r="AX146" s="313">
        <v>0</v>
      </c>
      <c r="AY146" s="313">
        <v>1</v>
      </c>
      <c r="AZ146" s="313">
        <v>1</v>
      </c>
      <c r="BA146" s="313">
        <v>1</v>
      </c>
      <c r="BB146" s="313">
        <v>0</v>
      </c>
      <c r="BC146" s="313">
        <v>1</v>
      </c>
      <c r="BD146" s="313">
        <v>1</v>
      </c>
      <c r="BE146" s="313">
        <v>1</v>
      </c>
      <c r="BF146" s="313">
        <v>1</v>
      </c>
      <c r="BG146" s="313">
        <v>1</v>
      </c>
      <c r="BH146" s="313">
        <v>1</v>
      </c>
      <c r="BI146" s="313">
        <v>1</v>
      </c>
      <c r="BJ146" s="313">
        <v>1</v>
      </c>
      <c r="BK146" s="313">
        <v>1</v>
      </c>
    </row>
    <row r="147" spans="1:63" x14ac:dyDescent="0.25">
      <c r="A147" s="306">
        <v>326290</v>
      </c>
      <c r="B147" s="313" t="s">
        <v>133</v>
      </c>
      <c r="C147" s="313">
        <v>1</v>
      </c>
      <c r="D147" s="313">
        <v>0</v>
      </c>
      <c r="E147" s="313">
        <v>1</v>
      </c>
      <c r="F147" s="313">
        <v>1</v>
      </c>
      <c r="G147" s="313">
        <v>1</v>
      </c>
      <c r="H147" s="313">
        <v>1</v>
      </c>
      <c r="I147" s="313">
        <v>1</v>
      </c>
      <c r="J147" s="313">
        <v>1</v>
      </c>
      <c r="K147" s="313">
        <v>0</v>
      </c>
      <c r="L147" s="313">
        <v>1</v>
      </c>
      <c r="M147" s="313">
        <v>1</v>
      </c>
      <c r="N147" s="313">
        <v>1</v>
      </c>
      <c r="O147" s="313">
        <v>0</v>
      </c>
      <c r="P147" s="313">
        <v>1</v>
      </c>
      <c r="Q147" s="313">
        <v>1</v>
      </c>
      <c r="R147" s="313">
        <v>1</v>
      </c>
      <c r="S147" s="313">
        <v>1</v>
      </c>
      <c r="T147" s="313">
        <v>1</v>
      </c>
      <c r="U147" s="313">
        <v>1</v>
      </c>
      <c r="V147" s="313">
        <v>1</v>
      </c>
      <c r="W147" s="313">
        <v>1</v>
      </c>
      <c r="X147" s="313">
        <v>1</v>
      </c>
      <c r="Y147" s="313">
        <v>1</v>
      </c>
      <c r="Z147" s="313">
        <v>1</v>
      </c>
      <c r="AA147" s="313">
        <v>1</v>
      </c>
      <c r="AB147" s="313">
        <v>1</v>
      </c>
      <c r="AC147" s="313">
        <v>1</v>
      </c>
      <c r="AD147" s="313">
        <v>1</v>
      </c>
      <c r="AE147" s="313">
        <v>1</v>
      </c>
      <c r="AF147" s="313">
        <v>0</v>
      </c>
      <c r="AG147" s="313">
        <v>1</v>
      </c>
      <c r="AH147" s="313">
        <v>1</v>
      </c>
      <c r="AI147" s="313">
        <v>1</v>
      </c>
      <c r="AJ147" s="313">
        <v>1</v>
      </c>
      <c r="AK147" s="313">
        <v>1</v>
      </c>
      <c r="AL147" s="313">
        <v>1</v>
      </c>
      <c r="AM147" s="313">
        <v>1</v>
      </c>
      <c r="AN147" s="313">
        <v>1</v>
      </c>
      <c r="AO147" s="313">
        <v>1</v>
      </c>
      <c r="AP147" s="313">
        <v>1</v>
      </c>
      <c r="AQ147" s="313">
        <v>1</v>
      </c>
      <c r="AR147" s="313">
        <v>1</v>
      </c>
      <c r="AS147" s="313">
        <v>1</v>
      </c>
      <c r="AT147" s="313">
        <v>1</v>
      </c>
      <c r="AU147" s="313">
        <v>1</v>
      </c>
      <c r="AV147" s="313">
        <v>1</v>
      </c>
      <c r="AW147" s="313">
        <v>1</v>
      </c>
      <c r="AX147" s="313">
        <v>1</v>
      </c>
      <c r="AY147" s="313">
        <v>1</v>
      </c>
      <c r="AZ147" s="313">
        <v>1</v>
      </c>
      <c r="BA147" s="313">
        <v>1</v>
      </c>
      <c r="BB147" s="313">
        <v>1</v>
      </c>
      <c r="BC147" s="313">
        <v>1</v>
      </c>
      <c r="BD147" s="313">
        <v>1</v>
      </c>
      <c r="BE147" s="313">
        <v>1</v>
      </c>
      <c r="BF147" s="313">
        <v>1</v>
      </c>
      <c r="BG147" s="313">
        <v>1</v>
      </c>
      <c r="BH147" s="313">
        <v>1</v>
      </c>
      <c r="BI147" s="313">
        <v>1</v>
      </c>
      <c r="BJ147" s="313">
        <v>1</v>
      </c>
      <c r="BK147" s="313">
        <v>1</v>
      </c>
    </row>
    <row r="148" spans="1:63" x14ac:dyDescent="0.25">
      <c r="A148" s="306" t="s">
        <v>717</v>
      </c>
      <c r="B148" s="313" t="s">
        <v>134</v>
      </c>
      <c r="C148" s="313">
        <v>1</v>
      </c>
      <c r="D148" s="313">
        <v>0</v>
      </c>
      <c r="E148" s="313">
        <v>1</v>
      </c>
      <c r="F148" s="313">
        <v>1</v>
      </c>
      <c r="G148" s="313">
        <v>1</v>
      </c>
      <c r="H148" s="313">
        <v>1</v>
      </c>
      <c r="I148" s="313">
        <v>1</v>
      </c>
      <c r="J148" s="313">
        <v>1</v>
      </c>
      <c r="K148" s="313">
        <v>1</v>
      </c>
      <c r="L148" s="313">
        <v>1</v>
      </c>
      <c r="M148" s="313">
        <v>1</v>
      </c>
      <c r="N148" s="313">
        <v>1</v>
      </c>
      <c r="O148" s="313">
        <v>1</v>
      </c>
      <c r="P148" s="313">
        <v>1</v>
      </c>
      <c r="Q148" s="313">
        <v>1</v>
      </c>
      <c r="R148" s="313">
        <v>1</v>
      </c>
      <c r="S148" s="313">
        <v>1</v>
      </c>
      <c r="T148" s="313">
        <v>1</v>
      </c>
      <c r="U148" s="313">
        <v>1</v>
      </c>
      <c r="V148" s="313">
        <v>1</v>
      </c>
      <c r="W148" s="313">
        <v>1</v>
      </c>
      <c r="X148" s="313">
        <v>1</v>
      </c>
      <c r="Y148" s="313">
        <v>1</v>
      </c>
      <c r="Z148" s="313">
        <v>1</v>
      </c>
      <c r="AA148" s="313">
        <v>1</v>
      </c>
      <c r="AB148" s="313">
        <v>1</v>
      </c>
      <c r="AC148" s="313">
        <v>1</v>
      </c>
      <c r="AD148" s="313">
        <v>1</v>
      </c>
      <c r="AE148" s="313">
        <v>1</v>
      </c>
      <c r="AF148" s="313">
        <v>1</v>
      </c>
      <c r="AG148" s="313">
        <v>1</v>
      </c>
      <c r="AH148" s="313">
        <v>1</v>
      </c>
      <c r="AI148" s="313">
        <v>1</v>
      </c>
      <c r="AJ148" s="313">
        <v>1</v>
      </c>
      <c r="AK148" s="313">
        <v>1</v>
      </c>
      <c r="AL148" s="313">
        <v>1</v>
      </c>
      <c r="AM148" s="313">
        <v>1</v>
      </c>
      <c r="AN148" s="313">
        <v>1</v>
      </c>
      <c r="AO148" s="313">
        <v>1</v>
      </c>
      <c r="AP148" s="313">
        <v>1</v>
      </c>
      <c r="AQ148" s="313">
        <v>1</v>
      </c>
      <c r="AR148" s="313">
        <v>1</v>
      </c>
      <c r="AS148" s="313">
        <v>1</v>
      </c>
      <c r="AT148" s="313">
        <v>1</v>
      </c>
      <c r="AU148" s="313">
        <v>1</v>
      </c>
      <c r="AV148" s="313">
        <v>1</v>
      </c>
      <c r="AW148" s="313">
        <v>1</v>
      </c>
      <c r="AX148" s="313">
        <v>1</v>
      </c>
      <c r="AY148" s="313">
        <v>1</v>
      </c>
      <c r="AZ148" s="313">
        <v>1</v>
      </c>
      <c r="BA148" s="313">
        <v>1</v>
      </c>
      <c r="BB148" s="313">
        <v>1</v>
      </c>
      <c r="BC148" s="313">
        <v>1</v>
      </c>
      <c r="BD148" s="313">
        <v>1</v>
      </c>
      <c r="BE148" s="313">
        <v>1</v>
      </c>
      <c r="BF148" s="313">
        <v>1</v>
      </c>
      <c r="BG148" s="313">
        <v>1</v>
      </c>
      <c r="BH148" s="313">
        <v>1</v>
      </c>
      <c r="BI148" s="313">
        <v>1</v>
      </c>
      <c r="BJ148" s="313">
        <v>1</v>
      </c>
      <c r="BK148" s="313">
        <v>1</v>
      </c>
    </row>
    <row r="149" spans="1:63" x14ac:dyDescent="0.25">
      <c r="A149" s="306" t="s">
        <v>718</v>
      </c>
      <c r="B149" s="313" t="s">
        <v>135</v>
      </c>
      <c r="C149" s="313">
        <v>1</v>
      </c>
      <c r="D149" s="313">
        <v>0</v>
      </c>
      <c r="E149" s="313">
        <v>1</v>
      </c>
      <c r="F149" s="313">
        <v>1</v>
      </c>
      <c r="G149" s="313">
        <v>1</v>
      </c>
      <c r="H149" s="313">
        <v>1</v>
      </c>
      <c r="I149" s="313">
        <v>1</v>
      </c>
      <c r="J149" s="313">
        <v>1</v>
      </c>
      <c r="K149" s="313">
        <v>0</v>
      </c>
      <c r="L149" s="313">
        <v>0</v>
      </c>
      <c r="M149" s="313">
        <v>1</v>
      </c>
      <c r="N149" s="313">
        <v>1</v>
      </c>
      <c r="O149" s="313">
        <v>1</v>
      </c>
      <c r="P149" s="313">
        <v>1</v>
      </c>
      <c r="Q149" s="313">
        <v>1</v>
      </c>
      <c r="R149" s="313">
        <v>1</v>
      </c>
      <c r="S149" s="313">
        <v>1</v>
      </c>
      <c r="T149" s="313">
        <v>1</v>
      </c>
      <c r="U149" s="313">
        <v>1</v>
      </c>
      <c r="V149" s="313">
        <v>1</v>
      </c>
      <c r="W149" s="313">
        <v>1</v>
      </c>
      <c r="X149" s="313">
        <v>1</v>
      </c>
      <c r="Y149" s="313">
        <v>1</v>
      </c>
      <c r="Z149" s="313">
        <v>1</v>
      </c>
      <c r="AA149" s="313">
        <v>1</v>
      </c>
      <c r="AB149" s="313">
        <v>1</v>
      </c>
      <c r="AC149" s="313">
        <v>1</v>
      </c>
      <c r="AD149" s="313">
        <v>1</v>
      </c>
      <c r="AE149" s="313">
        <v>1</v>
      </c>
      <c r="AF149" s="313">
        <v>1</v>
      </c>
      <c r="AG149" s="313">
        <v>1</v>
      </c>
      <c r="AH149" s="313">
        <v>1</v>
      </c>
      <c r="AI149" s="313">
        <v>1</v>
      </c>
      <c r="AJ149" s="313">
        <v>1</v>
      </c>
      <c r="AK149" s="313">
        <v>0</v>
      </c>
      <c r="AL149" s="313">
        <v>1</v>
      </c>
      <c r="AM149" s="313">
        <v>1</v>
      </c>
      <c r="AN149" s="313">
        <v>1</v>
      </c>
      <c r="AO149" s="313">
        <v>1</v>
      </c>
      <c r="AP149" s="313">
        <v>1</v>
      </c>
      <c r="AQ149" s="313">
        <v>0</v>
      </c>
      <c r="AR149" s="313">
        <v>1</v>
      </c>
      <c r="AS149" s="313">
        <v>0</v>
      </c>
      <c r="AT149" s="313">
        <v>1</v>
      </c>
      <c r="AU149" s="313">
        <v>1</v>
      </c>
      <c r="AV149" s="313">
        <v>1</v>
      </c>
      <c r="AW149" s="313">
        <v>1</v>
      </c>
      <c r="AX149" s="313">
        <v>1</v>
      </c>
      <c r="AY149" s="313">
        <v>1</v>
      </c>
      <c r="AZ149" s="313">
        <v>1</v>
      </c>
      <c r="BA149" s="313">
        <v>1</v>
      </c>
      <c r="BB149" s="313">
        <v>0</v>
      </c>
      <c r="BC149" s="313">
        <v>1</v>
      </c>
      <c r="BD149" s="313">
        <v>1</v>
      </c>
      <c r="BE149" s="313">
        <v>1</v>
      </c>
      <c r="BF149" s="313">
        <v>1</v>
      </c>
      <c r="BG149" s="313">
        <v>1</v>
      </c>
      <c r="BH149" s="313">
        <v>1</v>
      </c>
      <c r="BI149" s="313">
        <v>1</v>
      </c>
      <c r="BJ149" s="313">
        <v>1</v>
      </c>
      <c r="BK149" s="313">
        <v>1</v>
      </c>
    </row>
    <row r="150" spans="1:63" x14ac:dyDescent="0.25">
      <c r="A150" s="306" t="s">
        <v>719</v>
      </c>
      <c r="B150" s="313" t="s">
        <v>136</v>
      </c>
      <c r="C150" s="313">
        <v>1</v>
      </c>
      <c r="D150" s="313">
        <v>0</v>
      </c>
      <c r="E150" s="313">
        <v>1</v>
      </c>
      <c r="F150" s="313">
        <v>0</v>
      </c>
      <c r="G150" s="313">
        <v>1</v>
      </c>
      <c r="H150" s="313">
        <v>1</v>
      </c>
      <c r="I150" s="313">
        <v>1</v>
      </c>
      <c r="J150" s="313">
        <v>0</v>
      </c>
      <c r="K150" s="313">
        <v>0</v>
      </c>
      <c r="L150" s="313">
        <v>1</v>
      </c>
      <c r="M150" s="313">
        <v>1</v>
      </c>
      <c r="N150" s="313">
        <v>1</v>
      </c>
      <c r="O150" s="313">
        <v>0</v>
      </c>
      <c r="P150" s="313">
        <v>1</v>
      </c>
      <c r="Q150" s="313">
        <v>1</v>
      </c>
      <c r="R150" s="313">
        <v>1</v>
      </c>
      <c r="S150" s="313">
        <v>1</v>
      </c>
      <c r="T150" s="313">
        <v>1</v>
      </c>
      <c r="U150" s="313">
        <v>1</v>
      </c>
      <c r="V150" s="313">
        <v>1</v>
      </c>
      <c r="W150" s="313">
        <v>1</v>
      </c>
      <c r="X150" s="313">
        <v>1</v>
      </c>
      <c r="Y150" s="313">
        <v>0</v>
      </c>
      <c r="Z150" s="313">
        <v>1</v>
      </c>
      <c r="AA150" s="313">
        <v>1</v>
      </c>
      <c r="AB150" s="313">
        <v>1</v>
      </c>
      <c r="AC150" s="313">
        <v>1</v>
      </c>
      <c r="AD150" s="313">
        <v>0</v>
      </c>
      <c r="AE150" s="313">
        <v>1</v>
      </c>
      <c r="AF150" s="313">
        <v>0</v>
      </c>
      <c r="AG150" s="313">
        <v>0</v>
      </c>
      <c r="AH150" s="313">
        <v>0</v>
      </c>
      <c r="AI150" s="313">
        <v>1</v>
      </c>
      <c r="AJ150" s="313">
        <v>1</v>
      </c>
      <c r="AK150" s="313">
        <v>1</v>
      </c>
      <c r="AL150" s="313">
        <v>1</v>
      </c>
      <c r="AM150" s="313">
        <v>1</v>
      </c>
      <c r="AN150" s="313">
        <v>1</v>
      </c>
      <c r="AO150" s="313">
        <v>1</v>
      </c>
      <c r="AP150" s="313">
        <v>1</v>
      </c>
      <c r="AQ150" s="313">
        <v>0</v>
      </c>
      <c r="AR150" s="313">
        <v>1</v>
      </c>
      <c r="AS150" s="313">
        <v>1</v>
      </c>
      <c r="AT150" s="313">
        <v>1</v>
      </c>
      <c r="AU150" s="313">
        <v>1</v>
      </c>
      <c r="AV150" s="313">
        <v>1</v>
      </c>
      <c r="AW150" s="313">
        <v>1</v>
      </c>
      <c r="AX150" s="313">
        <v>1</v>
      </c>
      <c r="AY150" s="313">
        <v>1</v>
      </c>
      <c r="AZ150" s="313">
        <v>1</v>
      </c>
      <c r="BA150" s="313">
        <v>1</v>
      </c>
      <c r="BB150" s="313">
        <v>0</v>
      </c>
      <c r="BC150" s="313">
        <v>1</v>
      </c>
      <c r="BD150" s="313">
        <v>1</v>
      </c>
      <c r="BE150" s="313">
        <v>1</v>
      </c>
      <c r="BF150" s="313">
        <v>1</v>
      </c>
      <c r="BG150" s="313">
        <v>1</v>
      </c>
      <c r="BH150" s="313">
        <v>1</v>
      </c>
      <c r="BI150" s="313">
        <v>1</v>
      </c>
      <c r="BJ150" s="313">
        <v>1</v>
      </c>
      <c r="BK150" s="313">
        <v>1</v>
      </c>
    </row>
    <row r="151" spans="1:63" x14ac:dyDescent="0.25">
      <c r="A151" s="306">
        <v>327211</v>
      </c>
      <c r="B151" s="313" t="s">
        <v>137</v>
      </c>
      <c r="C151" s="313">
        <v>1</v>
      </c>
      <c r="D151" s="313">
        <v>0</v>
      </c>
      <c r="E151" s="313">
        <v>0</v>
      </c>
      <c r="F151" s="313">
        <v>0</v>
      </c>
      <c r="G151" s="313">
        <v>1</v>
      </c>
      <c r="H151" s="313">
        <v>1</v>
      </c>
      <c r="I151" s="313">
        <v>1</v>
      </c>
      <c r="J151" s="313">
        <v>1</v>
      </c>
      <c r="K151" s="313">
        <v>0</v>
      </c>
      <c r="L151" s="313">
        <v>0</v>
      </c>
      <c r="M151" s="313">
        <v>1</v>
      </c>
      <c r="N151" s="313">
        <v>1</v>
      </c>
      <c r="O151" s="313">
        <v>0</v>
      </c>
      <c r="P151" s="313">
        <v>1</v>
      </c>
      <c r="Q151" s="313">
        <v>0</v>
      </c>
      <c r="R151" s="313">
        <v>1</v>
      </c>
      <c r="S151" s="313">
        <v>1</v>
      </c>
      <c r="T151" s="313">
        <v>1</v>
      </c>
      <c r="U151" s="313">
        <v>1</v>
      </c>
      <c r="V151" s="313">
        <v>0</v>
      </c>
      <c r="W151" s="313">
        <v>1</v>
      </c>
      <c r="X151" s="313">
        <v>1</v>
      </c>
      <c r="Y151" s="313">
        <v>1</v>
      </c>
      <c r="Z151" s="313">
        <v>1</v>
      </c>
      <c r="AA151" s="313">
        <v>1</v>
      </c>
      <c r="AB151" s="313">
        <v>0</v>
      </c>
      <c r="AC151" s="313">
        <v>0</v>
      </c>
      <c r="AD151" s="313">
        <v>0</v>
      </c>
      <c r="AE151" s="313">
        <v>1</v>
      </c>
      <c r="AF151" s="313">
        <v>0</v>
      </c>
      <c r="AG151" s="313">
        <v>0</v>
      </c>
      <c r="AH151" s="313">
        <v>1</v>
      </c>
      <c r="AI151" s="313">
        <v>1</v>
      </c>
      <c r="AJ151" s="313">
        <v>0</v>
      </c>
      <c r="AK151" s="313">
        <v>0</v>
      </c>
      <c r="AL151" s="313">
        <v>1</v>
      </c>
      <c r="AM151" s="313">
        <v>1</v>
      </c>
      <c r="AN151" s="313">
        <v>1</v>
      </c>
      <c r="AO151" s="313">
        <v>1</v>
      </c>
      <c r="AP151" s="313">
        <v>1</v>
      </c>
      <c r="AQ151" s="313">
        <v>0</v>
      </c>
      <c r="AR151" s="313">
        <v>1</v>
      </c>
      <c r="AS151" s="313">
        <v>0</v>
      </c>
      <c r="AT151" s="313">
        <v>1</v>
      </c>
      <c r="AU151" s="313">
        <v>1</v>
      </c>
      <c r="AV151" s="313">
        <v>0</v>
      </c>
      <c r="AW151" s="313">
        <v>1</v>
      </c>
      <c r="AX151" s="313">
        <v>0</v>
      </c>
      <c r="AY151" s="313">
        <v>1</v>
      </c>
      <c r="AZ151" s="313">
        <v>1</v>
      </c>
      <c r="BA151" s="313">
        <v>1</v>
      </c>
      <c r="BB151" s="313">
        <v>0</v>
      </c>
      <c r="BC151" s="313">
        <v>1</v>
      </c>
      <c r="BD151" s="313">
        <v>1</v>
      </c>
      <c r="BE151" s="313">
        <v>1</v>
      </c>
      <c r="BF151" s="313">
        <v>1</v>
      </c>
      <c r="BG151" s="313">
        <v>1</v>
      </c>
      <c r="BH151" s="313">
        <v>1</v>
      </c>
      <c r="BI151" s="313">
        <v>1</v>
      </c>
      <c r="BJ151" s="313">
        <v>1</v>
      </c>
      <c r="BK151" s="313">
        <v>1</v>
      </c>
    </row>
    <row r="152" spans="1:63" x14ac:dyDescent="0.25">
      <c r="A152" s="306">
        <v>327212</v>
      </c>
      <c r="B152" s="313" t="s">
        <v>138</v>
      </c>
      <c r="C152" s="313">
        <v>1</v>
      </c>
      <c r="D152" s="313">
        <v>1</v>
      </c>
      <c r="E152" s="313">
        <v>1</v>
      </c>
      <c r="F152" s="313">
        <v>1</v>
      </c>
      <c r="G152" s="313">
        <v>1</v>
      </c>
      <c r="H152" s="313">
        <v>1</v>
      </c>
      <c r="I152" s="313">
        <v>1</v>
      </c>
      <c r="J152" s="313">
        <v>1</v>
      </c>
      <c r="K152" s="313">
        <v>0</v>
      </c>
      <c r="L152" s="313">
        <v>1</v>
      </c>
      <c r="M152" s="313">
        <v>1</v>
      </c>
      <c r="N152" s="313">
        <v>1</v>
      </c>
      <c r="O152" s="313">
        <v>1</v>
      </c>
      <c r="P152" s="313">
        <v>1</v>
      </c>
      <c r="Q152" s="313">
        <v>1</v>
      </c>
      <c r="R152" s="313">
        <v>1</v>
      </c>
      <c r="S152" s="313">
        <v>1</v>
      </c>
      <c r="T152" s="313">
        <v>1</v>
      </c>
      <c r="U152" s="313">
        <v>1</v>
      </c>
      <c r="V152" s="313">
        <v>1</v>
      </c>
      <c r="W152" s="313">
        <v>1</v>
      </c>
      <c r="X152" s="313">
        <v>0</v>
      </c>
      <c r="Y152" s="313">
        <v>0</v>
      </c>
      <c r="Z152" s="313">
        <v>1</v>
      </c>
      <c r="AA152" s="313">
        <v>1</v>
      </c>
      <c r="AB152" s="313">
        <v>1</v>
      </c>
      <c r="AC152" s="313">
        <v>1</v>
      </c>
      <c r="AD152" s="313">
        <v>0</v>
      </c>
      <c r="AE152" s="313">
        <v>1</v>
      </c>
      <c r="AF152" s="313">
        <v>1</v>
      </c>
      <c r="AG152" s="313">
        <v>1</v>
      </c>
      <c r="AH152" s="313">
        <v>1</v>
      </c>
      <c r="AI152" s="313">
        <v>1</v>
      </c>
      <c r="AJ152" s="313">
        <v>1</v>
      </c>
      <c r="AK152" s="313">
        <v>1</v>
      </c>
      <c r="AL152" s="313">
        <v>1</v>
      </c>
      <c r="AM152" s="313">
        <v>1</v>
      </c>
      <c r="AN152" s="313">
        <v>1</v>
      </c>
      <c r="AO152" s="313">
        <v>1</v>
      </c>
      <c r="AP152" s="313">
        <v>1</v>
      </c>
      <c r="AQ152" s="313">
        <v>1</v>
      </c>
      <c r="AR152" s="313">
        <v>1</v>
      </c>
      <c r="AS152" s="313">
        <v>0</v>
      </c>
      <c r="AT152" s="313">
        <v>1</v>
      </c>
      <c r="AU152" s="313">
        <v>1</v>
      </c>
      <c r="AV152" s="313">
        <v>1</v>
      </c>
      <c r="AW152" s="313">
        <v>1</v>
      </c>
      <c r="AX152" s="313">
        <v>1</v>
      </c>
      <c r="AY152" s="313">
        <v>1</v>
      </c>
      <c r="AZ152" s="313">
        <v>1</v>
      </c>
      <c r="BA152" s="313">
        <v>1</v>
      </c>
      <c r="BB152" s="313">
        <v>0</v>
      </c>
      <c r="BC152" s="313">
        <v>1</v>
      </c>
      <c r="BD152" s="313">
        <v>1</v>
      </c>
      <c r="BE152" s="313">
        <v>1</v>
      </c>
      <c r="BF152" s="313">
        <v>1</v>
      </c>
      <c r="BG152" s="313">
        <v>1</v>
      </c>
      <c r="BH152" s="313">
        <v>1</v>
      </c>
      <c r="BI152" s="313">
        <v>1</v>
      </c>
      <c r="BJ152" s="313">
        <v>1</v>
      </c>
      <c r="BK152" s="313">
        <v>1</v>
      </c>
    </row>
    <row r="153" spans="1:63" x14ac:dyDescent="0.25">
      <c r="A153" s="306">
        <v>327213</v>
      </c>
      <c r="B153" s="313" t="s">
        <v>139</v>
      </c>
      <c r="C153" s="313">
        <v>1</v>
      </c>
      <c r="D153" s="313">
        <v>0</v>
      </c>
      <c r="E153" s="313">
        <v>0</v>
      </c>
      <c r="F153" s="313">
        <v>1</v>
      </c>
      <c r="G153" s="313">
        <v>1</v>
      </c>
      <c r="H153" s="313">
        <v>1</v>
      </c>
      <c r="I153" s="313">
        <v>1</v>
      </c>
      <c r="J153" s="313">
        <v>0</v>
      </c>
      <c r="K153" s="313">
        <v>0</v>
      </c>
      <c r="L153" s="313">
        <v>0</v>
      </c>
      <c r="M153" s="313">
        <v>1</v>
      </c>
      <c r="N153" s="313">
        <v>1</v>
      </c>
      <c r="O153" s="313">
        <v>0</v>
      </c>
      <c r="P153" s="313">
        <v>0</v>
      </c>
      <c r="Q153" s="313">
        <v>0</v>
      </c>
      <c r="R153" s="313">
        <v>1</v>
      </c>
      <c r="S153" s="313">
        <v>1</v>
      </c>
      <c r="T153" s="313">
        <v>0</v>
      </c>
      <c r="U153" s="313">
        <v>0</v>
      </c>
      <c r="V153" s="313">
        <v>1</v>
      </c>
      <c r="W153" s="313">
        <v>1</v>
      </c>
      <c r="X153" s="313">
        <v>0</v>
      </c>
      <c r="Y153" s="313">
        <v>0</v>
      </c>
      <c r="Z153" s="313">
        <v>1</v>
      </c>
      <c r="AA153" s="313">
        <v>1</v>
      </c>
      <c r="AB153" s="313">
        <v>1</v>
      </c>
      <c r="AC153" s="313">
        <v>0</v>
      </c>
      <c r="AD153" s="313">
        <v>0</v>
      </c>
      <c r="AE153" s="313">
        <v>1</v>
      </c>
      <c r="AF153" s="313">
        <v>0</v>
      </c>
      <c r="AG153" s="313">
        <v>1</v>
      </c>
      <c r="AH153" s="313">
        <v>0</v>
      </c>
      <c r="AI153" s="313">
        <v>1</v>
      </c>
      <c r="AJ153" s="313">
        <v>0</v>
      </c>
      <c r="AK153" s="313">
        <v>0</v>
      </c>
      <c r="AL153" s="313">
        <v>1</v>
      </c>
      <c r="AM153" s="313">
        <v>1</v>
      </c>
      <c r="AN153" s="313">
        <v>1</v>
      </c>
      <c r="AO153" s="313">
        <v>1</v>
      </c>
      <c r="AP153" s="313">
        <v>1</v>
      </c>
      <c r="AQ153" s="313">
        <v>0</v>
      </c>
      <c r="AR153" s="313">
        <v>0</v>
      </c>
      <c r="AS153" s="313">
        <v>0</v>
      </c>
      <c r="AT153" s="313">
        <v>1</v>
      </c>
      <c r="AU153" s="313">
        <v>1</v>
      </c>
      <c r="AV153" s="313">
        <v>0</v>
      </c>
      <c r="AW153" s="313">
        <v>1</v>
      </c>
      <c r="AX153" s="313">
        <v>0</v>
      </c>
      <c r="AY153" s="313">
        <v>1</v>
      </c>
      <c r="AZ153" s="313">
        <v>1</v>
      </c>
      <c r="BA153" s="313">
        <v>0</v>
      </c>
      <c r="BB153" s="313">
        <v>0</v>
      </c>
      <c r="BC153" s="313">
        <v>1</v>
      </c>
      <c r="BD153" s="313">
        <v>1</v>
      </c>
      <c r="BE153" s="313">
        <v>1</v>
      </c>
      <c r="BF153" s="313">
        <v>1</v>
      </c>
      <c r="BG153" s="313">
        <v>1</v>
      </c>
      <c r="BH153" s="313">
        <v>1</v>
      </c>
      <c r="BI153" s="313">
        <v>1</v>
      </c>
      <c r="BJ153" s="313">
        <v>1</v>
      </c>
      <c r="BK153" s="313">
        <v>1</v>
      </c>
    </row>
    <row r="154" spans="1:63" x14ac:dyDescent="0.25">
      <c r="A154" s="306">
        <v>327215</v>
      </c>
      <c r="B154" s="313" t="s">
        <v>140</v>
      </c>
      <c r="C154" s="313">
        <v>1</v>
      </c>
      <c r="D154" s="313">
        <v>0</v>
      </c>
      <c r="E154" s="313">
        <v>1</v>
      </c>
      <c r="F154" s="313">
        <v>1</v>
      </c>
      <c r="G154" s="313">
        <v>1</v>
      </c>
      <c r="H154" s="313">
        <v>1</v>
      </c>
      <c r="I154" s="313">
        <v>1</v>
      </c>
      <c r="J154" s="313">
        <v>1</v>
      </c>
      <c r="K154" s="313">
        <v>0</v>
      </c>
      <c r="L154" s="313">
        <v>1</v>
      </c>
      <c r="M154" s="313">
        <v>1</v>
      </c>
      <c r="N154" s="313">
        <v>1</v>
      </c>
      <c r="O154" s="313">
        <v>1</v>
      </c>
      <c r="P154" s="313">
        <v>1</v>
      </c>
      <c r="Q154" s="313">
        <v>1</v>
      </c>
      <c r="R154" s="313">
        <v>1</v>
      </c>
      <c r="S154" s="313">
        <v>1</v>
      </c>
      <c r="T154" s="313">
        <v>1</v>
      </c>
      <c r="U154" s="313">
        <v>1</v>
      </c>
      <c r="V154" s="313">
        <v>1</v>
      </c>
      <c r="W154" s="313">
        <v>1</v>
      </c>
      <c r="X154" s="313">
        <v>1</v>
      </c>
      <c r="Y154" s="313">
        <v>1</v>
      </c>
      <c r="Z154" s="313">
        <v>1</v>
      </c>
      <c r="AA154" s="313">
        <v>1</v>
      </c>
      <c r="AB154" s="313">
        <v>1</v>
      </c>
      <c r="AC154" s="313">
        <v>1</v>
      </c>
      <c r="AD154" s="313">
        <v>1</v>
      </c>
      <c r="AE154" s="313">
        <v>1</v>
      </c>
      <c r="AF154" s="313">
        <v>1</v>
      </c>
      <c r="AG154" s="313">
        <v>1</v>
      </c>
      <c r="AH154" s="313">
        <v>1</v>
      </c>
      <c r="AI154" s="313">
        <v>1</v>
      </c>
      <c r="AJ154" s="313">
        <v>1</v>
      </c>
      <c r="AK154" s="313">
        <v>1</v>
      </c>
      <c r="AL154" s="313">
        <v>1</v>
      </c>
      <c r="AM154" s="313">
        <v>1</v>
      </c>
      <c r="AN154" s="313">
        <v>1</v>
      </c>
      <c r="AO154" s="313">
        <v>1</v>
      </c>
      <c r="AP154" s="313">
        <v>1</v>
      </c>
      <c r="AQ154" s="313">
        <v>1</v>
      </c>
      <c r="AR154" s="313">
        <v>1</v>
      </c>
      <c r="AS154" s="313">
        <v>1</v>
      </c>
      <c r="AT154" s="313">
        <v>1</v>
      </c>
      <c r="AU154" s="313">
        <v>1</v>
      </c>
      <c r="AV154" s="313">
        <v>1</v>
      </c>
      <c r="AW154" s="313">
        <v>1</v>
      </c>
      <c r="AX154" s="313">
        <v>1</v>
      </c>
      <c r="AY154" s="313">
        <v>1</v>
      </c>
      <c r="AZ154" s="313">
        <v>1</v>
      </c>
      <c r="BA154" s="313">
        <v>1</v>
      </c>
      <c r="BB154" s="313">
        <v>0</v>
      </c>
      <c r="BC154" s="313">
        <v>1</v>
      </c>
      <c r="BD154" s="313">
        <v>1</v>
      </c>
      <c r="BE154" s="313">
        <v>1</v>
      </c>
      <c r="BF154" s="313">
        <v>1</v>
      </c>
      <c r="BG154" s="313">
        <v>1</v>
      </c>
      <c r="BH154" s="313">
        <v>1</v>
      </c>
      <c r="BI154" s="313">
        <v>1</v>
      </c>
      <c r="BJ154" s="313">
        <v>1</v>
      </c>
      <c r="BK154" s="313">
        <v>1</v>
      </c>
    </row>
    <row r="155" spans="1:63" x14ac:dyDescent="0.25">
      <c r="A155" s="306">
        <v>327310</v>
      </c>
      <c r="B155" s="313" t="s">
        <v>141</v>
      </c>
      <c r="C155" s="313">
        <v>1</v>
      </c>
      <c r="D155" s="313">
        <v>0</v>
      </c>
      <c r="E155" s="313">
        <v>1</v>
      </c>
      <c r="F155" s="313">
        <v>1</v>
      </c>
      <c r="G155" s="313">
        <v>1</v>
      </c>
      <c r="H155" s="313">
        <v>1</v>
      </c>
      <c r="I155" s="313">
        <v>1</v>
      </c>
      <c r="J155" s="313">
        <v>0</v>
      </c>
      <c r="K155" s="313">
        <v>0</v>
      </c>
      <c r="L155" s="313">
        <v>0</v>
      </c>
      <c r="M155" s="313">
        <v>1</v>
      </c>
      <c r="N155" s="313">
        <v>1</v>
      </c>
      <c r="O155" s="313">
        <v>1</v>
      </c>
      <c r="P155" s="313">
        <v>1</v>
      </c>
      <c r="Q155" s="313">
        <v>1</v>
      </c>
      <c r="R155" s="313">
        <v>1</v>
      </c>
      <c r="S155" s="313">
        <v>1</v>
      </c>
      <c r="T155" s="313">
        <v>1</v>
      </c>
      <c r="U155" s="313">
        <v>1</v>
      </c>
      <c r="V155" s="313">
        <v>1</v>
      </c>
      <c r="W155" s="313">
        <v>1</v>
      </c>
      <c r="X155" s="313">
        <v>1</v>
      </c>
      <c r="Y155" s="313">
        <v>1</v>
      </c>
      <c r="Z155" s="313">
        <v>1</v>
      </c>
      <c r="AA155" s="313">
        <v>0</v>
      </c>
      <c r="AB155" s="313">
        <v>1</v>
      </c>
      <c r="AC155" s="313">
        <v>1</v>
      </c>
      <c r="AD155" s="313">
        <v>1</v>
      </c>
      <c r="AE155" s="313">
        <v>1</v>
      </c>
      <c r="AF155" s="313">
        <v>1</v>
      </c>
      <c r="AG155" s="313">
        <v>1</v>
      </c>
      <c r="AH155" s="313">
        <v>1</v>
      </c>
      <c r="AI155" s="313">
        <v>1</v>
      </c>
      <c r="AJ155" s="313">
        <v>1</v>
      </c>
      <c r="AK155" s="313">
        <v>1</v>
      </c>
      <c r="AL155" s="313">
        <v>1</v>
      </c>
      <c r="AM155" s="313">
        <v>1</v>
      </c>
      <c r="AN155" s="313">
        <v>1</v>
      </c>
      <c r="AO155" s="313">
        <v>1</v>
      </c>
      <c r="AP155" s="313">
        <v>1</v>
      </c>
      <c r="AQ155" s="313">
        <v>0</v>
      </c>
      <c r="AR155" s="313">
        <v>1</v>
      </c>
      <c r="AS155" s="313">
        <v>1</v>
      </c>
      <c r="AT155" s="313">
        <v>1</v>
      </c>
      <c r="AU155" s="313">
        <v>1</v>
      </c>
      <c r="AV155" s="313">
        <v>1</v>
      </c>
      <c r="AW155" s="313">
        <v>1</v>
      </c>
      <c r="AX155" s="313">
        <v>0</v>
      </c>
      <c r="AY155" s="313">
        <v>1</v>
      </c>
      <c r="AZ155" s="313">
        <v>0</v>
      </c>
      <c r="BA155" s="313">
        <v>1</v>
      </c>
      <c r="BB155" s="313">
        <v>1</v>
      </c>
      <c r="BC155" s="313">
        <v>1</v>
      </c>
      <c r="BD155" s="313">
        <v>1</v>
      </c>
      <c r="BE155" s="313">
        <v>1</v>
      </c>
      <c r="BF155" s="313">
        <v>1</v>
      </c>
      <c r="BG155" s="313">
        <v>1</v>
      </c>
      <c r="BH155" s="313">
        <v>1</v>
      </c>
      <c r="BI155" s="313">
        <v>1</v>
      </c>
      <c r="BJ155" s="313">
        <v>1</v>
      </c>
      <c r="BK155" s="313">
        <v>1</v>
      </c>
    </row>
    <row r="156" spans="1:63" x14ac:dyDescent="0.25">
      <c r="A156" s="306">
        <v>327320</v>
      </c>
      <c r="B156" s="313" t="s">
        <v>142</v>
      </c>
      <c r="C156" s="313">
        <v>1</v>
      </c>
      <c r="D156" s="313">
        <v>1</v>
      </c>
      <c r="E156" s="313">
        <v>1</v>
      </c>
      <c r="F156" s="313">
        <v>1</v>
      </c>
      <c r="G156" s="313">
        <v>1</v>
      </c>
      <c r="H156" s="313">
        <v>1</v>
      </c>
      <c r="I156" s="313">
        <v>1</v>
      </c>
      <c r="J156" s="313">
        <v>1</v>
      </c>
      <c r="K156" s="313">
        <v>1</v>
      </c>
      <c r="L156" s="313">
        <v>1</v>
      </c>
      <c r="M156" s="313">
        <v>1</v>
      </c>
      <c r="N156" s="313">
        <v>1</v>
      </c>
      <c r="O156" s="313">
        <v>1</v>
      </c>
      <c r="P156" s="313">
        <v>1</v>
      </c>
      <c r="Q156" s="313">
        <v>1</v>
      </c>
      <c r="R156" s="313">
        <v>1</v>
      </c>
      <c r="S156" s="313">
        <v>1</v>
      </c>
      <c r="T156" s="313">
        <v>1</v>
      </c>
      <c r="U156" s="313">
        <v>1</v>
      </c>
      <c r="V156" s="313">
        <v>1</v>
      </c>
      <c r="W156" s="313">
        <v>1</v>
      </c>
      <c r="X156" s="313">
        <v>1</v>
      </c>
      <c r="Y156" s="313">
        <v>1</v>
      </c>
      <c r="Z156" s="313">
        <v>1</v>
      </c>
      <c r="AA156" s="313">
        <v>1</v>
      </c>
      <c r="AB156" s="313">
        <v>1</v>
      </c>
      <c r="AC156" s="313">
        <v>1</v>
      </c>
      <c r="AD156" s="313">
        <v>1</v>
      </c>
      <c r="AE156" s="313">
        <v>1</v>
      </c>
      <c r="AF156" s="313">
        <v>1</v>
      </c>
      <c r="AG156" s="313">
        <v>1</v>
      </c>
      <c r="AH156" s="313">
        <v>1</v>
      </c>
      <c r="AI156" s="313">
        <v>1</v>
      </c>
      <c r="AJ156" s="313">
        <v>1</v>
      </c>
      <c r="AK156" s="313">
        <v>1</v>
      </c>
      <c r="AL156" s="313">
        <v>1</v>
      </c>
      <c r="AM156" s="313">
        <v>1</v>
      </c>
      <c r="AN156" s="313">
        <v>1</v>
      </c>
      <c r="AO156" s="313">
        <v>1</v>
      </c>
      <c r="AP156" s="313">
        <v>1</v>
      </c>
      <c r="AQ156" s="313">
        <v>1</v>
      </c>
      <c r="AR156" s="313">
        <v>1</v>
      </c>
      <c r="AS156" s="313">
        <v>1</v>
      </c>
      <c r="AT156" s="313">
        <v>1</v>
      </c>
      <c r="AU156" s="313">
        <v>1</v>
      </c>
      <c r="AV156" s="313">
        <v>1</v>
      </c>
      <c r="AW156" s="313">
        <v>1</v>
      </c>
      <c r="AX156" s="313">
        <v>1</v>
      </c>
      <c r="AY156" s="313">
        <v>1</v>
      </c>
      <c r="AZ156" s="313">
        <v>1</v>
      </c>
      <c r="BA156" s="313">
        <v>1</v>
      </c>
      <c r="BB156" s="313">
        <v>1</v>
      </c>
      <c r="BC156" s="313">
        <v>1</v>
      </c>
      <c r="BD156" s="313">
        <v>1</v>
      </c>
      <c r="BE156" s="313">
        <v>1</v>
      </c>
      <c r="BF156" s="313">
        <v>1</v>
      </c>
      <c r="BG156" s="313">
        <v>1</v>
      </c>
      <c r="BH156" s="313">
        <v>1</v>
      </c>
      <c r="BI156" s="313">
        <v>1</v>
      </c>
      <c r="BJ156" s="313">
        <v>1</v>
      </c>
      <c r="BK156" s="313">
        <v>1</v>
      </c>
    </row>
    <row r="157" spans="1:63" x14ac:dyDescent="0.25">
      <c r="A157" s="306">
        <v>327330</v>
      </c>
      <c r="B157" s="313" t="s">
        <v>143</v>
      </c>
      <c r="C157" s="313">
        <v>1</v>
      </c>
      <c r="D157" s="313">
        <v>1</v>
      </c>
      <c r="E157" s="313">
        <v>1</v>
      </c>
      <c r="F157" s="313">
        <v>1</v>
      </c>
      <c r="G157" s="313">
        <v>1</v>
      </c>
      <c r="H157" s="313">
        <v>1</v>
      </c>
      <c r="I157" s="313">
        <v>1</v>
      </c>
      <c r="J157" s="313">
        <v>1</v>
      </c>
      <c r="K157" s="313">
        <v>0</v>
      </c>
      <c r="L157" s="313">
        <v>1</v>
      </c>
      <c r="M157" s="313">
        <v>1</v>
      </c>
      <c r="N157" s="313">
        <v>1</v>
      </c>
      <c r="O157" s="313">
        <v>1</v>
      </c>
      <c r="P157" s="313">
        <v>1</v>
      </c>
      <c r="Q157" s="313">
        <v>1</v>
      </c>
      <c r="R157" s="313">
        <v>1</v>
      </c>
      <c r="S157" s="313">
        <v>1</v>
      </c>
      <c r="T157" s="313">
        <v>1</v>
      </c>
      <c r="U157" s="313">
        <v>1</v>
      </c>
      <c r="V157" s="313">
        <v>1</v>
      </c>
      <c r="W157" s="313">
        <v>1</v>
      </c>
      <c r="X157" s="313">
        <v>1</v>
      </c>
      <c r="Y157" s="313">
        <v>1</v>
      </c>
      <c r="Z157" s="313">
        <v>1</v>
      </c>
      <c r="AA157" s="313">
        <v>1</v>
      </c>
      <c r="AB157" s="313">
        <v>1</v>
      </c>
      <c r="AC157" s="313">
        <v>1</v>
      </c>
      <c r="AD157" s="313">
        <v>1</v>
      </c>
      <c r="AE157" s="313">
        <v>1</v>
      </c>
      <c r="AF157" s="313">
        <v>1</v>
      </c>
      <c r="AG157" s="313">
        <v>1</v>
      </c>
      <c r="AH157" s="313">
        <v>1</v>
      </c>
      <c r="AI157" s="313">
        <v>1</v>
      </c>
      <c r="AJ157" s="313">
        <v>1</v>
      </c>
      <c r="AK157" s="313">
        <v>1</v>
      </c>
      <c r="AL157" s="313">
        <v>1</v>
      </c>
      <c r="AM157" s="313">
        <v>1</v>
      </c>
      <c r="AN157" s="313">
        <v>1</v>
      </c>
      <c r="AO157" s="313">
        <v>1</v>
      </c>
      <c r="AP157" s="313">
        <v>1</v>
      </c>
      <c r="AQ157" s="313">
        <v>1</v>
      </c>
      <c r="AR157" s="313">
        <v>1</v>
      </c>
      <c r="AS157" s="313">
        <v>1</v>
      </c>
      <c r="AT157" s="313">
        <v>1</v>
      </c>
      <c r="AU157" s="313">
        <v>1</v>
      </c>
      <c r="AV157" s="313">
        <v>1</v>
      </c>
      <c r="AW157" s="313">
        <v>1</v>
      </c>
      <c r="AX157" s="313">
        <v>1</v>
      </c>
      <c r="AY157" s="313">
        <v>1</v>
      </c>
      <c r="AZ157" s="313">
        <v>1</v>
      </c>
      <c r="BA157" s="313">
        <v>1</v>
      </c>
      <c r="BB157" s="313">
        <v>1</v>
      </c>
      <c r="BC157" s="313">
        <v>1</v>
      </c>
      <c r="BD157" s="313">
        <v>1</v>
      </c>
      <c r="BE157" s="313">
        <v>1</v>
      </c>
      <c r="BF157" s="313">
        <v>1</v>
      </c>
      <c r="BG157" s="313">
        <v>1</v>
      </c>
      <c r="BH157" s="313">
        <v>1</v>
      </c>
      <c r="BI157" s="313">
        <v>1</v>
      </c>
      <c r="BJ157" s="313">
        <v>1</v>
      </c>
      <c r="BK157" s="313">
        <v>1</v>
      </c>
    </row>
    <row r="158" spans="1:63" x14ac:dyDescent="0.25">
      <c r="A158" s="306">
        <v>327390</v>
      </c>
      <c r="B158" s="313" t="s">
        <v>144</v>
      </c>
      <c r="C158" s="313">
        <v>1</v>
      </c>
      <c r="D158" s="313">
        <v>1</v>
      </c>
      <c r="E158" s="313">
        <v>1</v>
      </c>
      <c r="F158" s="313">
        <v>1</v>
      </c>
      <c r="G158" s="313">
        <v>1</v>
      </c>
      <c r="H158" s="313">
        <v>1</v>
      </c>
      <c r="I158" s="313">
        <v>1</v>
      </c>
      <c r="J158" s="313">
        <v>1</v>
      </c>
      <c r="K158" s="313">
        <v>0</v>
      </c>
      <c r="L158" s="313">
        <v>1</v>
      </c>
      <c r="M158" s="313">
        <v>1</v>
      </c>
      <c r="N158" s="313">
        <v>1</v>
      </c>
      <c r="O158" s="313">
        <v>1</v>
      </c>
      <c r="P158" s="313">
        <v>1</v>
      </c>
      <c r="Q158" s="313">
        <v>1</v>
      </c>
      <c r="R158" s="313">
        <v>1</v>
      </c>
      <c r="S158" s="313">
        <v>1</v>
      </c>
      <c r="T158" s="313">
        <v>1</v>
      </c>
      <c r="U158" s="313">
        <v>1</v>
      </c>
      <c r="V158" s="313">
        <v>1</v>
      </c>
      <c r="W158" s="313">
        <v>1</v>
      </c>
      <c r="X158" s="313">
        <v>1</v>
      </c>
      <c r="Y158" s="313">
        <v>1</v>
      </c>
      <c r="Z158" s="313">
        <v>1</v>
      </c>
      <c r="AA158" s="313">
        <v>1</v>
      </c>
      <c r="AB158" s="313">
        <v>1</v>
      </c>
      <c r="AC158" s="313">
        <v>1</v>
      </c>
      <c r="AD158" s="313">
        <v>1</v>
      </c>
      <c r="AE158" s="313">
        <v>1</v>
      </c>
      <c r="AF158" s="313">
        <v>1</v>
      </c>
      <c r="AG158" s="313">
        <v>1</v>
      </c>
      <c r="AH158" s="313">
        <v>1</v>
      </c>
      <c r="AI158" s="313">
        <v>1</v>
      </c>
      <c r="AJ158" s="313">
        <v>1</v>
      </c>
      <c r="AK158" s="313">
        <v>1</v>
      </c>
      <c r="AL158" s="313">
        <v>1</v>
      </c>
      <c r="AM158" s="313">
        <v>1</v>
      </c>
      <c r="AN158" s="313">
        <v>1</v>
      </c>
      <c r="AO158" s="313">
        <v>1</v>
      </c>
      <c r="AP158" s="313">
        <v>1</v>
      </c>
      <c r="AQ158" s="313">
        <v>1</v>
      </c>
      <c r="AR158" s="313">
        <v>1</v>
      </c>
      <c r="AS158" s="313">
        <v>1</v>
      </c>
      <c r="AT158" s="313">
        <v>1</v>
      </c>
      <c r="AU158" s="313">
        <v>1</v>
      </c>
      <c r="AV158" s="313">
        <v>1</v>
      </c>
      <c r="AW158" s="313">
        <v>1</v>
      </c>
      <c r="AX158" s="313">
        <v>1</v>
      </c>
      <c r="AY158" s="313">
        <v>1</v>
      </c>
      <c r="AZ158" s="313">
        <v>1</v>
      </c>
      <c r="BA158" s="313">
        <v>1</v>
      </c>
      <c r="BB158" s="313">
        <v>1</v>
      </c>
      <c r="BC158" s="313">
        <v>1</v>
      </c>
      <c r="BD158" s="313">
        <v>1</v>
      </c>
      <c r="BE158" s="313">
        <v>1</v>
      </c>
      <c r="BF158" s="313">
        <v>1</v>
      </c>
      <c r="BG158" s="313">
        <v>1</v>
      </c>
      <c r="BH158" s="313">
        <v>1</v>
      </c>
      <c r="BI158" s="313">
        <v>1</v>
      </c>
      <c r="BJ158" s="313">
        <v>1</v>
      </c>
      <c r="BK158" s="313">
        <v>1</v>
      </c>
    </row>
    <row r="159" spans="1:63" x14ac:dyDescent="0.25">
      <c r="A159" s="306" t="s">
        <v>720</v>
      </c>
      <c r="B159" s="313" t="s">
        <v>145</v>
      </c>
      <c r="C159" s="313">
        <v>1</v>
      </c>
      <c r="D159" s="313">
        <v>0</v>
      </c>
      <c r="E159" s="313">
        <v>1</v>
      </c>
      <c r="F159" s="313">
        <v>1</v>
      </c>
      <c r="G159" s="313">
        <v>1</v>
      </c>
      <c r="H159" s="313">
        <v>1</v>
      </c>
      <c r="I159" s="313">
        <v>1</v>
      </c>
      <c r="J159" s="313">
        <v>1</v>
      </c>
      <c r="K159" s="313">
        <v>0</v>
      </c>
      <c r="L159" s="313">
        <v>1</v>
      </c>
      <c r="M159" s="313">
        <v>1</v>
      </c>
      <c r="N159" s="313">
        <v>1</v>
      </c>
      <c r="O159" s="313">
        <v>0</v>
      </c>
      <c r="P159" s="313">
        <v>1</v>
      </c>
      <c r="Q159" s="313">
        <v>1</v>
      </c>
      <c r="R159" s="313">
        <v>1</v>
      </c>
      <c r="S159" s="313">
        <v>1</v>
      </c>
      <c r="T159" s="313">
        <v>1</v>
      </c>
      <c r="U159" s="313">
        <v>1</v>
      </c>
      <c r="V159" s="313">
        <v>1</v>
      </c>
      <c r="W159" s="313">
        <v>1</v>
      </c>
      <c r="X159" s="313">
        <v>1</v>
      </c>
      <c r="Y159" s="313">
        <v>0</v>
      </c>
      <c r="Z159" s="313">
        <v>1</v>
      </c>
      <c r="AA159" s="313">
        <v>0</v>
      </c>
      <c r="AB159" s="313">
        <v>1</v>
      </c>
      <c r="AC159" s="313">
        <v>1</v>
      </c>
      <c r="AD159" s="313">
        <v>1</v>
      </c>
      <c r="AE159" s="313">
        <v>1</v>
      </c>
      <c r="AF159" s="313">
        <v>0</v>
      </c>
      <c r="AG159" s="313">
        <v>1</v>
      </c>
      <c r="AH159" s="313">
        <v>1</v>
      </c>
      <c r="AI159" s="313">
        <v>1</v>
      </c>
      <c r="AJ159" s="313">
        <v>1</v>
      </c>
      <c r="AK159" s="313">
        <v>1</v>
      </c>
      <c r="AL159" s="313">
        <v>1</v>
      </c>
      <c r="AM159" s="313">
        <v>1</v>
      </c>
      <c r="AN159" s="313">
        <v>1</v>
      </c>
      <c r="AO159" s="313">
        <v>1</v>
      </c>
      <c r="AP159" s="313">
        <v>1</v>
      </c>
      <c r="AQ159" s="313">
        <v>0</v>
      </c>
      <c r="AR159" s="313">
        <v>1</v>
      </c>
      <c r="AS159" s="313">
        <v>1</v>
      </c>
      <c r="AT159" s="313">
        <v>1</v>
      </c>
      <c r="AU159" s="313">
        <v>1</v>
      </c>
      <c r="AV159" s="313">
        <v>1</v>
      </c>
      <c r="AW159" s="313">
        <v>1</v>
      </c>
      <c r="AX159" s="313">
        <v>0</v>
      </c>
      <c r="AY159" s="313">
        <v>1</v>
      </c>
      <c r="AZ159" s="313">
        <v>1</v>
      </c>
      <c r="BA159" s="313">
        <v>1</v>
      </c>
      <c r="BB159" s="313">
        <v>1</v>
      </c>
      <c r="BC159" s="313">
        <v>1</v>
      </c>
      <c r="BD159" s="313">
        <v>1</v>
      </c>
      <c r="BE159" s="313">
        <v>1</v>
      </c>
      <c r="BF159" s="313">
        <v>1</v>
      </c>
      <c r="BG159" s="313">
        <v>1</v>
      </c>
      <c r="BH159" s="313">
        <v>1</v>
      </c>
      <c r="BI159" s="313">
        <v>1</v>
      </c>
      <c r="BJ159" s="313">
        <v>1</v>
      </c>
      <c r="BK159" s="313">
        <v>1</v>
      </c>
    </row>
    <row r="160" spans="1:63" x14ac:dyDescent="0.25">
      <c r="A160" s="306">
        <v>327910</v>
      </c>
      <c r="B160" s="313" t="s">
        <v>146</v>
      </c>
      <c r="C160" s="313">
        <v>1</v>
      </c>
      <c r="D160" s="313">
        <v>0</v>
      </c>
      <c r="E160" s="313">
        <v>1</v>
      </c>
      <c r="F160" s="313">
        <v>1</v>
      </c>
      <c r="G160" s="313">
        <v>1</v>
      </c>
      <c r="H160" s="313">
        <v>1</v>
      </c>
      <c r="I160" s="313">
        <v>1</v>
      </c>
      <c r="J160" s="313">
        <v>1</v>
      </c>
      <c r="K160" s="313">
        <v>0</v>
      </c>
      <c r="L160" s="313">
        <v>0</v>
      </c>
      <c r="M160" s="313">
        <v>1</v>
      </c>
      <c r="N160" s="313">
        <v>1</v>
      </c>
      <c r="O160" s="313">
        <v>0</v>
      </c>
      <c r="P160" s="313">
        <v>1</v>
      </c>
      <c r="Q160" s="313">
        <v>1</v>
      </c>
      <c r="R160" s="313">
        <v>1</v>
      </c>
      <c r="S160" s="313">
        <v>1</v>
      </c>
      <c r="T160" s="313">
        <v>1</v>
      </c>
      <c r="U160" s="313">
        <v>1</v>
      </c>
      <c r="V160" s="313">
        <v>1</v>
      </c>
      <c r="W160" s="313">
        <v>1</v>
      </c>
      <c r="X160" s="313">
        <v>1</v>
      </c>
      <c r="Y160" s="313">
        <v>0</v>
      </c>
      <c r="Z160" s="313">
        <v>1</v>
      </c>
      <c r="AA160" s="313">
        <v>1</v>
      </c>
      <c r="AB160" s="313">
        <v>1</v>
      </c>
      <c r="AC160" s="313">
        <v>1</v>
      </c>
      <c r="AD160" s="313">
        <v>0</v>
      </c>
      <c r="AE160" s="313">
        <v>1</v>
      </c>
      <c r="AF160" s="313">
        <v>0</v>
      </c>
      <c r="AG160" s="313">
        <v>0</v>
      </c>
      <c r="AH160" s="313">
        <v>1</v>
      </c>
      <c r="AI160" s="313">
        <v>1</v>
      </c>
      <c r="AJ160" s="313">
        <v>0</v>
      </c>
      <c r="AK160" s="313">
        <v>0</v>
      </c>
      <c r="AL160" s="313">
        <v>1</v>
      </c>
      <c r="AM160" s="313">
        <v>1</v>
      </c>
      <c r="AN160" s="313">
        <v>0</v>
      </c>
      <c r="AO160" s="313">
        <v>1</v>
      </c>
      <c r="AP160" s="313">
        <v>1</v>
      </c>
      <c r="AQ160" s="313">
        <v>1</v>
      </c>
      <c r="AR160" s="313">
        <v>1</v>
      </c>
      <c r="AS160" s="313">
        <v>0</v>
      </c>
      <c r="AT160" s="313">
        <v>1</v>
      </c>
      <c r="AU160" s="313">
        <v>1</v>
      </c>
      <c r="AV160" s="313">
        <v>1</v>
      </c>
      <c r="AW160" s="313">
        <v>1</v>
      </c>
      <c r="AX160" s="313">
        <v>1</v>
      </c>
      <c r="AY160" s="313">
        <v>1</v>
      </c>
      <c r="AZ160" s="313">
        <v>1</v>
      </c>
      <c r="BA160" s="313">
        <v>0</v>
      </c>
      <c r="BB160" s="313">
        <v>0</v>
      </c>
      <c r="BC160" s="313">
        <v>1</v>
      </c>
      <c r="BD160" s="313">
        <v>1</v>
      </c>
      <c r="BE160" s="313">
        <v>1</v>
      </c>
      <c r="BF160" s="313">
        <v>1</v>
      </c>
      <c r="BG160" s="313">
        <v>1</v>
      </c>
      <c r="BH160" s="313">
        <v>1</v>
      </c>
      <c r="BI160" s="313">
        <v>1</v>
      </c>
      <c r="BJ160" s="313">
        <v>1</v>
      </c>
      <c r="BK160" s="313">
        <v>1</v>
      </c>
    </row>
    <row r="161" spans="1:63" x14ac:dyDescent="0.25">
      <c r="A161" s="306">
        <v>327991</v>
      </c>
      <c r="B161" s="313" t="s">
        <v>147</v>
      </c>
      <c r="C161" s="313">
        <v>1</v>
      </c>
      <c r="D161" s="313">
        <v>1</v>
      </c>
      <c r="E161" s="313">
        <v>1</v>
      </c>
      <c r="F161" s="313">
        <v>1</v>
      </c>
      <c r="G161" s="313">
        <v>1</v>
      </c>
      <c r="H161" s="313">
        <v>1</v>
      </c>
      <c r="I161" s="313">
        <v>1</v>
      </c>
      <c r="J161" s="313">
        <v>1</v>
      </c>
      <c r="K161" s="313">
        <v>0</v>
      </c>
      <c r="L161" s="313">
        <v>1</v>
      </c>
      <c r="M161" s="313">
        <v>1</v>
      </c>
      <c r="N161" s="313">
        <v>1</v>
      </c>
      <c r="O161" s="313">
        <v>1</v>
      </c>
      <c r="P161" s="313">
        <v>1</v>
      </c>
      <c r="Q161" s="313">
        <v>1</v>
      </c>
      <c r="R161" s="313">
        <v>1</v>
      </c>
      <c r="S161" s="313">
        <v>1</v>
      </c>
      <c r="T161" s="313">
        <v>1</v>
      </c>
      <c r="U161" s="313">
        <v>1</v>
      </c>
      <c r="V161" s="313">
        <v>1</v>
      </c>
      <c r="W161" s="313">
        <v>1</v>
      </c>
      <c r="X161" s="313">
        <v>1</v>
      </c>
      <c r="Y161" s="313">
        <v>1</v>
      </c>
      <c r="Z161" s="313">
        <v>1</v>
      </c>
      <c r="AA161" s="313">
        <v>1</v>
      </c>
      <c r="AB161" s="313">
        <v>1</v>
      </c>
      <c r="AC161" s="313">
        <v>1</v>
      </c>
      <c r="AD161" s="313">
        <v>1</v>
      </c>
      <c r="AE161" s="313">
        <v>1</v>
      </c>
      <c r="AF161" s="313">
        <v>1</v>
      </c>
      <c r="AG161" s="313">
        <v>1</v>
      </c>
      <c r="AH161" s="313">
        <v>1</v>
      </c>
      <c r="AI161" s="313">
        <v>1</v>
      </c>
      <c r="AJ161" s="313">
        <v>1</v>
      </c>
      <c r="AK161" s="313">
        <v>1</v>
      </c>
      <c r="AL161" s="313">
        <v>1</v>
      </c>
      <c r="AM161" s="313">
        <v>1</v>
      </c>
      <c r="AN161" s="313">
        <v>1</v>
      </c>
      <c r="AO161" s="313">
        <v>1</v>
      </c>
      <c r="AP161" s="313">
        <v>1</v>
      </c>
      <c r="AQ161" s="313">
        <v>1</v>
      </c>
      <c r="AR161" s="313">
        <v>1</v>
      </c>
      <c r="AS161" s="313">
        <v>1</v>
      </c>
      <c r="AT161" s="313">
        <v>1</v>
      </c>
      <c r="AU161" s="313">
        <v>1</v>
      </c>
      <c r="AV161" s="313">
        <v>1</v>
      </c>
      <c r="AW161" s="313">
        <v>1</v>
      </c>
      <c r="AX161" s="313">
        <v>1</v>
      </c>
      <c r="AY161" s="313">
        <v>1</v>
      </c>
      <c r="AZ161" s="313">
        <v>1</v>
      </c>
      <c r="BA161" s="313">
        <v>1</v>
      </c>
      <c r="BB161" s="313">
        <v>1</v>
      </c>
      <c r="BC161" s="313">
        <v>1</v>
      </c>
      <c r="BD161" s="313">
        <v>1</v>
      </c>
      <c r="BE161" s="313">
        <v>1</v>
      </c>
      <c r="BF161" s="313">
        <v>1</v>
      </c>
      <c r="BG161" s="313">
        <v>1</v>
      </c>
      <c r="BH161" s="313">
        <v>1</v>
      </c>
      <c r="BI161" s="313">
        <v>1</v>
      </c>
      <c r="BJ161" s="313">
        <v>1</v>
      </c>
      <c r="BK161" s="313">
        <v>1</v>
      </c>
    </row>
    <row r="162" spans="1:63" x14ac:dyDescent="0.25">
      <c r="A162" s="306">
        <v>327992</v>
      </c>
      <c r="B162" s="313" t="s">
        <v>148</v>
      </c>
      <c r="C162" s="313">
        <v>1</v>
      </c>
      <c r="D162" s="313">
        <v>0</v>
      </c>
      <c r="E162" s="313">
        <v>1</v>
      </c>
      <c r="F162" s="313">
        <v>1</v>
      </c>
      <c r="G162" s="313">
        <v>1</v>
      </c>
      <c r="H162" s="313">
        <v>1</v>
      </c>
      <c r="I162" s="313">
        <v>1</v>
      </c>
      <c r="J162" s="313">
        <v>0</v>
      </c>
      <c r="K162" s="313">
        <v>0</v>
      </c>
      <c r="L162" s="313">
        <v>0</v>
      </c>
      <c r="M162" s="313">
        <v>1</v>
      </c>
      <c r="N162" s="313">
        <v>1</v>
      </c>
      <c r="O162" s="313">
        <v>0</v>
      </c>
      <c r="P162" s="313">
        <v>0</v>
      </c>
      <c r="Q162" s="313">
        <v>0</v>
      </c>
      <c r="R162" s="313">
        <v>1</v>
      </c>
      <c r="S162" s="313">
        <v>1</v>
      </c>
      <c r="T162" s="313">
        <v>0</v>
      </c>
      <c r="U162" s="313">
        <v>1</v>
      </c>
      <c r="V162" s="313">
        <v>1</v>
      </c>
      <c r="W162" s="313">
        <v>1</v>
      </c>
      <c r="X162" s="313">
        <v>0</v>
      </c>
      <c r="Y162" s="313">
        <v>1</v>
      </c>
      <c r="Z162" s="313">
        <v>1</v>
      </c>
      <c r="AA162" s="313">
        <v>1</v>
      </c>
      <c r="AB162" s="313">
        <v>1</v>
      </c>
      <c r="AC162" s="313">
        <v>0</v>
      </c>
      <c r="AD162" s="313">
        <v>0</v>
      </c>
      <c r="AE162" s="313">
        <v>1</v>
      </c>
      <c r="AF162" s="313">
        <v>0</v>
      </c>
      <c r="AG162" s="313">
        <v>0</v>
      </c>
      <c r="AH162" s="313">
        <v>0</v>
      </c>
      <c r="AI162" s="313">
        <v>1</v>
      </c>
      <c r="AJ162" s="313">
        <v>1</v>
      </c>
      <c r="AK162" s="313">
        <v>1</v>
      </c>
      <c r="AL162" s="313">
        <v>1</v>
      </c>
      <c r="AM162" s="313">
        <v>1</v>
      </c>
      <c r="AN162" s="313">
        <v>1</v>
      </c>
      <c r="AO162" s="313">
        <v>1</v>
      </c>
      <c r="AP162" s="313">
        <v>1</v>
      </c>
      <c r="AQ162" s="313">
        <v>0</v>
      </c>
      <c r="AR162" s="313">
        <v>1</v>
      </c>
      <c r="AS162" s="313">
        <v>0</v>
      </c>
      <c r="AT162" s="313">
        <v>1</v>
      </c>
      <c r="AU162" s="313">
        <v>1</v>
      </c>
      <c r="AV162" s="313">
        <v>0</v>
      </c>
      <c r="AW162" s="313">
        <v>1</v>
      </c>
      <c r="AX162" s="313">
        <v>0</v>
      </c>
      <c r="AY162" s="313">
        <v>1</v>
      </c>
      <c r="AZ162" s="313">
        <v>1</v>
      </c>
      <c r="BA162" s="313">
        <v>0</v>
      </c>
      <c r="BB162" s="313">
        <v>1</v>
      </c>
      <c r="BC162" s="313">
        <v>1</v>
      </c>
      <c r="BD162" s="313">
        <v>1</v>
      </c>
      <c r="BE162" s="313">
        <v>1</v>
      </c>
      <c r="BF162" s="313">
        <v>1</v>
      </c>
      <c r="BG162" s="313">
        <v>1</v>
      </c>
      <c r="BH162" s="313">
        <v>1</v>
      </c>
      <c r="BI162" s="313">
        <v>1</v>
      </c>
      <c r="BJ162" s="313">
        <v>1</v>
      </c>
      <c r="BK162" s="313">
        <v>1</v>
      </c>
    </row>
    <row r="163" spans="1:63" x14ac:dyDescent="0.25">
      <c r="A163" s="306">
        <v>327993</v>
      </c>
      <c r="B163" s="313" t="s">
        <v>149</v>
      </c>
      <c r="C163" s="313">
        <v>1</v>
      </c>
      <c r="D163" s="313">
        <v>0</v>
      </c>
      <c r="E163" s="313">
        <v>1</v>
      </c>
      <c r="F163" s="313">
        <v>1</v>
      </c>
      <c r="G163" s="313">
        <v>1</v>
      </c>
      <c r="H163" s="313">
        <v>1</v>
      </c>
      <c r="I163" s="313">
        <v>1</v>
      </c>
      <c r="J163" s="313">
        <v>1</v>
      </c>
      <c r="K163" s="313">
        <v>0</v>
      </c>
      <c r="L163" s="313">
        <v>0</v>
      </c>
      <c r="M163" s="313">
        <v>1</v>
      </c>
      <c r="N163" s="313">
        <v>1</v>
      </c>
      <c r="O163" s="313">
        <v>1</v>
      </c>
      <c r="P163" s="313">
        <v>1</v>
      </c>
      <c r="Q163" s="313">
        <v>1</v>
      </c>
      <c r="R163" s="313">
        <v>1</v>
      </c>
      <c r="S163" s="313">
        <v>1</v>
      </c>
      <c r="T163" s="313">
        <v>1</v>
      </c>
      <c r="U163" s="313">
        <v>1</v>
      </c>
      <c r="V163" s="313">
        <v>1</v>
      </c>
      <c r="W163" s="313">
        <v>1</v>
      </c>
      <c r="X163" s="313">
        <v>0</v>
      </c>
      <c r="Y163" s="313">
        <v>1</v>
      </c>
      <c r="Z163" s="313">
        <v>1</v>
      </c>
      <c r="AA163" s="313">
        <v>1</v>
      </c>
      <c r="AB163" s="313">
        <v>1</v>
      </c>
      <c r="AC163" s="313">
        <v>1</v>
      </c>
      <c r="AD163" s="313">
        <v>0</v>
      </c>
      <c r="AE163" s="313">
        <v>1</v>
      </c>
      <c r="AF163" s="313">
        <v>1</v>
      </c>
      <c r="AG163" s="313">
        <v>1</v>
      </c>
      <c r="AH163" s="313">
        <v>0</v>
      </c>
      <c r="AI163" s="313">
        <v>1</v>
      </c>
      <c r="AJ163" s="313">
        <v>1</v>
      </c>
      <c r="AK163" s="313">
        <v>1</v>
      </c>
      <c r="AL163" s="313">
        <v>1</v>
      </c>
      <c r="AM163" s="313">
        <v>1</v>
      </c>
      <c r="AN163" s="313">
        <v>1</v>
      </c>
      <c r="AO163" s="313">
        <v>1</v>
      </c>
      <c r="AP163" s="313">
        <v>1</v>
      </c>
      <c r="AQ163" s="313">
        <v>1</v>
      </c>
      <c r="AR163" s="313">
        <v>1</v>
      </c>
      <c r="AS163" s="313">
        <v>1</v>
      </c>
      <c r="AT163" s="313">
        <v>1</v>
      </c>
      <c r="AU163" s="313">
        <v>1</v>
      </c>
      <c r="AV163" s="313">
        <v>1</v>
      </c>
      <c r="AW163" s="313">
        <v>1</v>
      </c>
      <c r="AX163" s="313">
        <v>0</v>
      </c>
      <c r="AY163" s="313">
        <v>1</v>
      </c>
      <c r="AZ163" s="313">
        <v>1</v>
      </c>
      <c r="BA163" s="313">
        <v>1</v>
      </c>
      <c r="BB163" s="313">
        <v>0</v>
      </c>
      <c r="BC163" s="313">
        <v>1</v>
      </c>
      <c r="BD163" s="313">
        <v>1</v>
      </c>
      <c r="BE163" s="313">
        <v>1</v>
      </c>
      <c r="BF163" s="313">
        <v>1</v>
      </c>
      <c r="BG163" s="313">
        <v>1</v>
      </c>
      <c r="BH163" s="313">
        <v>1</v>
      </c>
      <c r="BI163" s="313">
        <v>1</v>
      </c>
      <c r="BJ163" s="313">
        <v>1</v>
      </c>
      <c r="BK163" s="313">
        <v>1</v>
      </c>
    </row>
    <row r="164" spans="1:63" x14ac:dyDescent="0.25">
      <c r="A164" s="306">
        <v>327999</v>
      </c>
      <c r="B164" s="313" t="s">
        <v>721</v>
      </c>
      <c r="C164" s="313">
        <v>1</v>
      </c>
      <c r="D164" s="313">
        <v>0</v>
      </c>
      <c r="E164" s="313">
        <v>1</v>
      </c>
      <c r="F164" s="313">
        <v>1</v>
      </c>
      <c r="G164" s="313">
        <v>1</v>
      </c>
      <c r="H164" s="313">
        <v>1</v>
      </c>
      <c r="I164" s="313">
        <v>1</v>
      </c>
      <c r="J164" s="313">
        <v>1</v>
      </c>
      <c r="K164" s="313">
        <v>1</v>
      </c>
      <c r="L164" s="313">
        <v>1</v>
      </c>
      <c r="M164" s="313">
        <v>1</v>
      </c>
      <c r="N164" s="313">
        <v>1</v>
      </c>
      <c r="O164" s="313">
        <v>1</v>
      </c>
      <c r="P164" s="313">
        <v>1</v>
      </c>
      <c r="Q164" s="313">
        <v>1</v>
      </c>
      <c r="R164" s="313">
        <v>1</v>
      </c>
      <c r="S164" s="313">
        <v>1</v>
      </c>
      <c r="T164" s="313">
        <v>1</v>
      </c>
      <c r="U164" s="313">
        <v>1</v>
      </c>
      <c r="V164" s="313">
        <v>1</v>
      </c>
      <c r="W164" s="313">
        <v>1</v>
      </c>
      <c r="X164" s="313">
        <v>1</v>
      </c>
      <c r="Y164" s="313">
        <v>1</v>
      </c>
      <c r="Z164" s="313">
        <v>1</v>
      </c>
      <c r="AA164" s="313">
        <v>1</v>
      </c>
      <c r="AB164" s="313">
        <v>1</v>
      </c>
      <c r="AC164" s="313">
        <v>0</v>
      </c>
      <c r="AD164" s="313">
        <v>1</v>
      </c>
      <c r="AE164" s="313">
        <v>1</v>
      </c>
      <c r="AF164" s="313">
        <v>0</v>
      </c>
      <c r="AG164" s="313">
        <v>1</v>
      </c>
      <c r="AH164" s="313">
        <v>1</v>
      </c>
      <c r="AI164" s="313">
        <v>1</v>
      </c>
      <c r="AJ164" s="313">
        <v>1</v>
      </c>
      <c r="AK164" s="313">
        <v>1</v>
      </c>
      <c r="AL164" s="313">
        <v>1</v>
      </c>
      <c r="AM164" s="313">
        <v>1</v>
      </c>
      <c r="AN164" s="313">
        <v>1</v>
      </c>
      <c r="AO164" s="313">
        <v>1</v>
      </c>
      <c r="AP164" s="313">
        <v>1</v>
      </c>
      <c r="AQ164" s="313">
        <v>1</v>
      </c>
      <c r="AR164" s="313">
        <v>1</v>
      </c>
      <c r="AS164" s="313">
        <v>1</v>
      </c>
      <c r="AT164" s="313">
        <v>1</v>
      </c>
      <c r="AU164" s="313">
        <v>1</v>
      </c>
      <c r="AV164" s="313">
        <v>1</v>
      </c>
      <c r="AW164" s="313">
        <v>1</v>
      </c>
      <c r="AX164" s="313">
        <v>1</v>
      </c>
      <c r="AY164" s="313">
        <v>1</v>
      </c>
      <c r="AZ164" s="313">
        <v>1</v>
      </c>
      <c r="BA164" s="313">
        <v>1</v>
      </c>
      <c r="BB164" s="313">
        <v>0</v>
      </c>
      <c r="BC164" s="313">
        <v>1</v>
      </c>
      <c r="BD164" s="313">
        <v>1</v>
      </c>
      <c r="BE164" s="313">
        <v>1</v>
      </c>
      <c r="BF164" s="313">
        <v>1</v>
      </c>
      <c r="BG164" s="313">
        <v>1</v>
      </c>
      <c r="BH164" s="313">
        <v>1</v>
      </c>
      <c r="BI164" s="313">
        <v>1</v>
      </c>
      <c r="BJ164" s="313">
        <v>1</v>
      </c>
      <c r="BK164" s="313">
        <v>1</v>
      </c>
    </row>
    <row r="165" spans="1:63" x14ac:dyDescent="0.25">
      <c r="A165" s="306">
        <v>331110</v>
      </c>
      <c r="B165" s="313" t="s">
        <v>150</v>
      </c>
      <c r="C165" s="313">
        <v>1</v>
      </c>
      <c r="D165" s="313">
        <v>1</v>
      </c>
      <c r="E165" s="313">
        <v>1</v>
      </c>
      <c r="F165" s="313">
        <v>1</v>
      </c>
      <c r="G165" s="313">
        <v>1</v>
      </c>
      <c r="H165" s="313">
        <v>1</v>
      </c>
      <c r="I165" s="313">
        <v>1</v>
      </c>
      <c r="J165" s="313">
        <v>1</v>
      </c>
      <c r="K165" s="313">
        <v>1</v>
      </c>
      <c r="L165" s="313">
        <v>1</v>
      </c>
      <c r="M165" s="313">
        <v>1</v>
      </c>
      <c r="N165" s="313">
        <v>1</v>
      </c>
      <c r="O165" s="313">
        <v>1</v>
      </c>
      <c r="P165" s="313">
        <v>1</v>
      </c>
      <c r="Q165" s="313">
        <v>1</v>
      </c>
      <c r="R165" s="313">
        <v>1</v>
      </c>
      <c r="S165" s="313">
        <v>1</v>
      </c>
      <c r="T165" s="313">
        <v>1</v>
      </c>
      <c r="U165" s="313">
        <v>1</v>
      </c>
      <c r="V165" s="313">
        <v>1</v>
      </c>
      <c r="W165" s="313">
        <v>1</v>
      </c>
      <c r="X165" s="313">
        <v>1</v>
      </c>
      <c r="Y165" s="313">
        <v>0</v>
      </c>
      <c r="Z165" s="313">
        <v>1</v>
      </c>
      <c r="AA165" s="313">
        <v>1</v>
      </c>
      <c r="AB165" s="313">
        <v>1</v>
      </c>
      <c r="AC165" s="313">
        <v>1</v>
      </c>
      <c r="AD165" s="313">
        <v>1</v>
      </c>
      <c r="AE165" s="313">
        <v>1</v>
      </c>
      <c r="AF165" s="313">
        <v>1</v>
      </c>
      <c r="AG165" s="313">
        <v>1</v>
      </c>
      <c r="AH165" s="313">
        <v>1</v>
      </c>
      <c r="AI165" s="313">
        <v>1</v>
      </c>
      <c r="AJ165" s="313">
        <v>1</v>
      </c>
      <c r="AK165" s="313">
        <v>0</v>
      </c>
      <c r="AL165" s="313">
        <v>1</v>
      </c>
      <c r="AM165" s="313">
        <v>1</v>
      </c>
      <c r="AN165" s="313">
        <v>1</v>
      </c>
      <c r="AO165" s="313">
        <v>1</v>
      </c>
      <c r="AP165" s="313">
        <v>1</v>
      </c>
      <c r="AQ165" s="313">
        <v>1</v>
      </c>
      <c r="AR165" s="313">
        <v>1</v>
      </c>
      <c r="AS165" s="313">
        <v>0</v>
      </c>
      <c r="AT165" s="313">
        <v>1</v>
      </c>
      <c r="AU165" s="313">
        <v>1</v>
      </c>
      <c r="AV165" s="313">
        <v>1</v>
      </c>
      <c r="AW165" s="313">
        <v>1</v>
      </c>
      <c r="AX165" s="313">
        <v>1</v>
      </c>
      <c r="AY165" s="313">
        <v>1</v>
      </c>
      <c r="AZ165" s="313">
        <v>1</v>
      </c>
      <c r="BA165" s="313">
        <v>1</v>
      </c>
      <c r="BB165" s="313">
        <v>0</v>
      </c>
      <c r="BC165" s="313">
        <v>1</v>
      </c>
      <c r="BD165" s="313">
        <v>1</v>
      </c>
      <c r="BE165" s="313">
        <v>1</v>
      </c>
      <c r="BF165" s="313">
        <v>1</v>
      </c>
      <c r="BG165" s="313">
        <v>1</v>
      </c>
      <c r="BH165" s="313">
        <v>1</v>
      </c>
      <c r="BI165" s="313">
        <v>1</v>
      </c>
      <c r="BJ165" s="313">
        <v>1</v>
      </c>
      <c r="BK165" s="313">
        <v>1</v>
      </c>
    </row>
    <row r="166" spans="1:63" x14ac:dyDescent="0.25">
      <c r="A166" s="306">
        <v>331200</v>
      </c>
      <c r="B166" s="313" t="s">
        <v>151</v>
      </c>
      <c r="C166" s="313">
        <v>1</v>
      </c>
      <c r="D166" s="313">
        <v>1</v>
      </c>
      <c r="E166" s="313">
        <v>1</v>
      </c>
      <c r="F166" s="313">
        <v>1</v>
      </c>
      <c r="G166" s="313">
        <v>1</v>
      </c>
      <c r="H166" s="313">
        <v>1</v>
      </c>
      <c r="I166" s="313">
        <v>1</v>
      </c>
      <c r="J166" s="313">
        <v>1</v>
      </c>
      <c r="K166" s="313">
        <v>0</v>
      </c>
      <c r="L166" s="313">
        <v>1</v>
      </c>
      <c r="M166" s="313">
        <v>1</v>
      </c>
      <c r="N166" s="313">
        <v>1</v>
      </c>
      <c r="O166" s="313">
        <v>1</v>
      </c>
      <c r="P166" s="313">
        <v>1</v>
      </c>
      <c r="Q166" s="313">
        <v>1</v>
      </c>
      <c r="R166" s="313">
        <v>1</v>
      </c>
      <c r="S166" s="313">
        <v>1</v>
      </c>
      <c r="T166" s="313">
        <v>1</v>
      </c>
      <c r="U166" s="313">
        <v>1</v>
      </c>
      <c r="V166" s="313">
        <v>1</v>
      </c>
      <c r="W166" s="313">
        <v>1</v>
      </c>
      <c r="X166" s="313">
        <v>1</v>
      </c>
      <c r="Y166" s="313">
        <v>1</v>
      </c>
      <c r="Z166" s="313">
        <v>1</v>
      </c>
      <c r="AA166" s="313">
        <v>1</v>
      </c>
      <c r="AB166" s="313">
        <v>1</v>
      </c>
      <c r="AC166" s="313">
        <v>1</v>
      </c>
      <c r="AD166" s="313">
        <v>1</v>
      </c>
      <c r="AE166" s="313">
        <v>1</v>
      </c>
      <c r="AF166" s="313">
        <v>0</v>
      </c>
      <c r="AG166" s="313">
        <v>1</v>
      </c>
      <c r="AH166" s="313">
        <v>1</v>
      </c>
      <c r="AI166" s="313">
        <v>1</v>
      </c>
      <c r="AJ166" s="313">
        <v>0</v>
      </c>
      <c r="AK166" s="313">
        <v>1</v>
      </c>
      <c r="AL166" s="313">
        <v>1</v>
      </c>
      <c r="AM166" s="313">
        <v>1</v>
      </c>
      <c r="AN166" s="313">
        <v>1</v>
      </c>
      <c r="AO166" s="313">
        <v>1</v>
      </c>
      <c r="AP166" s="313">
        <v>1</v>
      </c>
      <c r="AQ166" s="313">
        <v>1</v>
      </c>
      <c r="AR166" s="313">
        <v>1</v>
      </c>
      <c r="AS166" s="313">
        <v>1</v>
      </c>
      <c r="AT166" s="313">
        <v>1</v>
      </c>
      <c r="AU166" s="313">
        <v>1</v>
      </c>
      <c r="AV166" s="313">
        <v>1</v>
      </c>
      <c r="AW166" s="313">
        <v>1</v>
      </c>
      <c r="AX166" s="313">
        <v>1</v>
      </c>
      <c r="AY166" s="313">
        <v>1</v>
      </c>
      <c r="AZ166" s="313">
        <v>1</v>
      </c>
      <c r="BA166" s="313">
        <v>1</v>
      </c>
      <c r="BB166" s="313">
        <v>0</v>
      </c>
      <c r="BC166" s="313">
        <v>1</v>
      </c>
      <c r="BD166" s="313">
        <v>1</v>
      </c>
      <c r="BE166" s="313">
        <v>1</v>
      </c>
      <c r="BF166" s="313">
        <v>1</v>
      </c>
      <c r="BG166" s="313">
        <v>1</v>
      </c>
      <c r="BH166" s="313">
        <v>1</v>
      </c>
      <c r="BI166" s="313">
        <v>1</v>
      </c>
      <c r="BJ166" s="313">
        <v>1</v>
      </c>
      <c r="BK166" s="313">
        <v>1</v>
      </c>
    </row>
    <row r="167" spans="1:63" x14ac:dyDescent="0.25">
      <c r="A167" s="306">
        <v>331314</v>
      </c>
      <c r="B167" s="313" t="s">
        <v>153</v>
      </c>
      <c r="C167" s="313">
        <v>1</v>
      </c>
      <c r="D167" s="313">
        <v>0</v>
      </c>
      <c r="E167" s="313">
        <v>1</v>
      </c>
      <c r="F167" s="313">
        <v>1</v>
      </c>
      <c r="G167" s="313">
        <v>0</v>
      </c>
      <c r="H167" s="313">
        <v>1</v>
      </c>
      <c r="I167" s="313">
        <v>0</v>
      </c>
      <c r="J167" s="313">
        <v>0</v>
      </c>
      <c r="K167" s="313">
        <v>0</v>
      </c>
      <c r="L167" s="313">
        <v>0</v>
      </c>
      <c r="M167" s="313">
        <v>1</v>
      </c>
      <c r="N167" s="313">
        <v>1</v>
      </c>
      <c r="O167" s="313">
        <v>0</v>
      </c>
      <c r="P167" s="313">
        <v>1</v>
      </c>
      <c r="Q167" s="313">
        <v>1</v>
      </c>
      <c r="R167" s="313">
        <v>1</v>
      </c>
      <c r="S167" s="313">
        <v>1</v>
      </c>
      <c r="T167" s="313">
        <v>1</v>
      </c>
      <c r="U167" s="313">
        <v>1</v>
      </c>
      <c r="V167" s="313">
        <v>1</v>
      </c>
      <c r="W167" s="313">
        <v>1</v>
      </c>
      <c r="X167" s="313">
        <v>1</v>
      </c>
      <c r="Y167" s="313">
        <v>0</v>
      </c>
      <c r="Z167" s="313">
        <v>1</v>
      </c>
      <c r="AA167" s="313">
        <v>1</v>
      </c>
      <c r="AB167" s="313">
        <v>1</v>
      </c>
      <c r="AC167" s="313">
        <v>0</v>
      </c>
      <c r="AD167" s="313">
        <v>0</v>
      </c>
      <c r="AE167" s="313">
        <v>1</v>
      </c>
      <c r="AF167" s="313">
        <v>0</v>
      </c>
      <c r="AG167" s="313">
        <v>0</v>
      </c>
      <c r="AH167" s="313">
        <v>0</v>
      </c>
      <c r="AI167" s="313">
        <v>1</v>
      </c>
      <c r="AJ167" s="313">
        <v>0</v>
      </c>
      <c r="AK167" s="313">
        <v>0</v>
      </c>
      <c r="AL167" s="313">
        <v>1</v>
      </c>
      <c r="AM167" s="313">
        <v>1</v>
      </c>
      <c r="AN167" s="313">
        <v>1</v>
      </c>
      <c r="AO167" s="313">
        <v>1</v>
      </c>
      <c r="AP167" s="313">
        <v>1</v>
      </c>
      <c r="AQ167" s="313">
        <v>0</v>
      </c>
      <c r="AR167" s="313">
        <v>1</v>
      </c>
      <c r="AS167" s="313">
        <v>0</v>
      </c>
      <c r="AT167" s="313">
        <v>1</v>
      </c>
      <c r="AU167" s="313">
        <v>1</v>
      </c>
      <c r="AV167" s="313">
        <v>0</v>
      </c>
      <c r="AW167" s="313">
        <v>0</v>
      </c>
      <c r="AX167" s="313">
        <v>0</v>
      </c>
      <c r="AY167" s="313">
        <v>1</v>
      </c>
      <c r="AZ167" s="313">
        <v>1</v>
      </c>
      <c r="BA167" s="313">
        <v>0</v>
      </c>
      <c r="BB167" s="313">
        <v>0</v>
      </c>
      <c r="BC167" s="313">
        <v>1</v>
      </c>
      <c r="BD167" s="313">
        <v>1</v>
      </c>
      <c r="BE167" s="313">
        <v>1</v>
      </c>
      <c r="BF167" s="313">
        <v>1</v>
      </c>
      <c r="BG167" s="313">
        <v>1</v>
      </c>
      <c r="BH167" s="313">
        <v>1</v>
      </c>
      <c r="BI167" s="313">
        <v>1</v>
      </c>
      <c r="BJ167" s="313">
        <v>1</v>
      </c>
      <c r="BK167" s="313">
        <v>1</v>
      </c>
    </row>
    <row r="168" spans="1:63" x14ac:dyDescent="0.25">
      <c r="A168" s="306" t="s">
        <v>722</v>
      </c>
      <c r="B168" s="313" t="s">
        <v>152</v>
      </c>
      <c r="C168" s="313">
        <v>1</v>
      </c>
      <c r="D168" s="313">
        <v>0</v>
      </c>
      <c r="E168" s="313">
        <v>1</v>
      </c>
      <c r="F168" s="313">
        <v>1</v>
      </c>
      <c r="G168" s="313">
        <v>1</v>
      </c>
      <c r="H168" s="313">
        <v>1</v>
      </c>
      <c r="I168" s="313">
        <v>0</v>
      </c>
      <c r="J168" s="313">
        <v>0</v>
      </c>
      <c r="K168" s="313">
        <v>0</v>
      </c>
      <c r="L168" s="313">
        <v>0</v>
      </c>
      <c r="M168" s="313">
        <v>1</v>
      </c>
      <c r="N168" s="313">
        <v>1</v>
      </c>
      <c r="O168" s="313">
        <v>0</v>
      </c>
      <c r="P168" s="313">
        <v>0</v>
      </c>
      <c r="Q168" s="313">
        <v>1</v>
      </c>
      <c r="R168" s="313">
        <v>1</v>
      </c>
      <c r="S168" s="313">
        <v>1</v>
      </c>
      <c r="T168" s="313">
        <v>0</v>
      </c>
      <c r="U168" s="313">
        <v>1</v>
      </c>
      <c r="V168" s="313">
        <v>1</v>
      </c>
      <c r="W168" s="313">
        <v>1</v>
      </c>
      <c r="X168" s="313">
        <v>1</v>
      </c>
      <c r="Y168" s="313">
        <v>0</v>
      </c>
      <c r="Z168" s="313">
        <v>0</v>
      </c>
      <c r="AA168" s="313">
        <v>1</v>
      </c>
      <c r="AB168" s="313">
        <v>1</v>
      </c>
      <c r="AC168" s="313">
        <v>0</v>
      </c>
      <c r="AD168" s="313">
        <v>1</v>
      </c>
      <c r="AE168" s="313">
        <v>1</v>
      </c>
      <c r="AF168" s="313">
        <v>0</v>
      </c>
      <c r="AG168" s="313">
        <v>0</v>
      </c>
      <c r="AH168" s="313">
        <v>1</v>
      </c>
      <c r="AI168" s="313">
        <v>1</v>
      </c>
      <c r="AJ168" s="313">
        <v>0</v>
      </c>
      <c r="AK168" s="313">
        <v>0</v>
      </c>
      <c r="AL168" s="313">
        <v>1</v>
      </c>
      <c r="AM168" s="313">
        <v>1</v>
      </c>
      <c r="AN168" s="313">
        <v>1</v>
      </c>
      <c r="AO168" s="313">
        <v>1</v>
      </c>
      <c r="AP168" s="313">
        <v>1</v>
      </c>
      <c r="AQ168" s="313">
        <v>0</v>
      </c>
      <c r="AR168" s="313">
        <v>1</v>
      </c>
      <c r="AS168" s="313">
        <v>0</v>
      </c>
      <c r="AT168" s="313">
        <v>1</v>
      </c>
      <c r="AU168" s="313">
        <v>1</v>
      </c>
      <c r="AV168" s="313">
        <v>0</v>
      </c>
      <c r="AW168" s="313">
        <v>0</v>
      </c>
      <c r="AX168" s="313">
        <v>0</v>
      </c>
      <c r="AY168" s="313">
        <v>1</v>
      </c>
      <c r="AZ168" s="313">
        <v>0</v>
      </c>
      <c r="BA168" s="313">
        <v>1</v>
      </c>
      <c r="BB168" s="313">
        <v>0</v>
      </c>
      <c r="BC168" s="313">
        <v>1</v>
      </c>
      <c r="BD168" s="313">
        <v>1</v>
      </c>
      <c r="BE168" s="313">
        <v>1</v>
      </c>
      <c r="BF168" s="313">
        <v>1</v>
      </c>
      <c r="BG168" s="313">
        <v>1</v>
      </c>
      <c r="BH168" s="313">
        <v>1</v>
      </c>
      <c r="BI168" s="313">
        <v>1</v>
      </c>
      <c r="BJ168" s="313">
        <v>1</v>
      </c>
      <c r="BK168" s="313">
        <v>1</v>
      </c>
    </row>
    <row r="169" spans="1:63" x14ac:dyDescent="0.25">
      <c r="A169" s="306" t="s">
        <v>723</v>
      </c>
      <c r="B169" s="313" t="s">
        <v>154</v>
      </c>
      <c r="C169" s="313">
        <v>1</v>
      </c>
      <c r="D169" s="313">
        <v>0</v>
      </c>
      <c r="E169" s="313">
        <v>1</v>
      </c>
      <c r="F169" s="313">
        <v>1</v>
      </c>
      <c r="G169" s="313">
        <v>1</v>
      </c>
      <c r="H169" s="313">
        <v>1</v>
      </c>
      <c r="I169" s="313">
        <v>1</v>
      </c>
      <c r="J169" s="313">
        <v>1</v>
      </c>
      <c r="K169" s="313">
        <v>0</v>
      </c>
      <c r="L169" s="313">
        <v>0</v>
      </c>
      <c r="M169" s="313">
        <v>1</v>
      </c>
      <c r="N169" s="313">
        <v>1</v>
      </c>
      <c r="O169" s="313">
        <v>0</v>
      </c>
      <c r="P169" s="313">
        <v>1</v>
      </c>
      <c r="Q169" s="313">
        <v>0</v>
      </c>
      <c r="R169" s="313">
        <v>1</v>
      </c>
      <c r="S169" s="313">
        <v>1</v>
      </c>
      <c r="T169" s="313">
        <v>1</v>
      </c>
      <c r="U169" s="313">
        <v>1</v>
      </c>
      <c r="V169" s="313">
        <v>1</v>
      </c>
      <c r="W169" s="313">
        <v>1</v>
      </c>
      <c r="X169" s="313">
        <v>1</v>
      </c>
      <c r="Y169" s="313">
        <v>0</v>
      </c>
      <c r="Z169" s="313">
        <v>1</v>
      </c>
      <c r="AA169" s="313">
        <v>1</v>
      </c>
      <c r="AB169" s="313">
        <v>1</v>
      </c>
      <c r="AC169" s="313">
        <v>1</v>
      </c>
      <c r="AD169" s="313">
        <v>0</v>
      </c>
      <c r="AE169" s="313">
        <v>1</v>
      </c>
      <c r="AF169" s="313">
        <v>0</v>
      </c>
      <c r="AG169" s="313">
        <v>0</v>
      </c>
      <c r="AH169" s="313">
        <v>1</v>
      </c>
      <c r="AI169" s="313">
        <v>1</v>
      </c>
      <c r="AJ169" s="313">
        <v>0</v>
      </c>
      <c r="AK169" s="313">
        <v>1</v>
      </c>
      <c r="AL169" s="313">
        <v>1</v>
      </c>
      <c r="AM169" s="313">
        <v>1</v>
      </c>
      <c r="AN169" s="313">
        <v>1</v>
      </c>
      <c r="AO169" s="313">
        <v>1</v>
      </c>
      <c r="AP169" s="313">
        <v>1</v>
      </c>
      <c r="AQ169" s="313">
        <v>0</v>
      </c>
      <c r="AR169" s="313">
        <v>1</v>
      </c>
      <c r="AS169" s="313">
        <v>1</v>
      </c>
      <c r="AT169" s="313">
        <v>1</v>
      </c>
      <c r="AU169" s="313">
        <v>1</v>
      </c>
      <c r="AV169" s="313">
        <v>1</v>
      </c>
      <c r="AW169" s="313">
        <v>1</v>
      </c>
      <c r="AX169" s="313">
        <v>0</v>
      </c>
      <c r="AY169" s="313">
        <v>1</v>
      </c>
      <c r="AZ169" s="313">
        <v>1</v>
      </c>
      <c r="BA169" s="313">
        <v>1</v>
      </c>
      <c r="BB169" s="313">
        <v>0</v>
      </c>
      <c r="BC169" s="313">
        <v>1</v>
      </c>
      <c r="BD169" s="313">
        <v>1</v>
      </c>
      <c r="BE169" s="313">
        <v>1</v>
      </c>
      <c r="BF169" s="313">
        <v>1</v>
      </c>
      <c r="BG169" s="313">
        <v>1</v>
      </c>
      <c r="BH169" s="313">
        <v>1</v>
      </c>
      <c r="BI169" s="313">
        <v>1</v>
      </c>
      <c r="BJ169" s="313">
        <v>1</v>
      </c>
      <c r="BK169" s="313">
        <v>1</v>
      </c>
    </row>
    <row r="170" spans="1:63" x14ac:dyDescent="0.25">
      <c r="A170" s="306">
        <v>331411</v>
      </c>
      <c r="B170" s="313" t="s">
        <v>155</v>
      </c>
      <c r="C170" s="313">
        <v>1</v>
      </c>
      <c r="D170" s="313">
        <v>0</v>
      </c>
      <c r="E170" s="313">
        <v>0</v>
      </c>
      <c r="F170" s="313">
        <v>0</v>
      </c>
      <c r="G170" s="313">
        <v>1</v>
      </c>
      <c r="H170" s="313">
        <v>0</v>
      </c>
      <c r="I170" s="313">
        <v>0</v>
      </c>
      <c r="J170" s="313">
        <v>0</v>
      </c>
      <c r="K170" s="313">
        <v>0</v>
      </c>
      <c r="L170" s="313">
        <v>0</v>
      </c>
      <c r="M170" s="313">
        <v>0</v>
      </c>
      <c r="N170" s="313">
        <v>0</v>
      </c>
      <c r="O170" s="313">
        <v>0</v>
      </c>
      <c r="P170" s="313">
        <v>0</v>
      </c>
      <c r="Q170" s="313">
        <v>0</v>
      </c>
      <c r="R170" s="313">
        <v>0</v>
      </c>
      <c r="S170" s="313">
        <v>0</v>
      </c>
      <c r="T170" s="313">
        <v>0</v>
      </c>
      <c r="U170" s="313">
        <v>0</v>
      </c>
      <c r="V170" s="313">
        <v>0</v>
      </c>
      <c r="W170" s="313">
        <v>0</v>
      </c>
      <c r="X170" s="313">
        <v>0</v>
      </c>
      <c r="Y170" s="313">
        <v>0</v>
      </c>
      <c r="Z170" s="313">
        <v>1</v>
      </c>
      <c r="AA170" s="313">
        <v>0</v>
      </c>
      <c r="AB170" s="313">
        <v>0</v>
      </c>
      <c r="AC170" s="313">
        <v>0</v>
      </c>
      <c r="AD170" s="313">
        <v>0</v>
      </c>
      <c r="AE170" s="313">
        <v>0</v>
      </c>
      <c r="AF170" s="313">
        <v>0</v>
      </c>
      <c r="AG170" s="313">
        <v>0</v>
      </c>
      <c r="AH170" s="313">
        <v>0</v>
      </c>
      <c r="AI170" s="313">
        <v>0</v>
      </c>
      <c r="AJ170" s="313">
        <v>0</v>
      </c>
      <c r="AK170" s="313">
        <v>0</v>
      </c>
      <c r="AL170" s="313">
        <v>0</v>
      </c>
      <c r="AM170" s="313">
        <v>0</v>
      </c>
      <c r="AN170" s="313">
        <v>0</v>
      </c>
      <c r="AO170" s="313">
        <v>0</v>
      </c>
      <c r="AP170" s="313">
        <v>0</v>
      </c>
      <c r="AQ170" s="313">
        <v>1</v>
      </c>
      <c r="AR170" s="313">
        <v>0</v>
      </c>
      <c r="AS170" s="313">
        <v>0</v>
      </c>
      <c r="AT170" s="313">
        <v>0</v>
      </c>
      <c r="AU170" s="313">
        <v>1</v>
      </c>
      <c r="AV170" s="313">
        <v>1</v>
      </c>
      <c r="AW170" s="313">
        <v>0</v>
      </c>
      <c r="AX170" s="313">
        <v>0</v>
      </c>
      <c r="AY170" s="313">
        <v>0</v>
      </c>
      <c r="AZ170" s="313">
        <v>0</v>
      </c>
      <c r="BA170" s="313">
        <v>0</v>
      </c>
      <c r="BB170" s="313">
        <v>0</v>
      </c>
      <c r="BC170" s="313">
        <v>1</v>
      </c>
      <c r="BD170" s="313">
        <v>0</v>
      </c>
      <c r="BE170" s="313">
        <v>1</v>
      </c>
      <c r="BF170" s="313">
        <v>0</v>
      </c>
      <c r="BG170" s="313">
        <v>0</v>
      </c>
      <c r="BH170" s="313">
        <v>0</v>
      </c>
      <c r="BI170" s="313">
        <v>1</v>
      </c>
      <c r="BJ170" s="313">
        <v>1</v>
      </c>
      <c r="BK170" s="313">
        <v>0</v>
      </c>
    </row>
    <row r="171" spans="1:63" x14ac:dyDescent="0.25">
      <c r="A171" s="306">
        <v>331419</v>
      </c>
      <c r="B171" s="313" t="s">
        <v>156</v>
      </c>
      <c r="C171" s="313">
        <v>1</v>
      </c>
      <c r="D171" s="313">
        <v>0</v>
      </c>
      <c r="E171" s="313">
        <v>1</v>
      </c>
      <c r="F171" s="313">
        <v>1</v>
      </c>
      <c r="G171" s="313">
        <v>1</v>
      </c>
      <c r="H171" s="313">
        <v>1</v>
      </c>
      <c r="I171" s="313">
        <v>1</v>
      </c>
      <c r="J171" s="313">
        <v>1</v>
      </c>
      <c r="K171" s="313">
        <v>0</v>
      </c>
      <c r="L171" s="313">
        <v>0</v>
      </c>
      <c r="M171" s="313">
        <v>1</v>
      </c>
      <c r="N171" s="313">
        <v>0</v>
      </c>
      <c r="O171" s="313">
        <v>0</v>
      </c>
      <c r="P171" s="313">
        <v>0</v>
      </c>
      <c r="Q171" s="313">
        <v>1</v>
      </c>
      <c r="R171" s="313">
        <v>1</v>
      </c>
      <c r="S171" s="313">
        <v>0</v>
      </c>
      <c r="T171" s="313">
        <v>1</v>
      </c>
      <c r="U171" s="313">
        <v>0</v>
      </c>
      <c r="V171" s="313">
        <v>0</v>
      </c>
      <c r="W171" s="313">
        <v>1</v>
      </c>
      <c r="X171" s="313">
        <v>0</v>
      </c>
      <c r="Y171" s="313">
        <v>0</v>
      </c>
      <c r="Z171" s="313">
        <v>1</v>
      </c>
      <c r="AA171" s="313">
        <v>1</v>
      </c>
      <c r="AB171" s="313">
        <v>1</v>
      </c>
      <c r="AC171" s="313">
        <v>0</v>
      </c>
      <c r="AD171" s="313">
        <v>1</v>
      </c>
      <c r="AE171" s="313">
        <v>1</v>
      </c>
      <c r="AF171" s="313">
        <v>1</v>
      </c>
      <c r="AG171" s="313">
        <v>0</v>
      </c>
      <c r="AH171" s="313">
        <v>0</v>
      </c>
      <c r="AI171" s="313">
        <v>1</v>
      </c>
      <c r="AJ171" s="313">
        <v>1</v>
      </c>
      <c r="AK171" s="313">
        <v>1</v>
      </c>
      <c r="AL171" s="313">
        <v>1</v>
      </c>
      <c r="AM171" s="313">
        <v>1</v>
      </c>
      <c r="AN171" s="313">
        <v>0</v>
      </c>
      <c r="AO171" s="313">
        <v>1</v>
      </c>
      <c r="AP171" s="313">
        <v>1</v>
      </c>
      <c r="AQ171" s="313">
        <v>1</v>
      </c>
      <c r="AR171" s="313">
        <v>1</v>
      </c>
      <c r="AS171" s="313">
        <v>1</v>
      </c>
      <c r="AT171" s="313">
        <v>1</v>
      </c>
      <c r="AU171" s="313">
        <v>1</v>
      </c>
      <c r="AV171" s="313">
        <v>1</v>
      </c>
      <c r="AW171" s="313">
        <v>0</v>
      </c>
      <c r="AX171" s="313">
        <v>0</v>
      </c>
      <c r="AY171" s="313">
        <v>1</v>
      </c>
      <c r="AZ171" s="313">
        <v>0</v>
      </c>
      <c r="BA171" s="313">
        <v>0</v>
      </c>
      <c r="BB171" s="313">
        <v>0</v>
      </c>
      <c r="BC171" s="313">
        <v>1</v>
      </c>
      <c r="BD171" s="313">
        <v>1</v>
      </c>
      <c r="BE171" s="313">
        <v>1</v>
      </c>
      <c r="BF171" s="313">
        <v>1</v>
      </c>
      <c r="BG171" s="313">
        <v>1</v>
      </c>
      <c r="BH171" s="313">
        <v>1</v>
      </c>
      <c r="BI171" s="313">
        <v>1</v>
      </c>
      <c r="BJ171" s="313">
        <v>1</v>
      </c>
      <c r="BK171" s="313">
        <v>1</v>
      </c>
    </row>
    <row r="172" spans="1:63" x14ac:dyDescent="0.25">
      <c r="A172" s="306">
        <v>331420</v>
      </c>
      <c r="B172" s="313" t="s">
        <v>157</v>
      </c>
      <c r="C172" s="313">
        <v>1</v>
      </c>
      <c r="D172" s="313">
        <v>0</v>
      </c>
      <c r="E172" s="313">
        <v>1</v>
      </c>
      <c r="F172" s="313">
        <v>1</v>
      </c>
      <c r="G172" s="313">
        <v>1</v>
      </c>
      <c r="H172" s="313">
        <v>1</v>
      </c>
      <c r="I172" s="313">
        <v>1</v>
      </c>
      <c r="J172" s="313">
        <v>1</v>
      </c>
      <c r="K172" s="313">
        <v>0</v>
      </c>
      <c r="L172" s="313">
        <v>1</v>
      </c>
      <c r="M172" s="313">
        <v>1</v>
      </c>
      <c r="N172" s="313">
        <v>1</v>
      </c>
      <c r="O172" s="313">
        <v>0</v>
      </c>
      <c r="P172" s="313">
        <v>1</v>
      </c>
      <c r="Q172" s="313">
        <v>0</v>
      </c>
      <c r="R172" s="313">
        <v>1</v>
      </c>
      <c r="S172" s="313">
        <v>1</v>
      </c>
      <c r="T172" s="313">
        <v>1</v>
      </c>
      <c r="U172" s="313">
        <v>1</v>
      </c>
      <c r="V172" s="313">
        <v>1</v>
      </c>
      <c r="W172" s="313">
        <v>1</v>
      </c>
      <c r="X172" s="313">
        <v>1</v>
      </c>
      <c r="Y172" s="313">
        <v>1</v>
      </c>
      <c r="Z172" s="313">
        <v>1</v>
      </c>
      <c r="AA172" s="313">
        <v>1</v>
      </c>
      <c r="AB172" s="313">
        <v>1</v>
      </c>
      <c r="AC172" s="313">
        <v>1</v>
      </c>
      <c r="AD172" s="313">
        <v>0</v>
      </c>
      <c r="AE172" s="313">
        <v>1</v>
      </c>
      <c r="AF172" s="313">
        <v>0</v>
      </c>
      <c r="AG172" s="313">
        <v>1</v>
      </c>
      <c r="AH172" s="313">
        <v>1</v>
      </c>
      <c r="AI172" s="313">
        <v>1</v>
      </c>
      <c r="AJ172" s="313">
        <v>1</v>
      </c>
      <c r="AK172" s="313">
        <v>0</v>
      </c>
      <c r="AL172" s="313">
        <v>1</v>
      </c>
      <c r="AM172" s="313">
        <v>1</v>
      </c>
      <c r="AN172" s="313">
        <v>1</v>
      </c>
      <c r="AO172" s="313">
        <v>1</v>
      </c>
      <c r="AP172" s="313">
        <v>1</v>
      </c>
      <c r="AQ172" s="313">
        <v>1</v>
      </c>
      <c r="AR172" s="313">
        <v>1</v>
      </c>
      <c r="AS172" s="313">
        <v>0</v>
      </c>
      <c r="AT172" s="313">
        <v>1</v>
      </c>
      <c r="AU172" s="313">
        <v>1</v>
      </c>
      <c r="AV172" s="313">
        <v>1</v>
      </c>
      <c r="AW172" s="313">
        <v>1</v>
      </c>
      <c r="AX172" s="313">
        <v>1</v>
      </c>
      <c r="AY172" s="313">
        <v>0</v>
      </c>
      <c r="AZ172" s="313">
        <v>1</v>
      </c>
      <c r="BA172" s="313">
        <v>1</v>
      </c>
      <c r="BB172" s="313">
        <v>0</v>
      </c>
      <c r="BC172" s="313">
        <v>1</v>
      </c>
      <c r="BD172" s="313">
        <v>1</v>
      </c>
      <c r="BE172" s="313">
        <v>1</v>
      </c>
      <c r="BF172" s="313">
        <v>1</v>
      </c>
      <c r="BG172" s="313">
        <v>1</v>
      </c>
      <c r="BH172" s="313">
        <v>1</v>
      </c>
      <c r="BI172" s="313">
        <v>1</v>
      </c>
      <c r="BJ172" s="313">
        <v>1</v>
      </c>
      <c r="BK172" s="313">
        <v>1</v>
      </c>
    </row>
    <row r="173" spans="1:63" x14ac:dyDescent="0.25">
      <c r="A173" s="306">
        <v>331490</v>
      </c>
      <c r="B173" s="313" t="s">
        <v>158</v>
      </c>
      <c r="C173" s="313">
        <v>1</v>
      </c>
      <c r="D173" s="313">
        <v>0</v>
      </c>
      <c r="E173" s="313">
        <v>1</v>
      </c>
      <c r="F173" s="313">
        <v>1</v>
      </c>
      <c r="G173" s="313">
        <v>1</v>
      </c>
      <c r="H173" s="313">
        <v>1</v>
      </c>
      <c r="I173" s="313">
        <v>1</v>
      </c>
      <c r="J173" s="313">
        <v>1</v>
      </c>
      <c r="K173" s="313">
        <v>0</v>
      </c>
      <c r="L173" s="313">
        <v>0</v>
      </c>
      <c r="M173" s="313">
        <v>1</v>
      </c>
      <c r="N173" s="313">
        <v>1</v>
      </c>
      <c r="O173" s="313">
        <v>0</v>
      </c>
      <c r="P173" s="313">
        <v>0</v>
      </c>
      <c r="Q173" s="313">
        <v>1</v>
      </c>
      <c r="R173" s="313">
        <v>1</v>
      </c>
      <c r="S173" s="313">
        <v>1</v>
      </c>
      <c r="T173" s="313">
        <v>0</v>
      </c>
      <c r="U173" s="313">
        <v>1</v>
      </c>
      <c r="V173" s="313">
        <v>1</v>
      </c>
      <c r="W173" s="313">
        <v>1</v>
      </c>
      <c r="X173" s="313">
        <v>1</v>
      </c>
      <c r="Y173" s="313">
        <v>1</v>
      </c>
      <c r="Z173" s="313">
        <v>1</v>
      </c>
      <c r="AA173" s="313">
        <v>1</v>
      </c>
      <c r="AB173" s="313">
        <v>1</v>
      </c>
      <c r="AC173" s="313">
        <v>0</v>
      </c>
      <c r="AD173" s="313">
        <v>1</v>
      </c>
      <c r="AE173" s="313">
        <v>1</v>
      </c>
      <c r="AF173" s="313">
        <v>0</v>
      </c>
      <c r="AG173" s="313">
        <v>0</v>
      </c>
      <c r="AH173" s="313">
        <v>1</v>
      </c>
      <c r="AI173" s="313">
        <v>1</v>
      </c>
      <c r="AJ173" s="313">
        <v>1</v>
      </c>
      <c r="AK173" s="313">
        <v>1</v>
      </c>
      <c r="AL173" s="313">
        <v>1</v>
      </c>
      <c r="AM173" s="313">
        <v>1</v>
      </c>
      <c r="AN173" s="313">
        <v>1</v>
      </c>
      <c r="AO173" s="313">
        <v>1</v>
      </c>
      <c r="AP173" s="313">
        <v>1</v>
      </c>
      <c r="AQ173" s="313">
        <v>1</v>
      </c>
      <c r="AR173" s="313">
        <v>1</v>
      </c>
      <c r="AS173" s="313">
        <v>0</v>
      </c>
      <c r="AT173" s="313">
        <v>1</v>
      </c>
      <c r="AU173" s="313">
        <v>1</v>
      </c>
      <c r="AV173" s="313">
        <v>1</v>
      </c>
      <c r="AW173" s="313">
        <v>1</v>
      </c>
      <c r="AX173" s="313">
        <v>0</v>
      </c>
      <c r="AY173" s="313">
        <v>1</v>
      </c>
      <c r="AZ173" s="313">
        <v>1</v>
      </c>
      <c r="BA173" s="313">
        <v>1</v>
      </c>
      <c r="BB173" s="313">
        <v>0</v>
      </c>
      <c r="BC173" s="313">
        <v>1</v>
      </c>
      <c r="BD173" s="313">
        <v>1</v>
      </c>
      <c r="BE173" s="313">
        <v>1</v>
      </c>
      <c r="BF173" s="313">
        <v>1</v>
      </c>
      <c r="BG173" s="313">
        <v>1</v>
      </c>
      <c r="BH173" s="313">
        <v>1</v>
      </c>
      <c r="BI173" s="313">
        <v>1</v>
      </c>
      <c r="BJ173" s="313">
        <v>1</v>
      </c>
      <c r="BK173" s="313">
        <v>1</v>
      </c>
    </row>
    <row r="174" spans="1:63" x14ac:dyDescent="0.25">
      <c r="A174" s="306">
        <v>331510</v>
      </c>
      <c r="B174" s="313" t="s">
        <v>159</v>
      </c>
      <c r="C174" s="313">
        <v>1</v>
      </c>
      <c r="D174" s="313">
        <v>0</v>
      </c>
      <c r="E174" s="313">
        <v>1</v>
      </c>
      <c r="F174" s="313">
        <v>1</v>
      </c>
      <c r="G174" s="313">
        <v>1</v>
      </c>
      <c r="H174" s="313">
        <v>1</v>
      </c>
      <c r="I174" s="313">
        <v>1</v>
      </c>
      <c r="J174" s="313">
        <v>1</v>
      </c>
      <c r="K174" s="313">
        <v>0</v>
      </c>
      <c r="L174" s="313">
        <v>0</v>
      </c>
      <c r="M174" s="313">
        <v>1</v>
      </c>
      <c r="N174" s="313">
        <v>1</v>
      </c>
      <c r="O174" s="313">
        <v>0</v>
      </c>
      <c r="P174" s="313">
        <v>1</v>
      </c>
      <c r="Q174" s="313">
        <v>1</v>
      </c>
      <c r="R174" s="313">
        <v>1</v>
      </c>
      <c r="S174" s="313">
        <v>1</v>
      </c>
      <c r="T174" s="313">
        <v>1</v>
      </c>
      <c r="U174" s="313">
        <v>1</v>
      </c>
      <c r="V174" s="313">
        <v>1</v>
      </c>
      <c r="W174" s="313">
        <v>1</v>
      </c>
      <c r="X174" s="313">
        <v>1</v>
      </c>
      <c r="Y174" s="313">
        <v>1</v>
      </c>
      <c r="Z174" s="313">
        <v>1</v>
      </c>
      <c r="AA174" s="313">
        <v>1</v>
      </c>
      <c r="AB174" s="313">
        <v>1</v>
      </c>
      <c r="AC174" s="313">
        <v>1</v>
      </c>
      <c r="AD174" s="313">
        <v>1</v>
      </c>
      <c r="AE174" s="313">
        <v>1</v>
      </c>
      <c r="AF174" s="313">
        <v>0</v>
      </c>
      <c r="AG174" s="313">
        <v>1</v>
      </c>
      <c r="AH174" s="313">
        <v>1</v>
      </c>
      <c r="AI174" s="313">
        <v>1</v>
      </c>
      <c r="AJ174" s="313">
        <v>1</v>
      </c>
      <c r="AK174" s="313">
        <v>1</v>
      </c>
      <c r="AL174" s="313">
        <v>1</v>
      </c>
      <c r="AM174" s="313">
        <v>1</v>
      </c>
      <c r="AN174" s="313">
        <v>1</v>
      </c>
      <c r="AO174" s="313">
        <v>1</v>
      </c>
      <c r="AP174" s="313">
        <v>1</v>
      </c>
      <c r="AQ174" s="313">
        <v>1</v>
      </c>
      <c r="AR174" s="313">
        <v>1</v>
      </c>
      <c r="AS174" s="313">
        <v>1</v>
      </c>
      <c r="AT174" s="313">
        <v>1</v>
      </c>
      <c r="AU174" s="313">
        <v>1</v>
      </c>
      <c r="AV174" s="313">
        <v>1</v>
      </c>
      <c r="AW174" s="313">
        <v>1</v>
      </c>
      <c r="AX174" s="313">
        <v>1</v>
      </c>
      <c r="AY174" s="313">
        <v>1</v>
      </c>
      <c r="AZ174" s="313">
        <v>1</v>
      </c>
      <c r="BA174" s="313">
        <v>1</v>
      </c>
      <c r="BB174" s="313">
        <v>0</v>
      </c>
      <c r="BC174" s="313">
        <v>1</v>
      </c>
      <c r="BD174" s="313">
        <v>1</v>
      </c>
      <c r="BE174" s="313">
        <v>1</v>
      </c>
      <c r="BF174" s="313">
        <v>1</v>
      </c>
      <c r="BG174" s="313">
        <v>1</v>
      </c>
      <c r="BH174" s="313">
        <v>1</v>
      </c>
      <c r="BI174" s="313">
        <v>1</v>
      </c>
      <c r="BJ174" s="313">
        <v>1</v>
      </c>
      <c r="BK174" s="313">
        <v>1</v>
      </c>
    </row>
    <row r="175" spans="1:63" x14ac:dyDescent="0.25">
      <c r="A175" s="306">
        <v>331520</v>
      </c>
      <c r="B175" s="313" t="s">
        <v>160</v>
      </c>
      <c r="C175" s="313">
        <v>1</v>
      </c>
      <c r="D175" s="313">
        <v>0</v>
      </c>
      <c r="E175" s="313">
        <v>1</v>
      </c>
      <c r="F175" s="313">
        <v>1</v>
      </c>
      <c r="G175" s="313">
        <v>1</v>
      </c>
      <c r="H175" s="313">
        <v>1</v>
      </c>
      <c r="I175" s="313">
        <v>1</v>
      </c>
      <c r="J175" s="313">
        <v>1</v>
      </c>
      <c r="K175" s="313">
        <v>0</v>
      </c>
      <c r="L175" s="313">
        <v>0</v>
      </c>
      <c r="M175" s="313">
        <v>1</v>
      </c>
      <c r="N175" s="313">
        <v>1</v>
      </c>
      <c r="O175" s="313">
        <v>0</v>
      </c>
      <c r="P175" s="313">
        <v>1</v>
      </c>
      <c r="Q175" s="313">
        <v>1</v>
      </c>
      <c r="R175" s="313">
        <v>1</v>
      </c>
      <c r="S175" s="313">
        <v>1</v>
      </c>
      <c r="T175" s="313">
        <v>1</v>
      </c>
      <c r="U175" s="313">
        <v>1</v>
      </c>
      <c r="V175" s="313">
        <v>1</v>
      </c>
      <c r="W175" s="313">
        <v>1</v>
      </c>
      <c r="X175" s="313">
        <v>1</v>
      </c>
      <c r="Y175" s="313">
        <v>1</v>
      </c>
      <c r="Z175" s="313">
        <v>1</v>
      </c>
      <c r="AA175" s="313">
        <v>1</v>
      </c>
      <c r="AB175" s="313">
        <v>1</v>
      </c>
      <c r="AC175" s="313">
        <v>1</v>
      </c>
      <c r="AD175" s="313">
        <v>1</v>
      </c>
      <c r="AE175" s="313">
        <v>1</v>
      </c>
      <c r="AF175" s="313">
        <v>0</v>
      </c>
      <c r="AG175" s="313">
        <v>1</v>
      </c>
      <c r="AH175" s="313">
        <v>1</v>
      </c>
      <c r="AI175" s="313">
        <v>1</v>
      </c>
      <c r="AJ175" s="313">
        <v>1</v>
      </c>
      <c r="AK175" s="313">
        <v>1</v>
      </c>
      <c r="AL175" s="313">
        <v>1</v>
      </c>
      <c r="AM175" s="313">
        <v>1</v>
      </c>
      <c r="AN175" s="313">
        <v>1</v>
      </c>
      <c r="AO175" s="313">
        <v>1</v>
      </c>
      <c r="AP175" s="313">
        <v>1</v>
      </c>
      <c r="AQ175" s="313">
        <v>1</v>
      </c>
      <c r="AR175" s="313">
        <v>1</v>
      </c>
      <c r="AS175" s="313">
        <v>1</v>
      </c>
      <c r="AT175" s="313">
        <v>1</v>
      </c>
      <c r="AU175" s="313">
        <v>1</v>
      </c>
      <c r="AV175" s="313">
        <v>1</v>
      </c>
      <c r="AW175" s="313">
        <v>1</v>
      </c>
      <c r="AX175" s="313">
        <v>0</v>
      </c>
      <c r="AY175" s="313">
        <v>1</v>
      </c>
      <c r="AZ175" s="313">
        <v>1</v>
      </c>
      <c r="BA175" s="313">
        <v>1</v>
      </c>
      <c r="BB175" s="313">
        <v>1</v>
      </c>
      <c r="BC175" s="313">
        <v>1</v>
      </c>
      <c r="BD175" s="313">
        <v>1</v>
      </c>
      <c r="BE175" s="313">
        <v>1</v>
      </c>
      <c r="BF175" s="313">
        <v>1</v>
      </c>
      <c r="BG175" s="313">
        <v>1</v>
      </c>
      <c r="BH175" s="313">
        <v>1</v>
      </c>
      <c r="BI175" s="313">
        <v>1</v>
      </c>
      <c r="BJ175" s="313">
        <v>1</v>
      </c>
      <c r="BK175" s="313">
        <v>1</v>
      </c>
    </row>
    <row r="176" spans="1:63" x14ac:dyDescent="0.25">
      <c r="A176" s="306">
        <v>332114</v>
      </c>
      <c r="B176" s="313" t="s">
        <v>162</v>
      </c>
      <c r="C176" s="313">
        <v>1</v>
      </c>
      <c r="D176" s="313">
        <v>1</v>
      </c>
      <c r="E176" s="313">
        <v>1</v>
      </c>
      <c r="F176" s="313">
        <v>1</v>
      </c>
      <c r="G176" s="313">
        <v>0</v>
      </c>
      <c r="H176" s="313">
        <v>1</v>
      </c>
      <c r="I176" s="313">
        <v>1</v>
      </c>
      <c r="J176" s="313">
        <v>1</v>
      </c>
      <c r="K176" s="313">
        <v>0</v>
      </c>
      <c r="L176" s="313">
        <v>0</v>
      </c>
      <c r="M176" s="313">
        <v>1</v>
      </c>
      <c r="N176" s="313">
        <v>1</v>
      </c>
      <c r="O176" s="313">
        <v>0</v>
      </c>
      <c r="P176" s="313">
        <v>0</v>
      </c>
      <c r="Q176" s="313">
        <v>1</v>
      </c>
      <c r="R176" s="313">
        <v>1</v>
      </c>
      <c r="S176" s="313">
        <v>1</v>
      </c>
      <c r="T176" s="313">
        <v>1</v>
      </c>
      <c r="U176" s="313">
        <v>1</v>
      </c>
      <c r="V176" s="313">
        <v>1</v>
      </c>
      <c r="W176" s="313">
        <v>1</v>
      </c>
      <c r="X176" s="313">
        <v>1</v>
      </c>
      <c r="Y176" s="313">
        <v>0</v>
      </c>
      <c r="Z176" s="313">
        <v>1</v>
      </c>
      <c r="AA176" s="313">
        <v>1</v>
      </c>
      <c r="AB176" s="313">
        <v>1</v>
      </c>
      <c r="AC176" s="313">
        <v>1</v>
      </c>
      <c r="AD176" s="313">
        <v>0</v>
      </c>
      <c r="AE176" s="313">
        <v>1</v>
      </c>
      <c r="AF176" s="313">
        <v>0</v>
      </c>
      <c r="AG176" s="313">
        <v>1</v>
      </c>
      <c r="AH176" s="313">
        <v>1</v>
      </c>
      <c r="AI176" s="313">
        <v>1</v>
      </c>
      <c r="AJ176" s="313">
        <v>1</v>
      </c>
      <c r="AK176" s="313">
        <v>1</v>
      </c>
      <c r="AL176" s="313">
        <v>1</v>
      </c>
      <c r="AM176" s="313">
        <v>1</v>
      </c>
      <c r="AN176" s="313">
        <v>1</v>
      </c>
      <c r="AO176" s="313">
        <v>1</v>
      </c>
      <c r="AP176" s="313">
        <v>1</v>
      </c>
      <c r="AQ176" s="313">
        <v>0</v>
      </c>
      <c r="AR176" s="313">
        <v>1</v>
      </c>
      <c r="AS176" s="313">
        <v>0</v>
      </c>
      <c r="AT176" s="313">
        <v>1</v>
      </c>
      <c r="AU176" s="313">
        <v>1</v>
      </c>
      <c r="AV176" s="313">
        <v>0</v>
      </c>
      <c r="AW176" s="313">
        <v>0</v>
      </c>
      <c r="AX176" s="313">
        <v>0</v>
      </c>
      <c r="AY176" s="313">
        <v>1</v>
      </c>
      <c r="AZ176" s="313">
        <v>1</v>
      </c>
      <c r="BA176" s="313">
        <v>1</v>
      </c>
      <c r="BB176" s="313">
        <v>0</v>
      </c>
      <c r="BC176" s="313">
        <v>1</v>
      </c>
      <c r="BD176" s="313">
        <v>1</v>
      </c>
      <c r="BE176" s="313">
        <v>1</v>
      </c>
      <c r="BF176" s="313">
        <v>1</v>
      </c>
      <c r="BG176" s="313">
        <v>1</v>
      </c>
      <c r="BH176" s="313">
        <v>1</v>
      </c>
      <c r="BI176" s="313">
        <v>1</v>
      </c>
      <c r="BJ176" s="313">
        <v>1</v>
      </c>
      <c r="BK176" s="313">
        <v>1</v>
      </c>
    </row>
    <row r="177" spans="1:63" x14ac:dyDescent="0.25">
      <c r="A177" s="306" t="s">
        <v>724</v>
      </c>
      <c r="B177" s="313" t="s">
        <v>161</v>
      </c>
      <c r="C177" s="313">
        <v>1</v>
      </c>
      <c r="D177" s="313">
        <v>1</v>
      </c>
      <c r="E177" s="313">
        <v>1</v>
      </c>
      <c r="F177" s="313">
        <v>1</v>
      </c>
      <c r="G177" s="313">
        <v>1</v>
      </c>
      <c r="H177" s="313">
        <v>1</v>
      </c>
      <c r="I177" s="313">
        <v>1</v>
      </c>
      <c r="J177" s="313">
        <v>1</v>
      </c>
      <c r="K177" s="313">
        <v>0</v>
      </c>
      <c r="L177" s="313">
        <v>0</v>
      </c>
      <c r="M177" s="313">
        <v>1</v>
      </c>
      <c r="N177" s="313">
        <v>1</v>
      </c>
      <c r="O177" s="313">
        <v>0</v>
      </c>
      <c r="P177" s="313">
        <v>1</v>
      </c>
      <c r="Q177" s="313">
        <v>1</v>
      </c>
      <c r="R177" s="313">
        <v>1</v>
      </c>
      <c r="S177" s="313">
        <v>1</v>
      </c>
      <c r="T177" s="313">
        <v>1</v>
      </c>
      <c r="U177" s="313">
        <v>1</v>
      </c>
      <c r="V177" s="313">
        <v>1</v>
      </c>
      <c r="W177" s="313">
        <v>1</v>
      </c>
      <c r="X177" s="313">
        <v>1</v>
      </c>
      <c r="Y177" s="313">
        <v>0</v>
      </c>
      <c r="Z177" s="313">
        <v>1</v>
      </c>
      <c r="AA177" s="313">
        <v>1</v>
      </c>
      <c r="AB177" s="313">
        <v>1</v>
      </c>
      <c r="AC177" s="313">
        <v>1</v>
      </c>
      <c r="AD177" s="313">
        <v>1</v>
      </c>
      <c r="AE177" s="313">
        <v>1</v>
      </c>
      <c r="AF177" s="313">
        <v>0</v>
      </c>
      <c r="AG177" s="313">
        <v>1</v>
      </c>
      <c r="AH177" s="313">
        <v>0</v>
      </c>
      <c r="AI177" s="313">
        <v>1</v>
      </c>
      <c r="AJ177" s="313">
        <v>1</v>
      </c>
      <c r="AK177" s="313">
        <v>1</v>
      </c>
      <c r="AL177" s="313">
        <v>1</v>
      </c>
      <c r="AM177" s="313">
        <v>1</v>
      </c>
      <c r="AN177" s="313">
        <v>1</v>
      </c>
      <c r="AO177" s="313">
        <v>1</v>
      </c>
      <c r="AP177" s="313">
        <v>1</v>
      </c>
      <c r="AQ177" s="313">
        <v>1</v>
      </c>
      <c r="AR177" s="313">
        <v>1</v>
      </c>
      <c r="AS177" s="313">
        <v>1</v>
      </c>
      <c r="AT177" s="313">
        <v>1</v>
      </c>
      <c r="AU177" s="313">
        <v>1</v>
      </c>
      <c r="AV177" s="313">
        <v>1</v>
      </c>
      <c r="AW177" s="313">
        <v>1</v>
      </c>
      <c r="AX177" s="313">
        <v>1</v>
      </c>
      <c r="AY177" s="313">
        <v>1</v>
      </c>
      <c r="AZ177" s="313">
        <v>1</v>
      </c>
      <c r="BA177" s="313">
        <v>1</v>
      </c>
      <c r="BB177" s="313">
        <v>1</v>
      </c>
      <c r="BC177" s="313">
        <v>1</v>
      </c>
      <c r="BD177" s="313">
        <v>1</v>
      </c>
      <c r="BE177" s="313">
        <v>1</v>
      </c>
      <c r="BF177" s="313">
        <v>1</v>
      </c>
      <c r="BG177" s="313">
        <v>1</v>
      </c>
      <c r="BH177" s="313">
        <v>1</v>
      </c>
      <c r="BI177" s="313">
        <v>1</v>
      </c>
      <c r="BJ177" s="313">
        <v>1</v>
      </c>
      <c r="BK177" s="313">
        <v>1</v>
      </c>
    </row>
    <row r="178" spans="1:63" x14ac:dyDescent="0.25">
      <c r="A178" s="306" t="s">
        <v>725</v>
      </c>
      <c r="B178" s="313" t="s">
        <v>163</v>
      </c>
      <c r="C178" s="313">
        <v>1</v>
      </c>
      <c r="D178" s="313">
        <v>0</v>
      </c>
      <c r="E178" s="313">
        <v>1</v>
      </c>
      <c r="F178" s="313">
        <v>1</v>
      </c>
      <c r="G178" s="313">
        <v>1</v>
      </c>
      <c r="H178" s="313">
        <v>1</v>
      </c>
      <c r="I178" s="313">
        <v>1</v>
      </c>
      <c r="J178" s="313">
        <v>1</v>
      </c>
      <c r="K178" s="313">
        <v>1</v>
      </c>
      <c r="L178" s="313">
        <v>1</v>
      </c>
      <c r="M178" s="313">
        <v>1</v>
      </c>
      <c r="N178" s="313">
        <v>1</v>
      </c>
      <c r="O178" s="313">
        <v>0</v>
      </c>
      <c r="P178" s="313">
        <v>1</v>
      </c>
      <c r="Q178" s="313">
        <v>0</v>
      </c>
      <c r="R178" s="313">
        <v>1</v>
      </c>
      <c r="S178" s="313">
        <v>1</v>
      </c>
      <c r="T178" s="313">
        <v>1</v>
      </c>
      <c r="U178" s="313">
        <v>1</v>
      </c>
      <c r="V178" s="313">
        <v>0</v>
      </c>
      <c r="W178" s="313">
        <v>1</v>
      </c>
      <c r="X178" s="313">
        <v>1</v>
      </c>
      <c r="Y178" s="313">
        <v>1</v>
      </c>
      <c r="Z178" s="313">
        <v>1</v>
      </c>
      <c r="AA178" s="313">
        <v>1</v>
      </c>
      <c r="AB178" s="313">
        <v>1</v>
      </c>
      <c r="AC178" s="313">
        <v>1</v>
      </c>
      <c r="AD178" s="313">
        <v>1</v>
      </c>
      <c r="AE178" s="313">
        <v>1</v>
      </c>
      <c r="AF178" s="313">
        <v>1</v>
      </c>
      <c r="AG178" s="313">
        <v>1</v>
      </c>
      <c r="AH178" s="313">
        <v>1</v>
      </c>
      <c r="AI178" s="313">
        <v>1</v>
      </c>
      <c r="AJ178" s="313">
        <v>1</v>
      </c>
      <c r="AK178" s="313">
        <v>1</v>
      </c>
      <c r="AL178" s="313">
        <v>1</v>
      </c>
      <c r="AM178" s="313">
        <v>1</v>
      </c>
      <c r="AN178" s="313">
        <v>1</v>
      </c>
      <c r="AO178" s="313">
        <v>1</v>
      </c>
      <c r="AP178" s="313">
        <v>1</v>
      </c>
      <c r="AQ178" s="313">
        <v>1</v>
      </c>
      <c r="AR178" s="313">
        <v>1</v>
      </c>
      <c r="AS178" s="313">
        <v>1</v>
      </c>
      <c r="AT178" s="313">
        <v>1</v>
      </c>
      <c r="AU178" s="313">
        <v>1</v>
      </c>
      <c r="AV178" s="313">
        <v>1</v>
      </c>
      <c r="AW178" s="313">
        <v>1</v>
      </c>
      <c r="AX178" s="313">
        <v>1</v>
      </c>
      <c r="AY178" s="313">
        <v>1</v>
      </c>
      <c r="AZ178" s="313">
        <v>1</v>
      </c>
      <c r="BA178" s="313">
        <v>1</v>
      </c>
      <c r="BB178" s="313">
        <v>0</v>
      </c>
      <c r="BC178" s="313">
        <v>1</v>
      </c>
      <c r="BD178" s="313">
        <v>1</v>
      </c>
      <c r="BE178" s="313">
        <v>1</v>
      </c>
      <c r="BF178" s="313">
        <v>1</v>
      </c>
      <c r="BG178" s="313">
        <v>1</v>
      </c>
      <c r="BH178" s="313">
        <v>1</v>
      </c>
      <c r="BI178" s="313">
        <v>1</v>
      </c>
      <c r="BJ178" s="313">
        <v>1</v>
      </c>
      <c r="BK178" s="313">
        <v>1</v>
      </c>
    </row>
    <row r="179" spans="1:63" x14ac:dyDescent="0.25">
      <c r="A179" s="306" t="s">
        <v>726</v>
      </c>
      <c r="B179" s="313" t="s">
        <v>164</v>
      </c>
      <c r="C179" s="313">
        <v>1</v>
      </c>
      <c r="D179" s="313">
        <v>1</v>
      </c>
      <c r="E179" s="313">
        <v>1</v>
      </c>
      <c r="F179" s="313">
        <v>1</v>
      </c>
      <c r="G179" s="313">
        <v>1</v>
      </c>
      <c r="H179" s="313">
        <v>1</v>
      </c>
      <c r="I179" s="313">
        <v>1</v>
      </c>
      <c r="J179" s="313">
        <v>1</v>
      </c>
      <c r="K179" s="313">
        <v>0</v>
      </c>
      <c r="L179" s="313">
        <v>0</v>
      </c>
      <c r="M179" s="313">
        <v>1</v>
      </c>
      <c r="N179" s="313">
        <v>1</v>
      </c>
      <c r="O179" s="313">
        <v>0</v>
      </c>
      <c r="P179" s="313">
        <v>1</v>
      </c>
      <c r="Q179" s="313">
        <v>1</v>
      </c>
      <c r="R179" s="313">
        <v>1</v>
      </c>
      <c r="S179" s="313">
        <v>1</v>
      </c>
      <c r="T179" s="313">
        <v>1</v>
      </c>
      <c r="U179" s="313">
        <v>1</v>
      </c>
      <c r="V179" s="313">
        <v>0</v>
      </c>
      <c r="W179" s="313">
        <v>1</v>
      </c>
      <c r="X179" s="313">
        <v>1</v>
      </c>
      <c r="Y179" s="313">
        <v>0</v>
      </c>
      <c r="Z179" s="313">
        <v>1</v>
      </c>
      <c r="AA179" s="313">
        <v>1</v>
      </c>
      <c r="AB179" s="313">
        <v>1</v>
      </c>
      <c r="AC179" s="313">
        <v>0</v>
      </c>
      <c r="AD179" s="313">
        <v>1</v>
      </c>
      <c r="AE179" s="313">
        <v>1</v>
      </c>
      <c r="AF179" s="313">
        <v>1</v>
      </c>
      <c r="AG179" s="313">
        <v>1</v>
      </c>
      <c r="AH179" s="313">
        <v>1</v>
      </c>
      <c r="AI179" s="313">
        <v>1</v>
      </c>
      <c r="AJ179" s="313">
        <v>1</v>
      </c>
      <c r="AK179" s="313">
        <v>0</v>
      </c>
      <c r="AL179" s="313">
        <v>1</v>
      </c>
      <c r="AM179" s="313">
        <v>1</v>
      </c>
      <c r="AN179" s="313">
        <v>1</v>
      </c>
      <c r="AO179" s="313">
        <v>1</v>
      </c>
      <c r="AP179" s="313">
        <v>1</v>
      </c>
      <c r="AQ179" s="313">
        <v>0</v>
      </c>
      <c r="AR179" s="313">
        <v>1</v>
      </c>
      <c r="AS179" s="313">
        <v>0</v>
      </c>
      <c r="AT179" s="313">
        <v>1</v>
      </c>
      <c r="AU179" s="313">
        <v>1</v>
      </c>
      <c r="AV179" s="313">
        <v>0</v>
      </c>
      <c r="AW179" s="313">
        <v>1</v>
      </c>
      <c r="AX179" s="313">
        <v>1</v>
      </c>
      <c r="AY179" s="313">
        <v>1</v>
      </c>
      <c r="AZ179" s="313">
        <v>1</v>
      </c>
      <c r="BA179" s="313">
        <v>1</v>
      </c>
      <c r="BB179" s="313">
        <v>0</v>
      </c>
      <c r="BC179" s="313">
        <v>1</v>
      </c>
      <c r="BD179" s="313">
        <v>1</v>
      </c>
      <c r="BE179" s="313">
        <v>1</v>
      </c>
      <c r="BF179" s="313">
        <v>1</v>
      </c>
      <c r="BG179" s="313">
        <v>1</v>
      </c>
      <c r="BH179" s="313">
        <v>1</v>
      </c>
      <c r="BI179" s="313">
        <v>1</v>
      </c>
      <c r="BJ179" s="313">
        <v>1</v>
      </c>
      <c r="BK179" s="313">
        <v>1</v>
      </c>
    </row>
    <row r="180" spans="1:63" x14ac:dyDescent="0.25">
      <c r="A180" s="306" t="s">
        <v>727</v>
      </c>
      <c r="B180" s="313" t="s">
        <v>165</v>
      </c>
      <c r="C180" s="313">
        <v>1</v>
      </c>
      <c r="D180" s="313">
        <v>1</v>
      </c>
      <c r="E180" s="313">
        <v>1</v>
      </c>
      <c r="F180" s="313">
        <v>1</v>
      </c>
      <c r="G180" s="313">
        <v>1</v>
      </c>
      <c r="H180" s="313">
        <v>1</v>
      </c>
      <c r="I180" s="313">
        <v>1</v>
      </c>
      <c r="J180" s="313">
        <v>1</v>
      </c>
      <c r="K180" s="313">
        <v>0</v>
      </c>
      <c r="L180" s="313">
        <v>1</v>
      </c>
      <c r="M180" s="313">
        <v>1</v>
      </c>
      <c r="N180" s="313">
        <v>1</v>
      </c>
      <c r="O180" s="313">
        <v>0</v>
      </c>
      <c r="P180" s="313">
        <v>1</v>
      </c>
      <c r="Q180" s="313">
        <v>1</v>
      </c>
      <c r="R180" s="313">
        <v>1</v>
      </c>
      <c r="S180" s="313">
        <v>1</v>
      </c>
      <c r="T180" s="313">
        <v>1</v>
      </c>
      <c r="U180" s="313">
        <v>1</v>
      </c>
      <c r="V180" s="313">
        <v>1</v>
      </c>
      <c r="W180" s="313">
        <v>1</v>
      </c>
      <c r="X180" s="313">
        <v>1</v>
      </c>
      <c r="Y180" s="313">
        <v>1</v>
      </c>
      <c r="Z180" s="313">
        <v>1</v>
      </c>
      <c r="AA180" s="313">
        <v>1</v>
      </c>
      <c r="AB180" s="313">
        <v>1</v>
      </c>
      <c r="AC180" s="313">
        <v>1</v>
      </c>
      <c r="AD180" s="313">
        <v>1</v>
      </c>
      <c r="AE180" s="313">
        <v>1</v>
      </c>
      <c r="AF180" s="313">
        <v>1</v>
      </c>
      <c r="AG180" s="313">
        <v>1</v>
      </c>
      <c r="AH180" s="313">
        <v>1</v>
      </c>
      <c r="AI180" s="313">
        <v>1</v>
      </c>
      <c r="AJ180" s="313">
        <v>1</v>
      </c>
      <c r="AK180" s="313">
        <v>1</v>
      </c>
      <c r="AL180" s="313">
        <v>1</v>
      </c>
      <c r="AM180" s="313">
        <v>1</v>
      </c>
      <c r="AN180" s="313">
        <v>1</v>
      </c>
      <c r="AO180" s="313">
        <v>1</v>
      </c>
      <c r="AP180" s="313">
        <v>1</v>
      </c>
      <c r="AQ180" s="313">
        <v>1</v>
      </c>
      <c r="AR180" s="313">
        <v>1</v>
      </c>
      <c r="AS180" s="313">
        <v>1</v>
      </c>
      <c r="AT180" s="313">
        <v>1</v>
      </c>
      <c r="AU180" s="313">
        <v>1</v>
      </c>
      <c r="AV180" s="313">
        <v>1</v>
      </c>
      <c r="AW180" s="313">
        <v>1</v>
      </c>
      <c r="AX180" s="313">
        <v>1</v>
      </c>
      <c r="AY180" s="313">
        <v>1</v>
      </c>
      <c r="AZ180" s="313">
        <v>1</v>
      </c>
      <c r="BA180" s="313">
        <v>1</v>
      </c>
      <c r="BB180" s="313">
        <v>1</v>
      </c>
      <c r="BC180" s="313">
        <v>1</v>
      </c>
      <c r="BD180" s="313">
        <v>1</v>
      </c>
      <c r="BE180" s="313">
        <v>1</v>
      </c>
      <c r="BF180" s="313">
        <v>1</v>
      </c>
      <c r="BG180" s="313">
        <v>1</v>
      </c>
      <c r="BH180" s="313">
        <v>1</v>
      </c>
      <c r="BI180" s="313">
        <v>1</v>
      </c>
      <c r="BJ180" s="313">
        <v>1</v>
      </c>
      <c r="BK180" s="313">
        <v>1</v>
      </c>
    </row>
    <row r="181" spans="1:63" x14ac:dyDescent="0.25">
      <c r="A181" s="306">
        <v>332310</v>
      </c>
      <c r="B181" s="313" t="s">
        <v>166</v>
      </c>
      <c r="C181" s="313">
        <v>1</v>
      </c>
      <c r="D181" s="313">
        <v>1</v>
      </c>
      <c r="E181" s="313">
        <v>1</v>
      </c>
      <c r="F181" s="313">
        <v>1</v>
      </c>
      <c r="G181" s="313">
        <v>1</v>
      </c>
      <c r="H181" s="313">
        <v>1</v>
      </c>
      <c r="I181" s="313">
        <v>1</v>
      </c>
      <c r="J181" s="313">
        <v>1</v>
      </c>
      <c r="K181" s="313">
        <v>1</v>
      </c>
      <c r="L181" s="313">
        <v>1</v>
      </c>
      <c r="M181" s="313">
        <v>1</v>
      </c>
      <c r="N181" s="313">
        <v>1</v>
      </c>
      <c r="O181" s="313">
        <v>1</v>
      </c>
      <c r="P181" s="313">
        <v>1</v>
      </c>
      <c r="Q181" s="313">
        <v>1</v>
      </c>
      <c r="R181" s="313">
        <v>1</v>
      </c>
      <c r="S181" s="313">
        <v>1</v>
      </c>
      <c r="T181" s="313">
        <v>1</v>
      </c>
      <c r="U181" s="313">
        <v>1</v>
      </c>
      <c r="V181" s="313">
        <v>1</v>
      </c>
      <c r="W181" s="313">
        <v>1</v>
      </c>
      <c r="X181" s="313">
        <v>1</v>
      </c>
      <c r="Y181" s="313">
        <v>1</v>
      </c>
      <c r="Z181" s="313">
        <v>1</v>
      </c>
      <c r="AA181" s="313">
        <v>1</v>
      </c>
      <c r="AB181" s="313">
        <v>1</v>
      </c>
      <c r="AC181" s="313">
        <v>1</v>
      </c>
      <c r="AD181" s="313">
        <v>1</v>
      </c>
      <c r="AE181" s="313">
        <v>1</v>
      </c>
      <c r="AF181" s="313">
        <v>1</v>
      </c>
      <c r="AG181" s="313">
        <v>1</v>
      </c>
      <c r="AH181" s="313">
        <v>1</v>
      </c>
      <c r="AI181" s="313">
        <v>1</v>
      </c>
      <c r="AJ181" s="313">
        <v>1</v>
      </c>
      <c r="AK181" s="313">
        <v>1</v>
      </c>
      <c r="AL181" s="313">
        <v>1</v>
      </c>
      <c r="AM181" s="313">
        <v>1</v>
      </c>
      <c r="AN181" s="313">
        <v>1</v>
      </c>
      <c r="AO181" s="313">
        <v>1</v>
      </c>
      <c r="AP181" s="313">
        <v>1</v>
      </c>
      <c r="AQ181" s="313">
        <v>1</v>
      </c>
      <c r="AR181" s="313">
        <v>1</v>
      </c>
      <c r="AS181" s="313">
        <v>1</v>
      </c>
      <c r="AT181" s="313">
        <v>1</v>
      </c>
      <c r="AU181" s="313">
        <v>1</v>
      </c>
      <c r="AV181" s="313">
        <v>1</v>
      </c>
      <c r="AW181" s="313">
        <v>1</v>
      </c>
      <c r="AX181" s="313">
        <v>1</v>
      </c>
      <c r="AY181" s="313">
        <v>1</v>
      </c>
      <c r="AZ181" s="313">
        <v>1</v>
      </c>
      <c r="BA181" s="313">
        <v>1</v>
      </c>
      <c r="BB181" s="313">
        <v>1</v>
      </c>
      <c r="BC181" s="313">
        <v>1</v>
      </c>
      <c r="BD181" s="313">
        <v>1</v>
      </c>
      <c r="BE181" s="313">
        <v>1</v>
      </c>
      <c r="BF181" s="313">
        <v>1</v>
      </c>
      <c r="BG181" s="313">
        <v>1</v>
      </c>
      <c r="BH181" s="313">
        <v>1</v>
      </c>
      <c r="BI181" s="313">
        <v>1</v>
      </c>
      <c r="BJ181" s="313">
        <v>1</v>
      </c>
      <c r="BK181" s="313">
        <v>1</v>
      </c>
    </row>
    <row r="182" spans="1:63" x14ac:dyDescent="0.25">
      <c r="A182" s="306">
        <v>332320</v>
      </c>
      <c r="B182" s="313" t="s">
        <v>167</v>
      </c>
      <c r="C182" s="313">
        <v>1</v>
      </c>
      <c r="D182" s="313">
        <v>1</v>
      </c>
      <c r="E182" s="313">
        <v>1</v>
      </c>
      <c r="F182" s="313">
        <v>1</v>
      </c>
      <c r="G182" s="313">
        <v>1</v>
      </c>
      <c r="H182" s="313">
        <v>1</v>
      </c>
      <c r="I182" s="313">
        <v>1</v>
      </c>
      <c r="J182" s="313">
        <v>1</v>
      </c>
      <c r="K182" s="313">
        <v>1</v>
      </c>
      <c r="L182" s="313">
        <v>1</v>
      </c>
      <c r="M182" s="313">
        <v>1</v>
      </c>
      <c r="N182" s="313">
        <v>1</v>
      </c>
      <c r="O182" s="313">
        <v>1</v>
      </c>
      <c r="P182" s="313">
        <v>1</v>
      </c>
      <c r="Q182" s="313">
        <v>1</v>
      </c>
      <c r="R182" s="313">
        <v>1</v>
      </c>
      <c r="S182" s="313">
        <v>1</v>
      </c>
      <c r="T182" s="313">
        <v>1</v>
      </c>
      <c r="U182" s="313">
        <v>1</v>
      </c>
      <c r="V182" s="313">
        <v>1</v>
      </c>
      <c r="W182" s="313">
        <v>1</v>
      </c>
      <c r="X182" s="313">
        <v>1</v>
      </c>
      <c r="Y182" s="313">
        <v>1</v>
      </c>
      <c r="Z182" s="313">
        <v>1</v>
      </c>
      <c r="AA182" s="313">
        <v>1</v>
      </c>
      <c r="AB182" s="313">
        <v>1</v>
      </c>
      <c r="AC182" s="313">
        <v>1</v>
      </c>
      <c r="AD182" s="313">
        <v>1</v>
      </c>
      <c r="AE182" s="313">
        <v>1</v>
      </c>
      <c r="AF182" s="313">
        <v>1</v>
      </c>
      <c r="AG182" s="313">
        <v>1</v>
      </c>
      <c r="AH182" s="313">
        <v>1</v>
      </c>
      <c r="AI182" s="313">
        <v>1</v>
      </c>
      <c r="AJ182" s="313">
        <v>1</v>
      </c>
      <c r="AK182" s="313">
        <v>1</v>
      </c>
      <c r="AL182" s="313">
        <v>1</v>
      </c>
      <c r="AM182" s="313">
        <v>1</v>
      </c>
      <c r="AN182" s="313">
        <v>1</v>
      </c>
      <c r="AO182" s="313">
        <v>1</v>
      </c>
      <c r="AP182" s="313">
        <v>1</v>
      </c>
      <c r="AQ182" s="313">
        <v>1</v>
      </c>
      <c r="AR182" s="313">
        <v>1</v>
      </c>
      <c r="AS182" s="313">
        <v>1</v>
      </c>
      <c r="AT182" s="313">
        <v>1</v>
      </c>
      <c r="AU182" s="313">
        <v>1</v>
      </c>
      <c r="AV182" s="313">
        <v>1</v>
      </c>
      <c r="AW182" s="313">
        <v>1</v>
      </c>
      <c r="AX182" s="313">
        <v>1</v>
      </c>
      <c r="AY182" s="313">
        <v>1</v>
      </c>
      <c r="AZ182" s="313">
        <v>1</v>
      </c>
      <c r="BA182" s="313">
        <v>1</v>
      </c>
      <c r="BB182" s="313">
        <v>1</v>
      </c>
      <c r="BC182" s="313">
        <v>1</v>
      </c>
      <c r="BD182" s="313">
        <v>1</v>
      </c>
      <c r="BE182" s="313">
        <v>1</v>
      </c>
      <c r="BF182" s="313">
        <v>1</v>
      </c>
      <c r="BG182" s="313">
        <v>1</v>
      </c>
      <c r="BH182" s="313">
        <v>1</v>
      </c>
      <c r="BI182" s="313">
        <v>1</v>
      </c>
      <c r="BJ182" s="313">
        <v>1</v>
      </c>
      <c r="BK182" s="313">
        <v>1</v>
      </c>
    </row>
    <row r="183" spans="1:63" x14ac:dyDescent="0.25">
      <c r="A183" s="306">
        <v>332410</v>
      </c>
      <c r="B183" s="313" t="s">
        <v>168</v>
      </c>
      <c r="C183" s="313">
        <v>1</v>
      </c>
      <c r="D183" s="313">
        <v>0</v>
      </c>
      <c r="E183" s="313">
        <v>1</v>
      </c>
      <c r="F183" s="313">
        <v>0</v>
      </c>
      <c r="G183" s="313">
        <v>0</v>
      </c>
      <c r="H183" s="313">
        <v>1</v>
      </c>
      <c r="I183" s="313">
        <v>1</v>
      </c>
      <c r="J183" s="313">
        <v>1</v>
      </c>
      <c r="K183" s="313">
        <v>0</v>
      </c>
      <c r="L183" s="313">
        <v>1</v>
      </c>
      <c r="M183" s="313">
        <v>1</v>
      </c>
      <c r="N183" s="313">
        <v>1</v>
      </c>
      <c r="O183" s="313">
        <v>0</v>
      </c>
      <c r="P183" s="313">
        <v>1</v>
      </c>
      <c r="Q183" s="313">
        <v>0</v>
      </c>
      <c r="R183" s="313">
        <v>1</v>
      </c>
      <c r="S183" s="313">
        <v>1</v>
      </c>
      <c r="T183" s="313">
        <v>1</v>
      </c>
      <c r="U183" s="313">
        <v>1</v>
      </c>
      <c r="V183" s="313">
        <v>1</v>
      </c>
      <c r="W183" s="313">
        <v>1</v>
      </c>
      <c r="X183" s="313">
        <v>0</v>
      </c>
      <c r="Y183" s="313">
        <v>0</v>
      </c>
      <c r="Z183" s="313">
        <v>1</v>
      </c>
      <c r="AA183" s="313">
        <v>1</v>
      </c>
      <c r="AB183" s="313">
        <v>1</v>
      </c>
      <c r="AC183" s="313">
        <v>1</v>
      </c>
      <c r="AD183" s="313">
        <v>0</v>
      </c>
      <c r="AE183" s="313">
        <v>1</v>
      </c>
      <c r="AF183" s="313">
        <v>0</v>
      </c>
      <c r="AG183" s="313">
        <v>0</v>
      </c>
      <c r="AH183" s="313">
        <v>1</v>
      </c>
      <c r="AI183" s="313">
        <v>1</v>
      </c>
      <c r="AJ183" s="313">
        <v>1</v>
      </c>
      <c r="AK183" s="313">
        <v>1</v>
      </c>
      <c r="AL183" s="313">
        <v>1</v>
      </c>
      <c r="AM183" s="313">
        <v>1</v>
      </c>
      <c r="AN183" s="313">
        <v>1</v>
      </c>
      <c r="AO183" s="313">
        <v>1</v>
      </c>
      <c r="AP183" s="313">
        <v>1</v>
      </c>
      <c r="AQ183" s="313">
        <v>1</v>
      </c>
      <c r="AR183" s="313">
        <v>1</v>
      </c>
      <c r="AS183" s="313">
        <v>1</v>
      </c>
      <c r="AT183" s="313">
        <v>1</v>
      </c>
      <c r="AU183" s="313">
        <v>1</v>
      </c>
      <c r="AV183" s="313">
        <v>0</v>
      </c>
      <c r="AW183" s="313">
        <v>1</v>
      </c>
      <c r="AX183" s="313">
        <v>0</v>
      </c>
      <c r="AY183" s="313">
        <v>1</v>
      </c>
      <c r="AZ183" s="313">
        <v>1</v>
      </c>
      <c r="BA183" s="313">
        <v>1</v>
      </c>
      <c r="BB183" s="313">
        <v>0</v>
      </c>
      <c r="BC183" s="313">
        <v>1</v>
      </c>
      <c r="BD183" s="313">
        <v>1</v>
      </c>
      <c r="BE183" s="313">
        <v>1</v>
      </c>
      <c r="BF183" s="313">
        <v>1</v>
      </c>
      <c r="BG183" s="313">
        <v>1</v>
      </c>
      <c r="BH183" s="313">
        <v>1</v>
      </c>
      <c r="BI183" s="313">
        <v>1</v>
      </c>
      <c r="BJ183" s="313">
        <v>1</v>
      </c>
      <c r="BK183" s="313">
        <v>1</v>
      </c>
    </row>
    <row r="184" spans="1:63" x14ac:dyDescent="0.25">
      <c r="A184" s="306">
        <v>332420</v>
      </c>
      <c r="B184" s="313" t="s">
        <v>169</v>
      </c>
      <c r="C184" s="313">
        <v>1</v>
      </c>
      <c r="D184" s="313">
        <v>0</v>
      </c>
      <c r="E184" s="313">
        <v>1</v>
      </c>
      <c r="F184" s="313">
        <v>1</v>
      </c>
      <c r="G184" s="313">
        <v>1</v>
      </c>
      <c r="H184" s="313">
        <v>1</v>
      </c>
      <c r="I184" s="313">
        <v>1</v>
      </c>
      <c r="J184" s="313">
        <v>1</v>
      </c>
      <c r="K184" s="313">
        <v>0</v>
      </c>
      <c r="L184" s="313">
        <v>1</v>
      </c>
      <c r="M184" s="313">
        <v>1</v>
      </c>
      <c r="N184" s="313">
        <v>1</v>
      </c>
      <c r="O184" s="313">
        <v>0</v>
      </c>
      <c r="P184" s="313">
        <v>1</v>
      </c>
      <c r="Q184" s="313">
        <v>1</v>
      </c>
      <c r="R184" s="313">
        <v>1</v>
      </c>
      <c r="S184" s="313">
        <v>1</v>
      </c>
      <c r="T184" s="313">
        <v>1</v>
      </c>
      <c r="U184" s="313">
        <v>1</v>
      </c>
      <c r="V184" s="313">
        <v>1</v>
      </c>
      <c r="W184" s="313">
        <v>1</v>
      </c>
      <c r="X184" s="313">
        <v>1</v>
      </c>
      <c r="Y184" s="313">
        <v>1</v>
      </c>
      <c r="Z184" s="313">
        <v>1</v>
      </c>
      <c r="AA184" s="313">
        <v>1</v>
      </c>
      <c r="AB184" s="313">
        <v>1</v>
      </c>
      <c r="AC184" s="313">
        <v>1</v>
      </c>
      <c r="AD184" s="313">
        <v>0</v>
      </c>
      <c r="AE184" s="313">
        <v>1</v>
      </c>
      <c r="AF184" s="313">
        <v>1</v>
      </c>
      <c r="AG184" s="313">
        <v>1</v>
      </c>
      <c r="AH184" s="313">
        <v>0</v>
      </c>
      <c r="AI184" s="313">
        <v>1</v>
      </c>
      <c r="AJ184" s="313">
        <v>1</v>
      </c>
      <c r="AK184" s="313">
        <v>1</v>
      </c>
      <c r="AL184" s="313">
        <v>1</v>
      </c>
      <c r="AM184" s="313">
        <v>1</v>
      </c>
      <c r="AN184" s="313">
        <v>1</v>
      </c>
      <c r="AO184" s="313">
        <v>1</v>
      </c>
      <c r="AP184" s="313">
        <v>1</v>
      </c>
      <c r="AQ184" s="313">
        <v>1</v>
      </c>
      <c r="AR184" s="313">
        <v>1</v>
      </c>
      <c r="AS184" s="313">
        <v>1</v>
      </c>
      <c r="AT184" s="313">
        <v>1</v>
      </c>
      <c r="AU184" s="313">
        <v>1</v>
      </c>
      <c r="AV184" s="313">
        <v>1</v>
      </c>
      <c r="AW184" s="313">
        <v>1</v>
      </c>
      <c r="AX184" s="313">
        <v>0</v>
      </c>
      <c r="AY184" s="313">
        <v>1</v>
      </c>
      <c r="AZ184" s="313">
        <v>1</v>
      </c>
      <c r="BA184" s="313">
        <v>1</v>
      </c>
      <c r="BB184" s="313">
        <v>1</v>
      </c>
      <c r="BC184" s="313">
        <v>1</v>
      </c>
      <c r="BD184" s="313">
        <v>1</v>
      </c>
      <c r="BE184" s="313">
        <v>1</v>
      </c>
      <c r="BF184" s="313">
        <v>1</v>
      </c>
      <c r="BG184" s="313">
        <v>1</v>
      </c>
      <c r="BH184" s="313">
        <v>1</v>
      </c>
      <c r="BI184" s="313">
        <v>1</v>
      </c>
      <c r="BJ184" s="313">
        <v>1</v>
      </c>
      <c r="BK184" s="313">
        <v>1</v>
      </c>
    </row>
    <row r="185" spans="1:63" x14ac:dyDescent="0.25">
      <c r="A185" s="306">
        <v>332430</v>
      </c>
      <c r="B185" s="313" t="s">
        <v>170</v>
      </c>
      <c r="C185" s="313">
        <v>1</v>
      </c>
      <c r="D185" s="313">
        <v>0</v>
      </c>
      <c r="E185" s="313">
        <v>1</v>
      </c>
      <c r="F185" s="313">
        <v>1</v>
      </c>
      <c r="G185" s="313">
        <v>1</v>
      </c>
      <c r="H185" s="313">
        <v>1</v>
      </c>
      <c r="I185" s="313">
        <v>1</v>
      </c>
      <c r="J185" s="313">
        <v>1</v>
      </c>
      <c r="K185" s="313">
        <v>0</v>
      </c>
      <c r="L185" s="313">
        <v>1</v>
      </c>
      <c r="M185" s="313">
        <v>1</v>
      </c>
      <c r="N185" s="313">
        <v>1</v>
      </c>
      <c r="O185" s="313">
        <v>1</v>
      </c>
      <c r="P185" s="313">
        <v>1</v>
      </c>
      <c r="Q185" s="313">
        <v>1</v>
      </c>
      <c r="R185" s="313">
        <v>1</v>
      </c>
      <c r="S185" s="313">
        <v>1</v>
      </c>
      <c r="T185" s="313">
        <v>1</v>
      </c>
      <c r="U185" s="313">
        <v>1</v>
      </c>
      <c r="V185" s="313">
        <v>1</v>
      </c>
      <c r="W185" s="313">
        <v>1</v>
      </c>
      <c r="X185" s="313">
        <v>1</v>
      </c>
      <c r="Y185" s="313">
        <v>1</v>
      </c>
      <c r="Z185" s="313">
        <v>1</v>
      </c>
      <c r="AA185" s="313">
        <v>1</v>
      </c>
      <c r="AB185" s="313">
        <v>1</v>
      </c>
      <c r="AC185" s="313">
        <v>1</v>
      </c>
      <c r="AD185" s="313">
        <v>0</v>
      </c>
      <c r="AE185" s="313">
        <v>1</v>
      </c>
      <c r="AF185" s="313">
        <v>1</v>
      </c>
      <c r="AG185" s="313">
        <v>1</v>
      </c>
      <c r="AH185" s="313">
        <v>1</v>
      </c>
      <c r="AI185" s="313">
        <v>1</v>
      </c>
      <c r="AJ185" s="313">
        <v>1</v>
      </c>
      <c r="AK185" s="313">
        <v>1</v>
      </c>
      <c r="AL185" s="313">
        <v>1</v>
      </c>
      <c r="AM185" s="313">
        <v>1</v>
      </c>
      <c r="AN185" s="313">
        <v>1</v>
      </c>
      <c r="AO185" s="313">
        <v>1</v>
      </c>
      <c r="AP185" s="313">
        <v>1</v>
      </c>
      <c r="AQ185" s="313">
        <v>1</v>
      </c>
      <c r="AR185" s="313">
        <v>1</v>
      </c>
      <c r="AS185" s="313">
        <v>1</v>
      </c>
      <c r="AT185" s="313">
        <v>1</v>
      </c>
      <c r="AU185" s="313">
        <v>1</v>
      </c>
      <c r="AV185" s="313">
        <v>1</v>
      </c>
      <c r="AW185" s="313">
        <v>1</v>
      </c>
      <c r="AX185" s="313">
        <v>1</v>
      </c>
      <c r="AY185" s="313">
        <v>1</v>
      </c>
      <c r="AZ185" s="313">
        <v>1</v>
      </c>
      <c r="BA185" s="313">
        <v>1</v>
      </c>
      <c r="BB185" s="313">
        <v>1</v>
      </c>
      <c r="BC185" s="313">
        <v>1</v>
      </c>
      <c r="BD185" s="313">
        <v>1</v>
      </c>
      <c r="BE185" s="313">
        <v>1</v>
      </c>
      <c r="BF185" s="313">
        <v>1</v>
      </c>
      <c r="BG185" s="313">
        <v>1</v>
      </c>
      <c r="BH185" s="313">
        <v>1</v>
      </c>
      <c r="BI185" s="313">
        <v>1</v>
      </c>
      <c r="BJ185" s="313">
        <v>1</v>
      </c>
      <c r="BK185" s="313">
        <v>1</v>
      </c>
    </row>
    <row r="186" spans="1:63" x14ac:dyDescent="0.25">
      <c r="A186" s="306">
        <v>332500</v>
      </c>
      <c r="B186" s="313" t="s">
        <v>173</v>
      </c>
      <c r="C186" s="313">
        <v>1</v>
      </c>
      <c r="D186" s="313">
        <v>0</v>
      </c>
      <c r="E186" s="313">
        <v>1</v>
      </c>
      <c r="F186" s="313">
        <v>1</v>
      </c>
      <c r="G186" s="313">
        <v>1</v>
      </c>
      <c r="H186" s="313">
        <v>1</v>
      </c>
      <c r="I186" s="313">
        <v>1</v>
      </c>
      <c r="J186" s="313">
        <v>1</v>
      </c>
      <c r="K186" s="313">
        <v>0</v>
      </c>
      <c r="L186" s="313">
        <v>1</v>
      </c>
      <c r="M186" s="313">
        <v>1</v>
      </c>
      <c r="N186" s="313">
        <v>1</v>
      </c>
      <c r="O186" s="313">
        <v>1</v>
      </c>
      <c r="P186" s="313">
        <v>1</v>
      </c>
      <c r="Q186" s="313">
        <v>1</v>
      </c>
      <c r="R186" s="313">
        <v>1</v>
      </c>
      <c r="S186" s="313">
        <v>1</v>
      </c>
      <c r="T186" s="313">
        <v>1</v>
      </c>
      <c r="U186" s="313">
        <v>1</v>
      </c>
      <c r="V186" s="313">
        <v>1</v>
      </c>
      <c r="W186" s="313">
        <v>1</v>
      </c>
      <c r="X186" s="313">
        <v>1</v>
      </c>
      <c r="Y186" s="313">
        <v>1</v>
      </c>
      <c r="Z186" s="313">
        <v>1</v>
      </c>
      <c r="AA186" s="313">
        <v>1</v>
      </c>
      <c r="AB186" s="313">
        <v>1</v>
      </c>
      <c r="AC186" s="313">
        <v>1</v>
      </c>
      <c r="AD186" s="313">
        <v>1</v>
      </c>
      <c r="AE186" s="313">
        <v>1</v>
      </c>
      <c r="AF186" s="313">
        <v>0</v>
      </c>
      <c r="AG186" s="313">
        <v>1</v>
      </c>
      <c r="AH186" s="313">
        <v>1</v>
      </c>
      <c r="AI186" s="313">
        <v>1</v>
      </c>
      <c r="AJ186" s="313">
        <v>0</v>
      </c>
      <c r="AK186" s="313">
        <v>1</v>
      </c>
      <c r="AL186" s="313">
        <v>1</v>
      </c>
      <c r="AM186" s="313">
        <v>1</v>
      </c>
      <c r="AN186" s="313">
        <v>1</v>
      </c>
      <c r="AO186" s="313">
        <v>1</v>
      </c>
      <c r="AP186" s="313">
        <v>1</v>
      </c>
      <c r="AQ186" s="313">
        <v>1</v>
      </c>
      <c r="AR186" s="313">
        <v>1</v>
      </c>
      <c r="AS186" s="313">
        <v>1</v>
      </c>
      <c r="AT186" s="313">
        <v>1</v>
      </c>
      <c r="AU186" s="313">
        <v>1</v>
      </c>
      <c r="AV186" s="313">
        <v>1</v>
      </c>
      <c r="AW186" s="313">
        <v>1</v>
      </c>
      <c r="AX186" s="313">
        <v>0</v>
      </c>
      <c r="AY186" s="313">
        <v>1</v>
      </c>
      <c r="AZ186" s="313">
        <v>1</v>
      </c>
      <c r="BA186" s="313">
        <v>1</v>
      </c>
      <c r="BB186" s="313">
        <v>0</v>
      </c>
      <c r="BC186" s="313">
        <v>1</v>
      </c>
      <c r="BD186" s="313">
        <v>1</v>
      </c>
      <c r="BE186" s="313">
        <v>1</v>
      </c>
      <c r="BF186" s="313">
        <v>1</v>
      </c>
      <c r="BG186" s="313">
        <v>1</v>
      </c>
      <c r="BH186" s="313">
        <v>1</v>
      </c>
      <c r="BI186" s="313">
        <v>1</v>
      </c>
      <c r="BJ186" s="313">
        <v>1</v>
      </c>
      <c r="BK186" s="313">
        <v>1</v>
      </c>
    </row>
    <row r="187" spans="1:63" x14ac:dyDescent="0.25">
      <c r="A187" s="306">
        <v>332600</v>
      </c>
      <c r="B187" s="313" t="s">
        <v>174</v>
      </c>
      <c r="C187" s="313">
        <v>1</v>
      </c>
      <c r="D187" s="313">
        <v>0</v>
      </c>
      <c r="E187" s="313">
        <v>1</v>
      </c>
      <c r="F187" s="313">
        <v>1</v>
      </c>
      <c r="G187" s="313">
        <v>1</v>
      </c>
      <c r="H187" s="313">
        <v>1</v>
      </c>
      <c r="I187" s="313">
        <v>1</v>
      </c>
      <c r="J187" s="313">
        <v>1</v>
      </c>
      <c r="K187" s="313">
        <v>0</v>
      </c>
      <c r="L187" s="313">
        <v>1</v>
      </c>
      <c r="M187" s="313">
        <v>1</v>
      </c>
      <c r="N187" s="313">
        <v>1</v>
      </c>
      <c r="O187" s="313">
        <v>0</v>
      </c>
      <c r="P187" s="313">
        <v>1</v>
      </c>
      <c r="Q187" s="313">
        <v>1</v>
      </c>
      <c r="R187" s="313">
        <v>1</v>
      </c>
      <c r="S187" s="313">
        <v>1</v>
      </c>
      <c r="T187" s="313">
        <v>1</v>
      </c>
      <c r="U187" s="313">
        <v>1</v>
      </c>
      <c r="V187" s="313">
        <v>1</v>
      </c>
      <c r="W187" s="313">
        <v>1</v>
      </c>
      <c r="X187" s="313">
        <v>1</v>
      </c>
      <c r="Y187" s="313">
        <v>1</v>
      </c>
      <c r="Z187" s="313">
        <v>1</v>
      </c>
      <c r="AA187" s="313">
        <v>1</v>
      </c>
      <c r="AB187" s="313">
        <v>1</v>
      </c>
      <c r="AC187" s="313">
        <v>1</v>
      </c>
      <c r="AD187" s="313">
        <v>0</v>
      </c>
      <c r="AE187" s="313">
        <v>1</v>
      </c>
      <c r="AF187" s="313">
        <v>1</v>
      </c>
      <c r="AG187" s="313">
        <v>1</v>
      </c>
      <c r="AH187" s="313">
        <v>1</v>
      </c>
      <c r="AI187" s="313">
        <v>1</v>
      </c>
      <c r="AJ187" s="313">
        <v>1</v>
      </c>
      <c r="AK187" s="313">
        <v>1</v>
      </c>
      <c r="AL187" s="313">
        <v>1</v>
      </c>
      <c r="AM187" s="313">
        <v>1</v>
      </c>
      <c r="AN187" s="313">
        <v>1</v>
      </c>
      <c r="AO187" s="313">
        <v>1</v>
      </c>
      <c r="AP187" s="313">
        <v>1</v>
      </c>
      <c r="AQ187" s="313">
        <v>1</v>
      </c>
      <c r="AR187" s="313">
        <v>1</v>
      </c>
      <c r="AS187" s="313">
        <v>1</v>
      </c>
      <c r="AT187" s="313">
        <v>1</v>
      </c>
      <c r="AU187" s="313">
        <v>1</v>
      </c>
      <c r="AV187" s="313">
        <v>1</v>
      </c>
      <c r="AW187" s="313">
        <v>1</v>
      </c>
      <c r="AX187" s="313">
        <v>1</v>
      </c>
      <c r="AY187" s="313">
        <v>1</v>
      </c>
      <c r="AZ187" s="313">
        <v>1</v>
      </c>
      <c r="BA187" s="313">
        <v>1</v>
      </c>
      <c r="BB187" s="313">
        <v>0</v>
      </c>
      <c r="BC187" s="313">
        <v>1</v>
      </c>
      <c r="BD187" s="313">
        <v>1</v>
      </c>
      <c r="BE187" s="313">
        <v>1</v>
      </c>
      <c r="BF187" s="313">
        <v>1</v>
      </c>
      <c r="BG187" s="313">
        <v>1</v>
      </c>
      <c r="BH187" s="313">
        <v>1</v>
      </c>
      <c r="BI187" s="313">
        <v>1</v>
      </c>
      <c r="BJ187" s="313">
        <v>1</v>
      </c>
      <c r="BK187" s="313">
        <v>1</v>
      </c>
    </row>
    <row r="188" spans="1:63" x14ac:dyDescent="0.25">
      <c r="A188" s="306">
        <v>332710</v>
      </c>
      <c r="B188" s="313" t="s">
        <v>175</v>
      </c>
      <c r="C188" s="313">
        <v>1</v>
      </c>
      <c r="D188" s="313">
        <v>1</v>
      </c>
      <c r="E188" s="313">
        <v>1</v>
      </c>
      <c r="F188" s="313">
        <v>1</v>
      </c>
      <c r="G188" s="313">
        <v>1</v>
      </c>
      <c r="H188" s="313">
        <v>1</v>
      </c>
      <c r="I188" s="313">
        <v>1</v>
      </c>
      <c r="J188" s="313">
        <v>1</v>
      </c>
      <c r="K188" s="313">
        <v>0</v>
      </c>
      <c r="L188" s="313">
        <v>1</v>
      </c>
      <c r="M188" s="313">
        <v>1</v>
      </c>
      <c r="N188" s="313">
        <v>1</v>
      </c>
      <c r="O188" s="313">
        <v>1</v>
      </c>
      <c r="P188" s="313">
        <v>1</v>
      </c>
      <c r="Q188" s="313">
        <v>1</v>
      </c>
      <c r="R188" s="313">
        <v>1</v>
      </c>
      <c r="S188" s="313">
        <v>1</v>
      </c>
      <c r="T188" s="313">
        <v>1</v>
      </c>
      <c r="U188" s="313">
        <v>1</v>
      </c>
      <c r="V188" s="313">
        <v>1</v>
      </c>
      <c r="W188" s="313">
        <v>1</v>
      </c>
      <c r="X188" s="313">
        <v>1</v>
      </c>
      <c r="Y188" s="313">
        <v>1</v>
      </c>
      <c r="Z188" s="313">
        <v>1</v>
      </c>
      <c r="AA188" s="313">
        <v>1</v>
      </c>
      <c r="AB188" s="313">
        <v>1</v>
      </c>
      <c r="AC188" s="313">
        <v>1</v>
      </c>
      <c r="AD188" s="313">
        <v>1</v>
      </c>
      <c r="AE188" s="313">
        <v>1</v>
      </c>
      <c r="AF188" s="313">
        <v>1</v>
      </c>
      <c r="AG188" s="313">
        <v>1</v>
      </c>
      <c r="AH188" s="313">
        <v>1</v>
      </c>
      <c r="AI188" s="313">
        <v>1</v>
      </c>
      <c r="AJ188" s="313">
        <v>1</v>
      </c>
      <c r="AK188" s="313">
        <v>1</v>
      </c>
      <c r="AL188" s="313">
        <v>1</v>
      </c>
      <c r="AM188" s="313">
        <v>1</v>
      </c>
      <c r="AN188" s="313">
        <v>1</v>
      </c>
      <c r="AO188" s="313">
        <v>1</v>
      </c>
      <c r="AP188" s="313">
        <v>1</v>
      </c>
      <c r="AQ188" s="313">
        <v>1</v>
      </c>
      <c r="AR188" s="313">
        <v>1</v>
      </c>
      <c r="AS188" s="313">
        <v>1</v>
      </c>
      <c r="AT188" s="313">
        <v>1</v>
      </c>
      <c r="AU188" s="313">
        <v>1</v>
      </c>
      <c r="AV188" s="313">
        <v>1</v>
      </c>
      <c r="AW188" s="313">
        <v>1</v>
      </c>
      <c r="AX188" s="313">
        <v>1</v>
      </c>
      <c r="AY188" s="313">
        <v>1</v>
      </c>
      <c r="AZ188" s="313">
        <v>1</v>
      </c>
      <c r="BA188" s="313">
        <v>1</v>
      </c>
      <c r="BB188" s="313">
        <v>1</v>
      </c>
      <c r="BC188" s="313">
        <v>1</v>
      </c>
      <c r="BD188" s="313">
        <v>1</v>
      </c>
      <c r="BE188" s="313">
        <v>1</v>
      </c>
      <c r="BF188" s="313">
        <v>1</v>
      </c>
      <c r="BG188" s="313">
        <v>1</v>
      </c>
      <c r="BH188" s="313">
        <v>1</v>
      </c>
      <c r="BI188" s="313">
        <v>1</v>
      </c>
      <c r="BJ188" s="313">
        <v>1</v>
      </c>
      <c r="BK188" s="313">
        <v>1</v>
      </c>
    </row>
    <row r="189" spans="1:63" x14ac:dyDescent="0.25">
      <c r="A189" s="306">
        <v>332720</v>
      </c>
      <c r="B189" s="313" t="s">
        <v>176</v>
      </c>
      <c r="C189" s="313">
        <v>1</v>
      </c>
      <c r="D189" s="313">
        <v>0</v>
      </c>
      <c r="E189" s="313">
        <v>1</v>
      </c>
      <c r="F189" s="313">
        <v>1</v>
      </c>
      <c r="G189" s="313">
        <v>1</v>
      </c>
      <c r="H189" s="313">
        <v>1</v>
      </c>
      <c r="I189" s="313">
        <v>1</v>
      </c>
      <c r="J189" s="313">
        <v>1</v>
      </c>
      <c r="K189" s="313">
        <v>0</v>
      </c>
      <c r="L189" s="313">
        <v>1</v>
      </c>
      <c r="M189" s="313">
        <v>1</v>
      </c>
      <c r="N189" s="313">
        <v>1</v>
      </c>
      <c r="O189" s="313">
        <v>0</v>
      </c>
      <c r="P189" s="313">
        <v>1</v>
      </c>
      <c r="Q189" s="313">
        <v>1</v>
      </c>
      <c r="R189" s="313">
        <v>1</v>
      </c>
      <c r="S189" s="313">
        <v>1</v>
      </c>
      <c r="T189" s="313">
        <v>1</v>
      </c>
      <c r="U189" s="313">
        <v>1</v>
      </c>
      <c r="V189" s="313">
        <v>1</v>
      </c>
      <c r="W189" s="313">
        <v>1</v>
      </c>
      <c r="X189" s="313">
        <v>1</v>
      </c>
      <c r="Y189" s="313">
        <v>1</v>
      </c>
      <c r="Z189" s="313">
        <v>1</v>
      </c>
      <c r="AA189" s="313">
        <v>1</v>
      </c>
      <c r="AB189" s="313">
        <v>1</v>
      </c>
      <c r="AC189" s="313">
        <v>1</v>
      </c>
      <c r="AD189" s="313">
        <v>1</v>
      </c>
      <c r="AE189" s="313">
        <v>1</v>
      </c>
      <c r="AF189" s="313">
        <v>0</v>
      </c>
      <c r="AG189" s="313">
        <v>1</v>
      </c>
      <c r="AH189" s="313">
        <v>1</v>
      </c>
      <c r="AI189" s="313">
        <v>1</v>
      </c>
      <c r="AJ189" s="313">
        <v>1</v>
      </c>
      <c r="AK189" s="313">
        <v>1</v>
      </c>
      <c r="AL189" s="313">
        <v>1</v>
      </c>
      <c r="AM189" s="313">
        <v>1</v>
      </c>
      <c r="AN189" s="313">
        <v>1</v>
      </c>
      <c r="AO189" s="313">
        <v>1</v>
      </c>
      <c r="AP189" s="313">
        <v>1</v>
      </c>
      <c r="AQ189" s="313">
        <v>1</v>
      </c>
      <c r="AR189" s="313">
        <v>1</v>
      </c>
      <c r="AS189" s="313">
        <v>1</v>
      </c>
      <c r="AT189" s="313">
        <v>1</v>
      </c>
      <c r="AU189" s="313">
        <v>1</v>
      </c>
      <c r="AV189" s="313">
        <v>1</v>
      </c>
      <c r="AW189" s="313">
        <v>1</v>
      </c>
      <c r="AX189" s="313">
        <v>1</v>
      </c>
      <c r="AY189" s="313">
        <v>1</v>
      </c>
      <c r="AZ189" s="313">
        <v>1</v>
      </c>
      <c r="BA189" s="313">
        <v>1</v>
      </c>
      <c r="BB189" s="313">
        <v>0</v>
      </c>
      <c r="BC189" s="313">
        <v>1</v>
      </c>
      <c r="BD189" s="313">
        <v>1</v>
      </c>
      <c r="BE189" s="313">
        <v>1</v>
      </c>
      <c r="BF189" s="313">
        <v>1</v>
      </c>
      <c r="BG189" s="313">
        <v>1</v>
      </c>
      <c r="BH189" s="313">
        <v>1</v>
      </c>
      <c r="BI189" s="313">
        <v>1</v>
      </c>
      <c r="BJ189" s="313">
        <v>1</v>
      </c>
      <c r="BK189" s="313">
        <v>1</v>
      </c>
    </row>
    <row r="190" spans="1:63" x14ac:dyDescent="0.25">
      <c r="A190" s="306">
        <v>332800</v>
      </c>
      <c r="B190" s="313" t="s">
        <v>177</v>
      </c>
      <c r="C190" s="313">
        <v>1</v>
      </c>
      <c r="D190" s="313">
        <v>1</v>
      </c>
      <c r="E190" s="313">
        <v>1</v>
      </c>
      <c r="F190" s="313">
        <v>1</v>
      </c>
      <c r="G190" s="313">
        <v>1</v>
      </c>
      <c r="H190" s="313">
        <v>1</v>
      </c>
      <c r="I190" s="313">
        <v>1</v>
      </c>
      <c r="J190" s="313">
        <v>1</v>
      </c>
      <c r="K190" s="313">
        <v>0</v>
      </c>
      <c r="L190" s="313">
        <v>1</v>
      </c>
      <c r="M190" s="313">
        <v>1</v>
      </c>
      <c r="N190" s="313">
        <v>1</v>
      </c>
      <c r="O190" s="313">
        <v>1</v>
      </c>
      <c r="P190" s="313">
        <v>1</v>
      </c>
      <c r="Q190" s="313">
        <v>1</v>
      </c>
      <c r="R190" s="313">
        <v>1</v>
      </c>
      <c r="S190" s="313">
        <v>1</v>
      </c>
      <c r="T190" s="313">
        <v>1</v>
      </c>
      <c r="U190" s="313">
        <v>1</v>
      </c>
      <c r="V190" s="313">
        <v>1</v>
      </c>
      <c r="W190" s="313">
        <v>1</v>
      </c>
      <c r="X190" s="313">
        <v>1</v>
      </c>
      <c r="Y190" s="313">
        <v>1</v>
      </c>
      <c r="Z190" s="313">
        <v>1</v>
      </c>
      <c r="AA190" s="313">
        <v>1</v>
      </c>
      <c r="AB190" s="313">
        <v>1</v>
      </c>
      <c r="AC190" s="313">
        <v>1</v>
      </c>
      <c r="AD190" s="313">
        <v>1</v>
      </c>
      <c r="AE190" s="313">
        <v>1</v>
      </c>
      <c r="AF190" s="313">
        <v>1</v>
      </c>
      <c r="AG190" s="313">
        <v>1</v>
      </c>
      <c r="AH190" s="313">
        <v>1</v>
      </c>
      <c r="AI190" s="313">
        <v>1</v>
      </c>
      <c r="AJ190" s="313">
        <v>1</v>
      </c>
      <c r="AK190" s="313">
        <v>1</v>
      </c>
      <c r="AL190" s="313">
        <v>1</v>
      </c>
      <c r="AM190" s="313">
        <v>1</v>
      </c>
      <c r="AN190" s="313">
        <v>1</v>
      </c>
      <c r="AO190" s="313">
        <v>1</v>
      </c>
      <c r="AP190" s="313">
        <v>1</v>
      </c>
      <c r="AQ190" s="313">
        <v>1</v>
      </c>
      <c r="AR190" s="313">
        <v>1</v>
      </c>
      <c r="AS190" s="313">
        <v>1</v>
      </c>
      <c r="AT190" s="313">
        <v>1</v>
      </c>
      <c r="AU190" s="313">
        <v>1</v>
      </c>
      <c r="AV190" s="313">
        <v>1</v>
      </c>
      <c r="AW190" s="313">
        <v>1</v>
      </c>
      <c r="AX190" s="313">
        <v>1</v>
      </c>
      <c r="AY190" s="313">
        <v>1</v>
      </c>
      <c r="AZ190" s="313">
        <v>1</v>
      </c>
      <c r="BA190" s="313">
        <v>1</v>
      </c>
      <c r="BB190" s="313">
        <v>1</v>
      </c>
      <c r="BC190" s="313">
        <v>1</v>
      </c>
      <c r="BD190" s="313">
        <v>1</v>
      </c>
      <c r="BE190" s="313">
        <v>1</v>
      </c>
      <c r="BF190" s="313">
        <v>1</v>
      </c>
      <c r="BG190" s="313">
        <v>1</v>
      </c>
      <c r="BH190" s="313">
        <v>1</v>
      </c>
      <c r="BI190" s="313">
        <v>1</v>
      </c>
      <c r="BJ190" s="313">
        <v>1</v>
      </c>
      <c r="BK190" s="313">
        <v>1</v>
      </c>
    </row>
    <row r="191" spans="1:63" x14ac:dyDescent="0.25">
      <c r="A191" s="306">
        <v>332913</v>
      </c>
      <c r="B191" s="313" t="s">
        <v>8</v>
      </c>
      <c r="C191" s="313">
        <v>1</v>
      </c>
      <c r="D191" s="313">
        <v>0</v>
      </c>
      <c r="E191" s="313">
        <v>0</v>
      </c>
      <c r="F191" s="313">
        <v>1</v>
      </c>
      <c r="G191" s="313">
        <v>1</v>
      </c>
      <c r="H191" s="313">
        <v>1</v>
      </c>
      <c r="I191" s="313">
        <v>1</v>
      </c>
      <c r="J191" s="313">
        <v>1</v>
      </c>
      <c r="K191" s="313">
        <v>0</v>
      </c>
      <c r="L191" s="313">
        <v>1</v>
      </c>
      <c r="M191" s="313">
        <v>1</v>
      </c>
      <c r="N191" s="313">
        <v>1</v>
      </c>
      <c r="O191" s="313">
        <v>0</v>
      </c>
      <c r="P191" s="313">
        <v>0</v>
      </c>
      <c r="Q191" s="313">
        <v>1</v>
      </c>
      <c r="R191" s="313">
        <v>1</v>
      </c>
      <c r="S191" s="313">
        <v>1</v>
      </c>
      <c r="T191" s="313">
        <v>1</v>
      </c>
      <c r="U191" s="313">
        <v>1</v>
      </c>
      <c r="V191" s="313">
        <v>0</v>
      </c>
      <c r="W191" s="313">
        <v>1</v>
      </c>
      <c r="X191" s="313">
        <v>0</v>
      </c>
      <c r="Y191" s="313">
        <v>0</v>
      </c>
      <c r="Z191" s="313">
        <v>1</v>
      </c>
      <c r="AA191" s="313">
        <v>1</v>
      </c>
      <c r="AB191" s="313">
        <v>1</v>
      </c>
      <c r="AC191" s="313">
        <v>0</v>
      </c>
      <c r="AD191" s="313">
        <v>0</v>
      </c>
      <c r="AE191" s="313">
        <v>1</v>
      </c>
      <c r="AF191" s="313">
        <v>0</v>
      </c>
      <c r="AG191" s="313">
        <v>0</v>
      </c>
      <c r="AH191" s="313">
        <v>1</v>
      </c>
      <c r="AI191" s="313">
        <v>1</v>
      </c>
      <c r="AJ191" s="313">
        <v>0</v>
      </c>
      <c r="AK191" s="313">
        <v>1</v>
      </c>
      <c r="AL191" s="313">
        <v>1</v>
      </c>
      <c r="AM191" s="313">
        <v>1</v>
      </c>
      <c r="AN191" s="313">
        <v>1</v>
      </c>
      <c r="AO191" s="313">
        <v>1</v>
      </c>
      <c r="AP191" s="313">
        <v>1</v>
      </c>
      <c r="AQ191" s="313">
        <v>1</v>
      </c>
      <c r="AR191" s="313">
        <v>1</v>
      </c>
      <c r="AS191" s="313">
        <v>0</v>
      </c>
      <c r="AT191" s="313">
        <v>1</v>
      </c>
      <c r="AU191" s="313">
        <v>1</v>
      </c>
      <c r="AV191" s="313">
        <v>0</v>
      </c>
      <c r="AW191" s="313">
        <v>1</v>
      </c>
      <c r="AX191" s="313">
        <v>0</v>
      </c>
      <c r="AY191" s="313">
        <v>1</v>
      </c>
      <c r="AZ191" s="313">
        <v>1</v>
      </c>
      <c r="BA191" s="313">
        <v>0</v>
      </c>
      <c r="BB191" s="313">
        <v>0</v>
      </c>
      <c r="BC191" s="313">
        <v>1</v>
      </c>
      <c r="BD191" s="313">
        <v>1</v>
      </c>
      <c r="BE191" s="313">
        <v>1</v>
      </c>
      <c r="BF191" s="313">
        <v>1</v>
      </c>
      <c r="BG191" s="313">
        <v>1</v>
      </c>
      <c r="BH191" s="313">
        <v>1</v>
      </c>
      <c r="BI191" s="313">
        <v>1</v>
      </c>
      <c r="BJ191" s="313">
        <v>1</v>
      </c>
      <c r="BK191" s="313">
        <v>1</v>
      </c>
    </row>
    <row r="192" spans="1:63" x14ac:dyDescent="0.25">
      <c r="A192" s="306" t="s">
        <v>601</v>
      </c>
      <c r="B192" s="313" t="s">
        <v>612</v>
      </c>
      <c r="C192" s="313">
        <v>1</v>
      </c>
      <c r="D192" s="313">
        <v>0</v>
      </c>
      <c r="E192" s="313">
        <v>1</v>
      </c>
      <c r="F192" s="313">
        <v>1</v>
      </c>
      <c r="G192" s="313">
        <v>1</v>
      </c>
      <c r="H192" s="313">
        <v>1</v>
      </c>
      <c r="I192" s="313">
        <v>1</v>
      </c>
      <c r="J192" s="313">
        <v>1</v>
      </c>
      <c r="K192" s="313">
        <v>1</v>
      </c>
      <c r="L192" s="313">
        <v>0</v>
      </c>
      <c r="M192" s="313">
        <v>1</v>
      </c>
      <c r="N192" s="313">
        <v>1</v>
      </c>
      <c r="O192" s="313">
        <v>0</v>
      </c>
      <c r="P192" s="313">
        <v>1</v>
      </c>
      <c r="Q192" s="313">
        <v>1</v>
      </c>
      <c r="R192" s="313">
        <v>1</v>
      </c>
      <c r="S192" s="313">
        <v>1</v>
      </c>
      <c r="T192" s="313">
        <v>1</v>
      </c>
      <c r="U192" s="313">
        <v>1</v>
      </c>
      <c r="V192" s="313">
        <v>1</v>
      </c>
      <c r="W192" s="313">
        <v>1</v>
      </c>
      <c r="X192" s="313">
        <v>1</v>
      </c>
      <c r="Y192" s="313">
        <v>1</v>
      </c>
      <c r="Z192" s="313">
        <v>1</v>
      </c>
      <c r="AA192" s="313">
        <v>1</v>
      </c>
      <c r="AB192" s="313">
        <v>1</v>
      </c>
      <c r="AC192" s="313">
        <v>1</v>
      </c>
      <c r="AD192" s="313">
        <v>1</v>
      </c>
      <c r="AE192" s="313">
        <v>1</v>
      </c>
      <c r="AF192" s="313">
        <v>1</v>
      </c>
      <c r="AG192" s="313">
        <v>1</v>
      </c>
      <c r="AH192" s="313">
        <v>1</v>
      </c>
      <c r="AI192" s="313">
        <v>1</v>
      </c>
      <c r="AJ192" s="313">
        <v>1</v>
      </c>
      <c r="AK192" s="313">
        <v>1</v>
      </c>
      <c r="AL192" s="313">
        <v>1</v>
      </c>
      <c r="AM192" s="313">
        <v>1</v>
      </c>
      <c r="AN192" s="313">
        <v>1</v>
      </c>
      <c r="AO192" s="313">
        <v>1</v>
      </c>
      <c r="AP192" s="313">
        <v>1</v>
      </c>
      <c r="AQ192" s="313">
        <v>1</v>
      </c>
      <c r="AR192" s="313">
        <v>1</v>
      </c>
      <c r="AS192" s="313">
        <v>1</v>
      </c>
      <c r="AT192" s="313">
        <v>1</v>
      </c>
      <c r="AU192" s="313">
        <v>1</v>
      </c>
      <c r="AV192" s="313">
        <v>1</v>
      </c>
      <c r="AW192" s="313">
        <v>1</v>
      </c>
      <c r="AX192" s="313">
        <v>1</v>
      </c>
      <c r="AY192" s="313">
        <v>1</v>
      </c>
      <c r="AZ192" s="313">
        <v>1</v>
      </c>
      <c r="BA192" s="313">
        <v>1</v>
      </c>
      <c r="BB192" s="313">
        <v>1</v>
      </c>
      <c r="BC192" s="313">
        <v>1</v>
      </c>
      <c r="BD192" s="313">
        <v>1</v>
      </c>
      <c r="BE192" s="313">
        <v>1</v>
      </c>
      <c r="BF192" s="313">
        <v>1</v>
      </c>
      <c r="BG192" s="313">
        <v>1</v>
      </c>
      <c r="BH192" s="313">
        <v>1</v>
      </c>
      <c r="BI192" s="313">
        <v>1</v>
      </c>
      <c r="BJ192" s="313">
        <v>1</v>
      </c>
      <c r="BK192" s="313">
        <v>1</v>
      </c>
    </row>
    <row r="193" spans="1:63" x14ac:dyDescent="0.25">
      <c r="A193" s="306">
        <v>332991</v>
      </c>
      <c r="B193" s="313" t="s">
        <v>178</v>
      </c>
      <c r="C193" s="313">
        <v>1</v>
      </c>
      <c r="D193" s="313">
        <v>0</v>
      </c>
      <c r="E193" s="313">
        <v>1</v>
      </c>
      <c r="F193" s="313">
        <v>0</v>
      </c>
      <c r="G193" s="313">
        <v>0</v>
      </c>
      <c r="H193" s="313">
        <v>1</v>
      </c>
      <c r="I193" s="313">
        <v>0</v>
      </c>
      <c r="J193" s="313">
        <v>1</v>
      </c>
      <c r="K193" s="313">
        <v>0</v>
      </c>
      <c r="L193" s="313">
        <v>1</v>
      </c>
      <c r="M193" s="313">
        <v>1</v>
      </c>
      <c r="N193" s="313">
        <v>1</v>
      </c>
      <c r="O193" s="313">
        <v>0</v>
      </c>
      <c r="P193" s="313">
        <v>1</v>
      </c>
      <c r="Q193" s="313">
        <v>0</v>
      </c>
      <c r="R193" s="313">
        <v>1</v>
      </c>
      <c r="S193" s="313">
        <v>1</v>
      </c>
      <c r="T193" s="313">
        <v>1</v>
      </c>
      <c r="U193" s="313">
        <v>1</v>
      </c>
      <c r="V193" s="313">
        <v>0</v>
      </c>
      <c r="W193" s="313">
        <v>1</v>
      </c>
      <c r="X193" s="313">
        <v>1</v>
      </c>
      <c r="Y193" s="313">
        <v>0</v>
      </c>
      <c r="Z193" s="313">
        <v>1</v>
      </c>
      <c r="AA193" s="313">
        <v>0</v>
      </c>
      <c r="AB193" s="313">
        <v>1</v>
      </c>
      <c r="AC193" s="313">
        <v>1</v>
      </c>
      <c r="AD193" s="313">
        <v>0</v>
      </c>
      <c r="AE193" s="313">
        <v>1</v>
      </c>
      <c r="AF193" s="313">
        <v>0</v>
      </c>
      <c r="AG193" s="313">
        <v>0</v>
      </c>
      <c r="AH193" s="313">
        <v>1</v>
      </c>
      <c r="AI193" s="313">
        <v>1</v>
      </c>
      <c r="AJ193" s="313">
        <v>0</v>
      </c>
      <c r="AK193" s="313">
        <v>1</v>
      </c>
      <c r="AL193" s="313">
        <v>1</v>
      </c>
      <c r="AM193" s="313">
        <v>1</v>
      </c>
      <c r="AN193" s="313">
        <v>1</v>
      </c>
      <c r="AO193" s="313">
        <v>0</v>
      </c>
      <c r="AP193" s="313">
        <v>1</v>
      </c>
      <c r="AQ193" s="313">
        <v>1</v>
      </c>
      <c r="AR193" s="313">
        <v>1</v>
      </c>
      <c r="AS193" s="313">
        <v>0</v>
      </c>
      <c r="AT193" s="313">
        <v>1</v>
      </c>
      <c r="AU193" s="313">
        <v>1</v>
      </c>
      <c r="AV193" s="313">
        <v>0</v>
      </c>
      <c r="AW193" s="313">
        <v>1</v>
      </c>
      <c r="AX193" s="313">
        <v>0</v>
      </c>
      <c r="AY193" s="313">
        <v>0</v>
      </c>
      <c r="AZ193" s="313">
        <v>1</v>
      </c>
      <c r="BA193" s="313">
        <v>0</v>
      </c>
      <c r="BB193" s="313">
        <v>1</v>
      </c>
      <c r="BC193" s="313">
        <v>1</v>
      </c>
      <c r="BD193" s="313">
        <v>1</v>
      </c>
      <c r="BE193" s="313">
        <v>1</v>
      </c>
      <c r="BF193" s="313">
        <v>1</v>
      </c>
      <c r="BG193" s="313">
        <v>1</v>
      </c>
      <c r="BH193" s="313">
        <v>1</v>
      </c>
      <c r="BI193" s="313">
        <v>1</v>
      </c>
      <c r="BJ193" s="313">
        <v>1</v>
      </c>
      <c r="BK193" s="313">
        <v>1</v>
      </c>
    </row>
    <row r="194" spans="1:63" x14ac:dyDescent="0.25">
      <c r="A194" s="306">
        <v>332996</v>
      </c>
      <c r="B194" s="313" t="s">
        <v>179</v>
      </c>
      <c r="C194" s="313">
        <v>1</v>
      </c>
      <c r="D194" s="313">
        <v>1</v>
      </c>
      <c r="E194" s="313">
        <v>1</v>
      </c>
      <c r="F194" s="313">
        <v>1</v>
      </c>
      <c r="G194" s="313">
        <v>1</v>
      </c>
      <c r="H194" s="313">
        <v>1</v>
      </c>
      <c r="I194" s="313">
        <v>1</v>
      </c>
      <c r="J194" s="313">
        <v>1</v>
      </c>
      <c r="K194" s="313">
        <v>0</v>
      </c>
      <c r="L194" s="313">
        <v>1</v>
      </c>
      <c r="M194" s="313">
        <v>1</v>
      </c>
      <c r="N194" s="313">
        <v>1</v>
      </c>
      <c r="O194" s="313">
        <v>0</v>
      </c>
      <c r="P194" s="313">
        <v>1</v>
      </c>
      <c r="Q194" s="313">
        <v>1</v>
      </c>
      <c r="R194" s="313">
        <v>1</v>
      </c>
      <c r="S194" s="313">
        <v>1</v>
      </c>
      <c r="T194" s="313">
        <v>1</v>
      </c>
      <c r="U194" s="313">
        <v>1</v>
      </c>
      <c r="V194" s="313">
        <v>1</v>
      </c>
      <c r="W194" s="313">
        <v>1</v>
      </c>
      <c r="X194" s="313">
        <v>1</v>
      </c>
      <c r="Y194" s="313">
        <v>1</v>
      </c>
      <c r="Z194" s="313">
        <v>1</v>
      </c>
      <c r="AA194" s="313">
        <v>1</v>
      </c>
      <c r="AB194" s="313">
        <v>1</v>
      </c>
      <c r="AC194" s="313">
        <v>1</v>
      </c>
      <c r="AD194" s="313">
        <v>1</v>
      </c>
      <c r="AE194" s="313">
        <v>1</v>
      </c>
      <c r="AF194" s="313">
        <v>0</v>
      </c>
      <c r="AG194" s="313">
        <v>1</v>
      </c>
      <c r="AH194" s="313">
        <v>1</v>
      </c>
      <c r="AI194" s="313">
        <v>1</v>
      </c>
      <c r="AJ194" s="313">
        <v>1</v>
      </c>
      <c r="AK194" s="313">
        <v>1</v>
      </c>
      <c r="AL194" s="313">
        <v>1</v>
      </c>
      <c r="AM194" s="313">
        <v>1</v>
      </c>
      <c r="AN194" s="313">
        <v>1</v>
      </c>
      <c r="AO194" s="313">
        <v>1</v>
      </c>
      <c r="AP194" s="313">
        <v>1</v>
      </c>
      <c r="AQ194" s="313">
        <v>1</v>
      </c>
      <c r="AR194" s="313">
        <v>1</v>
      </c>
      <c r="AS194" s="313">
        <v>1</v>
      </c>
      <c r="AT194" s="313">
        <v>1</v>
      </c>
      <c r="AU194" s="313">
        <v>1</v>
      </c>
      <c r="AV194" s="313">
        <v>1</v>
      </c>
      <c r="AW194" s="313">
        <v>1</v>
      </c>
      <c r="AX194" s="313">
        <v>0</v>
      </c>
      <c r="AY194" s="313">
        <v>1</v>
      </c>
      <c r="AZ194" s="313">
        <v>1</v>
      </c>
      <c r="BA194" s="313">
        <v>1</v>
      </c>
      <c r="BB194" s="313">
        <v>1</v>
      </c>
      <c r="BC194" s="313">
        <v>1</v>
      </c>
      <c r="BD194" s="313">
        <v>1</v>
      </c>
      <c r="BE194" s="313">
        <v>1</v>
      </c>
      <c r="BF194" s="313">
        <v>1</v>
      </c>
      <c r="BG194" s="313">
        <v>1</v>
      </c>
      <c r="BH194" s="313">
        <v>1</v>
      </c>
      <c r="BI194" s="313">
        <v>1</v>
      </c>
      <c r="BJ194" s="313">
        <v>1</v>
      </c>
      <c r="BK194" s="313">
        <v>1</v>
      </c>
    </row>
    <row r="195" spans="1:63" x14ac:dyDescent="0.25">
      <c r="A195" s="306" t="s">
        <v>728</v>
      </c>
      <c r="B195" s="313" t="s">
        <v>171</v>
      </c>
      <c r="C195" s="313">
        <v>1</v>
      </c>
      <c r="D195" s="313">
        <v>0</v>
      </c>
      <c r="E195" s="313">
        <v>1</v>
      </c>
      <c r="F195" s="313">
        <v>1</v>
      </c>
      <c r="G195" s="313">
        <v>0</v>
      </c>
      <c r="H195" s="313">
        <v>1</v>
      </c>
      <c r="I195" s="313">
        <v>0</v>
      </c>
      <c r="J195" s="313">
        <v>1</v>
      </c>
      <c r="K195" s="313">
        <v>0</v>
      </c>
      <c r="L195" s="313">
        <v>0</v>
      </c>
      <c r="M195" s="313">
        <v>1</v>
      </c>
      <c r="N195" s="313">
        <v>1</v>
      </c>
      <c r="O195" s="313">
        <v>0</v>
      </c>
      <c r="P195" s="313">
        <v>1</v>
      </c>
      <c r="Q195" s="313">
        <v>1</v>
      </c>
      <c r="R195" s="313">
        <v>1</v>
      </c>
      <c r="S195" s="313">
        <v>1</v>
      </c>
      <c r="T195" s="313">
        <v>1</v>
      </c>
      <c r="U195" s="313">
        <v>1</v>
      </c>
      <c r="V195" s="313">
        <v>0</v>
      </c>
      <c r="W195" s="313">
        <v>1</v>
      </c>
      <c r="X195" s="313">
        <v>1</v>
      </c>
      <c r="Y195" s="313">
        <v>0</v>
      </c>
      <c r="Z195" s="313">
        <v>1</v>
      </c>
      <c r="AA195" s="313">
        <v>1</v>
      </c>
      <c r="AB195" s="313">
        <v>1</v>
      </c>
      <c r="AC195" s="313">
        <v>1</v>
      </c>
      <c r="AD195" s="313">
        <v>1</v>
      </c>
      <c r="AE195" s="313">
        <v>1</v>
      </c>
      <c r="AF195" s="313">
        <v>0</v>
      </c>
      <c r="AG195" s="313">
        <v>1</v>
      </c>
      <c r="AH195" s="313">
        <v>0</v>
      </c>
      <c r="AI195" s="313">
        <v>0</v>
      </c>
      <c r="AJ195" s="313">
        <v>1</v>
      </c>
      <c r="AK195" s="313">
        <v>1</v>
      </c>
      <c r="AL195" s="313">
        <v>0</v>
      </c>
      <c r="AM195" s="313">
        <v>1</v>
      </c>
      <c r="AN195" s="313">
        <v>0</v>
      </c>
      <c r="AO195" s="313">
        <v>1</v>
      </c>
      <c r="AP195" s="313">
        <v>1</v>
      </c>
      <c r="AQ195" s="313">
        <v>0</v>
      </c>
      <c r="AR195" s="313">
        <v>1</v>
      </c>
      <c r="AS195" s="313">
        <v>1</v>
      </c>
      <c r="AT195" s="313">
        <v>1</v>
      </c>
      <c r="AU195" s="313">
        <v>1</v>
      </c>
      <c r="AV195" s="313">
        <v>1</v>
      </c>
      <c r="AW195" s="313">
        <v>1</v>
      </c>
      <c r="AX195" s="313">
        <v>0</v>
      </c>
      <c r="AY195" s="313">
        <v>1</v>
      </c>
      <c r="AZ195" s="313">
        <v>1</v>
      </c>
      <c r="BA195" s="313">
        <v>1</v>
      </c>
      <c r="BB195" s="313">
        <v>0</v>
      </c>
      <c r="BC195" s="313">
        <v>1</v>
      </c>
      <c r="BD195" s="313">
        <v>1</v>
      </c>
      <c r="BE195" s="313">
        <v>1</v>
      </c>
      <c r="BF195" s="313">
        <v>1</v>
      </c>
      <c r="BG195" s="313">
        <v>1</v>
      </c>
      <c r="BH195" s="313">
        <v>1</v>
      </c>
      <c r="BI195" s="313">
        <v>1</v>
      </c>
      <c r="BJ195" s="313">
        <v>1</v>
      </c>
      <c r="BK195" s="313">
        <v>1</v>
      </c>
    </row>
    <row r="196" spans="1:63" x14ac:dyDescent="0.25">
      <c r="A196" s="306" t="s">
        <v>729</v>
      </c>
      <c r="B196" s="313" t="s">
        <v>172</v>
      </c>
      <c r="C196" s="313">
        <v>1</v>
      </c>
      <c r="D196" s="313">
        <v>0</v>
      </c>
      <c r="E196" s="313">
        <v>1</v>
      </c>
      <c r="F196" s="313">
        <v>1</v>
      </c>
      <c r="G196" s="313">
        <v>1</v>
      </c>
      <c r="H196" s="313">
        <v>1</v>
      </c>
      <c r="I196" s="313">
        <v>1</v>
      </c>
      <c r="J196" s="313">
        <v>1</v>
      </c>
      <c r="K196" s="313">
        <v>0</v>
      </c>
      <c r="L196" s="313">
        <v>0</v>
      </c>
      <c r="M196" s="313">
        <v>1</v>
      </c>
      <c r="N196" s="313">
        <v>1</v>
      </c>
      <c r="O196" s="313">
        <v>0</v>
      </c>
      <c r="P196" s="313">
        <v>1</v>
      </c>
      <c r="Q196" s="313">
        <v>1</v>
      </c>
      <c r="R196" s="313">
        <v>1</v>
      </c>
      <c r="S196" s="313">
        <v>1</v>
      </c>
      <c r="T196" s="313">
        <v>1</v>
      </c>
      <c r="U196" s="313">
        <v>1</v>
      </c>
      <c r="V196" s="313">
        <v>0</v>
      </c>
      <c r="W196" s="313">
        <v>1</v>
      </c>
      <c r="X196" s="313">
        <v>1</v>
      </c>
      <c r="Y196" s="313">
        <v>1</v>
      </c>
      <c r="Z196" s="313">
        <v>1</v>
      </c>
      <c r="AA196" s="313">
        <v>1</v>
      </c>
      <c r="AB196" s="313">
        <v>1</v>
      </c>
      <c r="AC196" s="313">
        <v>1</v>
      </c>
      <c r="AD196" s="313">
        <v>1</v>
      </c>
      <c r="AE196" s="313">
        <v>1</v>
      </c>
      <c r="AF196" s="313">
        <v>0</v>
      </c>
      <c r="AG196" s="313">
        <v>1</v>
      </c>
      <c r="AH196" s="313">
        <v>1</v>
      </c>
      <c r="AI196" s="313">
        <v>1</v>
      </c>
      <c r="AJ196" s="313">
        <v>0</v>
      </c>
      <c r="AK196" s="313">
        <v>1</v>
      </c>
      <c r="AL196" s="313">
        <v>1</v>
      </c>
      <c r="AM196" s="313">
        <v>1</v>
      </c>
      <c r="AN196" s="313">
        <v>1</v>
      </c>
      <c r="AO196" s="313">
        <v>1</v>
      </c>
      <c r="AP196" s="313">
        <v>1</v>
      </c>
      <c r="AQ196" s="313">
        <v>0</v>
      </c>
      <c r="AR196" s="313">
        <v>1</v>
      </c>
      <c r="AS196" s="313">
        <v>1</v>
      </c>
      <c r="AT196" s="313">
        <v>1</v>
      </c>
      <c r="AU196" s="313">
        <v>1</v>
      </c>
      <c r="AV196" s="313">
        <v>1</v>
      </c>
      <c r="AW196" s="313">
        <v>1</v>
      </c>
      <c r="AX196" s="313">
        <v>1</v>
      </c>
      <c r="AY196" s="313">
        <v>1</v>
      </c>
      <c r="AZ196" s="313">
        <v>1</v>
      </c>
      <c r="BA196" s="313">
        <v>1</v>
      </c>
      <c r="BB196" s="313">
        <v>1</v>
      </c>
      <c r="BC196" s="313">
        <v>1</v>
      </c>
      <c r="BD196" s="313">
        <v>1</v>
      </c>
      <c r="BE196" s="313">
        <v>1</v>
      </c>
      <c r="BF196" s="313">
        <v>1</v>
      </c>
      <c r="BG196" s="313">
        <v>1</v>
      </c>
      <c r="BH196" s="313">
        <v>1</v>
      </c>
      <c r="BI196" s="313">
        <v>1</v>
      </c>
      <c r="BJ196" s="313">
        <v>1</v>
      </c>
      <c r="BK196" s="313">
        <v>1</v>
      </c>
    </row>
    <row r="197" spans="1:63" x14ac:dyDescent="0.25">
      <c r="A197" s="306" t="s">
        <v>600</v>
      </c>
      <c r="B197" s="313" t="s">
        <v>7</v>
      </c>
      <c r="C197" s="313">
        <v>1</v>
      </c>
      <c r="D197" s="313">
        <v>1</v>
      </c>
      <c r="E197" s="313">
        <v>1</v>
      </c>
      <c r="F197" s="313">
        <v>1</v>
      </c>
      <c r="G197" s="313">
        <v>1</v>
      </c>
      <c r="H197" s="313">
        <v>1</v>
      </c>
      <c r="I197" s="313">
        <v>1</v>
      </c>
      <c r="J197" s="313">
        <v>1</v>
      </c>
      <c r="K197" s="313">
        <v>0</v>
      </c>
      <c r="L197" s="313">
        <v>0</v>
      </c>
      <c r="M197" s="313">
        <v>1</v>
      </c>
      <c r="N197" s="313">
        <v>1</v>
      </c>
      <c r="O197" s="313">
        <v>0</v>
      </c>
      <c r="P197" s="313">
        <v>1</v>
      </c>
      <c r="Q197" s="313">
        <v>1</v>
      </c>
      <c r="R197" s="313">
        <v>1</v>
      </c>
      <c r="S197" s="313">
        <v>1</v>
      </c>
      <c r="T197" s="313">
        <v>1</v>
      </c>
      <c r="U197" s="313">
        <v>1</v>
      </c>
      <c r="V197" s="313">
        <v>1</v>
      </c>
      <c r="W197" s="313">
        <v>1</v>
      </c>
      <c r="X197" s="313">
        <v>1</v>
      </c>
      <c r="Y197" s="313">
        <v>1</v>
      </c>
      <c r="Z197" s="313">
        <v>1</v>
      </c>
      <c r="AA197" s="313">
        <v>1</v>
      </c>
      <c r="AB197" s="313">
        <v>1</v>
      </c>
      <c r="AC197" s="313">
        <v>1</v>
      </c>
      <c r="AD197" s="313">
        <v>1</v>
      </c>
      <c r="AE197" s="313">
        <v>1</v>
      </c>
      <c r="AF197" s="313">
        <v>1</v>
      </c>
      <c r="AG197" s="313">
        <v>1</v>
      </c>
      <c r="AH197" s="313">
        <v>1</v>
      </c>
      <c r="AI197" s="313">
        <v>1</v>
      </c>
      <c r="AJ197" s="313">
        <v>1</v>
      </c>
      <c r="AK197" s="313">
        <v>1</v>
      </c>
      <c r="AL197" s="313">
        <v>1</v>
      </c>
      <c r="AM197" s="313">
        <v>1</v>
      </c>
      <c r="AN197" s="313">
        <v>1</v>
      </c>
      <c r="AO197" s="313">
        <v>1</v>
      </c>
      <c r="AP197" s="313">
        <v>1</v>
      </c>
      <c r="AQ197" s="313">
        <v>1</v>
      </c>
      <c r="AR197" s="313">
        <v>1</v>
      </c>
      <c r="AS197" s="313">
        <v>1</v>
      </c>
      <c r="AT197" s="313">
        <v>1</v>
      </c>
      <c r="AU197" s="313">
        <v>1</v>
      </c>
      <c r="AV197" s="313">
        <v>1</v>
      </c>
      <c r="AW197" s="313">
        <v>1</v>
      </c>
      <c r="AX197" s="313">
        <v>1</v>
      </c>
      <c r="AY197" s="313">
        <v>1</v>
      </c>
      <c r="AZ197" s="313">
        <v>1</v>
      </c>
      <c r="BA197" s="313">
        <v>1</v>
      </c>
      <c r="BB197" s="313">
        <v>1</v>
      </c>
      <c r="BC197" s="313">
        <v>1</v>
      </c>
      <c r="BD197" s="313">
        <v>1</v>
      </c>
      <c r="BE197" s="313">
        <v>1</v>
      </c>
      <c r="BF197" s="313">
        <v>1</v>
      </c>
      <c r="BG197" s="313">
        <v>1</v>
      </c>
      <c r="BH197" s="313">
        <v>1</v>
      </c>
      <c r="BI197" s="313">
        <v>1</v>
      </c>
      <c r="BJ197" s="313">
        <v>1</v>
      </c>
      <c r="BK197" s="313">
        <v>1</v>
      </c>
    </row>
    <row r="198" spans="1:63" x14ac:dyDescent="0.25">
      <c r="A198" s="306">
        <v>333111</v>
      </c>
      <c r="B198" s="313" t="s">
        <v>180</v>
      </c>
      <c r="C198" s="313">
        <v>1</v>
      </c>
      <c r="D198" s="313">
        <v>0</v>
      </c>
      <c r="E198" s="313">
        <v>1</v>
      </c>
      <c r="F198" s="313">
        <v>1</v>
      </c>
      <c r="G198" s="313">
        <v>1</v>
      </c>
      <c r="H198" s="313">
        <v>1</v>
      </c>
      <c r="I198" s="313">
        <v>1</v>
      </c>
      <c r="J198" s="313">
        <v>0</v>
      </c>
      <c r="K198" s="313">
        <v>0</v>
      </c>
      <c r="L198" s="313">
        <v>0</v>
      </c>
      <c r="M198" s="313">
        <v>1</v>
      </c>
      <c r="N198" s="313">
        <v>1</v>
      </c>
      <c r="O198" s="313">
        <v>1</v>
      </c>
      <c r="P198" s="313">
        <v>1</v>
      </c>
      <c r="Q198" s="313">
        <v>1</v>
      </c>
      <c r="R198" s="313">
        <v>1</v>
      </c>
      <c r="S198" s="313">
        <v>1</v>
      </c>
      <c r="T198" s="313">
        <v>1</v>
      </c>
      <c r="U198" s="313">
        <v>1</v>
      </c>
      <c r="V198" s="313">
        <v>1</v>
      </c>
      <c r="W198" s="313">
        <v>1</v>
      </c>
      <c r="X198" s="313">
        <v>1</v>
      </c>
      <c r="Y198" s="313">
        <v>1</v>
      </c>
      <c r="Z198" s="313">
        <v>1</v>
      </c>
      <c r="AA198" s="313">
        <v>1</v>
      </c>
      <c r="AB198" s="313">
        <v>1</v>
      </c>
      <c r="AC198" s="313">
        <v>1</v>
      </c>
      <c r="AD198" s="313">
        <v>1</v>
      </c>
      <c r="AE198" s="313">
        <v>1</v>
      </c>
      <c r="AF198" s="313">
        <v>1</v>
      </c>
      <c r="AG198" s="313">
        <v>1</v>
      </c>
      <c r="AH198" s="313">
        <v>1</v>
      </c>
      <c r="AI198" s="313">
        <v>1</v>
      </c>
      <c r="AJ198" s="313">
        <v>1</v>
      </c>
      <c r="AK198" s="313">
        <v>1</v>
      </c>
      <c r="AL198" s="313">
        <v>1</v>
      </c>
      <c r="AM198" s="313">
        <v>1</v>
      </c>
      <c r="AN198" s="313">
        <v>1</v>
      </c>
      <c r="AO198" s="313">
        <v>1</v>
      </c>
      <c r="AP198" s="313">
        <v>1</v>
      </c>
      <c r="AQ198" s="313">
        <v>0</v>
      </c>
      <c r="AR198" s="313">
        <v>1</v>
      </c>
      <c r="AS198" s="313">
        <v>1</v>
      </c>
      <c r="AT198" s="313">
        <v>1</v>
      </c>
      <c r="AU198" s="313">
        <v>1</v>
      </c>
      <c r="AV198" s="313">
        <v>1</v>
      </c>
      <c r="AW198" s="313">
        <v>1</v>
      </c>
      <c r="AX198" s="313">
        <v>0</v>
      </c>
      <c r="AY198" s="313">
        <v>1</v>
      </c>
      <c r="AZ198" s="313">
        <v>1</v>
      </c>
      <c r="BA198" s="313">
        <v>0</v>
      </c>
      <c r="BB198" s="313">
        <v>1</v>
      </c>
      <c r="BC198" s="313">
        <v>1</v>
      </c>
      <c r="BD198" s="313">
        <v>1</v>
      </c>
      <c r="BE198" s="313">
        <v>1</v>
      </c>
      <c r="BF198" s="313">
        <v>1</v>
      </c>
      <c r="BG198" s="313">
        <v>1</v>
      </c>
      <c r="BH198" s="313">
        <v>1</v>
      </c>
      <c r="BI198" s="313">
        <v>1</v>
      </c>
      <c r="BJ198" s="313">
        <v>1</v>
      </c>
      <c r="BK198" s="313">
        <v>1</v>
      </c>
    </row>
    <row r="199" spans="1:63" x14ac:dyDescent="0.25">
      <c r="A199" s="306">
        <v>333112</v>
      </c>
      <c r="B199" s="313" t="s">
        <v>181</v>
      </c>
      <c r="C199" s="313">
        <v>1</v>
      </c>
      <c r="D199" s="313">
        <v>0</v>
      </c>
      <c r="E199" s="313">
        <v>1</v>
      </c>
      <c r="F199" s="313">
        <v>1</v>
      </c>
      <c r="G199" s="313">
        <v>1</v>
      </c>
      <c r="H199" s="313">
        <v>1</v>
      </c>
      <c r="I199" s="313">
        <v>1</v>
      </c>
      <c r="J199" s="313">
        <v>1</v>
      </c>
      <c r="K199" s="313">
        <v>0</v>
      </c>
      <c r="L199" s="313">
        <v>0</v>
      </c>
      <c r="M199" s="313">
        <v>1</v>
      </c>
      <c r="N199" s="313">
        <v>1</v>
      </c>
      <c r="O199" s="313">
        <v>0</v>
      </c>
      <c r="P199" s="313">
        <v>1</v>
      </c>
      <c r="Q199" s="313">
        <v>1</v>
      </c>
      <c r="R199" s="313">
        <v>1</v>
      </c>
      <c r="S199" s="313">
        <v>1</v>
      </c>
      <c r="T199" s="313">
        <v>1</v>
      </c>
      <c r="U199" s="313">
        <v>1</v>
      </c>
      <c r="V199" s="313">
        <v>1</v>
      </c>
      <c r="W199" s="313">
        <v>1</v>
      </c>
      <c r="X199" s="313">
        <v>1</v>
      </c>
      <c r="Y199" s="313">
        <v>1</v>
      </c>
      <c r="Z199" s="313">
        <v>1</v>
      </c>
      <c r="AA199" s="313">
        <v>1</v>
      </c>
      <c r="AB199" s="313">
        <v>1</v>
      </c>
      <c r="AC199" s="313">
        <v>1</v>
      </c>
      <c r="AD199" s="313">
        <v>0</v>
      </c>
      <c r="AE199" s="313">
        <v>1</v>
      </c>
      <c r="AF199" s="313">
        <v>0</v>
      </c>
      <c r="AG199" s="313">
        <v>1</v>
      </c>
      <c r="AH199" s="313">
        <v>0</v>
      </c>
      <c r="AI199" s="313">
        <v>1</v>
      </c>
      <c r="AJ199" s="313">
        <v>0</v>
      </c>
      <c r="AK199" s="313">
        <v>0</v>
      </c>
      <c r="AL199" s="313">
        <v>1</v>
      </c>
      <c r="AM199" s="313">
        <v>1</v>
      </c>
      <c r="AN199" s="313">
        <v>1</v>
      </c>
      <c r="AO199" s="313">
        <v>1</v>
      </c>
      <c r="AP199" s="313">
        <v>1</v>
      </c>
      <c r="AQ199" s="313">
        <v>0</v>
      </c>
      <c r="AR199" s="313">
        <v>1</v>
      </c>
      <c r="AS199" s="313">
        <v>1</v>
      </c>
      <c r="AT199" s="313">
        <v>1</v>
      </c>
      <c r="AU199" s="313">
        <v>1</v>
      </c>
      <c r="AV199" s="313">
        <v>1</v>
      </c>
      <c r="AW199" s="313">
        <v>1</v>
      </c>
      <c r="AX199" s="313">
        <v>0</v>
      </c>
      <c r="AY199" s="313">
        <v>1</v>
      </c>
      <c r="AZ199" s="313">
        <v>1</v>
      </c>
      <c r="BA199" s="313">
        <v>1</v>
      </c>
      <c r="BB199" s="313">
        <v>0</v>
      </c>
      <c r="BC199" s="313">
        <v>1</v>
      </c>
      <c r="BD199" s="313">
        <v>1</v>
      </c>
      <c r="BE199" s="313">
        <v>1</v>
      </c>
      <c r="BF199" s="313">
        <v>1</v>
      </c>
      <c r="BG199" s="313">
        <v>1</v>
      </c>
      <c r="BH199" s="313">
        <v>1</v>
      </c>
      <c r="BI199" s="313">
        <v>1</v>
      </c>
      <c r="BJ199" s="313">
        <v>1</v>
      </c>
      <c r="BK199" s="313">
        <v>1</v>
      </c>
    </row>
    <row r="200" spans="1:63" x14ac:dyDescent="0.25">
      <c r="A200" s="306">
        <v>333120</v>
      </c>
      <c r="B200" s="313" t="s">
        <v>182</v>
      </c>
      <c r="C200" s="313">
        <v>1</v>
      </c>
      <c r="D200" s="313">
        <v>0</v>
      </c>
      <c r="E200" s="313">
        <v>1</v>
      </c>
      <c r="F200" s="313">
        <v>1</v>
      </c>
      <c r="G200" s="313">
        <v>1</v>
      </c>
      <c r="H200" s="313">
        <v>1</v>
      </c>
      <c r="I200" s="313">
        <v>1</v>
      </c>
      <c r="J200" s="313">
        <v>1</v>
      </c>
      <c r="K200" s="313">
        <v>0</v>
      </c>
      <c r="L200" s="313">
        <v>0</v>
      </c>
      <c r="M200" s="313">
        <v>1</v>
      </c>
      <c r="N200" s="313">
        <v>1</v>
      </c>
      <c r="O200" s="313">
        <v>0</v>
      </c>
      <c r="P200" s="313">
        <v>1</v>
      </c>
      <c r="Q200" s="313">
        <v>1</v>
      </c>
      <c r="R200" s="313">
        <v>1</v>
      </c>
      <c r="S200" s="313">
        <v>1</v>
      </c>
      <c r="T200" s="313">
        <v>1</v>
      </c>
      <c r="U200" s="313">
        <v>1</v>
      </c>
      <c r="V200" s="313">
        <v>1</v>
      </c>
      <c r="W200" s="313">
        <v>1</v>
      </c>
      <c r="X200" s="313">
        <v>1</v>
      </c>
      <c r="Y200" s="313">
        <v>1</v>
      </c>
      <c r="Z200" s="313">
        <v>1</v>
      </c>
      <c r="AA200" s="313">
        <v>1</v>
      </c>
      <c r="AB200" s="313">
        <v>1</v>
      </c>
      <c r="AC200" s="313">
        <v>1</v>
      </c>
      <c r="AD200" s="313">
        <v>1</v>
      </c>
      <c r="AE200" s="313">
        <v>1</v>
      </c>
      <c r="AF200" s="313">
        <v>1</v>
      </c>
      <c r="AG200" s="313">
        <v>1</v>
      </c>
      <c r="AH200" s="313">
        <v>1</v>
      </c>
      <c r="AI200" s="313">
        <v>1</v>
      </c>
      <c r="AJ200" s="313">
        <v>1</v>
      </c>
      <c r="AK200" s="313">
        <v>0</v>
      </c>
      <c r="AL200" s="313">
        <v>1</v>
      </c>
      <c r="AM200" s="313">
        <v>1</v>
      </c>
      <c r="AN200" s="313">
        <v>1</v>
      </c>
      <c r="AO200" s="313">
        <v>1</v>
      </c>
      <c r="AP200" s="313">
        <v>1</v>
      </c>
      <c r="AQ200" s="313">
        <v>1</v>
      </c>
      <c r="AR200" s="313">
        <v>1</v>
      </c>
      <c r="AS200" s="313">
        <v>1</v>
      </c>
      <c r="AT200" s="313">
        <v>1</v>
      </c>
      <c r="AU200" s="313">
        <v>1</v>
      </c>
      <c r="AV200" s="313">
        <v>1</v>
      </c>
      <c r="AW200" s="313">
        <v>1</v>
      </c>
      <c r="AX200" s="313">
        <v>1</v>
      </c>
      <c r="AY200" s="313">
        <v>1</v>
      </c>
      <c r="AZ200" s="313">
        <v>1</v>
      </c>
      <c r="BA200" s="313">
        <v>1</v>
      </c>
      <c r="BB200" s="313">
        <v>1</v>
      </c>
      <c r="BC200" s="313">
        <v>1</v>
      </c>
      <c r="BD200" s="313">
        <v>1</v>
      </c>
      <c r="BE200" s="313">
        <v>1</v>
      </c>
      <c r="BF200" s="313">
        <v>1</v>
      </c>
      <c r="BG200" s="313">
        <v>1</v>
      </c>
      <c r="BH200" s="313">
        <v>1</v>
      </c>
      <c r="BI200" s="313">
        <v>1</v>
      </c>
      <c r="BJ200" s="313">
        <v>1</v>
      </c>
      <c r="BK200" s="313">
        <v>1</v>
      </c>
    </row>
    <row r="201" spans="1:63" x14ac:dyDescent="0.25">
      <c r="A201" s="306">
        <v>333130</v>
      </c>
      <c r="B201" s="313" t="s">
        <v>183</v>
      </c>
      <c r="C201" s="313">
        <v>1</v>
      </c>
      <c r="D201" s="313">
        <v>1</v>
      </c>
      <c r="E201" s="313">
        <v>1</v>
      </c>
      <c r="F201" s="313">
        <v>1</v>
      </c>
      <c r="G201" s="313">
        <v>1</v>
      </c>
      <c r="H201" s="313">
        <v>1</v>
      </c>
      <c r="I201" s="313">
        <v>1</v>
      </c>
      <c r="J201" s="313">
        <v>1</v>
      </c>
      <c r="K201" s="313">
        <v>0</v>
      </c>
      <c r="L201" s="313">
        <v>0</v>
      </c>
      <c r="M201" s="313">
        <v>1</v>
      </c>
      <c r="N201" s="313">
        <v>1</v>
      </c>
      <c r="O201" s="313">
        <v>0</v>
      </c>
      <c r="P201" s="313">
        <v>1</v>
      </c>
      <c r="Q201" s="313">
        <v>1</v>
      </c>
      <c r="R201" s="313">
        <v>1</v>
      </c>
      <c r="S201" s="313">
        <v>1</v>
      </c>
      <c r="T201" s="313">
        <v>1</v>
      </c>
      <c r="U201" s="313">
        <v>1</v>
      </c>
      <c r="V201" s="313">
        <v>1</v>
      </c>
      <c r="W201" s="313">
        <v>1</v>
      </c>
      <c r="X201" s="313">
        <v>1</v>
      </c>
      <c r="Y201" s="313">
        <v>0</v>
      </c>
      <c r="Z201" s="313">
        <v>1</v>
      </c>
      <c r="AA201" s="313">
        <v>1</v>
      </c>
      <c r="AB201" s="313">
        <v>1</v>
      </c>
      <c r="AC201" s="313">
        <v>1</v>
      </c>
      <c r="AD201" s="313">
        <v>0</v>
      </c>
      <c r="AE201" s="313">
        <v>1</v>
      </c>
      <c r="AF201" s="313">
        <v>1</v>
      </c>
      <c r="AG201" s="313">
        <v>1</v>
      </c>
      <c r="AH201" s="313">
        <v>1</v>
      </c>
      <c r="AI201" s="313">
        <v>1</v>
      </c>
      <c r="AJ201" s="313">
        <v>1</v>
      </c>
      <c r="AK201" s="313">
        <v>1</v>
      </c>
      <c r="AL201" s="313">
        <v>1</v>
      </c>
      <c r="AM201" s="313">
        <v>1</v>
      </c>
      <c r="AN201" s="313">
        <v>1</v>
      </c>
      <c r="AO201" s="313">
        <v>1</v>
      </c>
      <c r="AP201" s="313">
        <v>1</v>
      </c>
      <c r="AQ201" s="313">
        <v>0</v>
      </c>
      <c r="AR201" s="313">
        <v>1</v>
      </c>
      <c r="AS201" s="313">
        <v>0</v>
      </c>
      <c r="AT201" s="313">
        <v>1</v>
      </c>
      <c r="AU201" s="313">
        <v>1</v>
      </c>
      <c r="AV201" s="313">
        <v>1</v>
      </c>
      <c r="AW201" s="313">
        <v>1</v>
      </c>
      <c r="AX201" s="313">
        <v>1</v>
      </c>
      <c r="AY201" s="313">
        <v>1</v>
      </c>
      <c r="AZ201" s="313">
        <v>1</v>
      </c>
      <c r="BA201" s="313">
        <v>1</v>
      </c>
      <c r="BB201" s="313">
        <v>1</v>
      </c>
      <c r="BC201" s="313">
        <v>1</v>
      </c>
      <c r="BD201" s="313">
        <v>1</v>
      </c>
      <c r="BE201" s="313">
        <v>1</v>
      </c>
      <c r="BF201" s="313">
        <v>1</v>
      </c>
      <c r="BG201" s="313">
        <v>1</v>
      </c>
      <c r="BH201" s="313">
        <v>1</v>
      </c>
      <c r="BI201" s="313">
        <v>1</v>
      </c>
      <c r="BJ201" s="313">
        <v>1</v>
      </c>
      <c r="BK201" s="313">
        <v>1</v>
      </c>
    </row>
    <row r="202" spans="1:63" x14ac:dyDescent="0.25">
      <c r="A202" s="306">
        <v>333220</v>
      </c>
      <c r="B202" s="313" t="s">
        <v>185</v>
      </c>
      <c r="C202" s="313">
        <v>1</v>
      </c>
      <c r="D202" s="313">
        <v>0</v>
      </c>
      <c r="E202" s="313">
        <v>1</v>
      </c>
      <c r="F202" s="313">
        <v>1</v>
      </c>
      <c r="G202" s="313">
        <v>1</v>
      </c>
      <c r="H202" s="313">
        <v>1</v>
      </c>
      <c r="I202" s="313">
        <v>1</v>
      </c>
      <c r="J202" s="313">
        <v>1</v>
      </c>
      <c r="K202" s="313">
        <v>0</v>
      </c>
      <c r="L202" s="313">
        <v>0</v>
      </c>
      <c r="M202" s="313">
        <v>1</v>
      </c>
      <c r="N202" s="313">
        <v>1</v>
      </c>
      <c r="O202" s="313">
        <v>0</v>
      </c>
      <c r="P202" s="313">
        <v>1</v>
      </c>
      <c r="Q202" s="313">
        <v>0</v>
      </c>
      <c r="R202" s="313">
        <v>1</v>
      </c>
      <c r="S202" s="313">
        <v>1</v>
      </c>
      <c r="T202" s="313">
        <v>1</v>
      </c>
      <c r="U202" s="313">
        <v>1</v>
      </c>
      <c r="V202" s="313">
        <v>1</v>
      </c>
      <c r="W202" s="313">
        <v>1</v>
      </c>
      <c r="X202" s="313">
        <v>1</v>
      </c>
      <c r="Y202" s="313">
        <v>0</v>
      </c>
      <c r="Z202" s="313">
        <v>1</v>
      </c>
      <c r="AA202" s="313">
        <v>1</v>
      </c>
      <c r="AB202" s="313">
        <v>1</v>
      </c>
      <c r="AC202" s="313">
        <v>1</v>
      </c>
      <c r="AD202" s="313">
        <v>0</v>
      </c>
      <c r="AE202" s="313">
        <v>1</v>
      </c>
      <c r="AF202" s="313">
        <v>1</v>
      </c>
      <c r="AG202" s="313">
        <v>1</v>
      </c>
      <c r="AH202" s="313">
        <v>1</v>
      </c>
      <c r="AI202" s="313">
        <v>1</v>
      </c>
      <c r="AJ202" s="313">
        <v>1</v>
      </c>
      <c r="AK202" s="313">
        <v>0</v>
      </c>
      <c r="AL202" s="313">
        <v>1</v>
      </c>
      <c r="AM202" s="313">
        <v>1</v>
      </c>
      <c r="AN202" s="313">
        <v>1</v>
      </c>
      <c r="AO202" s="313">
        <v>1</v>
      </c>
      <c r="AP202" s="313">
        <v>1</v>
      </c>
      <c r="AQ202" s="313">
        <v>1</v>
      </c>
      <c r="AR202" s="313">
        <v>1</v>
      </c>
      <c r="AS202" s="313">
        <v>0</v>
      </c>
      <c r="AT202" s="313">
        <v>1</v>
      </c>
      <c r="AU202" s="313">
        <v>1</v>
      </c>
      <c r="AV202" s="313">
        <v>1</v>
      </c>
      <c r="AW202" s="313">
        <v>1</v>
      </c>
      <c r="AX202" s="313">
        <v>1</v>
      </c>
      <c r="AY202" s="313">
        <v>1</v>
      </c>
      <c r="AZ202" s="313">
        <v>1</v>
      </c>
      <c r="BA202" s="313">
        <v>1</v>
      </c>
      <c r="BB202" s="313">
        <v>0</v>
      </c>
      <c r="BC202" s="313">
        <v>1</v>
      </c>
      <c r="BD202" s="313">
        <v>1</v>
      </c>
      <c r="BE202" s="313">
        <v>1</v>
      </c>
      <c r="BF202" s="313">
        <v>1</v>
      </c>
      <c r="BG202" s="313">
        <v>1</v>
      </c>
      <c r="BH202" s="313">
        <v>1</v>
      </c>
      <c r="BI202" s="313">
        <v>1</v>
      </c>
      <c r="BJ202" s="313">
        <v>1</v>
      </c>
      <c r="BK202" s="313">
        <v>1</v>
      </c>
    </row>
    <row r="203" spans="1:63" x14ac:dyDescent="0.25">
      <c r="A203" s="306">
        <v>333295</v>
      </c>
      <c r="B203" s="313" t="s">
        <v>186</v>
      </c>
      <c r="C203" s="313">
        <v>1</v>
      </c>
      <c r="D203" s="313">
        <v>0</v>
      </c>
      <c r="E203" s="313">
        <v>1</v>
      </c>
      <c r="F203" s="313">
        <v>1</v>
      </c>
      <c r="G203" s="313">
        <v>1</v>
      </c>
      <c r="H203" s="313">
        <v>1</v>
      </c>
      <c r="I203" s="313">
        <v>1</v>
      </c>
      <c r="J203" s="313">
        <v>1</v>
      </c>
      <c r="K203" s="313">
        <v>0</v>
      </c>
      <c r="L203" s="313">
        <v>0</v>
      </c>
      <c r="M203" s="313">
        <v>1</v>
      </c>
      <c r="N203" s="313">
        <v>1</v>
      </c>
      <c r="O203" s="313">
        <v>0</v>
      </c>
      <c r="P203" s="313">
        <v>1</v>
      </c>
      <c r="Q203" s="313">
        <v>1</v>
      </c>
      <c r="R203" s="313">
        <v>1</v>
      </c>
      <c r="S203" s="313">
        <v>0</v>
      </c>
      <c r="T203" s="313">
        <v>0</v>
      </c>
      <c r="U203" s="313">
        <v>1</v>
      </c>
      <c r="V203" s="313">
        <v>0</v>
      </c>
      <c r="W203" s="313">
        <v>1</v>
      </c>
      <c r="X203" s="313">
        <v>1</v>
      </c>
      <c r="Y203" s="313">
        <v>0</v>
      </c>
      <c r="Z203" s="313">
        <v>1</v>
      </c>
      <c r="AA203" s="313">
        <v>1</v>
      </c>
      <c r="AB203" s="313">
        <v>0</v>
      </c>
      <c r="AC203" s="313">
        <v>0</v>
      </c>
      <c r="AD203" s="313">
        <v>1</v>
      </c>
      <c r="AE203" s="313">
        <v>1</v>
      </c>
      <c r="AF203" s="313">
        <v>0</v>
      </c>
      <c r="AG203" s="313">
        <v>0</v>
      </c>
      <c r="AH203" s="313">
        <v>1</v>
      </c>
      <c r="AI203" s="313">
        <v>1</v>
      </c>
      <c r="AJ203" s="313">
        <v>0</v>
      </c>
      <c r="AK203" s="313">
        <v>0</v>
      </c>
      <c r="AL203" s="313">
        <v>1</v>
      </c>
      <c r="AM203" s="313">
        <v>1</v>
      </c>
      <c r="AN203" s="313">
        <v>0</v>
      </c>
      <c r="AO203" s="313">
        <v>1</v>
      </c>
      <c r="AP203" s="313">
        <v>1</v>
      </c>
      <c r="AQ203" s="313">
        <v>0</v>
      </c>
      <c r="AR203" s="313">
        <v>0</v>
      </c>
      <c r="AS203" s="313">
        <v>0</v>
      </c>
      <c r="AT203" s="313">
        <v>1</v>
      </c>
      <c r="AU203" s="313">
        <v>1</v>
      </c>
      <c r="AV203" s="313">
        <v>1</v>
      </c>
      <c r="AW203" s="313">
        <v>1</v>
      </c>
      <c r="AX203" s="313">
        <v>1</v>
      </c>
      <c r="AY203" s="313">
        <v>0</v>
      </c>
      <c r="AZ203" s="313">
        <v>1</v>
      </c>
      <c r="BA203" s="313">
        <v>0</v>
      </c>
      <c r="BB203" s="313">
        <v>0</v>
      </c>
      <c r="BC203" s="313">
        <v>1</v>
      </c>
      <c r="BD203" s="313">
        <v>1</v>
      </c>
      <c r="BE203" s="313">
        <v>1</v>
      </c>
      <c r="BF203" s="313">
        <v>1</v>
      </c>
      <c r="BG203" s="313">
        <v>1</v>
      </c>
      <c r="BH203" s="313">
        <v>1</v>
      </c>
      <c r="BI203" s="313">
        <v>1</v>
      </c>
      <c r="BJ203" s="313">
        <v>1</v>
      </c>
      <c r="BK203" s="313">
        <v>1</v>
      </c>
    </row>
    <row r="204" spans="1:63" x14ac:dyDescent="0.25">
      <c r="A204" s="306" t="s">
        <v>730</v>
      </c>
      <c r="B204" s="313" t="s">
        <v>184</v>
      </c>
      <c r="C204" s="313">
        <v>1</v>
      </c>
      <c r="D204" s="313">
        <v>0</v>
      </c>
      <c r="E204" s="313">
        <v>1</v>
      </c>
      <c r="F204" s="313">
        <v>1</v>
      </c>
      <c r="G204" s="313">
        <v>1</v>
      </c>
      <c r="H204" s="313">
        <v>1</v>
      </c>
      <c r="I204" s="313">
        <v>1</v>
      </c>
      <c r="J204" s="313">
        <v>1</v>
      </c>
      <c r="K204" s="313">
        <v>0</v>
      </c>
      <c r="L204" s="313">
        <v>1</v>
      </c>
      <c r="M204" s="313">
        <v>1</v>
      </c>
      <c r="N204" s="313">
        <v>1</v>
      </c>
      <c r="O204" s="313">
        <v>0</v>
      </c>
      <c r="P204" s="313">
        <v>1</v>
      </c>
      <c r="Q204" s="313">
        <v>1</v>
      </c>
      <c r="R204" s="313">
        <v>1</v>
      </c>
      <c r="S204" s="313">
        <v>1</v>
      </c>
      <c r="T204" s="313">
        <v>1</v>
      </c>
      <c r="U204" s="313">
        <v>1</v>
      </c>
      <c r="V204" s="313">
        <v>1</v>
      </c>
      <c r="W204" s="313">
        <v>1</v>
      </c>
      <c r="X204" s="313">
        <v>1</v>
      </c>
      <c r="Y204" s="313">
        <v>1</v>
      </c>
      <c r="Z204" s="313">
        <v>1</v>
      </c>
      <c r="AA204" s="313">
        <v>1</v>
      </c>
      <c r="AB204" s="313">
        <v>1</v>
      </c>
      <c r="AC204" s="313">
        <v>1</v>
      </c>
      <c r="AD204" s="313">
        <v>1</v>
      </c>
      <c r="AE204" s="313">
        <v>1</v>
      </c>
      <c r="AF204" s="313">
        <v>1</v>
      </c>
      <c r="AG204" s="313">
        <v>1</v>
      </c>
      <c r="AH204" s="313">
        <v>1</v>
      </c>
      <c r="AI204" s="313">
        <v>1</v>
      </c>
      <c r="AJ204" s="313">
        <v>1</v>
      </c>
      <c r="AK204" s="313">
        <v>1</v>
      </c>
      <c r="AL204" s="313">
        <v>1</v>
      </c>
      <c r="AM204" s="313">
        <v>1</v>
      </c>
      <c r="AN204" s="313">
        <v>1</v>
      </c>
      <c r="AO204" s="313">
        <v>1</v>
      </c>
      <c r="AP204" s="313">
        <v>1</v>
      </c>
      <c r="AQ204" s="313">
        <v>1</v>
      </c>
      <c r="AR204" s="313">
        <v>1</v>
      </c>
      <c r="AS204" s="313">
        <v>1</v>
      </c>
      <c r="AT204" s="313">
        <v>1</v>
      </c>
      <c r="AU204" s="313">
        <v>1</v>
      </c>
      <c r="AV204" s="313">
        <v>1</v>
      </c>
      <c r="AW204" s="313">
        <v>1</v>
      </c>
      <c r="AX204" s="313">
        <v>1</v>
      </c>
      <c r="AY204" s="313">
        <v>1</v>
      </c>
      <c r="AZ204" s="313">
        <v>1</v>
      </c>
      <c r="BA204" s="313">
        <v>1</v>
      </c>
      <c r="BB204" s="313">
        <v>1</v>
      </c>
      <c r="BC204" s="313">
        <v>1</v>
      </c>
      <c r="BD204" s="313">
        <v>1</v>
      </c>
      <c r="BE204" s="313">
        <v>1</v>
      </c>
      <c r="BF204" s="313">
        <v>1</v>
      </c>
      <c r="BG204" s="313">
        <v>1</v>
      </c>
      <c r="BH204" s="313">
        <v>1</v>
      </c>
      <c r="BI204" s="313">
        <v>1</v>
      </c>
      <c r="BJ204" s="313">
        <v>1</v>
      </c>
      <c r="BK204" s="313">
        <v>1</v>
      </c>
    </row>
    <row r="205" spans="1:63" x14ac:dyDescent="0.25">
      <c r="A205" s="306">
        <v>333314</v>
      </c>
      <c r="B205" s="313" t="s">
        <v>188</v>
      </c>
      <c r="C205" s="313">
        <v>1</v>
      </c>
      <c r="D205" s="313">
        <v>0</v>
      </c>
      <c r="E205" s="313">
        <v>1</v>
      </c>
      <c r="F205" s="313">
        <v>1</v>
      </c>
      <c r="G205" s="313">
        <v>1</v>
      </c>
      <c r="H205" s="313">
        <v>1</v>
      </c>
      <c r="I205" s="313">
        <v>1</v>
      </c>
      <c r="J205" s="313">
        <v>1</v>
      </c>
      <c r="K205" s="313">
        <v>0</v>
      </c>
      <c r="L205" s="313">
        <v>1</v>
      </c>
      <c r="M205" s="313">
        <v>1</v>
      </c>
      <c r="N205" s="313">
        <v>1</v>
      </c>
      <c r="O205" s="313">
        <v>1</v>
      </c>
      <c r="P205" s="313">
        <v>1</v>
      </c>
      <c r="Q205" s="313">
        <v>1</v>
      </c>
      <c r="R205" s="313">
        <v>1</v>
      </c>
      <c r="S205" s="313">
        <v>1</v>
      </c>
      <c r="T205" s="313">
        <v>1</v>
      </c>
      <c r="U205" s="313">
        <v>1</v>
      </c>
      <c r="V205" s="313">
        <v>1</v>
      </c>
      <c r="W205" s="313">
        <v>1</v>
      </c>
      <c r="X205" s="313">
        <v>1</v>
      </c>
      <c r="Y205" s="313">
        <v>1</v>
      </c>
      <c r="Z205" s="313">
        <v>1</v>
      </c>
      <c r="AA205" s="313">
        <v>1</v>
      </c>
      <c r="AB205" s="313">
        <v>1</v>
      </c>
      <c r="AC205" s="313">
        <v>1</v>
      </c>
      <c r="AD205" s="313">
        <v>1</v>
      </c>
      <c r="AE205" s="313">
        <v>1</v>
      </c>
      <c r="AF205" s="313">
        <v>1</v>
      </c>
      <c r="AG205" s="313">
        <v>1</v>
      </c>
      <c r="AH205" s="313">
        <v>1</v>
      </c>
      <c r="AI205" s="313">
        <v>1</v>
      </c>
      <c r="AJ205" s="313">
        <v>1</v>
      </c>
      <c r="AK205" s="313">
        <v>1</v>
      </c>
      <c r="AL205" s="313">
        <v>1</v>
      </c>
      <c r="AM205" s="313">
        <v>1</v>
      </c>
      <c r="AN205" s="313">
        <v>1</v>
      </c>
      <c r="AO205" s="313">
        <v>1</v>
      </c>
      <c r="AP205" s="313">
        <v>1</v>
      </c>
      <c r="AQ205" s="313">
        <v>1</v>
      </c>
      <c r="AR205" s="313">
        <v>0</v>
      </c>
      <c r="AS205" s="313">
        <v>0</v>
      </c>
      <c r="AT205" s="313">
        <v>1</v>
      </c>
      <c r="AU205" s="313">
        <v>1</v>
      </c>
      <c r="AV205" s="313">
        <v>1</v>
      </c>
      <c r="AW205" s="313">
        <v>1</v>
      </c>
      <c r="AX205" s="313">
        <v>1</v>
      </c>
      <c r="AY205" s="313">
        <v>1</v>
      </c>
      <c r="AZ205" s="313">
        <v>1</v>
      </c>
      <c r="BA205" s="313">
        <v>1</v>
      </c>
      <c r="BB205" s="313">
        <v>0</v>
      </c>
      <c r="BC205" s="313">
        <v>1</v>
      </c>
      <c r="BD205" s="313">
        <v>1</v>
      </c>
      <c r="BE205" s="313">
        <v>1</v>
      </c>
      <c r="BF205" s="313">
        <v>1</v>
      </c>
      <c r="BG205" s="313">
        <v>1</v>
      </c>
      <c r="BH205" s="313">
        <v>1</v>
      </c>
      <c r="BI205" s="313">
        <v>1</v>
      </c>
      <c r="BJ205" s="313">
        <v>1</v>
      </c>
      <c r="BK205" s="313">
        <v>1</v>
      </c>
    </row>
    <row r="206" spans="1:63" x14ac:dyDescent="0.25">
      <c r="A206" s="306">
        <v>333315</v>
      </c>
      <c r="B206" s="313" t="s">
        <v>189</v>
      </c>
      <c r="C206" s="313">
        <v>1</v>
      </c>
      <c r="D206" s="313">
        <v>0</v>
      </c>
      <c r="E206" s="313">
        <v>1</v>
      </c>
      <c r="F206" s="313">
        <v>0</v>
      </c>
      <c r="G206" s="313">
        <v>1</v>
      </c>
      <c r="H206" s="313">
        <v>1</v>
      </c>
      <c r="I206" s="313">
        <v>1</v>
      </c>
      <c r="J206" s="313">
        <v>1</v>
      </c>
      <c r="K206" s="313">
        <v>0</v>
      </c>
      <c r="L206" s="313">
        <v>0</v>
      </c>
      <c r="M206" s="313">
        <v>1</v>
      </c>
      <c r="N206" s="313">
        <v>1</v>
      </c>
      <c r="O206" s="313">
        <v>0</v>
      </c>
      <c r="P206" s="313">
        <v>0</v>
      </c>
      <c r="Q206" s="313">
        <v>1</v>
      </c>
      <c r="R206" s="313">
        <v>1</v>
      </c>
      <c r="S206" s="313">
        <v>1</v>
      </c>
      <c r="T206" s="313">
        <v>1</v>
      </c>
      <c r="U206" s="313">
        <v>1</v>
      </c>
      <c r="V206" s="313">
        <v>0</v>
      </c>
      <c r="W206" s="313">
        <v>1</v>
      </c>
      <c r="X206" s="313">
        <v>1</v>
      </c>
      <c r="Y206" s="313">
        <v>1</v>
      </c>
      <c r="Z206" s="313">
        <v>1</v>
      </c>
      <c r="AA206" s="313">
        <v>1</v>
      </c>
      <c r="AB206" s="313">
        <v>1</v>
      </c>
      <c r="AC206" s="313">
        <v>0</v>
      </c>
      <c r="AD206" s="313">
        <v>1</v>
      </c>
      <c r="AE206" s="313">
        <v>1</v>
      </c>
      <c r="AF206" s="313">
        <v>1</v>
      </c>
      <c r="AG206" s="313">
        <v>1</v>
      </c>
      <c r="AH206" s="313">
        <v>1</v>
      </c>
      <c r="AI206" s="313">
        <v>1</v>
      </c>
      <c r="AJ206" s="313">
        <v>1</v>
      </c>
      <c r="AK206" s="313">
        <v>0</v>
      </c>
      <c r="AL206" s="313">
        <v>1</v>
      </c>
      <c r="AM206" s="313">
        <v>1</v>
      </c>
      <c r="AN206" s="313">
        <v>1</v>
      </c>
      <c r="AO206" s="313">
        <v>1</v>
      </c>
      <c r="AP206" s="313">
        <v>1</v>
      </c>
      <c r="AQ206" s="313">
        <v>0</v>
      </c>
      <c r="AR206" s="313">
        <v>1</v>
      </c>
      <c r="AS206" s="313">
        <v>0</v>
      </c>
      <c r="AT206" s="313">
        <v>1</v>
      </c>
      <c r="AU206" s="313">
        <v>1</v>
      </c>
      <c r="AV206" s="313">
        <v>1</v>
      </c>
      <c r="AW206" s="313">
        <v>1</v>
      </c>
      <c r="AX206" s="313">
        <v>0</v>
      </c>
      <c r="AY206" s="313">
        <v>1</v>
      </c>
      <c r="AZ206" s="313">
        <v>1</v>
      </c>
      <c r="BA206" s="313">
        <v>0</v>
      </c>
      <c r="BB206" s="313">
        <v>0</v>
      </c>
      <c r="BC206" s="313">
        <v>1</v>
      </c>
      <c r="BD206" s="313">
        <v>1</v>
      </c>
      <c r="BE206" s="313">
        <v>1</v>
      </c>
      <c r="BF206" s="313">
        <v>1</v>
      </c>
      <c r="BG206" s="313">
        <v>1</v>
      </c>
      <c r="BH206" s="313">
        <v>1</v>
      </c>
      <c r="BI206" s="313">
        <v>1</v>
      </c>
      <c r="BJ206" s="313">
        <v>1</v>
      </c>
      <c r="BK206" s="313">
        <v>1</v>
      </c>
    </row>
    <row r="207" spans="1:63" x14ac:dyDescent="0.25">
      <c r="A207" s="306">
        <v>333319</v>
      </c>
      <c r="B207" s="313" t="s">
        <v>190</v>
      </c>
      <c r="C207" s="313">
        <v>1</v>
      </c>
      <c r="D207" s="313">
        <v>0</v>
      </c>
      <c r="E207" s="313">
        <v>1</v>
      </c>
      <c r="F207" s="313">
        <v>1</v>
      </c>
      <c r="G207" s="313">
        <v>1</v>
      </c>
      <c r="H207" s="313">
        <v>1</v>
      </c>
      <c r="I207" s="313">
        <v>1</v>
      </c>
      <c r="J207" s="313">
        <v>1</v>
      </c>
      <c r="K207" s="313">
        <v>0</v>
      </c>
      <c r="L207" s="313">
        <v>0</v>
      </c>
      <c r="M207" s="313">
        <v>1</v>
      </c>
      <c r="N207" s="313">
        <v>1</v>
      </c>
      <c r="O207" s="313">
        <v>1</v>
      </c>
      <c r="P207" s="313">
        <v>1</v>
      </c>
      <c r="Q207" s="313">
        <v>1</v>
      </c>
      <c r="R207" s="313">
        <v>1</v>
      </c>
      <c r="S207" s="313">
        <v>1</v>
      </c>
      <c r="T207" s="313">
        <v>1</v>
      </c>
      <c r="U207" s="313">
        <v>1</v>
      </c>
      <c r="V207" s="313">
        <v>1</v>
      </c>
      <c r="W207" s="313">
        <v>1</v>
      </c>
      <c r="X207" s="313">
        <v>1</v>
      </c>
      <c r="Y207" s="313">
        <v>1</v>
      </c>
      <c r="Z207" s="313">
        <v>1</v>
      </c>
      <c r="AA207" s="313">
        <v>1</v>
      </c>
      <c r="AB207" s="313">
        <v>1</v>
      </c>
      <c r="AC207" s="313">
        <v>1</v>
      </c>
      <c r="AD207" s="313">
        <v>1</v>
      </c>
      <c r="AE207" s="313">
        <v>1</v>
      </c>
      <c r="AF207" s="313">
        <v>1</v>
      </c>
      <c r="AG207" s="313">
        <v>1</v>
      </c>
      <c r="AH207" s="313">
        <v>1</v>
      </c>
      <c r="AI207" s="313">
        <v>1</v>
      </c>
      <c r="AJ207" s="313">
        <v>1</v>
      </c>
      <c r="AK207" s="313">
        <v>1</v>
      </c>
      <c r="AL207" s="313">
        <v>1</v>
      </c>
      <c r="AM207" s="313">
        <v>1</v>
      </c>
      <c r="AN207" s="313">
        <v>1</v>
      </c>
      <c r="AO207" s="313">
        <v>1</v>
      </c>
      <c r="AP207" s="313">
        <v>1</v>
      </c>
      <c r="AQ207" s="313">
        <v>1</v>
      </c>
      <c r="AR207" s="313">
        <v>1</v>
      </c>
      <c r="AS207" s="313">
        <v>1</v>
      </c>
      <c r="AT207" s="313">
        <v>1</v>
      </c>
      <c r="AU207" s="313">
        <v>1</v>
      </c>
      <c r="AV207" s="313">
        <v>1</v>
      </c>
      <c r="AW207" s="313">
        <v>1</v>
      </c>
      <c r="AX207" s="313">
        <v>1</v>
      </c>
      <c r="AY207" s="313">
        <v>1</v>
      </c>
      <c r="AZ207" s="313">
        <v>1</v>
      </c>
      <c r="BA207" s="313">
        <v>0</v>
      </c>
      <c r="BB207" s="313">
        <v>1</v>
      </c>
      <c r="BC207" s="313">
        <v>1</v>
      </c>
      <c r="BD207" s="313">
        <v>1</v>
      </c>
      <c r="BE207" s="313">
        <v>1</v>
      </c>
      <c r="BF207" s="313">
        <v>1</v>
      </c>
      <c r="BG207" s="313">
        <v>1</v>
      </c>
      <c r="BH207" s="313">
        <v>1</v>
      </c>
      <c r="BI207" s="313">
        <v>1</v>
      </c>
      <c r="BJ207" s="313">
        <v>1</v>
      </c>
      <c r="BK207" s="313">
        <v>1</v>
      </c>
    </row>
    <row r="208" spans="1:63" x14ac:dyDescent="0.25">
      <c r="A208" s="306" t="s">
        <v>731</v>
      </c>
      <c r="B208" s="313" t="s">
        <v>187</v>
      </c>
      <c r="C208" s="313">
        <v>1</v>
      </c>
      <c r="D208" s="313">
        <v>0</v>
      </c>
      <c r="E208" s="313">
        <v>1</v>
      </c>
      <c r="F208" s="313">
        <v>1</v>
      </c>
      <c r="G208" s="313">
        <v>1</v>
      </c>
      <c r="H208" s="313">
        <v>1</v>
      </c>
      <c r="I208" s="313">
        <v>1</v>
      </c>
      <c r="J208" s="313">
        <v>1</v>
      </c>
      <c r="K208" s="313">
        <v>0</v>
      </c>
      <c r="L208" s="313">
        <v>0</v>
      </c>
      <c r="M208" s="313">
        <v>1</v>
      </c>
      <c r="N208" s="313">
        <v>1</v>
      </c>
      <c r="O208" s="313">
        <v>0</v>
      </c>
      <c r="P208" s="313">
        <v>1</v>
      </c>
      <c r="Q208" s="313">
        <v>1</v>
      </c>
      <c r="R208" s="313">
        <v>1</v>
      </c>
      <c r="S208" s="313">
        <v>1</v>
      </c>
      <c r="T208" s="313">
        <v>1</v>
      </c>
      <c r="U208" s="313">
        <v>1</v>
      </c>
      <c r="V208" s="313">
        <v>1</v>
      </c>
      <c r="W208" s="313">
        <v>1</v>
      </c>
      <c r="X208" s="313">
        <v>1</v>
      </c>
      <c r="Y208" s="313">
        <v>0</v>
      </c>
      <c r="Z208" s="313">
        <v>1</v>
      </c>
      <c r="AA208" s="313">
        <v>1</v>
      </c>
      <c r="AB208" s="313">
        <v>1</v>
      </c>
      <c r="AC208" s="313">
        <v>0</v>
      </c>
      <c r="AD208" s="313">
        <v>1</v>
      </c>
      <c r="AE208" s="313">
        <v>1</v>
      </c>
      <c r="AF208" s="313">
        <v>0</v>
      </c>
      <c r="AG208" s="313">
        <v>1</v>
      </c>
      <c r="AH208" s="313">
        <v>1</v>
      </c>
      <c r="AI208" s="313">
        <v>1</v>
      </c>
      <c r="AJ208" s="313">
        <v>0</v>
      </c>
      <c r="AK208" s="313">
        <v>0</v>
      </c>
      <c r="AL208" s="313">
        <v>1</v>
      </c>
      <c r="AM208" s="313">
        <v>1</v>
      </c>
      <c r="AN208" s="313">
        <v>1</v>
      </c>
      <c r="AO208" s="313">
        <v>1</v>
      </c>
      <c r="AP208" s="313">
        <v>1</v>
      </c>
      <c r="AQ208" s="313">
        <v>0</v>
      </c>
      <c r="AR208" s="313">
        <v>1</v>
      </c>
      <c r="AS208" s="313">
        <v>0</v>
      </c>
      <c r="AT208" s="313">
        <v>1</v>
      </c>
      <c r="AU208" s="313">
        <v>1</v>
      </c>
      <c r="AV208" s="313">
        <v>1</v>
      </c>
      <c r="AW208" s="313">
        <v>1</v>
      </c>
      <c r="AX208" s="313">
        <v>0</v>
      </c>
      <c r="AY208" s="313">
        <v>1</v>
      </c>
      <c r="AZ208" s="313">
        <v>1</v>
      </c>
      <c r="BA208" s="313">
        <v>1</v>
      </c>
      <c r="BB208" s="313">
        <v>1</v>
      </c>
      <c r="BC208" s="313">
        <v>1</v>
      </c>
      <c r="BD208" s="313">
        <v>1</v>
      </c>
      <c r="BE208" s="313">
        <v>1</v>
      </c>
      <c r="BF208" s="313">
        <v>1</v>
      </c>
      <c r="BG208" s="313">
        <v>1</v>
      </c>
      <c r="BH208" s="313">
        <v>1</v>
      </c>
      <c r="BI208" s="313">
        <v>1</v>
      </c>
      <c r="BJ208" s="313">
        <v>1</v>
      </c>
      <c r="BK208" s="313">
        <v>1</v>
      </c>
    </row>
    <row r="209" spans="1:63" x14ac:dyDescent="0.25">
      <c r="A209" s="306">
        <v>333414</v>
      </c>
      <c r="B209" s="313" t="s">
        <v>5</v>
      </c>
      <c r="C209" s="313">
        <v>1</v>
      </c>
      <c r="D209" s="313">
        <v>1</v>
      </c>
      <c r="E209" s="313">
        <v>1</v>
      </c>
      <c r="F209" s="313">
        <v>0</v>
      </c>
      <c r="G209" s="313">
        <v>1</v>
      </c>
      <c r="H209" s="313">
        <v>1</v>
      </c>
      <c r="I209" s="313">
        <v>1</v>
      </c>
      <c r="J209" s="313">
        <v>1</v>
      </c>
      <c r="K209" s="313">
        <v>0</v>
      </c>
      <c r="L209" s="313">
        <v>1</v>
      </c>
      <c r="M209" s="313">
        <v>1</v>
      </c>
      <c r="N209" s="313">
        <v>1</v>
      </c>
      <c r="O209" s="313">
        <v>1</v>
      </c>
      <c r="P209" s="313">
        <v>1</v>
      </c>
      <c r="Q209" s="313">
        <v>1</v>
      </c>
      <c r="R209" s="313">
        <v>1</v>
      </c>
      <c r="S209" s="313">
        <v>1</v>
      </c>
      <c r="T209" s="313">
        <v>1</v>
      </c>
      <c r="U209" s="313">
        <v>1</v>
      </c>
      <c r="V209" s="313">
        <v>1</v>
      </c>
      <c r="W209" s="313">
        <v>1</v>
      </c>
      <c r="X209" s="313">
        <v>1</v>
      </c>
      <c r="Y209" s="313">
        <v>1</v>
      </c>
      <c r="Z209" s="313">
        <v>1</v>
      </c>
      <c r="AA209" s="313">
        <v>1</v>
      </c>
      <c r="AB209" s="313">
        <v>1</v>
      </c>
      <c r="AC209" s="313">
        <v>1</v>
      </c>
      <c r="AD209" s="313">
        <v>0</v>
      </c>
      <c r="AE209" s="313">
        <v>1</v>
      </c>
      <c r="AF209" s="313">
        <v>1</v>
      </c>
      <c r="AG209" s="313">
        <v>1</v>
      </c>
      <c r="AH209" s="313">
        <v>1</v>
      </c>
      <c r="AI209" s="313">
        <v>1</v>
      </c>
      <c r="AJ209" s="313">
        <v>1</v>
      </c>
      <c r="AK209" s="313">
        <v>1</v>
      </c>
      <c r="AL209" s="313">
        <v>1</v>
      </c>
      <c r="AM209" s="313">
        <v>1</v>
      </c>
      <c r="AN209" s="313">
        <v>1</v>
      </c>
      <c r="AO209" s="313">
        <v>1</v>
      </c>
      <c r="AP209" s="313">
        <v>1</v>
      </c>
      <c r="AQ209" s="313">
        <v>1</v>
      </c>
      <c r="AR209" s="313">
        <v>1</v>
      </c>
      <c r="AS209" s="313">
        <v>1</v>
      </c>
      <c r="AT209" s="313">
        <v>1</v>
      </c>
      <c r="AU209" s="313">
        <v>1</v>
      </c>
      <c r="AV209" s="313">
        <v>1</v>
      </c>
      <c r="AW209" s="313">
        <v>1</v>
      </c>
      <c r="AX209" s="313">
        <v>1</v>
      </c>
      <c r="AY209" s="313">
        <v>1</v>
      </c>
      <c r="AZ209" s="313">
        <v>1</v>
      </c>
      <c r="BA209" s="313">
        <v>0</v>
      </c>
      <c r="BB209" s="313">
        <v>0</v>
      </c>
      <c r="BC209" s="313">
        <v>1</v>
      </c>
      <c r="BD209" s="313">
        <v>1</v>
      </c>
      <c r="BE209" s="313">
        <v>1</v>
      </c>
      <c r="BF209" s="313">
        <v>1</v>
      </c>
      <c r="BG209" s="313">
        <v>1</v>
      </c>
      <c r="BH209" s="313">
        <v>1</v>
      </c>
      <c r="BI209" s="313">
        <v>1</v>
      </c>
      <c r="BJ209" s="313">
        <v>1</v>
      </c>
      <c r="BK209" s="313">
        <v>1</v>
      </c>
    </row>
    <row r="210" spans="1:63" x14ac:dyDescent="0.25">
      <c r="A210" s="306">
        <v>333415</v>
      </c>
      <c r="B210" s="313" t="s">
        <v>192</v>
      </c>
      <c r="C210" s="313">
        <v>1</v>
      </c>
      <c r="D210" s="313">
        <v>0</v>
      </c>
      <c r="E210" s="313">
        <v>1</v>
      </c>
      <c r="F210" s="313">
        <v>1</v>
      </c>
      <c r="G210" s="313">
        <v>1</v>
      </c>
      <c r="H210" s="313">
        <v>1</v>
      </c>
      <c r="I210" s="313">
        <v>1</v>
      </c>
      <c r="J210" s="313">
        <v>1</v>
      </c>
      <c r="K210" s="313">
        <v>0</v>
      </c>
      <c r="L210" s="313">
        <v>1</v>
      </c>
      <c r="M210" s="313">
        <v>1</v>
      </c>
      <c r="N210" s="313">
        <v>1</v>
      </c>
      <c r="O210" s="313">
        <v>0</v>
      </c>
      <c r="P210" s="313">
        <v>1</v>
      </c>
      <c r="Q210" s="313">
        <v>1</v>
      </c>
      <c r="R210" s="313">
        <v>1</v>
      </c>
      <c r="S210" s="313">
        <v>1</v>
      </c>
      <c r="T210" s="313">
        <v>1</v>
      </c>
      <c r="U210" s="313">
        <v>1</v>
      </c>
      <c r="V210" s="313">
        <v>1</v>
      </c>
      <c r="W210" s="313">
        <v>1</v>
      </c>
      <c r="X210" s="313">
        <v>1</v>
      </c>
      <c r="Y210" s="313">
        <v>1</v>
      </c>
      <c r="Z210" s="313">
        <v>1</v>
      </c>
      <c r="AA210" s="313">
        <v>1</v>
      </c>
      <c r="AB210" s="313">
        <v>1</v>
      </c>
      <c r="AC210" s="313">
        <v>1</v>
      </c>
      <c r="AD210" s="313">
        <v>0</v>
      </c>
      <c r="AE210" s="313">
        <v>1</v>
      </c>
      <c r="AF210" s="313">
        <v>1</v>
      </c>
      <c r="AG210" s="313">
        <v>1</v>
      </c>
      <c r="AH210" s="313">
        <v>1</v>
      </c>
      <c r="AI210" s="313">
        <v>1</v>
      </c>
      <c r="AJ210" s="313">
        <v>1</v>
      </c>
      <c r="AK210" s="313">
        <v>1</v>
      </c>
      <c r="AL210" s="313">
        <v>1</v>
      </c>
      <c r="AM210" s="313">
        <v>1</v>
      </c>
      <c r="AN210" s="313">
        <v>1</v>
      </c>
      <c r="AO210" s="313">
        <v>1</v>
      </c>
      <c r="AP210" s="313">
        <v>1</v>
      </c>
      <c r="AQ210" s="313">
        <v>1</v>
      </c>
      <c r="AR210" s="313">
        <v>1</v>
      </c>
      <c r="AS210" s="313">
        <v>1</v>
      </c>
      <c r="AT210" s="313">
        <v>1</v>
      </c>
      <c r="AU210" s="313">
        <v>1</v>
      </c>
      <c r="AV210" s="313">
        <v>1</v>
      </c>
      <c r="AW210" s="313">
        <v>1</v>
      </c>
      <c r="AX210" s="313">
        <v>1</v>
      </c>
      <c r="AY210" s="313">
        <v>1</v>
      </c>
      <c r="AZ210" s="313">
        <v>1</v>
      </c>
      <c r="BA210" s="313">
        <v>0</v>
      </c>
      <c r="BB210" s="313">
        <v>0</v>
      </c>
      <c r="BC210" s="313">
        <v>1</v>
      </c>
      <c r="BD210" s="313">
        <v>1</v>
      </c>
      <c r="BE210" s="313">
        <v>1</v>
      </c>
      <c r="BF210" s="313">
        <v>1</v>
      </c>
      <c r="BG210" s="313">
        <v>1</v>
      </c>
      <c r="BH210" s="313">
        <v>1</v>
      </c>
      <c r="BI210" s="313">
        <v>1</v>
      </c>
      <c r="BJ210" s="313">
        <v>1</v>
      </c>
      <c r="BK210" s="313">
        <v>1</v>
      </c>
    </row>
    <row r="211" spans="1:63" x14ac:dyDescent="0.25">
      <c r="A211" s="306" t="s">
        <v>599</v>
      </c>
      <c r="B211" s="313" t="s">
        <v>191</v>
      </c>
      <c r="C211" s="313">
        <v>1</v>
      </c>
      <c r="D211" s="313">
        <v>0</v>
      </c>
      <c r="E211" s="313">
        <v>1</v>
      </c>
      <c r="F211" s="313">
        <v>1</v>
      </c>
      <c r="G211" s="313">
        <v>1</v>
      </c>
      <c r="H211" s="313">
        <v>1</v>
      </c>
      <c r="I211" s="313">
        <v>1</v>
      </c>
      <c r="J211" s="313">
        <v>1</v>
      </c>
      <c r="K211" s="313">
        <v>0</v>
      </c>
      <c r="L211" s="313">
        <v>0</v>
      </c>
      <c r="M211" s="313">
        <v>1</v>
      </c>
      <c r="N211" s="313">
        <v>1</v>
      </c>
      <c r="O211" s="313">
        <v>1</v>
      </c>
      <c r="P211" s="313">
        <v>1</v>
      </c>
      <c r="Q211" s="313">
        <v>1</v>
      </c>
      <c r="R211" s="313">
        <v>1</v>
      </c>
      <c r="S211" s="313">
        <v>1</v>
      </c>
      <c r="T211" s="313">
        <v>1</v>
      </c>
      <c r="U211" s="313">
        <v>1</v>
      </c>
      <c r="V211" s="313">
        <v>1</v>
      </c>
      <c r="W211" s="313">
        <v>1</v>
      </c>
      <c r="X211" s="313">
        <v>1</v>
      </c>
      <c r="Y211" s="313">
        <v>0</v>
      </c>
      <c r="Z211" s="313">
        <v>1</v>
      </c>
      <c r="AA211" s="313">
        <v>1</v>
      </c>
      <c r="AB211" s="313">
        <v>1</v>
      </c>
      <c r="AC211" s="313">
        <v>1</v>
      </c>
      <c r="AD211" s="313">
        <v>0</v>
      </c>
      <c r="AE211" s="313">
        <v>1</v>
      </c>
      <c r="AF211" s="313">
        <v>0</v>
      </c>
      <c r="AG211" s="313">
        <v>1</v>
      </c>
      <c r="AH211" s="313">
        <v>1</v>
      </c>
      <c r="AI211" s="313">
        <v>1</v>
      </c>
      <c r="AJ211" s="313">
        <v>1</v>
      </c>
      <c r="AK211" s="313">
        <v>1</v>
      </c>
      <c r="AL211" s="313">
        <v>1</v>
      </c>
      <c r="AM211" s="313">
        <v>1</v>
      </c>
      <c r="AN211" s="313">
        <v>1</v>
      </c>
      <c r="AO211" s="313">
        <v>1</v>
      </c>
      <c r="AP211" s="313">
        <v>1</v>
      </c>
      <c r="AQ211" s="313">
        <v>0</v>
      </c>
      <c r="AR211" s="313">
        <v>1</v>
      </c>
      <c r="AS211" s="313">
        <v>1</v>
      </c>
      <c r="AT211" s="313">
        <v>1</v>
      </c>
      <c r="AU211" s="313">
        <v>1</v>
      </c>
      <c r="AV211" s="313">
        <v>1</v>
      </c>
      <c r="AW211" s="313">
        <v>1</v>
      </c>
      <c r="AX211" s="313">
        <v>1</v>
      </c>
      <c r="AY211" s="313">
        <v>1</v>
      </c>
      <c r="AZ211" s="313">
        <v>1</v>
      </c>
      <c r="BA211" s="313">
        <v>0</v>
      </c>
      <c r="BB211" s="313">
        <v>1</v>
      </c>
      <c r="BC211" s="313">
        <v>1</v>
      </c>
      <c r="BD211" s="313">
        <v>1</v>
      </c>
      <c r="BE211" s="313">
        <v>1</v>
      </c>
      <c r="BF211" s="313">
        <v>1</v>
      </c>
      <c r="BG211" s="313">
        <v>1</v>
      </c>
      <c r="BH211" s="313">
        <v>1</v>
      </c>
      <c r="BI211" s="313">
        <v>1</v>
      </c>
      <c r="BJ211" s="313">
        <v>1</v>
      </c>
      <c r="BK211" s="313">
        <v>1</v>
      </c>
    </row>
    <row r="212" spans="1:63" x14ac:dyDescent="0.25">
      <c r="A212" s="306">
        <v>333511</v>
      </c>
      <c r="B212" s="313" t="s">
        <v>193</v>
      </c>
      <c r="C212" s="313">
        <v>1</v>
      </c>
      <c r="D212" s="313">
        <v>0</v>
      </c>
      <c r="E212" s="313">
        <v>1</v>
      </c>
      <c r="F212" s="313">
        <v>1</v>
      </c>
      <c r="G212" s="313">
        <v>1</v>
      </c>
      <c r="H212" s="313">
        <v>1</v>
      </c>
      <c r="I212" s="313">
        <v>1</v>
      </c>
      <c r="J212" s="313">
        <v>1</v>
      </c>
      <c r="K212" s="313">
        <v>0</v>
      </c>
      <c r="L212" s="313">
        <v>0</v>
      </c>
      <c r="M212" s="313">
        <v>1</v>
      </c>
      <c r="N212" s="313">
        <v>1</v>
      </c>
      <c r="O212" s="313">
        <v>0</v>
      </c>
      <c r="P212" s="313">
        <v>1</v>
      </c>
      <c r="Q212" s="313">
        <v>1</v>
      </c>
      <c r="R212" s="313">
        <v>1</v>
      </c>
      <c r="S212" s="313">
        <v>1</v>
      </c>
      <c r="T212" s="313">
        <v>1</v>
      </c>
      <c r="U212" s="313">
        <v>1</v>
      </c>
      <c r="V212" s="313">
        <v>1</v>
      </c>
      <c r="W212" s="313">
        <v>1</v>
      </c>
      <c r="X212" s="313">
        <v>1</v>
      </c>
      <c r="Y212" s="313">
        <v>1</v>
      </c>
      <c r="Z212" s="313">
        <v>1</v>
      </c>
      <c r="AA212" s="313">
        <v>1</v>
      </c>
      <c r="AB212" s="313">
        <v>1</v>
      </c>
      <c r="AC212" s="313">
        <v>1</v>
      </c>
      <c r="AD212" s="313">
        <v>0</v>
      </c>
      <c r="AE212" s="313">
        <v>1</v>
      </c>
      <c r="AF212" s="313">
        <v>0</v>
      </c>
      <c r="AG212" s="313">
        <v>1</v>
      </c>
      <c r="AH212" s="313">
        <v>1</v>
      </c>
      <c r="AI212" s="313">
        <v>1</v>
      </c>
      <c r="AJ212" s="313">
        <v>1</v>
      </c>
      <c r="AK212" s="313">
        <v>1</v>
      </c>
      <c r="AL212" s="313">
        <v>1</v>
      </c>
      <c r="AM212" s="313">
        <v>1</v>
      </c>
      <c r="AN212" s="313">
        <v>1</v>
      </c>
      <c r="AO212" s="313">
        <v>1</v>
      </c>
      <c r="AP212" s="313">
        <v>1</v>
      </c>
      <c r="AQ212" s="313">
        <v>1</v>
      </c>
      <c r="AR212" s="313">
        <v>1</v>
      </c>
      <c r="AS212" s="313">
        <v>1</v>
      </c>
      <c r="AT212" s="313">
        <v>1</v>
      </c>
      <c r="AU212" s="313">
        <v>1</v>
      </c>
      <c r="AV212" s="313">
        <v>1</v>
      </c>
      <c r="AW212" s="313">
        <v>1</v>
      </c>
      <c r="AX212" s="313">
        <v>1</v>
      </c>
      <c r="AY212" s="313">
        <v>1</v>
      </c>
      <c r="AZ212" s="313">
        <v>1</v>
      </c>
      <c r="BA212" s="313">
        <v>1</v>
      </c>
      <c r="BB212" s="313">
        <v>0</v>
      </c>
      <c r="BC212" s="313">
        <v>1</v>
      </c>
      <c r="BD212" s="313">
        <v>1</v>
      </c>
      <c r="BE212" s="313">
        <v>1</v>
      </c>
      <c r="BF212" s="313">
        <v>1</v>
      </c>
      <c r="BG212" s="313">
        <v>1</v>
      </c>
      <c r="BH212" s="313">
        <v>1</v>
      </c>
      <c r="BI212" s="313">
        <v>1</v>
      </c>
      <c r="BJ212" s="313">
        <v>1</v>
      </c>
      <c r="BK212" s="313">
        <v>1</v>
      </c>
    </row>
    <row r="213" spans="1:63" x14ac:dyDescent="0.25">
      <c r="A213" s="306">
        <v>333514</v>
      </c>
      <c r="B213" s="313" t="s">
        <v>195</v>
      </c>
      <c r="C213" s="313">
        <v>1</v>
      </c>
      <c r="D213" s="313">
        <v>0</v>
      </c>
      <c r="E213" s="313">
        <v>1</v>
      </c>
      <c r="F213" s="313">
        <v>1</v>
      </c>
      <c r="G213" s="313">
        <v>1</v>
      </c>
      <c r="H213" s="313">
        <v>1</v>
      </c>
      <c r="I213" s="313">
        <v>1</v>
      </c>
      <c r="J213" s="313">
        <v>1</v>
      </c>
      <c r="K213" s="313">
        <v>0</v>
      </c>
      <c r="L213" s="313">
        <v>0</v>
      </c>
      <c r="M213" s="313">
        <v>1</v>
      </c>
      <c r="N213" s="313">
        <v>1</v>
      </c>
      <c r="O213" s="313">
        <v>0</v>
      </c>
      <c r="P213" s="313">
        <v>1</v>
      </c>
      <c r="Q213" s="313">
        <v>1</v>
      </c>
      <c r="R213" s="313">
        <v>1</v>
      </c>
      <c r="S213" s="313">
        <v>1</v>
      </c>
      <c r="T213" s="313">
        <v>1</v>
      </c>
      <c r="U213" s="313">
        <v>1</v>
      </c>
      <c r="V213" s="313">
        <v>1</v>
      </c>
      <c r="W213" s="313">
        <v>1</v>
      </c>
      <c r="X213" s="313">
        <v>1</v>
      </c>
      <c r="Y213" s="313">
        <v>1</v>
      </c>
      <c r="Z213" s="313">
        <v>1</v>
      </c>
      <c r="AA213" s="313">
        <v>1</v>
      </c>
      <c r="AB213" s="313">
        <v>1</v>
      </c>
      <c r="AC213" s="313">
        <v>1</v>
      </c>
      <c r="AD213" s="313">
        <v>0</v>
      </c>
      <c r="AE213" s="313">
        <v>1</v>
      </c>
      <c r="AF213" s="313">
        <v>1</v>
      </c>
      <c r="AG213" s="313">
        <v>1</v>
      </c>
      <c r="AH213" s="313">
        <v>1</v>
      </c>
      <c r="AI213" s="313">
        <v>1</v>
      </c>
      <c r="AJ213" s="313">
        <v>1</v>
      </c>
      <c r="AK213" s="313">
        <v>1</v>
      </c>
      <c r="AL213" s="313">
        <v>1</v>
      </c>
      <c r="AM213" s="313">
        <v>1</v>
      </c>
      <c r="AN213" s="313">
        <v>1</v>
      </c>
      <c r="AO213" s="313">
        <v>1</v>
      </c>
      <c r="AP213" s="313">
        <v>1</v>
      </c>
      <c r="AQ213" s="313">
        <v>1</v>
      </c>
      <c r="AR213" s="313">
        <v>1</v>
      </c>
      <c r="AS213" s="313">
        <v>1</v>
      </c>
      <c r="AT213" s="313">
        <v>1</v>
      </c>
      <c r="AU213" s="313">
        <v>1</v>
      </c>
      <c r="AV213" s="313">
        <v>1</v>
      </c>
      <c r="AW213" s="313">
        <v>1</v>
      </c>
      <c r="AX213" s="313">
        <v>1</v>
      </c>
      <c r="AY213" s="313">
        <v>1</v>
      </c>
      <c r="AZ213" s="313">
        <v>1</v>
      </c>
      <c r="BA213" s="313">
        <v>1</v>
      </c>
      <c r="BB213" s="313">
        <v>0</v>
      </c>
      <c r="BC213" s="313">
        <v>1</v>
      </c>
      <c r="BD213" s="313">
        <v>1</v>
      </c>
      <c r="BE213" s="313">
        <v>1</v>
      </c>
      <c r="BF213" s="313">
        <v>1</v>
      </c>
      <c r="BG213" s="313">
        <v>1</v>
      </c>
      <c r="BH213" s="313">
        <v>1</v>
      </c>
      <c r="BI213" s="313">
        <v>1</v>
      </c>
      <c r="BJ213" s="313">
        <v>1</v>
      </c>
      <c r="BK213" s="313">
        <v>1</v>
      </c>
    </row>
    <row r="214" spans="1:63" x14ac:dyDescent="0.25">
      <c r="A214" s="306">
        <v>333515</v>
      </c>
      <c r="B214" s="313" t="s">
        <v>196</v>
      </c>
      <c r="C214" s="313">
        <v>1</v>
      </c>
      <c r="D214" s="313">
        <v>0</v>
      </c>
      <c r="E214" s="313">
        <v>1</v>
      </c>
      <c r="F214" s="313">
        <v>1</v>
      </c>
      <c r="G214" s="313">
        <v>1</v>
      </c>
      <c r="H214" s="313">
        <v>1</v>
      </c>
      <c r="I214" s="313">
        <v>1</v>
      </c>
      <c r="J214" s="313">
        <v>1</v>
      </c>
      <c r="K214" s="313">
        <v>0</v>
      </c>
      <c r="L214" s="313">
        <v>0</v>
      </c>
      <c r="M214" s="313">
        <v>1</v>
      </c>
      <c r="N214" s="313">
        <v>1</v>
      </c>
      <c r="O214" s="313">
        <v>0</v>
      </c>
      <c r="P214" s="313">
        <v>1</v>
      </c>
      <c r="Q214" s="313">
        <v>1</v>
      </c>
      <c r="R214" s="313">
        <v>1</v>
      </c>
      <c r="S214" s="313">
        <v>1</v>
      </c>
      <c r="T214" s="313">
        <v>1</v>
      </c>
      <c r="U214" s="313">
        <v>1</v>
      </c>
      <c r="V214" s="313">
        <v>1</v>
      </c>
      <c r="W214" s="313">
        <v>1</v>
      </c>
      <c r="X214" s="313">
        <v>1</v>
      </c>
      <c r="Y214" s="313">
        <v>1</v>
      </c>
      <c r="Z214" s="313">
        <v>1</v>
      </c>
      <c r="AA214" s="313">
        <v>1</v>
      </c>
      <c r="AB214" s="313">
        <v>1</v>
      </c>
      <c r="AC214" s="313">
        <v>1</v>
      </c>
      <c r="AD214" s="313">
        <v>1</v>
      </c>
      <c r="AE214" s="313">
        <v>1</v>
      </c>
      <c r="AF214" s="313">
        <v>0</v>
      </c>
      <c r="AG214" s="313">
        <v>1</v>
      </c>
      <c r="AH214" s="313">
        <v>1</v>
      </c>
      <c r="AI214" s="313">
        <v>1</v>
      </c>
      <c r="AJ214" s="313">
        <v>1</v>
      </c>
      <c r="AK214" s="313">
        <v>1</v>
      </c>
      <c r="AL214" s="313">
        <v>1</v>
      </c>
      <c r="AM214" s="313">
        <v>1</v>
      </c>
      <c r="AN214" s="313">
        <v>1</v>
      </c>
      <c r="AO214" s="313">
        <v>1</v>
      </c>
      <c r="AP214" s="313">
        <v>1</v>
      </c>
      <c r="AQ214" s="313">
        <v>1</v>
      </c>
      <c r="AR214" s="313">
        <v>1</v>
      </c>
      <c r="AS214" s="313">
        <v>1</v>
      </c>
      <c r="AT214" s="313">
        <v>1</v>
      </c>
      <c r="AU214" s="313">
        <v>1</v>
      </c>
      <c r="AV214" s="313">
        <v>1</v>
      </c>
      <c r="AW214" s="313">
        <v>1</v>
      </c>
      <c r="AX214" s="313">
        <v>1</v>
      </c>
      <c r="AY214" s="313">
        <v>1</v>
      </c>
      <c r="AZ214" s="313">
        <v>1</v>
      </c>
      <c r="BA214" s="313">
        <v>0</v>
      </c>
      <c r="BB214" s="313">
        <v>0</v>
      </c>
      <c r="BC214" s="313">
        <v>1</v>
      </c>
      <c r="BD214" s="313">
        <v>1</v>
      </c>
      <c r="BE214" s="313">
        <v>1</v>
      </c>
      <c r="BF214" s="313">
        <v>1</v>
      </c>
      <c r="BG214" s="313">
        <v>1</v>
      </c>
      <c r="BH214" s="313">
        <v>1</v>
      </c>
      <c r="BI214" s="313">
        <v>1</v>
      </c>
      <c r="BJ214" s="313">
        <v>1</v>
      </c>
      <c r="BK214" s="313">
        <v>1</v>
      </c>
    </row>
    <row r="215" spans="1:63" x14ac:dyDescent="0.25">
      <c r="A215" s="306" t="s">
        <v>732</v>
      </c>
      <c r="B215" s="313" t="s">
        <v>194</v>
      </c>
      <c r="C215" s="313">
        <v>1</v>
      </c>
      <c r="D215" s="313">
        <v>0</v>
      </c>
      <c r="E215" s="313">
        <v>1</v>
      </c>
      <c r="F215" s="313">
        <v>1</v>
      </c>
      <c r="G215" s="313">
        <v>1</v>
      </c>
      <c r="H215" s="313">
        <v>1</v>
      </c>
      <c r="I215" s="313">
        <v>1</v>
      </c>
      <c r="J215" s="313">
        <v>1</v>
      </c>
      <c r="K215" s="313">
        <v>0</v>
      </c>
      <c r="L215" s="313">
        <v>1</v>
      </c>
      <c r="M215" s="313">
        <v>1</v>
      </c>
      <c r="N215" s="313">
        <v>1</v>
      </c>
      <c r="O215" s="313">
        <v>0</v>
      </c>
      <c r="P215" s="313">
        <v>1</v>
      </c>
      <c r="Q215" s="313">
        <v>1</v>
      </c>
      <c r="R215" s="313">
        <v>1</v>
      </c>
      <c r="S215" s="313">
        <v>1</v>
      </c>
      <c r="T215" s="313">
        <v>1</v>
      </c>
      <c r="U215" s="313">
        <v>1</v>
      </c>
      <c r="V215" s="313">
        <v>1</v>
      </c>
      <c r="W215" s="313">
        <v>1</v>
      </c>
      <c r="X215" s="313">
        <v>1</v>
      </c>
      <c r="Y215" s="313">
        <v>0</v>
      </c>
      <c r="Z215" s="313">
        <v>1</v>
      </c>
      <c r="AA215" s="313">
        <v>1</v>
      </c>
      <c r="AB215" s="313">
        <v>1</v>
      </c>
      <c r="AC215" s="313">
        <v>1</v>
      </c>
      <c r="AD215" s="313">
        <v>1</v>
      </c>
      <c r="AE215" s="313">
        <v>1</v>
      </c>
      <c r="AF215" s="313">
        <v>0</v>
      </c>
      <c r="AG215" s="313">
        <v>1</v>
      </c>
      <c r="AH215" s="313">
        <v>1</v>
      </c>
      <c r="AI215" s="313">
        <v>1</v>
      </c>
      <c r="AJ215" s="313">
        <v>1</v>
      </c>
      <c r="AK215" s="313">
        <v>1</v>
      </c>
      <c r="AL215" s="313">
        <v>1</v>
      </c>
      <c r="AM215" s="313">
        <v>1</v>
      </c>
      <c r="AN215" s="313">
        <v>1</v>
      </c>
      <c r="AO215" s="313">
        <v>1</v>
      </c>
      <c r="AP215" s="313">
        <v>1</v>
      </c>
      <c r="AQ215" s="313">
        <v>1</v>
      </c>
      <c r="AR215" s="313">
        <v>1</v>
      </c>
      <c r="AS215" s="313">
        <v>1</v>
      </c>
      <c r="AT215" s="313">
        <v>1</v>
      </c>
      <c r="AU215" s="313">
        <v>1</v>
      </c>
      <c r="AV215" s="313">
        <v>1</v>
      </c>
      <c r="AW215" s="313">
        <v>1</v>
      </c>
      <c r="AX215" s="313">
        <v>1</v>
      </c>
      <c r="AY215" s="313">
        <v>1</v>
      </c>
      <c r="AZ215" s="313">
        <v>1</v>
      </c>
      <c r="BA215" s="313">
        <v>0</v>
      </c>
      <c r="BB215" s="313">
        <v>1</v>
      </c>
      <c r="BC215" s="313">
        <v>1</v>
      </c>
      <c r="BD215" s="313">
        <v>1</v>
      </c>
      <c r="BE215" s="313">
        <v>1</v>
      </c>
      <c r="BF215" s="313">
        <v>1</v>
      </c>
      <c r="BG215" s="313">
        <v>1</v>
      </c>
      <c r="BH215" s="313">
        <v>1</v>
      </c>
      <c r="BI215" s="313">
        <v>1</v>
      </c>
      <c r="BJ215" s="313">
        <v>1</v>
      </c>
      <c r="BK215" s="313">
        <v>1</v>
      </c>
    </row>
    <row r="216" spans="1:63" x14ac:dyDescent="0.25">
      <c r="A216" s="306" t="s">
        <v>733</v>
      </c>
      <c r="B216" s="313" t="s">
        <v>197</v>
      </c>
      <c r="C216" s="313">
        <v>1</v>
      </c>
      <c r="D216" s="313">
        <v>0</v>
      </c>
      <c r="E216" s="313">
        <v>1</v>
      </c>
      <c r="F216" s="313">
        <v>1</v>
      </c>
      <c r="G216" s="313">
        <v>1</v>
      </c>
      <c r="H216" s="313">
        <v>1</v>
      </c>
      <c r="I216" s="313">
        <v>1</v>
      </c>
      <c r="J216" s="313">
        <v>1</v>
      </c>
      <c r="K216" s="313">
        <v>0</v>
      </c>
      <c r="L216" s="313">
        <v>0</v>
      </c>
      <c r="M216" s="313">
        <v>1</v>
      </c>
      <c r="N216" s="313">
        <v>1</v>
      </c>
      <c r="O216" s="313">
        <v>0</v>
      </c>
      <c r="P216" s="313">
        <v>1</v>
      </c>
      <c r="Q216" s="313">
        <v>1</v>
      </c>
      <c r="R216" s="313">
        <v>1</v>
      </c>
      <c r="S216" s="313">
        <v>1</v>
      </c>
      <c r="T216" s="313">
        <v>1</v>
      </c>
      <c r="U216" s="313">
        <v>1</v>
      </c>
      <c r="V216" s="313">
        <v>0</v>
      </c>
      <c r="W216" s="313">
        <v>1</v>
      </c>
      <c r="X216" s="313">
        <v>1</v>
      </c>
      <c r="Y216" s="313">
        <v>1</v>
      </c>
      <c r="Z216" s="313">
        <v>1</v>
      </c>
      <c r="AA216" s="313">
        <v>1</v>
      </c>
      <c r="AB216" s="313">
        <v>1</v>
      </c>
      <c r="AC216" s="313">
        <v>1</v>
      </c>
      <c r="AD216" s="313">
        <v>0</v>
      </c>
      <c r="AE216" s="313">
        <v>1</v>
      </c>
      <c r="AF216" s="313">
        <v>0</v>
      </c>
      <c r="AG216" s="313">
        <v>1</v>
      </c>
      <c r="AH216" s="313">
        <v>1</v>
      </c>
      <c r="AI216" s="313">
        <v>1</v>
      </c>
      <c r="AJ216" s="313">
        <v>0</v>
      </c>
      <c r="AK216" s="313">
        <v>0</v>
      </c>
      <c r="AL216" s="313">
        <v>1</v>
      </c>
      <c r="AM216" s="313">
        <v>1</v>
      </c>
      <c r="AN216" s="313">
        <v>1</v>
      </c>
      <c r="AO216" s="313">
        <v>0</v>
      </c>
      <c r="AP216" s="313">
        <v>1</v>
      </c>
      <c r="AQ216" s="313">
        <v>1</v>
      </c>
      <c r="AR216" s="313">
        <v>1</v>
      </c>
      <c r="AS216" s="313">
        <v>1</v>
      </c>
      <c r="AT216" s="313">
        <v>1</v>
      </c>
      <c r="AU216" s="313">
        <v>1</v>
      </c>
      <c r="AV216" s="313">
        <v>1</v>
      </c>
      <c r="AW216" s="313">
        <v>1</v>
      </c>
      <c r="AX216" s="313">
        <v>0</v>
      </c>
      <c r="AY216" s="313">
        <v>1</v>
      </c>
      <c r="AZ216" s="313">
        <v>1</v>
      </c>
      <c r="BA216" s="313">
        <v>1</v>
      </c>
      <c r="BB216" s="313">
        <v>0</v>
      </c>
      <c r="BC216" s="313">
        <v>1</v>
      </c>
      <c r="BD216" s="313">
        <v>1</v>
      </c>
      <c r="BE216" s="313">
        <v>1</v>
      </c>
      <c r="BF216" s="313">
        <v>1</v>
      </c>
      <c r="BG216" s="313">
        <v>1</v>
      </c>
      <c r="BH216" s="313">
        <v>1</v>
      </c>
      <c r="BI216" s="313">
        <v>1</v>
      </c>
      <c r="BJ216" s="313">
        <v>1</v>
      </c>
      <c r="BK216" s="313">
        <v>1</v>
      </c>
    </row>
    <row r="217" spans="1:63" x14ac:dyDescent="0.25">
      <c r="A217" s="306">
        <v>333611</v>
      </c>
      <c r="B217" s="313" t="s">
        <v>198</v>
      </c>
      <c r="C217" s="313">
        <v>1</v>
      </c>
      <c r="D217" s="313">
        <v>0</v>
      </c>
      <c r="E217" s="313">
        <v>1</v>
      </c>
      <c r="F217" s="313">
        <v>1</v>
      </c>
      <c r="G217" s="313">
        <v>1</v>
      </c>
      <c r="H217" s="313">
        <v>1</v>
      </c>
      <c r="I217" s="313">
        <v>1</v>
      </c>
      <c r="J217" s="313">
        <v>1</v>
      </c>
      <c r="K217" s="313">
        <v>1</v>
      </c>
      <c r="L217" s="313">
        <v>0</v>
      </c>
      <c r="M217" s="313">
        <v>1</v>
      </c>
      <c r="N217" s="313">
        <v>1</v>
      </c>
      <c r="O217" s="313">
        <v>0</v>
      </c>
      <c r="P217" s="313">
        <v>1</v>
      </c>
      <c r="Q217" s="313">
        <v>1</v>
      </c>
      <c r="R217" s="313">
        <v>1</v>
      </c>
      <c r="S217" s="313">
        <v>1</v>
      </c>
      <c r="T217" s="313">
        <v>1</v>
      </c>
      <c r="U217" s="313">
        <v>1</v>
      </c>
      <c r="V217" s="313">
        <v>1</v>
      </c>
      <c r="W217" s="313">
        <v>1</v>
      </c>
      <c r="X217" s="313">
        <v>0</v>
      </c>
      <c r="Y217" s="313">
        <v>1</v>
      </c>
      <c r="Z217" s="313">
        <v>1</v>
      </c>
      <c r="AA217" s="313">
        <v>1</v>
      </c>
      <c r="AB217" s="313">
        <v>1</v>
      </c>
      <c r="AC217" s="313">
        <v>1</v>
      </c>
      <c r="AD217" s="313">
        <v>0</v>
      </c>
      <c r="AE217" s="313">
        <v>1</v>
      </c>
      <c r="AF217" s="313">
        <v>1</v>
      </c>
      <c r="AG217" s="313">
        <v>0</v>
      </c>
      <c r="AH217" s="313">
        <v>1</v>
      </c>
      <c r="AI217" s="313">
        <v>1</v>
      </c>
      <c r="AJ217" s="313">
        <v>0</v>
      </c>
      <c r="AK217" s="313">
        <v>1</v>
      </c>
      <c r="AL217" s="313">
        <v>1</v>
      </c>
      <c r="AM217" s="313">
        <v>1</v>
      </c>
      <c r="AN217" s="313">
        <v>1</v>
      </c>
      <c r="AO217" s="313">
        <v>0</v>
      </c>
      <c r="AP217" s="313">
        <v>1</v>
      </c>
      <c r="AQ217" s="313">
        <v>0</v>
      </c>
      <c r="AR217" s="313">
        <v>1</v>
      </c>
      <c r="AS217" s="313">
        <v>1</v>
      </c>
      <c r="AT217" s="313">
        <v>1</v>
      </c>
      <c r="AU217" s="313">
        <v>1</v>
      </c>
      <c r="AV217" s="313">
        <v>1</v>
      </c>
      <c r="AW217" s="313">
        <v>1</v>
      </c>
      <c r="AX217" s="313">
        <v>1</v>
      </c>
      <c r="AY217" s="313">
        <v>1</v>
      </c>
      <c r="AZ217" s="313">
        <v>1</v>
      </c>
      <c r="BA217" s="313">
        <v>0</v>
      </c>
      <c r="BB217" s="313">
        <v>1</v>
      </c>
      <c r="BC217" s="313">
        <v>1</v>
      </c>
      <c r="BD217" s="313">
        <v>1</v>
      </c>
      <c r="BE217" s="313">
        <v>1</v>
      </c>
      <c r="BF217" s="313">
        <v>1</v>
      </c>
      <c r="BG217" s="313">
        <v>1</v>
      </c>
      <c r="BH217" s="313">
        <v>1</v>
      </c>
      <c r="BI217" s="313">
        <v>1</v>
      </c>
      <c r="BJ217" s="313">
        <v>1</v>
      </c>
      <c r="BK217" s="313">
        <v>1</v>
      </c>
    </row>
    <row r="218" spans="1:63" x14ac:dyDescent="0.25">
      <c r="A218" s="306">
        <v>333612</v>
      </c>
      <c r="B218" s="313" t="s">
        <v>199</v>
      </c>
      <c r="C218" s="313">
        <v>1</v>
      </c>
      <c r="D218" s="313">
        <v>0</v>
      </c>
      <c r="E218" s="313">
        <v>1</v>
      </c>
      <c r="F218" s="313">
        <v>0</v>
      </c>
      <c r="G218" s="313">
        <v>1</v>
      </c>
      <c r="H218" s="313">
        <v>1</v>
      </c>
      <c r="I218" s="313">
        <v>0</v>
      </c>
      <c r="J218" s="313">
        <v>1</v>
      </c>
      <c r="K218" s="313">
        <v>0</v>
      </c>
      <c r="L218" s="313">
        <v>0</v>
      </c>
      <c r="M218" s="313">
        <v>1</v>
      </c>
      <c r="N218" s="313">
        <v>1</v>
      </c>
      <c r="O218" s="313">
        <v>0</v>
      </c>
      <c r="P218" s="313">
        <v>1</v>
      </c>
      <c r="Q218" s="313">
        <v>1</v>
      </c>
      <c r="R218" s="313">
        <v>1</v>
      </c>
      <c r="S218" s="313">
        <v>1</v>
      </c>
      <c r="T218" s="313">
        <v>1</v>
      </c>
      <c r="U218" s="313">
        <v>1</v>
      </c>
      <c r="V218" s="313">
        <v>1</v>
      </c>
      <c r="W218" s="313">
        <v>1</v>
      </c>
      <c r="X218" s="313">
        <v>1</v>
      </c>
      <c r="Y218" s="313">
        <v>1</v>
      </c>
      <c r="Z218" s="313">
        <v>1</v>
      </c>
      <c r="AA218" s="313">
        <v>1</v>
      </c>
      <c r="AB218" s="313">
        <v>1</v>
      </c>
      <c r="AC218" s="313">
        <v>1</v>
      </c>
      <c r="AD218" s="313">
        <v>0</v>
      </c>
      <c r="AE218" s="313">
        <v>1</v>
      </c>
      <c r="AF218" s="313">
        <v>0</v>
      </c>
      <c r="AG218" s="313">
        <v>1</v>
      </c>
      <c r="AH218" s="313">
        <v>1</v>
      </c>
      <c r="AI218" s="313">
        <v>1</v>
      </c>
      <c r="AJ218" s="313">
        <v>1</v>
      </c>
      <c r="AK218" s="313">
        <v>0</v>
      </c>
      <c r="AL218" s="313">
        <v>1</v>
      </c>
      <c r="AM218" s="313">
        <v>1</v>
      </c>
      <c r="AN218" s="313">
        <v>1</v>
      </c>
      <c r="AO218" s="313">
        <v>1</v>
      </c>
      <c r="AP218" s="313">
        <v>1</v>
      </c>
      <c r="AQ218" s="313">
        <v>0</v>
      </c>
      <c r="AR218" s="313">
        <v>1</v>
      </c>
      <c r="AS218" s="313">
        <v>1</v>
      </c>
      <c r="AT218" s="313">
        <v>1</v>
      </c>
      <c r="AU218" s="313">
        <v>1</v>
      </c>
      <c r="AV218" s="313">
        <v>1</v>
      </c>
      <c r="AW218" s="313">
        <v>1</v>
      </c>
      <c r="AX218" s="313">
        <v>0</v>
      </c>
      <c r="AY218" s="313">
        <v>1</v>
      </c>
      <c r="AZ218" s="313">
        <v>1</v>
      </c>
      <c r="BA218" s="313">
        <v>0</v>
      </c>
      <c r="BB218" s="313">
        <v>0</v>
      </c>
      <c r="BC218" s="313">
        <v>1</v>
      </c>
      <c r="BD218" s="313">
        <v>1</v>
      </c>
      <c r="BE218" s="313">
        <v>1</v>
      </c>
      <c r="BF218" s="313">
        <v>1</v>
      </c>
      <c r="BG218" s="313">
        <v>1</v>
      </c>
      <c r="BH218" s="313">
        <v>1</v>
      </c>
      <c r="BI218" s="313">
        <v>1</v>
      </c>
      <c r="BJ218" s="313">
        <v>1</v>
      </c>
      <c r="BK218" s="313">
        <v>1</v>
      </c>
    </row>
    <row r="219" spans="1:63" x14ac:dyDescent="0.25">
      <c r="A219" s="306">
        <v>333613</v>
      </c>
      <c r="B219" s="313" t="s">
        <v>200</v>
      </c>
      <c r="C219" s="313">
        <v>1</v>
      </c>
      <c r="D219" s="313">
        <v>0</v>
      </c>
      <c r="E219" s="313">
        <v>1</v>
      </c>
      <c r="F219" s="313">
        <v>1</v>
      </c>
      <c r="G219" s="313">
        <v>0</v>
      </c>
      <c r="H219" s="313">
        <v>1</v>
      </c>
      <c r="I219" s="313">
        <v>0</v>
      </c>
      <c r="J219" s="313">
        <v>1</v>
      </c>
      <c r="K219" s="313">
        <v>0</v>
      </c>
      <c r="L219" s="313">
        <v>0</v>
      </c>
      <c r="M219" s="313">
        <v>1</v>
      </c>
      <c r="N219" s="313">
        <v>1</v>
      </c>
      <c r="O219" s="313">
        <v>0</v>
      </c>
      <c r="P219" s="313">
        <v>0</v>
      </c>
      <c r="Q219" s="313">
        <v>0</v>
      </c>
      <c r="R219" s="313">
        <v>1</v>
      </c>
      <c r="S219" s="313">
        <v>1</v>
      </c>
      <c r="T219" s="313">
        <v>1</v>
      </c>
      <c r="U219" s="313">
        <v>1</v>
      </c>
      <c r="V219" s="313">
        <v>1</v>
      </c>
      <c r="W219" s="313">
        <v>1</v>
      </c>
      <c r="X219" s="313">
        <v>1</v>
      </c>
      <c r="Y219" s="313">
        <v>0</v>
      </c>
      <c r="Z219" s="313">
        <v>1</v>
      </c>
      <c r="AA219" s="313">
        <v>1</v>
      </c>
      <c r="AB219" s="313">
        <v>1</v>
      </c>
      <c r="AC219" s="313">
        <v>1</v>
      </c>
      <c r="AD219" s="313">
        <v>0</v>
      </c>
      <c r="AE219" s="313">
        <v>1</v>
      </c>
      <c r="AF219" s="313">
        <v>0</v>
      </c>
      <c r="AG219" s="313">
        <v>1</v>
      </c>
      <c r="AH219" s="313">
        <v>1</v>
      </c>
      <c r="AI219" s="313">
        <v>1</v>
      </c>
      <c r="AJ219" s="313">
        <v>0</v>
      </c>
      <c r="AK219" s="313">
        <v>0</v>
      </c>
      <c r="AL219" s="313">
        <v>1</v>
      </c>
      <c r="AM219" s="313">
        <v>1</v>
      </c>
      <c r="AN219" s="313">
        <v>1</v>
      </c>
      <c r="AO219" s="313">
        <v>1</v>
      </c>
      <c r="AP219" s="313">
        <v>1</v>
      </c>
      <c r="AQ219" s="313">
        <v>1</v>
      </c>
      <c r="AR219" s="313">
        <v>1</v>
      </c>
      <c r="AS219" s="313">
        <v>0</v>
      </c>
      <c r="AT219" s="313">
        <v>1</v>
      </c>
      <c r="AU219" s="313">
        <v>1</v>
      </c>
      <c r="AV219" s="313">
        <v>0</v>
      </c>
      <c r="AW219" s="313">
        <v>0</v>
      </c>
      <c r="AX219" s="313">
        <v>0</v>
      </c>
      <c r="AY219" s="313">
        <v>1</v>
      </c>
      <c r="AZ219" s="313">
        <v>1</v>
      </c>
      <c r="BA219" s="313">
        <v>1</v>
      </c>
      <c r="BB219" s="313">
        <v>0</v>
      </c>
      <c r="BC219" s="313">
        <v>1</v>
      </c>
      <c r="BD219" s="313">
        <v>1</v>
      </c>
      <c r="BE219" s="313">
        <v>1</v>
      </c>
      <c r="BF219" s="313">
        <v>1</v>
      </c>
      <c r="BG219" s="313">
        <v>1</v>
      </c>
      <c r="BH219" s="313">
        <v>1</v>
      </c>
      <c r="BI219" s="313">
        <v>1</v>
      </c>
      <c r="BJ219" s="313">
        <v>0</v>
      </c>
      <c r="BK219" s="313">
        <v>1</v>
      </c>
    </row>
    <row r="220" spans="1:63" x14ac:dyDescent="0.25">
      <c r="A220" s="306">
        <v>333618</v>
      </c>
      <c r="B220" s="313" t="s">
        <v>201</v>
      </c>
      <c r="C220" s="313">
        <v>1</v>
      </c>
      <c r="D220" s="313">
        <v>0</v>
      </c>
      <c r="E220" s="313">
        <v>1</v>
      </c>
      <c r="F220" s="313">
        <v>1</v>
      </c>
      <c r="G220" s="313">
        <v>1</v>
      </c>
      <c r="H220" s="313">
        <v>1</v>
      </c>
      <c r="I220" s="313">
        <v>1</v>
      </c>
      <c r="J220" s="313">
        <v>1</v>
      </c>
      <c r="K220" s="313">
        <v>0</v>
      </c>
      <c r="L220" s="313">
        <v>0</v>
      </c>
      <c r="M220" s="313">
        <v>1</v>
      </c>
      <c r="N220" s="313">
        <v>1</v>
      </c>
      <c r="O220" s="313">
        <v>1</v>
      </c>
      <c r="P220" s="313">
        <v>1</v>
      </c>
      <c r="Q220" s="313">
        <v>0</v>
      </c>
      <c r="R220" s="313">
        <v>1</v>
      </c>
      <c r="S220" s="313">
        <v>1</v>
      </c>
      <c r="T220" s="313">
        <v>1</v>
      </c>
      <c r="U220" s="313">
        <v>1</v>
      </c>
      <c r="V220" s="313">
        <v>1</v>
      </c>
      <c r="W220" s="313">
        <v>1</v>
      </c>
      <c r="X220" s="313">
        <v>1</v>
      </c>
      <c r="Y220" s="313">
        <v>0</v>
      </c>
      <c r="Z220" s="313">
        <v>1</v>
      </c>
      <c r="AA220" s="313">
        <v>1</v>
      </c>
      <c r="AB220" s="313">
        <v>1</v>
      </c>
      <c r="AC220" s="313">
        <v>1</v>
      </c>
      <c r="AD220" s="313">
        <v>0</v>
      </c>
      <c r="AE220" s="313">
        <v>1</v>
      </c>
      <c r="AF220" s="313">
        <v>1</v>
      </c>
      <c r="AG220" s="313">
        <v>0</v>
      </c>
      <c r="AH220" s="313">
        <v>0</v>
      </c>
      <c r="AI220" s="313">
        <v>1</v>
      </c>
      <c r="AJ220" s="313">
        <v>1</v>
      </c>
      <c r="AK220" s="313">
        <v>1</v>
      </c>
      <c r="AL220" s="313">
        <v>1</v>
      </c>
      <c r="AM220" s="313">
        <v>1</v>
      </c>
      <c r="AN220" s="313">
        <v>1</v>
      </c>
      <c r="AO220" s="313">
        <v>1</v>
      </c>
      <c r="AP220" s="313">
        <v>1</v>
      </c>
      <c r="AQ220" s="313">
        <v>0</v>
      </c>
      <c r="AR220" s="313">
        <v>1</v>
      </c>
      <c r="AS220" s="313">
        <v>1</v>
      </c>
      <c r="AT220" s="313">
        <v>1</v>
      </c>
      <c r="AU220" s="313">
        <v>1</v>
      </c>
      <c r="AV220" s="313">
        <v>1</v>
      </c>
      <c r="AW220" s="313">
        <v>1</v>
      </c>
      <c r="AX220" s="313">
        <v>0</v>
      </c>
      <c r="AY220" s="313">
        <v>1</v>
      </c>
      <c r="AZ220" s="313">
        <v>1</v>
      </c>
      <c r="BA220" s="313">
        <v>0</v>
      </c>
      <c r="BB220" s="313">
        <v>0</v>
      </c>
      <c r="BC220" s="313">
        <v>1</v>
      </c>
      <c r="BD220" s="313">
        <v>1</v>
      </c>
      <c r="BE220" s="313">
        <v>1</v>
      </c>
      <c r="BF220" s="313">
        <v>1</v>
      </c>
      <c r="BG220" s="313">
        <v>1</v>
      </c>
      <c r="BH220" s="313">
        <v>1</v>
      </c>
      <c r="BI220" s="313">
        <v>1</v>
      </c>
      <c r="BJ220" s="313">
        <v>1</v>
      </c>
      <c r="BK220" s="313">
        <v>1</v>
      </c>
    </row>
    <row r="221" spans="1:63" x14ac:dyDescent="0.25">
      <c r="A221" s="306">
        <v>333911</v>
      </c>
      <c r="B221" s="313" t="s">
        <v>202</v>
      </c>
      <c r="C221" s="313">
        <v>1</v>
      </c>
      <c r="D221" s="313">
        <v>0</v>
      </c>
      <c r="E221" s="313">
        <v>1</v>
      </c>
      <c r="F221" s="313">
        <v>1</v>
      </c>
      <c r="G221" s="313">
        <v>1</v>
      </c>
      <c r="H221" s="313">
        <v>1</v>
      </c>
      <c r="I221" s="313">
        <v>1</v>
      </c>
      <c r="J221" s="313">
        <v>1</v>
      </c>
      <c r="K221" s="313">
        <v>0</v>
      </c>
      <c r="L221" s="313">
        <v>1</v>
      </c>
      <c r="M221" s="313">
        <v>1</v>
      </c>
      <c r="N221" s="313">
        <v>1</v>
      </c>
      <c r="O221" s="313">
        <v>0</v>
      </c>
      <c r="P221" s="313">
        <v>1</v>
      </c>
      <c r="Q221" s="313">
        <v>0</v>
      </c>
      <c r="R221" s="313">
        <v>1</v>
      </c>
      <c r="S221" s="313">
        <v>1</v>
      </c>
      <c r="T221" s="313">
        <v>1</v>
      </c>
      <c r="U221" s="313">
        <v>1</v>
      </c>
      <c r="V221" s="313">
        <v>1</v>
      </c>
      <c r="W221" s="313">
        <v>1</v>
      </c>
      <c r="X221" s="313">
        <v>1</v>
      </c>
      <c r="Y221" s="313">
        <v>1</v>
      </c>
      <c r="Z221" s="313">
        <v>1</v>
      </c>
      <c r="AA221" s="313">
        <v>1</v>
      </c>
      <c r="AB221" s="313">
        <v>1</v>
      </c>
      <c r="AC221" s="313">
        <v>1</v>
      </c>
      <c r="AD221" s="313">
        <v>1</v>
      </c>
      <c r="AE221" s="313">
        <v>1</v>
      </c>
      <c r="AF221" s="313">
        <v>0</v>
      </c>
      <c r="AG221" s="313">
        <v>1</v>
      </c>
      <c r="AH221" s="313">
        <v>1</v>
      </c>
      <c r="AI221" s="313">
        <v>1</v>
      </c>
      <c r="AJ221" s="313">
        <v>1</v>
      </c>
      <c r="AK221" s="313">
        <v>1</v>
      </c>
      <c r="AL221" s="313">
        <v>1</v>
      </c>
      <c r="AM221" s="313">
        <v>1</v>
      </c>
      <c r="AN221" s="313">
        <v>1</v>
      </c>
      <c r="AO221" s="313">
        <v>1</v>
      </c>
      <c r="AP221" s="313">
        <v>1</v>
      </c>
      <c r="AQ221" s="313">
        <v>1</v>
      </c>
      <c r="AR221" s="313">
        <v>1</v>
      </c>
      <c r="AS221" s="313">
        <v>1</v>
      </c>
      <c r="AT221" s="313">
        <v>1</v>
      </c>
      <c r="AU221" s="313">
        <v>1</v>
      </c>
      <c r="AV221" s="313">
        <v>1</v>
      </c>
      <c r="AW221" s="313">
        <v>1</v>
      </c>
      <c r="AX221" s="313">
        <v>1</v>
      </c>
      <c r="AY221" s="313">
        <v>1</v>
      </c>
      <c r="AZ221" s="313">
        <v>1</v>
      </c>
      <c r="BA221" s="313">
        <v>1</v>
      </c>
      <c r="BB221" s="313">
        <v>1</v>
      </c>
      <c r="BC221" s="313">
        <v>1</v>
      </c>
      <c r="BD221" s="313">
        <v>1</v>
      </c>
      <c r="BE221" s="313">
        <v>1</v>
      </c>
      <c r="BF221" s="313">
        <v>1</v>
      </c>
      <c r="BG221" s="313">
        <v>1</v>
      </c>
      <c r="BH221" s="313">
        <v>1</v>
      </c>
      <c r="BI221" s="313">
        <v>1</v>
      </c>
      <c r="BJ221" s="313">
        <v>1</v>
      </c>
      <c r="BK221" s="313">
        <v>1</v>
      </c>
    </row>
    <row r="222" spans="1:63" x14ac:dyDescent="0.25">
      <c r="A222" s="306">
        <v>333912</v>
      </c>
      <c r="B222" s="313" t="s">
        <v>203</v>
      </c>
      <c r="C222" s="313">
        <v>1</v>
      </c>
      <c r="D222" s="313">
        <v>0</v>
      </c>
      <c r="E222" s="313">
        <v>1</v>
      </c>
      <c r="F222" s="313">
        <v>1</v>
      </c>
      <c r="G222" s="313">
        <v>0</v>
      </c>
      <c r="H222" s="313">
        <v>1</v>
      </c>
      <c r="I222" s="313">
        <v>1</v>
      </c>
      <c r="J222" s="313">
        <v>1</v>
      </c>
      <c r="K222" s="313">
        <v>0</v>
      </c>
      <c r="L222" s="313">
        <v>0</v>
      </c>
      <c r="M222" s="313">
        <v>1</v>
      </c>
      <c r="N222" s="313">
        <v>1</v>
      </c>
      <c r="O222" s="313">
        <v>0</v>
      </c>
      <c r="P222" s="313">
        <v>1</v>
      </c>
      <c r="Q222" s="313">
        <v>0</v>
      </c>
      <c r="R222" s="313">
        <v>1</v>
      </c>
      <c r="S222" s="313">
        <v>1</v>
      </c>
      <c r="T222" s="313">
        <v>1</v>
      </c>
      <c r="U222" s="313">
        <v>1</v>
      </c>
      <c r="V222" s="313">
        <v>1</v>
      </c>
      <c r="W222" s="313">
        <v>1</v>
      </c>
      <c r="X222" s="313">
        <v>1</v>
      </c>
      <c r="Y222" s="313">
        <v>0</v>
      </c>
      <c r="Z222" s="313">
        <v>1</v>
      </c>
      <c r="AA222" s="313">
        <v>1</v>
      </c>
      <c r="AB222" s="313">
        <v>1</v>
      </c>
      <c r="AC222" s="313">
        <v>1</v>
      </c>
      <c r="AD222" s="313">
        <v>0</v>
      </c>
      <c r="AE222" s="313">
        <v>1</v>
      </c>
      <c r="AF222" s="313">
        <v>0</v>
      </c>
      <c r="AG222" s="313">
        <v>1</v>
      </c>
      <c r="AH222" s="313">
        <v>1</v>
      </c>
      <c r="AI222" s="313">
        <v>1</v>
      </c>
      <c r="AJ222" s="313">
        <v>1</v>
      </c>
      <c r="AK222" s="313">
        <v>1</v>
      </c>
      <c r="AL222" s="313">
        <v>1</v>
      </c>
      <c r="AM222" s="313">
        <v>1</v>
      </c>
      <c r="AN222" s="313">
        <v>1</v>
      </c>
      <c r="AO222" s="313">
        <v>1</v>
      </c>
      <c r="AP222" s="313">
        <v>1</v>
      </c>
      <c r="AQ222" s="313">
        <v>1</v>
      </c>
      <c r="AR222" s="313">
        <v>1</v>
      </c>
      <c r="AS222" s="313">
        <v>1</v>
      </c>
      <c r="AT222" s="313">
        <v>1</v>
      </c>
      <c r="AU222" s="313">
        <v>1</v>
      </c>
      <c r="AV222" s="313">
        <v>1</v>
      </c>
      <c r="AW222" s="313">
        <v>1</v>
      </c>
      <c r="AX222" s="313">
        <v>0</v>
      </c>
      <c r="AY222" s="313">
        <v>1</v>
      </c>
      <c r="AZ222" s="313">
        <v>1</v>
      </c>
      <c r="BA222" s="313">
        <v>1</v>
      </c>
      <c r="BB222" s="313">
        <v>0</v>
      </c>
      <c r="BC222" s="313">
        <v>1</v>
      </c>
      <c r="BD222" s="313">
        <v>1</v>
      </c>
      <c r="BE222" s="313">
        <v>1</v>
      </c>
      <c r="BF222" s="313">
        <v>1</v>
      </c>
      <c r="BG222" s="313">
        <v>1</v>
      </c>
      <c r="BH222" s="313">
        <v>1</v>
      </c>
      <c r="BI222" s="313">
        <v>1</v>
      </c>
      <c r="BJ222" s="313">
        <v>1</v>
      </c>
      <c r="BK222" s="313">
        <v>1</v>
      </c>
    </row>
    <row r="223" spans="1:63" x14ac:dyDescent="0.25">
      <c r="A223" s="306">
        <v>333920</v>
      </c>
      <c r="B223" s="313" t="s">
        <v>204</v>
      </c>
      <c r="C223" s="313">
        <v>1</v>
      </c>
      <c r="D223" s="313">
        <v>1</v>
      </c>
      <c r="E223" s="313">
        <v>1</v>
      </c>
      <c r="F223" s="313">
        <v>1</v>
      </c>
      <c r="G223" s="313">
        <v>1</v>
      </c>
      <c r="H223" s="313">
        <v>1</v>
      </c>
      <c r="I223" s="313">
        <v>1</v>
      </c>
      <c r="J223" s="313">
        <v>1</v>
      </c>
      <c r="K223" s="313">
        <v>1</v>
      </c>
      <c r="L223" s="313">
        <v>1</v>
      </c>
      <c r="M223" s="313">
        <v>1</v>
      </c>
      <c r="N223" s="313">
        <v>1</v>
      </c>
      <c r="O223" s="313">
        <v>0</v>
      </c>
      <c r="P223" s="313">
        <v>1</v>
      </c>
      <c r="Q223" s="313">
        <v>1</v>
      </c>
      <c r="R223" s="313">
        <v>1</v>
      </c>
      <c r="S223" s="313">
        <v>1</v>
      </c>
      <c r="T223" s="313">
        <v>1</v>
      </c>
      <c r="U223" s="313">
        <v>1</v>
      </c>
      <c r="V223" s="313">
        <v>1</v>
      </c>
      <c r="W223" s="313">
        <v>1</v>
      </c>
      <c r="X223" s="313">
        <v>1</v>
      </c>
      <c r="Y223" s="313">
        <v>1</v>
      </c>
      <c r="Z223" s="313">
        <v>1</v>
      </c>
      <c r="AA223" s="313">
        <v>1</v>
      </c>
      <c r="AB223" s="313">
        <v>1</v>
      </c>
      <c r="AC223" s="313">
        <v>1</v>
      </c>
      <c r="AD223" s="313">
        <v>0</v>
      </c>
      <c r="AE223" s="313">
        <v>1</v>
      </c>
      <c r="AF223" s="313">
        <v>1</v>
      </c>
      <c r="AG223" s="313">
        <v>1</v>
      </c>
      <c r="AH223" s="313">
        <v>1</v>
      </c>
      <c r="AI223" s="313">
        <v>1</v>
      </c>
      <c r="AJ223" s="313">
        <v>1</v>
      </c>
      <c r="AK223" s="313">
        <v>1</v>
      </c>
      <c r="AL223" s="313">
        <v>1</v>
      </c>
      <c r="AM223" s="313">
        <v>1</v>
      </c>
      <c r="AN223" s="313">
        <v>1</v>
      </c>
      <c r="AO223" s="313">
        <v>1</v>
      </c>
      <c r="AP223" s="313">
        <v>1</v>
      </c>
      <c r="AQ223" s="313">
        <v>1</v>
      </c>
      <c r="AR223" s="313">
        <v>1</v>
      </c>
      <c r="AS223" s="313">
        <v>1</v>
      </c>
      <c r="AT223" s="313">
        <v>1</v>
      </c>
      <c r="AU223" s="313">
        <v>1</v>
      </c>
      <c r="AV223" s="313">
        <v>1</v>
      </c>
      <c r="AW223" s="313">
        <v>1</v>
      </c>
      <c r="AX223" s="313">
        <v>0</v>
      </c>
      <c r="AY223" s="313">
        <v>1</v>
      </c>
      <c r="AZ223" s="313">
        <v>1</v>
      </c>
      <c r="BA223" s="313">
        <v>1</v>
      </c>
      <c r="BB223" s="313">
        <v>0</v>
      </c>
      <c r="BC223" s="313">
        <v>1</v>
      </c>
      <c r="BD223" s="313">
        <v>1</v>
      </c>
      <c r="BE223" s="313">
        <v>1</v>
      </c>
      <c r="BF223" s="313">
        <v>1</v>
      </c>
      <c r="BG223" s="313">
        <v>1</v>
      </c>
      <c r="BH223" s="313">
        <v>1</v>
      </c>
      <c r="BI223" s="313">
        <v>1</v>
      </c>
      <c r="BJ223" s="313">
        <v>1</v>
      </c>
      <c r="BK223" s="313">
        <v>1</v>
      </c>
    </row>
    <row r="224" spans="1:63" x14ac:dyDescent="0.25">
      <c r="A224" s="306">
        <v>333991</v>
      </c>
      <c r="B224" s="313" t="s">
        <v>205</v>
      </c>
      <c r="C224" s="313">
        <v>1</v>
      </c>
      <c r="D224" s="313">
        <v>0</v>
      </c>
      <c r="E224" s="313">
        <v>1</v>
      </c>
      <c r="F224" s="313">
        <v>1</v>
      </c>
      <c r="G224" s="313">
        <v>1</v>
      </c>
      <c r="H224" s="313">
        <v>1</v>
      </c>
      <c r="I224" s="313">
        <v>1</v>
      </c>
      <c r="J224" s="313">
        <v>1</v>
      </c>
      <c r="K224" s="313">
        <v>0</v>
      </c>
      <c r="L224" s="313">
        <v>0</v>
      </c>
      <c r="M224" s="313">
        <v>1</v>
      </c>
      <c r="N224" s="313">
        <v>1</v>
      </c>
      <c r="O224" s="313">
        <v>0</v>
      </c>
      <c r="P224" s="313">
        <v>1</v>
      </c>
      <c r="Q224" s="313">
        <v>1</v>
      </c>
      <c r="R224" s="313">
        <v>1</v>
      </c>
      <c r="S224" s="313">
        <v>1</v>
      </c>
      <c r="T224" s="313">
        <v>1</v>
      </c>
      <c r="U224" s="313">
        <v>0</v>
      </c>
      <c r="V224" s="313">
        <v>1</v>
      </c>
      <c r="W224" s="313">
        <v>1</v>
      </c>
      <c r="X224" s="313">
        <v>1</v>
      </c>
      <c r="Y224" s="313">
        <v>0</v>
      </c>
      <c r="Z224" s="313">
        <v>1</v>
      </c>
      <c r="AA224" s="313">
        <v>1</v>
      </c>
      <c r="AB224" s="313">
        <v>1</v>
      </c>
      <c r="AC224" s="313">
        <v>1</v>
      </c>
      <c r="AD224" s="313">
        <v>0</v>
      </c>
      <c r="AE224" s="313">
        <v>1</v>
      </c>
      <c r="AF224" s="313">
        <v>0</v>
      </c>
      <c r="AG224" s="313">
        <v>1</v>
      </c>
      <c r="AH224" s="313">
        <v>0</v>
      </c>
      <c r="AI224" s="313">
        <v>1</v>
      </c>
      <c r="AJ224" s="313">
        <v>0</v>
      </c>
      <c r="AK224" s="313">
        <v>1</v>
      </c>
      <c r="AL224" s="313">
        <v>1</v>
      </c>
      <c r="AM224" s="313">
        <v>1</v>
      </c>
      <c r="AN224" s="313">
        <v>1</v>
      </c>
      <c r="AO224" s="313">
        <v>1</v>
      </c>
      <c r="AP224" s="313">
        <v>1</v>
      </c>
      <c r="AQ224" s="313">
        <v>1</v>
      </c>
      <c r="AR224" s="313">
        <v>1</v>
      </c>
      <c r="AS224" s="313">
        <v>0</v>
      </c>
      <c r="AT224" s="313">
        <v>1</v>
      </c>
      <c r="AU224" s="313">
        <v>1</v>
      </c>
      <c r="AV224" s="313">
        <v>0</v>
      </c>
      <c r="AW224" s="313">
        <v>1</v>
      </c>
      <c r="AX224" s="313">
        <v>1</v>
      </c>
      <c r="AY224" s="313">
        <v>1</v>
      </c>
      <c r="AZ224" s="313">
        <v>1</v>
      </c>
      <c r="BA224" s="313">
        <v>0</v>
      </c>
      <c r="BB224" s="313">
        <v>0</v>
      </c>
      <c r="BC224" s="313">
        <v>1</v>
      </c>
      <c r="BD224" s="313">
        <v>1</v>
      </c>
      <c r="BE224" s="313">
        <v>1</v>
      </c>
      <c r="BF224" s="313">
        <v>1</v>
      </c>
      <c r="BG224" s="313">
        <v>1</v>
      </c>
      <c r="BH224" s="313">
        <v>1</v>
      </c>
      <c r="BI224" s="313">
        <v>1</v>
      </c>
      <c r="BJ224" s="313">
        <v>1</v>
      </c>
      <c r="BK224" s="313">
        <v>1</v>
      </c>
    </row>
    <row r="225" spans="1:63" x14ac:dyDescent="0.25">
      <c r="A225" s="306">
        <v>333993</v>
      </c>
      <c r="B225" s="313" t="s">
        <v>207</v>
      </c>
      <c r="C225" s="313">
        <v>1</v>
      </c>
      <c r="D225" s="313">
        <v>0</v>
      </c>
      <c r="E225" s="313">
        <v>1</v>
      </c>
      <c r="F225" s="313">
        <v>1</v>
      </c>
      <c r="G225" s="313">
        <v>1</v>
      </c>
      <c r="H225" s="313">
        <v>1</v>
      </c>
      <c r="I225" s="313">
        <v>1</v>
      </c>
      <c r="J225" s="313">
        <v>1</v>
      </c>
      <c r="K225" s="313">
        <v>0</v>
      </c>
      <c r="L225" s="313">
        <v>0</v>
      </c>
      <c r="M225" s="313">
        <v>1</v>
      </c>
      <c r="N225" s="313">
        <v>1</v>
      </c>
      <c r="O225" s="313">
        <v>0</v>
      </c>
      <c r="P225" s="313">
        <v>1</v>
      </c>
      <c r="Q225" s="313">
        <v>0</v>
      </c>
      <c r="R225" s="313">
        <v>1</v>
      </c>
      <c r="S225" s="313">
        <v>1</v>
      </c>
      <c r="T225" s="313">
        <v>1</v>
      </c>
      <c r="U225" s="313">
        <v>1</v>
      </c>
      <c r="V225" s="313">
        <v>1</v>
      </c>
      <c r="W225" s="313">
        <v>1</v>
      </c>
      <c r="X225" s="313">
        <v>1</v>
      </c>
      <c r="Y225" s="313">
        <v>1</v>
      </c>
      <c r="Z225" s="313">
        <v>1</v>
      </c>
      <c r="AA225" s="313">
        <v>1</v>
      </c>
      <c r="AB225" s="313">
        <v>1</v>
      </c>
      <c r="AC225" s="313">
        <v>1</v>
      </c>
      <c r="AD225" s="313">
        <v>1</v>
      </c>
      <c r="AE225" s="313">
        <v>1</v>
      </c>
      <c r="AF225" s="313">
        <v>1</v>
      </c>
      <c r="AG225" s="313">
        <v>1</v>
      </c>
      <c r="AH225" s="313">
        <v>1</v>
      </c>
      <c r="AI225" s="313">
        <v>1</v>
      </c>
      <c r="AJ225" s="313">
        <v>1</v>
      </c>
      <c r="AK225" s="313">
        <v>1</v>
      </c>
      <c r="AL225" s="313">
        <v>1</v>
      </c>
      <c r="AM225" s="313">
        <v>1</v>
      </c>
      <c r="AN225" s="313">
        <v>1</v>
      </c>
      <c r="AO225" s="313">
        <v>1</v>
      </c>
      <c r="AP225" s="313">
        <v>1</v>
      </c>
      <c r="AQ225" s="313">
        <v>0</v>
      </c>
      <c r="AR225" s="313">
        <v>1</v>
      </c>
      <c r="AS225" s="313">
        <v>0</v>
      </c>
      <c r="AT225" s="313">
        <v>1</v>
      </c>
      <c r="AU225" s="313">
        <v>1</v>
      </c>
      <c r="AV225" s="313">
        <v>1</v>
      </c>
      <c r="AW225" s="313">
        <v>1</v>
      </c>
      <c r="AX225" s="313">
        <v>0</v>
      </c>
      <c r="AY225" s="313">
        <v>1</v>
      </c>
      <c r="AZ225" s="313">
        <v>1</v>
      </c>
      <c r="BA225" s="313">
        <v>0</v>
      </c>
      <c r="BB225" s="313">
        <v>0</v>
      </c>
      <c r="BC225" s="313">
        <v>1</v>
      </c>
      <c r="BD225" s="313">
        <v>1</v>
      </c>
      <c r="BE225" s="313">
        <v>1</v>
      </c>
      <c r="BF225" s="313">
        <v>1</v>
      </c>
      <c r="BG225" s="313">
        <v>1</v>
      </c>
      <c r="BH225" s="313">
        <v>1</v>
      </c>
      <c r="BI225" s="313">
        <v>1</v>
      </c>
      <c r="BJ225" s="313">
        <v>1</v>
      </c>
      <c r="BK225" s="313">
        <v>1</v>
      </c>
    </row>
    <row r="226" spans="1:63" x14ac:dyDescent="0.25">
      <c r="A226" s="306">
        <v>333994</v>
      </c>
      <c r="B226" s="313" t="s">
        <v>208</v>
      </c>
      <c r="C226" s="313">
        <v>1</v>
      </c>
      <c r="D226" s="313">
        <v>0</v>
      </c>
      <c r="E226" s="313">
        <v>1</v>
      </c>
      <c r="F226" s="313">
        <v>0</v>
      </c>
      <c r="G226" s="313">
        <v>1</v>
      </c>
      <c r="H226" s="313">
        <v>1</v>
      </c>
      <c r="I226" s="313">
        <v>1</v>
      </c>
      <c r="J226" s="313">
        <v>1</v>
      </c>
      <c r="K226" s="313">
        <v>0</v>
      </c>
      <c r="L226" s="313">
        <v>0</v>
      </c>
      <c r="M226" s="313">
        <v>1</v>
      </c>
      <c r="N226" s="313">
        <v>1</v>
      </c>
      <c r="O226" s="313">
        <v>0</v>
      </c>
      <c r="P226" s="313">
        <v>1</v>
      </c>
      <c r="Q226" s="313">
        <v>1</v>
      </c>
      <c r="R226" s="313">
        <v>1</v>
      </c>
      <c r="S226" s="313">
        <v>1</v>
      </c>
      <c r="T226" s="313">
        <v>1</v>
      </c>
      <c r="U226" s="313">
        <v>1</v>
      </c>
      <c r="V226" s="313">
        <v>1</v>
      </c>
      <c r="W226" s="313">
        <v>1</v>
      </c>
      <c r="X226" s="313">
        <v>1</v>
      </c>
      <c r="Y226" s="313">
        <v>0</v>
      </c>
      <c r="Z226" s="313">
        <v>1</v>
      </c>
      <c r="AA226" s="313">
        <v>1</v>
      </c>
      <c r="AB226" s="313">
        <v>1</v>
      </c>
      <c r="AC226" s="313">
        <v>0</v>
      </c>
      <c r="AD226" s="313">
        <v>0</v>
      </c>
      <c r="AE226" s="313">
        <v>1</v>
      </c>
      <c r="AF226" s="313">
        <v>0</v>
      </c>
      <c r="AG226" s="313">
        <v>0</v>
      </c>
      <c r="AH226" s="313">
        <v>1</v>
      </c>
      <c r="AI226" s="313">
        <v>1</v>
      </c>
      <c r="AJ226" s="313">
        <v>0</v>
      </c>
      <c r="AK226" s="313">
        <v>1</v>
      </c>
      <c r="AL226" s="313">
        <v>1</v>
      </c>
      <c r="AM226" s="313">
        <v>1</v>
      </c>
      <c r="AN226" s="313">
        <v>1</v>
      </c>
      <c r="AO226" s="313">
        <v>1</v>
      </c>
      <c r="AP226" s="313">
        <v>1</v>
      </c>
      <c r="AQ226" s="313">
        <v>1</v>
      </c>
      <c r="AR226" s="313">
        <v>1</v>
      </c>
      <c r="AS226" s="313">
        <v>0</v>
      </c>
      <c r="AT226" s="313">
        <v>1</v>
      </c>
      <c r="AU226" s="313">
        <v>1</v>
      </c>
      <c r="AV226" s="313">
        <v>0</v>
      </c>
      <c r="AW226" s="313">
        <v>0</v>
      </c>
      <c r="AX226" s="313">
        <v>0</v>
      </c>
      <c r="AY226" s="313">
        <v>1</v>
      </c>
      <c r="AZ226" s="313">
        <v>1</v>
      </c>
      <c r="BA226" s="313">
        <v>1</v>
      </c>
      <c r="BB226" s="313">
        <v>0</v>
      </c>
      <c r="BC226" s="313">
        <v>1</v>
      </c>
      <c r="BD226" s="313">
        <v>1</v>
      </c>
      <c r="BE226" s="313">
        <v>1</v>
      </c>
      <c r="BF226" s="313">
        <v>1</v>
      </c>
      <c r="BG226" s="313">
        <v>1</v>
      </c>
      <c r="BH226" s="313">
        <v>1</v>
      </c>
      <c r="BI226" s="313">
        <v>1</v>
      </c>
      <c r="BJ226" s="313">
        <v>1</v>
      </c>
      <c r="BK226" s="313">
        <v>1</v>
      </c>
    </row>
    <row r="227" spans="1:63" x14ac:dyDescent="0.25">
      <c r="A227" s="306" t="s">
        <v>734</v>
      </c>
      <c r="B227" s="313" t="s">
        <v>206</v>
      </c>
      <c r="C227" s="313">
        <v>1</v>
      </c>
      <c r="D227" s="313">
        <v>1</v>
      </c>
      <c r="E227" s="313">
        <v>1</v>
      </c>
      <c r="F227" s="313">
        <v>1</v>
      </c>
      <c r="G227" s="313">
        <v>1</v>
      </c>
      <c r="H227" s="313">
        <v>1</v>
      </c>
      <c r="I227" s="313">
        <v>1</v>
      </c>
      <c r="J227" s="313">
        <v>1</v>
      </c>
      <c r="K227" s="313">
        <v>0</v>
      </c>
      <c r="L227" s="313">
        <v>1</v>
      </c>
      <c r="M227" s="313">
        <v>1</v>
      </c>
      <c r="N227" s="313">
        <v>1</v>
      </c>
      <c r="O227" s="313">
        <v>0</v>
      </c>
      <c r="P227" s="313">
        <v>1</v>
      </c>
      <c r="Q227" s="313">
        <v>1</v>
      </c>
      <c r="R227" s="313">
        <v>1</v>
      </c>
      <c r="S227" s="313">
        <v>1</v>
      </c>
      <c r="T227" s="313">
        <v>1</v>
      </c>
      <c r="U227" s="313">
        <v>1</v>
      </c>
      <c r="V227" s="313">
        <v>1</v>
      </c>
      <c r="W227" s="313">
        <v>1</v>
      </c>
      <c r="X227" s="313">
        <v>1</v>
      </c>
      <c r="Y227" s="313">
        <v>1</v>
      </c>
      <c r="Z227" s="313">
        <v>1</v>
      </c>
      <c r="AA227" s="313">
        <v>1</v>
      </c>
      <c r="AB227" s="313">
        <v>1</v>
      </c>
      <c r="AC227" s="313">
        <v>1</v>
      </c>
      <c r="AD227" s="313">
        <v>1</v>
      </c>
      <c r="AE227" s="313">
        <v>1</v>
      </c>
      <c r="AF227" s="313">
        <v>0</v>
      </c>
      <c r="AG227" s="313">
        <v>1</v>
      </c>
      <c r="AH227" s="313">
        <v>1</v>
      </c>
      <c r="AI227" s="313">
        <v>1</v>
      </c>
      <c r="AJ227" s="313">
        <v>1</v>
      </c>
      <c r="AK227" s="313">
        <v>1</v>
      </c>
      <c r="AL227" s="313">
        <v>1</v>
      </c>
      <c r="AM227" s="313">
        <v>1</v>
      </c>
      <c r="AN227" s="313">
        <v>1</v>
      </c>
      <c r="AO227" s="313">
        <v>1</v>
      </c>
      <c r="AP227" s="313">
        <v>1</v>
      </c>
      <c r="AQ227" s="313">
        <v>1</v>
      </c>
      <c r="AR227" s="313">
        <v>1</v>
      </c>
      <c r="AS227" s="313">
        <v>1</v>
      </c>
      <c r="AT227" s="313">
        <v>1</v>
      </c>
      <c r="AU227" s="313">
        <v>1</v>
      </c>
      <c r="AV227" s="313">
        <v>1</v>
      </c>
      <c r="AW227" s="313">
        <v>1</v>
      </c>
      <c r="AX227" s="313">
        <v>1</v>
      </c>
      <c r="AY227" s="313">
        <v>1</v>
      </c>
      <c r="AZ227" s="313">
        <v>1</v>
      </c>
      <c r="BA227" s="313">
        <v>1</v>
      </c>
      <c r="BB227" s="313">
        <v>1</v>
      </c>
      <c r="BC227" s="313">
        <v>1</v>
      </c>
      <c r="BD227" s="313">
        <v>1</v>
      </c>
      <c r="BE227" s="313">
        <v>1</v>
      </c>
      <c r="BF227" s="313">
        <v>1</v>
      </c>
      <c r="BG227" s="313">
        <v>1</v>
      </c>
      <c r="BH227" s="313">
        <v>1</v>
      </c>
      <c r="BI227" s="313">
        <v>1</v>
      </c>
      <c r="BJ227" s="313">
        <v>1</v>
      </c>
      <c r="BK227" s="313">
        <v>1</v>
      </c>
    </row>
    <row r="228" spans="1:63" x14ac:dyDescent="0.25">
      <c r="A228" s="306" t="s">
        <v>735</v>
      </c>
      <c r="B228" s="313" t="s">
        <v>736</v>
      </c>
      <c r="C228" s="313">
        <v>1</v>
      </c>
      <c r="D228" s="313">
        <v>0</v>
      </c>
      <c r="E228" s="313">
        <v>1</v>
      </c>
      <c r="F228" s="313">
        <v>1</v>
      </c>
      <c r="G228" s="313">
        <v>1</v>
      </c>
      <c r="H228" s="313">
        <v>1</v>
      </c>
      <c r="I228" s="313">
        <v>1</v>
      </c>
      <c r="J228" s="313">
        <v>1</v>
      </c>
      <c r="K228" s="313">
        <v>0</v>
      </c>
      <c r="L228" s="313">
        <v>1</v>
      </c>
      <c r="M228" s="313">
        <v>1</v>
      </c>
      <c r="N228" s="313">
        <v>1</v>
      </c>
      <c r="O228" s="313">
        <v>0</v>
      </c>
      <c r="P228" s="313">
        <v>1</v>
      </c>
      <c r="Q228" s="313">
        <v>1</v>
      </c>
      <c r="R228" s="313">
        <v>1</v>
      </c>
      <c r="S228" s="313">
        <v>1</v>
      </c>
      <c r="T228" s="313">
        <v>1</v>
      </c>
      <c r="U228" s="313">
        <v>1</v>
      </c>
      <c r="V228" s="313">
        <v>1</v>
      </c>
      <c r="W228" s="313">
        <v>1</v>
      </c>
      <c r="X228" s="313">
        <v>0</v>
      </c>
      <c r="Y228" s="313">
        <v>1</v>
      </c>
      <c r="Z228" s="313">
        <v>1</v>
      </c>
      <c r="AA228" s="313">
        <v>1</v>
      </c>
      <c r="AB228" s="313">
        <v>1</v>
      </c>
      <c r="AC228" s="313">
        <v>1</v>
      </c>
      <c r="AD228" s="313">
        <v>1</v>
      </c>
      <c r="AE228" s="313">
        <v>1</v>
      </c>
      <c r="AF228" s="313">
        <v>0</v>
      </c>
      <c r="AG228" s="313">
        <v>1</v>
      </c>
      <c r="AH228" s="313">
        <v>1</v>
      </c>
      <c r="AI228" s="313">
        <v>1</v>
      </c>
      <c r="AJ228" s="313">
        <v>1</v>
      </c>
      <c r="AK228" s="313">
        <v>1</v>
      </c>
      <c r="AL228" s="313">
        <v>1</v>
      </c>
      <c r="AM228" s="313">
        <v>1</v>
      </c>
      <c r="AN228" s="313">
        <v>1</v>
      </c>
      <c r="AO228" s="313">
        <v>1</v>
      </c>
      <c r="AP228" s="313">
        <v>1</v>
      </c>
      <c r="AQ228" s="313">
        <v>0</v>
      </c>
      <c r="AR228" s="313">
        <v>1</v>
      </c>
      <c r="AS228" s="313">
        <v>1</v>
      </c>
      <c r="AT228" s="313">
        <v>1</v>
      </c>
      <c r="AU228" s="313">
        <v>1</v>
      </c>
      <c r="AV228" s="313">
        <v>1</v>
      </c>
      <c r="AW228" s="313">
        <v>1</v>
      </c>
      <c r="AX228" s="313">
        <v>1</v>
      </c>
      <c r="AY228" s="313">
        <v>1</v>
      </c>
      <c r="AZ228" s="313">
        <v>1</v>
      </c>
      <c r="BA228" s="313">
        <v>1</v>
      </c>
      <c r="BB228" s="313">
        <v>1</v>
      </c>
      <c r="BC228" s="313">
        <v>1</v>
      </c>
      <c r="BD228" s="313">
        <v>1</v>
      </c>
      <c r="BE228" s="313">
        <v>1</v>
      </c>
      <c r="BF228" s="313">
        <v>1</v>
      </c>
      <c r="BG228" s="313">
        <v>1</v>
      </c>
      <c r="BH228" s="313">
        <v>1</v>
      </c>
      <c r="BI228" s="313">
        <v>1</v>
      </c>
      <c r="BJ228" s="313">
        <v>1</v>
      </c>
      <c r="BK228" s="313">
        <v>1</v>
      </c>
    </row>
    <row r="229" spans="1:63" x14ac:dyDescent="0.25">
      <c r="A229" s="306">
        <v>334111</v>
      </c>
      <c r="B229" s="313" t="s">
        <v>209</v>
      </c>
      <c r="C229" s="313">
        <v>1</v>
      </c>
      <c r="D229" s="313">
        <v>0</v>
      </c>
      <c r="E229" s="313">
        <v>1</v>
      </c>
      <c r="F229" s="313">
        <v>0</v>
      </c>
      <c r="G229" s="313">
        <v>1</v>
      </c>
      <c r="H229" s="313">
        <v>1</v>
      </c>
      <c r="I229" s="313">
        <v>1</v>
      </c>
      <c r="J229" s="313">
        <v>1</v>
      </c>
      <c r="K229" s="313">
        <v>1</v>
      </c>
      <c r="L229" s="313">
        <v>0</v>
      </c>
      <c r="M229" s="313">
        <v>1</v>
      </c>
      <c r="N229" s="313">
        <v>1</v>
      </c>
      <c r="O229" s="313">
        <v>1</v>
      </c>
      <c r="P229" s="313">
        <v>1</v>
      </c>
      <c r="Q229" s="313">
        <v>1</v>
      </c>
      <c r="R229" s="313">
        <v>1</v>
      </c>
      <c r="S229" s="313">
        <v>1</v>
      </c>
      <c r="T229" s="313">
        <v>1</v>
      </c>
      <c r="U229" s="313">
        <v>1</v>
      </c>
      <c r="V229" s="313">
        <v>1</v>
      </c>
      <c r="W229" s="313">
        <v>1</v>
      </c>
      <c r="X229" s="313">
        <v>1</v>
      </c>
      <c r="Y229" s="313">
        <v>0</v>
      </c>
      <c r="Z229" s="313">
        <v>1</v>
      </c>
      <c r="AA229" s="313">
        <v>1</v>
      </c>
      <c r="AB229" s="313">
        <v>1</v>
      </c>
      <c r="AC229" s="313">
        <v>1</v>
      </c>
      <c r="AD229" s="313">
        <v>1</v>
      </c>
      <c r="AE229" s="313">
        <v>1</v>
      </c>
      <c r="AF229" s="313">
        <v>1</v>
      </c>
      <c r="AG229" s="313">
        <v>0</v>
      </c>
      <c r="AH229" s="313">
        <v>1</v>
      </c>
      <c r="AI229" s="313">
        <v>1</v>
      </c>
      <c r="AJ229" s="313">
        <v>1</v>
      </c>
      <c r="AK229" s="313">
        <v>1</v>
      </c>
      <c r="AL229" s="313">
        <v>1</v>
      </c>
      <c r="AM229" s="313">
        <v>1</v>
      </c>
      <c r="AN229" s="313">
        <v>1</v>
      </c>
      <c r="AO229" s="313">
        <v>1</v>
      </c>
      <c r="AP229" s="313">
        <v>1</v>
      </c>
      <c r="AQ229" s="313">
        <v>0</v>
      </c>
      <c r="AR229" s="313">
        <v>1</v>
      </c>
      <c r="AS229" s="313">
        <v>0</v>
      </c>
      <c r="AT229" s="313">
        <v>1</v>
      </c>
      <c r="AU229" s="313">
        <v>1</v>
      </c>
      <c r="AV229" s="313">
        <v>1</v>
      </c>
      <c r="AW229" s="313">
        <v>1</v>
      </c>
      <c r="AX229" s="313">
        <v>0</v>
      </c>
      <c r="AY229" s="313">
        <v>1</v>
      </c>
      <c r="AZ229" s="313">
        <v>1</v>
      </c>
      <c r="BA229" s="313">
        <v>0</v>
      </c>
      <c r="BB229" s="313">
        <v>0</v>
      </c>
      <c r="BC229" s="313">
        <v>1</v>
      </c>
      <c r="BD229" s="313">
        <v>1</v>
      </c>
      <c r="BE229" s="313">
        <v>1</v>
      </c>
      <c r="BF229" s="313">
        <v>1</v>
      </c>
      <c r="BG229" s="313">
        <v>1</v>
      </c>
      <c r="BH229" s="313">
        <v>1</v>
      </c>
      <c r="BI229" s="313">
        <v>1</v>
      </c>
      <c r="BJ229" s="313">
        <v>1</v>
      </c>
      <c r="BK229" s="313">
        <v>1</v>
      </c>
    </row>
    <row r="230" spans="1:63" x14ac:dyDescent="0.25">
      <c r="A230" s="306">
        <v>334112</v>
      </c>
      <c r="B230" s="313" t="s">
        <v>210</v>
      </c>
      <c r="C230" s="313">
        <v>1</v>
      </c>
      <c r="D230" s="313">
        <v>0</v>
      </c>
      <c r="E230" s="313">
        <v>1</v>
      </c>
      <c r="F230" s="313">
        <v>0</v>
      </c>
      <c r="G230" s="313">
        <v>1</v>
      </c>
      <c r="H230" s="313">
        <v>1</v>
      </c>
      <c r="I230" s="313">
        <v>1</v>
      </c>
      <c r="J230" s="313">
        <v>1</v>
      </c>
      <c r="K230" s="313">
        <v>0</v>
      </c>
      <c r="L230" s="313">
        <v>0</v>
      </c>
      <c r="M230" s="313">
        <v>1</v>
      </c>
      <c r="N230" s="313">
        <v>1</v>
      </c>
      <c r="O230" s="313">
        <v>0</v>
      </c>
      <c r="P230" s="313">
        <v>1</v>
      </c>
      <c r="Q230" s="313">
        <v>1</v>
      </c>
      <c r="R230" s="313">
        <v>1</v>
      </c>
      <c r="S230" s="313">
        <v>0</v>
      </c>
      <c r="T230" s="313">
        <v>1</v>
      </c>
      <c r="U230" s="313">
        <v>0</v>
      </c>
      <c r="V230" s="313">
        <v>0</v>
      </c>
      <c r="W230" s="313">
        <v>1</v>
      </c>
      <c r="X230" s="313">
        <v>1</v>
      </c>
      <c r="Y230" s="313">
        <v>0</v>
      </c>
      <c r="Z230" s="313">
        <v>1</v>
      </c>
      <c r="AA230" s="313">
        <v>1</v>
      </c>
      <c r="AB230" s="313">
        <v>0</v>
      </c>
      <c r="AC230" s="313">
        <v>0</v>
      </c>
      <c r="AD230" s="313">
        <v>0</v>
      </c>
      <c r="AE230" s="313">
        <v>0</v>
      </c>
      <c r="AF230" s="313">
        <v>0</v>
      </c>
      <c r="AG230" s="313">
        <v>0</v>
      </c>
      <c r="AH230" s="313">
        <v>1</v>
      </c>
      <c r="AI230" s="313">
        <v>1</v>
      </c>
      <c r="AJ230" s="313">
        <v>0</v>
      </c>
      <c r="AK230" s="313">
        <v>0</v>
      </c>
      <c r="AL230" s="313">
        <v>1</v>
      </c>
      <c r="AM230" s="313">
        <v>0</v>
      </c>
      <c r="AN230" s="313">
        <v>1</v>
      </c>
      <c r="AO230" s="313">
        <v>0</v>
      </c>
      <c r="AP230" s="313">
        <v>1</v>
      </c>
      <c r="AQ230" s="313">
        <v>0</v>
      </c>
      <c r="AR230" s="313">
        <v>0</v>
      </c>
      <c r="AS230" s="313">
        <v>1</v>
      </c>
      <c r="AT230" s="313">
        <v>1</v>
      </c>
      <c r="AU230" s="313">
        <v>1</v>
      </c>
      <c r="AV230" s="313">
        <v>1</v>
      </c>
      <c r="AW230" s="313">
        <v>1</v>
      </c>
      <c r="AX230" s="313">
        <v>0</v>
      </c>
      <c r="AY230" s="313">
        <v>1</v>
      </c>
      <c r="AZ230" s="313">
        <v>1</v>
      </c>
      <c r="BA230" s="313">
        <v>0</v>
      </c>
      <c r="BB230" s="313">
        <v>0</v>
      </c>
      <c r="BC230" s="313">
        <v>1</v>
      </c>
      <c r="BD230" s="313">
        <v>1</v>
      </c>
      <c r="BE230" s="313">
        <v>1</v>
      </c>
      <c r="BF230" s="313">
        <v>1</v>
      </c>
      <c r="BG230" s="313">
        <v>1</v>
      </c>
      <c r="BH230" s="313">
        <v>1</v>
      </c>
      <c r="BI230" s="313">
        <v>1</v>
      </c>
      <c r="BJ230" s="313">
        <v>1</v>
      </c>
      <c r="BK230" s="313">
        <v>1</v>
      </c>
    </row>
    <row r="231" spans="1:63" x14ac:dyDescent="0.25">
      <c r="A231" s="306" t="s">
        <v>737</v>
      </c>
      <c r="B231" s="313" t="s">
        <v>211</v>
      </c>
      <c r="C231" s="313">
        <v>1</v>
      </c>
      <c r="D231" s="313">
        <v>0</v>
      </c>
      <c r="E231" s="313">
        <v>1</v>
      </c>
      <c r="F231" s="313">
        <v>1</v>
      </c>
      <c r="G231" s="313">
        <v>1</v>
      </c>
      <c r="H231" s="313">
        <v>1</v>
      </c>
      <c r="I231" s="313">
        <v>1</v>
      </c>
      <c r="J231" s="313">
        <v>1</v>
      </c>
      <c r="K231" s="313">
        <v>1</v>
      </c>
      <c r="L231" s="313">
        <v>1</v>
      </c>
      <c r="M231" s="313">
        <v>1</v>
      </c>
      <c r="N231" s="313">
        <v>1</v>
      </c>
      <c r="O231" s="313">
        <v>0</v>
      </c>
      <c r="P231" s="313">
        <v>1</v>
      </c>
      <c r="Q231" s="313">
        <v>1</v>
      </c>
      <c r="R231" s="313">
        <v>1</v>
      </c>
      <c r="S231" s="313">
        <v>1</v>
      </c>
      <c r="T231" s="313">
        <v>1</v>
      </c>
      <c r="U231" s="313">
        <v>1</v>
      </c>
      <c r="V231" s="313">
        <v>1</v>
      </c>
      <c r="W231" s="313">
        <v>1</v>
      </c>
      <c r="X231" s="313">
        <v>1</v>
      </c>
      <c r="Y231" s="313">
        <v>0</v>
      </c>
      <c r="Z231" s="313">
        <v>1</v>
      </c>
      <c r="AA231" s="313">
        <v>1</v>
      </c>
      <c r="AB231" s="313">
        <v>1</v>
      </c>
      <c r="AC231" s="313">
        <v>1</v>
      </c>
      <c r="AD231" s="313">
        <v>1</v>
      </c>
      <c r="AE231" s="313">
        <v>1</v>
      </c>
      <c r="AF231" s="313">
        <v>1</v>
      </c>
      <c r="AG231" s="313">
        <v>1</v>
      </c>
      <c r="AH231" s="313">
        <v>1</v>
      </c>
      <c r="AI231" s="313">
        <v>1</v>
      </c>
      <c r="AJ231" s="313">
        <v>1</v>
      </c>
      <c r="AK231" s="313">
        <v>1</v>
      </c>
      <c r="AL231" s="313">
        <v>1</v>
      </c>
      <c r="AM231" s="313">
        <v>1</v>
      </c>
      <c r="AN231" s="313">
        <v>1</v>
      </c>
      <c r="AO231" s="313">
        <v>1</v>
      </c>
      <c r="AP231" s="313">
        <v>1</v>
      </c>
      <c r="AQ231" s="313">
        <v>1</v>
      </c>
      <c r="AR231" s="313">
        <v>1</v>
      </c>
      <c r="AS231" s="313">
        <v>1</v>
      </c>
      <c r="AT231" s="313">
        <v>1</v>
      </c>
      <c r="AU231" s="313">
        <v>1</v>
      </c>
      <c r="AV231" s="313">
        <v>1</v>
      </c>
      <c r="AW231" s="313">
        <v>1</v>
      </c>
      <c r="AX231" s="313">
        <v>1</v>
      </c>
      <c r="AY231" s="313">
        <v>1</v>
      </c>
      <c r="AZ231" s="313">
        <v>1</v>
      </c>
      <c r="BA231" s="313">
        <v>0</v>
      </c>
      <c r="BB231" s="313">
        <v>1</v>
      </c>
      <c r="BC231" s="313">
        <v>1</v>
      </c>
      <c r="BD231" s="313">
        <v>1</v>
      </c>
      <c r="BE231" s="313">
        <v>1</v>
      </c>
      <c r="BF231" s="313">
        <v>1</v>
      </c>
      <c r="BG231" s="313">
        <v>1</v>
      </c>
      <c r="BH231" s="313">
        <v>1</v>
      </c>
      <c r="BI231" s="313">
        <v>1</v>
      </c>
      <c r="BJ231" s="313">
        <v>1</v>
      </c>
      <c r="BK231" s="313">
        <v>1</v>
      </c>
    </row>
    <row r="232" spans="1:63" x14ac:dyDescent="0.25">
      <c r="A232" s="306">
        <v>334210</v>
      </c>
      <c r="B232" s="313" t="s">
        <v>212</v>
      </c>
      <c r="C232" s="313">
        <v>1</v>
      </c>
      <c r="D232" s="313">
        <v>0</v>
      </c>
      <c r="E232" s="313">
        <v>1</v>
      </c>
      <c r="F232" s="313">
        <v>1</v>
      </c>
      <c r="G232" s="313">
        <v>1</v>
      </c>
      <c r="H232" s="313">
        <v>1</v>
      </c>
      <c r="I232" s="313">
        <v>1</v>
      </c>
      <c r="J232" s="313">
        <v>1</v>
      </c>
      <c r="K232" s="313">
        <v>1</v>
      </c>
      <c r="L232" s="313">
        <v>1</v>
      </c>
      <c r="M232" s="313">
        <v>1</v>
      </c>
      <c r="N232" s="313">
        <v>1</v>
      </c>
      <c r="O232" s="313">
        <v>0</v>
      </c>
      <c r="P232" s="313">
        <v>0</v>
      </c>
      <c r="Q232" s="313">
        <v>1</v>
      </c>
      <c r="R232" s="313">
        <v>1</v>
      </c>
      <c r="S232" s="313">
        <v>0</v>
      </c>
      <c r="T232" s="313">
        <v>1</v>
      </c>
      <c r="U232" s="313">
        <v>1</v>
      </c>
      <c r="V232" s="313">
        <v>1</v>
      </c>
      <c r="W232" s="313">
        <v>1</v>
      </c>
      <c r="X232" s="313">
        <v>1</v>
      </c>
      <c r="Y232" s="313">
        <v>0</v>
      </c>
      <c r="Z232" s="313">
        <v>1</v>
      </c>
      <c r="AA232" s="313">
        <v>1</v>
      </c>
      <c r="AB232" s="313">
        <v>1</v>
      </c>
      <c r="AC232" s="313">
        <v>1</v>
      </c>
      <c r="AD232" s="313">
        <v>0</v>
      </c>
      <c r="AE232" s="313">
        <v>1</v>
      </c>
      <c r="AF232" s="313">
        <v>0</v>
      </c>
      <c r="AG232" s="313">
        <v>1</v>
      </c>
      <c r="AH232" s="313">
        <v>1</v>
      </c>
      <c r="AI232" s="313">
        <v>1</v>
      </c>
      <c r="AJ232" s="313">
        <v>1</v>
      </c>
      <c r="AK232" s="313">
        <v>1</v>
      </c>
      <c r="AL232" s="313">
        <v>1</v>
      </c>
      <c r="AM232" s="313">
        <v>1</v>
      </c>
      <c r="AN232" s="313">
        <v>1</v>
      </c>
      <c r="AO232" s="313">
        <v>1</v>
      </c>
      <c r="AP232" s="313">
        <v>1</v>
      </c>
      <c r="AQ232" s="313">
        <v>1</v>
      </c>
      <c r="AR232" s="313">
        <v>1</v>
      </c>
      <c r="AS232" s="313">
        <v>0</v>
      </c>
      <c r="AT232" s="313">
        <v>1</v>
      </c>
      <c r="AU232" s="313">
        <v>1</v>
      </c>
      <c r="AV232" s="313">
        <v>1</v>
      </c>
      <c r="AW232" s="313">
        <v>1</v>
      </c>
      <c r="AX232" s="313">
        <v>0</v>
      </c>
      <c r="AY232" s="313">
        <v>1</v>
      </c>
      <c r="AZ232" s="313">
        <v>1</v>
      </c>
      <c r="BA232" s="313">
        <v>0</v>
      </c>
      <c r="BB232" s="313">
        <v>0</v>
      </c>
      <c r="BC232" s="313">
        <v>1</v>
      </c>
      <c r="BD232" s="313">
        <v>1</v>
      </c>
      <c r="BE232" s="313">
        <v>1</v>
      </c>
      <c r="BF232" s="313">
        <v>1</v>
      </c>
      <c r="BG232" s="313">
        <v>1</v>
      </c>
      <c r="BH232" s="313">
        <v>1</v>
      </c>
      <c r="BI232" s="313">
        <v>1</v>
      </c>
      <c r="BJ232" s="313">
        <v>1</v>
      </c>
      <c r="BK232" s="313">
        <v>1</v>
      </c>
    </row>
    <row r="233" spans="1:63" x14ac:dyDescent="0.25">
      <c r="A233" s="306">
        <v>334220</v>
      </c>
      <c r="B233" s="313" t="s">
        <v>738</v>
      </c>
      <c r="C233" s="313">
        <v>1</v>
      </c>
      <c r="D233" s="313">
        <v>0</v>
      </c>
      <c r="E233" s="313">
        <v>1</v>
      </c>
      <c r="F233" s="313">
        <v>1</v>
      </c>
      <c r="G233" s="313">
        <v>1</v>
      </c>
      <c r="H233" s="313">
        <v>1</v>
      </c>
      <c r="I233" s="313">
        <v>1</v>
      </c>
      <c r="J233" s="313">
        <v>1</v>
      </c>
      <c r="K233" s="313">
        <v>1</v>
      </c>
      <c r="L233" s="313">
        <v>0</v>
      </c>
      <c r="M233" s="313">
        <v>1</v>
      </c>
      <c r="N233" s="313">
        <v>1</v>
      </c>
      <c r="O233" s="313">
        <v>0</v>
      </c>
      <c r="P233" s="313">
        <v>1</v>
      </c>
      <c r="Q233" s="313">
        <v>1</v>
      </c>
      <c r="R233" s="313">
        <v>1</v>
      </c>
      <c r="S233" s="313">
        <v>1</v>
      </c>
      <c r="T233" s="313">
        <v>1</v>
      </c>
      <c r="U233" s="313">
        <v>0</v>
      </c>
      <c r="V233" s="313">
        <v>1</v>
      </c>
      <c r="W233" s="313">
        <v>1</v>
      </c>
      <c r="X233" s="313">
        <v>1</v>
      </c>
      <c r="Y233" s="313">
        <v>1</v>
      </c>
      <c r="Z233" s="313">
        <v>1</v>
      </c>
      <c r="AA233" s="313">
        <v>1</v>
      </c>
      <c r="AB233" s="313">
        <v>1</v>
      </c>
      <c r="AC233" s="313">
        <v>1</v>
      </c>
      <c r="AD233" s="313">
        <v>1</v>
      </c>
      <c r="AE233" s="313">
        <v>1</v>
      </c>
      <c r="AF233" s="313">
        <v>1</v>
      </c>
      <c r="AG233" s="313">
        <v>1</v>
      </c>
      <c r="AH233" s="313">
        <v>1</v>
      </c>
      <c r="AI233" s="313">
        <v>1</v>
      </c>
      <c r="AJ233" s="313">
        <v>1</v>
      </c>
      <c r="AK233" s="313">
        <v>1</v>
      </c>
      <c r="AL233" s="313">
        <v>1</v>
      </c>
      <c r="AM233" s="313">
        <v>1</v>
      </c>
      <c r="AN233" s="313">
        <v>1</v>
      </c>
      <c r="AO233" s="313">
        <v>1</v>
      </c>
      <c r="AP233" s="313">
        <v>1</v>
      </c>
      <c r="AQ233" s="313">
        <v>1</v>
      </c>
      <c r="AR233" s="313">
        <v>1</v>
      </c>
      <c r="AS233" s="313">
        <v>1</v>
      </c>
      <c r="AT233" s="313">
        <v>1</v>
      </c>
      <c r="AU233" s="313">
        <v>1</v>
      </c>
      <c r="AV233" s="313">
        <v>1</v>
      </c>
      <c r="AW233" s="313">
        <v>1</v>
      </c>
      <c r="AX233" s="313">
        <v>1</v>
      </c>
      <c r="AY233" s="313">
        <v>1</v>
      </c>
      <c r="AZ233" s="313">
        <v>1</v>
      </c>
      <c r="BA233" s="313">
        <v>0</v>
      </c>
      <c r="BB233" s="313">
        <v>0</v>
      </c>
      <c r="BC233" s="313">
        <v>1</v>
      </c>
      <c r="BD233" s="313">
        <v>1</v>
      </c>
      <c r="BE233" s="313">
        <v>1</v>
      </c>
      <c r="BF233" s="313">
        <v>1</v>
      </c>
      <c r="BG233" s="313">
        <v>1</v>
      </c>
      <c r="BH233" s="313">
        <v>1</v>
      </c>
      <c r="BI233" s="313">
        <v>1</v>
      </c>
      <c r="BJ233" s="313">
        <v>1</v>
      </c>
      <c r="BK233" s="313">
        <v>1</v>
      </c>
    </row>
    <row r="234" spans="1:63" x14ac:dyDescent="0.25">
      <c r="A234" s="306">
        <v>334290</v>
      </c>
      <c r="B234" s="313" t="s">
        <v>213</v>
      </c>
      <c r="C234" s="313">
        <v>1</v>
      </c>
      <c r="D234" s="313">
        <v>1</v>
      </c>
      <c r="E234" s="313">
        <v>1</v>
      </c>
      <c r="F234" s="313">
        <v>0</v>
      </c>
      <c r="G234" s="313">
        <v>1</v>
      </c>
      <c r="H234" s="313">
        <v>1</v>
      </c>
      <c r="I234" s="313">
        <v>1</v>
      </c>
      <c r="J234" s="313">
        <v>1</v>
      </c>
      <c r="K234" s="313">
        <v>0</v>
      </c>
      <c r="L234" s="313">
        <v>0</v>
      </c>
      <c r="M234" s="313">
        <v>1</v>
      </c>
      <c r="N234" s="313">
        <v>1</v>
      </c>
      <c r="O234" s="313">
        <v>0</v>
      </c>
      <c r="P234" s="313">
        <v>1</v>
      </c>
      <c r="Q234" s="313">
        <v>1</v>
      </c>
      <c r="R234" s="313">
        <v>1</v>
      </c>
      <c r="S234" s="313">
        <v>1</v>
      </c>
      <c r="T234" s="313">
        <v>1</v>
      </c>
      <c r="U234" s="313">
        <v>1</v>
      </c>
      <c r="V234" s="313">
        <v>1</v>
      </c>
      <c r="W234" s="313">
        <v>1</v>
      </c>
      <c r="X234" s="313">
        <v>1</v>
      </c>
      <c r="Y234" s="313">
        <v>1</v>
      </c>
      <c r="Z234" s="313">
        <v>1</v>
      </c>
      <c r="AA234" s="313">
        <v>1</v>
      </c>
      <c r="AB234" s="313">
        <v>1</v>
      </c>
      <c r="AC234" s="313">
        <v>1</v>
      </c>
      <c r="AD234" s="313">
        <v>1</v>
      </c>
      <c r="AE234" s="313">
        <v>1</v>
      </c>
      <c r="AF234" s="313">
        <v>0</v>
      </c>
      <c r="AG234" s="313">
        <v>1</v>
      </c>
      <c r="AH234" s="313">
        <v>1</v>
      </c>
      <c r="AI234" s="313">
        <v>1</v>
      </c>
      <c r="AJ234" s="313">
        <v>1</v>
      </c>
      <c r="AK234" s="313">
        <v>1</v>
      </c>
      <c r="AL234" s="313">
        <v>1</v>
      </c>
      <c r="AM234" s="313">
        <v>1</v>
      </c>
      <c r="AN234" s="313">
        <v>1</v>
      </c>
      <c r="AO234" s="313">
        <v>1</v>
      </c>
      <c r="AP234" s="313">
        <v>1</v>
      </c>
      <c r="AQ234" s="313">
        <v>1</v>
      </c>
      <c r="AR234" s="313">
        <v>1</v>
      </c>
      <c r="AS234" s="313">
        <v>1</v>
      </c>
      <c r="AT234" s="313">
        <v>1</v>
      </c>
      <c r="AU234" s="313">
        <v>1</v>
      </c>
      <c r="AV234" s="313">
        <v>1</v>
      </c>
      <c r="AW234" s="313">
        <v>1</v>
      </c>
      <c r="AX234" s="313">
        <v>0</v>
      </c>
      <c r="AY234" s="313">
        <v>1</v>
      </c>
      <c r="AZ234" s="313">
        <v>1</v>
      </c>
      <c r="BA234" s="313">
        <v>0</v>
      </c>
      <c r="BB234" s="313">
        <v>0</v>
      </c>
      <c r="BC234" s="313">
        <v>1</v>
      </c>
      <c r="BD234" s="313">
        <v>1</v>
      </c>
      <c r="BE234" s="313">
        <v>1</v>
      </c>
      <c r="BF234" s="313">
        <v>1</v>
      </c>
      <c r="BG234" s="313">
        <v>1</v>
      </c>
      <c r="BH234" s="313">
        <v>1</v>
      </c>
      <c r="BI234" s="313">
        <v>1</v>
      </c>
      <c r="BJ234" s="313">
        <v>1</v>
      </c>
      <c r="BK234" s="313">
        <v>1</v>
      </c>
    </row>
    <row r="235" spans="1:63" x14ac:dyDescent="0.25">
      <c r="A235" s="306">
        <v>334300</v>
      </c>
      <c r="B235" s="313" t="s">
        <v>214</v>
      </c>
      <c r="C235" s="313">
        <v>1</v>
      </c>
      <c r="D235" s="313">
        <v>0</v>
      </c>
      <c r="E235" s="313">
        <v>1</v>
      </c>
      <c r="F235" s="313">
        <v>1</v>
      </c>
      <c r="G235" s="313">
        <v>1</v>
      </c>
      <c r="H235" s="313">
        <v>1</v>
      </c>
      <c r="I235" s="313">
        <v>1</v>
      </c>
      <c r="J235" s="313">
        <v>1</v>
      </c>
      <c r="K235" s="313">
        <v>1</v>
      </c>
      <c r="L235" s="313">
        <v>1</v>
      </c>
      <c r="M235" s="313">
        <v>1</v>
      </c>
      <c r="N235" s="313">
        <v>1</v>
      </c>
      <c r="O235" s="313">
        <v>0</v>
      </c>
      <c r="P235" s="313">
        <v>1</v>
      </c>
      <c r="Q235" s="313">
        <v>1</v>
      </c>
      <c r="R235" s="313">
        <v>1</v>
      </c>
      <c r="S235" s="313">
        <v>1</v>
      </c>
      <c r="T235" s="313">
        <v>1</v>
      </c>
      <c r="U235" s="313">
        <v>1</v>
      </c>
      <c r="V235" s="313">
        <v>1</v>
      </c>
      <c r="W235" s="313">
        <v>1</v>
      </c>
      <c r="X235" s="313">
        <v>1</v>
      </c>
      <c r="Y235" s="313">
        <v>1</v>
      </c>
      <c r="Z235" s="313">
        <v>1</v>
      </c>
      <c r="AA235" s="313">
        <v>1</v>
      </c>
      <c r="AB235" s="313">
        <v>1</v>
      </c>
      <c r="AC235" s="313">
        <v>1</v>
      </c>
      <c r="AD235" s="313">
        <v>0</v>
      </c>
      <c r="AE235" s="313">
        <v>1</v>
      </c>
      <c r="AF235" s="313">
        <v>1</v>
      </c>
      <c r="AG235" s="313">
        <v>1</v>
      </c>
      <c r="AH235" s="313">
        <v>1</v>
      </c>
      <c r="AI235" s="313">
        <v>1</v>
      </c>
      <c r="AJ235" s="313">
        <v>1</v>
      </c>
      <c r="AK235" s="313">
        <v>1</v>
      </c>
      <c r="AL235" s="313">
        <v>1</v>
      </c>
      <c r="AM235" s="313">
        <v>1</v>
      </c>
      <c r="AN235" s="313">
        <v>1</v>
      </c>
      <c r="AO235" s="313">
        <v>1</v>
      </c>
      <c r="AP235" s="313">
        <v>1</v>
      </c>
      <c r="AQ235" s="313">
        <v>1</v>
      </c>
      <c r="AR235" s="313">
        <v>1</v>
      </c>
      <c r="AS235" s="313">
        <v>0</v>
      </c>
      <c r="AT235" s="313">
        <v>1</v>
      </c>
      <c r="AU235" s="313">
        <v>1</v>
      </c>
      <c r="AV235" s="313">
        <v>1</v>
      </c>
      <c r="AW235" s="313">
        <v>1</v>
      </c>
      <c r="AX235" s="313">
        <v>1</v>
      </c>
      <c r="AY235" s="313">
        <v>1</v>
      </c>
      <c r="AZ235" s="313">
        <v>1</v>
      </c>
      <c r="BA235" s="313">
        <v>1</v>
      </c>
      <c r="BB235" s="313">
        <v>1</v>
      </c>
      <c r="BC235" s="313">
        <v>1</v>
      </c>
      <c r="BD235" s="313">
        <v>1</v>
      </c>
      <c r="BE235" s="313">
        <v>1</v>
      </c>
      <c r="BF235" s="313">
        <v>1</v>
      </c>
      <c r="BG235" s="313">
        <v>1</v>
      </c>
      <c r="BH235" s="313">
        <v>1</v>
      </c>
      <c r="BI235" s="313">
        <v>1</v>
      </c>
      <c r="BJ235" s="313">
        <v>1</v>
      </c>
      <c r="BK235" s="313">
        <v>1</v>
      </c>
    </row>
    <row r="236" spans="1:63" x14ac:dyDescent="0.25">
      <c r="A236" s="306">
        <v>334411</v>
      </c>
      <c r="B236" s="313" t="s">
        <v>215</v>
      </c>
      <c r="C236" s="313">
        <v>1</v>
      </c>
      <c r="D236" s="313">
        <v>0</v>
      </c>
      <c r="E236" s="313">
        <v>0</v>
      </c>
      <c r="F236" s="313">
        <v>0</v>
      </c>
      <c r="G236" s="313">
        <v>0</v>
      </c>
      <c r="H236" s="313">
        <v>1</v>
      </c>
      <c r="I236" s="313">
        <v>1</v>
      </c>
      <c r="J236" s="313">
        <v>0</v>
      </c>
      <c r="K236" s="313">
        <v>0</v>
      </c>
      <c r="L236" s="313">
        <v>0</v>
      </c>
      <c r="M236" s="313">
        <v>1</v>
      </c>
      <c r="N236" s="313">
        <v>0</v>
      </c>
      <c r="O236" s="313">
        <v>0</v>
      </c>
      <c r="P236" s="313">
        <v>0</v>
      </c>
      <c r="Q236" s="313">
        <v>0</v>
      </c>
      <c r="R236" s="313">
        <v>1</v>
      </c>
      <c r="S236" s="313">
        <v>0</v>
      </c>
      <c r="T236" s="313">
        <v>0</v>
      </c>
      <c r="U236" s="313">
        <v>1</v>
      </c>
      <c r="V236" s="313">
        <v>1</v>
      </c>
      <c r="W236" s="313">
        <v>1</v>
      </c>
      <c r="X236" s="313">
        <v>1</v>
      </c>
      <c r="Y236" s="313">
        <v>0</v>
      </c>
      <c r="Z236" s="313">
        <v>1</v>
      </c>
      <c r="AA236" s="313">
        <v>0</v>
      </c>
      <c r="AB236" s="313">
        <v>1</v>
      </c>
      <c r="AC236" s="313">
        <v>1</v>
      </c>
      <c r="AD236" s="313">
        <v>0</v>
      </c>
      <c r="AE236" s="313">
        <v>0</v>
      </c>
      <c r="AF236" s="313">
        <v>0</v>
      </c>
      <c r="AG236" s="313">
        <v>0</v>
      </c>
      <c r="AH236" s="313">
        <v>0</v>
      </c>
      <c r="AI236" s="313">
        <v>1</v>
      </c>
      <c r="AJ236" s="313">
        <v>0</v>
      </c>
      <c r="AK236" s="313">
        <v>0</v>
      </c>
      <c r="AL236" s="313">
        <v>1</v>
      </c>
      <c r="AM236" s="313">
        <v>1</v>
      </c>
      <c r="AN236" s="313">
        <v>0</v>
      </c>
      <c r="AO236" s="313">
        <v>0</v>
      </c>
      <c r="AP236" s="313">
        <v>1</v>
      </c>
      <c r="AQ236" s="313">
        <v>0</v>
      </c>
      <c r="AR236" s="313">
        <v>1</v>
      </c>
      <c r="AS236" s="313">
        <v>0</v>
      </c>
      <c r="AT236" s="313">
        <v>0</v>
      </c>
      <c r="AU236" s="313">
        <v>1</v>
      </c>
      <c r="AV236" s="313">
        <v>0</v>
      </c>
      <c r="AW236" s="313">
        <v>0</v>
      </c>
      <c r="AX236" s="313">
        <v>0</v>
      </c>
      <c r="AY236" s="313">
        <v>0</v>
      </c>
      <c r="AZ236" s="313">
        <v>1</v>
      </c>
      <c r="BA236" s="313">
        <v>0</v>
      </c>
      <c r="BB236" s="313">
        <v>0</v>
      </c>
      <c r="BC236" s="313">
        <v>1</v>
      </c>
      <c r="BD236" s="313">
        <v>1</v>
      </c>
      <c r="BE236" s="313">
        <v>1</v>
      </c>
      <c r="BF236" s="313">
        <v>1</v>
      </c>
      <c r="BG236" s="313">
        <v>1</v>
      </c>
      <c r="BH236" s="313">
        <v>1</v>
      </c>
      <c r="BI236" s="313">
        <v>1</v>
      </c>
      <c r="BJ236" s="313">
        <v>1</v>
      </c>
      <c r="BK236" s="313">
        <v>1</v>
      </c>
    </row>
    <row r="237" spans="1:63" x14ac:dyDescent="0.25">
      <c r="A237" s="306">
        <v>334412</v>
      </c>
      <c r="B237" s="313" t="s">
        <v>216</v>
      </c>
      <c r="C237" s="313">
        <v>1</v>
      </c>
      <c r="D237" s="313">
        <v>0</v>
      </c>
      <c r="E237" s="313">
        <v>1</v>
      </c>
      <c r="F237" s="313">
        <v>1</v>
      </c>
      <c r="G237" s="313">
        <v>1</v>
      </c>
      <c r="H237" s="313">
        <v>1</v>
      </c>
      <c r="I237" s="313">
        <v>1</v>
      </c>
      <c r="J237" s="313">
        <v>1</v>
      </c>
      <c r="K237" s="313">
        <v>0</v>
      </c>
      <c r="L237" s="313">
        <v>0</v>
      </c>
      <c r="M237" s="313">
        <v>1</v>
      </c>
      <c r="N237" s="313">
        <v>1</v>
      </c>
      <c r="O237" s="313">
        <v>0</v>
      </c>
      <c r="P237" s="313">
        <v>1</v>
      </c>
      <c r="Q237" s="313">
        <v>1</v>
      </c>
      <c r="R237" s="313">
        <v>1</v>
      </c>
      <c r="S237" s="313">
        <v>1</v>
      </c>
      <c r="T237" s="313">
        <v>1</v>
      </c>
      <c r="U237" s="313">
        <v>1</v>
      </c>
      <c r="V237" s="313">
        <v>1</v>
      </c>
      <c r="W237" s="313">
        <v>1</v>
      </c>
      <c r="X237" s="313">
        <v>1</v>
      </c>
      <c r="Y237" s="313">
        <v>1</v>
      </c>
      <c r="Z237" s="313">
        <v>1</v>
      </c>
      <c r="AA237" s="313">
        <v>1</v>
      </c>
      <c r="AB237" s="313">
        <v>1</v>
      </c>
      <c r="AC237" s="313">
        <v>1</v>
      </c>
      <c r="AD237" s="313">
        <v>0</v>
      </c>
      <c r="AE237" s="313">
        <v>1</v>
      </c>
      <c r="AF237" s="313">
        <v>1</v>
      </c>
      <c r="AG237" s="313">
        <v>1</v>
      </c>
      <c r="AH237" s="313">
        <v>1</v>
      </c>
      <c r="AI237" s="313">
        <v>1</v>
      </c>
      <c r="AJ237" s="313">
        <v>1</v>
      </c>
      <c r="AK237" s="313">
        <v>1</v>
      </c>
      <c r="AL237" s="313">
        <v>1</v>
      </c>
      <c r="AM237" s="313">
        <v>1</v>
      </c>
      <c r="AN237" s="313">
        <v>1</v>
      </c>
      <c r="AO237" s="313">
        <v>1</v>
      </c>
      <c r="AP237" s="313">
        <v>1</v>
      </c>
      <c r="AQ237" s="313">
        <v>1</v>
      </c>
      <c r="AR237" s="313">
        <v>1</v>
      </c>
      <c r="AS237" s="313">
        <v>1</v>
      </c>
      <c r="AT237" s="313">
        <v>1</v>
      </c>
      <c r="AU237" s="313">
        <v>1</v>
      </c>
      <c r="AV237" s="313">
        <v>1</v>
      </c>
      <c r="AW237" s="313">
        <v>1</v>
      </c>
      <c r="AX237" s="313">
        <v>1</v>
      </c>
      <c r="AY237" s="313">
        <v>1</v>
      </c>
      <c r="AZ237" s="313">
        <v>1</v>
      </c>
      <c r="BA237" s="313">
        <v>0</v>
      </c>
      <c r="BB237" s="313">
        <v>0</v>
      </c>
      <c r="BC237" s="313">
        <v>1</v>
      </c>
      <c r="BD237" s="313">
        <v>1</v>
      </c>
      <c r="BE237" s="313">
        <v>1</v>
      </c>
      <c r="BF237" s="313">
        <v>1</v>
      </c>
      <c r="BG237" s="313">
        <v>1</v>
      </c>
      <c r="BH237" s="313">
        <v>1</v>
      </c>
      <c r="BI237" s="313">
        <v>1</v>
      </c>
      <c r="BJ237" s="313">
        <v>1</v>
      </c>
      <c r="BK237" s="313">
        <v>1</v>
      </c>
    </row>
    <row r="238" spans="1:63" x14ac:dyDescent="0.25">
      <c r="A238" s="306">
        <v>334413</v>
      </c>
      <c r="B238" s="313" t="s">
        <v>217</v>
      </c>
      <c r="C238" s="313">
        <v>1</v>
      </c>
      <c r="D238" s="313">
        <v>0</v>
      </c>
      <c r="E238" s="313">
        <v>1</v>
      </c>
      <c r="F238" s="313">
        <v>1</v>
      </c>
      <c r="G238" s="313">
        <v>1</v>
      </c>
      <c r="H238" s="313">
        <v>1</v>
      </c>
      <c r="I238" s="313">
        <v>1</v>
      </c>
      <c r="J238" s="313">
        <v>1</v>
      </c>
      <c r="K238" s="313">
        <v>1</v>
      </c>
      <c r="L238" s="313">
        <v>1</v>
      </c>
      <c r="M238" s="313">
        <v>1</v>
      </c>
      <c r="N238" s="313">
        <v>1</v>
      </c>
      <c r="O238" s="313">
        <v>1</v>
      </c>
      <c r="P238" s="313">
        <v>1</v>
      </c>
      <c r="Q238" s="313">
        <v>1</v>
      </c>
      <c r="R238" s="313">
        <v>1</v>
      </c>
      <c r="S238" s="313">
        <v>1</v>
      </c>
      <c r="T238" s="313">
        <v>1</v>
      </c>
      <c r="U238" s="313">
        <v>1</v>
      </c>
      <c r="V238" s="313">
        <v>0</v>
      </c>
      <c r="W238" s="313">
        <v>1</v>
      </c>
      <c r="X238" s="313">
        <v>1</v>
      </c>
      <c r="Y238" s="313">
        <v>1</v>
      </c>
      <c r="Z238" s="313">
        <v>1</v>
      </c>
      <c r="AA238" s="313">
        <v>1</v>
      </c>
      <c r="AB238" s="313">
        <v>1</v>
      </c>
      <c r="AC238" s="313">
        <v>1</v>
      </c>
      <c r="AD238" s="313">
        <v>1</v>
      </c>
      <c r="AE238" s="313">
        <v>1</v>
      </c>
      <c r="AF238" s="313">
        <v>0</v>
      </c>
      <c r="AG238" s="313">
        <v>1</v>
      </c>
      <c r="AH238" s="313">
        <v>1</v>
      </c>
      <c r="AI238" s="313">
        <v>1</v>
      </c>
      <c r="AJ238" s="313">
        <v>1</v>
      </c>
      <c r="AK238" s="313">
        <v>1</v>
      </c>
      <c r="AL238" s="313">
        <v>1</v>
      </c>
      <c r="AM238" s="313">
        <v>1</v>
      </c>
      <c r="AN238" s="313">
        <v>1</v>
      </c>
      <c r="AO238" s="313">
        <v>1</v>
      </c>
      <c r="AP238" s="313">
        <v>1</v>
      </c>
      <c r="AQ238" s="313">
        <v>1</v>
      </c>
      <c r="AR238" s="313">
        <v>1</v>
      </c>
      <c r="AS238" s="313">
        <v>1</v>
      </c>
      <c r="AT238" s="313">
        <v>1</v>
      </c>
      <c r="AU238" s="313">
        <v>1</v>
      </c>
      <c r="AV238" s="313">
        <v>1</v>
      </c>
      <c r="AW238" s="313">
        <v>1</v>
      </c>
      <c r="AX238" s="313">
        <v>1</v>
      </c>
      <c r="AY238" s="313">
        <v>1</v>
      </c>
      <c r="AZ238" s="313">
        <v>1</v>
      </c>
      <c r="BA238" s="313">
        <v>1</v>
      </c>
      <c r="BB238" s="313">
        <v>0</v>
      </c>
      <c r="BC238" s="313">
        <v>1</v>
      </c>
      <c r="BD238" s="313">
        <v>1</v>
      </c>
      <c r="BE238" s="313">
        <v>1</v>
      </c>
      <c r="BF238" s="313">
        <v>1</v>
      </c>
      <c r="BG238" s="313">
        <v>1</v>
      </c>
      <c r="BH238" s="313">
        <v>1</v>
      </c>
      <c r="BI238" s="313">
        <v>1</v>
      </c>
      <c r="BJ238" s="313">
        <v>1</v>
      </c>
      <c r="BK238" s="313">
        <v>1</v>
      </c>
    </row>
    <row r="239" spans="1:63" x14ac:dyDescent="0.25">
      <c r="A239" s="306">
        <v>334417</v>
      </c>
      <c r="B239" s="313" t="s">
        <v>219</v>
      </c>
      <c r="C239" s="313">
        <v>1</v>
      </c>
      <c r="D239" s="313">
        <v>0</v>
      </c>
      <c r="E239" s="313">
        <v>1</v>
      </c>
      <c r="F239" s="313">
        <v>1</v>
      </c>
      <c r="G239" s="313">
        <v>1</v>
      </c>
      <c r="H239" s="313">
        <v>1</v>
      </c>
      <c r="I239" s="313">
        <v>1</v>
      </c>
      <c r="J239" s="313">
        <v>1</v>
      </c>
      <c r="K239" s="313">
        <v>0</v>
      </c>
      <c r="L239" s="313">
        <v>1</v>
      </c>
      <c r="M239" s="313">
        <v>1</v>
      </c>
      <c r="N239" s="313">
        <v>1</v>
      </c>
      <c r="O239" s="313">
        <v>0</v>
      </c>
      <c r="P239" s="313">
        <v>1</v>
      </c>
      <c r="Q239" s="313">
        <v>0</v>
      </c>
      <c r="R239" s="313">
        <v>1</v>
      </c>
      <c r="S239" s="313">
        <v>1</v>
      </c>
      <c r="T239" s="313">
        <v>1</v>
      </c>
      <c r="U239" s="313">
        <v>0</v>
      </c>
      <c r="V239" s="313">
        <v>0</v>
      </c>
      <c r="W239" s="313">
        <v>1</v>
      </c>
      <c r="X239" s="313">
        <v>1</v>
      </c>
      <c r="Y239" s="313">
        <v>1</v>
      </c>
      <c r="Z239" s="313">
        <v>1</v>
      </c>
      <c r="AA239" s="313">
        <v>1</v>
      </c>
      <c r="AB239" s="313">
        <v>1</v>
      </c>
      <c r="AC239" s="313">
        <v>1</v>
      </c>
      <c r="AD239" s="313">
        <v>0</v>
      </c>
      <c r="AE239" s="313">
        <v>1</v>
      </c>
      <c r="AF239" s="313">
        <v>0</v>
      </c>
      <c r="AG239" s="313">
        <v>1</v>
      </c>
      <c r="AH239" s="313">
        <v>1</v>
      </c>
      <c r="AI239" s="313">
        <v>1</v>
      </c>
      <c r="AJ239" s="313">
        <v>0</v>
      </c>
      <c r="AK239" s="313">
        <v>1</v>
      </c>
      <c r="AL239" s="313">
        <v>1</v>
      </c>
      <c r="AM239" s="313">
        <v>1</v>
      </c>
      <c r="AN239" s="313">
        <v>1</v>
      </c>
      <c r="AO239" s="313">
        <v>1</v>
      </c>
      <c r="AP239" s="313">
        <v>1</v>
      </c>
      <c r="AQ239" s="313">
        <v>1</v>
      </c>
      <c r="AR239" s="313">
        <v>1</v>
      </c>
      <c r="AS239" s="313">
        <v>0</v>
      </c>
      <c r="AT239" s="313">
        <v>1</v>
      </c>
      <c r="AU239" s="313">
        <v>1</v>
      </c>
      <c r="AV239" s="313">
        <v>1</v>
      </c>
      <c r="AW239" s="313">
        <v>1</v>
      </c>
      <c r="AX239" s="313">
        <v>0</v>
      </c>
      <c r="AY239" s="313">
        <v>1</v>
      </c>
      <c r="AZ239" s="313">
        <v>0</v>
      </c>
      <c r="BA239" s="313">
        <v>0</v>
      </c>
      <c r="BB239" s="313">
        <v>0</v>
      </c>
      <c r="BC239" s="313">
        <v>1</v>
      </c>
      <c r="BD239" s="313">
        <v>1</v>
      </c>
      <c r="BE239" s="313">
        <v>1</v>
      </c>
      <c r="BF239" s="313">
        <v>1</v>
      </c>
      <c r="BG239" s="313">
        <v>1</v>
      </c>
      <c r="BH239" s="313">
        <v>1</v>
      </c>
      <c r="BI239" s="313">
        <v>1</v>
      </c>
      <c r="BJ239" s="313">
        <v>1</v>
      </c>
      <c r="BK239" s="313">
        <v>1</v>
      </c>
    </row>
    <row r="240" spans="1:63" x14ac:dyDescent="0.25">
      <c r="A240" s="306">
        <v>334418</v>
      </c>
      <c r="B240" s="313" t="s">
        <v>220</v>
      </c>
      <c r="C240" s="313">
        <v>1</v>
      </c>
      <c r="D240" s="313">
        <v>0</v>
      </c>
      <c r="E240" s="313">
        <v>1</v>
      </c>
      <c r="F240" s="313">
        <v>1</v>
      </c>
      <c r="G240" s="313">
        <v>1</v>
      </c>
      <c r="H240" s="313">
        <v>1</v>
      </c>
      <c r="I240" s="313">
        <v>1</v>
      </c>
      <c r="J240" s="313">
        <v>1</v>
      </c>
      <c r="K240" s="313">
        <v>0</v>
      </c>
      <c r="L240" s="313">
        <v>0</v>
      </c>
      <c r="M240" s="313">
        <v>1</v>
      </c>
      <c r="N240" s="313">
        <v>1</v>
      </c>
      <c r="O240" s="313">
        <v>0</v>
      </c>
      <c r="P240" s="313">
        <v>1</v>
      </c>
      <c r="Q240" s="313">
        <v>1</v>
      </c>
      <c r="R240" s="313">
        <v>1</v>
      </c>
      <c r="S240" s="313">
        <v>1</v>
      </c>
      <c r="T240" s="313">
        <v>1</v>
      </c>
      <c r="U240" s="313">
        <v>1</v>
      </c>
      <c r="V240" s="313">
        <v>1</v>
      </c>
      <c r="W240" s="313">
        <v>1</v>
      </c>
      <c r="X240" s="313">
        <v>1</v>
      </c>
      <c r="Y240" s="313">
        <v>1</v>
      </c>
      <c r="Z240" s="313">
        <v>1</v>
      </c>
      <c r="AA240" s="313">
        <v>1</v>
      </c>
      <c r="AB240" s="313">
        <v>1</v>
      </c>
      <c r="AC240" s="313">
        <v>1</v>
      </c>
      <c r="AD240" s="313">
        <v>1</v>
      </c>
      <c r="AE240" s="313">
        <v>1</v>
      </c>
      <c r="AF240" s="313">
        <v>1</v>
      </c>
      <c r="AG240" s="313">
        <v>1</v>
      </c>
      <c r="AH240" s="313">
        <v>1</v>
      </c>
      <c r="AI240" s="313">
        <v>1</v>
      </c>
      <c r="AJ240" s="313">
        <v>1</v>
      </c>
      <c r="AK240" s="313">
        <v>1</v>
      </c>
      <c r="AL240" s="313">
        <v>1</v>
      </c>
      <c r="AM240" s="313">
        <v>1</v>
      </c>
      <c r="AN240" s="313">
        <v>1</v>
      </c>
      <c r="AO240" s="313">
        <v>1</v>
      </c>
      <c r="AP240" s="313">
        <v>1</v>
      </c>
      <c r="AQ240" s="313">
        <v>1</v>
      </c>
      <c r="AR240" s="313">
        <v>1</v>
      </c>
      <c r="AS240" s="313">
        <v>1</v>
      </c>
      <c r="AT240" s="313">
        <v>1</v>
      </c>
      <c r="AU240" s="313">
        <v>1</v>
      </c>
      <c r="AV240" s="313">
        <v>1</v>
      </c>
      <c r="AW240" s="313">
        <v>1</v>
      </c>
      <c r="AX240" s="313">
        <v>1</v>
      </c>
      <c r="AY240" s="313">
        <v>1</v>
      </c>
      <c r="AZ240" s="313">
        <v>1</v>
      </c>
      <c r="BA240" s="313">
        <v>1</v>
      </c>
      <c r="BB240" s="313">
        <v>0</v>
      </c>
      <c r="BC240" s="313">
        <v>1</v>
      </c>
      <c r="BD240" s="313">
        <v>1</v>
      </c>
      <c r="BE240" s="313">
        <v>1</v>
      </c>
      <c r="BF240" s="313">
        <v>1</v>
      </c>
      <c r="BG240" s="313">
        <v>1</v>
      </c>
      <c r="BH240" s="313">
        <v>1</v>
      </c>
      <c r="BI240" s="313">
        <v>1</v>
      </c>
      <c r="BJ240" s="313">
        <v>1</v>
      </c>
      <c r="BK240" s="313">
        <v>1</v>
      </c>
    </row>
    <row r="241" spans="1:63" x14ac:dyDescent="0.25">
      <c r="A241" s="306">
        <v>334419</v>
      </c>
      <c r="B241" s="313" t="s">
        <v>221</v>
      </c>
      <c r="C241" s="313">
        <v>1</v>
      </c>
      <c r="D241" s="313">
        <v>0</v>
      </c>
      <c r="E241" s="313">
        <v>1</v>
      </c>
      <c r="F241" s="313">
        <v>1</v>
      </c>
      <c r="G241" s="313">
        <v>1</v>
      </c>
      <c r="H241" s="313">
        <v>1</v>
      </c>
      <c r="I241" s="313">
        <v>1</v>
      </c>
      <c r="J241" s="313">
        <v>1</v>
      </c>
      <c r="K241" s="313">
        <v>0</v>
      </c>
      <c r="L241" s="313">
        <v>1</v>
      </c>
      <c r="M241" s="313">
        <v>1</v>
      </c>
      <c r="N241" s="313">
        <v>1</v>
      </c>
      <c r="O241" s="313">
        <v>0</v>
      </c>
      <c r="P241" s="313">
        <v>1</v>
      </c>
      <c r="Q241" s="313">
        <v>1</v>
      </c>
      <c r="R241" s="313">
        <v>1</v>
      </c>
      <c r="S241" s="313">
        <v>1</v>
      </c>
      <c r="T241" s="313">
        <v>1</v>
      </c>
      <c r="U241" s="313">
        <v>1</v>
      </c>
      <c r="V241" s="313">
        <v>1</v>
      </c>
      <c r="W241" s="313">
        <v>1</v>
      </c>
      <c r="X241" s="313">
        <v>1</v>
      </c>
      <c r="Y241" s="313">
        <v>1</v>
      </c>
      <c r="Z241" s="313">
        <v>1</v>
      </c>
      <c r="AA241" s="313">
        <v>1</v>
      </c>
      <c r="AB241" s="313">
        <v>1</v>
      </c>
      <c r="AC241" s="313">
        <v>1</v>
      </c>
      <c r="AD241" s="313">
        <v>1</v>
      </c>
      <c r="AE241" s="313">
        <v>1</v>
      </c>
      <c r="AF241" s="313">
        <v>1</v>
      </c>
      <c r="AG241" s="313">
        <v>1</v>
      </c>
      <c r="AH241" s="313">
        <v>1</v>
      </c>
      <c r="AI241" s="313">
        <v>1</v>
      </c>
      <c r="AJ241" s="313">
        <v>1</v>
      </c>
      <c r="AK241" s="313">
        <v>1</v>
      </c>
      <c r="AL241" s="313">
        <v>1</v>
      </c>
      <c r="AM241" s="313">
        <v>1</v>
      </c>
      <c r="AN241" s="313">
        <v>1</v>
      </c>
      <c r="AO241" s="313">
        <v>1</v>
      </c>
      <c r="AP241" s="313">
        <v>1</v>
      </c>
      <c r="AQ241" s="313">
        <v>1</v>
      </c>
      <c r="AR241" s="313">
        <v>1</v>
      </c>
      <c r="AS241" s="313">
        <v>1</v>
      </c>
      <c r="AT241" s="313">
        <v>1</v>
      </c>
      <c r="AU241" s="313">
        <v>1</v>
      </c>
      <c r="AV241" s="313">
        <v>1</v>
      </c>
      <c r="AW241" s="313">
        <v>1</v>
      </c>
      <c r="AX241" s="313">
        <v>1</v>
      </c>
      <c r="AY241" s="313">
        <v>1</v>
      </c>
      <c r="AZ241" s="313">
        <v>1</v>
      </c>
      <c r="BA241" s="313">
        <v>1</v>
      </c>
      <c r="BB241" s="313">
        <v>0</v>
      </c>
      <c r="BC241" s="313">
        <v>1</v>
      </c>
      <c r="BD241" s="313">
        <v>1</v>
      </c>
      <c r="BE241" s="313">
        <v>1</v>
      </c>
      <c r="BF241" s="313">
        <v>1</v>
      </c>
      <c r="BG241" s="313">
        <v>1</v>
      </c>
      <c r="BH241" s="313">
        <v>1</v>
      </c>
      <c r="BI241" s="313">
        <v>1</v>
      </c>
      <c r="BJ241" s="313">
        <v>1</v>
      </c>
      <c r="BK241" s="313">
        <v>1</v>
      </c>
    </row>
    <row r="242" spans="1:63" x14ac:dyDescent="0.25">
      <c r="A242" s="306" t="s">
        <v>739</v>
      </c>
      <c r="B242" s="313" t="s">
        <v>218</v>
      </c>
      <c r="C242" s="313">
        <v>1</v>
      </c>
      <c r="D242" s="313">
        <v>0</v>
      </c>
      <c r="E242" s="313">
        <v>1</v>
      </c>
      <c r="F242" s="313">
        <v>1</v>
      </c>
      <c r="G242" s="313">
        <v>1</v>
      </c>
      <c r="H242" s="313">
        <v>1</v>
      </c>
      <c r="I242" s="313">
        <v>1</v>
      </c>
      <c r="J242" s="313">
        <v>1</v>
      </c>
      <c r="K242" s="313">
        <v>0</v>
      </c>
      <c r="L242" s="313">
        <v>0</v>
      </c>
      <c r="M242" s="313">
        <v>1</v>
      </c>
      <c r="N242" s="313">
        <v>1</v>
      </c>
      <c r="O242" s="313">
        <v>0</v>
      </c>
      <c r="P242" s="313">
        <v>1</v>
      </c>
      <c r="Q242" s="313">
        <v>0</v>
      </c>
      <c r="R242" s="313">
        <v>1</v>
      </c>
      <c r="S242" s="313">
        <v>1</v>
      </c>
      <c r="T242" s="313">
        <v>1</v>
      </c>
      <c r="U242" s="313">
        <v>1</v>
      </c>
      <c r="V242" s="313">
        <v>1</v>
      </c>
      <c r="W242" s="313">
        <v>1</v>
      </c>
      <c r="X242" s="313">
        <v>1</v>
      </c>
      <c r="Y242" s="313">
        <v>1</v>
      </c>
      <c r="Z242" s="313">
        <v>1</v>
      </c>
      <c r="AA242" s="313">
        <v>1</v>
      </c>
      <c r="AB242" s="313">
        <v>1</v>
      </c>
      <c r="AC242" s="313">
        <v>1</v>
      </c>
      <c r="AD242" s="313">
        <v>0</v>
      </c>
      <c r="AE242" s="313">
        <v>1</v>
      </c>
      <c r="AF242" s="313">
        <v>0</v>
      </c>
      <c r="AG242" s="313">
        <v>1</v>
      </c>
      <c r="AH242" s="313">
        <v>1</v>
      </c>
      <c r="AI242" s="313">
        <v>1</v>
      </c>
      <c r="AJ242" s="313">
        <v>1</v>
      </c>
      <c r="AK242" s="313">
        <v>1</v>
      </c>
      <c r="AL242" s="313">
        <v>1</v>
      </c>
      <c r="AM242" s="313">
        <v>1</v>
      </c>
      <c r="AN242" s="313">
        <v>0</v>
      </c>
      <c r="AO242" s="313">
        <v>1</v>
      </c>
      <c r="AP242" s="313">
        <v>1</v>
      </c>
      <c r="AQ242" s="313">
        <v>1</v>
      </c>
      <c r="AR242" s="313">
        <v>1</v>
      </c>
      <c r="AS242" s="313">
        <v>1</v>
      </c>
      <c r="AT242" s="313">
        <v>1</v>
      </c>
      <c r="AU242" s="313">
        <v>1</v>
      </c>
      <c r="AV242" s="313">
        <v>1</v>
      </c>
      <c r="AW242" s="313">
        <v>1</v>
      </c>
      <c r="AX242" s="313">
        <v>1</v>
      </c>
      <c r="AY242" s="313">
        <v>1</v>
      </c>
      <c r="AZ242" s="313">
        <v>1</v>
      </c>
      <c r="BA242" s="313">
        <v>1</v>
      </c>
      <c r="BB242" s="313">
        <v>0</v>
      </c>
      <c r="BC242" s="313">
        <v>1</v>
      </c>
      <c r="BD242" s="313">
        <v>1</v>
      </c>
      <c r="BE242" s="313">
        <v>1</v>
      </c>
      <c r="BF242" s="313">
        <v>1</v>
      </c>
      <c r="BG242" s="313">
        <v>1</v>
      </c>
      <c r="BH242" s="313">
        <v>1</v>
      </c>
      <c r="BI242" s="313">
        <v>1</v>
      </c>
      <c r="BJ242" s="313">
        <v>1</v>
      </c>
      <c r="BK242" s="313">
        <v>1</v>
      </c>
    </row>
    <row r="243" spans="1:63" x14ac:dyDescent="0.25">
      <c r="A243" s="306">
        <v>334510</v>
      </c>
      <c r="B243" s="313" t="s">
        <v>222</v>
      </c>
      <c r="C243" s="313">
        <v>1</v>
      </c>
      <c r="D243" s="313">
        <v>0</v>
      </c>
      <c r="E243" s="313">
        <v>0</v>
      </c>
      <c r="F243" s="313">
        <v>0</v>
      </c>
      <c r="G243" s="313">
        <v>1</v>
      </c>
      <c r="H243" s="313">
        <v>1</v>
      </c>
      <c r="I243" s="313">
        <v>1</v>
      </c>
      <c r="J243" s="313">
        <v>1</v>
      </c>
      <c r="K243" s="313">
        <v>0</v>
      </c>
      <c r="L243" s="313">
        <v>1</v>
      </c>
      <c r="M243" s="313">
        <v>1</v>
      </c>
      <c r="N243" s="313">
        <v>1</v>
      </c>
      <c r="O243" s="313">
        <v>1</v>
      </c>
      <c r="P243" s="313">
        <v>1</v>
      </c>
      <c r="Q243" s="313">
        <v>1</v>
      </c>
      <c r="R243" s="313">
        <v>1</v>
      </c>
      <c r="S243" s="313">
        <v>1</v>
      </c>
      <c r="T243" s="313">
        <v>1</v>
      </c>
      <c r="U243" s="313">
        <v>1</v>
      </c>
      <c r="V243" s="313">
        <v>1</v>
      </c>
      <c r="W243" s="313">
        <v>1</v>
      </c>
      <c r="X243" s="313">
        <v>1</v>
      </c>
      <c r="Y243" s="313">
        <v>1</v>
      </c>
      <c r="Z243" s="313">
        <v>1</v>
      </c>
      <c r="AA243" s="313">
        <v>1</v>
      </c>
      <c r="AB243" s="313">
        <v>1</v>
      </c>
      <c r="AC243" s="313">
        <v>0</v>
      </c>
      <c r="AD243" s="313">
        <v>1</v>
      </c>
      <c r="AE243" s="313">
        <v>1</v>
      </c>
      <c r="AF243" s="313">
        <v>0</v>
      </c>
      <c r="AG243" s="313">
        <v>0</v>
      </c>
      <c r="AH243" s="313">
        <v>1</v>
      </c>
      <c r="AI243" s="313">
        <v>1</v>
      </c>
      <c r="AJ243" s="313">
        <v>1</v>
      </c>
      <c r="AK243" s="313">
        <v>0</v>
      </c>
      <c r="AL243" s="313">
        <v>1</v>
      </c>
      <c r="AM243" s="313">
        <v>1</v>
      </c>
      <c r="AN243" s="313">
        <v>1</v>
      </c>
      <c r="AO243" s="313">
        <v>1</v>
      </c>
      <c r="AP243" s="313">
        <v>1</v>
      </c>
      <c r="AQ243" s="313">
        <v>1</v>
      </c>
      <c r="AR243" s="313">
        <v>1</v>
      </c>
      <c r="AS243" s="313">
        <v>1</v>
      </c>
      <c r="AT243" s="313">
        <v>1</v>
      </c>
      <c r="AU243" s="313">
        <v>1</v>
      </c>
      <c r="AV243" s="313">
        <v>1</v>
      </c>
      <c r="AW243" s="313">
        <v>1</v>
      </c>
      <c r="AX243" s="313">
        <v>1</v>
      </c>
      <c r="AY243" s="313">
        <v>1</v>
      </c>
      <c r="AZ243" s="313">
        <v>1</v>
      </c>
      <c r="BA243" s="313">
        <v>0</v>
      </c>
      <c r="BB243" s="313">
        <v>0</v>
      </c>
      <c r="BC243" s="313">
        <v>1</v>
      </c>
      <c r="BD243" s="313">
        <v>1</v>
      </c>
      <c r="BE243" s="313">
        <v>1</v>
      </c>
      <c r="BF243" s="313">
        <v>1</v>
      </c>
      <c r="BG243" s="313">
        <v>1</v>
      </c>
      <c r="BH243" s="313">
        <v>1</v>
      </c>
      <c r="BI243" s="313">
        <v>1</v>
      </c>
      <c r="BJ243" s="313">
        <v>1</v>
      </c>
      <c r="BK243" s="313">
        <v>1</v>
      </c>
    </row>
    <row r="244" spans="1:63" x14ac:dyDescent="0.25">
      <c r="A244" s="306">
        <v>334511</v>
      </c>
      <c r="B244" s="313" t="s">
        <v>223</v>
      </c>
      <c r="C244" s="313">
        <v>1</v>
      </c>
      <c r="D244" s="313">
        <v>0</v>
      </c>
      <c r="E244" s="313">
        <v>1</v>
      </c>
      <c r="F244" s="313">
        <v>1</v>
      </c>
      <c r="G244" s="313">
        <v>1</v>
      </c>
      <c r="H244" s="313">
        <v>1</v>
      </c>
      <c r="I244" s="313">
        <v>1</v>
      </c>
      <c r="J244" s="313">
        <v>1</v>
      </c>
      <c r="K244" s="313">
        <v>1</v>
      </c>
      <c r="L244" s="313">
        <v>0</v>
      </c>
      <c r="M244" s="313">
        <v>1</v>
      </c>
      <c r="N244" s="313">
        <v>1</v>
      </c>
      <c r="O244" s="313">
        <v>1</v>
      </c>
      <c r="P244" s="313">
        <v>1</v>
      </c>
      <c r="Q244" s="313">
        <v>1</v>
      </c>
      <c r="R244" s="313">
        <v>1</v>
      </c>
      <c r="S244" s="313">
        <v>1</v>
      </c>
      <c r="T244" s="313">
        <v>1</v>
      </c>
      <c r="U244" s="313">
        <v>1</v>
      </c>
      <c r="V244" s="313">
        <v>1</v>
      </c>
      <c r="W244" s="313">
        <v>1</v>
      </c>
      <c r="X244" s="313">
        <v>1</v>
      </c>
      <c r="Y244" s="313">
        <v>1</v>
      </c>
      <c r="Z244" s="313">
        <v>1</v>
      </c>
      <c r="AA244" s="313">
        <v>1</v>
      </c>
      <c r="AB244" s="313">
        <v>1</v>
      </c>
      <c r="AC244" s="313">
        <v>1</v>
      </c>
      <c r="AD244" s="313">
        <v>1</v>
      </c>
      <c r="AE244" s="313">
        <v>1</v>
      </c>
      <c r="AF244" s="313">
        <v>0</v>
      </c>
      <c r="AG244" s="313">
        <v>1</v>
      </c>
      <c r="AH244" s="313">
        <v>1</v>
      </c>
      <c r="AI244" s="313">
        <v>1</v>
      </c>
      <c r="AJ244" s="313">
        <v>1</v>
      </c>
      <c r="AK244" s="313">
        <v>1</v>
      </c>
      <c r="AL244" s="313">
        <v>1</v>
      </c>
      <c r="AM244" s="313">
        <v>1</v>
      </c>
      <c r="AN244" s="313">
        <v>1</v>
      </c>
      <c r="AO244" s="313">
        <v>1</v>
      </c>
      <c r="AP244" s="313">
        <v>1</v>
      </c>
      <c r="AQ244" s="313">
        <v>1</v>
      </c>
      <c r="AR244" s="313">
        <v>1</v>
      </c>
      <c r="AS244" s="313">
        <v>1</v>
      </c>
      <c r="AT244" s="313">
        <v>1</v>
      </c>
      <c r="AU244" s="313">
        <v>1</v>
      </c>
      <c r="AV244" s="313">
        <v>1</v>
      </c>
      <c r="AW244" s="313">
        <v>1</v>
      </c>
      <c r="AX244" s="313">
        <v>1</v>
      </c>
      <c r="AY244" s="313">
        <v>1</v>
      </c>
      <c r="AZ244" s="313">
        <v>1</v>
      </c>
      <c r="BA244" s="313">
        <v>0</v>
      </c>
      <c r="BB244" s="313">
        <v>1</v>
      </c>
      <c r="BC244" s="313">
        <v>1</v>
      </c>
      <c r="BD244" s="313">
        <v>1</v>
      </c>
      <c r="BE244" s="313">
        <v>1</v>
      </c>
      <c r="BF244" s="313">
        <v>1</v>
      </c>
      <c r="BG244" s="313">
        <v>1</v>
      </c>
      <c r="BH244" s="313">
        <v>1</v>
      </c>
      <c r="BI244" s="313">
        <v>1</v>
      </c>
      <c r="BJ244" s="313">
        <v>1</v>
      </c>
      <c r="BK244" s="313">
        <v>1</v>
      </c>
    </row>
    <row r="245" spans="1:63" x14ac:dyDescent="0.25">
      <c r="A245" s="306">
        <v>334512</v>
      </c>
      <c r="B245" s="313" t="s">
        <v>224</v>
      </c>
      <c r="C245" s="313">
        <v>1</v>
      </c>
      <c r="D245" s="313">
        <v>1</v>
      </c>
      <c r="E245" s="313">
        <v>1</v>
      </c>
      <c r="F245" s="313">
        <v>1</v>
      </c>
      <c r="G245" s="313">
        <v>1</v>
      </c>
      <c r="H245" s="313">
        <v>1</v>
      </c>
      <c r="I245" s="313">
        <v>1</v>
      </c>
      <c r="J245" s="313">
        <v>1</v>
      </c>
      <c r="K245" s="313">
        <v>0</v>
      </c>
      <c r="L245" s="313">
        <v>0</v>
      </c>
      <c r="M245" s="313">
        <v>1</v>
      </c>
      <c r="N245" s="313">
        <v>1</v>
      </c>
      <c r="O245" s="313">
        <v>0</v>
      </c>
      <c r="P245" s="313">
        <v>1</v>
      </c>
      <c r="Q245" s="313">
        <v>0</v>
      </c>
      <c r="R245" s="313">
        <v>1</v>
      </c>
      <c r="S245" s="313">
        <v>1</v>
      </c>
      <c r="T245" s="313">
        <v>1</v>
      </c>
      <c r="U245" s="313">
        <v>1</v>
      </c>
      <c r="V245" s="313">
        <v>1</v>
      </c>
      <c r="W245" s="313">
        <v>1</v>
      </c>
      <c r="X245" s="313">
        <v>1</v>
      </c>
      <c r="Y245" s="313">
        <v>1</v>
      </c>
      <c r="Z245" s="313">
        <v>1</v>
      </c>
      <c r="AA245" s="313">
        <v>1</v>
      </c>
      <c r="AB245" s="313">
        <v>1</v>
      </c>
      <c r="AC245" s="313">
        <v>0</v>
      </c>
      <c r="AD245" s="313">
        <v>0</v>
      </c>
      <c r="AE245" s="313">
        <v>1</v>
      </c>
      <c r="AF245" s="313">
        <v>0</v>
      </c>
      <c r="AG245" s="313">
        <v>1</v>
      </c>
      <c r="AH245" s="313">
        <v>1</v>
      </c>
      <c r="AI245" s="313">
        <v>1</v>
      </c>
      <c r="AJ245" s="313">
        <v>1</v>
      </c>
      <c r="AK245" s="313">
        <v>1</v>
      </c>
      <c r="AL245" s="313">
        <v>1</v>
      </c>
      <c r="AM245" s="313">
        <v>1</v>
      </c>
      <c r="AN245" s="313">
        <v>1</v>
      </c>
      <c r="AO245" s="313">
        <v>1</v>
      </c>
      <c r="AP245" s="313">
        <v>1</v>
      </c>
      <c r="AQ245" s="313">
        <v>1</v>
      </c>
      <c r="AR245" s="313">
        <v>1</v>
      </c>
      <c r="AS245" s="313">
        <v>1</v>
      </c>
      <c r="AT245" s="313">
        <v>1</v>
      </c>
      <c r="AU245" s="313">
        <v>1</v>
      </c>
      <c r="AV245" s="313">
        <v>1</v>
      </c>
      <c r="AW245" s="313">
        <v>1</v>
      </c>
      <c r="AX245" s="313">
        <v>0</v>
      </c>
      <c r="AY245" s="313">
        <v>1</v>
      </c>
      <c r="AZ245" s="313">
        <v>1</v>
      </c>
      <c r="BA245" s="313">
        <v>1</v>
      </c>
      <c r="BB245" s="313">
        <v>1</v>
      </c>
      <c r="BC245" s="313">
        <v>1</v>
      </c>
      <c r="BD245" s="313">
        <v>1</v>
      </c>
      <c r="BE245" s="313">
        <v>1</v>
      </c>
      <c r="BF245" s="313">
        <v>1</v>
      </c>
      <c r="BG245" s="313">
        <v>1</v>
      </c>
      <c r="BH245" s="313">
        <v>1</v>
      </c>
      <c r="BI245" s="313">
        <v>1</v>
      </c>
      <c r="BJ245" s="313">
        <v>1</v>
      </c>
      <c r="BK245" s="313">
        <v>1</v>
      </c>
    </row>
    <row r="246" spans="1:63" x14ac:dyDescent="0.25">
      <c r="A246" s="306">
        <v>334513</v>
      </c>
      <c r="B246" s="313" t="s">
        <v>6</v>
      </c>
      <c r="C246" s="313">
        <v>1</v>
      </c>
      <c r="D246" s="313">
        <v>1</v>
      </c>
      <c r="E246" s="313">
        <v>1</v>
      </c>
      <c r="F246" s="313">
        <v>1</v>
      </c>
      <c r="G246" s="313">
        <v>1</v>
      </c>
      <c r="H246" s="313">
        <v>1</v>
      </c>
      <c r="I246" s="313">
        <v>1</v>
      </c>
      <c r="J246" s="313">
        <v>1</v>
      </c>
      <c r="K246" s="313">
        <v>0</v>
      </c>
      <c r="L246" s="313">
        <v>1</v>
      </c>
      <c r="M246" s="313">
        <v>1</v>
      </c>
      <c r="N246" s="313">
        <v>1</v>
      </c>
      <c r="O246" s="313">
        <v>1</v>
      </c>
      <c r="P246" s="313">
        <v>1</v>
      </c>
      <c r="Q246" s="313">
        <v>1</v>
      </c>
      <c r="R246" s="313">
        <v>1</v>
      </c>
      <c r="S246" s="313">
        <v>1</v>
      </c>
      <c r="T246" s="313">
        <v>1</v>
      </c>
      <c r="U246" s="313">
        <v>1</v>
      </c>
      <c r="V246" s="313">
        <v>1</v>
      </c>
      <c r="W246" s="313">
        <v>1</v>
      </c>
      <c r="X246" s="313">
        <v>1</v>
      </c>
      <c r="Y246" s="313">
        <v>1</v>
      </c>
      <c r="Z246" s="313">
        <v>1</v>
      </c>
      <c r="AA246" s="313">
        <v>1</v>
      </c>
      <c r="AB246" s="313">
        <v>1</v>
      </c>
      <c r="AC246" s="313">
        <v>1</v>
      </c>
      <c r="AD246" s="313">
        <v>1</v>
      </c>
      <c r="AE246" s="313">
        <v>1</v>
      </c>
      <c r="AF246" s="313">
        <v>0</v>
      </c>
      <c r="AG246" s="313">
        <v>1</v>
      </c>
      <c r="AH246" s="313">
        <v>1</v>
      </c>
      <c r="AI246" s="313">
        <v>1</v>
      </c>
      <c r="AJ246" s="313">
        <v>1</v>
      </c>
      <c r="AK246" s="313">
        <v>1</v>
      </c>
      <c r="AL246" s="313">
        <v>1</v>
      </c>
      <c r="AM246" s="313">
        <v>1</v>
      </c>
      <c r="AN246" s="313">
        <v>1</v>
      </c>
      <c r="AO246" s="313">
        <v>1</v>
      </c>
      <c r="AP246" s="313">
        <v>1</v>
      </c>
      <c r="AQ246" s="313">
        <v>1</v>
      </c>
      <c r="AR246" s="313">
        <v>1</v>
      </c>
      <c r="AS246" s="313">
        <v>1</v>
      </c>
      <c r="AT246" s="313">
        <v>1</v>
      </c>
      <c r="AU246" s="313">
        <v>1</v>
      </c>
      <c r="AV246" s="313">
        <v>1</v>
      </c>
      <c r="AW246" s="313">
        <v>1</v>
      </c>
      <c r="AX246" s="313">
        <v>1</v>
      </c>
      <c r="AY246" s="313">
        <v>1</v>
      </c>
      <c r="AZ246" s="313">
        <v>1</v>
      </c>
      <c r="BA246" s="313">
        <v>1</v>
      </c>
      <c r="BB246" s="313">
        <v>0</v>
      </c>
      <c r="BC246" s="313">
        <v>1</v>
      </c>
      <c r="BD246" s="313">
        <v>1</v>
      </c>
      <c r="BE246" s="313">
        <v>1</v>
      </c>
      <c r="BF246" s="313">
        <v>1</v>
      </c>
      <c r="BG246" s="313">
        <v>1</v>
      </c>
      <c r="BH246" s="313">
        <v>1</v>
      </c>
      <c r="BI246" s="313">
        <v>1</v>
      </c>
      <c r="BJ246" s="313">
        <v>1</v>
      </c>
      <c r="BK246" s="313">
        <v>1</v>
      </c>
    </row>
    <row r="247" spans="1:63" x14ac:dyDescent="0.25">
      <c r="A247" s="306">
        <v>334514</v>
      </c>
      <c r="B247" s="313" t="s">
        <v>225</v>
      </c>
      <c r="C247" s="313">
        <v>1</v>
      </c>
      <c r="D247" s="313">
        <v>0</v>
      </c>
      <c r="E247" s="313">
        <v>1</v>
      </c>
      <c r="F247" s="313">
        <v>1</v>
      </c>
      <c r="G247" s="313">
        <v>1</v>
      </c>
      <c r="H247" s="313">
        <v>1</v>
      </c>
      <c r="I247" s="313">
        <v>1</v>
      </c>
      <c r="J247" s="313">
        <v>1</v>
      </c>
      <c r="K247" s="313">
        <v>0</v>
      </c>
      <c r="L247" s="313">
        <v>0</v>
      </c>
      <c r="M247" s="313">
        <v>1</v>
      </c>
      <c r="N247" s="313">
        <v>1</v>
      </c>
      <c r="O247" s="313">
        <v>0</v>
      </c>
      <c r="P247" s="313">
        <v>1</v>
      </c>
      <c r="Q247" s="313">
        <v>1</v>
      </c>
      <c r="R247" s="313">
        <v>1</v>
      </c>
      <c r="S247" s="313">
        <v>1</v>
      </c>
      <c r="T247" s="313">
        <v>0</v>
      </c>
      <c r="U247" s="313">
        <v>1</v>
      </c>
      <c r="V247" s="313">
        <v>1</v>
      </c>
      <c r="W247" s="313">
        <v>1</v>
      </c>
      <c r="X247" s="313">
        <v>1</v>
      </c>
      <c r="Y247" s="313">
        <v>0</v>
      </c>
      <c r="Z247" s="313">
        <v>1</v>
      </c>
      <c r="AA247" s="313">
        <v>1</v>
      </c>
      <c r="AB247" s="313">
        <v>1</v>
      </c>
      <c r="AC247" s="313">
        <v>0</v>
      </c>
      <c r="AD247" s="313">
        <v>0</v>
      </c>
      <c r="AE247" s="313">
        <v>1</v>
      </c>
      <c r="AF247" s="313">
        <v>0</v>
      </c>
      <c r="AG247" s="313">
        <v>1</v>
      </c>
      <c r="AH247" s="313">
        <v>0</v>
      </c>
      <c r="AI247" s="313">
        <v>1</v>
      </c>
      <c r="AJ247" s="313">
        <v>1</v>
      </c>
      <c r="AK247" s="313">
        <v>1</v>
      </c>
      <c r="AL247" s="313">
        <v>1</v>
      </c>
      <c r="AM247" s="313">
        <v>1</v>
      </c>
      <c r="AN247" s="313">
        <v>1</v>
      </c>
      <c r="AO247" s="313">
        <v>1</v>
      </c>
      <c r="AP247" s="313">
        <v>1</v>
      </c>
      <c r="AQ247" s="313">
        <v>0</v>
      </c>
      <c r="AR247" s="313">
        <v>1</v>
      </c>
      <c r="AS247" s="313">
        <v>0</v>
      </c>
      <c r="AT247" s="313">
        <v>0</v>
      </c>
      <c r="AU247" s="313">
        <v>1</v>
      </c>
      <c r="AV247" s="313">
        <v>0</v>
      </c>
      <c r="AW247" s="313">
        <v>1</v>
      </c>
      <c r="AX247" s="313">
        <v>1</v>
      </c>
      <c r="AY247" s="313">
        <v>1</v>
      </c>
      <c r="AZ247" s="313">
        <v>1</v>
      </c>
      <c r="BA247" s="313">
        <v>1</v>
      </c>
      <c r="BB247" s="313">
        <v>0</v>
      </c>
      <c r="BC247" s="313">
        <v>1</v>
      </c>
      <c r="BD247" s="313">
        <v>1</v>
      </c>
      <c r="BE247" s="313">
        <v>1</v>
      </c>
      <c r="BF247" s="313">
        <v>1</v>
      </c>
      <c r="BG247" s="313">
        <v>1</v>
      </c>
      <c r="BH247" s="313">
        <v>1</v>
      </c>
      <c r="BI247" s="313">
        <v>1</v>
      </c>
      <c r="BJ247" s="313">
        <v>1</v>
      </c>
      <c r="BK247" s="313">
        <v>1</v>
      </c>
    </row>
    <row r="248" spans="1:63" x14ac:dyDescent="0.25">
      <c r="A248" s="306">
        <v>334515</v>
      </c>
      <c r="B248" s="313" t="s">
        <v>4</v>
      </c>
      <c r="C248" s="313">
        <v>1</v>
      </c>
      <c r="D248" s="313">
        <v>0</v>
      </c>
      <c r="E248" s="313">
        <v>1</v>
      </c>
      <c r="F248" s="313">
        <v>1</v>
      </c>
      <c r="G248" s="313">
        <v>1</v>
      </c>
      <c r="H248" s="313">
        <v>1</v>
      </c>
      <c r="I248" s="313">
        <v>1</v>
      </c>
      <c r="J248" s="313">
        <v>1</v>
      </c>
      <c r="K248" s="313">
        <v>1</v>
      </c>
      <c r="L248" s="313">
        <v>1</v>
      </c>
      <c r="M248" s="313">
        <v>1</v>
      </c>
      <c r="N248" s="313">
        <v>1</v>
      </c>
      <c r="O248" s="313">
        <v>0</v>
      </c>
      <c r="P248" s="313">
        <v>1</v>
      </c>
      <c r="Q248" s="313">
        <v>1</v>
      </c>
      <c r="R248" s="313">
        <v>1</v>
      </c>
      <c r="S248" s="313">
        <v>1</v>
      </c>
      <c r="T248" s="313">
        <v>1</v>
      </c>
      <c r="U248" s="313">
        <v>1</v>
      </c>
      <c r="V248" s="313">
        <v>1</v>
      </c>
      <c r="W248" s="313">
        <v>1</v>
      </c>
      <c r="X248" s="313">
        <v>1</v>
      </c>
      <c r="Y248" s="313">
        <v>0</v>
      </c>
      <c r="Z248" s="313">
        <v>1</v>
      </c>
      <c r="AA248" s="313">
        <v>1</v>
      </c>
      <c r="AB248" s="313">
        <v>1</v>
      </c>
      <c r="AC248" s="313">
        <v>1</v>
      </c>
      <c r="AD248" s="313">
        <v>1</v>
      </c>
      <c r="AE248" s="313">
        <v>1</v>
      </c>
      <c r="AF248" s="313">
        <v>0</v>
      </c>
      <c r="AG248" s="313">
        <v>1</v>
      </c>
      <c r="AH248" s="313">
        <v>1</v>
      </c>
      <c r="AI248" s="313">
        <v>1</v>
      </c>
      <c r="AJ248" s="313">
        <v>1</v>
      </c>
      <c r="AK248" s="313">
        <v>1</v>
      </c>
      <c r="AL248" s="313">
        <v>1</v>
      </c>
      <c r="AM248" s="313">
        <v>1</v>
      </c>
      <c r="AN248" s="313">
        <v>1</v>
      </c>
      <c r="AO248" s="313">
        <v>1</v>
      </c>
      <c r="AP248" s="313">
        <v>1</v>
      </c>
      <c r="AQ248" s="313">
        <v>1</v>
      </c>
      <c r="AR248" s="313">
        <v>1</v>
      </c>
      <c r="AS248" s="313">
        <v>1</v>
      </c>
      <c r="AT248" s="313">
        <v>1</v>
      </c>
      <c r="AU248" s="313">
        <v>1</v>
      </c>
      <c r="AV248" s="313">
        <v>1</v>
      </c>
      <c r="AW248" s="313">
        <v>1</v>
      </c>
      <c r="AX248" s="313">
        <v>1</v>
      </c>
      <c r="AY248" s="313">
        <v>1</v>
      </c>
      <c r="AZ248" s="313">
        <v>1</v>
      </c>
      <c r="BA248" s="313">
        <v>1</v>
      </c>
      <c r="BB248" s="313">
        <v>0</v>
      </c>
      <c r="BC248" s="313">
        <v>1</v>
      </c>
      <c r="BD248" s="313">
        <v>1</v>
      </c>
      <c r="BE248" s="313">
        <v>1</v>
      </c>
      <c r="BF248" s="313">
        <v>1</v>
      </c>
      <c r="BG248" s="313">
        <v>1</v>
      </c>
      <c r="BH248" s="313">
        <v>1</v>
      </c>
      <c r="BI248" s="313">
        <v>1</v>
      </c>
      <c r="BJ248" s="313">
        <v>1</v>
      </c>
      <c r="BK248" s="313">
        <v>1</v>
      </c>
    </row>
    <row r="249" spans="1:63" x14ac:dyDescent="0.25">
      <c r="A249" s="306">
        <v>334516</v>
      </c>
      <c r="B249" s="313" t="s">
        <v>226</v>
      </c>
      <c r="C249" s="313">
        <v>1</v>
      </c>
      <c r="D249" s="313">
        <v>0</v>
      </c>
      <c r="E249" s="313">
        <v>1</v>
      </c>
      <c r="F249" s="313">
        <v>0</v>
      </c>
      <c r="G249" s="313">
        <v>1</v>
      </c>
      <c r="H249" s="313">
        <v>1</v>
      </c>
      <c r="I249" s="313">
        <v>1</v>
      </c>
      <c r="J249" s="313">
        <v>1</v>
      </c>
      <c r="K249" s="313">
        <v>1</v>
      </c>
      <c r="L249" s="313">
        <v>1</v>
      </c>
      <c r="M249" s="313">
        <v>1</v>
      </c>
      <c r="N249" s="313">
        <v>1</v>
      </c>
      <c r="O249" s="313">
        <v>0</v>
      </c>
      <c r="P249" s="313">
        <v>0</v>
      </c>
      <c r="Q249" s="313">
        <v>1</v>
      </c>
      <c r="R249" s="313">
        <v>1</v>
      </c>
      <c r="S249" s="313">
        <v>1</v>
      </c>
      <c r="T249" s="313">
        <v>0</v>
      </c>
      <c r="U249" s="313">
        <v>1</v>
      </c>
      <c r="V249" s="313">
        <v>1</v>
      </c>
      <c r="W249" s="313">
        <v>1</v>
      </c>
      <c r="X249" s="313">
        <v>1</v>
      </c>
      <c r="Y249" s="313">
        <v>1</v>
      </c>
      <c r="Z249" s="313">
        <v>1</v>
      </c>
      <c r="AA249" s="313">
        <v>1</v>
      </c>
      <c r="AB249" s="313">
        <v>1</v>
      </c>
      <c r="AC249" s="313">
        <v>1</v>
      </c>
      <c r="AD249" s="313">
        <v>1</v>
      </c>
      <c r="AE249" s="313">
        <v>1</v>
      </c>
      <c r="AF249" s="313">
        <v>0</v>
      </c>
      <c r="AG249" s="313">
        <v>1</v>
      </c>
      <c r="AH249" s="313">
        <v>1</v>
      </c>
      <c r="AI249" s="313">
        <v>1</v>
      </c>
      <c r="AJ249" s="313">
        <v>1</v>
      </c>
      <c r="AK249" s="313">
        <v>1</v>
      </c>
      <c r="AL249" s="313">
        <v>1</v>
      </c>
      <c r="AM249" s="313">
        <v>1</v>
      </c>
      <c r="AN249" s="313">
        <v>1</v>
      </c>
      <c r="AO249" s="313">
        <v>1</v>
      </c>
      <c r="AP249" s="313">
        <v>1</v>
      </c>
      <c r="AQ249" s="313">
        <v>1</v>
      </c>
      <c r="AR249" s="313">
        <v>1</v>
      </c>
      <c r="AS249" s="313">
        <v>0</v>
      </c>
      <c r="AT249" s="313">
        <v>1</v>
      </c>
      <c r="AU249" s="313">
        <v>1</v>
      </c>
      <c r="AV249" s="313">
        <v>1</v>
      </c>
      <c r="AW249" s="313">
        <v>1</v>
      </c>
      <c r="AX249" s="313">
        <v>1</v>
      </c>
      <c r="AY249" s="313">
        <v>1</v>
      </c>
      <c r="AZ249" s="313">
        <v>1</v>
      </c>
      <c r="BA249" s="313">
        <v>0</v>
      </c>
      <c r="BB249" s="313">
        <v>1</v>
      </c>
      <c r="BC249" s="313">
        <v>1</v>
      </c>
      <c r="BD249" s="313">
        <v>1</v>
      </c>
      <c r="BE249" s="313">
        <v>1</v>
      </c>
      <c r="BF249" s="313">
        <v>1</v>
      </c>
      <c r="BG249" s="313">
        <v>1</v>
      </c>
      <c r="BH249" s="313">
        <v>1</v>
      </c>
      <c r="BI249" s="313">
        <v>1</v>
      </c>
      <c r="BJ249" s="313">
        <v>1</v>
      </c>
      <c r="BK249" s="313">
        <v>1</v>
      </c>
    </row>
    <row r="250" spans="1:63" x14ac:dyDescent="0.25">
      <c r="A250" s="306">
        <v>334517</v>
      </c>
      <c r="B250" s="313" t="s">
        <v>227</v>
      </c>
      <c r="C250" s="313">
        <v>1</v>
      </c>
      <c r="D250" s="313">
        <v>1</v>
      </c>
      <c r="E250" s="313">
        <v>1</v>
      </c>
      <c r="F250" s="313">
        <v>0</v>
      </c>
      <c r="G250" s="313">
        <v>1</v>
      </c>
      <c r="H250" s="313">
        <v>1</v>
      </c>
      <c r="I250" s="313">
        <v>1</v>
      </c>
      <c r="J250" s="313">
        <v>1</v>
      </c>
      <c r="K250" s="313">
        <v>0</v>
      </c>
      <c r="L250" s="313">
        <v>0</v>
      </c>
      <c r="M250" s="313">
        <v>1</v>
      </c>
      <c r="N250" s="313">
        <v>1</v>
      </c>
      <c r="O250" s="313">
        <v>0</v>
      </c>
      <c r="P250" s="313">
        <v>1</v>
      </c>
      <c r="Q250" s="313">
        <v>0</v>
      </c>
      <c r="R250" s="313">
        <v>1</v>
      </c>
      <c r="S250" s="313">
        <v>1</v>
      </c>
      <c r="T250" s="313">
        <v>1</v>
      </c>
      <c r="U250" s="313">
        <v>1</v>
      </c>
      <c r="V250" s="313">
        <v>1</v>
      </c>
      <c r="W250" s="313">
        <v>1</v>
      </c>
      <c r="X250" s="313">
        <v>1</v>
      </c>
      <c r="Y250" s="313">
        <v>0</v>
      </c>
      <c r="Z250" s="313">
        <v>1</v>
      </c>
      <c r="AA250" s="313">
        <v>1</v>
      </c>
      <c r="AB250" s="313">
        <v>1</v>
      </c>
      <c r="AC250" s="313">
        <v>0</v>
      </c>
      <c r="AD250" s="313">
        <v>0</v>
      </c>
      <c r="AE250" s="313">
        <v>1</v>
      </c>
      <c r="AF250" s="313">
        <v>0</v>
      </c>
      <c r="AG250" s="313">
        <v>0</v>
      </c>
      <c r="AH250" s="313">
        <v>0</v>
      </c>
      <c r="AI250" s="313">
        <v>1</v>
      </c>
      <c r="AJ250" s="313">
        <v>1</v>
      </c>
      <c r="AK250" s="313">
        <v>0</v>
      </c>
      <c r="AL250" s="313">
        <v>1</v>
      </c>
      <c r="AM250" s="313">
        <v>1</v>
      </c>
      <c r="AN250" s="313">
        <v>1</v>
      </c>
      <c r="AO250" s="313">
        <v>1</v>
      </c>
      <c r="AP250" s="313">
        <v>1</v>
      </c>
      <c r="AQ250" s="313">
        <v>1</v>
      </c>
      <c r="AR250" s="313">
        <v>0</v>
      </c>
      <c r="AS250" s="313">
        <v>0</v>
      </c>
      <c r="AT250" s="313">
        <v>1</v>
      </c>
      <c r="AU250" s="313">
        <v>1</v>
      </c>
      <c r="AV250" s="313">
        <v>1</v>
      </c>
      <c r="AW250" s="313">
        <v>0</v>
      </c>
      <c r="AX250" s="313">
        <v>1</v>
      </c>
      <c r="AY250" s="313">
        <v>1</v>
      </c>
      <c r="AZ250" s="313">
        <v>1</v>
      </c>
      <c r="BA250" s="313">
        <v>1</v>
      </c>
      <c r="BB250" s="313">
        <v>0</v>
      </c>
      <c r="BC250" s="313">
        <v>1</v>
      </c>
      <c r="BD250" s="313">
        <v>1</v>
      </c>
      <c r="BE250" s="313">
        <v>1</v>
      </c>
      <c r="BF250" s="313">
        <v>1</v>
      </c>
      <c r="BG250" s="313">
        <v>1</v>
      </c>
      <c r="BH250" s="313">
        <v>1</v>
      </c>
      <c r="BI250" s="313">
        <v>1</v>
      </c>
      <c r="BJ250" s="313">
        <v>1</v>
      </c>
      <c r="BK250" s="313">
        <v>1</v>
      </c>
    </row>
    <row r="251" spans="1:63" x14ac:dyDescent="0.25">
      <c r="A251" s="306" t="s">
        <v>740</v>
      </c>
      <c r="B251" s="313" t="s">
        <v>228</v>
      </c>
      <c r="C251" s="313">
        <v>1</v>
      </c>
      <c r="D251" s="313">
        <v>0</v>
      </c>
      <c r="E251" s="313">
        <v>1</v>
      </c>
      <c r="F251" s="313">
        <v>1</v>
      </c>
      <c r="G251" s="313">
        <v>1</v>
      </c>
      <c r="H251" s="313">
        <v>1</v>
      </c>
      <c r="I251" s="313">
        <v>1</v>
      </c>
      <c r="J251" s="313">
        <v>1</v>
      </c>
      <c r="K251" s="313">
        <v>0</v>
      </c>
      <c r="L251" s="313">
        <v>0</v>
      </c>
      <c r="M251" s="313">
        <v>1</v>
      </c>
      <c r="N251" s="313">
        <v>1</v>
      </c>
      <c r="O251" s="313">
        <v>0</v>
      </c>
      <c r="P251" s="313">
        <v>1</v>
      </c>
      <c r="Q251" s="313">
        <v>1</v>
      </c>
      <c r="R251" s="313">
        <v>1</v>
      </c>
      <c r="S251" s="313">
        <v>1</v>
      </c>
      <c r="T251" s="313">
        <v>1</v>
      </c>
      <c r="U251" s="313">
        <v>1</v>
      </c>
      <c r="V251" s="313">
        <v>1</v>
      </c>
      <c r="W251" s="313">
        <v>1</v>
      </c>
      <c r="X251" s="313">
        <v>1</v>
      </c>
      <c r="Y251" s="313">
        <v>1</v>
      </c>
      <c r="Z251" s="313">
        <v>1</v>
      </c>
      <c r="AA251" s="313">
        <v>1</v>
      </c>
      <c r="AB251" s="313">
        <v>1</v>
      </c>
      <c r="AC251" s="313">
        <v>1</v>
      </c>
      <c r="AD251" s="313">
        <v>1</v>
      </c>
      <c r="AE251" s="313">
        <v>1</v>
      </c>
      <c r="AF251" s="313">
        <v>1</v>
      </c>
      <c r="AG251" s="313">
        <v>1</v>
      </c>
      <c r="AH251" s="313">
        <v>1</v>
      </c>
      <c r="AI251" s="313">
        <v>1</v>
      </c>
      <c r="AJ251" s="313">
        <v>1</v>
      </c>
      <c r="AK251" s="313">
        <v>1</v>
      </c>
      <c r="AL251" s="313">
        <v>1</v>
      </c>
      <c r="AM251" s="313">
        <v>1</v>
      </c>
      <c r="AN251" s="313">
        <v>1</v>
      </c>
      <c r="AO251" s="313">
        <v>1</v>
      </c>
      <c r="AP251" s="313">
        <v>1</v>
      </c>
      <c r="AQ251" s="313">
        <v>1</v>
      </c>
      <c r="AR251" s="313">
        <v>1</v>
      </c>
      <c r="AS251" s="313">
        <v>0</v>
      </c>
      <c r="AT251" s="313">
        <v>1</v>
      </c>
      <c r="AU251" s="313">
        <v>1</v>
      </c>
      <c r="AV251" s="313">
        <v>1</v>
      </c>
      <c r="AW251" s="313">
        <v>1</v>
      </c>
      <c r="AX251" s="313">
        <v>1</v>
      </c>
      <c r="AY251" s="313">
        <v>1</v>
      </c>
      <c r="AZ251" s="313">
        <v>1</v>
      </c>
      <c r="BA251" s="313">
        <v>1</v>
      </c>
      <c r="BB251" s="313">
        <v>1</v>
      </c>
      <c r="BC251" s="313">
        <v>1</v>
      </c>
      <c r="BD251" s="313">
        <v>1</v>
      </c>
      <c r="BE251" s="313">
        <v>1</v>
      </c>
      <c r="BF251" s="313">
        <v>1</v>
      </c>
      <c r="BG251" s="313">
        <v>1</v>
      </c>
      <c r="BH251" s="313">
        <v>1</v>
      </c>
      <c r="BI251" s="313">
        <v>1</v>
      </c>
      <c r="BJ251" s="313">
        <v>1</v>
      </c>
      <c r="BK251" s="313">
        <v>1</v>
      </c>
    </row>
    <row r="252" spans="1:63" x14ac:dyDescent="0.25">
      <c r="A252" s="306">
        <v>334613</v>
      </c>
      <c r="B252" s="313" t="s">
        <v>229</v>
      </c>
      <c r="C252" s="313">
        <v>1</v>
      </c>
      <c r="D252" s="313">
        <v>0</v>
      </c>
      <c r="E252" s="313">
        <v>1</v>
      </c>
      <c r="F252" s="313">
        <v>0</v>
      </c>
      <c r="G252" s="313">
        <v>1</v>
      </c>
      <c r="H252" s="313">
        <v>1</v>
      </c>
      <c r="I252" s="313">
        <v>1</v>
      </c>
      <c r="J252" s="313">
        <v>1</v>
      </c>
      <c r="K252" s="313">
        <v>1</v>
      </c>
      <c r="L252" s="313">
        <v>0</v>
      </c>
      <c r="M252" s="313">
        <v>1</v>
      </c>
      <c r="N252" s="313">
        <v>1</v>
      </c>
      <c r="O252" s="313">
        <v>0</v>
      </c>
      <c r="P252" s="313">
        <v>0</v>
      </c>
      <c r="Q252" s="313">
        <v>0</v>
      </c>
      <c r="R252" s="313">
        <v>1</v>
      </c>
      <c r="S252" s="313">
        <v>0</v>
      </c>
      <c r="T252" s="313">
        <v>1</v>
      </c>
      <c r="U252" s="313">
        <v>0</v>
      </c>
      <c r="V252" s="313">
        <v>0</v>
      </c>
      <c r="W252" s="313">
        <v>1</v>
      </c>
      <c r="X252" s="313">
        <v>1</v>
      </c>
      <c r="Y252" s="313">
        <v>1</v>
      </c>
      <c r="Z252" s="313">
        <v>0</v>
      </c>
      <c r="AA252" s="313">
        <v>1</v>
      </c>
      <c r="AB252" s="313">
        <v>0</v>
      </c>
      <c r="AC252" s="313">
        <v>0</v>
      </c>
      <c r="AD252" s="313">
        <v>0</v>
      </c>
      <c r="AE252" s="313">
        <v>1</v>
      </c>
      <c r="AF252" s="313">
        <v>1</v>
      </c>
      <c r="AG252" s="313">
        <v>0</v>
      </c>
      <c r="AH252" s="313">
        <v>0</v>
      </c>
      <c r="AI252" s="313">
        <v>1</v>
      </c>
      <c r="AJ252" s="313">
        <v>0</v>
      </c>
      <c r="AK252" s="313">
        <v>1</v>
      </c>
      <c r="AL252" s="313">
        <v>1</v>
      </c>
      <c r="AM252" s="313">
        <v>0</v>
      </c>
      <c r="AN252" s="313">
        <v>1</v>
      </c>
      <c r="AO252" s="313">
        <v>0</v>
      </c>
      <c r="AP252" s="313">
        <v>0</v>
      </c>
      <c r="AQ252" s="313">
        <v>0</v>
      </c>
      <c r="AR252" s="313">
        <v>0</v>
      </c>
      <c r="AS252" s="313">
        <v>0</v>
      </c>
      <c r="AT252" s="313">
        <v>0</v>
      </c>
      <c r="AU252" s="313">
        <v>1</v>
      </c>
      <c r="AV252" s="313">
        <v>1</v>
      </c>
      <c r="AW252" s="313">
        <v>0</v>
      </c>
      <c r="AX252" s="313">
        <v>0</v>
      </c>
      <c r="AY252" s="313">
        <v>1</v>
      </c>
      <c r="AZ252" s="313">
        <v>0</v>
      </c>
      <c r="BA252" s="313">
        <v>0</v>
      </c>
      <c r="BB252" s="313">
        <v>0</v>
      </c>
      <c r="BC252" s="313">
        <v>1</v>
      </c>
      <c r="BD252" s="313">
        <v>1</v>
      </c>
      <c r="BE252" s="313">
        <v>1</v>
      </c>
      <c r="BF252" s="313">
        <v>1</v>
      </c>
      <c r="BG252" s="313">
        <v>1</v>
      </c>
      <c r="BH252" s="313">
        <v>1</v>
      </c>
      <c r="BI252" s="313">
        <v>1</v>
      </c>
      <c r="BJ252" s="313">
        <v>1</v>
      </c>
      <c r="BK252" s="313">
        <v>1</v>
      </c>
    </row>
    <row r="253" spans="1:63" x14ac:dyDescent="0.25">
      <c r="A253" s="306" t="s">
        <v>741</v>
      </c>
      <c r="B253" s="313" t="s">
        <v>742</v>
      </c>
      <c r="C253" s="313">
        <v>1</v>
      </c>
      <c r="D253" s="313">
        <v>0</v>
      </c>
      <c r="E253" s="313">
        <v>1</v>
      </c>
      <c r="F253" s="313">
        <v>1</v>
      </c>
      <c r="G253" s="313">
        <v>1</v>
      </c>
      <c r="H253" s="313">
        <v>1</v>
      </c>
      <c r="I253" s="313">
        <v>1</v>
      </c>
      <c r="J253" s="313">
        <v>1</v>
      </c>
      <c r="K253" s="313">
        <v>1</v>
      </c>
      <c r="L253" s="313">
        <v>1</v>
      </c>
      <c r="M253" s="313">
        <v>1</v>
      </c>
      <c r="N253" s="313">
        <v>1</v>
      </c>
      <c r="O253" s="313">
        <v>0</v>
      </c>
      <c r="P253" s="313">
        <v>1</v>
      </c>
      <c r="Q253" s="313">
        <v>1</v>
      </c>
      <c r="R253" s="313">
        <v>1</v>
      </c>
      <c r="S253" s="313">
        <v>1</v>
      </c>
      <c r="T253" s="313">
        <v>1</v>
      </c>
      <c r="U253" s="313">
        <v>1</v>
      </c>
      <c r="V253" s="313">
        <v>1</v>
      </c>
      <c r="W253" s="313">
        <v>1</v>
      </c>
      <c r="X253" s="313">
        <v>1</v>
      </c>
      <c r="Y253" s="313">
        <v>1</v>
      </c>
      <c r="Z253" s="313">
        <v>1</v>
      </c>
      <c r="AA253" s="313">
        <v>1</v>
      </c>
      <c r="AB253" s="313">
        <v>1</v>
      </c>
      <c r="AC253" s="313">
        <v>0</v>
      </c>
      <c r="AD253" s="313">
        <v>1</v>
      </c>
      <c r="AE253" s="313">
        <v>1</v>
      </c>
      <c r="AF253" s="313">
        <v>0</v>
      </c>
      <c r="AG253" s="313">
        <v>1</v>
      </c>
      <c r="AH253" s="313">
        <v>1</v>
      </c>
      <c r="AI253" s="313">
        <v>1</v>
      </c>
      <c r="AJ253" s="313">
        <v>1</v>
      </c>
      <c r="AK253" s="313">
        <v>1</v>
      </c>
      <c r="AL253" s="313">
        <v>1</v>
      </c>
      <c r="AM253" s="313">
        <v>1</v>
      </c>
      <c r="AN253" s="313">
        <v>1</v>
      </c>
      <c r="AO253" s="313">
        <v>1</v>
      </c>
      <c r="AP253" s="313">
        <v>1</v>
      </c>
      <c r="AQ253" s="313">
        <v>1</v>
      </c>
      <c r="AR253" s="313">
        <v>1</v>
      </c>
      <c r="AS253" s="313">
        <v>0</v>
      </c>
      <c r="AT253" s="313">
        <v>1</v>
      </c>
      <c r="AU253" s="313">
        <v>1</v>
      </c>
      <c r="AV253" s="313">
        <v>1</v>
      </c>
      <c r="AW253" s="313">
        <v>1</v>
      </c>
      <c r="AX253" s="313">
        <v>1</v>
      </c>
      <c r="AY253" s="313">
        <v>1</v>
      </c>
      <c r="AZ253" s="313">
        <v>1</v>
      </c>
      <c r="BA253" s="313">
        <v>1</v>
      </c>
      <c r="BB253" s="313">
        <v>0</v>
      </c>
      <c r="BC253" s="313">
        <v>1</v>
      </c>
      <c r="BD253" s="313">
        <v>1</v>
      </c>
      <c r="BE253" s="313">
        <v>1</v>
      </c>
      <c r="BF253" s="313">
        <v>1</v>
      </c>
      <c r="BG253" s="313">
        <v>1</v>
      </c>
      <c r="BH253" s="313">
        <v>1</v>
      </c>
      <c r="BI253" s="313">
        <v>1</v>
      </c>
      <c r="BJ253" s="313">
        <v>1</v>
      </c>
      <c r="BK253" s="313">
        <v>1</v>
      </c>
    </row>
    <row r="254" spans="1:63" x14ac:dyDescent="0.25">
      <c r="A254" s="306">
        <v>335110</v>
      </c>
      <c r="B254" s="313" t="s">
        <v>230</v>
      </c>
      <c r="C254" s="313">
        <v>1</v>
      </c>
      <c r="D254" s="313">
        <v>0</v>
      </c>
      <c r="E254" s="313">
        <v>1</v>
      </c>
      <c r="F254" s="313">
        <v>1</v>
      </c>
      <c r="G254" s="313">
        <v>1</v>
      </c>
      <c r="H254" s="313">
        <v>1</v>
      </c>
      <c r="I254" s="313">
        <v>1</v>
      </c>
      <c r="J254" s="313">
        <v>1</v>
      </c>
      <c r="K254" s="313">
        <v>0</v>
      </c>
      <c r="L254" s="313">
        <v>0</v>
      </c>
      <c r="M254" s="313">
        <v>1</v>
      </c>
      <c r="N254" s="313">
        <v>0</v>
      </c>
      <c r="O254" s="313">
        <v>0</v>
      </c>
      <c r="P254" s="313">
        <v>1</v>
      </c>
      <c r="Q254" s="313">
        <v>0</v>
      </c>
      <c r="R254" s="313">
        <v>1</v>
      </c>
      <c r="S254" s="313">
        <v>1</v>
      </c>
      <c r="T254" s="313">
        <v>0</v>
      </c>
      <c r="U254" s="313">
        <v>1</v>
      </c>
      <c r="V254" s="313">
        <v>1</v>
      </c>
      <c r="W254" s="313">
        <v>1</v>
      </c>
      <c r="X254" s="313">
        <v>1</v>
      </c>
      <c r="Y254" s="313">
        <v>1</v>
      </c>
      <c r="Z254" s="313">
        <v>0</v>
      </c>
      <c r="AA254" s="313">
        <v>0</v>
      </c>
      <c r="AB254" s="313">
        <v>1</v>
      </c>
      <c r="AC254" s="313">
        <v>0</v>
      </c>
      <c r="AD254" s="313">
        <v>0</v>
      </c>
      <c r="AE254" s="313">
        <v>1</v>
      </c>
      <c r="AF254" s="313">
        <v>0</v>
      </c>
      <c r="AG254" s="313">
        <v>0</v>
      </c>
      <c r="AH254" s="313">
        <v>1</v>
      </c>
      <c r="AI254" s="313">
        <v>1</v>
      </c>
      <c r="AJ254" s="313">
        <v>0</v>
      </c>
      <c r="AK254" s="313">
        <v>0</v>
      </c>
      <c r="AL254" s="313">
        <v>1</v>
      </c>
      <c r="AM254" s="313">
        <v>1</v>
      </c>
      <c r="AN254" s="313">
        <v>0</v>
      </c>
      <c r="AO254" s="313">
        <v>1</v>
      </c>
      <c r="AP254" s="313">
        <v>1</v>
      </c>
      <c r="AQ254" s="313">
        <v>0</v>
      </c>
      <c r="AR254" s="313">
        <v>1</v>
      </c>
      <c r="AS254" s="313">
        <v>0</v>
      </c>
      <c r="AT254" s="313">
        <v>1</v>
      </c>
      <c r="AU254" s="313">
        <v>1</v>
      </c>
      <c r="AV254" s="313">
        <v>0</v>
      </c>
      <c r="AW254" s="313">
        <v>1</v>
      </c>
      <c r="AX254" s="313">
        <v>1</v>
      </c>
      <c r="AY254" s="313">
        <v>0</v>
      </c>
      <c r="AZ254" s="313">
        <v>0</v>
      </c>
      <c r="BA254" s="313">
        <v>1</v>
      </c>
      <c r="BB254" s="313">
        <v>0</v>
      </c>
      <c r="BC254" s="313">
        <v>1</v>
      </c>
      <c r="BD254" s="313">
        <v>1</v>
      </c>
      <c r="BE254" s="313">
        <v>1</v>
      </c>
      <c r="BF254" s="313">
        <v>1</v>
      </c>
      <c r="BG254" s="313">
        <v>1</v>
      </c>
      <c r="BH254" s="313">
        <v>1</v>
      </c>
      <c r="BI254" s="313">
        <v>1</v>
      </c>
      <c r="BJ254" s="313">
        <v>1</v>
      </c>
      <c r="BK254" s="313">
        <v>1</v>
      </c>
    </row>
    <row r="255" spans="1:63" x14ac:dyDescent="0.25">
      <c r="A255" s="306">
        <v>335120</v>
      </c>
      <c r="B255" s="313" t="s">
        <v>231</v>
      </c>
      <c r="C255" s="313">
        <v>1</v>
      </c>
      <c r="D255" s="313">
        <v>0</v>
      </c>
      <c r="E255" s="313">
        <v>1</v>
      </c>
      <c r="F255" s="313">
        <v>1</v>
      </c>
      <c r="G255" s="313">
        <v>1</v>
      </c>
      <c r="H255" s="313">
        <v>1</v>
      </c>
      <c r="I255" s="313">
        <v>1</v>
      </c>
      <c r="J255" s="313">
        <v>1</v>
      </c>
      <c r="K255" s="313">
        <v>0</v>
      </c>
      <c r="L255" s="313">
        <v>1</v>
      </c>
      <c r="M255" s="313">
        <v>1</v>
      </c>
      <c r="N255" s="313">
        <v>1</v>
      </c>
      <c r="O255" s="313">
        <v>1</v>
      </c>
      <c r="P255" s="313">
        <v>1</v>
      </c>
      <c r="Q255" s="313">
        <v>1</v>
      </c>
      <c r="R255" s="313">
        <v>1</v>
      </c>
      <c r="S255" s="313">
        <v>1</v>
      </c>
      <c r="T255" s="313">
        <v>1</v>
      </c>
      <c r="U255" s="313">
        <v>1</v>
      </c>
      <c r="V255" s="313">
        <v>1</v>
      </c>
      <c r="W255" s="313">
        <v>1</v>
      </c>
      <c r="X255" s="313">
        <v>1</v>
      </c>
      <c r="Y255" s="313">
        <v>1</v>
      </c>
      <c r="Z255" s="313">
        <v>1</v>
      </c>
      <c r="AA255" s="313">
        <v>1</v>
      </c>
      <c r="AB255" s="313">
        <v>1</v>
      </c>
      <c r="AC255" s="313">
        <v>1</v>
      </c>
      <c r="AD255" s="313">
        <v>1</v>
      </c>
      <c r="AE255" s="313">
        <v>1</v>
      </c>
      <c r="AF255" s="313">
        <v>0</v>
      </c>
      <c r="AG255" s="313">
        <v>1</v>
      </c>
      <c r="AH255" s="313">
        <v>1</v>
      </c>
      <c r="AI255" s="313">
        <v>1</v>
      </c>
      <c r="AJ255" s="313">
        <v>1</v>
      </c>
      <c r="AK255" s="313">
        <v>1</v>
      </c>
      <c r="AL255" s="313">
        <v>1</v>
      </c>
      <c r="AM255" s="313">
        <v>1</v>
      </c>
      <c r="AN255" s="313">
        <v>1</v>
      </c>
      <c r="AO255" s="313">
        <v>1</v>
      </c>
      <c r="AP255" s="313">
        <v>1</v>
      </c>
      <c r="AQ255" s="313">
        <v>1</v>
      </c>
      <c r="AR255" s="313">
        <v>1</v>
      </c>
      <c r="AS255" s="313">
        <v>1</v>
      </c>
      <c r="AT255" s="313">
        <v>1</v>
      </c>
      <c r="AU255" s="313">
        <v>1</v>
      </c>
      <c r="AV255" s="313">
        <v>1</v>
      </c>
      <c r="AW255" s="313">
        <v>1</v>
      </c>
      <c r="AX255" s="313">
        <v>1</v>
      </c>
      <c r="AY255" s="313">
        <v>1</v>
      </c>
      <c r="AZ255" s="313">
        <v>1</v>
      </c>
      <c r="BA255" s="313">
        <v>1</v>
      </c>
      <c r="BB255" s="313">
        <v>1</v>
      </c>
      <c r="BC255" s="313">
        <v>1</v>
      </c>
      <c r="BD255" s="313">
        <v>1</v>
      </c>
      <c r="BE255" s="313">
        <v>1</v>
      </c>
      <c r="BF255" s="313">
        <v>1</v>
      </c>
      <c r="BG255" s="313">
        <v>1</v>
      </c>
      <c r="BH255" s="313">
        <v>1</v>
      </c>
      <c r="BI255" s="313">
        <v>1</v>
      </c>
      <c r="BJ255" s="313">
        <v>1</v>
      </c>
      <c r="BK255" s="313">
        <v>1</v>
      </c>
    </row>
    <row r="256" spans="1:63" x14ac:dyDescent="0.25">
      <c r="A256" s="306">
        <v>335210</v>
      </c>
      <c r="B256" s="313" t="s">
        <v>232</v>
      </c>
      <c r="C256" s="313">
        <v>1</v>
      </c>
      <c r="D256" s="313">
        <v>0</v>
      </c>
      <c r="E256" s="313">
        <v>1</v>
      </c>
      <c r="F256" s="313">
        <v>1</v>
      </c>
      <c r="G256" s="313">
        <v>1</v>
      </c>
      <c r="H256" s="313">
        <v>1</v>
      </c>
      <c r="I256" s="313">
        <v>1</v>
      </c>
      <c r="J256" s="313">
        <v>1</v>
      </c>
      <c r="K256" s="313">
        <v>0</v>
      </c>
      <c r="L256" s="313">
        <v>0</v>
      </c>
      <c r="M256" s="313">
        <v>1</v>
      </c>
      <c r="N256" s="313">
        <v>0</v>
      </c>
      <c r="O256" s="313">
        <v>0</v>
      </c>
      <c r="P256" s="313">
        <v>1</v>
      </c>
      <c r="Q256" s="313">
        <v>1</v>
      </c>
      <c r="R256" s="313">
        <v>1</v>
      </c>
      <c r="S256" s="313">
        <v>1</v>
      </c>
      <c r="T256" s="313">
        <v>1</v>
      </c>
      <c r="U256" s="313">
        <v>1</v>
      </c>
      <c r="V256" s="313">
        <v>0</v>
      </c>
      <c r="W256" s="313">
        <v>1</v>
      </c>
      <c r="X256" s="313">
        <v>1</v>
      </c>
      <c r="Y256" s="313">
        <v>0</v>
      </c>
      <c r="Z256" s="313">
        <v>1</v>
      </c>
      <c r="AA256" s="313">
        <v>1</v>
      </c>
      <c r="AB256" s="313">
        <v>1</v>
      </c>
      <c r="AC256" s="313">
        <v>1</v>
      </c>
      <c r="AD256" s="313">
        <v>0</v>
      </c>
      <c r="AE256" s="313">
        <v>1</v>
      </c>
      <c r="AF256" s="313">
        <v>0</v>
      </c>
      <c r="AG256" s="313">
        <v>0</v>
      </c>
      <c r="AH256" s="313">
        <v>0</v>
      </c>
      <c r="AI256" s="313">
        <v>1</v>
      </c>
      <c r="AJ256" s="313">
        <v>0</v>
      </c>
      <c r="AK256" s="313">
        <v>0</v>
      </c>
      <c r="AL256" s="313">
        <v>1</v>
      </c>
      <c r="AM256" s="313">
        <v>1</v>
      </c>
      <c r="AN256" s="313">
        <v>0</v>
      </c>
      <c r="AO256" s="313">
        <v>0</v>
      </c>
      <c r="AP256" s="313">
        <v>1</v>
      </c>
      <c r="AQ256" s="313">
        <v>0</v>
      </c>
      <c r="AR256" s="313">
        <v>1</v>
      </c>
      <c r="AS256" s="313">
        <v>1</v>
      </c>
      <c r="AT256" s="313">
        <v>1</v>
      </c>
      <c r="AU256" s="313">
        <v>1</v>
      </c>
      <c r="AV256" s="313">
        <v>1</v>
      </c>
      <c r="AW256" s="313">
        <v>1</v>
      </c>
      <c r="AX256" s="313">
        <v>0</v>
      </c>
      <c r="AY256" s="313">
        <v>1</v>
      </c>
      <c r="AZ256" s="313">
        <v>1</v>
      </c>
      <c r="BA256" s="313">
        <v>0</v>
      </c>
      <c r="BB256" s="313">
        <v>0</v>
      </c>
      <c r="BC256" s="313">
        <v>1</v>
      </c>
      <c r="BD256" s="313">
        <v>1</v>
      </c>
      <c r="BE256" s="313">
        <v>1</v>
      </c>
      <c r="BF256" s="313">
        <v>1</v>
      </c>
      <c r="BG256" s="313">
        <v>1</v>
      </c>
      <c r="BH256" s="313">
        <v>1</v>
      </c>
      <c r="BI256" s="313">
        <v>1</v>
      </c>
      <c r="BJ256" s="313">
        <v>1</v>
      </c>
      <c r="BK256" s="313">
        <v>1</v>
      </c>
    </row>
    <row r="257" spans="1:63" x14ac:dyDescent="0.25">
      <c r="A257" s="306">
        <v>335221</v>
      </c>
      <c r="B257" s="313" t="s">
        <v>233</v>
      </c>
      <c r="C257" s="313">
        <v>1</v>
      </c>
      <c r="D257" s="313">
        <v>0</v>
      </c>
      <c r="E257" s="313">
        <v>0</v>
      </c>
      <c r="F257" s="313">
        <v>0</v>
      </c>
      <c r="G257" s="313">
        <v>1</v>
      </c>
      <c r="H257" s="313">
        <v>1</v>
      </c>
      <c r="I257" s="313">
        <v>0</v>
      </c>
      <c r="J257" s="313">
        <v>1</v>
      </c>
      <c r="K257" s="313">
        <v>0</v>
      </c>
      <c r="L257" s="313">
        <v>0</v>
      </c>
      <c r="M257" s="313">
        <v>1</v>
      </c>
      <c r="N257" s="313">
        <v>1</v>
      </c>
      <c r="O257" s="313">
        <v>0</v>
      </c>
      <c r="P257" s="313">
        <v>1</v>
      </c>
      <c r="Q257" s="313">
        <v>1</v>
      </c>
      <c r="R257" s="313">
        <v>1</v>
      </c>
      <c r="S257" s="313">
        <v>1</v>
      </c>
      <c r="T257" s="313">
        <v>1</v>
      </c>
      <c r="U257" s="313">
        <v>1</v>
      </c>
      <c r="V257" s="313">
        <v>1</v>
      </c>
      <c r="W257" s="313">
        <v>0</v>
      </c>
      <c r="X257" s="313">
        <v>1</v>
      </c>
      <c r="Y257" s="313">
        <v>0</v>
      </c>
      <c r="Z257" s="313">
        <v>0</v>
      </c>
      <c r="AA257" s="313">
        <v>0</v>
      </c>
      <c r="AB257" s="313">
        <v>1</v>
      </c>
      <c r="AC257" s="313">
        <v>1</v>
      </c>
      <c r="AD257" s="313">
        <v>1</v>
      </c>
      <c r="AE257" s="313">
        <v>1</v>
      </c>
      <c r="AF257" s="313">
        <v>0</v>
      </c>
      <c r="AG257" s="313">
        <v>0</v>
      </c>
      <c r="AH257" s="313">
        <v>0</v>
      </c>
      <c r="AI257" s="313">
        <v>1</v>
      </c>
      <c r="AJ257" s="313">
        <v>0</v>
      </c>
      <c r="AK257" s="313">
        <v>1</v>
      </c>
      <c r="AL257" s="313">
        <v>1</v>
      </c>
      <c r="AM257" s="313">
        <v>1</v>
      </c>
      <c r="AN257" s="313">
        <v>1</v>
      </c>
      <c r="AO257" s="313">
        <v>1</v>
      </c>
      <c r="AP257" s="313">
        <v>1</v>
      </c>
      <c r="AQ257" s="313">
        <v>0</v>
      </c>
      <c r="AR257" s="313">
        <v>1</v>
      </c>
      <c r="AS257" s="313">
        <v>0</v>
      </c>
      <c r="AT257" s="313">
        <v>1</v>
      </c>
      <c r="AU257" s="313">
        <v>1</v>
      </c>
      <c r="AV257" s="313">
        <v>1</v>
      </c>
      <c r="AW257" s="313">
        <v>0</v>
      </c>
      <c r="AX257" s="313">
        <v>0</v>
      </c>
      <c r="AY257" s="313">
        <v>0</v>
      </c>
      <c r="AZ257" s="313">
        <v>1</v>
      </c>
      <c r="BA257" s="313">
        <v>0</v>
      </c>
      <c r="BB257" s="313">
        <v>0</v>
      </c>
      <c r="BC257" s="313">
        <v>1</v>
      </c>
      <c r="BD257" s="313">
        <v>1</v>
      </c>
      <c r="BE257" s="313">
        <v>1</v>
      </c>
      <c r="BF257" s="313">
        <v>1</v>
      </c>
      <c r="BG257" s="313">
        <v>1</v>
      </c>
      <c r="BH257" s="313">
        <v>1</v>
      </c>
      <c r="BI257" s="313">
        <v>1</v>
      </c>
      <c r="BJ257" s="313">
        <v>1</v>
      </c>
      <c r="BK257" s="313">
        <v>1</v>
      </c>
    </row>
    <row r="258" spans="1:63" x14ac:dyDescent="0.25">
      <c r="A258" s="306">
        <v>335222</v>
      </c>
      <c r="B258" s="313" t="s">
        <v>234</v>
      </c>
      <c r="C258" s="313">
        <v>1</v>
      </c>
      <c r="D258" s="313">
        <v>0</v>
      </c>
      <c r="E258" s="313">
        <v>1</v>
      </c>
      <c r="F258" s="313">
        <v>1</v>
      </c>
      <c r="G258" s="313">
        <v>1</v>
      </c>
      <c r="H258" s="313">
        <v>1</v>
      </c>
      <c r="I258" s="313">
        <v>0</v>
      </c>
      <c r="J258" s="313">
        <v>0</v>
      </c>
      <c r="K258" s="313">
        <v>0</v>
      </c>
      <c r="L258" s="313">
        <v>0</v>
      </c>
      <c r="M258" s="313">
        <v>1</v>
      </c>
      <c r="N258" s="313">
        <v>0</v>
      </c>
      <c r="O258" s="313">
        <v>0</v>
      </c>
      <c r="P258" s="313">
        <v>1</v>
      </c>
      <c r="Q258" s="313">
        <v>0</v>
      </c>
      <c r="R258" s="313">
        <v>1</v>
      </c>
      <c r="S258" s="313">
        <v>1</v>
      </c>
      <c r="T258" s="313">
        <v>0</v>
      </c>
      <c r="U258" s="313">
        <v>1</v>
      </c>
      <c r="V258" s="313">
        <v>0</v>
      </c>
      <c r="W258" s="313">
        <v>0</v>
      </c>
      <c r="X258" s="313">
        <v>0</v>
      </c>
      <c r="Y258" s="313">
        <v>0</v>
      </c>
      <c r="Z258" s="313">
        <v>1</v>
      </c>
      <c r="AA258" s="313">
        <v>1</v>
      </c>
      <c r="AB258" s="313">
        <v>0</v>
      </c>
      <c r="AC258" s="313">
        <v>1</v>
      </c>
      <c r="AD258" s="313">
        <v>0</v>
      </c>
      <c r="AE258" s="313">
        <v>0</v>
      </c>
      <c r="AF258" s="313">
        <v>0</v>
      </c>
      <c r="AG258" s="313">
        <v>0</v>
      </c>
      <c r="AH258" s="313">
        <v>0</v>
      </c>
      <c r="AI258" s="313">
        <v>0</v>
      </c>
      <c r="AJ258" s="313">
        <v>0</v>
      </c>
      <c r="AK258" s="313">
        <v>0</v>
      </c>
      <c r="AL258" s="313">
        <v>0</v>
      </c>
      <c r="AM258" s="313">
        <v>1</v>
      </c>
      <c r="AN258" s="313">
        <v>0</v>
      </c>
      <c r="AO258" s="313">
        <v>0</v>
      </c>
      <c r="AP258" s="313">
        <v>0</v>
      </c>
      <c r="AQ258" s="313">
        <v>0</v>
      </c>
      <c r="AR258" s="313">
        <v>1</v>
      </c>
      <c r="AS258" s="313">
        <v>0</v>
      </c>
      <c r="AT258" s="313">
        <v>0</v>
      </c>
      <c r="AU258" s="313">
        <v>1</v>
      </c>
      <c r="AV258" s="313">
        <v>0</v>
      </c>
      <c r="AW258" s="313">
        <v>0</v>
      </c>
      <c r="AX258" s="313">
        <v>0</v>
      </c>
      <c r="AY258" s="313">
        <v>1</v>
      </c>
      <c r="AZ258" s="313">
        <v>1</v>
      </c>
      <c r="BA258" s="313">
        <v>0</v>
      </c>
      <c r="BB258" s="313">
        <v>0</v>
      </c>
      <c r="BC258" s="313">
        <v>0</v>
      </c>
      <c r="BD258" s="313">
        <v>0</v>
      </c>
      <c r="BE258" s="313">
        <v>1</v>
      </c>
      <c r="BF258" s="313">
        <v>1</v>
      </c>
      <c r="BG258" s="313">
        <v>1</v>
      </c>
      <c r="BH258" s="313">
        <v>1</v>
      </c>
      <c r="BI258" s="313">
        <v>1</v>
      </c>
      <c r="BJ258" s="313">
        <v>1</v>
      </c>
      <c r="BK258" s="313">
        <v>1</v>
      </c>
    </row>
    <row r="259" spans="1:63" x14ac:dyDescent="0.25">
      <c r="A259" s="306">
        <v>335224</v>
      </c>
      <c r="B259" s="313" t="s">
        <v>235</v>
      </c>
      <c r="C259" s="313">
        <v>1</v>
      </c>
      <c r="D259" s="313">
        <v>0</v>
      </c>
      <c r="E259" s="313">
        <v>0</v>
      </c>
      <c r="F259" s="313">
        <v>0</v>
      </c>
      <c r="G259" s="313">
        <v>0</v>
      </c>
      <c r="H259" s="313">
        <v>1</v>
      </c>
      <c r="I259" s="313">
        <v>0</v>
      </c>
      <c r="J259" s="313">
        <v>0</v>
      </c>
      <c r="K259" s="313">
        <v>0</v>
      </c>
      <c r="L259" s="313">
        <v>0</v>
      </c>
      <c r="M259" s="313">
        <v>1</v>
      </c>
      <c r="N259" s="313">
        <v>0</v>
      </c>
      <c r="O259" s="313">
        <v>0</v>
      </c>
      <c r="P259" s="313">
        <v>1</v>
      </c>
      <c r="Q259" s="313">
        <v>0</v>
      </c>
      <c r="R259" s="313">
        <v>1</v>
      </c>
      <c r="S259" s="313">
        <v>0</v>
      </c>
      <c r="T259" s="313">
        <v>0</v>
      </c>
      <c r="U259" s="313">
        <v>0</v>
      </c>
      <c r="V259" s="313">
        <v>0</v>
      </c>
      <c r="W259" s="313">
        <v>0</v>
      </c>
      <c r="X259" s="313">
        <v>0</v>
      </c>
      <c r="Y259" s="313">
        <v>0</v>
      </c>
      <c r="Z259" s="313">
        <v>1</v>
      </c>
      <c r="AA259" s="313">
        <v>0</v>
      </c>
      <c r="AB259" s="313">
        <v>0</v>
      </c>
      <c r="AC259" s="313">
        <v>0</v>
      </c>
      <c r="AD259" s="313">
        <v>0</v>
      </c>
      <c r="AE259" s="313">
        <v>0</v>
      </c>
      <c r="AF259" s="313">
        <v>0</v>
      </c>
      <c r="AG259" s="313">
        <v>0</v>
      </c>
      <c r="AH259" s="313">
        <v>0</v>
      </c>
      <c r="AI259" s="313">
        <v>1</v>
      </c>
      <c r="AJ259" s="313">
        <v>0</v>
      </c>
      <c r="AK259" s="313">
        <v>0</v>
      </c>
      <c r="AL259" s="313">
        <v>1</v>
      </c>
      <c r="AM259" s="313">
        <v>1</v>
      </c>
      <c r="AN259" s="313">
        <v>0</v>
      </c>
      <c r="AO259" s="313">
        <v>0</v>
      </c>
      <c r="AP259" s="313">
        <v>0</v>
      </c>
      <c r="AQ259" s="313">
        <v>0</v>
      </c>
      <c r="AR259" s="313">
        <v>0</v>
      </c>
      <c r="AS259" s="313">
        <v>0</v>
      </c>
      <c r="AT259" s="313">
        <v>0</v>
      </c>
      <c r="AU259" s="313">
        <v>0</v>
      </c>
      <c r="AV259" s="313">
        <v>0</v>
      </c>
      <c r="AW259" s="313">
        <v>1</v>
      </c>
      <c r="AX259" s="313">
        <v>0</v>
      </c>
      <c r="AY259" s="313">
        <v>0</v>
      </c>
      <c r="AZ259" s="313">
        <v>0</v>
      </c>
      <c r="BA259" s="313">
        <v>0</v>
      </c>
      <c r="BB259" s="313">
        <v>0</v>
      </c>
      <c r="BC259" s="313">
        <v>0</v>
      </c>
      <c r="BD259" s="313">
        <v>1</v>
      </c>
      <c r="BE259" s="313">
        <v>1</v>
      </c>
      <c r="BF259" s="313">
        <v>1</v>
      </c>
      <c r="BG259" s="313">
        <v>1</v>
      </c>
      <c r="BH259" s="313">
        <v>0</v>
      </c>
      <c r="BI259" s="313">
        <v>0</v>
      </c>
      <c r="BJ259" s="313">
        <v>0</v>
      </c>
      <c r="BK259" s="313">
        <v>1</v>
      </c>
    </row>
    <row r="260" spans="1:63" x14ac:dyDescent="0.25">
      <c r="A260" s="306">
        <v>335228</v>
      </c>
      <c r="B260" s="313" t="s">
        <v>236</v>
      </c>
      <c r="C260" s="313">
        <v>1</v>
      </c>
      <c r="D260" s="313">
        <v>0</v>
      </c>
      <c r="E260" s="313">
        <v>1</v>
      </c>
      <c r="F260" s="313">
        <v>0</v>
      </c>
      <c r="G260" s="313">
        <v>0</v>
      </c>
      <c r="H260" s="313">
        <v>1</v>
      </c>
      <c r="I260" s="313">
        <v>0</v>
      </c>
      <c r="J260" s="313">
        <v>1</v>
      </c>
      <c r="K260" s="313">
        <v>0</v>
      </c>
      <c r="L260" s="313">
        <v>0</v>
      </c>
      <c r="M260" s="313">
        <v>1</v>
      </c>
      <c r="N260" s="313">
        <v>0</v>
      </c>
      <c r="O260" s="313">
        <v>0</v>
      </c>
      <c r="P260" s="313">
        <v>0</v>
      </c>
      <c r="Q260" s="313">
        <v>0</v>
      </c>
      <c r="R260" s="313">
        <v>0</v>
      </c>
      <c r="S260" s="313">
        <v>0</v>
      </c>
      <c r="T260" s="313">
        <v>0</v>
      </c>
      <c r="U260" s="313">
        <v>1</v>
      </c>
      <c r="V260" s="313">
        <v>1</v>
      </c>
      <c r="W260" s="313">
        <v>1</v>
      </c>
      <c r="X260" s="313">
        <v>1</v>
      </c>
      <c r="Y260" s="313">
        <v>0</v>
      </c>
      <c r="Z260" s="313">
        <v>1</v>
      </c>
      <c r="AA260" s="313">
        <v>1</v>
      </c>
      <c r="AB260" s="313">
        <v>0</v>
      </c>
      <c r="AC260" s="313">
        <v>1</v>
      </c>
      <c r="AD260" s="313">
        <v>0</v>
      </c>
      <c r="AE260" s="313">
        <v>1</v>
      </c>
      <c r="AF260" s="313">
        <v>0</v>
      </c>
      <c r="AG260" s="313">
        <v>0</v>
      </c>
      <c r="AH260" s="313">
        <v>1</v>
      </c>
      <c r="AI260" s="313">
        <v>1</v>
      </c>
      <c r="AJ260" s="313">
        <v>0</v>
      </c>
      <c r="AK260" s="313">
        <v>0</v>
      </c>
      <c r="AL260" s="313">
        <v>1</v>
      </c>
      <c r="AM260" s="313">
        <v>1</v>
      </c>
      <c r="AN260" s="313">
        <v>0</v>
      </c>
      <c r="AO260" s="313">
        <v>0</v>
      </c>
      <c r="AP260" s="313">
        <v>1</v>
      </c>
      <c r="AQ260" s="313">
        <v>0</v>
      </c>
      <c r="AR260" s="313">
        <v>1</v>
      </c>
      <c r="AS260" s="313">
        <v>0</v>
      </c>
      <c r="AT260" s="313">
        <v>1</v>
      </c>
      <c r="AU260" s="313">
        <v>1</v>
      </c>
      <c r="AV260" s="313">
        <v>0</v>
      </c>
      <c r="AW260" s="313">
        <v>0</v>
      </c>
      <c r="AX260" s="313">
        <v>0</v>
      </c>
      <c r="AY260" s="313">
        <v>1</v>
      </c>
      <c r="AZ260" s="313">
        <v>1</v>
      </c>
      <c r="BA260" s="313">
        <v>0</v>
      </c>
      <c r="BB260" s="313">
        <v>0</v>
      </c>
      <c r="BC260" s="313">
        <v>1</v>
      </c>
      <c r="BD260" s="313">
        <v>1</v>
      </c>
      <c r="BE260" s="313">
        <v>1</v>
      </c>
      <c r="BF260" s="313">
        <v>1</v>
      </c>
      <c r="BG260" s="313">
        <v>1</v>
      </c>
      <c r="BH260" s="313">
        <v>1</v>
      </c>
      <c r="BI260" s="313">
        <v>1</v>
      </c>
      <c r="BJ260" s="313">
        <v>0</v>
      </c>
      <c r="BK260" s="313">
        <v>1</v>
      </c>
    </row>
    <row r="261" spans="1:63" x14ac:dyDescent="0.25">
      <c r="A261" s="306">
        <v>335311</v>
      </c>
      <c r="B261" s="313" t="s">
        <v>237</v>
      </c>
      <c r="C261" s="313">
        <v>1</v>
      </c>
      <c r="D261" s="313">
        <v>1</v>
      </c>
      <c r="E261" s="313">
        <v>1</v>
      </c>
      <c r="F261" s="313">
        <v>1</v>
      </c>
      <c r="G261" s="313">
        <v>1</v>
      </c>
      <c r="H261" s="313">
        <v>1</v>
      </c>
      <c r="I261" s="313">
        <v>1</v>
      </c>
      <c r="J261" s="313">
        <v>1</v>
      </c>
      <c r="K261" s="313">
        <v>0</v>
      </c>
      <c r="L261" s="313">
        <v>0</v>
      </c>
      <c r="M261" s="313">
        <v>1</v>
      </c>
      <c r="N261" s="313">
        <v>1</v>
      </c>
      <c r="O261" s="313">
        <v>0</v>
      </c>
      <c r="P261" s="313">
        <v>1</v>
      </c>
      <c r="Q261" s="313">
        <v>1</v>
      </c>
      <c r="R261" s="313">
        <v>1</v>
      </c>
      <c r="S261" s="313">
        <v>1</v>
      </c>
      <c r="T261" s="313">
        <v>1</v>
      </c>
      <c r="U261" s="313">
        <v>1</v>
      </c>
      <c r="V261" s="313">
        <v>1</v>
      </c>
      <c r="W261" s="313">
        <v>1</v>
      </c>
      <c r="X261" s="313">
        <v>1</v>
      </c>
      <c r="Y261" s="313">
        <v>0</v>
      </c>
      <c r="Z261" s="313">
        <v>1</v>
      </c>
      <c r="AA261" s="313">
        <v>1</v>
      </c>
      <c r="AB261" s="313">
        <v>1</v>
      </c>
      <c r="AC261" s="313">
        <v>1</v>
      </c>
      <c r="AD261" s="313">
        <v>0</v>
      </c>
      <c r="AE261" s="313">
        <v>1</v>
      </c>
      <c r="AF261" s="313">
        <v>0</v>
      </c>
      <c r="AG261" s="313">
        <v>0</v>
      </c>
      <c r="AH261" s="313">
        <v>1</v>
      </c>
      <c r="AI261" s="313">
        <v>1</v>
      </c>
      <c r="AJ261" s="313">
        <v>1</v>
      </c>
      <c r="AK261" s="313">
        <v>0</v>
      </c>
      <c r="AL261" s="313">
        <v>1</v>
      </c>
      <c r="AM261" s="313">
        <v>1</v>
      </c>
      <c r="AN261" s="313">
        <v>1</v>
      </c>
      <c r="AO261" s="313">
        <v>1</v>
      </c>
      <c r="AP261" s="313">
        <v>1</v>
      </c>
      <c r="AQ261" s="313">
        <v>0</v>
      </c>
      <c r="AR261" s="313">
        <v>1</v>
      </c>
      <c r="AS261" s="313">
        <v>1</v>
      </c>
      <c r="AT261" s="313">
        <v>1</v>
      </c>
      <c r="AU261" s="313">
        <v>1</v>
      </c>
      <c r="AV261" s="313">
        <v>1</v>
      </c>
      <c r="AW261" s="313">
        <v>1</v>
      </c>
      <c r="AX261" s="313">
        <v>1</v>
      </c>
      <c r="AY261" s="313">
        <v>1</v>
      </c>
      <c r="AZ261" s="313">
        <v>1</v>
      </c>
      <c r="BA261" s="313">
        <v>1</v>
      </c>
      <c r="BB261" s="313">
        <v>0</v>
      </c>
      <c r="BC261" s="313">
        <v>1</v>
      </c>
      <c r="BD261" s="313">
        <v>1</v>
      </c>
      <c r="BE261" s="313">
        <v>1</v>
      </c>
      <c r="BF261" s="313">
        <v>1</v>
      </c>
      <c r="BG261" s="313">
        <v>1</v>
      </c>
      <c r="BH261" s="313">
        <v>1</v>
      </c>
      <c r="BI261" s="313">
        <v>1</v>
      </c>
      <c r="BJ261" s="313">
        <v>1</v>
      </c>
      <c r="BK261" s="313">
        <v>1</v>
      </c>
    </row>
    <row r="262" spans="1:63" x14ac:dyDescent="0.25">
      <c r="A262" s="306">
        <v>335312</v>
      </c>
      <c r="B262" s="313" t="s">
        <v>238</v>
      </c>
      <c r="C262" s="313">
        <v>1</v>
      </c>
      <c r="D262" s="313">
        <v>0</v>
      </c>
      <c r="E262" s="313">
        <v>1</v>
      </c>
      <c r="F262" s="313">
        <v>1</v>
      </c>
      <c r="G262" s="313">
        <v>1</v>
      </c>
      <c r="H262" s="313">
        <v>1</v>
      </c>
      <c r="I262" s="313">
        <v>1</v>
      </c>
      <c r="J262" s="313">
        <v>1</v>
      </c>
      <c r="K262" s="313">
        <v>0</v>
      </c>
      <c r="L262" s="313">
        <v>1</v>
      </c>
      <c r="M262" s="313">
        <v>1</v>
      </c>
      <c r="N262" s="313">
        <v>1</v>
      </c>
      <c r="O262" s="313">
        <v>0</v>
      </c>
      <c r="P262" s="313">
        <v>1</v>
      </c>
      <c r="Q262" s="313">
        <v>1</v>
      </c>
      <c r="R262" s="313">
        <v>1</v>
      </c>
      <c r="S262" s="313">
        <v>1</v>
      </c>
      <c r="T262" s="313">
        <v>1</v>
      </c>
      <c r="U262" s="313">
        <v>1</v>
      </c>
      <c r="V262" s="313">
        <v>1</v>
      </c>
      <c r="W262" s="313">
        <v>1</v>
      </c>
      <c r="X262" s="313">
        <v>1</v>
      </c>
      <c r="Y262" s="313">
        <v>1</v>
      </c>
      <c r="Z262" s="313">
        <v>1</v>
      </c>
      <c r="AA262" s="313">
        <v>1</v>
      </c>
      <c r="AB262" s="313">
        <v>1</v>
      </c>
      <c r="AC262" s="313">
        <v>1</v>
      </c>
      <c r="AD262" s="313">
        <v>1</v>
      </c>
      <c r="AE262" s="313">
        <v>1</v>
      </c>
      <c r="AF262" s="313">
        <v>0</v>
      </c>
      <c r="AG262" s="313">
        <v>1</v>
      </c>
      <c r="AH262" s="313">
        <v>1</v>
      </c>
      <c r="AI262" s="313">
        <v>1</v>
      </c>
      <c r="AJ262" s="313">
        <v>1</v>
      </c>
      <c r="AK262" s="313">
        <v>1</v>
      </c>
      <c r="AL262" s="313">
        <v>1</v>
      </c>
      <c r="AM262" s="313">
        <v>1</v>
      </c>
      <c r="AN262" s="313">
        <v>1</v>
      </c>
      <c r="AO262" s="313">
        <v>1</v>
      </c>
      <c r="AP262" s="313">
        <v>1</v>
      </c>
      <c r="AQ262" s="313">
        <v>0</v>
      </c>
      <c r="AR262" s="313">
        <v>1</v>
      </c>
      <c r="AS262" s="313">
        <v>0</v>
      </c>
      <c r="AT262" s="313">
        <v>1</v>
      </c>
      <c r="AU262" s="313">
        <v>1</v>
      </c>
      <c r="AV262" s="313">
        <v>1</v>
      </c>
      <c r="AW262" s="313">
        <v>1</v>
      </c>
      <c r="AX262" s="313">
        <v>0</v>
      </c>
      <c r="AY262" s="313">
        <v>1</v>
      </c>
      <c r="AZ262" s="313">
        <v>1</v>
      </c>
      <c r="BA262" s="313">
        <v>1</v>
      </c>
      <c r="BB262" s="313">
        <v>1</v>
      </c>
      <c r="BC262" s="313">
        <v>1</v>
      </c>
      <c r="BD262" s="313">
        <v>1</v>
      </c>
      <c r="BE262" s="313">
        <v>1</v>
      </c>
      <c r="BF262" s="313">
        <v>1</v>
      </c>
      <c r="BG262" s="313">
        <v>1</v>
      </c>
      <c r="BH262" s="313">
        <v>1</v>
      </c>
      <c r="BI262" s="313">
        <v>1</v>
      </c>
      <c r="BJ262" s="313">
        <v>1</v>
      </c>
      <c r="BK262" s="313">
        <v>1</v>
      </c>
    </row>
    <row r="263" spans="1:63" x14ac:dyDescent="0.25">
      <c r="A263" s="306">
        <v>335313</v>
      </c>
      <c r="B263" s="313" t="s">
        <v>239</v>
      </c>
      <c r="C263" s="313">
        <v>1</v>
      </c>
      <c r="D263" s="313">
        <v>1</v>
      </c>
      <c r="E263" s="313">
        <v>1</v>
      </c>
      <c r="F263" s="313">
        <v>1</v>
      </c>
      <c r="G263" s="313">
        <v>1</v>
      </c>
      <c r="H263" s="313">
        <v>1</v>
      </c>
      <c r="I263" s="313">
        <v>1</v>
      </c>
      <c r="J263" s="313">
        <v>1</v>
      </c>
      <c r="K263" s="313">
        <v>0</v>
      </c>
      <c r="L263" s="313">
        <v>1</v>
      </c>
      <c r="M263" s="313">
        <v>1</v>
      </c>
      <c r="N263" s="313">
        <v>1</v>
      </c>
      <c r="O263" s="313">
        <v>0</v>
      </c>
      <c r="P263" s="313">
        <v>1</v>
      </c>
      <c r="Q263" s="313">
        <v>0</v>
      </c>
      <c r="R263" s="313">
        <v>1</v>
      </c>
      <c r="S263" s="313">
        <v>1</v>
      </c>
      <c r="T263" s="313">
        <v>1</v>
      </c>
      <c r="U263" s="313">
        <v>1</v>
      </c>
      <c r="V263" s="313">
        <v>1</v>
      </c>
      <c r="W263" s="313">
        <v>1</v>
      </c>
      <c r="X263" s="313">
        <v>1</v>
      </c>
      <c r="Y263" s="313">
        <v>1</v>
      </c>
      <c r="Z263" s="313">
        <v>1</v>
      </c>
      <c r="AA263" s="313">
        <v>1</v>
      </c>
      <c r="AB263" s="313">
        <v>1</v>
      </c>
      <c r="AC263" s="313">
        <v>1</v>
      </c>
      <c r="AD263" s="313">
        <v>0</v>
      </c>
      <c r="AE263" s="313">
        <v>1</v>
      </c>
      <c r="AF263" s="313">
        <v>0</v>
      </c>
      <c r="AG263" s="313">
        <v>1</v>
      </c>
      <c r="AH263" s="313">
        <v>1</v>
      </c>
      <c r="AI263" s="313">
        <v>1</v>
      </c>
      <c r="AJ263" s="313">
        <v>1</v>
      </c>
      <c r="AK263" s="313">
        <v>1</v>
      </c>
      <c r="AL263" s="313">
        <v>1</v>
      </c>
      <c r="AM263" s="313">
        <v>1</v>
      </c>
      <c r="AN263" s="313">
        <v>1</v>
      </c>
      <c r="AO263" s="313">
        <v>1</v>
      </c>
      <c r="AP263" s="313">
        <v>1</v>
      </c>
      <c r="AQ263" s="313">
        <v>0</v>
      </c>
      <c r="AR263" s="313">
        <v>1</v>
      </c>
      <c r="AS263" s="313">
        <v>1</v>
      </c>
      <c r="AT263" s="313">
        <v>1</v>
      </c>
      <c r="AU263" s="313">
        <v>1</v>
      </c>
      <c r="AV263" s="313">
        <v>1</v>
      </c>
      <c r="AW263" s="313">
        <v>1</v>
      </c>
      <c r="AX263" s="313">
        <v>0</v>
      </c>
      <c r="AY263" s="313">
        <v>1</v>
      </c>
      <c r="AZ263" s="313">
        <v>1</v>
      </c>
      <c r="BA263" s="313">
        <v>1</v>
      </c>
      <c r="BB263" s="313">
        <v>1</v>
      </c>
      <c r="BC263" s="313">
        <v>1</v>
      </c>
      <c r="BD263" s="313">
        <v>1</v>
      </c>
      <c r="BE263" s="313">
        <v>1</v>
      </c>
      <c r="BF263" s="313">
        <v>1</v>
      </c>
      <c r="BG263" s="313">
        <v>1</v>
      </c>
      <c r="BH263" s="313">
        <v>1</v>
      </c>
      <c r="BI263" s="313">
        <v>1</v>
      </c>
      <c r="BJ263" s="313">
        <v>1</v>
      </c>
      <c r="BK263" s="313">
        <v>1</v>
      </c>
    </row>
    <row r="264" spans="1:63" x14ac:dyDescent="0.25">
      <c r="A264" s="306">
        <v>335314</v>
      </c>
      <c r="B264" s="313" t="s">
        <v>9</v>
      </c>
      <c r="C264" s="313">
        <v>1</v>
      </c>
      <c r="D264" s="313">
        <v>1</v>
      </c>
      <c r="E264" s="313">
        <v>1</v>
      </c>
      <c r="F264" s="313">
        <v>1</v>
      </c>
      <c r="G264" s="313">
        <v>1</v>
      </c>
      <c r="H264" s="313">
        <v>1</v>
      </c>
      <c r="I264" s="313">
        <v>1</v>
      </c>
      <c r="J264" s="313">
        <v>1</v>
      </c>
      <c r="K264" s="313">
        <v>0</v>
      </c>
      <c r="L264" s="313">
        <v>1</v>
      </c>
      <c r="M264" s="313">
        <v>1</v>
      </c>
      <c r="N264" s="313">
        <v>1</v>
      </c>
      <c r="O264" s="313">
        <v>0</v>
      </c>
      <c r="P264" s="313">
        <v>1</v>
      </c>
      <c r="Q264" s="313">
        <v>1</v>
      </c>
      <c r="R264" s="313">
        <v>1</v>
      </c>
      <c r="S264" s="313">
        <v>1</v>
      </c>
      <c r="T264" s="313">
        <v>1</v>
      </c>
      <c r="U264" s="313">
        <v>1</v>
      </c>
      <c r="V264" s="313">
        <v>1</v>
      </c>
      <c r="W264" s="313">
        <v>1</v>
      </c>
      <c r="X264" s="313">
        <v>1</v>
      </c>
      <c r="Y264" s="313">
        <v>1</v>
      </c>
      <c r="Z264" s="313">
        <v>1</v>
      </c>
      <c r="AA264" s="313">
        <v>1</v>
      </c>
      <c r="AB264" s="313">
        <v>1</v>
      </c>
      <c r="AC264" s="313">
        <v>1</v>
      </c>
      <c r="AD264" s="313">
        <v>0</v>
      </c>
      <c r="AE264" s="313">
        <v>1</v>
      </c>
      <c r="AF264" s="313">
        <v>1</v>
      </c>
      <c r="AG264" s="313">
        <v>1</v>
      </c>
      <c r="AH264" s="313">
        <v>1</v>
      </c>
      <c r="AI264" s="313">
        <v>1</v>
      </c>
      <c r="AJ264" s="313">
        <v>1</v>
      </c>
      <c r="AK264" s="313">
        <v>1</v>
      </c>
      <c r="AL264" s="313">
        <v>1</v>
      </c>
      <c r="AM264" s="313">
        <v>1</v>
      </c>
      <c r="AN264" s="313">
        <v>1</v>
      </c>
      <c r="AO264" s="313">
        <v>1</v>
      </c>
      <c r="AP264" s="313">
        <v>1</v>
      </c>
      <c r="AQ264" s="313">
        <v>1</v>
      </c>
      <c r="AR264" s="313">
        <v>1</v>
      </c>
      <c r="AS264" s="313">
        <v>1</v>
      </c>
      <c r="AT264" s="313">
        <v>1</v>
      </c>
      <c r="AU264" s="313">
        <v>1</v>
      </c>
      <c r="AV264" s="313">
        <v>1</v>
      </c>
      <c r="AW264" s="313">
        <v>1</v>
      </c>
      <c r="AX264" s="313">
        <v>1</v>
      </c>
      <c r="AY264" s="313">
        <v>1</v>
      </c>
      <c r="AZ264" s="313">
        <v>1</v>
      </c>
      <c r="BA264" s="313">
        <v>1</v>
      </c>
      <c r="BB264" s="313">
        <v>1</v>
      </c>
      <c r="BC264" s="313">
        <v>1</v>
      </c>
      <c r="BD264" s="313">
        <v>1</v>
      </c>
      <c r="BE264" s="313">
        <v>1</v>
      </c>
      <c r="BF264" s="313">
        <v>1</v>
      </c>
      <c r="BG264" s="313">
        <v>1</v>
      </c>
      <c r="BH264" s="313">
        <v>1</v>
      </c>
      <c r="BI264" s="313">
        <v>1</v>
      </c>
      <c r="BJ264" s="313">
        <v>1</v>
      </c>
      <c r="BK264" s="313">
        <v>1</v>
      </c>
    </row>
    <row r="265" spans="1:63" x14ac:dyDescent="0.25">
      <c r="A265" s="306">
        <v>335911</v>
      </c>
      <c r="B265" s="313" t="s">
        <v>240</v>
      </c>
      <c r="C265" s="313">
        <v>1</v>
      </c>
      <c r="D265" s="313">
        <v>0</v>
      </c>
      <c r="E265" s="313">
        <v>0</v>
      </c>
      <c r="F265" s="313">
        <v>1</v>
      </c>
      <c r="G265" s="313">
        <v>1</v>
      </c>
      <c r="H265" s="313">
        <v>1</v>
      </c>
      <c r="I265" s="313">
        <v>1</v>
      </c>
      <c r="J265" s="313">
        <v>1</v>
      </c>
      <c r="K265" s="313">
        <v>0</v>
      </c>
      <c r="L265" s="313">
        <v>1</v>
      </c>
      <c r="M265" s="313">
        <v>1</v>
      </c>
      <c r="N265" s="313">
        <v>1</v>
      </c>
      <c r="O265" s="313">
        <v>0</v>
      </c>
      <c r="P265" s="313">
        <v>1</v>
      </c>
      <c r="Q265" s="313">
        <v>0</v>
      </c>
      <c r="R265" s="313">
        <v>1</v>
      </c>
      <c r="S265" s="313">
        <v>1</v>
      </c>
      <c r="T265" s="313">
        <v>1</v>
      </c>
      <c r="U265" s="313">
        <v>1</v>
      </c>
      <c r="V265" s="313">
        <v>0</v>
      </c>
      <c r="W265" s="313">
        <v>0</v>
      </c>
      <c r="X265" s="313">
        <v>0</v>
      </c>
      <c r="Y265" s="313">
        <v>0</v>
      </c>
      <c r="Z265" s="313">
        <v>1</v>
      </c>
      <c r="AA265" s="313">
        <v>1</v>
      </c>
      <c r="AB265" s="313">
        <v>1</v>
      </c>
      <c r="AC265" s="313">
        <v>1</v>
      </c>
      <c r="AD265" s="313">
        <v>0</v>
      </c>
      <c r="AE265" s="313">
        <v>1</v>
      </c>
      <c r="AF265" s="313">
        <v>0</v>
      </c>
      <c r="AG265" s="313">
        <v>0</v>
      </c>
      <c r="AH265" s="313">
        <v>0</v>
      </c>
      <c r="AI265" s="313">
        <v>1</v>
      </c>
      <c r="AJ265" s="313">
        <v>0</v>
      </c>
      <c r="AK265" s="313">
        <v>0</v>
      </c>
      <c r="AL265" s="313">
        <v>0</v>
      </c>
      <c r="AM265" s="313">
        <v>1</v>
      </c>
      <c r="AN265" s="313">
        <v>1</v>
      </c>
      <c r="AO265" s="313">
        <v>1</v>
      </c>
      <c r="AP265" s="313">
        <v>1</v>
      </c>
      <c r="AQ265" s="313">
        <v>1</v>
      </c>
      <c r="AR265" s="313">
        <v>1</v>
      </c>
      <c r="AS265" s="313">
        <v>0</v>
      </c>
      <c r="AT265" s="313">
        <v>1</v>
      </c>
      <c r="AU265" s="313">
        <v>1</v>
      </c>
      <c r="AV265" s="313">
        <v>1</v>
      </c>
      <c r="AW265" s="313">
        <v>0</v>
      </c>
      <c r="AX265" s="313">
        <v>0</v>
      </c>
      <c r="AY265" s="313">
        <v>1</v>
      </c>
      <c r="AZ265" s="313">
        <v>1</v>
      </c>
      <c r="BA265" s="313">
        <v>1</v>
      </c>
      <c r="BB265" s="313">
        <v>0</v>
      </c>
      <c r="BC265" s="313">
        <v>1</v>
      </c>
      <c r="BD265" s="313">
        <v>1</v>
      </c>
      <c r="BE265" s="313">
        <v>1</v>
      </c>
      <c r="BF265" s="313">
        <v>1</v>
      </c>
      <c r="BG265" s="313">
        <v>1</v>
      </c>
      <c r="BH265" s="313">
        <v>1</v>
      </c>
      <c r="BI265" s="313">
        <v>1</v>
      </c>
      <c r="BJ265" s="313">
        <v>1</v>
      </c>
      <c r="BK265" s="313">
        <v>1</v>
      </c>
    </row>
    <row r="266" spans="1:63" x14ac:dyDescent="0.25">
      <c r="A266" s="306">
        <v>335912</v>
      </c>
      <c r="B266" s="313" t="s">
        <v>241</v>
      </c>
      <c r="C266" s="313">
        <v>1</v>
      </c>
      <c r="D266" s="313">
        <v>0</v>
      </c>
      <c r="E266" s="313">
        <v>1</v>
      </c>
      <c r="F266" s="313">
        <v>0</v>
      </c>
      <c r="G266" s="313">
        <v>1</v>
      </c>
      <c r="H266" s="313">
        <v>1</v>
      </c>
      <c r="I266" s="313">
        <v>1</v>
      </c>
      <c r="J266" s="313">
        <v>1</v>
      </c>
      <c r="K266" s="313">
        <v>0</v>
      </c>
      <c r="L266" s="313">
        <v>0</v>
      </c>
      <c r="M266" s="313">
        <v>1</v>
      </c>
      <c r="N266" s="313">
        <v>1</v>
      </c>
      <c r="O266" s="313">
        <v>0</v>
      </c>
      <c r="P266" s="313">
        <v>1</v>
      </c>
      <c r="Q266" s="313">
        <v>0</v>
      </c>
      <c r="R266" s="313">
        <v>1</v>
      </c>
      <c r="S266" s="313">
        <v>1</v>
      </c>
      <c r="T266" s="313">
        <v>0</v>
      </c>
      <c r="U266" s="313">
        <v>1</v>
      </c>
      <c r="V266" s="313">
        <v>0</v>
      </c>
      <c r="W266" s="313">
        <v>1</v>
      </c>
      <c r="X266" s="313">
        <v>0</v>
      </c>
      <c r="Y266" s="313">
        <v>0</v>
      </c>
      <c r="Z266" s="313">
        <v>0</v>
      </c>
      <c r="AA266" s="313">
        <v>1</v>
      </c>
      <c r="AB266" s="313">
        <v>1</v>
      </c>
      <c r="AC266" s="313">
        <v>0</v>
      </c>
      <c r="AD266" s="313">
        <v>0</v>
      </c>
      <c r="AE266" s="313">
        <v>1</v>
      </c>
      <c r="AF266" s="313">
        <v>0</v>
      </c>
      <c r="AG266" s="313">
        <v>0</v>
      </c>
      <c r="AH266" s="313">
        <v>0</v>
      </c>
      <c r="AI266" s="313">
        <v>1</v>
      </c>
      <c r="AJ266" s="313">
        <v>0</v>
      </c>
      <c r="AK266" s="313">
        <v>1</v>
      </c>
      <c r="AL266" s="313">
        <v>1</v>
      </c>
      <c r="AM266" s="313">
        <v>0</v>
      </c>
      <c r="AN266" s="313">
        <v>0</v>
      </c>
      <c r="AO266" s="313">
        <v>0</v>
      </c>
      <c r="AP266" s="313">
        <v>1</v>
      </c>
      <c r="AQ266" s="313">
        <v>0</v>
      </c>
      <c r="AR266" s="313">
        <v>1</v>
      </c>
      <c r="AS266" s="313">
        <v>0</v>
      </c>
      <c r="AT266" s="313">
        <v>1</v>
      </c>
      <c r="AU266" s="313">
        <v>1</v>
      </c>
      <c r="AV266" s="313">
        <v>0</v>
      </c>
      <c r="AW266" s="313">
        <v>0</v>
      </c>
      <c r="AX266" s="313">
        <v>1</v>
      </c>
      <c r="AY266" s="313">
        <v>0</v>
      </c>
      <c r="AZ266" s="313">
        <v>1</v>
      </c>
      <c r="BA266" s="313">
        <v>0</v>
      </c>
      <c r="BB266" s="313">
        <v>0</v>
      </c>
      <c r="BC266" s="313">
        <v>1</v>
      </c>
      <c r="BD266" s="313">
        <v>1</v>
      </c>
      <c r="BE266" s="313">
        <v>1</v>
      </c>
      <c r="BF266" s="313">
        <v>1</v>
      </c>
      <c r="BG266" s="313">
        <v>1</v>
      </c>
      <c r="BH266" s="313">
        <v>1</v>
      </c>
      <c r="BI266" s="313">
        <v>1</v>
      </c>
      <c r="BJ266" s="313">
        <v>1</v>
      </c>
      <c r="BK266" s="313">
        <v>1</v>
      </c>
    </row>
    <row r="267" spans="1:63" x14ac:dyDescent="0.25">
      <c r="A267" s="306">
        <v>335920</v>
      </c>
      <c r="B267" s="313" t="s">
        <v>242</v>
      </c>
      <c r="C267" s="313">
        <v>1</v>
      </c>
      <c r="D267" s="313">
        <v>0</v>
      </c>
      <c r="E267" s="313">
        <v>1</v>
      </c>
      <c r="F267" s="313">
        <v>1</v>
      </c>
      <c r="G267" s="313">
        <v>1</v>
      </c>
      <c r="H267" s="313">
        <v>1</v>
      </c>
      <c r="I267" s="313">
        <v>1</v>
      </c>
      <c r="J267" s="313">
        <v>1</v>
      </c>
      <c r="K267" s="313">
        <v>0</v>
      </c>
      <c r="L267" s="313">
        <v>1</v>
      </c>
      <c r="M267" s="313">
        <v>1</v>
      </c>
      <c r="N267" s="313">
        <v>1</v>
      </c>
      <c r="O267" s="313">
        <v>0</v>
      </c>
      <c r="P267" s="313">
        <v>1</v>
      </c>
      <c r="Q267" s="313">
        <v>1</v>
      </c>
      <c r="R267" s="313">
        <v>1</v>
      </c>
      <c r="S267" s="313">
        <v>1</v>
      </c>
      <c r="T267" s="313">
        <v>0</v>
      </c>
      <c r="U267" s="313">
        <v>1</v>
      </c>
      <c r="V267" s="313">
        <v>0</v>
      </c>
      <c r="W267" s="313">
        <v>1</v>
      </c>
      <c r="X267" s="313">
        <v>1</v>
      </c>
      <c r="Y267" s="313">
        <v>1</v>
      </c>
      <c r="Z267" s="313">
        <v>1</v>
      </c>
      <c r="AA267" s="313">
        <v>1</v>
      </c>
      <c r="AB267" s="313">
        <v>1</v>
      </c>
      <c r="AC267" s="313">
        <v>1</v>
      </c>
      <c r="AD267" s="313">
        <v>1</v>
      </c>
      <c r="AE267" s="313">
        <v>1</v>
      </c>
      <c r="AF267" s="313">
        <v>1</v>
      </c>
      <c r="AG267" s="313">
        <v>1</v>
      </c>
      <c r="AH267" s="313">
        <v>1</v>
      </c>
      <c r="AI267" s="313">
        <v>1</v>
      </c>
      <c r="AJ267" s="313">
        <v>1</v>
      </c>
      <c r="AK267" s="313">
        <v>1</v>
      </c>
      <c r="AL267" s="313">
        <v>1</v>
      </c>
      <c r="AM267" s="313">
        <v>1</v>
      </c>
      <c r="AN267" s="313">
        <v>0</v>
      </c>
      <c r="AO267" s="313">
        <v>1</v>
      </c>
      <c r="AP267" s="313">
        <v>1</v>
      </c>
      <c r="AQ267" s="313">
        <v>1</v>
      </c>
      <c r="AR267" s="313">
        <v>1</v>
      </c>
      <c r="AS267" s="313">
        <v>0</v>
      </c>
      <c r="AT267" s="313">
        <v>1</v>
      </c>
      <c r="AU267" s="313">
        <v>1</v>
      </c>
      <c r="AV267" s="313">
        <v>1</v>
      </c>
      <c r="AW267" s="313">
        <v>1</v>
      </c>
      <c r="AX267" s="313">
        <v>1</v>
      </c>
      <c r="AY267" s="313">
        <v>1</v>
      </c>
      <c r="AZ267" s="313">
        <v>1</v>
      </c>
      <c r="BA267" s="313">
        <v>0</v>
      </c>
      <c r="BB267" s="313">
        <v>1</v>
      </c>
      <c r="BC267" s="313">
        <v>1</v>
      </c>
      <c r="BD267" s="313">
        <v>1</v>
      </c>
      <c r="BE267" s="313">
        <v>1</v>
      </c>
      <c r="BF267" s="313">
        <v>1</v>
      </c>
      <c r="BG267" s="313">
        <v>1</v>
      </c>
      <c r="BH267" s="313">
        <v>1</v>
      </c>
      <c r="BI267" s="313">
        <v>1</v>
      </c>
      <c r="BJ267" s="313">
        <v>1</v>
      </c>
      <c r="BK267" s="313">
        <v>1</v>
      </c>
    </row>
    <row r="268" spans="1:63" x14ac:dyDescent="0.25">
      <c r="A268" s="306">
        <v>335930</v>
      </c>
      <c r="B268" s="313" t="s">
        <v>243</v>
      </c>
      <c r="C268" s="313">
        <v>1</v>
      </c>
      <c r="D268" s="313">
        <v>1</v>
      </c>
      <c r="E268" s="313">
        <v>1</v>
      </c>
      <c r="F268" s="313">
        <v>1</v>
      </c>
      <c r="G268" s="313">
        <v>1</v>
      </c>
      <c r="H268" s="313">
        <v>1</v>
      </c>
      <c r="I268" s="313">
        <v>1</v>
      </c>
      <c r="J268" s="313">
        <v>1</v>
      </c>
      <c r="K268" s="313">
        <v>0</v>
      </c>
      <c r="L268" s="313">
        <v>1</v>
      </c>
      <c r="M268" s="313">
        <v>1</v>
      </c>
      <c r="N268" s="313">
        <v>1</v>
      </c>
      <c r="O268" s="313">
        <v>0</v>
      </c>
      <c r="P268" s="313">
        <v>1</v>
      </c>
      <c r="Q268" s="313">
        <v>1</v>
      </c>
      <c r="R268" s="313">
        <v>1</v>
      </c>
      <c r="S268" s="313">
        <v>1</v>
      </c>
      <c r="T268" s="313">
        <v>1</v>
      </c>
      <c r="U268" s="313">
        <v>1</v>
      </c>
      <c r="V268" s="313">
        <v>0</v>
      </c>
      <c r="W268" s="313">
        <v>1</v>
      </c>
      <c r="X268" s="313">
        <v>1</v>
      </c>
      <c r="Y268" s="313">
        <v>1</v>
      </c>
      <c r="Z268" s="313">
        <v>1</v>
      </c>
      <c r="AA268" s="313">
        <v>1</v>
      </c>
      <c r="AB268" s="313">
        <v>1</v>
      </c>
      <c r="AC268" s="313">
        <v>1</v>
      </c>
      <c r="AD268" s="313">
        <v>1</v>
      </c>
      <c r="AE268" s="313">
        <v>1</v>
      </c>
      <c r="AF268" s="313">
        <v>1</v>
      </c>
      <c r="AG268" s="313">
        <v>1</v>
      </c>
      <c r="AH268" s="313">
        <v>1</v>
      </c>
      <c r="AI268" s="313">
        <v>1</v>
      </c>
      <c r="AJ268" s="313">
        <v>1</v>
      </c>
      <c r="AK268" s="313">
        <v>1</v>
      </c>
      <c r="AL268" s="313">
        <v>1</v>
      </c>
      <c r="AM268" s="313">
        <v>1</v>
      </c>
      <c r="AN268" s="313">
        <v>1</v>
      </c>
      <c r="AO268" s="313">
        <v>1</v>
      </c>
      <c r="AP268" s="313">
        <v>1</v>
      </c>
      <c r="AQ268" s="313">
        <v>1</v>
      </c>
      <c r="AR268" s="313">
        <v>1</v>
      </c>
      <c r="AS268" s="313">
        <v>0</v>
      </c>
      <c r="AT268" s="313">
        <v>1</v>
      </c>
      <c r="AU268" s="313">
        <v>1</v>
      </c>
      <c r="AV268" s="313">
        <v>1</v>
      </c>
      <c r="AW268" s="313">
        <v>1</v>
      </c>
      <c r="AX268" s="313">
        <v>0</v>
      </c>
      <c r="AY268" s="313">
        <v>1</v>
      </c>
      <c r="AZ268" s="313">
        <v>1</v>
      </c>
      <c r="BA268" s="313">
        <v>0</v>
      </c>
      <c r="BB268" s="313">
        <v>0</v>
      </c>
      <c r="BC268" s="313">
        <v>1</v>
      </c>
      <c r="BD268" s="313">
        <v>1</v>
      </c>
      <c r="BE268" s="313">
        <v>1</v>
      </c>
      <c r="BF268" s="313">
        <v>1</v>
      </c>
      <c r="BG268" s="313">
        <v>1</v>
      </c>
      <c r="BH268" s="313">
        <v>1</v>
      </c>
      <c r="BI268" s="313">
        <v>1</v>
      </c>
      <c r="BJ268" s="313">
        <v>1</v>
      </c>
      <c r="BK268" s="313">
        <v>1</v>
      </c>
    </row>
    <row r="269" spans="1:63" x14ac:dyDescent="0.25">
      <c r="A269" s="306">
        <v>335991</v>
      </c>
      <c r="B269" s="313" t="s">
        <v>0</v>
      </c>
      <c r="C269" s="313">
        <v>1</v>
      </c>
      <c r="D269" s="313">
        <v>0</v>
      </c>
      <c r="E269" s="313">
        <v>1</v>
      </c>
      <c r="F269" s="313">
        <v>1</v>
      </c>
      <c r="G269" s="313">
        <v>1</v>
      </c>
      <c r="H269" s="313">
        <v>1</v>
      </c>
      <c r="I269" s="313">
        <v>1</v>
      </c>
      <c r="J269" s="313">
        <v>1</v>
      </c>
      <c r="K269" s="313">
        <v>0</v>
      </c>
      <c r="L269" s="313">
        <v>0</v>
      </c>
      <c r="M269" s="313">
        <v>1</v>
      </c>
      <c r="N269" s="313">
        <v>0</v>
      </c>
      <c r="O269" s="313">
        <v>0</v>
      </c>
      <c r="P269" s="313">
        <v>1</v>
      </c>
      <c r="Q269" s="313">
        <v>0</v>
      </c>
      <c r="R269" s="313">
        <v>1</v>
      </c>
      <c r="S269" s="313">
        <v>0</v>
      </c>
      <c r="T269" s="313">
        <v>0</v>
      </c>
      <c r="U269" s="313">
        <v>1</v>
      </c>
      <c r="V269" s="313">
        <v>0</v>
      </c>
      <c r="W269" s="313">
        <v>1</v>
      </c>
      <c r="X269" s="313">
        <v>0</v>
      </c>
      <c r="Y269" s="313">
        <v>1</v>
      </c>
      <c r="Z269" s="313">
        <v>1</v>
      </c>
      <c r="AA269" s="313">
        <v>1</v>
      </c>
      <c r="AB269" s="313">
        <v>1</v>
      </c>
      <c r="AC269" s="313">
        <v>0</v>
      </c>
      <c r="AD269" s="313">
        <v>0</v>
      </c>
      <c r="AE269" s="313">
        <v>1</v>
      </c>
      <c r="AF269" s="313">
        <v>0</v>
      </c>
      <c r="AG269" s="313">
        <v>0</v>
      </c>
      <c r="AH269" s="313">
        <v>1</v>
      </c>
      <c r="AI269" s="313">
        <v>1</v>
      </c>
      <c r="AJ269" s="313">
        <v>0</v>
      </c>
      <c r="AK269" s="313">
        <v>0</v>
      </c>
      <c r="AL269" s="313">
        <v>1</v>
      </c>
      <c r="AM269" s="313">
        <v>1</v>
      </c>
      <c r="AN269" s="313">
        <v>0</v>
      </c>
      <c r="AO269" s="313">
        <v>1</v>
      </c>
      <c r="AP269" s="313">
        <v>1</v>
      </c>
      <c r="AQ269" s="313">
        <v>0</v>
      </c>
      <c r="AR269" s="313">
        <v>1</v>
      </c>
      <c r="AS269" s="313">
        <v>0</v>
      </c>
      <c r="AT269" s="313">
        <v>1</v>
      </c>
      <c r="AU269" s="313">
        <v>1</v>
      </c>
      <c r="AV269" s="313">
        <v>1</v>
      </c>
      <c r="AW269" s="313">
        <v>1</v>
      </c>
      <c r="AX269" s="313">
        <v>1</v>
      </c>
      <c r="AY269" s="313">
        <v>0</v>
      </c>
      <c r="AZ269" s="313">
        <v>1</v>
      </c>
      <c r="BA269" s="313">
        <v>1</v>
      </c>
      <c r="BB269" s="313">
        <v>1</v>
      </c>
      <c r="BC269" s="313">
        <v>1</v>
      </c>
      <c r="BD269" s="313">
        <v>1</v>
      </c>
      <c r="BE269" s="313">
        <v>1</v>
      </c>
      <c r="BF269" s="313">
        <v>1</v>
      </c>
      <c r="BG269" s="313">
        <v>1</v>
      </c>
      <c r="BH269" s="313">
        <v>1</v>
      </c>
      <c r="BI269" s="313">
        <v>1</v>
      </c>
      <c r="BJ269" s="313">
        <v>1</v>
      </c>
      <c r="BK269" s="313">
        <v>1</v>
      </c>
    </row>
    <row r="270" spans="1:63" x14ac:dyDescent="0.25">
      <c r="A270" s="306">
        <v>335999</v>
      </c>
      <c r="B270" s="313" t="s">
        <v>3</v>
      </c>
      <c r="C270" s="313">
        <v>1</v>
      </c>
      <c r="D270" s="313">
        <v>0</v>
      </c>
      <c r="E270" s="313">
        <v>1</v>
      </c>
      <c r="F270" s="313">
        <v>1</v>
      </c>
      <c r="G270" s="313">
        <v>1</v>
      </c>
      <c r="H270" s="313">
        <v>1</v>
      </c>
      <c r="I270" s="313">
        <v>1</v>
      </c>
      <c r="J270" s="313">
        <v>1</v>
      </c>
      <c r="K270" s="313">
        <v>0</v>
      </c>
      <c r="L270" s="313">
        <v>0</v>
      </c>
      <c r="M270" s="313">
        <v>1</v>
      </c>
      <c r="N270" s="313">
        <v>1</v>
      </c>
      <c r="O270" s="313">
        <v>0</v>
      </c>
      <c r="P270" s="313">
        <v>1</v>
      </c>
      <c r="Q270" s="313">
        <v>1</v>
      </c>
      <c r="R270" s="313">
        <v>1</v>
      </c>
      <c r="S270" s="313">
        <v>1</v>
      </c>
      <c r="T270" s="313">
        <v>1</v>
      </c>
      <c r="U270" s="313">
        <v>1</v>
      </c>
      <c r="V270" s="313">
        <v>1</v>
      </c>
      <c r="W270" s="313">
        <v>1</v>
      </c>
      <c r="X270" s="313">
        <v>1</v>
      </c>
      <c r="Y270" s="313">
        <v>1</v>
      </c>
      <c r="Z270" s="313">
        <v>1</v>
      </c>
      <c r="AA270" s="313">
        <v>1</v>
      </c>
      <c r="AB270" s="313">
        <v>1</v>
      </c>
      <c r="AC270" s="313">
        <v>1</v>
      </c>
      <c r="AD270" s="313">
        <v>1</v>
      </c>
      <c r="AE270" s="313">
        <v>1</v>
      </c>
      <c r="AF270" s="313">
        <v>0</v>
      </c>
      <c r="AG270" s="313">
        <v>1</v>
      </c>
      <c r="AH270" s="313">
        <v>1</v>
      </c>
      <c r="AI270" s="313">
        <v>1</v>
      </c>
      <c r="AJ270" s="313">
        <v>1</v>
      </c>
      <c r="AK270" s="313">
        <v>1</v>
      </c>
      <c r="AL270" s="313">
        <v>1</v>
      </c>
      <c r="AM270" s="313">
        <v>1</v>
      </c>
      <c r="AN270" s="313">
        <v>1</v>
      </c>
      <c r="AO270" s="313">
        <v>1</v>
      </c>
      <c r="AP270" s="313">
        <v>1</v>
      </c>
      <c r="AQ270" s="313">
        <v>1</v>
      </c>
      <c r="AR270" s="313">
        <v>1</v>
      </c>
      <c r="AS270" s="313">
        <v>0</v>
      </c>
      <c r="AT270" s="313">
        <v>1</v>
      </c>
      <c r="AU270" s="313">
        <v>1</v>
      </c>
      <c r="AV270" s="313">
        <v>1</v>
      </c>
      <c r="AW270" s="313">
        <v>1</v>
      </c>
      <c r="AX270" s="313">
        <v>1</v>
      </c>
      <c r="AY270" s="313">
        <v>1</v>
      </c>
      <c r="AZ270" s="313">
        <v>1</v>
      </c>
      <c r="BA270" s="313">
        <v>1</v>
      </c>
      <c r="BB270" s="313">
        <v>0</v>
      </c>
      <c r="BC270" s="313">
        <v>1</v>
      </c>
      <c r="BD270" s="313">
        <v>1</v>
      </c>
      <c r="BE270" s="313">
        <v>1</v>
      </c>
      <c r="BF270" s="313">
        <v>1</v>
      </c>
      <c r="BG270" s="313">
        <v>1</v>
      </c>
      <c r="BH270" s="313">
        <v>1</v>
      </c>
      <c r="BI270" s="313">
        <v>1</v>
      </c>
      <c r="BJ270" s="313">
        <v>1</v>
      </c>
      <c r="BK270" s="313">
        <v>1</v>
      </c>
    </row>
    <row r="271" spans="1:63" x14ac:dyDescent="0.25">
      <c r="A271" s="306">
        <v>336111</v>
      </c>
      <c r="B271" s="313" t="s">
        <v>244</v>
      </c>
      <c r="C271" s="313">
        <v>1</v>
      </c>
      <c r="D271" s="313">
        <v>0</v>
      </c>
      <c r="E271" s="313">
        <v>1</v>
      </c>
      <c r="F271" s="313">
        <v>0</v>
      </c>
      <c r="G271" s="313">
        <v>1</v>
      </c>
      <c r="H271" s="313">
        <v>1</v>
      </c>
      <c r="I271" s="313">
        <v>1</v>
      </c>
      <c r="J271" s="313">
        <v>0</v>
      </c>
      <c r="K271" s="313">
        <v>0</v>
      </c>
      <c r="L271" s="313">
        <v>1</v>
      </c>
      <c r="M271" s="313">
        <v>1</v>
      </c>
      <c r="N271" s="313">
        <v>1</v>
      </c>
      <c r="O271" s="313">
        <v>0</v>
      </c>
      <c r="P271" s="313">
        <v>1</v>
      </c>
      <c r="Q271" s="313">
        <v>0</v>
      </c>
      <c r="R271" s="313">
        <v>1</v>
      </c>
      <c r="S271" s="313">
        <v>1</v>
      </c>
      <c r="T271" s="313">
        <v>1</v>
      </c>
      <c r="U271" s="313">
        <v>1</v>
      </c>
      <c r="V271" s="313">
        <v>1</v>
      </c>
      <c r="W271" s="313">
        <v>1</v>
      </c>
      <c r="X271" s="313">
        <v>1</v>
      </c>
      <c r="Y271" s="313">
        <v>0</v>
      </c>
      <c r="Z271" s="313">
        <v>1</v>
      </c>
      <c r="AA271" s="313">
        <v>1</v>
      </c>
      <c r="AB271" s="313">
        <v>1</v>
      </c>
      <c r="AC271" s="313">
        <v>0</v>
      </c>
      <c r="AD271" s="313">
        <v>0</v>
      </c>
      <c r="AE271" s="313">
        <v>1</v>
      </c>
      <c r="AF271" s="313">
        <v>1</v>
      </c>
      <c r="AG271" s="313">
        <v>0</v>
      </c>
      <c r="AH271" s="313">
        <v>0</v>
      </c>
      <c r="AI271" s="313">
        <v>1</v>
      </c>
      <c r="AJ271" s="313">
        <v>0</v>
      </c>
      <c r="AK271" s="313">
        <v>1</v>
      </c>
      <c r="AL271" s="313">
        <v>1</v>
      </c>
      <c r="AM271" s="313">
        <v>1</v>
      </c>
      <c r="AN271" s="313">
        <v>1</v>
      </c>
      <c r="AO271" s="313">
        <v>1</v>
      </c>
      <c r="AP271" s="313">
        <v>1</v>
      </c>
      <c r="AQ271" s="313">
        <v>0</v>
      </c>
      <c r="AR271" s="313">
        <v>1</v>
      </c>
      <c r="AS271" s="313">
        <v>1</v>
      </c>
      <c r="AT271" s="313">
        <v>1</v>
      </c>
      <c r="AU271" s="313">
        <v>1</v>
      </c>
      <c r="AV271" s="313">
        <v>0</v>
      </c>
      <c r="AW271" s="313">
        <v>1</v>
      </c>
      <c r="AX271" s="313">
        <v>0</v>
      </c>
      <c r="AY271" s="313">
        <v>1</v>
      </c>
      <c r="AZ271" s="313">
        <v>1</v>
      </c>
      <c r="BA271" s="313">
        <v>0</v>
      </c>
      <c r="BB271" s="313">
        <v>0</v>
      </c>
      <c r="BC271" s="313">
        <v>1</v>
      </c>
      <c r="BD271" s="313">
        <v>1</v>
      </c>
      <c r="BE271" s="313">
        <v>1</v>
      </c>
      <c r="BF271" s="313">
        <v>1</v>
      </c>
      <c r="BG271" s="313">
        <v>1</v>
      </c>
      <c r="BH271" s="313">
        <v>1</v>
      </c>
      <c r="BI271" s="313">
        <v>1</v>
      </c>
      <c r="BJ271" s="313">
        <v>1</v>
      </c>
      <c r="BK271" s="313">
        <v>1</v>
      </c>
    </row>
    <row r="272" spans="1:63" x14ac:dyDescent="0.25">
      <c r="A272" s="306">
        <v>336112</v>
      </c>
      <c r="B272" s="313" t="s">
        <v>245</v>
      </c>
      <c r="C272" s="313">
        <v>1</v>
      </c>
      <c r="D272" s="313">
        <v>0</v>
      </c>
      <c r="E272" s="313">
        <v>1</v>
      </c>
      <c r="F272" s="313">
        <v>0</v>
      </c>
      <c r="G272" s="313">
        <v>1</v>
      </c>
      <c r="H272" s="313">
        <v>1</v>
      </c>
      <c r="I272" s="313">
        <v>0</v>
      </c>
      <c r="J272" s="313">
        <v>0</v>
      </c>
      <c r="K272" s="313">
        <v>0</v>
      </c>
      <c r="L272" s="313">
        <v>0</v>
      </c>
      <c r="M272" s="313">
        <v>0</v>
      </c>
      <c r="N272" s="313">
        <v>1</v>
      </c>
      <c r="O272" s="313">
        <v>0</v>
      </c>
      <c r="P272" s="313">
        <v>0</v>
      </c>
      <c r="Q272" s="313">
        <v>1</v>
      </c>
      <c r="R272" s="313">
        <v>1</v>
      </c>
      <c r="S272" s="313">
        <v>1</v>
      </c>
      <c r="T272" s="313">
        <v>1</v>
      </c>
      <c r="U272" s="313">
        <v>1</v>
      </c>
      <c r="V272" s="313">
        <v>1</v>
      </c>
      <c r="W272" s="313">
        <v>1</v>
      </c>
      <c r="X272" s="313">
        <v>1</v>
      </c>
      <c r="Y272" s="313">
        <v>0</v>
      </c>
      <c r="Z272" s="313">
        <v>1</v>
      </c>
      <c r="AA272" s="313">
        <v>1</v>
      </c>
      <c r="AB272" s="313">
        <v>1</v>
      </c>
      <c r="AC272" s="313">
        <v>1</v>
      </c>
      <c r="AD272" s="313">
        <v>0</v>
      </c>
      <c r="AE272" s="313">
        <v>1</v>
      </c>
      <c r="AF272" s="313">
        <v>0</v>
      </c>
      <c r="AG272" s="313">
        <v>0</v>
      </c>
      <c r="AH272" s="313">
        <v>0</v>
      </c>
      <c r="AI272" s="313">
        <v>1</v>
      </c>
      <c r="AJ272" s="313">
        <v>0</v>
      </c>
      <c r="AK272" s="313">
        <v>0</v>
      </c>
      <c r="AL272" s="313">
        <v>1</v>
      </c>
      <c r="AM272" s="313">
        <v>1</v>
      </c>
      <c r="AN272" s="313">
        <v>1</v>
      </c>
      <c r="AO272" s="313">
        <v>1</v>
      </c>
      <c r="AP272" s="313">
        <v>1</v>
      </c>
      <c r="AQ272" s="313">
        <v>0</v>
      </c>
      <c r="AR272" s="313">
        <v>1</v>
      </c>
      <c r="AS272" s="313">
        <v>0</v>
      </c>
      <c r="AT272" s="313">
        <v>0</v>
      </c>
      <c r="AU272" s="313">
        <v>1</v>
      </c>
      <c r="AV272" s="313">
        <v>1</v>
      </c>
      <c r="AW272" s="313">
        <v>1</v>
      </c>
      <c r="AX272" s="313">
        <v>0</v>
      </c>
      <c r="AY272" s="313">
        <v>1</v>
      </c>
      <c r="AZ272" s="313">
        <v>1</v>
      </c>
      <c r="BA272" s="313">
        <v>0</v>
      </c>
      <c r="BB272" s="313">
        <v>0</v>
      </c>
      <c r="BC272" s="313">
        <v>1</v>
      </c>
      <c r="BD272" s="313">
        <v>1</v>
      </c>
      <c r="BE272" s="313">
        <v>1</v>
      </c>
      <c r="BF272" s="313">
        <v>1</v>
      </c>
      <c r="BG272" s="313">
        <v>1</v>
      </c>
      <c r="BH272" s="313">
        <v>1</v>
      </c>
      <c r="BI272" s="313">
        <v>1</v>
      </c>
      <c r="BJ272" s="313">
        <v>1</v>
      </c>
      <c r="BK272" s="313">
        <v>1</v>
      </c>
    </row>
    <row r="273" spans="1:63" x14ac:dyDescent="0.25">
      <c r="A273" s="306">
        <v>336120</v>
      </c>
      <c r="B273" s="313" t="s">
        <v>246</v>
      </c>
      <c r="C273" s="313">
        <v>1</v>
      </c>
      <c r="D273" s="313">
        <v>0</v>
      </c>
      <c r="E273" s="313">
        <v>1</v>
      </c>
      <c r="F273" s="313">
        <v>1</v>
      </c>
      <c r="G273" s="313">
        <v>1</v>
      </c>
      <c r="H273" s="313">
        <v>1</v>
      </c>
      <c r="I273" s="313">
        <v>1</v>
      </c>
      <c r="J273" s="313">
        <v>1</v>
      </c>
      <c r="K273" s="313">
        <v>0</v>
      </c>
      <c r="L273" s="313">
        <v>0</v>
      </c>
      <c r="M273" s="313">
        <v>1</v>
      </c>
      <c r="N273" s="313">
        <v>1</v>
      </c>
      <c r="O273" s="313">
        <v>0</v>
      </c>
      <c r="P273" s="313">
        <v>1</v>
      </c>
      <c r="Q273" s="313">
        <v>1</v>
      </c>
      <c r="R273" s="313">
        <v>1</v>
      </c>
      <c r="S273" s="313">
        <v>1</v>
      </c>
      <c r="T273" s="313">
        <v>1</v>
      </c>
      <c r="U273" s="313">
        <v>1</v>
      </c>
      <c r="V273" s="313">
        <v>1</v>
      </c>
      <c r="W273" s="313">
        <v>0</v>
      </c>
      <c r="X273" s="313">
        <v>1</v>
      </c>
      <c r="Y273" s="313">
        <v>0</v>
      </c>
      <c r="Z273" s="313">
        <v>1</v>
      </c>
      <c r="AA273" s="313">
        <v>1</v>
      </c>
      <c r="AB273" s="313">
        <v>1</v>
      </c>
      <c r="AC273" s="313">
        <v>1</v>
      </c>
      <c r="AD273" s="313">
        <v>1</v>
      </c>
      <c r="AE273" s="313">
        <v>1</v>
      </c>
      <c r="AF273" s="313">
        <v>1</v>
      </c>
      <c r="AG273" s="313">
        <v>1</v>
      </c>
      <c r="AH273" s="313">
        <v>0</v>
      </c>
      <c r="AI273" s="313">
        <v>1</v>
      </c>
      <c r="AJ273" s="313">
        <v>1</v>
      </c>
      <c r="AK273" s="313">
        <v>0</v>
      </c>
      <c r="AL273" s="313">
        <v>1</v>
      </c>
      <c r="AM273" s="313">
        <v>1</v>
      </c>
      <c r="AN273" s="313">
        <v>1</v>
      </c>
      <c r="AO273" s="313">
        <v>1</v>
      </c>
      <c r="AP273" s="313">
        <v>1</v>
      </c>
      <c r="AQ273" s="313">
        <v>0</v>
      </c>
      <c r="AR273" s="313">
        <v>1</v>
      </c>
      <c r="AS273" s="313">
        <v>1</v>
      </c>
      <c r="AT273" s="313">
        <v>1</v>
      </c>
      <c r="AU273" s="313">
        <v>1</v>
      </c>
      <c r="AV273" s="313">
        <v>0</v>
      </c>
      <c r="AW273" s="313">
        <v>1</v>
      </c>
      <c r="AX273" s="313">
        <v>0</v>
      </c>
      <c r="AY273" s="313">
        <v>1</v>
      </c>
      <c r="AZ273" s="313">
        <v>1</v>
      </c>
      <c r="BA273" s="313">
        <v>1</v>
      </c>
      <c r="BB273" s="313">
        <v>0</v>
      </c>
      <c r="BC273" s="313">
        <v>1</v>
      </c>
      <c r="BD273" s="313">
        <v>1</v>
      </c>
      <c r="BE273" s="313">
        <v>1</v>
      </c>
      <c r="BF273" s="313">
        <v>1</v>
      </c>
      <c r="BG273" s="313">
        <v>1</v>
      </c>
      <c r="BH273" s="313">
        <v>1</v>
      </c>
      <c r="BI273" s="313">
        <v>1</v>
      </c>
      <c r="BJ273" s="313">
        <v>1</v>
      </c>
      <c r="BK273" s="313">
        <v>1</v>
      </c>
    </row>
    <row r="274" spans="1:63" x14ac:dyDescent="0.25">
      <c r="A274" s="306">
        <v>336211</v>
      </c>
      <c r="B274" s="313" t="s">
        <v>247</v>
      </c>
      <c r="C274" s="313">
        <v>1</v>
      </c>
      <c r="D274" s="313">
        <v>1</v>
      </c>
      <c r="E274" s="313">
        <v>1</v>
      </c>
      <c r="F274" s="313">
        <v>1</v>
      </c>
      <c r="G274" s="313">
        <v>1</v>
      </c>
      <c r="H274" s="313">
        <v>1</v>
      </c>
      <c r="I274" s="313">
        <v>1</v>
      </c>
      <c r="J274" s="313">
        <v>1</v>
      </c>
      <c r="K274" s="313">
        <v>0</v>
      </c>
      <c r="L274" s="313">
        <v>1</v>
      </c>
      <c r="M274" s="313">
        <v>1</v>
      </c>
      <c r="N274" s="313">
        <v>1</v>
      </c>
      <c r="O274" s="313">
        <v>1</v>
      </c>
      <c r="P274" s="313">
        <v>1</v>
      </c>
      <c r="Q274" s="313">
        <v>1</v>
      </c>
      <c r="R274" s="313">
        <v>1</v>
      </c>
      <c r="S274" s="313">
        <v>1</v>
      </c>
      <c r="T274" s="313">
        <v>1</v>
      </c>
      <c r="U274" s="313">
        <v>1</v>
      </c>
      <c r="V274" s="313">
        <v>1</v>
      </c>
      <c r="W274" s="313">
        <v>1</v>
      </c>
      <c r="X274" s="313">
        <v>1</v>
      </c>
      <c r="Y274" s="313">
        <v>0</v>
      </c>
      <c r="Z274" s="313">
        <v>1</v>
      </c>
      <c r="AA274" s="313">
        <v>1</v>
      </c>
      <c r="AB274" s="313">
        <v>1</v>
      </c>
      <c r="AC274" s="313">
        <v>1</v>
      </c>
      <c r="AD274" s="313">
        <v>1</v>
      </c>
      <c r="AE274" s="313">
        <v>1</v>
      </c>
      <c r="AF274" s="313">
        <v>1</v>
      </c>
      <c r="AG274" s="313">
        <v>1</v>
      </c>
      <c r="AH274" s="313">
        <v>1</v>
      </c>
      <c r="AI274" s="313">
        <v>1</v>
      </c>
      <c r="AJ274" s="313">
        <v>1</v>
      </c>
      <c r="AK274" s="313">
        <v>1</v>
      </c>
      <c r="AL274" s="313">
        <v>1</v>
      </c>
      <c r="AM274" s="313">
        <v>1</v>
      </c>
      <c r="AN274" s="313">
        <v>1</v>
      </c>
      <c r="AO274" s="313">
        <v>1</v>
      </c>
      <c r="AP274" s="313">
        <v>1</v>
      </c>
      <c r="AQ274" s="313">
        <v>1</v>
      </c>
      <c r="AR274" s="313">
        <v>1</v>
      </c>
      <c r="AS274" s="313">
        <v>1</v>
      </c>
      <c r="AT274" s="313">
        <v>1</v>
      </c>
      <c r="AU274" s="313">
        <v>1</v>
      </c>
      <c r="AV274" s="313">
        <v>1</v>
      </c>
      <c r="AW274" s="313">
        <v>1</v>
      </c>
      <c r="AX274" s="313">
        <v>1</v>
      </c>
      <c r="AY274" s="313">
        <v>1</v>
      </c>
      <c r="AZ274" s="313">
        <v>1</v>
      </c>
      <c r="BA274" s="313">
        <v>1</v>
      </c>
      <c r="BB274" s="313">
        <v>1</v>
      </c>
      <c r="BC274" s="313">
        <v>1</v>
      </c>
      <c r="BD274" s="313">
        <v>1</v>
      </c>
      <c r="BE274" s="313">
        <v>1</v>
      </c>
      <c r="BF274" s="313">
        <v>1</v>
      </c>
      <c r="BG274" s="313">
        <v>1</v>
      </c>
      <c r="BH274" s="313">
        <v>1</v>
      </c>
      <c r="BI274" s="313">
        <v>1</v>
      </c>
      <c r="BJ274" s="313">
        <v>1</v>
      </c>
      <c r="BK274" s="313">
        <v>1</v>
      </c>
    </row>
    <row r="275" spans="1:63" x14ac:dyDescent="0.25">
      <c r="A275" s="306">
        <v>336212</v>
      </c>
      <c r="B275" s="313" t="s">
        <v>248</v>
      </c>
      <c r="C275" s="313">
        <v>1</v>
      </c>
      <c r="D275" s="313">
        <v>1</v>
      </c>
      <c r="E275" s="313">
        <v>1</v>
      </c>
      <c r="F275" s="313">
        <v>1</v>
      </c>
      <c r="G275" s="313">
        <v>1</v>
      </c>
      <c r="H275" s="313">
        <v>1</v>
      </c>
      <c r="I275" s="313">
        <v>1</v>
      </c>
      <c r="J275" s="313">
        <v>0</v>
      </c>
      <c r="K275" s="313">
        <v>0</v>
      </c>
      <c r="L275" s="313">
        <v>1</v>
      </c>
      <c r="M275" s="313">
        <v>1</v>
      </c>
      <c r="N275" s="313">
        <v>1</v>
      </c>
      <c r="O275" s="313">
        <v>0</v>
      </c>
      <c r="P275" s="313">
        <v>1</v>
      </c>
      <c r="Q275" s="313">
        <v>1</v>
      </c>
      <c r="R275" s="313">
        <v>1</v>
      </c>
      <c r="S275" s="313">
        <v>1</v>
      </c>
      <c r="T275" s="313">
        <v>1</v>
      </c>
      <c r="U275" s="313">
        <v>1</v>
      </c>
      <c r="V275" s="313">
        <v>1</v>
      </c>
      <c r="W275" s="313">
        <v>1</v>
      </c>
      <c r="X275" s="313">
        <v>0</v>
      </c>
      <c r="Y275" s="313">
        <v>1</v>
      </c>
      <c r="Z275" s="313">
        <v>1</v>
      </c>
      <c r="AA275" s="313">
        <v>1</v>
      </c>
      <c r="AB275" s="313">
        <v>1</v>
      </c>
      <c r="AC275" s="313">
        <v>1</v>
      </c>
      <c r="AD275" s="313">
        <v>1</v>
      </c>
      <c r="AE275" s="313">
        <v>1</v>
      </c>
      <c r="AF275" s="313">
        <v>1</v>
      </c>
      <c r="AG275" s="313">
        <v>1</v>
      </c>
      <c r="AH275" s="313">
        <v>0</v>
      </c>
      <c r="AI275" s="313">
        <v>1</v>
      </c>
      <c r="AJ275" s="313">
        <v>1</v>
      </c>
      <c r="AK275" s="313">
        <v>0</v>
      </c>
      <c r="AL275" s="313">
        <v>1</v>
      </c>
      <c r="AM275" s="313">
        <v>1</v>
      </c>
      <c r="AN275" s="313">
        <v>1</v>
      </c>
      <c r="AO275" s="313">
        <v>1</v>
      </c>
      <c r="AP275" s="313">
        <v>1</v>
      </c>
      <c r="AQ275" s="313">
        <v>1</v>
      </c>
      <c r="AR275" s="313">
        <v>1</v>
      </c>
      <c r="AS275" s="313">
        <v>1</v>
      </c>
      <c r="AT275" s="313">
        <v>1</v>
      </c>
      <c r="AU275" s="313">
        <v>1</v>
      </c>
      <c r="AV275" s="313">
        <v>1</v>
      </c>
      <c r="AW275" s="313">
        <v>1</v>
      </c>
      <c r="AX275" s="313">
        <v>0</v>
      </c>
      <c r="AY275" s="313">
        <v>1</v>
      </c>
      <c r="AZ275" s="313">
        <v>1</v>
      </c>
      <c r="BA275" s="313">
        <v>1</v>
      </c>
      <c r="BB275" s="313">
        <v>0</v>
      </c>
      <c r="BC275" s="313">
        <v>1</v>
      </c>
      <c r="BD275" s="313">
        <v>1</v>
      </c>
      <c r="BE275" s="313">
        <v>1</v>
      </c>
      <c r="BF275" s="313">
        <v>1</v>
      </c>
      <c r="BG275" s="313">
        <v>1</v>
      </c>
      <c r="BH275" s="313">
        <v>1</v>
      </c>
      <c r="BI275" s="313">
        <v>1</v>
      </c>
      <c r="BJ275" s="313">
        <v>1</v>
      </c>
      <c r="BK275" s="313">
        <v>1</v>
      </c>
    </row>
    <row r="276" spans="1:63" x14ac:dyDescent="0.25">
      <c r="A276" s="306">
        <v>336213</v>
      </c>
      <c r="B276" s="313" t="s">
        <v>249</v>
      </c>
      <c r="C276" s="313">
        <v>1</v>
      </c>
      <c r="D276" s="313">
        <v>0</v>
      </c>
      <c r="E276" s="313">
        <v>1</v>
      </c>
      <c r="F276" s="313">
        <v>0</v>
      </c>
      <c r="G276" s="313">
        <v>1</v>
      </c>
      <c r="H276" s="313">
        <v>1</v>
      </c>
      <c r="I276" s="313">
        <v>0</v>
      </c>
      <c r="J276" s="313">
        <v>0</v>
      </c>
      <c r="K276" s="313">
        <v>0</v>
      </c>
      <c r="L276" s="313">
        <v>0</v>
      </c>
      <c r="M276" s="313">
        <v>1</v>
      </c>
      <c r="N276" s="313">
        <v>0</v>
      </c>
      <c r="O276" s="313">
        <v>0</v>
      </c>
      <c r="P276" s="313">
        <v>1</v>
      </c>
      <c r="Q276" s="313">
        <v>0</v>
      </c>
      <c r="R276" s="313">
        <v>0</v>
      </c>
      <c r="S276" s="313">
        <v>1</v>
      </c>
      <c r="T276" s="313">
        <v>0</v>
      </c>
      <c r="U276" s="313">
        <v>0</v>
      </c>
      <c r="V276" s="313">
        <v>0</v>
      </c>
      <c r="W276" s="313">
        <v>0</v>
      </c>
      <c r="X276" s="313">
        <v>0</v>
      </c>
      <c r="Y276" s="313">
        <v>0</v>
      </c>
      <c r="Z276" s="313">
        <v>1</v>
      </c>
      <c r="AA276" s="313">
        <v>1</v>
      </c>
      <c r="AB276" s="313">
        <v>1</v>
      </c>
      <c r="AC276" s="313">
        <v>1</v>
      </c>
      <c r="AD276" s="313">
        <v>0</v>
      </c>
      <c r="AE276" s="313">
        <v>0</v>
      </c>
      <c r="AF276" s="313">
        <v>0</v>
      </c>
      <c r="AG276" s="313">
        <v>0</v>
      </c>
      <c r="AH276" s="313">
        <v>0</v>
      </c>
      <c r="AI276" s="313">
        <v>0</v>
      </c>
      <c r="AJ276" s="313">
        <v>0</v>
      </c>
      <c r="AK276" s="313">
        <v>0</v>
      </c>
      <c r="AL276" s="313">
        <v>1</v>
      </c>
      <c r="AM276" s="313">
        <v>1</v>
      </c>
      <c r="AN276" s="313">
        <v>1</v>
      </c>
      <c r="AO276" s="313">
        <v>1</v>
      </c>
      <c r="AP276" s="313">
        <v>1</v>
      </c>
      <c r="AQ276" s="313">
        <v>0</v>
      </c>
      <c r="AR276" s="313">
        <v>1</v>
      </c>
      <c r="AS276" s="313">
        <v>0</v>
      </c>
      <c r="AT276" s="313">
        <v>0</v>
      </c>
      <c r="AU276" s="313">
        <v>1</v>
      </c>
      <c r="AV276" s="313">
        <v>1</v>
      </c>
      <c r="AW276" s="313">
        <v>1</v>
      </c>
      <c r="AX276" s="313">
        <v>0</v>
      </c>
      <c r="AY276" s="313">
        <v>0</v>
      </c>
      <c r="AZ276" s="313">
        <v>1</v>
      </c>
      <c r="BA276" s="313">
        <v>0</v>
      </c>
      <c r="BB276" s="313">
        <v>0</v>
      </c>
      <c r="BC276" s="313">
        <v>0</v>
      </c>
      <c r="BD276" s="313">
        <v>1</v>
      </c>
      <c r="BE276" s="313">
        <v>1</v>
      </c>
      <c r="BF276" s="313">
        <v>1</v>
      </c>
      <c r="BG276" s="313">
        <v>1</v>
      </c>
      <c r="BH276" s="313">
        <v>1</v>
      </c>
      <c r="BI276" s="313">
        <v>1</v>
      </c>
      <c r="BJ276" s="313">
        <v>1</v>
      </c>
      <c r="BK276" s="313">
        <v>1</v>
      </c>
    </row>
    <row r="277" spans="1:63" x14ac:dyDescent="0.25">
      <c r="A277" s="306">
        <v>336214</v>
      </c>
      <c r="B277" s="313" t="s">
        <v>250</v>
      </c>
      <c r="C277" s="313">
        <v>1</v>
      </c>
      <c r="D277" s="313">
        <v>1</v>
      </c>
      <c r="E277" s="313">
        <v>1</v>
      </c>
      <c r="F277" s="313">
        <v>1</v>
      </c>
      <c r="G277" s="313">
        <v>1</v>
      </c>
      <c r="H277" s="313">
        <v>1</v>
      </c>
      <c r="I277" s="313">
        <v>1</v>
      </c>
      <c r="J277" s="313">
        <v>1</v>
      </c>
      <c r="K277" s="313">
        <v>0</v>
      </c>
      <c r="L277" s="313">
        <v>0</v>
      </c>
      <c r="M277" s="313">
        <v>1</v>
      </c>
      <c r="N277" s="313">
        <v>1</v>
      </c>
      <c r="O277" s="313">
        <v>0</v>
      </c>
      <c r="P277" s="313">
        <v>1</v>
      </c>
      <c r="Q277" s="313">
        <v>1</v>
      </c>
      <c r="R277" s="313">
        <v>1</v>
      </c>
      <c r="S277" s="313">
        <v>1</v>
      </c>
      <c r="T277" s="313">
        <v>1</v>
      </c>
      <c r="U277" s="313">
        <v>1</v>
      </c>
      <c r="V277" s="313">
        <v>1</v>
      </c>
      <c r="W277" s="313">
        <v>1</v>
      </c>
      <c r="X277" s="313">
        <v>1</v>
      </c>
      <c r="Y277" s="313">
        <v>1</v>
      </c>
      <c r="Z277" s="313">
        <v>1</v>
      </c>
      <c r="AA277" s="313">
        <v>1</v>
      </c>
      <c r="AB277" s="313">
        <v>1</v>
      </c>
      <c r="AC277" s="313">
        <v>1</v>
      </c>
      <c r="AD277" s="313">
        <v>1</v>
      </c>
      <c r="AE277" s="313">
        <v>1</v>
      </c>
      <c r="AF277" s="313">
        <v>1</v>
      </c>
      <c r="AG277" s="313">
        <v>1</v>
      </c>
      <c r="AH277" s="313">
        <v>1</v>
      </c>
      <c r="AI277" s="313">
        <v>1</v>
      </c>
      <c r="AJ277" s="313">
        <v>1</v>
      </c>
      <c r="AK277" s="313">
        <v>1</v>
      </c>
      <c r="AL277" s="313">
        <v>1</v>
      </c>
      <c r="AM277" s="313">
        <v>1</v>
      </c>
      <c r="AN277" s="313">
        <v>1</v>
      </c>
      <c r="AO277" s="313">
        <v>1</v>
      </c>
      <c r="AP277" s="313">
        <v>1</v>
      </c>
      <c r="AQ277" s="313">
        <v>0</v>
      </c>
      <c r="AR277" s="313">
        <v>1</v>
      </c>
      <c r="AS277" s="313">
        <v>1</v>
      </c>
      <c r="AT277" s="313">
        <v>1</v>
      </c>
      <c r="AU277" s="313">
        <v>1</v>
      </c>
      <c r="AV277" s="313">
        <v>1</v>
      </c>
      <c r="AW277" s="313">
        <v>1</v>
      </c>
      <c r="AX277" s="313">
        <v>1</v>
      </c>
      <c r="AY277" s="313">
        <v>1</v>
      </c>
      <c r="AZ277" s="313">
        <v>1</v>
      </c>
      <c r="BA277" s="313">
        <v>0</v>
      </c>
      <c r="BB277" s="313">
        <v>1</v>
      </c>
      <c r="BC277" s="313">
        <v>1</v>
      </c>
      <c r="BD277" s="313">
        <v>1</v>
      </c>
      <c r="BE277" s="313">
        <v>1</v>
      </c>
      <c r="BF277" s="313">
        <v>1</v>
      </c>
      <c r="BG277" s="313">
        <v>1</v>
      </c>
      <c r="BH277" s="313">
        <v>1</v>
      </c>
      <c r="BI277" s="313">
        <v>1</v>
      </c>
      <c r="BJ277" s="313">
        <v>1</v>
      </c>
      <c r="BK277" s="313">
        <v>1</v>
      </c>
    </row>
    <row r="278" spans="1:63" x14ac:dyDescent="0.25">
      <c r="A278" s="306">
        <v>336300</v>
      </c>
      <c r="B278" s="313" t="s">
        <v>251</v>
      </c>
      <c r="C278" s="313">
        <v>1</v>
      </c>
      <c r="D278" s="313">
        <v>1</v>
      </c>
      <c r="E278" s="313">
        <v>1</v>
      </c>
      <c r="F278" s="313">
        <v>1</v>
      </c>
      <c r="G278" s="313">
        <v>1</v>
      </c>
      <c r="H278" s="313">
        <v>1</v>
      </c>
      <c r="I278" s="313">
        <v>1</v>
      </c>
      <c r="J278" s="313">
        <v>1</v>
      </c>
      <c r="K278" s="313">
        <v>0</v>
      </c>
      <c r="L278" s="313">
        <v>1</v>
      </c>
      <c r="M278" s="313">
        <v>1</v>
      </c>
      <c r="N278" s="313">
        <v>1</v>
      </c>
      <c r="O278" s="313">
        <v>1</v>
      </c>
      <c r="P278" s="313">
        <v>1</v>
      </c>
      <c r="Q278" s="313">
        <v>1</v>
      </c>
      <c r="R278" s="313">
        <v>1</v>
      </c>
      <c r="S278" s="313">
        <v>1</v>
      </c>
      <c r="T278" s="313">
        <v>1</v>
      </c>
      <c r="U278" s="313">
        <v>1</v>
      </c>
      <c r="V278" s="313">
        <v>1</v>
      </c>
      <c r="W278" s="313">
        <v>1</v>
      </c>
      <c r="X278" s="313">
        <v>1</v>
      </c>
      <c r="Y278" s="313">
        <v>1</v>
      </c>
      <c r="Z278" s="313">
        <v>1</v>
      </c>
      <c r="AA278" s="313">
        <v>1</v>
      </c>
      <c r="AB278" s="313">
        <v>1</v>
      </c>
      <c r="AC278" s="313">
        <v>1</v>
      </c>
      <c r="AD278" s="313">
        <v>1</v>
      </c>
      <c r="AE278" s="313">
        <v>1</v>
      </c>
      <c r="AF278" s="313">
        <v>1</v>
      </c>
      <c r="AG278" s="313">
        <v>1</v>
      </c>
      <c r="AH278" s="313">
        <v>1</v>
      </c>
      <c r="AI278" s="313">
        <v>1</v>
      </c>
      <c r="AJ278" s="313">
        <v>1</v>
      </c>
      <c r="AK278" s="313">
        <v>1</v>
      </c>
      <c r="AL278" s="313">
        <v>1</v>
      </c>
      <c r="AM278" s="313">
        <v>1</v>
      </c>
      <c r="AN278" s="313">
        <v>1</v>
      </c>
      <c r="AO278" s="313">
        <v>1</v>
      </c>
      <c r="AP278" s="313">
        <v>1</v>
      </c>
      <c r="AQ278" s="313">
        <v>1</v>
      </c>
      <c r="AR278" s="313">
        <v>1</v>
      </c>
      <c r="AS278" s="313">
        <v>1</v>
      </c>
      <c r="AT278" s="313">
        <v>1</v>
      </c>
      <c r="AU278" s="313">
        <v>1</v>
      </c>
      <c r="AV278" s="313">
        <v>1</v>
      </c>
      <c r="AW278" s="313">
        <v>1</v>
      </c>
      <c r="AX278" s="313">
        <v>1</v>
      </c>
      <c r="AY278" s="313">
        <v>1</v>
      </c>
      <c r="AZ278" s="313">
        <v>1</v>
      </c>
      <c r="BA278" s="313">
        <v>1</v>
      </c>
      <c r="BB278" s="313">
        <v>1</v>
      </c>
      <c r="BC278" s="313">
        <v>1</v>
      </c>
      <c r="BD278" s="313">
        <v>1</v>
      </c>
      <c r="BE278" s="313">
        <v>1</v>
      </c>
      <c r="BF278" s="313">
        <v>1</v>
      </c>
      <c r="BG278" s="313">
        <v>1</v>
      </c>
      <c r="BH278" s="313">
        <v>1</v>
      </c>
      <c r="BI278" s="313">
        <v>1</v>
      </c>
      <c r="BJ278" s="313">
        <v>1</v>
      </c>
      <c r="BK278" s="313">
        <v>1</v>
      </c>
    </row>
    <row r="279" spans="1:63" x14ac:dyDescent="0.25">
      <c r="A279" s="306">
        <v>336411</v>
      </c>
      <c r="B279" s="313" t="s">
        <v>252</v>
      </c>
      <c r="C279" s="313">
        <v>1</v>
      </c>
      <c r="D279" s="313">
        <v>1</v>
      </c>
      <c r="E279" s="313">
        <v>1</v>
      </c>
      <c r="F279" s="313">
        <v>1</v>
      </c>
      <c r="G279" s="313">
        <v>1</v>
      </c>
      <c r="H279" s="313">
        <v>1</v>
      </c>
      <c r="I279" s="313">
        <v>1</v>
      </c>
      <c r="J279" s="313">
        <v>1</v>
      </c>
      <c r="K279" s="313">
        <v>0</v>
      </c>
      <c r="L279" s="313">
        <v>1</v>
      </c>
      <c r="M279" s="313">
        <v>1</v>
      </c>
      <c r="N279" s="313">
        <v>1</v>
      </c>
      <c r="O279" s="313">
        <v>0</v>
      </c>
      <c r="P279" s="313">
        <v>1</v>
      </c>
      <c r="Q279" s="313">
        <v>1</v>
      </c>
      <c r="R279" s="313">
        <v>1</v>
      </c>
      <c r="S279" s="313">
        <v>1</v>
      </c>
      <c r="T279" s="313">
        <v>1</v>
      </c>
      <c r="U279" s="313">
        <v>1</v>
      </c>
      <c r="V279" s="313">
        <v>1</v>
      </c>
      <c r="W279" s="313">
        <v>1</v>
      </c>
      <c r="X279" s="313">
        <v>1</v>
      </c>
      <c r="Y279" s="313">
        <v>1</v>
      </c>
      <c r="Z279" s="313">
        <v>1</v>
      </c>
      <c r="AA279" s="313">
        <v>1</v>
      </c>
      <c r="AB279" s="313">
        <v>1</v>
      </c>
      <c r="AC279" s="313">
        <v>1</v>
      </c>
      <c r="AD279" s="313">
        <v>1</v>
      </c>
      <c r="AE279" s="313">
        <v>1</v>
      </c>
      <c r="AF279" s="313">
        <v>0</v>
      </c>
      <c r="AG279" s="313">
        <v>0</v>
      </c>
      <c r="AH279" s="313">
        <v>1</v>
      </c>
      <c r="AI279" s="313">
        <v>1</v>
      </c>
      <c r="AJ279" s="313">
        <v>1</v>
      </c>
      <c r="AK279" s="313">
        <v>1</v>
      </c>
      <c r="AL279" s="313">
        <v>1</v>
      </c>
      <c r="AM279" s="313">
        <v>1</v>
      </c>
      <c r="AN279" s="313">
        <v>1</v>
      </c>
      <c r="AO279" s="313">
        <v>1</v>
      </c>
      <c r="AP279" s="313">
        <v>1</v>
      </c>
      <c r="AQ279" s="313">
        <v>0</v>
      </c>
      <c r="AR279" s="313">
        <v>1</v>
      </c>
      <c r="AS279" s="313">
        <v>1</v>
      </c>
      <c r="AT279" s="313">
        <v>1</v>
      </c>
      <c r="AU279" s="313">
        <v>1</v>
      </c>
      <c r="AV279" s="313">
        <v>1</v>
      </c>
      <c r="AW279" s="313">
        <v>1</v>
      </c>
      <c r="AX279" s="313">
        <v>0</v>
      </c>
      <c r="AY279" s="313">
        <v>1</v>
      </c>
      <c r="AZ279" s="313">
        <v>1</v>
      </c>
      <c r="BA279" s="313">
        <v>1</v>
      </c>
      <c r="BB279" s="313">
        <v>1</v>
      </c>
      <c r="BC279" s="313">
        <v>1</v>
      </c>
      <c r="BD279" s="313">
        <v>1</v>
      </c>
      <c r="BE279" s="313">
        <v>1</v>
      </c>
      <c r="BF279" s="313">
        <v>1</v>
      </c>
      <c r="BG279" s="313">
        <v>1</v>
      </c>
      <c r="BH279" s="313">
        <v>1</v>
      </c>
      <c r="BI279" s="313">
        <v>1</v>
      </c>
      <c r="BJ279" s="313">
        <v>1</v>
      </c>
      <c r="BK279" s="313">
        <v>1</v>
      </c>
    </row>
    <row r="280" spans="1:63" x14ac:dyDescent="0.25">
      <c r="A280" s="306">
        <v>336412</v>
      </c>
      <c r="B280" s="313" t="s">
        <v>253</v>
      </c>
      <c r="C280" s="313">
        <v>1</v>
      </c>
      <c r="D280" s="313">
        <v>1</v>
      </c>
      <c r="E280" s="313">
        <v>1</v>
      </c>
      <c r="F280" s="313">
        <v>1</v>
      </c>
      <c r="G280" s="313">
        <v>1</v>
      </c>
      <c r="H280" s="313">
        <v>1</v>
      </c>
      <c r="I280" s="313">
        <v>1</v>
      </c>
      <c r="J280" s="313">
        <v>1</v>
      </c>
      <c r="K280" s="313">
        <v>0</v>
      </c>
      <c r="L280" s="313">
        <v>0</v>
      </c>
      <c r="M280" s="313">
        <v>1</v>
      </c>
      <c r="N280" s="313">
        <v>1</v>
      </c>
      <c r="O280" s="313">
        <v>0</v>
      </c>
      <c r="P280" s="313">
        <v>1</v>
      </c>
      <c r="Q280" s="313">
        <v>1</v>
      </c>
      <c r="R280" s="313">
        <v>1</v>
      </c>
      <c r="S280" s="313">
        <v>1</v>
      </c>
      <c r="T280" s="313">
        <v>1</v>
      </c>
      <c r="U280" s="313">
        <v>1</v>
      </c>
      <c r="V280" s="313">
        <v>1</v>
      </c>
      <c r="W280" s="313">
        <v>1</v>
      </c>
      <c r="X280" s="313">
        <v>1</v>
      </c>
      <c r="Y280" s="313">
        <v>1</v>
      </c>
      <c r="Z280" s="313">
        <v>1</v>
      </c>
      <c r="AA280" s="313">
        <v>1</v>
      </c>
      <c r="AB280" s="313">
        <v>1</v>
      </c>
      <c r="AC280" s="313">
        <v>1</v>
      </c>
      <c r="AD280" s="313">
        <v>0</v>
      </c>
      <c r="AE280" s="313">
        <v>1</v>
      </c>
      <c r="AF280" s="313">
        <v>0</v>
      </c>
      <c r="AG280" s="313">
        <v>1</v>
      </c>
      <c r="AH280" s="313">
        <v>1</v>
      </c>
      <c r="AI280" s="313">
        <v>1</v>
      </c>
      <c r="AJ280" s="313">
        <v>1</v>
      </c>
      <c r="AK280" s="313">
        <v>1</v>
      </c>
      <c r="AL280" s="313">
        <v>1</v>
      </c>
      <c r="AM280" s="313">
        <v>1</v>
      </c>
      <c r="AN280" s="313">
        <v>1</v>
      </c>
      <c r="AO280" s="313">
        <v>1</v>
      </c>
      <c r="AP280" s="313">
        <v>1</v>
      </c>
      <c r="AQ280" s="313">
        <v>0</v>
      </c>
      <c r="AR280" s="313">
        <v>1</v>
      </c>
      <c r="AS280" s="313">
        <v>1</v>
      </c>
      <c r="AT280" s="313">
        <v>1</v>
      </c>
      <c r="AU280" s="313">
        <v>1</v>
      </c>
      <c r="AV280" s="313">
        <v>1</v>
      </c>
      <c r="AW280" s="313">
        <v>1</v>
      </c>
      <c r="AX280" s="313">
        <v>1</v>
      </c>
      <c r="AY280" s="313">
        <v>1</v>
      </c>
      <c r="AZ280" s="313">
        <v>1</v>
      </c>
      <c r="BA280" s="313">
        <v>1</v>
      </c>
      <c r="BB280" s="313">
        <v>1</v>
      </c>
      <c r="BC280" s="313">
        <v>1</v>
      </c>
      <c r="BD280" s="313">
        <v>1</v>
      </c>
      <c r="BE280" s="313">
        <v>1</v>
      </c>
      <c r="BF280" s="313">
        <v>1</v>
      </c>
      <c r="BG280" s="313">
        <v>1</v>
      </c>
      <c r="BH280" s="313">
        <v>1</v>
      </c>
      <c r="BI280" s="313">
        <v>1</v>
      </c>
      <c r="BJ280" s="313">
        <v>1</v>
      </c>
      <c r="BK280" s="313">
        <v>1</v>
      </c>
    </row>
    <row r="281" spans="1:63" x14ac:dyDescent="0.25">
      <c r="A281" s="306">
        <v>336413</v>
      </c>
      <c r="B281" s="313" t="s">
        <v>254</v>
      </c>
      <c r="C281" s="313">
        <v>1</v>
      </c>
      <c r="D281" s="313">
        <v>1</v>
      </c>
      <c r="E281" s="313">
        <v>1</v>
      </c>
      <c r="F281" s="313">
        <v>1</v>
      </c>
      <c r="G281" s="313">
        <v>1</v>
      </c>
      <c r="H281" s="313">
        <v>1</v>
      </c>
      <c r="I281" s="313">
        <v>1</v>
      </c>
      <c r="J281" s="313">
        <v>1</v>
      </c>
      <c r="K281" s="313">
        <v>0</v>
      </c>
      <c r="L281" s="313">
        <v>1</v>
      </c>
      <c r="M281" s="313">
        <v>1</v>
      </c>
      <c r="N281" s="313">
        <v>1</v>
      </c>
      <c r="O281" s="313">
        <v>1</v>
      </c>
      <c r="P281" s="313">
        <v>1</v>
      </c>
      <c r="Q281" s="313">
        <v>1</v>
      </c>
      <c r="R281" s="313">
        <v>1</v>
      </c>
      <c r="S281" s="313">
        <v>1</v>
      </c>
      <c r="T281" s="313">
        <v>1</v>
      </c>
      <c r="U281" s="313">
        <v>1</v>
      </c>
      <c r="V281" s="313">
        <v>1</v>
      </c>
      <c r="W281" s="313">
        <v>1</v>
      </c>
      <c r="X281" s="313">
        <v>1</v>
      </c>
      <c r="Y281" s="313">
        <v>0</v>
      </c>
      <c r="Z281" s="313">
        <v>1</v>
      </c>
      <c r="AA281" s="313">
        <v>1</v>
      </c>
      <c r="AB281" s="313">
        <v>1</v>
      </c>
      <c r="AC281" s="313">
        <v>1</v>
      </c>
      <c r="AD281" s="313">
        <v>1</v>
      </c>
      <c r="AE281" s="313">
        <v>1</v>
      </c>
      <c r="AF281" s="313">
        <v>1</v>
      </c>
      <c r="AG281" s="313">
        <v>1</v>
      </c>
      <c r="AH281" s="313">
        <v>1</v>
      </c>
      <c r="AI281" s="313">
        <v>1</v>
      </c>
      <c r="AJ281" s="313">
        <v>1</v>
      </c>
      <c r="AK281" s="313">
        <v>1</v>
      </c>
      <c r="AL281" s="313">
        <v>1</v>
      </c>
      <c r="AM281" s="313">
        <v>1</v>
      </c>
      <c r="AN281" s="313">
        <v>1</v>
      </c>
      <c r="AO281" s="313">
        <v>1</v>
      </c>
      <c r="AP281" s="313">
        <v>1</v>
      </c>
      <c r="AQ281" s="313">
        <v>0</v>
      </c>
      <c r="AR281" s="313">
        <v>1</v>
      </c>
      <c r="AS281" s="313">
        <v>1</v>
      </c>
      <c r="AT281" s="313">
        <v>1</v>
      </c>
      <c r="AU281" s="313">
        <v>1</v>
      </c>
      <c r="AV281" s="313">
        <v>1</v>
      </c>
      <c r="AW281" s="313">
        <v>1</v>
      </c>
      <c r="AX281" s="313">
        <v>1</v>
      </c>
      <c r="AY281" s="313">
        <v>1</v>
      </c>
      <c r="AZ281" s="313">
        <v>1</v>
      </c>
      <c r="BA281" s="313">
        <v>1</v>
      </c>
      <c r="BB281" s="313">
        <v>1</v>
      </c>
      <c r="BC281" s="313">
        <v>1</v>
      </c>
      <c r="BD281" s="313">
        <v>1</v>
      </c>
      <c r="BE281" s="313">
        <v>1</v>
      </c>
      <c r="BF281" s="313">
        <v>1</v>
      </c>
      <c r="BG281" s="313">
        <v>1</v>
      </c>
      <c r="BH281" s="313">
        <v>1</v>
      </c>
      <c r="BI281" s="313">
        <v>1</v>
      </c>
      <c r="BJ281" s="313">
        <v>1</v>
      </c>
      <c r="BK281" s="313">
        <v>1</v>
      </c>
    </row>
    <row r="282" spans="1:63" x14ac:dyDescent="0.25">
      <c r="A282" s="306">
        <v>336414</v>
      </c>
      <c r="B282" s="313" t="s">
        <v>255</v>
      </c>
      <c r="C282" s="313">
        <v>1</v>
      </c>
      <c r="D282" s="313">
        <v>0</v>
      </c>
      <c r="E282" s="313">
        <v>1</v>
      </c>
      <c r="F282" s="313">
        <v>1</v>
      </c>
      <c r="G282" s="313">
        <v>1</v>
      </c>
      <c r="H282" s="313">
        <v>1</v>
      </c>
      <c r="I282" s="313">
        <v>1</v>
      </c>
      <c r="J282" s="313">
        <v>0</v>
      </c>
      <c r="K282" s="313">
        <v>0</v>
      </c>
      <c r="L282" s="313">
        <v>0</v>
      </c>
      <c r="M282" s="313">
        <v>1</v>
      </c>
      <c r="N282" s="313">
        <v>1</v>
      </c>
      <c r="O282" s="313">
        <v>0</v>
      </c>
      <c r="P282" s="313">
        <v>0</v>
      </c>
      <c r="Q282" s="313">
        <v>0</v>
      </c>
      <c r="R282" s="313">
        <v>0</v>
      </c>
      <c r="S282" s="313">
        <v>1</v>
      </c>
      <c r="T282" s="313">
        <v>0</v>
      </c>
      <c r="U282" s="313">
        <v>0</v>
      </c>
      <c r="V282" s="313">
        <v>0</v>
      </c>
      <c r="W282" s="313">
        <v>1</v>
      </c>
      <c r="X282" s="313">
        <v>0</v>
      </c>
      <c r="Y282" s="313">
        <v>0</v>
      </c>
      <c r="Z282" s="313">
        <v>0</v>
      </c>
      <c r="AA282" s="313">
        <v>0</v>
      </c>
      <c r="AB282" s="313">
        <v>0</v>
      </c>
      <c r="AC282" s="313">
        <v>0</v>
      </c>
      <c r="AD282" s="313">
        <v>0</v>
      </c>
      <c r="AE282" s="313">
        <v>0</v>
      </c>
      <c r="AF282" s="313">
        <v>0</v>
      </c>
      <c r="AG282" s="313">
        <v>0</v>
      </c>
      <c r="AH282" s="313">
        <v>0</v>
      </c>
      <c r="AI282" s="313">
        <v>0</v>
      </c>
      <c r="AJ282" s="313">
        <v>1</v>
      </c>
      <c r="AK282" s="313">
        <v>1</v>
      </c>
      <c r="AL282" s="313">
        <v>0</v>
      </c>
      <c r="AM282" s="313">
        <v>0</v>
      </c>
      <c r="AN282" s="313">
        <v>1</v>
      </c>
      <c r="AO282" s="313">
        <v>0</v>
      </c>
      <c r="AP282" s="313">
        <v>0</v>
      </c>
      <c r="AQ282" s="313">
        <v>0</v>
      </c>
      <c r="AR282" s="313">
        <v>0</v>
      </c>
      <c r="AS282" s="313">
        <v>0</v>
      </c>
      <c r="AT282" s="313">
        <v>0</v>
      </c>
      <c r="AU282" s="313">
        <v>1</v>
      </c>
      <c r="AV282" s="313">
        <v>1</v>
      </c>
      <c r="AW282" s="313">
        <v>1</v>
      </c>
      <c r="AX282" s="313">
        <v>0</v>
      </c>
      <c r="AY282" s="313">
        <v>0</v>
      </c>
      <c r="AZ282" s="313">
        <v>0</v>
      </c>
      <c r="BA282" s="313">
        <v>0</v>
      </c>
      <c r="BB282" s="313">
        <v>0</v>
      </c>
      <c r="BC282" s="313">
        <v>1</v>
      </c>
      <c r="BD282" s="313">
        <v>0</v>
      </c>
      <c r="BE282" s="313">
        <v>1</v>
      </c>
      <c r="BF282" s="313">
        <v>0</v>
      </c>
      <c r="BG282" s="313">
        <v>1</v>
      </c>
      <c r="BH282" s="313">
        <v>1</v>
      </c>
      <c r="BI282" s="313">
        <v>1</v>
      </c>
      <c r="BJ282" s="313">
        <v>1</v>
      </c>
      <c r="BK282" s="313">
        <v>1</v>
      </c>
    </row>
    <row r="283" spans="1:63" x14ac:dyDescent="0.25">
      <c r="A283" s="306" t="s">
        <v>743</v>
      </c>
      <c r="B283" s="313" t="s">
        <v>744</v>
      </c>
      <c r="C283" s="313">
        <v>1</v>
      </c>
      <c r="D283" s="313">
        <v>0</v>
      </c>
      <c r="E283" s="313">
        <v>1</v>
      </c>
      <c r="F283" s="313">
        <v>0</v>
      </c>
      <c r="G283" s="313">
        <v>1</v>
      </c>
      <c r="H283" s="313">
        <v>1</v>
      </c>
      <c r="I283" s="313">
        <v>1</v>
      </c>
      <c r="J283" s="313">
        <v>0</v>
      </c>
      <c r="K283" s="313">
        <v>0</v>
      </c>
      <c r="L283" s="313">
        <v>0</v>
      </c>
      <c r="M283" s="313">
        <v>1</v>
      </c>
      <c r="N283" s="313">
        <v>1</v>
      </c>
      <c r="O283" s="313">
        <v>0</v>
      </c>
      <c r="P283" s="313">
        <v>0</v>
      </c>
      <c r="Q283" s="313">
        <v>0</v>
      </c>
      <c r="R283" s="313">
        <v>0</v>
      </c>
      <c r="S283" s="313">
        <v>0</v>
      </c>
      <c r="T283" s="313">
        <v>0</v>
      </c>
      <c r="U283" s="313">
        <v>0</v>
      </c>
      <c r="V283" s="313">
        <v>1</v>
      </c>
      <c r="W283" s="313">
        <v>1</v>
      </c>
      <c r="X283" s="313">
        <v>1</v>
      </c>
      <c r="Y283" s="313">
        <v>1</v>
      </c>
      <c r="Z283" s="313">
        <v>1</v>
      </c>
      <c r="AA283" s="313">
        <v>0</v>
      </c>
      <c r="AB283" s="313">
        <v>0</v>
      </c>
      <c r="AC283" s="313">
        <v>1</v>
      </c>
      <c r="AD283" s="313">
        <v>0</v>
      </c>
      <c r="AE283" s="313">
        <v>0</v>
      </c>
      <c r="AF283" s="313">
        <v>0</v>
      </c>
      <c r="AG283" s="313">
        <v>0</v>
      </c>
      <c r="AH283" s="313">
        <v>0</v>
      </c>
      <c r="AI283" s="313">
        <v>0</v>
      </c>
      <c r="AJ283" s="313">
        <v>0</v>
      </c>
      <c r="AK283" s="313">
        <v>0</v>
      </c>
      <c r="AL283" s="313">
        <v>1</v>
      </c>
      <c r="AM283" s="313">
        <v>1</v>
      </c>
      <c r="AN283" s="313">
        <v>1</v>
      </c>
      <c r="AO283" s="313">
        <v>0</v>
      </c>
      <c r="AP283" s="313">
        <v>1</v>
      </c>
      <c r="AQ283" s="313">
        <v>0</v>
      </c>
      <c r="AR283" s="313">
        <v>0</v>
      </c>
      <c r="AS283" s="313">
        <v>1</v>
      </c>
      <c r="AT283" s="313">
        <v>0</v>
      </c>
      <c r="AU283" s="313">
        <v>1</v>
      </c>
      <c r="AV283" s="313">
        <v>1</v>
      </c>
      <c r="AW283" s="313">
        <v>1</v>
      </c>
      <c r="AX283" s="313">
        <v>0</v>
      </c>
      <c r="AY283" s="313">
        <v>1</v>
      </c>
      <c r="AZ283" s="313">
        <v>1</v>
      </c>
      <c r="BA283" s="313">
        <v>1</v>
      </c>
      <c r="BB283" s="313">
        <v>0</v>
      </c>
      <c r="BC283" s="313">
        <v>1</v>
      </c>
      <c r="BD283" s="313">
        <v>1</v>
      </c>
      <c r="BE283" s="313">
        <v>1</v>
      </c>
      <c r="BF283" s="313">
        <v>1</v>
      </c>
      <c r="BG283" s="313">
        <v>1</v>
      </c>
      <c r="BH283" s="313">
        <v>1</v>
      </c>
      <c r="BI283" s="313">
        <v>1</v>
      </c>
      <c r="BJ283" s="313">
        <v>1</v>
      </c>
      <c r="BK283" s="313">
        <v>1</v>
      </c>
    </row>
    <row r="284" spans="1:63" x14ac:dyDescent="0.25">
      <c r="A284" s="306">
        <v>336500</v>
      </c>
      <c r="B284" s="313" t="s">
        <v>256</v>
      </c>
      <c r="C284" s="313">
        <v>1</v>
      </c>
      <c r="D284" s="313">
        <v>0</v>
      </c>
      <c r="E284" s="313">
        <v>1</v>
      </c>
      <c r="F284" s="313">
        <v>1</v>
      </c>
      <c r="G284" s="313">
        <v>1</v>
      </c>
      <c r="H284" s="313">
        <v>1</v>
      </c>
      <c r="I284" s="313">
        <v>1</v>
      </c>
      <c r="J284" s="313">
        <v>1</v>
      </c>
      <c r="K284" s="313">
        <v>0</v>
      </c>
      <c r="L284" s="313">
        <v>1</v>
      </c>
      <c r="M284" s="313">
        <v>1</v>
      </c>
      <c r="N284" s="313">
        <v>1</v>
      </c>
      <c r="O284" s="313">
        <v>0</v>
      </c>
      <c r="P284" s="313">
        <v>1</v>
      </c>
      <c r="Q284" s="313">
        <v>1</v>
      </c>
      <c r="R284" s="313">
        <v>1</v>
      </c>
      <c r="S284" s="313">
        <v>1</v>
      </c>
      <c r="T284" s="313">
        <v>1</v>
      </c>
      <c r="U284" s="313">
        <v>1</v>
      </c>
      <c r="V284" s="313">
        <v>1</v>
      </c>
      <c r="W284" s="313">
        <v>0</v>
      </c>
      <c r="X284" s="313">
        <v>1</v>
      </c>
      <c r="Y284" s="313">
        <v>1</v>
      </c>
      <c r="Z284" s="313">
        <v>1</v>
      </c>
      <c r="AA284" s="313">
        <v>1</v>
      </c>
      <c r="AB284" s="313">
        <v>1</v>
      </c>
      <c r="AC284" s="313">
        <v>0</v>
      </c>
      <c r="AD284" s="313">
        <v>0</v>
      </c>
      <c r="AE284" s="313">
        <v>1</v>
      </c>
      <c r="AF284" s="313">
        <v>0</v>
      </c>
      <c r="AG284" s="313">
        <v>1</v>
      </c>
      <c r="AH284" s="313">
        <v>0</v>
      </c>
      <c r="AI284" s="313">
        <v>1</v>
      </c>
      <c r="AJ284" s="313">
        <v>0</v>
      </c>
      <c r="AK284" s="313">
        <v>1</v>
      </c>
      <c r="AL284" s="313">
        <v>1</v>
      </c>
      <c r="AM284" s="313">
        <v>1</v>
      </c>
      <c r="AN284" s="313">
        <v>1</v>
      </c>
      <c r="AO284" s="313">
        <v>1</v>
      </c>
      <c r="AP284" s="313">
        <v>1</v>
      </c>
      <c r="AQ284" s="313">
        <v>0</v>
      </c>
      <c r="AR284" s="313">
        <v>1</v>
      </c>
      <c r="AS284" s="313">
        <v>0</v>
      </c>
      <c r="AT284" s="313">
        <v>1</v>
      </c>
      <c r="AU284" s="313">
        <v>1</v>
      </c>
      <c r="AV284" s="313">
        <v>1</v>
      </c>
      <c r="AW284" s="313">
        <v>1</v>
      </c>
      <c r="AX284" s="313">
        <v>1</v>
      </c>
      <c r="AY284" s="313">
        <v>1</v>
      </c>
      <c r="AZ284" s="313">
        <v>1</v>
      </c>
      <c r="BA284" s="313">
        <v>1</v>
      </c>
      <c r="BB284" s="313">
        <v>0</v>
      </c>
      <c r="BC284" s="313">
        <v>1</v>
      </c>
      <c r="BD284" s="313">
        <v>1</v>
      </c>
      <c r="BE284" s="313">
        <v>1</v>
      </c>
      <c r="BF284" s="313">
        <v>1</v>
      </c>
      <c r="BG284" s="313">
        <v>1</v>
      </c>
      <c r="BH284" s="313">
        <v>1</v>
      </c>
      <c r="BI284" s="313">
        <v>1</v>
      </c>
      <c r="BJ284" s="313">
        <v>1</v>
      </c>
      <c r="BK284" s="313">
        <v>1</v>
      </c>
    </row>
    <row r="285" spans="1:63" x14ac:dyDescent="0.25">
      <c r="A285" s="306">
        <v>336611</v>
      </c>
      <c r="B285" s="313" t="s">
        <v>257</v>
      </c>
      <c r="C285" s="313">
        <v>1</v>
      </c>
      <c r="D285" s="313">
        <v>1</v>
      </c>
      <c r="E285" s="313">
        <v>1</v>
      </c>
      <c r="F285" s="313">
        <v>1</v>
      </c>
      <c r="G285" s="313">
        <v>0</v>
      </c>
      <c r="H285" s="313">
        <v>1</v>
      </c>
      <c r="I285" s="313">
        <v>0</v>
      </c>
      <c r="J285" s="313">
        <v>1</v>
      </c>
      <c r="K285" s="313">
        <v>1</v>
      </c>
      <c r="L285" s="313">
        <v>1</v>
      </c>
      <c r="M285" s="313">
        <v>1</v>
      </c>
      <c r="N285" s="313">
        <v>1</v>
      </c>
      <c r="O285" s="313">
        <v>1</v>
      </c>
      <c r="P285" s="313">
        <v>0</v>
      </c>
      <c r="Q285" s="313">
        <v>0</v>
      </c>
      <c r="R285" s="313">
        <v>1</v>
      </c>
      <c r="S285" s="313">
        <v>1</v>
      </c>
      <c r="T285" s="313">
        <v>0</v>
      </c>
      <c r="U285" s="313">
        <v>1</v>
      </c>
      <c r="V285" s="313">
        <v>1</v>
      </c>
      <c r="W285" s="313">
        <v>1</v>
      </c>
      <c r="X285" s="313">
        <v>1</v>
      </c>
      <c r="Y285" s="313">
        <v>1</v>
      </c>
      <c r="Z285" s="313">
        <v>1</v>
      </c>
      <c r="AA285" s="313">
        <v>0</v>
      </c>
      <c r="AB285" s="313">
        <v>1</v>
      </c>
      <c r="AC285" s="313">
        <v>1</v>
      </c>
      <c r="AD285" s="313">
        <v>0</v>
      </c>
      <c r="AE285" s="313">
        <v>1</v>
      </c>
      <c r="AF285" s="313">
        <v>0</v>
      </c>
      <c r="AG285" s="313">
        <v>0</v>
      </c>
      <c r="AH285" s="313">
        <v>1</v>
      </c>
      <c r="AI285" s="313">
        <v>1</v>
      </c>
      <c r="AJ285" s="313">
        <v>0</v>
      </c>
      <c r="AK285" s="313">
        <v>0</v>
      </c>
      <c r="AL285" s="313">
        <v>1</v>
      </c>
      <c r="AM285" s="313">
        <v>1</v>
      </c>
      <c r="AN285" s="313">
        <v>0</v>
      </c>
      <c r="AO285" s="313">
        <v>1</v>
      </c>
      <c r="AP285" s="313">
        <v>1</v>
      </c>
      <c r="AQ285" s="313">
        <v>1</v>
      </c>
      <c r="AR285" s="313">
        <v>1</v>
      </c>
      <c r="AS285" s="313">
        <v>0</v>
      </c>
      <c r="AT285" s="313">
        <v>1</v>
      </c>
      <c r="AU285" s="313">
        <v>1</v>
      </c>
      <c r="AV285" s="313">
        <v>1</v>
      </c>
      <c r="AW285" s="313">
        <v>1</v>
      </c>
      <c r="AX285" s="313">
        <v>0</v>
      </c>
      <c r="AY285" s="313">
        <v>1</v>
      </c>
      <c r="AZ285" s="313">
        <v>1</v>
      </c>
      <c r="BA285" s="313">
        <v>0</v>
      </c>
      <c r="BB285" s="313">
        <v>0</v>
      </c>
      <c r="BC285" s="313">
        <v>1</v>
      </c>
      <c r="BD285" s="313">
        <v>1</v>
      </c>
      <c r="BE285" s="313">
        <v>1</v>
      </c>
      <c r="BF285" s="313">
        <v>1</v>
      </c>
      <c r="BG285" s="313">
        <v>1</v>
      </c>
      <c r="BH285" s="313">
        <v>1</v>
      </c>
      <c r="BI285" s="313">
        <v>1</v>
      </c>
      <c r="BJ285" s="313">
        <v>1</v>
      </c>
      <c r="BK285" s="313">
        <v>1</v>
      </c>
    </row>
    <row r="286" spans="1:63" x14ac:dyDescent="0.25">
      <c r="A286" s="306">
        <v>336612</v>
      </c>
      <c r="B286" s="313" t="s">
        <v>258</v>
      </c>
      <c r="C286" s="313">
        <v>1</v>
      </c>
      <c r="D286" s="313">
        <v>1</v>
      </c>
      <c r="E286" s="313">
        <v>1</v>
      </c>
      <c r="F286" s="313">
        <v>1</v>
      </c>
      <c r="G286" s="313">
        <v>1</v>
      </c>
      <c r="H286" s="313">
        <v>1</v>
      </c>
      <c r="I286" s="313">
        <v>1</v>
      </c>
      <c r="J286" s="313">
        <v>1</v>
      </c>
      <c r="K286" s="313">
        <v>0</v>
      </c>
      <c r="L286" s="313">
        <v>1</v>
      </c>
      <c r="M286" s="313">
        <v>1</v>
      </c>
      <c r="N286" s="313">
        <v>1</v>
      </c>
      <c r="O286" s="313">
        <v>1</v>
      </c>
      <c r="P286" s="313">
        <v>1</v>
      </c>
      <c r="Q286" s="313">
        <v>1</v>
      </c>
      <c r="R286" s="313">
        <v>1</v>
      </c>
      <c r="S286" s="313">
        <v>1</v>
      </c>
      <c r="T286" s="313">
        <v>1</v>
      </c>
      <c r="U286" s="313">
        <v>1</v>
      </c>
      <c r="V286" s="313">
        <v>1</v>
      </c>
      <c r="W286" s="313">
        <v>1</v>
      </c>
      <c r="X286" s="313">
        <v>1</v>
      </c>
      <c r="Y286" s="313">
        <v>1</v>
      </c>
      <c r="Z286" s="313">
        <v>1</v>
      </c>
      <c r="AA286" s="313">
        <v>1</v>
      </c>
      <c r="AB286" s="313">
        <v>1</v>
      </c>
      <c r="AC286" s="313">
        <v>1</v>
      </c>
      <c r="AD286" s="313">
        <v>1</v>
      </c>
      <c r="AE286" s="313">
        <v>1</v>
      </c>
      <c r="AF286" s="313">
        <v>1</v>
      </c>
      <c r="AG286" s="313">
        <v>1</v>
      </c>
      <c r="AH286" s="313">
        <v>1</v>
      </c>
      <c r="AI286" s="313">
        <v>1</v>
      </c>
      <c r="AJ286" s="313">
        <v>0</v>
      </c>
      <c r="AK286" s="313">
        <v>1</v>
      </c>
      <c r="AL286" s="313">
        <v>1</v>
      </c>
      <c r="AM286" s="313">
        <v>1</v>
      </c>
      <c r="AN286" s="313">
        <v>1</v>
      </c>
      <c r="AO286" s="313">
        <v>1</v>
      </c>
      <c r="AP286" s="313">
        <v>1</v>
      </c>
      <c r="AQ286" s="313">
        <v>1</v>
      </c>
      <c r="AR286" s="313">
        <v>1</v>
      </c>
      <c r="AS286" s="313">
        <v>0</v>
      </c>
      <c r="AT286" s="313">
        <v>1</v>
      </c>
      <c r="AU286" s="313">
        <v>1</v>
      </c>
      <c r="AV286" s="313">
        <v>1</v>
      </c>
      <c r="AW286" s="313">
        <v>1</v>
      </c>
      <c r="AX286" s="313">
        <v>1</v>
      </c>
      <c r="AY286" s="313">
        <v>1</v>
      </c>
      <c r="AZ286" s="313">
        <v>1</v>
      </c>
      <c r="BA286" s="313">
        <v>1</v>
      </c>
      <c r="BB286" s="313">
        <v>0</v>
      </c>
      <c r="BC286" s="313">
        <v>1</v>
      </c>
      <c r="BD286" s="313">
        <v>1</v>
      </c>
      <c r="BE286" s="313">
        <v>1</v>
      </c>
      <c r="BF286" s="313">
        <v>1</v>
      </c>
      <c r="BG286" s="313">
        <v>1</v>
      </c>
      <c r="BH286" s="313">
        <v>1</v>
      </c>
      <c r="BI286" s="313">
        <v>1</v>
      </c>
      <c r="BJ286" s="313">
        <v>1</v>
      </c>
      <c r="BK286" s="313">
        <v>1</v>
      </c>
    </row>
    <row r="287" spans="1:63" x14ac:dyDescent="0.25">
      <c r="A287" s="306">
        <v>336991</v>
      </c>
      <c r="B287" s="313" t="s">
        <v>259</v>
      </c>
      <c r="C287" s="313">
        <v>1</v>
      </c>
      <c r="D287" s="313">
        <v>0</v>
      </c>
      <c r="E287" s="313">
        <v>1</v>
      </c>
      <c r="F287" s="313">
        <v>1</v>
      </c>
      <c r="G287" s="313">
        <v>1</v>
      </c>
      <c r="H287" s="313">
        <v>1</v>
      </c>
      <c r="I287" s="313">
        <v>1</v>
      </c>
      <c r="J287" s="313">
        <v>1</v>
      </c>
      <c r="K287" s="313">
        <v>0</v>
      </c>
      <c r="L287" s="313">
        <v>0</v>
      </c>
      <c r="M287" s="313">
        <v>1</v>
      </c>
      <c r="N287" s="313">
        <v>1</v>
      </c>
      <c r="O287" s="313">
        <v>0</v>
      </c>
      <c r="P287" s="313">
        <v>1</v>
      </c>
      <c r="Q287" s="313">
        <v>1</v>
      </c>
      <c r="R287" s="313">
        <v>1</v>
      </c>
      <c r="S287" s="313">
        <v>1</v>
      </c>
      <c r="T287" s="313">
        <v>1</v>
      </c>
      <c r="U287" s="313">
        <v>1</v>
      </c>
      <c r="V287" s="313">
        <v>1</v>
      </c>
      <c r="W287" s="313">
        <v>1</v>
      </c>
      <c r="X287" s="313">
        <v>1</v>
      </c>
      <c r="Y287" s="313">
        <v>1</v>
      </c>
      <c r="Z287" s="313">
        <v>1</v>
      </c>
      <c r="AA287" s="313">
        <v>1</v>
      </c>
      <c r="AB287" s="313">
        <v>1</v>
      </c>
      <c r="AC287" s="313">
        <v>0</v>
      </c>
      <c r="AD287" s="313">
        <v>1</v>
      </c>
      <c r="AE287" s="313">
        <v>1</v>
      </c>
      <c r="AF287" s="313">
        <v>0</v>
      </c>
      <c r="AG287" s="313">
        <v>1</v>
      </c>
      <c r="AH287" s="313">
        <v>1</v>
      </c>
      <c r="AI287" s="313">
        <v>1</v>
      </c>
      <c r="AJ287" s="313">
        <v>1</v>
      </c>
      <c r="AK287" s="313">
        <v>1</v>
      </c>
      <c r="AL287" s="313">
        <v>1</v>
      </c>
      <c r="AM287" s="313">
        <v>1</v>
      </c>
      <c r="AN287" s="313">
        <v>1</v>
      </c>
      <c r="AO287" s="313">
        <v>1</v>
      </c>
      <c r="AP287" s="313">
        <v>1</v>
      </c>
      <c r="AQ287" s="313">
        <v>1</v>
      </c>
      <c r="AR287" s="313">
        <v>1</v>
      </c>
      <c r="AS287" s="313">
        <v>1</v>
      </c>
      <c r="AT287" s="313">
        <v>1</v>
      </c>
      <c r="AU287" s="313">
        <v>1</v>
      </c>
      <c r="AV287" s="313">
        <v>1</v>
      </c>
      <c r="AW287" s="313">
        <v>1</v>
      </c>
      <c r="AX287" s="313">
        <v>0</v>
      </c>
      <c r="AY287" s="313">
        <v>1</v>
      </c>
      <c r="AZ287" s="313">
        <v>1</v>
      </c>
      <c r="BA287" s="313">
        <v>0</v>
      </c>
      <c r="BB287" s="313">
        <v>0</v>
      </c>
      <c r="BC287" s="313">
        <v>1</v>
      </c>
      <c r="BD287" s="313">
        <v>1</v>
      </c>
      <c r="BE287" s="313">
        <v>1</v>
      </c>
      <c r="BF287" s="313">
        <v>1</v>
      </c>
      <c r="BG287" s="313">
        <v>1</v>
      </c>
      <c r="BH287" s="313">
        <v>1</v>
      </c>
      <c r="BI287" s="313">
        <v>1</v>
      </c>
      <c r="BJ287" s="313">
        <v>1</v>
      </c>
      <c r="BK287" s="313">
        <v>1</v>
      </c>
    </row>
    <row r="288" spans="1:63" x14ac:dyDescent="0.25">
      <c r="A288" s="306">
        <v>336992</v>
      </c>
      <c r="B288" s="313" t="s">
        <v>260</v>
      </c>
      <c r="C288" s="313">
        <v>1</v>
      </c>
      <c r="D288" s="313">
        <v>0</v>
      </c>
      <c r="E288" s="313">
        <v>1</v>
      </c>
      <c r="F288" s="313">
        <v>0</v>
      </c>
      <c r="G288" s="313">
        <v>1</v>
      </c>
      <c r="H288" s="313">
        <v>1</v>
      </c>
      <c r="I288" s="313">
        <v>0</v>
      </c>
      <c r="J288" s="313">
        <v>0</v>
      </c>
      <c r="K288" s="313">
        <v>0</v>
      </c>
      <c r="L288" s="313">
        <v>0</v>
      </c>
      <c r="M288" s="313">
        <v>1</v>
      </c>
      <c r="N288" s="313">
        <v>1</v>
      </c>
      <c r="O288" s="313">
        <v>0</v>
      </c>
      <c r="P288" s="313">
        <v>0</v>
      </c>
      <c r="Q288" s="313">
        <v>0</v>
      </c>
      <c r="R288" s="313">
        <v>1</v>
      </c>
      <c r="S288" s="313">
        <v>0</v>
      </c>
      <c r="T288" s="313">
        <v>0</v>
      </c>
      <c r="U288" s="313">
        <v>0</v>
      </c>
      <c r="V288" s="313">
        <v>1</v>
      </c>
      <c r="W288" s="313">
        <v>0</v>
      </c>
      <c r="X288" s="313">
        <v>1</v>
      </c>
      <c r="Y288" s="313">
        <v>0</v>
      </c>
      <c r="Z288" s="313">
        <v>1</v>
      </c>
      <c r="AA288" s="313">
        <v>1</v>
      </c>
      <c r="AB288" s="313">
        <v>0</v>
      </c>
      <c r="AC288" s="313">
        <v>0</v>
      </c>
      <c r="AD288" s="313">
        <v>0</v>
      </c>
      <c r="AE288" s="313">
        <v>1</v>
      </c>
      <c r="AF288" s="313">
        <v>0</v>
      </c>
      <c r="AG288" s="313">
        <v>0</v>
      </c>
      <c r="AH288" s="313">
        <v>0</v>
      </c>
      <c r="AI288" s="313">
        <v>1</v>
      </c>
      <c r="AJ288" s="313">
        <v>0</v>
      </c>
      <c r="AK288" s="313">
        <v>0</v>
      </c>
      <c r="AL288" s="313">
        <v>1</v>
      </c>
      <c r="AM288" s="313">
        <v>1</v>
      </c>
      <c r="AN288" s="313">
        <v>1</v>
      </c>
      <c r="AO288" s="313">
        <v>0</v>
      </c>
      <c r="AP288" s="313">
        <v>1</v>
      </c>
      <c r="AQ288" s="313">
        <v>0</v>
      </c>
      <c r="AR288" s="313">
        <v>1</v>
      </c>
      <c r="AS288" s="313">
        <v>0</v>
      </c>
      <c r="AT288" s="313">
        <v>1</v>
      </c>
      <c r="AU288" s="313">
        <v>1</v>
      </c>
      <c r="AV288" s="313">
        <v>0</v>
      </c>
      <c r="AW288" s="313">
        <v>1</v>
      </c>
      <c r="AX288" s="313">
        <v>0</v>
      </c>
      <c r="AY288" s="313">
        <v>0</v>
      </c>
      <c r="AZ288" s="313">
        <v>1</v>
      </c>
      <c r="BA288" s="313">
        <v>0</v>
      </c>
      <c r="BB288" s="313">
        <v>0</v>
      </c>
      <c r="BC288" s="313">
        <v>0</v>
      </c>
      <c r="BD288" s="313">
        <v>1</v>
      </c>
      <c r="BE288" s="313">
        <v>1</v>
      </c>
      <c r="BF288" s="313">
        <v>1</v>
      </c>
      <c r="BG288" s="313">
        <v>1</v>
      </c>
      <c r="BH288" s="313">
        <v>1</v>
      </c>
      <c r="BI288" s="313">
        <v>1</v>
      </c>
      <c r="BJ288" s="313">
        <v>1</v>
      </c>
      <c r="BK288" s="313">
        <v>1</v>
      </c>
    </row>
    <row r="289" spans="1:63" x14ac:dyDescent="0.25">
      <c r="A289" s="306">
        <v>336999</v>
      </c>
      <c r="B289" s="313" t="s">
        <v>261</v>
      </c>
      <c r="C289" s="313">
        <v>1</v>
      </c>
      <c r="D289" s="313">
        <v>0</v>
      </c>
      <c r="E289" s="313">
        <v>1</v>
      </c>
      <c r="F289" s="313">
        <v>1</v>
      </c>
      <c r="G289" s="313">
        <v>1</v>
      </c>
      <c r="H289" s="313">
        <v>1</v>
      </c>
      <c r="I289" s="313">
        <v>1</v>
      </c>
      <c r="J289" s="313">
        <v>1</v>
      </c>
      <c r="K289" s="313">
        <v>0</v>
      </c>
      <c r="L289" s="313">
        <v>1</v>
      </c>
      <c r="M289" s="313">
        <v>1</v>
      </c>
      <c r="N289" s="313">
        <v>1</v>
      </c>
      <c r="O289" s="313">
        <v>0</v>
      </c>
      <c r="P289" s="313">
        <v>1</v>
      </c>
      <c r="Q289" s="313">
        <v>1</v>
      </c>
      <c r="R289" s="313">
        <v>1</v>
      </c>
      <c r="S289" s="313">
        <v>1</v>
      </c>
      <c r="T289" s="313">
        <v>1</v>
      </c>
      <c r="U289" s="313">
        <v>1</v>
      </c>
      <c r="V289" s="313">
        <v>1</v>
      </c>
      <c r="W289" s="313">
        <v>0</v>
      </c>
      <c r="X289" s="313">
        <v>1</v>
      </c>
      <c r="Y289" s="313">
        <v>0</v>
      </c>
      <c r="Z289" s="313">
        <v>1</v>
      </c>
      <c r="AA289" s="313">
        <v>1</v>
      </c>
      <c r="AB289" s="313">
        <v>1</v>
      </c>
      <c r="AC289" s="313">
        <v>1</v>
      </c>
      <c r="AD289" s="313">
        <v>0</v>
      </c>
      <c r="AE289" s="313">
        <v>1</v>
      </c>
      <c r="AF289" s="313">
        <v>0</v>
      </c>
      <c r="AG289" s="313">
        <v>1</v>
      </c>
      <c r="AH289" s="313">
        <v>1</v>
      </c>
      <c r="AI289" s="313">
        <v>1</v>
      </c>
      <c r="AJ289" s="313">
        <v>0</v>
      </c>
      <c r="AK289" s="313">
        <v>1</v>
      </c>
      <c r="AL289" s="313">
        <v>1</v>
      </c>
      <c r="AM289" s="313">
        <v>1</v>
      </c>
      <c r="AN289" s="313">
        <v>1</v>
      </c>
      <c r="AO289" s="313">
        <v>1</v>
      </c>
      <c r="AP289" s="313">
        <v>1</v>
      </c>
      <c r="AQ289" s="313">
        <v>0</v>
      </c>
      <c r="AR289" s="313">
        <v>1</v>
      </c>
      <c r="AS289" s="313">
        <v>1</v>
      </c>
      <c r="AT289" s="313">
        <v>1</v>
      </c>
      <c r="AU289" s="313">
        <v>1</v>
      </c>
      <c r="AV289" s="313">
        <v>1</v>
      </c>
      <c r="AW289" s="313">
        <v>1</v>
      </c>
      <c r="AX289" s="313">
        <v>1</v>
      </c>
      <c r="AY289" s="313">
        <v>1</v>
      </c>
      <c r="AZ289" s="313">
        <v>1</v>
      </c>
      <c r="BA289" s="313">
        <v>0</v>
      </c>
      <c r="BB289" s="313">
        <v>1</v>
      </c>
      <c r="BC289" s="313">
        <v>1</v>
      </c>
      <c r="BD289" s="313">
        <v>1</v>
      </c>
      <c r="BE289" s="313">
        <v>1</v>
      </c>
      <c r="BF289" s="313">
        <v>1</v>
      </c>
      <c r="BG289" s="313">
        <v>1</v>
      </c>
      <c r="BH289" s="313">
        <v>1</v>
      </c>
      <c r="BI289" s="313">
        <v>1</v>
      </c>
      <c r="BJ289" s="313">
        <v>1</v>
      </c>
      <c r="BK289" s="313">
        <v>1</v>
      </c>
    </row>
    <row r="290" spans="1:63" x14ac:dyDescent="0.25">
      <c r="A290" s="306">
        <v>337110</v>
      </c>
      <c r="B290" s="313" t="s">
        <v>262</v>
      </c>
      <c r="C290" s="313">
        <v>1</v>
      </c>
      <c r="D290" s="313">
        <v>1</v>
      </c>
      <c r="E290" s="313">
        <v>1</v>
      </c>
      <c r="F290" s="313">
        <v>1</v>
      </c>
      <c r="G290" s="313">
        <v>1</v>
      </c>
      <c r="H290" s="313">
        <v>1</v>
      </c>
      <c r="I290" s="313">
        <v>1</v>
      </c>
      <c r="J290" s="313">
        <v>1</v>
      </c>
      <c r="K290" s="313">
        <v>1</v>
      </c>
      <c r="L290" s="313">
        <v>1</v>
      </c>
      <c r="M290" s="313">
        <v>1</v>
      </c>
      <c r="N290" s="313">
        <v>1</v>
      </c>
      <c r="O290" s="313">
        <v>1</v>
      </c>
      <c r="P290" s="313">
        <v>1</v>
      </c>
      <c r="Q290" s="313">
        <v>1</v>
      </c>
      <c r="R290" s="313">
        <v>1</v>
      </c>
      <c r="S290" s="313">
        <v>1</v>
      </c>
      <c r="T290" s="313">
        <v>1</v>
      </c>
      <c r="U290" s="313">
        <v>1</v>
      </c>
      <c r="V290" s="313">
        <v>1</v>
      </c>
      <c r="W290" s="313">
        <v>1</v>
      </c>
      <c r="X290" s="313">
        <v>1</v>
      </c>
      <c r="Y290" s="313">
        <v>1</v>
      </c>
      <c r="Z290" s="313">
        <v>1</v>
      </c>
      <c r="AA290" s="313">
        <v>1</v>
      </c>
      <c r="AB290" s="313">
        <v>1</v>
      </c>
      <c r="AC290" s="313">
        <v>1</v>
      </c>
      <c r="AD290" s="313">
        <v>1</v>
      </c>
      <c r="AE290" s="313">
        <v>1</v>
      </c>
      <c r="AF290" s="313">
        <v>1</v>
      </c>
      <c r="AG290" s="313">
        <v>1</v>
      </c>
      <c r="AH290" s="313">
        <v>1</v>
      </c>
      <c r="AI290" s="313">
        <v>1</v>
      </c>
      <c r="AJ290" s="313">
        <v>1</v>
      </c>
      <c r="AK290" s="313">
        <v>1</v>
      </c>
      <c r="AL290" s="313">
        <v>1</v>
      </c>
      <c r="AM290" s="313">
        <v>1</v>
      </c>
      <c r="AN290" s="313">
        <v>1</v>
      </c>
      <c r="AO290" s="313">
        <v>1</v>
      </c>
      <c r="AP290" s="313">
        <v>1</v>
      </c>
      <c r="AQ290" s="313">
        <v>1</v>
      </c>
      <c r="AR290" s="313">
        <v>1</v>
      </c>
      <c r="AS290" s="313">
        <v>1</v>
      </c>
      <c r="AT290" s="313">
        <v>1</v>
      </c>
      <c r="AU290" s="313">
        <v>1</v>
      </c>
      <c r="AV290" s="313">
        <v>1</v>
      </c>
      <c r="AW290" s="313">
        <v>1</v>
      </c>
      <c r="AX290" s="313">
        <v>1</v>
      </c>
      <c r="AY290" s="313">
        <v>1</v>
      </c>
      <c r="AZ290" s="313">
        <v>1</v>
      </c>
      <c r="BA290" s="313">
        <v>1</v>
      </c>
      <c r="BB290" s="313">
        <v>1</v>
      </c>
      <c r="BC290" s="313">
        <v>1</v>
      </c>
      <c r="BD290" s="313">
        <v>1</v>
      </c>
      <c r="BE290" s="313">
        <v>1</v>
      </c>
      <c r="BF290" s="313">
        <v>1</v>
      </c>
      <c r="BG290" s="313">
        <v>1</v>
      </c>
      <c r="BH290" s="313">
        <v>1</v>
      </c>
      <c r="BI290" s="313">
        <v>1</v>
      </c>
      <c r="BJ290" s="313">
        <v>1</v>
      </c>
      <c r="BK290" s="313">
        <v>1</v>
      </c>
    </row>
    <row r="291" spans="1:63" x14ac:dyDescent="0.25">
      <c r="A291" s="306">
        <v>337121</v>
      </c>
      <c r="B291" s="313" t="s">
        <v>263</v>
      </c>
      <c r="C291" s="313">
        <v>1</v>
      </c>
      <c r="D291" s="313">
        <v>0</v>
      </c>
      <c r="E291" s="313">
        <v>1</v>
      </c>
      <c r="F291" s="313">
        <v>1</v>
      </c>
      <c r="G291" s="313">
        <v>1</v>
      </c>
      <c r="H291" s="313">
        <v>1</v>
      </c>
      <c r="I291" s="313">
        <v>1</v>
      </c>
      <c r="J291" s="313">
        <v>1</v>
      </c>
      <c r="K291" s="313">
        <v>1</v>
      </c>
      <c r="L291" s="313">
        <v>0</v>
      </c>
      <c r="M291" s="313">
        <v>1</v>
      </c>
      <c r="N291" s="313">
        <v>1</v>
      </c>
      <c r="O291" s="313">
        <v>0</v>
      </c>
      <c r="P291" s="313">
        <v>1</v>
      </c>
      <c r="Q291" s="313">
        <v>1</v>
      </c>
      <c r="R291" s="313">
        <v>1</v>
      </c>
      <c r="S291" s="313">
        <v>1</v>
      </c>
      <c r="T291" s="313">
        <v>1</v>
      </c>
      <c r="U291" s="313">
        <v>1</v>
      </c>
      <c r="V291" s="313">
        <v>0</v>
      </c>
      <c r="W291" s="313">
        <v>1</v>
      </c>
      <c r="X291" s="313">
        <v>1</v>
      </c>
      <c r="Y291" s="313">
        <v>0</v>
      </c>
      <c r="Z291" s="313">
        <v>1</v>
      </c>
      <c r="AA291" s="313">
        <v>1</v>
      </c>
      <c r="AB291" s="313">
        <v>1</v>
      </c>
      <c r="AC291" s="313">
        <v>1</v>
      </c>
      <c r="AD291" s="313">
        <v>1</v>
      </c>
      <c r="AE291" s="313">
        <v>1</v>
      </c>
      <c r="AF291" s="313">
        <v>0</v>
      </c>
      <c r="AG291" s="313">
        <v>0</v>
      </c>
      <c r="AH291" s="313">
        <v>0</v>
      </c>
      <c r="AI291" s="313">
        <v>1</v>
      </c>
      <c r="AJ291" s="313">
        <v>1</v>
      </c>
      <c r="AK291" s="313">
        <v>1</v>
      </c>
      <c r="AL291" s="313">
        <v>1</v>
      </c>
      <c r="AM291" s="313">
        <v>1</v>
      </c>
      <c r="AN291" s="313">
        <v>1</v>
      </c>
      <c r="AO291" s="313">
        <v>1</v>
      </c>
      <c r="AP291" s="313">
        <v>1</v>
      </c>
      <c r="AQ291" s="313">
        <v>1</v>
      </c>
      <c r="AR291" s="313">
        <v>1</v>
      </c>
      <c r="AS291" s="313">
        <v>1</v>
      </c>
      <c r="AT291" s="313">
        <v>1</v>
      </c>
      <c r="AU291" s="313">
        <v>1</v>
      </c>
      <c r="AV291" s="313">
        <v>1</v>
      </c>
      <c r="AW291" s="313">
        <v>1</v>
      </c>
      <c r="AX291" s="313">
        <v>0</v>
      </c>
      <c r="AY291" s="313">
        <v>1</v>
      </c>
      <c r="AZ291" s="313">
        <v>1</v>
      </c>
      <c r="BA291" s="313">
        <v>0</v>
      </c>
      <c r="BB291" s="313">
        <v>1</v>
      </c>
      <c r="BC291" s="313">
        <v>1</v>
      </c>
      <c r="BD291" s="313">
        <v>1</v>
      </c>
      <c r="BE291" s="313">
        <v>1</v>
      </c>
      <c r="BF291" s="313">
        <v>1</v>
      </c>
      <c r="BG291" s="313">
        <v>1</v>
      </c>
      <c r="BH291" s="313">
        <v>1</v>
      </c>
      <c r="BI291" s="313">
        <v>1</v>
      </c>
      <c r="BJ291" s="313">
        <v>1</v>
      </c>
      <c r="BK291" s="313">
        <v>1</v>
      </c>
    </row>
    <row r="292" spans="1:63" x14ac:dyDescent="0.25">
      <c r="A292" s="306">
        <v>337122</v>
      </c>
      <c r="B292" s="313" t="s">
        <v>264</v>
      </c>
      <c r="C292" s="313">
        <v>1</v>
      </c>
      <c r="D292" s="313">
        <v>1</v>
      </c>
      <c r="E292" s="313">
        <v>1</v>
      </c>
      <c r="F292" s="313">
        <v>1</v>
      </c>
      <c r="G292" s="313">
        <v>1</v>
      </c>
      <c r="H292" s="313">
        <v>1</v>
      </c>
      <c r="I292" s="313">
        <v>1</v>
      </c>
      <c r="J292" s="313">
        <v>1</v>
      </c>
      <c r="K292" s="313">
        <v>0</v>
      </c>
      <c r="L292" s="313">
        <v>1</v>
      </c>
      <c r="M292" s="313">
        <v>1</v>
      </c>
      <c r="N292" s="313">
        <v>1</v>
      </c>
      <c r="O292" s="313">
        <v>1</v>
      </c>
      <c r="P292" s="313">
        <v>1</v>
      </c>
      <c r="Q292" s="313">
        <v>1</v>
      </c>
      <c r="R292" s="313">
        <v>1</v>
      </c>
      <c r="S292" s="313">
        <v>1</v>
      </c>
      <c r="T292" s="313">
        <v>1</v>
      </c>
      <c r="U292" s="313">
        <v>1</v>
      </c>
      <c r="V292" s="313">
        <v>1</v>
      </c>
      <c r="W292" s="313">
        <v>1</v>
      </c>
      <c r="X292" s="313">
        <v>1</v>
      </c>
      <c r="Y292" s="313">
        <v>1</v>
      </c>
      <c r="Z292" s="313">
        <v>1</v>
      </c>
      <c r="AA292" s="313">
        <v>1</v>
      </c>
      <c r="AB292" s="313">
        <v>1</v>
      </c>
      <c r="AC292" s="313">
        <v>1</v>
      </c>
      <c r="AD292" s="313">
        <v>1</v>
      </c>
      <c r="AE292" s="313">
        <v>1</v>
      </c>
      <c r="AF292" s="313">
        <v>1</v>
      </c>
      <c r="AG292" s="313">
        <v>1</v>
      </c>
      <c r="AH292" s="313">
        <v>1</v>
      </c>
      <c r="AI292" s="313">
        <v>1</v>
      </c>
      <c r="AJ292" s="313">
        <v>1</v>
      </c>
      <c r="AK292" s="313">
        <v>1</v>
      </c>
      <c r="AL292" s="313">
        <v>1</v>
      </c>
      <c r="AM292" s="313">
        <v>1</v>
      </c>
      <c r="AN292" s="313">
        <v>1</v>
      </c>
      <c r="AO292" s="313">
        <v>1</v>
      </c>
      <c r="AP292" s="313">
        <v>1</v>
      </c>
      <c r="AQ292" s="313">
        <v>1</v>
      </c>
      <c r="AR292" s="313">
        <v>1</v>
      </c>
      <c r="AS292" s="313">
        <v>1</v>
      </c>
      <c r="AT292" s="313">
        <v>1</v>
      </c>
      <c r="AU292" s="313">
        <v>1</v>
      </c>
      <c r="AV292" s="313">
        <v>1</v>
      </c>
      <c r="AW292" s="313">
        <v>1</v>
      </c>
      <c r="AX292" s="313">
        <v>1</v>
      </c>
      <c r="AY292" s="313">
        <v>1</v>
      </c>
      <c r="AZ292" s="313">
        <v>1</v>
      </c>
      <c r="BA292" s="313">
        <v>1</v>
      </c>
      <c r="BB292" s="313">
        <v>1</v>
      </c>
      <c r="BC292" s="313">
        <v>1</v>
      </c>
      <c r="BD292" s="313">
        <v>1</v>
      </c>
      <c r="BE292" s="313">
        <v>1</v>
      </c>
      <c r="BF292" s="313">
        <v>1</v>
      </c>
      <c r="BG292" s="313">
        <v>1</v>
      </c>
      <c r="BH292" s="313">
        <v>1</v>
      </c>
      <c r="BI292" s="313">
        <v>1</v>
      </c>
      <c r="BJ292" s="313">
        <v>1</v>
      </c>
      <c r="BK292" s="313">
        <v>1</v>
      </c>
    </row>
    <row r="293" spans="1:63" x14ac:dyDescent="0.25">
      <c r="A293" s="306">
        <v>337127</v>
      </c>
      <c r="B293" s="313" t="s">
        <v>266</v>
      </c>
      <c r="C293" s="313">
        <v>1</v>
      </c>
      <c r="D293" s="313">
        <v>0</v>
      </c>
      <c r="E293" s="313">
        <v>1</v>
      </c>
      <c r="F293" s="313">
        <v>1</v>
      </c>
      <c r="G293" s="313">
        <v>1</v>
      </c>
      <c r="H293" s="313">
        <v>1</v>
      </c>
      <c r="I293" s="313">
        <v>1</v>
      </c>
      <c r="J293" s="313">
        <v>1</v>
      </c>
      <c r="K293" s="313">
        <v>0</v>
      </c>
      <c r="L293" s="313">
        <v>1</v>
      </c>
      <c r="M293" s="313">
        <v>1</v>
      </c>
      <c r="N293" s="313">
        <v>1</v>
      </c>
      <c r="O293" s="313">
        <v>0</v>
      </c>
      <c r="P293" s="313">
        <v>1</v>
      </c>
      <c r="Q293" s="313">
        <v>1</v>
      </c>
      <c r="R293" s="313">
        <v>1</v>
      </c>
      <c r="S293" s="313">
        <v>1</v>
      </c>
      <c r="T293" s="313">
        <v>1</v>
      </c>
      <c r="U293" s="313">
        <v>1</v>
      </c>
      <c r="V293" s="313">
        <v>1</v>
      </c>
      <c r="W293" s="313">
        <v>1</v>
      </c>
      <c r="X293" s="313">
        <v>1</v>
      </c>
      <c r="Y293" s="313">
        <v>1</v>
      </c>
      <c r="Z293" s="313">
        <v>1</v>
      </c>
      <c r="AA293" s="313">
        <v>1</v>
      </c>
      <c r="AB293" s="313">
        <v>1</v>
      </c>
      <c r="AC293" s="313">
        <v>1</v>
      </c>
      <c r="AD293" s="313">
        <v>1</v>
      </c>
      <c r="AE293" s="313">
        <v>1</v>
      </c>
      <c r="AF293" s="313">
        <v>1</v>
      </c>
      <c r="AG293" s="313">
        <v>1</v>
      </c>
      <c r="AH293" s="313">
        <v>1</v>
      </c>
      <c r="AI293" s="313">
        <v>1</v>
      </c>
      <c r="AJ293" s="313">
        <v>1</v>
      </c>
      <c r="AK293" s="313">
        <v>1</v>
      </c>
      <c r="AL293" s="313">
        <v>1</v>
      </c>
      <c r="AM293" s="313">
        <v>1</v>
      </c>
      <c r="AN293" s="313">
        <v>1</v>
      </c>
      <c r="AO293" s="313">
        <v>1</v>
      </c>
      <c r="AP293" s="313">
        <v>1</v>
      </c>
      <c r="AQ293" s="313">
        <v>0</v>
      </c>
      <c r="AR293" s="313">
        <v>1</v>
      </c>
      <c r="AS293" s="313">
        <v>0</v>
      </c>
      <c r="AT293" s="313">
        <v>1</v>
      </c>
      <c r="AU293" s="313">
        <v>1</v>
      </c>
      <c r="AV293" s="313">
        <v>1</v>
      </c>
      <c r="AW293" s="313">
        <v>1</v>
      </c>
      <c r="AX293" s="313">
        <v>1</v>
      </c>
      <c r="AY293" s="313">
        <v>1</v>
      </c>
      <c r="AZ293" s="313">
        <v>1</v>
      </c>
      <c r="BA293" s="313">
        <v>0</v>
      </c>
      <c r="BB293" s="313">
        <v>0</v>
      </c>
      <c r="BC293" s="313">
        <v>1</v>
      </c>
      <c r="BD293" s="313">
        <v>1</v>
      </c>
      <c r="BE293" s="313">
        <v>1</v>
      </c>
      <c r="BF293" s="313">
        <v>1</v>
      </c>
      <c r="BG293" s="313">
        <v>1</v>
      </c>
      <c r="BH293" s="313">
        <v>1</v>
      </c>
      <c r="BI293" s="313">
        <v>1</v>
      </c>
      <c r="BJ293" s="313">
        <v>1</v>
      </c>
      <c r="BK293" s="313">
        <v>1</v>
      </c>
    </row>
    <row r="294" spans="1:63" x14ac:dyDescent="0.25">
      <c r="A294" s="306" t="s">
        <v>745</v>
      </c>
      <c r="B294" s="313" t="s">
        <v>265</v>
      </c>
      <c r="C294" s="313">
        <v>1</v>
      </c>
      <c r="D294" s="313">
        <v>1</v>
      </c>
      <c r="E294" s="313">
        <v>1</v>
      </c>
      <c r="F294" s="313">
        <v>1</v>
      </c>
      <c r="G294" s="313">
        <v>1</v>
      </c>
      <c r="H294" s="313">
        <v>1</v>
      </c>
      <c r="I294" s="313">
        <v>1</v>
      </c>
      <c r="J294" s="313">
        <v>1</v>
      </c>
      <c r="K294" s="313">
        <v>1</v>
      </c>
      <c r="L294" s="313">
        <v>1</v>
      </c>
      <c r="M294" s="313">
        <v>1</v>
      </c>
      <c r="N294" s="313">
        <v>1</v>
      </c>
      <c r="O294" s="313">
        <v>1</v>
      </c>
      <c r="P294" s="313">
        <v>1</v>
      </c>
      <c r="Q294" s="313">
        <v>1</v>
      </c>
      <c r="R294" s="313">
        <v>1</v>
      </c>
      <c r="S294" s="313">
        <v>1</v>
      </c>
      <c r="T294" s="313">
        <v>1</v>
      </c>
      <c r="U294" s="313">
        <v>1</v>
      </c>
      <c r="V294" s="313">
        <v>0</v>
      </c>
      <c r="W294" s="313">
        <v>1</v>
      </c>
      <c r="X294" s="313">
        <v>1</v>
      </c>
      <c r="Y294" s="313">
        <v>0</v>
      </c>
      <c r="Z294" s="313">
        <v>1</v>
      </c>
      <c r="AA294" s="313">
        <v>1</v>
      </c>
      <c r="AB294" s="313">
        <v>1</v>
      </c>
      <c r="AC294" s="313">
        <v>1</v>
      </c>
      <c r="AD294" s="313">
        <v>1</v>
      </c>
      <c r="AE294" s="313">
        <v>1</v>
      </c>
      <c r="AF294" s="313">
        <v>0</v>
      </c>
      <c r="AG294" s="313">
        <v>1</v>
      </c>
      <c r="AH294" s="313">
        <v>1</v>
      </c>
      <c r="AI294" s="313">
        <v>1</v>
      </c>
      <c r="AJ294" s="313">
        <v>1</v>
      </c>
      <c r="AK294" s="313">
        <v>1</v>
      </c>
      <c r="AL294" s="313">
        <v>1</v>
      </c>
      <c r="AM294" s="313">
        <v>1</v>
      </c>
      <c r="AN294" s="313">
        <v>1</v>
      </c>
      <c r="AO294" s="313">
        <v>1</v>
      </c>
      <c r="AP294" s="313">
        <v>1</v>
      </c>
      <c r="AQ294" s="313">
        <v>0</v>
      </c>
      <c r="AR294" s="313">
        <v>1</v>
      </c>
      <c r="AS294" s="313">
        <v>0</v>
      </c>
      <c r="AT294" s="313">
        <v>1</v>
      </c>
      <c r="AU294" s="313">
        <v>1</v>
      </c>
      <c r="AV294" s="313">
        <v>1</v>
      </c>
      <c r="AW294" s="313">
        <v>1</v>
      </c>
      <c r="AX294" s="313">
        <v>1</v>
      </c>
      <c r="AY294" s="313">
        <v>1</v>
      </c>
      <c r="AZ294" s="313">
        <v>1</v>
      </c>
      <c r="BA294" s="313">
        <v>0</v>
      </c>
      <c r="BB294" s="313">
        <v>1</v>
      </c>
      <c r="BC294" s="313">
        <v>1</v>
      </c>
      <c r="BD294" s="313">
        <v>1</v>
      </c>
      <c r="BE294" s="313">
        <v>1</v>
      </c>
      <c r="BF294" s="313">
        <v>1</v>
      </c>
      <c r="BG294" s="313">
        <v>1</v>
      </c>
      <c r="BH294" s="313">
        <v>1</v>
      </c>
      <c r="BI294" s="313">
        <v>1</v>
      </c>
      <c r="BJ294" s="313">
        <v>1</v>
      </c>
      <c r="BK294" s="313">
        <v>1</v>
      </c>
    </row>
    <row r="295" spans="1:63" x14ac:dyDescent="0.25">
      <c r="A295" s="306">
        <v>337212</v>
      </c>
      <c r="B295" s="313" t="s">
        <v>268</v>
      </c>
      <c r="C295" s="313">
        <v>1</v>
      </c>
      <c r="D295" s="313">
        <v>0</v>
      </c>
      <c r="E295" s="313">
        <v>1</v>
      </c>
      <c r="F295" s="313">
        <v>1</v>
      </c>
      <c r="G295" s="313">
        <v>1</v>
      </c>
      <c r="H295" s="313">
        <v>1</v>
      </c>
      <c r="I295" s="313">
        <v>1</v>
      </c>
      <c r="J295" s="313">
        <v>1</v>
      </c>
      <c r="K295" s="313">
        <v>1</v>
      </c>
      <c r="L295" s="313">
        <v>1</v>
      </c>
      <c r="M295" s="313">
        <v>1</v>
      </c>
      <c r="N295" s="313">
        <v>1</v>
      </c>
      <c r="O295" s="313">
        <v>1</v>
      </c>
      <c r="P295" s="313">
        <v>1</v>
      </c>
      <c r="Q295" s="313">
        <v>1</v>
      </c>
      <c r="R295" s="313">
        <v>1</v>
      </c>
      <c r="S295" s="313">
        <v>1</v>
      </c>
      <c r="T295" s="313">
        <v>1</v>
      </c>
      <c r="U295" s="313">
        <v>1</v>
      </c>
      <c r="V295" s="313">
        <v>1</v>
      </c>
      <c r="W295" s="313">
        <v>1</v>
      </c>
      <c r="X295" s="313">
        <v>1</v>
      </c>
      <c r="Y295" s="313">
        <v>1</v>
      </c>
      <c r="Z295" s="313">
        <v>1</v>
      </c>
      <c r="AA295" s="313">
        <v>1</v>
      </c>
      <c r="AB295" s="313">
        <v>1</v>
      </c>
      <c r="AC295" s="313">
        <v>1</v>
      </c>
      <c r="AD295" s="313">
        <v>1</v>
      </c>
      <c r="AE295" s="313">
        <v>1</v>
      </c>
      <c r="AF295" s="313">
        <v>1</v>
      </c>
      <c r="AG295" s="313">
        <v>1</v>
      </c>
      <c r="AH295" s="313">
        <v>1</v>
      </c>
      <c r="AI295" s="313">
        <v>1</v>
      </c>
      <c r="AJ295" s="313">
        <v>1</v>
      </c>
      <c r="AK295" s="313">
        <v>1</v>
      </c>
      <c r="AL295" s="313">
        <v>1</v>
      </c>
      <c r="AM295" s="313">
        <v>1</v>
      </c>
      <c r="AN295" s="313">
        <v>1</v>
      </c>
      <c r="AO295" s="313">
        <v>1</v>
      </c>
      <c r="AP295" s="313">
        <v>1</v>
      </c>
      <c r="AQ295" s="313">
        <v>1</v>
      </c>
      <c r="AR295" s="313">
        <v>1</v>
      </c>
      <c r="AS295" s="313">
        <v>1</v>
      </c>
      <c r="AT295" s="313">
        <v>1</v>
      </c>
      <c r="AU295" s="313">
        <v>1</v>
      </c>
      <c r="AV295" s="313">
        <v>1</v>
      </c>
      <c r="AW295" s="313">
        <v>1</v>
      </c>
      <c r="AX295" s="313">
        <v>1</v>
      </c>
      <c r="AY295" s="313">
        <v>1</v>
      </c>
      <c r="AZ295" s="313">
        <v>1</v>
      </c>
      <c r="BA295" s="313">
        <v>1</v>
      </c>
      <c r="BB295" s="313">
        <v>0</v>
      </c>
      <c r="BC295" s="313">
        <v>1</v>
      </c>
      <c r="BD295" s="313">
        <v>1</v>
      </c>
      <c r="BE295" s="313">
        <v>1</v>
      </c>
      <c r="BF295" s="313">
        <v>1</v>
      </c>
      <c r="BG295" s="313">
        <v>1</v>
      </c>
      <c r="BH295" s="313">
        <v>1</v>
      </c>
      <c r="BI295" s="313">
        <v>1</v>
      </c>
      <c r="BJ295" s="313">
        <v>1</v>
      </c>
      <c r="BK295" s="313">
        <v>1</v>
      </c>
    </row>
    <row r="296" spans="1:63" x14ac:dyDescent="0.25">
      <c r="A296" s="306">
        <v>337215</v>
      </c>
      <c r="B296" s="313" t="s">
        <v>269</v>
      </c>
      <c r="C296" s="313">
        <v>1</v>
      </c>
      <c r="D296" s="313">
        <v>1</v>
      </c>
      <c r="E296" s="313">
        <v>1</v>
      </c>
      <c r="F296" s="313">
        <v>1</v>
      </c>
      <c r="G296" s="313">
        <v>1</v>
      </c>
      <c r="H296" s="313">
        <v>1</v>
      </c>
      <c r="I296" s="313">
        <v>1</v>
      </c>
      <c r="J296" s="313">
        <v>1</v>
      </c>
      <c r="K296" s="313">
        <v>0</v>
      </c>
      <c r="L296" s="313">
        <v>0</v>
      </c>
      <c r="M296" s="313">
        <v>1</v>
      </c>
      <c r="N296" s="313">
        <v>1</v>
      </c>
      <c r="O296" s="313">
        <v>1</v>
      </c>
      <c r="P296" s="313">
        <v>1</v>
      </c>
      <c r="Q296" s="313">
        <v>1</v>
      </c>
      <c r="R296" s="313">
        <v>1</v>
      </c>
      <c r="S296" s="313">
        <v>1</v>
      </c>
      <c r="T296" s="313">
        <v>1</v>
      </c>
      <c r="U296" s="313">
        <v>1</v>
      </c>
      <c r="V296" s="313">
        <v>1</v>
      </c>
      <c r="W296" s="313">
        <v>1</v>
      </c>
      <c r="X296" s="313">
        <v>1</v>
      </c>
      <c r="Y296" s="313">
        <v>1</v>
      </c>
      <c r="Z296" s="313">
        <v>1</v>
      </c>
      <c r="AA296" s="313">
        <v>1</v>
      </c>
      <c r="AB296" s="313">
        <v>1</v>
      </c>
      <c r="AC296" s="313">
        <v>1</v>
      </c>
      <c r="AD296" s="313">
        <v>1</v>
      </c>
      <c r="AE296" s="313">
        <v>1</v>
      </c>
      <c r="AF296" s="313">
        <v>1</v>
      </c>
      <c r="AG296" s="313">
        <v>1</v>
      </c>
      <c r="AH296" s="313">
        <v>1</v>
      </c>
      <c r="AI296" s="313">
        <v>1</v>
      </c>
      <c r="AJ296" s="313">
        <v>1</v>
      </c>
      <c r="AK296" s="313">
        <v>1</v>
      </c>
      <c r="AL296" s="313">
        <v>1</v>
      </c>
      <c r="AM296" s="313">
        <v>1</v>
      </c>
      <c r="AN296" s="313">
        <v>1</v>
      </c>
      <c r="AO296" s="313">
        <v>1</v>
      </c>
      <c r="AP296" s="313">
        <v>1</v>
      </c>
      <c r="AQ296" s="313">
        <v>1</v>
      </c>
      <c r="AR296" s="313">
        <v>1</v>
      </c>
      <c r="AS296" s="313">
        <v>1</v>
      </c>
      <c r="AT296" s="313">
        <v>1</v>
      </c>
      <c r="AU296" s="313">
        <v>1</v>
      </c>
      <c r="AV296" s="313">
        <v>1</v>
      </c>
      <c r="AW296" s="313">
        <v>1</v>
      </c>
      <c r="AX296" s="313">
        <v>1</v>
      </c>
      <c r="AY296" s="313">
        <v>1</v>
      </c>
      <c r="AZ296" s="313">
        <v>1</v>
      </c>
      <c r="BA296" s="313">
        <v>1</v>
      </c>
      <c r="BB296" s="313">
        <v>1</v>
      </c>
      <c r="BC296" s="313">
        <v>1</v>
      </c>
      <c r="BD296" s="313">
        <v>1</v>
      </c>
      <c r="BE296" s="313">
        <v>1</v>
      </c>
      <c r="BF296" s="313">
        <v>1</v>
      </c>
      <c r="BG296" s="313">
        <v>1</v>
      </c>
      <c r="BH296" s="313">
        <v>1</v>
      </c>
      <c r="BI296" s="313">
        <v>1</v>
      </c>
      <c r="BJ296" s="313">
        <v>1</v>
      </c>
      <c r="BK296" s="313">
        <v>1</v>
      </c>
    </row>
    <row r="297" spans="1:63" x14ac:dyDescent="0.25">
      <c r="A297" s="306" t="s">
        <v>746</v>
      </c>
      <c r="B297" s="313" t="s">
        <v>267</v>
      </c>
      <c r="C297" s="313">
        <v>1</v>
      </c>
      <c r="D297" s="313">
        <v>0</v>
      </c>
      <c r="E297" s="313">
        <v>0</v>
      </c>
      <c r="F297" s="313">
        <v>1</v>
      </c>
      <c r="G297" s="313">
        <v>1</v>
      </c>
      <c r="H297" s="313">
        <v>1</v>
      </c>
      <c r="I297" s="313">
        <v>0</v>
      </c>
      <c r="J297" s="313">
        <v>1</v>
      </c>
      <c r="K297" s="313">
        <v>0</v>
      </c>
      <c r="L297" s="313">
        <v>0</v>
      </c>
      <c r="M297" s="313">
        <v>1</v>
      </c>
      <c r="N297" s="313">
        <v>1</v>
      </c>
      <c r="O297" s="313">
        <v>1</v>
      </c>
      <c r="P297" s="313">
        <v>1</v>
      </c>
      <c r="Q297" s="313">
        <v>1</v>
      </c>
      <c r="R297" s="313">
        <v>1</v>
      </c>
      <c r="S297" s="313">
        <v>1</v>
      </c>
      <c r="T297" s="313">
        <v>1</v>
      </c>
      <c r="U297" s="313">
        <v>0</v>
      </c>
      <c r="V297" s="313">
        <v>1</v>
      </c>
      <c r="W297" s="313">
        <v>1</v>
      </c>
      <c r="X297" s="313">
        <v>1</v>
      </c>
      <c r="Y297" s="313">
        <v>1</v>
      </c>
      <c r="Z297" s="313">
        <v>1</v>
      </c>
      <c r="AA297" s="313">
        <v>1</v>
      </c>
      <c r="AB297" s="313">
        <v>1</v>
      </c>
      <c r="AC297" s="313">
        <v>0</v>
      </c>
      <c r="AD297" s="313">
        <v>1</v>
      </c>
      <c r="AE297" s="313">
        <v>1</v>
      </c>
      <c r="AF297" s="313">
        <v>0</v>
      </c>
      <c r="AG297" s="313">
        <v>1</v>
      </c>
      <c r="AH297" s="313">
        <v>0</v>
      </c>
      <c r="AI297" s="313">
        <v>1</v>
      </c>
      <c r="AJ297" s="313">
        <v>1</v>
      </c>
      <c r="AK297" s="313">
        <v>1</v>
      </c>
      <c r="AL297" s="313">
        <v>1</v>
      </c>
      <c r="AM297" s="313">
        <v>1</v>
      </c>
      <c r="AN297" s="313">
        <v>1</v>
      </c>
      <c r="AO297" s="313">
        <v>1</v>
      </c>
      <c r="AP297" s="313">
        <v>1</v>
      </c>
      <c r="AQ297" s="313">
        <v>0</v>
      </c>
      <c r="AR297" s="313">
        <v>1</v>
      </c>
      <c r="AS297" s="313">
        <v>0</v>
      </c>
      <c r="AT297" s="313">
        <v>1</v>
      </c>
      <c r="AU297" s="313">
        <v>1</v>
      </c>
      <c r="AV297" s="313">
        <v>1</v>
      </c>
      <c r="AW297" s="313">
        <v>1</v>
      </c>
      <c r="AX297" s="313">
        <v>0</v>
      </c>
      <c r="AY297" s="313">
        <v>1</v>
      </c>
      <c r="AZ297" s="313">
        <v>1</v>
      </c>
      <c r="BA297" s="313">
        <v>0</v>
      </c>
      <c r="BB297" s="313">
        <v>1</v>
      </c>
      <c r="BC297" s="313">
        <v>1</v>
      </c>
      <c r="BD297" s="313">
        <v>1</v>
      </c>
      <c r="BE297" s="313">
        <v>1</v>
      </c>
      <c r="BF297" s="313">
        <v>1</v>
      </c>
      <c r="BG297" s="313">
        <v>1</v>
      </c>
      <c r="BH297" s="313">
        <v>1</v>
      </c>
      <c r="BI297" s="313">
        <v>1</v>
      </c>
      <c r="BJ297" s="313">
        <v>1</v>
      </c>
      <c r="BK297" s="313">
        <v>1</v>
      </c>
    </row>
    <row r="298" spans="1:63" x14ac:dyDescent="0.25">
      <c r="A298" s="306">
        <v>337910</v>
      </c>
      <c r="B298" s="313" t="s">
        <v>270</v>
      </c>
      <c r="C298" s="313">
        <v>1</v>
      </c>
      <c r="D298" s="313">
        <v>0</v>
      </c>
      <c r="E298" s="313">
        <v>1</v>
      </c>
      <c r="F298" s="313">
        <v>1</v>
      </c>
      <c r="G298" s="313">
        <v>1</v>
      </c>
      <c r="H298" s="313">
        <v>1</v>
      </c>
      <c r="I298" s="313">
        <v>1</v>
      </c>
      <c r="J298" s="313">
        <v>1</v>
      </c>
      <c r="K298" s="313">
        <v>0</v>
      </c>
      <c r="L298" s="313">
        <v>0</v>
      </c>
      <c r="M298" s="313">
        <v>1</v>
      </c>
      <c r="N298" s="313">
        <v>1</v>
      </c>
      <c r="O298" s="313">
        <v>1</v>
      </c>
      <c r="P298" s="313">
        <v>1</v>
      </c>
      <c r="Q298" s="313">
        <v>1</v>
      </c>
      <c r="R298" s="313">
        <v>1</v>
      </c>
      <c r="S298" s="313">
        <v>1</v>
      </c>
      <c r="T298" s="313">
        <v>1</v>
      </c>
      <c r="U298" s="313">
        <v>1</v>
      </c>
      <c r="V298" s="313">
        <v>1</v>
      </c>
      <c r="W298" s="313">
        <v>1</v>
      </c>
      <c r="X298" s="313">
        <v>1</v>
      </c>
      <c r="Y298" s="313">
        <v>1</v>
      </c>
      <c r="Z298" s="313">
        <v>1</v>
      </c>
      <c r="AA298" s="313">
        <v>1</v>
      </c>
      <c r="AB298" s="313">
        <v>1</v>
      </c>
      <c r="AC298" s="313">
        <v>1</v>
      </c>
      <c r="AD298" s="313">
        <v>1</v>
      </c>
      <c r="AE298" s="313">
        <v>1</v>
      </c>
      <c r="AF298" s="313">
        <v>1</v>
      </c>
      <c r="AG298" s="313">
        <v>1</v>
      </c>
      <c r="AH298" s="313">
        <v>1</v>
      </c>
      <c r="AI298" s="313">
        <v>1</v>
      </c>
      <c r="AJ298" s="313">
        <v>1</v>
      </c>
      <c r="AK298" s="313">
        <v>1</v>
      </c>
      <c r="AL298" s="313">
        <v>1</v>
      </c>
      <c r="AM298" s="313">
        <v>1</v>
      </c>
      <c r="AN298" s="313">
        <v>1</v>
      </c>
      <c r="AO298" s="313">
        <v>1</v>
      </c>
      <c r="AP298" s="313">
        <v>1</v>
      </c>
      <c r="AQ298" s="313">
        <v>0</v>
      </c>
      <c r="AR298" s="313">
        <v>1</v>
      </c>
      <c r="AS298" s="313">
        <v>0</v>
      </c>
      <c r="AT298" s="313">
        <v>1</v>
      </c>
      <c r="AU298" s="313">
        <v>1</v>
      </c>
      <c r="AV298" s="313">
        <v>1</v>
      </c>
      <c r="AW298" s="313">
        <v>1</v>
      </c>
      <c r="AX298" s="313">
        <v>0</v>
      </c>
      <c r="AY298" s="313">
        <v>1</v>
      </c>
      <c r="AZ298" s="313">
        <v>1</v>
      </c>
      <c r="BA298" s="313">
        <v>1</v>
      </c>
      <c r="BB298" s="313">
        <v>0</v>
      </c>
      <c r="BC298" s="313">
        <v>1</v>
      </c>
      <c r="BD298" s="313">
        <v>1</v>
      </c>
      <c r="BE298" s="313">
        <v>1</v>
      </c>
      <c r="BF298" s="313">
        <v>1</v>
      </c>
      <c r="BG298" s="313">
        <v>1</v>
      </c>
      <c r="BH298" s="313">
        <v>1</v>
      </c>
      <c r="BI298" s="313">
        <v>1</v>
      </c>
      <c r="BJ298" s="313">
        <v>1</v>
      </c>
      <c r="BK298" s="313">
        <v>1</v>
      </c>
    </row>
    <row r="299" spans="1:63" x14ac:dyDescent="0.25">
      <c r="A299" s="306">
        <v>337920</v>
      </c>
      <c r="B299" s="313" t="s">
        <v>271</v>
      </c>
      <c r="C299" s="313">
        <v>1</v>
      </c>
      <c r="D299" s="313">
        <v>1</v>
      </c>
      <c r="E299" s="313">
        <v>1</v>
      </c>
      <c r="F299" s="313">
        <v>0</v>
      </c>
      <c r="G299" s="313">
        <v>1</v>
      </c>
      <c r="H299" s="313">
        <v>1</v>
      </c>
      <c r="I299" s="313">
        <v>1</v>
      </c>
      <c r="J299" s="313">
        <v>1</v>
      </c>
      <c r="K299" s="313">
        <v>0</v>
      </c>
      <c r="L299" s="313">
        <v>1</v>
      </c>
      <c r="M299" s="313">
        <v>1</v>
      </c>
      <c r="N299" s="313">
        <v>1</v>
      </c>
      <c r="O299" s="313">
        <v>1</v>
      </c>
      <c r="P299" s="313">
        <v>1</v>
      </c>
      <c r="Q299" s="313">
        <v>0</v>
      </c>
      <c r="R299" s="313">
        <v>1</v>
      </c>
      <c r="S299" s="313">
        <v>1</v>
      </c>
      <c r="T299" s="313">
        <v>1</v>
      </c>
      <c r="U299" s="313">
        <v>1</v>
      </c>
      <c r="V299" s="313">
        <v>1</v>
      </c>
      <c r="W299" s="313">
        <v>1</v>
      </c>
      <c r="X299" s="313">
        <v>1</v>
      </c>
      <c r="Y299" s="313">
        <v>0</v>
      </c>
      <c r="Z299" s="313">
        <v>1</v>
      </c>
      <c r="AA299" s="313">
        <v>1</v>
      </c>
      <c r="AB299" s="313">
        <v>1</v>
      </c>
      <c r="AC299" s="313">
        <v>1</v>
      </c>
      <c r="AD299" s="313">
        <v>0</v>
      </c>
      <c r="AE299" s="313">
        <v>1</v>
      </c>
      <c r="AF299" s="313">
        <v>1</v>
      </c>
      <c r="AG299" s="313">
        <v>1</v>
      </c>
      <c r="AH299" s="313">
        <v>1</v>
      </c>
      <c r="AI299" s="313">
        <v>1</v>
      </c>
      <c r="AJ299" s="313">
        <v>1</v>
      </c>
      <c r="AK299" s="313">
        <v>1</v>
      </c>
      <c r="AL299" s="313">
        <v>1</v>
      </c>
      <c r="AM299" s="313">
        <v>1</v>
      </c>
      <c r="AN299" s="313">
        <v>1</v>
      </c>
      <c r="AO299" s="313">
        <v>1</v>
      </c>
      <c r="AP299" s="313">
        <v>1</v>
      </c>
      <c r="AQ299" s="313">
        <v>1</v>
      </c>
      <c r="AR299" s="313">
        <v>1</v>
      </c>
      <c r="AS299" s="313">
        <v>1</v>
      </c>
      <c r="AT299" s="313">
        <v>1</v>
      </c>
      <c r="AU299" s="313">
        <v>1</v>
      </c>
      <c r="AV299" s="313">
        <v>1</v>
      </c>
      <c r="AW299" s="313">
        <v>1</v>
      </c>
      <c r="AX299" s="313">
        <v>1</v>
      </c>
      <c r="AY299" s="313">
        <v>1</v>
      </c>
      <c r="AZ299" s="313">
        <v>1</v>
      </c>
      <c r="BA299" s="313">
        <v>0</v>
      </c>
      <c r="BB299" s="313">
        <v>0</v>
      </c>
      <c r="BC299" s="313">
        <v>1</v>
      </c>
      <c r="BD299" s="313">
        <v>1</v>
      </c>
      <c r="BE299" s="313">
        <v>1</v>
      </c>
      <c r="BF299" s="313">
        <v>1</v>
      </c>
      <c r="BG299" s="313">
        <v>1</v>
      </c>
      <c r="BH299" s="313">
        <v>1</v>
      </c>
      <c r="BI299" s="313">
        <v>1</v>
      </c>
      <c r="BJ299" s="313">
        <v>1</v>
      </c>
      <c r="BK299" s="313">
        <v>1</v>
      </c>
    </row>
    <row r="300" spans="1:63" x14ac:dyDescent="0.25">
      <c r="A300" s="306">
        <v>339112</v>
      </c>
      <c r="B300" s="313" t="s">
        <v>747</v>
      </c>
      <c r="C300" s="313">
        <v>1</v>
      </c>
      <c r="D300" s="313">
        <v>1</v>
      </c>
      <c r="E300" s="313">
        <v>1</v>
      </c>
      <c r="F300" s="313">
        <v>1</v>
      </c>
      <c r="G300" s="313">
        <v>1</v>
      </c>
      <c r="H300" s="313">
        <v>1</v>
      </c>
      <c r="I300" s="313">
        <v>1</v>
      </c>
      <c r="J300" s="313">
        <v>1</v>
      </c>
      <c r="K300" s="313">
        <v>0</v>
      </c>
      <c r="L300" s="313">
        <v>0</v>
      </c>
      <c r="M300" s="313">
        <v>1</v>
      </c>
      <c r="N300" s="313">
        <v>1</v>
      </c>
      <c r="O300" s="313">
        <v>0</v>
      </c>
      <c r="P300" s="313">
        <v>1</v>
      </c>
      <c r="Q300" s="313">
        <v>1</v>
      </c>
      <c r="R300" s="313">
        <v>1</v>
      </c>
      <c r="S300" s="313">
        <v>1</v>
      </c>
      <c r="T300" s="313">
        <v>1</v>
      </c>
      <c r="U300" s="313">
        <v>1</v>
      </c>
      <c r="V300" s="313">
        <v>1</v>
      </c>
      <c r="W300" s="313">
        <v>1</v>
      </c>
      <c r="X300" s="313">
        <v>1</v>
      </c>
      <c r="Y300" s="313">
        <v>1</v>
      </c>
      <c r="Z300" s="313">
        <v>1</v>
      </c>
      <c r="AA300" s="313">
        <v>1</v>
      </c>
      <c r="AB300" s="313">
        <v>1</v>
      </c>
      <c r="AC300" s="313">
        <v>1</v>
      </c>
      <c r="AD300" s="313">
        <v>1</v>
      </c>
      <c r="AE300" s="313">
        <v>1</v>
      </c>
      <c r="AF300" s="313">
        <v>1</v>
      </c>
      <c r="AG300" s="313">
        <v>1</v>
      </c>
      <c r="AH300" s="313">
        <v>1</v>
      </c>
      <c r="AI300" s="313">
        <v>1</v>
      </c>
      <c r="AJ300" s="313">
        <v>0</v>
      </c>
      <c r="AK300" s="313">
        <v>1</v>
      </c>
      <c r="AL300" s="313">
        <v>1</v>
      </c>
      <c r="AM300" s="313">
        <v>1</v>
      </c>
      <c r="AN300" s="313">
        <v>1</v>
      </c>
      <c r="AO300" s="313">
        <v>1</v>
      </c>
      <c r="AP300" s="313">
        <v>1</v>
      </c>
      <c r="AQ300" s="313">
        <v>1</v>
      </c>
      <c r="AR300" s="313">
        <v>1</v>
      </c>
      <c r="AS300" s="313">
        <v>1</v>
      </c>
      <c r="AT300" s="313">
        <v>1</v>
      </c>
      <c r="AU300" s="313">
        <v>1</v>
      </c>
      <c r="AV300" s="313">
        <v>1</v>
      </c>
      <c r="AW300" s="313">
        <v>1</v>
      </c>
      <c r="AX300" s="313">
        <v>1</v>
      </c>
      <c r="AY300" s="313">
        <v>1</v>
      </c>
      <c r="AZ300" s="313">
        <v>1</v>
      </c>
      <c r="BA300" s="313">
        <v>0</v>
      </c>
      <c r="BB300" s="313">
        <v>0</v>
      </c>
      <c r="BC300" s="313">
        <v>1</v>
      </c>
      <c r="BD300" s="313">
        <v>1</v>
      </c>
      <c r="BE300" s="313">
        <v>1</v>
      </c>
      <c r="BF300" s="313">
        <v>1</v>
      </c>
      <c r="BG300" s="313">
        <v>1</v>
      </c>
      <c r="BH300" s="313">
        <v>1</v>
      </c>
      <c r="BI300" s="313">
        <v>1</v>
      </c>
      <c r="BJ300" s="313">
        <v>1</v>
      </c>
      <c r="BK300" s="313">
        <v>1</v>
      </c>
    </row>
    <row r="301" spans="1:63" x14ac:dyDescent="0.25">
      <c r="A301" s="306">
        <v>339114</v>
      </c>
      <c r="B301" s="313" t="s">
        <v>272</v>
      </c>
      <c r="C301" s="313">
        <v>1</v>
      </c>
      <c r="D301" s="313">
        <v>0</v>
      </c>
      <c r="E301" s="313">
        <v>1</v>
      </c>
      <c r="F301" s="313">
        <v>1</v>
      </c>
      <c r="G301" s="313">
        <v>1</v>
      </c>
      <c r="H301" s="313">
        <v>1</v>
      </c>
      <c r="I301" s="313">
        <v>1</v>
      </c>
      <c r="J301" s="313">
        <v>1</v>
      </c>
      <c r="K301" s="313">
        <v>0</v>
      </c>
      <c r="L301" s="313">
        <v>1</v>
      </c>
      <c r="M301" s="313">
        <v>1</v>
      </c>
      <c r="N301" s="313">
        <v>1</v>
      </c>
      <c r="O301" s="313">
        <v>0</v>
      </c>
      <c r="P301" s="313">
        <v>0</v>
      </c>
      <c r="Q301" s="313">
        <v>1</v>
      </c>
      <c r="R301" s="313">
        <v>1</v>
      </c>
      <c r="S301" s="313">
        <v>1</v>
      </c>
      <c r="T301" s="313">
        <v>1</v>
      </c>
      <c r="U301" s="313">
        <v>1</v>
      </c>
      <c r="V301" s="313">
        <v>0</v>
      </c>
      <c r="W301" s="313">
        <v>1</v>
      </c>
      <c r="X301" s="313">
        <v>1</v>
      </c>
      <c r="Y301" s="313">
        <v>0</v>
      </c>
      <c r="Z301" s="313">
        <v>1</v>
      </c>
      <c r="AA301" s="313">
        <v>1</v>
      </c>
      <c r="AB301" s="313">
        <v>1</v>
      </c>
      <c r="AC301" s="313">
        <v>1</v>
      </c>
      <c r="AD301" s="313">
        <v>1</v>
      </c>
      <c r="AE301" s="313">
        <v>1</v>
      </c>
      <c r="AF301" s="313">
        <v>1</v>
      </c>
      <c r="AG301" s="313">
        <v>0</v>
      </c>
      <c r="AH301" s="313">
        <v>0</v>
      </c>
      <c r="AI301" s="313">
        <v>1</v>
      </c>
      <c r="AJ301" s="313">
        <v>1</v>
      </c>
      <c r="AK301" s="313">
        <v>1</v>
      </c>
      <c r="AL301" s="313">
        <v>1</v>
      </c>
      <c r="AM301" s="313">
        <v>1</v>
      </c>
      <c r="AN301" s="313">
        <v>1</v>
      </c>
      <c r="AO301" s="313">
        <v>1</v>
      </c>
      <c r="AP301" s="313">
        <v>1</v>
      </c>
      <c r="AQ301" s="313">
        <v>1</v>
      </c>
      <c r="AR301" s="313">
        <v>1</v>
      </c>
      <c r="AS301" s="313">
        <v>1</v>
      </c>
      <c r="AT301" s="313">
        <v>1</v>
      </c>
      <c r="AU301" s="313">
        <v>1</v>
      </c>
      <c r="AV301" s="313">
        <v>1</v>
      </c>
      <c r="AW301" s="313">
        <v>0</v>
      </c>
      <c r="AX301" s="313">
        <v>0</v>
      </c>
      <c r="AY301" s="313">
        <v>1</v>
      </c>
      <c r="AZ301" s="313">
        <v>1</v>
      </c>
      <c r="BA301" s="313">
        <v>0</v>
      </c>
      <c r="BB301" s="313">
        <v>0</v>
      </c>
      <c r="BC301" s="313">
        <v>1</v>
      </c>
      <c r="BD301" s="313">
        <v>1</v>
      </c>
      <c r="BE301" s="313">
        <v>1</v>
      </c>
      <c r="BF301" s="313">
        <v>1</v>
      </c>
      <c r="BG301" s="313">
        <v>1</v>
      </c>
      <c r="BH301" s="313">
        <v>1</v>
      </c>
      <c r="BI301" s="313">
        <v>1</v>
      </c>
      <c r="BJ301" s="313">
        <v>1</v>
      </c>
      <c r="BK301" s="313">
        <v>1</v>
      </c>
    </row>
    <row r="302" spans="1:63" x14ac:dyDescent="0.25">
      <c r="A302" s="306">
        <v>339115</v>
      </c>
      <c r="B302" s="313" t="s">
        <v>273</v>
      </c>
      <c r="C302" s="313">
        <v>1</v>
      </c>
      <c r="D302" s="313">
        <v>0</v>
      </c>
      <c r="E302" s="313">
        <v>1</v>
      </c>
      <c r="F302" s="313">
        <v>1</v>
      </c>
      <c r="G302" s="313">
        <v>1</v>
      </c>
      <c r="H302" s="313">
        <v>1</v>
      </c>
      <c r="I302" s="313">
        <v>1</v>
      </c>
      <c r="J302" s="313">
        <v>1</v>
      </c>
      <c r="K302" s="313">
        <v>0</v>
      </c>
      <c r="L302" s="313">
        <v>0</v>
      </c>
      <c r="M302" s="313">
        <v>1</v>
      </c>
      <c r="N302" s="313">
        <v>1</v>
      </c>
      <c r="O302" s="313">
        <v>1</v>
      </c>
      <c r="P302" s="313">
        <v>1</v>
      </c>
      <c r="Q302" s="313">
        <v>1</v>
      </c>
      <c r="R302" s="313">
        <v>1</v>
      </c>
      <c r="S302" s="313">
        <v>1</v>
      </c>
      <c r="T302" s="313">
        <v>1</v>
      </c>
      <c r="U302" s="313">
        <v>1</v>
      </c>
      <c r="V302" s="313">
        <v>1</v>
      </c>
      <c r="W302" s="313">
        <v>1</v>
      </c>
      <c r="X302" s="313">
        <v>1</v>
      </c>
      <c r="Y302" s="313">
        <v>1</v>
      </c>
      <c r="Z302" s="313">
        <v>1</v>
      </c>
      <c r="AA302" s="313">
        <v>1</v>
      </c>
      <c r="AB302" s="313">
        <v>1</v>
      </c>
      <c r="AC302" s="313">
        <v>1</v>
      </c>
      <c r="AD302" s="313">
        <v>1</v>
      </c>
      <c r="AE302" s="313">
        <v>1</v>
      </c>
      <c r="AF302" s="313">
        <v>0</v>
      </c>
      <c r="AG302" s="313">
        <v>1</v>
      </c>
      <c r="AH302" s="313">
        <v>1</v>
      </c>
      <c r="AI302" s="313">
        <v>1</v>
      </c>
      <c r="AJ302" s="313">
        <v>1</v>
      </c>
      <c r="AK302" s="313">
        <v>1</v>
      </c>
      <c r="AL302" s="313">
        <v>1</v>
      </c>
      <c r="AM302" s="313">
        <v>1</v>
      </c>
      <c r="AN302" s="313">
        <v>1</v>
      </c>
      <c r="AO302" s="313">
        <v>1</v>
      </c>
      <c r="AP302" s="313">
        <v>1</v>
      </c>
      <c r="AQ302" s="313">
        <v>1</v>
      </c>
      <c r="AR302" s="313">
        <v>1</v>
      </c>
      <c r="AS302" s="313">
        <v>1</v>
      </c>
      <c r="AT302" s="313">
        <v>1</v>
      </c>
      <c r="AU302" s="313">
        <v>1</v>
      </c>
      <c r="AV302" s="313">
        <v>1</v>
      </c>
      <c r="AW302" s="313">
        <v>1</v>
      </c>
      <c r="AX302" s="313">
        <v>1</v>
      </c>
      <c r="AY302" s="313">
        <v>1</v>
      </c>
      <c r="AZ302" s="313">
        <v>1</v>
      </c>
      <c r="BA302" s="313">
        <v>1</v>
      </c>
      <c r="BB302" s="313">
        <v>1</v>
      </c>
      <c r="BC302" s="313">
        <v>1</v>
      </c>
      <c r="BD302" s="313">
        <v>1</v>
      </c>
      <c r="BE302" s="313">
        <v>1</v>
      </c>
      <c r="BF302" s="313">
        <v>1</v>
      </c>
      <c r="BG302" s="313">
        <v>1</v>
      </c>
      <c r="BH302" s="313">
        <v>1</v>
      </c>
      <c r="BI302" s="313">
        <v>1</v>
      </c>
      <c r="BJ302" s="313">
        <v>1</v>
      </c>
      <c r="BK302" s="313">
        <v>1</v>
      </c>
    </row>
    <row r="303" spans="1:63" x14ac:dyDescent="0.25">
      <c r="A303" s="306">
        <v>339116</v>
      </c>
      <c r="B303" s="313" t="s">
        <v>748</v>
      </c>
      <c r="C303" s="313">
        <v>1</v>
      </c>
      <c r="D303" s="313">
        <v>1</v>
      </c>
      <c r="E303" s="313">
        <v>1</v>
      </c>
      <c r="F303" s="313">
        <v>1</v>
      </c>
      <c r="G303" s="313">
        <v>1</v>
      </c>
      <c r="H303" s="313">
        <v>1</v>
      </c>
      <c r="I303" s="313">
        <v>1</v>
      </c>
      <c r="J303" s="313">
        <v>1</v>
      </c>
      <c r="K303" s="313">
        <v>1</v>
      </c>
      <c r="L303" s="313">
        <v>1</v>
      </c>
      <c r="M303" s="313">
        <v>1</v>
      </c>
      <c r="N303" s="313">
        <v>1</v>
      </c>
      <c r="O303" s="313">
        <v>1</v>
      </c>
      <c r="P303" s="313">
        <v>1</v>
      </c>
      <c r="Q303" s="313">
        <v>1</v>
      </c>
      <c r="R303" s="313">
        <v>1</v>
      </c>
      <c r="S303" s="313">
        <v>1</v>
      </c>
      <c r="T303" s="313">
        <v>1</v>
      </c>
      <c r="U303" s="313">
        <v>1</v>
      </c>
      <c r="V303" s="313">
        <v>1</v>
      </c>
      <c r="W303" s="313">
        <v>1</v>
      </c>
      <c r="X303" s="313">
        <v>1</v>
      </c>
      <c r="Y303" s="313">
        <v>1</v>
      </c>
      <c r="Z303" s="313">
        <v>1</v>
      </c>
      <c r="AA303" s="313">
        <v>1</v>
      </c>
      <c r="AB303" s="313">
        <v>1</v>
      </c>
      <c r="AC303" s="313">
        <v>1</v>
      </c>
      <c r="AD303" s="313">
        <v>1</v>
      </c>
      <c r="AE303" s="313">
        <v>1</v>
      </c>
      <c r="AF303" s="313">
        <v>1</v>
      </c>
      <c r="AG303" s="313">
        <v>1</v>
      </c>
      <c r="AH303" s="313">
        <v>1</v>
      </c>
      <c r="AI303" s="313">
        <v>1</v>
      </c>
      <c r="AJ303" s="313">
        <v>1</v>
      </c>
      <c r="AK303" s="313">
        <v>1</v>
      </c>
      <c r="AL303" s="313">
        <v>1</v>
      </c>
      <c r="AM303" s="313">
        <v>1</v>
      </c>
      <c r="AN303" s="313">
        <v>1</v>
      </c>
      <c r="AO303" s="313">
        <v>1</v>
      </c>
      <c r="AP303" s="313">
        <v>1</v>
      </c>
      <c r="AQ303" s="313">
        <v>1</v>
      </c>
      <c r="AR303" s="313">
        <v>1</v>
      </c>
      <c r="AS303" s="313">
        <v>1</v>
      </c>
      <c r="AT303" s="313">
        <v>1</v>
      </c>
      <c r="AU303" s="313">
        <v>1</v>
      </c>
      <c r="AV303" s="313">
        <v>1</v>
      </c>
      <c r="AW303" s="313">
        <v>1</v>
      </c>
      <c r="AX303" s="313">
        <v>1</v>
      </c>
      <c r="AY303" s="313">
        <v>1</v>
      </c>
      <c r="AZ303" s="313">
        <v>1</v>
      </c>
      <c r="BA303" s="313">
        <v>1</v>
      </c>
      <c r="BB303" s="313">
        <v>1</v>
      </c>
      <c r="BC303" s="313">
        <v>1</v>
      </c>
      <c r="BD303" s="313">
        <v>1</v>
      </c>
      <c r="BE303" s="313">
        <v>1</v>
      </c>
      <c r="BF303" s="313">
        <v>1</v>
      </c>
      <c r="BG303" s="313">
        <v>1</v>
      </c>
      <c r="BH303" s="313">
        <v>1</v>
      </c>
      <c r="BI303" s="313">
        <v>1</v>
      </c>
      <c r="BJ303" s="313">
        <v>1</v>
      </c>
      <c r="BK303" s="313">
        <v>1</v>
      </c>
    </row>
    <row r="304" spans="1:63" x14ac:dyDescent="0.25">
      <c r="A304" s="306" t="s">
        <v>749</v>
      </c>
      <c r="B304" s="313" t="s">
        <v>750</v>
      </c>
      <c r="C304" s="313">
        <v>1</v>
      </c>
      <c r="D304" s="313">
        <v>1</v>
      </c>
      <c r="E304" s="313">
        <v>1</v>
      </c>
      <c r="F304" s="313">
        <v>1</v>
      </c>
      <c r="G304" s="313">
        <v>1</v>
      </c>
      <c r="H304" s="313">
        <v>1</v>
      </c>
      <c r="I304" s="313">
        <v>1</v>
      </c>
      <c r="J304" s="313">
        <v>1</v>
      </c>
      <c r="K304" s="313">
        <v>0</v>
      </c>
      <c r="L304" s="313">
        <v>1</v>
      </c>
      <c r="M304" s="313">
        <v>1</v>
      </c>
      <c r="N304" s="313">
        <v>1</v>
      </c>
      <c r="O304" s="313">
        <v>1</v>
      </c>
      <c r="P304" s="313">
        <v>1</v>
      </c>
      <c r="Q304" s="313">
        <v>1</v>
      </c>
      <c r="R304" s="313">
        <v>1</v>
      </c>
      <c r="S304" s="313">
        <v>1</v>
      </c>
      <c r="T304" s="313">
        <v>1</v>
      </c>
      <c r="U304" s="313">
        <v>1</v>
      </c>
      <c r="V304" s="313">
        <v>1</v>
      </c>
      <c r="W304" s="313">
        <v>1</v>
      </c>
      <c r="X304" s="313">
        <v>1</v>
      </c>
      <c r="Y304" s="313">
        <v>1</v>
      </c>
      <c r="Z304" s="313">
        <v>1</v>
      </c>
      <c r="AA304" s="313">
        <v>1</v>
      </c>
      <c r="AB304" s="313">
        <v>1</v>
      </c>
      <c r="AC304" s="313">
        <v>1</v>
      </c>
      <c r="AD304" s="313">
        <v>1</v>
      </c>
      <c r="AE304" s="313">
        <v>1</v>
      </c>
      <c r="AF304" s="313">
        <v>1</v>
      </c>
      <c r="AG304" s="313">
        <v>1</v>
      </c>
      <c r="AH304" s="313">
        <v>1</v>
      </c>
      <c r="AI304" s="313">
        <v>1</v>
      </c>
      <c r="AJ304" s="313">
        <v>1</v>
      </c>
      <c r="AK304" s="313">
        <v>1</v>
      </c>
      <c r="AL304" s="313">
        <v>1</v>
      </c>
      <c r="AM304" s="313">
        <v>1</v>
      </c>
      <c r="AN304" s="313">
        <v>1</v>
      </c>
      <c r="AO304" s="313">
        <v>1</v>
      </c>
      <c r="AP304" s="313">
        <v>1</v>
      </c>
      <c r="AQ304" s="313">
        <v>1</v>
      </c>
      <c r="AR304" s="313">
        <v>1</v>
      </c>
      <c r="AS304" s="313">
        <v>1</v>
      </c>
      <c r="AT304" s="313">
        <v>1</v>
      </c>
      <c r="AU304" s="313">
        <v>1</v>
      </c>
      <c r="AV304" s="313">
        <v>1</v>
      </c>
      <c r="AW304" s="313">
        <v>1</v>
      </c>
      <c r="AX304" s="313">
        <v>1</v>
      </c>
      <c r="AY304" s="313">
        <v>1</v>
      </c>
      <c r="AZ304" s="313">
        <v>1</v>
      </c>
      <c r="BA304" s="313">
        <v>1</v>
      </c>
      <c r="BB304" s="313">
        <v>1</v>
      </c>
      <c r="BC304" s="313">
        <v>1</v>
      </c>
      <c r="BD304" s="313">
        <v>1</v>
      </c>
      <c r="BE304" s="313">
        <v>1</v>
      </c>
      <c r="BF304" s="313">
        <v>1</v>
      </c>
      <c r="BG304" s="313">
        <v>1</v>
      </c>
      <c r="BH304" s="313">
        <v>1</v>
      </c>
      <c r="BI304" s="313">
        <v>1</v>
      </c>
      <c r="BJ304" s="313">
        <v>1</v>
      </c>
      <c r="BK304" s="313">
        <v>1</v>
      </c>
    </row>
    <row r="305" spans="1:63" x14ac:dyDescent="0.25">
      <c r="A305" s="306">
        <v>339910</v>
      </c>
      <c r="B305" s="313" t="s">
        <v>274</v>
      </c>
      <c r="C305" s="313">
        <v>1</v>
      </c>
      <c r="D305" s="313">
        <v>1</v>
      </c>
      <c r="E305" s="313">
        <v>1</v>
      </c>
      <c r="F305" s="313">
        <v>1</v>
      </c>
      <c r="G305" s="313">
        <v>1</v>
      </c>
      <c r="H305" s="313">
        <v>1</v>
      </c>
      <c r="I305" s="313">
        <v>1</v>
      </c>
      <c r="J305" s="313">
        <v>1</v>
      </c>
      <c r="K305" s="313">
        <v>0</v>
      </c>
      <c r="L305" s="313">
        <v>1</v>
      </c>
      <c r="M305" s="313">
        <v>1</v>
      </c>
      <c r="N305" s="313">
        <v>1</v>
      </c>
      <c r="O305" s="313">
        <v>1</v>
      </c>
      <c r="P305" s="313">
        <v>1</v>
      </c>
      <c r="Q305" s="313">
        <v>1</v>
      </c>
      <c r="R305" s="313">
        <v>1</v>
      </c>
      <c r="S305" s="313">
        <v>1</v>
      </c>
      <c r="T305" s="313">
        <v>1</v>
      </c>
      <c r="U305" s="313">
        <v>1</v>
      </c>
      <c r="V305" s="313">
        <v>1</v>
      </c>
      <c r="W305" s="313">
        <v>1</v>
      </c>
      <c r="X305" s="313">
        <v>1</v>
      </c>
      <c r="Y305" s="313">
        <v>1</v>
      </c>
      <c r="Z305" s="313">
        <v>1</v>
      </c>
      <c r="AA305" s="313">
        <v>1</v>
      </c>
      <c r="AB305" s="313">
        <v>1</v>
      </c>
      <c r="AC305" s="313">
        <v>1</v>
      </c>
      <c r="AD305" s="313">
        <v>1</v>
      </c>
      <c r="AE305" s="313">
        <v>1</v>
      </c>
      <c r="AF305" s="313">
        <v>1</v>
      </c>
      <c r="AG305" s="313">
        <v>1</v>
      </c>
      <c r="AH305" s="313">
        <v>1</v>
      </c>
      <c r="AI305" s="313">
        <v>1</v>
      </c>
      <c r="AJ305" s="313">
        <v>1</v>
      </c>
      <c r="AK305" s="313">
        <v>1</v>
      </c>
      <c r="AL305" s="313">
        <v>1</v>
      </c>
      <c r="AM305" s="313">
        <v>1</v>
      </c>
      <c r="AN305" s="313">
        <v>1</v>
      </c>
      <c r="AO305" s="313">
        <v>1</v>
      </c>
      <c r="AP305" s="313">
        <v>1</v>
      </c>
      <c r="AQ305" s="313">
        <v>1</v>
      </c>
      <c r="AR305" s="313">
        <v>1</v>
      </c>
      <c r="AS305" s="313">
        <v>1</v>
      </c>
      <c r="AT305" s="313">
        <v>1</v>
      </c>
      <c r="AU305" s="313">
        <v>1</v>
      </c>
      <c r="AV305" s="313">
        <v>1</v>
      </c>
      <c r="AW305" s="313">
        <v>1</v>
      </c>
      <c r="AX305" s="313">
        <v>1</v>
      </c>
      <c r="AY305" s="313">
        <v>1</v>
      </c>
      <c r="AZ305" s="313">
        <v>1</v>
      </c>
      <c r="BA305" s="313">
        <v>1</v>
      </c>
      <c r="BB305" s="313">
        <v>1</v>
      </c>
      <c r="BC305" s="313">
        <v>1</v>
      </c>
      <c r="BD305" s="313">
        <v>1</v>
      </c>
      <c r="BE305" s="313">
        <v>1</v>
      </c>
      <c r="BF305" s="313">
        <v>1</v>
      </c>
      <c r="BG305" s="313">
        <v>1</v>
      </c>
      <c r="BH305" s="313">
        <v>1</v>
      </c>
      <c r="BI305" s="313">
        <v>1</v>
      </c>
      <c r="BJ305" s="313">
        <v>1</v>
      </c>
      <c r="BK305" s="313">
        <v>1</v>
      </c>
    </row>
    <row r="306" spans="1:63" x14ac:dyDescent="0.25">
      <c r="A306" s="306">
        <v>339920</v>
      </c>
      <c r="B306" s="313" t="s">
        <v>275</v>
      </c>
      <c r="C306" s="313">
        <v>1</v>
      </c>
      <c r="D306" s="313">
        <v>0</v>
      </c>
      <c r="E306" s="313">
        <v>1</v>
      </c>
      <c r="F306" s="313">
        <v>1</v>
      </c>
      <c r="G306" s="313">
        <v>1</v>
      </c>
      <c r="H306" s="313">
        <v>1</v>
      </c>
      <c r="I306" s="313">
        <v>1</v>
      </c>
      <c r="J306" s="313">
        <v>1</v>
      </c>
      <c r="K306" s="313">
        <v>0</v>
      </c>
      <c r="L306" s="313">
        <v>1</v>
      </c>
      <c r="M306" s="313">
        <v>1</v>
      </c>
      <c r="N306" s="313">
        <v>1</v>
      </c>
      <c r="O306" s="313">
        <v>1</v>
      </c>
      <c r="P306" s="313">
        <v>1</v>
      </c>
      <c r="Q306" s="313">
        <v>1</v>
      </c>
      <c r="R306" s="313">
        <v>1</v>
      </c>
      <c r="S306" s="313">
        <v>1</v>
      </c>
      <c r="T306" s="313">
        <v>1</v>
      </c>
      <c r="U306" s="313">
        <v>1</v>
      </c>
      <c r="V306" s="313">
        <v>1</v>
      </c>
      <c r="W306" s="313">
        <v>1</v>
      </c>
      <c r="X306" s="313">
        <v>1</v>
      </c>
      <c r="Y306" s="313">
        <v>1</v>
      </c>
      <c r="Z306" s="313">
        <v>1</v>
      </c>
      <c r="AA306" s="313">
        <v>1</v>
      </c>
      <c r="AB306" s="313">
        <v>1</v>
      </c>
      <c r="AC306" s="313">
        <v>1</v>
      </c>
      <c r="AD306" s="313">
        <v>1</v>
      </c>
      <c r="AE306" s="313">
        <v>1</v>
      </c>
      <c r="AF306" s="313">
        <v>1</v>
      </c>
      <c r="AG306" s="313">
        <v>1</v>
      </c>
      <c r="AH306" s="313">
        <v>1</v>
      </c>
      <c r="AI306" s="313">
        <v>1</v>
      </c>
      <c r="AJ306" s="313">
        <v>1</v>
      </c>
      <c r="AK306" s="313">
        <v>1</v>
      </c>
      <c r="AL306" s="313">
        <v>1</v>
      </c>
      <c r="AM306" s="313">
        <v>1</v>
      </c>
      <c r="AN306" s="313">
        <v>1</v>
      </c>
      <c r="AO306" s="313">
        <v>1</v>
      </c>
      <c r="AP306" s="313">
        <v>1</v>
      </c>
      <c r="AQ306" s="313">
        <v>1</v>
      </c>
      <c r="AR306" s="313">
        <v>1</v>
      </c>
      <c r="AS306" s="313">
        <v>0</v>
      </c>
      <c r="AT306" s="313">
        <v>1</v>
      </c>
      <c r="AU306" s="313">
        <v>1</v>
      </c>
      <c r="AV306" s="313">
        <v>1</v>
      </c>
      <c r="AW306" s="313">
        <v>1</v>
      </c>
      <c r="AX306" s="313">
        <v>1</v>
      </c>
      <c r="AY306" s="313">
        <v>1</v>
      </c>
      <c r="AZ306" s="313">
        <v>1</v>
      </c>
      <c r="BA306" s="313">
        <v>1</v>
      </c>
      <c r="BB306" s="313">
        <v>1</v>
      </c>
      <c r="BC306" s="313">
        <v>1</v>
      </c>
      <c r="BD306" s="313">
        <v>1</v>
      </c>
      <c r="BE306" s="313">
        <v>1</v>
      </c>
      <c r="BF306" s="313">
        <v>1</v>
      </c>
      <c r="BG306" s="313">
        <v>1</v>
      </c>
      <c r="BH306" s="313">
        <v>1</v>
      </c>
      <c r="BI306" s="313">
        <v>1</v>
      </c>
      <c r="BJ306" s="313">
        <v>1</v>
      </c>
      <c r="BK306" s="313">
        <v>1</v>
      </c>
    </row>
    <row r="307" spans="1:63" x14ac:dyDescent="0.25">
      <c r="A307" s="306">
        <v>339930</v>
      </c>
      <c r="B307" s="313" t="s">
        <v>276</v>
      </c>
      <c r="C307" s="313">
        <v>1</v>
      </c>
      <c r="D307" s="313">
        <v>1</v>
      </c>
      <c r="E307" s="313">
        <v>0</v>
      </c>
      <c r="F307" s="313">
        <v>1</v>
      </c>
      <c r="G307" s="313">
        <v>1</v>
      </c>
      <c r="H307" s="313">
        <v>1</v>
      </c>
      <c r="I307" s="313">
        <v>1</v>
      </c>
      <c r="J307" s="313">
        <v>1</v>
      </c>
      <c r="K307" s="313">
        <v>0</v>
      </c>
      <c r="L307" s="313">
        <v>1</v>
      </c>
      <c r="M307" s="313">
        <v>1</v>
      </c>
      <c r="N307" s="313">
        <v>1</v>
      </c>
      <c r="O307" s="313">
        <v>0</v>
      </c>
      <c r="P307" s="313">
        <v>1</v>
      </c>
      <c r="Q307" s="313">
        <v>1</v>
      </c>
      <c r="R307" s="313">
        <v>1</v>
      </c>
      <c r="S307" s="313">
        <v>1</v>
      </c>
      <c r="T307" s="313">
        <v>1</v>
      </c>
      <c r="U307" s="313">
        <v>1</v>
      </c>
      <c r="V307" s="313">
        <v>1</v>
      </c>
      <c r="W307" s="313">
        <v>1</v>
      </c>
      <c r="X307" s="313">
        <v>1</v>
      </c>
      <c r="Y307" s="313">
        <v>1</v>
      </c>
      <c r="Z307" s="313">
        <v>1</v>
      </c>
      <c r="AA307" s="313">
        <v>1</v>
      </c>
      <c r="AB307" s="313">
        <v>1</v>
      </c>
      <c r="AC307" s="313">
        <v>1</v>
      </c>
      <c r="AD307" s="313">
        <v>1</v>
      </c>
      <c r="AE307" s="313">
        <v>1</v>
      </c>
      <c r="AF307" s="313">
        <v>0</v>
      </c>
      <c r="AG307" s="313">
        <v>1</v>
      </c>
      <c r="AH307" s="313">
        <v>1</v>
      </c>
      <c r="AI307" s="313">
        <v>1</v>
      </c>
      <c r="AJ307" s="313">
        <v>1</v>
      </c>
      <c r="AK307" s="313">
        <v>1</v>
      </c>
      <c r="AL307" s="313">
        <v>1</v>
      </c>
      <c r="AM307" s="313">
        <v>1</v>
      </c>
      <c r="AN307" s="313">
        <v>1</v>
      </c>
      <c r="AO307" s="313">
        <v>1</v>
      </c>
      <c r="AP307" s="313">
        <v>1</v>
      </c>
      <c r="AQ307" s="313">
        <v>1</v>
      </c>
      <c r="AR307" s="313">
        <v>0</v>
      </c>
      <c r="AS307" s="313">
        <v>1</v>
      </c>
      <c r="AT307" s="313">
        <v>1</v>
      </c>
      <c r="AU307" s="313">
        <v>1</v>
      </c>
      <c r="AV307" s="313">
        <v>1</v>
      </c>
      <c r="AW307" s="313">
        <v>1</v>
      </c>
      <c r="AX307" s="313">
        <v>1</v>
      </c>
      <c r="AY307" s="313">
        <v>1</v>
      </c>
      <c r="AZ307" s="313">
        <v>1</v>
      </c>
      <c r="BA307" s="313">
        <v>1</v>
      </c>
      <c r="BB307" s="313">
        <v>1</v>
      </c>
      <c r="BC307" s="313">
        <v>1</v>
      </c>
      <c r="BD307" s="313">
        <v>1</v>
      </c>
      <c r="BE307" s="313">
        <v>1</v>
      </c>
      <c r="BF307" s="313">
        <v>1</v>
      </c>
      <c r="BG307" s="313">
        <v>1</v>
      </c>
      <c r="BH307" s="313">
        <v>1</v>
      </c>
      <c r="BI307" s="313">
        <v>1</v>
      </c>
      <c r="BJ307" s="313">
        <v>1</v>
      </c>
      <c r="BK307" s="313">
        <v>1</v>
      </c>
    </row>
    <row r="308" spans="1:63" x14ac:dyDescent="0.25">
      <c r="A308" s="306">
        <v>339940</v>
      </c>
      <c r="B308" s="313" t="s">
        <v>277</v>
      </c>
      <c r="C308" s="313">
        <v>1</v>
      </c>
      <c r="D308" s="313">
        <v>1</v>
      </c>
      <c r="E308" s="313">
        <v>1</v>
      </c>
      <c r="F308" s="313">
        <v>1</v>
      </c>
      <c r="G308" s="313">
        <v>1</v>
      </c>
      <c r="H308" s="313">
        <v>1</v>
      </c>
      <c r="I308" s="313">
        <v>1</v>
      </c>
      <c r="J308" s="313">
        <v>1</v>
      </c>
      <c r="K308" s="313">
        <v>1</v>
      </c>
      <c r="L308" s="313">
        <v>1</v>
      </c>
      <c r="M308" s="313">
        <v>1</v>
      </c>
      <c r="N308" s="313">
        <v>1</v>
      </c>
      <c r="O308" s="313">
        <v>1</v>
      </c>
      <c r="P308" s="313">
        <v>1</v>
      </c>
      <c r="Q308" s="313">
        <v>1</v>
      </c>
      <c r="R308" s="313">
        <v>1</v>
      </c>
      <c r="S308" s="313">
        <v>1</v>
      </c>
      <c r="T308" s="313">
        <v>1</v>
      </c>
      <c r="U308" s="313">
        <v>1</v>
      </c>
      <c r="V308" s="313">
        <v>1</v>
      </c>
      <c r="W308" s="313">
        <v>1</v>
      </c>
      <c r="X308" s="313">
        <v>1</v>
      </c>
      <c r="Y308" s="313">
        <v>1</v>
      </c>
      <c r="Z308" s="313">
        <v>1</v>
      </c>
      <c r="AA308" s="313">
        <v>1</v>
      </c>
      <c r="AB308" s="313">
        <v>1</v>
      </c>
      <c r="AC308" s="313">
        <v>1</v>
      </c>
      <c r="AD308" s="313">
        <v>1</v>
      </c>
      <c r="AE308" s="313">
        <v>1</v>
      </c>
      <c r="AF308" s="313">
        <v>1</v>
      </c>
      <c r="AG308" s="313">
        <v>1</v>
      </c>
      <c r="AH308" s="313">
        <v>1</v>
      </c>
      <c r="AI308" s="313">
        <v>1</v>
      </c>
      <c r="AJ308" s="313">
        <v>1</v>
      </c>
      <c r="AK308" s="313">
        <v>1</v>
      </c>
      <c r="AL308" s="313">
        <v>1</v>
      </c>
      <c r="AM308" s="313">
        <v>1</v>
      </c>
      <c r="AN308" s="313">
        <v>1</v>
      </c>
      <c r="AO308" s="313">
        <v>1</v>
      </c>
      <c r="AP308" s="313">
        <v>1</v>
      </c>
      <c r="AQ308" s="313">
        <v>1</v>
      </c>
      <c r="AR308" s="313">
        <v>1</v>
      </c>
      <c r="AS308" s="313">
        <v>1</v>
      </c>
      <c r="AT308" s="313">
        <v>1</v>
      </c>
      <c r="AU308" s="313">
        <v>1</v>
      </c>
      <c r="AV308" s="313">
        <v>1</v>
      </c>
      <c r="AW308" s="313">
        <v>1</v>
      </c>
      <c r="AX308" s="313">
        <v>0</v>
      </c>
      <c r="AY308" s="313">
        <v>1</v>
      </c>
      <c r="AZ308" s="313">
        <v>1</v>
      </c>
      <c r="BA308" s="313">
        <v>1</v>
      </c>
      <c r="BB308" s="313">
        <v>1</v>
      </c>
      <c r="BC308" s="313">
        <v>1</v>
      </c>
      <c r="BD308" s="313">
        <v>1</v>
      </c>
      <c r="BE308" s="313">
        <v>1</v>
      </c>
      <c r="BF308" s="313">
        <v>1</v>
      </c>
      <c r="BG308" s="313">
        <v>1</v>
      </c>
      <c r="BH308" s="313">
        <v>1</v>
      </c>
      <c r="BI308" s="313">
        <v>1</v>
      </c>
      <c r="BJ308" s="313">
        <v>1</v>
      </c>
      <c r="BK308" s="313">
        <v>1</v>
      </c>
    </row>
    <row r="309" spans="1:63" x14ac:dyDescent="0.25">
      <c r="A309" s="306">
        <v>339950</v>
      </c>
      <c r="B309" s="313" t="s">
        <v>278</v>
      </c>
      <c r="C309" s="313">
        <v>1</v>
      </c>
      <c r="D309" s="313">
        <v>1</v>
      </c>
      <c r="E309" s="313">
        <v>1</v>
      </c>
      <c r="F309" s="313">
        <v>1</v>
      </c>
      <c r="G309" s="313">
        <v>1</v>
      </c>
      <c r="H309" s="313">
        <v>1</v>
      </c>
      <c r="I309" s="313">
        <v>1</v>
      </c>
      <c r="J309" s="313">
        <v>1</v>
      </c>
      <c r="K309" s="313">
        <v>1</v>
      </c>
      <c r="L309" s="313">
        <v>1</v>
      </c>
      <c r="M309" s="313">
        <v>1</v>
      </c>
      <c r="N309" s="313">
        <v>1</v>
      </c>
      <c r="O309" s="313">
        <v>1</v>
      </c>
      <c r="P309" s="313">
        <v>1</v>
      </c>
      <c r="Q309" s="313">
        <v>1</v>
      </c>
      <c r="R309" s="313">
        <v>1</v>
      </c>
      <c r="S309" s="313">
        <v>1</v>
      </c>
      <c r="T309" s="313">
        <v>1</v>
      </c>
      <c r="U309" s="313">
        <v>1</v>
      </c>
      <c r="V309" s="313">
        <v>1</v>
      </c>
      <c r="W309" s="313">
        <v>1</v>
      </c>
      <c r="X309" s="313">
        <v>1</v>
      </c>
      <c r="Y309" s="313">
        <v>1</v>
      </c>
      <c r="Z309" s="313">
        <v>1</v>
      </c>
      <c r="AA309" s="313">
        <v>1</v>
      </c>
      <c r="AB309" s="313">
        <v>1</v>
      </c>
      <c r="AC309" s="313">
        <v>1</v>
      </c>
      <c r="AD309" s="313">
        <v>1</v>
      </c>
      <c r="AE309" s="313">
        <v>1</v>
      </c>
      <c r="AF309" s="313">
        <v>1</v>
      </c>
      <c r="AG309" s="313">
        <v>1</v>
      </c>
      <c r="AH309" s="313">
        <v>1</v>
      </c>
      <c r="AI309" s="313">
        <v>1</v>
      </c>
      <c r="AJ309" s="313">
        <v>1</v>
      </c>
      <c r="AK309" s="313">
        <v>1</v>
      </c>
      <c r="AL309" s="313">
        <v>1</v>
      </c>
      <c r="AM309" s="313">
        <v>1</v>
      </c>
      <c r="AN309" s="313">
        <v>1</v>
      </c>
      <c r="AO309" s="313">
        <v>1</v>
      </c>
      <c r="AP309" s="313">
        <v>1</v>
      </c>
      <c r="AQ309" s="313">
        <v>1</v>
      </c>
      <c r="AR309" s="313">
        <v>1</v>
      </c>
      <c r="AS309" s="313">
        <v>1</v>
      </c>
      <c r="AT309" s="313">
        <v>1</v>
      </c>
      <c r="AU309" s="313">
        <v>1</v>
      </c>
      <c r="AV309" s="313">
        <v>1</v>
      </c>
      <c r="AW309" s="313">
        <v>1</v>
      </c>
      <c r="AX309" s="313">
        <v>1</v>
      </c>
      <c r="AY309" s="313">
        <v>1</v>
      </c>
      <c r="AZ309" s="313">
        <v>1</v>
      </c>
      <c r="BA309" s="313">
        <v>1</v>
      </c>
      <c r="BB309" s="313">
        <v>1</v>
      </c>
      <c r="BC309" s="313">
        <v>1</v>
      </c>
      <c r="BD309" s="313">
        <v>1</v>
      </c>
      <c r="BE309" s="313">
        <v>1</v>
      </c>
      <c r="BF309" s="313">
        <v>1</v>
      </c>
      <c r="BG309" s="313">
        <v>1</v>
      </c>
      <c r="BH309" s="313">
        <v>1</v>
      </c>
      <c r="BI309" s="313">
        <v>1</v>
      </c>
      <c r="BJ309" s="313">
        <v>1</v>
      </c>
      <c r="BK309" s="313">
        <v>1</v>
      </c>
    </row>
    <row r="310" spans="1:63" x14ac:dyDescent="0.25">
      <c r="A310" s="306">
        <v>339991</v>
      </c>
      <c r="B310" s="313" t="s">
        <v>1</v>
      </c>
      <c r="C310" s="313">
        <v>1</v>
      </c>
      <c r="D310" s="313">
        <v>0</v>
      </c>
      <c r="E310" s="313">
        <v>1</v>
      </c>
      <c r="F310" s="313">
        <v>1</v>
      </c>
      <c r="G310" s="313">
        <v>1</v>
      </c>
      <c r="H310" s="313">
        <v>1</v>
      </c>
      <c r="I310" s="313">
        <v>1</v>
      </c>
      <c r="J310" s="313">
        <v>1</v>
      </c>
      <c r="K310" s="313">
        <v>0</v>
      </c>
      <c r="L310" s="313">
        <v>1</v>
      </c>
      <c r="M310" s="313">
        <v>1</v>
      </c>
      <c r="N310" s="313">
        <v>1</v>
      </c>
      <c r="O310" s="313">
        <v>0</v>
      </c>
      <c r="P310" s="313">
        <v>1</v>
      </c>
      <c r="Q310" s="313">
        <v>0</v>
      </c>
      <c r="R310" s="313">
        <v>1</v>
      </c>
      <c r="S310" s="313">
        <v>1</v>
      </c>
      <c r="T310" s="313">
        <v>1</v>
      </c>
      <c r="U310" s="313">
        <v>1</v>
      </c>
      <c r="V310" s="313">
        <v>1</v>
      </c>
      <c r="W310" s="313">
        <v>1</v>
      </c>
      <c r="X310" s="313">
        <v>1</v>
      </c>
      <c r="Y310" s="313">
        <v>1</v>
      </c>
      <c r="Z310" s="313">
        <v>1</v>
      </c>
      <c r="AA310" s="313">
        <v>1</v>
      </c>
      <c r="AB310" s="313">
        <v>1</v>
      </c>
      <c r="AC310" s="313">
        <v>1</v>
      </c>
      <c r="AD310" s="313">
        <v>1</v>
      </c>
      <c r="AE310" s="313">
        <v>1</v>
      </c>
      <c r="AF310" s="313">
        <v>0</v>
      </c>
      <c r="AG310" s="313">
        <v>1</v>
      </c>
      <c r="AH310" s="313">
        <v>1</v>
      </c>
      <c r="AI310" s="313">
        <v>1</v>
      </c>
      <c r="AJ310" s="313">
        <v>1</v>
      </c>
      <c r="AK310" s="313">
        <v>1</v>
      </c>
      <c r="AL310" s="313">
        <v>1</v>
      </c>
      <c r="AM310" s="313">
        <v>1</v>
      </c>
      <c r="AN310" s="313">
        <v>1</v>
      </c>
      <c r="AO310" s="313">
        <v>1</v>
      </c>
      <c r="AP310" s="313">
        <v>1</v>
      </c>
      <c r="AQ310" s="313">
        <v>1</v>
      </c>
      <c r="AR310" s="313">
        <v>1</v>
      </c>
      <c r="AS310" s="313">
        <v>0</v>
      </c>
      <c r="AT310" s="313">
        <v>1</v>
      </c>
      <c r="AU310" s="313">
        <v>1</v>
      </c>
      <c r="AV310" s="313">
        <v>1</v>
      </c>
      <c r="AW310" s="313">
        <v>1</v>
      </c>
      <c r="AX310" s="313">
        <v>1</v>
      </c>
      <c r="AY310" s="313">
        <v>1</v>
      </c>
      <c r="AZ310" s="313">
        <v>1</v>
      </c>
      <c r="BA310" s="313">
        <v>1</v>
      </c>
      <c r="BB310" s="313">
        <v>0</v>
      </c>
      <c r="BC310" s="313">
        <v>1</v>
      </c>
      <c r="BD310" s="313">
        <v>1</v>
      </c>
      <c r="BE310" s="313">
        <v>1</v>
      </c>
      <c r="BF310" s="313">
        <v>1</v>
      </c>
      <c r="BG310" s="313">
        <v>1</v>
      </c>
      <c r="BH310" s="313">
        <v>1</v>
      </c>
      <c r="BI310" s="313">
        <v>1</v>
      </c>
      <c r="BJ310" s="313">
        <v>1</v>
      </c>
      <c r="BK310" s="313">
        <v>1</v>
      </c>
    </row>
    <row r="311" spans="1:63" x14ac:dyDescent="0.25">
      <c r="A311" s="306">
        <v>339992</v>
      </c>
      <c r="B311" s="313" t="s">
        <v>279</v>
      </c>
      <c r="C311" s="313">
        <v>1</v>
      </c>
      <c r="D311" s="313">
        <v>0</v>
      </c>
      <c r="E311" s="313">
        <v>0</v>
      </c>
      <c r="F311" s="313">
        <v>1</v>
      </c>
      <c r="G311" s="313">
        <v>1</v>
      </c>
      <c r="H311" s="313">
        <v>1</v>
      </c>
      <c r="I311" s="313">
        <v>1</v>
      </c>
      <c r="J311" s="313">
        <v>1</v>
      </c>
      <c r="K311" s="313">
        <v>0</v>
      </c>
      <c r="L311" s="313">
        <v>0</v>
      </c>
      <c r="M311" s="313">
        <v>1</v>
      </c>
      <c r="N311" s="313">
        <v>1</v>
      </c>
      <c r="O311" s="313">
        <v>1</v>
      </c>
      <c r="P311" s="313">
        <v>1</v>
      </c>
      <c r="Q311" s="313">
        <v>1</v>
      </c>
      <c r="R311" s="313">
        <v>1</v>
      </c>
      <c r="S311" s="313">
        <v>1</v>
      </c>
      <c r="T311" s="313">
        <v>1</v>
      </c>
      <c r="U311" s="313">
        <v>1</v>
      </c>
      <c r="V311" s="313">
        <v>1</v>
      </c>
      <c r="W311" s="313">
        <v>1</v>
      </c>
      <c r="X311" s="313">
        <v>1</v>
      </c>
      <c r="Y311" s="313">
        <v>1</v>
      </c>
      <c r="Z311" s="313">
        <v>1</v>
      </c>
      <c r="AA311" s="313">
        <v>1</v>
      </c>
      <c r="AB311" s="313">
        <v>1</v>
      </c>
      <c r="AC311" s="313">
        <v>1</v>
      </c>
      <c r="AD311" s="313">
        <v>1</v>
      </c>
      <c r="AE311" s="313">
        <v>1</v>
      </c>
      <c r="AF311" s="313">
        <v>1</v>
      </c>
      <c r="AG311" s="313">
        <v>1</v>
      </c>
      <c r="AH311" s="313">
        <v>1</v>
      </c>
      <c r="AI311" s="313">
        <v>1</v>
      </c>
      <c r="AJ311" s="313">
        <v>1</v>
      </c>
      <c r="AK311" s="313">
        <v>1</v>
      </c>
      <c r="AL311" s="313">
        <v>1</v>
      </c>
      <c r="AM311" s="313">
        <v>1</v>
      </c>
      <c r="AN311" s="313">
        <v>1</v>
      </c>
      <c r="AO311" s="313">
        <v>1</v>
      </c>
      <c r="AP311" s="313">
        <v>1</v>
      </c>
      <c r="AQ311" s="313">
        <v>1</v>
      </c>
      <c r="AR311" s="313">
        <v>1</v>
      </c>
      <c r="AS311" s="313">
        <v>1</v>
      </c>
      <c r="AT311" s="313">
        <v>1</v>
      </c>
      <c r="AU311" s="313">
        <v>1</v>
      </c>
      <c r="AV311" s="313">
        <v>1</v>
      </c>
      <c r="AW311" s="313">
        <v>1</v>
      </c>
      <c r="AX311" s="313">
        <v>1</v>
      </c>
      <c r="AY311" s="313">
        <v>1</v>
      </c>
      <c r="AZ311" s="313">
        <v>1</v>
      </c>
      <c r="BA311" s="313">
        <v>1</v>
      </c>
      <c r="BB311" s="313">
        <v>0</v>
      </c>
      <c r="BC311" s="313">
        <v>1</v>
      </c>
      <c r="BD311" s="313">
        <v>1</v>
      </c>
      <c r="BE311" s="313">
        <v>1</v>
      </c>
      <c r="BF311" s="313">
        <v>1</v>
      </c>
      <c r="BG311" s="313">
        <v>1</v>
      </c>
      <c r="BH311" s="313">
        <v>1</v>
      </c>
      <c r="BI311" s="313">
        <v>1</v>
      </c>
      <c r="BJ311" s="313">
        <v>1</v>
      </c>
      <c r="BK311" s="313">
        <v>1</v>
      </c>
    </row>
    <row r="312" spans="1:63" x14ac:dyDescent="0.25">
      <c r="A312" s="306">
        <v>339994</v>
      </c>
      <c r="B312" s="313" t="s">
        <v>281</v>
      </c>
      <c r="C312" s="313">
        <v>1</v>
      </c>
      <c r="D312" s="313">
        <v>0</v>
      </c>
      <c r="E312" s="313">
        <v>1</v>
      </c>
      <c r="F312" s="313">
        <v>1</v>
      </c>
      <c r="G312" s="313">
        <v>0</v>
      </c>
      <c r="H312" s="313">
        <v>1</v>
      </c>
      <c r="I312" s="313">
        <v>1</v>
      </c>
      <c r="J312" s="313">
        <v>1</v>
      </c>
      <c r="K312" s="313">
        <v>0</v>
      </c>
      <c r="L312" s="313">
        <v>1</v>
      </c>
      <c r="M312" s="313">
        <v>1</v>
      </c>
      <c r="N312" s="313">
        <v>1</v>
      </c>
      <c r="O312" s="313">
        <v>0</v>
      </c>
      <c r="P312" s="313">
        <v>1</v>
      </c>
      <c r="Q312" s="313">
        <v>0</v>
      </c>
      <c r="R312" s="313">
        <v>1</v>
      </c>
      <c r="S312" s="313">
        <v>1</v>
      </c>
      <c r="T312" s="313">
        <v>1</v>
      </c>
      <c r="U312" s="313">
        <v>1</v>
      </c>
      <c r="V312" s="313">
        <v>1</v>
      </c>
      <c r="W312" s="313">
        <v>1</v>
      </c>
      <c r="X312" s="313">
        <v>1</v>
      </c>
      <c r="Y312" s="313">
        <v>0</v>
      </c>
      <c r="Z312" s="313">
        <v>1</v>
      </c>
      <c r="AA312" s="313">
        <v>1</v>
      </c>
      <c r="AB312" s="313">
        <v>1</v>
      </c>
      <c r="AC312" s="313">
        <v>1</v>
      </c>
      <c r="AD312" s="313">
        <v>0</v>
      </c>
      <c r="AE312" s="313">
        <v>1</v>
      </c>
      <c r="AF312" s="313">
        <v>0</v>
      </c>
      <c r="AG312" s="313">
        <v>1</v>
      </c>
      <c r="AH312" s="313">
        <v>1</v>
      </c>
      <c r="AI312" s="313">
        <v>1</v>
      </c>
      <c r="AJ312" s="313">
        <v>0</v>
      </c>
      <c r="AK312" s="313">
        <v>1</v>
      </c>
      <c r="AL312" s="313">
        <v>1</v>
      </c>
      <c r="AM312" s="313">
        <v>1</v>
      </c>
      <c r="AN312" s="313">
        <v>1</v>
      </c>
      <c r="AO312" s="313">
        <v>1</v>
      </c>
      <c r="AP312" s="313">
        <v>1</v>
      </c>
      <c r="AQ312" s="313">
        <v>1</v>
      </c>
      <c r="AR312" s="313">
        <v>1</v>
      </c>
      <c r="AS312" s="313">
        <v>1</v>
      </c>
      <c r="AT312" s="313">
        <v>1</v>
      </c>
      <c r="AU312" s="313">
        <v>1</v>
      </c>
      <c r="AV312" s="313">
        <v>0</v>
      </c>
      <c r="AW312" s="313">
        <v>1</v>
      </c>
      <c r="AX312" s="313">
        <v>1</v>
      </c>
      <c r="AY312" s="313">
        <v>1</v>
      </c>
      <c r="AZ312" s="313">
        <v>1</v>
      </c>
      <c r="BA312" s="313">
        <v>0</v>
      </c>
      <c r="BB312" s="313">
        <v>0</v>
      </c>
      <c r="BC312" s="313">
        <v>1</v>
      </c>
      <c r="BD312" s="313">
        <v>1</v>
      </c>
      <c r="BE312" s="313">
        <v>1</v>
      </c>
      <c r="BF312" s="313">
        <v>1</v>
      </c>
      <c r="BG312" s="313">
        <v>1</v>
      </c>
      <c r="BH312" s="313">
        <v>1</v>
      </c>
      <c r="BI312" s="313">
        <v>1</v>
      </c>
      <c r="BJ312" s="313">
        <v>1</v>
      </c>
      <c r="BK312" s="313">
        <v>1</v>
      </c>
    </row>
    <row r="313" spans="1:63" x14ac:dyDescent="0.25">
      <c r="A313" s="306" t="s">
        <v>751</v>
      </c>
      <c r="B313" s="313" t="s">
        <v>280</v>
      </c>
      <c r="C313" s="313">
        <v>1</v>
      </c>
      <c r="D313" s="313">
        <v>1</v>
      </c>
      <c r="E313" s="313">
        <v>1</v>
      </c>
      <c r="F313" s="313">
        <v>1</v>
      </c>
      <c r="G313" s="313">
        <v>1</v>
      </c>
      <c r="H313" s="313">
        <v>1</v>
      </c>
      <c r="I313" s="313">
        <v>1</v>
      </c>
      <c r="J313" s="313">
        <v>1</v>
      </c>
      <c r="K313" s="313">
        <v>0</v>
      </c>
      <c r="L313" s="313">
        <v>0</v>
      </c>
      <c r="M313" s="313">
        <v>1</v>
      </c>
      <c r="N313" s="313">
        <v>1</v>
      </c>
      <c r="O313" s="313">
        <v>1</v>
      </c>
      <c r="P313" s="313">
        <v>1</v>
      </c>
      <c r="Q313" s="313">
        <v>1</v>
      </c>
      <c r="R313" s="313">
        <v>1</v>
      </c>
      <c r="S313" s="313">
        <v>1</v>
      </c>
      <c r="T313" s="313">
        <v>1</v>
      </c>
      <c r="U313" s="313">
        <v>1</v>
      </c>
      <c r="V313" s="313">
        <v>1</v>
      </c>
      <c r="W313" s="313">
        <v>1</v>
      </c>
      <c r="X313" s="313">
        <v>1</v>
      </c>
      <c r="Y313" s="313">
        <v>1</v>
      </c>
      <c r="Z313" s="313">
        <v>1</v>
      </c>
      <c r="AA313" s="313">
        <v>1</v>
      </c>
      <c r="AB313" s="313">
        <v>1</v>
      </c>
      <c r="AC313" s="313">
        <v>1</v>
      </c>
      <c r="AD313" s="313">
        <v>1</v>
      </c>
      <c r="AE313" s="313">
        <v>1</v>
      </c>
      <c r="AF313" s="313">
        <v>1</v>
      </c>
      <c r="AG313" s="313">
        <v>1</v>
      </c>
      <c r="AH313" s="313">
        <v>1</v>
      </c>
      <c r="AI313" s="313">
        <v>1</v>
      </c>
      <c r="AJ313" s="313">
        <v>1</v>
      </c>
      <c r="AK313" s="313">
        <v>1</v>
      </c>
      <c r="AL313" s="313">
        <v>1</v>
      </c>
      <c r="AM313" s="313">
        <v>1</v>
      </c>
      <c r="AN313" s="313">
        <v>1</v>
      </c>
      <c r="AO313" s="313">
        <v>1</v>
      </c>
      <c r="AP313" s="313">
        <v>1</v>
      </c>
      <c r="AQ313" s="313">
        <v>1</v>
      </c>
      <c r="AR313" s="313">
        <v>1</v>
      </c>
      <c r="AS313" s="313">
        <v>1</v>
      </c>
      <c r="AT313" s="313">
        <v>1</v>
      </c>
      <c r="AU313" s="313">
        <v>1</v>
      </c>
      <c r="AV313" s="313">
        <v>1</v>
      </c>
      <c r="AW313" s="313">
        <v>1</v>
      </c>
      <c r="AX313" s="313">
        <v>1</v>
      </c>
      <c r="AY313" s="313">
        <v>1</v>
      </c>
      <c r="AZ313" s="313">
        <v>1</v>
      </c>
      <c r="BA313" s="313">
        <v>1</v>
      </c>
      <c r="BB313" s="313">
        <v>1</v>
      </c>
      <c r="BC313" s="313">
        <v>1</v>
      </c>
      <c r="BD313" s="313">
        <v>1</v>
      </c>
      <c r="BE313" s="313">
        <v>1</v>
      </c>
      <c r="BF313" s="313">
        <v>1</v>
      </c>
      <c r="BG313" s="313">
        <v>1</v>
      </c>
      <c r="BH313" s="313">
        <v>1</v>
      </c>
      <c r="BI313" s="313">
        <v>1</v>
      </c>
      <c r="BJ313" s="313">
        <v>1</v>
      </c>
      <c r="BK313" s="313">
        <v>1</v>
      </c>
    </row>
    <row r="314" spans="1:63" x14ac:dyDescent="0.25">
      <c r="A314" s="306">
        <v>420000</v>
      </c>
      <c r="B314" s="313" t="s">
        <v>425</v>
      </c>
      <c r="C314" s="313">
        <v>1</v>
      </c>
      <c r="D314" s="313">
        <v>1</v>
      </c>
      <c r="E314" s="313">
        <v>1</v>
      </c>
      <c r="F314" s="313">
        <v>1</v>
      </c>
      <c r="G314" s="313">
        <v>1</v>
      </c>
      <c r="H314" s="313">
        <v>1</v>
      </c>
      <c r="I314" s="313">
        <v>1</v>
      </c>
      <c r="J314" s="313">
        <v>1</v>
      </c>
      <c r="K314" s="313">
        <v>1</v>
      </c>
      <c r="L314" s="313">
        <v>1</v>
      </c>
      <c r="M314" s="313">
        <v>1</v>
      </c>
      <c r="N314" s="313">
        <v>1</v>
      </c>
      <c r="O314" s="313">
        <v>1</v>
      </c>
      <c r="P314" s="313">
        <v>1</v>
      </c>
      <c r="Q314" s="313">
        <v>1</v>
      </c>
      <c r="R314" s="313">
        <v>1</v>
      </c>
      <c r="S314" s="313">
        <v>1</v>
      </c>
      <c r="T314" s="313">
        <v>1</v>
      </c>
      <c r="U314" s="313">
        <v>1</v>
      </c>
      <c r="V314" s="313">
        <v>1</v>
      </c>
      <c r="W314" s="313">
        <v>1</v>
      </c>
      <c r="X314" s="313">
        <v>1</v>
      </c>
      <c r="Y314" s="313">
        <v>1</v>
      </c>
      <c r="Z314" s="313">
        <v>1</v>
      </c>
      <c r="AA314" s="313">
        <v>1</v>
      </c>
      <c r="AB314" s="313">
        <v>1</v>
      </c>
      <c r="AC314" s="313">
        <v>1</v>
      </c>
      <c r="AD314" s="313">
        <v>1</v>
      </c>
      <c r="AE314" s="313">
        <v>1</v>
      </c>
      <c r="AF314" s="313">
        <v>1</v>
      </c>
      <c r="AG314" s="313">
        <v>1</v>
      </c>
      <c r="AH314" s="313">
        <v>1</v>
      </c>
      <c r="AI314" s="313">
        <v>1</v>
      </c>
      <c r="AJ314" s="313">
        <v>1</v>
      </c>
      <c r="AK314" s="313">
        <v>1</v>
      </c>
      <c r="AL314" s="313">
        <v>1</v>
      </c>
      <c r="AM314" s="313">
        <v>1</v>
      </c>
      <c r="AN314" s="313">
        <v>1</v>
      </c>
      <c r="AO314" s="313">
        <v>1</v>
      </c>
      <c r="AP314" s="313">
        <v>1</v>
      </c>
      <c r="AQ314" s="313">
        <v>1</v>
      </c>
      <c r="AR314" s="313">
        <v>1</v>
      </c>
      <c r="AS314" s="313">
        <v>1</v>
      </c>
      <c r="AT314" s="313">
        <v>1</v>
      </c>
      <c r="AU314" s="313">
        <v>1</v>
      </c>
      <c r="AV314" s="313">
        <v>1</v>
      </c>
      <c r="AW314" s="313">
        <v>1</v>
      </c>
      <c r="AX314" s="313">
        <v>1</v>
      </c>
      <c r="AY314" s="313">
        <v>1</v>
      </c>
      <c r="AZ314" s="313">
        <v>1</v>
      </c>
      <c r="BA314" s="313">
        <v>1</v>
      </c>
      <c r="BB314" s="313">
        <v>1</v>
      </c>
      <c r="BC314" s="313">
        <v>1</v>
      </c>
      <c r="BD314" s="313">
        <v>1</v>
      </c>
      <c r="BE314" s="313">
        <v>1</v>
      </c>
      <c r="BF314" s="313">
        <v>1</v>
      </c>
      <c r="BG314" s="313">
        <v>1</v>
      </c>
      <c r="BH314" s="313">
        <v>1</v>
      </c>
      <c r="BI314" s="313">
        <v>1</v>
      </c>
      <c r="BJ314" s="313">
        <v>1</v>
      </c>
      <c r="BK314" s="313">
        <v>1</v>
      </c>
    </row>
    <row r="315" spans="1:63" x14ac:dyDescent="0.25">
      <c r="A315" s="306">
        <v>481000</v>
      </c>
      <c r="B315" s="313" t="s">
        <v>752</v>
      </c>
      <c r="C315" s="313">
        <v>1</v>
      </c>
      <c r="D315" s="313">
        <v>1</v>
      </c>
      <c r="E315" s="313">
        <v>1</v>
      </c>
      <c r="F315" s="313">
        <v>1</v>
      </c>
      <c r="G315" s="313">
        <v>1</v>
      </c>
      <c r="H315" s="313">
        <v>1</v>
      </c>
      <c r="I315" s="313">
        <v>1</v>
      </c>
      <c r="J315" s="313">
        <v>1</v>
      </c>
      <c r="K315" s="313">
        <v>1</v>
      </c>
      <c r="L315" s="313">
        <v>1</v>
      </c>
      <c r="M315" s="313">
        <v>1</v>
      </c>
      <c r="N315" s="313">
        <v>1</v>
      </c>
      <c r="O315" s="313">
        <v>1</v>
      </c>
      <c r="P315" s="313">
        <v>1</v>
      </c>
      <c r="Q315" s="313">
        <v>1</v>
      </c>
      <c r="R315" s="313">
        <v>1</v>
      </c>
      <c r="S315" s="313">
        <v>1</v>
      </c>
      <c r="T315" s="313">
        <v>1</v>
      </c>
      <c r="U315" s="313">
        <v>1</v>
      </c>
      <c r="V315" s="313">
        <v>1</v>
      </c>
      <c r="W315" s="313">
        <v>1</v>
      </c>
      <c r="X315" s="313">
        <v>1</v>
      </c>
      <c r="Y315" s="313">
        <v>1</v>
      </c>
      <c r="Z315" s="313">
        <v>1</v>
      </c>
      <c r="AA315" s="313">
        <v>1</v>
      </c>
      <c r="AB315" s="313">
        <v>1</v>
      </c>
      <c r="AC315" s="313">
        <v>1</v>
      </c>
      <c r="AD315" s="313">
        <v>1</v>
      </c>
      <c r="AE315" s="313">
        <v>1</v>
      </c>
      <c r="AF315" s="313">
        <v>1</v>
      </c>
      <c r="AG315" s="313">
        <v>1</v>
      </c>
      <c r="AH315" s="313">
        <v>1</v>
      </c>
      <c r="AI315" s="313">
        <v>1</v>
      </c>
      <c r="AJ315" s="313">
        <v>1</v>
      </c>
      <c r="AK315" s="313">
        <v>1</v>
      </c>
      <c r="AL315" s="313">
        <v>1</v>
      </c>
      <c r="AM315" s="313">
        <v>1</v>
      </c>
      <c r="AN315" s="313">
        <v>1</v>
      </c>
      <c r="AO315" s="313">
        <v>1</v>
      </c>
      <c r="AP315" s="313">
        <v>1</v>
      </c>
      <c r="AQ315" s="313">
        <v>1</v>
      </c>
      <c r="AR315" s="313">
        <v>1</v>
      </c>
      <c r="AS315" s="313">
        <v>1</v>
      </c>
      <c r="AT315" s="313">
        <v>1</v>
      </c>
      <c r="AU315" s="313">
        <v>1</v>
      </c>
      <c r="AV315" s="313">
        <v>1</v>
      </c>
      <c r="AW315" s="313">
        <v>1</v>
      </c>
      <c r="AX315" s="313">
        <v>1</v>
      </c>
      <c r="AY315" s="313">
        <v>1</v>
      </c>
      <c r="AZ315" s="313">
        <v>1</v>
      </c>
      <c r="BA315" s="313">
        <v>1</v>
      </c>
      <c r="BB315" s="313">
        <v>1</v>
      </c>
      <c r="BC315" s="313">
        <v>1</v>
      </c>
      <c r="BD315" s="313">
        <v>1</v>
      </c>
      <c r="BE315" s="313">
        <v>1</v>
      </c>
      <c r="BF315" s="313">
        <v>1</v>
      </c>
      <c r="BG315" s="313">
        <v>1</v>
      </c>
      <c r="BH315" s="313">
        <v>1</v>
      </c>
      <c r="BI315" s="313">
        <v>1</v>
      </c>
      <c r="BJ315" s="313">
        <v>1</v>
      </c>
      <c r="BK315" s="313">
        <v>1</v>
      </c>
    </row>
    <row r="316" spans="1:63" x14ac:dyDescent="0.25">
      <c r="A316" s="306">
        <v>482000</v>
      </c>
      <c r="B316" s="313" t="s">
        <v>753</v>
      </c>
      <c r="C316" s="313">
        <v>1</v>
      </c>
      <c r="D316" s="313">
        <v>0</v>
      </c>
      <c r="E316" s="313">
        <v>1</v>
      </c>
      <c r="F316" s="313">
        <v>1</v>
      </c>
      <c r="G316" s="313">
        <v>1</v>
      </c>
      <c r="H316" s="313">
        <v>1</v>
      </c>
      <c r="I316" s="313">
        <v>1</v>
      </c>
      <c r="J316" s="313">
        <v>1</v>
      </c>
      <c r="K316" s="313">
        <v>1</v>
      </c>
      <c r="L316" s="313">
        <v>1</v>
      </c>
      <c r="M316" s="313">
        <v>1</v>
      </c>
      <c r="N316" s="313">
        <v>1</v>
      </c>
      <c r="O316" s="313">
        <v>0</v>
      </c>
      <c r="P316" s="313">
        <v>1</v>
      </c>
      <c r="Q316" s="313">
        <v>1</v>
      </c>
      <c r="R316" s="313">
        <v>1</v>
      </c>
      <c r="S316" s="313">
        <v>1</v>
      </c>
      <c r="T316" s="313">
        <v>1</v>
      </c>
      <c r="U316" s="313">
        <v>1</v>
      </c>
      <c r="V316" s="313">
        <v>1</v>
      </c>
      <c r="W316" s="313">
        <v>1</v>
      </c>
      <c r="X316" s="313">
        <v>1</v>
      </c>
      <c r="Y316" s="313">
        <v>1</v>
      </c>
      <c r="Z316" s="313">
        <v>1</v>
      </c>
      <c r="AA316" s="313">
        <v>1</v>
      </c>
      <c r="AB316" s="313">
        <v>1</v>
      </c>
      <c r="AC316" s="313">
        <v>1</v>
      </c>
      <c r="AD316" s="313">
        <v>1</v>
      </c>
      <c r="AE316" s="313">
        <v>1</v>
      </c>
      <c r="AF316" s="313">
        <v>1</v>
      </c>
      <c r="AG316" s="313">
        <v>1</v>
      </c>
      <c r="AH316" s="313">
        <v>1</v>
      </c>
      <c r="AI316" s="313">
        <v>1</v>
      </c>
      <c r="AJ316" s="313">
        <v>1</v>
      </c>
      <c r="AK316" s="313">
        <v>1</v>
      </c>
      <c r="AL316" s="313">
        <v>1</v>
      </c>
      <c r="AM316" s="313">
        <v>1</v>
      </c>
      <c r="AN316" s="313">
        <v>1</v>
      </c>
      <c r="AO316" s="313">
        <v>1</v>
      </c>
      <c r="AP316" s="313">
        <v>1</v>
      </c>
      <c r="AQ316" s="313">
        <v>1</v>
      </c>
      <c r="AR316" s="313">
        <v>1</v>
      </c>
      <c r="AS316" s="313">
        <v>1</v>
      </c>
      <c r="AT316" s="313">
        <v>1</v>
      </c>
      <c r="AU316" s="313">
        <v>1</v>
      </c>
      <c r="AV316" s="313">
        <v>1</v>
      </c>
      <c r="AW316" s="313">
        <v>1</v>
      </c>
      <c r="AX316" s="313">
        <v>1</v>
      </c>
      <c r="AY316" s="313">
        <v>1</v>
      </c>
      <c r="AZ316" s="313">
        <v>1</v>
      </c>
      <c r="BA316" s="313">
        <v>1</v>
      </c>
      <c r="BB316" s="313">
        <v>1</v>
      </c>
      <c r="BC316" s="313">
        <v>1</v>
      </c>
      <c r="BD316" s="313">
        <v>1</v>
      </c>
      <c r="BE316" s="313">
        <v>1</v>
      </c>
      <c r="BF316" s="313">
        <v>1</v>
      </c>
      <c r="BG316" s="313">
        <v>1</v>
      </c>
      <c r="BH316" s="313">
        <v>1</v>
      </c>
      <c r="BI316" s="313">
        <v>1</v>
      </c>
      <c r="BJ316" s="313">
        <v>1</v>
      </c>
      <c r="BK316" s="313">
        <v>1</v>
      </c>
    </row>
    <row r="317" spans="1:63" x14ac:dyDescent="0.25">
      <c r="A317" s="306">
        <v>483000</v>
      </c>
      <c r="B317" s="313" t="s">
        <v>754</v>
      </c>
      <c r="C317" s="313">
        <v>1</v>
      </c>
      <c r="D317" s="313">
        <v>1</v>
      </c>
      <c r="E317" s="313">
        <v>1</v>
      </c>
      <c r="F317" s="313">
        <v>1</v>
      </c>
      <c r="G317" s="313">
        <v>1</v>
      </c>
      <c r="H317" s="313">
        <v>1</v>
      </c>
      <c r="I317" s="313">
        <v>0</v>
      </c>
      <c r="J317" s="313">
        <v>1</v>
      </c>
      <c r="K317" s="313">
        <v>1</v>
      </c>
      <c r="L317" s="313">
        <v>1</v>
      </c>
      <c r="M317" s="313">
        <v>1</v>
      </c>
      <c r="N317" s="313">
        <v>1</v>
      </c>
      <c r="O317" s="313">
        <v>1</v>
      </c>
      <c r="P317" s="313">
        <v>1</v>
      </c>
      <c r="Q317" s="313">
        <v>0</v>
      </c>
      <c r="R317" s="313">
        <v>1</v>
      </c>
      <c r="S317" s="313">
        <v>1</v>
      </c>
      <c r="T317" s="313">
        <v>0</v>
      </c>
      <c r="U317" s="313">
        <v>1</v>
      </c>
      <c r="V317" s="313">
        <v>1</v>
      </c>
      <c r="W317" s="313">
        <v>1</v>
      </c>
      <c r="X317" s="313">
        <v>1</v>
      </c>
      <c r="Y317" s="313">
        <v>1</v>
      </c>
      <c r="Z317" s="313">
        <v>1</v>
      </c>
      <c r="AA317" s="313">
        <v>1</v>
      </c>
      <c r="AB317" s="313">
        <v>1</v>
      </c>
      <c r="AC317" s="313">
        <v>1</v>
      </c>
      <c r="AD317" s="313">
        <v>0</v>
      </c>
      <c r="AE317" s="313">
        <v>1</v>
      </c>
      <c r="AF317" s="313">
        <v>0</v>
      </c>
      <c r="AG317" s="313">
        <v>0</v>
      </c>
      <c r="AH317" s="313">
        <v>0</v>
      </c>
      <c r="AI317" s="313">
        <v>1</v>
      </c>
      <c r="AJ317" s="313">
        <v>1</v>
      </c>
      <c r="AK317" s="313">
        <v>1</v>
      </c>
      <c r="AL317" s="313">
        <v>1</v>
      </c>
      <c r="AM317" s="313">
        <v>1</v>
      </c>
      <c r="AN317" s="313">
        <v>0</v>
      </c>
      <c r="AO317" s="313">
        <v>1</v>
      </c>
      <c r="AP317" s="313">
        <v>1</v>
      </c>
      <c r="AQ317" s="313">
        <v>1</v>
      </c>
      <c r="AR317" s="313">
        <v>1</v>
      </c>
      <c r="AS317" s="313">
        <v>0</v>
      </c>
      <c r="AT317" s="313">
        <v>1</v>
      </c>
      <c r="AU317" s="313">
        <v>1</v>
      </c>
      <c r="AV317" s="313">
        <v>1</v>
      </c>
      <c r="AW317" s="313">
        <v>1</v>
      </c>
      <c r="AX317" s="313">
        <v>1</v>
      </c>
      <c r="AY317" s="313">
        <v>1</v>
      </c>
      <c r="AZ317" s="313">
        <v>1</v>
      </c>
      <c r="BA317" s="313">
        <v>1</v>
      </c>
      <c r="BB317" s="313">
        <v>1</v>
      </c>
      <c r="BC317" s="313">
        <v>1</v>
      </c>
      <c r="BD317" s="313">
        <v>1</v>
      </c>
      <c r="BE317" s="313">
        <v>1</v>
      </c>
      <c r="BF317" s="313">
        <v>1</v>
      </c>
      <c r="BG317" s="313">
        <v>1</v>
      </c>
      <c r="BH317" s="313">
        <v>1</v>
      </c>
      <c r="BI317" s="313">
        <v>1</v>
      </c>
      <c r="BJ317" s="313">
        <v>1</v>
      </c>
      <c r="BK317" s="313">
        <v>1</v>
      </c>
    </row>
    <row r="318" spans="1:63" x14ac:dyDescent="0.25">
      <c r="A318" s="306">
        <v>484000</v>
      </c>
      <c r="B318" s="313" t="s">
        <v>755</v>
      </c>
      <c r="C318" s="313">
        <v>1</v>
      </c>
      <c r="D318" s="313">
        <v>1</v>
      </c>
      <c r="E318" s="313">
        <v>1</v>
      </c>
      <c r="F318" s="313">
        <v>1</v>
      </c>
      <c r="G318" s="313">
        <v>1</v>
      </c>
      <c r="H318" s="313">
        <v>1</v>
      </c>
      <c r="I318" s="313">
        <v>1</v>
      </c>
      <c r="J318" s="313">
        <v>1</v>
      </c>
      <c r="K318" s="313">
        <v>1</v>
      </c>
      <c r="L318" s="313">
        <v>1</v>
      </c>
      <c r="M318" s="313">
        <v>1</v>
      </c>
      <c r="N318" s="313">
        <v>1</v>
      </c>
      <c r="O318" s="313">
        <v>1</v>
      </c>
      <c r="P318" s="313">
        <v>1</v>
      </c>
      <c r="Q318" s="313">
        <v>1</v>
      </c>
      <c r="R318" s="313">
        <v>1</v>
      </c>
      <c r="S318" s="313">
        <v>1</v>
      </c>
      <c r="T318" s="313">
        <v>1</v>
      </c>
      <c r="U318" s="313">
        <v>1</v>
      </c>
      <c r="V318" s="313">
        <v>1</v>
      </c>
      <c r="W318" s="313">
        <v>1</v>
      </c>
      <c r="X318" s="313">
        <v>1</v>
      </c>
      <c r="Y318" s="313">
        <v>1</v>
      </c>
      <c r="Z318" s="313">
        <v>1</v>
      </c>
      <c r="AA318" s="313">
        <v>1</v>
      </c>
      <c r="AB318" s="313">
        <v>1</v>
      </c>
      <c r="AC318" s="313">
        <v>1</v>
      </c>
      <c r="AD318" s="313">
        <v>1</v>
      </c>
      <c r="AE318" s="313">
        <v>1</v>
      </c>
      <c r="AF318" s="313">
        <v>1</v>
      </c>
      <c r="AG318" s="313">
        <v>1</v>
      </c>
      <c r="AH318" s="313">
        <v>1</v>
      </c>
      <c r="AI318" s="313">
        <v>1</v>
      </c>
      <c r="AJ318" s="313">
        <v>1</v>
      </c>
      <c r="AK318" s="313">
        <v>1</v>
      </c>
      <c r="AL318" s="313">
        <v>1</v>
      </c>
      <c r="AM318" s="313">
        <v>1</v>
      </c>
      <c r="AN318" s="313">
        <v>1</v>
      </c>
      <c r="AO318" s="313">
        <v>1</v>
      </c>
      <c r="AP318" s="313">
        <v>1</v>
      </c>
      <c r="AQ318" s="313">
        <v>1</v>
      </c>
      <c r="AR318" s="313">
        <v>1</v>
      </c>
      <c r="AS318" s="313">
        <v>1</v>
      </c>
      <c r="AT318" s="313">
        <v>1</v>
      </c>
      <c r="AU318" s="313">
        <v>1</v>
      </c>
      <c r="AV318" s="313">
        <v>1</v>
      </c>
      <c r="AW318" s="313">
        <v>1</v>
      </c>
      <c r="AX318" s="313">
        <v>1</v>
      </c>
      <c r="AY318" s="313">
        <v>1</v>
      </c>
      <c r="AZ318" s="313">
        <v>1</v>
      </c>
      <c r="BA318" s="313">
        <v>1</v>
      </c>
      <c r="BB318" s="313">
        <v>1</v>
      </c>
      <c r="BC318" s="313">
        <v>1</v>
      </c>
      <c r="BD318" s="313">
        <v>1</v>
      </c>
      <c r="BE318" s="313">
        <v>1</v>
      </c>
      <c r="BF318" s="313">
        <v>1</v>
      </c>
      <c r="BG318" s="313">
        <v>1</v>
      </c>
      <c r="BH318" s="313">
        <v>1</v>
      </c>
      <c r="BI318" s="313">
        <v>1</v>
      </c>
      <c r="BJ318" s="313">
        <v>1</v>
      </c>
      <c r="BK318" s="313">
        <v>1</v>
      </c>
    </row>
    <row r="319" spans="1:63" x14ac:dyDescent="0.25">
      <c r="A319" s="306" t="s">
        <v>756</v>
      </c>
      <c r="B319" s="313" t="s">
        <v>282</v>
      </c>
      <c r="C319" s="313">
        <v>1</v>
      </c>
      <c r="D319" s="313">
        <v>1</v>
      </c>
      <c r="E319" s="313">
        <v>1</v>
      </c>
      <c r="F319" s="313">
        <v>1</v>
      </c>
      <c r="G319" s="313">
        <v>1</v>
      </c>
      <c r="H319" s="313">
        <v>1</v>
      </c>
      <c r="I319" s="313">
        <v>1</v>
      </c>
      <c r="J319" s="313">
        <v>1</v>
      </c>
      <c r="K319" s="313">
        <v>1</v>
      </c>
      <c r="L319" s="313">
        <v>1</v>
      </c>
      <c r="M319" s="313">
        <v>1</v>
      </c>
      <c r="N319" s="313">
        <v>1</v>
      </c>
      <c r="O319" s="313">
        <v>1</v>
      </c>
      <c r="P319" s="313">
        <v>1</v>
      </c>
      <c r="Q319" s="313">
        <v>1</v>
      </c>
      <c r="R319" s="313">
        <v>1</v>
      </c>
      <c r="S319" s="313">
        <v>1</v>
      </c>
      <c r="T319" s="313">
        <v>1</v>
      </c>
      <c r="U319" s="313">
        <v>1</v>
      </c>
      <c r="V319" s="313">
        <v>1</v>
      </c>
      <c r="W319" s="313">
        <v>1</v>
      </c>
      <c r="X319" s="313">
        <v>1</v>
      </c>
      <c r="Y319" s="313">
        <v>1</v>
      </c>
      <c r="Z319" s="313">
        <v>1</v>
      </c>
      <c r="AA319" s="313">
        <v>1</v>
      </c>
      <c r="AB319" s="313">
        <v>1</v>
      </c>
      <c r="AC319" s="313">
        <v>1</v>
      </c>
      <c r="AD319" s="313">
        <v>1</v>
      </c>
      <c r="AE319" s="313">
        <v>1</v>
      </c>
      <c r="AF319" s="313">
        <v>1</v>
      </c>
      <c r="AG319" s="313">
        <v>1</v>
      </c>
      <c r="AH319" s="313">
        <v>1</v>
      </c>
      <c r="AI319" s="313">
        <v>1</v>
      </c>
      <c r="AJ319" s="313">
        <v>1</v>
      </c>
      <c r="AK319" s="313">
        <v>1</v>
      </c>
      <c r="AL319" s="313">
        <v>1</v>
      </c>
      <c r="AM319" s="313">
        <v>1</v>
      </c>
      <c r="AN319" s="313">
        <v>1</v>
      </c>
      <c r="AO319" s="313">
        <v>1</v>
      </c>
      <c r="AP319" s="313">
        <v>1</v>
      </c>
      <c r="AQ319" s="313">
        <v>1</v>
      </c>
      <c r="AR319" s="313">
        <v>1</v>
      </c>
      <c r="AS319" s="313">
        <v>1</v>
      </c>
      <c r="AT319" s="313">
        <v>1</v>
      </c>
      <c r="AU319" s="313">
        <v>1</v>
      </c>
      <c r="AV319" s="313">
        <v>1</v>
      </c>
      <c r="AW319" s="313">
        <v>1</v>
      </c>
      <c r="AX319" s="313">
        <v>1</v>
      </c>
      <c r="AY319" s="313">
        <v>1</v>
      </c>
      <c r="AZ319" s="313">
        <v>1</v>
      </c>
      <c r="BA319" s="313">
        <v>1</v>
      </c>
      <c r="BB319" s="313">
        <v>1</v>
      </c>
      <c r="BC319" s="313">
        <v>1</v>
      </c>
      <c r="BD319" s="313">
        <v>1</v>
      </c>
      <c r="BE319" s="313">
        <v>1</v>
      </c>
      <c r="BF319" s="313">
        <v>1</v>
      </c>
      <c r="BG319" s="313">
        <v>1</v>
      </c>
      <c r="BH319" s="313">
        <v>1</v>
      </c>
      <c r="BI319" s="313">
        <v>1</v>
      </c>
      <c r="BJ319" s="313">
        <v>1</v>
      </c>
      <c r="BK319" s="313">
        <v>1</v>
      </c>
    </row>
    <row r="320" spans="1:63" x14ac:dyDescent="0.25">
      <c r="A320" s="306">
        <v>486000</v>
      </c>
      <c r="B320" s="313" t="s">
        <v>757</v>
      </c>
      <c r="C320" s="313">
        <v>1</v>
      </c>
      <c r="D320" s="313">
        <v>1</v>
      </c>
      <c r="E320" s="313">
        <v>1</v>
      </c>
      <c r="F320" s="313">
        <v>1</v>
      </c>
      <c r="G320" s="313">
        <v>1</v>
      </c>
      <c r="H320" s="313">
        <v>1</v>
      </c>
      <c r="I320" s="313">
        <v>1</v>
      </c>
      <c r="J320" s="313">
        <v>1</v>
      </c>
      <c r="K320" s="313">
        <v>1</v>
      </c>
      <c r="L320" s="313">
        <v>1</v>
      </c>
      <c r="M320" s="313">
        <v>1</v>
      </c>
      <c r="N320" s="313">
        <v>1</v>
      </c>
      <c r="O320" s="313">
        <v>0</v>
      </c>
      <c r="P320" s="313">
        <v>1</v>
      </c>
      <c r="Q320" s="313">
        <v>1</v>
      </c>
      <c r="R320" s="313">
        <v>1</v>
      </c>
      <c r="S320" s="313">
        <v>1</v>
      </c>
      <c r="T320" s="313">
        <v>1</v>
      </c>
      <c r="U320" s="313">
        <v>1</v>
      </c>
      <c r="V320" s="313">
        <v>1</v>
      </c>
      <c r="W320" s="313">
        <v>1</v>
      </c>
      <c r="X320" s="313">
        <v>1</v>
      </c>
      <c r="Y320" s="313">
        <v>1</v>
      </c>
      <c r="Z320" s="313">
        <v>1</v>
      </c>
      <c r="AA320" s="313">
        <v>1</v>
      </c>
      <c r="AB320" s="313">
        <v>1</v>
      </c>
      <c r="AC320" s="313">
        <v>1</v>
      </c>
      <c r="AD320" s="313">
        <v>1</v>
      </c>
      <c r="AE320" s="313">
        <v>1</v>
      </c>
      <c r="AF320" s="313">
        <v>1</v>
      </c>
      <c r="AG320" s="313">
        <v>1</v>
      </c>
      <c r="AH320" s="313">
        <v>1</v>
      </c>
      <c r="AI320" s="313">
        <v>1</v>
      </c>
      <c r="AJ320" s="313">
        <v>1</v>
      </c>
      <c r="AK320" s="313">
        <v>1</v>
      </c>
      <c r="AL320" s="313">
        <v>1</v>
      </c>
      <c r="AM320" s="313">
        <v>1</v>
      </c>
      <c r="AN320" s="313">
        <v>1</v>
      </c>
      <c r="AO320" s="313">
        <v>1</v>
      </c>
      <c r="AP320" s="313">
        <v>1</v>
      </c>
      <c r="AQ320" s="313">
        <v>1</v>
      </c>
      <c r="AR320" s="313">
        <v>1</v>
      </c>
      <c r="AS320" s="313">
        <v>1</v>
      </c>
      <c r="AT320" s="313">
        <v>1</v>
      </c>
      <c r="AU320" s="313">
        <v>1</v>
      </c>
      <c r="AV320" s="313">
        <v>1</v>
      </c>
      <c r="AW320" s="313">
        <v>1</v>
      </c>
      <c r="AX320" s="313">
        <v>0</v>
      </c>
      <c r="AY320" s="313">
        <v>1</v>
      </c>
      <c r="AZ320" s="313">
        <v>1</v>
      </c>
      <c r="BA320" s="313">
        <v>1</v>
      </c>
      <c r="BB320" s="313">
        <v>1</v>
      </c>
      <c r="BC320" s="313">
        <v>1</v>
      </c>
      <c r="BD320" s="313">
        <v>1</v>
      </c>
      <c r="BE320" s="313">
        <v>1</v>
      </c>
      <c r="BF320" s="313">
        <v>1</v>
      </c>
      <c r="BG320" s="313">
        <v>1</v>
      </c>
      <c r="BH320" s="313">
        <v>1</v>
      </c>
      <c r="BI320" s="313">
        <v>1</v>
      </c>
      <c r="BJ320" s="313">
        <v>1</v>
      </c>
      <c r="BK320" s="313">
        <v>1</v>
      </c>
    </row>
    <row r="321" spans="1:63" x14ac:dyDescent="0.25">
      <c r="A321" s="306" t="s">
        <v>758</v>
      </c>
      <c r="B321" s="313" t="s">
        <v>283</v>
      </c>
      <c r="C321" s="313">
        <v>1</v>
      </c>
      <c r="D321" s="313">
        <v>1</v>
      </c>
      <c r="E321" s="313">
        <v>1</v>
      </c>
      <c r="F321" s="313">
        <v>1</v>
      </c>
      <c r="G321" s="313">
        <v>1</v>
      </c>
      <c r="H321" s="313">
        <v>1</v>
      </c>
      <c r="I321" s="313">
        <v>1</v>
      </c>
      <c r="J321" s="313">
        <v>1</v>
      </c>
      <c r="K321" s="313">
        <v>1</v>
      </c>
      <c r="L321" s="313">
        <v>1</v>
      </c>
      <c r="M321" s="313">
        <v>1</v>
      </c>
      <c r="N321" s="313">
        <v>1</v>
      </c>
      <c r="O321" s="313">
        <v>1</v>
      </c>
      <c r="P321" s="313">
        <v>1</v>
      </c>
      <c r="Q321" s="313">
        <v>1</v>
      </c>
      <c r="R321" s="313">
        <v>1</v>
      </c>
      <c r="S321" s="313">
        <v>1</v>
      </c>
      <c r="T321" s="313">
        <v>1</v>
      </c>
      <c r="U321" s="313">
        <v>1</v>
      </c>
      <c r="V321" s="313">
        <v>1</v>
      </c>
      <c r="W321" s="313">
        <v>1</v>
      </c>
      <c r="X321" s="313">
        <v>1</v>
      </c>
      <c r="Y321" s="313">
        <v>1</v>
      </c>
      <c r="Z321" s="313">
        <v>1</v>
      </c>
      <c r="AA321" s="313">
        <v>1</v>
      </c>
      <c r="AB321" s="313">
        <v>1</v>
      </c>
      <c r="AC321" s="313">
        <v>1</v>
      </c>
      <c r="AD321" s="313">
        <v>1</v>
      </c>
      <c r="AE321" s="313">
        <v>1</v>
      </c>
      <c r="AF321" s="313">
        <v>1</v>
      </c>
      <c r="AG321" s="313">
        <v>1</v>
      </c>
      <c r="AH321" s="313">
        <v>1</v>
      </c>
      <c r="AI321" s="313">
        <v>1</v>
      </c>
      <c r="AJ321" s="313">
        <v>1</v>
      </c>
      <c r="AK321" s="313">
        <v>1</v>
      </c>
      <c r="AL321" s="313">
        <v>1</v>
      </c>
      <c r="AM321" s="313">
        <v>1</v>
      </c>
      <c r="AN321" s="313">
        <v>1</v>
      </c>
      <c r="AO321" s="313">
        <v>1</v>
      </c>
      <c r="AP321" s="313">
        <v>1</v>
      </c>
      <c r="AQ321" s="313">
        <v>1</v>
      </c>
      <c r="AR321" s="313">
        <v>1</v>
      </c>
      <c r="AS321" s="313">
        <v>1</v>
      </c>
      <c r="AT321" s="313">
        <v>1</v>
      </c>
      <c r="AU321" s="313">
        <v>1</v>
      </c>
      <c r="AV321" s="313">
        <v>1</v>
      </c>
      <c r="AW321" s="313">
        <v>1</v>
      </c>
      <c r="AX321" s="313">
        <v>1</v>
      </c>
      <c r="AY321" s="313">
        <v>1</v>
      </c>
      <c r="AZ321" s="313">
        <v>1</v>
      </c>
      <c r="BA321" s="313">
        <v>1</v>
      </c>
      <c r="BB321" s="313">
        <v>1</v>
      </c>
      <c r="BC321" s="313">
        <v>1</v>
      </c>
      <c r="BD321" s="313">
        <v>1</v>
      </c>
      <c r="BE321" s="313">
        <v>1</v>
      </c>
      <c r="BF321" s="313">
        <v>1</v>
      </c>
      <c r="BG321" s="313">
        <v>1</v>
      </c>
      <c r="BH321" s="313">
        <v>1</v>
      </c>
      <c r="BI321" s="313">
        <v>1</v>
      </c>
      <c r="BJ321" s="313">
        <v>1</v>
      </c>
      <c r="BK321" s="313">
        <v>1</v>
      </c>
    </row>
    <row r="322" spans="1:63" x14ac:dyDescent="0.25">
      <c r="A322" s="306">
        <v>491000</v>
      </c>
      <c r="B322" s="313" t="s">
        <v>759</v>
      </c>
      <c r="C322" s="313">
        <v>1</v>
      </c>
      <c r="D322" s="313">
        <v>1</v>
      </c>
      <c r="E322" s="313">
        <v>1</v>
      </c>
      <c r="F322" s="313">
        <v>1</v>
      </c>
      <c r="G322" s="313">
        <v>1</v>
      </c>
      <c r="H322" s="313">
        <v>1</v>
      </c>
      <c r="I322" s="313">
        <v>1</v>
      </c>
      <c r="J322" s="313">
        <v>1</v>
      </c>
      <c r="K322" s="313">
        <v>1</v>
      </c>
      <c r="L322" s="313">
        <v>1</v>
      </c>
      <c r="M322" s="313">
        <v>1</v>
      </c>
      <c r="N322" s="313">
        <v>1</v>
      </c>
      <c r="O322" s="313">
        <v>1</v>
      </c>
      <c r="P322" s="313">
        <v>1</v>
      </c>
      <c r="Q322" s="313">
        <v>1</v>
      </c>
      <c r="R322" s="313">
        <v>1</v>
      </c>
      <c r="S322" s="313">
        <v>1</v>
      </c>
      <c r="T322" s="313">
        <v>1</v>
      </c>
      <c r="U322" s="313">
        <v>1</v>
      </c>
      <c r="V322" s="313">
        <v>1</v>
      </c>
      <c r="W322" s="313">
        <v>1</v>
      </c>
      <c r="X322" s="313">
        <v>1</v>
      </c>
      <c r="Y322" s="313">
        <v>1</v>
      </c>
      <c r="Z322" s="313">
        <v>1</v>
      </c>
      <c r="AA322" s="313">
        <v>1</v>
      </c>
      <c r="AB322" s="313">
        <v>1</v>
      </c>
      <c r="AC322" s="313">
        <v>1</v>
      </c>
      <c r="AD322" s="313">
        <v>1</v>
      </c>
      <c r="AE322" s="313">
        <v>1</v>
      </c>
      <c r="AF322" s="313">
        <v>1</v>
      </c>
      <c r="AG322" s="313">
        <v>1</v>
      </c>
      <c r="AH322" s="313">
        <v>1</v>
      </c>
      <c r="AI322" s="313">
        <v>1</v>
      </c>
      <c r="AJ322" s="313">
        <v>1</v>
      </c>
      <c r="AK322" s="313">
        <v>1</v>
      </c>
      <c r="AL322" s="313">
        <v>1</v>
      </c>
      <c r="AM322" s="313">
        <v>1</v>
      </c>
      <c r="AN322" s="313">
        <v>1</v>
      </c>
      <c r="AO322" s="313">
        <v>1</v>
      </c>
      <c r="AP322" s="313">
        <v>1</v>
      </c>
      <c r="AQ322" s="313">
        <v>1</v>
      </c>
      <c r="AR322" s="313">
        <v>1</v>
      </c>
      <c r="AS322" s="313">
        <v>1</v>
      </c>
      <c r="AT322" s="313">
        <v>1</v>
      </c>
      <c r="AU322" s="313">
        <v>1</v>
      </c>
      <c r="AV322" s="313">
        <v>1</v>
      </c>
      <c r="AW322" s="313">
        <v>1</v>
      </c>
      <c r="AX322" s="313">
        <v>1</v>
      </c>
      <c r="AY322" s="313">
        <v>1</v>
      </c>
      <c r="AZ322" s="313">
        <v>1</v>
      </c>
      <c r="BA322" s="313">
        <v>1</v>
      </c>
      <c r="BB322" s="313">
        <v>1</v>
      </c>
      <c r="BC322" s="313">
        <v>1</v>
      </c>
      <c r="BD322" s="313">
        <v>1</v>
      </c>
      <c r="BE322" s="313">
        <v>1</v>
      </c>
      <c r="BF322" s="313">
        <v>1</v>
      </c>
      <c r="BG322" s="313">
        <v>1</v>
      </c>
      <c r="BH322" s="313">
        <v>1</v>
      </c>
      <c r="BI322" s="313">
        <v>1</v>
      </c>
      <c r="BJ322" s="313">
        <v>1</v>
      </c>
      <c r="BK322" s="313">
        <v>1</v>
      </c>
    </row>
    <row r="323" spans="1:63" x14ac:dyDescent="0.25">
      <c r="A323" s="306">
        <v>492000</v>
      </c>
      <c r="B323" s="313" t="s">
        <v>284</v>
      </c>
      <c r="C323" s="313">
        <v>1</v>
      </c>
      <c r="D323" s="313">
        <v>1</v>
      </c>
      <c r="E323" s="313">
        <v>1</v>
      </c>
      <c r="F323" s="313">
        <v>1</v>
      </c>
      <c r="G323" s="313">
        <v>1</v>
      </c>
      <c r="H323" s="313">
        <v>1</v>
      </c>
      <c r="I323" s="313">
        <v>1</v>
      </c>
      <c r="J323" s="313">
        <v>1</v>
      </c>
      <c r="K323" s="313">
        <v>1</v>
      </c>
      <c r="L323" s="313">
        <v>1</v>
      </c>
      <c r="M323" s="313">
        <v>1</v>
      </c>
      <c r="N323" s="313">
        <v>1</v>
      </c>
      <c r="O323" s="313">
        <v>1</v>
      </c>
      <c r="P323" s="313">
        <v>1</v>
      </c>
      <c r="Q323" s="313">
        <v>1</v>
      </c>
      <c r="R323" s="313">
        <v>1</v>
      </c>
      <c r="S323" s="313">
        <v>1</v>
      </c>
      <c r="T323" s="313">
        <v>1</v>
      </c>
      <c r="U323" s="313">
        <v>1</v>
      </c>
      <c r="V323" s="313">
        <v>1</v>
      </c>
      <c r="W323" s="313">
        <v>1</v>
      </c>
      <c r="X323" s="313">
        <v>1</v>
      </c>
      <c r="Y323" s="313">
        <v>1</v>
      </c>
      <c r="Z323" s="313">
        <v>1</v>
      </c>
      <c r="AA323" s="313">
        <v>1</v>
      </c>
      <c r="AB323" s="313">
        <v>1</v>
      </c>
      <c r="AC323" s="313">
        <v>1</v>
      </c>
      <c r="AD323" s="313">
        <v>1</v>
      </c>
      <c r="AE323" s="313">
        <v>1</v>
      </c>
      <c r="AF323" s="313">
        <v>1</v>
      </c>
      <c r="AG323" s="313">
        <v>1</v>
      </c>
      <c r="AH323" s="313">
        <v>1</v>
      </c>
      <c r="AI323" s="313">
        <v>1</v>
      </c>
      <c r="AJ323" s="313">
        <v>1</v>
      </c>
      <c r="AK323" s="313">
        <v>1</v>
      </c>
      <c r="AL323" s="313">
        <v>1</v>
      </c>
      <c r="AM323" s="313">
        <v>1</v>
      </c>
      <c r="AN323" s="313">
        <v>1</v>
      </c>
      <c r="AO323" s="313">
        <v>1</v>
      </c>
      <c r="AP323" s="313">
        <v>1</v>
      </c>
      <c r="AQ323" s="313">
        <v>1</v>
      </c>
      <c r="AR323" s="313">
        <v>1</v>
      </c>
      <c r="AS323" s="313">
        <v>1</v>
      </c>
      <c r="AT323" s="313">
        <v>1</v>
      </c>
      <c r="AU323" s="313">
        <v>1</v>
      </c>
      <c r="AV323" s="313">
        <v>1</v>
      </c>
      <c r="AW323" s="313">
        <v>1</v>
      </c>
      <c r="AX323" s="313">
        <v>1</v>
      </c>
      <c r="AY323" s="313">
        <v>1</v>
      </c>
      <c r="AZ323" s="313">
        <v>1</v>
      </c>
      <c r="BA323" s="313">
        <v>1</v>
      </c>
      <c r="BB323" s="313">
        <v>1</v>
      </c>
      <c r="BC323" s="313">
        <v>1</v>
      </c>
      <c r="BD323" s="313">
        <v>1</v>
      </c>
      <c r="BE323" s="313">
        <v>1</v>
      </c>
      <c r="BF323" s="313">
        <v>1</v>
      </c>
      <c r="BG323" s="313">
        <v>1</v>
      </c>
      <c r="BH323" s="313">
        <v>1</v>
      </c>
      <c r="BI323" s="313">
        <v>1</v>
      </c>
      <c r="BJ323" s="313">
        <v>1</v>
      </c>
      <c r="BK323" s="313">
        <v>1</v>
      </c>
    </row>
    <row r="324" spans="1:63" x14ac:dyDescent="0.25">
      <c r="A324" s="306">
        <v>493000</v>
      </c>
      <c r="B324" s="313" t="s">
        <v>285</v>
      </c>
      <c r="C324" s="313">
        <v>1</v>
      </c>
      <c r="D324" s="313">
        <v>1</v>
      </c>
      <c r="E324" s="313">
        <v>1</v>
      </c>
      <c r="F324" s="313">
        <v>1</v>
      </c>
      <c r="G324" s="313">
        <v>1</v>
      </c>
      <c r="H324" s="313">
        <v>1</v>
      </c>
      <c r="I324" s="313">
        <v>1</v>
      </c>
      <c r="J324" s="313">
        <v>1</v>
      </c>
      <c r="K324" s="313">
        <v>1</v>
      </c>
      <c r="L324" s="313">
        <v>1</v>
      </c>
      <c r="M324" s="313">
        <v>1</v>
      </c>
      <c r="N324" s="313">
        <v>1</v>
      </c>
      <c r="O324" s="313">
        <v>1</v>
      </c>
      <c r="P324" s="313">
        <v>1</v>
      </c>
      <c r="Q324" s="313">
        <v>1</v>
      </c>
      <c r="R324" s="313">
        <v>1</v>
      </c>
      <c r="S324" s="313">
        <v>1</v>
      </c>
      <c r="T324" s="313">
        <v>1</v>
      </c>
      <c r="U324" s="313">
        <v>1</v>
      </c>
      <c r="V324" s="313">
        <v>1</v>
      </c>
      <c r="W324" s="313">
        <v>1</v>
      </c>
      <c r="X324" s="313">
        <v>1</v>
      </c>
      <c r="Y324" s="313">
        <v>1</v>
      </c>
      <c r="Z324" s="313">
        <v>1</v>
      </c>
      <c r="AA324" s="313">
        <v>1</v>
      </c>
      <c r="AB324" s="313">
        <v>1</v>
      </c>
      <c r="AC324" s="313">
        <v>1</v>
      </c>
      <c r="AD324" s="313">
        <v>1</v>
      </c>
      <c r="AE324" s="313">
        <v>1</v>
      </c>
      <c r="AF324" s="313">
        <v>1</v>
      </c>
      <c r="AG324" s="313">
        <v>1</v>
      </c>
      <c r="AH324" s="313">
        <v>1</v>
      </c>
      <c r="AI324" s="313">
        <v>1</v>
      </c>
      <c r="AJ324" s="313">
        <v>1</v>
      </c>
      <c r="AK324" s="313">
        <v>1</v>
      </c>
      <c r="AL324" s="313">
        <v>1</v>
      </c>
      <c r="AM324" s="313">
        <v>1</v>
      </c>
      <c r="AN324" s="313">
        <v>1</v>
      </c>
      <c r="AO324" s="313">
        <v>1</v>
      </c>
      <c r="AP324" s="313">
        <v>1</v>
      </c>
      <c r="AQ324" s="313">
        <v>1</v>
      </c>
      <c r="AR324" s="313">
        <v>1</v>
      </c>
      <c r="AS324" s="313">
        <v>1</v>
      </c>
      <c r="AT324" s="313">
        <v>1</v>
      </c>
      <c r="AU324" s="313">
        <v>1</v>
      </c>
      <c r="AV324" s="313">
        <v>1</v>
      </c>
      <c r="AW324" s="313">
        <v>1</v>
      </c>
      <c r="AX324" s="313">
        <v>1</v>
      </c>
      <c r="AY324" s="313">
        <v>1</v>
      </c>
      <c r="AZ324" s="313">
        <v>1</v>
      </c>
      <c r="BA324" s="313">
        <v>1</v>
      </c>
      <c r="BB324" s="313">
        <v>1</v>
      </c>
      <c r="BC324" s="313">
        <v>1</v>
      </c>
      <c r="BD324" s="313">
        <v>1</v>
      </c>
      <c r="BE324" s="313">
        <v>1</v>
      </c>
      <c r="BF324" s="313">
        <v>1</v>
      </c>
      <c r="BG324" s="313">
        <v>1</v>
      </c>
      <c r="BH324" s="313">
        <v>1</v>
      </c>
      <c r="BI324" s="313">
        <v>1</v>
      </c>
      <c r="BJ324" s="313">
        <v>1</v>
      </c>
      <c r="BK324" s="313">
        <v>1</v>
      </c>
    </row>
    <row r="325" spans="1:63" x14ac:dyDescent="0.25">
      <c r="A325" s="306" t="s">
        <v>760</v>
      </c>
      <c r="B325" s="313" t="s">
        <v>761</v>
      </c>
      <c r="C325" s="313">
        <v>1</v>
      </c>
      <c r="D325" s="313">
        <v>1</v>
      </c>
      <c r="E325" s="313">
        <v>1</v>
      </c>
      <c r="F325" s="313">
        <v>1</v>
      </c>
      <c r="G325" s="313">
        <v>1</v>
      </c>
      <c r="H325" s="313">
        <v>1</v>
      </c>
      <c r="I325" s="313">
        <v>1</v>
      </c>
      <c r="J325" s="313">
        <v>1</v>
      </c>
      <c r="K325" s="313">
        <v>1</v>
      </c>
      <c r="L325" s="313">
        <v>1</v>
      </c>
      <c r="M325" s="313">
        <v>1</v>
      </c>
      <c r="N325" s="313">
        <v>1</v>
      </c>
      <c r="O325" s="313">
        <v>1</v>
      </c>
      <c r="P325" s="313">
        <v>1</v>
      </c>
      <c r="Q325" s="313">
        <v>1</v>
      </c>
      <c r="R325" s="313">
        <v>1</v>
      </c>
      <c r="S325" s="313">
        <v>1</v>
      </c>
      <c r="T325" s="313">
        <v>1</v>
      </c>
      <c r="U325" s="313">
        <v>1</v>
      </c>
      <c r="V325" s="313">
        <v>1</v>
      </c>
      <c r="W325" s="313">
        <v>1</v>
      </c>
      <c r="X325" s="313">
        <v>1</v>
      </c>
      <c r="Y325" s="313">
        <v>1</v>
      </c>
      <c r="Z325" s="313">
        <v>1</v>
      </c>
      <c r="AA325" s="313">
        <v>1</v>
      </c>
      <c r="AB325" s="313">
        <v>1</v>
      </c>
      <c r="AC325" s="313">
        <v>1</v>
      </c>
      <c r="AD325" s="313">
        <v>1</v>
      </c>
      <c r="AE325" s="313">
        <v>1</v>
      </c>
      <c r="AF325" s="313">
        <v>1</v>
      </c>
      <c r="AG325" s="313">
        <v>1</v>
      </c>
      <c r="AH325" s="313">
        <v>1</v>
      </c>
      <c r="AI325" s="313">
        <v>1</v>
      </c>
      <c r="AJ325" s="313">
        <v>1</v>
      </c>
      <c r="AK325" s="313">
        <v>1</v>
      </c>
      <c r="AL325" s="313">
        <v>1</v>
      </c>
      <c r="AM325" s="313">
        <v>1</v>
      </c>
      <c r="AN325" s="313">
        <v>1</v>
      </c>
      <c r="AO325" s="313">
        <v>1</v>
      </c>
      <c r="AP325" s="313">
        <v>1</v>
      </c>
      <c r="AQ325" s="313">
        <v>1</v>
      </c>
      <c r="AR325" s="313">
        <v>1</v>
      </c>
      <c r="AS325" s="313">
        <v>1</v>
      </c>
      <c r="AT325" s="313">
        <v>1</v>
      </c>
      <c r="AU325" s="313">
        <v>1</v>
      </c>
      <c r="AV325" s="313">
        <v>1</v>
      </c>
      <c r="AW325" s="313">
        <v>1</v>
      </c>
      <c r="AX325" s="313">
        <v>1</v>
      </c>
      <c r="AY325" s="313">
        <v>1</v>
      </c>
      <c r="AZ325" s="313">
        <v>1</v>
      </c>
      <c r="BA325" s="313">
        <v>1</v>
      </c>
      <c r="BB325" s="313">
        <v>1</v>
      </c>
      <c r="BC325" s="313">
        <v>1</v>
      </c>
      <c r="BD325" s="313">
        <v>1</v>
      </c>
      <c r="BE325" s="313">
        <v>1</v>
      </c>
      <c r="BF325" s="313">
        <v>1</v>
      </c>
      <c r="BG325" s="313">
        <v>1</v>
      </c>
      <c r="BH325" s="313">
        <v>1</v>
      </c>
      <c r="BI325" s="313">
        <v>1</v>
      </c>
      <c r="BJ325" s="313">
        <v>1</v>
      </c>
      <c r="BK325" s="313">
        <v>1</v>
      </c>
    </row>
    <row r="326" spans="1:63" x14ac:dyDescent="0.25">
      <c r="A326" s="306">
        <v>511110</v>
      </c>
      <c r="B326" s="313" t="s">
        <v>286</v>
      </c>
      <c r="C326" s="313">
        <v>1</v>
      </c>
      <c r="D326" s="313">
        <v>1</v>
      </c>
      <c r="E326" s="313">
        <v>1</v>
      </c>
      <c r="F326" s="313">
        <v>1</v>
      </c>
      <c r="G326" s="313">
        <v>1</v>
      </c>
      <c r="H326" s="313">
        <v>1</v>
      </c>
      <c r="I326" s="313">
        <v>1</v>
      </c>
      <c r="J326" s="313">
        <v>1</v>
      </c>
      <c r="K326" s="313">
        <v>1</v>
      </c>
      <c r="L326" s="313">
        <v>1</v>
      </c>
      <c r="M326" s="313">
        <v>1</v>
      </c>
      <c r="N326" s="313">
        <v>1</v>
      </c>
      <c r="O326" s="313">
        <v>1</v>
      </c>
      <c r="P326" s="313">
        <v>1</v>
      </c>
      <c r="Q326" s="313">
        <v>1</v>
      </c>
      <c r="R326" s="313">
        <v>1</v>
      </c>
      <c r="S326" s="313">
        <v>1</v>
      </c>
      <c r="T326" s="313">
        <v>1</v>
      </c>
      <c r="U326" s="313">
        <v>1</v>
      </c>
      <c r="V326" s="313">
        <v>1</v>
      </c>
      <c r="W326" s="313">
        <v>1</v>
      </c>
      <c r="X326" s="313">
        <v>1</v>
      </c>
      <c r="Y326" s="313">
        <v>1</v>
      </c>
      <c r="Z326" s="313">
        <v>1</v>
      </c>
      <c r="AA326" s="313">
        <v>1</v>
      </c>
      <c r="AB326" s="313">
        <v>1</v>
      </c>
      <c r="AC326" s="313">
        <v>1</v>
      </c>
      <c r="AD326" s="313">
        <v>1</v>
      </c>
      <c r="AE326" s="313">
        <v>1</v>
      </c>
      <c r="AF326" s="313">
        <v>1</v>
      </c>
      <c r="AG326" s="313">
        <v>1</v>
      </c>
      <c r="AH326" s="313">
        <v>1</v>
      </c>
      <c r="AI326" s="313">
        <v>1</v>
      </c>
      <c r="AJ326" s="313">
        <v>1</v>
      </c>
      <c r="AK326" s="313">
        <v>1</v>
      </c>
      <c r="AL326" s="313">
        <v>1</v>
      </c>
      <c r="AM326" s="313">
        <v>1</v>
      </c>
      <c r="AN326" s="313">
        <v>1</v>
      </c>
      <c r="AO326" s="313">
        <v>1</v>
      </c>
      <c r="AP326" s="313">
        <v>1</v>
      </c>
      <c r="AQ326" s="313">
        <v>1</v>
      </c>
      <c r="AR326" s="313">
        <v>1</v>
      </c>
      <c r="AS326" s="313">
        <v>1</v>
      </c>
      <c r="AT326" s="313">
        <v>1</v>
      </c>
      <c r="AU326" s="313">
        <v>1</v>
      </c>
      <c r="AV326" s="313">
        <v>1</v>
      </c>
      <c r="AW326" s="313">
        <v>1</v>
      </c>
      <c r="AX326" s="313">
        <v>1</v>
      </c>
      <c r="AY326" s="313">
        <v>1</v>
      </c>
      <c r="AZ326" s="313">
        <v>1</v>
      </c>
      <c r="BA326" s="313">
        <v>1</v>
      </c>
      <c r="BB326" s="313">
        <v>1</v>
      </c>
      <c r="BC326" s="313">
        <v>1</v>
      </c>
      <c r="BD326" s="313">
        <v>1</v>
      </c>
      <c r="BE326" s="313">
        <v>1</v>
      </c>
      <c r="BF326" s="313">
        <v>1</v>
      </c>
      <c r="BG326" s="313">
        <v>1</v>
      </c>
      <c r="BH326" s="313">
        <v>1</v>
      </c>
      <c r="BI326" s="313">
        <v>1</v>
      </c>
      <c r="BJ326" s="313">
        <v>1</v>
      </c>
      <c r="BK326" s="313">
        <v>1</v>
      </c>
    </row>
    <row r="327" spans="1:63" x14ac:dyDescent="0.25">
      <c r="A327" s="306">
        <v>511120</v>
      </c>
      <c r="B327" s="313" t="s">
        <v>287</v>
      </c>
      <c r="C327" s="313">
        <v>1</v>
      </c>
      <c r="D327" s="313">
        <v>1</v>
      </c>
      <c r="E327" s="313">
        <v>1</v>
      </c>
      <c r="F327" s="313">
        <v>1</v>
      </c>
      <c r="G327" s="313">
        <v>1</v>
      </c>
      <c r="H327" s="313">
        <v>1</v>
      </c>
      <c r="I327" s="313">
        <v>1</v>
      </c>
      <c r="J327" s="313">
        <v>1</v>
      </c>
      <c r="K327" s="313">
        <v>1</v>
      </c>
      <c r="L327" s="313">
        <v>1</v>
      </c>
      <c r="M327" s="313">
        <v>1</v>
      </c>
      <c r="N327" s="313">
        <v>1</v>
      </c>
      <c r="O327" s="313">
        <v>1</v>
      </c>
      <c r="P327" s="313">
        <v>1</v>
      </c>
      <c r="Q327" s="313">
        <v>1</v>
      </c>
      <c r="R327" s="313">
        <v>1</v>
      </c>
      <c r="S327" s="313">
        <v>1</v>
      </c>
      <c r="T327" s="313">
        <v>1</v>
      </c>
      <c r="U327" s="313">
        <v>1</v>
      </c>
      <c r="V327" s="313">
        <v>1</v>
      </c>
      <c r="W327" s="313">
        <v>1</v>
      </c>
      <c r="X327" s="313">
        <v>1</v>
      </c>
      <c r="Y327" s="313">
        <v>1</v>
      </c>
      <c r="Z327" s="313">
        <v>1</v>
      </c>
      <c r="AA327" s="313">
        <v>1</v>
      </c>
      <c r="AB327" s="313">
        <v>1</v>
      </c>
      <c r="AC327" s="313">
        <v>1</v>
      </c>
      <c r="AD327" s="313">
        <v>1</v>
      </c>
      <c r="AE327" s="313">
        <v>1</v>
      </c>
      <c r="AF327" s="313">
        <v>1</v>
      </c>
      <c r="AG327" s="313">
        <v>1</v>
      </c>
      <c r="AH327" s="313">
        <v>1</v>
      </c>
      <c r="AI327" s="313">
        <v>1</v>
      </c>
      <c r="AJ327" s="313">
        <v>1</v>
      </c>
      <c r="AK327" s="313">
        <v>1</v>
      </c>
      <c r="AL327" s="313">
        <v>1</v>
      </c>
      <c r="AM327" s="313">
        <v>1</v>
      </c>
      <c r="AN327" s="313">
        <v>1</v>
      </c>
      <c r="AO327" s="313">
        <v>1</v>
      </c>
      <c r="AP327" s="313">
        <v>1</v>
      </c>
      <c r="AQ327" s="313">
        <v>1</v>
      </c>
      <c r="AR327" s="313">
        <v>1</v>
      </c>
      <c r="AS327" s="313">
        <v>1</v>
      </c>
      <c r="AT327" s="313">
        <v>1</v>
      </c>
      <c r="AU327" s="313">
        <v>1</v>
      </c>
      <c r="AV327" s="313">
        <v>1</v>
      </c>
      <c r="AW327" s="313">
        <v>1</v>
      </c>
      <c r="AX327" s="313">
        <v>1</v>
      </c>
      <c r="AY327" s="313">
        <v>1</v>
      </c>
      <c r="AZ327" s="313">
        <v>1</v>
      </c>
      <c r="BA327" s="313">
        <v>1</v>
      </c>
      <c r="BB327" s="313">
        <v>1</v>
      </c>
      <c r="BC327" s="313">
        <v>1</v>
      </c>
      <c r="BD327" s="313">
        <v>1</v>
      </c>
      <c r="BE327" s="313">
        <v>1</v>
      </c>
      <c r="BF327" s="313">
        <v>1</v>
      </c>
      <c r="BG327" s="313">
        <v>1</v>
      </c>
      <c r="BH327" s="313">
        <v>1</v>
      </c>
      <c r="BI327" s="313">
        <v>1</v>
      </c>
      <c r="BJ327" s="313">
        <v>1</v>
      </c>
      <c r="BK327" s="313">
        <v>1</v>
      </c>
    </row>
    <row r="328" spans="1:63" x14ac:dyDescent="0.25">
      <c r="A328" s="306">
        <v>511130</v>
      </c>
      <c r="B328" s="313" t="s">
        <v>288</v>
      </c>
      <c r="C328" s="313">
        <v>1</v>
      </c>
      <c r="D328" s="313">
        <v>1</v>
      </c>
      <c r="E328" s="313">
        <v>1</v>
      </c>
      <c r="F328" s="313">
        <v>1</v>
      </c>
      <c r="G328" s="313">
        <v>1</v>
      </c>
      <c r="H328" s="313">
        <v>1</v>
      </c>
      <c r="I328" s="313">
        <v>1</v>
      </c>
      <c r="J328" s="313">
        <v>1</v>
      </c>
      <c r="K328" s="313">
        <v>1</v>
      </c>
      <c r="L328" s="313">
        <v>1</v>
      </c>
      <c r="M328" s="313">
        <v>1</v>
      </c>
      <c r="N328" s="313">
        <v>1</v>
      </c>
      <c r="O328" s="313">
        <v>1</v>
      </c>
      <c r="P328" s="313">
        <v>1</v>
      </c>
      <c r="Q328" s="313">
        <v>1</v>
      </c>
      <c r="R328" s="313">
        <v>1</v>
      </c>
      <c r="S328" s="313">
        <v>1</v>
      </c>
      <c r="T328" s="313">
        <v>1</v>
      </c>
      <c r="U328" s="313">
        <v>1</v>
      </c>
      <c r="V328" s="313">
        <v>1</v>
      </c>
      <c r="W328" s="313">
        <v>1</v>
      </c>
      <c r="X328" s="313">
        <v>1</v>
      </c>
      <c r="Y328" s="313">
        <v>1</v>
      </c>
      <c r="Z328" s="313">
        <v>1</v>
      </c>
      <c r="AA328" s="313">
        <v>1</v>
      </c>
      <c r="AB328" s="313">
        <v>1</v>
      </c>
      <c r="AC328" s="313">
        <v>1</v>
      </c>
      <c r="AD328" s="313">
        <v>1</v>
      </c>
      <c r="AE328" s="313">
        <v>1</v>
      </c>
      <c r="AF328" s="313">
        <v>1</v>
      </c>
      <c r="AG328" s="313">
        <v>1</v>
      </c>
      <c r="AH328" s="313">
        <v>1</v>
      </c>
      <c r="AI328" s="313">
        <v>1</v>
      </c>
      <c r="AJ328" s="313">
        <v>1</v>
      </c>
      <c r="AK328" s="313">
        <v>1</v>
      </c>
      <c r="AL328" s="313">
        <v>1</v>
      </c>
      <c r="AM328" s="313">
        <v>1</v>
      </c>
      <c r="AN328" s="313">
        <v>1</v>
      </c>
      <c r="AO328" s="313">
        <v>1</v>
      </c>
      <c r="AP328" s="313">
        <v>1</v>
      </c>
      <c r="AQ328" s="313">
        <v>1</v>
      </c>
      <c r="AR328" s="313">
        <v>1</v>
      </c>
      <c r="AS328" s="313">
        <v>1</v>
      </c>
      <c r="AT328" s="313">
        <v>1</v>
      </c>
      <c r="AU328" s="313">
        <v>1</v>
      </c>
      <c r="AV328" s="313">
        <v>1</v>
      </c>
      <c r="AW328" s="313">
        <v>1</v>
      </c>
      <c r="AX328" s="313">
        <v>1</v>
      </c>
      <c r="AY328" s="313">
        <v>1</v>
      </c>
      <c r="AZ328" s="313">
        <v>1</v>
      </c>
      <c r="BA328" s="313">
        <v>1</v>
      </c>
      <c r="BB328" s="313">
        <v>1</v>
      </c>
      <c r="BC328" s="313">
        <v>1</v>
      </c>
      <c r="BD328" s="313">
        <v>1</v>
      </c>
      <c r="BE328" s="313">
        <v>1</v>
      </c>
      <c r="BF328" s="313">
        <v>1</v>
      </c>
      <c r="BG328" s="313">
        <v>1</v>
      </c>
      <c r="BH328" s="313">
        <v>1</v>
      </c>
      <c r="BI328" s="313">
        <v>1</v>
      </c>
      <c r="BJ328" s="313">
        <v>1</v>
      </c>
      <c r="BK328" s="313">
        <v>1</v>
      </c>
    </row>
    <row r="329" spans="1:63" x14ac:dyDescent="0.25">
      <c r="A329" s="306" t="s">
        <v>762</v>
      </c>
      <c r="B329" s="313" t="s">
        <v>289</v>
      </c>
      <c r="C329" s="313">
        <v>1</v>
      </c>
      <c r="D329" s="313">
        <v>1</v>
      </c>
      <c r="E329" s="313">
        <v>1</v>
      </c>
      <c r="F329" s="313">
        <v>1</v>
      </c>
      <c r="G329" s="313">
        <v>1</v>
      </c>
      <c r="H329" s="313">
        <v>1</v>
      </c>
      <c r="I329" s="313">
        <v>1</v>
      </c>
      <c r="J329" s="313">
        <v>1</v>
      </c>
      <c r="K329" s="313">
        <v>1</v>
      </c>
      <c r="L329" s="313">
        <v>1</v>
      </c>
      <c r="M329" s="313">
        <v>1</v>
      </c>
      <c r="N329" s="313">
        <v>1</v>
      </c>
      <c r="O329" s="313">
        <v>1</v>
      </c>
      <c r="P329" s="313">
        <v>1</v>
      </c>
      <c r="Q329" s="313">
        <v>1</v>
      </c>
      <c r="R329" s="313">
        <v>1</v>
      </c>
      <c r="S329" s="313">
        <v>1</v>
      </c>
      <c r="T329" s="313">
        <v>1</v>
      </c>
      <c r="U329" s="313">
        <v>1</v>
      </c>
      <c r="V329" s="313">
        <v>1</v>
      </c>
      <c r="W329" s="313">
        <v>1</v>
      </c>
      <c r="X329" s="313">
        <v>1</v>
      </c>
      <c r="Y329" s="313">
        <v>1</v>
      </c>
      <c r="Z329" s="313">
        <v>1</v>
      </c>
      <c r="AA329" s="313">
        <v>1</v>
      </c>
      <c r="AB329" s="313">
        <v>1</v>
      </c>
      <c r="AC329" s="313">
        <v>1</v>
      </c>
      <c r="AD329" s="313">
        <v>1</v>
      </c>
      <c r="AE329" s="313">
        <v>1</v>
      </c>
      <c r="AF329" s="313">
        <v>1</v>
      </c>
      <c r="AG329" s="313">
        <v>1</v>
      </c>
      <c r="AH329" s="313">
        <v>1</v>
      </c>
      <c r="AI329" s="313">
        <v>1</v>
      </c>
      <c r="AJ329" s="313">
        <v>1</v>
      </c>
      <c r="AK329" s="313">
        <v>1</v>
      </c>
      <c r="AL329" s="313">
        <v>1</v>
      </c>
      <c r="AM329" s="313">
        <v>1</v>
      </c>
      <c r="AN329" s="313">
        <v>1</v>
      </c>
      <c r="AO329" s="313">
        <v>1</v>
      </c>
      <c r="AP329" s="313">
        <v>1</v>
      </c>
      <c r="AQ329" s="313">
        <v>1</v>
      </c>
      <c r="AR329" s="313">
        <v>1</v>
      </c>
      <c r="AS329" s="313">
        <v>1</v>
      </c>
      <c r="AT329" s="313">
        <v>1</v>
      </c>
      <c r="AU329" s="313">
        <v>1</v>
      </c>
      <c r="AV329" s="313">
        <v>1</v>
      </c>
      <c r="AW329" s="313">
        <v>1</v>
      </c>
      <c r="AX329" s="313">
        <v>1</v>
      </c>
      <c r="AY329" s="313">
        <v>1</v>
      </c>
      <c r="AZ329" s="313">
        <v>1</v>
      </c>
      <c r="BA329" s="313">
        <v>1</v>
      </c>
      <c r="BB329" s="313">
        <v>1</v>
      </c>
      <c r="BC329" s="313">
        <v>1</v>
      </c>
      <c r="BD329" s="313">
        <v>1</v>
      </c>
      <c r="BE329" s="313">
        <v>1</v>
      </c>
      <c r="BF329" s="313">
        <v>1</v>
      </c>
      <c r="BG329" s="313">
        <v>1</v>
      </c>
      <c r="BH329" s="313">
        <v>1</v>
      </c>
      <c r="BI329" s="313">
        <v>1</v>
      </c>
      <c r="BJ329" s="313">
        <v>1</v>
      </c>
      <c r="BK329" s="313">
        <v>1</v>
      </c>
    </row>
    <row r="330" spans="1:63" x14ac:dyDescent="0.25">
      <c r="A330" s="306">
        <v>511200</v>
      </c>
      <c r="B330" s="313" t="s">
        <v>290</v>
      </c>
      <c r="C330" s="313">
        <v>1</v>
      </c>
      <c r="D330" s="313">
        <v>1</v>
      </c>
      <c r="E330" s="313">
        <v>1</v>
      </c>
      <c r="F330" s="313">
        <v>1</v>
      </c>
      <c r="G330" s="313">
        <v>1</v>
      </c>
      <c r="H330" s="313">
        <v>1</v>
      </c>
      <c r="I330" s="313">
        <v>1</v>
      </c>
      <c r="J330" s="313">
        <v>1</v>
      </c>
      <c r="K330" s="313">
        <v>1</v>
      </c>
      <c r="L330" s="313">
        <v>1</v>
      </c>
      <c r="M330" s="313">
        <v>1</v>
      </c>
      <c r="N330" s="313">
        <v>1</v>
      </c>
      <c r="O330" s="313">
        <v>1</v>
      </c>
      <c r="P330" s="313">
        <v>1</v>
      </c>
      <c r="Q330" s="313">
        <v>1</v>
      </c>
      <c r="R330" s="313">
        <v>1</v>
      </c>
      <c r="S330" s="313">
        <v>1</v>
      </c>
      <c r="T330" s="313">
        <v>1</v>
      </c>
      <c r="U330" s="313">
        <v>1</v>
      </c>
      <c r="V330" s="313">
        <v>1</v>
      </c>
      <c r="W330" s="313">
        <v>1</v>
      </c>
      <c r="X330" s="313">
        <v>1</v>
      </c>
      <c r="Y330" s="313">
        <v>1</v>
      </c>
      <c r="Z330" s="313">
        <v>1</v>
      </c>
      <c r="AA330" s="313">
        <v>1</v>
      </c>
      <c r="AB330" s="313">
        <v>1</v>
      </c>
      <c r="AC330" s="313">
        <v>1</v>
      </c>
      <c r="AD330" s="313">
        <v>1</v>
      </c>
      <c r="AE330" s="313">
        <v>1</v>
      </c>
      <c r="AF330" s="313">
        <v>1</v>
      </c>
      <c r="AG330" s="313">
        <v>1</v>
      </c>
      <c r="AH330" s="313">
        <v>1</v>
      </c>
      <c r="AI330" s="313">
        <v>1</v>
      </c>
      <c r="AJ330" s="313">
        <v>1</v>
      </c>
      <c r="AK330" s="313">
        <v>1</v>
      </c>
      <c r="AL330" s="313">
        <v>1</v>
      </c>
      <c r="AM330" s="313">
        <v>1</v>
      </c>
      <c r="AN330" s="313">
        <v>1</v>
      </c>
      <c r="AO330" s="313">
        <v>1</v>
      </c>
      <c r="AP330" s="313">
        <v>1</v>
      </c>
      <c r="AQ330" s="313">
        <v>1</v>
      </c>
      <c r="AR330" s="313">
        <v>1</v>
      </c>
      <c r="AS330" s="313">
        <v>1</v>
      </c>
      <c r="AT330" s="313">
        <v>1</v>
      </c>
      <c r="AU330" s="313">
        <v>1</v>
      </c>
      <c r="AV330" s="313">
        <v>1</v>
      </c>
      <c r="AW330" s="313">
        <v>1</v>
      </c>
      <c r="AX330" s="313">
        <v>1</v>
      </c>
      <c r="AY330" s="313">
        <v>1</v>
      </c>
      <c r="AZ330" s="313">
        <v>1</v>
      </c>
      <c r="BA330" s="313">
        <v>1</v>
      </c>
      <c r="BB330" s="313">
        <v>1</v>
      </c>
      <c r="BC330" s="313">
        <v>1</v>
      </c>
      <c r="BD330" s="313">
        <v>1</v>
      </c>
      <c r="BE330" s="313">
        <v>1</v>
      </c>
      <c r="BF330" s="313">
        <v>1</v>
      </c>
      <c r="BG330" s="313">
        <v>1</v>
      </c>
      <c r="BH330" s="313">
        <v>1</v>
      </c>
      <c r="BI330" s="313">
        <v>1</v>
      </c>
      <c r="BJ330" s="313">
        <v>1</v>
      </c>
      <c r="BK330" s="313">
        <v>1</v>
      </c>
    </row>
    <row r="331" spans="1:63" x14ac:dyDescent="0.25">
      <c r="A331" s="306">
        <v>512100</v>
      </c>
      <c r="B331" s="313" t="s">
        <v>291</v>
      </c>
      <c r="C331" s="313">
        <v>1</v>
      </c>
      <c r="D331" s="313">
        <v>1</v>
      </c>
      <c r="E331" s="313">
        <v>1</v>
      </c>
      <c r="F331" s="313">
        <v>1</v>
      </c>
      <c r="G331" s="313">
        <v>1</v>
      </c>
      <c r="H331" s="313">
        <v>1</v>
      </c>
      <c r="I331" s="313">
        <v>1</v>
      </c>
      <c r="J331" s="313">
        <v>1</v>
      </c>
      <c r="K331" s="313">
        <v>1</v>
      </c>
      <c r="L331" s="313">
        <v>1</v>
      </c>
      <c r="M331" s="313">
        <v>1</v>
      </c>
      <c r="N331" s="313">
        <v>1</v>
      </c>
      <c r="O331" s="313">
        <v>1</v>
      </c>
      <c r="P331" s="313">
        <v>1</v>
      </c>
      <c r="Q331" s="313">
        <v>1</v>
      </c>
      <c r="R331" s="313">
        <v>1</v>
      </c>
      <c r="S331" s="313">
        <v>1</v>
      </c>
      <c r="T331" s="313">
        <v>1</v>
      </c>
      <c r="U331" s="313">
        <v>1</v>
      </c>
      <c r="V331" s="313">
        <v>1</v>
      </c>
      <c r="W331" s="313">
        <v>1</v>
      </c>
      <c r="X331" s="313">
        <v>1</v>
      </c>
      <c r="Y331" s="313">
        <v>1</v>
      </c>
      <c r="Z331" s="313">
        <v>1</v>
      </c>
      <c r="AA331" s="313">
        <v>1</v>
      </c>
      <c r="AB331" s="313">
        <v>1</v>
      </c>
      <c r="AC331" s="313">
        <v>1</v>
      </c>
      <c r="AD331" s="313">
        <v>1</v>
      </c>
      <c r="AE331" s="313">
        <v>1</v>
      </c>
      <c r="AF331" s="313">
        <v>1</v>
      </c>
      <c r="AG331" s="313">
        <v>1</v>
      </c>
      <c r="AH331" s="313">
        <v>1</v>
      </c>
      <c r="AI331" s="313">
        <v>1</v>
      </c>
      <c r="AJ331" s="313">
        <v>1</v>
      </c>
      <c r="AK331" s="313">
        <v>1</v>
      </c>
      <c r="AL331" s="313">
        <v>1</v>
      </c>
      <c r="AM331" s="313">
        <v>1</v>
      </c>
      <c r="AN331" s="313">
        <v>1</v>
      </c>
      <c r="AO331" s="313">
        <v>1</v>
      </c>
      <c r="AP331" s="313">
        <v>1</v>
      </c>
      <c r="AQ331" s="313">
        <v>1</v>
      </c>
      <c r="AR331" s="313">
        <v>1</v>
      </c>
      <c r="AS331" s="313">
        <v>1</v>
      </c>
      <c r="AT331" s="313">
        <v>1</v>
      </c>
      <c r="AU331" s="313">
        <v>1</v>
      </c>
      <c r="AV331" s="313">
        <v>1</v>
      </c>
      <c r="AW331" s="313">
        <v>1</v>
      </c>
      <c r="AX331" s="313">
        <v>1</v>
      </c>
      <c r="AY331" s="313">
        <v>1</v>
      </c>
      <c r="AZ331" s="313">
        <v>1</v>
      </c>
      <c r="BA331" s="313">
        <v>1</v>
      </c>
      <c r="BB331" s="313">
        <v>1</v>
      </c>
      <c r="BC331" s="313">
        <v>1</v>
      </c>
      <c r="BD331" s="313">
        <v>1</v>
      </c>
      <c r="BE331" s="313">
        <v>1</v>
      </c>
      <c r="BF331" s="313">
        <v>1</v>
      </c>
      <c r="BG331" s="313">
        <v>1</v>
      </c>
      <c r="BH331" s="313">
        <v>1</v>
      </c>
      <c r="BI331" s="313">
        <v>1</v>
      </c>
      <c r="BJ331" s="313">
        <v>1</v>
      </c>
      <c r="BK331" s="313">
        <v>1</v>
      </c>
    </row>
    <row r="332" spans="1:63" x14ac:dyDescent="0.25">
      <c r="A332" s="306">
        <v>512200</v>
      </c>
      <c r="B332" s="313" t="s">
        <v>292</v>
      </c>
      <c r="C332" s="313">
        <v>1</v>
      </c>
      <c r="D332" s="313">
        <v>1</v>
      </c>
      <c r="E332" s="313">
        <v>1</v>
      </c>
      <c r="F332" s="313">
        <v>1</v>
      </c>
      <c r="G332" s="313">
        <v>1</v>
      </c>
      <c r="H332" s="313">
        <v>1</v>
      </c>
      <c r="I332" s="313">
        <v>1</v>
      </c>
      <c r="J332" s="313">
        <v>1</v>
      </c>
      <c r="K332" s="313">
        <v>1</v>
      </c>
      <c r="L332" s="313">
        <v>1</v>
      </c>
      <c r="M332" s="313">
        <v>1</v>
      </c>
      <c r="N332" s="313">
        <v>1</v>
      </c>
      <c r="O332" s="313">
        <v>1</v>
      </c>
      <c r="P332" s="313">
        <v>1</v>
      </c>
      <c r="Q332" s="313">
        <v>1</v>
      </c>
      <c r="R332" s="313">
        <v>1</v>
      </c>
      <c r="S332" s="313">
        <v>1</v>
      </c>
      <c r="T332" s="313">
        <v>1</v>
      </c>
      <c r="U332" s="313">
        <v>1</v>
      </c>
      <c r="V332" s="313">
        <v>1</v>
      </c>
      <c r="W332" s="313">
        <v>1</v>
      </c>
      <c r="X332" s="313">
        <v>1</v>
      </c>
      <c r="Y332" s="313">
        <v>1</v>
      </c>
      <c r="Z332" s="313">
        <v>1</v>
      </c>
      <c r="AA332" s="313">
        <v>1</v>
      </c>
      <c r="AB332" s="313">
        <v>1</v>
      </c>
      <c r="AC332" s="313">
        <v>1</v>
      </c>
      <c r="AD332" s="313">
        <v>1</v>
      </c>
      <c r="AE332" s="313">
        <v>1</v>
      </c>
      <c r="AF332" s="313">
        <v>1</v>
      </c>
      <c r="AG332" s="313">
        <v>1</v>
      </c>
      <c r="AH332" s="313">
        <v>1</v>
      </c>
      <c r="AI332" s="313">
        <v>1</v>
      </c>
      <c r="AJ332" s="313">
        <v>1</v>
      </c>
      <c r="AK332" s="313">
        <v>1</v>
      </c>
      <c r="AL332" s="313">
        <v>1</v>
      </c>
      <c r="AM332" s="313">
        <v>1</v>
      </c>
      <c r="AN332" s="313">
        <v>1</v>
      </c>
      <c r="AO332" s="313">
        <v>1</v>
      </c>
      <c r="AP332" s="313">
        <v>1</v>
      </c>
      <c r="AQ332" s="313">
        <v>1</v>
      </c>
      <c r="AR332" s="313">
        <v>1</v>
      </c>
      <c r="AS332" s="313">
        <v>1</v>
      </c>
      <c r="AT332" s="313">
        <v>1</v>
      </c>
      <c r="AU332" s="313">
        <v>1</v>
      </c>
      <c r="AV332" s="313">
        <v>1</v>
      </c>
      <c r="AW332" s="313">
        <v>1</v>
      </c>
      <c r="AX332" s="313">
        <v>1</v>
      </c>
      <c r="AY332" s="313">
        <v>1</v>
      </c>
      <c r="AZ332" s="313">
        <v>1</v>
      </c>
      <c r="BA332" s="313">
        <v>1</v>
      </c>
      <c r="BB332" s="313">
        <v>1</v>
      </c>
      <c r="BC332" s="313">
        <v>1</v>
      </c>
      <c r="BD332" s="313">
        <v>1</v>
      </c>
      <c r="BE332" s="313">
        <v>1</v>
      </c>
      <c r="BF332" s="313">
        <v>1</v>
      </c>
      <c r="BG332" s="313">
        <v>1</v>
      </c>
      <c r="BH332" s="313">
        <v>1</v>
      </c>
      <c r="BI332" s="313">
        <v>1</v>
      </c>
      <c r="BJ332" s="313">
        <v>1</v>
      </c>
      <c r="BK332" s="313">
        <v>1</v>
      </c>
    </row>
    <row r="333" spans="1:63" x14ac:dyDescent="0.25">
      <c r="A333" s="306">
        <v>515100</v>
      </c>
      <c r="B333" s="313" t="s">
        <v>293</v>
      </c>
      <c r="C333" s="313">
        <v>1</v>
      </c>
      <c r="D333" s="313">
        <v>1</v>
      </c>
      <c r="E333" s="313">
        <v>1</v>
      </c>
      <c r="F333" s="313">
        <v>1</v>
      </c>
      <c r="G333" s="313">
        <v>1</v>
      </c>
      <c r="H333" s="313">
        <v>1</v>
      </c>
      <c r="I333" s="313">
        <v>1</v>
      </c>
      <c r="J333" s="313">
        <v>1</v>
      </c>
      <c r="K333" s="313">
        <v>1</v>
      </c>
      <c r="L333" s="313">
        <v>1</v>
      </c>
      <c r="M333" s="313">
        <v>1</v>
      </c>
      <c r="N333" s="313">
        <v>1</v>
      </c>
      <c r="O333" s="313">
        <v>1</v>
      </c>
      <c r="P333" s="313">
        <v>1</v>
      </c>
      <c r="Q333" s="313">
        <v>1</v>
      </c>
      <c r="R333" s="313">
        <v>1</v>
      </c>
      <c r="S333" s="313">
        <v>1</v>
      </c>
      <c r="T333" s="313">
        <v>1</v>
      </c>
      <c r="U333" s="313">
        <v>1</v>
      </c>
      <c r="V333" s="313">
        <v>1</v>
      </c>
      <c r="W333" s="313">
        <v>1</v>
      </c>
      <c r="X333" s="313">
        <v>1</v>
      </c>
      <c r="Y333" s="313">
        <v>1</v>
      </c>
      <c r="Z333" s="313">
        <v>1</v>
      </c>
      <c r="AA333" s="313">
        <v>1</v>
      </c>
      <c r="AB333" s="313">
        <v>1</v>
      </c>
      <c r="AC333" s="313">
        <v>1</v>
      </c>
      <c r="AD333" s="313">
        <v>1</v>
      </c>
      <c r="AE333" s="313">
        <v>1</v>
      </c>
      <c r="AF333" s="313">
        <v>1</v>
      </c>
      <c r="AG333" s="313">
        <v>1</v>
      </c>
      <c r="AH333" s="313">
        <v>1</v>
      </c>
      <c r="AI333" s="313">
        <v>1</v>
      </c>
      <c r="AJ333" s="313">
        <v>1</v>
      </c>
      <c r="AK333" s="313">
        <v>1</v>
      </c>
      <c r="AL333" s="313">
        <v>1</v>
      </c>
      <c r="AM333" s="313">
        <v>1</v>
      </c>
      <c r="AN333" s="313">
        <v>1</v>
      </c>
      <c r="AO333" s="313">
        <v>1</v>
      </c>
      <c r="AP333" s="313">
        <v>1</v>
      </c>
      <c r="AQ333" s="313">
        <v>1</v>
      </c>
      <c r="AR333" s="313">
        <v>1</v>
      </c>
      <c r="AS333" s="313">
        <v>1</v>
      </c>
      <c r="AT333" s="313">
        <v>1</v>
      </c>
      <c r="AU333" s="313">
        <v>1</v>
      </c>
      <c r="AV333" s="313">
        <v>1</v>
      </c>
      <c r="AW333" s="313">
        <v>1</v>
      </c>
      <c r="AX333" s="313">
        <v>1</v>
      </c>
      <c r="AY333" s="313">
        <v>1</v>
      </c>
      <c r="AZ333" s="313">
        <v>1</v>
      </c>
      <c r="BA333" s="313">
        <v>1</v>
      </c>
      <c r="BB333" s="313">
        <v>1</v>
      </c>
      <c r="BC333" s="313">
        <v>1</v>
      </c>
      <c r="BD333" s="313">
        <v>1</v>
      </c>
      <c r="BE333" s="313">
        <v>1</v>
      </c>
      <c r="BF333" s="313">
        <v>1</v>
      </c>
      <c r="BG333" s="313">
        <v>1</v>
      </c>
      <c r="BH333" s="313">
        <v>1</v>
      </c>
      <c r="BI333" s="313">
        <v>1</v>
      </c>
      <c r="BJ333" s="313">
        <v>1</v>
      </c>
      <c r="BK333" s="313">
        <v>1</v>
      </c>
    </row>
    <row r="334" spans="1:63" x14ac:dyDescent="0.25">
      <c r="A334" s="306">
        <v>515200</v>
      </c>
      <c r="B334" s="313" t="s">
        <v>294</v>
      </c>
      <c r="C334" s="313">
        <v>1</v>
      </c>
      <c r="D334" s="313">
        <v>1</v>
      </c>
      <c r="E334" s="313">
        <v>1</v>
      </c>
      <c r="F334" s="313">
        <v>1</v>
      </c>
      <c r="G334" s="313">
        <v>1</v>
      </c>
      <c r="H334" s="313">
        <v>1</v>
      </c>
      <c r="I334" s="313">
        <v>1</v>
      </c>
      <c r="J334" s="313">
        <v>1</v>
      </c>
      <c r="K334" s="313">
        <v>1</v>
      </c>
      <c r="L334" s="313">
        <v>1</v>
      </c>
      <c r="M334" s="313">
        <v>1</v>
      </c>
      <c r="N334" s="313">
        <v>1</v>
      </c>
      <c r="O334" s="313">
        <v>1</v>
      </c>
      <c r="P334" s="313">
        <v>1</v>
      </c>
      <c r="Q334" s="313">
        <v>1</v>
      </c>
      <c r="R334" s="313">
        <v>1</v>
      </c>
      <c r="S334" s="313">
        <v>1</v>
      </c>
      <c r="T334" s="313">
        <v>1</v>
      </c>
      <c r="U334" s="313">
        <v>1</v>
      </c>
      <c r="V334" s="313">
        <v>1</v>
      </c>
      <c r="W334" s="313">
        <v>1</v>
      </c>
      <c r="X334" s="313">
        <v>1</v>
      </c>
      <c r="Y334" s="313">
        <v>1</v>
      </c>
      <c r="Z334" s="313">
        <v>1</v>
      </c>
      <c r="AA334" s="313">
        <v>1</v>
      </c>
      <c r="AB334" s="313">
        <v>1</v>
      </c>
      <c r="AC334" s="313">
        <v>1</v>
      </c>
      <c r="AD334" s="313">
        <v>1</v>
      </c>
      <c r="AE334" s="313">
        <v>1</v>
      </c>
      <c r="AF334" s="313">
        <v>0</v>
      </c>
      <c r="AG334" s="313">
        <v>1</v>
      </c>
      <c r="AH334" s="313">
        <v>1</v>
      </c>
      <c r="AI334" s="313">
        <v>1</v>
      </c>
      <c r="AJ334" s="313">
        <v>1</v>
      </c>
      <c r="AK334" s="313">
        <v>1</v>
      </c>
      <c r="AL334" s="313">
        <v>1</v>
      </c>
      <c r="AM334" s="313">
        <v>1</v>
      </c>
      <c r="AN334" s="313">
        <v>1</v>
      </c>
      <c r="AO334" s="313">
        <v>1</v>
      </c>
      <c r="AP334" s="313">
        <v>1</v>
      </c>
      <c r="AQ334" s="313">
        <v>1</v>
      </c>
      <c r="AR334" s="313">
        <v>1</v>
      </c>
      <c r="AS334" s="313">
        <v>1</v>
      </c>
      <c r="AT334" s="313">
        <v>1</v>
      </c>
      <c r="AU334" s="313">
        <v>1</v>
      </c>
      <c r="AV334" s="313">
        <v>1</v>
      </c>
      <c r="AW334" s="313">
        <v>1</v>
      </c>
      <c r="AX334" s="313">
        <v>1</v>
      </c>
      <c r="AY334" s="313">
        <v>1</v>
      </c>
      <c r="AZ334" s="313">
        <v>1</v>
      </c>
      <c r="BA334" s="313">
        <v>1</v>
      </c>
      <c r="BB334" s="313">
        <v>1</v>
      </c>
      <c r="BC334" s="313">
        <v>1</v>
      </c>
      <c r="BD334" s="313">
        <v>1</v>
      </c>
      <c r="BE334" s="313">
        <v>1</v>
      </c>
      <c r="BF334" s="313">
        <v>1</v>
      </c>
      <c r="BG334" s="313">
        <v>1</v>
      </c>
      <c r="BH334" s="313">
        <v>1</v>
      </c>
      <c r="BI334" s="313">
        <v>1</v>
      </c>
      <c r="BJ334" s="313">
        <v>1</v>
      </c>
      <c r="BK334" s="313">
        <v>1</v>
      </c>
    </row>
    <row r="335" spans="1:63" x14ac:dyDescent="0.25">
      <c r="A335" s="306">
        <v>517000</v>
      </c>
      <c r="B335" s="313" t="s">
        <v>295</v>
      </c>
      <c r="C335" s="313">
        <v>1</v>
      </c>
      <c r="D335" s="313">
        <v>1</v>
      </c>
      <c r="E335" s="313">
        <v>1</v>
      </c>
      <c r="F335" s="313">
        <v>1</v>
      </c>
      <c r="G335" s="313">
        <v>1</v>
      </c>
      <c r="H335" s="313">
        <v>1</v>
      </c>
      <c r="I335" s="313">
        <v>1</v>
      </c>
      <c r="J335" s="313">
        <v>1</v>
      </c>
      <c r="K335" s="313">
        <v>1</v>
      </c>
      <c r="L335" s="313">
        <v>1</v>
      </c>
      <c r="M335" s="313">
        <v>1</v>
      </c>
      <c r="N335" s="313">
        <v>1</v>
      </c>
      <c r="O335" s="313">
        <v>1</v>
      </c>
      <c r="P335" s="313">
        <v>1</v>
      </c>
      <c r="Q335" s="313">
        <v>1</v>
      </c>
      <c r="R335" s="313">
        <v>1</v>
      </c>
      <c r="S335" s="313">
        <v>1</v>
      </c>
      <c r="T335" s="313">
        <v>1</v>
      </c>
      <c r="U335" s="313">
        <v>1</v>
      </c>
      <c r="V335" s="313">
        <v>1</v>
      </c>
      <c r="W335" s="313">
        <v>1</v>
      </c>
      <c r="X335" s="313">
        <v>1</v>
      </c>
      <c r="Y335" s="313">
        <v>1</v>
      </c>
      <c r="Z335" s="313">
        <v>1</v>
      </c>
      <c r="AA335" s="313">
        <v>1</v>
      </c>
      <c r="AB335" s="313">
        <v>1</v>
      </c>
      <c r="AC335" s="313">
        <v>1</v>
      </c>
      <c r="AD335" s="313">
        <v>1</v>
      </c>
      <c r="AE335" s="313">
        <v>1</v>
      </c>
      <c r="AF335" s="313">
        <v>1</v>
      </c>
      <c r="AG335" s="313">
        <v>1</v>
      </c>
      <c r="AH335" s="313">
        <v>1</v>
      </c>
      <c r="AI335" s="313">
        <v>1</v>
      </c>
      <c r="AJ335" s="313">
        <v>1</v>
      </c>
      <c r="AK335" s="313">
        <v>1</v>
      </c>
      <c r="AL335" s="313">
        <v>1</v>
      </c>
      <c r="AM335" s="313">
        <v>1</v>
      </c>
      <c r="AN335" s="313">
        <v>1</v>
      </c>
      <c r="AO335" s="313">
        <v>1</v>
      </c>
      <c r="AP335" s="313">
        <v>1</v>
      </c>
      <c r="AQ335" s="313">
        <v>1</v>
      </c>
      <c r="AR335" s="313">
        <v>1</v>
      </c>
      <c r="AS335" s="313">
        <v>1</v>
      </c>
      <c r="AT335" s="313">
        <v>1</v>
      </c>
      <c r="AU335" s="313">
        <v>1</v>
      </c>
      <c r="AV335" s="313">
        <v>1</v>
      </c>
      <c r="AW335" s="313">
        <v>1</v>
      </c>
      <c r="AX335" s="313">
        <v>1</v>
      </c>
      <c r="AY335" s="313">
        <v>1</v>
      </c>
      <c r="AZ335" s="313">
        <v>1</v>
      </c>
      <c r="BA335" s="313">
        <v>1</v>
      </c>
      <c r="BB335" s="313">
        <v>1</v>
      </c>
      <c r="BC335" s="313">
        <v>1</v>
      </c>
      <c r="BD335" s="313">
        <v>1</v>
      </c>
      <c r="BE335" s="313">
        <v>1</v>
      </c>
      <c r="BF335" s="313">
        <v>1</v>
      </c>
      <c r="BG335" s="313">
        <v>1</v>
      </c>
      <c r="BH335" s="313">
        <v>1</v>
      </c>
      <c r="BI335" s="313">
        <v>1</v>
      </c>
      <c r="BJ335" s="313">
        <v>1</v>
      </c>
      <c r="BK335" s="313">
        <v>1</v>
      </c>
    </row>
    <row r="336" spans="1:63" x14ac:dyDescent="0.25">
      <c r="A336" s="306" t="s">
        <v>763</v>
      </c>
      <c r="B336" s="313" t="s">
        <v>764</v>
      </c>
      <c r="C336" s="313">
        <v>1</v>
      </c>
      <c r="D336" s="313">
        <v>1</v>
      </c>
      <c r="E336" s="313">
        <v>1</v>
      </c>
      <c r="F336" s="313">
        <v>1</v>
      </c>
      <c r="G336" s="313">
        <v>1</v>
      </c>
      <c r="H336" s="313">
        <v>1</v>
      </c>
      <c r="I336" s="313">
        <v>1</v>
      </c>
      <c r="J336" s="313">
        <v>1</v>
      </c>
      <c r="K336" s="313">
        <v>1</v>
      </c>
      <c r="L336" s="313">
        <v>1</v>
      </c>
      <c r="M336" s="313">
        <v>1</v>
      </c>
      <c r="N336" s="313">
        <v>1</v>
      </c>
      <c r="O336" s="313">
        <v>1</v>
      </c>
      <c r="P336" s="313">
        <v>1</v>
      </c>
      <c r="Q336" s="313">
        <v>1</v>
      </c>
      <c r="R336" s="313">
        <v>1</v>
      </c>
      <c r="S336" s="313">
        <v>1</v>
      </c>
      <c r="T336" s="313">
        <v>1</v>
      </c>
      <c r="U336" s="313">
        <v>1</v>
      </c>
      <c r="V336" s="313">
        <v>1</v>
      </c>
      <c r="W336" s="313">
        <v>1</v>
      </c>
      <c r="X336" s="313">
        <v>1</v>
      </c>
      <c r="Y336" s="313">
        <v>1</v>
      </c>
      <c r="Z336" s="313">
        <v>1</v>
      </c>
      <c r="AA336" s="313">
        <v>1</v>
      </c>
      <c r="AB336" s="313">
        <v>1</v>
      </c>
      <c r="AC336" s="313">
        <v>1</v>
      </c>
      <c r="AD336" s="313">
        <v>1</v>
      </c>
      <c r="AE336" s="313">
        <v>1</v>
      </c>
      <c r="AF336" s="313">
        <v>1</v>
      </c>
      <c r="AG336" s="313">
        <v>1</v>
      </c>
      <c r="AH336" s="313">
        <v>1</v>
      </c>
      <c r="AI336" s="313">
        <v>1</v>
      </c>
      <c r="AJ336" s="313">
        <v>1</v>
      </c>
      <c r="AK336" s="313">
        <v>1</v>
      </c>
      <c r="AL336" s="313">
        <v>1</v>
      </c>
      <c r="AM336" s="313">
        <v>1</v>
      </c>
      <c r="AN336" s="313">
        <v>1</v>
      </c>
      <c r="AO336" s="313">
        <v>1</v>
      </c>
      <c r="AP336" s="313">
        <v>1</v>
      </c>
      <c r="AQ336" s="313">
        <v>1</v>
      </c>
      <c r="AR336" s="313">
        <v>1</v>
      </c>
      <c r="AS336" s="313">
        <v>1</v>
      </c>
      <c r="AT336" s="313">
        <v>1</v>
      </c>
      <c r="AU336" s="313">
        <v>1</v>
      </c>
      <c r="AV336" s="313">
        <v>1</v>
      </c>
      <c r="AW336" s="313">
        <v>1</v>
      </c>
      <c r="AX336" s="313">
        <v>1</v>
      </c>
      <c r="AY336" s="313">
        <v>1</v>
      </c>
      <c r="AZ336" s="313">
        <v>1</v>
      </c>
      <c r="BA336" s="313">
        <v>1</v>
      </c>
      <c r="BB336" s="313">
        <v>1</v>
      </c>
      <c r="BC336" s="313">
        <v>1</v>
      </c>
      <c r="BD336" s="313">
        <v>1</v>
      </c>
      <c r="BE336" s="313">
        <v>1</v>
      </c>
      <c r="BF336" s="313">
        <v>1</v>
      </c>
      <c r="BG336" s="313">
        <v>1</v>
      </c>
      <c r="BH336" s="313">
        <v>1</v>
      </c>
      <c r="BI336" s="313">
        <v>1</v>
      </c>
      <c r="BJ336" s="313">
        <v>1</v>
      </c>
      <c r="BK336" s="313">
        <v>1</v>
      </c>
    </row>
    <row r="337" spans="1:63" x14ac:dyDescent="0.25">
      <c r="A337" s="306" t="s">
        <v>765</v>
      </c>
      <c r="B337" s="313" t="s">
        <v>296</v>
      </c>
      <c r="C337" s="313">
        <v>1</v>
      </c>
      <c r="D337" s="313">
        <v>1</v>
      </c>
      <c r="E337" s="313">
        <v>1</v>
      </c>
      <c r="F337" s="313">
        <v>1</v>
      </c>
      <c r="G337" s="313">
        <v>1</v>
      </c>
      <c r="H337" s="313">
        <v>1</v>
      </c>
      <c r="I337" s="313">
        <v>1</v>
      </c>
      <c r="J337" s="313">
        <v>1</v>
      </c>
      <c r="K337" s="313">
        <v>1</v>
      </c>
      <c r="L337" s="313">
        <v>1</v>
      </c>
      <c r="M337" s="313">
        <v>1</v>
      </c>
      <c r="N337" s="313">
        <v>1</v>
      </c>
      <c r="O337" s="313">
        <v>1</v>
      </c>
      <c r="P337" s="313">
        <v>1</v>
      </c>
      <c r="Q337" s="313">
        <v>1</v>
      </c>
      <c r="R337" s="313">
        <v>1</v>
      </c>
      <c r="S337" s="313">
        <v>1</v>
      </c>
      <c r="T337" s="313">
        <v>1</v>
      </c>
      <c r="U337" s="313">
        <v>1</v>
      </c>
      <c r="V337" s="313">
        <v>1</v>
      </c>
      <c r="W337" s="313">
        <v>1</v>
      </c>
      <c r="X337" s="313">
        <v>1</v>
      </c>
      <c r="Y337" s="313">
        <v>1</v>
      </c>
      <c r="Z337" s="313">
        <v>1</v>
      </c>
      <c r="AA337" s="313">
        <v>1</v>
      </c>
      <c r="AB337" s="313">
        <v>1</v>
      </c>
      <c r="AC337" s="313">
        <v>1</v>
      </c>
      <c r="AD337" s="313">
        <v>1</v>
      </c>
      <c r="AE337" s="313">
        <v>1</v>
      </c>
      <c r="AF337" s="313">
        <v>1</v>
      </c>
      <c r="AG337" s="313">
        <v>1</v>
      </c>
      <c r="AH337" s="313">
        <v>1</v>
      </c>
      <c r="AI337" s="313">
        <v>1</v>
      </c>
      <c r="AJ337" s="313">
        <v>1</v>
      </c>
      <c r="AK337" s="313">
        <v>1</v>
      </c>
      <c r="AL337" s="313">
        <v>1</v>
      </c>
      <c r="AM337" s="313">
        <v>1</v>
      </c>
      <c r="AN337" s="313">
        <v>1</v>
      </c>
      <c r="AO337" s="313">
        <v>1</v>
      </c>
      <c r="AP337" s="313">
        <v>1</v>
      </c>
      <c r="AQ337" s="313">
        <v>1</v>
      </c>
      <c r="AR337" s="313">
        <v>1</v>
      </c>
      <c r="AS337" s="313">
        <v>1</v>
      </c>
      <c r="AT337" s="313">
        <v>1</v>
      </c>
      <c r="AU337" s="313">
        <v>1</v>
      </c>
      <c r="AV337" s="313">
        <v>1</v>
      </c>
      <c r="AW337" s="313">
        <v>1</v>
      </c>
      <c r="AX337" s="313">
        <v>1</v>
      </c>
      <c r="AY337" s="313">
        <v>1</v>
      </c>
      <c r="AZ337" s="313">
        <v>1</v>
      </c>
      <c r="BA337" s="313">
        <v>1</v>
      </c>
      <c r="BB337" s="313">
        <v>1</v>
      </c>
      <c r="BC337" s="313">
        <v>1</v>
      </c>
      <c r="BD337" s="313">
        <v>1</v>
      </c>
      <c r="BE337" s="313">
        <v>1</v>
      </c>
      <c r="BF337" s="313">
        <v>1</v>
      </c>
      <c r="BG337" s="313">
        <v>1</v>
      </c>
      <c r="BH337" s="313">
        <v>1</v>
      </c>
      <c r="BI337" s="313">
        <v>1</v>
      </c>
      <c r="BJ337" s="313">
        <v>1</v>
      </c>
      <c r="BK337" s="313">
        <v>1</v>
      </c>
    </row>
    <row r="338" spans="1:63" x14ac:dyDescent="0.25">
      <c r="A338" s="306">
        <v>523000</v>
      </c>
      <c r="B338" s="313" t="s">
        <v>297</v>
      </c>
      <c r="C338" s="313">
        <v>1</v>
      </c>
      <c r="D338" s="313">
        <v>1</v>
      </c>
      <c r="E338" s="313">
        <v>1</v>
      </c>
      <c r="F338" s="313">
        <v>1</v>
      </c>
      <c r="G338" s="313">
        <v>1</v>
      </c>
      <c r="H338" s="313">
        <v>1</v>
      </c>
      <c r="I338" s="313">
        <v>1</v>
      </c>
      <c r="J338" s="313">
        <v>1</v>
      </c>
      <c r="K338" s="313">
        <v>1</v>
      </c>
      <c r="L338" s="313">
        <v>1</v>
      </c>
      <c r="M338" s="313">
        <v>1</v>
      </c>
      <c r="N338" s="313">
        <v>1</v>
      </c>
      <c r="O338" s="313">
        <v>1</v>
      </c>
      <c r="P338" s="313">
        <v>1</v>
      </c>
      <c r="Q338" s="313">
        <v>1</v>
      </c>
      <c r="R338" s="313">
        <v>1</v>
      </c>
      <c r="S338" s="313">
        <v>1</v>
      </c>
      <c r="T338" s="313">
        <v>1</v>
      </c>
      <c r="U338" s="313">
        <v>1</v>
      </c>
      <c r="V338" s="313">
        <v>1</v>
      </c>
      <c r="W338" s="313">
        <v>1</v>
      </c>
      <c r="X338" s="313">
        <v>1</v>
      </c>
      <c r="Y338" s="313">
        <v>1</v>
      </c>
      <c r="Z338" s="313">
        <v>1</v>
      </c>
      <c r="AA338" s="313">
        <v>1</v>
      </c>
      <c r="AB338" s="313">
        <v>1</v>
      </c>
      <c r="AC338" s="313">
        <v>1</v>
      </c>
      <c r="AD338" s="313">
        <v>1</v>
      </c>
      <c r="AE338" s="313">
        <v>1</v>
      </c>
      <c r="AF338" s="313">
        <v>1</v>
      </c>
      <c r="AG338" s="313">
        <v>1</v>
      </c>
      <c r="AH338" s="313">
        <v>1</v>
      </c>
      <c r="AI338" s="313">
        <v>1</v>
      </c>
      <c r="AJ338" s="313">
        <v>1</v>
      </c>
      <c r="AK338" s="313">
        <v>1</v>
      </c>
      <c r="AL338" s="313">
        <v>1</v>
      </c>
      <c r="AM338" s="313">
        <v>1</v>
      </c>
      <c r="AN338" s="313">
        <v>1</v>
      </c>
      <c r="AO338" s="313">
        <v>1</v>
      </c>
      <c r="AP338" s="313">
        <v>1</v>
      </c>
      <c r="AQ338" s="313">
        <v>1</v>
      </c>
      <c r="AR338" s="313">
        <v>1</v>
      </c>
      <c r="AS338" s="313">
        <v>1</v>
      </c>
      <c r="AT338" s="313">
        <v>1</v>
      </c>
      <c r="AU338" s="313">
        <v>1</v>
      </c>
      <c r="AV338" s="313">
        <v>1</v>
      </c>
      <c r="AW338" s="313">
        <v>1</v>
      </c>
      <c r="AX338" s="313">
        <v>1</v>
      </c>
      <c r="AY338" s="313">
        <v>1</v>
      </c>
      <c r="AZ338" s="313">
        <v>1</v>
      </c>
      <c r="BA338" s="313">
        <v>1</v>
      </c>
      <c r="BB338" s="313">
        <v>1</v>
      </c>
      <c r="BC338" s="313">
        <v>1</v>
      </c>
      <c r="BD338" s="313">
        <v>1</v>
      </c>
      <c r="BE338" s="313">
        <v>1</v>
      </c>
      <c r="BF338" s="313">
        <v>1</v>
      </c>
      <c r="BG338" s="313">
        <v>1</v>
      </c>
      <c r="BH338" s="313">
        <v>1</v>
      </c>
      <c r="BI338" s="313">
        <v>1</v>
      </c>
      <c r="BJ338" s="313">
        <v>1</v>
      </c>
      <c r="BK338" s="313">
        <v>1</v>
      </c>
    </row>
    <row r="339" spans="1:63" x14ac:dyDescent="0.25">
      <c r="A339" s="306">
        <v>524100</v>
      </c>
      <c r="B339" s="313" t="s">
        <v>298</v>
      </c>
      <c r="C339" s="313">
        <v>1</v>
      </c>
      <c r="D339" s="313">
        <v>1</v>
      </c>
      <c r="E339" s="313">
        <v>1</v>
      </c>
      <c r="F339" s="313">
        <v>1</v>
      </c>
      <c r="G339" s="313">
        <v>1</v>
      </c>
      <c r="H339" s="313">
        <v>1</v>
      </c>
      <c r="I339" s="313">
        <v>1</v>
      </c>
      <c r="J339" s="313">
        <v>1</v>
      </c>
      <c r="K339" s="313">
        <v>1</v>
      </c>
      <c r="L339" s="313">
        <v>1</v>
      </c>
      <c r="M339" s="313">
        <v>1</v>
      </c>
      <c r="N339" s="313">
        <v>1</v>
      </c>
      <c r="O339" s="313">
        <v>1</v>
      </c>
      <c r="P339" s="313">
        <v>1</v>
      </c>
      <c r="Q339" s="313">
        <v>1</v>
      </c>
      <c r="R339" s="313">
        <v>1</v>
      </c>
      <c r="S339" s="313">
        <v>1</v>
      </c>
      <c r="T339" s="313">
        <v>1</v>
      </c>
      <c r="U339" s="313">
        <v>1</v>
      </c>
      <c r="V339" s="313">
        <v>1</v>
      </c>
      <c r="W339" s="313">
        <v>1</v>
      </c>
      <c r="X339" s="313">
        <v>1</v>
      </c>
      <c r="Y339" s="313">
        <v>1</v>
      </c>
      <c r="Z339" s="313">
        <v>1</v>
      </c>
      <c r="AA339" s="313">
        <v>1</v>
      </c>
      <c r="AB339" s="313">
        <v>1</v>
      </c>
      <c r="AC339" s="313">
        <v>1</v>
      </c>
      <c r="AD339" s="313">
        <v>1</v>
      </c>
      <c r="AE339" s="313">
        <v>1</v>
      </c>
      <c r="AF339" s="313">
        <v>1</v>
      </c>
      <c r="AG339" s="313">
        <v>1</v>
      </c>
      <c r="AH339" s="313">
        <v>1</v>
      </c>
      <c r="AI339" s="313">
        <v>1</v>
      </c>
      <c r="AJ339" s="313">
        <v>1</v>
      </c>
      <c r="AK339" s="313">
        <v>1</v>
      </c>
      <c r="AL339" s="313">
        <v>1</v>
      </c>
      <c r="AM339" s="313">
        <v>1</v>
      </c>
      <c r="AN339" s="313">
        <v>1</v>
      </c>
      <c r="AO339" s="313">
        <v>1</v>
      </c>
      <c r="AP339" s="313">
        <v>1</v>
      </c>
      <c r="AQ339" s="313">
        <v>1</v>
      </c>
      <c r="AR339" s="313">
        <v>1</v>
      </c>
      <c r="AS339" s="313">
        <v>1</v>
      </c>
      <c r="AT339" s="313">
        <v>1</v>
      </c>
      <c r="AU339" s="313">
        <v>1</v>
      </c>
      <c r="AV339" s="313">
        <v>1</v>
      </c>
      <c r="AW339" s="313">
        <v>1</v>
      </c>
      <c r="AX339" s="313">
        <v>1</v>
      </c>
      <c r="AY339" s="313">
        <v>1</v>
      </c>
      <c r="AZ339" s="313">
        <v>1</v>
      </c>
      <c r="BA339" s="313">
        <v>1</v>
      </c>
      <c r="BB339" s="313">
        <v>1</v>
      </c>
      <c r="BC339" s="313">
        <v>1</v>
      </c>
      <c r="BD339" s="313">
        <v>1</v>
      </c>
      <c r="BE339" s="313">
        <v>1</v>
      </c>
      <c r="BF339" s="313">
        <v>1</v>
      </c>
      <c r="BG339" s="313">
        <v>1</v>
      </c>
      <c r="BH339" s="313">
        <v>1</v>
      </c>
      <c r="BI339" s="313">
        <v>1</v>
      </c>
      <c r="BJ339" s="313">
        <v>1</v>
      </c>
      <c r="BK339" s="313">
        <v>1</v>
      </c>
    </row>
    <row r="340" spans="1:63" x14ac:dyDescent="0.25">
      <c r="A340" s="306">
        <v>524200</v>
      </c>
      <c r="B340" s="313" t="s">
        <v>299</v>
      </c>
      <c r="C340" s="313">
        <v>1</v>
      </c>
      <c r="D340" s="313">
        <v>1</v>
      </c>
      <c r="E340" s="313">
        <v>1</v>
      </c>
      <c r="F340" s="313">
        <v>1</v>
      </c>
      <c r="G340" s="313">
        <v>1</v>
      </c>
      <c r="H340" s="313">
        <v>1</v>
      </c>
      <c r="I340" s="313">
        <v>1</v>
      </c>
      <c r="J340" s="313">
        <v>1</v>
      </c>
      <c r="K340" s="313">
        <v>1</v>
      </c>
      <c r="L340" s="313">
        <v>1</v>
      </c>
      <c r="M340" s="313">
        <v>1</v>
      </c>
      <c r="N340" s="313">
        <v>1</v>
      </c>
      <c r="O340" s="313">
        <v>1</v>
      </c>
      <c r="P340" s="313">
        <v>1</v>
      </c>
      <c r="Q340" s="313">
        <v>1</v>
      </c>
      <c r="R340" s="313">
        <v>1</v>
      </c>
      <c r="S340" s="313">
        <v>1</v>
      </c>
      <c r="T340" s="313">
        <v>1</v>
      </c>
      <c r="U340" s="313">
        <v>1</v>
      </c>
      <c r="V340" s="313">
        <v>1</v>
      </c>
      <c r="W340" s="313">
        <v>1</v>
      </c>
      <c r="X340" s="313">
        <v>1</v>
      </c>
      <c r="Y340" s="313">
        <v>1</v>
      </c>
      <c r="Z340" s="313">
        <v>1</v>
      </c>
      <c r="AA340" s="313">
        <v>1</v>
      </c>
      <c r="AB340" s="313">
        <v>1</v>
      </c>
      <c r="AC340" s="313">
        <v>1</v>
      </c>
      <c r="AD340" s="313">
        <v>1</v>
      </c>
      <c r="AE340" s="313">
        <v>1</v>
      </c>
      <c r="AF340" s="313">
        <v>1</v>
      </c>
      <c r="AG340" s="313">
        <v>1</v>
      </c>
      <c r="AH340" s="313">
        <v>1</v>
      </c>
      <c r="AI340" s="313">
        <v>1</v>
      </c>
      <c r="AJ340" s="313">
        <v>1</v>
      </c>
      <c r="AK340" s="313">
        <v>1</v>
      </c>
      <c r="AL340" s="313">
        <v>1</v>
      </c>
      <c r="AM340" s="313">
        <v>1</v>
      </c>
      <c r="AN340" s="313">
        <v>1</v>
      </c>
      <c r="AO340" s="313">
        <v>1</v>
      </c>
      <c r="AP340" s="313">
        <v>1</v>
      </c>
      <c r="AQ340" s="313">
        <v>1</v>
      </c>
      <c r="AR340" s="313">
        <v>1</v>
      </c>
      <c r="AS340" s="313">
        <v>1</v>
      </c>
      <c r="AT340" s="313">
        <v>1</v>
      </c>
      <c r="AU340" s="313">
        <v>1</v>
      </c>
      <c r="AV340" s="313">
        <v>1</v>
      </c>
      <c r="AW340" s="313">
        <v>1</v>
      </c>
      <c r="AX340" s="313">
        <v>1</v>
      </c>
      <c r="AY340" s="313">
        <v>1</v>
      </c>
      <c r="AZ340" s="313">
        <v>1</v>
      </c>
      <c r="BA340" s="313">
        <v>1</v>
      </c>
      <c r="BB340" s="313">
        <v>1</v>
      </c>
      <c r="BC340" s="313">
        <v>1</v>
      </c>
      <c r="BD340" s="313">
        <v>1</v>
      </c>
      <c r="BE340" s="313">
        <v>1</v>
      </c>
      <c r="BF340" s="313">
        <v>1</v>
      </c>
      <c r="BG340" s="313">
        <v>1</v>
      </c>
      <c r="BH340" s="313">
        <v>1</v>
      </c>
      <c r="BI340" s="313">
        <v>1</v>
      </c>
      <c r="BJ340" s="313">
        <v>1</v>
      </c>
      <c r="BK340" s="313">
        <v>1</v>
      </c>
    </row>
    <row r="341" spans="1:63" x14ac:dyDescent="0.25">
      <c r="A341" s="306">
        <v>525000</v>
      </c>
      <c r="B341" s="313" t="s">
        <v>300</v>
      </c>
      <c r="C341" s="313">
        <v>1</v>
      </c>
      <c r="D341" s="313">
        <v>1</v>
      </c>
      <c r="E341" s="313">
        <v>1</v>
      </c>
      <c r="F341" s="313">
        <v>1</v>
      </c>
      <c r="G341" s="313">
        <v>1</v>
      </c>
      <c r="H341" s="313">
        <v>1</v>
      </c>
      <c r="I341" s="313">
        <v>1</v>
      </c>
      <c r="J341" s="313">
        <v>1</v>
      </c>
      <c r="K341" s="313">
        <v>1</v>
      </c>
      <c r="L341" s="313">
        <v>1</v>
      </c>
      <c r="M341" s="313">
        <v>1</v>
      </c>
      <c r="N341" s="313">
        <v>1</v>
      </c>
      <c r="O341" s="313">
        <v>1</v>
      </c>
      <c r="P341" s="313">
        <v>1</v>
      </c>
      <c r="Q341" s="313">
        <v>1</v>
      </c>
      <c r="R341" s="313">
        <v>1</v>
      </c>
      <c r="S341" s="313">
        <v>1</v>
      </c>
      <c r="T341" s="313">
        <v>1</v>
      </c>
      <c r="U341" s="313">
        <v>1</v>
      </c>
      <c r="V341" s="313">
        <v>1</v>
      </c>
      <c r="W341" s="313">
        <v>1</v>
      </c>
      <c r="X341" s="313">
        <v>1</v>
      </c>
      <c r="Y341" s="313">
        <v>1</v>
      </c>
      <c r="Z341" s="313">
        <v>1</v>
      </c>
      <c r="AA341" s="313">
        <v>1</v>
      </c>
      <c r="AB341" s="313">
        <v>1</v>
      </c>
      <c r="AC341" s="313">
        <v>1</v>
      </c>
      <c r="AD341" s="313">
        <v>1</v>
      </c>
      <c r="AE341" s="313">
        <v>1</v>
      </c>
      <c r="AF341" s="313">
        <v>1</v>
      </c>
      <c r="AG341" s="313">
        <v>1</v>
      </c>
      <c r="AH341" s="313">
        <v>1</v>
      </c>
      <c r="AI341" s="313">
        <v>1</v>
      </c>
      <c r="AJ341" s="313">
        <v>1</v>
      </c>
      <c r="AK341" s="313">
        <v>1</v>
      </c>
      <c r="AL341" s="313">
        <v>1</v>
      </c>
      <c r="AM341" s="313">
        <v>1</v>
      </c>
      <c r="AN341" s="313">
        <v>1</v>
      </c>
      <c r="AO341" s="313">
        <v>1</v>
      </c>
      <c r="AP341" s="313">
        <v>1</v>
      </c>
      <c r="AQ341" s="313">
        <v>1</v>
      </c>
      <c r="AR341" s="313">
        <v>1</v>
      </c>
      <c r="AS341" s="313">
        <v>1</v>
      </c>
      <c r="AT341" s="313">
        <v>1</v>
      </c>
      <c r="AU341" s="313">
        <v>1</v>
      </c>
      <c r="AV341" s="313">
        <v>1</v>
      </c>
      <c r="AW341" s="313">
        <v>1</v>
      </c>
      <c r="AX341" s="313">
        <v>1</v>
      </c>
      <c r="AY341" s="313">
        <v>1</v>
      </c>
      <c r="AZ341" s="313">
        <v>1</v>
      </c>
      <c r="BA341" s="313">
        <v>1</v>
      </c>
      <c r="BB341" s="313">
        <v>1</v>
      </c>
      <c r="BC341" s="313">
        <v>1</v>
      </c>
      <c r="BD341" s="313">
        <v>1</v>
      </c>
      <c r="BE341" s="313">
        <v>1</v>
      </c>
      <c r="BF341" s="313">
        <v>1</v>
      </c>
      <c r="BG341" s="313">
        <v>1</v>
      </c>
      <c r="BH341" s="313">
        <v>1</v>
      </c>
      <c r="BI341" s="313">
        <v>1</v>
      </c>
      <c r="BJ341" s="313">
        <v>1</v>
      </c>
      <c r="BK341" s="313">
        <v>1</v>
      </c>
    </row>
    <row r="342" spans="1:63" x14ac:dyDescent="0.25">
      <c r="A342" s="306" t="s">
        <v>766</v>
      </c>
      <c r="B342" s="313" t="s">
        <v>767</v>
      </c>
      <c r="C342" s="313">
        <v>1</v>
      </c>
      <c r="D342" s="313">
        <v>1</v>
      </c>
      <c r="E342" s="313">
        <v>1</v>
      </c>
      <c r="F342" s="313">
        <v>1</v>
      </c>
      <c r="G342" s="313">
        <v>1</v>
      </c>
      <c r="H342" s="313">
        <v>1</v>
      </c>
      <c r="I342" s="313">
        <v>1</v>
      </c>
      <c r="J342" s="313">
        <v>1</v>
      </c>
      <c r="K342" s="313">
        <v>1</v>
      </c>
      <c r="L342" s="313">
        <v>1</v>
      </c>
      <c r="M342" s="313">
        <v>1</v>
      </c>
      <c r="N342" s="313">
        <v>1</v>
      </c>
      <c r="O342" s="313">
        <v>1</v>
      </c>
      <c r="P342" s="313">
        <v>1</v>
      </c>
      <c r="Q342" s="313">
        <v>1</v>
      </c>
      <c r="R342" s="313">
        <v>1</v>
      </c>
      <c r="S342" s="313">
        <v>1</v>
      </c>
      <c r="T342" s="313">
        <v>1</v>
      </c>
      <c r="U342" s="313">
        <v>1</v>
      </c>
      <c r="V342" s="313">
        <v>1</v>
      </c>
      <c r="W342" s="313">
        <v>1</v>
      </c>
      <c r="X342" s="313">
        <v>1</v>
      </c>
      <c r="Y342" s="313">
        <v>1</v>
      </c>
      <c r="Z342" s="313">
        <v>1</v>
      </c>
      <c r="AA342" s="313">
        <v>1</v>
      </c>
      <c r="AB342" s="313">
        <v>1</v>
      </c>
      <c r="AC342" s="313">
        <v>1</v>
      </c>
      <c r="AD342" s="313">
        <v>1</v>
      </c>
      <c r="AE342" s="313">
        <v>1</v>
      </c>
      <c r="AF342" s="313">
        <v>1</v>
      </c>
      <c r="AG342" s="313">
        <v>1</v>
      </c>
      <c r="AH342" s="313">
        <v>1</v>
      </c>
      <c r="AI342" s="313">
        <v>1</v>
      </c>
      <c r="AJ342" s="313">
        <v>1</v>
      </c>
      <c r="AK342" s="313">
        <v>1</v>
      </c>
      <c r="AL342" s="313">
        <v>1</v>
      </c>
      <c r="AM342" s="313">
        <v>1</v>
      </c>
      <c r="AN342" s="313">
        <v>1</v>
      </c>
      <c r="AO342" s="313">
        <v>1</v>
      </c>
      <c r="AP342" s="313">
        <v>1</v>
      </c>
      <c r="AQ342" s="313">
        <v>1</v>
      </c>
      <c r="AR342" s="313">
        <v>1</v>
      </c>
      <c r="AS342" s="313">
        <v>1</v>
      </c>
      <c r="AT342" s="313">
        <v>1</v>
      </c>
      <c r="AU342" s="313">
        <v>1</v>
      </c>
      <c r="AV342" s="313">
        <v>1</v>
      </c>
      <c r="AW342" s="313">
        <v>1</v>
      </c>
      <c r="AX342" s="313">
        <v>1</v>
      </c>
      <c r="AY342" s="313">
        <v>1</v>
      </c>
      <c r="AZ342" s="313">
        <v>1</v>
      </c>
      <c r="BA342" s="313">
        <v>1</v>
      </c>
      <c r="BB342" s="313">
        <v>1</v>
      </c>
      <c r="BC342" s="313">
        <v>1</v>
      </c>
      <c r="BD342" s="313">
        <v>1</v>
      </c>
      <c r="BE342" s="313">
        <v>1</v>
      </c>
      <c r="BF342" s="313">
        <v>1</v>
      </c>
      <c r="BG342" s="313">
        <v>1</v>
      </c>
      <c r="BH342" s="313">
        <v>1</v>
      </c>
      <c r="BI342" s="313">
        <v>1</v>
      </c>
      <c r="BJ342" s="313">
        <v>1</v>
      </c>
      <c r="BK342" s="313">
        <v>1</v>
      </c>
    </row>
    <row r="343" spans="1:63" x14ac:dyDescent="0.25">
      <c r="A343" s="306">
        <v>531000</v>
      </c>
      <c r="B343" s="313" t="s">
        <v>416</v>
      </c>
      <c r="C343" s="313">
        <v>1</v>
      </c>
      <c r="D343" s="313">
        <v>1</v>
      </c>
      <c r="E343" s="313">
        <v>1</v>
      </c>
      <c r="F343" s="313">
        <v>1</v>
      </c>
      <c r="G343" s="313">
        <v>1</v>
      </c>
      <c r="H343" s="313">
        <v>1</v>
      </c>
      <c r="I343" s="313">
        <v>1</v>
      </c>
      <c r="J343" s="313">
        <v>1</v>
      </c>
      <c r="K343" s="313">
        <v>1</v>
      </c>
      <c r="L343" s="313">
        <v>1</v>
      </c>
      <c r="M343" s="313">
        <v>1</v>
      </c>
      <c r="N343" s="313">
        <v>1</v>
      </c>
      <c r="O343" s="313">
        <v>1</v>
      </c>
      <c r="P343" s="313">
        <v>1</v>
      </c>
      <c r="Q343" s="313">
        <v>1</v>
      </c>
      <c r="R343" s="313">
        <v>1</v>
      </c>
      <c r="S343" s="313">
        <v>1</v>
      </c>
      <c r="T343" s="313">
        <v>1</v>
      </c>
      <c r="U343" s="313">
        <v>1</v>
      </c>
      <c r="V343" s="313">
        <v>1</v>
      </c>
      <c r="W343" s="313">
        <v>1</v>
      </c>
      <c r="X343" s="313">
        <v>1</v>
      </c>
      <c r="Y343" s="313">
        <v>1</v>
      </c>
      <c r="Z343" s="313">
        <v>1</v>
      </c>
      <c r="AA343" s="313">
        <v>1</v>
      </c>
      <c r="AB343" s="313">
        <v>1</v>
      </c>
      <c r="AC343" s="313">
        <v>1</v>
      </c>
      <c r="AD343" s="313">
        <v>1</v>
      </c>
      <c r="AE343" s="313">
        <v>1</v>
      </c>
      <c r="AF343" s="313">
        <v>1</v>
      </c>
      <c r="AG343" s="313">
        <v>1</v>
      </c>
      <c r="AH343" s="313">
        <v>1</v>
      </c>
      <c r="AI343" s="313">
        <v>1</v>
      </c>
      <c r="AJ343" s="313">
        <v>1</v>
      </c>
      <c r="AK343" s="313">
        <v>1</v>
      </c>
      <c r="AL343" s="313">
        <v>1</v>
      </c>
      <c r="AM343" s="313">
        <v>1</v>
      </c>
      <c r="AN343" s="313">
        <v>1</v>
      </c>
      <c r="AO343" s="313">
        <v>1</v>
      </c>
      <c r="AP343" s="313">
        <v>1</v>
      </c>
      <c r="AQ343" s="313">
        <v>1</v>
      </c>
      <c r="AR343" s="313">
        <v>1</v>
      </c>
      <c r="AS343" s="313">
        <v>1</v>
      </c>
      <c r="AT343" s="313">
        <v>1</v>
      </c>
      <c r="AU343" s="313">
        <v>1</v>
      </c>
      <c r="AV343" s="313">
        <v>1</v>
      </c>
      <c r="AW343" s="313">
        <v>1</v>
      </c>
      <c r="AX343" s="313">
        <v>1</v>
      </c>
      <c r="AY343" s="313">
        <v>1</v>
      </c>
      <c r="AZ343" s="313">
        <v>1</v>
      </c>
      <c r="BA343" s="313">
        <v>1</v>
      </c>
      <c r="BB343" s="313">
        <v>1</v>
      </c>
      <c r="BC343" s="313">
        <v>1</v>
      </c>
      <c r="BD343" s="313">
        <v>1</v>
      </c>
      <c r="BE343" s="313">
        <v>1</v>
      </c>
      <c r="BF343" s="313">
        <v>1</v>
      </c>
      <c r="BG343" s="313">
        <v>1</v>
      </c>
      <c r="BH343" s="313">
        <v>1</v>
      </c>
      <c r="BI343" s="313">
        <v>1</v>
      </c>
      <c r="BJ343" s="313">
        <v>1</v>
      </c>
      <c r="BK343" s="313">
        <v>1</v>
      </c>
    </row>
    <row r="344" spans="1:63" x14ac:dyDescent="0.25">
      <c r="A344" s="306">
        <v>532100</v>
      </c>
      <c r="B344" s="313" t="s">
        <v>301</v>
      </c>
      <c r="C344" s="313">
        <v>1</v>
      </c>
      <c r="D344" s="313">
        <v>1</v>
      </c>
      <c r="E344" s="313">
        <v>1</v>
      </c>
      <c r="F344" s="313">
        <v>1</v>
      </c>
      <c r="G344" s="313">
        <v>1</v>
      </c>
      <c r="H344" s="313">
        <v>1</v>
      </c>
      <c r="I344" s="313">
        <v>1</v>
      </c>
      <c r="J344" s="313">
        <v>1</v>
      </c>
      <c r="K344" s="313">
        <v>1</v>
      </c>
      <c r="L344" s="313">
        <v>1</v>
      </c>
      <c r="M344" s="313">
        <v>1</v>
      </c>
      <c r="N344" s="313">
        <v>1</v>
      </c>
      <c r="O344" s="313">
        <v>1</v>
      </c>
      <c r="P344" s="313">
        <v>1</v>
      </c>
      <c r="Q344" s="313">
        <v>1</v>
      </c>
      <c r="R344" s="313">
        <v>1</v>
      </c>
      <c r="S344" s="313">
        <v>1</v>
      </c>
      <c r="T344" s="313">
        <v>1</v>
      </c>
      <c r="U344" s="313">
        <v>1</v>
      </c>
      <c r="V344" s="313">
        <v>1</v>
      </c>
      <c r="W344" s="313">
        <v>1</v>
      </c>
      <c r="X344" s="313">
        <v>1</v>
      </c>
      <c r="Y344" s="313">
        <v>1</v>
      </c>
      <c r="Z344" s="313">
        <v>1</v>
      </c>
      <c r="AA344" s="313">
        <v>1</v>
      </c>
      <c r="AB344" s="313">
        <v>1</v>
      </c>
      <c r="AC344" s="313">
        <v>1</v>
      </c>
      <c r="AD344" s="313">
        <v>1</v>
      </c>
      <c r="AE344" s="313">
        <v>1</v>
      </c>
      <c r="AF344" s="313">
        <v>1</v>
      </c>
      <c r="AG344" s="313">
        <v>1</v>
      </c>
      <c r="AH344" s="313">
        <v>1</v>
      </c>
      <c r="AI344" s="313">
        <v>1</v>
      </c>
      <c r="AJ344" s="313">
        <v>1</v>
      </c>
      <c r="AK344" s="313">
        <v>1</v>
      </c>
      <c r="AL344" s="313">
        <v>1</v>
      </c>
      <c r="AM344" s="313">
        <v>1</v>
      </c>
      <c r="AN344" s="313">
        <v>1</v>
      </c>
      <c r="AO344" s="313">
        <v>1</v>
      </c>
      <c r="AP344" s="313">
        <v>1</v>
      </c>
      <c r="AQ344" s="313">
        <v>1</v>
      </c>
      <c r="AR344" s="313">
        <v>1</v>
      </c>
      <c r="AS344" s="313">
        <v>1</v>
      </c>
      <c r="AT344" s="313">
        <v>1</v>
      </c>
      <c r="AU344" s="313">
        <v>1</v>
      </c>
      <c r="AV344" s="313">
        <v>1</v>
      </c>
      <c r="AW344" s="313">
        <v>1</v>
      </c>
      <c r="AX344" s="313">
        <v>1</v>
      </c>
      <c r="AY344" s="313">
        <v>1</v>
      </c>
      <c r="AZ344" s="313">
        <v>1</v>
      </c>
      <c r="BA344" s="313">
        <v>1</v>
      </c>
      <c r="BB344" s="313">
        <v>1</v>
      </c>
      <c r="BC344" s="313">
        <v>1</v>
      </c>
      <c r="BD344" s="313">
        <v>1</v>
      </c>
      <c r="BE344" s="313">
        <v>1</v>
      </c>
      <c r="BF344" s="313">
        <v>1</v>
      </c>
      <c r="BG344" s="313">
        <v>1</v>
      </c>
      <c r="BH344" s="313">
        <v>1</v>
      </c>
      <c r="BI344" s="313">
        <v>1</v>
      </c>
      <c r="BJ344" s="313">
        <v>1</v>
      </c>
      <c r="BK344" s="313">
        <v>1</v>
      </c>
    </row>
    <row r="345" spans="1:63" x14ac:dyDescent="0.25">
      <c r="A345" s="306">
        <v>532230</v>
      </c>
      <c r="B345" s="313" t="s">
        <v>303</v>
      </c>
      <c r="C345" s="313">
        <v>1</v>
      </c>
      <c r="D345" s="313">
        <v>1</v>
      </c>
      <c r="E345" s="313">
        <v>1</v>
      </c>
      <c r="F345" s="313">
        <v>1</v>
      </c>
      <c r="G345" s="313">
        <v>1</v>
      </c>
      <c r="H345" s="313">
        <v>1</v>
      </c>
      <c r="I345" s="313">
        <v>1</v>
      </c>
      <c r="J345" s="313">
        <v>1</v>
      </c>
      <c r="K345" s="313">
        <v>1</v>
      </c>
      <c r="L345" s="313">
        <v>1</v>
      </c>
      <c r="M345" s="313">
        <v>1</v>
      </c>
      <c r="N345" s="313">
        <v>1</v>
      </c>
      <c r="O345" s="313">
        <v>1</v>
      </c>
      <c r="P345" s="313">
        <v>1</v>
      </c>
      <c r="Q345" s="313">
        <v>1</v>
      </c>
      <c r="R345" s="313">
        <v>1</v>
      </c>
      <c r="S345" s="313">
        <v>1</v>
      </c>
      <c r="T345" s="313">
        <v>1</v>
      </c>
      <c r="U345" s="313">
        <v>1</v>
      </c>
      <c r="V345" s="313">
        <v>1</v>
      </c>
      <c r="W345" s="313">
        <v>1</v>
      </c>
      <c r="X345" s="313">
        <v>1</v>
      </c>
      <c r="Y345" s="313">
        <v>1</v>
      </c>
      <c r="Z345" s="313">
        <v>1</v>
      </c>
      <c r="AA345" s="313">
        <v>1</v>
      </c>
      <c r="AB345" s="313">
        <v>1</v>
      </c>
      <c r="AC345" s="313">
        <v>1</v>
      </c>
      <c r="AD345" s="313">
        <v>1</v>
      </c>
      <c r="AE345" s="313">
        <v>1</v>
      </c>
      <c r="AF345" s="313">
        <v>1</v>
      </c>
      <c r="AG345" s="313">
        <v>1</v>
      </c>
      <c r="AH345" s="313">
        <v>1</v>
      </c>
      <c r="AI345" s="313">
        <v>1</v>
      </c>
      <c r="AJ345" s="313">
        <v>1</v>
      </c>
      <c r="AK345" s="313">
        <v>1</v>
      </c>
      <c r="AL345" s="313">
        <v>1</v>
      </c>
      <c r="AM345" s="313">
        <v>1</v>
      </c>
      <c r="AN345" s="313">
        <v>1</v>
      </c>
      <c r="AO345" s="313">
        <v>1</v>
      </c>
      <c r="AP345" s="313">
        <v>1</v>
      </c>
      <c r="AQ345" s="313">
        <v>1</v>
      </c>
      <c r="AR345" s="313">
        <v>1</v>
      </c>
      <c r="AS345" s="313">
        <v>1</v>
      </c>
      <c r="AT345" s="313">
        <v>1</v>
      </c>
      <c r="AU345" s="313">
        <v>1</v>
      </c>
      <c r="AV345" s="313">
        <v>1</v>
      </c>
      <c r="AW345" s="313">
        <v>1</v>
      </c>
      <c r="AX345" s="313">
        <v>1</v>
      </c>
      <c r="AY345" s="313">
        <v>1</v>
      </c>
      <c r="AZ345" s="313">
        <v>1</v>
      </c>
      <c r="BA345" s="313">
        <v>1</v>
      </c>
      <c r="BB345" s="313">
        <v>1</v>
      </c>
      <c r="BC345" s="313">
        <v>1</v>
      </c>
      <c r="BD345" s="313">
        <v>1</v>
      </c>
      <c r="BE345" s="313">
        <v>1</v>
      </c>
      <c r="BF345" s="313">
        <v>1</v>
      </c>
      <c r="BG345" s="313">
        <v>1</v>
      </c>
      <c r="BH345" s="313">
        <v>1</v>
      </c>
      <c r="BI345" s="313">
        <v>1</v>
      </c>
      <c r="BJ345" s="313">
        <v>1</v>
      </c>
      <c r="BK345" s="313">
        <v>1</v>
      </c>
    </row>
    <row r="346" spans="1:63" x14ac:dyDescent="0.25">
      <c r="A346" s="306">
        <v>532400</v>
      </c>
      <c r="B346" s="313" t="s">
        <v>304</v>
      </c>
      <c r="C346" s="313">
        <v>1</v>
      </c>
      <c r="D346" s="313">
        <v>1</v>
      </c>
      <c r="E346" s="313">
        <v>1</v>
      </c>
      <c r="F346" s="313">
        <v>1</v>
      </c>
      <c r="G346" s="313">
        <v>1</v>
      </c>
      <c r="H346" s="313">
        <v>1</v>
      </c>
      <c r="I346" s="313">
        <v>1</v>
      </c>
      <c r="J346" s="313">
        <v>1</v>
      </c>
      <c r="K346" s="313">
        <v>1</v>
      </c>
      <c r="L346" s="313">
        <v>1</v>
      </c>
      <c r="M346" s="313">
        <v>1</v>
      </c>
      <c r="N346" s="313">
        <v>1</v>
      </c>
      <c r="O346" s="313">
        <v>1</v>
      </c>
      <c r="P346" s="313">
        <v>1</v>
      </c>
      <c r="Q346" s="313">
        <v>1</v>
      </c>
      <c r="R346" s="313">
        <v>1</v>
      </c>
      <c r="S346" s="313">
        <v>1</v>
      </c>
      <c r="T346" s="313">
        <v>1</v>
      </c>
      <c r="U346" s="313">
        <v>1</v>
      </c>
      <c r="V346" s="313">
        <v>1</v>
      </c>
      <c r="W346" s="313">
        <v>1</v>
      </c>
      <c r="X346" s="313">
        <v>1</v>
      </c>
      <c r="Y346" s="313">
        <v>1</v>
      </c>
      <c r="Z346" s="313">
        <v>1</v>
      </c>
      <c r="AA346" s="313">
        <v>1</v>
      </c>
      <c r="AB346" s="313">
        <v>1</v>
      </c>
      <c r="AC346" s="313">
        <v>1</v>
      </c>
      <c r="AD346" s="313">
        <v>1</v>
      </c>
      <c r="AE346" s="313">
        <v>1</v>
      </c>
      <c r="AF346" s="313">
        <v>1</v>
      </c>
      <c r="AG346" s="313">
        <v>1</v>
      </c>
      <c r="AH346" s="313">
        <v>1</v>
      </c>
      <c r="AI346" s="313">
        <v>1</v>
      </c>
      <c r="AJ346" s="313">
        <v>1</v>
      </c>
      <c r="AK346" s="313">
        <v>1</v>
      </c>
      <c r="AL346" s="313">
        <v>1</v>
      </c>
      <c r="AM346" s="313">
        <v>1</v>
      </c>
      <c r="AN346" s="313">
        <v>1</v>
      </c>
      <c r="AO346" s="313">
        <v>1</v>
      </c>
      <c r="AP346" s="313">
        <v>1</v>
      </c>
      <c r="AQ346" s="313">
        <v>1</v>
      </c>
      <c r="AR346" s="313">
        <v>1</v>
      </c>
      <c r="AS346" s="313">
        <v>1</v>
      </c>
      <c r="AT346" s="313">
        <v>1</v>
      </c>
      <c r="AU346" s="313">
        <v>1</v>
      </c>
      <c r="AV346" s="313">
        <v>1</v>
      </c>
      <c r="AW346" s="313">
        <v>1</v>
      </c>
      <c r="AX346" s="313">
        <v>1</v>
      </c>
      <c r="AY346" s="313">
        <v>1</v>
      </c>
      <c r="AZ346" s="313">
        <v>1</v>
      </c>
      <c r="BA346" s="313">
        <v>1</v>
      </c>
      <c r="BB346" s="313">
        <v>1</v>
      </c>
      <c r="BC346" s="313">
        <v>1</v>
      </c>
      <c r="BD346" s="313">
        <v>1</v>
      </c>
      <c r="BE346" s="313">
        <v>1</v>
      </c>
      <c r="BF346" s="313">
        <v>1</v>
      </c>
      <c r="BG346" s="313">
        <v>1</v>
      </c>
      <c r="BH346" s="313">
        <v>1</v>
      </c>
      <c r="BI346" s="313">
        <v>1</v>
      </c>
      <c r="BJ346" s="313">
        <v>1</v>
      </c>
      <c r="BK346" s="313">
        <v>1</v>
      </c>
    </row>
    <row r="347" spans="1:63" x14ac:dyDescent="0.25">
      <c r="A347" s="306" t="s">
        <v>768</v>
      </c>
      <c r="B347" s="313" t="s">
        <v>302</v>
      </c>
      <c r="C347" s="313">
        <v>1</v>
      </c>
      <c r="D347" s="313">
        <v>1</v>
      </c>
      <c r="E347" s="313">
        <v>1</v>
      </c>
      <c r="F347" s="313">
        <v>1</v>
      </c>
      <c r="G347" s="313">
        <v>1</v>
      </c>
      <c r="H347" s="313">
        <v>1</v>
      </c>
      <c r="I347" s="313">
        <v>1</v>
      </c>
      <c r="J347" s="313">
        <v>1</v>
      </c>
      <c r="K347" s="313">
        <v>1</v>
      </c>
      <c r="L347" s="313">
        <v>1</v>
      </c>
      <c r="M347" s="313">
        <v>1</v>
      </c>
      <c r="N347" s="313">
        <v>1</v>
      </c>
      <c r="O347" s="313">
        <v>1</v>
      </c>
      <c r="P347" s="313">
        <v>1</v>
      </c>
      <c r="Q347" s="313">
        <v>1</v>
      </c>
      <c r="R347" s="313">
        <v>1</v>
      </c>
      <c r="S347" s="313">
        <v>1</v>
      </c>
      <c r="T347" s="313">
        <v>1</v>
      </c>
      <c r="U347" s="313">
        <v>1</v>
      </c>
      <c r="V347" s="313">
        <v>1</v>
      </c>
      <c r="W347" s="313">
        <v>1</v>
      </c>
      <c r="X347" s="313">
        <v>1</v>
      </c>
      <c r="Y347" s="313">
        <v>1</v>
      </c>
      <c r="Z347" s="313">
        <v>1</v>
      </c>
      <c r="AA347" s="313">
        <v>1</v>
      </c>
      <c r="AB347" s="313">
        <v>1</v>
      </c>
      <c r="AC347" s="313">
        <v>1</v>
      </c>
      <c r="AD347" s="313">
        <v>1</v>
      </c>
      <c r="AE347" s="313">
        <v>1</v>
      </c>
      <c r="AF347" s="313">
        <v>1</v>
      </c>
      <c r="AG347" s="313">
        <v>1</v>
      </c>
      <c r="AH347" s="313">
        <v>1</v>
      </c>
      <c r="AI347" s="313">
        <v>1</v>
      </c>
      <c r="AJ347" s="313">
        <v>1</v>
      </c>
      <c r="AK347" s="313">
        <v>1</v>
      </c>
      <c r="AL347" s="313">
        <v>1</v>
      </c>
      <c r="AM347" s="313">
        <v>1</v>
      </c>
      <c r="AN347" s="313">
        <v>1</v>
      </c>
      <c r="AO347" s="313">
        <v>1</v>
      </c>
      <c r="AP347" s="313">
        <v>1</v>
      </c>
      <c r="AQ347" s="313">
        <v>1</v>
      </c>
      <c r="AR347" s="313">
        <v>1</v>
      </c>
      <c r="AS347" s="313">
        <v>1</v>
      </c>
      <c r="AT347" s="313">
        <v>1</v>
      </c>
      <c r="AU347" s="313">
        <v>1</v>
      </c>
      <c r="AV347" s="313">
        <v>1</v>
      </c>
      <c r="AW347" s="313">
        <v>1</v>
      </c>
      <c r="AX347" s="313">
        <v>1</v>
      </c>
      <c r="AY347" s="313">
        <v>1</v>
      </c>
      <c r="AZ347" s="313">
        <v>1</v>
      </c>
      <c r="BA347" s="313">
        <v>1</v>
      </c>
      <c r="BB347" s="313">
        <v>1</v>
      </c>
      <c r="BC347" s="313">
        <v>1</v>
      </c>
      <c r="BD347" s="313">
        <v>1</v>
      </c>
      <c r="BE347" s="313">
        <v>1</v>
      </c>
      <c r="BF347" s="313">
        <v>1</v>
      </c>
      <c r="BG347" s="313">
        <v>1</v>
      </c>
      <c r="BH347" s="313">
        <v>1</v>
      </c>
      <c r="BI347" s="313">
        <v>1</v>
      </c>
      <c r="BJ347" s="313">
        <v>1</v>
      </c>
      <c r="BK347" s="313">
        <v>1</v>
      </c>
    </row>
    <row r="348" spans="1:63" x14ac:dyDescent="0.25">
      <c r="A348" s="306">
        <v>533000</v>
      </c>
      <c r="B348" s="313" t="s">
        <v>305</v>
      </c>
      <c r="C348" s="313">
        <v>1</v>
      </c>
      <c r="D348" s="313">
        <v>1</v>
      </c>
      <c r="E348" s="313">
        <v>1</v>
      </c>
      <c r="F348" s="313">
        <v>1</v>
      </c>
      <c r="G348" s="313">
        <v>1</v>
      </c>
      <c r="H348" s="313">
        <v>1</v>
      </c>
      <c r="I348" s="313">
        <v>1</v>
      </c>
      <c r="J348" s="313">
        <v>1</v>
      </c>
      <c r="K348" s="313">
        <v>0</v>
      </c>
      <c r="L348" s="313">
        <v>1</v>
      </c>
      <c r="M348" s="313">
        <v>1</v>
      </c>
      <c r="N348" s="313">
        <v>1</v>
      </c>
      <c r="O348" s="313">
        <v>1</v>
      </c>
      <c r="P348" s="313">
        <v>1</v>
      </c>
      <c r="Q348" s="313">
        <v>1</v>
      </c>
      <c r="R348" s="313">
        <v>1</v>
      </c>
      <c r="S348" s="313">
        <v>1</v>
      </c>
      <c r="T348" s="313">
        <v>1</v>
      </c>
      <c r="U348" s="313">
        <v>1</v>
      </c>
      <c r="V348" s="313">
        <v>1</v>
      </c>
      <c r="W348" s="313">
        <v>1</v>
      </c>
      <c r="X348" s="313">
        <v>1</v>
      </c>
      <c r="Y348" s="313">
        <v>1</v>
      </c>
      <c r="Z348" s="313">
        <v>1</v>
      </c>
      <c r="AA348" s="313">
        <v>1</v>
      </c>
      <c r="AB348" s="313">
        <v>1</v>
      </c>
      <c r="AC348" s="313">
        <v>1</v>
      </c>
      <c r="AD348" s="313">
        <v>1</v>
      </c>
      <c r="AE348" s="313">
        <v>1</v>
      </c>
      <c r="AF348" s="313">
        <v>1</v>
      </c>
      <c r="AG348" s="313">
        <v>1</v>
      </c>
      <c r="AH348" s="313">
        <v>1</v>
      </c>
      <c r="AI348" s="313">
        <v>1</v>
      </c>
      <c r="AJ348" s="313">
        <v>1</v>
      </c>
      <c r="AK348" s="313">
        <v>1</v>
      </c>
      <c r="AL348" s="313">
        <v>1</v>
      </c>
      <c r="AM348" s="313">
        <v>1</v>
      </c>
      <c r="AN348" s="313">
        <v>1</v>
      </c>
      <c r="AO348" s="313">
        <v>1</v>
      </c>
      <c r="AP348" s="313">
        <v>1</v>
      </c>
      <c r="AQ348" s="313">
        <v>1</v>
      </c>
      <c r="AR348" s="313">
        <v>1</v>
      </c>
      <c r="AS348" s="313">
        <v>1</v>
      </c>
      <c r="AT348" s="313">
        <v>1</v>
      </c>
      <c r="AU348" s="313">
        <v>1</v>
      </c>
      <c r="AV348" s="313">
        <v>1</v>
      </c>
      <c r="AW348" s="313">
        <v>1</v>
      </c>
      <c r="AX348" s="313">
        <v>1</v>
      </c>
      <c r="AY348" s="313">
        <v>1</v>
      </c>
      <c r="AZ348" s="313">
        <v>1</v>
      </c>
      <c r="BA348" s="313">
        <v>1</v>
      </c>
      <c r="BB348" s="313">
        <v>1</v>
      </c>
      <c r="BC348" s="313">
        <v>1</v>
      </c>
      <c r="BD348" s="313">
        <v>1</v>
      </c>
      <c r="BE348" s="313">
        <v>1</v>
      </c>
      <c r="BF348" s="313">
        <v>1</v>
      </c>
      <c r="BG348" s="313">
        <v>1</v>
      </c>
      <c r="BH348" s="313">
        <v>1</v>
      </c>
      <c r="BI348" s="313">
        <v>1</v>
      </c>
      <c r="BJ348" s="313">
        <v>1</v>
      </c>
      <c r="BK348" s="313">
        <v>1</v>
      </c>
    </row>
    <row r="349" spans="1:63" x14ac:dyDescent="0.25">
      <c r="A349" s="306">
        <v>541100</v>
      </c>
      <c r="B349" s="313" t="s">
        <v>306</v>
      </c>
      <c r="C349" s="313">
        <v>1</v>
      </c>
      <c r="D349" s="313">
        <v>1</v>
      </c>
      <c r="E349" s="313">
        <v>1</v>
      </c>
      <c r="F349" s="313">
        <v>1</v>
      </c>
      <c r="G349" s="313">
        <v>1</v>
      </c>
      <c r="H349" s="313">
        <v>1</v>
      </c>
      <c r="I349" s="313">
        <v>1</v>
      </c>
      <c r="J349" s="313">
        <v>1</v>
      </c>
      <c r="K349" s="313">
        <v>1</v>
      </c>
      <c r="L349" s="313">
        <v>1</v>
      </c>
      <c r="M349" s="313">
        <v>1</v>
      </c>
      <c r="N349" s="313">
        <v>1</v>
      </c>
      <c r="O349" s="313">
        <v>1</v>
      </c>
      <c r="P349" s="313">
        <v>1</v>
      </c>
      <c r="Q349" s="313">
        <v>1</v>
      </c>
      <c r="R349" s="313">
        <v>1</v>
      </c>
      <c r="S349" s="313">
        <v>1</v>
      </c>
      <c r="T349" s="313">
        <v>1</v>
      </c>
      <c r="U349" s="313">
        <v>1</v>
      </c>
      <c r="V349" s="313">
        <v>1</v>
      </c>
      <c r="W349" s="313">
        <v>1</v>
      </c>
      <c r="X349" s="313">
        <v>1</v>
      </c>
      <c r="Y349" s="313">
        <v>1</v>
      </c>
      <c r="Z349" s="313">
        <v>1</v>
      </c>
      <c r="AA349" s="313">
        <v>1</v>
      </c>
      <c r="AB349" s="313">
        <v>1</v>
      </c>
      <c r="AC349" s="313">
        <v>1</v>
      </c>
      <c r="AD349" s="313">
        <v>1</v>
      </c>
      <c r="AE349" s="313">
        <v>1</v>
      </c>
      <c r="AF349" s="313">
        <v>1</v>
      </c>
      <c r="AG349" s="313">
        <v>1</v>
      </c>
      <c r="AH349" s="313">
        <v>1</v>
      </c>
      <c r="AI349" s="313">
        <v>1</v>
      </c>
      <c r="AJ349" s="313">
        <v>1</v>
      </c>
      <c r="AK349" s="313">
        <v>1</v>
      </c>
      <c r="AL349" s="313">
        <v>1</v>
      </c>
      <c r="AM349" s="313">
        <v>1</v>
      </c>
      <c r="AN349" s="313">
        <v>1</v>
      </c>
      <c r="AO349" s="313">
        <v>1</v>
      </c>
      <c r="AP349" s="313">
        <v>1</v>
      </c>
      <c r="AQ349" s="313">
        <v>1</v>
      </c>
      <c r="AR349" s="313">
        <v>1</v>
      </c>
      <c r="AS349" s="313">
        <v>1</v>
      </c>
      <c r="AT349" s="313">
        <v>1</v>
      </c>
      <c r="AU349" s="313">
        <v>1</v>
      </c>
      <c r="AV349" s="313">
        <v>1</v>
      </c>
      <c r="AW349" s="313">
        <v>1</v>
      </c>
      <c r="AX349" s="313">
        <v>1</v>
      </c>
      <c r="AY349" s="313">
        <v>1</v>
      </c>
      <c r="AZ349" s="313">
        <v>1</v>
      </c>
      <c r="BA349" s="313">
        <v>1</v>
      </c>
      <c r="BB349" s="313">
        <v>1</v>
      </c>
      <c r="BC349" s="313">
        <v>1</v>
      </c>
      <c r="BD349" s="313">
        <v>1</v>
      </c>
      <c r="BE349" s="313">
        <v>1</v>
      </c>
      <c r="BF349" s="313">
        <v>1</v>
      </c>
      <c r="BG349" s="313">
        <v>1</v>
      </c>
      <c r="BH349" s="313">
        <v>1</v>
      </c>
      <c r="BI349" s="313">
        <v>1</v>
      </c>
      <c r="BJ349" s="313">
        <v>1</v>
      </c>
      <c r="BK349" s="313">
        <v>1</v>
      </c>
    </row>
    <row r="350" spans="1:63" x14ac:dyDescent="0.25">
      <c r="A350" s="306">
        <v>541200</v>
      </c>
      <c r="B350" s="313" t="s">
        <v>307</v>
      </c>
      <c r="C350" s="313">
        <v>1</v>
      </c>
      <c r="D350" s="313">
        <v>1</v>
      </c>
      <c r="E350" s="313">
        <v>1</v>
      </c>
      <c r="F350" s="313">
        <v>1</v>
      </c>
      <c r="G350" s="313">
        <v>1</v>
      </c>
      <c r="H350" s="313">
        <v>1</v>
      </c>
      <c r="I350" s="313">
        <v>1</v>
      </c>
      <c r="J350" s="313">
        <v>1</v>
      </c>
      <c r="K350" s="313">
        <v>1</v>
      </c>
      <c r="L350" s="313">
        <v>1</v>
      </c>
      <c r="M350" s="313">
        <v>1</v>
      </c>
      <c r="N350" s="313">
        <v>1</v>
      </c>
      <c r="O350" s="313">
        <v>1</v>
      </c>
      <c r="P350" s="313">
        <v>1</v>
      </c>
      <c r="Q350" s="313">
        <v>1</v>
      </c>
      <c r="R350" s="313">
        <v>1</v>
      </c>
      <c r="S350" s="313">
        <v>1</v>
      </c>
      <c r="T350" s="313">
        <v>1</v>
      </c>
      <c r="U350" s="313">
        <v>1</v>
      </c>
      <c r="V350" s="313">
        <v>1</v>
      </c>
      <c r="W350" s="313">
        <v>1</v>
      </c>
      <c r="X350" s="313">
        <v>1</v>
      </c>
      <c r="Y350" s="313">
        <v>1</v>
      </c>
      <c r="Z350" s="313">
        <v>1</v>
      </c>
      <c r="AA350" s="313">
        <v>1</v>
      </c>
      <c r="AB350" s="313">
        <v>1</v>
      </c>
      <c r="AC350" s="313">
        <v>1</v>
      </c>
      <c r="AD350" s="313">
        <v>1</v>
      </c>
      <c r="AE350" s="313">
        <v>1</v>
      </c>
      <c r="AF350" s="313">
        <v>1</v>
      </c>
      <c r="AG350" s="313">
        <v>1</v>
      </c>
      <c r="AH350" s="313">
        <v>1</v>
      </c>
      <c r="AI350" s="313">
        <v>1</v>
      </c>
      <c r="AJ350" s="313">
        <v>1</v>
      </c>
      <c r="AK350" s="313">
        <v>1</v>
      </c>
      <c r="AL350" s="313">
        <v>1</v>
      </c>
      <c r="AM350" s="313">
        <v>1</v>
      </c>
      <c r="AN350" s="313">
        <v>1</v>
      </c>
      <c r="AO350" s="313">
        <v>1</v>
      </c>
      <c r="AP350" s="313">
        <v>1</v>
      </c>
      <c r="AQ350" s="313">
        <v>1</v>
      </c>
      <c r="AR350" s="313">
        <v>1</v>
      </c>
      <c r="AS350" s="313">
        <v>1</v>
      </c>
      <c r="AT350" s="313">
        <v>1</v>
      </c>
      <c r="AU350" s="313">
        <v>1</v>
      </c>
      <c r="AV350" s="313">
        <v>1</v>
      </c>
      <c r="AW350" s="313">
        <v>1</v>
      </c>
      <c r="AX350" s="313">
        <v>1</v>
      </c>
      <c r="AY350" s="313">
        <v>1</v>
      </c>
      <c r="AZ350" s="313">
        <v>1</v>
      </c>
      <c r="BA350" s="313">
        <v>1</v>
      </c>
      <c r="BB350" s="313">
        <v>1</v>
      </c>
      <c r="BC350" s="313">
        <v>1</v>
      </c>
      <c r="BD350" s="313">
        <v>1</v>
      </c>
      <c r="BE350" s="313">
        <v>1</v>
      </c>
      <c r="BF350" s="313">
        <v>1</v>
      </c>
      <c r="BG350" s="313">
        <v>1</v>
      </c>
      <c r="BH350" s="313">
        <v>1</v>
      </c>
      <c r="BI350" s="313">
        <v>1</v>
      </c>
      <c r="BJ350" s="313">
        <v>1</v>
      </c>
      <c r="BK350" s="313">
        <v>1</v>
      </c>
    </row>
    <row r="351" spans="1:63" x14ac:dyDescent="0.25">
      <c r="A351" s="306">
        <v>541300</v>
      </c>
      <c r="B351" s="313" t="s">
        <v>308</v>
      </c>
      <c r="C351" s="313">
        <v>1</v>
      </c>
      <c r="D351" s="313">
        <v>1</v>
      </c>
      <c r="E351" s="313">
        <v>1</v>
      </c>
      <c r="F351" s="313">
        <v>1</v>
      </c>
      <c r="G351" s="313">
        <v>1</v>
      </c>
      <c r="H351" s="313">
        <v>1</v>
      </c>
      <c r="I351" s="313">
        <v>1</v>
      </c>
      <c r="J351" s="313">
        <v>1</v>
      </c>
      <c r="K351" s="313">
        <v>1</v>
      </c>
      <c r="L351" s="313">
        <v>1</v>
      </c>
      <c r="M351" s="313">
        <v>1</v>
      </c>
      <c r="N351" s="313">
        <v>1</v>
      </c>
      <c r="O351" s="313">
        <v>1</v>
      </c>
      <c r="P351" s="313">
        <v>1</v>
      </c>
      <c r="Q351" s="313">
        <v>1</v>
      </c>
      <c r="R351" s="313">
        <v>1</v>
      </c>
      <c r="S351" s="313">
        <v>1</v>
      </c>
      <c r="T351" s="313">
        <v>1</v>
      </c>
      <c r="U351" s="313">
        <v>1</v>
      </c>
      <c r="V351" s="313">
        <v>1</v>
      </c>
      <c r="W351" s="313">
        <v>1</v>
      </c>
      <c r="X351" s="313">
        <v>1</v>
      </c>
      <c r="Y351" s="313">
        <v>1</v>
      </c>
      <c r="Z351" s="313">
        <v>1</v>
      </c>
      <c r="AA351" s="313">
        <v>1</v>
      </c>
      <c r="AB351" s="313">
        <v>1</v>
      </c>
      <c r="AC351" s="313">
        <v>1</v>
      </c>
      <c r="AD351" s="313">
        <v>1</v>
      </c>
      <c r="AE351" s="313">
        <v>1</v>
      </c>
      <c r="AF351" s="313">
        <v>1</v>
      </c>
      <c r="AG351" s="313">
        <v>1</v>
      </c>
      <c r="AH351" s="313">
        <v>1</v>
      </c>
      <c r="AI351" s="313">
        <v>1</v>
      </c>
      <c r="AJ351" s="313">
        <v>1</v>
      </c>
      <c r="AK351" s="313">
        <v>1</v>
      </c>
      <c r="AL351" s="313">
        <v>1</v>
      </c>
      <c r="AM351" s="313">
        <v>1</v>
      </c>
      <c r="AN351" s="313">
        <v>1</v>
      </c>
      <c r="AO351" s="313">
        <v>1</v>
      </c>
      <c r="AP351" s="313">
        <v>1</v>
      </c>
      <c r="AQ351" s="313">
        <v>1</v>
      </c>
      <c r="AR351" s="313">
        <v>1</v>
      </c>
      <c r="AS351" s="313">
        <v>1</v>
      </c>
      <c r="AT351" s="313">
        <v>1</v>
      </c>
      <c r="AU351" s="313">
        <v>1</v>
      </c>
      <c r="AV351" s="313">
        <v>1</v>
      </c>
      <c r="AW351" s="313">
        <v>1</v>
      </c>
      <c r="AX351" s="313">
        <v>1</v>
      </c>
      <c r="AY351" s="313">
        <v>1</v>
      </c>
      <c r="AZ351" s="313">
        <v>1</v>
      </c>
      <c r="BA351" s="313">
        <v>1</v>
      </c>
      <c r="BB351" s="313">
        <v>1</v>
      </c>
      <c r="BC351" s="313">
        <v>1</v>
      </c>
      <c r="BD351" s="313">
        <v>1</v>
      </c>
      <c r="BE351" s="313">
        <v>1</v>
      </c>
      <c r="BF351" s="313">
        <v>1</v>
      </c>
      <c r="BG351" s="313">
        <v>1</v>
      </c>
      <c r="BH351" s="313">
        <v>1</v>
      </c>
      <c r="BI351" s="313">
        <v>1</v>
      </c>
      <c r="BJ351" s="313">
        <v>1</v>
      </c>
      <c r="BK351" s="313">
        <v>1</v>
      </c>
    </row>
    <row r="352" spans="1:63" x14ac:dyDescent="0.25">
      <c r="A352" s="306">
        <v>541400</v>
      </c>
      <c r="B352" s="313" t="s">
        <v>309</v>
      </c>
      <c r="C352" s="313">
        <v>1</v>
      </c>
      <c r="D352" s="313">
        <v>1</v>
      </c>
      <c r="E352" s="313">
        <v>1</v>
      </c>
      <c r="F352" s="313">
        <v>1</v>
      </c>
      <c r="G352" s="313">
        <v>1</v>
      </c>
      <c r="H352" s="313">
        <v>1</v>
      </c>
      <c r="I352" s="313">
        <v>1</v>
      </c>
      <c r="J352" s="313">
        <v>1</v>
      </c>
      <c r="K352" s="313">
        <v>1</v>
      </c>
      <c r="L352" s="313">
        <v>1</v>
      </c>
      <c r="M352" s="313">
        <v>1</v>
      </c>
      <c r="N352" s="313">
        <v>1</v>
      </c>
      <c r="O352" s="313">
        <v>1</v>
      </c>
      <c r="P352" s="313">
        <v>1</v>
      </c>
      <c r="Q352" s="313">
        <v>1</v>
      </c>
      <c r="R352" s="313">
        <v>1</v>
      </c>
      <c r="S352" s="313">
        <v>1</v>
      </c>
      <c r="T352" s="313">
        <v>1</v>
      </c>
      <c r="U352" s="313">
        <v>1</v>
      </c>
      <c r="V352" s="313">
        <v>1</v>
      </c>
      <c r="W352" s="313">
        <v>1</v>
      </c>
      <c r="X352" s="313">
        <v>1</v>
      </c>
      <c r="Y352" s="313">
        <v>1</v>
      </c>
      <c r="Z352" s="313">
        <v>1</v>
      </c>
      <c r="AA352" s="313">
        <v>1</v>
      </c>
      <c r="AB352" s="313">
        <v>1</v>
      </c>
      <c r="AC352" s="313">
        <v>1</v>
      </c>
      <c r="AD352" s="313">
        <v>1</v>
      </c>
      <c r="AE352" s="313">
        <v>1</v>
      </c>
      <c r="AF352" s="313">
        <v>1</v>
      </c>
      <c r="AG352" s="313">
        <v>1</v>
      </c>
      <c r="AH352" s="313">
        <v>1</v>
      </c>
      <c r="AI352" s="313">
        <v>1</v>
      </c>
      <c r="AJ352" s="313">
        <v>1</v>
      </c>
      <c r="AK352" s="313">
        <v>1</v>
      </c>
      <c r="AL352" s="313">
        <v>1</v>
      </c>
      <c r="AM352" s="313">
        <v>1</v>
      </c>
      <c r="AN352" s="313">
        <v>1</v>
      </c>
      <c r="AO352" s="313">
        <v>1</v>
      </c>
      <c r="AP352" s="313">
        <v>1</v>
      </c>
      <c r="AQ352" s="313">
        <v>1</v>
      </c>
      <c r="AR352" s="313">
        <v>1</v>
      </c>
      <c r="AS352" s="313">
        <v>1</v>
      </c>
      <c r="AT352" s="313">
        <v>1</v>
      </c>
      <c r="AU352" s="313">
        <v>1</v>
      </c>
      <c r="AV352" s="313">
        <v>1</v>
      </c>
      <c r="AW352" s="313">
        <v>1</v>
      </c>
      <c r="AX352" s="313">
        <v>1</v>
      </c>
      <c r="AY352" s="313">
        <v>1</v>
      </c>
      <c r="AZ352" s="313">
        <v>1</v>
      </c>
      <c r="BA352" s="313">
        <v>1</v>
      </c>
      <c r="BB352" s="313">
        <v>1</v>
      </c>
      <c r="BC352" s="313">
        <v>1</v>
      </c>
      <c r="BD352" s="313">
        <v>1</v>
      </c>
      <c r="BE352" s="313">
        <v>1</v>
      </c>
      <c r="BF352" s="313">
        <v>1</v>
      </c>
      <c r="BG352" s="313">
        <v>1</v>
      </c>
      <c r="BH352" s="313">
        <v>1</v>
      </c>
      <c r="BI352" s="313">
        <v>1</v>
      </c>
      <c r="BJ352" s="313">
        <v>1</v>
      </c>
      <c r="BK352" s="313">
        <v>1</v>
      </c>
    </row>
    <row r="353" spans="1:63" x14ac:dyDescent="0.25">
      <c r="A353" s="306">
        <v>541511</v>
      </c>
      <c r="B353" s="313" t="s">
        <v>310</v>
      </c>
      <c r="C353" s="313">
        <v>1</v>
      </c>
      <c r="D353" s="313">
        <v>1</v>
      </c>
      <c r="E353" s="313">
        <v>1</v>
      </c>
      <c r="F353" s="313">
        <v>1</v>
      </c>
      <c r="G353" s="313">
        <v>1</v>
      </c>
      <c r="H353" s="313">
        <v>1</v>
      </c>
      <c r="I353" s="313">
        <v>1</v>
      </c>
      <c r="J353" s="313">
        <v>1</v>
      </c>
      <c r="K353" s="313">
        <v>1</v>
      </c>
      <c r="L353" s="313">
        <v>1</v>
      </c>
      <c r="M353" s="313">
        <v>1</v>
      </c>
      <c r="N353" s="313">
        <v>1</v>
      </c>
      <c r="O353" s="313">
        <v>1</v>
      </c>
      <c r="P353" s="313">
        <v>1</v>
      </c>
      <c r="Q353" s="313">
        <v>1</v>
      </c>
      <c r="R353" s="313">
        <v>1</v>
      </c>
      <c r="S353" s="313">
        <v>1</v>
      </c>
      <c r="T353" s="313">
        <v>1</v>
      </c>
      <c r="U353" s="313">
        <v>1</v>
      </c>
      <c r="V353" s="313">
        <v>1</v>
      </c>
      <c r="W353" s="313">
        <v>1</v>
      </c>
      <c r="X353" s="313">
        <v>1</v>
      </c>
      <c r="Y353" s="313">
        <v>1</v>
      </c>
      <c r="Z353" s="313">
        <v>1</v>
      </c>
      <c r="AA353" s="313">
        <v>1</v>
      </c>
      <c r="AB353" s="313">
        <v>1</v>
      </c>
      <c r="AC353" s="313">
        <v>1</v>
      </c>
      <c r="AD353" s="313">
        <v>1</v>
      </c>
      <c r="AE353" s="313">
        <v>1</v>
      </c>
      <c r="AF353" s="313">
        <v>1</v>
      </c>
      <c r="AG353" s="313">
        <v>1</v>
      </c>
      <c r="AH353" s="313">
        <v>1</v>
      </c>
      <c r="AI353" s="313">
        <v>1</v>
      </c>
      <c r="AJ353" s="313">
        <v>1</v>
      </c>
      <c r="AK353" s="313">
        <v>1</v>
      </c>
      <c r="AL353" s="313">
        <v>1</v>
      </c>
      <c r="AM353" s="313">
        <v>1</v>
      </c>
      <c r="AN353" s="313">
        <v>1</v>
      </c>
      <c r="AO353" s="313">
        <v>1</v>
      </c>
      <c r="AP353" s="313">
        <v>1</v>
      </c>
      <c r="AQ353" s="313">
        <v>1</v>
      </c>
      <c r="AR353" s="313">
        <v>1</v>
      </c>
      <c r="AS353" s="313">
        <v>1</v>
      </c>
      <c r="AT353" s="313">
        <v>1</v>
      </c>
      <c r="AU353" s="313">
        <v>1</v>
      </c>
      <c r="AV353" s="313">
        <v>1</v>
      </c>
      <c r="AW353" s="313">
        <v>1</v>
      </c>
      <c r="AX353" s="313">
        <v>1</v>
      </c>
      <c r="AY353" s="313">
        <v>1</v>
      </c>
      <c r="AZ353" s="313">
        <v>1</v>
      </c>
      <c r="BA353" s="313">
        <v>1</v>
      </c>
      <c r="BB353" s="313">
        <v>1</v>
      </c>
      <c r="BC353" s="313">
        <v>1</v>
      </c>
      <c r="BD353" s="313">
        <v>1</v>
      </c>
      <c r="BE353" s="313">
        <v>1</v>
      </c>
      <c r="BF353" s="313">
        <v>1</v>
      </c>
      <c r="BG353" s="313">
        <v>1</v>
      </c>
      <c r="BH353" s="313">
        <v>1</v>
      </c>
      <c r="BI353" s="313">
        <v>1</v>
      </c>
      <c r="BJ353" s="313">
        <v>1</v>
      </c>
      <c r="BK353" s="313">
        <v>1</v>
      </c>
    </row>
    <row r="354" spans="1:63" x14ac:dyDescent="0.25">
      <c r="A354" s="306">
        <v>541512</v>
      </c>
      <c r="B354" s="313" t="s">
        <v>311</v>
      </c>
      <c r="C354" s="313">
        <v>1</v>
      </c>
      <c r="D354" s="313">
        <v>1</v>
      </c>
      <c r="E354" s="313">
        <v>1</v>
      </c>
      <c r="F354" s="313">
        <v>1</v>
      </c>
      <c r="G354" s="313">
        <v>1</v>
      </c>
      <c r="H354" s="313">
        <v>1</v>
      </c>
      <c r="I354" s="313">
        <v>1</v>
      </c>
      <c r="J354" s="313">
        <v>1</v>
      </c>
      <c r="K354" s="313">
        <v>1</v>
      </c>
      <c r="L354" s="313">
        <v>1</v>
      </c>
      <c r="M354" s="313">
        <v>1</v>
      </c>
      <c r="N354" s="313">
        <v>1</v>
      </c>
      <c r="O354" s="313">
        <v>1</v>
      </c>
      <c r="P354" s="313">
        <v>1</v>
      </c>
      <c r="Q354" s="313">
        <v>1</v>
      </c>
      <c r="R354" s="313">
        <v>1</v>
      </c>
      <c r="S354" s="313">
        <v>1</v>
      </c>
      <c r="T354" s="313">
        <v>1</v>
      </c>
      <c r="U354" s="313">
        <v>1</v>
      </c>
      <c r="V354" s="313">
        <v>1</v>
      </c>
      <c r="W354" s="313">
        <v>1</v>
      </c>
      <c r="X354" s="313">
        <v>1</v>
      </c>
      <c r="Y354" s="313">
        <v>1</v>
      </c>
      <c r="Z354" s="313">
        <v>1</v>
      </c>
      <c r="AA354" s="313">
        <v>1</v>
      </c>
      <c r="AB354" s="313">
        <v>1</v>
      </c>
      <c r="AC354" s="313">
        <v>1</v>
      </c>
      <c r="AD354" s="313">
        <v>1</v>
      </c>
      <c r="AE354" s="313">
        <v>1</v>
      </c>
      <c r="AF354" s="313">
        <v>1</v>
      </c>
      <c r="AG354" s="313">
        <v>1</v>
      </c>
      <c r="AH354" s="313">
        <v>1</v>
      </c>
      <c r="AI354" s="313">
        <v>1</v>
      </c>
      <c r="AJ354" s="313">
        <v>1</v>
      </c>
      <c r="AK354" s="313">
        <v>1</v>
      </c>
      <c r="AL354" s="313">
        <v>1</v>
      </c>
      <c r="AM354" s="313">
        <v>1</v>
      </c>
      <c r="AN354" s="313">
        <v>1</v>
      </c>
      <c r="AO354" s="313">
        <v>1</v>
      </c>
      <c r="AP354" s="313">
        <v>1</v>
      </c>
      <c r="AQ354" s="313">
        <v>1</v>
      </c>
      <c r="AR354" s="313">
        <v>1</v>
      </c>
      <c r="AS354" s="313">
        <v>1</v>
      </c>
      <c r="AT354" s="313">
        <v>1</v>
      </c>
      <c r="AU354" s="313">
        <v>1</v>
      </c>
      <c r="AV354" s="313">
        <v>1</v>
      </c>
      <c r="AW354" s="313">
        <v>1</v>
      </c>
      <c r="AX354" s="313">
        <v>1</v>
      </c>
      <c r="AY354" s="313">
        <v>1</v>
      </c>
      <c r="AZ354" s="313">
        <v>1</v>
      </c>
      <c r="BA354" s="313">
        <v>1</v>
      </c>
      <c r="BB354" s="313">
        <v>1</v>
      </c>
      <c r="BC354" s="313">
        <v>1</v>
      </c>
      <c r="BD354" s="313">
        <v>1</v>
      </c>
      <c r="BE354" s="313">
        <v>1</v>
      </c>
      <c r="BF354" s="313">
        <v>1</v>
      </c>
      <c r="BG354" s="313">
        <v>1</v>
      </c>
      <c r="BH354" s="313">
        <v>1</v>
      </c>
      <c r="BI354" s="313">
        <v>1</v>
      </c>
      <c r="BJ354" s="313">
        <v>1</v>
      </c>
      <c r="BK354" s="313">
        <v>1</v>
      </c>
    </row>
    <row r="355" spans="1:63" x14ac:dyDescent="0.25">
      <c r="A355" s="306" t="s">
        <v>769</v>
      </c>
      <c r="B355" s="313" t="s">
        <v>312</v>
      </c>
      <c r="C355" s="313">
        <v>1</v>
      </c>
      <c r="D355" s="313">
        <v>1</v>
      </c>
      <c r="E355" s="313">
        <v>1</v>
      </c>
      <c r="F355" s="313">
        <v>1</v>
      </c>
      <c r="G355" s="313">
        <v>1</v>
      </c>
      <c r="H355" s="313">
        <v>1</v>
      </c>
      <c r="I355" s="313">
        <v>1</v>
      </c>
      <c r="J355" s="313">
        <v>1</v>
      </c>
      <c r="K355" s="313">
        <v>1</v>
      </c>
      <c r="L355" s="313">
        <v>1</v>
      </c>
      <c r="M355" s="313">
        <v>1</v>
      </c>
      <c r="N355" s="313">
        <v>1</v>
      </c>
      <c r="O355" s="313">
        <v>1</v>
      </c>
      <c r="P355" s="313">
        <v>1</v>
      </c>
      <c r="Q355" s="313">
        <v>1</v>
      </c>
      <c r="R355" s="313">
        <v>1</v>
      </c>
      <c r="S355" s="313">
        <v>1</v>
      </c>
      <c r="T355" s="313">
        <v>1</v>
      </c>
      <c r="U355" s="313">
        <v>1</v>
      </c>
      <c r="V355" s="313">
        <v>1</v>
      </c>
      <c r="W355" s="313">
        <v>1</v>
      </c>
      <c r="X355" s="313">
        <v>1</v>
      </c>
      <c r="Y355" s="313">
        <v>1</v>
      </c>
      <c r="Z355" s="313">
        <v>1</v>
      </c>
      <c r="AA355" s="313">
        <v>1</v>
      </c>
      <c r="AB355" s="313">
        <v>1</v>
      </c>
      <c r="AC355" s="313">
        <v>1</v>
      </c>
      <c r="AD355" s="313">
        <v>1</v>
      </c>
      <c r="AE355" s="313">
        <v>1</v>
      </c>
      <c r="AF355" s="313">
        <v>1</v>
      </c>
      <c r="AG355" s="313">
        <v>1</v>
      </c>
      <c r="AH355" s="313">
        <v>1</v>
      </c>
      <c r="AI355" s="313">
        <v>1</v>
      </c>
      <c r="AJ355" s="313">
        <v>1</v>
      </c>
      <c r="AK355" s="313">
        <v>1</v>
      </c>
      <c r="AL355" s="313">
        <v>1</v>
      </c>
      <c r="AM355" s="313">
        <v>1</v>
      </c>
      <c r="AN355" s="313">
        <v>1</v>
      </c>
      <c r="AO355" s="313">
        <v>1</v>
      </c>
      <c r="AP355" s="313">
        <v>1</v>
      </c>
      <c r="AQ355" s="313">
        <v>1</v>
      </c>
      <c r="AR355" s="313">
        <v>1</v>
      </c>
      <c r="AS355" s="313">
        <v>1</v>
      </c>
      <c r="AT355" s="313">
        <v>1</v>
      </c>
      <c r="AU355" s="313">
        <v>1</v>
      </c>
      <c r="AV355" s="313">
        <v>1</v>
      </c>
      <c r="AW355" s="313">
        <v>1</v>
      </c>
      <c r="AX355" s="313">
        <v>1</v>
      </c>
      <c r="AY355" s="313">
        <v>1</v>
      </c>
      <c r="AZ355" s="313">
        <v>1</v>
      </c>
      <c r="BA355" s="313">
        <v>1</v>
      </c>
      <c r="BB355" s="313">
        <v>1</v>
      </c>
      <c r="BC355" s="313">
        <v>1</v>
      </c>
      <c r="BD355" s="313">
        <v>1</v>
      </c>
      <c r="BE355" s="313">
        <v>1</v>
      </c>
      <c r="BF355" s="313">
        <v>1</v>
      </c>
      <c r="BG355" s="313">
        <v>1</v>
      </c>
      <c r="BH355" s="313">
        <v>1</v>
      </c>
      <c r="BI355" s="313">
        <v>1</v>
      </c>
      <c r="BJ355" s="313">
        <v>1</v>
      </c>
      <c r="BK355" s="313">
        <v>1</v>
      </c>
    </row>
    <row r="356" spans="1:63" x14ac:dyDescent="0.25">
      <c r="A356" s="306">
        <v>541610</v>
      </c>
      <c r="B356" s="313" t="s">
        <v>313</v>
      </c>
      <c r="C356" s="313">
        <v>1</v>
      </c>
      <c r="D356" s="313">
        <v>1</v>
      </c>
      <c r="E356" s="313">
        <v>1</v>
      </c>
      <c r="F356" s="313">
        <v>1</v>
      </c>
      <c r="G356" s="313">
        <v>1</v>
      </c>
      <c r="H356" s="313">
        <v>1</v>
      </c>
      <c r="I356" s="313">
        <v>1</v>
      </c>
      <c r="J356" s="313">
        <v>1</v>
      </c>
      <c r="K356" s="313">
        <v>1</v>
      </c>
      <c r="L356" s="313">
        <v>1</v>
      </c>
      <c r="M356" s="313">
        <v>1</v>
      </c>
      <c r="N356" s="313">
        <v>1</v>
      </c>
      <c r="O356" s="313">
        <v>1</v>
      </c>
      <c r="P356" s="313">
        <v>1</v>
      </c>
      <c r="Q356" s="313">
        <v>1</v>
      </c>
      <c r="R356" s="313">
        <v>1</v>
      </c>
      <c r="S356" s="313">
        <v>1</v>
      </c>
      <c r="T356" s="313">
        <v>1</v>
      </c>
      <c r="U356" s="313">
        <v>1</v>
      </c>
      <c r="V356" s="313">
        <v>1</v>
      </c>
      <c r="W356" s="313">
        <v>1</v>
      </c>
      <c r="X356" s="313">
        <v>1</v>
      </c>
      <c r="Y356" s="313">
        <v>1</v>
      </c>
      <c r="Z356" s="313">
        <v>1</v>
      </c>
      <c r="AA356" s="313">
        <v>1</v>
      </c>
      <c r="AB356" s="313">
        <v>1</v>
      </c>
      <c r="AC356" s="313">
        <v>1</v>
      </c>
      <c r="AD356" s="313">
        <v>1</v>
      </c>
      <c r="AE356" s="313">
        <v>1</v>
      </c>
      <c r="AF356" s="313">
        <v>1</v>
      </c>
      <c r="AG356" s="313">
        <v>1</v>
      </c>
      <c r="AH356" s="313">
        <v>1</v>
      </c>
      <c r="AI356" s="313">
        <v>1</v>
      </c>
      <c r="AJ356" s="313">
        <v>1</v>
      </c>
      <c r="AK356" s="313">
        <v>1</v>
      </c>
      <c r="AL356" s="313">
        <v>1</v>
      </c>
      <c r="AM356" s="313">
        <v>1</v>
      </c>
      <c r="AN356" s="313">
        <v>1</v>
      </c>
      <c r="AO356" s="313">
        <v>1</v>
      </c>
      <c r="AP356" s="313">
        <v>1</v>
      </c>
      <c r="AQ356" s="313">
        <v>1</v>
      </c>
      <c r="AR356" s="313">
        <v>1</v>
      </c>
      <c r="AS356" s="313">
        <v>1</v>
      </c>
      <c r="AT356" s="313">
        <v>1</v>
      </c>
      <c r="AU356" s="313">
        <v>1</v>
      </c>
      <c r="AV356" s="313">
        <v>1</v>
      </c>
      <c r="AW356" s="313">
        <v>1</v>
      </c>
      <c r="AX356" s="313">
        <v>1</v>
      </c>
      <c r="AY356" s="313">
        <v>1</v>
      </c>
      <c r="AZ356" s="313">
        <v>1</v>
      </c>
      <c r="BA356" s="313">
        <v>1</v>
      </c>
      <c r="BB356" s="313">
        <v>1</v>
      </c>
      <c r="BC356" s="313">
        <v>1</v>
      </c>
      <c r="BD356" s="313">
        <v>1</v>
      </c>
      <c r="BE356" s="313">
        <v>1</v>
      </c>
      <c r="BF356" s="313">
        <v>1</v>
      </c>
      <c r="BG356" s="313">
        <v>1</v>
      </c>
      <c r="BH356" s="313">
        <v>1</v>
      </c>
      <c r="BI356" s="313">
        <v>1</v>
      </c>
      <c r="BJ356" s="313">
        <v>1</v>
      </c>
      <c r="BK356" s="313">
        <v>1</v>
      </c>
    </row>
    <row r="357" spans="1:63" x14ac:dyDescent="0.25">
      <c r="A357" s="306" t="s">
        <v>770</v>
      </c>
      <c r="B357" s="313" t="s">
        <v>314</v>
      </c>
      <c r="C357" s="313">
        <v>1</v>
      </c>
      <c r="D357" s="313">
        <v>1</v>
      </c>
      <c r="E357" s="313">
        <v>1</v>
      </c>
      <c r="F357" s="313">
        <v>1</v>
      </c>
      <c r="G357" s="313">
        <v>1</v>
      </c>
      <c r="H357" s="313">
        <v>1</v>
      </c>
      <c r="I357" s="313">
        <v>1</v>
      </c>
      <c r="J357" s="313">
        <v>1</v>
      </c>
      <c r="K357" s="313">
        <v>1</v>
      </c>
      <c r="L357" s="313">
        <v>1</v>
      </c>
      <c r="M357" s="313">
        <v>1</v>
      </c>
      <c r="N357" s="313">
        <v>1</v>
      </c>
      <c r="O357" s="313">
        <v>1</v>
      </c>
      <c r="P357" s="313">
        <v>1</v>
      </c>
      <c r="Q357" s="313">
        <v>1</v>
      </c>
      <c r="R357" s="313">
        <v>1</v>
      </c>
      <c r="S357" s="313">
        <v>1</v>
      </c>
      <c r="T357" s="313">
        <v>1</v>
      </c>
      <c r="U357" s="313">
        <v>1</v>
      </c>
      <c r="V357" s="313">
        <v>1</v>
      </c>
      <c r="W357" s="313">
        <v>1</v>
      </c>
      <c r="X357" s="313">
        <v>1</v>
      </c>
      <c r="Y357" s="313">
        <v>1</v>
      </c>
      <c r="Z357" s="313">
        <v>1</v>
      </c>
      <c r="AA357" s="313">
        <v>1</v>
      </c>
      <c r="AB357" s="313">
        <v>1</v>
      </c>
      <c r="AC357" s="313">
        <v>1</v>
      </c>
      <c r="AD357" s="313">
        <v>1</v>
      </c>
      <c r="AE357" s="313">
        <v>1</v>
      </c>
      <c r="AF357" s="313">
        <v>1</v>
      </c>
      <c r="AG357" s="313">
        <v>1</v>
      </c>
      <c r="AH357" s="313">
        <v>1</v>
      </c>
      <c r="AI357" s="313">
        <v>1</v>
      </c>
      <c r="AJ357" s="313">
        <v>1</v>
      </c>
      <c r="AK357" s="313">
        <v>1</v>
      </c>
      <c r="AL357" s="313">
        <v>1</v>
      </c>
      <c r="AM357" s="313">
        <v>1</v>
      </c>
      <c r="AN357" s="313">
        <v>1</v>
      </c>
      <c r="AO357" s="313">
        <v>1</v>
      </c>
      <c r="AP357" s="313">
        <v>1</v>
      </c>
      <c r="AQ357" s="313">
        <v>1</v>
      </c>
      <c r="AR357" s="313">
        <v>1</v>
      </c>
      <c r="AS357" s="313">
        <v>1</v>
      </c>
      <c r="AT357" s="313">
        <v>1</v>
      </c>
      <c r="AU357" s="313">
        <v>1</v>
      </c>
      <c r="AV357" s="313">
        <v>1</v>
      </c>
      <c r="AW357" s="313">
        <v>1</v>
      </c>
      <c r="AX357" s="313">
        <v>1</v>
      </c>
      <c r="AY357" s="313">
        <v>1</v>
      </c>
      <c r="AZ357" s="313">
        <v>1</v>
      </c>
      <c r="BA357" s="313">
        <v>1</v>
      </c>
      <c r="BB357" s="313">
        <v>1</v>
      </c>
      <c r="BC357" s="313">
        <v>1</v>
      </c>
      <c r="BD357" s="313">
        <v>1</v>
      </c>
      <c r="BE357" s="313">
        <v>1</v>
      </c>
      <c r="BF357" s="313">
        <v>1</v>
      </c>
      <c r="BG357" s="313">
        <v>1</v>
      </c>
      <c r="BH357" s="313">
        <v>1</v>
      </c>
      <c r="BI357" s="313">
        <v>1</v>
      </c>
      <c r="BJ357" s="313">
        <v>1</v>
      </c>
      <c r="BK357" s="313">
        <v>1</v>
      </c>
    </row>
    <row r="358" spans="1:63" x14ac:dyDescent="0.25">
      <c r="A358" s="306">
        <v>541700</v>
      </c>
      <c r="B358" s="313" t="s">
        <v>315</v>
      </c>
      <c r="C358" s="313">
        <v>1</v>
      </c>
      <c r="D358" s="313">
        <v>1</v>
      </c>
      <c r="E358" s="313">
        <v>1</v>
      </c>
      <c r="F358" s="313">
        <v>1</v>
      </c>
      <c r="G358" s="313">
        <v>1</v>
      </c>
      <c r="H358" s="313">
        <v>1</v>
      </c>
      <c r="I358" s="313">
        <v>1</v>
      </c>
      <c r="J358" s="313">
        <v>1</v>
      </c>
      <c r="K358" s="313">
        <v>1</v>
      </c>
      <c r="L358" s="313">
        <v>1</v>
      </c>
      <c r="M358" s="313">
        <v>1</v>
      </c>
      <c r="N358" s="313">
        <v>1</v>
      </c>
      <c r="O358" s="313">
        <v>1</v>
      </c>
      <c r="P358" s="313">
        <v>1</v>
      </c>
      <c r="Q358" s="313">
        <v>1</v>
      </c>
      <c r="R358" s="313">
        <v>1</v>
      </c>
      <c r="S358" s="313">
        <v>1</v>
      </c>
      <c r="T358" s="313">
        <v>1</v>
      </c>
      <c r="U358" s="313">
        <v>1</v>
      </c>
      <c r="V358" s="313">
        <v>1</v>
      </c>
      <c r="W358" s="313">
        <v>1</v>
      </c>
      <c r="X358" s="313">
        <v>1</v>
      </c>
      <c r="Y358" s="313">
        <v>1</v>
      </c>
      <c r="Z358" s="313">
        <v>1</v>
      </c>
      <c r="AA358" s="313">
        <v>1</v>
      </c>
      <c r="AB358" s="313">
        <v>1</v>
      </c>
      <c r="AC358" s="313">
        <v>1</v>
      </c>
      <c r="AD358" s="313">
        <v>1</v>
      </c>
      <c r="AE358" s="313">
        <v>1</v>
      </c>
      <c r="AF358" s="313">
        <v>1</v>
      </c>
      <c r="AG358" s="313">
        <v>1</v>
      </c>
      <c r="AH358" s="313">
        <v>1</v>
      </c>
      <c r="AI358" s="313">
        <v>1</v>
      </c>
      <c r="AJ358" s="313">
        <v>1</v>
      </c>
      <c r="AK358" s="313">
        <v>1</v>
      </c>
      <c r="AL358" s="313">
        <v>1</v>
      </c>
      <c r="AM358" s="313">
        <v>1</v>
      </c>
      <c r="AN358" s="313">
        <v>1</v>
      </c>
      <c r="AO358" s="313">
        <v>1</v>
      </c>
      <c r="AP358" s="313">
        <v>1</v>
      </c>
      <c r="AQ358" s="313">
        <v>1</v>
      </c>
      <c r="AR358" s="313">
        <v>1</v>
      </c>
      <c r="AS358" s="313">
        <v>1</v>
      </c>
      <c r="AT358" s="313">
        <v>1</v>
      </c>
      <c r="AU358" s="313">
        <v>1</v>
      </c>
      <c r="AV358" s="313">
        <v>1</v>
      </c>
      <c r="AW358" s="313">
        <v>1</v>
      </c>
      <c r="AX358" s="313">
        <v>1</v>
      </c>
      <c r="AY358" s="313">
        <v>1</v>
      </c>
      <c r="AZ358" s="313">
        <v>1</v>
      </c>
      <c r="BA358" s="313">
        <v>1</v>
      </c>
      <c r="BB358" s="313">
        <v>1</v>
      </c>
      <c r="BC358" s="313">
        <v>1</v>
      </c>
      <c r="BD358" s="313">
        <v>1</v>
      </c>
      <c r="BE358" s="313">
        <v>1</v>
      </c>
      <c r="BF358" s="313">
        <v>1</v>
      </c>
      <c r="BG358" s="313">
        <v>1</v>
      </c>
      <c r="BH358" s="313">
        <v>1</v>
      </c>
      <c r="BI358" s="313">
        <v>1</v>
      </c>
      <c r="BJ358" s="313">
        <v>1</v>
      </c>
      <c r="BK358" s="313">
        <v>1</v>
      </c>
    </row>
    <row r="359" spans="1:63" x14ac:dyDescent="0.25">
      <c r="A359" s="306">
        <v>541800</v>
      </c>
      <c r="B359" s="313" t="s">
        <v>316</v>
      </c>
      <c r="C359" s="313">
        <v>1</v>
      </c>
      <c r="D359" s="313">
        <v>1</v>
      </c>
      <c r="E359" s="313">
        <v>1</v>
      </c>
      <c r="F359" s="313">
        <v>1</v>
      </c>
      <c r="G359" s="313">
        <v>1</v>
      </c>
      <c r="H359" s="313">
        <v>1</v>
      </c>
      <c r="I359" s="313">
        <v>1</v>
      </c>
      <c r="J359" s="313">
        <v>1</v>
      </c>
      <c r="K359" s="313">
        <v>1</v>
      </c>
      <c r="L359" s="313">
        <v>1</v>
      </c>
      <c r="M359" s="313">
        <v>1</v>
      </c>
      <c r="N359" s="313">
        <v>1</v>
      </c>
      <c r="O359" s="313">
        <v>1</v>
      </c>
      <c r="P359" s="313">
        <v>1</v>
      </c>
      <c r="Q359" s="313">
        <v>1</v>
      </c>
      <c r="R359" s="313">
        <v>1</v>
      </c>
      <c r="S359" s="313">
        <v>1</v>
      </c>
      <c r="T359" s="313">
        <v>1</v>
      </c>
      <c r="U359" s="313">
        <v>1</v>
      </c>
      <c r="V359" s="313">
        <v>1</v>
      </c>
      <c r="W359" s="313">
        <v>1</v>
      </c>
      <c r="X359" s="313">
        <v>1</v>
      </c>
      <c r="Y359" s="313">
        <v>1</v>
      </c>
      <c r="Z359" s="313">
        <v>1</v>
      </c>
      <c r="AA359" s="313">
        <v>1</v>
      </c>
      <c r="AB359" s="313">
        <v>1</v>
      </c>
      <c r="AC359" s="313">
        <v>1</v>
      </c>
      <c r="AD359" s="313">
        <v>1</v>
      </c>
      <c r="AE359" s="313">
        <v>1</v>
      </c>
      <c r="AF359" s="313">
        <v>1</v>
      </c>
      <c r="AG359" s="313">
        <v>1</v>
      </c>
      <c r="AH359" s="313">
        <v>1</v>
      </c>
      <c r="AI359" s="313">
        <v>1</v>
      </c>
      <c r="AJ359" s="313">
        <v>1</v>
      </c>
      <c r="AK359" s="313">
        <v>1</v>
      </c>
      <c r="AL359" s="313">
        <v>1</v>
      </c>
      <c r="AM359" s="313">
        <v>1</v>
      </c>
      <c r="AN359" s="313">
        <v>1</v>
      </c>
      <c r="AO359" s="313">
        <v>1</v>
      </c>
      <c r="AP359" s="313">
        <v>1</v>
      </c>
      <c r="AQ359" s="313">
        <v>1</v>
      </c>
      <c r="AR359" s="313">
        <v>1</v>
      </c>
      <c r="AS359" s="313">
        <v>1</v>
      </c>
      <c r="AT359" s="313">
        <v>1</v>
      </c>
      <c r="AU359" s="313">
        <v>1</v>
      </c>
      <c r="AV359" s="313">
        <v>1</v>
      </c>
      <c r="AW359" s="313">
        <v>1</v>
      </c>
      <c r="AX359" s="313">
        <v>1</v>
      </c>
      <c r="AY359" s="313">
        <v>1</v>
      </c>
      <c r="AZ359" s="313">
        <v>1</v>
      </c>
      <c r="BA359" s="313">
        <v>1</v>
      </c>
      <c r="BB359" s="313">
        <v>1</v>
      </c>
      <c r="BC359" s="313">
        <v>1</v>
      </c>
      <c r="BD359" s="313">
        <v>1</v>
      </c>
      <c r="BE359" s="313">
        <v>1</v>
      </c>
      <c r="BF359" s="313">
        <v>1</v>
      </c>
      <c r="BG359" s="313">
        <v>1</v>
      </c>
      <c r="BH359" s="313">
        <v>1</v>
      </c>
      <c r="BI359" s="313">
        <v>1</v>
      </c>
      <c r="BJ359" s="313">
        <v>1</v>
      </c>
      <c r="BK359" s="313">
        <v>1</v>
      </c>
    </row>
    <row r="360" spans="1:63" x14ac:dyDescent="0.25">
      <c r="A360" s="306">
        <v>541920</v>
      </c>
      <c r="B360" s="313" t="s">
        <v>317</v>
      </c>
      <c r="C360" s="313">
        <v>1</v>
      </c>
      <c r="D360" s="313">
        <v>1</v>
      </c>
      <c r="E360" s="313">
        <v>1</v>
      </c>
      <c r="F360" s="313">
        <v>1</v>
      </c>
      <c r="G360" s="313">
        <v>1</v>
      </c>
      <c r="H360" s="313">
        <v>1</v>
      </c>
      <c r="I360" s="313">
        <v>1</v>
      </c>
      <c r="J360" s="313">
        <v>1</v>
      </c>
      <c r="K360" s="313">
        <v>1</v>
      </c>
      <c r="L360" s="313">
        <v>1</v>
      </c>
      <c r="M360" s="313">
        <v>1</v>
      </c>
      <c r="N360" s="313">
        <v>1</v>
      </c>
      <c r="O360" s="313">
        <v>1</v>
      </c>
      <c r="P360" s="313">
        <v>1</v>
      </c>
      <c r="Q360" s="313">
        <v>1</v>
      </c>
      <c r="R360" s="313">
        <v>1</v>
      </c>
      <c r="S360" s="313">
        <v>1</v>
      </c>
      <c r="T360" s="313">
        <v>1</v>
      </c>
      <c r="U360" s="313">
        <v>1</v>
      </c>
      <c r="V360" s="313">
        <v>1</v>
      </c>
      <c r="W360" s="313">
        <v>1</v>
      </c>
      <c r="X360" s="313">
        <v>1</v>
      </c>
      <c r="Y360" s="313">
        <v>1</v>
      </c>
      <c r="Z360" s="313">
        <v>1</v>
      </c>
      <c r="AA360" s="313">
        <v>1</v>
      </c>
      <c r="AB360" s="313">
        <v>1</v>
      </c>
      <c r="AC360" s="313">
        <v>1</v>
      </c>
      <c r="AD360" s="313">
        <v>1</v>
      </c>
      <c r="AE360" s="313">
        <v>1</v>
      </c>
      <c r="AF360" s="313">
        <v>1</v>
      </c>
      <c r="AG360" s="313">
        <v>1</v>
      </c>
      <c r="AH360" s="313">
        <v>1</v>
      </c>
      <c r="AI360" s="313">
        <v>1</v>
      </c>
      <c r="AJ360" s="313">
        <v>1</v>
      </c>
      <c r="AK360" s="313">
        <v>1</v>
      </c>
      <c r="AL360" s="313">
        <v>1</v>
      </c>
      <c r="AM360" s="313">
        <v>1</v>
      </c>
      <c r="AN360" s="313">
        <v>1</v>
      </c>
      <c r="AO360" s="313">
        <v>1</v>
      </c>
      <c r="AP360" s="313">
        <v>1</v>
      </c>
      <c r="AQ360" s="313">
        <v>1</v>
      </c>
      <c r="AR360" s="313">
        <v>1</v>
      </c>
      <c r="AS360" s="313">
        <v>1</v>
      </c>
      <c r="AT360" s="313">
        <v>1</v>
      </c>
      <c r="AU360" s="313">
        <v>1</v>
      </c>
      <c r="AV360" s="313">
        <v>1</v>
      </c>
      <c r="AW360" s="313">
        <v>1</v>
      </c>
      <c r="AX360" s="313">
        <v>1</v>
      </c>
      <c r="AY360" s="313">
        <v>1</v>
      </c>
      <c r="AZ360" s="313">
        <v>1</v>
      </c>
      <c r="BA360" s="313">
        <v>1</v>
      </c>
      <c r="BB360" s="313">
        <v>1</v>
      </c>
      <c r="BC360" s="313">
        <v>1</v>
      </c>
      <c r="BD360" s="313">
        <v>1</v>
      </c>
      <c r="BE360" s="313">
        <v>1</v>
      </c>
      <c r="BF360" s="313">
        <v>1</v>
      </c>
      <c r="BG360" s="313">
        <v>1</v>
      </c>
      <c r="BH360" s="313">
        <v>1</v>
      </c>
      <c r="BI360" s="313">
        <v>1</v>
      </c>
      <c r="BJ360" s="313">
        <v>1</v>
      </c>
      <c r="BK360" s="313">
        <v>1</v>
      </c>
    </row>
    <row r="361" spans="1:63" x14ac:dyDescent="0.25">
      <c r="A361" s="306">
        <v>541940</v>
      </c>
      <c r="B361" s="313" t="s">
        <v>318</v>
      </c>
      <c r="C361" s="313">
        <v>1</v>
      </c>
      <c r="D361" s="313">
        <v>1</v>
      </c>
      <c r="E361" s="313">
        <v>1</v>
      </c>
      <c r="F361" s="313">
        <v>1</v>
      </c>
      <c r="G361" s="313">
        <v>1</v>
      </c>
      <c r="H361" s="313">
        <v>1</v>
      </c>
      <c r="I361" s="313">
        <v>1</v>
      </c>
      <c r="J361" s="313">
        <v>1</v>
      </c>
      <c r="K361" s="313">
        <v>1</v>
      </c>
      <c r="L361" s="313">
        <v>1</v>
      </c>
      <c r="M361" s="313">
        <v>1</v>
      </c>
      <c r="N361" s="313">
        <v>1</v>
      </c>
      <c r="O361" s="313">
        <v>1</v>
      </c>
      <c r="P361" s="313">
        <v>1</v>
      </c>
      <c r="Q361" s="313">
        <v>1</v>
      </c>
      <c r="R361" s="313">
        <v>1</v>
      </c>
      <c r="S361" s="313">
        <v>1</v>
      </c>
      <c r="T361" s="313">
        <v>1</v>
      </c>
      <c r="U361" s="313">
        <v>1</v>
      </c>
      <c r="V361" s="313">
        <v>1</v>
      </c>
      <c r="W361" s="313">
        <v>1</v>
      </c>
      <c r="X361" s="313">
        <v>1</v>
      </c>
      <c r="Y361" s="313">
        <v>1</v>
      </c>
      <c r="Z361" s="313">
        <v>1</v>
      </c>
      <c r="AA361" s="313">
        <v>1</v>
      </c>
      <c r="AB361" s="313">
        <v>1</v>
      </c>
      <c r="AC361" s="313">
        <v>1</v>
      </c>
      <c r="AD361" s="313">
        <v>1</v>
      </c>
      <c r="AE361" s="313">
        <v>1</v>
      </c>
      <c r="AF361" s="313">
        <v>1</v>
      </c>
      <c r="AG361" s="313">
        <v>1</v>
      </c>
      <c r="AH361" s="313">
        <v>1</v>
      </c>
      <c r="AI361" s="313">
        <v>1</v>
      </c>
      <c r="AJ361" s="313">
        <v>1</v>
      </c>
      <c r="AK361" s="313">
        <v>1</v>
      </c>
      <c r="AL361" s="313">
        <v>1</v>
      </c>
      <c r="AM361" s="313">
        <v>1</v>
      </c>
      <c r="AN361" s="313">
        <v>1</v>
      </c>
      <c r="AO361" s="313">
        <v>1</v>
      </c>
      <c r="AP361" s="313">
        <v>1</v>
      </c>
      <c r="AQ361" s="313">
        <v>1</v>
      </c>
      <c r="AR361" s="313">
        <v>1</v>
      </c>
      <c r="AS361" s="313">
        <v>1</v>
      </c>
      <c r="AT361" s="313">
        <v>1</v>
      </c>
      <c r="AU361" s="313">
        <v>1</v>
      </c>
      <c r="AV361" s="313">
        <v>1</v>
      </c>
      <c r="AW361" s="313">
        <v>1</v>
      </c>
      <c r="AX361" s="313">
        <v>1</v>
      </c>
      <c r="AY361" s="313">
        <v>1</v>
      </c>
      <c r="AZ361" s="313">
        <v>1</v>
      </c>
      <c r="BA361" s="313">
        <v>1</v>
      </c>
      <c r="BB361" s="313">
        <v>1</v>
      </c>
      <c r="BC361" s="313">
        <v>1</v>
      </c>
      <c r="BD361" s="313">
        <v>1</v>
      </c>
      <c r="BE361" s="313">
        <v>1</v>
      </c>
      <c r="BF361" s="313">
        <v>1</v>
      </c>
      <c r="BG361" s="313">
        <v>1</v>
      </c>
      <c r="BH361" s="313">
        <v>1</v>
      </c>
      <c r="BI361" s="313">
        <v>1</v>
      </c>
      <c r="BJ361" s="313">
        <v>1</v>
      </c>
      <c r="BK361" s="313">
        <v>1</v>
      </c>
    </row>
    <row r="362" spans="1:63" x14ac:dyDescent="0.25">
      <c r="A362" s="306" t="s">
        <v>771</v>
      </c>
      <c r="B362" s="313" t="s">
        <v>319</v>
      </c>
      <c r="C362" s="313">
        <v>1</v>
      </c>
      <c r="D362" s="313">
        <v>1</v>
      </c>
      <c r="E362" s="313">
        <v>1</v>
      </c>
      <c r="F362" s="313">
        <v>1</v>
      </c>
      <c r="G362" s="313">
        <v>1</v>
      </c>
      <c r="H362" s="313">
        <v>1</v>
      </c>
      <c r="I362" s="313">
        <v>1</v>
      </c>
      <c r="J362" s="313">
        <v>1</v>
      </c>
      <c r="K362" s="313">
        <v>1</v>
      </c>
      <c r="L362" s="313">
        <v>1</v>
      </c>
      <c r="M362" s="313">
        <v>1</v>
      </c>
      <c r="N362" s="313">
        <v>1</v>
      </c>
      <c r="O362" s="313">
        <v>1</v>
      </c>
      <c r="P362" s="313">
        <v>1</v>
      </c>
      <c r="Q362" s="313">
        <v>1</v>
      </c>
      <c r="R362" s="313">
        <v>1</v>
      </c>
      <c r="S362" s="313">
        <v>1</v>
      </c>
      <c r="T362" s="313">
        <v>1</v>
      </c>
      <c r="U362" s="313">
        <v>1</v>
      </c>
      <c r="V362" s="313">
        <v>1</v>
      </c>
      <c r="W362" s="313">
        <v>1</v>
      </c>
      <c r="X362" s="313">
        <v>1</v>
      </c>
      <c r="Y362" s="313">
        <v>1</v>
      </c>
      <c r="Z362" s="313">
        <v>1</v>
      </c>
      <c r="AA362" s="313">
        <v>1</v>
      </c>
      <c r="AB362" s="313">
        <v>1</v>
      </c>
      <c r="AC362" s="313">
        <v>1</v>
      </c>
      <c r="AD362" s="313">
        <v>1</v>
      </c>
      <c r="AE362" s="313">
        <v>1</v>
      </c>
      <c r="AF362" s="313">
        <v>1</v>
      </c>
      <c r="AG362" s="313">
        <v>1</v>
      </c>
      <c r="AH362" s="313">
        <v>1</v>
      </c>
      <c r="AI362" s="313">
        <v>1</v>
      </c>
      <c r="AJ362" s="313">
        <v>1</v>
      </c>
      <c r="AK362" s="313">
        <v>1</v>
      </c>
      <c r="AL362" s="313">
        <v>1</v>
      </c>
      <c r="AM362" s="313">
        <v>1</v>
      </c>
      <c r="AN362" s="313">
        <v>1</v>
      </c>
      <c r="AO362" s="313">
        <v>1</v>
      </c>
      <c r="AP362" s="313">
        <v>1</v>
      </c>
      <c r="AQ362" s="313">
        <v>1</v>
      </c>
      <c r="AR362" s="313">
        <v>1</v>
      </c>
      <c r="AS362" s="313">
        <v>1</v>
      </c>
      <c r="AT362" s="313">
        <v>1</v>
      </c>
      <c r="AU362" s="313">
        <v>1</v>
      </c>
      <c r="AV362" s="313">
        <v>1</v>
      </c>
      <c r="AW362" s="313">
        <v>1</v>
      </c>
      <c r="AX362" s="313">
        <v>1</v>
      </c>
      <c r="AY362" s="313">
        <v>1</v>
      </c>
      <c r="AZ362" s="313">
        <v>1</v>
      </c>
      <c r="BA362" s="313">
        <v>1</v>
      </c>
      <c r="BB362" s="313">
        <v>1</v>
      </c>
      <c r="BC362" s="313">
        <v>1</v>
      </c>
      <c r="BD362" s="313">
        <v>1</v>
      </c>
      <c r="BE362" s="313">
        <v>1</v>
      </c>
      <c r="BF362" s="313">
        <v>1</v>
      </c>
      <c r="BG362" s="313">
        <v>1</v>
      </c>
      <c r="BH362" s="313">
        <v>1</v>
      </c>
      <c r="BI362" s="313">
        <v>1</v>
      </c>
      <c r="BJ362" s="313">
        <v>1</v>
      </c>
      <c r="BK362" s="313">
        <v>1</v>
      </c>
    </row>
    <row r="363" spans="1:63" x14ac:dyDescent="0.25">
      <c r="A363" s="306">
        <v>550000</v>
      </c>
      <c r="B363" s="313" t="s">
        <v>320</v>
      </c>
      <c r="C363" s="313">
        <v>1</v>
      </c>
      <c r="D363" s="313">
        <v>1</v>
      </c>
      <c r="E363" s="313">
        <v>1</v>
      </c>
      <c r="F363" s="313">
        <v>1</v>
      </c>
      <c r="G363" s="313">
        <v>1</v>
      </c>
      <c r="H363" s="313">
        <v>1</v>
      </c>
      <c r="I363" s="313">
        <v>1</v>
      </c>
      <c r="J363" s="313">
        <v>1</v>
      </c>
      <c r="K363" s="313">
        <v>1</v>
      </c>
      <c r="L363" s="313">
        <v>1</v>
      </c>
      <c r="M363" s="313">
        <v>1</v>
      </c>
      <c r="N363" s="313">
        <v>1</v>
      </c>
      <c r="O363" s="313">
        <v>1</v>
      </c>
      <c r="P363" s="313">
        <v>1</v>
      </c>
      <c r="Q363" s="313">
        <v>1</v>
      </c>
      <c r="R363" s="313">
        <v>1</v>
      </c>
      <c r="S363" s="313">
        <v>1</v>
      </c>
      <c r="T363" s="313">
        <v>1</v>
      </c>
      <c r="U363" s="313">
        <v>1</v>
      </c>
      <c r="V363" s="313">
        <v>1</v>
      </c>
      <c r="W363" s="313">
        <v>1</v>
      </c>
      <c r="X363" s="313">
        <v>1</v>
      </c>
      <c r="Y363" s="313">
        <v>1</v>
      </c>
      <c r="Z363" s="313">
        <v>1</v>
      </c>
      <c r="AA363" s="313">
        <v>1</v>
      </c>
      <c r="AB363" s="313">
        <v>1</v>
      </c>
      <c r="AC363" s="313">
        <v>1</v>
      </c>
      <c r="AD363" s="313">
        <v>1</v>
      </c>
      <c r="AE363" s="313">
        <v>1</v>
      </c>
      <c r="AF363" s="313">
        <v>1</v>
      </c>
      <c r="AG363" s="313">
        <v>1</v>
      </c>
      <c r="AH363" s="313">
        <v>1</v>
      </c>
      <c r="AI363" s="313">
        <v>1</v>
      </c>
      <c r="AJ363" s="313">
        <v>1</v>
      </c>
      <c r="AK363" s="313">
        <v>1</v>
      </c>
      <c r="AL363" s="313">
        <v>1</v>
      </c>
      <c r="AM363" s="313">
        <v>1</v>
      </c>
      <c r="AN363" s="313">
        <v>1</v>
      </c>
      <c r="AO363" s="313">
        <v>1</v>
      </c>
      <c r="AP363" s="313">
        <v>1</v>
      </c>
      <c r="AQ363" s="313">
        <v>1</v>
      </c>
      <c r="AR363" s="313">
        <v>1</v>
      </c>
      <c r="AS363" s="313">
        <v>1</v>
      </c>
      <c r="AT363" s="313">
        <v>1</v>
      </c>
      <c r="AU363" s="313">
        <v>1</v>
      </c>
      <c r="AV363" s="313">
        <v>1</v>
      </c>
      <c r="AW363" s="313">
        <v>1</v>
      </c>
      <c r="AX363" s="313">
        <v>1</v>
      </c>
      <c r="AY363" s="313">
        <v>1</v>
      </c>
      <c r="AZ363" s="313">
        <v>1</v>
      </c>
      <c r="BA363" s="313">
        <v>1</v>
      </c>
      <c r="BB363" s="313">
        <v>1</v>
      </c>
      <c r="BC363" s="313">
        <v>1</v>
      </c>
      <c r="BD363" s="313">
        <v>1</v>
      </c>
      <c r="BE363" s="313">
        <v>1</v>
      </c>
      <c r="BF363" s="313">
        <v>1</v>
      </c>
      <c r="BG363" s="313">
        <v>1</v>
      </c>
      <c r="BH363" s="313">
        <v>1</v>
      </c>
      <c r="BI363" s="313">
        <v>1</v>
      </c>
      <c r="BJ363" s="313">
        <v>1</v>
      </c>
      <c r="BK363" s="313">
        <v>1</v>
      </c>
    </row>
    <row r="364" spans="1:63" x14ac:dyDescent="0.25">
      <c r="A364" s="306">
        <v>561100</v>
      </c>
      <c r="B364" s="313" t="s">
        <v>323</v>
      </c>
      <c r="C364" s="313">
        <v>1</v>
      </c>
      <c r="D364" s="313">
        <v>1</v>
      </c>
      <c r="E364" s="313">
        <v>1</v>
      </c>
      <c r="F364" s="313">
        <v>1</v>
      </c>
      <c r="G364" s="313">
        <v>1</v>
      </c>
      <c r="H364" s="313">
        <v>1</v>
      </c>
      <c r="I364" s="313">
        <v>1</v>
      </c>
      <c r="J364" s="313">
        <v>1</v>
      </c>
      <c r="K364" s="313">
        <v>1</v>
      </c>
      <c r="L364" s="313">
        <v>1</v>
      </c>
      <c r="M364" s="313">
        <v>1</v>
      </c>
      <c r="N364" s="313">
        <v>1</v>
      </c>
      <c r="O364" s="313">
        <v>1</v>
      </c>
      <c r="P364" s="313">
        <v>1</v>
      </c>
      <c r="Q364" s="313">
        <v>1</v>
      </c>
      <c r="R364" s="313">
        <v>1</v>
      </c>
      <c r="S364" s="313">
        <v>1</v>
      </c>
      <c r="T364" s="313">
        <v>1</v>
      </c>
      <c r="U364" s="313">
        <v>1</v>
      </c>
      <c r="V364" s="313">
        <v>1</v>
      </c>
      <c r="W364" s="313">
        <v>1</v>
      </c>
      <c r="X364" s="313">
        <v>1</v>
      </c>
      <c r="Y364" s="313">
        <v>1</v>
      </c>
      <c r="Z364" s="313">
        <v>1</v>
      </c>
      <c r="AA364" s="313">
        <v>1</v>
      </c>
      <c r="AB364" s="313">
        <v>1</v>
      </c>
      <c r="AC364" s="313">
        <v>1</v>
      </c>
      <c r="AD364" s="313">
        <v>1</v>
      </c>
      <c r="AE364" s="313">
        <v>1</v>
      </c>
      <c r="AF364" s="313">
        <v>1</v>
      </c>
      <c r="AG364" s="313">
        <v>1</v>
      </c>
      <c r="AH364" s="313">
        <v>1</v>
      </c>
      <c r="AI364" s="313">
        <v>1</v>
      </c>
      <c r="AJ364" s="313">
        <v>1</v>
      </c>
      <c r="AK364" s="313">
        <v>1</v>
      </c>
      <c r="AL364" s="313">
        <v>1</v>
      </c>
      <c r="AM364" s="313">
        <v>1</v>
      </c>
      <c r="AN364" s="313">
        <v>1</v>
      </c>
      <c r="AO364" s="313">
        <v>1</v>
      </c>
      <c r="AP364" s="313">
        <v>1</v>
      </c>
      <c r="AQ364" s="313">
        <v>1</v>
      </c>
      <c r="AR364" s="313">
        <v>1</v>
      </c>
      <c r="AS364" s="313">
        <v>1</v>
      </c>
      <c r="AT364" s="313">
        <v>1</v>
      </c>
      <c r="AU364" s="313">
        <v>1</v>
      </c>
      <c r="AV364" s="313">
        <v>1</v>
      </c>
      <c r="AW364" s="313">
        <v>1</v>
      </c>
      <c r="AX364" s="313">
        <v>1</v>
      </c>
      <c r="AY364" s="313">
        <v>1</v>
      </c>
      <c r="AZ364" s="313">
        <v>1</v>
      </c>
      <c r="BA364" s="313">
        <v>1</v>
      </c>
      <c r="BB364" s="313">
        <v>1</v>
      </c>
      <c r="BC364" s="313">
        <v>1</v>
      </c>
      <c r="BD364" s="313">
        <v>1</v>
      </c>
      <c r="BE364" s="313">
        <v>1</v>
      </c>
      <c r="BF364" s="313">
        <v>1</v>
      </c>
      <c r="BG364" s="313">
        <v>1</v>
      </c>
      <c r="BH364" s="313">
        <v>1</v>
      </c>
      <c r="BI364" s="313">
        <v>1</v>
      </c>
      <c r="BJ364" s="313">
        <v>1</v>
      </c>
      <c r="BK364" s="313">
        <v>1</v>
      </c>
    </row>
    <row r="365" spans="1:63" x14ac:dyDescent="0.25">
      <c r="A365" s="306">
        <v>561200</v>
      </c>
      <c r="B365" s="313" t="s">
        <v>324</v>
      </c>
      <c r="C365" s="313">
        <v>1</v>
      </c>
      <c r="D365" s="313">
        <v>1</v>
      </c>
      <c r="E365" s="313">
        <v>1</v>
      </c>
      <c r="F365" s="313">
        <v>1</v>
      </c>
      <c r="G365" s="313">
        <v>1</v>
      </c>
      <c r="H365" s="313">
        <v>1</v>
      </c>
      <c r="I365" s="313">
        <v>1</v>
      </c>
      <c r="J365" s="313">
        <v>1</v>
      </c>
      <c r="K365" s="313">
        <v>1</v>
      </c>
      <c r="L365" s="313">
        <v>1</v>
      </c>
      <c r="M365" s="313">
        <v>1</v>
      </c>
      <c r="N365" s="313">
        <v>1</v>
      </c>
      <c r="O365" s="313">
        <v>1</v>
      </c>
      <c r="P365" s="313">
        <v>1</v>
      </c>
      <c r="Q365" s="313">
        <v>1</v>
      </c>
      <c r="R365" s="313">
        <v>1</v>
      </c>
      <c r="S365" s="313">
        <v>1</v>
      </c>
      <c r="T365" s="313">
        <v>1</v>
      </c>
      <c r="U365" s="313">
        <v>1</v>
      </c>
      <c r="V365" s="313">
        <v>1</v>
      </c>
      <c r="W365" s="313">
        <v>1</v>
      </c>
      <c r="X365" s="313">
        <v>1</v>
      </c>
      <c r="Y365" s="313">
        <v>1</v>
      </c>
      <c r="Z365" s="313">
        <v>1</v>
      </c>
      <c r="AA365" s="313">
        <v>1</v>
      </c>
      <c r="AB365" s="313">
        <v>1</v>
      </c>
      <c r="AC365" s="313">
        <v>1</v>
      </c>
      <c r="AD365" s="313">
        <v>1</v>
      </c>
      <c r="AE365" s="313">
        <v>1</v>
      </c>
      <c r="AF365" s="313">
        <v>1</v>
      </c>
      <c r="AG365" s="313">
        <v>1</v>
      </c>
      <c r="AH365" s="313">
        <v>1</v>
      </c>
      <c r="AI365" s="313">
        <v>1</v>
      </c>
      <c r="AJ365" s="313">
        <v>1</v>
      </c>
      <c r="AK365" s="313">
        <v>1</v>
      </c>
      <c r="AL365" s="313">
        <v>1</v>
      </c>
      <c r="AM365" s="313">
        <v>1</v>
      </c>
      <c r="AN365" s="313">
        <v>1</v>
      </c>
      <c r="AO365" s="313">
        <v>1</v>
      </c>
      <c r="AP365" s="313">
        <v>1</v>
      </c>
      <c r="AQ365" s="313">
        <v>1</v>
      </c>
      <c r="AR365" s="313">
        <v>1</v>
      </c>
      <c r="AS365" s="313">
        <v>1</v>
      </c>
      <c r="AT365" s="313">
        <v>1</v>
      </c>
      <c r="AU365" s="313">
        <v>1</v>
      </c>
      <c r="AV365" s="313">
        <v>1</v>
      </c>
      <c r="AW365" s="313">
        <v>1</v>
      </c>
      <c r="AX365" s="313">
        <v>1</v>
      </c>
      <c r="AY365" s="313">
        <v>1</v>
      </c>
      <c r="AZ365" s="313">
        <v>1</v>
      </c>
      <c r="BA365" s="313">
        <v>1</v>
      </c>
      <c r="BB365" s="313">
        <v>1</v>
      </c>
      <c r="BC365" s="313">
        <v>1</v>
      </c>
      <c r="BD365" s="313">
        <v>1</v>
      </c>
      <c r="BE365" s="313">
        <v>1</v>
      </c>
      <c r="BF365" s="313">
        <v>1</v>
      </c>
      <c r="BG365" s="313">
        <v>1</v>
      </c>
      <c r="BH365" s="313">
        <v>1</v>
      </c>
      <c r="BI365" s="313">
        <v>1</v>
      </c>
      <c r="BJ365" s="313">
        <v>1</v>
      </c>
      <c r="BK365" s="313">
        <v>1</v>
      </c>
    </row>
    <row r="366" spans="1:63" x14ac:dyDescent="0.25">
      <c r="A366" s="306">
        <v>561300</v>
      </c>
      <c r="B366" s="313" t="s">
        <v>321</v>
      </c>
      <c r="C366" s="313">
        <v>1</v>
      </c>
      <c r="D366" s="313">
        <v>1</v>
      </c>
      <c r="E366" s="313">
        <v>1</v>
      </c>
      <c r="F366" s="313">
        <v>1</v>
      </c>
      <c r="G366" s="313">
        <v>1</v>
      </c>
      <c r="H366" s="313">
        <v>1</v>
      </c>
      <c r="I366" s="313">
        <v>1</v>
      </c>
      <c r="J366" s="313">
        <v>1</v>
      </c>
      <c r="K366" s="313">
        <v>1</v>
      </c>
      <c r="L366" s="313">
        <v>1</v>
      </c>
      <c r="M366" s="313">
        <v>1</v>
      </c>
      <c r="N366" s="313">
        <v>1</v>
      </c>
      <c r="O366" s="313">
        <v>1</v>
      </c>
      <c r="P366" s="313">
        <v>1</v>
      </c>
      <c r="Q366" s="313">
        <v>1</v>
      </c>
      <c r="R366" s="313">
        <v>1</v>
      </c>
      <c r="S366" s="313">
        <v>1</v>
      </c>
      <c r="T366" s="313">
        <v>1</v>
      </c>
      <c r="U366" s="313">
        <v>1</v>
      </c>
      <c r="V366" s="313">
        <v>1</v>
      </c>
      <c r="W366" s="313">
        <v>1</v>
      </c>
      <c r="X366" s="313">
        <v>1</v>
      </c>
      <c r="Y366" s="313">
        <v>1</v>
      </c>
      <c r="Z366" s="313">
        <v>1</v>
      </c>
      <c r="AA366" s="313">
        <v>1</v>
      </c>
      <c r="AB366" s="313">
        <v>1</v>
      </c>
      <c r="AC366" s="313">
        <v>1</v>
      </c>
      <c r="AD366" s="313">
        <v>1</v>
      </c>
      <c r="AE366" s="313">
        <v>1</v>
      </c>
      <c r="AF366" s="313">
        <v>1</v>
      </c>
      <c r="AG366" s="313">
        <v>1</v>
      </c>
      <c r="AH366" s="313">
        <v>1</v>
      </c>
      <c r="AI366" s="313">
        <v>1</v>
      </c>
      <c r="AJ366" s="313">
        <v>1</v>
      </c>
      <c r="AK366" s="313">
        <v>1</v>
      </c>
      <c r="AL366" s="313">
        <v>1</v>
      </c>
      <c r="AM366" s="313">
        <v>1</v>
      </c>
      <c r="AN366" s="313">
        <v>1</v>
      </c>
      <c r="AO366" s="313">
        <v>1</v>
      </c>
      <c r="AP366" s="313">
        <v>1</v>
      </c>
      <c r="AQ366" s="313">
        <v>1</v>
      </c>
      <c r="AR366" s="313">
        <v>1</v>
      </c>
      <c r="AS366" s="313">
        <v>1</v>
      </c>
      <c r="AT366" s="313">
        <v>1</v>
      </c>
      <c r="AU366" s="313">
        <v>1</v>
      </c>
      <c r="AV366" s="313">
        <v>1</v>
      </c>
      <c r="AW366" s="313">
        <v>1</v>
      </c>
      <c r="AX366" s="313">
        <v>1</v>
      </c>
      <c r="AY366" s="313">
        <v>1</v>
      </c>
      <c r="AZ366" s="313">
        <v>1</v>
      </c>
      <c r="BA366" s="313">
        <v>1</v>
      </c>
      <c r="BB366" s="313">
        <v>1</v>
      </c>
      <c r="BC366" s="313">
        <v>1</v>
      </c>
      <c r="BD366" s="313">
        <v>1</v>
      </c>
      <c r="BE366" s="313">
        <v>1</v>
      </c>
      <c r="BF366" s="313">
        <v>1</v>
      </c>
      <c r="BG366" s="313">
        <v>1</v>
      </c>
      <c r="BH366" s="313">
        <v>1</v>
      </c>
      <c r="BI366" s="313">
        <v>1</v>
      </c>
      <c r="BJ366" s="313">
        <v>1</v>
      </c>
      <c r="BK366" s="313">
        <v>1</v>
      </c>
    </row>
    <row r="367" spans="1:63" x14ac:dyDescent="0.25">
      <c r="A367" s="306">
        <v>561400</v>
      </c>
      <c r="B367" s="313" t="s">
        <v>325</v>
      </c>
      <c r="C367" s="313">
        <v>1</v>
      </c>
      <c r="D367" s="313">
        <v>1</v>
      </c>
      <c r="E367" s="313">
        <v>1</v>
      </c>
      <c r="F367" s="313">
        <v>1</v>
      </c>
      <c r="G367" s="313">
        <v>1</v>
      </c>
      <c r="H367" s="313">
        <v>1</v>
      </c>
      <c r="I367" s="313">
        <v>1</v>
      </c>
      <c r="J367" s="313">
        <v>1</v>
      </c>
      <c r="K367" s="313">
        <v>1</v>
      </c>
      <c r="L367" s="313">
        <v>1</v>
      </c>
      <c r="M367" s="313">
        <v>1</v>
      </c>
      <c r="N367" s="313">
        <v>1</v>
      </c>
      <c r="O367" s="313">
        <v>1</v>
      </c>
      <c r="P367" s="313">
        <v>1</v>
      </c>
      <c r="Q367" s="313">
        <v>1</v>
      </c>
      <c r="R367" s="313">
        <v>1</v>
      </c>
      <c r="S367" s="313">
        <v>1</v>
      </c>
      <c r="T367" s="313">
        <v>1</v>
      </c>
      <c r="U367" s="313">
        <v>1</v>
      </c>
      <c r="V367" s="313">
        <v>1</v>
      </c>
      <c r="W367" s="313">
        <v>1</v>
      </c>
      <c r="X367" s="313">
        <v>1</v>
      </c>
      <c r="Y367" s="313">
        <v>1</v>
      </c>
      <c r="Z367" s="313">
        <v>1</v>
      </c>
      <c r="AA367" s="313">
        <v>1</v>
      </c>
      <c r="AB367" s="313">
        <v>1</v>
      </c>
      <c r="AC367" s="313">
        <v>1</v>
      </c>
      <c r="AD367" s="313">
        <v>1</v>
      </c>
      <c r="AE367" s="313">
        <v>1</v>
      </c>
      <c r="AF367" s="313">
        <v>1</v>
      </c>
      <c r="AG367" s="313">
        <v>1</v>
      </c>
      <c r="AH367" s="313">
        <v>1</v>
      </c>
      <c r="AI367" s="313">
        <v>1</v>
      </c>
      <c r="AJ367" s="313">
        <v>1</v>
      </c>
      <c r="AK367" s="313">
        <v>1</v>
      </c>
      <c r="AL367" s="313">
        <v>1</v>
      </c>
      <c r="AM367" s="313">
        <v>1</v>
      </c>
      <c r="AN367" s="313">
        <v>1</v>
      </c>
      <c r="AO367" s="313">
        <v>1</v>
      </c>
      <c r="AP367" s="313">
        <v>1</v>
      </c>
      <c r="AQ367" s="313">
        <v>1</v>
      </c>
      <c r="AR367" s="313">
        <v>1</v>
      </c>
      <c r="AS367" s="313">
        <v>1</v>
      </c>
      <c r="AT367" s="313">
        <v>1</v>
      </c>
      <c r="AU367" s="313">
        <v>1</v>
      </c>
      <c r="AV367" s="313">
        <v>1</v>
      </c>
      <c r="AW367" s="313">
        <v>1</v>
      </c>
      <c r="AX367" s="313">
        <v>1</v>
      </c>
      <c r="AY367" s="313">
        <v>1</v>
      </c>
      <c r="AZ367" s="313">
        <v>1</v>
      </c>
      <c r="BA367" s="313">
        <v>1</v>
      </c>
      <c r="BB367" s="313">
        <v>1</v>
      </c>
      <c r="BC367" s="313">
        <v>1</v>
      </c>
      <c r="BD367" s="313">
        <v>1</v>
      </c>
      <c r="BE367" s="313">
        <v>1</v>
      </c>
      <c r="BF367" s="313">
        <v>1</v>
      </c>
      <c r="BG367" s="313">
        <v>1</v>
      </c>
      <c r="BH367" s="313">
        <v>1</v>
      </c>
      <c r="BI367" s="313">
        <v>1</v>
      </c>
      <c r="BJ367" s="313">
        <v>1</v>
      </c>
      <c r="BK367" s="313">
        <v>1</v>
      </c>
    </row>
    <row r="368" spans="1:63" x14ac:dyDescent="0.25">
      <c r="A368" s="306">
        <v>561500</v>
      </c>
      <c r="B368" s="313" t="s">
        <v>322</v>
      </c>
      <c r="C368" s="313">
        <v>1</v>
      </c>
      <c r="D368" s="313">
        <v>1</v>
      </c>
      <c r="E368" s="313">
        <v>1</v>
      </c>
      <c r="F368" s="313">
        <v>1</v>
      </c>
      <c r="G368" s="313">
        <v>1</v>
      </c>
      <c r="H368" s="313">
        <v>1</v>
      </c>
      <c r="I368" s="313">
        <v>1</v>
      </c>
      <c r="J368" s="313">
        <v>1</v>
      </c>
      <c r="K368" s="313">
        <v>1</v>
      </c>
      <c r="L368" s="313">
        <v>1</v>
      </c>
      <c r="M368" s="313">
        <v>1</v>
      </c>
      <c r="N368" s="313">
        <v>1</v>
      </c>
      <c r="O368" s="313">
        <v>1</v>
      </c>
      <c r="P368" s="313">
        <v>1</v>
      </c>
      <c r="Q368" s="313">
        <v>1</v>
      </c>
      <c r="R368" s="313">
        <v>1</v>
      </c>
      <c r="S368" s="313">
        <v>1</v>
      </c>
      <c r="T368" s="313">
        <v>1</v>
      </c>
      <c r="U368" s="313">
        <v>1</v>
      </c>
      <c r="V368" s="313">
        <v>1</v>
      </c>
      <c r="W368" s="313">
        <v>1</v>
      </c>
      <c r="X368" s="313">
        <v>1</v>
      </c>
      <c r="Y368" s="313">
        <v>1</v>
      </c>
      <c r="Z368" s="313">
        <v>1</v>
      </c>
      <c r="AA368" s="313">
        <v>1</v>
      </c>
      <c r="AB368" s="313">
        <v>1</v>
      </c>
      <c r="AC368" s="313">
        <v>1</v>
      </c>
      <c r="AD368" s="313">
        <v>1</v>
      </c>
      <c r="AE368" s="313">
        <v>1</v>
      </c>
      <c r="AF368" s="313">
        <v>1</v>
      </c>
      <c r="AG368" s="313">
        <v>1</v>
      </c>
      <c r="AH368" s="313">
        <v>1</v>
      </c>
      <c r="AI368" s="313">
        <v>1</v>
      </c>
      <c r="AJ368" s="313">
        <v>1</v>
      </c>
      <c r="AK368" s="313">
        <v>1</v>
      </c>
      <c r="AL368" s="313">
        <v>1</v>
      </c>
      <c r="AM368" s="313">
        <v>1</v>
      </c>
      <c r="AN368" s="313">
        <v>1</v>
      </c>
      <c r="AO368" s="313">
        <v>1</v>
      </c>
      <c r="AP368" s="313">
        <v>1</v>
      </c>
      <c r="AQ368" s="313">
        <v>1</v>
      </c>
      <c r="AR368" s="313">
        <v>1</v>
      </c>
      <c r="AS368" s="313">
        <v>1</v>
      </c>
      <c r="AT368" s="313">
        <v>1</v>
      </c>
      <c r="AU368" s="313">
        <v>1</v>
      </c>
      <c r="AV368" s="313">
        <v>1</v>
      </c>
      <c r="AW368" s="313">
        <v>1</v>
      </c>
      <c r="AX368" s="313">
        <v>1</v>
      </c>
      <c r="AY368" s="313">
        <v>1</v>
      </c>
      <c r="AZ368" s="313">
        <v>1</v>
      </c>
      <c r="BA368" s="313">
        <v>1</v>
      </c>
      <c r="BB368" s="313">
        <v>1</v>
      </c>
      <c r="BC368" s="313">
        <v>1</v>
      </c>
      <c r="BD368" s="313">
        <v>1</v>
      </c>
      <c r="BE368" s="313">
        <v>1</v>
      </c>
      <c r="BF368" s="313">
        <v>1</v>
      </c>
      <c r="BG368" s="313">
        <v>1</v>
      </c>
      <c r="BH368" s="313">
        <v>1</v>
      </c>
      <c r="BI368" s="313">
        <v>1</v>
      </c>
      <c r="BJ368" s="313">
        <v>1</v>
      </c>
      <c r="BK368" s="313">
        <v>1</v>
      </c>
    </row>
    <row r="369" spans="1:63" x14ac:dyDescent="0.25">
      <c r="A369" s="306">
        <v>561600</v>
      </c>
      <c r="B369" s="313" t="s">
        <v>326</v>
      </c>
      <c r="C369" s="313">
        <v>1</v>
      </c>
      <c r="D369" s="313">
        <v>1</v>
      </c>
      <c r="E369" s="313">
        <v>1</v>
      </c>
      <c r="F369" s="313">
        <v>1</v>
      </c>
      <c r="G369" s="313">
        <v>1</v>
      </c>
      <c r="H369" s="313">
        <v>1</v>
      </c>
      <c r="I369" s="313">
        <v>1</v>
      </c>
      <c r="J369" s="313">
        <v>1</v>
      </c>
      <c r="K369" s="313">
        <v>1</v>
      </c>
      <c r="L369" s="313">
        <v>1</v>
      </c>
      <c r="M369" s="313">
        <v>1</v>
      </c>
      <c r="N369" s="313">
        <v>1</v>
      </c>
      <c r="O369" s="313">
        <v>1</v>
      </c>
      <c r="P369" s="313">
        <v>1</v>
      </c>
      <c r="Q369" s="313">
        <v>1</v>
      </c>
      <c r="R369" s="313">
        <v>1</v>
      </c>
      <c r="S369" s="313">
        <v>1</v>
      </c>
      <c r="T369" s="313">
        <v>1</v>
      </c>
      <c r="U369" s="313">
        <v>1</v>
      </c>
      <c r="V369" s="313">
        <v>1</v>
      </c>
      <c r="W369" s="313">
        <v>1</v>
      </c>
      <c r="X369" s="313">
        <v>1</v>
      </c>
      <c r="Y369" s="313">
        <v>1</v>
      </c>
      <c r="Z369" s="313">
        <v>1</v>
      </c>
      <c r="AA369" s="313">
        <v>1</v>
      </c>
      <c r="AB369" s="313">
        <v>1</v>
      </c>
      <c r="AC369" s="313">
        <v>1</v>
      </c>
      <c r="AD369" s="313">
        <v>1</v>
      </c>
      <c r="AE369" s="313">
        <v>1</v>
      </c>
      <c r="AF369" s="313">
        <v>1</v>
      </c>
      <c r="AG369" s="313">
        <v>1</v>
      </c>
      <c r="AH369" s="313">
        <v>1</v>
      </c>
      <c r="AI369" s="313">
        <v>1</v>
      </c>
      <c r="AJ369" s="313">
        <v>1</v>
      </c>
      <c r="AK369" s="313">
        <v>1</v>
      </c>
      <c r="AL369" s="313">
        <v>1</v>
      </c>
      <c r="AM369" s="313">
        <v>1</v>
      </c>
      <c r="AN369" s="313">
        <v>1</v>
      </c>
      <c r="AO369" s="313">
        <v>1</v>
      </c>
      <c r="AP369" s="313">
        <v>1</v>
      </c>
      <c r="AQ369" s="313">
        <v>1</v>
      </c>
      <c r="AR369" s="313">
        <v>1</v>
      </c>
      <c r="AS369" s="313">
        <v>1</v>
      </c>
      <c r="AT369" s="313">
        <v>1</v>
      </c>
      <c r="AU369" s="313">
        <v>1</v>
      </c>
      <c r="AV369" s="313">
        <v>1</v>
      </c>
      <c r="AW369" s="313">
        <v>1</v>
      </c>
      <c r="AX369" s="313">
        <v>1</v>
      </c>
      <c r="AY369" s="313">
        <v>1</v>
      </c>
      <c r="AZ369" s="313">
        <v>1</v>
      </c>
      <c r="BA369" s="313">
        <v>1</v>
      </c>
      <c r="BB369" s="313">
        <v>1</v>
      </c>
      <c r="BC369" s="313">
        <v>1</v>
      </c>
      <c r="BD369" s="313">
        <v>1</v>
      </c>
      <c r="BE369" s="313">
        <v>1</v>
      </c>
      <c r="BF369" s="313">
        <v>1</v>
      </c>
      <c r="BG369" s="313">
        <v>1</v>
      </c>
      <c r="BH369" s="313">
        <v>1</v>
      </c>
      <c r="BI369" s="313">
        <v>1</v>
      </c>
      <c r="BJ369" s="313">
        <v>1</v>
      </c>
      <c r="BK369" s="313">
        <v>1</v>
      </c>
    </row>
    <row r="370" spans="1:63" x14ac:dyDescent="0.25">
      <c r="A370" s="306">
        <v>561700</v>
      </c>
      <c r="B370" s="313" t="s">
        <v>327</v>
      </c>
      <c r="C370" s="313">
        <v>1</v>
      </c>
      <c r="D370" s="313">
        <v>1</v>
      </c>
      <c r="E370" s="313">
        <v>1</v>
      </c>
      <c r="F370" s="313">
        <v>1</v>
      </c>
      <c r="G370" s="313">
        <v>1</v>
      </c>
      <c r="H370" s="313">
        <v>1</v>
      </c>
      <c r="I370" s="313">
        <v>1</v>
      </c>
      <c r="J370" s="313">
        <v>1</v>
      </c>
      <c r="K370" s="313">
        <v>1</v>
      </c>
      <c r="L370" s="313">
        <v>1</v>
      </c>
      <c r="M370" s="313">
        <v>1</v>
      </c>
      <c r="N370" s="313">
        <v>1</v>
      </c>
      <c r="O370" s="313">
        <v>1</v>
      </c>
      <c r="P370" s="313">
        <v>1</v>
      </c>
      <c r="Q370" s="313">
        <v>1</v>
      </c>
      <c r="R370" s="313">
        <v>1</v>
      </c>
      <c r="S370" s="313">
        <v>1</v>
      </c>
      <c r="T370" s="313">
        <v>1</v>
      </c>
      <c r="U370" s="313">
        <v>1</v>
      </c>
      <c r="V370" s="313">
        <v>1</v>
      </c>
      <c r="W370" s="313">
        <v>1</v>
      </c>
      <c r="X370" s="313">
        <v>1</v>
      </c>
      <c r="Y370" s="313">
        <v>1</v>
      </c>
      <c r="Z370" s="313">
        <v>1</v>
      </c>
      <c r="AA370" s="313">
        <v>1</v>
      </c>
      <c r="AB370" s="313">
        <v>1</v>
      </c>
      <c r="AC370" s="313">
        <v>1</v>
      </c>
      <c r="AD370" s="313">
        <v>1</v>
      </c>
      <c r="AE370" s="313">
        <v>1</v>
      </c>
      <c r="AF370" s="313">
        <v>1</v>
      </c>
      <c r="AG370" s="313">
        <v>1</v>
      </c>
      <c r="AH370" s="313">
        <v>1</v>
      </c>
      <c r="AI370" s="313">
        <v>1</v>
      </c>
      <c r="AJ370" s="313">
        <v>1</v>
      </c>
      <c r="AK370" s="313">
        <v>1</v>
      </c>
      <c r="AL370" s="313">
        <v>1</v>
      </c>
      <c r="AM370" s="313">
        <v>1</v>
      </c>
      <c r="AN370" s="313">
        <v>1</v>
      </c>
      <c r="AO370" s="313">
        <v>1</v>
      </c>
      <c r="AP370" s="313">
        <v>1</v>
      </c>
      <c r="AQ370" s="313">
        <v>1</v>
      </c>
      <c r="AR370" s="313">
        <v>1</v>
      </c>
      <c r="AS370" s="313">
        <v>1</v>
      </c>
      <c r="AT370" s="313">
        <v>1</v>
      </c>
      <c r="AU370" s="313">
        <v>1</v>
      </c>
      <c r="AV370" s="313">
        <v>1</v>
      </c>
      <c r="AW370" s="313">
        <v>1</v>
      </c>
      <c r="AX370" s="313">
        <v>1</v>
      </c>
      <c r="AY370" s="313">
        <v>1</v>
      </c>
      <c r="AZ370" s="313">
        <v>1</v>
      </c>
      <c r="BA370" s="313">
        <v>1</v>
      </c>
      <c r="BB370" s="313">
        <v>1</v>
      </c>
      <c r="BC370" s="313">
        <v>1</v>
      </c>
      <c r="BD370" s="313">
        <v>1</v>
      </c>
      <c r="BE370" s="313">
        <v>1</v>
      </c>
      <c r="BF370" s="313">
        <v>1</v>
      </c>
      <c r="BG370" s="313">
        <v>1</v>
      </c>
      <c r="BH370" s="313">
        <v>1</v>
      </c>
      <c r="BI370" s="313">
        <v>1</v>
      </c>
      <c r="BJ370" s="313">
        <v>1</v>
      </c>
      <c r="BK370" s="313">
        <v>1</v>
      </c>
    </row>
    <row r="371" spans="1:63" x14ac:dyDescent="0.25">
      <c r="A371" s="306">
        <v>561900</v>
      </c>
      <c r="B371" s="313" t="s">
        <v>328</v>
      </c>
      <c r="C371" s="313">
        <v>1</v>
      </c>
      <c r="D371" s="313">
        <v>1</v>
      </c>
      <c r="E371" s="313">
        <v>1</v>
      </c>
      <c r="F371" s="313">
        <v>1</v>
      </c>
      <c r="G371" s="313">
        <v>1</v>
      </c>
      <c r="H371" s="313">
        <v>1</v>
      </c>
      <c r="I371" s="313">
        <v>1</v>
      </c>
      <c r="J371" s="313">
        <v>1</v>
      </c>
      <c r="K371" s="313">
        <v>1</v>
      </c>
      <c r="L371" s="313">
        <v>1</v>
      </c>
      <c r="M371" s="313">
        <v>1</v>
      </c>
      <c r="N371" s="313">
        <v>1</v>
      </c>
      <c r="O371" s="313">
        <v>1</v>
      </c>
      <c r="P371" s="313">
        <v>1</v>
      </c>
      <c r="Q371" s="313">
        <v>1</v>
      </c>
      <c r="R371" s="313">
        <v>1</v>
      </c>
      <c r="S371" s="313">
        <v>1</v>
      </c>
      <c r="T371" s="313">
        <v>1</v>
      </c>
      <c r="U371" s="313">
        <v>1</v>
      </c>
      <c r="V371" s="313">
        <v>1</v>
      </c>
      <c r="W371" s="313">
        <v>1</v>
      </c>
      <c r="X371" s="313">
        <v>1</v>
      </c>
      <c r="Y371" s="313">
        <v>1</v>
      </c>
      <c r="Z371" s="313">
        <v>1</v>
      </c>
      <c r="AA371" s="313">
        <v>1</v>
      </c>
      <c r="AB371" s="313">
        <v>1</v>
      </c>
      <c r="AC371" s="313">
        <v>1</v>
      </c>
      <c r="AD371" s="313">
        <v>1</v>
      </c>
      <c r="AE371" s="313">
        <v>1</v>
      </c>
      <c r="AF371" s="313">
        <v>1</v>
      </c>
      <c r="AG371" s="313">
        <v>1</v>
      </c>
      <c r="AH371" s="313">
        <v>1</v>
      </c>
      <c r="AI371" s="313">
        <v>1</v>
      </c>
      <c r="AJ371" s="313">
        <v>1</v>
      </c>
      <c r="AK371" s="313">
        <v>1</v>
      </c>
      <c r="AL371" s="313">
        <v>1</v>
      </c>
      <c r="AM371" s="313">
        <v>1</v>
      </c>
      <c r="AN371" s="313">
        <v>1</v>
      </c>
      <c r="AO371" s="313">
        <v>1</v>
      </c>
      <c r="AP371" s="313">
        <v>1</v>
      </c>
      <c r="AQ371" s="313">
        <v>1</v>
      </c>
      <c r="AR371" s="313">
        <v>1</v>
      </c>
      <c r="AS371" s="313">
        <v>1</v>
      </c>
      <c r="AT371" s="313">
        <v>1</v>
      </c>
      <c r="AU371" s="313">
        <v>1</v>
      </c>
      <c r="AV371" s="313">
        <v>1</v>
      </c>
      <c r="AW371" s="313">
        <v>1</v>
      </c>
      <c r="AX371" s="313">
        <v>1</v>
      </c>
      <c r="AY371" s="313">
        <v>1</v>
      </c>
      <c r="AZ371" s="313">
        <v>1</v>
      </c>
      <c r="BA371" s="313">
        <v>1</v>
      </c>
      <c r="BB371" s="313">
        <v>1</v>
      </c>
      <c r="BC371" s="313">
        <v>1</v>
      </c>
      <c r="BD371" s="313">
        <v>1</v>
      </c>
      <c r="BE371" s="313">
        <v>1</v>
      </c>
      <c r="BF371" s="313">
        <v>1</v>
      </c>
      <c r="BG371" s="313">
        <v>1</v>
      </c>
      <c r="BH371" s="313">
        <v>1</v>
      </c>
      <c r="BI371" s="313">
        <v>1</v>
      </c>
      <c r="BJ371" s="313">
        <v>1</v>
      </c>
      <c r="BK371" s="313">
        <v>1</v>
      </c>
    </row>
    <row r="372" spans="1:63" x14ac:dyDescent="0.25">
      <c r="A372" s="306">
        <v>562000</v>
      </c>
      <c r="B372" s="313" t="s">
        <v>329</v>
      </c>
      <c r="C372" s="313">
        <v>1</v>
      </c>
      <c r="D372" s="313">
        <v>1</v>
      </c>
      <c r="E372" s="313">
        <v>1</v>
      </c>
      <c r="F372" s="313">
        <v>1</v>
      </c>
      <c r="G372" s="313">
        <v>1</v>
      </c>
      <c r="H372" s="313">
        <v>1</v>
      </c>
      <c r="I372" s="313">
        <v>1</v>
      </c>
      <c r="J372" s="313">
        <v>1</v>
      </c>
      <c r="K372" s="313">
        <v>1</v>
      </c>
      <c r="L372" s="313">
        <v>1</v>
      </c>
      <c r="M372" s="313">
        <v>1</v>
      </c>
      <c r="N372" s="313">
        <v>1</v>
      </c>
      <c r="O372" s="313">
        <v>1</v>
      </c>
      <c r="P372" s="313">
        <v>1</v>
      </c>
      <c r="Q372" s="313">
        <v>1</v>
      </c>
      <c r="R372" s="313">
        <v>1</v>
      </c>
      <c r="S372" s="313">
        <v>1</v>
      </c>
      <c r="T372" s="313">
        <v>1</v>
      </c>
      <c r="U372" s="313">
        <v>1</v>
      </c>
      <c r="V372" s="313">
        <v>1</v>
      </c>
      <c r="W372" s="313">
        <v>1</v>
      </c>
      <c r="X372" s="313">
        <v>1</v>
      </c>
      <c r="Y372" s="313">
        <v>1</v>
      </c>
      <c r="Z372" s="313">
        <v>1</v>
      </c>
      <c r="AA372" s="313">
        <v>1</v>
      </c>
      <c r="AB372" s="313">
        <v>1</v>
      </c>
      <c r="AC372" s="313">
        <v>1</v>
      </c>
      <c r="AD372" s="313">
        <v>1</v>
      </c>
      <c r="AE372" s="313">
        <v>1</v>
      </c>
      <c r="AF372" s="313">
        <v>1</v>
      </c>
      <c r="AG372" s="313">
        <v>1</v>
      </c>
      <c r="AH372" s="313">
        <v>1</v>
      </c>
      <c r="AI372" s="313">
        <v>1</v>
      </c>
      <c r="AJ372" s="313">
        <v>1</v>
      </c>
      <c r="AK372" s="313">
        <v>1</v>
      </c>
      <c r="AL372" s="313">
        <v>1</v>
      </c>
      <c r="AM372" s="313">
        <v>1</v>
      </c>
      <c r="AN372" s="313">
        <v>1</v>
      </c>
      <c r="AO372" s="313">
        <v>1</v>
      </c>
      <c r="AP372" s="313">
        <v>1</v>
      </c>
      <c r="AQ372" s="313">
        <v>1</v>
      </c>
      <c r="AR372" s="313">
        <v>1</v>
      </c>
      <c r="AS372" s="313">
        <v>1</v>
      </c>
      <c r="AT372" s="313">
        <v>1</v>
      </c>
      <c r="AU372" s="313">
        <v>1</v>
      </c>
      <c r="AV372" s="313">
        <v>1</v>
      </c>
      <c r="AW372" s="313">
        <v>1</v>
      </c>
      <c r="AX372" s="313">
        <v>1</v>
      </c>
      <c r="AY372" s="313">
        <v>1</v>
      </c>
      <c r="AZ372" s="313">
        <v>1</v>
      </c>
      <c r="BA372" s="313">
        <v>1</v>
      </c>
      <c r="BB372" s="313">
        <v>1</v>
      </c>
      <c r="BC372" s="313">
        <v>1</v>
      </c>
      <c r="BD372" s="313">
        <v>1</v>
      </c>
      <c r="BE372" s="313">
        <v>1</v>
      </c>
      <c r="BF372" s="313">
        <v>1</v>
      </c>
      <c r="BG372" s="313">
        <v>1</v>
      </c>
      <c r="BH372" s="313">
        <v>1</v>
      </c>
      <c r="BI372" s="313">
        <v>1</v>
      </c>
      <c r="BJ372" s="313">
        <v>1</v>
      </c>
      <c r="BK372" s="313">
        <v>1</v>
      </c>
    </row>
    <row r="373" spans="1:63" x14ac:dyDescent="0.25">
      <c r="A373" s="306">
        <v>611100</v>
      </c>
      <c r="B373" s="313" t="s">
        <v>772</v>
      </c>
      <c r="C373" s="313">
        <v>1</v>
      </c>
      <c r="D373" s="313">
        <v>1</v>
      </c>
      <c r="E373" s="313">
        <v>1</v>
      </c>
      <c r="F373" s="313">
        <v>1</v>
      </c>
      <c r="G373" s="313">
        <v>1</v>
      </c>
      <c r="H373" s="313">
        <v>1</v>
      </c>
      <c r="I373" s="313">
        <v>1</v>
      </c>
      <c r="J373" s="313">
        <v>1</v>
      </c>
      <c r="K373" s="313">
        <v>1</v>
      </c>
      <c r="L373" s="313">
        <v>1</v>
      </c>
      <c r="M373" s="313">
        <v>1</v>
      </c>
      <c r="N373" s="313">
        <v>1</v>
      </c>
      <c r="O373" s="313">
        <v>1</v>
      </c>
      <c r="P373" s="313">
        <v>1</v>
      </c>
      <c r="Q373" s="313">
        <v>1</v>
      </c>
      <c r="R373" s="313">
        <v>1</v>
      </c>
      <c r="S373" s="313">
        <v>1</v>
      </c>
      <c r="T373" s="313">
        <v>1</v>
      </c>
      <c r="U373" s="313">
        <v>1</v>
      </c>
      <c r="V373" s="313">
        <v>1</v>
      </c>
      <c r="W373" s="313">
        <v>1</v>
      </c>
      <c r="X373" s="313">
        <v>1</v>
      </c>
      <c r="Y373" s="313">
        <v>1</v>
      </c>
      <c r="Z373" s="313">
        <v>1</v>
      </c>
      <c r="AA373" s="313">
        <v>1</v>
      </c>
      <c r="AB373" s="313">
        <v>1</v>
      </c>
      <c r="AC373" s="313">
        <v>1</v>
      </c>
      <c r="AD373" s="313">
        <v>1</v>
      </c>
      <c r="AE373" s="313">
        <v>1</v>
      </c>
      <c r="AF373" s="313">
        <v>1</v>
      </c>
      <c r="AG373" s="313">
        <v>1</v>
      </c>
      <c r="AH373" s="313">
        <v>1</v>
      </c>
      <c r="AI373" s="313">
        <v>1</v>
      </c>
      <c r="AJ373" s="313">
        <v>1</v>
      </c>
      <c r="AK373" s="313">
        <v>1</v>
      </c>
      <c r="AL373" s="313">
        <v>1</v>
      </c>
      <c r="AM373" s="313">
        <v>1</v>
      </c>
      <c r="AN373" s="313">
        <v>1</v>
      </c>
      <c r="AO373" s="313">
        <v>1</v>
      </c>
      <c r="AP373" s="313">
        <v>1</v>
      </c>
      <c r="AQ373" s="313">
        <v>1</v>
      </c>
      <c r="AR373" s="313">
        <v>1</v>
      </c>
      <c r="AS373" s="313">
        <v>1</v>
      </c>
      <c r="AT373" s="313">
        <v>1</v>
      </c>
      <c r="AU373" s="313">
        <v>1</v>
      </c>
      <c r="AV373" s="313">
        <v>1</v>
      </c>
      <c r="AW373" s="313">
        <v>1</v>
      </c>
      <c r="AX373" s="313">
        <v>1</v>
      </c>
      <c r="AY373" s="313">
        <v>1</v>
      </c>
      <c r="AZ373" s="313">
        <v>1</v>
      </c>
      <c r="BA373" s="313">
        <v>1</v>
      </c>
      <c r="BB373" s="313">
        <v>1</v>
      </c>
      <c r="BC373" s="313">
        <v>1</v>
      </c>
      <c r="BD373" s="313">
        <v>1</v>
      </c>
      <c r="BE373" s="313">
        <v>1</v>
      </c>
      <c r="BF373" s="313">
        <v>1</v>
      </c>
      <c r="BG373" s="313">
        <v>1</v>
      </c>
      <c r="BH373" s="313">
        <v>1</v>
      </c>
      <c r="BI373" s="313">
        <v>1</v>
      </c>
      <c r="BJ373" s="313">
        <v>1</v>
      </c>
      <c r="BK373" s="313">
        <v>1</v>
      </c>
    </row>
    <row r="374" spans="1:63" x14ac:dyDescent="0.25">
      <c r="A374" s="306" t="s">
        <v>773</v>
      </c>
      <c r="B374" s="313" t="s">
        <v>774</v>
      </c>
      <c r="C374" s="313">
        <v>1</v>
      </c>
      <c r="D374" s="313">
        <v>1</v>
      </c>
      <c r="E374" s="313">
        <v>1</v>
      </c>
      <c r="F374" s="313">
        <v>1</v>
      </c>
      <c r="G374" s="313">
        <v>1</v>
      </c>
      <c r="H374" s="313">
        <v>1</v>
      </c>
      <c r="I374" s="313">
        <v>1</v>
      </c>
      <c r="J374" s="313">
        <v>1</v>
      </c>
      <c r="K374" s="313">
        <v>1</v>
      </c>
      <c r="L374" s="313">
        <v>1</v>
      </c>
      <c r="M374" s="313">
        <v>1</v>
      </c>
      <c r="N374" s="313">
        <v>1</v>
      </c>
      <c r="O374" s="313">
        <v>1</v>
      </c>
      <c r="P374" s="313">
        <v>1</v>
      </c>
      <c r="Q374" s="313">
        <v>1</v>
      </c>
      <c r="R374" s="313">
        <v>1</v>
      </c>
      <c r="S374" s="313">
        <v>1</v>
      </c>
      <c r="T374" s="313">
        <v>1</v>
      </c>
      <c r="U374" s="313">
        <v>1</v>
      </c>
      <c r="V374" s="313">
        <v>1</v>
      </c>
      <c r="W374" s="313">
        <v>1</v>
      </c>
      <c r="X374" s="313">
        <v>1</v>
      </c>
      <c r="Y374" s="313">
        <v>1</v>
      </c>
      <c r="Z374" s="313">
        <v>1</v>
      </c>
      <c r="AA374" s="313">
        <v>1</v>
      </c>
      <c r="AB374" s="313">
        <v>1</v>
      </c>
      <c r="AC374" s="313">
        <v>1</v>
      </c>
      <c r="AD374" s="313">
        <v>1</v>
      </c>
      <c r="AE374" s="313">
        <v>1</v>
      </c>
      <c r="AF374" s="313">
        <v>1</v>
      </c>
      <c r="AG374" s="313">
        <v>1</v>
      </c>
      <c r="AH374" s="313">
        <v>1</v>
      </c>
      <c r="AI374" s="313">
        <v>1</v>
      </c>
      <c r="AJ374" s="313">
        <v>1</v>
      </c>
      <c r="AK374" s="313">
        <v>1</v>
      </c>
      <c r="AL374" s="313">
        <v>1</v>
      </c>
      <c r="AM374" s="313">
        <v>1</v>
      </c>
      <c r="AN374" s="313">
        <v>1</v>
      </c>
      <c r="AO374" s="313">
        <v>1</v>
      </c>
      <c r="AP374" s="313">
        <v>1</v>
      </c>
      <c r="AQ374" s="313">
        <v>1</v>
      </c>
      <c r="AR374" s="313">
        <v>1</v>
      </c>
      <c r="AS374" s="313">
        <v>1</v>
      </c>
      <c r="AT374" s="313">
        <v>1</v>
      </c>
      <c r="AU374" s="313">
        <v>1</v>
      </c>
      <c r="AV374" s="313">
        <v>1</v>
      </c>
      <c r="AW374" s="313">
        <v>1</v>
      </c>
      <c r="AX374" s="313">
        <v>1</v>
      </c>
      <c r="AY374" s="313">
        <v>1</v>
      </c>
      <c r="AZ374" s="313">
        <v>1</v>
      </c>
      <c r="BA374" s="313">
        <v>1</v>
      </c>
      <c r="BB374" s="313">
        <v>1</v>
      </c>
      <c r="BC374" s="313">
        <v>1</v>
      </c>
      <c r="BD374" s="313">
        <v>1</v>
      </c>
      <c r="BE374" s="313">
        <v>1</v>
      </c>
      <c r="BF374" s="313">
        <v>1</v>
      </c>
      <c r="BG374" s="313">
        <v>1</v>
      </c>
      <c r="BH374" s="313">
        <v>1</v>
      </c>
      <c r="BI374" s="313">
        <v>1</v>
      </c>
      <c r="BJ374" s="313">
        <v>1</v>
      </c>
      <c r="BK374" s="313">
        <v>1</v>
      </c>
    </row>
    <row r="375" spans="1:63" x14ac:dyDescent="0.25">
      <c r="A375" s="306" t="s">
        <v>775</v>
      </c>
      <c r="B375" s="313" t="s">
        <v>776</v>
      </c>
      <c r="C375" s="313">
        <v>1</v>
      </c>
      <c r="D375" s="313">
        <v>1</v>
      </c>
      <c r="E375" s="313">
        <v>1</v>
      </c>
      <c r="F375" s="313">
        <v>1</v>
      </c>
      <c r="G375" s="313">
        <v>1</v>
      </c>
      <c r="H375" s="313">
        <v>1</v>
      </c>
      <c r="I375" s="313">
        <v>1</v>
      </c>
      <c r="J375" s="313">
        <v>1</v>
      </c>
      <c r="K375" s="313">
        <v>1</v>
      </c>
      <c r="L375" s="313">
        <v>1</v>
      </c>
      <c r="M375" s="313">
        <v>1</v>
      </c>
      <c r="N375" s="313">
        <v>1</v>
      </c>
      <c r="O375" s="313">
        <v>1</v>
      </c>
      <c r="P375" s="313">
        <v>1</v>
      </c>
      <c r="Q375" s="313">
        <v>1</v>
      </c>
      <c r="R375" s="313">
        <v>1</v>
      </c>
      <c r="S375" s="313">
        <v>1</v>
      </c>
      <c r="T375" s="313">
        <v>1</v>
      </c>
      <c r="U375" s="313">
        <v>1</v>
      </c>
      <c r="V375" s="313">
        <v>1</v>
      </c>
      <c r="W375" s="313">
        <v>1</v>
      </c>
      <c r="X375" s="313">
        <v>1</v>
      </c>
      <c r="Y375" s="313">
        <v>1</v>
      </c>
      <c r="Z375" s="313">
        <v>1</v>
      </c>
      <c r="AA375" s="313">
        <v>1</v>
      </c>
      <c r="AB375" s="313">
        <v>1</v>
      </c>
      <c r="AC375" s="313">
        <v>1</v>
      </c>
      <c r="AD375" s="313">
        <v>1</v>
      </c>
      <c r="AE375" s="313">
        <v>1</v>
      </c>
      <c r="AF375" s="313">
        <v>1</v>
      </c>
      <c r="AG375" s="313">
        <v>1</v>
      </c>
      <c r="AH375" s="313">
        <v>1</v>
      </c>
      <c r="AI375" s="313">
        <v>1</v>
      </c>
      <c r="AJ375" s="313">
        <v>1</v>
      </c>
      <c r="AK375" s="313">
        <v>1</v>
      </c>
      <c r="AL375" s="313">
        <v>1</v>
      </c>
      <c r="AM375" s="313">
        <v>1</v>
      </c>
      <c r="AN375" s="313">
        <v>1</v>
      </c>
      <c r="AO375" s="313">
        <v>1</v>
      </c>
      <c r="AP375" s="313">
        <v>1</v>
      </c>
      <c r="AQ375" s="313">
        <v>1</v>
      </c>
      <c r="AR375" s="313">
        <v>1</v>
      </c>
      <c r="AS375" s="313">
        <v>1</v>
      </c>
      <c r="AT375" s="313">
        <v>1</v>
      </c>
      <c r="AU375" s="313">
        <v>1</v>
      </c>
      <c r="AV375" s="313">
        <v>1</v>
      </c>
      <c r="AW375" s="313">
        <v>1</v>
      </c>
      <c r="AX375" s="313">
        <v>1</v>
      </c>
      <c r="AY375" s="313">
        <v>1</v>
      </c>
      <c r="AZ375" s="313">
        <v>1</v>
      </c>
      <c r="BA375" s="313">
        <v>1</v>
      </c>
      <c r="BB375" s="313">
        <v>1</v>
      </c>
      <c r="BC375" s="313">
        <v>1</v>
      </c>
      <c r="BD375" s="313">
        <v>1</v>
      </c>
      <c r="BE375" s="313">
        <v>1</v>
      </c>
      <c r="BF375" s="313">
        <v>1</v>
      </c>
      <c r="BG375" s="313">
        <v>1</v>
      </c>
      <c r="BH375" s="313">
        <v>1</v>
      </c>
      <c r="BI375" s="313">
        <v>1</v>
      </c>
      <c r="BJ375" s="313">
        <v>1</v>
      </c>
      <c r="BK375" s="313">
        <v>1</v>
      </c>
    </row>
    <row r="376" spans="1:63" x14ac:dyDescent="0.25">
      <c r="A376" s="306">
        <v>621600</v>
      </c>
      <c r="B376" s="313" t="s">
        <v>331</v>
      </c>
      <c r="C376" s="313">
        <v>1</v>
      </c>
      <c r="D376" s="313">
        <v>1</v>
      </c>
      <c r="E376" s="313">
        <v>1</v>
      </c>
      <c r="F376" s="313">
        <v>1</v>
      </c>
      <c r="G376" s="313">
        <v>1</v>
      </c>
      <c r="H376" s="313">
        <v>1</v>
      </c>
      <c r="I376" s="313">
        <v>1</v>
      </c>
      <c r="J376" s="313">
        <v>1</v>
      </c>
      <c r="K376" s="313">
        <v>1</v>
      </c>
      <c r="L376" s="313">
        <v>1</v>
      </c>
      <c r="M376" s="313">
        <v>1</v>
      </c>
      <c r="N376" s="313">
        <v>1</v>
      </c>
      <c r="O376" s="313">
        <v>1</v>
      </c>
      <c r="P376" s="313">
        <v>1</v>
      </c>
      <c r="Q376" s="313">
        <v>1</v>
      </c>
      <c r="R376" s="313">
        <v>1</v>
      </c>
      <c r="S376" s="313">
        <v>1</v>
      </c>
      <c r="T376" s="313">
        <v>1</v>
      </c>
      <c r="U376" s="313">
        <v>1</v>
      </c>
      <c r="V376" s="313">
        <v>1</v>
      </c>
      <c r="W376" s="313">
        <v>1</v>
      </c>
      <c r="X376" s="313">
        <v>1</v>
      </c>
      <c r="Y376" s="313">
        <v>1</v>
      </c>
      <c r="Z376" s="313">
        <v>1</v>
      </c>
      <c r="AA376" s="313">
        <v>1</v>
      </c>
      <c r="AB376" s="313">
        <v>1</v>
      </c>
      <c r="AC376" s="313">
        <v>1</v>
      </c>
      <c r="AD376" s="313">
        <v>1</v>
      </c>
      <c r="AE376" s="313">
        <v>1</v>
      </c>
      <c r="AF376" s="313">
        <v>1</v>
      </c>
      <c r="AG376" s="313">
        <v>1</v>
      </c>
      <c r="AH376" s="313">
        <v>1</v>
      </c>
      <c r="AI376" s="313">
        <v>1</v>
      </c>
      <c r="AJ376" s="313">
        <v>1</v>
      </c>
      <c r="AK376" s="313">
        <v>1</v>
      </c>
      <c r="AL376" s="313">
        <v>1</v>
      </c>
      <c r="AM376" s="313">
        <v>1</v>
      </c>
      <c r="AN376" s="313">
        <v>1</v>
      </c>
      <c r="AO376" s="313">
        <v>1</v>
      </c>
      <c r="AP376" s="313">
        <v>1</v>
      </c>
      <c r="AQ376" s="313">
        <v>1</v>
      </c>
      <c r="AR376" s="313">
        <v>1</v>
      </c>
      <c r="AS376" s="313">
        <v>1</v>
      </c>
      <c r="AT376" s="313">
        <v>1</v>
      </c>
      <c r="AU376" s="313">
        <v>1</v>
      </c>
      <c r="AV376" s="313">
        <v>1</v>
      </c>
      <c r="AW376" s="313">
        <v>1</v>
      </c>
      <c r="AX376" s="313">
        <v>1</v>
      </c>
      <c r="AY376" s="313">
        <v>1</v>
      </c>
      <c r="AZ376" s="313">
        <v>1</v>
      </c>
      <c r="BA376" s="313">
        <v>1</v>
      </c>
      <c r="BB376" s="313">
        <v>1</v>
      </c>
      <c r="BC376" s="313">
        <v>1</v>
      </c>
      <c r="BD376" s="313">
        <v>1</v>
      </c>
      <c r="BE376" s="313">
        <v>1</v>
      </c>
      <c r="BF376" s="313">
        <v>1</v>
      </c>
      <c r="BG376" s="313">
        <v>1</v>
      </c>
      <c r="BH376" s="313">
        <v>1</v>
      </c>
      <c r="BI376" s="313">
        <v>1</v>
      </c>
      <c r="BJ376" s="313">
        <v>1</v>
      </c>
      <c r="BK376" s="313">
        <v>1</v>
      </c>
    </row>
    <row r="377" spans="1:63" x14ac:dyDescent="0.25">
      <c r="A377" s="306" t="s">
        <v>777</v>
      </c>
      <c r="B377" s="313" t="s">
        <v>330</v>
      </c>
      <c r="C377" s="313">
        <v>1</v>
      </c>
      <c r="D377" s="313">
        <v>1</v>
      </c>
      <c r="E377" s="313">
        <v>1</v>
      </c>
      <c r="F377" s="313">
        <v>1</v>
      </c>
      <c r="G377" s="313">
        <v>1</v>
      </c>
      <c r="H377" s="313">
        <v>1</v>
      </c>
      <c r="I377" s="313">
        <v>1</v>
      </c>
      <c r="J377" s="313">
        <v>1</v>
      </c>
      <c r="K377" s="313">
        <v>1</v>
      </c>
      <c r="L377" s="313">
        <v>1</v>
      </c>
      <c r="M377" s="313">
        <v>1</v>
      </c>
      <c r="N377" s="313">
        <v>1</v>
      </c>
      <c r="O377" s="313">
        <v>1</v>
      </c>
      <c r="P377" s="313">
        <v>1</v>
      </c>
      <c r="Q377" s="313">
        <v>1</v>
      </c>
      <c r="R377" s="313">
        <v>1</v>
      </c>
      <c r="S377" s="313">
        <v>1</v>
      </c>
      <c r="T377" s="313">
        <v>1</v>
      </c>
      <c r="U377" s="313">
        <v>1</v>
      </c>
      <c r="V377" s="313">
        <v>1</v>
      </c>
      <c r="W377" s="313">
        <v>1</v>
      </c>
      <c r="X377" s="313">
        <v>1</v>
      </c>
      <c r="Y377" s="313">
        <v>1</v>
      </c>
      <c r="Z377" s="313">
        <v>1</v>
      </c>
      <c r="AA377" s="313">
        <v>1</v>
      </c>
      <c r="AB377" s="313">
        <v>1</v>
      </c>
      <c r="AC377" s="313">
        <v>1</v>
      </c>
      <c r="AD377" s="313">
        <v>1</v>
      </c>
      <c r="AE377" s="313">
        <v>1</v>
      </c>
      <c r="AF377" s="313">
        <v>1</v>
      </c>
      <c r="AG377" s="313">
        <v>1</v>
      </c>
      <c r="AH377" s="313">
        <v>1</v>
      </c>
      <c r="AI377" s="313">
        <v>1</v>
      </c>
      <c r="AJ377" s="313">
        <v>1</v>
      </c>
      <c r="AK377" s="313">
        <v>1</v>
      </c>
      <c r="AL377" s="313">
        <v>1</v>
      </c>
      <c r="AM377" s="313">
        <v>1</v>
      </c>
      <c r="AN377" s="313">
        <v>1</v>
      </c>
      <c r="AO377" s="313">
        <v>1</v>
      </c>
      <c r="AP377" s="313">
        <v>1</v>
      </c>
      <c r="AQ377" s="313">
        <v>1</v>
      </c>
      <c r="AR377" s="313">
        <v>1</v>
      </c>
      <c r="AS377" s="313">
        <v>1</v>
      </c>
      <c r="AT377" s="313">
        <v>1</v>
      </c>
      <c r="AU377" s="313">
        <v>1</v>
      </c>
      <c r="AV377" s="313">
        <v>1</v>
      </c>
      <c r="AW377" s="313">
        <v>1</v>
      </c>
      <c r="AX377" s="313">
        <v>1</v>
      </c>
      <c r="AY377" s="313">
        <v>1</v>
      </c>
      <c r="AZ377" s="313">
        <v>1</v>
      </c>
      <c r="BA377" s="313">
        <v>1</v>
      </c>
      <c r="BB377" s="313">
        <v>1</v>
      </c>
      <c r="BC377" s="313">
        <v>1</v>
      </c>
      <c r="BD377" s="313">
        <v>1</v>
      </c>
      <c r="BE377" s="313">
        <v>1</v>
      </c>
      <c r="BF377" s="313">
        <v>1</v>
      </c>
      <c r="BG377" s="313">
        <v>1</v>
      </c>
      <c r="BH377" s="313">
        <v>1</v>
      </c>
      <c r="BI377" s="313">
        <v>1</v>
      </c>
      <c r="BJ377" s="313">
        <v>1</v>
      </c>
      <c r="BK377" s="313">
        <v>1</v>
      </c>
    </row>
    <row r="378" spans="1:63" x14ac:dyDescent="0.25">
      <c r="A378" s="306" t="s">
        <v>778</v>
      </c>
      <c r="B378" s="313" t="s">
        <v>332</v>
      </c>
      <c r="C378" s="313">
        <v>1</v>
      </c>
      <c r="D378" s="313">
        <v>1</v>
      </c>
      <c r="E378" s="313">
        <v>1</v>
      </c>
      <c r="F378" s="313">
        <v>1</v>
      </c>
      <c r="G378" s="313">
        <v>1</v>
      </c>
      <c r="H378" s="313">
        <v>1</v>
      </c>
      <c r="I378" s="313">
        <v>1</v>
      </c>
      <c r="J378" s="313">
        <v>1</v>
      </c>
      <c r="K378" s="313">
        <v>1</v>
      </c>
      <c r="L378" s="313">
        <v>1</v>
      </c>
      <c r="M378" s="313">
        <v>1</v>
      </c>
      <c r="N378" s="313">
        <v>1</v>
      </c>
      <c r="O378" s="313">
        <v>1</v>
      </c>
      <c r="P378" s="313">
        <v>1</v>
      </c>
      <c r="Q378" s="313">
        <v>1</v>
      </c>
      <c r="R378" s="313">
        <v>1</v>
      </c>
      <c r="S378" s="313">
        <v>1</v>
      </c>
      <c r="T378" s="313">
        <v>1</v>
      </c>
      <c r="U378" s="313">
        <v>1</v>
      </c>
      <c r="V378" s="313">
        <v>1</v>
      </c>
      <c r="W378" s="313">
        <v>1</v>
      </c>
      <c r="X378" s="313">
        <v>1</v>
      </c>
      <c r="Y378" s="313">
        <v>1</v>
      </c>
      <c r="Z378" s="313">
        <v>1</v>
      </c>
      <c r="AA378" s="313">
        <v>1</v>
      </c>
      <c r="AB378" s="313">
        <v>1</v>
      </c>
      <c r="AC378" s="313">
        <v>1</v>
      </c>
      <c r="AD378" s="313">
        <v>1</v>
      </c>
      <c r="AE378" s="313">
        <v>1</v>
      </c>
      <c r="AF378" s="313">
        <v>1</v>
      </c>
      <c r="AG378" s="313">
        <v>1</v>
      </c>
      <c r="AH378" s="313">
        <v>1</v>
      </c>
      <c r="AI378" s="313">
        <v>1</v>
      </c>
      <c r="AJ378" s="313">
        <v>1</v>
      </c>
      <c r="AK378" s="313">
        <v>1</v>
      </c>
      <c r="AL378" s="313">
        <v>1</v>
      </c>
      <c r="AM378" s="313">
        <v>1</v>
      </c>
      <c r="AN378" s="313">
        <v>1</v>
      </c>
      <c r="AO378" s="313">
        <v>1</v>
      </c>
      <c r="AP378" s="313">
        <v>1</v>
      </c>
      <c r="AQ378" s="313">
        <v>1</v>
      </c>
      <c r="AR378" s="313">
        <v>1</v>
      </c>
      <c r="AS378" s="313">
        <v>1</v>
      </c>
      <c r="AT378" s="313">
        <v>1</v>
      </c>
      <c r="AU378" s="313">
        <v>1</v>
      </c>
      <c r="AV378" s="313">
        <v>1</v>
      </c>
      <c r="AW378" s="313">
        <v>1</v>
      </c>
      <c r="AX378" s="313">
        <v>1</v>
      </c>
      <c r="AY378" s="313">
        <v>1</v>
      </c>
      <c r="AZ378" s="313">
        <v>1</v>
      </c>
      <c r="BA378" s="313">
        <v>1</v>
      </c>
      <c r="BB378" s="313">
        <v>1</v>
      </c>
      <c r="BC378" s="313">
        <v>1</v>
      </c>
      <c r="BD378" s="313">
        <v>1</v>
      </c>
      <c r="BE378" s="313">
        <v>1</v>
      </c>
      <c r="BF378" s="313">
        <v>1</v>
      </c>
      <c r="BG378" s="313">
        <v>1</v>
      </c>
      <c r="BH378" s="313">
        <v>1</v>
      </c>
      <c r="BI378" s="313">
        <v>1</v>
      </c>
      <c r="BJ378" s="313">
        <v>1</v>
      </c>
      <c r="BK378" s="313">
        <v>1</v>
      </c>
    </row>
    <row r="379" spans="1:63" x14ac:dyDescent="0.25">
      <c r="A379" s="306">
        <v>622000</v>
      </c>
      <c r="B379" s="313" t="s">
        <v>779</v>
      </c>
      <c r="C379" s="313">
        <v>1</v>
      </c>
      <c r="D379" s="313">
        <v>1</v>
      </c>
      <c r="E379" s="313">
        <v>1</v>
      </c>
      <c r="F379" s="313">
        <v>1</v>
      </c>
      <c r="G379" s="313">
        <v>1</v>
      </c>
      <c r="H379" s="313">
        <v>1</v>
      </c>
      <c r="I379" s="313">
        <v>1</v>
      </c>
      <c r="J379" s="313">
        <v>1</v>
      </c>
      <c r="K379" s="313">
        <v>1</v>
      </c>
      <c r="L379" s="313">
        <v>1</v>
      </c>
      <c r="M379" s="313">
        <v>1</v>
      </c>
      <c r="N379" s="313">
        <v>1</v>
      </c>
      <c r="O379" s="313">
        <v>1</v>
      </c>
      <c r="P379" s="313">
        <v>1</v>
      </c>
      <c r="Q379" s="313">
        <v>1</v>
      </c>
      <c r="R379" s="313">
        <v>1</v>
      </c>
      <c r="S379" s="313">
        <v>1</v>
      </c>
      <c r="T379" s="313">
        <v>1</v>
      </c>
      <c r="U379" s="313">
        <v>1</v>
      </c>
      <c r="V379" s="313">
        <v>1</v>
      </c>
      <c r="W379" s="313">
        <v>1</v>
      </c>
      <c r="X379" s="313">
        <v>1</v>
      </c>
      <c r="Y379" s="313">
        <v>1</v>
      </c>
      <c r="Z379" s="313">
        <v>1</v>
      </c>
      <c r="AA379" s="313">
        <v>1</v>
      </c>
      <c r="AB379" s="313">
        <v>1</v>
      </c>
      <c r="AC379" s="313">
        <v>1</v>
      </c>
      <c r="AD379" s="313">
        <v>1</v>
      </c>
      <c r="AE379" s="313">
        <v>1</v>
      </c>
      <c r="AF379" s="313">
        <v>1</v>
      </c>
      <c r="AG379" s="313">
        <v>1</v>
      </c>
      <c r="AH379" s="313">
        <v>1</v>
      </c>
      <c r="AI379" s="313">
        <v>1</v>
      </c>
      <c r="AJ379" s="313">
        <v>1</v>
      </c>
      <c r="AK379" s="313">
        <v>1</v>
      </c>
      <c r="AL379" s="313">
        <v>1</v>
      </c>
      <c r="AM379" s="313">
        <v>1</v>
      </c>
      <c r="AN379" s="313">
        <v>1</v>
      </c>
      <c r="AO379" s="313">
        <v>1</v>
      </c>
      <c r="AP379" s="313">
        <v>1</v>
      </c>
      <c r="AQ379" s="313">
        <v>1</v>
      </c>
      <c r="AR379" s="313">
        <v>1</v>
      </c>
      <c r="AS379" s="313">
        <v>1</v>
      </c>
      <c r="AT379" s="313">
        <v>1</v>
      </c>
      <c r="AU379" s="313">
        <v>1</v>
      </c>
      <c r="AV379" s="313">
        <v>1</v>
      </c>
      <c r="AW379" s="313">
        <v>1</v>
      </c>
      <c r="AX379" s="313">
        <v>1</v>
      </c>
      <c r="AY379" s="313">
        <v>1</v>
      </c>
      <c r="AZ379" s="313">
        <v>1</v>
      </c>
      <c r="BA379" s="313">
        <v>1</v>
      </c>
      <c r="BB379" s="313">
        <v>1</v>
      </c>
      <c r="BC379" s="313">
        <v>1</v>
      </c>
      <c r="BD379" s="313">
        <v>1</v>
      </c>
      <c r="BE379" s="313">
        <v>1</v>
      </c>
      <c r="BF379" s="313">
        <v>1</v>
      </c>
      <c r="BG379" s="313">
        <v>1</v>
      </c>
      <c r="BH379" s="313">
        <v>1</v>
      </c>
      <c r="BI379" s="313">
        <v>1</v>
      </c>
      <c r="BJ379" s="313">
        <v>1</v>
      </c>
      <c r="BK379" s="313">
        <v>1</v>
      </c>
    </row>
    <row r="380" spans="1:63" x14ac:dyDescent="0.25">
      <c r="A380" s="306">
        <v>623000</v>
      </c>
      <c r="B380" s="313" t="s">
        <v>333</v>
      </c>
      <c r="C380" s="313">
        <v>1</v>
      </c>
      <c r="D380" s="313">
        <v>1</v>
      </c>
      <c r="E380" s="313">
        <v>1</v>
      </c>
      <c r="F380" s="313">
        <v>1</v>
      </c>
      <c r="G380" s="313">
        <v>1</v>
      </c>
      <c r="H380" s="313">
        <v>1</v>
      </c>
      <c r="I380" s="313">
        <v>1</v>
      </c>
      <c r="J380" s="313">
        <v>1</v>
      </c>
      <c r="K380" s="313">
        <v>1</v>
      </c>
      <c r="L380" s="313">
        <v>1</v>
      </c>
      <c r="M380" s="313">
        <v>1</v>
      </c>
      <c r="N380" s="313">
        <v>1</v>
      </c>
      <c r="O380" s="313">
        <v>1</v>
      </c>
      <c r="P380" s="313">
        <v>1</v>
      </c>
      <c r="Q380" s="313">
        <v>1</v>
      </c>
      <c r="R380" s="313">
        <v>1</v>
      </c>
      <c r="S380" s="313">
        <v>1</v>
      </c>
      <c r="T380" s="313">
        <v>1</v>
      </c>
      <c r="U380" s="313">
        <v>1</v>
      </c>
      <c r="V380" s="313">
        <v>1</v>
      </c>
      <c r="W380" s="313">
        <v>1</v>
      </c>
      <c r="X380" s="313">
        <v>1</v>
      </c>
      <c r="Y380" s="313">
        <v>1</v>
      </c>
      <c r="Z380" s="313">
        <v>1</v>
      </c>
      <c r="AA380" s="313">
        <v>1</v>
      </c>
      <c r="AB380" s="313">
        <v>1</v>
      </c>
      <c r="AC380" s="313">
        <v>1</v>
      </c>
      <c r="AD380" s="313">
        <v>1</v>
      </c>
      <c r="AE380" s="313">
        <v>1</v>
      </c>
      <c r="AF380" s="313">
        <v>1</v>
      </c>
      <c r="AG380" s="313">
        <v>1</v>
      </c>
      <c r="AH380" s="313">
        <v>1</v>
      </c>
      <c r="AI380" s="313">
        <v>1</v>
      </c>
      <c r="AJ380" s="313">
        <v>1</v>
      </c>
      <c r="AK380" s="313">
        <v>1</v>
      </c>
      <c r="AL380" s="313">
        <v>1</v>
      </c>
      <c r="AM380" s="313">
        <v>1</v>
      </c>
      <c r="AN380" s="313">
        <v>1</v>
      </c>
      <c r="AO380" s="313">
        <v>1</v>
      </c>
      <c r="AP380" s="313">
        <v>1</v>
      </c>
      <c r="AQ380" s="313">
        <v>1</v>
      </c>
      <c r="AR380" s="313">
        <v>1</v>
      </c>
      <c r="AS380" s="313">
        <v>1</v>
      </c>
      <c r="AT380" s="313">
        <v>1</v>
      </c>
      <c r="AU380" s="313">
        <v>1</v>
      </c>
      <c r="AV380" s="313">
        <v>1</v>
      </c>
      <c r="AW380" s="313">
        <v>1</v>
      </c>
      <c r="AX380" s="313">
        <v>1</v>
      </c>
      <c r="AY380" s="313">
        <v>1</v>
      </c>
      <c r="AZ380" s="313">
        <v>1</v>
      </c>
      <c r="BA380" s="313">
        <v>1</v>
      </c>
      <c r="BB380" s="313">
        <v>1</v>
      </c>
      <c r="BC380" s="313">
        <v>1</v>
      </c>
      <c r="BD380" s="313">
        <v>1</v>
      </c>
      <c r="BE380" s="313">
        <v>1</v>
      </c>
      <c r="BF380" s="313">
        <v>1</v>
      </c>
      <c r="BG380" s="313">
        <v>1</v>
      </c>
      <c r="BH380" s="313">
        <v>1</v>
      </c>
      <c r="BI380" s="313">
        <v>1</v>
      </c>
      <c r="BJ380" s="313">
        <v>1</v>
      </c>
      <c r="BK380" s="313">
        <v>1</v>
      </c>
    </row>
    <row r="381" spans="1:63" x14ac:dyDescent="0.25">
      <c r="A381" s="306">
        <v>624200</v>
      </c>
      <c r="B381" s="313" t="s">
        <v>336</v>
      </c>
      <c r="C381" s="313">
        <v>1</v>
      </c>
      <c r="D381" s="313">
        <v>1</v>
      </c>
      <c r="E381" s="313">
        <v>1</v>
      </c>
      <c r="F381" s="313">
        <v>1</v>
      </c>
      <c r="G381" s="313">
        <v>1</v>
      </c>
      <c r="H381" s="313">
        <v>1</v>
      </c>
      <c r="I381" s="313">
        <v>1</v>
      </c>
      <c r="J381" s="313">
        <v>1</v>
      </c>
      <c r="K381" s="313">
        <v>1</v>
      </c>
      <c r="L381" s="313">
        <v>1</v>
      </c>
      <c r="M381" s="313">
        <v>1</v>
      </c>
      <c r="N381" s="313">
        <v>1</v>
      </c>
      <c r="O381" s="313">
        <v>1</v>
      </c>
      <c r="P381" s="313">
        <v>1</v>
      </c>
      <c r="Q381" s="313">
        <v>1</v>
      </c>
      <c r="R381" s="313">
        <v>1</v>
      </c>
      <c r="S381" s="313">
        <v>1</v>
      </c>
      <c r="T381" s="313">
        <v>1</v>
      </c>
      <c r="U381" s="313">
        <v>1</v>
      </c>
      <c r="V381" s="313">
        <v>1</v>
      </c>
      <c r="W381" s="313">
        <v>1</v>
      </c>
      <c r="X381" s="313">
        <v>1</v>
      </c>
      <c r="Y381" s="313">
        <v>1</v>
      </c>
      <c r="Z381" s="313">
        <v>1</v>
      </c>
      <c r="AA381" s="313">
        <v>1</v>
      </c>
      <c r="AB381" s="313">
        <v>1</v>
      </c>
      <c r="AC381" s="313">
        <v>1</v>
      </c>
      <c r="AD381" s="313">
        <v>1</v>
      </c>
      <c r="AE381" s="313">
        <v>1</v>
      </c>
      <c r="AF381" s="313">
        <v>1</v>
      </c>
      <c r="AG381" s="313">
        <v>1</v>
      </c>
      <c r="AH381" s="313">
        <v>1</v>
      </c>
      <c r="AI381" s="313">
        <v>1</v>
      </c>
      <c r="AJ381" s="313">
        <v>1</v>
      </c>
      <c r="AK381" s="313">
        <v>1</v>
      </c>
      <c r="AL381" s="313">
        <v>1</v>
      </c>
      <c r="AM381" s="313">
        <v>1</v>
      </c>
      <c r="AN381" s="313">
        <v>1</v>
      </c>
      <c r="AO381" s="313">
        <v>1</v>
      </c>
      <c r="AP381" s="313">
        <v>1</v>
      </c>
      <c r="AQ381" s="313">
        <v>1</v>
      </c>
      <c r="AR381" s="313">
        <v>1</v>
      </c>
      <c r="AS381" s="313">
        <v>1</v>
      </c>
      <c r="AT381" s="313">
        <v>1</v>
      </c>
      <c r="AU381" s="313">
        <v>1</v>
      </c>
      <c r="AV381" s="313">
        <v>1</v>
      </c>
      <c r="AW381" s="313">
        <v>1</v>
      </c>
      <c r="AX381" s="313">
        <v>1</v>
      </c>
      <c r="AY381" s="313">
        <v>1</v>
      </c>
      <c r="AZ381" s="313">
        <v>1</v>
      </c>
      <c r="BA381" s="313">
        <v>1</v>
      </c>
      <c r="BB381" s="313">
        <v>1</v>
      </c>
      <c r="BC381" s="313">
        <v>1</v>
      </c>
      <c r="BD381" s="313">
        <v>1</v>
      </c>
      <c r="BE381" s="313">
        <v>1</v>
      </c>
      <c r="BF381" s="313">
        <v>1</v>
      </c>
      <c r="BG381" s="313">
        <v>1</v>
      </c>
      <c r="BH381" s="313">
        <v>1</v>
      </c>
      <c r="BI381" s="313">
        <v>1</v>
      </c>
      <c r="BJ381" s="313">
        <v>1</v>
      </c>
      <c r="BK381" s="313">
        <v>1</v>
      </c>
    </row>
    <row r="382" spans="1:63" x14ac:dyDescent="0.25">
      <c r="A382" s="306">
        <v>624400</v>
      </c>
      <c r="B382" s="313" t="s">
        <v>334</v>
      </c>
      <c r="C382" s="313">
        <v>1</v>
      </c>
      <c r="D382" s="313">
        <v>1</v>
      </c>
      <c r="E382" s="313">
        <v>1</v>
      </c>
      <c r="F382" s="313">
        <v>1</v>
      </c>
      <c r="G382" s="313">
        <v>1</v>
      </c>
      <c r="H382" s="313">
        <v>1</v>
      </c>
      <c r="I382" s="313">
        <v>1</v>
      </c>
      <c r="J382" s="313">
        <v>1</v>
      </c>
      <c r="K382" s="313">
        <v>1</v>
      </c>
      <c r="L382" s="313">
        <v>1</v>
      </c>
      <c r="M382" s="313">
        <v>1</v>
      </c>
      <c r="N382" s="313">
        <v>1</v>
      </c>
      <c r="O382" s="313">
        <v>1</v>
      </c>
      <c r="P382" s="313">
        <v>1</v>
      </c>
      <c r="Q382" s="313">
        <v>1</v>
      </c>
      <c r="R382" s="313">
        <v>1</v>
      </c>
      <c r="S382" s="313">
        <v>1</v>
      </c>
      <c r="T382" s="313">
        <v>1</v>
      </c>
      <c r="U382" s="313">
        <v>1</v>
      </c>
      <c r="V382" s="313">
        <v>1</v>
      </c>
      <c r="W382" s="313">
        <v>1</v>
      </c>
      <c r="X382" s="313">
        <v>1</v>
      </c>
      <c r="Y382" s="313">
        <v>1</v>
      </c>
      <c r="Z382" s="313">
        <v>1</v>
      </c>
      <c r="AA382" s="313">
        <v>1</v>
      </c>
      <c r="AB382" s="313">
        <v>1</v>
      </c>
      <c r="AC382" s="313">
        <v>1</v>
      </c>
      <c r="AD382" s="313">
        <v>1</v>
      </c>
      <c r="AE382" s="313">
        <v>1</v>
      </c>
      <c r="AF382" s="313">
        <v>1</v>
      </c>
      <c r="AG382" s="313">
        <v>1</v>
      </c>
      <c r="AH382" s="313">
        <v>1</v>
      </c>
      <c r="AI382" s="313">
        <v>1</v>
      </c>
      <c r="AJ382" s="313">
        <v>1</v>
      </c>
      <c r="AK382" s="313">
        <v>1</v>
      </c>
      <c r="AL382" s="313">
        <v>1</v>
      </c>
      <c r="AM382" s="313">
        <v>1</v>
      </c>
      <c r="AN382" s="313">
        <v>1</v>
      </c>
      <c r="AO382" s="313">
        <v>1</v>
      </c>
      <c r="AP382" s="313">
        <v>1</v>
      </c>
      <c r="AQ382" s="313">
        <v>1</v>
      </c>
      <c r="AR382" s="313">
        <v>1</v>
      </c>
      <c r="AS382" s="313">
        <v>1</v>
      </c>
      <c r="AT382" s="313">
        <v>1</v>
      </c>
      <c r="AU382" s="313">
        <v>1</v>
      </c>
      <c r="AV382" s="313">
        <v>1</v>
      </c>
      <c r="AW382" s="313">
        <v>1</v>
      </c>
      <c r="AX382" s="313">
        <v>1</v>
      </c>
      <c r="AY382" s="313">
        <v>1</v>
      </c>
      <c r="AZ382" s="313">
        <v>1</v>
      </c>
      <c r="BA382" s="313">
        <v>1</v>
      </c>
      <c r="BB382" s="313">
        <v>1</v>
      </c>
      <c r="BC382" s="313">
        <v>1</v>
      </c>
      <c r="BD382" s="313">
        <v>1</v>
      </c>
      <c r="BE382" s="313">
        <v>1</v>
      </c>
      <c r="BF382" s="313">
        <v>1</v>
      </c>
      <c r="BG382" s="313">
        <v>1</v>
      </c>
      <c r="BH382" s="313">
        <v>1</v>
      </c>
      <c r="BI382" s="313">
        <v>1</v>
      </c>
      <c r="BJ382" s="313">
        <v>1</v>
      </c>
      <c r="BK382" s="313">
        <v>1</v>
      </c>
    </row>
    <row r="383" spans="1:63" x14ac:dyDescent="0.25">
      <c r="A383" s="306" t="s">
        <v>780</v>
      </c>
      <c r="B383" s="313" t="s">
        <v>335</v>
      </c>
      <c r="C383" s="313">
        <v>1</v>
      </c>
      <c r="D383" s="313">
        <v>1</v>
      </c>
      <c r="E383" s="313">
        <v>1</v>
      </c>
      <c r="F383" s="313">
        <v>1</v>
      </c>
      <c r="G383" s="313">
        <v>1</v>
      </c>
      <c r="H383" s="313">
        <v>1</v>
      </c>
      <c r="I383" s="313">
        <v>1</v>
      </c>
      <c r="J383" s="313">
        <v>1</v>
      </c>
      <c r="K383" s="313">
        <v>1</v>
      </c>
      <c r="L383" s="313">
        <v>1</v>
      </c>
      <c r="M383" s="313">
        <v>1</v>
      </c>
      <c r="N383" s="313">
        <v>1</v>
      </c>
      <c r="O383" s="313">
        <v>1</v>
      </c>
      <c r="P383" s="313">
        <v>1</v>
      </c>
      <c r="Q383" s="313">
        <v>1</v>
      </c>
      <c r="R383" s="313">
        <v>1</v>
      </c>
      <c r="S383" s="313">
        <v>1</v>
      </c>
      <c r="T383" s="313">
        <v>1</v>
      </c>
      <c r="U383" s="313">
        <v>1</v>
      </c>
      <c r="V383" s="313">
        <v>1</v>
      </c>
      <c r="W383" s="313">
        <v>1</v>
      </c>
      <c r="X383" s="313">
        <v>1</v>
      </c>
      <c r="Y383" s="313">
        <v>1</v>
      </c>
      <c r="Z383" s="313">
        <v>1</v>
      </c>
      <c r="AA383" s="313">
        <v>1</v>
      </c>
      <c r="AB383" s="313">
        <v>1</v>
      </c>
      <c r="AC383" s="313">
        <v>1</v>
      </c>
      <c r="AD383" s="313">
        <v>1</v>
      </c>
      <c r="AE383" s="313">
        <v>1</v>
      </c>
      <c r="AF383" s="313">
        <v>1</v>
      </c>
      <c r="AG383" s="313">
        <v>1</v>
      </c>
      <c r="AH383" s="313">
        <v>1</v>
      </c>
      <c r="AI383" s="313">
        <v>1</v>
      </c>
      <c r="AJ383" s="313">
        <v>1</v>
      </c>
      <c r="AK383" s="313">
        <v>1</v>
      </c>
      <c r="AL383" s="313">
        <v>1</v>
      </c>
      <c r="AM383" s="313">
        <v>1</v>
      </c>
      <c r="AN383" s="313">
        <v>1</v>
      </c>
      <c r="AO383" s="313">
        <v>1</v>
      </c>
      <c r="AP383" s="313">
        <v>1</v>
      </c>
      <c r="AQ383" s="313">
        <v>1</v>
      </c>
      <c r="AR383" s="313">
        <v>1</v>
      </c>
      <c r="AS383" s="313">
        <v>1</v>
      </c>
      <c r="AT383" s="313">
        <v>1</v>
      </c>
      <c r="AU383" s="313">
        <v>1</v>
      </c>
      <c r="AV383" s="313">
        <v>1</v>
      </c>
      <c r="AW383" s="313">
        <v>1</v>
      </c>
      <c r="AX383" s="313">
        <v>1</v>
      </c>
      <c r="AY383" s="313">
        <v>1</v>
      </c>
      <c r="AZ383" s="313">
        <v>1</v>
      </c>
      <c r="BA383" s="313">
        <v>1</v>
      </c>
      <c r="BB383" s="313">
        <v>1</v>
      </c>
      <c r="BC383" s="313">
        <v>1</v>
      </c>
      <c r="BD383" s="313">
        <v>1</v>
      </c>
      <c r="BE383" s="313">
        <v>1</v>
      </c>
      <c r="BF383" s="313">
        <v>1</v>
      </c>
      <c r="BG383" s="313">
        <v>1</v>
      </c>
      <c r="BH383" s="313">
        <v>1</v>
      </c>
      <c r="BI383" s="313">
        <v>1</v>
      </c>
      <c r="BJ383" s="313">
        <v>1</v>
      </c>
      <c r="BK383" s="313">
        <v>1</v>
      </c>
    </row>
    <row r="384" spans="1:63" x14ac:dyDescent="0.25">
      <c r="A384" s="306">
        <v>711100</v>
      </c>
      <c r="B384" s="313" t="s">
        <v>337</v>
      </c>
      <c r="C384" s="313">
        <v>1</v>
      </c>
      <c r="D384" s="313">
        <v>1</v>
      </c>
      <c r="E384" s="313">
        <v>1</v>
      </c>
      <c r="F384" s="313">
        <v>1</v>
      </c>
      <c r="G384" s="313">
        <v>1</v>
      </c>
      <c r="H384" s="313">
        <v>1</v>
      </c>
      <c r="I384" s="313">
        <v>1</v>
      </c>
      <c r="J384" s="313">
        <v>1</v>
      </c>
      <c r="K384" s="313">
        <v>1</v>
      </c>
      <c r="L384" s="313">
        <v>1</v>
      </c>
      <c r="M384" s="313">
        <v>1</v>
      </c>
      <c r="N384" s="313">
        <v>1</v>
      </c>
      <c r="O384" s="313">
        <v>1</v>
      </c>
      <c r="P384" s="313">
        <v>1</v>
      </c>
      <c r="Q384" s="313">
        <v>1</v>
      </c>
      <c r="R384" s="313">
        <v>1</v>
      </c>
      <c r="S384" s="313">
        <v>1</v>
      </c>
      <c r="T384" s="313">
        <v>1</v>
      </c>
      <c r="U384" s="313">
        <v>1</v>
      </c>
      <c r="V384" s="313">
        <v>1</v>
      </c>
      <c r="W384" s="313">
        <v>1</v>
      </c>
      <c r="X384" s="313">
        <v>1</v>
      </c>
      <c r="Y384" s="313">
        <v>1</v>
      </c>
      <c r="Z384" s="313">
        <v>1</v>
      </c>
      <c r="AA384" s="313">
        <v>1</v>
      </c>
      <c r="AB384" s="313">
        <v>1</v>
      </c>
      <c r="AC384" s="313">
        <v>1</v>
      </c>
      <c r="AD384" s="313">
        <v>1</v>
      </c>
      <c r="AE384" s="313">
        <v>1</v>
      </c>
      <c r="AF384" s="313">
        <v>1</v>
      </c>
      <c r="AG384" s="313">
        <v>1</v>
      </c>
      <c r="AH384" s="313">
        <v>1</v>
      </c>
      <c r="AI384" s="313">
        <v>1</v>
      </c>
      <c r="AJ384" s="313">
        <v>1</v>
      </c>
      <c r="AK384" s="313">
        <v>1</v>
      </c>
      <c r="AL384" s="313">
        <v>1</v>
      </c>
      <c r="AM384" s="313">
        <v>1</v>
      </c>
      <c r="AN384" s="313">
        <v>1</v>
      </c>
      <c r="AO384" s="313">
        <v>1</v>
      </c>
      <c r="AP384" s="313">
        <v>1</v>
      </c>
      <c r="AQ384" s="313">
        <v>1</v>
      </c>
      <c r="AR384" s="313">
        <v>1</v>
      </c>
      <c r="AS384" s="313">
        <v>1</v>
      </c>
      <c r="AT384" s="313">
        <v>1</v>
      </c>
      <c r="AU384" s="313">
        <v>1</v>
      </c>
      <c r="AV384" s="313">
        <v>1</v>
      </c>
      <c r="AW384" s="313">
        <v>1</v>
      </c>
      <c r="AX384" s="313">
        <v>1</v>
      </c>
      <c r="AY384" s="313">
        <v>1</v>
      </c>
      <c r="AZ384" s="313">
        <v>1</v>
      </c>
      <c r="BA384" s="313">
        <v>1</v>
      </c>
      <c r="BB384" s="313">
        <v>1</v>
      </c>
      <c r="BC384" s="313">
        <v>1</v>
      </c>
      <c r="BD384" s="313">
        <v>1</v>
      </c>
      <c r="BE384" s="313">
        <v>1</v>
      </c>
      <c r="BF384" s="313">
        <v>1</v>
      </c>
      <c r="BG384" s="313">
        <v>1</v>
      </c>
      <c r="BH384" s="313">
        <v>1</v>
      </c>
      <c r="BI384" s="313">
        <v>1</v>
      </c>
      <c r="BJ384" s="313">
        <v>1</v>
      </c>
      <c r="BK384" s="313">
        <v>1</v>
      </c>
    </row>
    <row r="385" spans="1:63" x14ac:dyDescent="0.25">
      <c r="A385" s="306">
        <v>711200</v>
      </c>
      <c r="B385" s="313" t="s">
        <v>781</v>
      </c>
      <c r="C385" s="313">
        <v>1</v>
      </c>
      <c r="D385" s="313">
        <v>1</v>
      </c>
      <c r="E385" s="313">
        <v>1</v>
      </c>
      <c r="F385" s="313">
        <v>1</v>
      </c>
      <c r="G385" s="313">
        <v>1</v>
      </c>
      <c r="H385" s="313">
        <v>1</v>
      </c>
      <c r="I385" s="313">
        <v>1</v>
      </c>
      <c r="J385" s="313">
        <v>1</v>
      </c>
      <c r="K385" s="313">
        <v>1</v>
      </c>
      <c r="L385" s="313">
        <v>1</v>
      </c>
      <c r="M385" s="313">
        <v>1</v>
      </c>
      <c r="N385" s="313">
        <v>1</v>
      </c>
      <c r="O385" s="313">
        <v>1</v>
      </c>
      <c r="P385" s="313">
        <v>1</v>
      </c>
      <c r="Q385" s="313">
        <v>1</v>
      </c>
      <c r="R385" s="313">
        <v>1</v>
      </c>
      <c r="S385" s="313">
        <v>1</v>
      </c>
      <c r="T385" s="313">
        <v>1</v>
      </c>
      <c r="U385" s="313">
        <v>1</v>
      </c>
      <c r="V385" s="313">
        <v>1</v>
      </c>
      <c r="W385" s="313">
        <v>1</v>
      </c>
      <c r="X385" s="313">
        <v>1</v>
      </c>
      <c r="Y385" s="313">
        <v>1</v>
      </c>
      <c r="Z385" s="313">
        <v>1</v>
      </c>
      <c r="AA385" s="313">
        <v>1</v>
      </c>
      <c r="AB385" s="313">
        <v>1</v>
      </c>
      <c r="AC385" s="313">
        <v>1</v>
      </c>
      <c r="AD385" s="313">
        <v>1</v>
      </c>
      <c r="AE385" s="313">
        <v>1</v>
      </c>
      <c r="AF385" s="313">
        <v>1</v>
      </c>
      <c r="AG385" s="313">
        <v>1</v>
      </c>
      <c r="AH385" s="313">
        <v>1</v>
      </c>
      <c r="AI385" s="313">
        <v>1</v>
      </c>
      <c r="AJ385" s="313">
        <v>1</v>
      </c>
      <c r="AK385" s="313">
        <v>1</v>
      </c>
      <c r="AL385" s="313">
        <v>1</v>
      </c>
      <c r="AM385" s="313">
        <v>1</v>
      </c>
      <c r="AN385" s="313">
        <v>1</v>
      </c>
      <c r="AO385" s="313">
        <v>1</v>
      </c>
      <c r="AP385" s="313">
        <v>1</v>
      </c>
      <c r="AQ385" s="313">
        <v>1</v>
      </c>
      <c r="AR385" s="313">
        <v>1</v>
      </c>
      <c r="AS385" s="313">
        <v>1</v>
      </c>
      <c r="AT385" s="313">
        <v>1</v>
      </c>
      <c r="AU385" s="313">
        <v>1</v>
      </c>
      <c r="AV385" s="313">
        <v>1</v>
      </c>
      <c r="AW385" s="313">
        <v>1</v>
      </c>
      <c r="AX385" s="313">
        <v>1</v>
      </c>
      <c r="AY385" s="313">
        <v>1</v>
      </c>
      <c r="AZ385" s="313">
        <v>1</v>
      </c>
      <c r="BA385" s="313">
        <v>1</v>
      </c>
      <c r="BB385" s="313">
        <v>1</v>
      </c>
      <c r="BC385" s="313">
        <v>1</v>
      </c>
      <c r="BD385" s="313">
        <v>1</v>
      </c>
      <c r="BE385" s="313">
        <v>1</v>
      </c>
      <c r="BF385" s="313">
        <v>1</v>
      </c>
      <c r="BG385" s="313">
        <v>1</v>
      </c>
      <c r="BH385" s="313">
        <v>1</v>
      </c>
      <c r="BI385" s="313">
        <v>1</v>
      </c>
      <c r="BJ385" s="313">
        <v>1</v>
      </c>
      <c r="BK385" s="313">
        <v>1</v>
      </c>
    </row>
    <row r="386" spans="1:63" x14ac:dyDescent="0.25">
      <c r="A386" s="306">
        <v>711500</v>
      </c>
      <c r="B386" s="313" t="s">
        <v>339</v>
      </c>
      <c r="C386" s="313">
        <v>1</v>
      </c>
      <c r="D386" s="313">
        <v>1</v>
      </c>
      <c r="E386" s="313">
        <v>1</v>
      </c>
      <c r="F386" s="313">
        <v>1</v>
      </c>
      <c r="G386" s="313">
        <v>1</v>
      </c>
      <c r="H386" s="313">
        <v>1</v>
      </c>
      <c r="I386" s="313">
        <v>1</v>
      </c>
      <c r="J386" s="313">
        <v>1</v>
      </c>
      <c r="K386" s="313">
        <v>1</v>
      </c>
      <c r="L386" s="313">
        <v>1</v>
      </c>
      <c r="M386" s="313">
        <v>1</v>
      </c>
      <c r="N386" s="313">
        <v>1</v>
      </c>
      <c r="O386" s="313">
        <v>1</v>
      </c>
      <c r="P386" s="313">
        <v>1</v>
      </c>
      <c r="Q386" s="313">
        <v>1</v>
      </c>
      <c r="R386" s="313">
        <v>1</v>
      </c>
      <c r="S386" s="313">
        <v>1</v>
      </c>
      <c r="T386" s="313">
        <v>1</v>
      </c>
      <c r="U386" s="313">
        <v>1</v>
      </c>
      <c r="V386" s="313">
        <v>1</v>
      </c>
      <c r="W386" s="313">
        <v>1</v>
      </c>
      <c r="X386" s="313">
        <v>1</v>
      </c>
      <c r="Y386" s="313">
        <v>1</v>
      </c>
      <c r="Z386" s="313">
        <v>1</v>
      </c>
      <c r="AA386" s="313">
        <v>1</v>
      </c>
      <c r="AB386" s="313">
        <v>1</v>
      </c>
      <c r="AC386" s="313">
        <v>1</v>
      </c>
      <c r="AD386" s="313">
        <v>1</v>
      </c>
      <c r="AE386" s="313">
        <v>1</v>
      </c>
      <c r="AF386" s="313">
        <v>1</v>
      </c>
      <c r="AG386" s="313">
        <v>1</v>
      </c>
      <c r="AH386" s="313">
        <v>1</v>
      </c>
      <c r="AI386" s="313">
        <v>1</v>
      </c>
      <c r="AJ386" s="313">
        <v>1</v>
      </c>
      <c r="AK386" s="313">
        <v>1</v>
      </c>
      <c r="AL386" s="313">
        <v>1</v>
      </c>
      <c r="AM386" s="313">
        <v>1</v>
      </c>
      <c r="AN386" s="313">
        <v>1</v>
      </c>
      <c r="AO386" s="313">
        <v>1</v>
      </c>
      <c r="AP386" s="313">
        <v>1</v>
      </c>
      <c r="AQ386" s="313">
        <v>1</v>
      </c>
      <c r="AR386" s="313">
        <v>1</v>
      </c>
      <c r="AS386" s="313">
        <v>1</v>
      </c>
      <c r="AT386" s="313">
        <v>1</v>
      </c>
      <c r="AU386" s="313">
        <v>1</v>
      </c>
      <c r="AV386" s="313">
        <v>1</v>
      </c>
      <c r="AW386" s="313">
        <v>1</v>
      </c>
      <c r="AX386" s="313">
        <v>1</v>
      </c>
      <c r="AY386" s="313">
        <v>1</v>
      </c>
      <c r="AZ386" s="313">
        <v>1</v>
      </c>
      <c r="BA386" s="313">
        <v>1</v>
      </c>
      <c r="BB386" s="313">
        <v>1</v>
      </c>
      <c r="BC386" s="313">
        <v>1</v>
      </c>
      <c r="BD386" s="313">
        <v>1</v>
      </c>
      <c r="BE386" s="313">
        <v>1</v>
      </c>
      <c r="BF386" s="313">
        <v>1</v>
      </c>
      <c r="BG386" s="313">
        <v>1</v>
      </c>
      <c r="BH386" s="313">
        <v>1</v>
      </c>
      <c r="BI386" s="313">
        <v>1</v>
      </c>
      <c r="BJ386" s="313">
        <v>1</v>
      </c>
      <c r="BK386" s="313">
        <v>1</v>
      </c>
    </row>
    <row r="387" spans="1:63" x14ac:dyDescent="0.25">
      <c r="A387" s="306" t="s">
        <v>782</v>
      </c>
      <c r="B387" s="313" t="s">
        <v>338</v>
      </c>
      <c r="C387" s="313">
        <v>1</v>
      </c>
      <c r="D387" s="313">
        <v>1</v>
      </c>
      <c r="E387" s="313">
        <v>1</v>
      </c>
      <c r="F387" s="313">
        <v>1</v>
      </c>
      <c r="G387" s="313">
        <v>1</v>
      </c>
      <c r="H387" s="313">
        <v>1</v>
      </c>
      <c r="I387" s="313">
        <v>1</v>
      </c>
      <c r="J387" s="313">
        <v>1</v>
      </c>
      <c r="K387" s="313">
        <v>1</v>
      </c>
      <c r="L387" s="313">
        <v>1</v>
      </c>
      <c r="M387" s="313">
        <v>1</v>
      </c>
      <c r="N387" s="313">
        <v>1</v>
      </c>
      <c r="O387" s="313">
        <v>1</v>
      </c>
      <c r="P387" s="313">
        <v>1</v>
      </c>
      <c r="Q387" s="313">
        <v>1</v>
      </c>
      <c r="R387" s="313">
        <v>1</v>
      </c>
      <c r="S387" s="313">
        <v>1</v>
      </c>
      <c r="T387" s="313">
        <v>1</v>
      </c>
      <c r="U387" s="313">
        <v>1</v>
      </c>
      <c r="V387" s="313">
        <v>1</v>
      </c>
      <c r="W387" s="313">
        <v>1</v>
      </c>
      <c r="X387" s="313">
        <v>1</v>
      </c>
      <c r="Y387" s="313">
        <v>1</v>
      </c>
      <c r="Z387" s="313">
        <v>1</v>
      </c>
      <c r="AA387" s="313">
        <v>1</v>
      </c>
      <c r="AB387" s="313">
        <v>1</v>
      </c>
      <c r="AC387" s="313">
        <v>1</v>
      </c>
      <c r="AD387" s="313">
        <v>1</v>
      </c>
      <c r="AE387" s="313">
        <v>1</v>
      </c>
      <c r="AF387" s="313">
        <v>1</v>
      </c>
      <c r="AG387" s="313">
        <v>1</v>
      </c>
      <c r="AH387" s="313">
        <v>1</v>
      </c>
      <c r="AI387" s="313">
        <v>1</v>
      </c>
      <c r="AJ387" s="313">
        <v>1</v>
      </c>
      <c r="AK387" s="313">
        <v>1</v>
      </c>
      <c r="AL387" s="313">
        <v>1</v>
      </c>
      <c r="AM387" s="313">
        <v>1</v>
      </c>
      <c r="AN387" s="313">
        <v>1</v>
      </c>
      <c r="AO387" s="313">
        <v>1</v>
      </c>
      <c r="AP387" s="313">
        <v>1</v>
      </c>
      <c r="AQ387" s="313">
        <v>1</v>
      </c>
      <c r="AR387" s="313">
        <v>1</v>
      </c>
      <c r="AS387" s="313">
        <v>1</v>
      </c>
      <c r="AT387" s="313">
        <v>1</v>
      </c>
      <c r="AU387" s="313">
        <v>1</v>
      </c>
      <c r="AV387" s="313">
        <v>1</v>
      </c>
      <c r="AW387" s="313">
        <v>1</v>
      </c>
      <c r="AX387" s="313">
        <v>1</v>
      </c>
      <c r="AY387" s="313">
        <v>1</v>
      </c>
      <c r="AZ387" s="313">
        <v>1</v>
      </c>
      <c r="BA387" s="313">
        <v>1</v>
      </c>
      <c r="BB387" s="313">
        <v>1</v>
      </c>
      <c r="BC387" s="313">
        <v>1</v>
      </c>
      <c r="BD387" s="313">
        <v>1</v>
      </c>
      <c r="BE387" s="313">
        <v>1</v>
      </c>
      <c r="BF387" s="313">
        <v>1</v>
      </c>
      <c r="BG387" s="313">
        <v>1</v>
      </c>
      <c r="BH387" s="313">
        <v>1</v>
      </c>
      <c r="BI387" s="313">
        <v>1</v>
      </c>
      <c r="BJ387" s="313">
        <v>1</v>
      </c>
      <c r="BK387" s="313">
        <v>1</v>
      </c>
    </row>
    <row r="388" spans="1:63" x14ac:dyDescent="0.25">
      <c r="A388" s="306">
        <v>712000</v>
      </c>
      <c r="B388" s="313" t="s">
        <v>340</v>
      </c>
      <c r="C388" s="313">
        <v>1</v>
      </c>
      <c r="D388" s="313">
        <v>1</v>
      </c>
      <c r="E388" s="313">
        <v>1</v>
      </c>
      <c r="F388" s="313">
        <v>1</v>
      </c>
      <c r="G388" s="313">
        <v>1</v>
      </c>
      <c r="H388" s="313">
        <v>1</v>
      </c>
      <c r="I388" s="313">
        <v>1</v>
      </c>
      <c r="J388" s="313">
        <v>1</v>
      </c>
      <c r="K388" s="313">
        <v>1</v>
      </c>
      <c r="L388" s="313">
        <v>1</v>
      </c>
      <c r="M388" s="313">
        <v>1</v>
      </c>
      <c r="N388" s="313">
        <v>1</v>
      </c>
      <c r="O388" s="313">
        <v>1</v>
      </c>
      <c r="P388" s="313">
        <v>1</v>
      </c>
      <c r="Q388" s="313">
        <v>1</v>
      </c>
      <c r="R388" s="313">
        <v>1</v>
      </c>
      <c r="S388" s="313">
        <v>1</v>
      </c>
      <c r="T388" s="313">
        <v>1</v>
      </c>
      <c r="U388" s="313">
        <v>1</v>
      </c>
      <c r="V388" s="313">
        <v>1</v>
      </c>
      <c r="W388" s="313">
        <v>1</v>
      </c>
      <c r="X388" s="313">
        <v>1</v>
      </c>
      <c r="Y388" s="313">
        <v>1</v>
      </c>
      <c r="Z388" s="313">
        <v>1</v>
      </c>
      <c r="AA388" s="313">
        <v>1</v>
      </c>
      <c r="AB388" s="313">
        <v>1</v>
      </c>
      <c r="AC388" s="313">
        <v>1</v>
      </c>
      <c r="AD388" s="313">
        <v>1</v>
      </c>
      <c r="AE388" s="313">
        <v>1</v>
      </c>
      <c r="AF388" s="313">
        <v>1</v>
      </c>
      <c r="AG388" s="313">
        <v>1</v>
      </c>
      <c r="AH388" s="313">
        <v>1</v>
      </c>
      <c r="AI388" s="313">
        <v>1</v>
      </c>
      <c r="AJ388" s="313">
        <v>1</v>
      </c>
      <c r="AK388" s="313">
        <v>1</v>
      </c>
      <c r="AL388" s="313">
        <v>1</v>
      </c>
      <c r="AM388" s="313">
        <v>1</v>
      </c>
      <c r="AN388" s="313">
        <v>1</v>
      </c>
      <c r="AO388" s="313">
        <v>1</v>
      </c>
      <c r="AP388" s="313">
        <v>1</v>
      </c>
      <c r="AQ388" s="313">
        <v>1</v>
      </c>
      <c r="AR388" s="313">
        <v>1</v>
      </c>
      <c r="AS388" s="313">
        <v>1</v>
      </c>
      <c r="AT388" s="313">
        <v>1</v>
      </c>
      <c r="AU388" s="313">
        <v>1</v>
      </c>
      <c r="AV388" s="313">
        <v>1</v>
      </c>
      <c r="AW388" s="313">
        <v>1</v>
      </c>
      <c r="AX388" s="313">
        <v>1</v>
      </c>
      <c r="AY388" s="313">
        <v>1</v>
      </c>
      <c r="AZ388" s="313">
        <v>1</v>
      </c>
      <c r="BA388" s="313">
        <v>1</v>
      </c>
      <c r="BB388" s="313">
        <v>1</v>
      </c>
      <c r="BC388" s="313">
        <v>1</v>
      </c>
      <c r="BD388" s="313">
        <v>1</v>
      </c>
      <c r="BE388" s="313">
        <v>1</v>
      </c>
      <c r="BF388" s="313">
        <v>1</v>
      </c>
      <c r="BG388" s="313">
        <v>1</v>
      </c>
      <c r="BH388" s="313">
        <v>1</v>
      </c>
      <c r="BI388" s="313">
        <v>1</v>
      </c>
      <c r="BJ388" s="313">
        <v>1</v>
      </c>
      <c r="BK388" s="313">
        <v>1</v>
      </c>
    </row>
    <row r="389" spans="1:63" x14ac:dyDescent="0.25">
      <c r="A389" s="306">
        <v>713940</v>
      </c>
      <c r="B389" s="313" t="s">
        <v>341</v>
      </c>
      <c r="C389" s="313">
        <v>1</v>
      </c>
      <c r="D389" s="313">
        <v>1</v>
      </c>
      <c r="E389" s="313">
        <v>1</v>
      </c>
      <c r="F389" s="313">
        <v>1</v>
      </c>
      <c r="G389" s="313">
        <v>1</v>
      </c>
      <c r="H389" s="313">
        <v>1</v>
      </c>
      <c r="I389" s="313">
        <v>1</v>
      </c>
      <c r="J389" s="313">
        <v>1</v>
      </c>
      <c r="K389" s="313">
        <v>1</v>
      </c>
      <c r="L389" s="313">
        <v>1</v>
      </c>
      <c r="M389" s="313">
        <v>1</v>
      </c>
      <c r="N389" s="313">
        <v>1</v>
      </c>
      <c r="O389" s="313">
        <v>1</v>
      </c>
      <c r="P389" s="313">
        <v>1</v>
      </c>
      <c r="Q389" s="313">
        <v>1</v>
      </c>
      <c r="R389" s="313">
        <v>1</v>
      </c>
      <c r="S389" s="313">
        <v>1</v>
      </c>
      <c r="T389" s="313">
        <v>1</v>
      </c>
      <c r="U389" s="313">
        <v>1</v>
      </c>
      <c r="V389" s="313">
        <v>1</v>
      </c>
      <c r="W389" s="313">
        <v>1</v>
      </c>
      <c r="X389" s="313">
        <v>1</v>
      </c>
      <c r="Y389" s="313">
        <v>1</v>
      </c>
      <c r="Z389" s="313">
        <v>1</v>
      </c>
      <c r="AA389" s="313">
        <v>1</v>
      </c>
      <c r="AB389" s="313">
        <v>1</v>
      </c>
      <c r="AC389" s="313">
        <v>1</v>
      </c>
      <c r="AD389" s="313">
        <v>1</v>
      </c>
      <c r="AE389" s="313">
        <v>1</v>
      </c>
      <c r="AF389" s="313">
        <v>1</v>
      </c>
      <c r="AG389" s="313">
        <v>1</v>
      </c>
      <c r="AH389" s="313">
        <v>1</v>
      </c>
      <c r="AI389" s="313">
        <v>1</v>
      </c>
      <c r="AJ389" s="313">
        <v>1</v>
      </c>
      <c r="AK389" s="313">
        <v>1</v>
      </c>
      <c r="AL389" s="313">
        <v>1</v>
      </c>
      <c r="AM389" s="313">
        <v>1</v>
      </c>
      <c r="AN389" s="313">
        <v>1</v>
      </c>
      <c r="AO389" s="313">
        <v>1</v>
      </c>
      <c r="AP389" s="313">
        <v>1</v>
      </c>
      <c r="AQ389" s="313">
        <v>1</v>
      </c>
      <c r="AR389" s="313">
        <v>1</v>
      </c>
      <c r="AS389" s="313">
        <v>1</v>
      </c>
      <c r="AT389" s="313">
        <v>1</v>
      </c>
      <c r="AU389" s="313">
        <v>1</v>
      </c>
      <c r="AV389" s="313">
        <v>1</v>
      </c>
      <c r="AW389" s="313">
        <v>1</v>
      </c>
      <c r="AX389" s="313">
        <v>1</v>
      </c>
      <c r="AY389" s="313">
        <v>1</v>
      </c>
      <c r="AZ389" s="313">
        <v>1</v>
      </c>
      <c r="BA389" s="313">
        <v>1</v>
      </c>
      <c r="BB389" s="313">
        <v>1</v>
      </c>
      <c r="BC389" s="313">
        <v>1</v>
      </c>
      <c r="BD389" s="313">
        <v>1</v>
      </c>
      <c r="BE389" s="313">
        <v>1</v>
      </c>
      <c r="BF389" s="313">
        <v>1</v>
      </c>
      <c r="BG389" s="313">
        <v>1</v>
      </c>
      <c r="BH389" s="313">
        <v>1</v>
      </c>
      <c r="BI389" s="313">
        <v>1</v>
      </c>
      <c r="BJ389" s="313">
        <v>1</v>
      </c>
      <c r="BK389" s="313">
        <v>1</v>
      </c>
    </row>
    <row r="390" spans="1:63" x14ac:dyDescent="0.25">
      <c r="A390" s="306">
        <v>713950</v>
      </c>
      <c r="B390" s="313" t="s">
        <v>342</v>
      </c>
      <c r="C390" s="313">
        <v>1</v>
      </c>
      <c r="D390" s="313">
        <v>1</v>
      </c>
      <c r="E390" s="313">
        <v>1</v>
      </c>
      <c r="F390" s="313">
        <v>1</v>
      </c>
      <c r="G390" s="313">
        <v>1</v>
      </c>
      <c r="H390" s="313">
        <v>1</v>
      </c>
      <c r="I390" s="313">
        <v>1</v>
      </c>
      <c r="J390" s="313">
        <v>1</v>
      </c>
      <c r="K390" s="313">
        <v>1</v>
      </c>
      <c r="L390" s="313">
        <v>1</v>
      </c>
      <c r="M390" s="313">
        <v>1</v>
      </c>
      <c r="N390" s="313">
        <v>1</v>
      </c>
      <c r="O390" s="313">
        <v>1</v>
      </c>
      <c r="P390" s="313">
        <v>1</v>
      </c>
      <c r="Q390" s="313">
        <v>1</v>
      </c>
      <c r="R390" s="313">
        <v>1</v>
      </c>
      <c r="S390" s="313">
        <v>1</v>
      </c>
      <c r="T390" s="313">
        <v>1</v>
      </c>
      <c r="U390" s="313">
        <v>1</v>
      </c>
      <c r="V390" s="313">
        <v>1</v>
      </c>
      <c r="W390" s="313">
        <v>1</v>
      </c>
      <c r="X390" s="313">
        <v>1</v>
      </c>
      <c r="Y390" s="313">
        <v>1</v>
      </c>
      <c r="Z390" s="313">
        <v>1</v>
      </c>
      <c r="AA390" s="313">
        <v>1</v>
      </c>
      <c r="AB390" s="313">
        <v>1</v>
      </c>
      <c r="AC390" s="313">
        <v>1</v>
      </c>
      <c r="AD390" s="313">
        <v>1</v>
      </c>
      <c r="AE390" s="313">
        <v>1</v>
      </c>
      <c r="AF390" s="313">
        <v>1</v>
      </c>
      <c r="AG390" s="313">
        <v>1</v>
      </c>
      <c r="AH390" s="313">
        <v>1</v>
      </c>
      <c r="AI390" s="313">
        <v>1</v>
      </c>
      <c r="AJ390" s="313">
        <v>1</v>
      </c>
      <c r="AK390" s="313">
        <v>1</v>
      </c>
      <c r="AL390" s="313">
        <v>1</v>
      </c>
      <c r="AM390" s="313">
        <v>1</v>
      </c>
      <c r="AN390" s="313">
        <v>1</v>
      </c>
      <c r="AO390" s="313">
        <v>1</v>
      </c>
      <c r="AP390" s="313">
        <v>1</v>
      </c>
      <c r="AQ390" s="313">
        <v>1</v>
      </c>
      <c r="AR390" s="313">
        <v>1</v>
      </c>
      <c r="AS390" s="313">
        <v>1</v>
      </c>
      <c r="AT390" s="313">
        <v>1</v>
      </c>
      <c r="AU390" s="313">
        <v>1</v>
      </c>
      <c r="AV390" s="313">
        <v>1</v>
      </c>
      <c r="AW390" s="313">
        <v>1</v>
      </c>
      <c r="AX390" s="313">
        <v>1</v>
      </c>
      <c r="AY390" s="313">
        <v>1</v>
      </c>
      <c r="AZ390" s="313">
        <v>1</v>
      </c>
      <c r="BA390" s="313">
        <v>1</v>
      </c>
      <c r="BB390" s="313">
        <v>1</v>
      </c>
      <c r="BC390" s="313">
        <v>1</v>
      </c>
      <c r="BD390" s="313">
        <v>1</v>
      </c>
      <c r="BE390" s="313">
        <v>1</v>
      </c>
      <c r="BF390" s="313">
        <v>1</v>
      </c>
      <c r="BG390" s="313">
        <v>1</v>
      </c>
      <c r="BH390" s="313">
        <v>1</v>
      </c>
      <c r="BI390" s="313">
        <v>1</v>
      </c>
      <c r="BJ390" s="313">
        <v>1</v>
      </c>
      <c r="BK390" s="313">
        <v>1</v>
      </c>
    </row>
    <row r="391" spans="1:63" x14ac:dyDescent="0.25">
      <c r="A391" s="306" t="s">
        <v>783</v>
      </c>
      <c r="B391" s="313" t="s">
        <v>343</v>
      </c>
      <c r="C391" s="313">
        <v>1</v>
      </c>
      <c r="D391" s="313">
        <v>1</v>
      </c>
      <c r="E391" s="313">
        <v>1</v>
      </c>
      <c r="F391" s="313">
        <v>1</v>
      </c>
      <c r="G391" s="313">
        <v>1</v>
      </c>
      <c r="H391" s="313">
        <v>1</v>
      </c>
      <c r="I391" s="313">
        <v>1</v>
      </c>
      <c r="J391" s="313">
        <v>1</v>
      </c>
      <c r="K391" s="313">
        <v>1</v>
      </c>
      <c r="L391" s="313">
        <v>1</v>
      </c>
      <c r="M391" s="313">
        <v>1</v>
      </c>
      <c r="N391" s="313">
        <v>1</v>
      </c>
      <c r="O391" s="313">
        <v>1</v>
      </c>
      <c r="P391" s="313">
        <v>1</v>
      </c>
      <c r="Q391" s="313">
        <v>1</v>
      </c>
      <c r="R391" s="313">
        <v>1</v>
      </c>
      <c r="S391" s="313">
        <v>1</v>
      </c>
      <c r="T391" s="313">
        <v>1</v>
      </c>
      <c r="U391" s="313">
        <v>1</v>
      </c>
      <c r="V391" s="313">
        <v>1</v>
      </c>
      <c r="W391" s="313">
        <v>1</v>
      </c>
      <c r="X391" s="313">
        <v>1</v>
      </c>
      <c r="Y391" s="313">
        <v>1</v>
      </c>
      <c r="Z391" s="313">
        <v>1</v>
      </c>
      <c r="AA391" s="313">
        <v>1</v>
      </c>
      <c r="AB391" s="313">
        <v>1</v>
      </c>
      <c r="AC391" s="313">
        <v>1</v>
      </c>
      <c r="AD391" s="313">
        <v>1</v>
      </c>
      <c r="AE391" s="313">
        <v>1</v>
      </c>
      <c r="AF391" s="313">
        <v>1</v>
      </c>
      <c r="AG391" s="313">
        <v>1</v>
      </c>
      <c r="AH391" s="313">
        <v>1</v>
      </c>
      <c r="AI391" s="313">
        <v>1</v>
      </c>
      <c r="AJ391" s="313">
        <v>1</v>
      </c>
      <c r="AK391" s="313">
        <v>1</v>
      </c>
      <c r="AL391" s="313">
        <v>1</v>
      </c>
      <c r="AM391" s="313">
        <v>1</v>
      </c>
      <c r="AN391" s="313">
        <v>1</v>
      </c>
      <c r="AO391" s="313">
        <v>1</v>
      </c>
      <c r="AP391" s="313">
        <v>1</v>
      </c>
      <c r="AQ391" s="313">
        <v>1</v>
      </c>
      <c r="AR391" s="313">
        <v>1</v>
      </c>
      <c r="AS391" s="313">
        <v>1</v>
      </c>
      <c r="AT391" s="313">
        <v>1</v>
      </c>
      <c r="AU391" s="313">
        <v>1</v>
      </c>
      <c r="AV391" s="313">
        <v>1</v>
      </c>
      <c r="AW391" s="313">
        <v>1</v>
      </c>
      <c r="AX391" s="313">
        <v>1</v>
      </c>
      <c r="AY391" s="313">
        <v>1</v>
      </c>
      <c r="AZ391" s="313">
        <v>1</v>
      </c>
      <c r="BA391" s="313">
        <v>1</v>
      </c>
      <c r="BB391" s="313">
        <v>1</v>
      </c>
      <c r="BC391" s="313">
        <v>1</v>
      </c>
      <c r="BD391" s="313">
        <v>1</v>
      </c>
      <c r="BE391" s="313">
        <v>1</v>
      </c>
      <c r="BF391" s="313">
        <v>1</v>
      </c>
      <c r="BG391" s="313">
        <v>1</v>
      </c>
      <c r="BH391" s="313">
        <v>1</v>
      </c>
      <c r="BI391" s="313">
        <v>1</v>
      </c>
      <c r="BJ391" s="313">
        <v>1</v>
      </c>
      <c r="BK391" s="313">
        <v>1</v>
      </c>
    </row>
    <row r="392" spans="1:63" x14ac:dyDescent="0.25">
      <c r="A392" s="306" t="s">
        <v>784</v>
      </c>
      <c r="B392" s="313" t="s">
        <v>344</v>
      </c>
      <c r="C392" s="313">
        <v>1</v>
      </c>
      <c r="D392" s="313">
        <v>1</v>
      </c>
      <c r="E392" s="313">
        <v>1</v>
      </c>
      <c r="F392" s="313">
        <v>1</v>
      </c>
      <c r="G392" s="313">
        <v>1</v>
      </c>
      <c r="H392" s="313">
        <v>1</v>
      </c>
      <c r="I392" s="313">
        <v>1</v>
      </c>
      <c r="J392" s="313">
        <v>1</v>
      </c>
      <c r="K392" s="313">
        <v>1</v>
      </c>
      <c r="L392" s="313">
        <v>1</v>
      </c>
      <c r="M392" s="313">
        <v>1</v>
      </c>
      <c r="N392" s="313">
        <v>1</v>
      </c>
      <c r="O392" s="313">
        <v>1</v>
      </c>
      <c r="P392" s="313">
        <v>1</v>
      </c>
      <c r="Q392" s="313">
        <v>1</v>
      </c>
      <c r="R392" s="313">
        <v>1</v>
      </c>
      <c r="S392" s="313">
        <v>1</v>
      </c>
      <c r="T392" s="313">
        <v>1</v>
      </c>
      <c r="U392" s="313">
        <v>1</v>
      </c>
      <c r="V392" s="313">
        <v>1</v>
      </c>
      <c r="W392" s="313">
        <v>1</v>
      </c>
      <c r="X392" s="313">
        <v>1</v>
      </c>
      <c r="Y392" s="313">
        <v>1</v>
      </c>
      <c r="Z392" s="313">
        <v>1</v>
      </c>
      <c r="AA392" s="313">
        <v>1</v>
      </c>
      <c r="AB392" s="313">
        <v>1</v>
      </c>
      <c r="AC392" s="313">
        <v>1</v>
      </c>
      <c r="AD392" s="313">
        <v>1</v>
      </c>
      <c r="AE392" s="313">
        <v>1</v>
      </c>
      <c r="AF392" s="313">
        <v>1</v>
      </c>
      <c r="AG392" s="313">
        <v>1</v>
      </c>
      <c r="AH392" s="313">
        <v>1</v>
      </c>
      <c r="AI392" s="313">
        <v>1</v>
      </c>
      <c r="AJ392" s="313">
        <v>1</v>
      </c>
      <c r="AK392" s="313">
        <v>1</v>
      </c>
      <c r="AL392" s="313">
        <v>1</v>
      </c>
      <c r="AM392" s="313">
        <v>1</v>
      </c>
      <c r="AN392" s="313">
        <v>1</v>
      </c>
      <c r="AO392" s="313">
        <v>1</v>
      </c>
      <c r="AP392" s="313">
        <v>1</v>
      </c>
      <c r="AQ392" s="313">
        <v>1</v>
      </c>
      <c r="AR392" s="313">
        <v>1</v>
      </c>
      <c r="AS392" s="313">
        <v>1</v>
      </c>
      <c r="AT392" s="313">
        <v>1</v>
      </c>
      <c r="AU392" s="313">
        <v>1</v>
      </c>
      <c r="AV392" s="313">
        <v>1</v>
      </c>
      <c r="AW392" s="313">
        <v>1</v>
      </c>
      <c r="AX392" s="313">
        <v>1</v>
      </c>
      <c r="AY392" s="313">
        <v>1</v>
      </c>
      <c r="AZ392" s="313">
        <v>1</v>
      </c>
      <c r="BA392" s="313">
        <v>1</v>
      </c>
      <c r="BB392" s="313">
        <v>1</v>
      </c>
      <c r="BC392" s="313">
        <v>1</v>
      </c>
      <c r="BD392" s="313">
        <v>1</v>
      </c>
      <c r="BE392" s="313">
        <v>1</v>
      </c>
      <c r="BF392" s="313">
        <v>1</v>
      </c>
      <c r="BG392" s="313">
        <v>1</v>
      </c>
      <c r="BH392" s="313">
        <v>1</v>
      </c>
      <c r="BI392" s="313">
        <v>1</v>
      </c>
      <c r="BJ392" s="313">
        <v>1</v>
      </c>
      <c r="BK392" s="313">
        <v>1</v>
      </c>
    </row>
    <row r="393" spans="1:63" x14ac:dyDescent="0.25">
      <c r="A393" s="306" t="s">
        <v>785</v>
      </c>
      <c r="B393" s="313" t="s">
        <v>345</v>
      </c>
      <c r="C393" s="313">
        <v>1</v>
      </c>
      <c r="D393" s="313">
        <v>1</v>
      </c>
      <c r="E393" s="313">
        <v>1</v>
      </c>
      <c r="F393" s="313">
        <v>1</v>
      </c>
      <c r="G393" s="313">
        <v>1</v>
      </c>
      <c r="H393" s="313">
        <v>1</v>
      </c>
      <c r="I393" s="313">
        <v>1</v>
      </c>
      <c r="J393" s="313">
        <v>1</v>
      </c>
      <c r="K393" s="313">
        <v>1</v>
      </c>
      <c r="L393" s="313">
        <v>1</v>
      </c>
      <c r="M393" s="313">
        <v>1</v>
      </c>
      <c r="N393" s="313">
        <v>1</v>
      </c>
      <c r="O393" s="313">
        <v>1</v>
      </c>
      <c r="P393" s="313">
        <v>1</v>
      </c>
      <c r="Q393" s="313">
        <v>1</v>
      </c>
      <c r="R393" s="313">
        <v>1</v>
      </c>
      <c r="S393" s="313">
        <v>1</v>
      </c>
      <c r="T393" s="313">
        <v>1</v>
      </c>
      <c r="U393" s="313">
        <v>1</v>
      </c>
      <c r="V393" s="313">
        <v>1</v>
      </c>
      <c r="W393" s="313">
        <v>1</v>
      </c>
      <c r="X393" s="313">
        <v>1</v>
      </c>
      <c r="Y393" s="313">
        <v>1</v>
      </c>
      <c r="Z393" s="313">
        <v>1</v>
      </c>
      <c r="AA393" s="313">
        <v>1</v>
      </c>
      <c r="AB393" s="313">
        <v>1</v>
      </c>
      <c r="AC393" s="313">
        <v>1</v>
      </c>
      <c r="AD393" s="313">
        <v>1</v>
      </c>
      <c r="AE393" s="313">
        <v>1</v>
      </c>
      <c r="AF393" s="313">
        <v>1</v>
      </c>
      <c r="AG393" s="313">
        <v>1</v>
      </c>
      <c r="AH393" s="313">
        <v>1</v>
      </c>
      <c r="AI393" s="313">
        <v>1</v>
      </c>
      <c r="AJ393" s="313">
        <v>1</v>
      </c>
      <c r="AK393" s="313">
        <v>1</v>
      </c>
      <c r="AL393" s="313">
        <v>1</v>
      </c>
      <c r="AM393" s="313">
        <v>1</v>
      </c>
      <c r="AN393" s="313">
        <v>1</v>
      </c>
      <c r="AO393" s="313">
        <v>1</v>
      </c>
      <c r="AP393" s="313">
        <v>1</v>
      </c>
      <c r="AQ393" s="313">
        <v>1</v>
      </c>
      <c r="AR393" s="313">
        <v>1</v>
      </c>
      <c r="AS393" s="313">
        <v>1</v>
      </c>
      <c r="AT393" s="313">
        <v>1</v>
      </c>
      <c r="AU393" s="313">
        <v>1</v>
      </c>
      <c r="AV393" s="313">
        <v>1</v>
      </c>
      <c r="AW393" s="313">
        <v>1</v>
      </c>
      <c r="AX393" s="313">
        <v>1</v>
      </c>
      <c r="AY393" s="313">
        <v>1</v>
      </c>
      <c r="AZ393" s="313">
        <v>1</v>
      </c>
      <c r="BA393" s="313">
        <v>1</v>
      </c>
      <c r="BB393" s="313">
        <v>1</v>
      </c>
      <c r="BC393" s="313">
        <v>1</v>
      </c>
      <c r="BD393" s="313">
        <v>1</v>
      </c>
      <c r="BE393" s="313">
        <v>1</v>
      </c>
      <c r="BF393" s="313">
        <v>1</v>
      </c>
      <c r="BG393" s="313">
        <v>1</v>
      </c>
      <c r="BH393" s="313">
        <v>1</v>
      </c>
      <c r="BI393" s="313">
        <v>1</v>
      </c>
      <c r="BJ393" s="313">
        <v>1</v>
      </c>
      <c r="BK393" s="313">
        <v>1</v>
      </c>
    </row>
    <row r="394" spans="1:63" x14ac:dyDescent="0.25">
      <c r="A394" s="306" t="s">
        <v>786</v>
      </c>
      <c r="B394" s="313" t="s">
        <v>346</v>
      </c>
      <c r="C394" s="313">
        <v>1</v>
      </c>
      <c r="D394" s="313">
        <v>1</v>
      </c>
      <c r="E394" s="313">
        <v>1</v>
      </c>
      <c r="F394" s="313">
        <v>1</v>
      </c>
      <c r="G394" s="313">
        <v>1</v>
      </c>
      <c r="H394" s="313">
        <v>1</v>
      </c>
      <c r="I394" s="313">
        <v>1</v>
      </c>
      <c r="J394" s="313">
        <v>1</v>
      </c>
      <c r="K394" s="313">
        <v>1</v>
      </c>
      <c r="L394" s="313">
        <v>1</v>
      </c>
      <c r="M394" s="313">
        <v>1</v>
      </c>
      <c r="N394" s="313">
        <v>1</v>
      </c>
      <c r="O394" s="313">
        <v>1</v>
      </c>
      <c r="P394" s="313">
        <v>1</v>
      </c>
      <c r="Q394" s="313">
        <v>1</v>
      </c>
      <c r="R394" s="313">
        <v>1</v>
      </c>
      <c r="S394" s="313">
        <v>1</v>
      </c>
      <c r="T394" s="313">
        <v>1</v>
      </c>
      <c r="U394" s="313">
        <v>1</v>
      </c>
      <c r="V394" s="313">
        <v>1</v>
      </c>
      <c r="W394" s="313">
        <v>1</v>
      </c>
      <c r="X394" s="313">
        <v>1</v>
      </c>
      <c r="Y394" s="313">
        <v>1</v>
      </c>
      <c r="Z394" s="313">
        <v>1</v>
      </c>
      <c r="AA394" s="313">
        <v>1</v>
      </c>
      <c r="AB394" s="313">
        <v>1</v>
      </c>
      <c r="AC394" s="313">
        <v>1</v>
      </c>
      <c r="AD394" s="313">
        <v>1</v>
      </c>
      <c r="AE394" s="313">
        <v>1</v>
      </c>
      <c r="AF394" s="313">
        <v>1</v>
      </c>
      <c r="AG394" s="313">
        <v>1</v>
      </c>
      <c r="AH394" s="313">
        <v>1</v>
      </c>
      <c r="AI394" s="313">
        <v>1</v>
      </c>
      <c r="AJ394" s="313">
        <v>1</v>
      </c>
      <c r="AK394" s="313">
        <v>1</v>
      </c>
      <c r="AL394" s="313">
        <v>1</v>
      </c>
      <c r="AM394" s="313">
        <v>1</v>
      </c>
      <c r="AN394" s="313">
        <v>1</v>
      </c>
      <c r="AO394" s="313">
        <v>1</v>
      </c>
      <c r="AP394" s="313">
        <v>1</v>
      </c>
      <c r="AQ394" s="313">
        <v>1</v>
      </c>
      <c r="AR394" s="313">
        <v>1</v>
      </c>
      <c r="AS394" s="313">
        <v>1</v>
      </c>
      <c r="AT394" s="313">
        <v>1</v>
      </c>
      <c r="AU394" s="313">
        <v>1</v>
      </c>
      <c r="AV394" s="313">
        <v>1</v>
      </c>
      <c r="AW394" s="313">
        <v>1</v>
      </c>
      <c r="AX394" s="313">
        <v>1</v>
      </c>
      <c r="AY394" s="313">
        <v>1</v>
      </c>
      <c r="AZ394" s="313">
        <v>1</v>
      </c>
      <c r="BA394" s="313">
        <v>1</v>
      </c>
      <c r="BB394" s="313">
        <v>1</v>
      </c>
      <c r="BC394" s="313">
        <v>1</v>
      </c>
      <c r="BD394" s="313">
        <v>1</v>
      </c>
      <c r="BE394" s="313">
        <v>1</v>
      </c>
      <c r="BF394" s="313">
        <v>1</v>
      </c>
      <c r="BG394" s="313">
        <v>1</v>
      </c>
      <c r="BH394" s="313">
        <v>1</v>
      </c>
      <c r="BI394" s="313">
        <v>1</v>
      </c>
      <c r="BJ394" s="313">
        <v>1</v>
      </c>
      <c r="BK394" s="313">
        <v>1</v>
      </c>
    </row>
    <row r="395" spans="1:63" x14ac:dyDescent="0.25">
      <c r="A395" s="306">
        <v>722000</v>
      </c>
      <c r="B395" s="313" t="s">
        <v>347</v>
      </c>
      <c r="C395" s="313">
        <v>1</v>
      </c>
      <c r="D395" s="313">
        <v>1</v>
      </c>
      <c r="E395" s="313">
        <v>1</v>
      </c>
      <c r="F395" s="313">
        <v>1</v>
      </c>
      <c r="G395" s="313">
        <v>1</v>
      </c>
      <c r="H395" s="313">
        <v>1</v>
      </c>
      <c r="I395" s="313">
        <v>1</v>
      </c>
      <c r="J395" s="313">
        <v>1</v>
      </c>
      <c r="K395" s="313">
        <v>1</v>
      </c>
      <c r="L395" s="313">
        <v>1</v>
      </c>
      <c r="M395" s="313">
        <v>1</v>
      </c>
      <c r="N395" s="313">
        <v>1</v>
      </c>
      <c r="O395" s="313">
        <v>1</v>
      </c>
      <c r="P395" s="313">
        <v>1</v>
      </c>
      <c r="Q395" s="313">
        <v>1</v>
      </c>
      <c r="R395" s="313">
        <v>1</v>
      </c>
      <c r="S395" s="313">
        <v>1</v>
      </c>
      <c r="T395" s="313">
        <v>1</v>
      </c>
      <c r="U395" s="313">
        <v>1</v>
      </c>
      <c r="V395" s="313">
        <v>1</v>
      </c>
      <c r="W395" s="313">
        <v>1</v>
      </c>
      <c r="X395" s="313">
        <v>1</v>
      </c>
      <c r="Y395" s="313">
        <v>1</v>
      </c>
      <c r="Z395" s="313">
        <v>1</v>
      </c>
      <c r="AA395" s="313">
        <v>1</v>
      </c>
      <c r="AB395" s="313">
        <v>1</v>
      </c>
      <c r="AC395" s="313">
        <v>1</v>
      </c>
      <c r="AD395" s="313">
        <v>1</v>
      </c>
      <c r="AE395" s="313">
        <v>1</v>
      </c>
      <c r="AF395" s="313">
        <v>1</v>
      </c>
      <c r="AG395" s="313">
        <v>1</v>
      </c>
      <c r="AH395" s="313">
        <v>1</v>
      </c>
      <c r="AI395" s="313">
        <v>1</v>
      </c>
      <c r="AJ395" s="313">
        <v>1</v>
      </c>
      <c r="AK395" s="313">
        <v>1</v>
      </c>
      <c r="AL395" s="313">
        <v>1</v>
      </c>
      <c r="AM395" s="313">
        <v>1</v>
      </c>
      <c r="AN395" s="313">
        <v>1</v>
      </c>
      <c r="AO395" s="313">
        <v>1</v>
      </c>
      <c r="AP395" s="313">
        <v>1</v>
      </c>
      <c r="AQ395" s="313">
        <v>1</v>
      </c>
      <c r="AR395" s="313">
        <v>1</v>
      </c>
      <c r="AS395" s="313">
        <v>1</v>
      </c>
      <c r="AT395" s="313">
        <v>1</v>
      </c>
      <c r="AU395" s="313">
        <v>1</v>
      </c>
      <c r="AV395" s="313">
        <v>1</v>
      </c>
      <c r="AW395" s="313">
        <v>1</v>
      </c>
      <c r="AX395" s="313">
        <v>1</v>
      </c>
      <c r="AY395" s="313">
        <v>1</v>
      </c>
      <c r="AZ395" s="313">
        <v>1</v>
      </c>
      <c r="BA395" s="313">
        <v>1</v>
      </c>
      <c r="BB395" s="313">
        <v>1</v>
      </c>
      <c r="BC395" s="313">
        <v>1</v>
      </c>
      <c r="BD395" s="313">
        <v>1</v>
      </c>
      <c r="BE395" s="313">
        <v>1</v>
      </c>
      <c r="BF395" s="313">
        <v>1</v>
      </c>
      <c r="BG395" s="313">
        <v>1</v>
      </c>
      <c r="BH395" s="313">
        <v>1</v>
      </c>
      <c r="BI395" s="313">
        <v>1</v>
      </c>
      <c r="BJ395" s="313">
        <v>1</v>
      </c>
      <c r="BK395" s="313">
        <v>1</v>
      </c>
    </row>
    <row r="396" spans="1:63" x14ac:dyDescent="0.25">
      <c r="A396" s="306">
        <v>811192</v>
      </c>
      <c r="B396" s="313" t="s">
        <v>349</v>
      </c>
      <c r="C396" s="313">
        <v>1</v>
      </c>
      <c r="D396" s="313">
        <v>1</v>
      </c>
      <c r="E396" s="313">
        <v>1</v>
      </c>
      <c r="F396" s="313">
        <v>1</v>
      </c>
      <c r="G396" s="313">
        <v>1</v>
      </c>
      <c r="H396" s="313">
        <v>1</v>
      </c>
      <c r="I396" s="313">
        <v>1</v>
      </c>
      <c r="J396" s="313">
        <v>1</v>
      </c>
      <c r="K396" s="313">
        <v>1</v>
      </c>
      <c r="L396" s="313">
        <v>1</v>
      </c>
      <c r="M396" s="313">
        <v>1</v>
      </c>
      <c r="N396" s="313">
        <v>1</v>
      </c>
      <c r="O396" s="313">
        <v>1</v>
      </c>
      <c r="P396" s="313">
        <v>1</v>
      </c>
      <c r="Q396" s="313">
        <v>1</v>
      </c>
      <c r="R396" s="313">
        <v>1</v>
      </c>
      <c r="S396" s="313">
        <v>1</v>
      </c>
      <c r="T396" s="313">
        <v>1</v>
      </c>
      <c r="U396" s="313">
        <v>1</v>
      </c>
      <c r="V396" s="313">
        <v>1</v>
      </c>
      <c r="W396" s="313">
        <v>1</v>
      </c>
      <c r="X396" s="313">
        <v>1</v>
      </c>
      <c r="Y396" s="313">
        <v>1</v>
      </c>
      <c r="Z396" s="313">
        <v>1</v>
      </c>
      <c r="AA396" s="313">
        <v>1</v>
      </c>
      <c r="AB396" s="313">
        <v>1</v>
      </c>
      <c r="AC396" s="313">
        <v>1</v>
      </c>
      <c r="AD396" s="313">
        <v>1</v>
      </c>
      <c r="AE396" s="313">
        <v>1</v>
      </c>
      <c r="AF396" s="313">
        <v>1</v>
      </c>
      <c r="AG396" s="313">
        <v>1</v>
      </c>
      <c r="AH396" s="313">
        <v>1</v>
      </c>
      <c r="AI396" s="313">
        <v>1</v>
      </c>
      <c r="AJ396" s="313">
        <v>1</v>
      </c>
      <c r="AK396" s="313">
        <v>1</v>
      </c>
      <c r="AL396" s="313">
        <v>1</v>
      </c>
      <c r="AM396" s="313">
        <v>1</v>
      </c>
      <c r="AN396" s="313">
        <v>1</v>
      </c>
      <c r="AO396" s="313">
        <v>1</v>
      </c>
      <c r="AP396" s="313">
        <v>1</v>
      </c>
      <c r="AQ396" s="313">
        <v>1</v>
      </c>
      <c r="AR396" s="313">
        <v>1</v>
      </c>
      <c r="AS396" s="313">
        <v>1</v>
      </c>
      <c r="AT396" s="313">
        <v>1</v>
      </c>
      <c r="AU396" s="313">
        <v>1</v>
      </c>
      <c r="AV396" s="313">
        <v>1</v>
      </c>
      <c r="AW396" s="313">
        <v>1</v>
      </c>
      <c r="AX396" s="313">
        <v>1</v>
      </c>
      <c r="AY396" s="313">
        <v>1</v>
      </c>
      <c r="AZ396" s="313">
        <v>1</v>
      </c>
      <c r="BA396" s="313">
        <v>1</v>
      </c>
      <c r="BB396" s="313">
        <v>1</v>
      </c>
      <c r="BC396" s="313">
        <v>1</v>
      </c>
      <c r="BD396" s="313">
        <v>1</v>
      </c>
      <c r="BE396" s="313">
        <v>1</v>
      </c>
      <c r="BF396" s="313">
        <v>1</v>
      </c>
      <c r="BG396" s="313">
        <v>1</v>
      </c>
      <c r="BH396" s="313">
        <v>1</v>
      </c>
      <c r="BI396" s="313">
        <v>1</v>
      </c>
      <c r="BJ396" s="313">
        <v>1</v>
      </c>
      <c r="BK396" s="313">
        <v>1</v>
      </c>
    </row>
    <row r="397" spans="1:63" x14ac:dyDescent="0.25">
      <c r="A397" s="306" t="s">
        <v>787</v>
      </c>
      <c r="B397" s="313" t="s">
        <v>348</v>
      </c>
      <c r="C397" s="313">
        <v>1</v>
      </c>
      <c r="D397" s="313">
        <v>1</v>
      </c>
      <c r="E397" s="313">
        <v>1</v>
      </c>
      <c r="F397" s="313">
        <v>1</v>
      </c>
      <c r="G397" s="313">
        <v>1</v>
      </c>
      <c r="H397" s="313">
        <v>1</v>
      </c>
      <c r="I397" s="313">
        <v>1</v>
      </c>
      <c r="J397" s="313">
        <v>1</v>
      </c>
      <c r="K397" s="313">
        <v>1</v>
      </c>
      <c r="L397" s="313">
        <v>1</v>
      </c>
      <c r="M397" s="313">
        <v>1</v>
      </c>
      <c r="N397" s="313">
        <v>1</v>
      </c>
      <c r="O397" s="313">
        <v>1</v>
      </c>
      <c r="P397" s="313">
        <v>1</v>
      </c>
      <c r="Q397" s="313">
        <v>1</v>
      </c>
      <c r="R397" s="313">
        <v>1</v>
      </c>
      <c r="S397" s="313">
        <v>1</v>
      </c>
      <c r="T397" s="313">
        <v>1</v>
      </c>
      <c r="U397" s="313">
        <v>1</v>
      </c>
      <c r="V397" s="313">
        <v>1</v>
      </c>
      <c r="W397" s="313">
        <v>1</v>
      </c>
      <c r="X397" s="313">
        <v>1</v>
      </c>
      <c r="Y397" s="313">
        <v>1</v>
      </c>
      <c r="Z397" s="313">
        <v>1</v>
      </c>
      <c r="AA397" s="313">
        <v>1</v>
      </c>
      <c r="AB397" s="313">
        <v>1</v>
      </c>
      <c r="AC397" s="313">
        <v>1</v>
      </c>
      <c r="AD397" s="313">
        <v>1</v>
      </c>
      <c r="AE397" s="313">
        <v>1</v>
      </c>
      <c r="AF397" s="313">
        <v>1</v>
      </c>
      <c r="AG397" s="313">
        <v>1</v>
      </c>
      <c r="AH397" s="313">
        <v>1</v>
      </c>
      <c r="AI397" s="313">
        <v>1</v>
      </c>
      <c r="AJ397" s="313">
        <v>1</v>
      </c>
      <c r="AK397" s="313">
        <v>1</v>
      </c>
      <c r="AL397" s="313">
        <v>1</v>
      </c>
      <c r="AM397" s="313">
        <v>1</v>
      </c>
      <c r="AN397" s="313">
        <v>1</v>
      </c>
      <c r="AO397" s="313">
        <v>1</v>
      </c>
      <c r="AP397" s="313">
        <v>1</v>
      </c>
      <c r="AQ397" s="313">
        <v>1</v>
      </c>
      <c r="AR397" s="313">
        <v>1</v>
      </c>
      <c r="AS397" s="313">
        <v>1</v>
      </c>
      <c r="AT397" s="313">
        <v>1</v>
      </c>
      <c r="AU397" s="313">
        <v>1</v>
      </c>
      <c r="AV397" s="313">
        <v>1</v>
      </c>
      <c r="AW397" s="313">
        <v>1</v>
      </c>
      <c r="AX397" s="313">
        <v>1</v>
      </c>
      <c r="AY397" s="313">
        <v>1</v>
      </c>
      <c r="AZ397" s="313">
        <v>1</v>
      </c>
      <c r="BA397" s="313">
        <v>1</v>
      </c>
      <c r="BB397" s="313">
        <v>1</v>
      </c>
      <c r="BC397" s="313">
        <v>1</v>
      </c>
      <c r="BD397" s="313">
        <v>1</v>
      </c>
      <c r="BE397" s="313">
        <v>1</v>
      </c>
      <c r="BF397" s="313">
        <v>1</v>
      </c>
      <c r="BG397" s="313">
        <v>1</v>
      </c>
      <c r="BH397" s="313">
        <v>1</v>
      </c>
      <c r="BI397" s="313">
        <v>1</v>
      </c>
      <c r="BJ397" s="313">
        <v>1</v>
      </c>
      <c r="BK397" s="313">
        <v>1</v>
      </c>
    </row>
    <row r="398" spans="1:63" x14ac:dyDescent="0.25">
      <c r="A398" s="306">
        <v>811200</v>
      </c>
      <c r="B398" s="313" t="s">
        <v>350</v>
      </c>
      <c r="C398" s="313">
        <v>1</v>
      </c>
      <c r="D398" s="313">
        <v>1</v>
      </c>
      <c r="E398" s="313">
        <v>1</v>
      </c>
      <c r="F398" s="313">
        <v>1</v>
      </c>
      <c r="G398" s="313">
        <v>1</v>
      </c>
      <c r="H398" s="313">
        <v>1</v>
      </c>
      <c r="I398" s="313">
        <v>1</v>
      </c>
      <c r="J398" s="313">
        <v>1</v>
      </c>
      <c r="K398" s="313">
        <v>1</v>
      </c>
      <c r="L398" s="313">
        <v>1</v>
      </c>
      <c r="M398" s="313">
        <v>1</v>
      </c>
      <c r="N398" s="313">
        <v>1</v>
      </c>
      <c r="O398" s="313">
        <v>1</v>
      </c>
      <c r="P398" s="313">
        <v>1</v>
      </c>
      <c r="Q398" s="313">
        <v>1</v>
      </c>
      <c r="R398" s="313">
        <v>1</v>
      </c>
      <c r="S398" s="313">
        <v>1</v>
      </c>
      <c r="T398" s="313">
        <v>1</v>
      </c>
      <c r="U398" s="313">
        <v>1</v>
      </c>
      <c r="V398" s="313">
        <v>1</v>
      </c>
      <c r="W398" s="313">
        <v>1</v>
      </c>
      <c r="X398" s="313">
        <v>1</v>
      </c>
      <c r="Y398" s="313">
        <v>1</v>
      </c>
      <c r="Z398" s="313">
        <v>1</v>
      </c>
      <c r="AA398" s="313">
        <v>1</v>
      </c>
      <c r="AB398" s="313">
        <v>1</v>
      </c>
      <c r="AC398" s="313">
        <v>1</v>
      </c>
      <c r="AD398" s="313">
        <v>1</v>
      </c>
      <c r="AE398" s="313">
        <v>1</v>
      </c>
      <c r="AF398" s="313">
        <v>1</v>
      </c>
      <c r="AG398" s="313">
        <v>1</v>
      </c>
      <c r="AH398" s="313">
        <v>1</v>
      </c>
      <c r="AI398" s="313">
        <v>1</v>
      </c>
      <c r="AJ398" s="313">
        <v>1</v>
      </c>
      <c r="AK398" s="313">
        <v>1</v>
      </c>
      <c r="AL398" s="313">
        <v>1</v>
      </c>
      <c r="AM398" s="313">
        <v>1</v>
      </c>
      <c r="AN398" s="313">
        <v>1</v>
      </c>
      <c r="AO398" s="313">
        <v>1</v>
      </c>
      <c r="AP398" s="313">
        <v>1</v>
      </c>
      <c r="AQ398" s="313">
        <v>1</v>
      </c>
      <c r="AR398" s="313">
        <v>1</v>
      </c>
      <c r="AS398" s="313">
        <v>1</v>
      </c>
      <c r="AT398" s="313">
        <v>1</v>
      </c>
      <c r="AU398" s="313">
        <v>1</v>
      </c>
      <c r="AV398" s="313">
        <v>1</v>
      </c>
      <c r="AW398" s="313">
        <v>1</v>
      </c>
      <c r="AX398" s="313">
        <v>1</v>
      </c>
      <c r="AY398" s="313">
        <v>1</v>
      </c>
      <c r="AZ398" s="313">
        <v>1</v>
      </c>
      <c r="BA398" s="313">
        <v>1</v>
      </c>
      <c r="BB398" s="313">
        <v>1</v>
      </c>
      <c r="BC398" s="313">
        <v>1</v>
      </c>
      <c r="BD398" s="313">
        <v>1</v>
      </c>
      <c r="BE398" s="313">
        <v>1</v>
      </c>
      <c r="BF398" s="313">
        <v>1</v>
      </c>
      <c r="BG398" s="313">
        <v>1</v>
      </c>
      <c r="BH398" s="313">
        <v>1</v>
      </c>
      <c r="BI398" s="313">
        <v>1</v>
      </c>
      <c r="BJ398" s="313">
        <v>1</v>
      </c>
      <c r="BK398" s="313">
        <v>1</v>
      </c>
    </row>
    <row r="399" spans="1:63" x14ac:dyDescent="0.25">
      <c r="A399" s="306">
        <v>811300</v>
      </c>
      <c r="B399" s="313" t="s">
        <v>351</v>
      </c>
      <c r="C399" s="313">
        <v>1</v>
      </c>
      <c r="D399" s="313">
        <v>1</v>
      </c>
      <c r="E399" s="313">
        <v>1</v>
      </c>
      <c r="F399" s="313">
        <v>1</v>
      </c>
      <c r="G399" s="313">
        <v>1</v>
      </c>
      <c r="H399" s="313">
        <v>1</v>
      </c>
      <c r="I399" s="313">
        <v>1</v>
      </c>
      <c r="J399" s="313">
        <v>1</v>
      </c>
      <c r="K399" s="313">
        <v>1</v>
      </c>
      <c r="L399" s="313">
        <v>1</v>
      </c>
      <c r="M399" s="313">
        <v>1</v>
      </c>
      <c r="N399" s="313">
        <v>1</v>
      </c>
      <c r="O399" s="313">
        <v>1</v>
      </c>
      <c r="P399" s="313">
        <v>1</v>
      </c>
      <c r="Q399" s="313">
        <v>1</v>
      </c>
      <c r="R399" s="313">
        <v>1</v>
      </c>
      <c r="S399" s="313">
        <v>1</v>
      </c>
      <c r="T399" s="313">
        <v>1</v>
      </c>
      <c r="U399" s="313">
        <v>1</v>
      </c>
      <c r="V399" s="313">
        <v>1</v>
      </c>
      <c r="W399" s="313">
        <v>1</v>
      </c>
      <c r="X399" s="313">
        <v>1</v>
      </c>
      <c r="Y399" s="313">
        <v>1</v>
      </c>
      <c r="Z399" s="313">
        <v>1</v>
      </c>
      <c r="AA399" s="313">
        <v>1</v>
      </c>
      <c r="AB399" s="313">
        <v>1</v>
      </c>
      <c r="AC399" s="313">
        <v>1</v>
      </c>
      <c r="AD399" s="313">
        <v>1</v>
      </c>
      <c r="AE399" s="313">
        <v>1</v>
      </c>
      <c r="AF399" s="313">
        <v>1</v>
      </c>
      <c r="AG399" s="313">
        <v>1</v>
      </c>
      <c r="AH399" s="313">
        <v>1</v>
      </c>
      <c r="AI399" s="313">
        <v>1</v>
      </c>
      <c r="AJ399" s="313">
        <v>1</v>
      </c>
      <c r="AK399" s="313">
        <v>1</v>
      </c>
      <c r="AL399" s="313">
        <v>1</v>
      </c>
      <c r="AM399" s="313">
        <v>1</v>
      </c>
      <c r="AN399" s="313">
        <v>1</v>
      </c>
      <c r="AO399" s="313">
        <v>1</v>
      </c>
      <c r="AP399" s="313">
        <v>1</v>
      </c>
      <c r="AQ399" s="313">
        <v>1</v>
      </c>
      <c r="AR399" s="313">
        <v>1</v>
      </c>
      <c r="AS399" s="313">
        <v>1</v>
      </c>
      <c r="AT399" s="313">
        <v>1</v>
      </c>
      <c r="AU399" s="313">
        <v>1</v>
      </c>
      <c r="AV399" s="313">
        <v>1</v>
      </c>
      <c r="AW399" s="313">
        <v>1</v>
      </c>
      <c r="AX399" s="313">
        <v>1</v>
      </c>
      <c r="AY399" s="313">
        <v>1</v>
      </c>
      <c r="AZ399" s="313">
        <v>1</v>
      </c>
      <c r="BA399" s="313">
        <v>1</v>
      </c>
      <c r="BB399" s="313">
        <v>1</v>
      </c>
      <c r="BC399" s="313">
        <v>1</v>
      </c>
      <c r="BD399" s="313">
        <v>1</v>
      </c>
      <c r="BE399" s="313">
        <v>1</v>
      </c>
      <c r="BF399" s="313">
        <v>1</v>
      </c>
      <c r="BG399" s="313">
        <v>1</v>
      </c>
      <c r="BH399" s="313">
        <v>1</v>
      </c>
      <c r="BI399" s="313">
        <v>1</v>
      </c>
      <c r="BJ399" s="313">
        <v>1</v>
      </c>
      <c r="BK399" s="313">
        <v>1</v>
      </c>
    </row>
    <row r="400" spans="1:63" x14ac:dyDescent="0.25">
      <c r="A400" s="306">
        <v>811400</v>
      </c>
      <c r="B400" s="313" t="s">
        <v>352</v>
      </c>
      <c r="C400" s="313">
        <v>1</v>
      </c>
      <c r="D400" s="313">
        <v>1</v>
      </c>
      <c r="E400" s="313">
        <v>1</v>
      </c>
      <c r="F400" s="313">
        <v>1</v>
      </c>
      <c r="G400" s="313">
        <v>1</v>
      </c>
      <c r="H400" s="313">
        <v>1</v>
      </c>
      <c r="I400" s="313">
        <v>1</v>
      </c>
      <c r="J400" s="313">
        <v>1</v>
      </c>
      <c r="K400" s="313">
        <v>1</v>
      </c>
      <c r="L400" s="313">
        <v>1</v>
      </c>
      <c r="M400" s="313">
        <v>1</v>
      </c>
      <c r="N400" s="313">
        <v>1</v>
      </c>
      <c r="O400" s="313">
        <v>1</v>
      </c>
      <c r="P400" s="313">
        <v>1</v>
      </c>
      <c r="Q400" s="313">
        <v>1</v>
      </c>
      <c r="R400" s="313">
        <v>1</v>
      </c>
      <c r="S400" s="313">
        <v>1</v>
      </c>
      <c r="T400" s="313">
        <v>1</v>
      </c>
      <c r="U400" s="313">
        <v>1</v>
      </c>
      <c r="V400" s="313">
        <v>1</v>
      </c>
      <c r="W400" s="313">
        <v>1</v>
      </c>
      <c r="X400" s="313">
        <v>1</v>
      </c>
      <c r="Y400" s="313">
        <v>1</v>
      </c>
      <c r="Z400" s="313">
        <v>1</v>
      </c>
      <c r="AA400" s="313">
        <v>1</v>
      </c>
      <c r="AB400" s="313">
        <v>1</v>
      </c>
      <c r="AC400" s="313">
        <v>1</v>
      </c>
      <c r="AD400" s="313">
        <v>1</v>
      </c>
      <c r="AE400" s="313">
        <v>1</v>
      </c>
      <c r="AF400" s="313">
        <v>1</v>
      </c>
      <c r="AG400" s="313">
        <v>1</v>
      </c>
      <c r="AH400" s="313">
        <v>1</v>
      </c>
      <c r="AI400" s="313">
        <v>1</v>
      </c>
      <c r="AJ400" s="313">
        <v>1</v>
      </c>
      <c r="AK400" s="313">
        <v>1</v>
      </c>
      <c r="AL400" s="313">
        <v>1</v>
      </c>
      <c r="AM400" s="313">
        <v>1</v>
      </c>
      <c r="AN400" s="313">
        <v>1</v>
      </c>
      <c r="AO400" s="313">
        <v>1</v>
      </c>
      <c r="AP400" s="313">
        <v>1</v>
      </c>
      <c r="AQ400" s="313">
        <v>1</v>
      </c>
      <c r="AR400" s="313">
        <v>1</v>
      </c>
      <c r="AS400" s="313">
        <v>1</v>
      </c>
      <c r="AT400" s="313">
        <v>1</v>
      </c>
      <c r="AU400" s="313">
        <v>1</v>
      </c>
      <c r="AV400" s="313">
        <v>1</v>
      </c>
      <c r="AW400" s="313">
        <v>1</v>
      </c>
      <c r="AX400" s="313">
        <v>1</v>
      </c>
      <c r="AY400" s="313">
        <v>1</v>
      </c>
      <c r="AZ400" s="313">
        <v>1</v>
      </c>
      <c r="BA400" s="313">
        <v>1</v>
      </c>
      <c r="BB400" s="313">
        <v>1</v>
      </c>
      <c r="BC400" s="313">
        <v>1</v>
      </c>
      <c r="BD400" s="313">
        <v>1</v>
      </c>
      <c r="BE400" s="313">
        <v>1</v>
      </c>
      <c r="BF400" s="313">
        <v>1</v>
      </c>
      <c r="BG400" s="313">
        <v>1</v>
      </c>
      <c r="BH400" s="313">
        <v>1</v>
      </c>
      <c r="BI400" s="313">
        <v>1</v>
      </c>
      <c r="BJ400" s="313">
        <v>1</v>
      </c>
      <c r="BK400" s="313">
        <v>1</v>
      </c>
    </row>
    <row r="401" spans="1:63" x14ac:dyDescent="0.25">
      <c r="A401" s="306">
        <v>812100</v>
      </c>
      <c r="B401" s="313" t="s">
        <v>353</v>
      </c>
      <c r="C401" s="313">
        <v>1</v>
      </c>
      <c r="D401" s="313">
        <v>1</v>
      </c>
      <c r="E401" s="313">
        <v>1</v>
      </c>
      <c r="F401" s="313">
        <v>1</v>
      </c>
      <c r="G401" s="313">
        <v>1</v>
      </c>
      <c r="H401" s="313">
        <v>1</v>
      </c>
      <c r="I401" s="313">
        <v>1</v>
      </c>
      <c r="J401" s="313">
        <v>1</v>
      </c>
      <c r="K401" s="313">
        <v>1</v>
      </c>
      <c r="L401" s="313">
        <v>1</v>
      </c>
      <c r="M401" s="313">
        <v>1</v>
      </c>
      <c r="N401" s="313">
        <v>1</v>
      </c>
      <c r="O401" s="313">
        <v>1</v>
      </c>
      <c r="P401" s="313">
        <v>1</v>
      </c>
      <c r="Q401" s="313">
        <v>1</v>
      </c>
      <c r="R401" s="313">
        <v>1</v>
      </c>
      <c r="S401" s="313">
        <v>1</v>
      </c>
      <c r="T401" s="313">
        <v>1</v>
      </c>
      <c r="U401" s="313">
        <v>1</v>
      </c>
      <c r="V401" s="313">
        <v>1</v>
      </c>
      <c r="W401" s="313">
        <v>1</v>
      </c>
      <c r="X401" s="313">
        <v>1</v>
      </c>
      <c r="Y401" s="313">
        <v>1</v>
      </c>
      <c r="Z401" s="313">
        <v>1</v>
      </c>
      <c r="AA401" s="313">
        <v>1</v>
      </c>
      <c r="AB401" s="313">
        <v>1</v>
      </c>
      <c r="AC401" s="313">
        <v>1</v>
      </c>
      <c r="AD401" s="313">
        <v>1</v>
      </c>
      <c r="AE401" s="313">
        <v>1</v>
      </c>
      <c r="AF401" s="313">
        <v>1</v>
      </c>
      <c r="AG401" s="313">
        <v>1</v>
      </c>
      <c r="AH401" s="313">
        <v>1</v>
      </c>
      <c r="AI401" s="313">
        <v>1</v>
      </c>
      <c r="AJ401" s="313">
        <v>1</v>
      </c>
      <c r="AK401" s="313">
        <v>1</v>
      </c>
      <c r="AL401" s="313">
        <v>1</v>
      </c>
      <c r="AM401" s="313">
        <v>1</v>
      </c>
      <c r="AN401" s="313">
        <v>1</v>
      </c>
      <c r="AO401" s="313">
        <v>1</v>
      </c>
      <c r="AP401" s="313">
        <v>1</v>
      </c>
      <c r="AQ401" s="313">
        <v>1</v>
      </c>
      <c r="AR401" s="313">
        <v>1</v>
      </c>
      <c r="AS401" s="313">
        <v>1</v>
      </c>
      <c r="AT401" s="313">
        <v>1</v>
      </c>
      <c r="AU401" s="313">
        <v>1</v>
      </c>
      <c r="AV401" s="313">
        <v>1</v>
      </c>
      <c r="AW401" s="313">
        <v>1</v>
      </c>
      <c r="AX401" s="313">
        <v>1</v>
      </c>
      <c r="AY401" s="313">
        <v>1</v>
      </c>
      <c r="AZ401" s="313">
        <v>1</v>
      </c>
      <c r="BA401" s="313">
        <v>1</v>
      </c>
      <c r="BB401" s="313">
        <v>1</v>
      </c>
      <c r="BC401" s="313">
        <v>1</v>
      </c>
      <c r="BD401" s="313">
        <v>1</v>
      </c>
      <c r="BE401" s="313">
        <v>1</v>
      </c>
      <c r="BF401" s="313">
        <v>1</v>
      </c>
      <c r="BG401" s="313">
        <v>1</v>
      </c>
      <c r="BH401" s="313">
        <v>1</v>
      </c>
      <c r="BI401" s="313">
        <v>1</v>
      </c>
      <c r="BJ401" s="313">
        <v>1</v>
      </c>
      <c r="BK401" s="313">
        <v>1</v>
      </c>
    </row>
    <row r="402" spans="1:63" x14ac:dyDescent="0.25">
      <c r="A402" s="306">
        <v>812200</v>
      </c>
      <c r="B402" s="313" t="s">
        <v>354</v>
      </c>
      <c r="C402" s="313">
        <v>1</v>
      </c>
      <c r="D402" s="313">
        <v>1</v>
      </c>
      <c r="E402" s="313">
        <v>1</v>
      </c>
      <c r="F402" s="313">
        <v>1</v>
      </c>
      <c r="G402" s="313">
        <v>1</v>
      </c>
      <c r="H402" s="313">
        <v>1</v>
      </c>
      <c r="I402" s="313">
        <v>1</v>
      </c>
      <c r="J402" s="313">
        <v>1</v>
      </c>
      <c r="K402" s="313">
        <v>1</v>
      </c>
      <c r="L402" s="313">
        <v>1</v>
      </c>
      <c r="M402" s="313">
        <v>1</v>
      </c>
      <c r="N402" s="313">
        <v>1</v>
      </c>
      <c r="O402" s="313">
        <v>1</v>
      </c>
      <c r="P402" s="313">
        <v>1</v>
      </c>
      <c r="Q402" s="313">
        <v>1</v>
      </c>
      <c r="R402" s="313">
        <v>1</v>
      </c>
      <c r="S402" s="313">
        <v>1</v>
      </c>
      <c r="T402" s="313">
        <v>1</v>
      </c>
      <c r="U402" s="313">
        <v>1</v>
      </c>
      <c r="V402" s="313">
        <v>1</v>
      </c>
      <c r="W402" s="313">
        <v>1</v>
      </c>
      <c r="X402" s="313">
        <v>1</v>
      </c>
      <c r="Y402" s="313">
        <v>1</v>
      </c>
      <c r="Z402" s="313">
        <v>1</v>
      </c>
      <c r="AA402" s="313">
        <v>1</v>
      </c>
      <c r="AB402" s="313">
        <v>1</v>
      </c>
      <c r="AC402" s="313">
        <v>1</v>
      </c>
      <c r="AD402" s="313">
        <v>1</v>
      </c>
      <c r="AE402" s="313">
        <v>1</v>
      </c>
      <c r="AF402" s="313">
        <v>1</v>
      </c>
      <c r="AG402" s="313">
        <v>1</v>
      </c>
      <c r="AH402" s="313">
        <v>1</v>
      </c>
      <c r="AI402" s="313">
        <v>1</v>
      </c>
      <c r="AJ402" s="313">
        <v>1</v>
      </c>
      <c r="AK402" s="313">
        <v>1</v>
      </c>
      <c r="AL402" s="313">
        <v>1</v>
      </c>
      <c r="AM402" s="313">
        <v>1</v>
      </c>
      <c r="AN402" s="313">
        <v>1</v>
      </c>
      <c r="AO402" s="313">
        <v>1</v>
      </c>
      <c r="AP402" s="313">
        <v>1</v>
      </c>
      <c r="AQ402" s="313">
        <v>1</v>
      </c>
      <c r="AR402" s="313">
        <v>1</v>
      </c>
      <c r="AS402" s="313">
        <v>1</v>
      </c>
      <c r="AT402" s="313">
        <v>1</v>
      </c>
      <c r="AU402" s="313">
        <v>1</v>
      </c>
      <c r="AV402" s="313">
        <v>1</v>
      </c>
      <c r="AW402" s="313">
        <v>1</v>
      </c>
      <c r="AX402" s="313">
        <v>1</v>
      </c>
      <c r="AY402" s="313">
        <v>1</v>
      </c>
      <c r="AZ402" s="313">
        <v>1</v>
      </c>
      <c r="BA402" s="313">
        <v>1</v>
      </c>
      <c r="BB402" s="313">
        <v>1</v>
      </c>
      <c r="BC402" s="313">
        <v>1</v>
      </c>
      <c r="BD402" s="313">
        <v>1</v>
      </c>
      <c r="BE402" s="313">
        <v>1</v>
      </c>
      <c r="BF402" s="313">
        <v>1</v>
      </c>
      <c r="BG402" s="313">
        <v>1</v>
      </c>
      <c r="BH402" s="313">
        <v>1</v>
      </c>
      <c r="BI402" s="313">
        <v>1</v>
      </c>
      <c r="BJ402" s="313">
        <v>1</v>
      </c>
      <c r="BK402" s="313">
        <v>1</v>
      </c>
    </row>
    <row r="403" spans="1:63" x14ac:dyDescent="0.25">
      <c r="A403" s="306">
        <v>812300</v>
      </c>
      <c r="B403" s="313" t="s">
        <v>355</v>
      </c>
      <c r="C403" s="313">
        <v>1</v>
      </c>
      <c r="D403" s="313">
        <v>1</v>
      </c>
      <c r="E403" s="313">
        <v>1</v>
      </c>
      <c r="F403" s="313">
        <v>1</v>
      </c>
      <c r="G403" s="313">
        <v>1</v>
      </c>
      <c r="H403" s="313">
        <v>1</v>
      </c>
      <c r="I403" s="313">
        <v>1</v>
      </c>
      <c r="J403" s="313">
        <v>1</v>
      </c>
      <c r="K403" s="313">
        <v>1</v>
      </c>
      <c r="L403" s="313">
        <v>1</v>
      </c>
      <c r="M403" s="313">
        <v>1</v>
      </c>
      <c r="N403" s="313">
        <v>1</v>
      </c>
      <c r="O403" s="313">
        <v>1</v>
      </c>
      <c r="P403" s="313">
        <v>1</v>
      </c>
      <c r="Q403" s="313">
        <v>1</v>
      </c>
      <c r="R403" s="313">
        <v>1</v>
      </c>
      <c r="S403" s="313">
        <v>1</v>
      </c>
      <c r="T403" s="313">
        <v>1</v>
      </c>
      <c r="U403" s="313">
        <v>1</v>
      </c>
      <c r="V403" s="313">
        <v>1</v>
      </c>
      <c r="W403" s="313">
        <v>1</v>
      </c>
      <c r="X403" s="313">
        <v>1</v>
      </c>
      <c r="Y403" s="313">
        <v>1</v>
      </c>
      <c r="Z403" s="313">
        <v>1</v>
      </c>
      <c r="AA403" s="313">
        <v>1</v>
      </c>
      <c r="AB403" s="313">
        <v>1</v>
      </c>
      <c r="AC403" s="313">
        <v>1</v>
      </c>
      <c r="AD403" s="313">
        <v>1</v>
      </c>
      <c r="AE403" s="313">
        <v>1</v>
      </c>
      <c r="AF403" s="313">
        <v>1</v>
      </c>
      <c r="AG403" s="313">
        <v>1</v>
      </c>
      <c r="AH403" s="313">
        <v>1</v>
      </c>
      <c r="AI403" s="313">
        <v>1</v>
      </c>
      <c r="AJ403" s="313">
        <v>1</v>
      </c>
      <c r="AK403" s="313">
        <v>1</v>
      </c>
      <c r="AL403" s="313">
        <v>1</v>
      </c>
      <c r="AM403" s="313">
        <v>1</v>
      </c>
      <c r="AN403" s="313">
        <v>1</v>
      </c>
      <c r="AO403" s="313">
        <v>1</v>
      </c>
      <c r="AP403" s="313">
        <v>1</v>
      </c>
      <c r="AQ403" s="313">
        <v>1</v>
      </c>
      <c r="AR403" s="313">
        <v>1</v>
      </c>
      <c r="AS403" s="313">
        <v>1</v>
      </c>
      <c r="AT403" s="313">
        <v>1</v>
      </c>
      <c r="AU403" s="313">
        <v>1</v>
      </c>
      <c r="AV403" s="313">
        <v>1</v>
      </c>
      <c r="AW403" s="313">
        <v>1</v>
      </c>
      <c r="AX403" s="313">
        <v>1</v>
      </c>
      <c r="AY403" s="313">
        <v>1</v>
      </c>
      <c r="AZ403" s="313">
        <v>1</v>
      </c>
      <c r="BA403" s="313">
        <v>1</v>
      </c>
      <c r="BB403" s="313">
        <v>1</v>
      </c>
      <c r="BC403" s="313">
        <v>1</v>
      </c>
      <c r="BD403" s="313">
        <v>1</v>
      </c>
      <c r="BE403" s="313">
        <v>1</v>
      </c>
      <c r="BF403" s="313">
        <v>1</v>
      </c>
      <c r="BG403" s="313">
        <v>1</v>
      </c>
      <c r="BH403" s="313">
        <v>1</v>
      </c>
      <c r="BI403" s="313">
        <v>1</v>
      </c>
      <c r="BJ403" s="313">
        <v>1</v>
      </c>
      <c r="BK403" s="313">
        <v>1</v>
      </c>
    </row>
    <row r="404" spans="1:63" x14ac:dyDescent="0.25">
      <c r="A404" s="306">
        <v>812900</v>
      </c>
      <c r="B404" s="313" t="s">
        <v>356</v>
      </c>
      <c r="C404" s="313">
        <v>1</v>
      </c>
      <c r="D404" s="313">
        <v>1</v>
      </c>
      <c r="E404" s="313">
        <v>1</v>
      </c>
      <c r="F404" s="313">
        <v>1</v>
      </c>
      <c r="G404" s="313">
        <v>1</v>
      </c>
      <c r="H404" s="313">
        <v>1</v>
      </c>
      <c r="I404" s="313">
        <v>1</v>
      </c>
      <c r="J404" s="313">
        <v>1</v>
      </c>
      <c r="K404" s="313">
        <v>1</v>
      </c>
      <c r="L404" s="313">
        <v>1</v>
      </c>
      <c r="M404" s="313">
        <v>1</v>
      </c>
      <c r="N404" s="313">
        <v>1</v>
      </c>
      <c r="O404" s="313">
        <v>1</v>
      </c>
      <c r="P404" s="313">
        <v>1</v>
      </c>
      <c r="Q404" s="313">
        <v>1</v>
      </c>
      <c r="R404" s="313">
        <v>1</v>
      </c>
      <c r="S404" s="313">
        <v>1</v>
      </c>
      <c r="T404" s="313">
        <v>1</v>
      </c>
      <c r="U404" s="313">
        <v>1</v>
      </c>
      <c r="V404" s="313">
        <v>1</v>
      </c>
      <c r="W404" s="313">
        <v>1</v>
      </c>
      <c r="X404" s="313">
        <v>1</v>
      </c>
      <c r="Y404" s="313">
        <v>1</v>
      </c>
      <c r="Z404" s="313">
        <v>1</v>
      </c>
      <c r="AA404" s="313">
        <v>1</v>
      </c>
      <c r="AB404" s="313">
        <v>1</v>
      </c>
      <c r="AC404" s="313">
        <v>1</v>
      </c>
      <c r="AD404" s="313">
        <v>1</v>
      </c>
      <c r="AE404" s="313">
        <v>1</v>
      </c>
      <c r="AF404" s="313">
        <v>1</v>
      </c>
      <c r="AG404" s="313">
        <v>1</v>
      </c>
      <c r="AH404" s="313">
        <v>1</v>
      </c>
      <c r="AI404" s="313">
        <v>1</v>
      </c>
      <c r="AJ404" s="313">
        <v>1</v>
      </c>
      <c r="AK404" s="313">
        <v>1</v>
      </c>
      <c r="AL404" s="313">
        <v>1</v>
      </c>
      <c r="AM404" s="313">
        <v>1</v>
      </c>
      <c r="AN404" s="313">
        <v>1</v>
      </c>
      <c r="AO404" s="313">
        <v>1</v>
      </c>
      <c r="AP404" s="313">
        <v>1</v>
      </c>
      <c r="AQ404" s="313">
        <v>1</v>
      </c>
      <c r="AR404" s="313">
        <v>1</v>
      </c>
      <c r="AS404" s="313">
        <v>1</v>
      </c>
      <c r="AT404" s="313">
        <v>1</v>
      </c>
      <c r="AU404" s="313">
        <v>1</v>
      </c>
      <c r="AV404" s="313">
        <v>1</v>
      </c>
      <c r="AW404" s="313">
        <v>1</v>
      </c>
      <c r="AX404" s="313">
        <v>1</v>
      </c>
      <c r="AY404" s="313">
        <v>1</v>
      </c>
      <c r="AZ404" s="313">
        <v>1</v>
      </c>
      <c r="BA404" s="313">
        <v>1</v>
      </c>
      <c r="BB404" s="313">
        <v>1</v>
      </c>
      <c r="BC404" s="313">
        <v>1</v>
      </c>
      <c r="BD404" s="313">
        <v>1</v>
      </c>
      <c r="BE404" s="313">
        <v>1</v>
      </c>
      <c r="BF404" s="313">
        <v>1</v>
      </c>
      <c r="BG404" s="313">
        <v>1</v>
      </c>
      <c r="BH404" s="313">
        <v>1</v>
      </c>
      <c r="BI404" s="313">
        <v>1</v>
      </c>
      <c r="BJ404" s="313">
        <v>1</v>
      </c>
      <c r="BK404" s="313">
        <v>1</v>
      </c>
    </row>
    <row r="405" spans="1:63" x14ac:dyDescent="0.25">
      <c r="A405" s="306">
        <v>813100</v>
      </c>
      <c r="B405" s="313" t="s">
        <v>357</v>
      </c>
      <c r="C405" s="313">
        <v>1</v>
      </c>
      <c r="D405" s="313">
        <v>1</v>
      </c>
      <c r="E405" s="313">
        <v>1</v>
      </c>
      <c r="F405" s="313">
        <v>1</v>
      </c>
      <c r="G405" s="313">
        <v>1</v>
      </c>
      <c r="H405" s="313">
        <v>1</v>
      </c>
      <c r="I405" s="313">
        <v>1</v>
      </c>
      <c r="J405" s="313">
        <v>1</v>
      </c>
      <c r="K405" s="313">
        <v>1</v>
      </c>
      <c r="L405" s="313">
        <v>1</v>
      </c>
      <c r="M405" s="313">
        <v>1</v>
      </c>
      <c r="N405" s="313">
        <v>1</v>
      </c>
      <c r="O405" s="313">
        <v>1</v>
      </c>
      <c r="P405" s="313">
        <v>1</v>
      </c>
      <c r="Q405" s="313">
        <v>1</v>
      </c>
      <c r="R405" s="313">
        <v>1</v>
      </c>
      <c r="S405" s="313">
        <v>1</v>
      </c>
      <c r="T405" s="313">
        <v>1</v>
      </c>
      <c r="U405" s="313">
        <v>1</v>
      </c>
      <c r="V405" s="313">
        <v>1</v>
      </c>
      <c r="W405" s="313">
        <v>1</v>
      </c>
      <c r="X405" s="313">
        <v>1</v>
      </c>
      <c r="Y405" s="313">
        <v>1</v>
      </c>
      <c r="Z405" s="313">
        <v>1</v>
      </c>
      <c r="AA405" s="313">
        <v>1</v>
      </c>
      <c r="AB405" s="313">
        <v>1</v>
      </c>
      <c r="AC405" s="313">
        <v>1</v>
      </c>
      <c r="AD405" s="313">
        <v>1</v>
      </c>
      <c r="AE405" s="313">
        <v>1</v>
      </c>
      <c r="AF405" s="313">
        <v>1</v>
      </c>
      <c r="AG405" s="313">
        <v>1</v>
      </c>
      <c r="AH405" s="313">
        <v>1</v>
      </c>
      <c r="AI405" s="313">
        <v>1</v>
      </c>
      <c r="AJ405" s="313">
        <v>1</v>
      </c>
      <c r="AK405" s="313">
        <v>1</v>
      </c>
      <c r="AL405" s="313">
        <v>1</v>
      </c>
      <c r="AM405" s="313">
        <v>1</v>
      </c>
      <c r="AN405" s="313">
        <v>1</v>
      </c>
      <c r="AO405" s="313">
        <v>1</v>
      </c>
      <c r="AP405" s="313">
        <v>1</v>
      </c>
      <c r="AQ405" s="313">
        <v>1</v>
      </c>
      <c r="AR405" s="313">
        <v>1</v>
      </c>
      <c r="AS405" s="313">
        <v>1</v>
      </c>
      <c r="AT405" s="313">
        <v>1</v>
      </c>
      <c r="AU405" s="313">
        <v>1</v>
      </c>
      <c r="AV405" s="313">
        <v>1</v>
      </c>
      <c r="AW405" s="313">
        <v>1</v>
      </c>
      <c r="AX405" s="313">
        <v>1</v>
      </c>
      <c r="AY405" s="313">
        <v>1</v>
      </c>
      <c r="AZ405" s="313">
        <v>1</v>
      </c>
      <c r="BA405" s="313">
        <v>1</v>
      </c>
      <c r="BB405" s="313">
        <v>1</v>
      </c>
      <c r="BC405" s="313">
        <v>1</v>
      </c>
      <c r="BD405" s="313">
        <v>1</v>
      </c>
      <c r="BE405" s="313">
        <v>1</v>
      </c>
      <c r="BF405" s="313">
        <v>1</v>
      </c>
      <c r="BG405" s="313">
        <v>1</v>
      </c>
      <c r="BH405" s="313">
        <v>1</v>
      </c>
      <c r="BI405" s="313">
        <v>1</v>
      </c>
      <c r="BJ405" s="313">
        <v>1</v>
      </c>
      <c r="BK405" s="313">
        <v>1</v>
      </c>
    </row>
    <row r="406" spans="1:63" x14ac:dyDescent="0.25">
      <c r="A406" s="306" t="s">
        <v>788</v>
      </c>
      <c r="B406" s="313" t="s">
        <v>358</v>
      </c>
      <c r="C406" s="313">
        <v>1</v>
      </c>
      <c r="D406" s="313">
        <v>1</v>
      </c>
      <c r="E406" s="313">
        <v>1</v>
      </c>
      <c r="F406" s="313">
        <v>1</v>
      </c>
      <c r="G406" s="313">
        <v>1</v>
      </c>
      <c r="H406" s="313">
        <v>1</v>
      </c>
      <c r="I406" s="313">
        <v>1</v>
      </c>
      <c r="J406" s="313">
        <v>1</v>
      </c>
      <c r="K406" s="313">
        <v>1</v>
      </c>
      <c r="L406" s="313">
        <v>1</v>
      </c>
      <c r="M406" s="313">
        <v>1</v>
      </c>
      <c r="N406" s="313">
        <v>1</v>
      </c>
      <c r="O406" s="313">
        <v>1</v>
      </c>
      <c r="P406" s="313">
        <v>1</v>
      </c>
      <c r="Q406" s="313">
        <v>1</v>
      </c>
      <c r="R406" s="313">
        <v>1</v>
      </c>
      <c r="S406" s="313">
        <v>1</v>
      </c>
      <c r="T406" s="313">
        <v>1</v>
      </c>
      <c r="U406" s="313">
        <v>1</v>
      </c>
      <c r="V406" s="313">
        <v>1</v>
      </c>
      <c r="W406" s="313">
        <v>1</v>
      </c>
      <c r="X406" s="313">
        <v>1</v>
      </c>
      <c r="Y406" s="313">
        <v>1</v>
      </c>
      <c r="Z406" s="313">
        <v>1</v>
      </c>
      <c r="AA406" s="313">
        <v>1</v>
      </c>
      <c r="AB406" s="313">
        <v>1</v>
      </c>
      <c r="AC406" s="313">
        <v>1</v>
      </c>
      <c r="AD406" s="313">
        <v>1</v>
      </c>
      <c r="AE406" s="313">
        <v>1</v>
      </c>
      <c r="AF406" s="313">
        <v>1</v>
      </c>
      <c r="AG406" s="313">
        <v>1</v>
      </c>
      <c r="AH406" s="313">
        <v>1</v>
      </c>
      <c r="AI406" s="313">
        <v>1</v>
      </c>
      <c r="AJ406" s="313">
        <v>1</v>
      </c>
      <c r="AK406" s="313">
        <v>1</v>
      </c>
      <c r="AL406" s="313">
        <v>1</v>
      </c>
      <c r="AM406" s="313">
        <v>1</v>
      </c>
      <c r="AN406" s="313">
        <v>1</v>
      </c>
      <c r="AO406" s="313">
        <v>1</v>
      </c>
      <c r="AP406" s="313">
        <v>1</v>
      </c>
      <c r="AQ406" s="313">
        <v>1</v>
      </c>
      <c r="AR406" s="313">
        <v>1</v>
      </c>
      <c r="AS406" s="313">
        <v>1</v>
      </c>
      <c r="AT406" s="313">
        <v>1</v>
      </c>
      <c r="AU406" s="313">
        <v>1</v>
      </c>
      <c r="AV406" s="313">
        <v>1</v>
      </c>
      <c r="AW406" s="313">
        <v>1</v>
      </c>
      <c r="AX406" s="313">
        <v>1</v>
      </c>
      <c r="AY406" s="313">
        <v>1</v>
      </c>
      <c r="AZ406" s="313">
        <v>1</v>
      </c>
      <c r="BA406" s="313">
        <v>1</v>
      </c>
      <c r="BB406" s="313">
        <v>1</v>
      </c>
      <c r="BC406" s="313">
        <v>1</v>
      </c>
      <c r="BD406" s="313">
        <v>1</v>
      </c>
      <c r="BE406" s="313">
        <v>1</v>
      </c>
      <c r="BF406" s="313">
        <v>1</v>
      </c>
      <c r="BG406" s="313">
        <v>1</v>
      </c>
      <c r="BH406" s="313">
        <v>1</v>
      </c>
      <c r="BI406" s="313">
        <v>1</v>
      </c>
      <c r="BJ406" s="313">
        <v>1</v>
      </c>
      <c r="BK406" s="313">
        <v>1</v>
      </c>
    </row>
    <row r="407" spans="1:63" x14ac:dyDescent="0.25">
      <c r="A407" s="306" t="s">
        <v>789</v>
      </c>
      <c r="B407" s="313" t="s">
        <v>359</v>
      </c>
      <c r="C407" s="313">
        <v>1</v>
      </c>
      <c r="D407" s="313">
        <v>1</v>
      </c>
      <c r="E407" s="313">
        <v>1</v>
      </c>
      <c r="F407" s="313">
        <v>1</v>
      </c>
      <c r="G407" s="313">
        <v>1</v>
      </c>
      <c r="H407" s="313">
        <v>1</v>
      </c>
      <c r="I407" s="313">
        <v>1</v>
      </c>
      <c r="J407" s="313">
        <v>1</v>
      </c>
      <c r="K407" s="313">
        <v>1</v>
      </c>
      <c r="L407" s="313">
        <v>1</v>
      </c>
      <c r="M407" s="313">
        <v>1</v>
      </c>
      <c r="N407" s="313">
        <v>1</v>
      </c>
      <c r="O407" s="313">
        <v>1</v>
      </c>
      <c r="P407" s="313">
        <v>1</v>
      </c>
      <c r="Q407" s="313">
        <v>1</v>
      </c>
      <c r="R407" s="313">
        <v>1</v>
      </c>
      <c r="S407" s="313">
        <v>1</v>
      </c>
      <c r="T407" s="313">
        <v>1</v>
      </c>
      <c r="U407" s="313">
        <v>1</v>
      </c>
      <c r="V407" s="313">
        <v>1</v>
      </c>
      <c r="W407" s="313">
        <v>1</v>
      </c>
      <c r="X407" s="313">
        <v>1</v>
      </c>
      <c r="Y407" s="313">
        <v>1</v>
      </c>
      <c r="Z407" s="313">
        <v>1</v>
      </c>
      <c r="AA407" s="313">
        <v>1</v>
      </c>
      <c r="AB407" s="313">
        <v>1</v>
      </c>
      <c r="AC407" s="313">
        <v>1</v>
      </c>
      <c r="AD407" s="313">
        <v>1</v>
      </c>
      <c r="AE407" s="313">
        <v>1</v>
      </c>
      <c r="AF407" s="313">
        <v>1</v>
      </c>
      <c r="AG407" s="313">
        <v>1</v>
      </c>
      <c r="AH407" s="313">
        <v>1</v>
      </c>
      <c r="AI407" s="313">
        <v>1</v>
      </c>
      <c r="AJ407" s="313">
        <v>1</v>
      </c>
      <c r="AK407" s="313">
        <v>1</v>
      </c>
      <c r="AL407" s="313">
        <v>1</v>
      </c>
      <c r="AM407" s="313">
        <v>1</v>
      </c>
      <c r="AN407" s="313">
        <v>1</v>
      </c>
      <c r="AO407" s="313">
        <v>1</v>
      </c>
      <c r="AP407" s="313">
        <v>1</v>
      </c>
      <c r="AQ407" s="313">
        <v>1</v>
      </c>
      <c r="AR407" s="313">
        <v>1</v>
      </c>
      <c r="AS407" s="313">
        <v>1</v>
      </c>
      <c r="AT407" s="313">
        <v>1</v>
      </c>
      <c r="AU407" s="313">
        <v>1</v>
      </c>
      <c r="AV407" s="313">
        <v>1</v>
      </c>
      <c r="AW407" s="313">
        <v>1</v>
      </c>
      <c r="AX407" s="313">
        <v>1</v>
      </c>
      <c r="AY407" s="313">
        <v>1</v>
      </c>
      <c r="AZ407" s="313">
        <v>1</v>
      </c>
      <c r="BA407" s="313">
        <v>1</v>
      </c>
      <c r="BB407" s="313">
        <v>1</v>
      </c>
      <c r="BC407" s="313">
        <v>1</v>
      </c>
      <c r="BD407" s="313">
        <v>1</v>
      </c>
      <c r="BE407" s="313">
        <v>1</v>
      </c>
      <c r="BF407" s="313">
        <v>1</v>
      </c>
      <c r="BG407" s="313">
        <v>1</v>
      </c>
      <c r="BH407" s="313">
        <v>1</v>
      </c>
      <c r="BI407" s="313">
        <v>1</v>
      </c>
      <c r="BJ407" s="313">
        <v>1</v>
      </c>
      <c r="BK407" s="313">
        <v>1</v>
      </c>
    </row>
    <row r="408" spans="1:63" x14ac:dyDescent="0.25">
      <c r="A408" s="306" t="s">
        <v>790</v>
      </c>
      <c r="B408" s="313" t="s">
        <v>791</v>
      </c>
      <c r="C408" s="313">
        <v>0</v>
      </c>
      <c r="D408" s="313">
        <v>0</v>
      </c>
      <c r="E408" s="313">
        <v>0</v>
      </c>
      <c r="F408" s="313">
        <v>0</v>
      </c>
      <c r="G408" s="313">
        <v>0</v>
      </c>
      <c r="H408" s="313">
        <v>0</v>
      </c>
      <c r="I408" s="313">
        <v>0</v>
      </c>
      <c r="J408" s="313">
        <v>0</v>
      </c>
      <c r="K408" s="313">
        <v>0</v>
      </c>
      <c r="L408" s="313">
        <v>0</v>
      </c>
      <c r="M408" s="313">
        <v>0</v>
      </c>
      <c r="N408" s="313">
        <v>0</v>
      </c>
      <c r="O408" s="313">
        <v>0</v>
      </c>
      <c r="P408" s="313">
        <v>0</v>
      </c>
      <c r="Q408" s="313">
        <v>0</v>
      </c>
      <c r="R408" s="313">
        <v>0</v>
      </c>
      <c r="S408" s="313">
        <v>0</v>
      </c>
      <c r="T408" s="313">
        <v>0</v>
      </c>
      <c r="U408" s="313">
        <v>0</v>
      </c>
      <c r="V408" s="313">
        <v>0</v>
      </c>
      <c r="W408" s="313">
        <v>0</v>
      </c>
      <c r="X408" s="313">
        <v>0</v>
      </c>
      <c r="Y408" s="313">
        <v>0</v>
      </c>
      <c r="Z408" s="313">
        <v>0</v>
      </c>
      <c r="AA408" s="313">
        <v>0</v>
      </c>
      <c r="AB408" s="313">
        <v>0</v>
      </c>
      <c r="AC408" s="313">
        <v>0</v>
      </c>
      <c r="AD408" s="313">
        <v>0</v>
      </c>
      <c r="AE408" s="313">
        <v>0</v>
      </c>
      <c r="AF408" s="313">
        <v>0</v>
      </c>
      <c r="AG408" s="313">
        <v>0</v>
      </c>
      <c r="AH408" s="313">
        <v>0</v>
      </c>
      <c r="AI408" s="313">
        <v>0</v>
      </c>
      <c r="AJ408" s="313">
        <v>0</v>
      </c>
      <c r="AK408" s="313">
        <v>0</v>
      </c>
      <c r="AL408" s="313">
        <v>0</v>
      </c>
      <c r="AM408" s="313">
        <v>0</v>
      </c>
      <c r="AN408" s="313">
        <v>0</v>
      </c>
      <c r="AO408" s="313">
        <v>0</v>
      </c>
      <c r="AP408" s="313">
        <v>0</v>
      </c>
      <c r="AQ408" s="313">
        <v>0</v>
      </c>
      <c r="AR408" s="313">
        <v>0</v>
      </c>
      <c r="AS408" s="313">
        <v>0</v>
      </c>
      <c r="AT408" s="313">
        <v>0</v>
      </c>
      <c r="AU408" s="313">
        <v>0</v>
      </c>
      <c r="AV408" s="313">
        <v>0</v>
      </c>
      <c r="AW408" s="313">
        <v>0</v>
      </c>
      <c r="AX408" s="313">
        <v>0</v>
      </c>
      <c r="AY408" s="313">
        <v>0</v>
      </c>
      <c r="AZ408" s="313">
        <v>0</v>
      </c>
      <c r="BA408" s="313">
        <v>0</v>
      </c>
      <c r="BB408" s="313">
        <v>0</v>
      </c>
      <c r="BC408" s="313">
        <v>0</v>
      </c>
      <c r="BD408" s="313">
        <v>0</v>
      </c>
      <c r="BE408" s="313">
        <v>0</v>
      </c>
      <c r="BF408" s="313">
        <v>0</v>
      </c>
      <c r="BG408" s="313">
        <v>0</v>
      </c>
      <c r="BH408" s="313">
        <v>0</v>
      </c>
      <c r="BI408" s="313">
        <v>0</v>
      </c>
      <c r="BJ408" s="313">
        <v>0</v>
      </c>
      <c r="BK408" s="313">
        <v>0</v>
      </c>
    </row>
    <row r="409" spans="1:63" x14ac:dyDescent="0.25">
      <c r="A409" s="306" t="s">
        <v>792</v>
      </c>
      <c r="B409" s="313" t="s">
        <v>793</v>
      </c>
      <c r="C409" s="313">
        <v>1</v>
      </c>
      <c r="D409" s="313">
        <v>1</v>
      </c>
      <c r="E409" s="313">
        <v>1</v>
      </c>
      <c r="F409" s="313">
        <v>1</v>
      </c>
      <c r="G409" s="313">
        <v>1</v>
      </c>
      <c r="H409" s="313">
        <v>1</v>
      </c>
      <c r="I409" s="313">
        <v>1</v>
      </c>
      <c r="J409" s="313">
        <v>1</v>
      </c>
      <c r="K409" s="313">
        <v>1</v>
      </c>
      <c r="L409" s="313">
        <v>1</v>
      </c>
      <c r="M409" s="313">
        <v>1</v>
      </c>
      <c r="N409" s="313">
        <v>1</v>
      </c>
      <c r="O409" s="313">
        <v>1</v>
      </c>
      <c r="P409" s="313">
        <v>1</v>
      </c>
      <c r="Q409" s="313">
        <v>1</v>
      </c>
      <c r="R409" s="313">
        <v>1</v>
      </c>
      <c r="S409" s="313">
        <v>1</v>
      </c>
      <c r="T409" s="313">
        <v>1</v>
      </c>
      <c r="U409" s="313">
        <v>1</v>
      </c>
      <c r="V409" s="313">
        <v>1</v>
      </c>
      <c r="W409" s="313">
        <v>1</v>
      </c>
      <c r="X409" s="313">
        <v>1</v>
      </c>
      <c r="Y409" s="313">
        <v>1</v>
      </c>
      <c r="Z409" s="313">
        <v>1</v>
      </c>
      <c r="AA409" s="313">
        <v>1</v>
      </c>
      <c r="AB409" s="313">
        <v>1</v>
      </c>
      <c r="AC409" s="313">
        <v>1</v>
      </c>
      <c r="AD409" s="313">
        <v>1</v>
      </c>
      <c r="AE409" s="313">
        <v>1</v>
      </c>
      <c r="AF409" s="313">
        <v>1</v>
      </c>
      <c r="AG409" s="313">
        <v>1</v>
      </c>
      <c r="AH409" s="313">
        <v>1</v>
      </c>
      <c r="AI409" s="313">
        <v>1</v>
      </c>
      <c r="AJ409" s="313">
        <v>1</v>
      </c>
      <c r="AK409" s="313">
        <v>1</v>
      </c>
      <c r="AL409" s="313">
        <v>1</v>
      </c>
      <c r="AM409" s="313">
        <v>1</v>
      </c>
      <c r="AN409" s="313">
        <v>1</v>
      </c>
      <c r="AO409" s="313">
        <v>1</v>
      </c>
      <c r="AP409" s="313">
        <v>1</v>
      </c>
      <c r="AQ409" s="313">
        <v>1</v>
      </c>
      <c r="AR409" s="313">
        <v>1</v>
      </c>
      <c r="AS409" s="313">
        <v>1</v>
      </c>
      <c r="AT409" s="313">
        <v>1</v>
      </c>
      <c r="AU409" s="313">
        <v>1</v>
      </c>
      <c r="AV409" s="313">
        <v>1</v>
      </c>
      <c r="AW409" s="313">
        <v>1</v>
      </c>
      <c r="AX409" s="313">
        <v>1</v>
      </c>
      <c r="AY409" s="313">
        <v>1</v>
      </c>
      <c r="AZ409" s="313">
        <v>1</v>
      </c>
      <c r="BA409" s="313">
        <v>1</v>
      </c>
      <c r="BB409" s="313">
        <v>1</v>
      </c>
      <c r="BC409" s="313">
        <v>1</v>
      </c>
      <c r="BD409" s="313">
        <v>1</v>
      </c>
      <c r="BE409" s="313">
        <v>1</v>
      </c>
      <c r="BF409" s="313">
        <v>1</v>
      </c>
      <c r="BG409" s="313">
        <v>1</v>
      </c>
      <c r="BH409" s="313">
        <v>1</v>
      </c>
      <c r="BI409" s="313">
        <v>1</v>
      </c>
      <c r="BJ409" s="313">
        <v>1</v>
      </c>
      <c r="BK409" s="313">
        <v>1</v>
      </c>
    </row>
    <row r="410" spans="1:63" x14ac:dyDescent="0.25">
      <c r="A410" s="306" t="s">
        <v>794</v>
      </c>
      <c r="B410" s="313" t="s">
        <v>795</v>
      </c>
      <c r="C410" s="313">
        <v>1</v>
      </c>
      <c r="D410" s="313">
        <v>1</v>
      </c>
      <c r="E410" s="313">
        <v>1</v>
      </c>
      <c r="F410" s="313">
        <v>1</v>
      </c>
      <c r="G410" s="313">
        <v>1</v>
      </c>
      <c r="H410" s="313">
        <v>1</v>
      </c>
      <c r="I410" s="313">
        <v>1</v>
      </c>
      <c r="J410" s="313">
        <v>1</v>
      </c>
      <c r="K410" s="313">
        <v>1</v>
      </c>
      <c r="L410" s="313">
        <v>1</v>
      </c>
      <c r="M410" s="313">
        <v>1</v>
      </c>
      <c r="N410" s="313">
        <v>1</v>
      </c>
      <c r="O410" s="313">
        <v>1</v>
      </c>
      <c r="P410" s="313">
        <v>1</v>
      </c>
      <c r="Q410" s="313">
        <v>1</v>
      </c>
      <c r="R410" s="313">
        <v>1</v>
      </c>
      <c r="S410" s="313">
        <v>1</v>
      </c>
      <c r="T410" s="313">
        <v>1</v>
      </c>
      <c r="U410" s="313">
        <v>1</v>
      </c>
      <c r="V410" s="313">
        <v>1</v>
      </c>
      <c r="W410" s="313">
        <v>1</v>
      </c>
      <c r="X410" s="313">
        <v>1</v>
      </c>
      <c r="Y410" s="313">
        <v>1</v>
      </c>
      <c r="Z410" s="313">
        <v>1</v>
      </c>
      <c r="AA410" s="313">
        <v>1</v>
      </c>
      <c r="AB410" s="313">
        <v>1</v>
      </c>
      <c r="AC410" s="313">
        <v>1</v>
      </c>
      <c r="AD410" s="313">
        <v>1</v>
      </c>
      <c r="AE410" s="313">
        <v>1</v>
      </c>
      <c r="AF410" s="313">
        <v>1</v>
      </c>
      <c r="AG410" s="313">
        <v>1</v>
      </c>
      <c r="AH410" s="313">
        <v>1</v>
      </c>
      <c r="AI410" s="313">
        <v>1</v>
      </c>
      <c r="AJ410" s="313">
        <v>1</v>
      </c>
      <c r="AK410" s="313">
        <v>1</v>
      </c>
      <c r="AL410" s="313">
        <v>1</v>
      </c>
      <c r="AM410" s="313">
        <v>1</v>
      </c>
      <c r="AN410" s="313">
        <v>1</v>
      </c>
      <c r="AO410" s="313">
        <v>1</v>
      </c>
      <c r="AP410" s="313">
        <v>1</v>
      </c>
      <c r="AQ410" s="313">
        <v>1</v>
      </c>
      <c r="AR410" s="313">
        <v>1</v>
      </c>
      <c r="AS410" s="313">
        <v>1</v>
      </c>
      <c r="AT410" s="313">
        <v>1</v>
      </c>
      <c r="AU410" s="313">
        <v>1</v>
      </c>
      <c r="AV410" s="313">
        <v>1</v>
      </c>
      <c r="AW410" s="313">
        <v>1</v>
      </c>
      <c r="AX410" s="313">
        <v>1</v>
      </c>
      <c r="AY410" s="313">
        <v>1</v>
      </c>
      <c r="AZ410" s="313">
        <v>1</v>
      </c>
      <c r="BA410" s="313">
        <v>1</v>
      </c>
      <c r="BB410" s="313">
        <v>1</v>
      </c>
      <c r="BC410" s="313">
        <v>1</v>
      </c>
      <c r="BD410" s="313">
        <v>1</v>
      </c>
      <c r="BE410" s="313">
        <v>1</v>
      </c>
      <c r="BF410" s="313">
        <v>1</v>
      </c>
      <c r="BG410" s="313">
        <v>1</v>
      </c>
      <c r="BH410" s="313">
        <v>1</v>
      </c>
      <c r="BI410" s="313">
        <v>1</v>
      </c>
      <c r="BJ410" s="313">
        <v>1</v>
      </c>
      <c r="BK410" s="313">
        <v>1</v>
      </c>
    </row>
    <row r="412" spans="1:63" s="135" customFormat="1" x14ac:dyDescent="0.25">
      <c r="A412" s="136"/>
    </row>
    <row r="414" spans="1:63" x14ac:dyDescent="0.25">
      <c r="B414" s="133" t="s">
        <v>1065</v>
      </c>
    </row>
    <row r="415" spans="1:63" x14ac:dyDescent="0.25">
      <c r="A415" s="306" t="s">
        <v>617</v>
      </c>
      <c r="B415" s="314" t="s">
        <v>618</v>
      </c>
      <c r="C415" s="314" t="s">
        <v>1320</v>
      </c>
      <c r="D415" s="314" t="s">
        <v>1321</v>
      </c>
      <c r="E415" s="314" t="s">
        <v>1322</v>
      </c>
      <c r="F415" s="314" t="s">
        <v>1323</v>
      </c>
      <c r="G415" s="314" t="s">
        <v>1324</v>
      </c>
      <c r="H415" s="314" t="s">
        <v>1325</v>
      </c>
      <c r="I415" s="314" t="s">
        <v>1326</v>
      </c>
      <c r="J415" s="314" t="s">
        <v>1327</v>
      </c>
      <c r="K415" s="314" t="s">
        <v>1328</v>
      </c>
      <c r="L415" s="314" t="s">
        <v>1329</v>
      </c>
      <c r="M415" s="314" t="s">
        <v>1330</v>
      </c>
      <c r="N415" s="314" t="s">
        <v>1331</v>
      </c>
      <c r="O415" s="314" t="s">
        <v>1332</v>
      </c>
      <c r="P415" s="314" t="s">
        <v>1333</v>
      </c>
      <c r="Q415" s="314" t="s">
        <v>1334</v>
      </c>
      <c r="R415" s="314" t="s">
        <v>1335</v>
      </c>
      <c r="S415" s="314" t="s">
        <v>1336</v>
      </c>
      <c r="T415" s="314" t="s">
        <v>1337</v>
      </c>
      <c r="U415" s="314" t="s">
        <v>1338</v>
      </c>
      <c r="V415" s="314" t="s">
        <v>1339</v>
      </c>
      <c r="W415" s="314" t="s">
        <v>1340</v>
      </c>
      <c r="X415" s="314" t="s">
        <v>1341</v>
      </c>
      <c r="Y415" s="314" t="s">
        <v>1342</v>
      </c>
      <c r="Z415" s="314" t="s">
        <v>1343</v>
      </c>
      <c r="AA415" s="314" t="s">
        <v>1344</v>
      </c>
      <c r="AB415" s="314" t="s">
        <v>1345</v>
      </c>
      <c r="AC415" s="314" t="s">
        <v>1346</v>
      </c>
      <c r="AD415" s="314" t="s">
        <v>1347</v>
      </c>
      <c r="AE415" s="314" t="s">
        <v>1348</v>
      </c>
      <c r="AF415" s="314" t="s">
        <v>1349</v>
      </c>
      <c r="AG415" s="314" t="s">
        <v>1350</v>
      </c>
      <c r="AH415" s="314" t="s">
        <v>1351</v>
      </c>
      <c r="AI415" s="314" t="s">
        <v>1352</v>
      </c>
      <c r="AJ415" s="314" t="s">
        <v>1353</v>
      </c>
      <c r="AK415" s="314" t="s">
        <v>1354</v>
      </c>
      <c r="AL415" s="314" t="s">
        <v>1355</v>
      </c>
      <c r="AM415" s="314" t="s">
        <v>1356</v>
      </c>
      <c r="AN415" s="314" t="s">
        <v>1357</v>
      </c>
      <c r="AO415" s="314" t="s">
        <v>1358</v>
      </c>
      <c r="AP415" s="314" t="s">
        <v>1359</v>
      </c>
      <c r="AQ415" s="314" t="s">
        <v>1360</v>
      </c>
      <c r="AR415" s="314" t="s">
        <v>1361</v>
      </c>
      <c r="AS415" s="314" t="s">
        <v>1362</v>
      </c>
      <c r="AT415" s="314" t="s">
        <v>1363</v>
      </c>
      <c r="AU415" s="314" t="s">
        <v>1364</v>
      </c>
      <c r="AV415" s="314" t="s">
        <v>1365</v>
      </c>
      <c r="AW415" s="314" t="s">
        <v>1366</v>
      </c>
      <c r="AX415" s="314" t="s">
        <v>1367</v>
      </c>
      <c r="AY415" s="314" t="s">
        <v>1368</v>
      </c>
      <c r="AZ415" s="314" t="s">
        <v>1369</v>
      </c>
      <c r="BA415" s="314" t="s">
        <v>1370</v>
      </c>
      <c r="BB415" s="314" t="s">
        <v>1371</v>
      </c>
      <c r="BC415" s="314" t="s">
        <v>1372</v>
      </c>
      <c r="BD415" s="314" t="s">
        <v>1373</v>
      </c>
      <c r="BE415" s="314" t="s">
        <v>1374</v>
      </c>
      <c r="BF415" s="314" t="s">
        <v>1375</v>
      </c>
      <c r="BG415" s="314" t="s">
        <v>1376</v>
      </c>
      <c r="BH415" s="314" t="s">
        <v>1377</v>
      </c>
      <c r="BI415" s="314" t="s">
        <v>1378</v>
      </c>
      <c r="BJ415" s="314" t="s">
        <v>1379</v>
      </c>
      <c r="BK415" s="314" t="s">
        <v>1380</v>
      </c>
    </row>
    <row r="416" spans="1:63" x14ac:dyDescent="0.25">
      <c r="A416" s="306" t="s">
        <v>680</v>
      </c>
      <c r="B416" s="314" t="s">
        <v>681</v>
      </c>
      <c r="C416" s="314">
        <v>2.1244000000000001</v>
      </c>
      <c r="D416" s="314">
        <v>1.4629000000000001</v>
      </c>
      <c r="E416" s="314">
        <v>1.6839999999999999</v>
      </c>
      <c r="F416" s="314">
        <v>1.7121999999999999</v>
      </c>
      <c r="G416" s="314">
        <v>1.6575</v>
      </c>
      <c r="H416" s="314">
        <v>1.7201</v>
      </c>
      <c r="I416" s="314">
        <v>1.7372000000000001</v>
      </c>
      <c r="J416" s="314">
        <v>1.4572000000000001</v>
      </c>
      <c r="K416" s="314">
        <v>0</v>
      </c>
      <c r="L416" s="314">
        <v>1.5793999999999999</v>
      </c>
      <c r="M416" s="314">
        <v>1.6420999999999999</v>
      </c>
      <c r="N416" s="314">
        <v>1.7237</v>
      </c>
      <c r="O416" s="314">
        <v>1.5509999999999999</v>
      </c>
      <c r="P416" s="314">
        <v>1.6437999999999999</v>
      </c>
      <c r="Q416" s="314">
        <v>1.6141000000000001</v>
      </c>
      <c r="R416" s="314">
        <v>1.8255999999999999</v>
      </c>
      <c r="S416" s="314">
        <v>1.6826000000000001</v>
      </c>
      <c r="T416" s="314">
        <v>1.6718999999999999</v>
      </c>
      <c r="U416" s="314">
        <v>1.6897</v>
      </c>
      <c r="V416" s="314">
        <v>1.7464999999999999</v>
      </c>
      <c r="W416" s="314">
        <v>1.5329999999999999</v>
      </c>
      <c r="X416" s="314">
        <v>1.5607</v>
      </c>
      <c r="Y416" s="314">
        <v>1.4767999999999999</v>
      </c>
      <c r="Z416" s="314">
        <v>1.5918000000000001</v>
      </c>
      <c r="AA416" s="314">
        <v>1.7138</v>
      </c>
      <c r="AB416" s="314">
        <v>1.8310999999999999</v>
      </c>
      <c r="AC416" s="314">
        <v>1.7228000000000001</v>
      </c>
      <c r="AD416" s="314">
        <v>1.7101999999999999</v>
      </c>
      <c r="AE416" s="314">
        <v>1.6713</v>
      </c>
      <c r="AF416" s="314">
        <v>1.5791999999999999</v>
      </c>
      <c r="AG416" s="314">
        <v>1.5991</v>
      </c>
      <c r="AH416" s="314">
        <v>1.4437</v>
      </c>
      <c r="AI416" s="314">
        <v>1.6293</v>
      </c>
      <c r="AJ416" s="314">
        <v>1.5388999999999999</v>
      </c>
      <c r="AK416" s="314">
        <v>1.4746999999999999</v>
      </c>
      <c r="AL416" s="314">
        <v>1.522</v>
      </c>
      <c r="AM416" s="314">
        <v>1.7083999999999999</v>
      </c>
      <c r="AN416" s="314">
        <v>1.7093</v>
      </c>
      <c r="AO416" s="314">
        <v>1.681</v>
      </c>
      <c r="AP416" s="314">
        <v>1.6140000000000001</v>
      </c>
      <c r="AQ416" s="314">
        <v>1.4325000000000001</v>
      </c>
      <c r="AR416" s="314">
        <v>1.655</v>
      </c>
      <c r="AS416" s="314">
        <v>1.5062</v>
      </c>
      <c r="AT416" s="314">
        <v>1.6511</v>
      </c>
      <c r="AU416" s="314">
        <v>1.8666</v>
      </c>
      <c r="AV416" s="314">
        <v>1.6817</v>
      </c>
      <c r="AW416" s="314">
        <v>1.5477000000000001</v>
      </c>
      <c r="AX416" s="314">
        <v>1.4642999999999999</v>
      </c>
      <c r="AY416" s="314">
        <v>1.7509999999999999</v>
      </c>
      <c r="AZ416" s="314">
        <v>1.6957</v>
      </c>
      <c r="BA416" s="314">
        <v>1.4549000000000001</v>
      </c>
      <c r="BB416" s="314">
        <v>1.5138</v>
      </c>
      <c r="BC416" s="314">
        <v>1.5237000000000001</v>
      </c>
      <c r="BD416" s="314">
        <v>1.621</v>
      </c>
      <c r="BE416" s="314">
        <v>1.8205</v>
      </c>
      <c r="BF416" s="314">
        <v>1.7849999999999999</v>
      </c>
      <c r="BG416" s="314">
        <v>1.7847</v>
      </c>
      <c r="BH416" s="314">
        <v>1.8148</v>
      </c>
      <c r="BI416" s="314">
        <v>1.9663999999999999</v>
      </c>
      <c r="BJ416" s="314">
        <v>1.8464</v>
      </c>
      <c r="BK416" s="314">
        <v>1.7448999999999999</v>
      </c>
    </row>
    <row r="417" spans="1:63" x14ac:dyDescent="0.25">
      <c r="A417" s="306">
        <v>111200</v>
      </c>
      <c r="B417" s="314" t="s">
        <v>11</v>
      </c>
      <c r="C417" s="314">
        <v>1.7999000000000001</v>
      </c>
      <c r="D417" s="314">
        <v>1.2975000000000001</v>
      </c>
      <c r="E417" s="314">
        <v>1.5327999999999999</v>
      </c>
      <c r="F417" s="314">
        <v>1.4915</v>
      </c>
      <c r="G417" s="314">
        <v>1.5175000000000001</v>
      </c>
      <c r="H417" s="314">
        <v>1.5587</v>
      </c>
      <c r="I417" s="314">
        <v>1.4964999999999999</v>
      </c>
      <c r="J417" s="314">
        <v>1.3354999999999999</v>
      </c>
      <c r="K417" s="314">
        <v>0</v>
      </c>
      <c r="L417" s="314">
        <v>1.3916999999999999</v>
      </c>
      <c r="M417" s="314">
        <v>1.5059</v>
      </c>
      <c r="N417" s="314">
        <v>1.5625</v>
      </c>
      <c r="O417" s="314">
        <v>1.3983000000000001</v>
      </c>
      <c r="P417" s="314">
        <v>1.4484999999999999</v>
      </c>
      <c r="Q417" s="314">
        <v>1.4217</v>
      </c>
      <c r="R417" s="314">
        <v>1.5119</v>
      </c>
      <c r="S417" s="314">
        <v>1.4454</v>
      </c>
      <c r="T417" s="314">
        <v>1.4118999999999999</v>
      </c>
      <c r="U417" s="314">
        <v>1.4819</v>
      </c>
      <c r="V417" s="314">
        <v>1.4987999999999999</v>
      </c>
      <c r="W417" s="314">
        <v>1.3797999999999999</v>
      </c>
      <c r="X417" s="314">
        <v>1.3843000000000001</v>
      </c>
      <c r="Y417" s="314">
        <v>1.4038999999999999</v>
      </c>
      <c r="Z417" s="314">
        <v>1.4283999999999999</v>
      </c>
      <c r="AA417" s="314">
        <v>1.4644999999999999</v>
      </c>
      <c r="AB417" s="314">
        <v>1.5448999999999999</v>
      </c>
      <c r="AC417" s="314">
        <v>1.5225</v>
      </c>
      <c r="AD417" s="314">
        <v>1.4884999999999999</v>
      </c>
      <c r="AE417" s="314">
        <v>1.5103</v>
      </c>
      <c r="AF417" s="314">
        <v>1.4313</v>
      </c>
      <c r="AG417" s="314">
        <v>1.4129</v>
      </c>
      <c r="AH417" s="314">
        <v>1.3372999999999999</v>
      </c>
      <c r="AI417" s="314">
        <v>1.4374</v>
      </c>
      <c r="AJ417" s="314">
        <v>1.4149</v>
      </c>
      <c r="AK417" s="314">
        <v>1.3294999999999999</v>
      </c>
      <c r="AL417" s="314">
        <v>1.3608</v>
      </c>
      <c r="AM417" s="314">
        <v>1.4367000000000001</v>
      </c>
      <c r="AN417" s="314">
        <v>1.4201999999999999</v>
      </c>
      <c r="AO417" s="314">
        <v>1.5387</v>
      </c>
      <c r="AP417" s="314">
        <v>1.4549000000000001</v>
      </c>
      <c r="AQ417" s="314">
        <v>1.3013999999999999</v>
      </c>
      <c r="AR417" s="314">
        <v>1.5057</v>
      </c>
      <c r="AS417" s="314">
        <v>1.3090999999999999</v>
      </c>
      <c r="AT417" s="314">
        <v>1.4665999999999999</v>
      </c>
      <c r="AU417" s="314">
        <v>1.6042000000000001</v>
      </c>
      <c r="AV417" s="314">
        <v>1.4818</v>
      </c>
      <c r="AW417" s="314">
        <v>1.3925000000000001</v>
      </c>
      <c r="AX417" s="314">
        <v>1.3781000000000001</v>
      </c>
      <c r="AY417" s="314">
        <v>1.5477000000000001</v>
      </c>
      <c r="AZ417" s="314">
        <v>1.506</v>
      </c>
      <c r="BA417" s="314">
        <v>1.3575999999999999</v>
      </c>
      <c r="BB417" s="314">
        <v>1.3293999999999999</v>
      </c>
      <c r="BC417" s="314">
        <v>1.3915</v>
      </c>
      <c r="BD417" s="314">
        <v>1.4402999999999999</v>
      </c>
      <c r="BE417" s="314">
        <v>1.5364</v>
      </c>
      <c r="BF417" s="314">
        <v>1.5306999999999999</v>
      </c>
      <c r="BG417" s="314">
        <v>1.6147</v>
      </c>
      <c r="BH417" s="314">
        <v>1.5846</v>
      </c>
      <c r="BI417" s="314">
        <v>1.6373</v>
      </c>
      <c r="BJ417" s="314">
        <v>1.5976999999999999</v>
      </c>
      <c r="BK417" s="314">
        <v>1.573</v>
      </c>
    </row>
    <row r="418" spans="1:63" x14ac:dyDescent="0.25">
      <c r="A418" s="306" t="s">
        <v>682</v>
      </c>
      <c r="B418" s="314" t="s">
        <v>683</v>
      </c>
      <c r="C418" s="314">
        <v>1.7759</v>
      </c>
      <c r="D418" s="314">
        <v>1.2609999999999999</v>
      </c>
      <c r="E418" s="314">
        <v>1.5442</v>
      </c>
      <c r="F418" s="314">
        <v>1.5128999999999999</v>
      </c>
      <c r="G418" s="314">
        <v>1.4748000000000001</v>
      </c>
      <c r="H418" s="314">
        <v>1.5259</v>
      </c>
      <c r="I418" s="314">
        <v>1.4317</v>
      </c>
      <c r="J418" s="314">
        <v>1.306</v>
      </c>
      <c r="K418" s="314">
        <v>0</v>
      </c>
      <c r="L418" s="314">
        <v>1.3277000000000001</v>
      </c>
      <c r="M418" s="314">
        <v>1.4746999999999999</v>
      </c>
      <c r="N418" s="314">
        <v>1.506</v>
      </c>
      <c r="O418" s="314">
        <v>1.3442000000000001</v>
      </c>
      <c r="P418" s="314">
        <v>1.4974000000000001</v>
      </c>
      <c r="Q418" s="314">
        <v>1.4157</v>
      </c>
      <c r="R418" s="314">
        <v>1.4763999999999999</v>
      </c>
      <c r="S418" s="314">
        <v>1.4205000000000001</v>
      </c>
      <c r="T418" s="314">
        <v>1.4142999999999999</v>
      </c>
      <c r="U418" s="314">
        <v>1.5104</v>
      </c>
      <c r="V418" s="314">
        <v>1.4946999999999999</v>
      </c>
      <c r="W418" s="314">
        <v>1.3525</v>
      </c>
      <c r="X418" s="314">
        <v>1.3371</v>
      </c>
      <c r="Y418" s="314">
        <v>1.3848</v>
      </c>
      <c r="Z418" s="314">
        <v>1.3949</v>
      </c>
      <c r="AA418" s="314">
        <v>1.4174</v>
      </c>
      <c r="AB418" s="314">
        <v>1.5421</v>
      </c>
      <c r="AC418" s="314">
        <v>1.5304</v>
      </c>
      <c r="AD418" s="314">
        <v>1.486</v>
      </c>
      <c r="AE418" s="314">
        <v>1.4686999999999999</v>
      </c>
      <c r="AF418" s="314">
        <v>1.4365000000000001</v>
      </c>
      <c r="AG418" s="314">
        <v>1.4303999999999999</v>
      </c>
      <c r="AH418" s="314">
        <v>1.3011999999999999</v>
      </c>
      <c r="AI418" s="314">
        <v>1.3806</v>
      </c>
      <c r="AJ418" s="314">
        <v>1.4040999999999999</v>
      </c>
      <c r="AK418" s="314">
        <v>1.2523</v>
      </c>
      <c r="AL418" s="314">
        <v>1.3184</v>
      </c>
      <c r="AM418" s="314">
        <v>1.4137999999999999</v>
      </c>
      <c r="AN418" s="314">
        <v>1.4157999999999999</v>
      </c>
      <c r="AO418" s="314">
        <v>1.5193000000000001</v>
      </c>
      <c r="AP418" s="314">
        <v>1.4340999999999999</v>
      </c>
      <c r="AQ418" s="314">
        <v>1.2685</v>
      </c>
      <c r="AR418" s="314">
        <v>1.4610000000000001</v>
      </c>
      <c r="AS418" s="314">
        <v>1.3337000000000001</v>
      </c>
      <c r="AT418" s="314">
        <v>1.4273</v>
      </c>
      <c r="AU418" s="314">
        <v>1.5693999999999999</v>
      </c>
      <c r="AV418" s="314">
        <v>1.4362999999999999</v>
      </c>
      <c r="AW418" s="314">
        <v>1.3362000000000001</v>
      </c>
      <c r="AX418" s="314">
        <v>1.3833</v>
      </c>
      <c r="AY418" s="314">
        <v>1.5195000000000001</v>
      </c>
      <c r="AZ418" s="314">
        <v>1.4953000000000001</v>
      </c>
      <c r="BA418" s="314">
        <v>1.3487</v>
      </c>
      <c r="BB418" s="314">
        <v>1.3309</v>
      </c>
      <c r="BC418" s="314">
        <v>1.3595999999999999</v>
      </c>
      <c r="BD418" s="314">
        <v>1.3940999999999999</v>
      </c>
      <c r="BE418" s="314">
        <v>1.5072000000000001</v>
      </c>
      <c r="BF418" s="314">
        <v>1.5283</v>
      </c>
      <c r="BG418" s="314">
        <v>1.569</v>
      </c>
      <c r="BH418" s="314">
        <v>1.5911</v>
      </c>
      <c r="BI418" s="314">
        <v>1.6079000000000001</v>
      </c>
      <c r="BJ418" s="314">
        <v>1.5526</v>
      </c>
      <c r="BK418" s="314">
        <v>1.5388999999999999</v>
      </c>
    </row>
    <row r="419" spans="1:63" x14ac:dyDescent="0.25">
      <c r="A419" s="306">
        <v>111400</v>
      </c>
      <c r="B419" s="314" t="s">
        <v>12</v>
      </c>
      <c r="C419" s="314">
        <v>1.5975999999999999</v>
      </c>
      <c r="D419" s="314">
        <v>1.266</v>
      </c>
      <c r="E419" s="314">
        <v>1.4298999999999999</v>
      </c>
      <c r="F419" s="314">
        <v>1.3297000000000001</v>
      </c>
      <c r="G419" s="314">
        <v>1.3786</v>
      </c>
      <c r="H419" s="314">
        <v>1.4553</v>
      </c>
      <c r="I419" s="314">
        <v>1.4039999999999999</v>
      </c>
      <c r="J419" s="314">
        <v>1.329</v>
      </c>
      <c r="K419" s="314">
        <v>0</v>
      </c>
      <c r="L419" s="314">
        <v>1.2618</v>
      </c>
      <c r="M419" s="314">
        <v>1.3734</v>
      </c>
      <c r="N419" s="314">
        <v>1.4009</v>
      </c>
      <c r="O419" s="314">
        <v>1.3426</v>
      </c>
      <c r="P419" s="314">
        <v>1.2877000000000001</v>
      </c>
      <c r="Q419" s="314">
        <v>1.3329</v>
      </c>
      <c r="R419" s="314">
        <v>1.3696999999999999</v>
      </c>
      <c r="S419" s="314">
        <v>1.3159000000000001</v>
      </c>
      <c r="T419" s="314">
        <v>1.3225</v>
      </c>
      <c r="U419" s="314">
        <v>1.3526</v>
      </c>
      <c r="V419" s="314">
        <v>1.3574999999999999</v>
      </c>
      <c r="W419" s="314">
        <v>1.2950999999999999</v>
      </c>
      <c r="X419" s="314">
        <v>1.2929999999999999</v>
      </c>
      <c r="Y419" s="314">
        <v>1.3285</v>
      </c>
      <c r="Z419" s="314">
        <v>1.3632</v>
      </c>
      <c r="AA419" s="314">
        <v>1.3461000000000001</v>
      </c>
      <c r="AB419" s="314">
        <v>1.3413999999999999</v>
      </c>
      <c r="AC419" s="314">
        <v>1.3432999999999999</v>
      </c>
      <c r="AD419" s="314">
        <v>1.35</v>
      </c>
      <c r="AE419" s="314">
        <v>1.3823000000000001</v>
      </c>
      <c r="AF419" s="314">
        <v>1.2715000000000001</v>
      </c>
      <c r="AG419" s="314">
        <v>1.2494000000000001</v>
      </c>
      <c r="AH419" s="314">
        <v>1.3221000000000001</v>
      </c>
      <c r="AI419" s="314">
        <v>1.3994</v>
      </c>
      <c r="AJ419" s="314">
        <v>1.3438000000000001</v>
      </c>
      <c r="AK419" s="314">
        <v>1.1957</v>
      </c>
      <c r="AL419" s="314">
        <v>1.2376</v>
      </c>
      <c r="AM419" s="314">
        <v>1.3599000000000001</v>
      </c>
      <c r="AN419" s="314">
        <v>1.4129</v>
      </c>
      <c r="AO419" s="314">
        <v>1.407</v>
      </c>
      <c r="AP419" s="314">
        <v>1.4191</v>
      </c>
      <c r="AQ419" s="314">
        <v>1.3016000000000001</v>
      </c>
      <c r="AR419" s="314">
        <v>1.3854</v>
      </c>
      <c r="AS419" s="314">
        <v>1.2144999999999999</v>
      </c>
      <c r="AT419" s="314">
        <v>1.3819999999999999</v>
      </c>
      <c r="AU419" s="314">
        <v>1.4552</v>
      </c>
      <c r="AV419" s="314">
        <v>1.4328000000000001</v>
      </c>
      <c r="AW419" s="314">
        <v>1.2885</v>
      </c>
      <c r="AX419" s="314">
        <v>1.3297000000000001</v>
      </c>
      <c r="AY419" s="314">
        <v>1.4269000000000001</v>
      </c>
      <c r="AZ419" s="314">
        <v>1.3636999999999999</v>
      </c>
      <c r="BA419" s="314">
        <v>1.2866</v>
      </c>
      <c r="BB419" s="314">
        <v>1.2542</v>
      </c>
      <c r="BC419" s="314">
        <v>1.339</v>
      </c>
      <c r="BD419" s="314">
        <v>1.3568</v>
      </c>
      <c r="BE419" s="314">
        <v>1.3978999999999999</v>
      </c>
      <c r="BF419" s="314">
        <v>1.3509</v>
      </c>
      <c r="BG419" s="314">
        <v>1.4308000000000001</v>
      </c>
      <c r="BH419" s="314">
        <v>1.4672000000000001</v>
      </c>
      <c r="BI419" s="314">
        <v>1.4738</v>
      </c>
      <c r="BJ419" s="314">
        <v>1.4636</v>
      </c>
      <c r="BK419" s="314">
        <v>1.4631000000000001</v>
      </c>
    </row>
    <row r="420" spans="1:63" x14ac:dyDescent="0.25">
      <c r="A420" s="306">
        <v>111910</v>
      </c>
      <c r="B420" s="314" t="s">
        <v>13</v>
      </c>
      <c r="C420" s="314">
        <v>2.2692000000000001</v>
      </c>
      <c r="D420" s="314">
        <v>0</v>
      </c>
      <c r="E420" s="314">
        <v>0</v>
      </c>
      <c r="F420" s="314">
        <v>0</v>
      </c>
      <c r="G420" s="314">
        <v>0</v>
      </c>
      <c r="H420" s="314">
        <v>0</v>
      </c>
      <c r="I420" s="314">
        <v>0</v>
      </c>
      <c r="J420" s="314">
        <v>1.5923</v>
      </c>
      <c r="K420" s="314">
        <v>0</v>
      </c>
      <c r="L420" s="314">
        <v>0</v>
      </c>
      <c r="M420" s="314">
        <v>1.679</v>
      </c>
      <c r="N420" s="314">
        <v>1.839</v>
      </c>
      <c r="O420" s="314">
        <v>0</v>
      </c>
      <c r="P420" s="314">
        <v>0</v>
      </c>
      <c r="Q420" s="314">
        <v>0</v>
      </c>
      <c r="R420" s="314">
        <v>1.9094</v>
      </c>
      <c r="S420" s="314">
        <v>1.7612000000000001</v>
      </c>
      <c r="T420" s="314">
        <v>0</v>
      </c>
      <c r="U420" s="314">
        <v>1.8126</v>
      </c>
      <c r="V420" s="314">
        <v>0</v>
      </c>
      <c r="W420" s="314">
        <v>1.6395</v>
      </c>
      <c r="X420" s="314">
        <v>1.6220000000000001</v>
      </c>
      <c r="Y420" s="314">
        <v>0</v>
      </c>
      <c r="Z420" s="314">
        <v>0</v>
      </c>
      <c r="AA420" s="314">
        <v>0</v>
      </c>
      <c r="AB420" s="314">
        <v>1.8532999999999999</v>
      </c>
      <c r="AC420" s="314">
        <v>0</v>
      </c>
      <c r="AD420" s="314">
        <v>0</v>
      </c>
      <c r="AE420" s="314">
        <v>1.7845</v>
      </c>
      <c r="AF420" s="314">
        <v>0</v>
      </c>
      <c r="AG420" s="314">
        <v>0</v>
      </c>
      <c r="AH420" s="314">
        <v>0</v>
      </c>
      <c r="AI420" s="314">
        <v>0</v>
      </c>
      <c r="AJ420" s="314">
        <v>0</v>
      </c>
      <c r="AK420" s="314">
        <v>0</v>
      </c>
      <c r="AL420" s="314">
        <v>0</v>
      </c>
      <c r="AM420" s="314">
        <v>1.7537</v>
      </c>
      <c r="AN420" s="314">
        <v>0</v>
      </c>
      <c r="AO420" s="314">
        <v>0</v>
      </c>
      <c r="AP420" s="314">
        <v>1.7444</v>
      </c>
      <c r="AQ420" s="314">
        <v>0</v>
      </c>
      <c r="AR420" s="314">
        <v>1.7551000000000001</v>
      </c>
      <c r="AS420" s="314">
        <v>0</v>
      </c>
      <c r="AT420" s="314">
        <v>1.7607999999999999</v>
      </c>
      <c r="AU420" s="314">
        <v>0</v>
      </c>
      <c r="AV420" s="314">
        <v>0</v>
      </c>
      <c r="AW420" s="314">
        <v>1.6655</v>
      </c>
      <c r="AX420" s="314">
        <v>0</v>
      </c>
      <c r="AY420" s="314">
        <v>0</v>
      </c>
      <c r="AZ420" s="314">
        <v>1.7231000000000001</v>
      </c>
      <c r="BA420" s="314">
        <v>1.5149999999999999</v>
      </c>
      <c r="BB420" s="314">
        <v>0</v>
      </c>
      <c r="BC420" s="314">
        <v>1.6591</v>
      </c>
      <c r="BD420" s="314">
        <v>1.7073</v>
      </c>
      <c r="BE420" s="314">
        <v>1.8825000000000001</v>
      </c>
      <c r="BF420" s="314">
        <v>1.8090999999999999</v>
      </c>
      <c r="BG420" s="314">
        <v>1.929</v>
      </c>
      <c r="BH420" s="314">
        <v>1.9432</v>
      </c>
      <c r="BI420" s="314">
        <v>0</v>
      </c>
      <c r="BJ420" s="314">
        <v>0</v>
      </c>
      <c r="BK420" s="314">
        <v>0</v>
      </c>
    </row>
    <row r="421" spans="1:63" x14ac:dyDescent="0.25">
      <c r="A421" s="306">
        <v>111920</v>
      </c>
      <c r="B421" s="314" t="s">
        <v>14</v>
      </c>
      <c r="C421" s="314">
        <v>2.262</v>
      </c>
      <c r="D421" s="314">
        <v>0</v>
      </c>
      <c r="E421" s="314">
        <v>1.8946000000000001</v>
      </c>
      <c r="F421" s="314">
        <v>1.8286</v>
      </c>
      <c r="G421" s="314">
        <v>1.7551000000000001</v>
      </c>
      <c r="H421" s="314">
        <v>1.8533999999999999</v>
      </c>
      <c r="I421" s="314">
        <v>0</v>
      </c>
      <c r="J421" s="314">
        <v>0</v>
      </c>
      <c r="K421" s="314">
        <v>0</v>
      </c>
      <c r="L421" s="314">
        <v>0</v>
      </c>
      <c r="M421" s="314">
        <v>1.6571</v>
      </c>
      <c r="N421" s="314">
        <v>1.8722000000000001</v>
      </c>
      <c r="O421" s="314">
        <v>0</v>
      </c>
      <c r="P421" s="314">
        <v>0</v>
      </c>
      <c r="Q421" s="314">
        <v>0</v>
      </c>
      <c r="R421" s="314">
        <v>0</v>
      </c>
      <c r="S421" s="314">
        <v>0</v>
      </c>
      <c r="T421" s="314">
        <v>1.6620999999999999</v>
      </c>
      <c r="U421" s="314">
        <v>0</v>
      </c>
      <c r="V421" s="314">
        <v>1.8754</v>
      </c>
      <c r="W421" s="314">
        <v>0</v>
      </c>
      <c r="X421" s="314">
        <v>0</v>
      </c>
      <c r="Y421" s="314">
        <v>0</v>
      </c>
      <c r="Z421" s="314">
        <v>0</v>
      </c>
      <c r="AA421" s="314">
        <v>0</v>
      </c>
      <c r="AB421" s="314">
        <v>1.9098999999999999</v>
      </c>
      <c r="AC421" s="314">
        <v>1.7706999999999999</v>
      </c>
      <c r="AD421" s="314">
        <v>0</v>
      </c>
      <c r="AE421" s="314">
        <v>1.7726</v>
      </c>
      <c r="AF421" s="314">
        <v>0</v>
      </c>
      <c r="AG421" s="314">
        <v>0</v>
      </c>
      <c r="AH421" s="314">
        <v>0</v>
      </c>
      <c r="AI421" s="314">
        <v>0</v>
      </c>
      <c r="AJ421" s="314">
        <v>1.6518999999999999</v>
      </c>
      <c r="AK421" s="314">
        <v>0</v>
      </c>
      <c r="AL421" s="314">
        <v>0</v>
      </c>
      <c r="AM421" s="314">
        <v>0</v>
      </c>
      <c r="AN421" s="314">
        <v>1.7294</v>
      </c>
      <c r="AO421" s="314">
        <v>0</v>
      </c>
      <c r="AP421" s="314">
        <v>0</v>
      </c>
      <c r="AQ421" s="314">
        <v>0</v>
      </c>
      <c r="AR421" s="314">
        <v>1.8597999999999999</v>
      </c>
      <c r="AS421" s="314">
        <v>0</v>
      </c>
      <c r="AT421" s="314">
        <v>1.7236</v>
      </c>
      <c r="AU421" s="314">
        <v>2.0375000000000001</v>
      </c>
      <c r="AV421" s="314">
        <v>0</v>
      </c>
      <c r="AW421" s="314">
        <v>1.61</v>
      </c>
      <c r="AX421" s="314">
        <v>0</v>
      </c>
      <c r="AY421" s="314">
        <v>0</v>
      </c>
      <c r="AZ421" s="314">
        <v>0</v>
      </c>
      <c r="BA421" s="314">
        <v>0</v>
      </c>
      <c r="BB421" s="314">
        <v>0</v>
      </c>
      <c r="BC421" s="314">
        <v>0</v>
      </c>
      <c r="BD421" s="314">
        <v>0</v>
      </c>
      <c r="BE421" s="314">
        <v>0</v>
      </c>
      <c r="BF421" s="314">
        <v>1.7743</v>
      </c>
      <c r="BG421" s="314">
        <v>1.9205000000000001</v>
      </c>
      <c r="BH421" s="314">
        <v>1.9671000000000001</v>
      </c>
      <c r="BI421" s="314">
        <v>2.0901000000000001</v>
      </c>
      <c r="BJ421" s="314">
        <v>1.8505</v>
      </c>
      <c r="BK421" s="314">
        <v>1.8561000000000001</v>
      </c>
    </row>
    <row r="422" spans="1:63" x14ac:dyDescent="0.25">
      <c r="A422" s="306" t="s">
        <v>684</v>
      </c>
      <c r="B422" s="314" t="s">
        <v>685</v>
      </c>
      <c r="C422" s="314">
        <v>2.0872999999999999</v>
      </c>
      <c r="D422" s="314">
        <v>1.472</v>
      </c>
      <c r="E422" s="314">
        <v>1.6990000000000001</v>
      </c>
      <c r="F422" s="314">
        <v>1.6880999999999999</v>
      </c>
      <c r="G422" s="314">
        <v>1.6551</v>
      </c>
      <c r="H422" s="314">
        <v>1.7318</v>
      </c>
      <c r="I422" s="314">
        <v>1.7128000000000001</v>
      </c>
      <c r="J422" s="314">
        <v>1.4449000000000001</v>
      </c>
      <c r="K422" s="314">
        <v>0</v>
      </c>
      <c r="L422" s="314">
        <v>1.5443</v>
      </c>
      <c r="M422" s="314">
        <v>1.6413</v>
      </c>
      <c r="N422" s="314">
        <v>1.706</v>
      </c>
      <c r="O422" s="314">
        <v>1.5546</v>
      </c>
      <c r="P422" s="314">
        <v>1.6248</v>
      </c>
      <c r="Q422" s="314">
        <v>1.5748</v>
      </c>
      <c r="R422" s="314">
        <v>1.7558</v>
      </c>
      <c r="S422" s="314">
        <v>1.6512</v>
      </c>
      <c r="T422" s="314">
        <v>1.6573</v>
      </c>
      <c r="U422" s="314">
        <v>1.7040999999999999</v>
      </c>
      <c r="V422" s="314">
        <v>1.7375</v>
      </c>
      <c r="W422" s="314">
        <v>1.5029999999999999</v>
      </c>
      <c r="X422" s="314">
        <v>1.5185</v>
      </c>
      <c r="Y422" s="314">
        <v>1.4956</v>
      </c>
      <c r="Z422" s="314">
        <v>1.5719000000000001</v>
      </c>
      <c r="AA422" s="314">
        <v>1.6748000000000001</v>
      </c>
      <c r="AB422" s="314">
        <v>1.7632000000000001</v>
      </c>
      <c r="AC422" s="314">
        <v>1.7070000000000001</v>
      </c>
      <c r="AD422" s="314">
        <v>1.7077</v>
      </c>
      <c r="AE422" s="314">
        <v>1.6281000000000001</v>
      </c>
      <c r="AF422" s="314">
        <v>1.6067</v>
      </c>
      <c r="AG422" s="314">
        <v>1.5797000000000001</v>
      </c>
      <c r="AH422" s="314">
        <v>1.4421999999999999</v>
      </c>
      <c r="AI422" s="314">
        <v>1.6012</v>
      </c>
      <c r="AJ422" s="314">
        <v>1.5777000000000001</v>
      </c>
      <c r="AK422" s="314">
        <v>1.4519</v>
      </c>
      <c r="AL422" s="314">
        <v>1.5006999999999999</v>
      </c>
      <c r="AM422" s="314">
        <v>1.6612</v>
      </c>
      <c r="AN422" s="314">
        <v>1.6919999999999999</v>
      </c>
      <c r="AO422" s="314">
        <v>1.6758</v>
      </c>
      <c r="AP422" s="314">
        <v>1.6274</v>
      </c>
      <c r="AQ422" s="314">
        <v>1.4019999999999999</v>
      </c>
      <c r="AR422" s="314">
        <v>1.6353</v>
      </c>
      <c r="AS422" s="314">
        <v>1.4903</v>
      </c>
      <c r="AT422" s="314">
        <v>1.6201000000000001</v>
      </c>
      <c r="AU422" s="314">
        <v>1.8551</v>
      </c>
      <c r="AV422" s="314">
        <v>1.6950000000000001</v>
      </c>
      <c r="AW422" s="314">
        <v>1.518</v>
      </c>
      <c r="AX422" s="314">
        <v>1.5034000000000001</v>
      </c>
      <c r="AY422" s="314">
        <v>1.74</v>
      </c>
      <c r="AZ422" s="314">
        <v>1.6618999999999999</v>
      </c>
      <c r="BA422" s="314">
        <v>1.5004</v>
      </c>
      <c r="BB422" s="314">
        <v>1.5369999999999999</v>
      </c>
      <c r="BC422" s="314">
        <v>1.5130999999999999</v>
      </c>
      <c r="BD422" s="314">
        <v>1.6020000000000001</v>
      </c>
      <c r="BE422" s="314">
        <v>1.7598</v>
      </c>
      <c r="BF422" s="314">
        <v>1.7485999999999999</v>
      </c>
      <c r="BG422" s="314">
        <v>1.7626999999999999</v>
      </c>
      <c r="BH422" s="314">
        <v>1.8021</v>
      </c>
      <c r="BI422" s="314">
        <v>1.9221999999999999</v>
      </c>
      <c r="BJ422" s="314">
        <v>1.8216000000000001</v>
      </c>
      <c r="BK422" s="314">
        <v>1.7541</v>
      </c>
    </row>
    <row r="423" spans="1:63" x14ac:dyDescent="0.25">
      <c r="A423" s="306">
        <v>112120</v>
      </c>
      <c r="B423" s="314" t="s">
        <v>16</v>
      </c>
      <c r="C423" s="314">
        <v>2.2099000000000002</v>
      </c>
      <c r="D423" s="314">
        <v>1.2425999999999999</v>
      </c>
      <c r="E423" s="314">
        <v>1.7692000000000001</v>
      </c>
      <c r="F423" s="314">
        <v>1.9175</v>
      </c>
      <c r="G423" s="314">
        <v>1.5262</v>
      </c>
      <c r="H423" s="314">
        <v>1.7198</v>
      </c>
      <c r="I423" s="314">
        <v>1.7862</v>
      </c>
      <c r="J423" s="314">
        <v>1.2883</v>
      </c>
      <c r="K423" s="314">
        <v>0</v>
      </c>
      <c r="L423" s="314">
        <v>1.4094</v>
      </c>
      <c r="M423" s="314">
        <v>1.5432999999999999</v>
      </c>
      <c r="N423" s="314">
        <v>1.8267</v>
      </c>
      <c r="O423" s="314">
        <v>1.4206000000000001</v>
      </c>
      <c r="P423" s="314">
        <v>1.8147</v>
      </c>
      <c r="Q423" s="314">
        <v>1.7793000000000001</v>
      </c>
      <c r="R423" s="314">
        <v>1.8251999999999999</v>
      </c>
      <c r="S423" s="314">
        <v>1.7887</v>
      </c>
      <c r="T423" s="314">
        <v>1.8913</v>
      </c>
      <c r="U423" s="314">
        <v>1.9538</v>
      </c>
      <c r="V423" s="314">
        <v>1.7407999999999999</v>
      </c>
      <c r="W423" s="314">
        <v>1.2839</v>
      </c>
      <c r="X423" s="314">
        <v>1.3714999999999999</v>
      </c>
      <c r="Y423" s="314">
        <v>1.5503</v>
      </c>
      <c r="Z423" s="314">
        <v>1.5286</v>
      </c>
      <c r="AA423" s="314">
        <v>1.9619</v>
      </c>
      <c r="AB423" s="314">
        <v>1.9803999999999999</v>
      </c>
      <c r="AC423" s="314">
        <v>1.8043</v>
      </c>
      <c r="AD423" s="314">
        <v>1.8557999999999999</v>
      </c>
      <c r="AE423" s="314">
        <v>1.6783999999999999</v>
      </c>
      <c r="AF423" s="314">
        <v>1.8503000000000001</v>
      </c>
      <c r="AG423" s="314">
        <v>1.8259000000000001</v>
      </c>
      <c r="AH423" s="314">
        <v>1.3653</v>
      </c>
      <c r="AI423" s="314">
        <v>1.3641000000000001</v>
      </c>
      <c r="AJ423" s="314">
        <v>1.6322000000000001</v>
      </c>
      <c r="AK423" s="314">
        <v>1.3904000000000001</v>
      </c>
      <c r="AL423" s="314">
        <v>1.3633</v>
      </c>
      <c r="AM423" s="314">
        <v>1.7638</v>
      </c>
      <c r="AN423" s="314">
        <v>1.9189000000000001</v>
      </c>
      <c r="AO423" s="314">
        <v>1.7039</v>
      </c>
      <c r="AP423" s="314">
        <v>1.6547000000000001</v>
      </c>
      <c r="AQ423" s="314">
        <v>1.23</v>
      </c>
      <c r="AR423" s="314">
        <v>1.4804999999999999</v>
      </c>
      <c r="AS423" s="314">
        <v>1.7589999999999999</v>
      </c>
      <c r="AT423" s="314">
        <v>1.4765999999999999</v>
      </c>
      <c r="AU423" s="314">
        <v>1.8559000000000001</v>
      </c>
      <c r="AV423" s="314">
        <v>1.8001</v>
      </c>
      <c r="AW423" s="314">
        <v>1.5112000000000001</v>
      </c>
      <c r="AX423" s="314">
        <v>1.5967</v>
      </c>
      <c r="AY423" s="314">
        <v>1.7796000000000001</v>
      </c>
      <c r="AZ423" s="314">
        <v>1.7924</v>
      </c>
      <c r="BA423" s="314">
        <v>1.3706</v>
      </c>
      <c r="BB423" s="314">
        <v>1.4835</v>
      </c>
      <c r="BC423" s="314">
        <v>1.3735999999999999</v>
      </c>
      <c r="BD423" s="314">
        <v>1.5029999999999999</v>
      </c>
      <c r="BE423" s="314">
        <v>1.8671</v>
      </c>
      <c r="BF423" s="314">
        <v>1.9908999999999999</v>
      </c>
      <c r="BG423" s="314">
        <v>1.7017</v>
      </c>
      <c r="BH423" s="314">
        <v>1.9189000000000001</v>
      </c>
      <c r="BI423" s="314">
        <v>2.0347</v>
      </c>
      <c r="BJ423" s="314">
        <v>1.82</v>
      </c>
      <c r="BK423" s="314">
        <v>1.7366999999999999</v>
      </c>
    </row>
    <row r="424" spans="1:63" x14ac:dyDescent="0.25">
      <c r="A424" s="306" t="s">
        <v>686</v>
      </c>
      <c r="B424" s="314" t="s">
        <v>15</v>
      </c>
      <c r="C424" s="314">
        <v>2.7073</v>
      </c>
      <c r="D424" s="314">
        <v>1.2644</v>
      </c>
      <c r="E424" s="314">
        <v>1.8978999999999999</v>
      </c>
      <c r="F424" s="314">
        <v>2.4064999999999999</v>
      </c>
      <c r="G424" s="314">
        <v>1.8917999999999999</v>
      </c>
      <c r="H424" s="314">
        <v>1.8006</v>
      </c>
      <c r="I424" s="314">
        <v>2.4575</v>
      </c>
      <c r="J424" s="314">
        <v>1.2626999999999999</v>
      </c>
      <c r="K424" s="314">
        <v>0</v>
      </c>
      <c r="L424" s="314">
        <v>1.3391</v>
      </c>
      <c r="M424" s="314">
        <v>1.5906</v>
      </c>
      <c r="N424" s="314">
        <v>1.7245999999999999</v>
      </c>
      <c r="O424" s="314">
        <v>1.5477000000000001</v>
      </c>
      <c r="P424" s="314">
        <v>2.2576000000000001</v>
      </c>
      <c r="Q424" s="314">
        <v>2.3149000000000002</v>
      </c>
      <c r="R424" s="314">
        <v>1.6474</v>
      </c>
      <c r="S424" s="314">
        <v>1.7136</v>
      </c>
      <c r="T424" s="314">
        <v>2.4407000000000001</v>
      </c>
      <c r="U424" s="314">
        <v>2.4641999999999999</v>
      </c>
      <c r="V424" s="314">
        <v>1.7961</v>
      </c>
      <c r="W424" s="314">
        <v>1.2867</v>
      </c>
      <c r="X424" s="314">
        <v>1.3306</v>
      </c>
      <c r="Y424" s="314">
        <v>1.4873000000000001</v>
      </c>
      <c r="Z424" s="314">
        <v>1.645</v>
      </c>
      <c r="AA424" s="314">
        <v>2.5068999999999999</v>
      </c>
      <c r="AB424" s="314">
        <v>2.4666000000000001</v>
      </c>
      <c r="AC424" s="314">
        <v>1.9692000000000001</v>
      </c>
      <c r="AD424" s="314">
        <v>2.4363000000000001</v>
      </c>
      <c r="AE424" s="314">
        <v>1.6632</v>
      </c>
      <c r="AF424" s="314">
        <v>2.3641000000000001</v>
      </c>
      <c r="AG424" s="314">
        <v>2.3279999999999998</v>
      </c>
      <c r="AH424" s="314">
        <v>1.3303</v>
      </c>
      <c r="AI424" s="314">
        <v>1.3360000000000001</v>
      </c>
      <c r="AJ424" s="314">
        <v>2.2602000000000002</v>
      </c>
      <c r="AK424" s="314">
        <v>1.6086</v>
      </c>
      <c r="AL424" s="314">
        <v>1.3416999999999999</v>
      </c>
      <c r="AM424" s="314">
        <v>1.611</v>
      </c>
      <c r="AN424" s="314">
        <v>2.4664000000000001</v>
      </c>
      <c r="AO424" s="314">
        <v>2.2829000000000002</v>
      </c>
      <c r="AP424" s="314">
        <v>1.5701000000000001</v>
      </c>
      <c r="AQ424" s="314">
        <v>1.2418</v>
      </c>
      <c r="AR424" s="314">
        <v>1.5432999999999999</v>
      </c>
      <c r="AS424" s="314">
        <v>2.2698999999999998</v>
      </c>
      <c r="AT424" s="314">
        <v>1.6475</v>
      </c>
      <c r="AU424" s="314">
        <v>2.5316000000000001</v>
      </c>
      <c r="AV424" s="314">
        <v>2.0783</v>
      </c>
      <c r="AW424" s="314">
        <v>1.5044999999999999</v>
      </c>
      <c r="AX424" s="314">
        <v>1.7297</v>
      </c>
      <c r="AY424" s="314">
        <v>1.9427000000000001</v>
      </c>
      <c r="AZ424" s="314">
        <v>2.0977000000000001</v>
      </c>
      <c r="BA424" s="314">
        <v>1.6800999999999999</v>
      </c>
      <c r="BB424" s="314">
        <v>2.2048000000000001</v>
      </c>
      <c r="BC424" s="314">
        <v>1.3463000000000001</v>
      </c>
      <c r="BD424" s="314">
        <v>1.4334</v>
      </c>
      <c r="BE424" s="314">
        <v>1.7506999999999999</v>
      </c>
      <c r="BF424" s="314">
        <v>2.5091999999999999</v>
      </c>
      <c r="BG424" s="314">
        <v>1.6843999999999999</v>
      </c>
      <c r="BH424" s="314">
        <v>2.0825</v>
      </c>
      <c r="BI424" s="314">
        <v>2.6278999999999999</v>
      </c>
      <c r="BJ424" s="314">
        <v>2.4942000000000002</v>
      </c>
      <c r="BK424" s="314">
        <v>1.8569</v>
      </c>
    </row>
    <row r="425" spans="1:63" x14ac:dyDescent="0.25">
      <c r="A425" s="306">
        <v>112300</v>
      </c>
      <c r="B425" s="314" t="s">
        <v>17</v>
      </c>
      <c r="C425" s="314">
        <v>2.9015</v>
      </c>
      <c r="D425" s="314">
        <v>1.1843999999999999</v>
      </c>
      <c r="E425" s="314">
        <v>2.1339000000000001</v>
      </c>
      <c r="F425" s="314">
        <v>2.5503</v>
      </c>
      <c r="G425" s="314">
        <v>1.3392999999999999</v>
      </c>
      <c r="H425" s="314">
        <v>1.7475000000000001</v>
      </c>
      <c r="I425" s="314">
        <v>1.8415999999999999</v>
      </c>
      <c r="J425" s="314">
        <v>1.2838000000000001</v>
      </c>
      <c r="K425" s="314">
        <v>0</v>
      </c>
      <c r="L425" s="314">
        <v>1.7535000000000001</v>
      </c>
      <c r="M425" s="314">
        <v>1.4144000000000001</v>
      </c>
      <c r="N425" s="314">
        <v>2.2597999999999998</v>
      </c>
      <c r="O425" s="314">
        <v>1.2235</v>
      </c>
      <c r="P425" s="314">
        <v>2.4609999999999999</v>
      </c>
      <c r="Q425" s="314">
        <v>1.9400999999999999</v>
      </c>
      <c r="R425" s="314">
        <v>2.3483999999999998</v>
      </c>
      <c r="S425" s="314">
        <v>2.5951</v>
      </c>
      <c r="T425" s="314">
        <v>2.1423999999999999</v>
      </c>
      <c r="U425" s="314">
        <v>2.5964999999999998</v>
      </c>
      <c r="V425" s="314">
        <v>2.1122999999999998</v>
      </c>
      <c r="W425" s="314">
        <v>1.2676000000000001</v>
      </c>
      <c r="X425" s="314">
        <v>1.6073</v>
      </c>
      <c r="Y425" s="314">
        <v>1.7184999999999999</v>
      </c>
      <c r="Z425" s="314">
        <v>1.5779000000000001</v>
      </c>
      <c r="AA425" s="314">
        <v>2.5924999999999998</v>
      </c>
      <c r="AB425" s="314">
        <v>2.6920999999999999</v>
      </c>
      <c r="AC425" s="314">
        <v>2.4689000000000001</v>
      </c>
      <c r="AD425" s="314">
        <v>2.0186999999999999</v>
      </c>
      <c r="AE425" s="314">
        <v>2.2160000000000002</v>
      </c>
      <c r="AF425" s="314">
        <v>2.1656</v>
      </c>
      <c r="AG425" s="314">
        <v>2.2570000000000001</v>
      </c>
      <c r="AH425" s="314">
        <v>1.3358000000000001</v>
      </c>
      <c r="AI425" s="314">
        <v>1.3938999999999999</v>
      </c>
      <c r="AJ425" s="314">
        <v>1.6067</v>
      </c>
      <c r="AK425" s="314">
        <v>1.2102999999999999</v>
      </c>
      <c r="AL425" s="314">
        <v>1.3371999999999999</v>
      </c>
      <c r="AM425" s="314">
        <v>2.4034</v>
      </c>
      <c r="AN425" s="314">
        <v>2.5286</v>
      </c>
      <c r="AO425" s="314">
        <v>1.6979</v>
      </c>
      <c r="AP425" s="314">
        <v>1.9869000000000001</v>
      </c>
      <c r="AQ425" s="314">
        <v>1.1961999999999999</v>
      </c>
      <c r="AR425" s="314">
        <v>1.6408</v>
      </c>
      <c r="AS425" s="314">
        <v>2.3037000000000001</v>
      </c>
      <c r="AT425" s="314">
        <v>1.7868999999999999</v>
      </c>
      <c r="AU425" s="314">
        <v>2.0202</v>
      </c>
      <c r="AV425" s="314">
        <v>1.9359999999999999</v>
      </c>
      <c r="AW425" s="314">
        <v>1.8244</v>
      </c>
      <c r="AX425" s="314">
        <v>1.5944</v>
      </c>
      <c r="AY425" s="314">
        <v>1.9168000000000001</v>
      </c>
      <c r="AZ425" s="314">
        <v>2.1488</v>
      </c>
      <c r="BA425" s="314">
        <v>1.4563999999999999</v>
      </c>
      <c r="BB425" s="314">
        <v>1.3275999999999999</v>
      </c>
      <c r="BC425" s="314">
        <v>1.3865000000000001</v>
      </c>
      <c r="BD425" s="314">
        <v>1.6086</v>
      </c>
      <c r="BE425" s="314">
        <v>2.4830000000000001</v>
      </c>
      <c r="BF425" s="314">
        <v>2.6528</v>
      </c>
      <c r="BG425" s="314">
        <v>1.9701</v>
      </c>
      <c r="BH425" s="314">
        <v>2.5533999999999999</v>
      </c>
      <c r="BI425" s="314">
        <v>2.5486</v>
      </c>
      <c r="BJ425" s="314">
        <v>1.8307</v>
      </c>
      <c r="BK425" s="314">
        <v>1.7646999999999999</v>
      </c>
    </row>
    <row r="426" spans="1:63" x14ac:dyDescent="0.25">
      <c r="A426" s="306" t="s">
        <v>687</v>
      </c>
      <c r="B426" s="314" t="s">
        <v>18</v>
      </c>
      <c r="C426" s="314">
        <v>1.9200999999999999</v>
      </c>
      <c r="D426" s="314">
        <v>1.1992</v>
      </c>
      <c r="E426" s="314">
        <v>1.5481</v>
      </c>
      <c r="F426" s="314">
        <v>1.7072000000000001</v>
      </c>
      <c r="G426" s="314">
        <v>1.3815</v>
      </c>
      <c r="H426" s="314">
        <v>1.4682999999999999</v>
      </c>
      <c r="I426" s="314">
        <v>1.6069</v>
      </c>
      <c r="J426" s="314">
        <v>1.206</v>
      </c>
      <c r="K426" s="314">
        <v>0</v>
      </c>
      <c r="L426" s="314">
        <v>1.2819</v>
      </c>
      <c r="M426" s="314">
        <v>1.3762000000000001</v>
      </c>
      <c r="N426" s="314">
        <v>1.5159</v>
      </c>
      <c r="O426" s="314">
        <v>1.3209</v>
      </c>
      <c r="P426" s="314">
        <v>1.6392</v>
      </c>
      <c r="Q426" s="314">
        <v>1.6173999999999999</v>
      </c>
      <c r="R426" s="314">
        <v>1.649</v>
      </c>
      <c r="S426" s="314">
        <v>1.6181000000000001</v>
      </c>
      <c r="T426" s="314">
        <v>1.6911</v>
      </c>
      <c r="U426" s="314">
        <v>1.7376</v>
      </c>
      <c r="V426" s="314">
        <v>1.5347</v>
      </c>
      <c r="W426" s="314">
        <v>1.2138</v>
      </c>
      <c r="X426" s="314">
        <v>1.2617</v>
      </c>
      <c r="Y426" s="314">
        <v>1.4421999999999999</v>
      </c>
      <c r="Z426" s="314">
        <v>1.4323999999999999</v>
      </c>
      <c r="AA426" s="314">
        <v>1.7327999999999999</v>
      </c>
      <c r="AB426" s="314">
        <v>1.7461</v>
      </c>
      <c r="AC426" s="314">
        <v>1.6453</v>
      </c>
      <c r="AD426" s="314">
        <v>1.681</v>
      </c>
      <c r="AE426" s="314">
        <v>1.5407999999999999</v>
      </c>
      <c r="AF426" s="314">
        <v>1.6619999999999999</v>
      </c>
      <c r="AG426" s="314">
        <v>1.6439999999999999</v>
      </c>
      <c r="AH426" s="314">
        <v>1.2523</v>
      </c>
      <c r="AI426" s="314">
        <v>1.2662</v>
      </c>
      <c r="AJ426" s="314">
        <v>1.4381999999999999</v>
      </c>
      <c r="AK426" s="314">
        <v>1.2751999999999999</v>
      </c>
      <c r="AL426" s="314">
        <v>1.2457</v>
      </c>
      <c r="AM426" s="314">
        <v>1.5702</v>
      </c>
      <c r="AN426" s="314">
        <v>1.7162999999999999</v>
      </c>
      <c r="AO426" s="314">
        <v>1.4857</v>
      </c>
      <c r="AP426" s="314">
        <v>1.4577</v>
      </c>
      <c r="AQ426" s="314">
        <v>1.1735</v>
      </c>
      <c r="AR426" s="314">
        <v>1.3741000000000001</v>
      </c>
      <c r="AS426" s="314">
        <v>1.5944</v>
      </c>
      <c r="AT426" s="314">
        <v>1.3476999999999999</v>
      </c>
      <c r="AU426" s="314">
        <v>1.5896999999999999</v>
      </c>
      <c r="AV426" s="314">
        <v>1.6326000000000001</v>
      </c>
      <c r="AW426" s="314">
        <v>1.3471</v>
      </c>
      <c r="AX426" s="314">
        <v>1.3960999999999999</v>
      </c>
      <c r="AY426" s="314">
        <v>1.5439000000000001</v>
      </c>
      <c r="AZ426" s="314">
        <v>1.5785</v>
      </c>
      <c r="BA426" s="314">
        <v>1.2770999999999999</v>
      </c>
      <c r="BB426" s="314">
        <v>1.466</v>
      </c>
      <c r="BC426" s="314">
        <v>1.2625999999999999</v>
      </c>
      <c r="BD426" s="314">
        <v>1.3381000000000001</v>
      </c>
      <c r="BE426" s="314">
        <v>1.67</v>
      </c>
      <c r="BF426" s="314">
        <v>1.7525999999999999</v>
      </c>
      <c r="BG426" s="314">
        <v>1.5764</v>
      </c>
      <c r="BH426" s="314">
        <v>1.7109000000000001</v>
      </c>
      <c r="BI426" s="314">
        <v>1.7242999999999999</v>
      </c>
      <c r="BJ426" s="314">
        <v>1.6165</v>
      </c>
      <c r="BK426" s="314">
        <v>1.4891000000000001</v>
      </c>
    </row>
    <row r="427" spans="1:63" x14ac:dyDescent="0.25">
      <c r="A427" s="306">
        <v>113300</v>
      </c>
      <c r="B427" s="314" t="s">
        <v>688</v>
      </c>
      <c r="C427" s="314">
        <v>2.2833999999999999</v>
      </c>
      <c r="D427" s="314">
        <v>1.5301</v>
      </c>
      <c r="E427" s="314">
        <v>2.0952999999999999</v>
      </c>
      <c r="F427" s="314">
        <v>2.0804</v>
      </c>
      <c r="G427" s="314">
        <v>1.3211999999999999</v>
      </c>
      <c r="H427" s="314">
        <v>1.5185999999999999</v>
      </c>
      <c r="I427" s="314">
        <v>1.3202</v>
      </c>
      <c r="J427" s="314">
        <v>1.1366000000000001</v>
      </c>
      <c r="K427" s="314">
        <v>0</v>
      </c>
      <c r="L427" s="314">
        <v>1.1556</v>
      </c>
      <c r="M427" s="314">
        <v>1.8311999999999999</v>
      </c>
      <c r="N427" s="314">
        <v>2.0888</v>
      </c>
      <c r="O427" s="314">
        <v>1.2753000000000001</v>
      </c>
      <c r="P427" s="314">
        <v>1.2162999999999999</v>
      </c>
      <c r="Q427" s="314">
        <v>2.0442</v>
      </c>
      <c r="R427" s="314">
        <v>1.2134</v>
      </c>
      <c r="S427" s="314">
        <v>1.3070999999999999</v>
      </c>
      <c r="T427" s="314">
        <v>1.2579</v>
      </c>
      <c r="U427" s="314">
        <v>1.4024000000000001</v>
      </c>
      <c r="V427" s="314">
        <v>2.0657999999999999</v>
      </c>
      <c r="W427" s="314">
        <v>1.1696</v>
      </c>
      <c r="X427" s="314">
        <v>1.23</v>
      </c>
      <c r="Y427" s="314">
        <v>1.958</v>
      </c>
      <c r="Z427" s="314">
        <v>1.5973999999999999</v>
      </c>
      <c r="AA427" s="314">
        <v>1.7236</v>
      </c>
      <c r="AB427" s="314">
        <v>1.3323</v>
      </c>
      <c r="AC427" s="314">
        <v>2.0289999999999999</v>
      </c>
      <c r="AD427" s="314">
        <v>2.0642999999999998</v>
      </c>
      <c r="AE427" s="314">
        <v>1.883</v>
      </c>
      <c r="AF427" s="314">
        <v>0</v>
      </c>
      <c r="AG427" s="314">
        <v>1.2292000000000001</v>
      </c>
      <c r="AH427" s="314">
        <v>1.6765000000000001</v>
      </c>
      <c r="AI427" s="314">
        <v>1.1893</v>
      </c>
      <c r="AJ427" s="314">
        <v>1.2782</v>
      </c>
      <c r="AK427" s="314">
        <v>1.2130000000000001</v>
      </c>
      <c r="AL427" s="314">
        <v>1.1815</v>
      </c>
      <c r="AM427" s="314">
        <v>1.2549999999999999</v>
      </c>
      <c r="AN427" s="314">
        <v>1.4803999999999999</v>
      </c>
      <c r="AO427" s="314">
        <v>2.1032999999999999</v>
      </c>
      <c r="AP427" s="314">
        <v>1.327</v>
      </c>
      <c r="AQ427" s="314">
        <v>1.1274</v>
      </c>
      <c r="AR427" s="314">
        <v>2.0206</v>
      </c>
      <c r="AS427" s="314">
        <v>1.4897</v>
      </c>
      <c r="AT427" s="314">
        <v>1.4046000000000001</v>
      </c>
      <c r="AU427" s="314">
        <v>1.6517999999999999</v>
      </c>
      <c r="AV427" s="314">
        <v>1.3204</v>
      </c>
      <c r="AW427" s="314">
        <v>1.6133999999999999</v>
      </c>
      <c r="AX427" s="314">
        <v>1.8439000000000001</v>
      </c>
      <c r="AY427" s="314">
        <v>2.1063999999999998</v>
      </c>
      <c r="AZ427" s="314">
        <v>1.5343</v>
      </c>
      <c r="BA427" s="314">
        <v>1.66</v>
      </c>
      <c r="BB427" s="314">
        <v>1.3896999999999999</v>
      </c>
      <c r="BC427" s="314">
        <v>1.6335</v>
      </c>
      <c r="BD427" s="314">
        <v>1.2343</v>
      </c>
      <c r="BE427" s="314">
        <v>1.3520000000000001</v>
      </c>
      <c r="BF427" s="314">
        <v>1.4298999999999999</v>
      </c>
      <c r="BG427" s="314">
        <v>2.0758999999999999</v>
      </c>
      <c r="BH427" s="314">
        <v>2.1080999999999999</v>
      </c>
      <c r="BI427" s="314">
        <v>2.1499000000000001</v>
      </c>
      <c r="BJ427" s="314">
        <v>1.6855</v>
      </c>
      <c r="BK427" s="314">
        <v>2.1244000000000001</v>
      </c>
    </row>
    <row r="428" spans="1:63" x14ac:dyDescent="0.25">
      <c r="A428" s="306" t="s">
        <v>689</v>
      </c>
      <c r="B428" s="314" t="s">
        <v>690</v>
      </c>
      <c r="C428" s="314">
        <v>1.9851000000000001</v>
      </c>
      <c r="D428" s="314">
        <v>1.1741999999999999</v>
      </c>
      <c r="E428" s="314">
        <v>1.6742999999999999</v>
      </c>
      <c r="F428" s="314">
        <v>1.6942999999999999</v>
      </c>
      <c r="G428" s="314">
        <v>1.6213</v>
      </c>
      <c r="H428" s="314">
        <v>1.6698999999999999</v>
      </c>
      <c r="I428" s="314">
        <v>1.4916</v>
      </c>
      <c r="J428" s="314">
        <v>0</v>
      </c>
      <c r="K428" s="314">
        <v>0</v>
      </c>
      <c r="L428" s="314">
        <v>0</v>
      </c>
      <c r="M428" s="314">
        <v>1.6036999999999999</v>
      </c>
      <c r="N428" s="314">
        <v>1.5698000000000001</v>
      </c>
      <c r="O428" s="314">
        <v>1.3698999999999999</v>
      </c>
      <c r="P428" s="314">
        <v>0</v>
      </c>
      <c r="Q428" s="314">
        <v>1.6477999999999999</v>
      </c>
      <c r="R428" s="314">
        <v>1.5129999999999999</v>
      </c>
      <c r="S428" s="314">
        <v>1.4269000000000001</v>
      </c>
      <c r="T428" s="314">
        <v>0</v>
      </c>
      <c r="U428" s="314">
        <v>1.7286999999999999</v>
      </c>
      <c r="V428" s="314">
        <v>1.5510999999999999</v>
      </c>
      <c r="W428" s="314">
        <v>1.3574999999999999</v>
      </c>
      <c r="X428" s="314">
        <v>1.2983</v>
      </c>
      <c r="Y428" s="314">
        <v>1.4192</v>
      </c>
      <c r="Z428" s="314">
        <v>1.3995</v>
      </c>
      <c r="AA428" s="314">
        <v>1.4971000000000001</v>
      </c>
      <c r="AB428" s="314">
        <v>1.6073999999999999</v>
      </c>
      <c r="AC428" s="314">
        <v>1.7041999999999999</v>
      </c>
      <c r="AD428" s="314">
        <v>1.6356999999999999</v>
      </c>
      <c r="AE428" s="314">
        <v>1.5121</v>
      </c>
      <c r="AF428" s="314">
        <v>1.5907</v>
      </c>
      <c r="AG428" s="314">
        <v>1.5998000000000001</v>
      </c>
      <c r="AH428" s="314">
        <v>1.2988</v>
      </c>
      <c r="AI428" s="314">
        <v>1.3150999999999999</v>
      </c>
      <c r="AJ428" s="314">
        <v>1.5451999999999999</v>
      </c>
      <c r="AK428" s="314">
        <v>0</v>
      </c>
      <c r="AL428" s="314">
        <v>1.2709999999999999</v>
      </c>
      <c r="AM428" s="314">
        <v>1.4178999999999999</v>
      </c>
      <c r="AN428" s="314">
        <v>1.4639</v>
      </c>
      <c r="AO428" s="314">
        <v>1.6803999999999999</v>
      </c>
      <c r="AP428" s="314">
        <v>1.4379</v>
      </c>
      <c r="AQ428" s="314">
        <v>0</v>
      </c>
      <c r="AR428" s="314">
        <v>1.5371999999999999</v>
      </c>
      <c r="AS428" s="314">
        <v>1.4665999999999999</v>
      </c>
      <c r="AT428" s="314">
        <v>1.387</v>
      </c>
      <c r="AU428" s="314">
        <v>1.5767</v>
      </c>
      <c r="AV428" s="314">
        <v>0</v>
      </c>
      <c r="AW428" s="314">
        <v>1.3090999999999999</v>
      </c>
      <c r="AX428" s="314">
        <v>1.4912000000000001</v>
      </c>
      <c r="AY428" s="314">
        <v>1.6546000000000001</v>
      </c>
      <c r="AZ428" s="314">
        <v>1.6106</v>
      </c>
      <c r="BA428" s="314">
        <v>1.2730999999999999</v>
      </c>
      <c r="BB428" s="314">
        <v>0</v>
      </c>
      <c r="BC428" s="314">
        <v>1.3485</v>
      </c>
      <c r="BD428" s="314">
        <v>1.3506</v>
      </c>
      <c r="BE428" s="314">
        <v>1.5337000000000001</v>
      </c>
      <c r="BF428" s="314">
        <v>1.6318999999999999</v>
      </c>
      <c r="BG428" s="314">
        <v>1.6214</v>
      </c>
      <c r="BH428" s="314">
        <v>1.7290000000000001</v>
      </c>
      <c r="BI428" s="314">
        <v>1.6514</v>
      </c>
      <c r="BJ428" s="314">
        <v>1.7057</v>
      </c>
      <c r="BK428" s="314">
        <v>1.6803999999999999</v>
      </c>
    </row>
    <row r="429" spans="1:63" x14ac:dyDescent="0.25">
      <c r="A429" s="306">
        <v>114100</v>
      </c>
      <c r="B429" s="314" t="s">
        <v>691</v>
      </c>
      <c r="C429" s="314">
        <v>1.5526</v>
      </c>
      <c r="D429" s="314">
        <v>1.29</v>
      </c>
      <c r="E429" s="314">
        <v>1.3653</v>
      </c>
      <c r="F429" s="314">
        <v>1.274</v>
      </c>
      <c r="G429" s="314">
        <v>0</v>
      </c>
      <c r="H429" s="314">
        <v>1.3992</v>
      </c>
      <c r="I429" s="314">
        <v>0</v>
      </c>
      <c r="J429" s="314">
        <v>1.3005</v>
      </c>
      <c r="K429" s="314">
        <v>0</v>
      </c>
      <c r="L429" s="314">
        <v>1.3049999999999999</v>
      </c>
      <c r="M429" s="314">
        <v>1.2365999999999999</v>
      </c>
      <c r="N429" s="314">
        <v>1.2956000000000001</v>
      </c>
      <c r="O429" s="314">
        <v>1.3243</v>
      </c>
      <c r="P429" s="314">
        <v>0</v>
      </c>
      <c r="Q429" s="314">
        <v>1.1837</v>
      </c>
      <c r="R429" s="314">
        <v>1.3648</v>
      </c>
      <c r="S429" s="314">
        <v>0</v>
      </c>
      <c r="T429" s="314">
        <v>0</v>
      </c>
      <c r="U429" s="314">
        <v>1.3694</v>
      </c>
      <c r="V429" s="314">
        <v>1.4053</v>
      </c>
      <c r="W429" s="314">
        <v>1.2482</v>
      </c>
      <c r="X429" s="314">
        <v>1.2416</v>
      </c>
      <c r="Y429" s="314">
        <v>1.2748999999999999</v>
      </c>
      <c r="Z429" s="314">
        <v>1.2835000000000001</v>
      </c>
      <c r="AA429" s="314">
        <v>1.3072999999999999</v>
      </c>
      <c r="AB429" s="314">
        <v>0</v>
      </c>
      <c r="AC429" s="314">
        <v>1.4003000000000001</v>
      </c>
      <c r="AD429" s="314">
        <v>1.2837000000000001</v>
      </c>
      <c r="AE429" s="314">
        <v>1.2746999999999999</v>
      </c>
      <c r="AF429" s="314">
        <v>0</v>
      </c>
      <c r="AG429" s="314">
        <v>0</v>
      </c>
      <c r="AH429" s="314">
        <v>1.2472000000000001</v>
      </c>
      <c r="AI429" s="314">
        <v>1.3273999999999999</v>
      </c>
      <c r="AJ429" s="314">
        <v>0</v>
      </c>
      <c r="AK429" s="314">
        <v>1.1714</v>
      </c>
      <c r="AL429" s="314">
        <v>1.2236</v>
      </c>
      <c r="AM429" s="314">
        <v>1.3323</v>
      </c>
      <c r="AN429" s="314">
        <v>0</v>
      </c>
      <c r="AO429" s="314">
        <v>1.3126</v>
      </c>
      <c r="AP429" s="314">
        <v>1.3641000000000001</v>
      </c>
      <c r="AQ429" s="314">
        <v>1.2815000000000001</v>
      </c>
      <c r="AR429" s="314">
        <v>1.3266</v>
      </c>
      <c r="AS429" s="314">
        <v>0</v>
      </c>
      <c r="AT429" s="314">
        <v>1.3167</v>
      </c>
      <c r="AU429" s="314">
        <v>1.4373</v>
      </c>
      <c r="AV429" s="314">
        <v>1.3771</v>
      </c>
      <c r="AW429" s="314">
        <v>1.3189</v>
      </c>
      <c r="AX429" s="314">
        <v>0</v>
      </c>
      <c r="AY429" s="314">
        <v>1.3819999999999999</v>
      </c>
      <c r="AZ429" s="314">
        <v>1.3077000000000001</v>
      </c>
      <c r="BA429" s="314">
        <v>0</v>
      </c>
      <c r="BB429" s="314">
        <v>0</v>
      </c>
      <c r="BC429" s="314">
        <v>1.3220000000000001</v>
      </c>
      <c r="BD429" s="314">
        <v>1.3142</v>
      </c>
      <c r="BE429" s="314">
        <v>1.3667</v>
      </c>
      <c r="BF429" s="314">
        <v>1.2985</v>
      </c>
      <c r="BG429" s="314">
        <v>1.3526</v>
      </c>
      <c r="BH429" s="314">
        <v>1.4352</v>
      </c>
      <c r="BI429" s="314">
        <v>1.4682999999999999</v>
      </c>
      <c r="BJ429" s="314">
        <v>1.3342000000000001</v>
      </c>
      <c r="BK429" s="314">
        <v>1.4434</v>
      </c>
    </row>
    <row r="430" spans="1:63" x14ac:dyDescent="0.25">
      <c r="A430" s="306">
        <v>114200</v>
      </c>
      <c r="B430" s="314" t="s">
        <v>692</v>
      </c>
      <c r="C430" s="314">
        <v>1.7331000000000001</v>
      </c>
      <c r="D430" s="314">
        <v>0</v>
      </c>
      <c r="E430" s="314">
        <v>1.4849000000000001</v>
      </c>
      <c r="F430" s="314">
        <v>1.458</v>
      </c>
      <c r="G430" s="314">
        <v>1.3986000000000001</v>
      </c>
      <c r="H430" s="314">
        <v>1.5021</v>
      </c>
      <c r="I430" s="314">
        <v>1.4811000000000001</v>
      </c>
      <c r="J430" s="314">
        <v>1.4128000000000001</v>
      </c>
      <c r="K430" s="314">
        <v>0</v>
      </c>
      <c r="L430" s="314">
        <v>0</v>
      </c>
      <c r="M430" s="314">
        <v>1.3887</v>
      </c>
      <c r="N430" s="314">
        <v>1.5216000000000001</v>
      </c>
      <c r="O430" s="314">
        <v>1.2910999999999999</v>
      </c>
      <c r="P430" s="314">
        <v>1.4096</v>
      </c>
      <c r="Q430" s="314">
        <v>1.3415999999999999</v>
      </c>
      <c r="R430" s="314">
        <v>1.6017999999999999</v>
      </c>
      <c r="S430" s="314">
        <v>1.5266</v>
      </c>
      <c r="T430" s="314">
        <v>1.4484999999999999</v>
      </c>
      <c r="U430" s="314">
        <v>1.5094000000000001</v>
      </c>
      <c r="V430" s="314">
        <v>1.4169</v>
      </c>
      <c r="W430" s="314">
        <v>1.4131</v>
      </c>
      <c r="X430" s="314">
        <v>1.3855999999999999</v>
      </c>
      <c r="Y430" s="314">
        <v>0</v>
      </c>
      <c r="Z430" s="314">
        <v>1.4652000000000001</v>
      </c>
      <c r="AA430" s="314">
        <v>1.4757</v>
      </c>
      <c r="AB430" s="314">
        <v>1.5145</v>
      </c>
      <c r="AC430" s="314">
        <v>1.4429000000000001</v>
      </c>
      <c r="AD430" s="314">
        <v>1.3740000000000001</v>
      </c>
      <c r="AE430" s="314">
        <v>1.4913000000000001</v>
      </c>
      <c r="AF430" s="314">
        <v>1.3444</v>
      </c>
      <c r="AG430" s="314">
        <v>1.3642000000000001</v>
      </c>
      <c r="AH430" s="314">
        <v>0</v>
      </c>
      <c r="AI430" s="314">
        <v>1.5059</v>
      </c>
      <c r="AJ430" s="314">
        <v>0</v>
      </c>
      <c r="AK430" s="314">
        <v>1.3202</v>
      </c>
      <c r="AL430" s="314">
        <v>1.3643000000000001</v>
      </c>
      <c r="AM430" s="314">
        <v>1.5609999999999999</v>
      </c>
      <c r="AN430" s="314">
        <v>1.4724999999999999</v>
      </c>
      <c r="AO430" s="314">
        <v>1.4472</v>
      </c>
      <c r="AP430" s="314">
        <v>1.5547</v>
      </c>
      <c r="AQ430" s="314">
        <v>0</v>
      </c>
      <c r="AR430" s="314">
        <v>1.4914000000000001</v>
      </c>
      <c r="AS430" s="314">
        <v>1.3189</v>
      </c>
      <c r="AT430" s="314">
        <v>1.5172000000000001</v>
      </c>
      <c r="AU430" s="314">
        <v>1.5569</v>
      </c>
      <c r="AV430" s="314">
        <v>1.514</v>
      </c>
      <c r="AW430" s="314">
        <v>1.409</v>
      </c>
      <c r="AX430" s="314">
        <v>1.3743000000000001</v>
      </c>
      <c r="AY430" s="314">
        <v>1.4411</v>
      </c>
      <c r="AZ430" s="314">
        <v>1.4879</v>
      </c>
      <c r="BA430" s="314">
        <v>1.3844000000000001</v>
      </c>
      <c r="BB430" s="314">
        <v>1.3255999999999999</v>
      </c>
      <c r="BC430" s="314">
        <v>1.4463999999999999</v>
      </c>
      <c r="BD430" s="314">
        <v>1.4903</v>
      </c>
      <c r="BE430" s="314">
        <v>1.5943000000000001</v>
      </c>
      <c r="BF430" s="314">
        <v>1.5064</v>
      </c>
      <c r="BG430" s="314">
        <v>1.5097</v>
      </c>
      <c r="BH430" s="314">
        <v>1.5651999999999999</v>
      </c>
      <c r="BI430" s="314">
        <v>1.5773999999999999</v>
      </c>
      <c r="BJ430" s="314">
        <v>1.4845999999999999</v>
      </c>
      <c r="BK430" s="314">
        <v>1.5129999999999999</v>
      </c>
    </row>
    <row r="431" spans="1:63" x14ac:dyDescent="0.25">
      <c r="A431" s="306">
        <v>115000</v>
      </c>
      <c r="B431" s="314" t="s">
        <v>19</v>
      </c>
      <c r="C431" s="314">
        <v>1.7295</v>
      </c>
      <c r="D431" s="314">
        <v>1.2856000000000001</v>
      </c>
      <c r="E431" s="314">
        <v>1.5256000000000001</v>
      </c>
      <c r="F431" s="314">
        <v>1.4437</v>
      </c>
      <c r="G431" s="314">
        <v>1.3433999999999999</v>
      </c>
      <c r="H431" s="314">
        <v>1.3774999999999999</v>
      </c>
      <c r="I431" s="314">
        <v>1.3742000000000001</v>
      </c>
      <c r="J431" s="314">
        <v>1.2697000000000001</v>
      </c>
      <c r="K431" s="314">
        <v>0</v>
      </c>
      <c r="L431" s="314">
        <v>1.3013999999999999</v>
      </c>
      <c r="M431" s="314">
        <v>1.3792</v>
      </c>
      <c r="N431" s="314">
        <v>1.4665999999999999</v>
      </c>
      <c r="O431" s="314">
        <v>1.2353000000000001</v>
      </c>
      <c r="P431" s="314">
        <v>1.4221999999999999</v>
      </c>
      <c r="Q431" s="314">
        <v>1.3708</v>
      </c>
      <c r="R431" s="314">
        <v>1.4368000000000001</v>
      </c>
      <c r="S431" s="314">
        <v>1.4174</v>
      </c>
      <c r="T431" s="314">
        <v>1.4340999999999999</v>
      </c>
      <c r="U431" s="314">
        <v>1.3662000000000001</v>
      </c>
      <c r="V431" s="314">
        <v>1.4823</v>
      </c>
      <c r="W431" s="314">
        <v>1.2959000000000001</v>
      </c>
      <c r="X431" s="314">
        <v>1.3127</v>
      </c>
      <c r="Y431" s="314">
        <v>1.3588</v>
      </c>
      <c r="Z431" s="314">
        <v>1.3557999999999999</v>
      </c>
      <c r="AA431" s="314">
        <v>1.3365</v>
      </c>
      <c r="AB431" s="314">
        <v>1.5704</v>
      </c>
      <c r="AC431" s="314">
        <v>1.4607000000000001</v>
      </c>
      <c r="AD431" s="314">
        <v>1.377</v>
      </c>
      <c r="AE431" s="314">
        <v>1.5392999999999999</v>
      </c>
      <c r="AF431" s="314">
        <v>1.2695000000000001</v>
      </c>
      <c r="AG431" s="314">
        <v>1.4109</v>
      </c>
      <c r="AH431" s="314">
        <v>1.2564</v>
      </c>
      <c r="AI431" s="314">
        <v>1.4152</v>
      </c>
      <c r="AJ431" s="314">
        <v>1.2364999999999999</v>
      </c>
      <c r="AK431" s="314">
        <v>1.2193000000000001</v>
      </c>
      <c r="AL431" s="314">
        <v>1.2434000000000001</v>
      </c>
      <c r="AM431" s="314">
        <v>1.492</v>
      </c>
      <c r="AN431" s="314">
        <v>1.4451000000000001</v>
      </c>
      <c r="AO431" s="314">
        <v>1.4186000000000001</v>
      </c>
      <c r="AP431" s="314">
        <v>1.4323999999999999</v>
      </c>
      <c r="AQ431" s="314">
        <v>1.2265999999999999</v>
      </c>
      <c r="AR431" s="314">
        <v>1.3847</v>
      </c>
      <c r="AS431" s="314">
        <v>1.3124</v>
      </c>
      <c r="AT431" s="314">
        <v>1.3781000000000001</v>
      </c>
      <c r="AU431" s="314">
        <v>1.4862</v>
      </c>
      <c r="AV431" s="314">
        <v>1.4198</v>
      </c>
      <c r="AW431" s="314">
        <v>1.3086</v>
      </c>
      <c r="AX431" s="314">
        <v>1.2488999999999999</v>
      </c>
      <c r="AY431" s="314">
        <v>1.3499000000000001</v>
      </c>
      <c r="AZ431" s="314">
        <v>1.4942</v>
      </c>
      <c r="BA431" s="314">
        <v>1.2683</v>
      </c>
      <c r="BB431" s="314">
        <v>1.3221000000000001</v>
      </c>
      <c r="BC431" s="314">
        <v>1.3211999999999999</v>
      </c>
      <c r="BD431" s="314">
        <v>1.3696999999999999</v>
      </c>
      <c r="BE431" s="314">
        <v>1.595</v>
      </c>
      <c r="BF431" s="314">
        <v>1.5392999999999999</v>
      </c>
      <c r="BG431" s="314">
        <v>1.5798000000000001</v>
      </c>
      <c r="BH431" s="314">
        <v>1.5745</v>
      </c>
      <c r="BI431" s="314">
        <v>1.5847</v>
      </c>
      <c r="BJ431" s="314">
        <v>1.4783999999999999</v>
      </c>
      <c r="BK431" s="314">
        <v>1.3880999999999999</v>
      </c>
    </row>
    <row r="432" spans="1:63" x14ac:dyDescent="0.25">
      <c r="A432" s="306">
        <v>211000</v>
      </c>
      <c r="B432" s="314" t="s">
        <v>693</v>
      </c>
      <c r="C432" s="314">
        <v>1.7404999999999999</v>
      </c>
      <c r="D432" s="314">
        <v>1.4208000000000001</v>
      </c>
      <c r="E432" s="314">
        <v>1.4123000000000001</v>
      </c>
      <c r="F432" s="314">
        <v>1.3923000000000001</v>
      </c>
      <c r="G432" s="314">
        <v>1.4774</v>
      </c>
      <c r="H432" s="314">
        <v>1.5622</v>
      </c>
      <c r="I432" s="314">
        <v>1.6073999999999999</v>
      </c>
      <c r="J432" s="314">
        <v>1.5138</v>
      </c>
      <c r="K432" s="314">
        <v>0</v>
      </c>
      <c r="L432" s="314">
        <v>0</v>
      </c>
      <c r="M432" s="314">
        <v>1.4196</v>
      </c>
      <c r="N432" s="314">
        <v>0</v>
      </c>
      <c r="O432" s="314">
        <v>1.2962</v>
      </c>
      <c r="P432" s="314">
        <v>0</v>
      </c>
      <c r="Q432" s="314">
        <v>1.3059000000000001</v>
      </c>
      <c r="R432" s="314">
        <v>1.5542</v>
      </c>
      <c r="S432" s="314">
        <v>1.4259999999999999</v>
      </c>
      <c r="T432" s="314">
        <v>1.3896999999999999</v>
      </c>
      <c r="U432" s="314">
        <v>1.4</v>
      </c>
      <c r="V432" s="314">
        <v>1.5415000000000001</v>
      </c>
      <c r="W432" s="314">
        <v>1.5032000000000001</v>
      </c>
      <c r="X432" s="314">
        <v>1.4079999999999999</v>
      </c>
      <c r="Y432" s="314">
        <v>1.2938000000000001</v>
      </c>
      <c r="Z432" s="314">
        <v>1.5031000000000001</v>
      </c>
      <c r="AA432" s="314">
        <v>1.5156000000000001</v>
      </c>
      <c r="AB432" s="314">
        <v>1.4872000000000001</v>
      </c>
      <c r="AC432" s="314">
        <v>1.3512999999999999</v>
      </c>
      <c r="AD432" s="314">
        <v>1.4205000000000001</v>
      </c>
      <c r="AE432" s="314">
        <v>1.3836999999999999</v>
      </c>
      <c r="AF432" s="314">
        <v>1.3279000000000001</v>
      </c>
      <c r="AG432" s="314">
        <v>1.3364</v>
      </c>
      <c r="AH432" s="314">
        <v>0</v>
      </c>
      <c r="AI432" s="314">
        <v>1.5504</v>
      </c>
      <c r="AJ432" s="314">
        <v>1.2994000000000001</v>
      </c>
      <c r="AK432" s="314">
        <v>1.3858999999999999</v>
      </c>
      <c r="AL432" s="314">
        <v>1.488</v>
      </c>
      <c r="AM432" s="314">
        <v>1.4787999999999999</v>
      </c>
      <c r="AN432" s="314">
        <v>1.5141</v>
      </c>
      <c r="AO432" s="314">
        <v>1.4704999999999999</v>
      </c>
      <c r="AP432" s="314">
        <v>1.6007</v>
      </c>
      <c r="AQ432" s="314">
        <v>1.4021999999999999</v>
      </c>
      <c r="AR432" s="314">
        <v>1.3634999999999999</v>
      </c>
      <c r="AS432" s="314">
        <v>1.2291000000000001</v>
      </c>
      <c r="AT432" s="314">
        <v>1.5051000000000001</v>
      </c>
      <c r="AU432" s="314">
        <v>1.6158999999999999</v>
      </c>
      <c r="AV432" s="314">
        <v>1.5587</v>
      </c>
      <c r="AW432" s="314">
        <v>1.4795</v>
      </c>
      <c r="AX432" s="314">
        <v>0</v>
      </c>
      <c r="AY432" s="314">
        <v>0</v>
      </c>
      <c r="AZ432" s="314">
        <v>1.468</v>
      </c>
      <c r="BA432" s="314">
        <v>1.359</v>
      </c>
      <c r="BB432" s="314">
        <v>1.3868</v>
      </c>
      <c r="BC432" s="314">
        <v>1.5145999999999999</v>
      </c>
      <c r="BD432" s="314">
        <v>1.5639000000000001</v>
      </c>
      <c r="BE432" s="314">
        <v>1.5293000000000001</v>
      </c>
      <c r="BF432" s="314">
        <v>1.5018</v>
      </c>
      <c r="BG432" s="314">
        <v>1.5035000000000001</v>
      </c>
      <c r="BH432" s="314">
        <v>1.4673</v>
      </c>
      <c r="BI432" s="314">
        <v>1.6208</v>
      </c>
      <c r="BJ432" s="314">
        <v>1.5854999999999999</v>
      </c>
      <c r="BK432" s="314">
        <v>1.5770999999999999</v>
      </c>
    </row>
    <row r="433" spans="1:63" x14ac:dyDescent="0.25">
      <c r="A433" s="306">
        <v>212100</v>
      </c>
      <c r="B433" s="314" t="s">
        <v>694</v>
      </c>
      <c r="C433" s="314">
        <v>1.7748999999999999</v>
      </c>
      <c r="D433" s="314">
        <v>1.3118000000000001</v>
      </c>
      <c r="E433" s="314">
        <v>1.5209999999999999</v>
      </c>
      <c r="F433" s="314">
        <v>1.4118999999999999</v>
      </c>
      <c r="G433" s="314">
        <v>1.4189000000000001</v>
      </c>
      <c r="H433" s="314">
        <v>1.4019999999999999</v>
      </c>
      <c r="I433" s="314">
        <v>1.5788</v>
      </c>
      <c r="J433" s="314">
        <v>0</v>
      </c>
      <c r="K433" s="314">
        <v>0</v>
      </c>
      <c r="L433" s="314">
        <v>0</v>
      </c>
      <c r="M433" s="314">
        <v>0</v>
      </c>
      <c r="N433" s="314">
        <v>1.4749000000000001</v>
      </c>
      <c r="O433" s="314">
        <v>0</v>
      </c>
      <c r="P433" s="314">
        <v>0</v>
      </c>
      <c r="Q433" s="314">
        <v>0</v>
      </c>
      <c r="R433" s="314">
        <v>1.6416999999999999</v>
      </c>
      <c r="S433" s="314">
        <v>1.5065</v>
      </c>
      <c r="T433" s="314">
        <v>1.3909</v>
      </c>
      <c r="U433" s="314">
        <v>1.5552999999999999</v>
      </c>
      <c r="V433" s="314">
        <v>1.4293</v>
      </c>
      <c r="W433" s="314">
        <v>0</v>
      </c>
      <c r="X433" s="314">
        <v>1.3794</v>
      </c>
      <c r="Y433" s="314">
        <v>0</v>
      </c>
      <c r="Z433" s="314">
        <v>0</v>
      </c>
      <c r="AA433" s="314">
        <v>0</v>
      </c>
      <c r="AB433" s="314">
        <v>1.5295000000000001</v>
      </c>
      <c r="AC433" s="314">
        <v>1.3532</v>
      </c>
      <c r="AD433" s="314">
        <v>1.4132</v>
      </c>
      <c r="AE433" s="314">
        <v>1.3787</v>
      </c>
      <c r="AF433" s="314">
        <v>1.3762000000000001</v>
      </c>
      <c r="AG433" s="314">
        <v>0</v>
      </c>
      <c r="AH433" s="314">
        <v>0</v>
      </c>
      <c r="AI433" s="314">
        <v>0</v>
      </c>
      <c r="AJ433" s="314">
        <v>1.3955</v>
      </c>
      <c r="AK433" s="314">
        <v>0</v>
      </c>
      <c r="AL433" s="314">
        <v>1.3411999999999999</v>
      </c>
      <c r="AM433" s="314">
        <v>1.5828</v>
      </c>
      <c r="AN433" s="314">
        <v>1.4642999999999999</v>
      </c>
      <c r="AO433" s="314">
        <v>0</v>
      </c>
      <c r="AP433" s="314">
        <v>1.6517999999999999</v>
      </c>
      <c r="AQ433" s="314">
        <v>0</v>
      </c>
      <c r="AR433" s="314">
        <v>1.403</v>
      </c>
      <c r="AS433" s="314">
        <v>0</v>
      </c>
      <c r="AT433" s="314">
        <v>1.4918</v>
      </c>
      <c r="AU433" s="314">
        <v>1.5246</v>
      </c>
      <c r="AV433" s="314">
        <v>1.5812999999999999</v>
      </c>
      <c r="AW433" s="314">
        <v>1.5394000000000001</v>
      </c>
      <c r="AX433" s="314">
        <v>0</v>
      </c>
      <c r="AY433" s="314">
        <v>1.4278999999999999</v>
      </c>
      <c r="AZ433" s="314">
        <v>0</v>
      </c>
      <c r="BA433" s="314">
        <v>1.4674</v>
      </c>
      <c r="BB433" s="314">
        <v>1.3832</v>
      </c>
      <c r="BC433" s="314">
        <v>0</v>
      </c>
      <c r="BD433" s="314">
        <v>1.522</v>
      </c>
      <c r="BE433" s="314">
        <v>1.6017999999999999</v>
      </c>
      <c r="BF433" s="314">
        <v>1.486</v>
      </c>
      <c r="BG433" s="314">
        <v>1.575</v>
      </c>
      <c r="BH433" s="314">
        <v>1.5857000000000001</v>
      </c>
      <c r="BI433" s="314">
        <v>1.5447</v>
      </c>
      <c r="BJ433" s="314">
        <v>1.5627</v>
      </c>
      <c r="BK433" s="314">
        <v>1.4295</v>
      </c>
    </row>
    <row r="434" spans="1:63" x14ac:dyDescent="0.25">
      <c r="A434" s="306">
        <v>212210</v>
      </c>
      <c r="B434" s="314" t="s">
        <v>695</v>
      </c>
      <c r="C434" s="314">
        <v>2.0011000000000001</v>
      </c>
      <c r="D434" s="314">
        <v>0</v>
      </c>
      <c r="E434" s="314">
        <v>1.7103999999999999</v>
      </c>
      <c r="F434" s="314">
        <v>0</v>
      </c>
      <c r="G434" s="314">
        <v>1.5085999999999999</v>
      </c>
      <c r="H434" s="314">
        <v>1.5246999999999999</v>
      </c>
      <c r="I434" s="314">
        <v>1.6416999999999999</v>
      </c>
      <c r="J434" s="314">
        <v>0</v>
      </c>
      <c r="K434" s="314">
        <v>0</v>
      </c>
      <c r="L434" s="314">
        <v>0</v>
      </c>
      <c r="M434" s="314">
        <v>1.3894</v>
      </c>
      <c r="N434" s="314">
        <v>0</v>
      </c>
      <c r="O434" s="314">
        <v>0</v>
      </c>
      <c r="P434" s="314">
        <v>0</v>
      </c>
      <c r="Q434" s="314">
        <v>0</v>
      </c>
      <c r="R434" s="314">
        <v>0</v>
      </c>
      <c r="S434" s="314">
        <v>0</v>
      </c>
      <c r="T434" s="314">
        <v>0</v>
      </c>
      <c r="U434" s="314">
        <v>0</v>
      </c>
      <c r="V434" s="314">
        <v>1.6651</v>
      </c>
      <c r="W434" s="314">
        <v>0</v>
      </c>
      <c r="X434" s="314">
        <v>0</v>
      </c>
      <c r="Y434" s="314">
        <v>0</v>
      </c>
      <c r="Z434" s="314">
        <v>1.7112000000000001</v>
      </c>
      <c r="AA434" s="314">
        <v>1.6109</v>
      </c>
      <c r="AB434" s="314">
        <v>0</v>
      </c>
      <c r="AC434" s="314">
        <v>0</v>
      </c>
      <c r="AD434" s="314">
        <v>1.5022</v>
      </c>
      <c r="AE434" s="314">
        <v>0</v>
      </c>
      <c r="AF434" s="314">
        <v>0</v>
      </c>
      <c r="AG434" s="314">
        <v>0</v>
      </c>
      <c r="AH434" s="314">
        <v>0</v>
      </c>
      <c r="AI434" s="314">
        <v>0</v>
      </c>
      <c r="AJ434" s="314">
        <v>0</v>
      </c>
      <c r="AK434" s="314">
        <v>1.4910000000000001</v>
      </c>
      <c r="AL434" s="314">
        <v>0</v>
      </c>
      <c r="AM434" s="314">
        <v>0</v>
      </c>
      <c r="AN434" s="314">
        <v>0</v>
      </c>
      <c r="AO434" s="314">
        <v>0</v>
      </c>
      <c r="AP434" s="314">
        <v>1.7970999999999999</v>
      </c>
      <c r="AQ434" s="314">
        <v>0</v>
      </c>
      <c r="AR434" s="314">
        <v>1.6312</v>
      </c>
      <c r="AS434" s="314">
        <v>0</v>
      </c>
      <c r="AT434" s="314">
        <v>0</v>
      </c>
      <c r="AU434" s="314">
        <v>1.7642</v>
      </c>
      <c r="AV434" s="314">
        <v>0</v>
      </c>
      <c r="AW434" s="314">
        <v>1.5545</v>
      </c>
      <c r="AX434" s="314">
        <v>0</v>
      </c>
      <c r="AY434" s="314">
        <v>1.5769</v>
      </c>
      <c r="AZ434" s="314">
        <v>0</v>
      </c>
      <c r="BA434" s="314">
        <v>1.6392</v>
      </c>
      <c r="BB434" s="314">
        <v>0</v>
      </c>
      <c r="BC434" s="314">
        <v>0</v>
      </c>
      <c r="BD434" s="314">
        <v>1.6464000000000001</v>
      </c>
      <c r="BE434" s="314">
        <v>1.8251999999999999</v>
      </c>
      <c r="BF434" s="314">
        <v>1.6674</v>
      </c>
      <c r="BG434" s="314">
        <v>1.63</v>
      </c>
      <c r="BH434" s="314">
        <v>1.7888999999999999</v>
      </c>
      <c r="BI434" s="314">
        <v>1.8080000000000001</v>
      </c>
      <c r="BJ434" s="314">
        <v>1.6576</v>
      </c>
      <c r="BK434" s="314">
        <v>1.5862000000000001</v>
      </c>
    </row>
    <row r="435" spans="1:63" x14ac:dyDescent="0.25">
      <c r="A435" s="306">
        <v>212230</v>
      </c>
      <c r="B435" s="314" t="s">
        <v>696</v>
      </c>
      <c r="C435" s="314">
        <v>1.6548</v>
      </c>
      <c r="D435" s="314">
        <v>1.3917999999999999</v>
      </c>
      <c r="E435" s="314">
        <v>0</v>
      </c>
      <c r="F435" s="314">
        <v>0</v>
      </c>
      <c r="G435" s="314">
        <v>1.3606</v>
      </c>
      <c r="H435" s="314">
        <v>0</v>
      </c>
      <c r="I435" s="314">
        <v>1.5562</v>
      </c>
      <c r="J435" s="314">
        <v>0</v>
      </c>
      <c r="K435" s="314">
        <v>0</v>
      </c>
      <c r="L435" s="314">
        <v>0</v>
      </c>
      <c r="M435" s="314">
        <v>0</v>
      </c>
      <c r="N435" s="314">
        <v>0</v>
      </c>
      <c r="O435" s="314">
        <v>0</v>
      </c>
      <c r="P435" s="314">
        <v>0</v>
      </c>
      <c r="Q435" s="314">
        <v>1.3315999999999999</v>
      </c>
      <c r="R435" s="314">
        <v>0</v>
      </c>
      <c r="S435" s="314">
        <v>0</v>
      </c>
      <c r="T435" s="314">
        <v>0</v>
      </c>
      <c r="U435" s="314">
        <v>0</v>
      </c>
      <c r="V435" s="314">
        <v>1.3572</v>
      </c>
      <c r="W435" s="314">
        <v>0</v>
      </c>
      <c r="X435" s="314">
        <v>0</v>
      </c>
      <c r="Y435" s="314">
        <v>0</v>
      </c>
      <c r="Z435" s="314">
        <v>1.3678999999999999</v>
      </c>
      <c r="AA435" s="314">
        <v>1.3641000000000001</v>
      </c>
      <c r="AB435" s="314">
        <v>1.4028</v>
      </c>
      <c r="AC435" s="314">
        <v>0</v>
      </c>
      <c r="AD435" s="314">
        <v>1.401</v>
      </c>
      <c r="AE435" s="314">
        <v>0</v>
      </c>
      <c r="AF435" s="314">
        <v>0</v>
      </c>
      <c r="AG435" s="314">
        <v>0</v>
      </c>
      <c r="AH435" s="314">
        <v>0</v>
      </c>
      <c r="AI435" s="314">
        <v>0</v>
      </c>
      <c r="AJ435" s="314">
        <v>1.4056999999999999</v>
      </c>
      <c r="AK435" s="314">
        <v>1.4212</v>
      </c>
      <c r="AL435" s="314">
        <v>1.3411999999999999</v>
      </c>
      <c r="AM435" s="314">
        <v>0</v>
      </c>
      <c r="AN435" s="314">
        <v>1.3587</v>
      </c>
      <c r="AO435" s="314">
        <v>0</v>
      </c>
      <c r="AP435" s="314">
        <v>0</v>
      </c>
      <c r="AQ435" s="314">
        <v>0</v>
      </c>
      <c r="AR435" s="314">
        <v>0</v>
      </c>
      <c r="AS435" s="314">
        <v>1.3055000000000001</v>
      </c>
      <c r="AT435" s="314">
        <v>1.3613999999999999</v>
      </c>
      <c r="AU435" s="314">
        <v>0</v>
      </c>
      <c r="AV435" s="314">
        <v>1.5545</v>
      </c>
      <c r="AW435" s="314">
        <v>0</v>
      </c>
      <c r="AX435" s="314">
        <v>1.2481</v>
      </c>
      <c r="AY435" s="314">
        <v>1.4081999999999999</v>
      </c>
      <c r="AZ435" s="314">
        <v>0</v>
      </c>
      <c r="BA435" s="314">
        <v>0</v>
      </c>
      <c r="BB435" s="314">
        <v>0</v>
      </c>
      <c r="BC435" s="314">
        <v>1.3732</v>
      </c>
      <c r="BD435" s="314">
        <v>1.4114</v>
      </c>
      <c r="BE435" s="314">
        <v>1.4222999999999999</v>
      </c>
      <c r="BF435" s="314">
        <v>1.3827</v>
      </c>
      <c r="BG435" s="314">
        <v>0</v>
      </c>
      <c r="BH435" s="314">
        <v>1.3895</v>
      </c>
      <c r="BI435" s="314">
        <v>1.4429000000000001</v>
      </c>
      <c r="BJ435" s="314">
        <v>1.5467</v>
      </c>
      <c r="BK435" s="314">
        <v>1.4574</v>
      </c>
    </row>
    <row r="436" spans="1:63" x14ac:dyDescent="0.25">
      <c r="A436" s="306" t="s">
        <v>697</v>
      </c>
      <c r="B436" s="314" t="s">
        <v>698</v>
      </c>
      <c r="C436" s="314">
        <v>1.6936</v>
      </c>
      <c r="D436" s="314">
        <v>1.3344</v>
      </c>
      <c r="E436" s="314">
        <v>1.4092</v>
      </c>
      <c r="F436" s="314">
        <v>1.4487000000000001</v>
      </c>
      <c r="G436" s="314">
        <v>1.3121</v>
      </c>
      <c r="H436" s="314">
        <v>1.3459000000000001</v>
      </c>
      <c r="I436" s="314">
        <v>1.4973000000000001</v>
      </c>
      <c r="J436" s="314">
        <v>0</v>
      </c>
      <c r="K436" s="314">
        <v>0</v>
      </c>
      <c r="L436" s="314">
        <v>0</v>
      </c>
      <c r="M436" s="314">
        <v>1.2887</v>
      </c>
      <c r="N436" s="314">
        <v>0</v>
      </c>
      <c r="O436" s="314">
        <v>0</v>
      </c>
      <c r="P436" s="314">
        <v>0</v>
      </c>
      <c r="Q436" s="314">
        <v>1.3121</v>
      </c>
      <c r="R436" s="314">
        <v>1.4737</v>
      </c>
      <c r="S436" s="314">
        <v>0</v>
      </c>
      <c r="T436" s="314">
        <v>0</v>
      </c>
      <c r="U436" s="314">
        <v>0</v>
      </c>
      <c r="V436" s="314">
        <v>1.3783000000000001</v>
      </c>
      <c r="W436" s="314">
        <v>0</v>
      </c>
      <c r="X436" s="314">
        <v>0</v>
      </c>
      <c r="Y436" s="314">
        <v>0</v>
      </c>
      <c r="Z436" s="314">
        <v>0</v>
      </c>
      <c r="AA436" s="314">
        <v>0</v>
      </c>
      <c r="AB436" s="314">
        <v>1.4147000000000001</v>
      </c>
      <c r="AC436" s="314">
        <v>0</v>
      </c>
      <c r="AD436" s="314">
        <v>1.3594999999999999</v>
      </c>
      <c r="AE436" s="314">
        <v>1.3158000000000001</v>
      </c>
      <c r="AF436" s="314">
        <v>0</v>
      </c>
      <c r="AG436" s="314">
        <v>1.3306</v>
      </c>
      <c r="AH436" s="314">
        <v>0</v>
      </c>
      <c r="AI436" s="314">
        <v>0</v>
      </c>
      <c r="AJ436" s="314">
        <v>1.3785000000000001</v>
      </c>
      <c r="AK436" s="314">
        <v>1.4114</v>
      </c>
      <c r="AL436" s="314">
        <v>1.3109</v>
      </c>
      <c r="AM436" s="314">
        <v>0</v>
      </c>
      <c r="AN436" s="314">
        <v>1.3851</v>
      </c>
      <c r="AO436" s="314">
        <v>1.3865000000000001</v>
      </c>
      <c r="AP436" s="314">
        <v>1.4791000000000001</v>
      </c>
      <c r="AQ436" s="314">
        <v>0</v>
      </c>
      <c r="AR436" s="314">
        <v>1.3426</v>
      </c>
      <c r="AS436" s="314">
        <v>1.3261000000000001</v>
      </c>
      <c r="AT436" s="314">
        <v>0</v>
      </c>
      <c r="AU436" s="314">
        <v>1.4477</v>
      </c>
      <c r="AV436" s="314">
        <v>1.5457000000000001</v>
      </c>
      <c r="AW436" s="314">
        <v>1.4003000000000001</v>
      </c>
      <c r="AX436" s="314">
        <v>0</v>
      </c>
      <c r="AY436" s="314">
        <v>1.3795999999999999</v>
      </c>
      <c r="AZ436" s="314">
        <v>0</v>
      </c>
      <c r="BA436" s="314">
        <v>1.3547</v>
      </c>
      <c r="BB436" s="314">
        <v>1.3673999999999999</v>
      </c>
      <c r="BC436" s="314">
        <v>0</v>
      </c>
      <c r="BD436" s="314">
        <v>1.4032</v>
      </c>
      <c r="BE436" s="314">
        <v>1.4694</v>
      </c>
      <c r="BF436" s="314">
        <v>1.4206000000000001</v>
      </c>
      <c r="BG436" s="314">
        <v>1.4218999999999999</v>
      </c>
      <c r="BH436" s="314">
        <v>1.4428000000000001</v>
      </c>
      <c r="BI436" s="314">
        <v>1.4759</v>
      </c>
      <c r="BJ436" s="314">
        <v>1.5085999999999999</v>
      </c>
      <c r="BK436" s="314">
        <v>1.4326000000000001</v>
      </c>
    </row>
    <row r="437" spans="1:63" x14ac:dyDescent="0.25">
      <c r="A437" s="306">
        <v>212310</v>
      </c>
      <c r="B437" s="314" t="s">
        <v>699</v>
      </c>
      <c r="C437" s="314">
        <v>1.7333000000000001</v>
      </c>
      <c r="D437" s="314">
        <v>1.3575999999999999</v>
      </c>
      <c r="E437" s="314">
        <v>1.5093000000000001</v>
      </c>
      <c r="F437" s="314">
        <v>1.4776</v>
      </c>
      <c r="G437" s="314">
        <v>1.4641</v>
      </c>
      <c r="H437" s="314">
        <v>1.4443999999999999</v>
      </c>
      <c r="I437" s="314">
        <v>1.5337000000000001</v>
      </c>
      <c r="J437" s="314">
        <v>1.3815999999999999</v>
      </c>
      <c r="K437" s="314">
        <v>0</v>
      </c>
      <c r="L437" s="314">
        <v>0</v>
      </c>
      <c r="M437" s="314">
        <v>1.3818999999999999</v>
      </c>
      <c r="N437" s="314">
        <v>1.5542</v>
      </c>
      <c r="O437" s="314">
        <v>1.4036999999999999</v>
      </c>
      <c r="P437" s="314">
        <v>1.3675999999999999</v>
      </c>
      <c r="Q437" s="314">
        <v>1.3852</v>
      </c>
      <c r="R437" s="314">
        <v>1.6225000000000001</v>
      </c>
      <c r="S437" s="314">
        <v>1.4819</v>
      </c>
      <c r="T437" s="314">
        <v>1.4524999999999999</v>
      </c>
      <c r="U437" s="314">
        <v>1.5135000000000001</v>
      </c>
      <c r="V437" s="314">
        <v>1.4101999999999999</v>
      </c>
      <c r="W437" s="314">
        <v>1.4121999999999999</v>
      </c>
      <c r="X437" s="314">
        <v>1.4319999999999999</v>
      </c>
      <c r="Y437" s="314">
        <v>1.3272999999999999</v>
      </c>
      <c r="Z437" s="314">
        <v>1.486</v>
      </c>
      <c r="AA437" s="314">
        <v>1.4414</v>
      </c>
      <c r="AB437" s="314">
        <v>1.5528</v>
      </c>
      <c r="AC437" s="314">
        <v>1.3522000000000001</v>
      </c>
      <c r="AD437" s="314">
        <v>1.4058999999999999</v>
      </c>
      <c r="AE437" s="314">
        <v>1.4633</v>
      </c>
      <c r="AF437" s="314">
        <v>0</v>
      </c>
      <c r="AG437" s="314">
        <v>1.3855</v>
      </c>
      <c r="AH437" s="314">
        <v>1.4185000000000001</v>
      </c>
      <c r="AI437" s="314">
        <v>1.5034000000000001</v>
      </c>
      <c r="AJ437" s="314">
        <v>1.3611</v>
      </c>
      <c r="AK437" s="314">
        <v>1.4063000000000001</v>
      </c>
      <c r="AL437" s="314">
        <v>1.3982000000000001</v>
      </c>
      <c r="AM437" s="314">
        <v>1.5787</v>
      </c>
      <c r="AN437" s="314">
        <v>1.5136000000000001</v>
      </c>
      <c r="AO437" s="314">
        <v>1.5041</v>
      </c>
      <c r="AP437" s="314">
        <v>1.6011</v>
      </c>
      <c r="AQ437" s="314">
        <v>1.3442000000000001</v>
      </c>
      <c r="AR437" s="314">
        <v>1.4833000000000001</v>
      </c>
      <c r="AS437" s="314">
        <v>1.3233999999999999</v>
      </c>
      <c r="AT437" s="314">
        <v>1.5354000000000001</v>
      </c>
      <c r="AU437" s="314">
        <v>1.5364</v>
      </c>
      <c r="AV437" s="314">
        <v>1.5275000000000001</v>
      </c>
      <c r="AW437" s="314">
        <v>1.5441</v>
      </c>
      <c r="AX437" s="314">
        <v>1.3323</v>
      </c>
      <c r="AY437" s="314">
        <v>1.4742999999999999</v>
      </c>
      <c r="AZ437" s="314">
        <v>1.4522999999999999</v>
      </c>
      <c r="BA437" s="314">
        <v>1.4563999999999999</v>
      </c>
      <c r="BB437" s="314">
        <v>1.3532</v>
      </c>
      <c r="BC437" s="314">
        <v>1.4301999999999999</v>
      </c>
      <c r="BD437" s="314">
        <v>1.5461</v>
      </c>
      <c r="BE437" s="314">
        <v>1.5945</v>
      </c>
      <c r="BF437" s="314">
        <v>1.5141</v>
      </c>
      <c r="BG437" s="314">
        <v>1.5708</v>
      </c>
      <c r="BH437" s="314">
        <v>1.5521</v>
      </c>
      <c r="BI437" s="314">
        <v>1.5737000000000001</v>
      </c>
      <c r="BJ437" s="314">
        <v>1.5516000000000001</v>
      </c>
      <c r="BK437" s="314">
        <v>1.4773000000000001</v>
      </c>
    </row>
    <row r="438" spans="1:63" x14ac:dyDescent="0.25">
      <c r="A438" s="306">
        <v>212320</v>
      </c>
      <c r="B438" s="314" t="s">
        <v>700</v>
      </c>
      <c r="C438" s="314">
        <v>1.8196000000000001</v>
      </c>
      <c r="D438" s="314">
        <v>1.4283999999999999</v>
      </c>
      <c r="E438" s="314">
        <v>1.5210999999999999</v>
      </c>
      <c r="F438" s="314">
        <v>1.4659</v>
      </c>
      <c r="G438" s="314">
        <v>1.4829000000000001</v>
      </c>
      <c r="H438" s="314">
        <v>1.4805999999999999</v>
      </c>
      <c r="I438" s="314">
        <v>1.6289</v>
      </c>
      <c r="J438" s="314">
        <v>1.4472</v>
      </c>
      <c r="K438" s="314">
        <v>0</v>
      </c>
      <c r="L438" s="314">
        <v>1.3855999999999999</v>
      </c>
      <c r="M438" s="314">
        <v>1.3774999999999999</v>
      </c>
      <c r="N438" s="314">
        <v>1.5571999999999999</v>
      </c>
      <c r="O438" s="314">
        <v>1.3655999999999999</v>
      </c>
      <c r="P438" s="314">
        <v>1.3483000000000001</v>
      </c>
      <c r="Q438" s="314">
        <v>1.4129</v>
      </c>
      <c r="R438" s="314">
        <v>1.6460999999999999</v>
      </c>
      <c r="S438" s="314">
        <v>1.4923</v>
      </c>
      <c r="T438" s="314">
        <v>1.4315</v>
      </c>
      <c r="U438" s="314">
        <v>1.5386</v>
      </c>
      <c r="V438" s="314">
        <v>1.5074000000000001</v>
      </c>
      <c r="W438" s="314">
        <v>1.4436</v>
      </c>
      <c r="X438" s="314">
        <v>1.4855</v>
      </c>
      <c r="Y438" s="314">
        <v>1.3313999999999999</v>
      </c>
      <c r="Z438" s="314">
        <v>1.5238</v>
      </c>
      <c r="AA438" s="314">
        <v>1.4888999999999999</v>
      </c>
      <c r="AB438" s="314">
        <v>1.5837000000000001</v>
      </c>
      <c r="AC438" s="314">
        <v>1.3954</v>
      </c>
      <c r="AD438" s="314">
        <v>1.4463999999999999</v>
      </c>
      <c r="AE438" s="314">
        <v>1.4216</v>
      </c>
      <c r="AF438" s="314">
        <v>1.3685</v>
      </c>
      <c r="AG438" s="314">
        <v>1.3965000000000001</v>
      </c>
      <c r="AH438" s="314">
        <v>1.4963</v>
      </c>
      <c r="AI438" s="314">
        <v>1.502</v>
      </c>
      <c r="AJ438" s="314">
        <v>1.4300999999999999</v>
      </c>
      <c r="AK438" s="314">
        <v>1.4758</v>
      </c>
      <c r="AL438" s="314">
        <v>1.4107000000000001</v>
      </c>
      <c r="AM438" s="314">
        <v>1.6303000000000001</v>
      </c>
      <c r="AN438" s="314">
        <v>1.5423</v>
      </c>
      <c r="AO438" s="314">
        <v>1.4905999999999999</v>
      </c>
      <c r="AP438" s="314">
        <v>1.6617999999999999</v>
      </c>
      <c r="AQ438" s="314">
        <v>1.3773</v>
      </c>
      <c r="AR438" s="314">
        <v>1.4481999999999999</v>
      </c>
      <c r="AS438" s="314">
        <v>1.3077000000000001</v>
      </c>
      <c r="AT438" s="314">
        <v>1.5806</v>
      </c>
      <c r="AU438" s="314">
        <v>1.5852999999999999</v>
      </c>
      <c r="AV438" s="314">
        <v>1.6442000000000001</v>
      </c>
      <c r="AW438" s="314">
        <v>1.5572999999999999</v>
      </c>
      <c r="AX438" s="314">
        <v>1.3069999999999999</v>
      </c>
      <c r="AY438" s="314">
        <v>1.5419</v>
      </c>
      <c r="AZ438" s="314">
        <v>1.4511000000000001</v>
      </c>
      <c r="BA438" s="314">
        <v>1.5006999999999999</v>
      </c>
      <c r="BB438" s="314">
        <v>1.4148000000000001</v>
      </c>
      <c r="BC438" s="314">
        <v>1.4789000000000001</v>
      </c>
      <c r="BD438" s="314">
        <v>1.5543</v>
      </c>
      <c r="BE438" s="314">
        <v>1.6326000000000001</v>
      </c>
      <c r="BF438" s="314">
        <v>1.5239</v>
      </c>
      <c r="BG438" s="314">
        <v>1.6076999999999999</v>
      </c>
      <c r="BH438" s="314">
        <v>1.6071</v>
      </c>
      <c r="BI438" s="314">
        <v>1.6077999999999999</v>
      </c>
      <c r="BJ438" s="314">
        <v>1.6127</v>
      </c>
      <c r="BK438" s="314">
        <v>1.5273000000000001</v>
      </c>
    </row>
    <row r="439" spans="1:63" x14ac:dyDescent="0.25">
      <c r="A439" s="306">
        <v>212390</v>
      </c>
      <c r="B439" s="314" t="s">
        <v>701</v>
      </c>
      <c r="C439" s="314">
        <v>1.7881</v>
      </c>
      <c r="D439" s="314">
        <v>1.4396</v>
      </c>
      <c r="E439" s="314">
        <v>1.4856</v>
      </c>
      <c r="F439" s="314">
        <v>1.4602999999999999</v>
      </c>
      <c r="G439" s="314">
        <v>1.4686999999999999</v>
      </c>
      <c r="H439" s="314">
        <v>1.4746999999999999</v>
      </c>
      <c r="I439" s="314">
        <v>1.6112</v>
      </c>
      <c r="J439" s="314">
        <v>1.3931</v>
      </c>
      <c r="K439" s="314">
        <v>0</v>
      </c>
      <c r="L439" s="314">
        <v>0</v>
      </c>
      <c r="M439" s="314">
        <v>1.3855</v>
      </c>
      <c r="N439" s="314">
        <v>1.5185999999999999</v>
      </c>
      <c r="O439" s="314">
        <v>1.335</v>
      </c>
      <c r="P439" s="314">
        <v>1.3321000000000001</v>
      </c>
      <c r="Q439" s="314">
        <v>1.3998999999999999</v>
      </c>
      <c r="R439" s="314">
        <v>1.5987</v>
      </c>
      <c r="S439" s="314">
        <v>1.4865999999999999</v>
      </c>
      <c r="T439" s="314">
        <v>1.4513</v>
      </c>
      <c r="U439" s="314">
        <v>0</v>
      </c>
      <c r="V439" s="314">
        <v>1.5326</v>
      </c>
      <c r="W439" s="314">
        <v>0</v>
      </c>
      <c r="X439" s="314">
        <v>1.4431</v>
      </c>
      <c r="Y439" s="314">
        <v>1.3357000000000001</v>
      </c>
      <c r="Z439" s="314">
        <v>1.4843999999999999</v>
      </c>
      <c r="AA439" s="314">
        <v>1.4549000000000001</v>
      </c>
      <c r="AB439" s="314">
        <v>1.5268999999999999</v>
      </c>
      <c r="AC439" s="314">
        <v>1.3905000000000001</v>
      </c>
      <c r="AD439" s="314">
        <v>1.4675</v>
      </c>
      <c r="AE439" s="314">
        <v>1.4236</v>
      </c>
      <c r="AF439" s="314">
        <v>0</v>
      </c>
      <c r="AG439" s="314">
        <v>1.3817999999999999</v>
      </c>
      <c r="AH439" s="314">
        <v>1.4335</v>
      </c>
      <c r="AI439" s="314">
        <v>1.4704999999999999</v>
      </c>
      <c r="AJ439" s="314">
        <v>1.4673</v>
      </c>
      <c r="AK439" s="314">
        <v>1.4541999999999999</v>
      </c>
      <c r="AL439" s="314">
        <v>1.3972</v>
      </c>
      <c r="AM439" s="314">
        <v>1.6093</v>
      </c>
      <c r="AN439" s="314">
        <v>1.5507</v>
      </c>
      <c r="AO439" s="314">
        <v>1.4771000000000001</v>
      </c>
      <c r="AP439" s="314">
        <v>1.6153</v>
      </c>
      <c r="AQ439" s="314">
        <v>0</v>
      </c>
      <c r="AR439" s="314">
        <v>1.4396</v>
      </c>
      <c r="AS439" s="314">
        <v>1.3009999999999999</v>
      </c>
      <c r="AT439" s="314">
        <v>1.5130999999999999</v>
      </c>
      <c r="AU439" s="314">
        <v>1.5904</v>
      </c>
      <c r="AV439" s="314">
        <v>1.6355999999999999</v>
      </c>
      <c r="AW439" s="314">
        <v>1.5002</v>
      </c>
      <c r="AX439" s="314">
        <v>1.3301000000000001</v>
      </c>
      <c r="AY439" s="314">
        <v>1.4859</v>
      </c>
      <c r="AZ439" s="314">
        <v>1.4353</v>
      </c>
      <c r="BA439" s="314">
        <v>1.5157</v>
      </c>
      <c r="BB439" s="314">
        <v>1.4474</v>
      </c>
      <c r="BC439" s="314">
        <v>1.4371</v>
      </c>
      <c r="BD439" s="314">
        <v>1.5183</v>
      </c>
      <c r="BE439" s="314">
        <v>1.59</v>
      </c>
      <c r="BF439" s="314">
        <v>1.4861</v>
      </c>
      <c r="BG439" s="314">
        <v>1.5740000000000001</v>
      </c>
      <c r="BH439" s="314">
        <v>1.5477000000000001</v>
      </c>
      <c r="BI439" s="314">
        <v>1.6105</v>
      </c>
      <c r="BJ439" s="314">
        <v>1.6057999999999999</v>
      </c>
      <c r="BK439" s="314">
        <v>1.5056</v>
      </c>
    </row>
    <row r="440" spans="1:63" x14ac:dyDescent="0.25">
      <c r="A440" s="306">
        <v>213111</v>
      </c>
      <c r="B440" s="314" t="s">
        <v>20</v>
      </c>
      <c r="C440" s="314">
        <v>1.8387</v>
      </c>
      <c r="D440" s="314">
        <v>1.2321</v>
      </c>
      <c r="E440" s="314">
        <v>1.5467</v>
      </c>
      <c r="F440" s="314">
        <v>1.5246999999999999</v>
      </c>
      <c r="G440" s="314">
        <v>1.387</v>
      </c>
      <c r="H440" s="314">
        <v>1.496</v>
      </c>
      <c r="I440" s="314">
        <v>1.5163</v>
      </c>
      <c r="J440" s="314">
        <v>1.4568000000000001</v>
      </c>
      <c r="K440" s="314">
        <v>0</v>
      </c>
      <c r="L440" s="314">
        <v>1.4392</v>
      </c>
      <c r="M440" s="314">
        <v>1.3880999999999999</v>
      </c>
      <c r="N440" s="314">
        <v>1.5407</v>
      </c>
      <c r="O440" s="314">
        <v>0</v>
      </c>
      <c r="P440" s="314">
        <v>1.3832</v>
      </c>
      <c r="Q440" s="314">
        <v>1.3248</v>
      </c>
      <c r="R440" s="314">
        <v>1.6808000000000001</v>
      </c>
      <c r="S440" s="314">
        <v>1.5699000000000001</v>
      </c>
      <c r="T440" s="314">
        <v>1.464</v>
      </c>
      <c r="U440" s="314">
        <v>1.5584</v>
      </c>
      <c r="V440" s="314">
        <v>1.5598000000000001</v>
      </c>
      <c r="W440" s="314">
        <v>1.4607000000000001</v>
      </c>
      <c r="X440" s="314">
        <v>1.4004000000000001</v>
      </c>
      <c r="Y440" s="314">
        <v>1.339</v>
      </c>
      <c r="Z440" s="314">
        <v>1.5922000000000001</v>
      </c>
      <c r="AA440" s="314">
        <v>1.4981</v>
      </c>
      <c r="AB440" s="314">
        <v>1.5523</v>
      </c>
      <c r="AC440" s="314">
        <v>1.4714</v>
      </c>
      <c r="AD440" s="314">
        <v>1.3038000000000001</v>
      </c>
      <c r="AE440" s="314">
        <v>1.4759</v>
      </c>
      <c r="AF440" s="314">
        <v>1.286</v>
      </c>
      <c r="AG440" s="314">
        <v>1.3624000000000001</v>
      </c>
      <c r="AH440" s="314">
        <v>1.4335</v>
      </c>
      <c r="AI440" s="314">
        <v>1.5597000000000001</v>
      </c>
      <c r="AJ440" s="314">
        <v>1.3106</v>
      </c>
      <c r="AK440" s="314">
        <v>1.373</v>
      </c>
      <c r="AL440" s="314">
        <v>1.4066000000000001</v>
      </c>
      <c r="AM440" s="314">
        <v>1.6433</v>
      </c>
      <c r="AN440" s="314">
        <v>1.4895</v>
      </c>
      <c r="AO440" s="314">
        <v>1.4988999999999999</v>
      </c>
      <c r="AP440" s="314">
        <v>1.6847000000000001</v>
      </c>
      <c r="AQ440" s="314">
        <v>1.3742000000000001</v>
      </c>
      <c r="AR440" s="314">
        <v>1.5592999999999999</v>
      </c>
      <c r="AS440" s="314">
        <v>1.2825</v>
      </c>
      <c r="AT440" s="314">
        <v>1.5477000000000001</v>
      </c>
      <c r="AU440" s="314">
        <v>1.659</v>
      </c>
      <c r="AV440" s="314">
        <v>1.5588</v>
      </c>
      <c r="AW440" s="314">
        <v>1.4944</v>
      </c>
      <c r="AX440" s="314">
        <v>0</v>
      </c>
      <c r="AY440" s="314">
        <v>1.4431</v>
      </c>
      <c r="AZ440" s="314">
        <v>1.4794</v>
      </c>
      <c r="BA440" s="314">
        <v>1.4588000000000001</v>
      </c>
      <c r="BB440" s="314">
        <v>1.3075000000000001</v>
      </c>
      <c r="BC440" s="314">
        <v>1.4930000000000001</v>
      </c>
      <c r="BD440" s="314">
        <v>1.609</v>
      </c>
      <c r="BE440" s="314">
        <v>1.6860999999999999</v>
      </c>
      <c r="BF440" s="314">
        <v>1.5374000000000001</v>
      </c>
      <c r="BG440" s="314">
        <v>1.5523</v>
      </c>
      <c r="BH440" s="314">
        <v>1.6182000000000001</v>
      </c>
      <c r="BI440" s="314">
        <v>1.6910000000000001</v>
      </c>
      <c r="BJ440" s="314">
        <v>1.4855</v>
      </c>
      <c r="BK440" s="314">
        <v>1.5114000000000001</v>
      </c>
    </row>
    <row r="441" spans="1:63" x14ac:dyDescent="0.25">
      <c r="A441" s="306">
        <v>213112</v>
      </c>
      <c r="B441" s="314" t="s">
        <v>21</v>
      </c>
      <c r="C441" s="314">
        <v>1.8808</v>
      </c>
      <c r="D441" s="314">
        <v>1.3140000000000001</v>
      </c>
      <c r="E441" s="314">
        <v>1.532</v>
      </c>
      <c r="F441" s="314">
        <v>1.496</v>
      </c>
      <c r="G441" s="314">
        <v>1.4709000000000001</v>
      </c>
      <c r="H441" s="314">
        <v>1.6083000000000001</v>
      </c>
      <c r="I441" s="314">
        <v>1.6232</v>
      </c>
      <c r="J441" s="314">
        <v>1.5535000000000001</v>
      </c>
      <c r="K441" s="314">
        <v>0</v>
      </c>
      <c r="L441" s="314">
        <v>0</v>
      </c>
      <c r="M441" s="314">
        <v>1.4750000000000001</v>
      </c>
      <c r="N441" s="314">
        <v>1.5975999999999999</v>
      </c>
      <c r="O441" s="314">
        <v>1.3718999999999999</v>
      </c>
      <c r="P441" s="314">
        <v>1.3544</v>
      </c>
      <c r="Q441" s="314">
        <v>1.3575999999999999</v>
      </c>
      <c r="R441" s="314">
        <v>1.7211000000000001</v>
      </c>
      <c r="S441" s="314">
        <v>1.5226999999999999</v>
      </c>
      <c r="T441" s="314">
        <v>1.4677</v>
      </c>
      <c r="U441" s="314">
        <v>1.5346</v>
      </c>
      <c r="V441" s="314">
        <v>1.5250999999999999</v>
      </c>
      <c r="W441" s="314">
        <v>1.5922000000000001</v>
      </c>
      <c r="X441" s="314">
        <v>1.5016</v>
      </c>
      <c r="Y441" s="314">
        <v>0</v>
      </c>
      <c r="Z441" s="314">
        <v>1.607</v>
      </c>
      <c r="AA441" s="314">
        <v>1.5541</v>
      </c>
      <c r="AB441" s="314">
        <v>1.5918000000000001</v>
      </c>
      <c r="AC441" s="314">
        <v>1.4391</v>
      </c>
      <c r="AD441" s="314">
        <v>1.329</v>
      </c>
      <c r="AE441" s="314">
        <v>1.4985999999999999</v>
      </c>
      <c r="AF441" s="314">
        <v>1.3119000000000001</v>
      </c>
      <c r="AG441" s="314">
        <v>1.3765000000000001</v>
      </c>
      <c r="AH441" s="314">
        <v>0</v>
      </c>
      <c r="AI441" s="314">
        <v>1.6538999999999999</v>
      </c>
      <c r="AJ441" s="314">
        <v>1.3633999999999999</v>
      </c>
      <c r="AK441" s="314">
        <v>1.4457</v>
      </c>
      <c r="AL441" s="314">
        <v>1.5275000000000001</v>
      </c>
      <c r="AM441" s="314">
        <v>1.6217999999999999</v>
      </c>
      <c r="AN441" s="314">
        <v>1.5137</v>
      </c>
      <c r="AO441" s="314">
        <v>1.5286999999999999</v>
      </c>
      <c r="AP441" s="314">
        <v>1.7135</v>
      </c>
      <c r="AQ441" s="314">
        <v>0</v>
      </c>
      <c r="AR441" s="314">
        <v>1.5261</v>
      </c>
      <c r="AS441" s="314">
        <v>1.2770999999999999</v>
      </c>
      <c r="AT441" s="314">
        <v>1.5716000000000001</v>
      </c>
      <c r="AU441" s="314">
        <v>1.6758999999999999</v>
      </c>
      <c r="AV441" s="314">
        <v>1.6363000000000001</v>
      </c>
      <c r="AW441" s="314">
        <v>1.5539000000000001</v>
      </c>
      <c r="AX441" s="314">
        <v>0</v>
      </c>
      <c r="AY441" s="314">
        <v>1.5254000000000001</v>
      </c>
      <c r="AZ441" s="314">
        <v>1.5019</v>
      </c>
      <c r="BA441" s="314">
        <v>1.4307000000000001</v>
      </c>
      <c r="BB441" s="314">
        <v>1.3174999999999999</v>
      </c>
      <c r="BC441" s="314">
        <v>1.603</v>
      </c>
      <c r="BD441" s="314">
        <v>1.6862999999999999</v>
      </c>
      <c r="BE441" s="314">
        <v>1.6868000000000001</v>
      </c>
      <c r="BF441" s="314">
        <v>1.5527</v>
      </c>
      <c r="BG441" s="314">
        <v>1.6071</v>
      </c>
      <c r="BH441" s="314">
        <v>1.59</v>
      </c>
      <c r="BI441" s="314">
        <v>1.6884999999999999</v>
      </c>
      <c r="BJ441" s="314">
        <v>1.5711999999999999</v>
      </c>
      <c r="BK441" s="314">
        <v>1.6158999999999999</v>
      </c>
    </row>
    <row r="442" spans="1:63" x14ac:dyDescent="0.25">
      <c r="A442" s="306" t="s">
        <v>702</v>
      </c>
      <c r="B442" s="314" t="s">
        <v>22</v>
      </c>
      <c r="C442" s="314">
        <v>2.0988000000000002</v>
      </c>
      <c r="D442" s="314">
        <v>1.5585</v>
      </c>
      <c r="E442" s="314">
        <v>1.746</v>
      </c>
      <c r="F442" s="314">
        <v>1.5418000000000001</v>
      </c>
      <c r="G442" s="314">
        <v>1.6656</v>
      </c>
      <c r="H442" s="314">
        <v>1.73</v>
      </c>
      <c r="I442" s="314">
        <v>1.8282</v>
      </c>
      <c r="J442" s="314">
        <v>1.5824</v>
      </c>
      <c r="K442" s="314">
        <v>0</v>
      </c>
      <c r="L442" s="314">
        <v>0</v>
      </c>
      <c r="M442" s="314">
        <v>1.5750999999999999</v>
      </c>
      <c r="N442" s="314">
        <v>1.7533000000000001</v>
      </c>
      <c r="O442" s="314">
        <v>0</v>
      </c>
      <c r="P442" s="314">
        <v>1.3947000000000001</v>
      </c>
      <c r="Q442" s="314">
        <v>1.5225</v>
      </c>
      <c r="R442" s="314">
        <v>1.8301000000000001</v>
      </c>
      <c r="S442" s="314">
        <v>1.6395</v>
      </c>
      <c r="T442" s="314">
        <v>1.5501</v>
      </c>
      <c r="U442" s="314">
        <v>1.6972</v>
      </c>
      <c r="V442" s="314">
        <v>1.7209000000000001</v>
      </c>
      <c r="W442" s="314">
        <v>1.6843999999999999</v>
      </c>
      <c r="X442" s="314">
        <v>1.7310000000000001</v>
      </c>
      <c r="Y442" s="314">
        <v>0</v>
      </c>
      <c r="Z442" s="314">
        <v>1.788</v>
      </c>
      <c r="AA442" s="314">
        <v>1.6213</v>
      </c>
      <c r="AB442" s="314">
        <v>1.7244999999999999</v>
      </c>
      <c r="AC442" s="314">
        <v>1.5734999999999999</v>
      </c>
      <c r="AD442" s="314">
        <v>1.5327</v>
      </c>
      <c r="AE442" s="314">
        <v>1.5556000000000001</v>
      </c>
      <c r="AF442" s="314">
        <v>1.3853</v>
      </c>
      <c r="AG442" s="314">
        <v>1.4799</v>
      </c>
      <c r="AH442" s="314">
        <v>1.6464000000000001</v>
      </c>
      <c r="AI442" s="314">
        <v>1.7193000000000001</v>
      </c>
      <c r="AJ442" s="314">
        <v>1.5528</v>
      </c>
      <c r="AK442" s="314">
        <v>1.6202000000000001</v>
      </c>
      <c r="AL442" s="314">
        <v>1.5379</v>
      </c>
      <c r="AM442" s="314">
        <v>1.8082</v>
      </c>
      <c r="AN442" s="314">
        <v>1.7102999999999999</v>
      </c>
      <c r="AO442" s="314">
        <v>1.6733</v>
      </c>
      <c r="AP442" s="314">
        <v>1.9245000000000001</v>
      </c>
      <c r="AQ442" s="314">
        <v>0</v>
      </c>
      <c r="AR442" s="314">
        <v>1.7070000000000001</v>
      </c>
      <c r="AS442" s="314">
        <v>1.3193999999999999</v>
      </c>
      <c r="AT442" s="314">
        <v>1.7807999999999999</v>
      </c>
      <c r="AU442" s="314">
        <v>1.8369</v>
      </c>
      <c r="AV442" s="314">
        <v>1.8815999999999999</v>
      </c>
      <c r="AW442" s="314">
        <v>1.7410000000000001</v>
      </c>
      <c r="AX442" s="314">
        <v>1.4197</v>
      </c>
      <c r="AY442" s="314">
        <v>1.7332000000000001</v>
      </c>
      <c r="AZ442" s="314">
        <v>1.5701000000000001</v>
      </c>
      <c r="BA442" s="314">
        <v>1.6214999999999999</v>
      </c>
      <c r="BB442" s="314">
        <v>1.4902</v>
      </c>
      <c r="BC442" s="314">
        <v>1.6840999999999999</v>
      </c>
      <c r="BD442" s="314">
        <v>1.7855000000000001</v>
      </c>
      <c r="BE442" s="314">
        <v>1.8622000000000001</v>
      </c>
      <c r="BF442" s="314">
        <v>1.6234</v>
      </c>
      <c r="BG442" s="314">
        <v>1.8205</v>
      </c>
      <c r="BH442" s="314">
        <v>1.8369</v>
      </c>
      <c r="BI442" s="314">
        <v>1.8701000000000001</v>
      </c>
      <c r="BJ442" s="314">
        <v>1.7789999999999999</v>
      </c>
      <c r="BK442" s="314">
        <v>1.7608999999999999</v>
      </c>
    </row>
    <row r="443" spans="1:63" x14ac:dyDescent="0.25">
      <c r="A443" s="306" t="s">
        <v>602</v>
      </c>
      <c r="B443" s="314" t="s">
        <v>23</v>
      </c>
      <c r="C443" s="314">
        <v>1.5065999999999999</v>
      </c>
      <c r="D443" s="314">
        <v>1.2847</v>
      </c>
      <c r="E443" s="314">
        <v>1.3308</v>
      </c>
      <c r="F443" s="314">
        <v>1.2269000000000001</v>
      </c>
      <c r="G443" s="314">
        <v>1.2271000000000001</v>
      </c>
      <c r="H443" s="314">
        <v>1.2807999999999999</v>
      </c>
      <c r="I443" s="314">
        <v>1.4332</v>
      </c>
      <c r="J443" s="314">
        <v>1.1722999999999999</v>
      </c>
      <c r="K443" s="314">
        <v>1.1346000000000001</v>
      </c>
      <c r="L443" s="314">
        <v>1.1938</v>
      </c>
      <c r="M443" s="314">
        <v>1.1923999999999999</v>
      </c>
      <c r="N443" s="314">
        <v>1.2257</v>
      </c>
      <c r="O443" s="314">
        <v>1.1518999999999999</v>
      </c>
      <c r="P443" s="314">
        <v>1.1578999999999999</v>
      </c>
      <c r="Q443" s="314">
        <v>1.1737</v>
      </c>
      <c r="R443" s="314">
        <v>1.3465</v>
      </c>
      <c r="S443" s="314">
        <v>1.2999000000000001</v>
      </c>
      <c r="T443" s="314">
        <v>1.2462</v>
      </c>
      <c r="U443" s="314">
        <v>1.3284</v>
      </c>
      <c r="V443" s="314">
        <v>1.3202</v>
      </c>
      <c r="W443" s="314">
        <v>1.2029000000000001</v>
      </c>
      <c r="X443" s="314">
        <v>1.1961999999999999</v>
      </c>
      <c r="Y443" s="314">
        <v>1.1910000000000001</v>
      </c>
      <c r="Z443" s="314">
        <v>1.2011000000000001</v>
      </c>
      <c r="AA443" s="314">
        <v>1.2105999999999999</v>
      </c>
      <c r="AB443" s="314">
        <v>1.2766</v>
      </c>
      <c r="AC443" s="314">
        <v>1.2634000000000001</v>
      </c>
      <c r="AD443" s="314">
        <v>1.3279000000000001</v>
      </c>
      <c r="AE443" s="314">
        <v>1.1780999999999999</v>
      </c>
      <c r="AF443" s="314">
        <v>1.2990999999999999</v>
      </c>
      <c r="AG443" s="314">
        <v>1.1534</v>
      </c>
      <c r="AH443" s="314">
        <v>1.1545000000000001</v>
      </c>
      <c r="AI443" s="314">
        <v>1.2090000000000001</v>
      </c>
      <c r="AJ443" s="314">
        <v>1.3532999999999999</v>
      </c>
      <c r="AK443" s="314">
        <v>1.1659999999999999</v>
      </c>
      <c r="AL443" s="314">
        <v>1.1792</v>
      </c>
      <c r="AM443" s="314">
        <v>1.3185</v>
      </c>
      <c r="AN443" s="314">
        <v>1.3196000000000001</v>
      </c>
      <c r="AO443" s="314">
        <v>1.2014</v>
      </c>
      <c r="AP443" s="314">
        <v>1.3788</v>
      </c>
      <c r="AQ443" s="314">
        <v>1.1653</v>
      </c>
      <c r="AR443" s="314">
        <v>1.1937</v>
      </c>
      <c r="AS443" s="314">
        <v>1.1399999999999999</v>
      </c>
      <c r="AT443" s="314">
        <v>1.2336</v>
      </c>
      <c r="AU443" s="314">
        <v>1.3916999999999999</v>
      </c>
      <c r="AV443" s="314">
        <v>1.4059999999999999</v>
      </c>
      <c r="AW443" s="314">
        <v>1.3186</v>
      </c>
      <c r="AX443" s="314">
        <v>1.1539999999999999</v>
      </c>
      <c r="AY443" s="314">
        <v>1.218</v>
      </c>
      <c r="AZ443" s="314">
        <v>1.19</v>
      </c>
      <c r="BA443" s="314">
        <v>1.3463000000000001</v>
      </c>
      <c r="BB443" s="314">
        <v>1.3331999999999999</v>
      </c>
      <c r="BC443" s="314">
        <v>1.2024999999999999</v>
      </c>
      <c r="BD443" s="314">
        <v>1.2831999999999999</v>
      </c>
      <c r="BE443" s="314">
        <v>1.3153999999999999</v>
      </c>
      <c r="BF443" s="314">
        <v>1.2493000000000001</v>
      </c>
      <c r="BG443" s="314">
        <v>1.3391999999999999</v>
      </c>
      <c r="BH443" s="314">
        <v>1.3496999999999999</v>
      </c>
      <c r="BI443" s="314">
        <v>1.3841000000000001</v>
      </c>
      <c r="BJ443" s="314">
        <v>1.4249000000000001</v>
      </c>
      <c r="BK443" s="314">
        <v>1.2928999999999999</v>
      </c>
    </row>
    <row r="444" spans="1:63" x14ac:dyDescent="0.25">
      <c r="A444" s="306">
        <v>221200</v>
      </c>
      <c r="B444" s="314" t="s">
        <v>24</v>
      </c>
      <c r="C444" s="314">
        <v>2.0129999999999999</v>
      </c>
      <c r="D444" s="314">
        <v>1.7495000000000001</v>
      </c>
      <c r="E444" s="314">
        <v>1.4432</v>
      </c>
      <c r="F444" s="314">
        <v>1.4708000000000001</v>
      </c>
      <c r="G444" s="314">
        <v>1.1878</v>
      </c>
      <c r="H444" s="314">
        <v>1.5819000000000001</v>
      </c>
      <c r="I444" s="314">
        <v>1.8938999999999999</v>
      </c>
      <c r="J444" s="314">
        <v>1.2007000000000001</v>
      </c>
      <c r="K444" s="314">
        <v>1.0823</v>
      </c>
      <c r="L444" s="314">
        <v>1.1275999999999999</v>
      </c>
      <c r="M444" s="314">
        <v>1.1547000000000001</v>
      </c>
      <c r="N444" s="314">
        <v>1.2139</v>
      </c>
      <c r="O444" s="314">
        <v>1.1093999999999999</v>
      </c>
      <c r="P444" s="314">
        <v>1.2042999999999999</v>
      </c>
      <c r="Q444" s="314">
        <v>1.1839</v>
      </c>
      <c r="R444" s="314">
        <v>1.3051999999999999</v>
      </c>
      <c r="S444" s="314">
        <v>1.2553000000000001</v>
      </c>
      <c r="T444" s="314">
        <v>1.6215999999999999</v>
      </c>
      <c r="U444" s="314">
        <v>1.4378</v>
      </c>
      <c r="V444" s="314">
        <v>1.8314999999999999</v>
      </c>
      <c r="W444" s="314">
        <v>1.1860999999999999</v>
      </c>
      <c r="X444" s="314">
        <v>1.1456999999999999</v>
      </c>
      <c r="Y444" s="314">
        <v>1.2332000000000001</v>
      </c>
      <c r="Z444" s="314">
        <v>1.3037000000000001</v>
      </c>
      <c r="AA444" s="314">
        <v>1.2141</v>
      </c>
      <c r="AB444" s="314">
        <v>1.2162999999999999</v>
      </c>
      <c r="AC444" s="314">
        <v>1.579</v>
      </c>
      <c r="AD444" s="314">
        <v>1.6095999999999999</v>
      </c>
      <c r="AE444" s="314">
        <v>1.1645000000000001</v>
      </c>
      <c r="AF444" s="314">
        <v>1.5676000000000001</v>
      </c>
      <c r="AG444" s="314">
        <v>1.1793</v>
      </c>
      <c r="AH444" s="314">
        <v>1.1455</v>
      </c>
      <c r="AI444" s="314">
        <v>1.2047000000000001</v>
      </c>
      <c r="AJ444" s="314">
        <v>1.7156</v>
      </c>
      <c r="AK444" s="314">
        <v>1.1305000000000001</v>
      </c>
      <c r="AL444" s="314">
        <v>1.1692</v>
      </c>
      <c r="AM444" s="314">
        <v>1.4114</v>
      </c>
      <c r="AN444" s="314">
        <v>1.8418000000000001</v>
      </c>
      <c r="AO444" s="314">
        <v>1.139</v>
      </c>
      <c r="AP444" s="314">
        <v>1.4842</v>
      </c>
      <c r="AQ444" s="314">
        <v>1.1724000000000001</v>
      </c>
      <c r="AR444" s="314">
        <v>1.1712</v>
      </c>
      <c r="AS444" s="314">
        <v>1.1504000000000001</v>
      </c>
      <c r="AT444" s="314">
        <v>1.2857000000000001</v>
      </c>
      <c r="AU444" s="314">
        <v>1.9348000000000001</v>
      </c>
      <c r="AV444" s="314">
        <v>1.7074</v>
      </c>
      <c r="AW444" s="314">
        <v>1.2222</v>
      </c>
      <c r="AX444" s="314">
        <v>1.1214</v>
      </c>
      <c r="AY444" s="314">
        <v>1.1780999999999999</v>
      </c>
      <c r="AZ444" s="314">
        <v>1.2016</v>
      </c>
      <c r="BA444" s="314">
        <v>1.7384999999999999</v>
      </c>
      <c r="BB444" s="314">
        <v>1.7296</v>
      </c>
      <c r="BC444" s="314">
        <v>1.2050000000000001</v>
      </c>
      <c r="BD444" s="314">
        <v>1.272</v>
      </c>
      <c r="BE444" s="314">
        <v>1.3305</v>
      </c>
      <c r="BF444" s="314">
        <v>1.3233999999999999</v>
      </c>
      <c r="BG444" s="314">
        <v>1.2565</v>
      </c>
      <c r="BH444" s="314">
        <v>1.4574</v>
      </c>
      <c r="BI444" s="314">
        <v>1.9331</v>
      </c>
      <c r="BJ444" s="314">
        <v>1.8794999999999999</v>
      </c>
      <c r="BK444" s="314">
        <v>1.6052999999999999</v>
      </c>
    </row>
    <row r="445" spans="1:63" x14ac:dyDescent="0.25">
      <c r="A445" s="306">
        <v>221300</v>
      </c>
      <c r="B445" s="314" t="s">
        <v>703</v>
      </c>
      <c r="C445" s="314">
        <v>1.5389999999999999</v>
      </c>
      <c r="D445" s="314">
        <v>1.3394999999999999</v>
      </c>
      <c r="E445" s="314">
        <v>1.403</v>
      </c>
      <c r="F445" s="314">
        <v>1.3043</v>
      </c>
      <c r="G445" s="314">
        <v>1.4049</v>
      </c>
      <c r="H445" s="314">
        <v>1.4553</v>
      </c>
      <c r="I445" s="314">
        <v>1.4637</v>
      </c>
      <c r="J445" s="314">
        <v>1.3589</v>
      </c>
      <c r="K445" s="314">
        <v>1.2331000000000001</v>
      </c>
      <c r="L445" s="314">
        <v>1.3815</v>
      </c>
      <c r="M445" s="314">
        <v>1.4101999999999999</v>
      </c>
      <c r="N445" s="314">
        <v>1.4339999999999999</v>
      </c>
      <c r="O445" s="314">
        <v>1.3692</v>
      </c>
      <c r="P445" s="314">
        <v>1.2382</v>
      </c>
      <c r="Q445" s="314">
        <v>1.3229</v>
      </c>
      <c r="R445" s="314">
        <v>1.4498</v>
      </c>
      <c r="S445" s="314">
        <v>1.371</v>
      </c>
      <c r="T445" s="314">
        <v>1.3172999999999999</v>
      </c>
      <c r="U445" s="314">
        <v>1.3505</v>
      </c>
      <c r="V445" s="314">
        <v>1.3853</v>
      </c>
      <c r="W445" s="314">
        <v>1.4142999999999999</v>
      </c>
      <c r="X445" s="314">
        <v>1.4132</v>
      </c>
      <c r="Y445" s="314">
        <v>1.3439000000000001</v>
      </c>
      <c r="Z445" s="314">
        <v>1.3833</v>
      </c>
      <c r="AA445" s="314">
        <v>1.3589</v>
      </c>
      <c r="AB445" s="314">
        <v>1.4192</v>
      </c>
      <c r="AC445" s="314">
        <v>1.3349</v>
      </c>
      <c r="AD445" s="314">
        <v>1.3454999999999999</v>
      </c>
      <c r="AE445" s="314">
        <v>1.3569</v>
      </c>
      <c r="AF445" s="314">
        <v>1.2632000000000001</v>
      </c>
      <c r="AG445" s="314">
        <v>1.2592000000000001</v>
      </c>
      <c r="AH445" s="314">
        <v>1.3713</v>
      </c>
      <c r="AI445" s="314">
        <v>1.4271</v>
      </c>
      <c r="AJ445" s="314">
        <v>1.3481000000000001</v>
      </c>
      <c r="AK445" s="314">
        <v>1.3705000000000001</v>
      </c>
      <c r="AL445" s="314">
        <v>1.3488</v>
      </c>
      <c r="AM445" s="314">
        <v>1.3873</v>
      </c>
      <c r="AN445" s="314">
        <v>1.3826000000000001</v>
      </c>
      <c r="AO445" s="314">
        <v>1.3855999999999999</v>
      </c>
      <c r="AP445" s="314">
        <v>1.4572000000000001</v>
      </c>
      <c r="AQ445" s="314">
        <v>1.3606</v>
      </c>
      <c r="AR445" s="314">
        <v>1.4056</v>
      </c>
      <c r="AS445" s="314">
        <v>1.2276</v>
      </c>
      <c r="AT445" s="314">
        <v>1.4013</v>
      </c>
      <c r="AU445" s="314">
        <v>1.4853000000000001</v>
      </c>
      <c r="AV445" s="314">
        <v>1.4345000000000001</v>
      </c>
      <c r="AW445" s="314">
        <v>1.4297</v>
      </c>
      <c r="AX445" s="314">
        <v>1.3388</v>
      </c>
      <c r="AY445" s="314">
        <v>1.4174</v>
      </c>
      <c r="AZ445" s="314">
        <v>1.3533999999999999</v>
      </c>
      <c r="BA445" s="314">
        <v>1.3327</v>
      </c>
      <c r="BB445" s="314">
        <v>1.3057000000000001</v>
      </c>
      <c r="BC445" s="314">
        <v>1.4169</v>
      </c>
      <c r="BD445" s="314">
        <v>1.4226000000000001</v>
      </c>
      <c r="BE445" s="314">
        <v>1.4334</v>
      </c>
      <c r="BF445" s="314">
        <v>1.3559000000000001</v>
      </c>
      <c r="BG445" s="314">
        <v>1.4665999999999999</v>
      </c>
      <c r="BH445" s="314">
        <v>1.4202999999999999</v>
      </c>
      <c r="BI445" s="314">
        <v>1.4789000000000001</v>
      </c>
      <c r="BJ445" s="314">
        <v>1.4491000000000001</v>
      </c>
      <c r="BK445" s="314">
        <v>1.4669000000000001</v>
      </c>
    </row>
    <row r="446" spans="1:63" x14ac:dyDescent="0.25">
      <c r="A446" s="306">
        <v>230000</v>
      </c>
      <c r="B446" s="314" t="s">
        <v>426</v>
      </c>
      <c r="C446" s="314">
        <v>1.8395999999999999</v>
      </c>
      <c r="D446" s="314">
        <v>1.3433999999999999</v>
      </c>
      <c r="E446" s="314">
        <v>1.6178999999999999</v>
      </c>
      <c r="F446" s="314">
        <v>1.5306</v>
      </c>
      <c r="G446" s="314">
        <v>1.4952000000000001</v>
      </c>
      <c r="H446" s="314">
        <v>1.5609</v>
      </c>
      <c r="I446" s="314">
        <v>1.5575000000000001</v>
      </c>
      <c r="J446" s="314">
        <v>1.4560999999999999</v>
      </c>
      <c r="K446" s="314">
        <v>1.1739999999999999</v>
      </c>
      <c r="L446" s="314">
        <v>1.4212</v>
      </c>
      <c r="M446" s="314">
        <v>1.4903999999999999</v>
      </c>
      <c r="N446" s="314">
        <v>1.6496</v>
      </c>
      <c r="O446" s="314">
        <v>1.3717999999999999</v>
      </c>
      <c r="P446" s="314">
        <v>1.4224000000000001</v>
      </c>
      <c r="Q446" s="314">
        <v>1.4176</v>
      </c>
      <c r="R446" s="314">
        <v>1.6312</v>
      </c>
      <c r="S446" s="314">
        <v>1.605</v>
      </c>
      <c r="T446" s="314">
        <v>1.4935</v>
      </c>
      <c r="U446" s="314">
        <v>1.5835999999999999</v>
      </c>
      <c r="V446" s="314">
        <v>1.51</v>
      </c>
      <c r="W446" s="314">
        <v>1.4863999999999999</v>
      </c>
      <c r="X446" s="314">
        <v>1.4607000000000001</v>
      </c>
      <c r="Y446" s="314">
        <v>1.4579</v>
      </c>
      <c r="Z446" s="314">
        <v>1.5753999999999999</v>
      </c>
      <c r="AA446" s="314">
        <v>1.5370999999999999</v>
      </c>
      <c r="AB446" s="314">
        <v>1.6080000000000001</v>
      </c>
      <c r="AC446" s="314">
        <v>1.5385</v>
      </c>
      <c r="AD446" s="314">
        <v>1.4198</v>
      </c>
      <c r="AE446" s="314">
        <v>1.5608</v>
      </c>
      <c r="AF446" s="314">
        <v>1.3421000000000001</v>
      </c>
      <c r="AG446" s="314">
        <v>1.3625</v>
      </c>
      <c r="AH446" s="314">
        <v>1.5366</v>
      </c>
      <c r="AI446" s="314">
        <v>1.5435000000000001</v>
      </c>
      <c r="AJ446" s="314">
        <v>1.3933</v>
      </c>
      <c r="AK446" s="314">
        <v>1.4440999999999999</v>
      </c>
      <c r="AL446" s="314">
        <v>1.3883000000000001</v>
      </c>
      <c r="AM446" s="314">
        <v>1.6482000000000001</v>
      </c>
      <c r="AN446" s="314">
        <v>1.5430999999999999</v>
      </c>
      <c r="AO446" s="314">
        <v>1.5770999999999999</v>
      </c>
      <c r="AP446" s="314">
        <v>1.6853</v>
      </c>
      <c r="AQ446" s="314">
        <v>1.4146000000000001</v>
      </c>
      <c r="AR446" s="314">
        <v>1.6304000000000001</v>
      </c>
      <c r="AS446" s="314">
        <v>1.3478000000000001</v>
      </c>
      <c r="AT446" s="314">
        <v>1.6311</v>
      </c>
      <c r="AU446" s="314">
        <v>1.6672</v>
      </c>
      <c r="AV446" s="314">
        <v>1.6012999999999999</v>
      </c>
      <c r="AW446" s="314">
        <v>1.5587</v>
      </c>
      <c r="AX446" s="314">
        <v>1.4251</v>
      </c>
      <c r="AY446" s="314">
        <v>1.5648</v>
      </c>
      <c r="AZ446" s="314">
        <v>1.5596000000000001</v>
      </c>
      <c r="BA446" s="314">
        <v>1.4789000000000001</v>
      </c>
      <c r="BB446" s="314">
        <v>1.3524</v>
      </c>
      <c r="BC446" s="314">
        <v>1.538</v>
      </c>
      <c r="BD446" s="314">
        <v>1.5629</v>
      </c>
      <c r="BE446" s="314">
        <v>1.6937</v>
      </c>
      <c r="BF446" s="314">
        <v>1.5723</v>
      </c>
      <c r="BG446" s="314">
        <v>1.645</v>
      </c>
      <c r="BH446" s="314">
        <v>1.6806000000000001</v>
      </c>
      <c r="BI446" s="314">
        <v>1.6913</v>
      </c>
      <c r="BJ446" s="314">
        <v>1.5795999999999999</v>
      </c>
      <c r="BK446" s="314">
        <v>1.6101000000000001</v>
      </c>
    </row>
    <row r="447" spans="1:63" x14ac:dyDescent="0.25">
      <c r="A447" s="306">
        <v>311111</v>
      </c>
      <c r="B447" s="314" t="s">
        <v>25</v>
      </c>
      <c r="C447" s="314">
        <v>2.355</v>
      </c>
      <c r="D447" s="314">
        <v>1.1652</v>
      </c>
      <c r="E447" s="314">
        <v>1.6544000000000001</v>
      </c>
      <c r="F447" s="314">
        <v>2.0162</v>
      </c>
      <c r="G447" s="314">
        <v>1.4087000000000001</v>
      </c>
      <c r="H447" s="314">
        <v>1.5575000000000001</v>
      </c>
      <c r="I447" s="314">
        <v>1.7733000000000001</v>
      </c>
      <c r="J447" s="314">
        <v>0</v>
      </c>
      <c r="K447" s="314">
        <v>0</v>
      </c>
      <c r="L447" s="314">
        <v>1.4031</v>
      </c>
      <c r="M447" s="314">
        <v>1.3745000000000001</v>
      </c>
      <c r="N447" s="314">
        <v>1.7934000000000001</v>
      </c>
      <c r="O447" s="314">
        <v>1.3037000000000001</v>
      </c>
      <c r="P447" s="314">
        <v>1.8907</v>
      </c>
      <c r="Q447" s="314">
        <v>0</v>
      </c>
      <c r="R447" s="314">
        <v>2.1198000000000001</v>
      </c>
      <c r="S447" s="314">
        <v>2.0196999999999998</v>
      </c>
      <c r="T447" s="314">
        <v>1.8555999999999999</v>
      </c>
      <c r="U447" s="314">
        <v>2.0045999999999999</v>
      </c>
      <c r="V447" s="314">
        <v>0</v>
      </c>
      <c r="W447" s="314">
        <v>1.4614</v>
      </c>
      <c r="X447" s="314">
        <v>1.3997999999999999</v>
      </c>
      <c r="Y447" s="314">
        <v>0</v>
      </c>
      <c r="Z447" s="314">
        <v>1.6597999999999999</v>
      </c>
      <c r="AA447" s="314">
        <v>2.089</v>
      </c>
      <c r="AB447" s="314">
        <v>2.1579999999999999</v>
      </c>
      <c r="AC447" s="314">
        <v>1.8268</v>
      </c>
      <c r="AD447" s="314">
        <v>1.5456000000000001</v>
      </c>
      <c r="AE447" s="314">
        <v>1.7446999999999999</v>
      </c>
      <c r="AF447" s="314">
        <v>0</v>
      </c>
      <c r="AG447" s="314">
        <v>1.7965</v>
      </c>
      <c r="AH447" s="314">
        <v>1.3082</v>
      </c>
      <c r="AI447" s="314">
        <v>1.5772999999999999</v>
      </c>
      <c r="AJ447" s="314">
        <v>1.3096000000000001</v>
      </c>
      <c r="AK447" s="314">
        <v>1.3048</v>
      </c>
      <c r="AL447" s="314">
        <v>1.3805000000000001</v>
      </c>
      <c r="AM447" s="314">
        <v>1.9827999999999999</v>
      </c>
      <c r="AN447" s="314">
        <v>1.9072</v>
      </c>
      <c r="AO447" s="314">
        <v>1.6039000000000001</v>
      </c>
      <c r="AP447" s="314">
        <v>1.7185999999999999</v>
      </c>
      <c r="AQ447" s="314">
        <v>0</v>
      </c>
      <c r="AR447" s="314">
        <v>1.6434</v>
      </c>
      <c r="AS447" s="314">
        <v>1.694</v>
      </c>
      <c r="AT447" s="314">
        <v>1.8264</v>
      </c>
      <c r="AU447" s="314">
        <v>1.8070999999999999</v>
      </c>
      <c r="AV447" s="314">
        <v>1.6758</v>
      </c>
      <c r="AW447" s="314">
        <v>1.6053999999999999</v>
      </c>
      <c r="AX447" s="314">
        <v>1.2347999999999999</v>
      </c>
      <c r="AY447" s="314">
        <v>1.6843999999999999</v>
      </c>
      <c r="AZ447" s="314">
        <v>1.8502000000000001</v>
      </c>
      <c r="BA447" s="314">
        <v>1.4111</v>
      </c>
      <c r="BB447" s="314">
        <v>0</v>
      </c>
      <c r="BC447" s="314">
        <v>1.4785999999999999</v>
      </c>
      <c r="BD447" s="314">
        <v>1.5831999999999999</v>
      </c>
      <c r="BE447" s="314">
        <v>2.1474000000000002</v>
      </c>
      <c r="BF447" s="314">
        <v>2.1334</v>
      </c>
      <c r="BG447" s="314">
        <v>1.6568000000000001</v>
      </c>
      <c r="BH447" s="314">
        <v>1.9984</v>
      </c>
      <c r="BI447" s="314">
        <v>1.98</v>
      </c>
      <c r="BJ447" s="314">
        <v>1.7070000000000001</v>
      </c>
      <c r="BK447" s="314">
        <v>1.5932999999999999</v>
      </c>
    </row>
    <row r="448" spans="1:63" x14ac:dyDescent="0.25">
      <c r="A448" s="306">
        <v>311119</v>
      </c>
      <c r="B448" s="314" t="s">
        <v>26</v>
      </c>
      <c r="C448" s="314">
        <v>2.7269999999999999</v>
      </c>
      <c r="D448" s="314">
        <v>0</v>
      </c>
      <c r="E448" s="314">
        <v>1.7214</v>
      </c>
      <c r="F448" s="314">
        <v>2.3292999999999999</v>
      </c>
      <c r="G448" s="314">
        <v>1.4267000000000001</v>
      </c>
      <c r="H448" s="314">
        <v>1.6256999999999999</v>
      </c>
      <c r="I448" s="314">
        <v>1.9140999999999999</v>
      </c>
      <c r="J448" s="314">
        <v>1.407</v>
      </c>
      <c r="K448" s="314">
        <v>0</v>
      </c>
      <c r="L448" s="314">
        <v>1.5444</v>
      </c>
      <c r="M448" s="314">
        <v>1.3846000000000001</v>
      </c>
      <c r="N448" s="314">
        <v>1.9370000000000001</v>
      </c>
      <c r="O448" s="314">
        <v>0</v>
      </c>
      <c r="P448" s="314">
        <v>2.2208999999999999</v>
      </c>
      <c r="Q448" s="314">
        <v>1.9366000000000001</v>
      </c>
      <c r="R448" s="314">
        <v>2.4868999999999999</v>
      </c>
      <c r="S448" s="314">
        <v>2.3451</v>
      </c>
      <c r="T448" s="314">
        <v>2.1497000000000002</v>
      </c>
      <c r="U448" s="314">
        <v>2.3874</v>
      </c>
      <c r="V448" s="314">
        <v>1.9175</v>
      </c>
      <c r="W448" s="314">
        <v>1.4951000000000001</v>
      </c>
      <c r="X448" s="314">
        <v>1.4681</v>
      </c>
      <c r="Y448" s="314">
        <v>1.4427000000000001</v>
      </c>
      <c r="Z448" s="314">
        <v>1.8076000000000001</v>
      </c>
      <c r="AA448" s="314">
        <v>2.3818000000000001</v>
      </c>
      <c r="AB448" s="314">
        <v>2.5206</v>
      </c>
      <c r="AC448" s="314">
        <v>2.1785000000000001</v>
      </c>
      <c r="AD448" s="314">
        <v>1.9888999999999999</v>
      </c>
      <c r="AE448" s="314">
        <v>1.8812</v>
      </c>
      <c r="AF448" s="314">
        <v>2.1389999999999998</v>
      </c>
      <c r="AG448" s="314">
        <v>2.1728000000000001</v>
      </c>
      <c r="AH448" s="314">
        <v>1.3182</v>
      </c>
      <c r="AI448" s="314">
        <v>1.5589999999999999</v>
      </c>
      <c r="AJ448" s="314">
        <v>1.4750000000000001</v>
      </c>
      <c r="AK448" s="314">
        <v>1.3118000000000001</v>
      </c>
      <c r="AL448" s="314">
        <v>1.3829</v>
      </c>
      <c r="AM448" s="314">
        <v>2.2484999999999999</v>
      </c>
      <c r="AN448" s="314">
        <v>2.2669999999999999</v>
      </c>
      <c r="AO448" s="314">
        <v>1.6975</v>
      </c>
      <c r="AP448" s="314">
        <v>1.6855</v>
      </c>
      <c r="AQ448" s="314">
        <v>0</v>
      </c>
      <c r="AR448" s="314">
        <v>1.6617999999999999</v>
      </c>
      <c r="AS448" s="314">
        <v>2.0270000000000001</v>
      </c>
      <c r="AT448" s="314">
        <v>1.9803999999999999</v>
      </c>
      <c r="AU448" s="314">
        <v>1.9232</v>
      </c>
      <c r="AV448" s="314">
        <v>1.7475000000000001</v>
      </c>
      <c r="AW448" s="314">
        <v>1.5894999999999999</v>
      </c>
      <c r="AX448" s="314">
        <v>1.3227</v>
      </c>
      <c r="AY448" s="314">
        <v>1.9258999999999999</v>
      </c>
      <c r="AZ448" s="314">
        <v>2.0026000000000002</v>
      </c>
      <c r="BA448" s="314">
        <v>0</v>
      </c>
      <c r="BB448" s="314">
        <v>1.427</v>
      </c>
      <c r="BC448" s="314">
        <v>1.4944999999999999</v>
      </c>
      <c r="BD448" s="314">
        <v>1.61</v>
      </c>
      <c r="BE448" s="314">
        <v>2.4864999999999999</v>
      </c>
      <c r="BF448" s="314">
        <v>2.468</v>
      </c>
      <c r="BG448" s="314">
        <v>1.7000999999999999</v>
      </c>
      <c r="BH448" s="314">
        <v>2.2852999999999999</v>
      </c>
      <c r="BI448" s="314">
        <v>2.2526999999999999</v>
      </c>
      <c r="BJ448" s="314">
        <v>1.8816999999999999</v>
      </c>
      <c r="BK448" s="314">
        <v>1.6815</v>
      </c>
    </row>
    <row r="449" spans="1:63" x14ac:dyDescent="0.25">
      <c r="A449" s="306">
        <v>311210</v>
      </c>
      <c r="B449" s="314" t="s">
        <v>27</v>
      </c>
      <c r="C449" s="314">
        <v>2.4828999999999999</v>
      </c>
      <c r="D449" s="314">
        <v>0</v>
      </c>
      <c r="E449" s="314">
        <v>1.6948000000000001</v>
      </c>
      <c r="F449" s="314">
        <v>2.1053999999999999</v>
      </c>
      <c r="G449" s="314">
        <v>1.5961000000000001</v>
      </c>
      <c r="H449" s="314">
        <v>1.6603000000000001</v>
      </c>
      <c r="I449" s="314">
        <v>2.044</v>
      </c>
      <c r="J449" s="314">
        <v>0</v>
      </c>
      <c r="K449" s="314">
        <v>0</v>
      </c>
      <c r="L449" s="314">
        <v>0</v>
      </c>
      <c r="M449" s="314">
        <v>1.5687</v>
      </c>
      <c r="N449" s="314">
        <v>1.7623</v>
      </c>
      <c r="O449" s="314">
        <v>1.4569000000000001</v>
      </c>
      <c r="P449" s="314">
        <v>1.9934000000000001</v>
      </c>
      <c r="Q449" s="314">
        <v>1.9705999999999999</v>
      </c>
      <c r="R449" s="314">
        <v>2.3304999999999998</v>
      </c>
      <c r="S449" s="314">
        <v>2.2008000000000001</v>
      </c>
      <c r="T449" s="314">
        <v>2.0893999999999999</v>
      </c>
      <c r="U449" s="314">
        <v>2.1968000000000001</v>
      </c>
      <c r="V449" s="314">
        <v>2.1187</v>
      </c>
      <c r="W449" s="314">
        <v>1.5501</v>
      </c>
      <c r="X449" s="314">
        <v>1.6366000000000001</v>
      </c>
      <c r="Y449" s="314">
        <v>1.4815</v>
      </c>
      <c r="Z449" s="314">
        <v>1.9659</v>
      </c>
      <c r="AA449" s="314">
        <v>2.1926000000000001</v>
      </c>
      <c r="AB449" s="314">
        <v>2.2848000000000002</v>
      </c>
      <c r="AC449" s="314">
        <v>2.0861000000000001</v>
      </c>
      <c r="AD449" s="314">
        <v>1.9971000000000001</v>
      </c>
      <c r="AE449" s="314">
        <v>1.7656000000000001</v>
      </c>
      <c r="AF449" s="314">
        <v>1.9871000000000001</v>
      </c>
      <c r="AG449" s="314">
        <v>1.9897</v>
      </c>
      <c r="AH449" s="314">
        <v>0</v>
      </c>
      <c r="AI449" s="314">
        <v>1.6438999999999999</v>
      </c>
      <c r="AJ449" s="314">
        <v>0</v>
      </c>
      <c r="AK449" s="314">
        <v>0</v>
      </c>
      <c r="AL449" s="314">
        <v>1.5402</v>
      </c>
      <c r="AM449" s="314">
        <v>2.2210999999999999</v>
      </c>
      <c r="AN449" s="314">
        <v>2.0893999999999999</v>
      </c>
      <c r="AO449" s="314">
        <v>1.9067000000000001</v>
      </c>
      <c r="AP449" s="314">
        <v>1.7592000000000001</v>
      </c>
      <c r="AQ449" s="314">
        <v>1.4612000000000001</v>
      </c>
      <c r="AR449" s="314">
        <v>1.7015</v>
      </c>
      <c r="AS449" s="314">
        <v>0</v>
      </c>
      <c r="AT449" s="314">
        <v>1.9392</v>
      </c>
      <c r="AU449" s="314">
        <v>1.9959</v>
      </c>
      <c r="AV449" s="314">
        <v>1.7237</v>
      </c>
      <c r="AW449" s="314">
        <v>1.7034</v>
      </c>
      <c r="AX449" s="314">
        <v>0</v>
      </c>
      <c r="AY449" s="314">
        <v>2.0387</v>
      </c>
      <c r="AZ449" s="314">
        <v>2.1375999999999999</v>
      </c>
      <c r="BA449" s="314">
        <v>0</v>
      </c>
      <c r="BB449" s="314">
        <v>0</v>
      </c>
      <c r="BC449" s="314">
        <v>1.5689</v>
      </c>
      <c r="BD449" s="314">
        <v>1.6814</v>
      </c>
      <c r="BE449" s="314">
        <v>2.2970000000000002</v>
      </c>
      <c r="BF449" s="314">
        <v>2.2105999999999999</v>
      </c>
      <c r="BG449" s="314">
        <v>1.776</v>
      </c>
      <c r="BH449" s="314">
        <v>2.113</v>
      </c>
      <c r="BI449" s="314">
        <v>2.2519</v>
      </c>
      <c r="BJ449" s="314">
        <v>2.0089000000000001</v>
      </c>
      <c r="BK449" s="314">
        <v>1.7717000000000001</v>
      </c>
    </row>
    <row r="450" spans="1:63" x14ac:dyDescent="0.25">
      <c r="A450" s="306">
        <v>311221</v>
      </c>
      <c r="B450" s="314" t="s">
        <v>28</v>
      </c>
      <c r="C450" s="314">
        <v>2.5516000000000001</v>
      </c>
      <c r="D450" s="314">
        <v>0</v>
      </c>
      <c r="E450" s="314">
        <v>1.6903999999999999</v>
      </c>
      <c r="F450" s="314">
        <v>2.1909999999999998</v>
      </c>
      <c r="G450" s="314">
        <v>0</v>
      </c>
      <c r="H450" s="314">
        <v>1.6579999999999999</v>
      </c>
      <c r="I450" s="314">
        <v>2.0851999999999999</v>
      </c>
      <c r="J450" s="314">
        <v>0</v>
      </c>
      <c r="K450" s="314">
        <v>0</v>
      </c>
      <c r="L450" s="314">
        <v>0</v>
      </c>
      <c r="M450" s="314">
        <v>1.4540999999999999</v>
      </c>
      <c r="N450" s="314">
        <v>0</v>
      </c>
      <c r="O450" s="314">
        <v>0</v>
      </c>
      <c r="P450" s="314">
        <v>2.0240999999999998</v>
      </c>
      <c r="Q450" s="314">
        <v>2.0112999999999999</v>
      </c>
      <c r="R450" s="314">
        <v>2.3647</v>
      </c>
      <c r="S450" s="314">
        <v>2.2044999999999999</v>
      </c>
      <c r="T450" s="314">
        <v>2.1743000000000001</v>
      </c>
      <c r="U450" s="314">
        <v>0</v>
      </c>
      <c r="V450" s="314">
        <v>0</v>
      </c>
      <c r="W450" s="314">
        <v>0</v>
      </c>
      <c r="X450" s="314">
        <v>0</v>
      </c>
      <c r="Y450" s="314">
        <v>1.4568000000000001</v>
      </c>
      <c r="Z450" s="314">
        <v>0</v>
      </c>
      <c r="AA450" s="314">
        <v>2.2160000000000002</v>
      </c>
      <c r="AB450" s="314">
        <v>2.3239000000000001</v>
      </c>
      <c r="AC450" s="314">
        <v>0</v>
      </c>
      <c r="AD450" s="314">
        <v>0</v>
      </c>
      <c r="AE450" s="314">
        <v>1.7436</v>
      </c>
      <c r="AF450" s="314">
        <v>2.0640000000000001</v>
      </c>
      <c r="AG450" s="314">
        <v>0</v>
      </c>
      <c r="AH450" s="314">
        <v>0</v>
      </c>
      <c r="AI450" s="314">
        <v>1.6172</v>
      </c>
      <c r="AJ450" s="314">
        <v>0</v>
      </c>
      <c r="AK450" s="314">
        <v>0</v>
      </c>
      <c r="AL450" s="314">
        <v>0</v>
      </c>
      <c r="AM450" s="314">
        <v>2.2959999999999998</v>
      </c>
      <c r="AN450" s="314">
        <v>0</v>
      </c>
      <c r="AO450" s="314">
        <v>1.8658999999999999</v>
      </c>
      <c r="AP450" s="314">
        <v>1.7684</v>
      </c>
      <c r="AQ450" s="314">
        <v>0</v>
      </c>
      <c r="AR450" s="314">
        <v>1.6999</v>
      </c>
      <c r="AS450" s="314">
        <v>0</v>
      </c>
      <c r="AT450" s="314">
        <v>1.8597999999999999</v>
      </c>
      <c r="AU450" s="314">
        <v>2.0047999999999999</v>
      </c>
      <c r="AV450" s="314">
        <v>0</v>
      </c>
      <c r="AW450" s="314">
        <v>0</v>
      </c>
      <c r="AX450" s="314">
        <v>0</v>
      </c>
      <c r="AY450" s="314">
        <v>2.0009999999999999</v>
      </c>
      <c r="AZ450" s="314">
        <v>0</v>
      </c>
      <c r="BA450" s="314">
        <v>0</v>
      </c>
      <c r="BB450" s="314">
        <v>0</v>
      </c>
      <c r="BC450" s="314">
        <v>1.5296000000000001</v>
      </c>
      <c r="BD450" s="314">
        <v>1.6459999999999999</v>
      </c>
      <c r="BE450" s="314">
        <v>2.3441000000000001</v>
      </c>
      <c r="BF450" s="314">
        <v>2.2747000000000002</v>
      </c>
      <c r="BG450" s="314">
        <v>1.7045999999999999</v>
      </c>
      <c r="BH450" s="314">
        <v>2.1036000000000001</v>
      </c>
      <c r="BI450" s="314">
        <v>2.2907000000000002</v>
      </c>
      <c r="BJ450" s="314">
        <v>2.0680000000000001</v>
      </c>
      <c r="BK450" s="314">
        <v>1.7445999999999999</v>
      </c>
    </row>
    <row r="451" spans="1:63" x14ac:dyDescent="0.25">
      <c r="A451" s="306">
        <v>311225</v>
      </c>
      <c r="B451" s="314" t="s">
        <v>30</v>
      </c>
      <c r="C451" s="314">
        <v>2.8902999999999999</v>
      </c>
      <c r="D451" s="314">
        <v>0</v>
      </c>
      <c r="E451" s="314">
        <v>1.94</v>
      </c>
      <c r="F451" s="314">
        <v>2.5424000000000002</v>
      </c>
      <c r="G451" s="314">
        <v>1.4708000000000001</v>
      </c>
      <c r="H451" s="314">
        <v>1.6868000000000001</v>
      </c>
      <c r="I451" s="314">
        <v>1.5358000000000001</v>
      </c>
      <c r="J451" s="314">
        <v>1.3663000000000001</v>
      </c>
      <c r="K451" s="314">
        <v>0</v>
      </c>
      <c r="L451" s="314">
        <v>1.5787</v>
      </c>
      <c r="M451" s="314">
        <v>1.2529999999999999</v>
      </c>
      <c r="N451" s="314">
        <v>2.1295999999999999</v>
      </c>
      <c r="O451" s="314">
        <v>0</v>
      </c>
      <c r="P451" s="314">
        <v>2.1135000000000002</v>
      </c>
      <c r="Q451" s="314">
        <v>0</v>
      </c>
      <c r="R451" s="314">
        <v>2.7075999999999998</v>
      </c>
      <c r="S451" s="314">
        <v>2.5861999999999998</v>
      </c>
      <c r="T451" s="314">
        <v>2.1930999999999998</v>
      </c>
      <c r="U451" s="314">
        <v>2.5405000000000002</v>
      </c>
      <c r="V451" s="314">
        <v>1.9148000000000001</v>
      </c>
      <c r="W451" s="314">
        <v>1.5350999999999999</v>
      </c>
      <c r="X451" s="314">
        <v>1.4027000000000001</v>
      </c>
      <c r="Y451" s="314">
        <v>0</v>
      </c>
      <c r="Z451" s="314">
        <v>1.7128000000000001</v>
      </c>
      <c r="AA451" s="314">
        <v>2.6080999999999999</v>
      </c>
      <c r="AB451" s="314">
        <v>2.7012999999999998</v>
      </c>
      <c r="AC451" s="314">
        <v>0</v>
      </c>
      <c r="AD451" s="314">
        <v>1.8131999999999999</v>
      </c>
      <c r="AE451" s="314">
        <v>0</v>
      </c>
      <c r="AF451" s="314">
        <v>2.3746</v>
      </c>
      <c r="AG451" s="314">
        <v>2.0491999999999999</v>
      </c>
      <c r="AH451" s="314">
        <v>0</v>
      </c>
      <c r="AI451" s="314">
        <v>1.5994999999999999</v>
      </c>
      <c r="AJ451" s="314">
        <v>0</v>
      </c>
      <c r="AK451" s="314">
        <v>0</v>
      </c>
      <c r="AL451" s="314">
        <v>1.3119000000000001</v>
      </c>
      <c r="AM451" s="314">
        <v>2.1554000000000002</v>
      </c>
      <c r="AN451" s="314">
        <v>2.2595000000000001</v>
      </c>
      <c r="AO451" s="314">
        <v>1.6684000000000001</v>
      </c>
      <c r="AP451" s="314">
        <v>1.5913999999999999</v>
      </c>
      <c r="AQ451" s="314">
        <v>0</v>
      </c>
      <c r="AR451" s="314">
        <v>1.6500999999999999</v>
      </c>
      <c r="AS451" s="314">
        <v>1.9659</v>
      </c>
      <c r="AT451" s="314">
        <v>2.3008999999999999</v>
      </c>
      <c r="AU451" s="314">
        <v>1.85</v>
      </c>
      <c r="AV451" s="314">
        <v>0</v>
      </c>
      <c r="AW451" s="314">
        <v>1.5425</v>
      </c>
      <c r="AX451" s="314">
        <v>0</v>
      </c>
      <c r="AY451" s="314">
        <v>1.7598</v>
      </c>
      <c r="AZ451" s="314">
        <v>0</v>
      </c>
      <c r="BA451" s="314">
        <v>0</v>
      </c>
      <c r="BB451" s="314">
        <v>0</v>
      </c>
      <c r="BC451" s="314">
        <v>1.4518</v>
      </c>
      <c r="BD451" s="314">
        <v>1.5397000000000001</v>
      </c>
      <c r="BE451" s="314">
        <v>2.7128999999999999</v>
      </c>
      <c r="BF451" s="314">
        <v>2.6583000000000001</v>
      </c>
      <c r="BG451" s="314">
        <v>1.6251</v>
      </c>
      <c r="BH451" s="314">
        <v>2.5049999999999999</v>
      </c>
      <c r="BI451" s="314">
        <v>2.2890999999999999</v>
      </c>
      <c r="BJ451" s="314">
        <v>1.5719000000000001</v>
      </c>
      <c r="BK451" s="314">
        <v>1.6977</v>
      </c>
    </row>
    <row r="452" spans="1:63" x14ac:dyDescent="0.25">
      <c r="A452" s="306" t="s">
        <v>704</v>
      </c>
      <c r="B452" s="314" t="s">
        <v>29</v>
      </c>
      <c r="C452" s="314">
        <v>2.8531</v>
      </c>
      <c r="D452" s="314">
        <v>0</v>
      </c>
      <c r="E452" s="314">
        <v>1.5988</v>
      </c>
      <c r="F452" s="314">
        <v>2.5417999999999998</v>
      </c>
      <c r="G452" s="314">
        <v>1.3959999999999999</v>
      </c>
      <c r="H452" s="314">
        <v>1.4877</v>
      </c>
      <c r="I452" s="314">
        <v>2.0585</v>
      </c>
      <c r="J452" s="314">
        <v>0</v>
      </c>
      <c r="K452" s="314">
        <v>0</v>
      </c>
      <c r="L452" s="314">
        <v>0</v>
      </c>
      <c r="M452" s="314">
        <v>0</v>
      </c>
      <c r="N452" s="314">
        <v>1.6859999999999999</v>
      </c>
      <c r="O452" s="314">
        <v>1.2921</v>
      </c>
      <c r="P452" s="314">
        <v>2.3883999999999999</v>
      </c>
      <c r="Q452" s="314">
        <v>2.2197</v>
      </c>
      <c r="R452" s="314">
        <v>2.6522000000000001</v>
      </c>
      <c r="S452" s="314">
        <v>2.5144000000000002</v>
      </c>
      <c r="T452" s="314">
        <v>2.4049999999999998</v>
      </c>
      <c r="U452" s="314">
        <v>2.5305</v>
      </c>
      <c r="V452" s="314">
        <v>2.2888000000000002</v>
      </c>
      <c r="W452" s="314">
        <v>1.2807999999999999</v>
      </c>
      <c r="X452" s="314">
        <v>0</v>
      </c>
      <c r="Y452" s="314">
        <v>0</v>
      </c>
      <c r="Z452" s="314">
        <v>2.0152000000000001</v>
      </c>
      <c r="AA452" s="314">
        <v>2.5525000000000002</v>
      </c>
      <c r="AB452" s="314">
        <v>2.6669999999999998</v>
      </c>
      <c r="AC452" s="314">
        <v>2.4786000000000001</v>
      </c>
      <c r="AD452" s="314">
        <v>2.3342000000000001</v>
      </c>
      <c r="AE452" s="314">
        <v>1.7592000000000001</v>
      </c>
      <c r="AF452" s="314">
        <v>2.3799000000000001</v>
      </c>
      <c r="AG452" s="314">
        <v>2.3795000000000002</v>
      </c>
      <c r="AH452" s="314">
        <v>0</v>
      </c>
      <c r="AI452" s="314">
        <v>0</v>
      </c>
      <c r="AJ452" s="314">
        <v>0</v>
      </c>
      <c r="AK452" s="314">
        <v>1.2366999999999999</v>
      </c>
      <c r="AL452" s="314">
        <v>1.2745</v>
      </c>
      <c r="AM452" s="314">
        <v>2.496</v>
      </c>
      <c r="AN452" s="314">
        <v>2.5110999999999999</v>
      </c>
      <c r="AO452" s="314">
        <v>0</v>
      </c>
      <c r="AP452" s="314">
        <v>1.5158</v>
      </c>
      <c r="AQ452" s="314">
        <v>0</v>
      </c>
      <c r="AR452" s="314">
        <v>1.6503000000000001</v>
      </c>
      <c r="AS452" s="314">
        <v>2.2728999999999999</v>
      </c>
      <c r="AT452" s="314">
        <v>1.9639</v>
      </c>
      <c r="AU452" s="314">
        <v>1.9342999999999999</v>
      </c>
      <c r="AV452" s="314">
        <v>1.4855</v>
      </c>
      <c r="AW452" s="314">
        <v>0</v>
      </c>
      <c r="AX452" s="314">
        <v>1.2403</v>
      </c>
      <c r="AY452" s="314">
        <v>2.1246</v>
      </c>
      <c r="AZ452" s="314">
        <v>2.3210999999999999</v>
      </c>
      <c r="BA452" s="314">
        <v>0</v>
      </c>
      <c r="BB452" s="314">
        <v>0</v>
      </c>
      <c r="BC452" s="314">
        <v>1.2768999999999999</v>
      </c>
      <c r="BD452" s="314">
        <v>1.3805000000000001</v>
      </c>
      <c r="BE452" s="314">
        <v>2.6505999999999998</v>
      </c>
      <c r="BF452" s="314">
        <v>2.6135999999999999</v>
      </c>
      <c r="BG452" s="314">
        <v>1.5542</v>
      </c>
      <c r="BH452" s="314">
        <v>2.3359999999999999</v>
      </c>
      <c r="BI452" s="314">
        <v>2.4517000000000002</v>
      </c>
      <c r="BJ452" s="314">
        <v>2.0533999999999999</v>
      </c>
      <c r="BK452" s="314">
        <v>1.6056999999999999</v>
      </c>
    </row>
    <row r="453" spans="1:63" x14ac:dyDescent="0.25">
      <c r="A453" s="306">
        <v>311230</v>
      </c>
      <c r="B453" s="314" t="s">
        <v>31</v>
      </c>
      <c r="C453" s="314">
        <v>1.9878</v>
      </c>
      <c r="D453" s="314">
        <v>0</v>
      </c>
      <c r="E453" s="314">
        <v>0</v>
      </c>
      <c r="F453" s="314">
        <v>1.6781999999999999</v>
      </c>
      <c r="G453" s="314">
        <v>0</v>
      </c>
      <c r="H453" s="314">
        <v>1.4945999999999999</v>
      </c>
      <c r="I453" s="314">
        <v>1.4578</v>
      </c>
      <c r="J453" s="314">
        <v>1.3843000000000001</v>
      </c>
      <c r="K453" s="314">
        <v>0</v>
      </c>
      <c r="L453" s="314">
        <v>0</v>
      </c>
      <c r="M453" s="314">
        <v>0</v>
      </c>
      <c r="N453" s="314">
        <v>1.6614</v>
      </c>
      <c r="O453" s="314">
        <v>0</v>
      </c>
      <c r="P453" s="314">
        <v>1.5177</v>
      </c>
      <c r="Q453" s="314">
        <v>0</v>
      </c>
      <c r="R453" s="314">
        <v>1.7539</v>
      </c>
      <c r="S453" s="314">
        <v>0</v>
      </c>
      <c r="T453" s="314">
        <v>1.5209999999999999</v>
      </c>
      <c r="U453" s="314">
        <v>0</v>
      </c>
      <c r="V453" s="314">
        <v>0</v>
      </c>
      <c r="W453" s="314">
        <v>1.4328000000000001</v>
      </c>
      <c r="X453" s="314">
        <v>1.3638999999999999</v>
      </c>
      <c r="Y453" s="314">
        <v>0</v>
      </c>
      <c r="Z453" s="314">
        <v>1.5901000000000001</v>
      </c>
      <c r="AA453" s="314">
        <v>1.74</v>
      </c>
      <c r="AB453" s="314">
        <v>1.7101999999999999</v>
      </c>
      <c r="AC453" s="314">
        <v>0</v>
      </c>
      <c r="AD453" s="314">
        <v>1.3653</v>
      </c>
      <c r="AE453" s="314">
        <v>1.5619000000000001</v>
      </c>
      <c r="AF453" s="314">
        <v>0</v>
      </c>
      <c r="AG453" s="314">
        <v>1.5516000000000001</v>
      </c>
      <c r="AH453" s="314">
        <v>0</v>
      </c>
      <c r="AI453" s="314">
        <v>1.4530000000000001</v>
      </c>
      <c r="AJ453" s="314">
        <v>1.2257</v>
      </c>
      <c r="AK453" s="314">
        <v>1.2501</v>
      </c>
      <c r="AL453" s="314">
        <v>0</v>
      </c>
      <c r="AM453" s="314">
        <v>1.7062999999999999</v>
      </c>
      <c r="AN453" s="314">
        <v>0</v>
      </c>
      <c r="AO453" s="314">
        <v>1.4976</v>
      </c>
      <c r="AP453" s="314">
        <v>1.5150999999999999</v>
      </c>
      <c r="AQ453" s="314">
        <v>0</v>
      </c>
      <c r="AR453" s="314">
        <v>0</v>
      </c>
      <c r="AS453" s="314">
        <v>0</v>
      </c>
      <c r="AT453" s="314">
        <v>1.6304000000000001</v>
      </c>
      <c r="AU453" s="314">
        <v>1.5512999999999999</v>
      </c>
      <c r="AV453" s="314">
        <v>1.425</v>
      </c>
      <c r="AW453" s="314">
        <v>0</v>
      </c>
      <c r="AX453" s="314">
        <v>0</v>
      </c>
      <c r="AY453" s="314">
        <v>1.5212000000000001</v>
      </c>
      <c r="AZ453" s="314">
        <v>1.573</v>
      </c>
      <c r="BA453" s="314">
        <v>0</v>
      </c>
      <c r="BB453" s="314">
        <v>1.194</v>
      </c>
      <c r="BC453" s="314">
        <v>1.4225000000000001</v>
      </c>
      <c r="BD453" s="314">
        <v>1.4741</v>
      </c>
      <c r="BE453" s="314">
        <v>1.8113999999999999</v>
      </c>
      <c r="BF453" s="314">
        <v>1.7287999999999999</v>
      </c>
      <c r="BG453" s="314">
        <v>1.5713999999999999</v>
      </c>
      <c r="BH453" s="314">
        <v>1.6777</v>
      </c>
      <c r="BI453" s="314">
        <v>1.6792</v>
      </c>
      <c r="BJ453" s="314">
        <v>1.4496</v>
      </c>
      <c r="BK453" s="314">
        <v>1.5246999999999999</v>
      </c>
    </row>
    <row r="454" spans="1:63" x14ac:dyDescent="0.25">
      <c r="A454" s="306">
        <v>311313</v>
      </c>
      <c r="B454" s="314" t="s">
        <v>33</v>
      </c>
      <c r="C454" s="314">
        <v>2.6248999999999998</v>
      </c>
      <c r="D454" s="314">
        <v>0</v>
      </c>
      <c r="E454" s="314">
        <v>0</v>
      </c>
      <c r="F454" s="314">
        <v>0</v>
      </c>
      <c r="G454" s="314">
        <v>0</v>
      </c>
      <c r="H454" s="314">
        <v>2.2075</v>
      </c>
      <c r="I454" s="314">
        <v>2.1825000000000001</v>
      </c>
      <c r="J454" s="314">
        <v>0</v>
      </c>
      <c r="K454" s="314">
        <v>0</v>
      </c>
      <c r="L454" s="314">
        <v>0</v>
      </c>
      <c r="M454" s="314">
        <v>0</v>
      </c>
      <c r="N454" s="314">
        <v>0</v>
      </c>
      <c r="O454" s="314">
        <v>0</v>
      </c>
      <c r="P454" s="314">
        <v>0</v>
      </c>
      <c r="Q454" s="314">
        <v>1.9866999999999999</v>
      </c>
      <c r="R454" s="314">
        <v>0</v>
      </c>
      <c r="S454" s="314">
        <v>0</v>
      </c>
      <c r="T454" s="314">
        <v>0</v>
      </c>
      <c r="U454" s="314">
        <v>2.2406000000000001</v>
      </c>
      <c r="V454" s="314">
        <v>2.2528000000000001</v>
      </c>
      <c r="W454" s="314">
        <v>0</v>
      </c>
      <c r="X454" s="314">
        <v>0</v>
      </c>
      <c r="Y454" s="314">
        <v>0</v>
      </c>
      <c r="Z454" s="314">
        <v>2.0009999999999999</v>
      </c>
      <c r="AA454" s="314">
        <v>2.2321</v>
      </c>
      <c r="AB454" s="314">
        <v>0</v>
      </c>
      <c r="AC454" s="314">
        <v>0</v>
      </c>
      <c r="AD454" s="314">
        <v>2.0287999999999999</v>
      </c>
      <c r="AE454" s="314">
        <v>0</v>
      </c>
      <c r="AF454" s="314">
        <v>1.9939</v>
      </c>
      <c r="AG454" s="314">
        <v>2.0737000000000001</v>
      </c>
      <c r="AH454" s="314">
        <v>0</v>
      </c>
      <c r="AI454" s="314">
        <v>1.5722</v>
      </c>
      <c r="AJ454" s="314">
        <v>0</v>
      </c>
      <c r="AK454" s="314">
        <v>0</v>
      </c>
      <c r="AL454" s="314">
        <v>1.5275000000000001</v>
      </c>
      <c r="AM454" s="314">
        <v>1.7582</v>
      </c>
      <c r="AN454" s="314">
        <v>0</v>
      </c>
      <c r="AO454" s="314">
        <v>2.2393000000000001</v>
      </c>
      <c r="AP454" s="314">
        <v>0</v>
      </c>
      <c r="AQ454" s="314">
        <v>0</v>
      </c>
      <c r="AR454" s="314">
        <v>0</v>
      </c>
      <c r="AS454" s="314">
        <v>1.9032</v>
      </c>
      <c r="AT454" s="314">
        <v>0</v>
      </c>
      <c r="AU454" s="314">
        <v>0</v>
      </c>
      <c r="AV454" s="314">
        <v>0</v>
      </c>
      <c r="AW454" s="314">
        <v>0</v>
      </c>
      <c r="AX454" s="314">
        <v>0</v>
      </c>
      <c r="AY454" s="314">
        <v>0</v>
      </c>
      <c r="AZ454" s="314">
        <v>0</v>
      </c>
      <c r="BA454" s="314">
        <v>0</v>
      </c>
      <c r="BB454" s="314">
        <v>1.9342999999999999</v>
      </c>
      <c r="BC454" s="314">
        <v>0</v>
      </c>
      <c r="BD454" s="314">
        <v>1.6807000000000001</v>
      </c>
      <c r="BE454" s="314">
        <v>1.8569</v>
      </c>
      <c r="BF454" s="314">
        <v>2.286</v>
      </c>
      <c r="BG454" s="314">
        <v>0</v>
      </c>
      <c r="BH454" s="314">
        <v>2.137</v>
      </c>
      <c r="BI454" s="314">
        <v>2.411</v>
      </c>
      <c r="BJ454" s="314">
        <v>2.2393999999999998</v>
      </c>
      <c r="BK454" s="314">
        <v>2.2427000000000001</v>
      </c>
    </row>
    <row r="455" spans="1:63" x14ac:dyDescent="0.25">
      <c r="A455" s="306" t="s">
        <v>705</v>
      </c>
      <c r="B455" s="314" t="s">
        <v>32</v>
      </c>
      <c r="C455" s="314">
        <v>2.7435999999999998</v>
      </c>
      <c r="D455" s="314">
        <v>0</v>
      </c>
      <c r="E455" s="314">
        <v>1.6971000000000001</v>
      </c>
      <c r="F455" s="314">
        <v>0</v>
      </c>
      <c r="G455" s="314">
        <v>0</v>
      </c>
      <c r="H455" s="314">
        <v>2.1223999999999998</v>
      </c>
      <c r="I455" s="314">
        <v>0</v>
      </c>
      <c r="J455" s="314">
        <v>0</v>
      </c>
      <c r="K455" s="314">
        <v>0</v>
      </c>
      <c r="L455" s="314">
        <v>0</v>
      </c>
      <c r="M455" s="314">
        <v>2.0424000000000002</v>
      </c>
      <c r="N455" s="314">
        <v>2.222</v>
      </c>
      <c r="O455" s="314">
        <v>1.9511000000000001</v>
      </c>
      <c r="P455" s="314">
        <v>0</v>
      </c>
      <c r="Q455" s="314">
        <v>0</v>
      </c>
      <c r="R455" s="314">
        <v>1.5043</v>
      </c>
      <c r="S455" s="314">
        <v>0</v>
      </c>
      <c r="T455" s="314">
        <v>0</v>
      </c>
      <c r="U455" s="314">
        <v>0</v>
      </c>
      <c r="V455" s="314">
        <v>2.1791</v>
      </c>
      <c r="W455" s="314">
        <v>0</v>
      </c>
      <c r="X455" s="314">
        <v>1.6817</v>
      </c>
      <c r="Y455" s="314">
        <v>0</v>
      </c>
      <c r="Z455" s="314">
        <v>1.8626</v>
      </c>
      <c r="AA455" s="314">
        <v>0</v>
      </c>
      <c r="AB455" s="314">
        <v>0</v>
      </c>
      <c r="AC455" s="314">
        <v>0</v>
      </c>
      <c r="AD455" s="314">
        <v>0</v>
      </c>
      <c r="AE455" s="314">
        <v>0</v>
      </c>
      <c r="AF455" s="314">
        <v>0</v>
      </c>
      <c r="AG455" s="314">
        <v>1.7956000000000001</v>
      </c>
      <c r="AH455" s="314">
        <v>1.7694000000000001</v>
      </c>
      <c r="AI455" s="314">
        <v>0</v>
      </c>
      <c r="AJ455" s="314">
        <v>0</v>
      </c>
      <c r="AK455" s="314">
        <v>0</v>
      </c>
      <c r="AL455" s="314">
        <v>1.6005</v>
      </c>
      <c r="AM455" s="314">
        <v>1.5991</v>
      </c>
      <c r="AN455" s="314">
        <v>0</v>
      </c>
      <c r="AO455" s="314">
        <v>0</v>
      </c>
      <c r="AP455" s="314">
        <v>0</v>
      </c>
      <c r="AQ455" s="314">
        <v>0</v>
      </c>
      <c r="AR455" s="314">
        <v>0</v>
      </c>
      <c r="AS455" s="314">
        <v>0</v>
      </c>
      <c r="AT455" s="314">
        <v>1.4995000000000001</v>
      </c>
      <c r="AU455" s="314">
        <v>2.2810999999999999</v>
      </c>
      <c r="AV455" s="314">
        <v>0</v>
      </c>
      <c r="AW455" s="314">
        <v>0</v>
      </c>
      <c r="AX455" s="314">
        <v>0</v>
      </c>
      <c r="AY455" s="314">
        <v>0</v>
      </c>
      <c r="AZ455" s="314">
        <v>0</v>
      </c>
      <c r="BA455" s="314">
        <v>0</v>
      </c>
      <c r="BB455" s="314">
        <v>0</v>
      </c>
      <c r="BC455" s="314">
        <v>1.4390000000000001</v>
      </c>
      <c r="BD455" s="314">
        <v>1.5887</v>
      </c>
      <c r="BE455" s="314">
        <v>1.7674000000000001</v>
      </c>
      <c r="BF455" s="314">
        <v>1.9514</v>
      </c>
      <c r="BG455" s="314">
        <v>2.1457999999999999</v>
      </c>
      <c r="BH455" s="314">
        <v>1.6972</v>
      </c>
      <c r="BI455" s="314">
        <v>2.3106</v>
      </c>
      <c r="BJ455" s="314">
        <v>0</v>
      </c>
      <c r="BK455" s="314">
        <v>2.1646000000000001</v>
      </c>
    </row>
    <row r="456" spans="1:63" x14ac:dyDescent="0.25">
      <c r="A456" s="306">
        <v>311320</v>
      </c>
      <c r="B456" s="314" t="s">
        <v>34</v>
      </c>
      <c r="C456" s="314">
        <v>2.4464999999999999</v>
      </c>
      <c r="D456" s="314">
        <v>0</v>
      </c>
      <c r="E456" s="314">
        <v>0</v>
      </c>
      <c r="F456" s="314">
        <v>1.6484000000000001</v>
      </c>
      <c r="G456" s="314">
        <v>0</v>
      </c>
      <c r="H456" s="314">
        <v>1.9742</v>
      </c>
      <c r="I456" s="314">
        <v>1.6617999999999999</v>
      </c>
      <c r="J456" s="314">
        <v>1.5293000000000001</v>
      </c>
      <c r="K456" s="314">
        <v>0</v>
      </c>
      <c r="L456" s="314">
        <v>0</v>
      </c>
      <c r="M456" s="314">
        <v>1.6462000000000001</v>
      </c>
      <c r="N456" s="314">
        <v>1.8452</v>
      </c>
      <c r="O456" s="314">
        <v>0</v>
      </c>
      <c r="P456" s="314">
        <v>0</v>
      </c>
      <c r="Q456" s="314">
        <v>0</v>
      </c>
      <c r="R456" s="314">
        <v>1.8785000000000001</v>
      </c>
      <c r="S456" s="314">
        <v>0</v>
      </c>
      <c r="T456" s="314">
        <v>0</v>
      </c>
      <c r="U456" s="314">
        <v>0</v>
      </c>
      <c r="V456" s="314">
        <v>0</v>
      </c>
      <c r="W456" s="314">
        <v>1.6248</v>
      </c>
      <c r="X456" s="314">
        <v>1.5123</v>
      </c>
      <c r="Y456" s="314">
        <v>0</v>
      </c>
      <c r="Z456" s="314">
        <v>1.7935000000000001</v>
      </c>
      <c r="AA456" s="314">
        <v>1.8216000000000001</v>
      </c>
      <c r="AB456" s="314">
        <v>1.7730999999999999</v>
      </c>
      <c r="AC456" s="314">
        <v>0</v>
      </c>
      <c r="AD456" s="314">
        <v>0</v>
      </c>
      <c r="AE456" s="314">
        <v>0</v>
      </c>
      <c r="AF456" s="314">
        <v>0</v>
      </c>
      <c r="AG456" s="314">
        <v>0</v>
      </c>
      <c r="AH456" s="314">
        <v>1.6961999999999999</v>
      </c>
      <c r="AI456" s="314">
        <v>1.6619999999999999</v>
      </c>
      <c r="AJ456" s="314">
        <v>1.4443999999999999</v>
      </c>
      <c r="AK456" s="314">
        <v>1.4578</v>
      </c>
      <c r="AL456" s="314">
        <v>1.5550999999999999</v>
      </c>
      <c r="AM456" s="314">
        <v>1.7785</v>
      </c>
      <c r="AN456" s="314">
        <v>1.5297000000000001</v>
      </c>
      <c r="AO456" s="314">
        <v>1.7789999999999999</v>
      </c>
      <c r="AP456" s="314">
        <v>1.8669</v>
      </c>
      <c r="AQ456" s="314">
        <v>0</v>
      </c>
      <c r="AR456" s="314">
        <v>0</v>
      </c>
      <c r="AS456" s="314">
        <v>0</v>
      </c>
      <c r="AT456" s="314">
        <v>1.7206999999999999</v>
      </c>
      <c r="AU456" s="314">
        <v>1.7948999999999999</v>
      </c>
      <c r="AV456" s="314">
        <v>1.7004999999999999</v>
      </c>
      <c r="AW456" s="314">
        <v>0</v>
      </c>
      <c r="AX456" s="314">
        <v>0</v>
      </c>
      <c r="AY456" s="314">
        <v>1.7096</v>
      </c>
      <c r="AZ456" s="314">
        <v>1.8754</v>
      </c>
      <c r="BA456" s="314">
        <v>0</v>
      </c>
      <c r="BB456" s="314">
        <v>0</v>
      </c>
      <c r="BC456" s="314">
        <v>1.7383999999999999</v>
      </c>
      <c r="BD456" s="314">
        <v>1.8285</v>
      </c>
      <c r="BE456" s="314">
        <v>2.0352999999999999</v>
      </c>
      <c r="BF456" s="314">
        <v>1.8415999999999999</v>
      </c>
      <c r="BG456" s="314">
        <v>1.8361000000000001</v>
      </c>
      <c r="BH456" s="314">
        <v>1.7862</v>
      </c>
      <c r="BI456" s="314">
        <v>1.8382000000000001</v>
      </c>
      <c r="BJ456" s="314">
        <v>1.6673</v>
      </c>
      <c r="BK456" s="314">
        <v>1.9946999999999999</v>
      </c>
    </row>
    <row r="457" spans="1:63" x14ac:dyDescent="0.25">
      <c r="A457" s="306">
        <v>311330</v>
      </c>
      <c r="B457" s="314" t="s">
        <v>35</v>
      </c>
      <c r="C457" s="314">
        <v>2.1960999999999999</v>
      </c>
      <c r="D457" s="314">
        <v>1.1417999999999999</v>
      </c>
      <c r="E457" s="314">
        <v>1.5605</v>
      </c>
      <c r="F457" s="314">
        <v>1.5832999999999999</v>
      </c>
      <c r="G457" s="314">
        <v>1.3900999999999999</v>
      </c>
      <c r="H457" s="314">
        <v>1.7816000000000001</v>
      </c>
      <c r="I457" s="314">
        <v>1.5592999999999999</v>
      </c>
      <c r="J457" s="314">
        <v>1.5577000000000001</v>
      </c>
      <c r="K457" s="314">
        <v>1.0946</v>
      </c>
      <c r="L457" s="314">
        <v>1.37</v>
      </c>
      <c r="M457" s="314">
        <v>1.4924999999999999</v>
      </c>
      <c r="N457" s="314">
        <v>1.7450000000000001</v>
      </c>
      <c r="O457" s="314">
        <v>1.4494</v>
      </c>
      <c r="P457" s="314">
        <v>1.4669000000000001</v>
      </c>
      <c r="Q457" s="314">
        <v>1.4255</v>
      </c>
      <c r="R457" s="314">
        <v>1.8049999999999999</v>
      </c>
      <c r="S457" s="314">
        <v>1.6444000000000001</v>
      </c>
      <c r="T457" s="314">
        <v>1.506</v>
      </c>
      <c r="U457" s="314">
        <v>1.6568000000000001</v>
      </c>
      <c r="V457" s="314">
        <v>1.6061000000000001</v>
      </c>
      <c r="W457" s="314">
        <v>1.5954999999999999</v>
      </c>
      <c r="X457" s="314">
        <v>1.4518</v>
      </c>
      <c r="Y457" s="314">
        <v>1.4601999999999999</v>
      </c>
      <c r="Z457" s="314">
        <v>1.7182999999999999</v>
      </c>
      <c r="AA457" s="314">
        <v>1.7073</v>
      </c>
      <c r="AB457" s="314">
        <v>1.6574</v>
      </c>
      <c r="AC457" s="314">
        <v>1.4464999999999999</v>
      </c>
      <c r="AD457" s="314">
        <v>1.2652000000000001</v>
      </c>
      <c r="AE457" s="314">
        <v>1.6193</v>
      </c>
      <c r="AF457" s="314">
        <v>1.3731</v>
      </c>
      <c r="AG457" s="314">
        <v>1.4415</v>
      </c>
      <c r="AH457" s="314">
        <v>1.5892999999999999</v>
      </c>
      <c r="AI457" s="314">
        <v>1.6412</v>
      </c>
      <c r="AJ457" s="314">
        <v>1.3063</v>
      </c>
      <c r="AK457" s="314">
        <v>1.3660000000000001</v>
      </c>
      <c r="AL457" s="314">
        <v>1.4984</v>
      </c>
      <c r="AM457" s="314">
        <v>1.7644</v>
      </c>
      <c r="AN457" s="314">
        <v>0</v>
      </c>
      <c r="AO457" s="314">
        <v>1.6305000000000001</v>
      </c>
      <c r="AP457" s="314">
        <v>1.8176000000000001</v>
      </c>
      <c r="AQ457" s="314">
        <v>1.4540999999999999</v>
      </c>
      <c r="AR457" s="314">
        <v>1.5333000000000001</v>
      </c>
      <c r="AS457" s="314">
        <v>1.3467</v>
      </c>
      <c r="AT457" s="314">
        <v>1.6915</v>
      </c>
      <c r="AU457" s="314">
        <v>1.6624000000000001</v>
      </c>
      <c r="AV457" s="314">
        <v>1.6068</v>
      </c>
      <c r="AW457" s="314">
        <v>1.5951</v>
      </c>
      <c r="AX457" s="314">
        <v>1.2876000000000001</v>
      </c>
      <c r="AY457" s="314">
        <v>1.5911</v>
      </c>
      <c r="AZ457" s="314">
        <v>1.7968</v>
      </c>
      <c r="BA457" s="314">
        <v>1.3125</v>
      </c>
      <c r="BB457" s="314">
        <v>1.1919999999999999</v>
      </c>
      <c r="BC457" s="314">
        <v>1.6796</v>
      </c>
      <c r="BD457" s="314">
        <v>1.7681</v>
      </c>
      <c r="BE457" s="314">
        <v>1.9276</v>
      </c>
      <c r="BF457" s="314">
        <v>1.7165999999999999</v>
      </c>
      <c r="BG457" s="314">
        <v>1.7419</v>
      </c>
      <c r="BH457" s="314">
        <v>1.7087000000000001</v>
      </c>
      <c r="BI457" s="314">
        <v>1.7102999999999999</v>
      </c>
      <c r="BJ457" s="314">
        <v>1.526</v>
      </c>
      <c r="BK457" s="314">
        <v>1.8009999999999999</v>
      </c>
    </row>
    <row r="458" spans="1:63" x14ac:dyDescent="0.25">
      <c r="A458" s="306">
        <v>311340</v>
      </c>
      <c r="B458" s="314" t="s">
        <v>36</v>
      </c>
      <c r="C458" s="314">
        <v>2.3498000000000001</v>
      </c>
      <c r="D458" s="314">
        <v>1.1696</v>
      </c>
      <c r="E458" s="314">
        <v>1.7178</v>
      </c>
      <c r="F458" s="314">
        <v>1.7746999999999999</v>
      </c>
      <c r="G458" s="314">
        <v>1.4011</v>
      </c>
      <c r="H458" s="314">
        <v>1.7104999999999999</v>
      </c>
      <c r="I458" s="314">
        <v>1.5550999999999999</v>
      </c>
      <c r="J458" s="314">
        <v>1.6194999999999999</v>
      </c>
      <c r="K458" s="314">
        <v>0</v>
      </c>
      <c r="L458" s="314">
        <v>1.5266999999999999</v>
      </c>
      <c r="M458" s="314">
        <v>1.5109999999999999</v>
      </c>
      <c r="N458" s="314">
        <v>1.9120999999999999</v>
      </c>
      <c r="O458" s="314">
        <v>1.4245000000000001</v>
      </c>
      <c r="P458" s="314">
        <v>1.6674</v>
      </c>
      <c r="Q458" s="314">
        <v>1.4277</v>
      </c>
      <c r="R458" s="314">
        <v>1.9945999999999999</v>
      </c>
      <c r="S458" s="314">
        <v>1.8872</v>
      </c>
      <c r="T458" s="314">
        <v>1.6261000000000001</v>
      </c>
      <c r="U458" s="314">
        <v>1.8424</v>
      </c>
      <c r="V458" s="314">
        <v>1.7417</v>
      </c>
      <c r="W458" s="314">
        <v>1.6323000000000001</v>
      </c>
      <c r="X458" s="314">
        <v>1.5102</v>
      </c>
      <c r="Y458" s="314">
        <v>1.4913000000000001</v>
      </c>
      <c r="Z458" s="314">
        <v>1.7048000000000001</v>
      </c>
      <c r="AA458" s="314">
        <v>1.911</v>
      </c>
      <c r="AB458" s="314">
        <v>1.929</v>
      </c>
      <c r="AC458" s="314">
        <v>1.6157999999999999</v>
      </c>
      <c r="AD458" s="314">
        <v>1.3515999999999999</v>
      </c>
      <c r="AE458" s="314">
        <v>1.7665999999999999</v>
      </c>
      <c r="AF458" s="314">
        <v>0</v>
      </c>
      <c r="AG458" s="314">
        <v>1.5817000000000001</v>
      </c>
      <c r="AH458" s="314">
        <v>1.5527</v>
      </c>
      <c r="AI458" s="314">
        <v>1.7382</v>
      </c>
      <c r="AJ458" s="314">
        <v>1.2754000000000001</v>
      </c>
      <c r="AK458" s="314">
        <v>1.3848</v>
      </c>
      <c r="AL458" s="314">
        <v>1.5174000000000001</v>
      </c>
      <c r="AM458" s="314">
        <v>1.9587000000000001</v>
      </c>
      <c r="AN458" s="314">
        <v>1.5621</v>
      </c>
      <c r="AO458" s="314">
        <v>1.6209</v>
      </c>
      <c r="AP458" s="314">
        <v>1.7779</v>
      </c>
      <c r="AQ458" s="314">
        <v>0</v>
      </c>
      <c r="AR458" s="314">
        <v>1.6680999999999999</v>
      </c>
      <c r="AS458" s="314">
        <v>1.4817</v>
      </c>
      <c r="AT458" s="314">
        <v>1.8191999999999999</v>
      </c>
      <c r="AU458" s="314">
        <v>1.7683</v>
      </c>
      <c r="AV458" s="314">
        <v>1.5822000000000001</v>
      </c>
      <c r="AW458" s="314">
        <v>1.6564000000000001</v>
      </c>
      <c r="AX458" s="314">
        <v>1.2673000000000001</v>
      </c>
      <c r="AY458" s="314">
        <v>1.6125</v>
      </c>
      <c r="AZ458" s="314">
        <v>1.7464</v>
      </c>
      <c r="BA458" s="314">
        <v>1.4225000000000001</v>
      </c>
      <c r="BB458" s="314">
        <v>1.2395</v>
      </c>
      <c r="BC458" s="314">
        <v>1.6698999999999999</v>
      </c>
      <c r="BD458" s="314">
        <v>1.7528999999999999</v>
      </c>
      <c r="BE458" s="314">
        <v>2.0699000000000001</v>
      </c>
      <c r="BF458" s="314">
        <v>1.9432</v>
      </c>
      <c r="BG458" s="314">
        <v>1.8314999999999999</v>
      </c>
      <c r="BH458" s="314">
        <v>1.9259999999999999</v>
      </c>
      <c r="BI458" s="314">
        <v>1.8721000000000001</v>
      </c>
      <c r="BJ458" s="314">
        <v>1.5227999999999999</v>
      </c>
      <c r="BK458" s="314">
        <v>1.7261</v>
      </c>
    </row>
    <row r="459" spans="1:63" x14ac:dyDescent="0.25">
      <c r="A459" s="306">
        <v>311410</v>
      </c>
      <c r="B459" s="314" t="s">
        <v>37</v>
      </c>
      <c r="C459" s="314">
        <v>2.4946999999999999</v>
      </c>
      <c r="D459" s="314">
        <v>0</v>
      </c>
      <c r="E459" s="314">
        <v>0</v>
      </c>
      <c r="F459" s="314">
        <v>2.0133999999999999</v>
      </c>
      <c r="G459" s="314">
        <v>1.4995000000000001</v>
      </c>
      <c r="H459" s="314">
        <v>1.8681000000000001</v>
      </c>
      <c r="I459" s="314">
        <v>1.8857999999999999</v>
      </c>
      <c r="J459" s="314">
        <v>1.5246</v>
      </c>
      <c r="K459" s="314">
        <v>0</v>
      </c>
      <c r="L459" s="314">
        <v>1.6639999999999999</v>
      </c>
      <c r="M459" s="314">
        <v>1.6099000000000001</v>
      </c>
      <c r="N459" s="314">
        <v>1.9137</v>
      </c>
      <c r="O459" s="314">
        <v>1.4621999999999999</v>
      </c>
      <c r="P459" s="314">
        <v>1.8714</v>
      </c>
      <c r="Q459" s="314">
        <v>1.8553999999999999</v>
      </c>
      <c r="R459" s="314">
        <v>1.982</v>
      </c>
      <c r="S459" s="314">
        <v>1.8880999999999999</v>
      </c>
      <c r="T459" s="314">
        <v>1.7850999999999999</v>
      </c>
      <c r="U459" s="314">
        <v>2.0386000000000002</v>
      </c>
      <c r="V459" s="314">
        <v>1.7372000000000001</v>
      </c>
      <c r="W459" s="314">
        <v>1.5663</v>
      </c>
      <c r="X459" s="314">
        <v>1.4924999999999999</v>
      </c>
      <c r="Y459" s="314">
        <v>1.6720999999999999</v>
      </c>
      <c r="Z459" s="314">
        <v>1.8943000000000001</v>
      </c>
      <c r="AA459" s="314">
        <v>2.1882999999999999</v>
      </c>
      <c r="AB459" s="314">
        <v>2.1145999999999998</v>
      </c>
      <c r="AC459" s="314">
        <v>1.8161</v>
      </c>
      <c r="AD459" s="314">
        <v>0</v>
      </c>
      <c r="AE459" s="314">
        <v>1.8749</v>
      </c>
      <c r="AF459" s="314">
        <v>1.6480999999999999</v>
      </c>
      <c r="AG459" s="314">
        <v>1.7783</v>
      </c>
      <c r="AH459" s="314">
        <v>1.4329000000000001</v>
      </c>
      <c r="AI459" s="314">
        <v>1.6937</v>
      </c>
      <c r="AJ459" s="314">
        <v>1.5755999999999999</v>
      </c>
      <c r="AK459" s="314">
        <v>1.42</v>
      </c>
      <c r="AL459" s="314">
        <v>1.5728</v>
      </c>
      <c r="AM459" s="314">
        <v>1.9617</v>
      </c>
      <c r="AN459" s="314">
        <v>1.7882</v>
      </c>
      <c r="AO459" s="314">
        <v>1.9044000000000001</v>
      </c>
      <c r="AP459" s="314">
        <v>1.9031</v>
      </c>
      <c r="AQ459" s="314">
        <v>1.4684999999999999</v>
      </c>
      <c r="AR459" s="314">
        <v>1.8078000000000001</v>
      </c>
      <c r="AS459" s="314">
        <v>1.7676000000000001</v>
      </c>
      <c r="AT459" s="314">
        <v>1.9063000000000001</v>
      </c>
      <c r="AU459" s="314">
        <v>1.8721000000000001</v>
      </c>
      <c r="AV459" s="314">
        <v>1.9006000000000001</v>
      </c>
      <c r="AW459" s="314">
        <v>1.6892</v>
      </c>
      <c r="AX459" s="314">
        <v>1.4213</v>
      </c>
      <c r="AY459" s="314">
        <v>1.8266</v>
      </c>
      <c r="AZ459" s="314">
        <v>2.1322999999999999</v>
      </c>
      <c r="BA459" s="314">
        <v>1.4251</v>
      </c>
      <c r="BB459" s="314">
        <v>0</v>
      </c>
      <c r="BC459" s="314">
        <v>1.6082000000000001</v>
      </c>
      <c r="BD459" s="314">
        <v>1.7381</v>
      </c>
      <c r="BE459" s="314">
        <v>2.1221000000000001</v>
      </c>
      <c r="BF459" s="314">
        <v>2.1692</v>
      </c>
      <c r="BG459" s="314">
        <v>1.8949</v>
      </c>
      <c r="BH459" s="314">
        <v>1.9944999999999999</v>
      </c>
      <c r="BI459" s="314">
        <v>2.0318000000000001</v>
      </c>
      <c r="BJ459" s="314">
        <v>1.9075</v>
      </c>
      <c r="BK459" s="314">
        <v>1.8939999999999999</v>
      </c>
    </row>
    <row r="460" spans="1:63" x14ac:dyDescent="0.25">
      <c r="A460" s="306">
        <v>311420</v>
      </c>
      <c r="B460" s="314" t="s">
        <v>38</v>
      </c>
      <c r="C460" s="314">
        <v>2.2999000000000001</v>
      </c>
      <c r="D460" s="314">
        <v>0</v>
      </c>
      <c r="E460" s="314">
        <v>1.6386000000000001</v>
      </c>
      <c r="F460" s="314">
        <v>1.8291999999999999</v>
      </c>
      <c r="G460" s="314">
        <v>1.5161</v>
      </c>
      <c r="H460" s="314">
        <v>1.8636999999999999</v>
      </c>
      <c r="I460" s="314">
        <v>1.7213000000000001</v>
      </c>
      <c r="J460" s="314">
        <v>1.5825</v>
      </c>
      <c r="K460" s="314">
        <v>0</v>
      </c>
      <c r="L460" s="314">
        <v>1.4810000000000001</v>
      </c>
      <c r="M460" s="314">
        <v>1.6627000000000001</v>
      </c>
      <c r="N460" s="314">
        <v>1.9006000000000001</v>
      </c>
      <c r="O460" s="314">
        <v>1.5347</v>
      </c>
      <c r="P460" s="314">
        <v>1.6333</v>
      </c>
      <c r="Q460" s="314">
        <v>1.5807</v>
      </c>
      <c r="R460" s="314">
        <v>1.8811</v>
      </c>
      <c r="S460" s="314">
        <v>1.8526</v>
      </c>
      <c r="T460" s="314">
        <v>1.5891999999999999</v>
      </c>
      <c r="U460" s="314">
        <v>1.8122</v>
      </c>
      <c r="V460" s="314">
        <v>1.6295999999999999</v>
      </c>
      <c r="W460" s="314">
        <v>1.6164000000000001</v>
      </c>
      <c r="X460" s="314">
        <v>1.5337000000000001</v>
      </c>
      <c r="Y460" s="314">
        <v>1.5927</v>
      </c>
      <c r="Z460" s="314">
        <v>1.7969999999999999</v>
      </c>
      <c r="AA460" s="314">
        <v>1.9175</v>
      </c>
      <c r="AB460" s="314">
        <v>1.8953</v>
      </c>
      <c r="AC460" s="314">
        <v>1.6222000000000001</v>
      </c>
      <c r="AD460" s="314">
        <v>1.3141</v>
      </c>
      <c r="AE460" s="314">
        <v>1.8083</v>
      </c>
      <c r="AF460" s="314">
        <v>1.4126000000000001</v>
      </c>
      <c r="AG460" s="314">
        <v>1.4759</v>
      </c>
      <c r="AH460" s="314">
        <v>1.4040999999999999</v>
      </c>
      <c r="AI460" s="314">
        <v>1.8415999999999999</v>
      </c>
      <c r="AJ460" s="314">
        <v>1.4446000000000001</v>
      </c>
      <c r="AK460" s="314">
        <v>1.4541999999999999</v>
      </c>
      <c r="AL460" s="314">
        <v>1.5639000000000001</v>
      </c>
      <c r="AM460" s="314">
        <v>1.9591000000000001</v>
      </c>
      <c r="AN460" s="314">
        <v>1.613</v>
      </c>
      <c r="AO460" s="314">
        <v>1.8123</v>
      </c>
      <c r="AP460" s="314">
        <v>1.9282999999999999</v>
      </c>
      <c r="AQ460" s="314">
        <v>1.5385</v>
      </c>
      <c r="AR460" s="314">
        <v>1.6978</v>
      </c>
      <c r="AS460" s="314">
        <v>0</v>
      </c>
      <c r="AT460" s="314">
        <v>1.7751999999999999</v>
      </c>
      <c r="AU460" s="314">
        <v>1.7231000000000001</v>
      </c>
      <c r="AV460" s="314">
        <v>1.6588000000000001</v>
      </c>
      <c r="AW460" s="314">
        <v>1.6930000000000001</v>
      </c>
      <c r="AX460" s="314">
        <v>1.3931</v>
      </c>
      <c r="AY460" s="314">
        <v>1.7782</v>
      </c>
      <c r="AZ460" s="314">
        <v>1.911</v>
      </c>
      <c r="BA460" s="314">
        <v>1.4521999999999999</v>
      </c>
      <c r="BB460" s="314">
        <v>0</v>
      </c>
      <c r="BC460" s="314">
        <v>1.6496</v>
      </c>
      <c r="BD460" s="314">
        <v>1.8182</v>
      </c>
      <c r="BE460" s="314">
        <v>2.0163000000000002</v>
      </c>
      <c r="BF460" s="314">
        <v>1.8892</v>
      </c>
      <c r="BG460" s="314">
        <v>1.9194</v>
      </c>
      <c r="BH460" s="314">
        <v>1.8653</v>
      </c>
      <c r="BI460" s="314">
        <v>1.8197000000000001</v>
      </c>
      <c r="BJ460" s="314">
        <v>1.73</v>
      </c>
      <c r="BK460" s="314">
        <v>1.8705000000000001</v>
      </c>
    </row>
    <row r="461" spans="1:63" x14ac:dyDescent="0.25">
      <c r="A461" s="306">
        <v>311513</v>
      </c>
      <c r="B461" s="314" t="s">
        <v>40</v>
      </c>
      <c r="C461" s="314">
        <v>2.9022000000000001</v>
      </c>
      <c r="D461" s="314">
        <v>0</v>
      </c>
      <c r="E461" s="314">
        <v>1.4180999999999999</v>
      </c>
      <c r="F461" s="314">
        <v>1.5161</v>
      </c>
      <c r="G461" s="314">
        <v>0</v>
      </c>
      <c r="H461" s="314">
        <v>2.5158</v>
      </c>
      <c r="I461" s="314">
        <v>2.3351000000000002</v>
      </c>
      <c r="J461" s="314">
        <v>1.4422999999999999</v>
      </c>
      <c r="K461" s="314">
        <v>0</v>
      </c>
      <c r="L461" s="314">
        <v>0</v>
      </c>
      <c r="M461" s="314">
        <v>1.4109</v>
      </c>
      <c r="N461" s="314">
        <v>1.62</v>
      </c>
      <c r="O461" s="314">
        <v>1.2564</v>
      </c>
      <c r="P461" s="314">
        <v>2.3660999999999999</v>
      </c>
      <c r="Q461" s="314">
        <v>2.4238</v>
      </c>
      <c r="R461" s="314">
        <v>1.8186</v>
      </c>
      <c r="S461" s="314">
        <v>2.2728000000000002</v>
      </c>
      <c r="T461" s="314">
        <v>0</v>
      </c>
      <c r="U461" s="314">
        <v>2.0684</v>
      </c>
      <c r="V461" s="314">
        <v>1.4704999999999999</v>
      </c>
      <c r="W461" s="314">
        <v>1.3672</v>
      </c>
      <c r="X461" s="314">
        <v>1.4650000000000001</v>
      </c>
      <c r="Y461" s="314">
        <v>1.9064000000000001</v>
      </c>
      <c r="Z461" s="314">
        <v>2.2136</v>
      </c>
      <c r="AA461" s="314">
        <v>2.6496</v>
      </c>
      <c r="AB461" s="314">
        <v>2.1856</v>
      </c>
      <c r="AC461" s="314">
        <v>0</v>
      </c>
      <c r="AD461" s="314">
        <v>0</v>
      </c>
      <c r="AE461" s="314">
        <v>1.6181000000000001</v>
      </c>
      <c r="AF461" s="314">
        <v>1.8069</v>
      </c>
      <c r="AG461" s="314">
        <v>1.9376</v>
      </c>
      <c r="AH461" s="314">
        <v>0</v>
      </c>
      <c r="AI461" s="314">
        <v>1.5394000000000001</v>
      </c>
      <c r="AJ461" s="314">
        <v>2.2829000000000002</v>
      </c>
      <c r="AK461" s="314">
        <v>0</v>
      </c>
      <c r="AL461" s="314">
        <v>1.9469000000000001</v>
      </c>
      <c r="AM461" s="314">
        <v>2.2505000000000002</v>
      </c>
      <c r="AN461" s="314">
        <v>1.6614</v>
      </c>
      <c r="AO461" s="314">
        <v>2.4076</v>
      </c>
      <c r="AP461" s="314">
        <v>2.5137</v>
      </c>
      <c r="AQ461" s="314">
        <v>1.3562000000000001</v>
      </c>
      <c r="AR461" s="314">
        <v>1.4204000000000001</v>
      </c>
      <c r="AS461" s="314">
        <v>2.3769999999999998</v>
      </c>
      <c r="AT461" s="314">
        <v>1.6577999999999999</v>
      </c>
      <c r="AU461" s="314">
        <v>1.7915000000000001</v>
      </c>
      <c r="AV461" s="314">
        <v>2.5985</v>
      </c>
      <c r="AW461" s="314">
        <v>0</v>
      </c>
      <c r="AX461" s="314">
        <v>2.3058000000000001</v>
      </c>
      <c r="AY461" s="314">
        <v>2.0531999999999999</v>
      </c>
      <c r="AZ461" s="314">
        <v>2.5924999999999998</v>
      </c>
      <c r="BA461" s="314">
        <v>0</v>
      </c>
      <c r="BB461" s="314">
        <v>0</v>
      </c>
      <c r="BC461" s="314">
        <v>1.6504000000000001</v>
      </c>
      <c r="BD461" s="314">
        <v>2.1193</v>
      </c>
      <c r="BE461" s="314">
        <v>2.7197</v>
      </c>
      <c r="BF461" s="314">
        <v>2.7031000000000001</v>
      </c>
      <c r="BG461" s="314">
        <v>1.5783</v>
      </c>
      <c r="BH461" s="314">
        <v>1.7272000000000001</v>
      </c>
      <c r="BI461" s="314">
        <v>1.7798</v>
      </c>
      <c r="BJ461" s="314">
        <v>2.5354999999999999</v>
      </c>
      <c r="BK461" s="314">
        <v>2.5261999999999998</v>
      </c>
    </row>
    <row r="462" spans="1:63" x14ac:dyDescent="0.25">
      <c r="A462" s="306">
        <v>311514</v>
      </c>
      <c r="B462" s="314" t="s">
        <v>41</v>
      </c>
      <c r="C462" s="314">
        <v>2.6475</v>
      </c>
      <c r="D462" s="314">
        <v>0</v>
      </c>
      <c r="E462" s="314">
        <v>0</v>
      </c>
      <c r="F462" s="314">
        <v>1.6088</v>
      </c>
      <c r="G462" s="314">
        <v>1.8888</v>
      </c>
      <c r="H462" s="314">
        <v>2.17</v>
      </c>
      <c r="I462" s="314">
        <v>1.9403999999999999</v>
      </c>
      <c r="J462" s="314">
        <v>0</v>
      </c>
      <c r="K462" s="314">
        <v>0</v>
      </c>
      <c r="L462" s="314">
        <v>0</v>
      </c>
      <c r="M462" s="314">
        <v>1.4549000000000001</v>
      </c>
      <c r="N462" s="314">
        <v>1.6927000000000001</v>
      </c>
      <c r="O462" s="314">
        <v>0</v>
      </c>
      <c r="P462" s="314">
        <v>2.1322999999999999</v>
      </c>
      <c r="Q462" s="314">
        <v>2.0183</v>
      </c>
      <c r="R462" s="314">
        <v>1.867</v>
      </c>
      <c r="S462" s="314">
        <v>2.1619000000000002</v>
      </c>
      <c r="T462" s="314">
        <v>1.9644999999999999</v>
      </c>
      <c r="U462" s="314">
        <v>1.9911000000000001</v>
      </c>
      <c r="V462" s="314">
        <v>1.5785</v>
      </c>
      <c r="W462" s="314">
        <v>1.4752000000000001</v>
      </c>
      <c r="X462" s="314">
        <v>1.5161</v>
      </c>
      <c r="Y462" s="314">
        <v>0</v>
      </c>
      <c r="Z462" s="314">
        <v>2.1402000000000001</v>
      </c>
      <c r="AA462" s="314">
        <v>2.3548</v>
      </c>
      <c r="AB462" s="314">
        <v>2.0476000000000001</v>
      </c>
      <c r="AC462" s="314">
        <v>0</v>
      </c>
      <c r="AD462" s="314">
        <v>0</v>
      </c>
      <c r="AE462" s="314">
        <v>0</v>
      </c>
      <c r="AF462" s="314">
        <v>0</v>
      </c>
      <c r="AG462" s="314">
        <v>1.7748999999999999</v>
      </c>
      <c r="AH462" s="314">
        <v>0</v>
      </c>
      <c r="AI462" s="314">
        <v>1.6162000000000001</v>
      </c>
      <c r="AJ462" s="314">
        <v>1.8365</v>
      </c>
      <c r="AK462" s="314">
        <v>0</v>
      </c>
      <c r="AL462" s="314">
        <v>1.7607999999999999</v>
      </c>
      <c r="AM462" s="314">
        <v>2.2248000000000001</v>
      </c>
      <c r="AN462" s="314">
        <v>1.6977</v>
      </c>
      <c r="AO462" s="314">
        <v>2.0289999999999999</v>
      </c>
      <c r="AP462" s="314">
        <v>2.1722000000000001</v>
      </c>
      <c r="AQ462" s="314">
        <v>0</v>
      </c>
      <c r="AR462" s="314">
        <v>0</v>
      </c>
      <c r="AS462" s="314">
        <v>1.9867999999999999</v>
      </c>
      <c r="AT462" s="314">
        <v>1.8141</v>
      </c>
      <c r="AU462" s="314">
        <v>1.8616999999999999</v>
      </c>
      <c r="AV462" s="314">
        <v>2.2387999999999999</v>
      </c>
      <c r="AW462" s="314">
        <v>1.7701</v>
      </c>
      <c r="AX462" s="314">
        <v>1.929</v>
      </c>
      <c r="AY462" s="314">
        <v>2.0777000000000001</v>
      </c>
      <c r="AZ462" s="314">
        <v>2.2725</v>
      </c>
      <c r="BA462" s="314">
        <v>0</v>
      </c>
      <c r="BB462" s="314">
        <v>0</v>
      </c>
      <c r="BC462" s="314">
        <v>1.6991000000000001</v>
      </c>
      <c r="BD462" s="314">
        <v>1.9574</v>
      </c>
      <c r="BE462" s="314">
        <v>2.4641999999999999</v>
      </c>
      <c r="BF462" s="314">
        <v>2.4058000000000002</v>
      </c>
      <c r="BG462" s="314">
        <v>1.7</v>
      </c>
      <c r="BH462" s="314">
        <v>1.8883000000000001</v>
      </c>
      <c r="BI462" s="314">
        <v>1.873</v>
      </c>
      <c r="BJ462" s="314">
        <v>2.1375000000000002</v>
      </c>
      <c r="BK462" s="314">
        <v>2.1772</v>
      </c>
    </row>
    <row r="463" spans="1:63" x14ac:dyDescent="0.25">
      <c r="A463" s="306" t="s">
        <v>706</v>
      </c>
      <c r="B463" s="314" t="s">
        <v>39</v>
      </c>
      <c r="C463" s="314">
        <v>2.5956999999999999</v>
      </c>
      <c r="D463" s="314">
        <v>0</v>
      </c>
      <c r="E463" s="314">
        <v>1.5357000000000001</v>
      </c>
      <c r="F463" s="314">
        <v>1.5673999999999999</v>
      </c>
      <c r="G463" s="314">
        <v>1.8976</v>
      </c>
      <c r="H463" s="314">
        <v>2.2204000000000002</v>
      </c>
      <c r="I463" s="314">
        <v>2.0678999999999998</v>
      </c>
      <c r="J463" s="314">
        <v>1.4835</v>
      </c>
      <c r="K463" s="314">
        <v>0</v>
      </c>
      <c r="L463" s="314">
        <v>1.3946000000000001</v>
      </c>
      <c r="M463" s="314">
        <v>1.4810000000000001</v>
      </c>
      <c r="N463" s="314">
        <v>1.6337999999999999</v>
      </c>
      <c r="O463" s="314">
        <v>1.3563000000000001</v>
      </c>
      <c r="P463" s="314">
        <v>2.1804000000000001</v>
      </c>
      <c r="Q463" s="314">
        <v>2.1152000000000002</v>
      </c>
      <c r="R463" s="314">
        <v>1.7442</v>
      </c>
      <c r="S463" s="314">
        <v>2.2574999999999998</v>
      </c>
      <c r="T463" s="314">
        <v>2.0956000000000001</v>
      </c>
      <c r="U463" s="314">
        <v>1.9863999999999999</v>
      </c>
      <c r="V463" s="314">
        <v>1.5843</v>
      </c>
      <c r="W463" s="314">
        <v>1.4988999999999999</v>
      </c>
      <c r="X463" s="314">
        <v>1.5261</v>
      </c>
      <c r="Y463" s="314">
        <v>2.0445000000000002</v>
      </c>
      <c r="Z463" s="314">
        <v>2.1816</v>
      </c>
      <c r="AA463" s="314">
        <v>2.3285</v>
      </c>
      <c r="AB463" s="314">
        <v>1.9049</v>
      </c>
      <c r="AC463" s="314">
        <v>1.5750999999999999</v>
      </c>
      <c r="AD463" s="314">
        <v>1.6560999999999999</v>
      </c>
      <c r="AE463" s="314">
        <v>1.6916</v>
      </c>
      <c r="AF463" s="314">
        <v>1.8883000000000001</v>
      </c>
      <c r="AG463" s="314">
        <v>1.8788</v>
      </c>
      <c r="AH463" s="314">
        <v>1.6313</v>
      </c>
      <c r="AI463" s="314">
        <v>1.5113000000000001</v>
      </c>
      <c r="AJ463" s="314">
        <v>1.9609000000000001</v>
      </c>
      <c r="AK463" s="314">
        <v>1.5497000000000001</v>
      </c>
      <c r="AL463" s="314">
        <v>1.8398000000000001</v>
      </c>
      <c r="AM463" s="314">
        <v>2.1926000000000001</v>
      </c>
      <c r="AN463" s="314">
        <v>1.7361</v>
      </c>
      <c r="AO463" s="314">
        <v>2.1356000000000002</v>
      </c>
      <c r="AP463" s="314">
        <v>2.2711999999999999</v>
      </c>
      <c r="AQ463" s="314">
        <v>1.3922000000000001</v>
      </c>
      <c r="AR463" s="314">
        <v>1.5195000000000001</v>
      </c>
      <c r="AS463" s="314">
        <v>2.0512999999999999</v>
      </c>
      <c r="AT463" s="314">
        <v>1.7102999999999999</v>
      </c>
      <c r="AU463" s="314">
        <v>1.8244</v>
      </c>
      <c r="AV463" s="314">
        <v>2.2753000000000001</v>
      </c>
      <c r="AW463" s="314">
        <v>1.7135</v>
      </c>
      <c r="AX463" s="314">
        <v>2.0055000000000001</v>
      </c>
      <c r="AY463" s="314">
        <v>2.1688999999999998</v>
      </c>
      <c r="AZ463" s="314">
        <v>2.2812000000000001</v>
      </c>
      <c r="BA463" s="314">
        <v>1.4252</v>
      </c>
      <c r="BB463" s="314">
        <v>1.3238000000000001</v>
      </c>
      <c r="BC463" s="314">
        <v>1.7366999999999999</v>
      </c>
      <c r="BD463" s="314">
        <v>2.0122</v>
      </c>
      <c r="BE463" s="314">
        <v>2.4119000000000002</v>
      </c>
      <c r="BF463" s="314">
        <v>2.3706</v>
      </c>
      <c r="BG463" s="314">
        <v>1.6667000000000001</v>
      </c>
      <c r="BH463" s="314">
        <v>1.7902</v>
      </c>
      <c r="BI463" s="314">
        <v>1.8351</v>
      </c>
      <c r="BJ463" s="314">
        <v>2.2109000000000001</v>
      </c>
      <c r="BK463" s="314">
        <v>2.2360000000000002</v>
      </c>
    </row>
    <row r="464" spans="1:63" x14ac:dyDescent="0.25">
      <c r="A464" s="306">
        <v>311520</v>
      </c>
      <c r="B464" s="314" t="s">
        <v>42</v>
      </c>
      <c r="C464" s="314">
        <v>2.4771999999999998</v>
      </c>
      <c r="D464" s="314">
        <v>1.1900999999999999</v>
      </c>
      <c r="E464" s="314">
        <v>1.7548999999999999</v>
      </c>
      <c r="F464" s="314">
        <v>1.7653000000000001</v>
      </c>
      <c r="G464" s="314">
        <v>1.5330999999999999</v>
      </c>
      <c r="H464" s="314">
        <v>1.9973000000000001</v>
      </c>
      <c r="I464" s="314">
        <v>1.7868999999999999</v>
      </c>
      <c r="J464" s="314">
        <v>1.6395999999999999</v>
      </c>
      <c r="K464" s="314">
        <v>0</v>
      </c>
      <c r="L464" s="314">
        <v>0</v>
      </c>
      <c r="M464" s="314">
        <v>1.5548</v>
      </c>
      <c r="N464" s="314">
        <v>1.7961</v>
      </c>
      <c r="O464" s="314">
        <v>1.5219</v>
      </c>
      <c r="P464" s="314">
        <v>1.8796999999999999</v>
      </c>
      <c r="Q464" s="314">
        <v>0</v>
      </c>
      <c r="R464" s="314">
        <v>1.9054</v>
      </c>
      <c r="S464" s="314">
        <v>2.0091999999999999</v>
      </c>
      <c r="T464" s="314">
        <v>0</v>
      </c>
      <c r="U464" s="314">
        <v>1.9762</v>
      </c>
      <c r="V464" s="314">
        <v>0</v>
      </c>
      <c r="W464" s="314">
        <v>1.748</v>
      </c>
      <c r="X464" s="314">
        <v>1.6677</v>
      </c>
      <c r="Y464" s="314">
        <v>1.7204999999999999</v>
      </c>
      <c r="Z464" s="314">
        <v>1.9737</v>
      </c>
      <c r="AA464" s="314">
        <v>2.0707</v>
      </c>
      <c r="AB464" s="314">
        <v>1.9976</v>
      </c>
      <c r="AC464" s="314">
        <v>1.6136999999999999</v>
      </c>
      <c r="AD464" s="314">
        <v>1.4369000000000001</v>
      </c>
      <c r="AE464" s="314">
        <v>1.732</v>
      </c>
      <c r="AF464" s="314">
        <v>0</v>
      </c>
      <c r="AG464" s="314">
        <v>1.6589</v>
      </c>
      <c r="AH464" s="314">
        <v>1.6093999999999999</v>
      </c>
      <c r="AI464" s="314">
        <v>1.7525999999999999</v>
      </c>
      <c r="AJ464" s="314">
        <v>0</v>
      </c>
      <c r="AK464" s="314">
        <v>1.5232000000000001</v>
      </c>
      <c r="AL464" s="314">
        <v>1.7001999999999999</v>
      </c>
      <c r="AM464" s="314">
        <v>2.1432000000000002</v>
      </c>
      <c r="AN464" s="314">
        <v>1.6214999999999999</v>
      </c>
      <c r="AO464" s="314">
        <v>1.9086000000000001</v>
      </c>
      <c r="AP464" s="314">
        <v>2.0720999999999998</v>
      </c>
      <c r="AQ464" s="314">
        <v>1.5318000000000001</v>
      </c>
      <c r="AR464" s="314">
        <v>1.6597</v>
      </c>
      <c r="AS464" s="314">
        <v>1.6491</v>
      </c>
      <c r="AT464" s="314">
        <v>1.8672</v>
      </c>
      <c r="AU464" s="314">
        <v>1.8089</v>
      </c>
      <c r="AV464" s="314">
        <v>1.9939</v>
      </c>
      <c r="AW464" s="314">
        <v>1.7775000000000001</v>
      </c>
      <c r="AX464" s="314">
        <v>1.6476</v>
      </c>
      <c r="AY464" s="314">
        <v>1.8290999999999999</v>
      </c>
      <c r="AZ464" s="314">
        <v>2.0726</v>
      </c>
      <c r="BA464" s="314">
        <v>1.4145000000000001</v>
      </c>
      <c r="BB464" s="314">
        <v>0</v>
      </c>
      <c r="BC464" s="314">
        <v>1.8414999999999999</v>
      </c>
      <c r="BD464" s="314">
        <v>1.9412</v>
      </c>
      <c r="BE464" s="314">
        <v>2.2368000000000001</v>
      </c>
      <c r="BF464" s="314">
        <v>2.1093000000000002</v>
      </c>
      <c r="BG464" s="314">
        <v>1.8768</v>
      </c>
      <c r="BH464" s="314">
        <v>1.9730000000000001</v>
      </c>
      <c r="BI464" s="314">
        <v>1.8715999999999999</v>
      </c>
      <c r="BJ464" s="314">
        <v>1.8251999999999999</v>
      </c>
      <c r="BK464" s="314">
        <v>2.0101</v>
      </c>
    </row>
    <row r="465" spans="1:63" x14ac:dyDescent="0.25">
      <c r="A465" s="306">
        <v>311615</v>
      </c>
      <c r="B465" s="314" t="s">
        <v>44</v>
      </c>
      <c r="C465" s="314">
        <v>2.9424999999999999</v>
      </c>
      <c r="D465" s="314">
        <v>1.1777</v>
      </c>
      <c r="E465" s="314">
        <v>2.3534999999999999</v>
      </c>
      <c r="F465" s="314">
        <v>2.6069</v>
      </c>
      <c r="G465" s="314">
        <v>1.3241000000000001</v>
      </c>
      <c r="H465" s="314">
        <v>1.6182000000000001</v>
      </c>
      <c r="I465" s="314">
        <v>1.6318999999999999</v>
      </c>
      <c r="J465" s="314">
        <v>1.4335</v>
      </c>
      <c r="K465" s="314">
        <v>0</v>
      </c>
      <c r="L465" s="314">
        <v>2.1787999999999998</v>
      </c>
      <c r="M465" s="314">
        <v>1.4069</v>
      </c>
      <c r="N465" s="314">
        <v>2.5363000000000002</v>
      </c>
      <c r="O465" s="314">
        <v>1.2830999999999999</v>
      </c>
      <c r="P465" s="314">
        <v>2.4376000000000002</v>
      </c>
      <c r="Q465" s="314">
        <v>1.3532</v>
      </c>
      <c r="R465" s="314">
        <v>1.595</v>
      </c>
      <c r="S465" s="314">
        <v>2.5097999999999998</v>
      </c>
      <c r="T465" s="314">
        <v>1.4756</v>
      </c>
      <c r="U465" s="314">
        <v>2.6396999999999999</v>
      </c>
      <c r="V465" s="314">
        <v>2.3393000000000002</v>
      </c>
      <c r="W465" s="314">
        <v>1.4096</v>
      </c>
      <c r="X465" s="314">
        <v>1.974</v>
      </c>
      <c r="Y465" s="314">
        <v>1.8926000000000001</v>
      </c>
      <c r="Z465" s="314">
        <v>1.5886</v>
      </c>
      <c r="AA465" s="314">
        <v>2.6728999999999998</v>
      </c>
      <c r="AB465" s="314">
        <v>2.7336</v>
      </c>
      <c r="AC465" s="314">
        <v>2.4624000000000001</v>
      </c>
      <c r="AD465" s="314">
        <v>1.2394000000000001</v>
      </c>
      <c r="AE465" s="314">
        <v>2.5004</v>
      </c>
      <c r="AF465" s="314">
        <v>0</v>
      </c>
      <c r="AG465" s="314">
        <v>1.8572</v>
      </c>
      <c r="AH465" s="314">
        <v>0</v>
      </c>
      <c r="AI465" s="314">
        <v>1.4858</v>
      </c>
      <c r="AJ465" s="314">
        <v>1.2689999999999999</v>
      </c>
      <c r="AK465" s="314">
        <v>0</v>
      </c>
      <c r="AL465" s="314">
        <v>1.3814</v>
      </c>
      <c r="AM465" s="314">
        <v>2.1495000000000002</v>
      </c>
      <c r="AN465" s="314">
        <v>2.5026000000000002</v>
      </c>
      <c r="AO465" s="314">
        <v>1.5571999999999999</v>
      </c>
      <c r="AP465" s="314">
        <v>2.0573999999999999</v>
      </c>
      <c r="AQ465" s="314">
        <v>1.3838999999999999</v>
      </c>
      <c r="AR465" s="314">
        <v>2.1772</v>
      </c>
      <c r="AS465" s="314">
        <v>2.2404000000000002</v>
      </c>
      <c r="AT465" s="314">
        <v>2.1177999999999999</v>
      </c>
      <c r="AU465" s="314">
        <v>2.0787</v>
      </c>
      <c r="AV465" s="314">
        <v>1.8456999999999999</v>
      </c>
      <c r="AW465" s="314">
        <v>2.2233999999999998</v>
      </c>
      <c r="AX465" s="314">
        <v>0</v>
      </c>
      <c r="AY465" s="314">
        <v>1.5677000000000001</v>
      </c>
      <c r="AZ465" s="314">
        <v>2.0059999999999998</v>
      </c>
      <c r="BA465" s="314">
        <v>1.9923999999999999</v>
      </c>
      <c r="BB465" s="314">
        <v>0</v>
      </c>
      <c r="BC465" s="314">
        <v>1.4683999999999999</v>
      </c>
      <c r="BD465" s="314">
        <v>1.5896999999999999</v>
      </c>
      <c r="BE465" s="314">
        <v>1.9976</v>
      </c>
      <c r="BF465" s="314">
        <v>2.6964000000000001</v>
      </c>
      <c r="BG465" s="314">
        <v>2.4043000000000001</v>
      </c>
      <c r="BH465" s="314">
        <v>2.6097999999999999</v>
      </c>
      <c r="BI465" s="314">
        <v>2.6284999999999998</v>
      </c>
      <c r="BJ465" s="314">
        <v>1.5044999999999999</v>
      </c>
      <c r="BK465" s="314">
        <v>1.6108</v>
      </c>
    </row>
    <row r="466" spans="1:63" x14ac:dyDescent="0.25">
      <c r="A466" s="306" t="s">
        <v>707</v>
      </c>
      <c r="B466" s="314" t="s">
        <v>43</v>
      </c>
      <c r="C466" s="314">
        <v>2.931</v>
      </c>
      <c r="D466" s="314">
        <v>1.1891</v>
      </c>
      <c r="E466" s="314">
        <v>1.8353999999999999</v>
      </c>
      <c r="F466" s="314">
        <v>2.6814</v>
      </c>
      <c r="G466" s="314">
        <v>1.6857</v>
      </c>
      <c r="H466" s="314">
        <v>1.5546</v>
      </c>
      <c r="I466" s="314">
        <v>2.6629</v>
      </c>
      <c r="J466" s="314">
        <v>1.2808999999999999</v>
      </c>
      <c r="K466" s="314">
        <v>0</v>
      </c>
      <c r="L466" s="314">
        <v>1.3009999999999999</v>
      </c>
      <c r="M466" s="314">
        <v>1.3501000000000001</v>
      </c>
      <c r="N466" s="314">
        <v>1.6658999999999999</v>
      </c>
      <c r="O466" s="314">
        <v>1.3682000000000001</v>
      </c>
      <c r="P466" s="314">
        <v>2.5710999999999999</v>
      </c>
      <c r="Q466" s="314">
        <v>2.5581999999999998</v>
      </c>
      <c r="R466" s="314">
        <v>1.9792000000000001</v>
      </c>
      <c r="S466" s="314">
        <v>2.0377000000000001</v>
      </c>
      <c r="T466" s="314">
        <v>2.6589</v>
      </c>
      <c r="U466" s="314">
        <v>2.7591999999999999</v>
      </c>
      <c r="V466" s="314">
        <v>1.6369</v>
      </c>
      <c r="W466" s="314">
        <v>1.3414999999999999</v>
      </c>
      <c r="X466" s="314">
        <v>1.3048999999999999</v>
      </c>
      <c r="Y466" s="314">
        <v>1.4353</v>
      </c>
      <c r="Z466" s="314">
        <v>1.7077</v>
      </c>
      <c r="AA466" s="314">
        <v>2.7911999999999999</v>
      </c>
      <c r="AB466" s="314">
        <v>2.8012999999999999</v>
      </c>
      <c r="AC466" s="314">
        <v>2.1150000000000002</v>
      </c>
      <c r="AD466" s="314">
        <v>2.3068</v>
      </c>
      <c r="AE466" s="314">
        <v>2.0335000000000001</v>
      </c>
      <c r="AF466" s="314">
        <v>2.3216000000000001</v>
      </c>
      <c r="AG466" s="314">
        <v>2.5941000000000001</v>
      </c>
      <c r="AH466" s="314">
        <v>1.2637</v>
      </c>
      <c r="AI466" s="314">
        <v>1.4114</v>
      </c>
      <c r="AJ466" s="314">
        <v>2.0352999999999999</v>
      </c>
      <c r="AK466" s="314">
        <v>1.4165000000000001</v>
      </c>
      <c r="AL466" s="314">
        <v>1.2999000000000001</v>
      </c>
      <c r="AM466" s="314">
        <v>1.8351</v>
      </c>
      <c r="AN466" s="314">
        <v>2.7073999999999998</v>
      </c>
      <c r="AO466" s="314">
        <v>2.1547999999999998</v>
      </c>
      <c r="AP466" s="314">
        <v>1.7967</v>
      </c>
      <c r="AQ466" s="314">
        <v>1.3162</v>
      </c>
      <c r="AR466" s="314">
        <v>1.5545</v>
      </c>
      <c r="AS466" s="314">
        <v>2.5270999999999999</v>
      </c>
      <c r="AT466" s="314">
        <v>1.8524</v>
      </c>
      <c r="AU466" s="314">
        <v>2.6145999999999998</v>
      </c>
      <c r="AV466" s="314">
        <v>2.3153000000000001</v>
      </c>
      <c r="AW466" s="314">
        <v>1.6553</v>
      </c>
      <c r="AX466" s="314">
        <v>1.4794</v>
      </c>
      <c r="AY466" s="314">
        <v>1.764</v>
      </c>
      <c r="AZ466" s="314">
        <v>2.3578000000000001</v>
      </c>
      <c r="BA466" s="314">
        <v>1.5774999999999999</v>
      </c>
      <c r="BB466" s="314">
        <v>2.1080000000000001</v>
      </c>
      <c r="BC466" s="314">
        <v>1.3460000000000001</v>
      </c>
      <c r="BD466" s="314">
        <v>1.4641999999999999</v>
      </c>
      <c r="BE466" s="314">
        <v>2.0497999999999998</v>
      </c>
      <c r="BF466" s="314">
        <v>2.8</v>
      </c>
      <c r="BG466" s="314">
        <v>1.768</v>
      </c>
      <c r="BH466" s="314">
        <v>2.2787999999999999</v>
      </c>
      <c r="BI466" s="314">
        <v>2.7414999999999998</v>
      </c>
      <c r="BJ466" s="314">
        <v>2.4937</v>
      </c>
      <c r="BK466" s="314">
        <v>1.6195999999999999</v>
      </c>
    </row>
    <row r="467" spans="1:63" x14ac:dyDescent="0.25">
      <c r="A467" s="306">
        <v>311700</v>
      </c>
      <c r="B467" s="314" t="s">
        <v>45</v>
      </c>
      <c r="C467" s="314">
        <v>1.7398</v>
      </c>
      <c r="D467" s="314">
        <v>1.3233999999999999</v>
      </c>
      <c r="E467" s="314">
        <v>1.4621999999999999</v>
      </c>
      <c r="F467" s="314">
        <v>1.4553</v>
      </c>
      <c r="G467" s="314">
        <v>0</v>
      </c>
      <c r="H467" s="314">
        <v>1.4572000000000001</v>
      </c>
      <c r="I467" s="314">
        <v>1.4925999999999999</v>
      </c>
      <c r="J467" s="314">
        <v>1.4267000000000001</v>
      </c>
      <c r="K467" s="314">
        <v>0</v>
      </c>
      <c r="L467" s="314">
        <v>1.3955</v>
      </c>
      <c r="M467" s="314">
        <v>1.4251</v>
      </c>
      <c r="N467" s="314">
        <v>1.5142</v>
      </c>
      <c r="O467" s="314">
        <v>1.3515999999999999</v>
      </c>
      <c r="P467" s="314">
        <v>1.3438000000000001</v>
      </c>
      <c r="Q467" s="314">
        <v>1.4085000000000001</v>
      </c>
      <c r="R467" s="314">
        <v>1.5586</v>
      </c>
      <c r="S467" s="314">
        <v>1.4400999999999999</v>
      </c>
      <c r="T467" s="314">
        <v>0</v>
      </c>
      <c r="U467" s="314">
        <v>1.4561999999999999</v>
      </c>
      <c r="V467" s="314">
        <v>1.4951000000000001</v>
      </c>
      <c r="W467" s="314">
        <v>1.5155000000000001</v>
      </c>
      <c r="X467" s="314">
        <v>1.4234</v>
      </c>
      <c r="Y467" s="314">
        <v>1.4681</v>
      </c>
      <c r="Z467" s="314">
        <v>1.4729000000000001</v>
      </c>
      <c r="AA467" s="314">
        <v>1.5238</v>
      </c>
      <c r="AB467" s="314">
        <v>0</v>
      </c>
      <c r="AC467" s="314">
        <v>1.4517</v>
      </c>
      <c r="AD467" s="314">
        <v>1.3085</v>
      </c>
      <c r="AE467" s="314">
        <v>1.4784999999999999</v>
      </c>
      <c r="AF467" s="314">
        <v>1.3244</v>
      </c>
      <c r="AG467" s="314">
        <v>1.3754</v>
      </c>
      <c r="AH467" s="314">
        <v>1.4135</v>
      </c>
      <c r="AI467" s="314">
        <v>1.5139</v>
      </c>
      <c r="AJ467" s="314">
        <v>0</v>
      </c>
      <c r="AK467" s="314">
        <v>1.3689</v>
      </c>
      <c r="AL467" s="314">
        <v>1.3819999999999999</v>
      </c>
      <c r="AM467" s="314">
        <v>1.5038</v>
      </c>
      <c r="AN467" s="314">
        <v>0</v>
      </c>
      <c r="AO467" s="314">
        <v>1.5245</v>
      </c>
      <c r="AP467" s="314">
        <v>1.5013000000000001</v>
      </c>
      <c r="AQ467" s="314">
        <v>1.4557</v>
      </c>
      <c r="AR467" s="314">
        <v>1.3834</v>
      </c>
      <c r="AS467" s="314">
        <v>0</v>
      </c>
      <c r="AT467" s="314">
        <v>0</v>
      </c>
      <c r="AU467" s="314">
        <v>1.4944</v>
      </c>
      <c r="AV467" s="314">
        <v>0</v>
      </c>
      <c r="AW467" s="314">
        <v>1.4967999999999999</v>
      </c>
      <c r="AX467" s="314">
        <v>0</v>
      </c>
      <c r="AY467" s="314">
        <v>1.5101</v>
      </c>
      <c r="AZ467" s="314">
        <v>1.4513</v>
      </c>
      <c r="BA467" s="314">
        <v>0</v>
      </c>
      <c r="BB467" s="314">
        <v>0</v>
      </c>
      <c r="BC467" s="314">
        <v>1.5324</v>
      </c>
      <c r="BD467" s="314">
        <v>1.4809000000000001</v>
      </c>
      <c r="BE467" s="314">
        <v>1.5476000000000001</v>
      </c>
      <c r="BF467" s="314">
        <v>1.4993000000000001</v>
      </c>
      <c r="BG467" s="314">
        <v>1.5738000000000001</v>
      </c>
      <c r="BH467" s="314">
        <v>1.5424</v>
      </c>
      <c r="BI467" s="314">
        <v>1.5427</v>
      </c>
      <c r="BJ467" s="314">
        <v>1.4713000000000001</v>
      </c>
      <c r="BK467" s="314">
        <v>1.5446</v>
      </c>
    </row>
    <row r="468" spans="1:63" x14ac:dyDescent="0.25">
      <c r="A468" s="306">
        <v>311810</v>
      </c>
      <c r="B468" s="314" t="s">
        <v>46</v>
      </c>
      <c r="C468" s="314">
        <v>2.1629999999999998</v>
      </c>
      <c r="D468" s="314">
        <v>1.2591000000000001</v>
      </c>
      <c r="E468" s="314">
        <v>1.5516000000000001</v>
      </c>
      <c r="F468" s="314">
        <v>1.7243999999999999</v>
      </c>
      <c r="G468" s="314">
        <v>1.5066999999999999</v>
      </c>
      <c r="H468" s="314">
        <v>1.7482</v>
      </c>
      <c r="I468" s="314">
        <v>1.7277</v>
      </c>
      <c r="J468" s="314">
        <v>1.5794999999999999</v>
      </c>
      <c r="K468" s="314">
        <v>1.2677</v>
      </c>
      <c r="L468" s="314">
        <v>1.5288999999999999</v>
      </c>
      <c r="M468" s="314">
        <v>1.5918000000000001</v>
      </c>
      <c r="N468" s="314">
        <v>1.8363</v>
      </c>
      <c r="O468" s="314">
        <v>1.4890000000000001</v>
      </c>
      <c r="P468" s="314">
        <v>1.5569</v>
      </c>
      <c r="Q468" s="314">
        <v>1.5564</v>
      </c>
      <c r="R468" s="314">
        <v>1.9643999999999999</v>
      </c>
      <c r="S468" s="314">
        <v>1.7748999999999999</v>
      </c>
      <c r="T468" s="314">
        <v>1.641</v>
      </c>
      <c r="U468" s="314">
        <v>1.718</v>
      </c>
      <c r="V468" s="314">
        <v>1.6689000000000001</v>
      </c>
      <c r="W468" s="314">
        <v>1.6559999999999999</v>
      </c>
      <c r="X468" s="314">
        <v>1.5596000000000001</v>
      </c>
      <c r="Y468" s="314">
        <v>1.4988999999999999</v>
      </c>
      <c r="Z468" s="314">
        <v>1.7765</v>
      </c>
      <c r="AA468" s="314">
        <v>1.8817999999999999</v>
      </c>
      <c r="AB468" s="314">
        <v>1.9085000000000001</v>
      </c>
      <c r="AC468" s="314">
        <v>1.5558000000000001</v>
      </c>
      <c r="AD468" s="314">
        <v>1.4391</v>
      </c>
      <c r="AE468" s="314">
        <v>1.7162999999999999</v>
      </c>
      <c r="AF468" s="314">
        <v>1.5357000000000001</v>
      </c>
      <c r="AG468" s="314">
        <v>1.5813999999999999</v>
      </c>
      <c r="AH468" s="314">
        <v>1.5172000000000001</v>
      </c>
      <c r="AI468" s="314">
        <v>1.7504999999999999</v>
      </c>
      <c r="AJ468" s="314">
        <v>1.3758999999999999</v>
      </c>
      <c r="AK468" s="314">
        <v>1.4987999999999999</v>
      </c>
      <c r="AL468" s="314">
        <v>1.6372</v>
      </c>
      <c r="AM468" s="314">
        <v>1.8626</v>
      </c>
      <c r="AN468" s="314">
        <v>1.6328</v>
      </c>
      <c r="AO468" s="314">
        <v>1.7614000000000001</v>
      </c>
      <c r="AP468" s="314">
        <v>1.7710999999999999</v>
      </c>
      <c r="AQ468" s="314">
        <v>1.5304</v>
      </c>
      <c r="AR468" s="314">
        <v>1.5966</v>
      </c>
      <c r="AS468" s="314">
        <v>1.3874</v>
      </c>
      <c r="AT468" s="314">
        <v>1.7874000000000001</v>
      </c>
      <c r="AU468" s="314">
        <v>1.7363</v>
      </c>
      <c r="AV468" s="314">
        <v>1.7495000000000001</v>
      </c>
      <c r="AW468" s="314">
        <v>1.6839</v>
      </c>
      <c r="AX468" s="314">
        <v>1.3156000000000001</v>
      </c>
      <c r="AY468" s="314">
        <v>1.6576</v>
      </c>
      <c r="AZ468" s="314">
        <v>1.7533000000000001</v>
      </c>
      <c r="BA468" s="314">
        <v>1.3503000000000001</v>
      </c>
      <c r="BB468" s="314">
        <v>1.2591000000000001</v>
      </c>
      <c r="BC468" s="314">
        <v>1.6524000000000001</v>
      </c>
      <c r="BD468" s="314">
        <v>1.7701</v>
      </c>
      <c r="BE468" s="314">
        <v>1.9825999999999999</v>
      </c>
      <c r="BF468" s="314">
        <v>1.8756999999999999</v>
      </c>
      <c r="BG468" s="314">
        <v>1.7824</v>
      </c>
      <c r="BH468" s="314">
        <v>1.8126</v>
      </c>
      <c r="BI468" s="314">
        <v>1.8156000000000001</v>
      </c>
      <c r="BJ468" s="314">
        <v>1.7102999999999999</v>
      </c>
      <c r="BK468" s="314">
        <v>1.7666999999999999</v>
      </c>
    </row>
    <row r="469" spans="1:63" x14ac:dyDescent="0.25">
      <c r="A469" s="306">
        <v>311820</v>
      </c>
      <c r="B469" s="314" t="s">
        <v>47</v>
      </c>
      <c r="C469" s="314">
        <v>2.3325</v>
      </c>
      <c r="D469" s="314">
        <v>0</v>
      </c>
      <c r="E469" s="314">
        <v>1.6054999999999999</v>
      </c>
      <c r="F469" s="314">
        <v>1.8489</v>
      </c>
      <c r="G469" s="314">
        <v>1.4477</v>
      </c>
      <c r="H469" s="314">
        <v>1.7985</v>
      </c>
      <c r="I469" s="314">
        <v>1.6947000000000001</v>
      </c>
      <c r="J469" s="314">
        <v>1.5645</v>
      </c>
      <c r="K469" s="314">
        <v>1.1569</v>
      </c>
      <c r="L469" s="314">
        <v>0</v>
      </c>
      <c r="M469" s="314">
        <v>1.6042000000000001</v>
      </c>
      <c r="N469" s="314">
        <v>1.9293</v>
      </c>
      <c r="O469" s="314">
        <v>1.4408000000000001</v>
      </c>
      <c r="P469" s="314">
        <v>1.6307</v>
      </c>
      <c r="Q469" s="314">
        <v>1.6278999999999999</v>
      </c>
      <c r="R469" s="314">
        <v>2.0234999999999999</v>
      </c>
      <c r="S469" s="314">
        <v>1.8988</v>
      </c>
      <c r="T469" s="314">
        <v>1.708</v>
      </c>
      <c r="U469" s="314">
        <v>1.819</v>
      </c>
      <c r="V469" s="314">
        <v>1.8261000000000001</v>
      </c>
      <c r="W469" s="314">
        <v>1.6459999999999999</v>
      </c>
      <c r="X469" s="314">
        <v>1.5638000000000001</v>
      </c>
      <c r="Y469" s="314">
        <v>1.4742</v>
      </c>
      <c r="Z469" s="314">
        <v>1.8727</v>
      </c>
      <c r="AA469" s="314">
        <v>2.0051999999999999</v>
      </c>
      <c r="AB469" s="314">
        <v>1.9910000000000001</v>
      </c>
      <c r="AC469" s="314">
        <v>1.6813</v>
      </c>
      <c r="AD469" s="314">
        <v>1.4863</v>
      </c>
      <c r="AE469" s="314">
        <v>1.8010999999999999</v>
      </c>
      <c r="AF469" s="314">
        <v>1.6015999999999999</v>
      </c>
      <c r="AG469" s="314">
        <v>1.6603000000000001</v>
      </c>
      <c r="AH469" s="314">
        <v>1.4896</v>
      </c>
      <c r="AI469" s="314">
        <v>1.7410000000000001</v>
      </c>
      <c r="AJ469" s="314">
        <v>1.3294999999999999</v>
      </c>
      <c r="AK469" s="314">
        <v>1.3909</v>
      </c>
      <c r="AL469" s="314">
        <v>1.6193</v>
      </c>
      <c r="AM469" s="314">
        <v>1.9019999999999999</v>
      </c>
      <c r="AN469" s="314">
        <v>1.69</v>
      </c>
      <c r="AO469" s="314">
        <v>1.8291999999999999</v>
      </c>
      <c r="AP469" s="314">
        <v>1.8164</v>
      </c>
      <c r="AQ469" s="314">
        <v>1.4908999999999999</v>
      </c>
      <c r="AR469" s="314">
        <v>1.663</v>
      </c>
      <c r="AS469" s="314">
        <v>1.4216</v>
      </c>
      <c r="AT469" s="314">
        <v>1.8812</v>
      </c>
      <c r="AU469" s="314">
        <v>1.8163</v>
      </c>
      <c r="AV469" s="314">
        <v>1.7522</v>
      </c>
      <c r="AW469" s="314">
        <v>1.663</v>
      </c>
      <c r="AX469" s="314">
        <v>1.2867999999999999</v>
      </c>
      <c r="AY469" s="314">
        <v>1.6721999999999999</v>
      </c>
      <c r="AZ469" s="314">
        <v>1.8724000000000001</v>
      </c>
      <c r="BA469" s="314">
        <v>1.3248</v>
      </c>
      <c r="BB469" s="314">
        <v>0</v>
      </c>
      <c r="BC469" s="314">
        <v>1.6457999999999999</v>
      </c>
      <c r="BD469" s="314">
        <v>1.7867999999999999</v>
      </c>
      <c r="BE469" s="314">
        <v>2.0975999999999999</v>
      </c>
      <c r="BF469" s="314">
        <v>1.9930000000000001</v>
      </c>
      <c r="BG469" s="314">
        <v>1.8480000000000001</v>
      </c>
      <c r="BH469" s="314">
        <v>1.9298</v>
      </c>
      <c r="BI469" s="314">
        <v>1.9362999999999999</v>
      </c>
      <c r="BJ469" s="314">
        <v>1.7010000000000001</v>
      </c>
      <c r="BK469" s="314">
        <v>1.8211999999999999</v>
      </c>
    </row>
    <row r="470" spans="1:63" x14ac:dyDescent="0.25">
      <c r="A470" s="306">
        <v>311830</v>
      </c>
      <c r="B470" s="314" t="s">
        <v>48</v>
      </c>
      <c r="C470" s="314">
        <v>2.2313000000000001</v>
      </c>
      <c r="D470" s="314">
        <v>1.2892999999999999</v>
      </c>
      <c r="E470" s="314">
        <v>0</v>
      </c>
      <c r="F470" s="314">
        <v>1.8863000000000001</v>
      </c>
      <c r="G470" s="314">
        <v>1.5006999999999999</v>
      </c>
      <c r="H470" s="314">
        <v>1.7401</v>
      </c>
      <c r="I470" s="314">
        <v>1.8011999999999999</v>
      </c>
      <c r="J470" s="314">
        <v>0</v>
      </c>
      <c r="K470" s="314">
        <v>0</v>
      </c>
      <c r="L470" s="314">
        <v>0</v>
      </c>
      <c r="M470" s="314">
        <v>1.6315</v>
      </c>
      <c r="N470" s="314">
        <v>1.8867</v>
      </c>
      <c r="O470" s="314">
        <v>1.4582999999999999</v>
      </c>
      <c r="P470" s="314">
        <v>0</v>
      </c>
      <c r="Q470" s="314">
        <v>1.7124999999999999</v>
      </c>
      <c r="R470" s="314">
        <v>2.0987</v>
      </c>
      <c r="S470" s="314">
        <v>1.8996999999999999</v>
      </c>
      <c r="T470" s="314">
        <v>1.8207</v>
      </c>
      <c r="U470" s="314">
        <v>0</v>
      </c>
      <c r="V470" s="314">
        <v>0</v>
      </c>
      <c r="W470" s="314">
        <v>1.6348</v>
      </c>
      <c r="X470" s="314">
        <v>1.5555000000000001</v>
      </c>
      <c r="Y470" s="314">
        <v>0</v>
      </c>
      <c r="Z470" s="314">
        <v>1.8722000000000001</v>
      </c>
      <c r="AA470" s="314">
        <v>1.9855</v>
      </c>
      <c r="AB470" s="314">
        <v>2.0310999999999999</v>
      </c>
      <c r="AC470" s="314">
        <v>0</v>
      </c>
      <c r="AD470" s="314">
        <v>1.655</v>
      </c>
      <c r="AE470" s="314">
        <v>1.7911999999999999</v>
      </c>
      <c r="AF470" s="314">
        <v>0</v>
      </c>
      <c r="AG470" s="314">
        <v>1.7694000000000001</v>
      </c>
      <c r="AH470" s="314">
        <v>0</v>
      </c>
      <c r="AI470" s="314">
        <v>1.7060999999999999</v>
      </c>
      <c r="AJ470" s="314">
        <v>1.3647</v>
      </c>
      <c r="AK470" s="314">
        <v>1.4698</v>
      </c>
      <c r="AL470" s="314">
        <v>1.6493</v>
      </c>
      <c r="AM470" s="314">
        <v>1.8911</v>
      </c>
      <c r="AN470" s="314">
        <v>1.8197000000000001</v>
      </c>
      <c r="AO470" s="314">
        <v>1.8335999999999999</v>
      </c>
      <c r="AP470" s="314">
        <v>1.7605</v>
      </c>
      <c r="AQ470" s="314">
        <v>1.4941</v>
      </c>
      <c r="AR470" s="314">
        <v>0</v>
      </c>
      <c r="AS470" s="314">
        <v>1.4154</v>
      </c>
      <c r="AT470" s="314">
        <v>1.8532999999999999</v>
      </c>
      <c r="AU470" s="314">
        <v>1.8832</v>
      </c>
      <c r="AV470" s="314">
        <v>1.8148</v>
      </c>
      <c r="AW470" s="314">
        <v>1.6500999999999999</v>
      </c>
      <c r="AX470" s="314">
        <v>0</v>
      </c>
      <c r="AY470" s="314">
        <v>1.7092000000000001</v>
      </c>
      <c r="AZ470" s="314">
        <v>1.8817999999999999</v>
      </c>
      <c r="BA470" s="314">
        <v>0</v>
      </c>
      <c r="BB470" s="314">
        <v>0</v>
      </c>
      <c r="BC470" s="314">
        <v>1.6101000000000001</v>
      </c>
      <c r="BD470" s="314">
        <v>1.7515000000000001</v>
      </c>
      <c r="BE470" s="314">
        <v>2.0674000000000001</v>
      </c>
      <c r="BF470" s="314">
        <v>1.9819</v>
      </c>
      <c r="BG470" s="314">
        <v>1.8031999999999999</v>
      </c>
      <c r="BH470" s="314">
        <v>1.9003000000000001</v>
      </c>
      <c r="BI470" s="314">
        <v>1.9878</v>
      </c>
      <c r="BJ470" s="314">
        <v>1.8092999999999999</v>
      </c>
      <c r="BK470" s="314">
        <v>1.7707999999999999</v>
      </c>
    </row>
    <row r="471" spans="1:63" x14ac:dyDescent="0.25">
      <c r="A471" s="306">
        <v>311910</v>
      </c>
      <c r="B471" s="314" t="s">
        <v>49</v>
      </c>
      <c r="C471" s="314">
        <v>2.2446999999999999</v>
      </c>
      <c r="D471" s="314">
        <v>1.1946000000000001</v>
      </c>
      <c r="E471" s="314">
        <v>1.7229000000000001</v>
      </c>
      <c r="F471" s="314">
        <v>1.7758</v>
      </c>
      <c r="G471" s="314">
        <v>1.5764</v>
      </c>
      <c r="H471" s="314">
        <v>1.7793000000000001</v>
      </c>
      <c r="I471" s="314">
        <v>1.6665000000000001</v>
      </c>
      <c r="J471" s="314">
        <v>1.5331999999999999</v>
      </c>
      <c r="K471" s="314">
        <v>0</v>
      </c>
      <c r="L471" s="314">
        <v>0</v>
      </c>
      <c r="M471" s="314">
        <v>1.6037999999999999</v>
      </c>
      <c r="N471" s="314">
        <v>1.921</v>
      </c>
      <c r="O471" s="314">
        <v>1.4976</v>
      </c>
      <c r="P471" s="314">
        <v>1.6056999999999999</v>
      </c>
      <c r="Q471" s="314">
        <v>1.5429999999999999</v>
      </c>
      <c r="R471" s="314">
        <v>1.8425</v>
      </c>
      <c r="S471" s="314">
        <v>1.7768999999999999</v>
      </c>
      <c r="T471" s="314">
        <v>1.7154</v>
      </c>
      <c r="U471" s="314">
        <v>1.8685</v>
      </c>
      <c r="V471" s="314">
        <v>1.7578</v>
      </c>
      <c r="W471" s="314">
        <v>1.5447</v>
      </c>
      <c r="X471" s="314">
        <v>1.4614</v>
      </c>
      <c r="Y471" s="314">
        <v>0</v>
      </c>
      <c r="Z471" s="314">
        <v>1.8206</v>
      </c>
      <c r="AA471" s="314">
        <v>1.8471</v>
      </c>
      <c r="AB471" s="314">
        <v>1.885</v>
      </c>
      <c r="AC471" s="314">
        <v>1.6801999999999999</v>
      </c>
      <c r="AD471" s="314">
        <v>1.4884999999999999</v>
      </c>
      <c r="AE471" s="314">
        <v>1.7381</v>
      </c>
      <c r="AF471" s="314">
        <v>1.5929</v>
      </c>
      <c r="AG471" s="314">
        <v>1.5647</v>
      </c>
      <c r="AH471" s="314">
        <v>1.5310999999999999</v>
      </c>
      <c r="AI471" s="314">
        <v>1.6841999999999999</v>
      </c>
      <c r="AJ471" s="314">
        <v>1.4186000000000001</v>
      </c>
      <c r="AK471" s="314">
        <v>1.4783999999999999</v>
      </c>
      <c r="AL471" s="314">
        <v>1.4440999999999999</v>
      </c>
      <c r="AM471" s="314">
        <v>1.8044</v>
      </c>
      <c r="AN471" s="314">
        <v>1.6739999999999999</v>
      </c>
      <c r="AO471" s="314">
        <v>1.7334000000000001</v>
      </c>
      <c r="AP471" s="314">
        <v>1.7657</v>
      </c>
      <c r="AQ471" s="314">
        <v>1.4552</v>
      </c>
      <c r="AR471" s="314">
        <v>1.7497</v>
      </c>
      <c r="AS471" s="314">
        <v>1.4709000000000001</v>
      </c>
      <c r="AT471" s="314">
        <v>1.768</v>
      </c>
      <c r="AU471" s="314">
        <v>1.7855000000000001</v>
      </c>
      <c r="AV471" s="314">
        <v>1.6645000000000001</v>
      </c>
      <c r="AW471" s="314">
        <v>1.6012</v>
      </c>
      <c r="AX471" s="314">
        <v>1.4238</v>
      </c>
      <c r="AY471" s="314">
        <v>1.7266999999999999</v>
      </c>
      <c r="AZ471" s="314">
        <v>1.7858000000000001</v>
      </c>
      <c r="BA471" s="314">
        <v>1.4730000000000001</v>
      </c>
      <c r="BB471" s="314">
        <v>0</v>
      </c>
      <c r="BC471" s="314">
        <v>1.6060000000000001</v>
      </c>
      <c r="BD471" s="314">
        <v>1.6731</v>
      </c>
      <c r="BE471" s="314">
        <v>1.9359</v>
      </c>
      <c r="BF471" s="314">
        <v>1.9066000000000001</v>
      </c>
      <c r="BG471" s="314">
        <v>1.8396999999999999</v>
      </c>
      <c r="BH471" s="314">
        <v>1.8934</v>
      </c>
      <c r="BI471" s="314">
        <v>1.8722000000000001</v>
      </c>
      <c r="BJ471" s="314">
        <v>1.6751</v>
      </c>
      <c r="BK471" s="314">
        <v>1.786</v>
      </c>
    </row>
    <row r="472" spans="1:63" x14ac:dyDescent="0.25">
      <c r="A472" s="306">
        <v>311920</v>
      </c>
      <c r="B472" s="314" t="s">
        <v>50</v>
      </c>
      <c r="C472" s="314">
        <v>1.9355</v>
      </c>
      <c r="D472" s="314">
        <v>1.2391000000000001</v>
      </c>
      <c r="E472" s="314">
        <v>1.627</v>
      </c>
      <c r="F472" s="314">
        <v>1.6407</v>
      </c>
      <c r="G472" s="314">
        <v>1.4879</v>
      </c>
      <c r="H472" s="314">
        <v>1.6463000000000001</v>
      </c>
      <c r="I472" s="314">
        <v>1.6305000000000001</v>
      </c>
      <c r="J472" s="314">
        <v>1.5846</v>
      </c>
      <c r="K472" s="314">
        <v>0</v>
      </c>
      <c r="L472" s="314">
        <v>0</v>
      </c>
      <c r="M472" s="314">
        <v>1.4982</v>
      </c>
      <c r="N472" s="314">
        <v>1.7733000000000001</v>
      </c>
      <c r="O472" s="314">
        <v>1.3725000000000001</v>
      </c>
      <c r="P472" s="314">
        <v>1.4875</v>
      </c>
      <c r="Q472" s="314">
        <v>1.3854</v>
      </c>
      <c r="R472" s="314">
        <v>1.7646999999999999</v>
      </c>
      <c r="S472" s="314">
        <v>1.6625000000000001</v>
      </c>
      <c r="T472" s="314">
        <v>1.5311999999999999</v>
      </c>
      <c r="U472" s="314">
        <v>1.6447000000000001</v>
      </c>
      <c r="V472" s="314">
        <v>1.5577000000000001</v>
      </c>
      <c r="W472" s="314">
        <v>1.5933999999999999</v>
      </c>
      <c r="X472" s="314">
        <v>1.4933000000000001</v>
      </c>
      <c r="Y472" s="314">
        <v>1.4805999999999999</v>
      </c>
      <c r="Z472" s="314">
        <v>1.6675</v>
      </c>
      <c r="AA472" s="314">
        <v>1.6931</v>
      </c>
      <c r="AB472" s="314">
        <v>1.7421</v>
      </c>
      <c r="AC472" s="314">
        <v>0</v>
      </c>
      <c r="AD472" s="314">
        <v>1.3049999999999999</v>
      </c>
      <c r="AE472" s="314">
        <v>1.6665000000000001</v>
      </c>
      <c r="AF472" s="314">
        <v>0</v>
      </c>
      <c r="AG472" s="314">
        <v>1.4635</v>
      </c>
      <c r="AH472" s="314">
        <v>1.5082</v>
      </c>
      <c r="AI472" s="314">
        <v>1.6955</v>
      </c>
      <c r="AJ472" s="314">
        <v>0</v>
      </c>
      <c r="AK472" s="314">
        <v>1.4544999999999999</v>
      </c>
      <c r="AL472" s="314">
        <v>1.4793000000000001</v>
      </c>
      <c r="AM472" s="314">
        <v>1.7618</v>
      </c>
      <c r="AN472" s="314">
        <v>1.5405</v>
      </c>
      <c r="AO472" s="314">
        <v>1.6507000000000001</v>
      </c>
      <c r="AP472" s="314">
        <v>1.7811999999999999</v>
      </c>
      <c r="AQ472" s="314">
        <v>1.5437000000000001</v>
      </c>
      <c r="AR472" s="314">
        <v>1.6388</v>
      </c>
      <c r="AS472" s="314">
        <v>0</v>
      </c>
      <c r="AT472" s="314">
        <v>1.6355</v>
      </c>
      <c r="AU472" s="314">
        <v>1.6549</v>
      </c>
      <c r="AV472" s="314">
        <v>1.6392</v>
      </c>
      <c r="AW472" s="314">
        <v>1.6336999999999999</v>
      </c>
      <c r="AX472" s="314">
        <v>1.3812</v>
      </c>
      <c r="AY472" s="314">
        <v>1.609</v>
      </c>
      <c r="AZ472" s="314">
        <v>1.6956</v>
      </c>
      <c r="BA472" s="314">
        <v>0</v>
      </c>
      <c r="BB472" s="314">
        <v>1.3280000000000001</v>
      </c>
      <c r="BC472" s="314">
        <v>1.6248</v>
      </c>
      <c r="BD472" s="314">
        <v>1.6895</v>
      </c>
      <c r="BE472" s="314">
        <v>1.7870999999999999</v>
      </c>
      <c r="BF472" s="314">
        <v>1.7053</v>
      </c>
      <c r="BG472" s="314">
        <v>1.7184999999999999</v>
      </c>
      <c r="BH472" s="314">
        <v>1.6837</v>
      </c>
      <c r="BI472" s="314">
        <v>1.6963999999999999</v>
      </c>
      <c r="BJ472" s="314">
        <v>1.5818000000000001</v>
      </c>
      <c r="BK472" s="314">
        <v>1.6574</v>
      </c>
    </row>
    <row r="473" spans="1:63" x14ac:dyDescent="0.25">
      <c r="A473" s="306">
        <v>311930</v>
      </c>
      <c r="B473" s="314" t="s">
        <v>51</v>
      </c>
      <c r="C473" s="314">
        <v>1.3692</v>
      </c>
      <c r="D473" s="314">
        <v>0</v>
      </c>
      <c r="E473" s="314">
        <v>1.1661999999999999</v>
      </c>
      <c r="F473" s="314">
        <v>1.1901999999999999</v>
      </c>
      <c r="G473" s="314">
        <v>1.1157999999999999</v>
      </c>
      <c r="H473" s="314">
        <v>1.2102999999999999</v>
      </c>
      <c r="I473" s="314">
        <v>0</v>
      </c>
      <c r="J473" s="314">
        <v>1.1612</v>
      </c>
      <c r="K473" s="314">
        <v>0</v>
      </c>
      <c r="L473" s="314">
        <v>0</v>
      </c>
      <c r="M473" s="314">
        <v>1.1636</v>
      </c>
      <c r="N473" s="314">
        <v>1.2622</v>
      </c>
      <c r="O473" s="314">
        <v>1.1440999999999999</v>
      </c>
      <c r="P473" s="314">
        <v>0</v>
      </c>
      <c r="Q473" s="314">
        <v>0</v>
      </c>
      <c r="R473" s="314">
        <v>1.2361</v>
      </c>
      <c r="S473" s="314">
        <v>1.2243999999999999</v>
      </c>
      <c r="T473" s="314">
        <v>1.1641999999999999</v>
      </c>
      <c r="U473" s="314">
        <v>1.246</v>
      </c>
      <c r="V473" s="314">
        <v>1.1953</v>
      </c>
      <c r="W473" s="314">
        <v>0</v>
      </c>
      <c r="X473" s="314">
        <v>1.1471</v>
      </c>
      <c r="Y473" s="314">
        <v>0</v>
      </c>
      <c r="Z473" s="314">
        <v>1.1998</v>
      </c>
      <c r="AA473" s="314">
        <v>0</v>
      </c>
      <c r="AB473" s="314">
        <v>1.2339</v>
      </c>
      <c r="AC473" s="314">
        <v>1.1338999999999999</v>
      </c>
      <c r="AD473" s="314">
        <v>0</v>
      </c>
      <c r="AE473" s="314">
        <v>1.1872</v>
      </c>
      <c r="AF473" s="314">
        <v>0</v>
      </c>
      <c r="AG473" s="314">
        <v>0</v>
      </c>
      <c r="AH473" s="314">
        <v>1.1188</v>
      </c>
      <c r="AI473" s="314">
        <v>1.2649999999999999</v>
      </c>
      <c r="AJ473" s="314">
        <v>0</v>
      </c>
      <c r="AK473" s="314">
        <v>1.1136999999999999</v>
      </c>
      <c r="AL473" s="314">
        <v>1.1560999999999999</v>
      </c>
      <c r="AM473" s="314">
        <v>1.2847999999999999</v>
      </c>
      <c r="AN473" s="314">
        <v>1.1153</v>
      </c>
      <c r="AO473" s="314">
        <v>1.2090000000000001</v>
      </c>
      <c r="AP473" s="314">
        <v>1.2194</v>
      </c>
      <c r="AQ473" s="314">
        <v>1.1325000000000001</v>
      </c>
      <c r="AR473" s="314">
        <v>0</v>
      </c>
      <c r="AS473" s="314">
        <v>0</v>
      </c>
      <c r="AT473" s="314">
        <v>1.1742999999999999</v>
      </c>
      <c r="AU473" s="314">
        <v>1.2087000000000001</v>
      </c>
      <c r="AV473" s="314">
        <v>0</v>
      </c>
      <c r="AW473" s="314">
        <v>0</v>
      </c>
      <c r="AX473" s="314">
        <v>0</v>
      </c>
      <c r="AY473" s="314">
        <v>1.1833</v>
      </c>
      <c r="AZ473" s="314">
        <v>1.204</v>
      </c>
      <c r="BA473" s="314">
        <v>0</v>
      </c>
      <c r="BB473" s="314">
        <v>0</v>
      </c>
      <c r="BC473" s="314">
        <v>1.1705000000000001</v>
      </c>
      <c r="BD473" s="314">
        <v>1.2317</v>
      </c>
      <c r="BE473" s="314">
        <v>1.2657</v>
      </c>
      <c r="BF473" s="314">
        <v>1.2067000000000001</v>
      </c>
      <c r="BG473" s="314">
        <v>1.2765</v>
      </c>
      <c r="BH473" s="314">
        <v>1.2395</v>
      </c>
      <c r="BI473" s="314">
        <v>1.2183999999999999</v>
      </c>
      <c r="BJ473" s="314">
        <v>1.1538999999999999</v>
      </c>
      <c r="BK473" s="314">
        <v>1.2135</v>
      </c>
    </row>
    <row r="474" spans="1:63" x14ac:dyDescent="0.25">
      <c r="A474" s="306">
        <v>311940</v>
      </c>
      <c r="B474" s="314" t="s">
        <v>52</v>
      </c>
      <c r="C474" s="314">
        <v>2.5114999999999998</v>
      </c>
      <c r="D474" s="314">
        <v>0</v>
      </c>
      <c r="E474" s="314">
        <v>1.7889999999999999</v>
      </c>
      <c r="F474" s="314">
        <v>1.8996</v>
      </c>
      <c r="G474" s="314">
        <v>1.5874999999999999</v>
      </c>
      <c r="H474" s="314">
        <v>1.9316</v>
      </c>
      <c r="I474" s="314">
        <v>1.7586999999999999</v>
      </c>
      <c r="J474" s="314">
        <v>1.5876999999999999</v>
      </c>
      <c r="K474" s="314">
        <v>0</v>
      </c>
      <c r="L474" s="314">
        <v>1.5570999999999999</v>
      </c>
      <c r="M474" s="314">
        <v>1.6679999999999999</v>
      </c>
      <c r="N474" s="314">
        <v>2.1151</v>
      </c>
      <c r="O474" s="314">
        <v>1.5630999999999999</v>
      </c>
      <c r="P474" s="314">
        <v>1.7216</v>
      </c>
      <c r="Q474" s="314">
        <v>1.6288</v>
      </c>
      <c r="R474" s="314">
        <v>2.0268999999999999</v>
      </c>
      <c r="S474" s="314">
        <v>1.9743999999999999</v>
      </c>
      <c r="T474" s="314">
        <v>1.8124</v>
      </c>
      <c r="U474" s="314">
        <v>2.0971000000000002</v>
      </c>
      <c r="V474" s="314">
        <v>1.9052</v>
      </c>
      <c r="W474" s="314">
        <v>1.6735</v>
      </c>
      <c r="X474" s="314">
        <v>1.6445000000000001</v>
      </c>
      <c r="Y474" s="314">
        <v>1.6009</v>
      </c>
      <c r="Z474" s="314">
        <v>1.8944000000000001</v>
      </c>
      <c r="AA474" s="314">
        <v>1.9807999999999999</v>
      </c>
      <c r="AB474" s="314">
        <v>2.1410999999999998</v>
      </c>
      <c r="AC474" s="314">
        <v>1.7092000000000001</v>
      </c>
      <c r="AD474" s="314">
        <v>1.4505999999999999</v>
      </c>
      <c r="AE474" s="314">
        <v>1.7678</v>
      </c>
      <c r="AF474" s="314">
        <v>1.5805</v>
      </c>
      <c r="AG474" s="314">
        <v>1.639</v>
      </c>
      <c r="AH474" s="314">
        <v>1.5515000000000001</v>
      </c>
      <c r="AI474" s="314">
        <v>1.9178999999999999</v>
      </c>
      <c r="AJ474" s="314">
        <v>1.4947999999999999</v>
      </c>
      <c r="AK474" s="314">
        <v>1.5907</v>
      </c>
      <c r="AL474" s="314">
        <v>1.6105</v>
      </c>
      <c r="AM474" s="314">
        <v>2.0545</v>
      </c>
      <c r="AN474" s="314">
        <v>1.7112000000000001</v>
      </c>
      <c r="AO474" s="314">
        <v>1.8509</v>
      </c>
      <c r="AP474" s="314">
        <v>1.9713000000000001</v>
      </c>
      <c r="AQ474" s="314">
        <v>1.4954000000000001</v>
      </c>
      <c r="AR474" s="314">
        <v>1.7437</v>
      </c>
      <c r="AS474" s="314">
        <v>1.5232000000000001</v>
      </c>
      <c r="AT474" s="314">
        <v>1.8392999999999999</v>
      </c>
      <c r="AU474" s="314">
        <v>1.9103000000000001</v>
      </c>
      <c r="AV474" s="314">
        <v>1.8171999999999999</v>
      </c>
      <c r="AW474" s="314">
        <v>1.7261</v>
      </c>
      <c r="AX474" s="314">
        <v>1.4663999999999999</v>
      </c>
      <c r="AY474" s="314">
        <v>1.7948999999999999</v>
      </c>
      <c r="AZ474" s="314">
        <v>1.8717999999999999</v>
      </c>
      <c r="BA474" s="314">
        <v>1.4995000000000001</v>
      </c>
      <c r="BB474" s="314">
        <v>1.3819999999999999</v>
      </c>
      <c r="BC474" s="314">
        <v>1.6958</v>
      </c>
      <c r="BD474" s="314">
        <v>1.8987000000000001</v>
      </c>
      <c r="BE474" s="314">
        <v>2.1339999999999999</v>
      </c>
      <c r="BF474" s="314">
        <v>2.0922000000000001</v>
      </c>
      <c r="BG474" s="314">
        <v>2.0609999999999999</v>
      </c>
      <c r="BH474" s="314">
        <v>2.0512000000000001</v>
      </c>
      <c r="BI474" s="314">
        <v>2.0146999999999999</v>
      </c>
      <c r="BJ474" s="314">
        <v>1.7541</v>
      </c>
      <c r="BK474" s="314">
        <v>1.9269000000000001</v>
      </c>
    </row>
    <row r="475" spans="1:63" x14ac:dyDescent="0.25">
      <c r="A475" s="306">
        <v>311990</v>
      </c>
      <c r="B475" s="314" t="s">
        <v>53</v>
      </c>
      <c r="C475" s="314">
        <v>2.1846999999999999</v>
      </c>
      <c r="D475" s="314">
        <v>1.2611000000000001</v>
      </c>
      <c r="E475" s="314">
        <v>1.5982000000000001</v>
      </c>
      <c r="F475" s="314">
        <v>1.6976</v>
      </c>
      <c r="G475" s="314">
        <v>1.5367</v>
      </c>
      <c r="H475" s="314">
        <v>1.7569999999999999</v>
      </c>
      <c r="I475" s="314">
        <v>1.7406999999999999</v>
      </c>
      <c r="J475" s="314">
        <v>1.5462</v>
      </c>
      <c r="K475" s="314">
        <v>1.1809000000000001</v>
      </c>
      <c r="L475" s="314">
        <v>1.5069999999999999</v>
      </c>
      <c r="M475" s="314">
        <v>1.5874999999999999</v>
      </c>
      <c r="N475" s="314">
        <v>1.8504</v>
      </c>
      <c r="O475" s="314">
        <v>1.4955000000000001</v>
      </c>
      <c r="P475" s="314">
        <v>1.6044</v>
      </c>
      <c r="Q475" s="314">
        <v>1.5894999999999999</v>
      </c>
      <c r="R475" s="314">
        <v>1.8734999999999999</v>
      </c>
      <c r="S475" s="314">
        <v>1.7907</v>
      </c>
      <c r="T475" s="314">
        <v>1.6271</v>
      </c>
      <c r="U475" s="314">
        <v>1.7499</v>
      </c>
      <c r="V475" s="314">
        <v>1.6423000000000001</v>
      </c>
      <c r="W475" s="314">
        <v>1.6097999999999999</v>
      </c>
      <c r="X475" s="314">
        <v>1.5577000000000001</v>
      </c>
      <c r="Y475" s="314">
        <v>1.5842000000000001</v>
      </c>
      <c r="Z475" s="314">
        <v>1.7516</v>
      </c>
      <c r="AA475" s="314">
        <v>1.8917999999999999</v>
      </c>
      <c r="AB475" s="314">
        <v>1.8743000000000001</v>
      </c>
      <c r="AC475" s="314">
        <v>1.5966</v>
      </c>
      <c r="AD475" s="314">
        <v>1.4481999999999999</v>
      </c>
      <c r="AE475" s="314">
        <v>1.7551000000000001</v>
      </c>
      <c r="AF475" s="314">
        <v>1.5518000000000001</v>
      </c>
      <c r="AG475" s="314">
        <v>1.5928</v>
      </c>
      <c r="AH475" s="314">
        <v>1.5027999999999999</v>
      </c>
      <c r="AI475" s="314">
        <v>1.7248000000000001</v>
      </c>
      <c r="AJ475" s="314">
        <v>1.4409000000000001</v>
      </c>
      <c r="AK475" s="314">
        <v>1.4564999999999999</v>
      </c>
      <c r="AL475" s="314">
        <v>1.5672999999999999</v>
      </c>
      <c r="AM475" s="314">
        <v>1.8375999999999999</v>
      </c>
      <c r="AN475" s="314">
        <v>1.6409</v>
      </c>
      <c r="AO475" s="314">
        <v>1.7598</v>
      </c>
      <c r="AP475" s="314">
        <v>1.7718</v>
      </c>
      <c r="AQ475" s="314">
        <v>1.5097</v>
      </c>
      <c r="AR475" s="314">
        <v>1.6173999999999999</v>
      </c>
      <c r="AS475" s="314">
        <v>1.4350000000000001</v>
      </c>
      <c r="AT475" s="314">
        <v>1.7313000000000001</v>
      </c>
      <c r="AU475" s="314">
        <v>1.7114</v>
      </c>
      <c r="AV475" s="314">
        <v>1.7277</v>
      </c>
      <c r="AW475" s="314">
        <v>1.6560999999999999</v>
      </c>
      <c r="AX475" s="314">
        <v>1.389</v>
      </c>
      <c r="AY475" s="314">
        <v>1.6899</v>
      </c>
      <c r="AZ475" s="314">
        <v>1.7962</v>
      </c>
      <c r="BA475" s="314">
        <v>1.3714999999999999</v>
      </c>
      <c r="BB475" s="314">
        <v>0</v>
      </c>
      <c r="BC475" s="314">
        <v>1.6317999999999999</v>
      </c>
      <c r="BD475" s="314">
        <v>1.7317</v>
      </c>
      <c r="BE475" s="314">
        <v>1.9406000000000001</v>
      </c>
      <c r="BF475" s="314">
        <v>1.87</v>
      </c>
      <c r="BG475" s="314">
        <v>1.8345</v>
      </c>
      <c r="BH475" s="314">
        <v>1.8169</v>
      </c>
      <c r="BI475" s="314">
        <v>1.7911999999999999</v>
      </c>
      <c r="BJ475" s="314">
        <v>1.7161999999999999</v>
      </c>
      <c r="BK475" s="314">
        <v>1.7739</v>
      </c>
    </row>
    <row r="476" spans="1:63" x14ac:dyDescent="0.25">
      <c r="A476" s="306">
        <v>312110</v>
      </c>
      <c r="B476" s="314" t="s">
        <v>54</v>
      </c>
      <c r="C476" s="314">
        <v>2.2663000000000002</v>
      </c>
      <c r="D476" s="314">
        <v>1.1455</v>
      </c>
      <c r="E476" s="314">
        <v>1.7193000000000001</v>
      </c>
      <c r="F476" s="314">
        <v>1.7163999999999999</v>
      </c>
      <c r="G476" s="314">
        <v>1.5474000000000001</v>
      </c>
      <c r="H476" s="314">
        <v>1.7601</v>
      </c>
      <c r="I476" s="314">
        <v>1.4981</v>
      </c>
      <c r="J476" s="314">
        <v>1.6253</v>
      </c>
      <c r="K476" s="314">
        <v>0</v>
      </c>
      <c r="L476" s="314">
        <v>1.3918999999999999</v>
      </c>
      <c r="M476" s="314">
        <v>1.4859</v>
      </c>
      <c r="N476" s="314">
        <v>1.9039999999999999</v>
      </c>
      <c r="O476" s="314">
        <v>1.3302</v>
      </c>
      <c r="P476" s="314">
        <v>1.657</v>
      </c>
      <c r="Q476" s="314">
        <v>1.3126</v>
      </c>
      <c r="R476" s="314">
        <v>1.8920999999999999</v>
      </c>
      <c r="S476" s="314">
        <v>1.9300999999999999</v>
      </c>
      <c r="T476" s="314">
        <v>1.5541</v>
      </c>
      <c r="U476" s="314">
        <v>1.8926000000000001</v>
      </c>
      <c r="V476" s="314">
        <v>1.6518999999999999</v>
      </c>
      <c r="W476" s="314">
        <v>1.5246</v>
      </c>
      <c r="X476" s="314">
        <v>1.5390999999999999</v>
      </c>
      <c r="Y476" s="314">
        <v>1.4033</v>
      </c>
      <c r="Z476" s="314">
        <v>1.8205</v>
      </c>
      <c r="AA476" s="314">
        <v>1.6405000000000001</v>
      </c>
      <c r="AB476" s="314">
        <v>1.9514</v>
      </c>
      <c r="AC476" s="314">
        <v>1.663</v>
      </c>
      <c r="AD476" s="314">
        <v>1.2008000000000001</v>
      </c>
      <c r="AE476" s="314">
        <v>1.6878</v>
      </c>
      <c r="AF476" s="314">
        <v>1.3198000000000001</v>
      </c>
      <c r="AG476" s="314">
        <v>1.3076000000000001</v>
      </c>
      <c r="AH476" s="314">
        <v>1.6017999999999999</v>
      </c>
      <c r="AI476" s="314">
        <v>1.8142</v>
      </c>
      <c r="AJ476" s="314">
        <v>1.2129000000000001</v>
      </c>
      <c r="AK476" s="314">
        <v>1.3436999999999999</v>
      </c>
      <c r="AL476" s="314">
        <v>1.4813000000000001</v>
      </c>
      <c r="AM476" s="314">
        <v>2.0834000000000001</v>
      </c>
      <c r="AN476" s="314">
        <v>1.4804999999999999</v>
      </c>
      <c r="AO476" s="314">
        <v>1.6383000000000001</v>
      </c>
      <c r="AP476" s="314">
        <v>1.9307000000000001</v>
      </c>
      <c r="AQ476" s="314">
        <v>1.4189000000000001</v>
      </c>
      <c r="AR476" s="314">
        <v>1.7598</v>
      </c>
      <c r="AS476" s="314">
        <v>1.3915</v>
      </c>
      <c r="AT476" s="314">
        <v>1.8641000000000001</v>
      </c>
      <c r="AU476" s="314">
        <v>1.7559</v>
      </c>
      <c r="AV476" s="314">
        <v>1.5799000000000001</v>
      </c>
      <c r="AW476" s="314">
        <v>1.7040999999999999</v>
      </c>
      <c r="AX476" s="314">
        <v>1.2628999999999999</v>
      </c>
      <c r="AY476" s="314">
        <v>1.6772</v>
      </c>
      <c r="AZ476" s="314">
        <v>1.7104999999999999</v>
      </c>
      <c r="BA476" s="314">
        <v>1.5878000000000001</v>
      </c>
      <c r="BB476" s="314">
        <v>1.1912</v>
      </c>
      <c r="BC476" s="314">
        <v>1.6137999999999999</v>
      </c>
      <c r="BD476" s="314">
        <v>1.8069</v>
      </c>
      <c r="BE476" s="314">
        <v>2.0522</v>
      </c>
      <c r="BF476" s="314">
        <v>1.8792</v>
      </c>
      <c r="BG476" s="314">
        <v>1.9031</v>
      </c>
      <c r="BH476" s="314">
        <v>1.9617</v>
      </c>
      <c r="BI476" s="314">
        <v>1.8269</v>
      </c>
      <c r="BJ476" s="314">
        <v>1.5095000000000001</v>
      </c>
      <c r="BK476" s="314">
        <v>1.76</v>
      </c>
    </row>
    <row r="477" spans="1:63" x14ac:dyDescent="0.25">
      <c r="A477" s="306">
        <v>312120</v>
      </c>
      <c r="B477" s="314" t="s">
        <v>55</v>
      </c>
      <c r="C477" s="314">
        <v>2.0528</v>
      </c>
      <c r="D477" s="314">
        <v>1.1218999999999999</v>
      </c>
      <c r="E477" s="314">
        <v>0</v>
      </c>
      <c r="F477" s="314">
        <v>1.7984</v>
      </c>
      <c r="G477" s="314">
        <v>1.4204000000000001</v>
      </c>
      <c r="H477" s="314">
        <v>1.6882999999999999</v>
      </c>
      <c r="I477" s="314">
        <v>1.72</v>
      </c>
      <c r="J477" s="314">
        <v>1.4892000000000001</v>
      </c>
      <c r="K477" s="314">
        <v>1.0868</v>
      </c>
      <c r="L477" s="314">
        <v>1.2472000000000001</v>
      </c>
      <c r="M477" s="314">
        <v>1.4499</v>
      </c>
      <c r="N477" s="314">
        <v>1.7847</v>
      </c>
      <c r="O477" s="314">
        <v>1.2458</v>
      </c>
      <c r="P477" s="314">
        <v>1.5365</v>
      </c>
      <c r="Q477" s="314">
        <v>1.3257000000000001</v>
      </c>
      <c r="R477" s="314">
        <v>1.8821000000000001</v>
      </c>
      <c r="S477" s="314">
        <v>1.8072999999999999</v>
      </c>
      <c r="T477" s="314">
        <v>1.5311999999999999</v>
      </c>
      <c r="U477" s="314">
        <v>1.5396000000000001</v>
      </c>
      <c r="V477" s="314">
        <v>1.5740000000000001</v>
      </c>
      <c r="W477" s="314">
        <v>1.4545999999999999</v>
      </c>
      <c r="X477" s="314">
        <v>1.3957999999999999</v>
      </c>
      <c r="Y477" s="314">
        <v>1.2767999999999999</v>
      </c>
      <c r="Z477" s="314">
        <v>1.5909</v>
      </c>
      <c r="AA477" s="314">
        <v>1.7726999999999999</v>
      </c>
      <c r="AB477" s="314">
        <v>1.8411999999999999</v>
      </c>
      <c r="AC477" s="314">
        <v>1.5938000000000001</v>
      </c>
      <c r="AD477" s="314">
        <v>1.2444999999999999</v>
      </c>
      <c r="AE477" s="314">
        <v>1.6724000000000001</v>
      </c>
      <c r="AF477" s="314">
        <v>0</v>
      </c>
      <c r="AG477" s="314">
        <v>1.4423999999999999</v>
      </c>
      <c r="AH477" s="314">
        <v>1.2597</v>
      </c>
      <c r="AI477" s="314">
        <v>1.6442000000000001</v>
      </c>
      <c r="AJ477" s="314">
        <v>1.232</v>
      </c>
      <c r="AK477" s="314">
        <v>1.2704</v>
      </c>
      <c r="AL477" s="314">
        <v>1.4361999999999999</v>
      </c>
      <c r="AM477" s="314">
        <v>1.8944000000000001</v>
      </c>
      <c r="AN477" s="314">
        <v>1.6833</v>
      </c>
      <c r="AO477" s="314">
        <v>1.6292</v>
      </c>
      <c r="AP477" s="314">
        <v>1.8255999999999999</v>
      </c>
      <c r="AQ477" s="314">
        <v>1.4491000000000001</v>
      </c>
      <c r="AR477" s="314">
        <v>1.5925</v>
      </c>
      <c r="AS477" s="314">
        <v>1.3314999999999999</v>
      </c>
      <c r="AT477" s="314">
        <v>1.5556000000000001</v>
      </c>
      <c r="AU477" s="314">
        <v>1.6424000000000001</v>
      </c>
      <c r="AV477" s="314">
        <v>1.5505</v>
      </c>
      <c r="AW477" s="314">
        <v>1.6519999999999999</v>
      </c>
      <c r="AX477" s="314">
        <v>1.2384999999999999</v>
      </c>
      <c r="AY477" s="314">
        <v>1.6193</v>
      </c>
      <c r="AZ477" s="314">
        <v>1.7969999999999999</v>
      </c>
      <c r="BA477" s="314">
        <v>1.4267000000000001</v>
      </c>
      <c r="BB477" s="314">
        <v>0</v>
      </c>
      <c r="BC477" s="314">
        <v>1.4806999999999999</v>
      </c>
      <c r="BD477" s="314">
        <v>1.677</v>
      </c>
      <c r="BE477" s="314">
        <v>1.9292</v>
      </c>
      <c r="BF477" s="314">
        <v>1.7864</v>
      </c>
      <c r="BG477" s="314">
        <v>1.7136</v>
      </c>
      <c r="BH477" s="314">
        <v>1.6558999999999999</v>
      </c>
      <c r="BI477" s="314">
        <v>1.7786999999999999</v>
      </c>
      <c r="BJ477" s="314">
        <v>1.6254999999999999</v>
      </c>
      <c r="BK477" s="314">
        <v>1.6892</v>
      </c>
    </row>
    <row r="478" spans="1:63" x14ac:dyDescent="0.25">
      <c r="A478" s="306">
        <v>312130</v>
      </c>
      <c r="B478" s="314" t="s">
        <v>56</v>
      </c>
      <c r="C478" s="314">
        <v>2.0996000000000001</v>
      </c>
      <c r="D478" s="314">
        <v>1.1943999999999999</v>
      </c>
      <c r="E478" s="314">
        <v>1.3984000000000001</v>
      </c>
      <c r="F478" s="314">
        <v>1.5327</v>
      </c>
      <c r="G478" s="314">
        <v>1.4323999999999999</v>
      </c>
      <c r="H478" s="314">
        <v>1.8769</v>
      </c>
      <c r="I478" s="314">
        <v>1.5713999999999999</v>
      </c>
      <c r="J478" s="314">
        <v>1.5450999999999999</v>
      </c>
      <c r="K478" s="314">
        <v>0</v>
      </c>
      <c r="L478" s="314">
        <v>0</v>
      </c>
      <c r="M478" s="314">
        <v>1.5490999999999999</v>
      </c>
      <c r="N478" s="314">
        <v>1.6525000000000001</v>
      </c>
      <c r="O478" s="314">
        <v>1.4009</v>
      </c>
      <c r="P478" s="314">
        <v>1.3553999999999999</v>
      </c>
      <c r="Q478" s="314">
        <v>1.3938999999999999</v>
      </c>
      <c r="R478" s="314">
        <v>1.6899</v>
      </c>
      <c r="S478" s="314">
        <v>1.5125</v>
      </c>
      <c r="T478" s="314">
        <v>1.3801000000000001</v>
      </c>
      <c r="U478" s="314">
        <v>1.4832000000000001</v>
      </c>
      <c r="V478" s="314">
        <v>1.4673</v>
      </c>
      <c r="W478" s="314">
        <v>1.6086</v>
      </c>
      <c r="X478" s="314">
        <v>1.4052</v>
      </c>
      <c r="Y478" s="314">
        <v>1.4923</v>
      </c>
      <c r="Z478" s="314">
        <v>1.6729000000000001</v>
      </c>
      <c r="AA478" s="314">
        <v>1.6001000000000001</v>
      </c>
      <c r="AB478" s="314">
        <v>1.6272</v>
      </c>
      <c r="AC478" s="314">
        <v>0</v>
      </c>
      <c r="AD478" s="314">
        <v>1.2438</v>
      </c>
      <c r="AE478" s="314">
        <v>1.6144000000000001</v>
      </c>
      <c r="AF478" s="314">
        <v>1.296</v>
      </c>
      <c r="AG478" s="314">
        <v>1.3694</v>
      </c>
      <c r="AH478" s="314">
        <v>1.4573</v>
      </c>
      <c r="AI478" s="314">
        <v>1.6632</v>
      </c>
      <c r="AJ478" s="314">
        <v>1.4141999999999999</v>
      </c>
      <c r="AK478" s="314">
        <v>0</v>
      </c>
      <c r="AL478" s="314">
        <v>1.5347999999999999</v>
      </c>
      <c r="AM478" s="314">
        <v>1.6718</v>
      </c>
      <c r="AN478" s="314">
        <v>1.4322999999999999</v>
      </c>
      <c r="AO478" s="314">
        <v>1.8152999999999999</v>
      </c>
      <c r="AP478" s="314">
        <v>1.6973</v>
      </c>
      <c r="AQ478" s="314">
        <v>1.3975</v>
      </c>
      <c r="AR478" s="314">
        <v>1.464</v>
      </c>
      <c r="AS478" s="314">
        <v>1.2523</v>
      </c>
      <c r="AT478" s="314">
        <v>1.4567000000000001</v>
      </c>
      <c r="AU478" s="314">
        <v>1.5457000000000001</v>
      </c>
      <c r="AV478" s="314">
        <v>0</v>
      </c>
      <c r="AW478" s="314">
        <v>1.6237999999999999</v>
      </c>
      <c r="AX478" s="314">
        <v>1.3744000000000001</v>
      </c>
      <c r="AY478" s="314">
        <v>1.8047</v>
      </c>
      <c r="AZ478" s="314">
        <v>1.6883999999999999</v>
      </c>
      <c r="BA478" s="314">
        <v>1.3130999999999999</v>
      </c>
      <c r="BB478" s="314">
        <v>0</v>
      </c>
      <c r="BC478" s="314">
        <v>1.6051</v>
      </c>
      <c r="BD478" s="314">
        <v>1.6879</v>
      </c>
      <c r="BE478" s="314">
        <v>1.7146999999999999</v>
      </c>
      <c r="BF478" s="314">
        <v>1.5848</v>
      </c>
      <c r="BG478" s="314">
        <v>1.7205999999999999</v>
      </c>
      <c r="BH478" s="314">
        <v>1.5038</v>
      </c>
      <c r="BI478" s="314">
        <v>1.5927</v>
      </c>
      <c r="BJ478" s="314">
        <v>1.5266</v>
      </c>
      <c r="BK478" s="314">
        <v>1.8805000000000001</v>
      </c>
    </row>
    <row r="479" spans="1:63" x14ac:dyDescent="0.25">
      <c r="A479" s="306">
        <v>312140</v>
      </c>
      <c r="B479" s="314" t="s">
        <v>57</v>
      </c>
      <c r="C479" s="314">
        <v>1.5187999999999999</v>
      </c>
      <c r="D479" s="314">
        <v>0</v>
      </c>
      <c r="E479" s="314">
        <v>0</v>
      </c>
      <c r="F479" s="314">
        <v>1.3975</v>
      </c>
      <c r="G479" s="314">
        <v>0</v>
      </c>
      <c r="H479" s="314">
        <v>1.302</v>
      </c>
      <c r="I479" s="314">
        <v>1.2697000000000001</v>
      </c>
      <c r="J479" s="314">
        <v>1.3290999999999999</v>
      </c>
      <c r="K479" s="314">
        <v>0</v>
      </c>
      <c r="L479" s="314">
        <v>0</v>
      </c>
      <c r="M479" s="314">
        <v>1.258</v>
      </c>
      <c r="N479" s="314">
        <v>1.3193999999999999</v>
      </c>
      <c r="O479" s="314">
        <v>1.1312</v>
      </c>
      <c r="P479" s="314">
        <v>1.1995</v>
      </c>
      <c r="Q479" s="314">
        <v>1.2072000000000001</v>
      </c>
      <c r="R479" s="314">
        <v>1.4292</v>
      </c>
      <c r="S479" s="314">
        <v>1.4168000000000001</v>
      </c>
      <c r="T479" s="314">
        <v>0</v>
      </c>
      <c r="U479" s="314">
        <v>1.3723000000000001</v>
      </c>
      <c r="V479" s="314">
        <v>0</v>
      </c>
      <c r="W479" s="314">
        <v>0</v>
      </c>
      <c r="X479" s="314">
        <v>1.2902</v>
      </c>
      <c r="Y479" s="314">
        <v>1.2848999999999999</v>
      </c>
      <c r="Z479" s="314">
        <v>1.2907999999999999</v>
      </c>
      <c r="AA479" s="314">
        <v>1.3729</v>
      </c>
      <c r="AB479" s="314">
        <v>1.4429000000000001</v>
      </c>
      <c r="AC479" s="314">
        <v>0</v>
      </c>
      <c r="AD479" s="314">
        <v>0</v>
      </c>
      <c r="AE479" s="314">
        <v>0</v>
      </c>
      <c r="AF479" s="314">
        <v>0</v>
      </c>
      <c r="AG479" s="314">
        <v>0</v>
      </c>
      <c r="AH479" s="314">
        <v>1.2155</v>
      </c>
      <c r="AI479" s="314">
        <v>1.2998000000000001</v>
      </c>
      <c r="AJ479" s="314">
        <v>0</v>
      </c>
      <c r="AK479" s="314">
        <v>0</v>
      </c>
      <c r="AL479" s="314">
        <v>1.2990999999999999</v>
      </c>
      <c r="AM479" s="314">
        <v>1.4166000000000001</v>
      </c>
      <c r="AN479" s="314">
        <v>0</v>
      </c>
      <c r="AO479" s="314">
        <v>1.3486</v>
      </c>
      <c r="AP479" s="314">
        <v>1.3398000000000001</v>
      </c>
      <c r="AQ479" s="314">
        <v>0</v>
      </c>
      <c r="AR479" s="314">
        <v>0</v>
      </c>
      <c r="AS479" s="314">
        <v>0</v>
      </c>
      <c r="AT479" s="314">
        <v>1.3677999999999999</v>
      </c>
      <c r="AU479" s="314">
        <v>1.2738</v>
      </c>
      <c r="AV479" s="314">
        <v>1.2386999999999999</v>
      </c>
      <c r="AW479" s="314">
        <v>0</v>
      </c>
      <c r="AX479" s="314">
        <v>0</v>
      </c>
      <c r="AY479" s="314">
        <v>1.2718</v>
      </c>
      <c r="AZ479" s="314">
        <v>1.3070999999999999</v>
      </c>
      <c r="BA479" s="314">
        <v>0</v>
      </c>
      <c r="BB479" s="314">
        <v>1.1247</v>
      </c>
      <c r="BC479" s="314">
        <v>1.3458000000000001</v>
      </c>
      <c r="BD479" s="314">
        <v>1.359</v>
      </c>
      <c r="BE479" s="314">
        <v>1.4091</v>
      </c>
      <c r="BF479" s="314">
        <v>1.3576999999999999</v>
      </c>
      <c r="BG479" s="314">
        <v>1.3351</v>
      </c>
      <c r="BH479" s="314">
        <v>1.3821000000000001</v>
      </c>
      <c r="BI479" s="314">
        <v>1.3414999999999999</v>
      </c>
      <c r="BJ479" s="314">
        <v>1.2363</v>
      </c>
      <c r="BK479" s="314">
        <v>1.3081</v>
      </c>
    </row>
    <row r="480" spans="1:63" x14ac:dyDescent="0.25">
      <c r="A480" s="306" t="s">
        <v>708</v>
      </c>
      <c r="B480" s="314" t="s">
        <v>58</v>
      </c>
      <c r="C480" s="314">
        <v>1.4137999999999999</v>
      </c>
      <c r="D480" s="314">
        <v>0</v>
      </c>
      <c r="E480" s="314">
        <v>1.2274</v>
      </c>
      <c r="F480" s="314">
        <v>0</v>
      </c>
      <c r="G480" s="314">
        <v>0</v>
      </c>
      <c r="H480" s="314">
        <v>1.1609</v>
      </c>
      <c r="I480" s="314">
        <v>0</v>
      </c>
      <c r="J480" s="314">
        <v>1.2222</v>
      </c>
      <c r="K480" s="314">
        <v>1.0296000000000001</v>
      </c>
      <c r="L480" s="314">
        <v>0</v>
      </c>
      <c r="M480" s="314">
        <v>1.1756</v>
      </c>
      <c r="N480" s="314">
        <v>1.2887</v>
      </c>
      <c r="O480" s="314">
        <v>0</v>
      </c>
      <c r="P480" s="314">
        <v>0</v>
      </c>
      <c r="Q480" s="314">
        <v>0</v>
      </c>
      <c r="R480" s="314">
        <v>1.2154</v>
      </c>
      <c r="S480" s="314">
        <v>1.1896</v>
      </c>
      <c r="T480" s="314">
        <v>0</v>
      </c>
      <c r="U480" s="314">
        <v>1.2906</v>
      </c>
      <c r="V480" s="314">
        <v>0</v>
      </c>
      <c r="W480" s="314">
        <v>0</v>
      </c>
      <c r="X480" s="314">
        <v>0</v>
      </c>
      <c r="Y480" s="314">
        <v>0</v>
      </c>
      <c r="Z480" s="314">
        <v>0</v>
      </c>
      <c r="AA480" s="314">
        <v>0</v>
      </c>
      <c r="AB480" s="314">
        <v>1.1922999999999999</v>
      </c>
      <c r="AC480" s="314">
        <v>0</v>
      </c>
      <c r="AD480" s="314">
        <v>0</v>
      </c>
      <c r="AE480" s="314">
        <v>1.323</v>
      </c>
      <c r="AF480" s="314">
        <v>0</v>
      </c>
      <c r="AG480" s="314">
        <v>0</v>
      </c>
      <c r="AH480" s="314">
        <v>0</v>
      </c>
      <c r="AI480" s="314">
        <v>1.1744000000000001</v>
      </c>
      <c r="AJ480" s="314">
        <v>1.0739000000000001</v>
      </c>
      <c r="AK480" s="314">
        <v>0</v>
      </c>
      <c r="AL480" s="314">
        <v>1.1795</v>
      </c>
      <c r="AM480" s="314">
        <v>0</v>
      </c>
      <c r="AN480" s="314">
        <v>1.1455</v>
      </c>
      <c r="AO480" s="314">
        <v>0</v>
      </c>
      <c r="AP480" s="314">
        <v>1.2945</v>
      </c>
      <c r="AQ480" s="314">
        <v>0</v>
      </c>
      <c r="AR480" s="314">
        <v>1.2494000000000001</v>
      </c>
      <c r="AS480" s="314">
        <v>0</v>
      </c>
      <c r="AT480" s="314">
        <v>1.3152999999999999</v>
      </c>
      <c r="AU480" s="314">
        <v>1.1586000000000001</v>
      </c>
      <c r="AV480" s="314">
        <v>1.1636</v>
      </c>
      <c r="AW480" s="314">
        <v>1.2911999999999999</v>
      </c>
      <c r="AX480" s="314">
        <v>0</v>
      </c>
      <c r="AY480" s="314">
        <v>1.1476999999999999</v>
      </c>
      <c r="AZ480" s="314">
        <v>1.1940999999999999</v>
      </c>
      <c r="BA480" s="314">
        <v>1.1654</v>
      </c>
      <c r="BB480" s="314">
        <v>1.0629</v>
      </c>
      <c r="BC480" s="314">
        <v>1.2230000000000001</v>
      </c>
      <c r="BD480" s="314">
        <v>1.2415</v>
      </c>
      <c r="BE480" s="314">
        <v>1.2262999999999999</v>
      </c>
      <c r="BF480" s="314">
        <v>1.1798999999999999</v>
      </c>
      <c r="BG480" s="314">
        <v>1.3365</v>
      </c>
      <c r="BH480" s="314">
        <v>1.3358000000000001</v>
      </c>
      <c r="BI480" s="314">
        <v>1.1802999999999999</v>
      </c>
      <c r="BJ480" s="314">
        <v>1.141</v>
      </c>
      <c r="BK480" s="314">
        <v>1.1676</v>
      </c>
    </row>
    <row r="481" spans="1:63" x14ac:dyDescent="0.25">
      <c r="A481" s="306">
        <v>313100</v>
      </c>
      <c r="B481" s="314" t="s">
        <v>59</v>
      </c>
      <c r="C481" s="314">
        <v>2.5049000000000001</v>
      </c>
      <c r="D481" s="314">
        <v>0</v>
      </c>
      <c r="E481" s="314">
        <v>2.1576</v>
      </c>
      <c r="F481" s="314">
        <v>0</v>
      </c>
      <c r="G481" s="314">
        <v>1.6145</v>
      </c>
      <c r="H481" s="314">
        <v>1.5196000000000001</v>
      </c>
      <c r="I481" s="314">
        <v>0</v>
      </c>
      <c r="J481" s="314">
        <v>1.385</v>
      </c>
      <c r="K481" s="314">
        <v>0</v>
      </c>
      <c r="L481" s="314">
        <v>0</v>
      </c>
      <c r="M481" s="314">
        <v>1.4924999999999999</v>
      </c>
      <c r="N481" s="314">
        <v>2.1573000000000002</v>
      </c>
      <c r="O481" s="314">
        <v>0</v>
      </c>
      <c r="P481" s="314">
        <v>0</v>
      </c>
      <c r="Q481" s="314">
        <v>1.2262999999999999</v>
      </c>
      <c r="R481" s="314">
        <v>1.4101999999999999</v>
      </c>
      <c r="S481" s="314">
        <v>1.3571</v>
      </c>
      <c r="T481" s="314">
        <v>1.5168999999999999</v>
      </c>
      <c r="U481" s="314">
        <v>0</v>
      </c>
      <c r="V481" s="314">
        <v>1.6516999999999999</v>
      </c>
      <c r="W481" s="314">
        <v>1.4686999999999999</v>
      </c>
      <c r="X481" s="314">
        <v>1.3797999999999999</v>
      </c>
      <c r="Y481" s="314">
        <v>1.4281999999999999</v>
      </c>
      <c r="Z481" s="314">
        <v>1.3492999999999999</v>
      </c>
      <c r="AA481" s="314">
        <v>0</v>
      </c>
      <c r="AB481" s="314">
        <v>0</v>
      </c>
      <c r="AC481" s="314">
        <v>1.6601999999999999</v>
      </c>
      <c r="AD481" s="314">
        <v>0</v>
      </c>
      <c r="AE481" s="314">
        <v>2.1328</v>
      </c>
      <c r="AF481" s="314">
        <v>0</v>
      </c>
      <c r="AG481" s="314">
        <v>1.2783</v>
      </c>
      <c r="AH481" s="314">
        <v>1.3866000000000001</v>
      </c>
      <c r="AI481" s="314">
        <v>1.375</v>
      </c>
      <c r="AJ481" s="314">
        <v>1.456</v>
      </c>
      <c r="AK481" s="314">
        <v>0</v>
      </c>
      <c r="AL481" s="314">
        <v>1.2862</v>
      </c>
      <c r="AM481" s="314">
        <v>1.5233000000000001</v>
      </c>
      <c r="AN481" s="314">
        <v>1.4468000000000001</v>
      </c>
      <c r="AO481" s="314">
        <v>1.3166</v>
      </c>
      <c r="AP481" s="314">
        <v>1.4404999999999999</v>
      </c>
      <c r="AQ481" s="314">
        <v>1.4762999999999999</v>
      </c>
      <c r="AR481" s="314">
        <v>2.1631999999999998</v>
      </c>
      <c r="AS481" s="314">
        <v>0</v>
      </c>
      <c r="AT481" s="314">
        <v>2.1133999999999999</v>
      </c>
      <c r="AU481" s="314">
        <v>1.613</v>
      </c>
      <c r="AV481" s="314">
        <v>1.3309</v>
      </c>
      <c r="AW481" s="314">
        <v>1.9222999999999999</v>
      </c>
      <c r="AX481" s="314">
        <v>1.4503999999999999</v>
      </c>
      <c r="AY481" s="314">
        <v>1.2845</v>
      </c>
      <c r="AZ481" s="314">
        <v>1.3867</v>
      </c>
      <c r="BA481" s="314">
        <v>1.3002</v>
      </c>
      <c r="BB481" s="314">
        <v>1.2133</v>
      </c>
      <c r="BC481" s="314">
        <v>1.5130999999999999</v>
      </c>
      <c r="BD481" s="314">
        <v>1.3906000000000001</v>
      </c>
      <c r="BE481" s="314">
        <v>1.4564999999999999</v>
      </c>
      <c r="BF481" s="314">
        <v>1.4507000000000001</v>
      </c>
      <c r="BG481" s="314">
        <v>2.2216999999999998</v>
      </c>
      <c r="BH481" s="314">
        <v>2.2488000000000001</v>
      </c>
      <c r="BI481" s="314">
        <v>1.6409</v>
      </c>
      <c r="BJ481" s="314">
        <v>1.4893000000000001</v>
      </c>
      <c r="BK481" s="314">
        <v>1.5063</v>
      </c>
    </row>
    <row r="482" spans="1:63" x14ac:dyDescent="0.25">
      <c r="A482" s="306">
        <v>313210</v>
      </c>
      <c r="B482" s="314" t="s">
        <v>60</v>
      </c>
      <c r="C482" s="314">
        <v>2.2446000000000002</v>
      </c>
      <c r="D482" s="314">
        <v>0</v>
      </c>
      <c r="E482" s="314">
        <v>1.9009</v>
      </c>
      <c r="F482" s="314">
        <v>1.4628000000000001</v>
      </c>
      <c r="G482" s="314">
        <v>1.4871000000000001</v>
      </c>
      <c r="H482" s="314">
        <v>1.6129</v>
      </c>
      <c r="I482" s="314">
        <v>0</v>
      </c>
      <c r="J482" s="314">
        <v>1.4443999999999999</v>
      </c>
      <c r="K482" s="314">
        <v>1.1237999999999999</v>
      </c>
      <c r="L482" s="314">
        <v>1.4834000000000001</v>
      </c>
      <c r="M482" s="314">
        <v>1.4653</v>
      </c>
      <c r="N482" s="314">
        <v>1.9836</v>
      </c>
      <c r="O482" s="314">
        <v>0</v>
      </c>
      <c r="P482" s="314">
        <v>0</v>
      </c>
      <c r="Q482" s="314">
        <v>1.2513000000000001</v>
      </c>
      <c r="R482" s="314">
        <v>1.5003</v>
      </c>
      <c r="S482" s="314">
        <v>1.3789</v>
      </c>
      <c r="T482" s="314">
        <v>0</v>
      </c>
      <c r="U482" s="314">
        <v>1.4274</v>
      </c>
      <c r="V482" s="314">
        <v>1.5638000000000001</v>
      </c>
      <c r="W482" s="314">
        <v>1.6046</v>
      </c>
      <c r="X482" s="314">
        <v>1.4291</v>
      </c>
      <c r="Y482" s="314">
        <v>1.4630000000000001</v>
      </c>
      <c r="Z482" s="314">
        <v>1.4350000000000001</v>
      </c>
      <c r="AA482" s="314">
        <v>1.4043000000000001</v>
      </c>
      <c r="AB482" s="314">
        <v>1.5152000000000001</v>
      </c>
      <c r="AC482" s="314">
        <v>1.6201000000000001</v>
      </c>
      <c r="AD482" s="314">
        <v>1.2277</v>
      </c>
      <c r="AE482" s="314">
        <v>1.9642999999999999</v>
      </c>
      <c r="AF482" s="314">
        <v>1.2924</v>
      </c>
      <c r="AG482" s="314">
        <v>0</v>
      </c>
      <c r="AH482" s="314">
        <v>1.4663999999999999</v>
      </c>
      <c r="AI482" s="314">
        <v>1.5777000000000001</v>
      </c>
      <c r="AJ482" s="314">
        <v>1.3607</v>
      </c>
      <c r="AK482" s="314">
        <v>1.2916000000000001</v>
      </c>
      <c r="AL482" s="314">
        <v>1.4998</v>
      </c>
      <c r="AM482" s="314">
        <v>1.5801000000000001</v>
      </c>
      <c r="AN482" s="314">
        <v>1.4172</v>
      </c>
      <c r="AO482" s="314">
        <v>1.4054</v>
      </c>
      <c r="AP482" s="314">
        <v>1.6214</v>
      </c>
      <c r="AQ482" s="314">
        <v>1.5762</v>
      </c>
      <c r="AR482" s="314">
        <v>1.9356</v>
      </c>
      <c r="AS482" s="314">
        <v>0</v>
      </c>
      <c r="AT482" s="314">
        <v>1.8948</v>
      </c>
      <c r="AU482" s="314">
        <v>1.5625</v>
      </c>
      <c r="AV482" s="314">
        <v>1.4816</v>
      </c>
      <c r="AW482" s="314">
        <v>1.7926</v>
      </c>
      <c r="AX482" s="314">
        <v>1.4024000000000001</v>
      </c>
      <c r="AY482" s="314">
        <v>1.3569</v>
      </c>
      <c r="AZ482" s="314">
        <v>1.4422999999999999</v>
      </c>
      <c r="BA482" s="314">
        <v>0</v>
      </c>
      <c r="BB482" s="314">
        <v>0</v>
      </c>
      <c r="BC482" s="314">
        <v>1.6682999999999999</v>
      </c>
      <c r="BD482" s="314">
        <v>1.6207</v>
      </c>
      <c r="BE482" s="314">
        <v>1.5373000000000001</v>
      </c>
      <c r="BF482" s="314">
        <v>1.4570000000000001</v>
      </c>
      <c r="BG482" s="314">
        <v>2.0326</v>
      </c>
      <c r="BH482" s="314">
        <v>2.0083000000000002</v>
      </c>
      <c r="BI482" s="314">
        <v>1.5826</v>
      </c>
      <c r="BJ482" s="314">
        <v>1.4721</v>
      </c>
      <c r="BK482" s="314">
        <v>1.6125</v>
      </c>
    </row>
    <row r="483" spans="1:63" x14ac:dyDescent="0.25">
      <c r="A483" s="306">
        <v>313220</v>
      </c>
      <c r="B483" s="314" t="s">
        <v>61</v>
      </c>
      <c r="C483" s="314">
        <v>2.1185</v>
      </c>
      <c r="D483" s="314">
        <v>0</v>
      </c>
      <c r="E483" s="314">
        <v>1.8129999999999999</v>
      </c>
      <c r="F483" s="314">
        <v>0</v>
      </c>
      <c r="G483" s="314">
        <v>1.401</v>
      </c>
      <c r="H483" s="314">
        <v>1.4001999999999999</v>
      </c>
      <c r="I483" s="314">
        <v>1.371</v>
      </c>
      <c r="J483" s="314">
        <v>1.4507000000000001</v>
      </c>
      <c r="K483" s="314">
        <v>0</v>
      </c>
      <c r="L483" s="314">
        <v>0</v>
      </c>
      <c r="M483" s="314">
        <v>1.4065000000000001</v>
      </c>
      <c r="N483" s="314">
        <v>1.8796999999999999</v>
      </c>
      <c r="O483" s="314">
        <v>0</v>
      </c>
      <c r="P483" s="314">
        <v>0</v>
      </c>
      <c r="Q483" s="314">
        <v>1.2478</v>
      </c>
      <c r="R483" s="314">
        <v>1.4582999999999999</v>
      </c>
      <c r="S483" s="314">
        <v>0</v>
      </c>
      <c r="T483" s="314">
        <v>1.3462000000000001</v>
      </c>
      <c r="U483" s="314">
        <v>1.3794</v>
      </c>
      <c r="V483" s="314">
        <v>1.4541999999999999</v>
      </c>
      <c r="W483" s="314">
        <v>1.4903999999999999</v>
      </c>
      <c r="X483" s="314">
        <v>1.4603999999999999</v>
      </c>
      <c r="Y483" s="314">
        <v>1.5116000000000001</v>
      </c>
      <c r="Z483" s="314">
        <v>1.3873</v>
      </c>
      <c r="AA483" s="314">
        <v>1.3849</v>
      </c>
      <c r="AB483" s="314">
        <v>0</v>
      </c>
      <c r="AC483" s="314">
        <v>0</v>
      </c>
      <c r="AD483" s="314">
        <v>1.1995</v>
      </c>
      <c r="AE483" s="314">
        <v>1.8688</v>
      </c>
      <c r="AF483" s="314">
        <v>0</v>
      </c>
      <c r="AG483" s="314">
        <v>0</v>
      </c>
      <c r="AH483" s="314">
        <v>1.5003</v>
      </c>
      <c r="AI483" s="314">
        <v>1.4791000000000001</v>
      </c>
      <c r="AJ483" s="314">
        <v>1.2817000000000001</v>
      </c>
      <c r="AK483" s="314">
        <v>0</v>
      </c>
      <c r="AL483" s="314">
        <v>1.3706</v>
      </c>
      <c r="AM483" s="314">
        <v>1.5056</v>
      </c>
      <c r="AN483" s="314">
        <v>1.2929999999999999</v>
      </c>
      <c r="AO483" s="314">
        <v>0</v>
      </c>
      <c r="AP483" s="314">
        <v>1.5390999999999999</v>
      </c>
      <c r="AQ483" s="314">
        <v>1.5867</v>
      </c>
      <c r="AR483" s="314">
        <v>1.8403</v>
      </c>
      <c r="AS483" s="314">
        <v>0</v>
      </c>
      <c r="AT483" s="314">
        <v>1.7958000000000001</v>
      </c>
      <c r="AU483" s="314">
        <v>1.4147000000000001</v>
      </c>
      <c r="AV483" s="314">
        <v>1.39</v>
      </c>
      <c r="AW483" s="314">
        <v>1.8270999999999999</v>
      </c>
      <c r="AX483" s="314">
        <v>0</v>
      </c>
      <c r="AY483" s="314">
        <v>0</v>
      </c>
      <c r="AZ483" s="314">
        <v>0</v>
      </c>
      <c r="BA483" s="314">
        <v>0</v>
      </c>
      <c r="BB483" s="314">
        <v>0</v>
      </c>
      <c r="BC483" s="314">
        <v>1.5629</v>
      </c>
      <c r="BD483" s="314">
        <v>1.4843999999999999</v>
      </c>
      <c r="BE483" s="314">
        <v>1.4677</v>
      </c>
      <c r="BF483" s="314">
        <v>1.3857999999999999</v>
      </c>
      <c r="BG483" s="314">
        <v>1.9309000000000001</v>
      </c>
      <c r="BH483" s="314">
        <v>1.8886000000000001</v>
      </c>
      <c r="BI483" s="314">
        <v>1.4313</v>
      </c>
      <c r="BJ483" s="314">
        <v>1.3838999999999999</v>
      </c>
      <c r="BK483" s="314">
        <v>1.3933</v>
      </c>
    </row>
    <row r="484" spans="1:63" x14ac:dyDescent="0.25">
      <c r="A484" s="306">
        <v>313230</v>
      </c>
      <c r="B484" s="314" t="s">
        <v>62</v>
      </c>
      <c r="C484" s="314">
        <v>2.2726000000000002</v>
      </c>
      <c r="D484" s="314">
        <v>0</v>
      </c>
      <c r="E484" s="314">
        <v>1.7685999999999999</v>
      </c>
      <c r="F484" s="314">
        <v>1.4815</v>
      </c>
      <c r="G484" s="314">
        <v>1.3822000000000001</v>
      </c>
      <c r="H484" s="314">
        <v>1.6040000000000001</v>
      </c>
      <c r="I484" s="314">
        <v>0</v>
      </c>
      <c r="J484" s="314">
        <v>1.5443</v>
      </c>
      <c r="K484" s="314">
        <v>0</v>
      </c>
      <c r="L484" s="314">
        <v>1.5874999999999999</v>
      </c>
      <c r="M484" s="314">
        <v>1.4137</v>
      </c>
      <c r="N484" s="314">
        <v>1.8877999999999999</v>
      </c>
      <c r="O484" s="314">
        <v>0</v>
      </c>
      <c r="P484" s="314">
        <v>0</v>
      </c>
      <c r="Q484" s="314">
        <v>1.2824</v>
      </c>
      <c r="R484" s="314">
        <v>1.7737000000000001</v>
      </c>
      <c r="S484" s="314">
        <v>1.6827000000000001</v>
      </c>
      <c r="T484" s="314">
        <v>1.5457000000000001</v>
      </c>
      <c r="U484" s="314">
        <v>1.7215</v>
      </c>
      <c r="V484" s="314">
        <v>0</v>
      </c>
      <c r="W484" s="314">
        <v>1.6306</v>
      </c>
      <c r="X484" s="314">
        <v>1.4678</v>
      </c>
      <c r="Y484" s="314">
        <v>1.4835</v>
      </c>
      <c r="Z484" s="314">
        <v>0</v>
      </c>
      <c r="AA484" s="314">
        <v>0</v>
      </c>
      <c r="AB484" s="314">
        <v>1.7191000000000001</v>
      </c>
      <c r="AC484" s="314">
        <v>1.6789000000000001</v>
      </c>
      <c r="AD484" s="314">
        <v>0</v>
      </c>
      <c r="AE484" s="314">
        <v>1.8795999999999999</v>
      </c>
      <c r="AF484" s="314">
        <v>0</v>
      </c>
      <c r="AG484" s="314">
        <v>1.3474999999999999</v>
      </c>
      <c r="AH484" s="314">
        <v>1.4432</v>
      </c>
      <c r="AI484" s="314">
        <v>1.7382</v>
      </c>
      <c r="AJ484" s="314">
        <v>0</v>
      </c>
      <c r="AK484" s="314">
        <v>1.2588999999999999</v>
      </c>
      <c r="AL484" s="314">
        <v>1.4300999999999999</v>
      </c>
      <c r="AM484" s="314">
        <v>1.8564000000000001</v>
      </c>
      <c r="AN484" s="314">
        <v>1.4104000000000001</v>
      </c>
      <c r="AO484" s="314">
        <v>0</v>
      </c>
      <c r="AP484" s="314">
        <v>1.7725</v>
      </c>
      <c r="AQ484" s="314">
        <v>1.6778</v>
      </c>
      <c r="AR484" s="314">
        <v>1.9194</v>
      </c>
      <c r="AS484" s="314">
        <v>0</v>
      </c>
      <c r="AT484" s="314">
        <v>1.8548</v>
      </c>
      <c r="AU484" s="314">
        <v>1.7313000000000001</v>
      </c>
      <c r="AV484" s="314">
        <v>0</v>
      </c>
      <c r="AW484" s="314">
        <v>1.6466000000000001</v>
      </c>
      <c r="AX484" s="314">
        <v>0</v>
      </c>
      <c r="AY484" s="314">
        <v>1.3856999999999999</v>
      </c>
      <c r="AZ484" s="314">
        <v>1.6112</v>
      </c>
      <c r="BA484" s="314">
        <v>1.5445</v>
      </c>
      <c r="BB484" s="314">
        <v>0</v>
      </c>
      <c r="BC484" s="314">
        <v>1.6961999999999999</v>
      </c>
      <c r="BD484" s="314">
        <v>1.6983999999999999</v>
      </c>
      <c r="BE484" s="314">
        <v>1.8301000000000001</v>
      </c>
      <c r="BF484" s="314">
        <v>1.6051</v>
      </c>
      <c r="BG484" s="314">
        <v>1.9380999999999999</v>
      </c>
      <c r="BH484" s="314">
        <v>1.9635</v>
      </c>
      <c r="BI484" s="314">
        <v>1.7593000000000001</v>
      </c>
      <c r="BJ484" s="314">
        <v>1.4457</v>
      </c>
      <c r="BK484" s="314">
        <v>1.5805</v>
      </c>
    </row>
    <row r="485" spans="1:63" x14ac:dyDescent="0.25">
      <c r="A485" s="306">
        <v>313240</v>
      </c>
      <c r="B485" s="314" t="s">
        <v>63</v>
      </c>
      <c r="C485" s="314">
        <v>2.4121999999999999</v>
      </c>
      <c r="D485" s="314">
        <v>0</v>
      </c>
      <c r="E485" s="314">
        <v>2.0659999999999998</v>
      </c>
      <c r="F485" s="314">
        <v>0</v>
      </c>
      <c r="G485" s="314">
        <v>1.4795</v>
      </c>
      <c r="H485" s="314">
        <v>1.5329999999999999</v>
      </c>
      <c r="I485" s="314">
        <v>0</v>
      </c>
      <c r="J485" s="314">
        <v>0</v>
      </c>
      <c r="K485" s="314">
        <v>0</v>
      </c>
      <c r="L485" s="314">
        <v>0</v>
      </c>
      <c r="M485" s="314">
        <v>1.4372</v>
      </c>
      <c r="N485" s="314">
        <v>2.1435</v>
      </c>
      <c r="O485" s="314">
        <v>0</v>
      </c>
      <c r="P485" s="314">
        <v>1.2614000000000001</v>
      </c>
      <c r="Q485" s="314">
        <v>0</v>
      </c>
      <c r="R485" s="314">
        <v>1.4826999999999999</v>
      </c>
      <c r="S485" s="314">
        <v>1.3568</v>
      </c>
      <c r="T485" s="314">
        <v>1.3931</v>
      </c>
      <c r="U485" s="314">
        <v>1.3754999999999999</v>
      </c>
      <c r="V485" s="314">
        <v>0</v>
      </c>
      <c r="W485" s="314">
        <v>1.6103000000000001</v>
      </c>
      <c r="X485" s="314">
        <v>1.5589999999999999</v>
      </c>
      <c r="Y485" s="314">
        <v>1.6515</v>
      </c>
      <c r="Z485" s="314">
        <v>1.4108000000000001</v>
      </c>
      <c r="AA485" s="314">
        <v>1.3835999999999999</v>
      </c>
      <c r="AB485" s="314">
        <v>1.4080999999999999</v>
      </c>
      <c r="AC485" s="314">
        <v>1.5041</v>
      </c>
      <c r="AD485" s="314">
        <v>0</v>
      </c>
      <c r="AE485" s="314">
        <v>2.1183000000000001</v>
      </c>
      <c r="AF485" s="314">
        <v>0</v>
      </c>
      <c r="AG485" s="314">
        <v>0</v>
      </c>
      <c r="AH485" s="314">
        <v>1.5765</v>
      </c>
      <c r="AI485" s="314">
        <v>1.5725</v>
      </c>
      <c r="AJ485" s="314">
        <v>0</v>
      </c>
      <c r="AK485" s="314">
        <v>0</v>
      </c>
      <c r="AL485" s="314">
        <v>1.4699</v>
      </c>
      <c r="AM485" s="314">
        <v>0</v>
      </c>
      <c r="AN485" s="314">
        <v>0</v>
      </c>
      <c r="AO485" s="314">
        <v>0</v>
      </c>
      <c r="AP485" s="314">
        <v>1.6349</v>
      </c>
      <c r="AQ485" s="314">
        <v>1.7967</v>
      </c>
      <c r="AR485" s="314">
        <v>2.1074999999999999</v>
      </c>
      <c r="AS485" s="314">
        <v>0</v>
      </c>
      <c r="AT485" s="314">
        <v>2.0794000000000001</v>
      </c>
      <c r="AU485" s="314">
        <v>0</v>
      </c>
      <c r="AV485" s="314">
        <v>0</v>
      </c>
      <c r="AW485" s="314">
        <v>0</v>
      </c>
      <c r="AX485" s="314">
        <v>0</v>
      </c>
      <c r="AY485" s="314">
        <v>0</v>
      </c>
      <c r="AZ485" s="314">
        <v>1.4636</v>
      </c>
      <c r="BA485" s="314">
        <v>0</v>
      </c>
      <c r="BB485" s="314">
        <v>0</v>
      </c>
      <c r="BC485" s="314">
        <v>1.6919999999999999</v>
      </c>
      <c r="BD485" s="314">
        <v>1.5885</v>
      </c>
      <c r="BE485" s="314">
        <v>1.4873000000000001</v>
      </c>
      <c r="BF485" s="314">
        <v>1.3959999999999999</v>
      </c>
      <c r="BG485" s="314">
        <v>2.2046000000000001</v>
      </c>
      <c r="BH485" s="314">
        <v>2.1522000000000001</v>
      </c>
      <c r="BI485" s="314">
        <v>0</v>
      </c>
      <c r="BJ485" s="314">
        <v>1.4440999999999999</v>
      </c>
      <c r="BK485" s="314">
        <v>1.5274000000000001</v>
      </c>
    </row>
    <row r="486" spans="1:63" x14ac:dyDescent="0.25">
      <c r="A486" s="306">
        <v>313310</v>
      </c>
      <c r="B486" s="314" t="s">
        <v>64</v>
      </c>
      <c r="C486" s="314">
        <v>2.0488</v>
      </c>
      <c r="D486" s="314">
        <v>1.1994</v>
      </c>
      <c r="E486" s="314">
        <v>1.6852</v>
      </c>
      <c r="F486" s="314">
        <v>1.3552999999999999</v>
      </c>
      <c r="G486" s="314">
        <v>1.3281000000000001</v>
      </c>
      <c r="H486" s="314">
        <v>1.502</v>
      </c>
      <c r="I486" s="314">
        <v>1.3689</v>
      </c>
      <c r="J486" s="314">
        <v>1.4006000000000001</v>
      </c>
      <c r="K486" s="314">
        <v>1.1187</v>
      </c>
      <c r="L486" s="314">
        <v>1.3515999999999999</v>
      </c>
      <c r="M486" s="314">
        <v>1.3258000000000001</v>
      </c>
      <c r="N486" s="314">
        <v>1.7948999999999999</v>
      </c>
      <c r="O486" s="314">
        <v>1.2381</v>
      </c>
      <c r="P486" s="314">
        <v>1.2906</v>
      </c>
      <c r="Q486" s="314">
        <v>1.2339</v>
      </c>
      <c r="R486" s="314">
        <v>1.4679</v>
      </c>
      <c r="S486" s="314">
        <v>1.407</v>
      </c>
      <c r="T486" s="314">
        <v>1.3641000000000001</v>
      </c>
      <c r="U486" s="314">
        <v>1.4366000000000001</v>
      </c>
      <c r="V486" s="314">
        <v>1.4886999999999999</v>
      </c>
      <c r="W486" s="314">
        <v>1.5784</v>
      </c>
      <c r="X486" s="314">
        <v>1.3878999999999999</v>
      </c>
      <c r="Y486" s="314">
        <v>1.4689000000000001</v>
      </c>
      <c r="Z486" s="314">
        <v>1.4325000000000001</v>
      </c>
      <c r="AA486" s="314">
        <v>1.3872</v>
      </c>
      <c r="AB486" s="314">
        <v>1.3715999999999999</v>
      </c>
      <c r="AC486" s="314">
        <v>1.5533999999999999</v>
      </c>
      <c r="AD486" s="314">
        <v>1.2252000000000001</v>
      </c>
      <c r="AE486" s="314">
        <v>1.8180000000000001</v>
      </c>
      <c r="AF486" s="314">
        <v>1.3612</v>
      </c>
      <c r="AG486" s="314">
        <v>1.2556</v>
      </c>
      <c r="AH486" s="314">
        <v>1.5349999999999999</v>
      </c>
      <c r="AI486" s="314">
        <v>1.5633999999999999</v>
      </c>
      <c r="AJ486" s="314">
        <v>1.2404999999999999</v>
      </c>
      <c r="AK486" s="314">
        <v>0</v>
      </c>
      <c r="AL486" s="314">
        <v>1.4883</v>
      </c>
      <c r="AM486" s="314">
        <v>1.4916</v>
      </c>
      <c r="AN486" s="314">
        <v>1.3048999999999999</v>
      </c>
      <c r="AO486" s="314">
        <v>1.4209000000000001</v>
      </c>
      <c r="AP486" s="314">
        <v>1.7417</v>
      </c>
      <c r="AQ486" s="314">
        <v>1.5599000000000001</v>
      </c>
      <c r="AR486" s="314">
        <v>1.7907</v>
      </c>
      <c r="AS486" s="314">
        <v>1.1913</v>
      </c>
      <c r="AT486" s="314">
        <v>1.6908000000000001</v>
      </c>
      <c r="AU486" s="314">
        <v>1.5365</v>
      </c>
      <c r="AV486" s="314">
        <v>1.4508000000000001</v>
      </c>
      <c r="AW486" s="314">
        <v>1.6313</v>
      </c>
      <c r="AX486" s="314">
        <v>1.2808999999999999</v>
      </c>
      <c r="AY486" s="314">
        <v>1.3588</v>
      </c>
      <c r="AZ486" s="314">
        <v>1.5152000000000001</v>
      </c>
      <c r="BA486" s="314">
        <v>0</v>
      </c>
      <c r="BB486" s="314">
        <v>1.2256</v>
      </c>
      <c r="BC486" s="314">
        <v>1.6792</v>
      </c>
      <c r="BD486" s="314">
        <v>1.6417999999999999</v>
      </c>
      <c r="BE486" s="314">
        <v>1.5199</v>
      </c>
      <c r="BF486" s="314">
        <v>1.389</v>
      </c>
      <c r="BG486" s="314">
        <v>1.8748</v>
      </c>
      <c r="BH486" s="314">
        <v>1.8206</v>
      </c>
      <c r="BI486" s="314">
        <v>1.5376000000000001</v>
      </c>
      <c r="BJ486" s="314">
        <v>1.3736999999999999</v>
      </c>
      <c r="BK486" s="314">
        <v>1.5072000000000001</v>
      </c>
    </row>
    <row r="487" spans="1:63" x14ac:dyDescent="0.25">
      <c r="A487" s="306">
        <v>313320</v>
      </c>
      <c r="B487" s="314" t="s">
        <v>65</v>
      </c>
      <c r="C487" s="314">
        <v>2.3481000000000001</v>
      </c>
      <c r="D487" s="314">
        <v>0</v>
      </c>
      <c r="E487" s="314">
        <v>0</v>
      </c>
      <c r="F487" s="314">
        <v>1.6634</v>
      </c>
      <c r="G487" s="314">
        <v>1.3722000000000001</v>
      </c>
      <c r="H487" s="314">
        <v>1.5505</v>
      </c>
      <c r="I487" s="314">
        <v>1.4240999999999999</v>
      </c>
      <c r="J487" s="314">
        <v>1.5814999999999999</v>
      </c>
      <c r="K487" s="314">
        <v>0</v>
      </c>
      <c r="L487" s="314">
        <v>1.7248000000000001</v>
      </c>
      <c r="M487" s="314">
        <v>1.4298999999999999</v>
      </c>
      <c r="N487" s="314">
        <v>1.9963</v>
      </c>
      <c r="O487" s="314">
        <v>0</v>
      </c>
      <c r="P487" s="314">
        <v>0</v>
      </c>
      <c r="Q487" s="314">
        <v>0</v>
      </c>
      <c r="R487" s="314">
        <v>1.6954</v>
      </c>
      <c r="S487" s="314">
        <v>1.7296</v>
      </c>
      <c r="T487" s="314">
        <v>0</v>
      </c>
      <c r="U487" s="314">
        <v>0</v>
      </c>
      <c r="V487" s="314">
        <v>0</v>
      </c>
      <c r="W487" s="314">
        <v>1.8351999999999999</v>
      </c>
      <c r="X487" s="314">
        <v>1.4171</v>
      </c>
      <c r="Y487" s="314">
        <v>1.6079000000000001</v>
      </c>
      <c r="Z487" s="314">
        <v>1.5518000000000001</v>
      </c>
      <c r="AA487" s="314">
        <v>1.5376000000000001</v>
      </c>
      <c r="AB487" s="314">
        <v>1.6688000000000001</v>
      </c>
      <c r="AC487" s="314">
        <v>0</v>
      </c>
      <c r="AD487" s="314">
        <v>0</v>
      </c>
      <c r="AE487" s="314">
        <v>1.95</v>
      </c>
      <c r="AF487" s="314">
        <v>0</v>
      </c>
      <c r="AG487" s="314">
        <v>0</v>
      </c>
      <c r="AH487" s="314">
        <v>1.6901999999999999</v>
      </c>
      <c r="AI487" s="314">
        <v>1.7638</v>
      </c>
      <c r="AJ487" s="314">
        <v>1.2407999999999999</v>
      </c>
      <c r="AK487" s="314">
        <v>1.3242</v>
      </c>
      <c r="AL487" s="314">
        <v>1.5027999999999999</v>
      </c>
      <c r="AM487" s="314">
        <v>1.9597</v>
      </c>
      <c r="AN487" s="314">
        <v>1.3841000000000001</v>
      </c>
      <c r="AO487" s="314">
        <v>0</v>
      </c>
      <c r="AP487" s="314">
        <v>1.8208</v>
      </c>
      <c r="AQ487" s="314">
        <v>1.7939000000000001</v>
      </c>
      <c r="AR487" s="314">
        <v>1.9934000000000001</v>
      </c>
      <c r="AS487" s="314">
        <v>0</v>
      </c>
      <c r="AT487" s="314">
        <v>1.9367000000000001</v>
      </c>
      <c r="AU487" s="314">
        <v>1.7173</v>
      </c>
      <c r="AV487" s="314">
        <v>1.4434</v>
      </c>
      <c r="AW487" s="314">
        <v>1.8314999999999999</v>
      </c>
      <c r="AX487" s="314">
        <v>0</v>
      </c>
      <c r="AY487" s="314">
        <v>1.4398</v>
      </c>
      <c r="AZ487" s="314">
        <v>1.7693000000000001</v>
      </c>
      <c r="BA487" s="314">
        <v>0</v>
      </c>
      <c r="BB487" s="314">
        <v>0</v>
      </c>
      <c r="BC487" s="314">
        <v>1.9117</v>
      </c>
      <c r="BD487" s="314">
        <v>1.7463</v>
      </c>
      <c r="BE487" s="314">
        <v>1.8866000000000001</v>
      </c>
      <c r="BF487" s="314">
        <v>1.5853999999999999</v>
      </c>
      <c r="BG487" s="314">
        <v>2.0156000000000001</v>
      </c>
      <c r="BH487" s="314">
        <v>2.0707</v>
      </c>
      <c r="BI487" s="314">
        <v>1.7511000000000001</v>
      </c>
      <c r="BJ487" s="314">
        <v>1.4182999999999999</v>
      </c>
      <c r="BK487" s="314">
        <v>1.5546</v>
      </c>
    </row>
    <row r="488" spans="1:63" x14ac:dyDescent="0.25">
      <c r="A488" s="306">
        <v>314110</v>
      </c>
      <c r="B488" s="314" t="s">
        <v>66</v>
      </c>
      <c r="C488" s="314">
        <v>2.4338000000000002</v>
      </c>
      <c r="D488" s="314">
        <v>0</v>
      </c>
      <c r="E488" s="314">
        <v>2.1013999999999999</v>
      </c>
      <c r="F488" s="314">
        <v>1.3202</v>
      </c>
      <c r="G488" s="314">
        <v>1.375</v>
      </c>
      <c r="H488" s="314">
        <v>1.2892999999999999</v>
      </c>
      <c r="I488" s="314">
        <v>1.2113</v>
      </c>
      <c r="J488" s="314">
        <v>1.2898000000000001</v>
      </c>
      <c r="K488" s="314">
        <v>1.0454000000000001</v>
      </c>
      <c r="L488" s="314">
        <v>0</v>
      </c>
      <c r="M488" s="314">
        <v>1.3442000000000001</v>
      </c>
      <c r="N488" s="314">
        <v>2.1303000000000001</v>
      </c>
      <c r="O488" s="314">
        <v>0</v>
      </c>
      <c r="P488" s="314">
        <v>1.1873</v>
      </c>
      <c r="Q488" s="314">
        <v>0</v>
      </c>
      <c r="R488" s="314">
        <v>1.3103</v>
      </c>
      <c r="S488" s="314">
        <v>1.337</v>
      </c>
      <c r="T488" s="314">
        <v>1.3521000000000001</v>
      </c>
      <c r="U488" s="314">
        <v>1.3602000000000001</v>
      </c>
      <c r="V488" s="314">
        <v>0</v>
      </c>
      <c r="W488" s="314">
        <v>1.4686999999999999</v>
      </c>
      <c r="X488" s="314">
        <v>1.3774999999999999</v>
      </c>
      <c r="Y488" s="314">
        <v>1.5725</v>
      </c>
      <c r="Z488" s="314">
        <v>1.2745</v>
      </c>
      <c r="AA488" s="314">
        <v>1.2378</v>
      </c>
      <c r="AB488" s="314">
        <v>1.2790999999999999</v>
      </c>
      <c r="AC488" s="314">
        <v>0</v>
      </c>
      <c r="AD488" s="314">
        <v>0</v>
      </c>
      <c r="AE488" s="314">
        <v>2.129</v>
      </c>
      <c r="AF488" s="314">
        <v>0</v>
      </c>
      <c r="AG488" s="314">
        <v>1.2323</v>
      </c>
      <c r="AH488" s="314">
        <v>1.4671000000000001</v>
      </c>
      <c r="AI488" s="314">
        <v>1.3509</v>
      </c>
      <c r="AJ488" s="314">
        <v>1.2045999999999999</v>
      </c>
      <c r="AK488" s="314">
        <v>0</v>
      </c>
      <c r="AL488" s="314">
        <v>1.2352000000000001</v>
      </c>
      <c r="AM488" s="314">
        <v>1.4904999999999999</v>
      </c>
      <c r="AN488" s="314">
        <v>1.1963999999999999</v>
      </c>
      <c r="AO488" s="314">
        <v>0</v>
      </c>
      <c r="AP488" s="314">
        <v>1.4646999999999999</v>
      </c>
      <c r="AQ488" s="314">
        <v>1.6632</v>
      </c>
      <c r="AR488" s="314">
        <v>2.1625999999999999</v>
      </c>
      <c r="AS488" s="314">
        <v>0</v>
      </c>
      <c r="AT488" s="314">
        <v>2.0935999999999999</v>
      </c>
      <c r="AU488" s="314">
        <v>1.3411</v>
      </c>
      <c r="AV488" s="314">
        <v>0</v>
      </c>
      <c r="AW488" s="314">
        <v>1.9825999999999999</v>
      </c>
      <c r="AX488" s="314">
        <v>1.3684000000000001</v>
      </c>
      <c r="AY488" s="314">
        <v>1.2214</v>
      </c>
      <c r="AZ488" s="314">
        <v>1.4192</v>
      </c>
      <c r="BA488" s="314">
        <v>0</v>
      </c>
      <c r="BB488" s="314">
        <v>0</v>
      </c>
      <c r="BC488" s="314">
        <v>1.5528999999999999</v>
      </c>
      <c r="BD488" s="314">
        <v>1.3635999999999999</v>
      </c>
      <c r="BE488" s="314">
        <v>1.4207000000000001</v>
      </c>
      <c r="BF488" s="314">
        <v>1.2803</v>
      </c>
      <c r="BG488" s="314">
        <v>2.1787999999999998</v>
      </c>
      <c r="BH488" s="314">
        <v>2.2191000000000001</v>
      </c>
      <c r="BI488" s="314">
        <v>1.3769</v>
      </c>
      <c r="BJ488" s="314">
        <v>1.2768999999999999</v>
      </c>
      <c r="BK488" s="314">
        <v>1.286</v>
      </c>
    </row>
    <row r="489" spans="1:63" x14ac:dyDescent="0.25">
      <c r="A489" s="306">
        <v>314120</v>
      </c>
      <c r="B489" s="314" t="s">
        <v>67</v>
      </c>
      <c r="C489" s="314">
        <v>1.9208000000000001</v>
      </c>
      <c r="D489" s="314">
        <v>0</v>
      </c>
      <c r="E489" s="314">
        <v>1.6918</v>
      </c>
      <c r="F489" s="314">
        <v>1.2635000000000001</v>
      </c>
      <c r="G489" s="314">
        <v>1.2850999999999999</v>
      </c>
      <c r="H489" s="314">
        <v>1.3920999999999999</v>
      </c>
      <c r="I489" s="314">
        <v>1.2705</v>
      </c>
      <c r="J489" s="314">
        <v>1.3977999999999999</v>
      </c>
      <c r="K489" s="314">
        <v>1.0841000000000001</v>
      </c>
      <c r="L489" s="314">
        <v>1.2271000000000001</v>
      </c>
      <c r="M489" s="314">
        <v>1.2925</v>
      </c>
      <c r="N489" s="314">
        <v>1.7535000000000001</v>
      </c>
      <c r="O489" s="314">
        <v>1.1728000000000001</v>
      </c>
      <c r="P489" s="314">
        <v>1.1868000000000001</v>
      </c>
      <c r="Q489" s="314">
        <v>1.1981999999999999</v>
      </c>
      <c r="R489" s="314">
        <v>1.3745000000000001</v>
      </c>
      <c r="S489" s="314">
        <v>1.3322000000000001</v>
      </c>
      <c r="T489" s="314">
        <v>1.2562</v>
      </c>
      <c r="U489" s="314">
        <v>1.3243</v>
      </c>
      <c r="V489" s="314">
        <v>1.3614999999999999</v>
      </c>
      <c r="W489" s="314">
        <v>1.494</v>
      </c>
      <c r="X489" s="314">
        <v>1.2924</v>
      </c>
      <c r="Y489" s="314">
        <v>1.5162</v>
      </c>
      <c r="Z489" s="314">
        <v>1.3120000000000001</v>
      </c>
      <c r="AA489" s="314">
        <v>1.3556999999999999</v>
      </c>
      <c r="AB489" s="314">
        <v>1.3055000000000001</v>
      </c>
      <c r="AC489" s="314">
        <v>1.5134000000000001</v>
      </c>
      <c r="AD489" s="314">
        <v>1.1783999999999999</v>
      </c>
      <c r="AE489" s="314">
        <v>1.7468999999999999</v>
      </c>
      <c r="AF489" s="314">
        <v>1.3219000000000001</v>
      </c>
      <c r="AG489" s="314">
        <v>1.1806000000000001</v>
      </c>
      <c r="AH489" s="314">
        <v>1.5183</v>
      </c>
      <c r="AI489" s="314">
        <v>1.4116</v>
      </c>
      <c r="AJ489" s="314">
        <v>1.1794</v>
      </c>
      <c r="AK489" s="314">
        <v>1.2184999999999999</v>
      </c>
      <c r="AL489" s="314">
        <v>1.3847</v>
      </c>
      <c r="AM489" s="314">
        <v>1.4126000000000001</v>
      </c>
      <c r="AN489" s="314">
        <v>1.2524999999999999</v>
      </c>
      <c r="AO489" s="314">
        <v>1.3192999999999999</v>
      </c>
      <c r="AP489" s="314">
        <v>1.6223000000000001</v>
      </c>
      <c r="AQ489" s="314">
        <v>1.4118999999999999</v>
      </c>
      <c r="AR489" s="314">
        <v>1.726</v>
      </c>
      <c r="AS489" s="314">
        <v>1.1674</v>
      </c>
      <c r="AT489" s="314">
        <v>1.5556000000000001</v>
      </c>
      <c r="AU489" s="314">
        <v>1.4389000000000001</v>
      </c>
      <c r="AV489" s="314">
        <v>1.3743000000000001</v>
      </c>
      <c r="AW489" s="314">
        <v>1.6380999999999999</v>
      </c>
      <c r="AX489" s="314">
        <v>1.2518</v>
      </c>
      <c r="AY489" s="314">
        <v>1.3322000000000001</v>
      </c>
      <c r="AZ489" s="314">
        <v>1.4976</v>
      </c>
      <c r="BA489" s="314">
        <v>1.1938</v>
      </c>
      <c r="BB489" s="314">
        <v>1.1474</v>
      </c>
      <c r="BC489" s="314">
        <v>1.6331</v>
      </c>
      <c r="BD489" s="314">
        <v>1.5134000000000001</v>
      </c>
      <c r="BE489" s="314">
        <v>1.4340999999999999</v>
      </c>
      <c r="BF489" s="314">
        <v>1.3188</v>
      </c>
      <c r="BG489" s="314">
        <v>1.7697000000000001</v>
      </c>
      <c r="BH489" s="314">
        <v>1.7717000000000001</v>
      </c>
      <c r="BI489" s="314">
        <v>1.4269000000000001</v>
      </c>
      <c r="BJ489" s="314">
        <v>1.3092999999999999</v>
      </c>
      <c r="BK489" s="314">
        <v>1.4006000000000001</v>
      </c>
    </row>
    <row r="490" spans="1:63" x14ac:dyDescent="0.25">
      <c r="A490" s="306">
        <v>314910</v>
      </c>
      <c r="B490" s="314" t="s">
        <v>68</v>
      </c>
      <c r="C490" s="314">
        <v>1.9173</v>
      </c>
      <c r="D490" s="314">
        <v>1.1853</v>
      </c>
      <c r="E490" s="314">
        <v>1.5331999999999999</v>
      </c>
      <c r="F490" s="314">
        <v>1.3308</v>
      </c>
      <c r="G490" s="314">
        <v>1.4097</v>
      </c>
      <c r="H490" s="314">
        <v>1.4701</v>
      </c>
      <c r="I490" s="314">
        <v>1.3854</v>
      </c>
      <c r="J490" s="314">
        <v>1.5210999999999999</v>
      </c>
      <c r="K490" s="314">
        <v>0</v>
      </c>
      <c r="L490" s="314">
        <v>1.3446</v>
      </c>
      <c r="M490" s="314">
        <v>1.3603000000000001</v>
      </c>
      <c r="N490" s="314">
        <v>1.7325999999999999</v>
      </c>
      <c r="O490" s="314">
        <v>1.2246999999999999</v>
      </c>
      <c r="P490" s="314">
        <v>1.248</v>
      </c>
      <c r="Q490" s="314">
        <v>1.2295</v>
      </c>
      <c r="R490" s="314">
        <v>1.4938</v>
      </c>
      <c r="S490" s="314">
        <v>1.4748000000000001</v>
      </c>
      <c r="T490" s="314">
        <v>1.3056000000000001</v>
      </c>
      <c r="U490" s="314">
        <v>1.3776999999999999</v>
      </c>
      <c r="V490" s="314">
        <v>1.3778999999999999</v>
      </c>
      <c r="W490" s="314">
        <v>1.6113999999999999</v>
      </c>
      <c r="X490" s="314">
        <v>1.3536999999999999</v>
      </c>
      <c r="Y490" s="314">
        <v>1.4547000000000001</v>
      </c>
      <c r="Z490" s="314">
        <v>1.4782</v>
      </c>
      <c r="AA490" s="314">
        <v>1.4318</v>
      </c>
      <c r="AB490" s="314">
        <v>1.502</v>
      </c>
      <c r="AC490" s="314">
        <v>1.3915</v>
      </c>
      <c r="AD490" s="314">
        <v>1.1938</v>
      </c>
      <c r="AE490" s="314">
        <v>1.696</v>
      </c>
      <c r="AF490" s="314">
        <v>1.2587999999999999</v>
      </c>
      <c r="AG490" s="314">
        <v>1.2202999999999999</v>
      </c>
      <c r="AH490" s="314">
        <v>1.5608</v>
      </c>
      <c r="AI490" s="314">
        <v>1.5765</v>
      </c>
      <c r="AJ490" s="314">
        <v>1.2452000000000001</v>
      </c>
      <c r="AK490" s="314">
        <v>1.3715999999999999</v>
      </c>
      <c r="AL490" s="314">
        <v>1.4312</v>
      </c>
      <c r="AM490" s="314">
        <v>1.5894999999999999</v>
      </c>
      <c r="AN490" s="314">
        <v>1.3242</v>
      </c>
      <c r="AO490" s="314">
        <v>1.3707</v>
      </c>
      <c r="AP490" s="314">
        <v>1.6361000000000001</v>
      </c>
      <c r="AQ490" s="314">
        <v>1.5236000000000001</v>
      </c>
      <c r="AR490" s="314">
        <v>1.6996</v>
      </c>
      <c r="AS490" s="314">
        <v>1.2074</v>
      </c>
      <c r="AT490" s="314">
        <v>1.6345000000000001</v>
      </c>
      <c r="AU490" s="314">
        <v>1.5268999999999999</v>
      </c>
      <c r="AV490" s="314">
        <v>1.4151</v>
      </c>
      <c r="AW490" s="314">
        <v>1.6167</v>
      </c>
      <c r="AX490" s="314">
        <v>1.2850999999999999</v>
      </c>
      <c r="AY490" s="314">
        <v>1.3895999999999999</v>
      </c>
      <c r="AZ490" s="314">
        <v>1.5163</v>
      </c>
      <c r="BA490" s="314">
        <v>1.2542</v>
      </c>
      <c r="BB490" s="314">
        <v>1.1781999999999999</v>
      </c>
      <c r="BC490" s="314">
        <v>1.6746000000000001</v>
      </c>
      <c r="BD490" s="314">
        <v>1.5905</v>
      </c>
      <c r="BE490" s="314">
        <v>1.5943000000000001</v>
      </c>
      <c r="BF490" s="314">
        <v>1.4582999999999999</v>
      </c>
      <c r="BG490" s="314">
        <v>1.7527999999999999</v>
      </c>
      <c r="BH490" s="314">
        <v>1.7333000000000001</v>
      </c>
      <c r="BI490" s="314">
        <v>1.5137</v>
      </c>
      <c r="BJ490" s="314">
        <v>1.4273</v>
      </c>
      <c r="BK490" s="314">
        <v>1.4688000000000001</v>
      </c>
    </row>
    <row r="491" spans="1:63" x14ac:dyDescent="0.25">
      <c r="A491" s="306">
        <v>314990</v>
      </c>
      <c r="B491" s="314" t="s">
        <v>69</v>
      </c>
      <c r="C491" s="314">
        <v>2.0320999999999998</v>
      </c>
      <c r="D491" s="314">
        <v>1.1944999999999999</v>
      </c>
      <c r="E491" s="314">
        <v>1.7532000000000001</v>
      </c>
      <c r="F491" s="314">
        <v>1.3491</v>
      </c>
      <c r="G491" s="314">
        <v>1.3848</v>
      </c>
      <c r="H491" s="314">
        <v>1.4487000000000001</v>
      </c>
      <c r="I491" s="314">
        <v>1.3678999999999999</v>
      </c>
      <c r="J491" s="314">
        <v>1.4053</v>
      </c>
      <c r="K491" s="314">
        <v>0</v>
      </c>
      <c r="L491" s="314">
        <v>1.4577</v>
      </c>
      <c r="M491" s="314">
        <v>1.4174</v>
      </c>
      <c r="N491" s="314">
        <v>1.7879</v>
      </c>
      <c r="O491" s="314">
        <v>1.2430000000000001</v>
      </c>
      <c r="P491" s="314">
        <v>1.2747999999999999</v>
      </c>
      <c r="Q491" s="314">
        <v>1.2476</v>
      </c>
      <c r="R491" s="314">
        <v>1.4817</v>
      </c>
      <c r="S491" s="314">
        <v>1.3917999999999999</v>
      </c>
      <c r="T491" s="314">
        <v>1.3801000000000001</v>
      </c>
      <c r="U491" s="314">
        <v>1.4137</v>
      </c>
      <c r="V491" s="314">
        <v>1.4399</v>
      </c>
      <c r="W491" s="314">
        <v>1.5203</v>
      </c>
      <c r="X491" s="314">
        <v>1.4181999999999999</v>
      </c>
      <c r="Y491" s="314">
        <v>1.4335</v>
      </c>
      <c r="Z491" s="314">
        <v>1.4006000000000001</v>
      </c>
      <c r="AA491" s="314">
        <v>1.369</v>
      </c>
      <c r="AB491" s="314">
        <v>1.4135</v>
      </c>
      <c r="AC491" s="314">
        <v>1.4618</v>
      </c>
      <c r="AD491" s="314">
        <v>1.2347999999999999</v>
      </c>
      <c r="AE491" s="314">
        <v>1.7614000000000001</v>
      </c>
      <c r="AF491" s="314">
        <v>1.2351000000000001</v>
      </c>
      <c r="AG491" s="314">
        <v>1.2753000000000001</v>
      </c>
      <c r="AH491" s="314">
        <v>1.4159999999999999</v>
      </c>
      <c r="AI491" s="314">
        <v>1.4988999999999999</v>
      </c>
      <c r="AJ491" s="314">
        <v>1.2566999999999999</v>
      </c>
      <c r="AK491" s="314">
        <v>1.2561</v>
      </c>
      <c r="AL491" s="314">
        <v>1.3918999999999999</v>
      </c>
      <c r="AM491" s="314">
        <v>1.5294000000000001</v>
      </c>
      <c r="AN491" s="314">
        <v>1.3269</v>
      </c>
      <c r="AO491" s="314">
        <v>1.3535999999999999</v>
      </c>
      <c r="AP491" s="314">
        <v>1.5378000000000001</v>
      </c>
      <c r="AQ491" s="314">
        <v>1.5170999999999999</v>
      </c>
      <c r="AR491" s="314">
        <v>1.7807999999999999</v>
      </c>
      <c r="AS491" s="314">
        <v>1.2081</v>
      </c>
      <c r="AT491" s="314">
        <v>1.7569999999999999</v>
      </c>
      <c r="AU491" s="314">
        <v>1.4595</v>
      </c>
      <c r="AV491" s="314">
        <v>1.4111</v>
      </c>
      <c r="AW491" s="314">
        <v>1.6858</v>
      </c>
      <c r="AX491" s="314">
        <v>1.3744000000000001</v>
      </c>
      <c r="AY491" s="314">
        <v>1.3369</v>
      </c>
      <c r="AZ491" s="314">
        <v>1.3915999999999999</v>
      </c>
      <c r="BA491" s="314">
        <v>1.3069</v>
      </c>
      <c r="BB491" s="314">
        <v>1.2307999999999999</v>
      </c>
      <c r="BC491" s="314">
        <v>1.5641</v>
      </c>
      <c r="BD491" s="314">
        <v>1.5208999999999999</v>
      </c>
      <c r="BE491" s="314">
        <v>1.5004999999999999</v>
      </c>
      <c r="BF491" s="314">
        <v>1.3852</v>
      </c>
      <c r="BG491" s="314">
        <v>1.8332999999999999</v>
      </c>
      <c r="BH491" s="314">
        <v>1.8369</v>
      </c>
      <c r="BI491" s="314">
        <v>1.4782</v>
      </c>
      <c r="BJ491" s="314">
        <v>1.3781000000000001</v>
      </c>
      <c r="BK491" s="314">
        <v>1.4496</v>
      </c>
    </row>
    <row r="492" spans="1:63" x14ac:dyDescent="0.25">
      <c r="A492" s="306">
        <v>315100</v>
      </c>
      <c r="B492" s="314" t="s">
        <v>70</v>
      </c>
      <c r="C492" s="314">
        <v>2.1328</v>
      </c>
      <c r="D492" s="314">
        <v>0</v>
      </c>
      <c r="E492" s="314">
        <v>1.8351999999999999</v>
      </c>
      <c r="F492" s="314">
        <v>1.4327000000000001</v>
      </c>
      <c r="G492" s="314">
        <v>1.4114</v>
      </c>
      <c r="H492" s="314">
        <v>1.5541</v>
      </c>
      <c r="I492" s="314">
        <v>1.3928</v>
      </c>
      <c r="J492" s="314">
        <v>0</v>
      </c>
      <c r="K492" s="314">
        <v>0</v>
      </c>
      <c r="L492" s="314">
        <v>0</v>
      </c>
      <c r="M492" s="314">
        <v>1.3471</v>
      </c>
      <c r="N492" s="314">
        <v>1.8481000000000001</v>
      </c>
      <c r="O492" s="314">
        <v>0</v>
      </c>
      <c r="P492" s="314">
        <v>1.3086</v>
      </c>
      <c r="Q492" s="314">
        <v>0</v>
      </c>
      <c r="R492" s="314">
        <v>1.4523999999999999</v>
      </c>
      <c r="S492" s="314">
        <v>1.3971</v>
      </c>
      <c r="T492" s="314">
        <v>1.3919999999999999</v>
      </c>
      <c r="U492" s="314">
        <v>1.4715</v>
      </c>
      <c r="V492" s="314">
        <v>1.4414</v>
      </c>
      <c r="W492" s="314">
        <v>1.4870000000000001</v>
      </c>
      <c r="X492" s="314">
        <v>0</v>
      </c>
      <c r="Y492" s="314">
        <v>0</v>
      </c>
      <c r="Z492" s="314">
        <v>1.4141999999999999</v>
      </c>
      <c r="AA492" s="314">
        <v>1.4179999999999999</v>
      </c>
      <c r="AB492" s="314">
        <v>1.4390000000000001</v>
      </c>
      <c r="AC492" s="314">
        <v>1.3988</v>
      </c>
      <c r="AD492" s="314">
        <v>0</v>
      </c>
      <c r="AE492" s="314">
        <v>1.8637999999999999</v>
      </c>
      <c r="AF492" s="314">
        <v>0</v>
      </c>
      <c r="AG492" s="314">
        <v>0</v>
      </c>
      <c r="AH492" s="314">
        <v>0</v>
      </c>
      <c r="AI492" s="314">
        <v>1.5274000000000001</v>
      </c>
      <c r="AJ492" s="314">
        <v>1.2143999999999999</v>
      </c>
      <c r="AK492" s="314">
        <v>0</v>
      </c>
      <c r="AL492" s="314">
        <v>1.4350000000000001</v>
      </c>
      <c r="AM492" s="314">
        <v>1.4585999999999999</v>
      </c>
      <c r="AN492" s="314">
        <v>0</v>
      </c>
      <c r="AO492" s="314">
        <v>1.3786</v>
      </c>
      <c r="AP492" s="314">
        <v>1.6431</v>
      </c>
      <c r="AQ492" s="314">
        <v>1.6446000000000001</v>
      </c>
      <c r="AR492" s="314">
        <v>1.8454999999999999</v>
      </c>
      <c r="AS492" s="314">
        <v>0</v>
      </c>
      <c r="AT492" s="314">
        <v>1.8980999999999999</v>
      </c>
      <c r="AU492" s="314">
        <v>1.4066000000000001</v>
      </c>
      <c r="AV492" s="314">
        <v>1.4004000000000001</v>
      </c>
      <c r="AW492" s="314">
        <v>1.6980999999999999</v>
      </c>
      <c r="AX492" s="314">
        <v>1.3498000000000001</v>
      </c>
      <c r="AY492" s="314">
        <v>0</v>
      </c>
      <c r="AZ492" s="314">
        <v>1.4998</v>
      </c>
      <c r="BA492" s="314">
        <v>0</v>
      </c>
      <c r="BB492" s="314">
        <v>0</v>
      </c>
      <c r="BC492" s="314">
        <v>1.5438000000000001</v>
      </c>
      <c r="BD492" s="314">
        <v>1.5651999999999999</v>
      </c>
      <c r="BE492" s="314">
        <v>1.4742</v>
      </c>
      <c r="BF492" s="314">
        <v>1.4332</v>
      </c>
      <c r="BG492" s="314">
        <v>1.9180999999999999</v>
      </c>
      <c r="BH492" s="314">
        <v>1.9137999999999999</v>
      </c>
      <c r="BI492" s="314">
        <v>1.4450000000000001</v>
      </c>
      <c r="BJ492" s="314">
        <v>1.3903000000000001</v>
      </c>
      <c r="BK492" s="314">
        <v>1.5414000000000001</v>
      </c>
    </row>
    <row r="493" spans="1:63" x14ac:dyDescent="0.25">
      <c r="A493" s="306">
        <v>315210</v>
      </c>
      <c r="B493" s="314" t="s">
        <v>71</v>
      </c>
      <c r="C493" s="314">
        <v>1.6898</v>
      </c>
      <c r="D493" s="314">
        <v>0</v>
      </c>
      <c r="E493" s="314">
        <v>1.403</v>
      </c>
      <c r="F493" s="314">
        <v>1.3334999999999999</v>
      </c>
      <c r="G493" s="314">
        <v>1.3451</v>
      </c>
      <c r="H493" s="314">
        <v>1.4903999999999999</v>
      </c>
      <c r="I493" s="314">
        <v>1.4601999999999999</v>
      </c>
      <c r="J493" s="314">
        <v>1.4084000000000001</v>
      </c>
      <c r="K493" s="314">
        <v>1.1873</v>
      </c>
      <c r="L493" s="314">
        <v>1.369</v>
      </c>
      <c r="M493" s="314">
        <v>1.3587</v>
      </c>
      <c r="N493" s="314">
        <v>1.5018</v>
      </c>
      <c r="O493" s="314">
        <v>1.3154999999999999</v>
      </c>
      <c r="P493" s="314">
        <v>1.2155</v>
      </c>
      <c r="Q493" s="314">
        <v>1.2782</v>
      </c>
      <c r="R493" s="314">
        <v>1.4632000000000001</v>
      </c>
      <c r="S493" s="314">
        <v>1.3242</v>
      </c>
      <c r="T493" s="314">
        <v>1.3344</v>
      </c>
      <c r="U493" s="314">
        <v>1.341</v>
      </c>
      <c r="V493" s="314">
        <v>1.3217000000000001</v>
      </c>
      <c r="W493" s="314">
        <v>1.4850000000000001</v>
      </c>
      <c r="X493" s="314">
        <v>1.3585</v>
      </c>
      <c r="Y493" s="314">
        <v>1.3492</v>
      </c>
      <c r="Z493" s="314">
        <v>1.4014</v>
      </c>
      <c r="AA493" s="314">
        <v>1.4051</v>
      </c>
      <c r="AB493" s="314">
        <v>1.4592000000000001</v>
      </c>
      <c r="AC493" s="314">
        <v>1.2987</v>
      </c>
      <c r="AD493" s="314">
        <v>0</v>
      </c>
      <c r="AE493" s="314">
        <v>1.4999</v>
      </c>
      <c r="AF493" s="314">
        <v>1.2009000000000001</v>
      </c>
      <c r="AG493" s="314">
        <v>1.2659</v>
      </c>
      <c r="AH493" s="314">
        <v>1.3997999999999999</v>
      </c>
      <c r="AI493" s="314">
        <v>1.5319</v>
      </c>
      <c r="AJ493" s="314">
        <v>1.2184999999999999</v>
      </c>
      <c r="AK493" s="314">
        <v>1.3566</v>
      </c>
      <c r="AL493" s="314">
        <v>1.4663999999999999</v>
      </c>
      <c r="AM493" s="314">
        <v>1.429</v>
      </c>
      <c r="AN493" s="314">
        <v>1.3205</v>
      </c>
      <c r="AO493" s="314">
        <v>1.3971</v>
      </c>
      <c r="AP493" s="314">
        <v>1.5258</v>
      </c>
      <c r="AQ493" s="314">
        <v>1.4368000000000001</v>
      </c>
      <c r="AR493" s="314">
        <v>1.4192</v>
      </c>
      <c r="AS493" s="314">
        <v>1.1856</v>
      </c>
      <c r="AT493" s="314">
        <v>1.4885999999999999</v>
      </c>
      <c r="AU493" s="314">
        <v>1.3985000000000001</v>
      </c>
      <c r="AV493" s="314">
        <v>1.4280999999999999</v>
      </c>
      <c r="AW493" s="314">
        <v>1.4726999999999999</v>
      </c>
      <c r="AX493" s="314">
        <v>1.1937</v>
      </c>
      <c r="AY493" s="314">
        <v>1.3796999999999999</v>
      </c>
      <c r="AZ493" s="314">
        <v>1.3854</v>
      </c>
      <c r="BA493" s="314">
        <v>1.2231000000000001</v>
      </c>
      <c r="BB493" s="314">
        <v>0</v>
      </c>
      <c r="BC493" s="314">
        <v>1.5033000000000001</v>
      </c>
      <c r="BD493" s="314">
        <v>1.5448999999999999</v>
      </c>
      <c r="BE493" s="314">
        <v>1.4436</v>
      </c>
      <c r="BF493" s="314">
        <v>1.4118999999999999</v>
      </c>
      <c r="BG493" s="314">
        <v>1.5531999999999999</v>
      </c>
      <c r="BH493" s="314">
        <v>1.4691000000000001</v>
      </c>
      <c r="BI493" s="314">
        <v>1.4098999999999999</v>
      </c>
      <c r="BJ493" s="314">
        <v>1.4193</v>
      </c>
      <c r="BK493" s="314">
        <v>1.4901</v>
      </c>
    </row>
    <row r="494" spans="1:63" x14ac:dyDescent="0.25">
      <c r="A494" s="306">
        <v>315220</v>
      </c>
      <c r="B494" s="314" t="s">
        <v>72</v>
      </c>
      <c r="C494" s="314">
        <v>1.9291</v>
      </c>
      <c r="D494" s="314">
        <v>0</v>
      </c>
      <c r="E494" s="314">
        <v>1.6225000000000001</v>
      </c>
      <c r="F494" s="314">
        <v>1.2902</v>
      </c>
      <c r="G494" s="314">
        <v>1.2912999999999999</v>
      </c>
      <c r="H494" s="314">
        <v>1.6034999999999999</v>
      </c>
      <c r="I494" s="314">
        <v>1.3451</v>
      </c>
      <c r="J494" s="314">
        <v>1.3862000000000001</v>
      </c>
      <c r="K494" s="314">
        <v>1.1604000000000001</v>
      </c>
      <c r="L494" s="314">
        <v>0</v>
      </c>
      <c r="M494" s="314">
        <v>1.4033</v>
      </c>
      <c r="N494" s="314">
        <v>1.6831</v>
      </c>
      <c r="O494" s="314">
        <v>1.2589999999999999</v>
      </c>
      <c r="P494" s="314">
        <v>1.2464999999999999</v>
      </c>
      <c r="Q494" s="314">
        <v>1.2318</v>
      </c>
      <c r="R494" s="314">
        <v>1.4497</v>
      </c>
      <c r="S494" s="314">
        <v>1.2999000000000001</v>
      </c>
      <c r="T494" s="314">
        <v>1.3384</v>
      </c>
      <c r="U494" s="314">
        <v>1.35</v>
      </c>
      <c r="V494" s="314">
        <v>1.2966</v>
      </c>
      <c r="W494" s="314">
        <v>1.6201000000000001</v>
      </c>
      <c r="X494" s="314">
        <v>1.3988</v>
      </c>
      <c r="Y494" s="314">
        <v>1.3891</v>
      </c>
      <c r="Z494" s="314">
        <v>1.3580000000000001</v>
      </c>
      <c r="AA494" s="314">
        <v>1.3414999999999999</v>
      </c>
      <c r="AB494" s="314">
        <v>1.3734</v>
      </c>
      <c r="AC494" s="314">
        <v>1.4448000000000001</v>
      </c>
      <c r="AD494" s="314">
        <v>0</v>
      </c>
      <c r="AE494" s="314">
        <v>1.7317</v>
      </c>
      <c r="AF494" s="314">
        <v>0</v>
      </c>
      <c r="AG494" s="314">
        <v>1.2164999999999999</v>
      </c>
      <c r="AH494" s="314">
        <v>1.4607000000000001</v>
      </c>
      <c r="AI494" s="314">
        <v>1.6578999999999999</v>
      </c>
      <c r="AJ494" s="314">
        <v>1.2116</v>
      </c>
      <c r="AK494" s="314">
        <v>1.2603</v>
      </c>
      <c r="AL494" s="314">
        <v>1.5753999999999999</v>
      </c>
      <c r="AM494" s="314">
        <v>1.4671000000000001</v>
      </c>
      <c r="AN494" s="314">
        <v>1.3015000000000001</v>
      </c>
      <c r="AO494" s="314">
        <v>1.3338000000000001</v>
      </c>
      <c r="AP494" s="314">
        <v>1.6316999999999999</v>
      </c>
      <c r="AQ494" s="314">
        <v>1.5831999999999999</v>
      </c>
      <c r="AR494" s="314">
        <v>1.6916</v>
      </c>
      <c r="AS494" s="314">
        <v>0</v>
      </c>
      <c r="AT494" s="314">
        <v>1.6839999999999999</v>
      </c>
      <c r="AU494" s="314">
        <v>1.3782000000000001</v>
      </c>
      <c r="AV494" s="314">
        <v>1.4378</v>
      </c>
      <c r="AW494" s="314">
        <v>1.5412999999999999</v>
      </c>
      <c r="AX494" s="314">
        <v>1.3432999999999999</v>
      </c>
      <c r="AY494" s="314">
        <v>1.3113999999999999</v>
      </c>
      <c r="AZ494" s="314">
        <v>1.3608</v>
      </c>
      <c r="BA494" s="314">
        <v>1.1882999999999999</v>
      </c>
      <c r="BB494" s="314">
        <v>1.2041999999999999</v>
      </c>
      <c r="BC494" s="314">
        <v>1.6776</v>
      </c>
      <c r="BD494" s="314">
        <v>1.6860999999999999</v>
      </c>
      <c r="BE494" s="314">
        <v>1.4373</v>
      </c>
      <c r="BF494" s="314">
        <v>1.3532</v>
      </c>
      <c r="BG494" s="314">
        <v>1.7771999999999999</v>
      </c>
      <c r="BH494" s="314">
        <v>1.7218</v>
      </c>
      <c r="BI494" s="314">
        <v>1.3798999999999999</v>
      </c>
      <c r="BJ494" s="314">
        <v>1.3441000000000001</v>
      </c>
      <c r="BK494" s="314">
        <v>1.5931</v>
      </c>
    </row>
    <row r="495" spans="1:63" x14ac:dyDescent="0.25">
      <c r="A495" s="306">
        <v>315230</v>
      </c>
      <c r="B495" s="314" t="s">
        <v>73</v>
      </c>
      <c r="C495" s="314">
        <v>2.0962999999999998</v>
      </c>
      <c r="D495" s="314">
        <v>0</v>
      </c>
      <c r="E495" s="314">
        <v>1.7050000000000001</v>
      </c>
      <c r="F495" s="314">
        <v>1.3247</v>
      </c>
      <c r="G495" s="314">
        <v>1.3925000000000001</v>
      </c>
      <c r="H495" s="314">
        <v>1.7133</v>
      </c>
      <c r="I495" s="314">
        <v>1.4609000000000001</v>
      </c>
      <c r="J495" s="314">
        <v>1.456</v>
      </c>
      <c r="K495" s="314">
        <v>1.2345999999999999</v>
      </c>
      <c r="L495" s="314">
        <v>0</v>
      </c>
      <c r="M495" s="314">
        <v>1.4902</v>
      </c>
      <c r="N495" s="314">
        <v>1.8129999999999999</v>
      </c>
      <c r="O495" s="314">
        <v>1.3468</v>
      </c>
      <c r="P495" s="314">
        <v>1.2754000000000001</v>
      </c>
      <c r="Q495" s="314">
        <v>1.2793000000000001</v>
      </c>
      <c r="R495" s="314">
        <v>1.532</v>
      </c>
      <c r="S495" s="314">
        <v>1.3685</v>
      </c>
      <c r="T495" s="314">
        <v>1.4097</v>
      </c>
      <c r="U495" s="314">
        <v>1.3936999999999999</v>
      </c>
      <c r="V495" s="314">
        <v>1.3903000000000001</v>
      </c>
      <c r="W495" s="314">
        <v>1.7312000000000001</v>
      </c>
      <c r="X495" s="314">
        <v>1.4738</v>
      </c>
      <c r="Y495" s="314">
        <v>1.4535</v>
      </c>
      <c r="Z495" s="314">
        <v>1.4380999999999999</v>
      </c>
      <c r="AA495" s="314">
        <v>1.4192</v>
      </c>
      <c r="AB495" s="314">
        <v>1.4431</v>
      </c>
      <c r="AC495" s="314">
        <v>1.4972000000000001</v>
      </c>
      <c r="AD495" s="314">
        <v>0</v>
      </c>
      <c r="AE495" s="314">
        <v>1.8279000000000001</v>
      </c>
      <c r="AF495" s="314">
        <v>1.2558</v>
      </c>
      <c r="AG495" s="314">
        <v>1.264</v>
      </c>
      <c r="AH495" s="314">
        <v>1.5573999999999999</v>
      </c>
      <c r="AI495" s="314">
        <v>1.7649999999999999</v>
      </c>
      <c r="AJ495" s="314">
        <v>1.2785</v>
      </c>
      <c r="AK495" s="314">
        <v>1.3531</v>
      </c>
      <c r="AL495" s="314">
        <v>1.6695</v>
      </c>
      <c r="AM495" s="314">
        <v>1.5262</v>
      </c>
      <c r="AN495" s="314">
        <v>1.3693</v>
      </c>
      <c r="AO495" s="314">
        <v>1.4258999999999999</v>
      </c>
      <c r="AP495" s="314">
        <v>1.7467999999999999</v>
      </c>
      <c r="AQ495" s="314">
        <v>0</v>
      </c>
      <c r="AR495" s="314">
        <v>1.7955000000000001</v>
      </c>
      <c r="AS495" s="314">
        <v>0</v>
      </c>
      <c r="AT495" s="314">
        <v>1.7864</v>
      </c>
      <c r="AU495" s="314">
        <v>1.4795</v>
      </c>
      <c r="AV495" s="314">
        <v>1.5228999999999999</v>
      </c>
      <c r="AW495" s="314">
        <v>1.6382000000000001</v>
      </c>
      <c r="AX495" s="314">
        <v>1.3747</v>
      </c>
      <c r="AY495" s="314">
        <v>1.4155</v>
      </c>
      <c r="AZ495" s="314">
        <v>1.4443999999999999</v>
      </c>
      <c r="BA495" s="314">
        <v>0</v>
      </c>
      <c r="BB495" s="314">
        <v>1.2527999999999999</v>
      </c>
      <c r="BC495" s="314">
        <v>1.7825</v>
      </c>
      <c r="BD495" s="314">
        <v>1.7885</v>
      </c>
      <c r="BE495" s="314">
        <v>1.5204</v>
      </c>
      <c r="BF495" s="314">
        <v>1.4138999999999999</v>
      </c>
      <c r="BG495" s="314">
        <v>1.9148000000000001</v>
      </c>
      <c r="BH495" s="314">
        <v>1.8031999999999999</v>
      </c>
      <c r="BI495" s="314">
        <v>1.4822</v>
      </c>
      <c r="BJ495" s="314">
        <v>1.4509000000000001</v>
      </c>
      <c r="BK495" s="314">
        <v>1.7015</v>
      </c>
    </row>
    <row r="496" spans="1:63" x14ac:dyDescent="0.25">
      <c r="A496" s="306">
        <v>315290</v>
      </c>
      <c r="B496" s="314" t="s">
        <v>74</v>
      </c>
      <c r="C496" s="314">
        <v>1.8726</v>
      </c>
      <c r="D496" s="314">
        <v>0</v>
      </c>
      <c r="E496" s="314">
        <v>1.4964</v>
      </c>
      <c r="F496" s="314">
        <v>0</v>
      </c>
      <c r="G496" s="314">
        <v>1.3585</v>
      </c>
      <c r="H496" s="314">
        <v>1.5489999999999999</v>
      </c>
      <c r="I496" s="314">
        <v>1.4412</v>
      </c>
      <c r="J496" s="314">
        <v>1.4153</v>
      </c>
      <c r="K496" s="314">
        <v>0</v>
      </c>
      <c r="L496" s="314">
        <v>0</v>
      </c>
      <c r="M496" s="314">
        <v>1.3838999999999999</v>
      </c>
      <c r="N496" s="314">
        <v>1.5976999999999999</v>
      </c>
      <c r="O496" s="314">
        <v>1.2877000000000001</v>
      </c>
      <c r="P496" s="314">
        <v>1.2825</v>
      </c>
      <c r="Q496" s="314">
        <v>1.2764</v>
      </c>
      <c r="R496" s="314">
        <v>1.4922</v>
      </c>
      <c r="S496" s="314">
        <v>1.3583000000000001</v>
      </c>
      <c r="T496" s="314">
        <v>1.347</v>
      </c>
      <c r="U496" s="314">
        <v>1.3612</v>
      </c>
      <c r="V496" s="314">
        <v>1.3367</v>
      </c>
      <c r="W496" s="314">
        <v>1.6002000000000001</v>
      </c>
      <c r="X496" s="314">
        <v>1.3774999999999999</v>
      </c>
      <c r="Y496" s="314">
        <v>1.4012</v>
      </c>
      <c r="Z496" s="314">
        <v>1.399</v>
      </c>
      <c r="AA496" s="314">
        <v>1.4236</v>
      </c>
      <c r="AB496" s="314">
        <v>1.4428000000000001</v>
      </c>
      <c r="AC496" s="314">
        <v>1.3797999999999999</v>
      </c>
      <c r="AD496" s="314">
        <v>0</v>
      </c>
      <c r="AE496" s="314">
        <v>1.6879</v>
      </c>
      <c r="AF496" s="314">
        <v>0</v>
      </c>
      <c r="AG496" s="314">
        <v>1.2551000000000001</v>
      </c>
      <c r="AH496" s="314">
        <v>1.5456000000000001</v>
      </c>
      <c r="AI496" s="314">
        <v>1.6140000000000001</v>
      </c>
      <c r="AJ496" s="314">
        <v>1.2296</v>
      </c>
      <c r="AK496" s="314">
        <v>1.3452</v>
      </c>
      <c r="AL496" s="314">
        <v>1.5165</v>
      </c>
      <c r="AM496" s="314">
        <v>1.4431</v>
      </c>
      <c r="AN496" s="314">
        <v>1.3240000000000001</v>
      </c>
      <c r="AO496" s="314">
        <v>1.3997999999999999</v>
      </c>
      <c r="AP496" s="314">
        <v>1.6385000000000001</v>
      </c>
      <c r="AQ496" s="314">
        <v>1.5567</v>
      </c>
      <c r="AR496" s="314">
        <v>1.6136999999999999</v>
      </c>
      <c r="AS496" s="314">
        <v>1.1814</v>
      </c>
      <c r="AT496" s="314">
        <v>1.6297999999999999</v>
      </c>
      <c r="AU496" s="314">
        <v>1.431</v>
      </c>
      <c r="AV496" s="314">
        <v>1.4481999999999999</v>
      </c>
      <c r="AW496" s="314">
        <v>1.4864999999999999</v>
      </c>
      <c r="AX496" s="314">
        <v>1.2532000000000001</v>
      </c>
      <c r="AY496" s="314">
        <v>1.3844000000000001</v>
      </c>
      <c r="AZ496" s="314">
        <v>1.4540999999999999</v>
      </c>
      <c r="BA496" s="314">
        <v>0</v>
      </c>
      <c r="BB496" s="314">
        <v>0</v>
      </c>
      <c r="BC496" s="314">
        <v>1.6494</v>
      </c>
      <c r="BD496" s="314">
        <v>1.6211</v>
      </c>
      <c r="BE496" s="314">
        <v>1.4774</v>
      </c>
      <c r="BF496" s="314">
        <v>1.423</v>
      </c>
      <c r="BG496" s="314">
        <v>1.7361</v>
      </c>
      <c r="BH496" s="314">
        <v>1.6082000000000001</v>
      </c>
      <c r="BI496" s="314">
        <v>1.4366000000000001</v>
      </c>
      <c r="BJ496" s="314">
        <v>1.4206000000000001</v>
      </c>
      <c r="BK496" s="314">
        <v>1.5354000000000001</v>
      </c>
    </row>
    <row r="497" spans="1:63" x14ac:dyDescent="0.25">
      <c r="A497" s="306">
        <v>315900</v>
      </c>
      <c r="B497" s="314" t="s">
        <v>75</v>
      </c>
      <c r="C497" s="314">
        <v>2.0573999999999999</v>
      </c>
      <c r="D497" s="314">
        <v>1.2625</v>
      </c>
      <c r="E497" s="314">
        <v>1.6924999999999999</v>
      </c>
      <c r="F497" s="314">
        <v>1.4422999999999999</v>
      </c>
      <c r="G497" s="314">
        <v>1.4211</v>
      </c>
      <c r="H497" s="314">
        <v>1.6854</v>
      </c>
      <c r="I497" s="314">
        <v>1.5356000000000001</v>
      </c>
      <c r="J497" s="314">
        <v>1.5254000000000001</v>
      </c>
      <c r="K497" s="314">
        <v>0</v>
      </c>
      <c r="L497" s="314">
        <v>1.4387000000000001</v>
      </c>
      <c r="M497" s="314">
        <v>1.4911000000000001</v>
      </c>
      <c r="N497" s="314">
        <v>1.7624</v>
      </c>
      <c r="O497" s="314">
        <v>1.3419000000000001</v>
      </c>
      <c r="P497" s="314">
        <v>1.3488</v>
      </c>
      <c r="Q497" s="314">
        <v>1.3754</v>
      </c>
      <c r="R497" s="314">
        <v>1.6268</v>
      </c>
      <c r="S497" s="314">
        <v>1.4148000000000001</v>
      </c>
      <c r="T497" s="314">
        <v>1.4016999999999999</v>
      </c>
      <c r="U497" s="314">
        <v>1.4716</v>
      </c>
      <c r="V497" s="314">
        <v>1.4519</v>
      </c>
      <c r="W497" s="314">
        <v>1.6863999999999999</v>
      </c>
      <c r="X497" s="314">
        <v>1.4836</v>
      </c>
      <c r="Y497" s="314">
        <v>1.5156000000000001</v>
      </c>
      <c r="Z497" s="314">
        <v>1.5052000000000001</v>
      </c>
      <c r="AA497" s="314">
        <v>1.5150999999999999</v>
      </c>
      <c r="AB497" s="314">
        <v>1.583</v>
      </c>
      <c r="AC497" s="314">
        <v>1.4801</v>
      </c>
      <c r="AD497" s="314">
        <v>1.3568</v>
      </c>
      <c r="AE497" s="314">
        <v>1.7815000000000001</v>
      </c>
      <c r="AF497" s="314">
        <v>1.2836000000000001</v>
      </c>
      <c r="AG497" s="314">
        <v>1.3613</v>
      </c>
      <c r="AH497" s="314">
        <v>1.5452999999999999</v>
      </c>
      <c r="AI497" s="314">
        <v>1.7477</v>
      </c>
      <c r="AJ497" s="314">
        <v>1.2927999999999999</v>
      </c>
      <c r="AK497" s="314">
        <v>1.3803000000000001</v>
      </c>
      <c r="AL497" s="314">
        <v>1.6419999999999999</v>
      </c>
      <c r="AM497" s="314">
        <v>1.6188</v>
      </c>
      <c r="AN497" s="314">
        <v>1.4247000000000001</v>
      </c>
      <c r="AO497" s="314">
        <v>1.468</v>
      </c>
      <c r="AP497" s="314">
        <v>1.7633000000000001</v>
      </c>
      <c r="AQ497" s="314">
        <v>1.6513</v>
      </c>
      <c r="AR497" s="314">
        <v>1.6831</v>
      </c>
      <c r="AS497" s="314">
        <v>1.2151000000000001</v>
      </c>
      <c r="AT497" s="314">
        <v>1.7035</v>
      </c>
      <c r="AU497" s="314">
        <v>1.5915999999999999</v>
      </c>
      <c r="AV497" s="314">
        <v>1.5771999999999999</v>
      </c>
      <c r="AW497" s="314">
        <v>1.6595</v>
      </c>
      <c r="AX497" s="314">
        <v>1.3592</v>
      </c>
      <c r="AY497" s="314">
        <v>1.4551000000000001</v>
      </c>
      <c r="AZ497" s="314">
        <v>1.5125999999999999</v>
      </c>
      <c r="BA497" s="314">
        <v>1.3092999999999999</v>
      </c>
      <c r="BB497" s="314">
        <v>1.2938000000000001</v>
      </c>
      <c r="BC497" s="314">
        <v>1.7452000000000001</v>
      </c>
      <c r="BD497" s="314">
        <v>1.7715000000000001</v>
      </c>
      <c r="BE497" s="314">
        <v>1.6198999999999999</v>
      </c>
      <c r="BF497" s="314">
        <v>1.5487</v>
      </c>
      <c r="BG497" s="314">
        <v>1.8145</v>
      </c>
      <c r="BH497" s="314">
        <v>1.7661</v>
      </c>
      <c r="BI497" s="314">
        <v>1.5960000000000001</v>
      </c>
      <c r="BJ497" s="314">
        <v>1.5113000000000001</v>
      </c>
      <c r="BK497" s="314">
        <v>1.681</v>
      </c>
    </row>
    <row r="498" spans="1:63" x14ac:dyDescent="0.25">
      <c r="A498" s="306">
        <v>316100</v>
      </c>
      <c r="B498" s="314" t="s">
        <v>76</v>
      </c>
      <c r="C498" s="314">
        <v>2.8515999999999999</v>
      </c>
      <c r="D498" s="314">
        <v>1.2169000000000001</v>
      </c>
      <c r="E498" s="314">
        <v>1.6984999999999999</v>
      </c>
      <c r="F498" s="314">
        <v>0</v>
      </c>
      <c r="G498" s="314">
        <v>1.4661999999999999</v>
      </c>
      <c r="H498" s="314">
        <v>1.6102000000000001</v>
      </c>
      <c r="I498" s="314">
        <v>2.4695999999999998</v>
      </c>
      <c r="J498" s="314">
        <v>0</v>
      </c>
      <c r="K498" s="314">
        <v>0</v>
      </c>
      <c r="L498" s="314">
        <v>0</v>
      </c>
      <c r="M498" s="314">
        <v>1.3989</v>
      </c>
      <c r="N498" s="314">
        <v>1.8722000000000001</v>
      </c>
      <c r="O498" s="314">
        <v>0</v>
      </c>
      <c r="P498" s="314">
        <v>2.4449999999999998</v>
      </c>
      <c r="Q498" s="314">
        <v>2.4279000000000002</v>
      </c>
      <c r="R498" s="314">
        <v>2.2852999999999999</v>
      </c>
      <c r="S498" s="314">
        <v>2.1842999999999999</v>
      </c>
      <c r="T498" s="314">
        <v>0</v>
      </c>
      <c r="U498" s="314">
        <v>2.5015000000000001</v>
      </c>
      <c r="V498" s="314">
        <v>1.6840999999999999</v>
      </c>
      <c r="W498" s="314">
        <v>1.5187999999999999</v>
      </c>
      <c r="X498" s="314">
        <v>1.3701000000000001</v>
      </c>
      <c r="Y498" s="314">
        <v>1.335</v>
      </c>
      <c r="Z498" s="314">
        <v>1.9063000000000001</v>
      </c>
      <c r="AA498" s="314">
        <v>2.6360000000000001</v>
      </c>
      <c r="AB498" s="314">
        <v>2.6778</v>
      </c>
      <c r="AC498" s="314">
        <v>1.8784000000000001</v>
      </c>
      <c r="AD498" s="314">
        <v>1.7014</v>
      </c>
      <c r="AE498" s="314">
        <v>2.2223000000000002</v>
      </c>
      <c r="AF498" s="314">
        <v>0</v>
      </c>
      <c r="AG498" s="314">
        <v>2.4506999999999999</v>
      </c>
      <c r="AH498" s="314">
        <v>1.3715999999999999</v>
      </c>
      <c r="AI498" s="314">
        <v>1.6419999999999999</v>
      </c>
      <c r="AJ498" s="314">
        <v>0</v>
      </c>
      <c r="AK498" s="314">
        <v>0</v>
      </c>
      <c r="AL498" s="314">
        <v>1.4381999999999999</v>
      </c>
      <c r="AM498" s="314">
        <v>1.9947999999999999</v>
      </c>
      <c r="AN498" s="314">
        <v>2.3895</v>
      </c>
      <c r="AO498" s="314">
        <v>1.6292</v>
      </c>
      <c r="AP498" s="314">
        <v>2.2259000000000002</v>
      </c>
      <c r="AQ498" s="314">
        <v>0</v>
      </c>
      <c r="AR498" s="314">
        <v>1.7481</v>
      </c>
      <c r="AS498" s="314">
        <v>0</v>
      </c>
      <c r="AT498" s="314">
        <v>2.0581</v>
      </c>
      <c r="AU498" s="314">
        <v>2.6412</v>
      </c>
      <c r="AV498" s="314">
        <v>2.327</v>
      </c>
      <c r="AW498" s="314">
        <v>0</v>
      </c>
      <c r="AX498" s="314">
        <v>0</v>
      </c>
      <c r="AY498" s="314">
        <v>1.7058</v>
      </c>
      <c r="AZ498" s="314">
        <v>2.4247000000000001</v>
      </c>
      <c r="BA498" s="314">
        <v>1.3711</v>
      </c>
      <c r="BB498" s="314">
        <v>1.3909</v>
      </c>
      <c r="BC498" s="314">
        <v>1.5233000000000001</v>
      </c>
      <c r="BD498" s="314">
        <v>1.7215</v>
      </c>
      <c r="BE498" s="314">
        <v>2.3786999999999998</v>
      </c>
      <c r="BF498" s="314">
        <v>2.6440000000000001</v>
      </c>
      <c r="BG498" s="314">
        <v>1.7484</v>
      </c>
      <c r="BH498" s="314">
        <v>2.2178</v>
      </c>
      <c r="BI498" s="314">
        <v>2.6983999999999999</v>
      </c>
      <c r="BJ498" s="314">
        <v>2.0827</v>
      </c>
      <c r="BK498" s="314">
        <v>1.6284000000000001</v>
      </c>
    </row>
    <row r="499" spans="1:63" x14ac:dyDescent="0.25">
      <c r="A499" s="306">
        <v>316200</v>
      </c>
      <c r="B499" s="314" t="s">
        <v>77</v>
      </c>
      <c r="C499" s="314">
        <v>1.8623000000000001</v>
      </c>
      <c r="D499" s="314">
        <v>0</v>
      </c>
      <c r="E499" s="314">
        <v>0</v>
      </c>
      <c r="F499" s="314">
        <v>1.3811</v>
      </c>
      <c r="G499" s="314">
        <v>1.3184</v>
      </c>
      <c r="H499" s="314">
        <v>1.4759</v>
      </c>
      <c r="I499" s="314">
        <v>1.4075</v>
      </c>
      <c r="J499" s="314">
        <v>0</v>
      </c>
      <c r="K499" s="314">
        <v>0</v>
      </c>
      <c r="L499" s="314">
        <v>0</v>
      </c>
      <c r="M499" s="314">
        <v>1.3609</v>
      </c>
      <c r="N499" s="314">
        <v>1.5565</v>
      </c>
      <c r="O499" s="314">
        <v>1.2241</v>
      </c>
      <c r="P499" s="314">
        <v>0</v>
      </c>
      <c r="Q499" s="314">
        <v>1.3715999999999999</v>
      </c>
      <c r="R499" s="314">
        <v>1.5904</v>
      </c>
      <c r="S499" s="314">
        <v>1.4439</v>
      </c>
      <c r="T499" s="314">
        <v>0</v>
      </c>
      <c r="U499" s="314">
        <v>1.4724999999999999</v>
      </c>
      <c r="V499" s="314">
        <v>0</v>
      </c>
      <c r="W499" s="314">
        <v>1.5498000000000001</v>
      </c>
      <c r="X499" s="314">
        <v>1.375</v>
      </c>
      <c r="Y499" s="314">
        <v>1.4468000000000001</v>
      </c>
      <c r="Z499" s="314">
        <v>1.5543</v>
      </c>
      <c r="AA499" s="314">
        <v>1.5641</v>
      </c>
      <c r="AB499" s="314">
        <v>1.6088</v>
      </c>
      <c r="AC499" s="314">
        <v>0</v>
      </c>
      <c r="AD499" s="314">
        <v>1.2687999999999999</v>
      </c>
      <c r="AE499" s="314">
        <v>1.5946</v>
      </c>
      <c r="AF499" s="314">
        <v>1.2081</v>
      </c>
      <c r="AG499" s="314">
        <v>1.3912</v>
      </c>
      <c r="AH499" s="314">
        <v>1.5128999999999999</v>
      </c>
      <c r="AI499" s="314">
        <v>1.5645</v>
      </c>
      <c r="AJ499" s="314">
        <v>0</v>
      </c>
      <c r="AK499" s="314">
        <v>0</v>
      </c>
      <c r="AL499" s="314">
        <v>1.4493</v>
      </c>
      <c r="AM499" s="314">
        <v>1.5644</v>
      </c>
      <c r="AN499" s="314">
        <v>1.3207</v>
      </c>
      <c r="AO499" s="314">
        <v>1.3924000000000001</v>
      </c>
      <c r="AP499" s="314">
        <v>1.6678999999999999</v>
      </c>
      <c r="AQ499" s="314">
        <v>0</v>
      </c>
      <c r="AR499" s="314">
        <v>1.5126999999999999</v>
      </c>
      <c r="AS499" s="314">
        <v>0</v>
      </c>
      <c r="AT499" s="314">
        <v>1.5813999999999999</v>
      </c>
      <c r="AU499" s="314">
        <v>1.5984</v>
      </c>
      <c r="AV499" s="314">
        <v>0</v>
      </c>
      <c r="AW499" s="314">
        <v>1.4822</v>
      </c>
      <c r="AX499" s="314">
        <v>0</v>
      </c>
      <c r="AY499" s="314">
        <v>1.3725000000000001</v>
      </c>
      <c r="AZ499" s="314">
        <v>1.5547</v>
      </c>
      <c r="BA499" s="314">
        <v>0</v>
      </c>
      <c r="BB499" s="314">
        <v>0</v>
      </c>
      <c r="BC499" s="314">
        <v>1.6231</v>
      </c>
      <c r="BD499" s="314">
        <v>1.6061000000000001</v>
      </c>
      <c r="BE499" s="314">
        <v>1.6583000000000001</v>
      </c>
      <c r="BF499" s="314">
        <v>1.5680000000000001</v>
      </c>
      <c r="BG499" s="314">
        <v>1.5851</v>
      </c>
      <c r="BH499" s="314">
        <v>1.5935999999999999</v>
      </c>
      <c r="BI499" s="314">
        <v>1.6077999999999999</v>
      </c>
      <c r="BJ499" s="314">
        <v>1.3898999999999999</v>
      </c>
      <c r="BK499" s="314">
        <v>1.4702999999999999</v>
      </c>
    </row>
    <row r="500" spans="1:63" x14ac:dyDescent="0.25">
      <c r="A500" s="306">
        <v>316900</v>
      </c>
      <c r="B500" s="314" t="s">
        <v>78</v>
      </c>
      <c r="C500" s="314">
        <v>1.9462999999999999</v>
      </c>
      <c r="D500" s="314">
        <v>0</v>
      </c>
      <c r="E500" s="314">
        <v>1.4785999999999999</v>
      </c>
      <c r="F500" s="314">
        <v>1.3920999999999999</v>
      </c>
      <c r="G500" s="314">
        <v>1.3683000000000001</v>
      </c>
      <c r="H500" s="314">
        <v>1.5967</v>
      </c>
      <c r="I500" s="314">
        <v>1.544</v>
      </c>
      <c r="J500" s="314">
        <v>1.4855</v>
      </c>
      <c r="K500" s="314">
        <v>0</v>
      </c>
      <c r="L500" s="314">
        <v>1.3489</v>
      </c>
      <c r="M500" s="314">
        <v>1.4182999999999999</v>
      </c>
      <c r="N500" s="314">
        <v>1.6021000000000001</v>
      </c>
      <c r="O500" s="314">
        <v>0</v>
      </c>
      <c r="P500" s="314">
        <v>1.4505999999999999</v>
      </c>
      <c r="Q500" s="314">
        <v>1.4551000000000001</v>
      </c>
      <c r="R500" s="314">
        <v>1.6616</v>
      </c>
      <c r="S500" s="314">
        <v>1.4758</v>
      </c>
      <c r="T500" s="314">
        <v>1.3733</v>
      </c>
      <c r="U500" s="314">
        <v>1.5027999999999999</v>
      </c>
      <c r="V500" s="314">
        <v>1.4443999999999999</v>
      </c>
      <c r="W500" s="314">
        <v>1.5775999999999999</v>
      </c>
      <c r="X500" s="314">
        <v>1.3857999999999999</v>
      </c>
      <c r="Y500" s="314">
        <v>1.4265000000000001</v>
      </c>
      <c r="Z500" s="314">
        <v>1.5975999999999999</v>
      </c>
      <c r="AA500" s="314">
        <v>1.6341000000000001</v>
      </c>
      <c r="AB500" s="314">
        <v>1.6476999999999999</v>
      </c>
      <c r="AC500" s="314">
        <v>1.4212</v>
      </c>
      <c r="AD500" s="314">
        <v>1.3250999999999999</v>
      </c>
      <c r="AE500" s="314">
        <v>1.6456999999999999</v>
      </c>
      <c r="AF500" s="314">
        <v>1.2233000000000001</v>
      </c>
      <c r="AG500" s="314">
        <v>1.4282999999999999</v>
      </c>
      <c r="AH500" s="314">
        <v>1.4923999999999999</v>
      </c>
      <c r="AI500" s="314">
        <v>1.5952999999999999</v>
      </c>
      <c r="AJ500" s="314">
        <v>1.2358</v>
      </c>
      <c r="AK500" s="314">
        <v>1.3389</v>
      </c>
      <c r="AL500" s="314">
        <v>1.5311999999999999</v>
      </c>
      <c r="AM500" s="314">
        <v>1.5895999999999999</v>
      </c>
      <c r="AN500" s="314">
        <v>1.4201999999999999</v>
      </c>
      <c r="AO500" s="314">
        <v>1.4016999999999999</v>
      </c>
      <c r="AP500" s="314">
        <v>1.7131000000000001</v>
      </c>
      <c r="AQ500" s="314">
        <v>1.4963</v>
      </c>
      <c r="AR500" s="314">
        <v>1.5218</v>
      </c>
      <c r="AS500" s="314">
        <v>1.2773000000000001</v>
      </c>
      <c r="AT500" s="314">
        <v>1.6234999999999999</v>
      </c>
      <c r="AU500" s="314">
        <v>1.6551</v>
      </c>
      <c r="AV500" s="314">
        <v>1.5511999999999999</v>
      </c>
      <c r="AW500" s="314">
        <v>1.5061</v>
      </c>
      <c r="AX500" s="314">
        <v>1.2865</v>
      </c>
      <c r="AY500" s="314">
        <v>1.4025000000000001</v>
      </c>
      <c r="AZ500" s="314">
        <v>1.6071</v>
      </c>
      <c r="BA500" s="314">
        <v>0</v>
      </c>
      <c r="BB500" s="314">
        <v>1.2388999999999999</v>
      </c>
      <c r="BC500" s="314">
        <v>1.6698</v>
      </c>
      <c r="BD500" s="314">
        <v>1.6666000000000001</v>
      </c>
      <c r="BE500" s="314">
        <v>1.7104999999999999</v>
      </c>
      <c r="BF500" s="314">
        <v>1.6216999999999999</v>
      </c>
      <c r="BG500" s="314">
        <v>1.6294999999999999</v>
      </c>
      <c r="BH500" s="314">
        <v>1.6194999999999999</v>
      </c>
      <c r="BI500" s="314">
        <v>1.6634</v>
      </c>
      <c r="BJ500" s="314">
        <v>1.4931000000000001</v>
      </c>
      <c r="BK500" s="314">
        <v>1.5798000000000001</v>
      </c>
    </row>
    <row r="501" spans="1:63" x14ac:dyDescent="0.25">
      <c r="A501" s="306">
        <v>321100</v>
      </c>
      <c r="B501" s="314" t="s">
        <v>79</v>
      </c>
      <c r="C501" s="314">
        <v>2.5310999999999999</v>
      </c>
      <c r="D501" s="314">
        <v>1.78</v>
      </c>
      <c r="E501" s="314">
        <v>2.3138999999999998</v>
      </c>
      <c r="F501" s="314">
        <v>2.2997999999999998</v>
      </c>
      <c r="G501" s="314">
        <v>1.3307</v>
      </c>
      <c r="H501" s="314">
        <v>1.5947</v>
      </c>
      <c r="I501" s="314">
        <v>1.3984000000000001</v>
      </c>
      <c r="J501" s="314">
        <v>1.2316</v>
      </c>
      <c r="K501" s="314">
        <v>0</v>
      </c>
      <c r="L501" s="314">
        <v>1.2362</v>
      </c>
      <c r="M501" s="314">
        <v>1.8334999999999999</v>
      </c>
      <c r="N501" s="314">
        <v>2.3509000000000002</v>
      </c>
      <c r="O501" s="314">
        <v>1.2416</v>
      </c>
      <c r="P501" s="314">
        <v>1.2596000000000001</v>
      </c>
      <c r="Q501" s="314">
        <v>2.2334999999999998</v>
      </c>
      <c r="R501" s="314">
        <v>1.3306</v>
      </c>
      <c r="S501" s="314">
        <v>1.4722</v>
      </c>
      <c r="T501" s="314">
        <v>1.2679</v>
      </c>
      <c r="U501" s="314">
        <v>1.5704</v>
      </c>
      <c r="V501" s="314">
        <v>2.2846000000000002</v>
      </c>
      <c r="W501" s="314">
        <v>1.2594000000000001</v>
      </c>
      <c r="X501" s="314">
        <v>1.3240000000000001</v>
      </c>
      <c r="Y501" s="314">
        <v>2.1985000000000001</v>
      </c>
      <c r="Z501" s="314">
        <v>1.8474999999999999</v>
      </c>
      <c r="AA501" s="314">
        <v>1.7599</v>
      </c>
      <c r="AB501" s="314">
        <v>1.4619</v>
      </c>
      <c r="AC501" s="314">
        <v>2.2363</v>
      </c>
      <c r="AD501" s="314">
        <v>2.2526000000000002</v>
      </c>
      <c r="AE501" s="314">
        <v>2.1707999999999998</v>
      </c>
      <c r="AF501" s="314">
        <v>1.2834000000000001</v>
      </c>
      <c r="AG501" s="314">
        <v>1.2456</v>
      </c>
      <c r="AH501" s="314">
        <v>2.0032999999999999</v>
      </c>
      <c r="AI501" s="314">
        <v>1.2787999999999999</v>
      </c>
      <c r="AJ501" s="314">
        <v>1.2885</v>
      </c>
      <c r="AK501" s="314">
        <v>1.2471000000000001</v>
      </c>
      <c r="AL501" s="314">
        <v>1.2926</v>
      </c>
      <c r="AM501" s="314">
        <v>1.395</v>
      </c>
      <c r="AN501" s="314">
        <v>1.5589</v>
      </c>
      <c r="AO501" s="314">
        <v>2.3384999999999998</v>
      </c>
      <c r="AP501" s="314">
        <v>1.5249999999999999</v>
      </c>
      <c r="AQ501" s="314">
        <v>1.2319</v>
      </c>
      <c r="AR501" s="314">
        <v>2.2629000000000001</v>
      </c>
      <c r="AS501" s="314">
        <v>1.6445000000000001</v>
      </c>
      <c r="AT501" s="314">
        <v>1.6733</v>
      </c>
      <c r="AU501" s="314">
        <v>1.7056</v>
      </c>
      <c r="AV501" s="314">
        <v>1.3943000000000001</v>
      </c>
      <c r="AW501" s="314">
        <v>1.9939</v>
      </c>
      <c r="AX501" s="314">
        <v>2.0825999999999998</v>
      </c>
      <c r="AY501" s="314">
        <v>2.3228</v>
      </c>
      <c r="AZ501" s="314">
        <v>1.7625</v>
      </c>
      <c r="BA501" s="314">
        <v>1.9908999999999999</v>
      </c>
      <c r="BB501" s="314">
        <v>1.5468</v>
      </c>
      <c r="BC501" s="314">
        <v>1.9416</v>
      </c>
      <c r="BD501" s="314">
        <v>1.3737999999999999</v>
      </c>
      <c r="BE501" s="314">
        <v>1.5241</v>
      </c>
      <c r="BF501" s="314">
        <v>1.4843</v>
      </c>
      <c r="BG501" s="314">
        <v>2.3321000000000001</v>
      </c>
      <c r="BH501" s="314">
        <v>2.3412000000000002</v>
      </c>
      <c r="BI501" s="314">
        <v>2.387</v>
      </c>
      <c r="BJ501" s="314">
        <v>1.9012</v>
      </c>
      <c r="BK501" s="314">
        <v>2.3496000000000001</v>
      </c>
    </row>
    <row r="502" spans="1:63" x14ac:dyDescent="0.25">
      <c r="A502" s="306">
        <v>321219</v>
      </c>
      <c r="B502" s="314" t="s">
        <v>82</v>
      </c>
      <c r="C502" s="314">
        <v>2.2475999999999998</v>
      </c>
      <c r="D502" s="314">
        <v>0</v>
      </c>
      <c r="E502" s="314">
        <v>1.9675</v>
      </c>
      <c r="F502" s="314">
        <v>1.8723000000000001</v>
      </c>
      <c r="G502" s="314">
        <v>1.3539000000000001</v>
      </c>
      <c r="H502" s="314">
        <v>1.5367</v>
      </c>
      <c r="I502" s="314">
        <v>1.4377</v>
      </c>
      <c r="J502" s="314">
        <v>0</v>
      </c>
      <c r="K502" s="314">
        <v>0</v>
      </c>
      <c r="L502" s="314">
        <v>1.4406000000000001</v>
      </c>
      <c r="M502" s="314">
        <v>1.4913000000000001</v>
      </c>
      <c r="N502" s="314">
        <v>1.966</v>
      </c>
      <c r="O502" s="314">
        <v>0</v>
      </c>
      <c r="P502" s="314">
        <v>0</v>
      </c>
      <c r="Q502" s="314">
        <v>1.7248000000000001</v>
      </c>
      <c r="R502" s="314">
        <v>1.5230999999999999</v>
      </c>
      <c r="S502" s="314">
        <v>1.5891</v>
      </c>
      <c r="T502" s="314">
        <v>0</v>
      </c>
      <c r="U502" s="314">
        <v>1.6511</v>
      </c>
      <c r="V502" s="314">
        <v>1.9636</v>
      </c>
      <c r="W502" s="314">
        <v>1.4253</v>
      </c>
      <c r="X502" s="314">
        <v>1.3421000000000001</v>
      </c>
      <c r="Y502" s="314">
        <v>1.7490000000000001</v>
      </c>
      <c r="Z502" s="314">
        <v>1.7699</v>
      </c>
      <c r="AA502" s="314">
        <v>1.6131</v>
      </c>
      <c r="AB502" s="314">
        <v>1.5952999999999999</v>
      </c>
      <c r="AC502" s="314">
        <v>1.8875999999999999</v>
      </c>
      <c r="AD502" s="314">
        <v>1.7759</v>
      </c>
      <c r="AE502" s="314">
        <v>1.8727</v>
      </c>
      <c r="AF502" s="314">
        <v>1.3354999999999999</v>
      </c>
      <c r="AG502" s="314">
        <v>0</v>
      </c>
      <c r="AH502" s="314">
        <v>1.7343999999999999</v>
      </c>
      <c r="AI502" s="314">
        <v>1.478</v>
      </c>
      <c r="AJ502" s="314">
        <v>1.3148</v>
      </c>
      <c r="AK502" s="314">
        <v>1.3647</v>
      </c>
      <c r="AL502" s="314">
        <v>1.3403</v>
      </c>
      <c r="AM502" s="314">
        <v>1.5952999999999999</v>
      </c>
      <c r="AN502" s="314">
        <v>1.5589</v>
      </c>
      <c r="AO502" s="314">
        <v>1.8846000000000001</v>
      </c>
      <c r="AP502" s="314">
        <v>1.7526999999999999</v>
      </c>
      <c r="AQ502" s="314">
        <v>0</v>
      </c>
      <c r="AR502" s="314">
        <v>1.9498</v>
      </c>
      <c r="AS502" s="314">
        <v>1.5104</v>
      </c>
      <c r="AT502" s="314">
        <v>1.7068000000000001</v>
      </c>
      <c r="AU502" s="314">
        <v>1.8004</v>
      </c>
      <c r="AV502" s="314">
        <v>0</v>
      </c>
      <c r="AW502" s="314">
        <v>1.7956000000000001</v>
      </c>
      <c r="AX502" s="314">
        <v>0</v>
      </c>
      <c r="AY502" s="314">
        <v>1.7897000000000001</v>
      </c>
      <c r="AZ502" s="314">
        <v>1.7010000000000001</v>
      </c>
      <c r="BA502" s="314">
        <v>1.8459000000000001</v>
      </c>
      <c r="BB502" s="314">
        <v>0</v>
      </c>
      <c r="BC502" s="314">
        <v>1.7468999999999999</v>
      </c>
      <c r="BD502" s="314">
        <v>1.5343</v>
      </c>
      <c r="BE502" s="314">
        <v>1.6928000000000001</v>
      </c>
      <c r="BF502" s="314">
        <v>1.5786</v>
      </c>
      <c r="BG502" s="314">
        <v>1.9726999999999999</v>
      </c>
      <c r="BH502" s="314">
        <v>2.0352000000000001</v>
      </c>
      <c r="BI502" s="314">
        <v>2.0912000000000002</v>
      </c>
      <c r="BJ502" s="314">
        <v>1.7162999999999999</v>
      </c>
      <c r="BK502" s="314">
        <v>1.8900999999999999</v>
      </c>
    </row>
    <row r="503" spans="1:63" x14ac:dyDescent="0.25">
      <c r="A503" s="306" t="s">
        <v>709</v>
      </c>
      <c r="B503" s="314" t="s">
        <v>80</v>
      </c>
      <c r="C503" s="314">
        <v>2.2985000000000002</v>
      </c>
      <c r="D503" s="314">
        <v>1.5515000000000001</v>
      </c>
      <c r="E503" s="314">
        <v>2.0907</v>
      </c>
      <c r="F503" s="314">
        <v>2.0813000000000001</v>
      </c>
      <c r="G503" s="314">
        <v>1.2704</v>
      </c>
      <c r="H503" s="314">
        <v>1.476</v>
      </c>
      <c r="I503" s="314">
        <v>1.3268</v>
      </c>
      <c r="J503" s="314">
        <v>0</v>
      </c>
      <c r="K503" s="314">
        <v>0</v>
      </c>
      <c r="L503" s="314">
        <v>1.2214</v>
      </c>
      <c r="M503" s="314">
        <v>1.6614</v>
      </c>
      <c r="N503" s="314">
        <v>2.1471</v>
      </c>
      <c r="O503" s="314">
        <v>1.2089000000000001</v>
      </c>
      <c r="P503" s="314">
        <v>1.2138</v>
      </c>
      <c r="Q503" s="314">
        <v>2.0177999999999998</v>
      </c>
      <c r="R503" s="314">
        <v>1.3027</v>
      </c>
      <c r="S503" s="314">
        <v>1.4853000000000001</v>
      </c>
      <c r="T503" s="314">
        <v>0</v>
      </c>
      <c r="U503" s="314">
        <v>1.5511999999999999</v>
      </c>
      <c r="V503" s="314">
        <v>2.0748000000000002</v>
      </c>
      <c r="W503" s="314">
        <v>1.2468999999999999</v>
      </c>
      <c r="X503" s="314">
        <v>1.2715000000000001</v>
      </c>
      <c r="Y503" s="314">
        <v>1.9992000000000001</v>
      </c>
      <c r="Z503" s="314">
        <v>1.7561</v>
      </c>
      <c r="AA503" s="314">
        <v>1.613</v>
      </c>
      <c r="AB503" s="314">
        <v>1.3580000000000001</v>
      </c>
      <c r="AC503" s="314">
        <v>2.0324</v>
      </c>
      <c r="AD503" s="314">
        <v>2.0295999999999998</v>
      </c>
      <c r="AE503" s="314">
        <v>2.0045000000000002</v>
      </c>
      <c r="AF503" s="314">
        <v>0</v>
      </c>
      <c r="AG503" s="314">
        <v>1.218</v>
      </c>
      <c r="AH503" s="314">
        <v>1.7276</v>
      </c>
      <c r="AI503" s="314">
        <v>1.2732000000000001</v>
      </c>
      <c r="AJ503" s="314">
        <v>0</v>
      </c>
      <c r="AK503" s="314">
        <v>0</v>
      </c>
      <c r="AL503" s="314">
        <v>1.2452000000000001</v>
      </c>
      <c r="AM503" s="314">
        <v>1.399</v>
      </c>
      <c r="AN503" s="314">
        <v>1.4084000000000001</v>
      </c>
      <c r="AO503" s="314">
        <v>2.1305000000000001</v>
      </c>
      <c r="AP503" s="314">
        <v>1.4873000000000001</v>
      </c>
      <c r="AQ503" s="314">
        <v>1.2087000000000001</v>
      </c>
      <c r="AR503" s="314">
        <v>2.0611999999999999</v>
      </c>
      <c r="AS503" s="314">
        <v>0</v>
      </c>
      <c r="AT503" s="314">
        <v>1.528</v>
      </c>
      <c r="AU503" s="314">
        <v>1.6834</v>
      </c>
      <c r="AV503" s="314">
        <v>1.4441999999999999</v>
      </c>
      <c r="AW503" s="314">
        <v>1.8738999999999999</v>
      </c>
      <c r="AX503" s="314">
        <v>1.8723000000000001</v>
      </c>
      <c r="AY503" s="314">
        <v>2.0607000000000002</v>
      </c>
      <c r="AZ503" s="314">
        <v>1.7222</v>
      </c>
      <c r="BA503" s="314">
        <v>1.8764000000000001</v>
      </c>
      <c r="BB503" s="314">
        <v>0</v>
      </c>
      <c r="BC503" s="314">
        <v>1.7365999999999999</v>
      </c>
      <c r="BD503" s="314">
        <v>1.3416999999999999</v>
      </c>
      <c r="BE503" s="314">
        <v>1.5577000000000001</v>
      </c>
      <c r="BF503" s="314">
        <v>1.4196</v>
      </c>
      <c r="BG503" s="314">
        <v>2.1265999999999998</v>
      </c>
      <c r="BH503" s="314">
        <v>2.1368999999999998</v>
      </c>
      <c r="BI503" s="314">
        <v>2.169</v>
      </c>
      <c r="BJ503" s="314">
        <v>1.7669999999999999</v>
      </c>
      <c r="BK503" s="314">
        <v>2.1286</v>
      </c>
    </row>
    <row r="504" spans="1:63" x14ac:dyDescent="0.25">
      <c r="A504" s="306" t="s">
        <v>710</v>
      </c>
      <c r="B504" s="314" t="s">
        <v>81</v>
      </c>
      <c r="C504" s="314">
        <v>2.0817000000000001</v>
      </c>
      <c r="D504" s="314">
        <v>1.3680000000000001</v>
      </c>
      <c r="E504" s="314">
        <v>1.8709</v>
      </c>
      <c r="F504" s="314">
        <v>1.8502000000000001</v>
      </c>
      <c r="G504" s="314">
        <v>1.3949</v>
      </c>
      <c r="H504" s="314">
        <v>1.5410999999999999</v>
      </c>
      <c r="I504" s="314">
        <v>1.5064</v>
      </c>
      <c r="J504" s="314">
        <v>1.3645</v>
      </c>
      <c r="K504" s="314">
        <v>0</v>
      </c>
      <c r="L504" s="314">
        <v>1.3132999999999999</v>
      </c>
      <c r="M504" s="314">
        <v>1.4757</v>
      </c>
      <c r="N504" s="314">
        <v>1.9329000000000001</v>
      </c>
      <c r="O504" s="314">
        <v>1.2497</v>
      </c>
      <c r="P504" s="314">
        <v>1.369</v>
      </c>
      <c r="Q504" s="314">
        <v>1.7789999999999999</v>
      </c>
      <c r="R504" s="314">
        <v>1.4765999999999999</v>
      </c>
      <c r="S504" s="314">
        <v>1.6166</v>
      </c>
      <c r="T504" s="314">
        <v>1.3227</v>
      </c>
      <c r="U504" s="314">
        <v>1.712</v>
      </c>
      <c r="V504" s="314">
        <v>1.8123</v>
      </c>
      <c r="W504" s="314">
        <v>1.3771</v>
      </c>
      <c r="X504" s="314">
        <v>1.3851</v>
      </c>
      <c r="Y504" s="314">
        <v>1.8129</v>
      </c>
      <c r="Z504" s="314">
        <v>1.6629</v>
      </c>
      <c r="AA504" s="314">
        <v>1.5084</v>
      </c>
      <c r="AB504" s="314">
        <v>1.6673</v>
      </c>
      <c r="AC504" s="314">
        <v>1.8025</v>
      </c>
      <c r="AD504" s="314">
        <v>1.7545999999999999</v>
      </c>
      <c r="AE504" s="314">
        <v>1.8612</v>
      </c>
      <c r="AF504" s="314">
        <v>1.2888999999999999</v>
      </c>
      <c r="AG504" s="314">
        <v>1.3028999999999999</v>
      </c>
      <c r="AH504" s="314">
        <v>1.7726</v>
      </c>
      <c r="AI504" s="314">
        <v>1.3949</v>
      </c>
      <c r="AJ504" s="314">
        <v>1.2641</v>
      </c>
      <c r="AK504" s="314">
        <v>1.3331999999999999</v>
      </c>
      <c r="AL504" s="314">
        <v>1.3488</v>
      </c>
      <c r="AM504" s="314">
        <v>1.5586</v>
      </c>
      <c r="AN504" s="314">
        <v>1.6395999999999999</v>
      </c>
      <c r="AO504" s="314">
        <v>1.92</v>
      </c>
      <c r="AP504" s="314">
        <v>1.7844</v>
      </c>
      <c r="AQ504" s="314">
        <v>1.3926000000000001</v>
      </c>
      <c r="AR504" s="314">
        <v>1.8674999999999999</v>
      </c>
      <c r="AS504" s="314">
        <v>1.599</v>
      </c>
      <c r="AT504" s="314">
        <v>1.7588999999999999</v>
      </c>
      <c r="AU504" s="314">
        <v>1.6351</v>
      </c>
      <c r="AV504" s="314">
        <v>1.5039</v>
      </c>
      <c r="AW504" s="314">
        <v>1.8327</v>
      </c>
      <c r="AX504" s="314">
        <v>1.6767000000000001</v>
      </c>
      <c r="AY504" s="314">
        <v>1.8517999999999999</v>
      </c>
      <c r="AZ504" s="314">
        <v>1.7818000000000001</v>
      </c>
      <c r="BA504" s="314">
        <v>1.7383</v>
      </c>
      <c r="BB504" s="314">
        <v>1.4979</v>
      </c>
      <c r="BC504" s="314">
        <v>1.6526000000000001</v>
      </c>
      <c r="BD504" s="314">
        <v>1.5145999999999999</v>
      </c>
      <c r="BE504" s="314">
        <v>1.6396999999999999</v>
      </c>
      <c r="BF504" s="314">
        <v>1.5445</v>
      </c>
      <c r="BG504" s="314">
        <v>1.9253</v>
      </c>
      <c r="BH504" s="314">
        <v>1.9164000000000001</v>
      </c>
      <c r="BI504" s="314">
        <v>1.9355</v>
      </c>
      <c r="BJ504" s="314">
        <v>1.7258</v>
      </c>
      <c r="BK504" s="314">
        <v>1.9029</v>
      </c>
    </row>
    <row r="505" spans="1:63" x14ac:dyDescent="0.25">
      <c r="A505" s="306">
        <v>321910</v>
      </c>
      <c r="B505" s="314" t="s">
        <v>711</v>
      </c>
      <c r="C505" s="314">
        <v>2.1699000000000002</v>
      </c>
      <c r="D505" s="314">
        <v>1.3521000000000001</v>
      </c>
      <c r="E505" s="314">
        <v>1.903</v>
      </c>
      <c r="F505" s="314">
        <v>1.8728</v>
      </c>
      <c r="G505" s="314">
        <v>1.4309000000000001</v>
      </c>
      <c r="H505" s="314">
        <v>1.603</v>
      </c>
      <c r="I505" s="314">
        <v>1.5566</v>
      </c>
      <c r="J505" s="314">
        <v>1.4280999999999999</v>
      </c>
      <c r="K505" s="314">
        <v>0</v>
      </c>
      <c r="L505" s="314">
        <v>1.3284</v>
      </c>
      <c r="M505" s="314">
        <v>1.5308999999999999</v>
      </c>
      <c r="N505" s="314">
        <v>2.0064000000000002</v>
      </c>
      <c r="O505" s="314">
        <v>1.2704</v>
      </c>
      <c r="P505" s="314">
        <v>1.4287000000000001</v>
      </c>
      <c r="Q505" s="314">
        <v>1.7804</v>
      </c>
      <c r="R505" s="314">
        <v>1.5626</v>
      </c>
      <c r="S505" s="314">
        <v>1.6813</v>
      </c>
      <c r="T505" s="314">
        <v>1.379</v>
      </c>
      <c r="U505" s="314">
        <v>1.7789999999999999</v>
      </c>
      <c r="V505" s="314">
        <v>1.7809999999999999</v>
      </c>
      <c r="W505" s="314">
        <v>1.4401999999999999</v>
      </c>
      <c r="X505" s="314">
        <v>1.4046000000000001</v>
      </c>
      <c r="Y505" s="314">
        <v>1.8236000000000001</v>
      </c>
      <c r="Z505" s="314">
        <v>1.7022999999999999</v>
      </c>
      <c r="AA505" s="314">
        <v>1.6153999999999999</v>
      </c>
      <c r="AB505" s="314">
        <v>1.6908000000000001</v>
      </c>
      <c r="AC505" s="314">
        <v>1.8353999999999999</v>
      </c>
      <c r="AD505" s="314">
        <v>1.7335</v>
      </c>
      <c r="AE505" s="314">
        <v>1.9095</v>
      </c>
      <c r="AF505" s="314">
        <v>1.3277000000000001</v>
      </c>
      <c r="AG505" s="314">
        <v>1.3055000000000001</v>
      </c>
      <c r="AH505" s="314">
        <v>1.768</v>
      </c>
      <c r="AI505" s="314">
        <v>1.4815</v>
      </c>
      <c r="AJ505" s="314">
        <v>1.2838000000000001</v>
      </c>
      <c r="AK505" s="314">
        <v>1.3611</v>
      </c>
      <c r="AL505" s="314">
        <v>1.3917999999999999</v>
      </c>
      <c r="AM505" s="314">
        <v>1.6682999999999999</v>
      </c>
      <c r="AN505" s="314">
        <v>1.6339999999999999</v>
      </c>
      <c r="AO505" s="314">
        <v>1.9457</v>
      </c>
      <c r="AP505" s="314">
        <v>1.8209</v>
      </c>
      <c r="AQ505" s="314">
        <v>1.4616</v>
      </c>
      <c r="AR505" s="314">
        <v>1.9011</v>
      </c>
      <c r="AS505" s="314">
        <v>1.5803</v>
      </c>
      <c r="AT505" s="314">
        <v>1.8072999999999999</v>
      </c>
      <c r="AU505" s="314">
        <v>1.6991000000000001</v>
      </c>
      <c r="AV505" s="314">
        <v>1.5677000000000001</v>
      </c>
      <c r="AW505" s="314">
        <v>1.8462000000000001</v>
      </c>
      <c r="AX505" s="314">
        <v>1.6920999999999999</v>
      </c>
      <c r="AY505" s="314">
        <v>1.8753</v>
      </c>
      <c r="AZ505" s="314">
        <v>1.8315999999999999</v>
      </c>
      <c r="BA505" s="314">
        <v>1.7605999999999999</v>
      </c>
      <c r="BB505" s="314">
        <v>1.4192</v>
      </c>
      <c r="BC505" s="314">
        <v>1.7043999999999999</v>
      </c>
      <c r="BD505" s="314">
        <v>1.5824</v>
      </c>
      <c r="BE505" s="314">
        <v>1.7502</v>
      </c>
      <c r="BF505" s="314">
        <v>1.6233</v>
      </c>
      <c r="BG505" s="314">
        <v>1.9723999999999999</v>
      </c>
      <c r="BH505" s="314">
        <v>1.9901</v>
      </c>
      <c r="BI505" s="314">
        <v>1.9632000000000001</v>
      </c>
      <c r="BJ505" s="314">
        <v>1.7386999999999999</v>
      </c>
      <c r="BK505" s="314">
        <v>1.9455</v>
      </c>
    </row>
    <row r="506" spans="1:63" x14ac:dyDescent="0.25">
      <c r="A506" s="306">
        <v>321920</v>
      </c>
      <c r="B506" s="314" t="s">
        <v>83</v>
      </c>
      <c r="C506" s="314">
        <v>2.0920000000000001</v>
      </c>
      <c r="D506" s="314">
        <v>1.3364</v>
      </c>
      <c r="E506" s="314">
        <v>1.7994000000000001</v>
      </c>
      <c r="F506" s="314">
        <v>1.7327999999999999</v>
      </c>
      <c r="G506" s="314">
        <v>1.3747</v>
      </c>
      <c r="H506" s="314">
        <v>1.5799000000000001</v>
      </c>
      <c r="I506" s="314">
        <v>1.4776</v>
      </c>
      <c r="J506" s="314">
        <v>1.4040999999999999</v>
      </c>
      <c r="K506" s="314">
        <v>0</v>
      </c>
      <c r="L506" s="314">
        <v>1.3376999999999999</v>
      </c>
      <c r="M506" s="314">
        <v>1.4812000000000001</v>
      </c>
      <c r="N506" s="314">
        <v>1.8972</v>
      </c>
      <c r="O506" s="314">
        <v>0</v>
      </c>
      <c r="P506" s="314">
        <v>1.3489</v>
      </c>
      <c r="Q506" s="314">
        <v>1.6160000000000001</v>
      </c>
      <c r="R506" s="314">
        <v>1.5476000000000001</v>
      </c>
      <c r="S506" s="314">
        <v>1.6137999999999999</v>
      </c>
      <c r="T506" s="314">
        <v>1.3776999999999999</v>
      </c>
      <c r="U506" s="314">
        <v>1.6727000000000001</v>
      </c>
      <c r="V506" s="314">
        <v>1.6977</v>
      </c>
      <c r="W506" s="314">
        <v>1.4593</v>
      </c>
      <c r="X506" s="314">
        <v>1.4191</v>
      </c>
      <c r="Y506" s="314">
        <v>1.6798</v>
      </c>
      <c r="Z506" s="314">
        <v>1.6449</v>
      </c>
      <c r="AA506" s="314">
        <v>1.5079</v>
      </c>
      <c r="AB506" s="314">
        <v>1.6052999999999999</v>
      </c>
      <c r="AC506" s="314">
        <v>1.7367999999999999</v>
      </c>
      <c r="AD506" s="314">
        <v>1.5943000000000001</v>
      </c>
      <c r="AE506" s="314">
        <v>1.8433999999999999</v>
      </c>
      <c r="AF506" s="314">
        <v>1.2613000000000001</v>
      </c>
      <c r="AG506" s="314">
        <v>1.3073999999999999</v>
      </c>
      <c r="AH506" s="314">
        <v>1.6626000000000001</v>
      </c>
      <c r="AI506" s="314">
        <v>1.5051000000000001</v>
      </c>
      <c r="AJ506" s="314">
        <v>1.2528999999999999</v>
      </c>
      <c r="AK506" s="314">
        <v>1.3002</v>
      </c>
      <c r="AL506" s="314">
        <v>1.4195</v>
      </c>
      <c r="AM506" s="314">
        <v>1.6188</v>
      </c>
      <c r="AN506" s="314">
        <v>1.5434000000000001</v>
      </c>
      <c r="AO506" s="314">
        <v>1.762</v>
      </c>
      <c r="AP506" s="314">
        <v>1.734</v>
      </c>
      <c r="AQ506" s="314">
        <v>1.4679</v>
      </c>
      <c r="AR506" s="314">
        <v>1.8376999999999999</v>
      </c>
      <c r="AS506" s="314">
        <v>1.4283999999999999</v>
      </c>
      <c r="AT506" s="314">
        <v>1.7393000000000001</v>
      </c>
      <c r="AU506" s="314">
        <v>1.6153999999999999</v>
      </c>
      <c r="AV506" s="314">
        <v>1.5515000000000001</v>
      </c>
      <c r="AW506" s="314">
        <v>1.7522</v>
      </c>
      <c r="AX506" s="314">
        <v>1.6222000000000001</v>
      </c>
      <c r="AY506" s="314">
        <v>1.7369000000000001</v>
      </c>
      <c r="AZ506" s="314">
        <v>1.7019</v>
      </c>
      <c r="BA506" s="314">
        <v>1.6086</v>
      </c>
      <c r="BB506" s="314">
        <v>1.4086000000000001</v>
      </c>
      <c r="BC506" s="314">
        <v>1.6759999999999999</v>
      </c>
      <c r="BD506" s="314">
        <v>1.5835999999999999</v>
      </c>
      <c r="BE506" s="314">
        <v>1.6711</v>
      </c>
      <c r="BF506" s="314">
        <v>1.5207999999999999</v>
      </c>
      <c r="BG506" s="314">
        <v>1.8978999999999999</v>
      </c>
      <c r="BH506" s="314">
        <v>1.8988</v>
      </c>
      <c r="BI506" s="314">
        <v>1.8371</v>
      </c>
      <c r="BJ506" s="314">
        <v>1.6406000000000001</v>
      </c>
      <c r="BK506" s="314">
        <v>1.8384</v>
      </c>
    </row>
    <row r="507" spans="1:63" x14ac:dyDescent="0.25">
      <c r="A507" s="306">
        <v>321991</v>
      </c>
      <c r="B507" s="314" t="s">
        <v>84</v>
      </c>
      <c r="C507" s="314">
        <v>2.1886000000000001</v>
      </c>
      <c r="D507" s="314">
        <v>0</v>
      </c>
      <c r="E507" s="314">
        <v>1.8996</v>
      </c>
      <c r="F507" s="314">
        <v>1.756</v>
      </c>
      <c r="G507" s="314">
        <v>1.5399</v>
      </c>
      <c r="H507" s="314">
        <v>1.6572</v>
      </c>
      <c r="I507" s="314">
        <v>1.5812999999999999</v>
      </c>
      <c r="J507" s="314">
        <v>0</v>
      </c>
      <c r="K507" s="314">
        <v>0</v>
      </c>
      <c r="L507" s="314">
        <v>0</v>
      </c>
      <c r="M507" s="314">
        <v>1.5511999999999999</v>
      </c>
      <c r="N507" s="314">
        <v>1.9189000000000001</v>
      </c>
      <c r="O507" s="314">
        <v>0</v>
      </c>
      <c r="P507" s="314">
        <v>1.5386</v>
      </c>
      <c r="Q507" s="314">
        <v>1.5419</v>
      </c>
      <c r="R507" s="314">
        <v>1.7101999999999999</v>
      </c>
      <c r="S507" s="314">
        <v>1.7783</v>
      </c>
      <c r="T507" s="314">
        <v>1.5307999999999999</v>
      </c>
      <c r="U507" s="314">
        <v>1.7876000000000001</v>
      </c>
      <c r="V507" s="314">
        <v>1.5780000000000001</v>
      </c>
      <c r="W507" s="314">
        <v>0</v>
      </c>
      <c r="X507" s="314">
        <v>1.4870000000000001</v>
      </c>
      <c r="Y507" s="314">
        <v>1.5880000000000001</v>
      </c>
      <c r="Z507" s="314">
        <v>1.7547999999999999</v>
      </c>
      <c r="AA507" s="314">
        <v>1.6608000000000001</v>
      </c>
      <c r="AB507" s="314">
        <v>1.7343</v>
      </c>
      <c r="AC507" s="314">
        <v>1.6940999999999999</v>
      </c>
      <c r="AD507" s="314">
        <v>1.4725999999999999</v>
      </c>
      <c r="AE507" s="314">
        <v>1.8188</v>
      </c>
      <c r="AF507" s="314">
        <v>1.3601000000000001</v>
      </c>
      <c r="AG507" s="314">
        <v>1.38</v>
      </c>
      <c r="AH507" s="314">
        <v>0</v>
      </c>
      <c r="AI507" s="314">
        <v>1.5801000000000001</v>
      </c>
      <c r="AJ507" s="314">
        <v>1.3604000000000001</v>
      </c>
      <c r="AK507" s="314">
        <v>0</v>
      </c>
      <c r="AL507" s="314">
        <v>1.4543999999999999</v>
      </c>
      <c r="AM507" s="314">
        <v>1.8340000000000001</v>
      </c>
      <c r="AN507" s="314">
        <v>1.6102000000000001</v>
      </c>
      <c r="AO507" s="314">
        <v>1.7965</v>
      </c>
      <c r="AP507" s="314">
        <v>1.8584000000000001</v>
      </c>
      <c r="AQ507" s="314">
        <v>0</v>
      </c>
      <c r="AR507" s="314">
        <v>1.8775999999999999</v>
      </c>
      <c r="AS507" s="314">
        <v>1.4564999999999999</v>
      </c>
      <c r="AT507" s="314">
        <v>1.86</v>
      </c>
      <c r="AU507" s="314">
        <v>1.794</v>
      </c>
      <c r="AV507" s="314">
        <v>1.6869000000000001</v>
      </c>
      <c r="AW507" s="314">
        <v>1.7609999999999999</v>
      </c>
      <c r="AX507" s="314">
        <v>1.5114000000000001</v>
      </c>
      <c r="AY507" s="314">
        <v>1.6751</v>
      </c>
      <c r="AZ507" s="314">
        <v>1.7972999999999999</v>
      </c>
      <c r="BA507" s="314">
        <v>1.6493</v>
      </c>
      <c r="BB507" s="314">
        <v>1.3575999999999999</v>
      </c>
      <c r="BC507" s="314">
        <v>1.6597999999999999</v>
      </c>
      <c r="BD507" s="314">
        <v>1.6732</v>
      </c>
      <c r="BE507" s="314">
        <v>1.9098999999999999</v>
      </c>
      <c r="BF507" s="314">
        <v>1.7264999999999999</v>
      </c>
      <c r="BG507" s="314">
        <v>1.921</v>
      </c>
      <c r="BH507" s="314">
        <v>1.9916</v>
      </c>
      <c r="BI507" s="314">
        <v>1.8829</v>
      </c>
      <c r="BJ507" s="314">
        <v>1.6991000000000001</v>
      </c>
      <c r="BK507" s="314">
        <v>1.7927999999999999</v>
      </c>
    </row>
    <row r="508" spans="1:63" x14ac:dyDescent="0.25">
      <c r="A508" s="306">
        <v>321992</v>
      </c>
      <c r="B508" s="314" t="s">
        <v>85</v>
      </c>
      <c r="C508" s="314">
        <v>2.1452</v>
      </c>
      <c r="D508" s="314">
        <v>1.2941</v>
      </c>
      <c r="E508" s="314">
        <v>1.8946000000000001</v>
      </c>
      <c r="F508" s="314">
        <v>1.8375999999999999</v>
      </c>
      <c r="G508" s="314">
        <v>1.4968999999999999</v>
      </c>
      <c r="H508" s="314">
        <v>1.6077999999999999</v>
      </c>
      <c r="I508" s="314">
        <v>1.5780000000000001</v>
      </c>
      <c r="J508" s="314">
        <v>1.4769000000000001</v>
      </c>
      <c r="K508" s="314">
        <v>0</v>
      </c>
      <c r="L508" s="314">
        <v>1.3513999999999999</v>
      </c>
      <c r="M508" s="314">
        <v>1.5321</v>
      </c>
      <c r="N508" s="314">
        <v>1.9776</v>
      </c>
      <c r="O508" s="314">
        <v>1.2773000000000001</v>
      </c>
      <c r="P508" s="314">
        <v>1.4777</v>
      </c>
      <c r="Q508" s="314">
        <v>1.7296</v>
      </c>
      <c r="R508" s="314">
        <v>1.5994999999999999</v>
      </c>
      <c r="S508" s="314">
        <v>1.7212000000000001</v>
      </c>
      <c r="T508" s="314">
        <v>1.4420999999999999</v>
      </c>
      <c r="U508" s="314">
        <v>1.7743</v>
      </c>
      <c r="V508" s="314">
        <v>1.6954</v>
      </c>
      <c r="W508" s="314">
        <v>1.4662999999999999</v>
      </c>
      <c r="X508" s="314">
        <v>1.4178999999999999</v>
      </c>
      <c r="Y508" s="314">
        <v>1.7625999999999999</v>
      </c>
      <c r="Z508" s="314">
        <v>1.7196</v>
      </c>
      <c r="AA508" s="314">
        <v>1.6515</v>
      </c>
      <c r="AB508" s="314">
        <v>1.7170000000000001</v>
      </c>
      <c r="AC508" s="314">
        <v>1.7842</v>
      </c>
      <c r="AD508" s="314">
        <v>1.6718999999999999</v>
      </c>
      <c r="AE508" s="314">
        <v>1.8579000000000001</v>
      </c>
      <c r="AF508" s="314">
        <v>1.3577999999999999</v>
      </c>
      <c r="AG508" s="314">
        <v>1.3488</v>
      </c>
      <c r="AH508" s="314">
        <v>1.7565999999999999</v>
      </c>
      <c r="AI508" s="314">
        <v>1.5051000000000001</v>
      </c>
      <c r="AJ508" s="314">
        <v>1.3082</v>
      </c>
      <c r="AK508" s="314">
        <v>1.4389000000000001</v>
      </c>
      <c r="AL508" s="314">
        <v>1.4135</v>
      </c>
      <c r="AM508" s="314">
        <v>1.7150000000000001</v>
      </c>
      <c r="AN508" s="314">
        <v>1.6173</v>
      </c>
      <c r="AO508" s="314">
        <v>1.9238999999999999</v>
      </c>
      <c r="AP508" s="314">
        <v>1.8542000000000001</v>
      </c>
      <c r="AQ508" s="314">
        <v>1.4888999999999999</v>
      </c>
      <c r="AR508" s="314">
        <v>1.8835</v>
      </c>
      <c r="AS508" s="314">
        <v>1.5569999999999999</v>
      </c>
      <c r="AT508" s="314">
        <v>1.8101</v>
      </c>
      <c r="AU508" s="314">
        <v>1.7271000000000001</v>
      </c>
      <c r="AV508" s="314">
        <v>1.6426000000000001</v>
      </c>
      <c r="AW508" s="314">
        <v>1.8321000000000001</v>
      </c>
      <c r="AX508" s="314">
        <v>1.6473</v>
      </c>
      <c r="AY508" s="314">
        <v>1.8292999999999999</v>
      </c>
      <c r="AZ508" s="314">
        <v>1.8290999999999999</v>
      </c>
      <c r="BA508" s="314">
        <v>1.7179</v>
      </c>
      <c r="BB508" s="314">
        <v>1.3802000000000001</v>
      </c>
      <c r="BC508" s="314">
        <v>1.6878</v>
      </c>
      <c r="BD508" s="314">
        <v>1.6249</v>
      </c>
      <c r="BE508" s="314">
        <v>1.7978000000000001</v>
      </c>
      <c r="BF508" s="314">
        <v>1.6706000000000001</v>
      </c>
      <c r="BG508" s="314">
        <v>1.9280999999999999</v>
      </c>
      <c r="BH508" s="314">
        <v>1.9608000000000001</v>
      </c>
      <c r="BI508" s="314">
        <v>1.9074</v>
      </c>
      <c r="BJ508" s="314">
        <v>1.7492000000000001</v>
      </c>
      <c r="BK508" s="314">
        <v>1.8848</v>
      </c>
    </row>
    <row r="509" spans="1:63" x14ac:dyDescent="0.25">
      <c r="A509" s="306">
        <v>321999</v>
      </c>
      <c r="B509" s="314" t="s">
        <v>86</v>
      </c>
      <c r="C509" s="314">
        <v>2.1271</v>
      </c>
      <c r="D509" s="314">
        <v>1.4515</v>
      </c>
      <c r="E509" s="314">
        <v>1.8724000000000001</v>
      </c>
      <c r="F509" s="314">
        <v>1.8299000000000001</v>
      </c>
      <c r="G509" s="314">
        <v>1.4537</v>
      </c>
      <c r="H509" s="314">
        <v>1.6182000000000001</v>
      </c>
      <c r="I509" s="314">
        <v>1.5542</v>
      </c>
      <c r="J509" s="314">
        <v>1.4571000000000001</v>
      </c>
      <c r="K509" s="314">
        <v>0</v>
      </c>
      <c r="L509" s="314">
        <v>0</v>
      </c>
      <c r="M509" s="314">
        <v>1.5831</v>
      </c>
      <c r="N509" s="314">
        <v>1.9702</v>
      </c>
      <c r="O509" s="314">
        <v>1.3384</v>
      </c>
      <c r="P509" s="314">
        <v>1.3667</v>
      </c>
      <c r="Q509" s="314">
        <v>1.7531000000000001</v>
      </c>
      <c r="R509" s="314">
        <v>1.5699000000000001</v>
      </c>
      <c r="S509" s="314">
        <v>1.6166</v>
      </c>
      <c r="T509" s="314">
        <v>1.3758999999999999</v>
      </c>
      <c r="U509" s="314">
        <v>1.6993</v>
      </c>
      <c r="V509" s="314">
        <v>1.8170999999999999</v>
      </c>
      <c r="W509" s="314">
        <v>1.4658</v>
      </c>
      <c r="X509" s="314">
        <v>1.4652000000000001</v>
      </c>
      <c r="Y509" s="314">
        <v>1.7982</v>
      </c>
      <c r="Z509" s="314">
        <v>1.7096</v>
      </c>
      <c r="AA509" s="314">
        <v>1.6102000000000001</v>
      </c>
      <c r="AB509" s="314">
        <v>1.6669</v>
      </c>
      <c r="AC509" s="314">
        <v>1.7931999999999999</v>
      </c>
      <c r="AD509" s="314">
        <v>1.7286999999999999</v>
      </c>
      <c r="AE509" s="314">
        <v>1.8592</v>
      </c>
      <c r="AF509" s="314">
        <v>1.2944</v>
      </c>
      <c r="AG509" s="314">
        <v>1.3261000000000001</v>
      </c>
      <c r="AH509" s="314">
        <v>1.7567999999999999</v>
      </c>
      <c r="AI509" s="314">
        <v>1.5183</v>
      </c>
      <c r="AJ509" s="314">
        <v>1.3291999999999999</v>
      </c>
      <c r="AK509" s="314">
        <v>1.3960999999999999</v>
      </c>
      <c r="AL509" s="314">
        <v>1.4379999999999999</v>
      </c>
      <c r="AM509" s="314">
        <v>1.6099000000000001</v>
      </c>
      <c r="AN509" s="314">
        <v>1.5912999999999999</v>
      </c>
      <c r="AO509" s="314">
        <v>1.9308000000000001</v>
      </c>
      <c r="AP509" s="314">
        <v>1.7504</v>
      </c>
      <c r="AQ509" s="314">
        <v>1.4451000000000001</v>
      </c>
      <c r="AR509" s="314">
        <v>1.8621000000000001</v>
      </c>
      <c r="AS509" s="314">
        <v>1.5124</v>
      </c>
      <c r="AT509" s="314">
        <v>1.7508999999999999</v>
      </c>
      <c r="AU509" s="314">
        <v>1.7029000000000001</v>
      </c>
      <c r="AV509" s="314">
        <v>1.5758000000000001</v>
      </c>
      <c r="AW509" s="314">
        <v>1.8405</v>
      </c>
      <c r="AX509" s="314">
        <v>1.7047000000000001</v>
      </c>
      <c r="AY509" s="314">
        <v>1.8725000000000001</v>
      </c>
      <c r="AZ509" s="314">
        <v>1.7465999999999999</v>
      </c>
      <c r="BA509" s="314">
        <v>1.7151000000000001</v>
      </c>
      <c r="BB509" s="314">
        <v>1.4514</v>
      </c>
      <c r="BC509" s="314">
        <v>1.7376</v>
      </c>
      <c r="BD509" s="314">
        <v>1.5989</v>
      </c>
      <c r="BE509" s="314">
        <v>1.6887000000000001</v>
      </c>
      <c r="BF509" s="314">
        <v>1.5680000000000001</v>
      </c>
      <c r="BG509" s="314">
        <v>1.9591000000000001</v>
      </c>
      <c r="BH509" s="314">
        <v>1.9283999999999999</v>
      </c>
      <c r="BI509" s="314">
        <v>1.9639</v>
      </c>
      <c r="BJ509" s="314">
        <v>1.7462</v>
      </c>
      <c r="BK509" s="314">
        <v>1.9339999999999999</v>
      </c>
    </row>
    <row r="510" spans="1:63" x14ac:dyDescent="0.25">
      <c r="A510" s="306">
        <v>322110</v>
      </c>
      <c r="B510" s="314" t="s">
        <v>87</v>
      </c>
      <c r="C510" s="314">
        <v>2.1882000000000001</v>
      </c>
      <c r="D510" s="314">
        <v>0</v>
      </c>
      <c r="E510" s="314">
        <v>1.9369000000000001</v>
      </c>
      <c r="F510" s="314">
        <v>0</v>
      </c>
      <c r="G510" s="314">
        <v>1.3885000000000001</v>
      </c>
      <c r="H510" s="314">
        <v>1.5804</v>
      </c>
      <c r="I510" s="314">
        <v>0</v>
      </c>
      <c r="J510" s="314">
        <v>0</v>
      </c>
      <c r="K510" s="314">
        <v>0</v>
      </c>
      <c r="L510" s="314">
        <v>0</v>
      </c>
      <c r="M510" s="314">
        <v>1.538</v>
      </c>
      <c r="N510" s="314">
        <v>1.9392</v>
      </c>
      <c r="O510" s="314">
        <v>0</v>
      </c>
      <c r="P510" s="314">
        <v>1.3512999999999999</v>
      </c>
      <c r="Q510" s="314">
        <v>0</v>
      </c>
      <c r="R510" s="314">
        <v>0</v>
      </c>
      <c r="S510" s="314">
        <v>0</v>
      </c>
      <c r="T510" s="314">
        <v>0</v>
      </c>
      <c r="U510" s="314">
        <v>0</v>
      </c>
      <c r="V510" s="314">
        <v>0</v>
      </c>
      <c r="W510" s="314">
        <v>0</v>
      </c>
      <c r="X510" s="314">
        <v>1.3974</v>
      </c>
      <c r="Y510" s="314">
        <v>1.7407999999999999</v>
      </c>
      <c r="Z510" s="314">
        <v>1.6975</v>
      </c>
      <c r="AA510" s="314">
        <v>0</v>
      </c>
      <c r="AB510" s="314">
        <v>0</v>
      </c>
      <c r="AC510" s="314">
        <v>1.7937000000000001</v>
      </c>
      <c r="AD510" s="314">
        <v>0</v>
      </c>
      <c r="AE510" s="314">
        <v>1.8189</v>
      </c>
      <c r="AF510" s="314">
        <v>0</v>
      </c>
      <c r="AG510" s="314">
        <v>0</v>
      </c>
      <c r="AH510" s="314">
        <v>0</v>
      </c>
      <c r="AI510" s="314">
        <v>0</v>
      </c>
      <c r="AJ510" s="314">
        <v>0</v>
      </c>
      <c r="AK510" s="314">
        <v>0</v>
      </c>
      <c r="AL510" s="314">
        <v>1.3794</v>
      </c>
      <c r="AM510" s="314">
        <v>1.6135999999999999</v>
      </c>
      <c r="AN510" s="314">
        <v>1.5823</v>
      </c>
      <c r="AO510" s="314">
        <v>1.8935999999999999</v>
      </c>
      <c r="AP510" s="314">
        <v>0</v>
      </c>
      <c r="AQ510" s="314">
        <v>0</v>
      </c>
      <c r="AR510" s="314">
        <v>1.8624000000000001</v>
      </c>
      <c r="AS510" s="314">
        <v>0</v>
      </c>
      <c r="AT510" s="314">
        <v>1.6949000000000001</v>
      </c>
      <c r="AU510" s="314">
        <v>1.7222</v>
      </c>
      <c r="AV510" s="314">
        <v>0</v>
      </c>
      <c r="AW510" s="314">
        <v>0</v>
      </c>
      <c r="AX510" s="314">
        <v>0</v>
      </c>
      <c r="AY510" s="314">
        <v>1.8634999999999999</v>
      </c>
      <c r="AZ510" s="314">
        <v>1.6616</v>
      </c>
      <c r="BA510" s="314">
        <v>1.8159000000000001</v>
      </c>
      <c r="BB510" s="314">
        <v>0</v>
      </c>
      <c r="BC510" s="314">
        <v>1.7181999999999999</v>
      </c>
      <c r="BD510" s="314">
        <v>1.5397000000000001</v>
      </c>
      <c r="BE510" s="314">
        <v>1.6617</v>
      </c>
      <c r="BF510" s="314">
        <v>1.5477000000000001</v>
      </c>
      <c r="BG510" s="314">
        <v>1.9300999999999999</v>
      </c>
      <c r="BH510" s="314">
        <v>1.9696</v>
      </c>
      <c r="BI510" s="314">
        <v>2.0261999999999998</v>
      </c>
      <c r="BJ510" s="314">
        <v>1.7544</v>
      </c>
      <c r="BK510" s="314">
        <v>1.913</v>
      </c>
    </row>
    <row r="511" spans="1:63" x14ac:dyDescent="0.25">
      <c r="A511" s="306">
        <v>322120</v>
      </c>
      <c r="B511" s="314" t="s">
        <v>88</v>
      </c>
      <c r="C511" s="314">
        <v>1.9384999999999999</v>
      </c>
      <c r="D511" s="314">
        <v>0</v>
      </c>
      <c r="E511" s="314">
        <v>1.6745000000000001</v>
      </c>
      <c r="F511" s="314">
        <v>1.6111</v>
      </c>
      <c r="G511" s="314">
        <v>1.349</v>
      </c>
      <c r="H511" s="314">
        <v>1.4769000000000001</v>
      </c>
      <c r="I511" s="314">
        <v>1.4323999999999999</v>
      </c>
      <c r="J511" s="314">
        <v>1.4314</v>
      </c>
      <c r="K511" s="314">
        <v>0</v>
      </c>
      <c r="L511" s="314">
        <v>0</v>
      </c>
      <c r="M511" s="314">
        <v>1.4165000000000001</v>
      </c>
      <c r="N511" s="314">
        <v>1.7109000000000001</v>
      </c>
      <c r="O511" s="314">
        <v>1.2447999999999999</v>
      </c>
      <c r="P511" s="314">
        <v>1.3389</v>
      </c>
      <c r="Q511" s="314">
        <v>1.4390000000000001</v>
      </c>
      <c r="R511" s="314">
        <v>1.5618000000000001</v>
      </c>
      <c r="S511" s="314">
        <v>1.5373000000000001</v>
      </c>
      <c r="T511" s="314">
        <v>1.4097</v>
      </c>
      <c r="U511" s="314">
        <v>1.5419</v>
      </c>
      <c r="V511" s="314">
        <v>1.609</v>
      </c>
      <c r="W511" s="314">
        <v>1.4404999999999999</v>
      </c>
      <c r="X511" s="314">
        <v>1.3486</v>
      </c>
      <c r="Y511" s="314">
        <v>1.5172000000000001</v>
      </c>
      <c r="Z511" s="314">
        <v>1.5882000000000001</v>
      </c>
      <c r="AA511" s="314">
        <v>1.5233000000000001</v>
      </c>
      <c r="AB511" s="314">
        <v>1.5193000000000001</v>
      </c>
      <c r="AC511" s="314">
        <v>1.5764</v>
      </c>
      <c r="AD511" s="314">
        <v>0</v>
      </c>
      <c r="AE511" s="314">
        <v>1.6367</v>
      </c>
      <c r="AF511" s="314">
        <v>0</v>
      </c>
      <c r="AG511" s="314">
        <v>1.3213999999999999</v>
      </c>
      <c r="AH511" s="314">
        <v>1.4961</v>
      </c>
      <c r="AI511" s="314">
        <v>1.4872000000000001</v>
      </c>
      <c r="AJ511" s="314">
        <v>1.2938000000000001</v>
      </c>
      <c r="AK511" s="314">
        <v>0</v>
      </c>
      <c r="AL511" s="314">
        <v>1.3652</v>
      </c>
      <c r="AM511" s="314">
        <v>1.6146</v>
      </c>
      <c r="AN511" s="314">
        <v>1.4390000000000001</v>
      </c>
      <c r="AO511" s="314">
        <v>1.6375</v>
      </c>
      <c r="AP511" s="314">
        <v>1.5958000000000001</v>
      </c>
      <c r="AQ511" s="314">
        <v>0</v>
      </c>
      <c r="AR511" s="314">
        <v>1.6535</v>
      </c>
      <c r="AS511" s="314">
        <v>0</v>
      </c>
      <c r="AT511" s="314">
        <v>1.6109</v>
      </c>
      <c r="AU511" s="314">
        <v>1.5862000000000001</v>
      </c>
      <c r="AV511" s="314">
        <v>1.4639</v>
      </c>
      <c r="AW511" s="314">
        <v>1.5580000000000001</v>
      </c>
      <c r="AX511" s="314">
        <v>1.3781000000000001</v>
      </c>
      <c r="AY511" s="314">
        <v>1.5941000000000001</v>
      </c>
      <c r="AZ511" s="314">
        <v>1.5557000000000001</v>
      </c>
      <c r="BA511" s="314">
        <v>0</v>
      </c>
      <c r="BB511" s="314">
        <v>0</v>
      </c>
      <c r="BC511" s="314">
        <v>1.5854999999999999</v>
      </c>
      <c r="BD511" s="314">
        <v>1.5167999999999999</v>
      </c>
      <c r="BE511" s="314">
        <v>1.6384000000000001</v>
      </c>
      <c r="BF511" s="314">
        <v>1.5099</v>
      </c>
      <c r="BG511" s="314">
        <v>1.6984999999999999</v>
      </c>
      <c r="BH511" s="314">
        <v>1.7472000000000001</v>
      </c>
      <c r="BI511" s="314">
        <v>1.714</v>
      </c>
      <c r="BJ511" s="314">
        <v>1.5173000000000001</v>
      </c>
      <c r="BK511" s="314">
        <v>1.6158999999999999</v>
      </c>
    </row>
    <row r="512" spans="1:63" x14ac:dyDescent="0.25">
      <c r="A512" s="306">
        <v>322130</v>
      </c>
      <c r="B512" s="314" t="s">
        <v>712</v>
      </c>
      <c r="C512" s="314">
        <v>2.0476000000000001</v>
      </c>
      <c r="D512" s="314">
        <v>0</v>
      </c>
      <c r="E512" s="314">
        <v>1.7937000000000001</v>
      </c>
      <c r="F512" s="314">
        <v>1.7452000000000001</v>
      </c>
      <c r="G512" s="314">
        <v>1.4037999999999999</v>
      </c>
      <c r="H512" s="314">
        <v>1.5556000000000001</v>
      </c>
      <c r="I512" s="314">
        <v>0</v>
      </c>
      <c r="J512" s="314">
        <v>1.4549000000000001</v>
      </c>
      <c r="K512" s="314">
        <v>0</v>
      </c>
      <c r="L512" s="314">
        <v>0</v>
      </c>
      <c r="M512" s="314">
        <v>1.4792000000000001</v>
      </c>
      <c r="N512" s="314">
        <v>1.7935000000000001</v>
      </c>
      <c r="O512" s="314">
        <v>0</v>
      </c>
      <c r="P512" s="314">
        <v>1.3725000000000001</v>
      </c>
      <c r="Q512" s="314">
        <v>1.5911999999999999</v>
      </c>
      <c r="R512" s="314">
        <v>1.5902000000000001</v>
      </c>
      <c r="S512" s="314">
        <v>1.5952</v>
      </c>
      <c r="T512" s="314">
        <v>1.4502999999999999</v>
      </c>
      <c r="U512" s="314">
        <v>1.5956999999999999</v>
      </c>
      <c r="V512" s="314">
        <v>1.7670999999999999</v>
      </c>
      <c r="W512" s="314">
        <v>1.4468000000000001</v>
      </c>
      <c r="X512" s="314">
        <v>1.3944000000000001</v>
      </c>
      <c r="Y512" s="314">
        <v>1.605</v>
      </c>
      <c r="Z512" s="314">
        <v>1.661</v>
      </c>
      <c r="AA512" s="314">
        <v>1.5705</v>
      </c>
      <c r="AB512" s="314">
        <v>1.5893999999999999</v>
      </c>
      <c r="AC512" s="314">
        <v>1.6812</v>
      </c>
      <c r="AD512" s="314">
        <v>1.6355</v>
      </c>
      <c r="AE512" s="314">
        <v>1.7003999999999999</v>
      </c>
      <c r="AF512" s="314">
        <v>0</v>
      </c>
      <c r="AG512" s="314">
        <v>0</v>
      </c>
      <c r="AH512" s="314">
        <v>0</v>
      </c>
      <c r="AI512" s="314">
        <v>1.4918</v>
      </c>
      <c r="AJ512" s="314">
        <v>0</v>
      </c>
      <c r="AK512" s="314">
        <v>0</v>
      </c>
      <c r="AL512" s="314">
        <v>1.3976</v>
      </c>
      <c r="AM512" s="314">
        <v>1.6283000000000001</v>
      </c>
      <c r="AN512" s="314">
        <v>1.542</v>
      </c>
      <c r="AO512" s="314">
        <v>1.7652000000000001</v>
      </c>
      <c r="AP512" s="314">
        <v>1.6685000000000001</v>
      </c>
      <c r="AQ512" s="314">
        <v>1.4003000000000001</v>
      </c>
      <c r="AR512" s="314">
        <v>1.7390000000000001</v>
      </c>
      <c r="AS512" s="314">
        <v>0</v>
      </c>
      <c r="AT512" s="314">
        <v>1.6408</v>
      </c>
      <c r="AU512" s="314">
        <v>1.6892</v>
      </c>
      <c r="AV512" s="314">
        <v>0</v>
      </c>
      <c r="AW512" s="314">
        <v>1.6684000000000001</v>
      </c>
      <c r="AX512" s="314">
        <v>1.5386</v>
      </c>
      <c r="AY512" s="314">
        <v>1.7171000000000001</v>
      </c>
      <c r="AZ512" s="314">
        <v>1.6039000000000001</v>
      </c>
      <c r="BA512" s="314">
        <v>1.6890000000000001</v>
      </c>
      <c r="BB512" s="314">
        <v>0</v>
      </c>
      <c r="BC512" s="314">
        <v>1.6608000000000001</v>
      </c>
      <c r="BD512" s="314">
        <v>1.5461</v>
      </c>
      <c r="BE512" s="314">
        <v>1.6634</v>
      </c>
      <c r="BF512" s="314">
        <v>1.5564</v>
      </c>
      <c r="BG512" s="314">
        <v>1.7901</v>
      </c>
      <c r="BH512" s="314">
        <v>1.8359000000000001</v>
      </c>
      <c r="BI512" s="314">
        <v>1.8879999999999999</v>
      </c>
      <c r="BJ512" s="314">
        <v>1.6627000000000001</v>
      </c>
      <c r="BK512" s="314">
        <v>1.7750999999999999</v>
      </c>
    </row>
    <row r="513" spans="1:63" x14ac:dyDescent="0.25">
      <c r="A513" s="306">
        <v>322210</v>
      </c>
      <c r="B513" s="314" t="s">
        <v>89</v>
      </c>
      <c r="C513" s="314">
        <v>2.2181000000000002</v>
      </c>
      <c r="D513" s="314">
        <v>0</v>
      </c>
      <c r="E513" s="314">
        <v>1.9067000000000001</v>
      </c>
      <c r="F513" s="314">
        <v>1.8967000000000001</v>
      </c>
      <c r="G513" s="314">
        <v>1.3954</v>
      </c>
      <c r="H513" s="314">
        <v>1.4675</v>
      </c>
      <c r="I513" s="314">
        <v>1.3845000000000001</v>
      </c>
      <c r="J513" s="314">
        <v>1.6511</v>
      </c>
      <c r="K513" s="314">
        <v>0</v>
      </c>
      <c r="L513" s="314">
        <v>1.3345</v>
      </c>
      <c r="M513" s="314">
        <v>1.5184</v>
      </c>
      <c r="N513" s="314">
        <v>2.0278</v>
      </c>
      <c r="O513" s="314">
        <v>1.2304999999999999</v>
      </c>
      <c r="P513" s="314">
        <v>1.3049999999999999</v>
      </c>
      <c r="Q513" s="314">
        <v>1.7445999999999999</v>
      </c>
      <c r="R513" s="314">
        <v>1.5608</v>
      </c>
      <c r="S513" s="314">
        <v>1.6069</v>
      </c>
      <c r="T513" s="314">
        <v>1.3988</v>
      </c>
      <c r="U513" s="314">
        <v>1.7685</v>
      </c>
      <c r="V513" s="314">
        <v>1.8795999999999999</v>
      </c>
      <c r="W513" s="314">
        <v>1.6777</v>
      </c>
      <c r="X513" s="314">
        <v>1.4198999999999999</v>
      </c>
      <c r="Y513" s="314">
        <v>1.5648</v>
      </c>
      <c r="Z513" s="314">
        <v>1.9459</v>
      </c>
      <c r="AA513" s="314">
        <v>1.6877</v>
      </c>
      <c r="AB513" s="314">
        <v>1.4378</v>
      </c>
      <c r="AC513" s="314">
        <v>1.7961</v>
      </c>
      <c r="AD513" s="314">
        <v>1.5024999999999999</v>
      </c>
      <c r="AE513" s="314">
        <v>1.8875999999999999</v>
      </c>
      <c r="AF513" s="314">
        <v>1.2275</v>
      </c>
      <c r="AG513" s="314">
        <v>1.2654000000000001</v>
      </c>
      <c r="AH513" s="314">
        <v>1.5628</v>
      </c>
      <c r="AI513" s="314">
        <v>1.508</v>
      </c>
      <c r="AJ513" s="314">
        <v>1.2725</v>
      </c>
      <c r="AK513" s="314">
        <v>1.2987</v>
      </c>
      <c r="AL513" s="314">
        <v>1.5008999999999999</v>
      </c>
      <c r="AM513" s="314">
        <v>1.9256</v>
      </c>
      <c r="AN513" s="314">
        <v>1.6734</v>
      </c>
      <c r="AO513" s="314">
        <v>1.9763999999999999</v>
      </c>
      <c r="AP513" s="314">
        <v>1.7847999999999999</v>
      </c>
      <c r="AQ513" s="314">
        <v>1.5639000000000001</v>
      </c>
      <c r="AR513" s="314">
        <v>1.8855999999999999</v>
      </c>
      <c r="AS513" s="314">
        <v>1.2061999999999999</v>
      </c>
      <c r="AT513" s="314">
        <v>1.9509000000000001</v>
      </c>
      <c r="AU513" s="314">
        <v>1.7413000000000001</v>
      </c>
      <c r="AV513" s="314">
        <v>1.4142999999999999</v>
      </c>
      <c r="AW513" s="314">
        <v>1.8994</v>
      </c>
      <c r="AX513" s="314">
        <v>1.5876999999999999</v>
      </c>
      <c r="AY513" s="314">
        <v>1.9142999999999999</v>
      </c>
      <c r="AZ513" s="314">
        <v>1.8371</v>
      </c>
      <c r="BA513" s="314">
        <v>1.3826000000000001</v>
      </c>
      <c r="BB513" s="314">
        <v>0</v>
      </c>
      <c r="BC513" s="314">
        <v>1.8253999999999999</v>
      </c>
      <c r="BD513" s="314">
        <v>1.6437999999999999</v>
      </c>
      <c r="BE513" s="314">
        <v>1.9277</v>
      </c>
      <c r="BF513" s="314">
        <v>1.5402</v>
      </c>
      <c r="BG513" s="314">
        <v>1.9381999999999999</v>
      </c>
      <c r="BH513" s="314">
        <v>2.0099</v>
      </c>
      <c r="BI513" s="314">
        <v>2.0095000000000001</v>
      </c>
      <c r="BJ513" s="314">
        <v>1.5539000000000001</v>
      </c>
      <c r="BK513" s="314">
        <v>1.714</v>
      </c>
    </row>
    <row r="514" spans="1:63" x14ac:dyDescent="0.25">
      <c r="A514" s="306" t="s">
        <v>713</v>
      </c>
      <c r="B514" s="314" t="s">
        <v>90</v>
      </c>
      <c r="C514" s="314">
        <v>2.0352000000000001</v>
      </c>
      <c r="D514" s="314">
        <v>0</v>
      </c>
      <c r="E514" s="314">
        <v>1.6667000000000001</v>
      </c>
      <c r="F514" s="314">
        <v>1.6274</v>
      </c>
      <c r="G514" s="314">
        <v>1.3327</v>
      </c>
      <c r="H514" s="314">
        <v>1.4649000000000001</v>
      </c>
      <c r="I514" s="314">
        <v>1.3594999999999999</v>
      </c>
      <c r="J514" s="314">
        <v>1.5972999999999999</v>
      </c>
      <c r="K514" s="314">
        <v>0</v>
      </c>
      <c r="L514" s="314">
        <v>1.3649</v>
      </c>
      <c r="M514" s="314">
        <v>1.3862000000000001</v>
      </c>
      <c r="N514" s="314">
        <v>1.8174999999999999</v>
      </c>
      <c r="O514" s="314">
        <v>0</v>
      </c>
      <c r="P514" s="314">
        <v>1.3036000000000001</v>
      </c>
      <c r="Q514" s="314">
        <v>0</v>
      </c>
      <c r="R514" s="314">
        <v>1.6039000000000001</v>
      </c>
      <c r="S514" s="314">
        <v>1.5994999999999999</v>
      </c>
      <c r="T514" s="314">
        <v>1.3553999999999999</v>
      </c>
      <c r="U514" s="314">
        <v>1.6698999999999999</v>
      </c>
      <c r="V514" s="314">
        <v>1.637</v>
      </c>
      <c r="W514" s="314">
        <v>1.6336999999999999</v>
      </c>
      <c r="X514" s="314">
        <v>1.3898999999999999</v>
      </c>
      <c r="Y514" s="314">
        <v>0</v>
      </c>
      <c r="Z514" s="314">
        <v>1.7509999999999999</v>
      </c>
      <c r="AA514" s="314">
        <v>1.6045</v>
      </c>
      <c r="AB514" s="314">
        <v>1.5267999999999999</v>
      </c>
      <c r="AC514" s="314">
        <v>1.595</v>
      </c>
      <c r="AD514" s="314">
        <v>0</v>
      </c>
      <c r="AE514" s="314">
        <v>1.7218</v>
      </c>
      <c r="AF514" s="314">
        <v>0</v>
      </c>
      <c r="AG514" s="314">
        <v>1.2703</v>
      </c>
      <c r="AH514" s="314">
        <v>1.5255000000000001</v>
      </c>
      <c r="AI514" s="314">
        <v>1.5743</v>
      </c>
      <c r="AJ514" s="314">
        <v>1.2181</v>
      </c>
      <c r="AK514" s="314">
        <v>1.2827</v>
      </c>
      <c r="AL514" s="314">
        <v>1.4051</v>
      </c>
      <c r="AM514" s="314">
        <v>1.8105</v>
      </c>
      <c r="AN514" s="314">
        <v>1.5135000000000001</v>
      </c>
      <c r="AO514" s="314">
        <v>1.6826000000000001</v>
      </c>
      <c r="AP514" s="314">
        <v>1.7383999999999999</v>
      </c>
      <c r="AQ514" s="314">
        <v>1.5125</v>
      </c>
      <c r="AR514" s="314">
        <v>1.7338</v>
      </c>
      <c r="AS514" s="314">
        <v>0</v>
      </c>
      <c r="AT514" s="314">
        <v>1.7628999999999999</v>
      </c>
      <c r="AU514" s="314">
        <v>1.6553</v>
      </c>
      <c r="AV514" s="314">
        <v>1.3765000000000001</v>
      </c>
      <c r="AW514" s="314">
        <v>1.6274</v>
      </c>
      <c r="AX514" s="314">
        <v>1.361</v>
      </c>
      <c r="AY514" s="314">
        <v>1.6126</v>
      </c>
      <c r="AZ514" s="314">
        <v>1.6793</v>
      </c>
      <c r="BA514" s="314">
        <v>0</v>
      </c>
      <c r="BB514" s="314">
        <v>0</v>
      </c>
      <c r="BC514" s="314">
        <v>1.7154</v>
      </c>
      <c r="BD514" s="314">
        <v>1.6222000000000001</v>
      </c>
      <c r="BE514" s="314">
        <v>1.8156000000000001</v>
      </c>
      <c r="BF514" s="314">
        <v>1.548</v>
      </c>
      <c r="BG514" s="314">
        <v>1.7565</v>
      </c>
      <c r="BH514" s="314">
        <v>1.8416999999999999</v>
      </c>
      <c r="BI514" s="314">
        <v>1.7921</v>
      </c>
      <c r="BJ514" s="314">
        <v>1.4213</v>
      </c>
      <c r="BK514" s="314">
        <v>1.5786</v>
      </c>
    </row>
    <row r="515" spans="1:63" x14ac:dyDescent="0.25">
      <c r="A515" s="306" t="s">
        <v>714</v>
      </c>
      <c r="B515" s="314" t="s">
        <v>91</v>
      </c>
      <c r="C515" s="314">
        <v>2.1888000000000001</v>
      </c>
      <c r="D515" s="314">
        <v>0</v>
      </c>
      <c r="E515" s="314">
        <v>1.8023</v>
      </c>
      <c r="F515" s="314">
        <v>1.8057000000000001</v>
      </c>
      <c r="G515" s="314">
        <v>1.4198</v>
      </c>
      <c r="H515" s="314">
        <v>1.5119</v>
      </c>
      <c r="I515" s="314">
        <v>0</v>
      </c>
      <c r="J515" s="314">
        <v>1.6794</v>
      </c>
      <c r="K515" s="314">
        <v>0</v>
      </c>
      <c r="L515" s="314">
        <v>0</v>
      </c>
      <c r="M515" s="314">
        <v>1.4521999999999999</v>
      </c>
      <c r="N515" s="314">
        <v>1.9496</v>
      </c>
      <c r="O515" s="314">
        <v>1.224</v>
      </c>
      <c r="P515" s="314">
        <v>1.3842000000000001</v>
      </c>
      <c r="Q515" s="314">
        <v>0</v>
      </c>
      <c r="R515" s="314">
        <v>1.6871</v>
      </c>
      <c r="S515" s="314">
        <v>1.6613</v>
      </c>
      <c r="T515" s="314">
        <v>1.4168000000000001</v>
      </c>
      <c r="U515" s="314">
        <v>1.8585</v>
      </c>
      <c r="V515" s="314">
        <v>1.7724</v>
      </c>
      <c r="W515" s="314">
        <v>1.7333000000000001</v>
      </c>
      <c r="X515" s="314">
        <v>0</v>
      </c>
      <c r="Y515" s="314">
        <v>1.6004</v>
      </c>
      <c r="Z515" s="314">
        <v>1.8475999999999999</v>
      </c>
      <c r="AA515" s="314">
        <v>1.7714000000000001</v>
      </c>
      <c r="AB515" s="314">
        <v>1.6269</v>
      </c>
      <c r="AC515" s="314">
        <v>1.7156</v>
      </c>
      <c r="AD515" s="314">
        <v>0</v>
      </c>
      <c r="AE515" s="314">
        <v>1.81</v>
      </c>
      <c r="AF515" s="314">
        <v>0</v>
      </c>
      <c r="AG515" s="314">
        <v>1.3022</v>
      </c>
      <c r="AH515" s="314">
        <v>1.6686000000000001</v>
      </c>
      <c r="AI515" s="314">
        <v>1.6780999999999999</v>
      </c>
      <c r="AJ515" s="314">
        <v>0</v>
      </c>
      <c r="AK515" s="314">
        <v>1.3471</v>
      </c>
      <c r="AL515" s="314">
        <v>1.5109999999999999</v>
      </c>
      <c r="AM515" s="314">
        <v>1.9527000000000001</v>
      </c>
      <c r="AN515" s="314">
        <v>1.6515</v>
      </c>
      <c r="AO515" s="314">
        <v>1.8264</v>
      </c>
      <c r="AP515" s="314">
        <v>1.9117</v>
      </c>
      <c r="AQ515" s="314">
        <v>1.4992000000000001</v>
      </c>
      <c r="AR515" s="314">
        <v>1.8501000000000001</v>
      </c>
      <c r="AS515" s="314">
        <v>0</v>
      </c>
      <c r="AT515" s="314">
        <v>1.9024000000000001</v>
      </c>
      <c r="AU515" s="314">
        <v>1.7099</v>
      </c>
      <c r="AV515" s="314">
        <v>1.4684999999999999</v>
      </c>
      <c r="AW515" s="314">
        <v>1.8106</v>
      </c>
      <c r="AX515" s="314">
        <v>0</v>
      </c>
      <c r="AY515" s="314">
        <v>1.7555000000000001</v>
      </c>
      <c r="AZ515" s="314">
        <v>1.8232999999999999</v>
      </c>
      <c r="BA515" s="314">
        <v>1.4478</v>
      </c>
      <c r="BB515" s="314">
        <v>0</v>
      </c>
      <c r="BC515" s="314">
        <v>1.8188</v>
      </c>
      <c r="BD515" s="314">
        <v>1.7591000000000001</v>
      </c>
      <c r="BE515" s="314">
        <v>1.9817</v>
      </c>
      <c r="BF515" s="314">
        <v>1.6782999999999999</v>
      </c>
      <c r="BG515" s="314">
        <v>1.8669</v>
      </c>
      <c r="BH515" s="314">
        <v>1.9731000000000001</v>
      </c>
      <c r="BI515" s="314">
        <v>1.9592000000000001</v>
      </c>
      <c r="BJ515" s="314">
        <v>1.4648000000000001</v>
      </c>
      <c r="BK515" s="314">
        <v>1.6656</v>
      </c>
    </row>
    <row r="516" spans="1:63" x14ac:dyDescent="0.25">
      <c r="A516" s="306">
        <v>322230</v>
      </c>
      <c r="B516" s="314" t="s">
        <v>92</v>
      </c>
      <c r="C516" s="314">
        <v>2.1179999999999999</v>
      </c>
      <c r="D516" s="314">
        <v>0</v>
      </c>
      <c r="E516" s="314">
        <v>1.8085</v>
      </c>
      <c r="F516" s="314">
        <v>1.8008999999999999</v>
      </c>
      <c r="G516" s="314">
        <v>1.3945000000000001</v>
      </c>
      <c r="H516" s="314">
        <v>1.4938</v>
      </c>
      <c r="I516" s="314">
        <v>1.4157</v>
      </c>
      <c r="J516" s="314">
        <v>1.6385000000000001</v>
      </c>
      <c r="K516" s="314">
        <v>0</v>
      </c>
      <c r="L516" s="314">
        <v>0</v>
      </c>
      <c r="M516" s="314">
        <v>1.4950000000000001</v>
      </c>
      <c r="N516" s="314">
        <v>1.9501999999999999</v>
      </c>
      <c r="O516" s="314">
        <v>1.2416</v>
      </c>
      <c r="P516" s="314">
        <v>1.3386</v>
      </c>
      <c r="Q516" s="314">
        <v>1.6364000000000001</v>
      </c>
      <c r="R516" s="314">
        <v>1.5918000000000001</v>
      </c>
      <c r="S516" s="314">
        <v>1.5952</v>
      </c>
      <c r="T516" s="314">
        <v>1.4096</v>
      </c>
      <c r="U516" s="314">
        <v>1.7222999999999999</v>
      </c>
      <c r="V516" s="314">
        <v>1.7841</v>
      </c>
      <c r="W516" s="314">
        <v>1.6640999999999999</v>
      </c>
      <c r="X516" s="314">
        <v>1.4341999999999999</v>
      </c>
      <c r="Y516" s="314">
        <v>1.5381</v>
      </c>
      <c r="Z516" s="314">
        <v>1.8593</v>
      </c>
      <c r="AA516" s="314">
        <v>1.6774</v>
      </c>
      <c r="AB516" s="314">
        <v>1.4903999999999999</v>
      </c>
      <c r="AC516" s="314">
        <v>1.72</v>
      </c>
      <c r="AD516" s="314">
        <v>0</v>
      </c>
      <c r="AE516" s="314">
        <v>1.8180000000000001</v>
      </c>
      <c r="AF516" s="314">
        <v>0</v>
      </c>
      <c r="AG516" s="314">
        <v>1.2919</v>
      </c>
      <c r="AH516" s="314">
        <v>1.5321</v>
      </c>
      <c r="AI516" s="314">
        <v>1.5412999999999999</v>
      </c>
      <c r="AJ516" s="314">
        <v>1.2622</v>
      </c>
      <c r="AK516" s="314">
        <v>1.3068</v>
      </c>
      <c r="AL516" s="314">
        <v>1.4953000000000001</v>
      </c>
      <c r="AM516" s="314">
        <v>1.8623000000000001</v>
      </c>
      <c r="AN516" s="314">
        <v>1.5982000000000001</v>
      </c>
      <c r="AO516" s="314">
        <v>1.8555999999999999</v>
      </c>
      <c r="AP516" s="314">
        <v>1.7632000000000001</v>
      </c>
      <c r="AQ516" s="314">
        <v>1.5463</v>
      </c>
      <c r="AR516" s="314">
        <v>1.8191999999999999</v>
      </c>
      <c r="AS516" s="314">
        <v>1.2517</v>
      </c>
      <c r="AT516" s="314">
        <v>1.8777999999999999</v>
      </c>
      <c r="AU516" s="314">
        <v>1.6956</v>
      </c>
      <c r="AV516" s="314">
        <v>1.4513</v>
      </c>
      <c r="AW516" s="314">
        <v>1.8159000000000001</v>
      </c>
      <c r="AX516" s="314">
        <v>0</v>
      </c>
      <c r="AY516" s="314">
        <v>1.8170999999999999</v>
      </c>
      <c r="AZ516" s="314">
        <v>1.7830999999999999</v>
      </c>
      <c r="BA516" s="314">
        <v>1.3672</v>
      </c>
      <c r="BB516" s="314">
        <v>0</v>
      </c>
      <c r="BC516" s="314">
        <v>1.7770999999999999</v>
      </c>
      <c r="BD516" s="314">
        <v>1.6425000000000001</v>
      </c>
      <c r="BE516" s="314">
        <v>1.8705000000000001</v>
      </c>
      <c r="BF516" s="314">
        <v>1.5589</v>
      </c>
      <c r="BG516" s="314">
        <v>1.8776999999999999</v>
      </c>
      <c r="BH516" s="314">
        <v>1.9196</v>
      </c>
      <c r="BI516" s="314">
        <v>1.9056</v>
      </c>
      <c r="BJ516" s="314">
        <v>1.5245</v>
      </c>
      <c r="BK516" s="314">
        <v>1.679</v>
      </c>
    </row>
    <row r="517" spans="1:63" x14ac:dyDescent="0.25">
      <c r="A517" s="306">
        <v>322291</v>
      </c>
      <c r="B517" s="314" t="s">
        <v>93</v>
      </c>
      <c r="C517" s="314">
        <v>1.6509</v>
      </c>
      <c r="D517" s="314">
        <v>0</v>
      </c>
      <c r="E517" s="314">
        <v>0</v>
      </c>
      <c r="F517" s="314">
        <v>1.3713</v>
      </c>
      <c r="G517" s="314">
        <v>1.2166999999999999</v>
      </c>
      <c r="H517" s="314">
        <v>1.2742</v>
      </c>
      <c r="I517" s="314">
        <v>0</v>
      </c>
      <c r="J517" s="314">
        <v>0</v>
      </c>
      <c r="K517" s="314">
        <v>0</v>
      </c>
      <c r="L517" s="314">
        <v>1.2527999999999999</v>
      </c>
      <c r="M517" s="314">
        <v>1.2569999999999999</v>
      </c>
      <c r="N517" s="314">
        <v>1.4917</v>
      </c>
      <c r="O517" s="314">
        <v>0</v>
      </c>
      <c r="P517" s="314">
        <v>0</v>
      </c>
      <c r="Q517" s="314">
        <v>1.2427999999999999</v>
      </c>
      <c r="R517" s="314">
        <v>1.3602000000000001</v>
      </c>
      <c r="S517" s="314">
        <v>1.3442000000000001</v>
      </c>
      <c r="T517" s="314">
        <v>0</v>
      </c>
      <c r="U517" s="314">
        <v>1.4306000000000001</v>
      </c>
      <c r="V517" s="314">
        <v>0</v>
      </c>
      <c r="W517" s="314">
        <v>1.3971</v>
      </c>
      <c r="X517" s="314">
        <v>1.2155</v>
      </c>
      <c r="Y517" s="314">
        <v>1.3695999999999999</v>
      </c>
      <c r="Z517" s="314">
        <v>1.4149</v>
      </c>
      <c r="AA517" s="314">
        <v>1.3593999999999999</v>
      </c>
      <c r="AB517" s="314">
        <v>1.3172999999999999</v>
      </c>
      <c r="AC517" s="314">
        <v>1.4063000000000001</v>
      </c>
      <c r="AD517" s="314">
        <v>0</v>
      </c>
      <c r="AE517" s="314">
        <v>1.4581999999999999</v>
      </c>
      <c r="AF517" s="314">
        <v>0</v>
      </c>
      <c r="AG517" s="314">
        <v>1.1929000000000001</v>
      </c>
      <c r="AH517" s="314">
        <v>0</v>
      </c>
      <c r="AI517" s="314">
        <v>1.3455999999999999</v>
      </c>
      <c r="AJ517" s="314">
        <v>1.1424000000000001</v>
      </c>
      <c r="AK517" s="314">
        <v>1.1686000000000001</v>
      </c>
      <c r="AL517" s="314">
        <v>1.2565</v>
      </c>
      <c r="AM517" s="314">
        <v>1.4854000000000001</v>
      </c>
      <c r="AN517" s="314">
        <v>0</v>
      </c>
      <c r="AO517" s="314">
        <v>1.4017999999999999</v>
      </c>
      <c r="AP517" s="314">
        <v>1.4621</v>
      </c>
      <c r="AQ517" s="314">
        <v>0</v>
      </c>
      <c r="AR517" s="314">
        <v>1.4709000000000001</v>
      </c>
      <c r="AS517" s="314">
        <v>0</v>
      </c>
      <c r="AT517" s="314">
        <v>1.488</v>
      </c>
      <c r="AU517" s="314">
        <v>1.3503000000000001</v>
      </c>
      <c r="AV517" s="314">
        <v>1.2538</v>
      </c>
      <c r="AW517" s="314">
        <v>0</v>
      </c>
      <c r="AX517" s="314">
        <v>0</v>
      </c>
      <c r="AY517" s="314">
        <v>1.3711</v>
      </c>
      <c r="AZ517" s="314">
        <v>1.4369000000000001</v>
      </c>
      <c r="BA517" s="314">
        <v>0</v>
      </c>
      <c r="BB517" s="314">
        <v>0</v>
      </c>
      <c r="BC517" s="314">
        <v>1.4477</v>
      </c>
      <c r="BD517" s="314">
        <v>1.3748</v>
      </c>
      <c r="BE517" s="314">
        <v>1.4883</v>
      </c>
      <c r="BF517" s="314">
        <v>1.325</v>
      </c>
      <c r="BG517" s="314">
        <v>1.4714</v>
      </c>
      <c r="BH517" s="314">
        <v>1.5244</v>
      </c>
      <c r="BI517" s="314">
        <v>1.4401999999999999</v>
      </c>
      <c r="BJ517" s="314">
        <v>1.2375</v>
      </c>
      <c r="BK517" s="314">
        <v>1.3357000000000001</v>
      </c>
    </row>
    <row r="518" spans="1:63" x14ac:dyDescent="0.25">
      <c r="A518" s="306">
        <v>322299</v>
      </c>
      <c r="B518" s="314" t="s">
        <v>94</v>
      </c>
      <c r="C518" s="314">
        <v>2.0196000000000001</v>
      </c>
      <c r="D518" s="314">
        <v>1.2098</v>
      </c>
      <c r="E518" s="314">
        <v>1.7484</v>
      </c>
      <c r="F518" s="314">
        <v>1.6736</v>
      </c>
      <c r="G518" s="314">
        <v>1.4016</v>
      </c>
      <c r="H518" s="314">
        <v>1.4784999999999999</v>
      </c>
      <c r="I518" s="314">
        <v>1.4109</v>
      </c>
      <c r="J518" s="314">
        <v>1.5643</v>
      </c>
      <c r="K518" s="314">
        <v>0</v>
      </c>
      <c r="L518" s="314">
        <v>1.3515999999999999</v>
      </c>
      <c r="M518" s="314">
        <v>1.4964</v>
      </c>
      <c r="N518" s="314">
        <v>1.8433999999999999</v>
      </c>
      <c r="O518" s="314">
        <v>1.2664</v>
      </c>
      <c r="P518" s="314">
        <v>1.2979000000000001</v>
      </c>
      <c r="Q518" s="314">
        <v>1.5337000000000001</v>
      </c>
      <c r="R518" s="314">
        <v>1.5515000000000001</v>
      </c>
      <c r="S518" s="314">
        <v>1.5173000000000001</v>
      </c>
      <c r="T518" s="314">
        <v>1.3721000000000001</v>
      </c>
      <c r="U518" s="314">
        <v>1.631</v>
      </c>
      <c r="V518" s="314">
        <v>1.6781999999999999</v>
      </c>
      <c r="W518" s="314">
        <v>1.5767</v>
      </c>
      <c r="X518" s="314">
        <v>1.4040999999999999</v>
      </c>
      <c r="Y518" s="314">
        <v>1.5274000000000001</v>
      </c>
      <c r="Z518" s="314">
        <v>1.7481</v>
      </c>
      <c r="AA518" s="314">
        <v>1.5811999999999999</v>
      </c>
      <c r="AB518" s="314">
        <v>1.4527000000000001</v>
      </c>
      <c r="AC518" s="314">
        <v>1.6475</v>
      </c>
      <c r="AD518" s="314">
        <v>1.3769</v>
      </c>
      <c r="AE518" s="314">
        <v>1.7341</v>
      </c>
      <c r="AF518" s="314">
        <v>1.2332000000000001</v>
      </c>
      <c r="AG518" s="314">
        <v>1.2849999999999999</v>
      </c>
      <c r="AH518" s="314">
        <v>1.4873000000000001</v>
      </c>
      <c r="AI518" s="314">
        <v>1.5067999999999999</v>
      </c>
      <c r="AJ518" s="314">
        <v>0</v>
      </c>
      <c r="AK518" s="314">
        <v>1.3287</v>
      </c>
      <c r="AL518" s="314">
        <v>1.4531000000000001</v>
      </c>
      <c r="AM518" s="314">
        <v>1.7484</v>
      </c>
      <c r="AN518" s="314">
        <v>1.546</v>
      </c>
      <c r="AO518" s="314">
        <v>1.7934000000000001</v>
      </c>
      <c r="AP518" s="314">
        <v>1.6667000000000001</v>
      </c>
      <c r="AQ518" s="314">
        <v>1.4742</v>
      </c>
      <c r="AR518" s="314">
        <v>1.7464999999999999</v>
      </c>
      <c r="AS518" s="314">
        <v>0</v>
      </c>
      <c r="AT518" s="314">
        <v>1.7887</v>
      </c>
      <c r="AU518" s="314">
        <v>1.6273</v>
      </c>
      <c r="AV518" s="314">
        <v>1.4449000000000001</v>
      </c>
      <c r="AW518" s="314">
        <v>1.7043999999999999</v>
      </c>
      <c r="AX518" s="314">
        <v>0</v>
      </c>
      <c r="AY518" s="314">
        <v>1.7424999999999999</v>
      </c>
      <c r="AZ518" s="314">
        <v>1.6693</v>
      </c>
      <c r="BA518" s="314">
        <v>0</v>
      </c>
      <c r="BB518" s="314">
        <v>0</v>
      </c>
      <c r="BC518" s="314">
        <v>1.6816</v>
      </c>
      <c r="BD518" s="314">
        <v>1.5825</v>
      </c>
      <c r="BE518" s="314">
        <v>1.7583</v>
      </c>
      <c r="BF518" s="314">
        <v>1.4944</v>
      </c>
      <c r="BG518" s="314">
        <v>1.7957000000000001</v>
      </c>
      <c r="BH518" s="314">
        <v>1.8268</v>
      </c>
      <c r="BI518" s="314">
        <v>1.7865</v>
      </c>
      <c r="BJ518" s="314">
        <v>1.4997</v>
      </c>
      <c r="BK518" s="314">
        <v>1.6311</v>
      </c>
    </row>
    <row r="519" spans="1:63" x14ac:dyDescent="0.25">
      <c r="A519" s="306">
        <v>323110</v>
      </c>
      <c r="B519" s="314" t="s">
        <v>95</v>
      </c>
      <c r="C519" s="314">
        <v>1.8387</v>
      </c>
      <c r="D519" s="314">
        <v>1.2041999999999999</v>
      </c>
      <c r="E519" s="314">
        <v>1.5106999999999999</v>
      </c>
      <c r="F519" s="314">
        <v>1.4912000000000001</v>
      </c>
      <c r="G519" s="314">
        <v>1.4036999999999999</v>
      </c>
      <c r="H519" s="314">
        <v>1.4782</v>
      </c>
      <c r="I519" s="314">
        <v>1.4306000000000001</v>
      </c>
      <c r="J519" s="314">
        <v>1.5485</v>
      </c>
      <c r="K519" s="314">
        <v>1.1935</v>
      </c>
      <c r="L519" s="314">
        <v>1.3753</v>
      </c>
      <c r="M519" s="314">
        <v>1.423</v>
      </c>
      <c r="N519" s="314">
        <v>1.6966000000000001</v>
      </c>
      <c r="O519" s="314">
        <v>1.2696000000000001</v>
      </c>
      <c r="P519" s="314">
        <v>1.3220000000000001</v>
      </c>
      <c r="Q519" s="314">
        <v>1.379</v>
      </c>
      <c r="R519" s="314">
        <v>1.5874999999999999</v>
      </c>
      <c r="S519" s="314">
        <v>1.4759</v>
      </c>
      <c r="T519" s="314">
        <v>1.3741000000000001</v>
      </c>
      <c r="U519" s="314">
        <v>1.5979000000000001</v>
      </c>
      <c r="V519" s="314">
        <v>1.4879</v>
      </c>
      <c r="W519" s="314">
        <v>1.5967</v>
      </c>
      <c r="X519" s="314">
        <v>1.4415</v>
      </c>
      <c r="Y519" s="314">
        <v>1.452</v>
      </c>
      <c r="Z519" s="314">
        <v>1.6180000000000001</v>
      </c>
      <c r="AA519" s="314">
        <v>1.6147</v>
      </c>
      <c r="AB519" s="314">
        <v>1.5004</v>
      </c>
      <c r="AC519" s="314">
        <v>1.4601999999999999</v>
      </c>
      <c r="AD519" s="314">
        <v>1.2322</v>
      </c>
      <c r="AE519" s="314">
        <v>1.5810999999999999</v>
      </c>
      <c r="AF519" s="314">
        <v>1.2186999999999999</v>
      </c>
      <c r="AG519" s="314">
        <v>1.2815000000000001</v>
      </c>
      <c r="AH519" s="314">
        <v>1.5382</v>
      </c>
      <c r="AI519" s="314">
        <v>1.5875999999999999</v>
      </c>
      <c r="AJ519" s="314">
        <v>1.2704</v>
      </c>
      <c r="AK519" s="314">
        <v>1.3407</v>
      </c>
      <c r="AL519" s="314">
        <v>1.4719</v>
      </c>
      <c r="AM519" s="314">
        <v>1.6657</v>
      </c>
      <c r="AN519" s="314">
        <v>1.4681999999999999</v>
      </c>
      <c r="AO519" s="314">
        <v>1.6075999999999999</v>
      </c>
      <c r="AP519" s="314">
        <v>1.6613</v>
      </c>
      <c r="AQ519" s="314">
        <v>1.4001999999999999</v>
      </c>
      <c r="AR519" s="314">
        <v>1.5676000000000001</v>
      </c>
      <c r="AS519" s="314">
        <v>1.2149000000000001</v>
      </c>
      <c r="AT519" s="314">
        <v>1.6336999999999999</v>
      </c>
      <c r="AU519" s="314">
        <v>1.4945999999999999</v>
      </c>
      <c r="AV519" s="314">
        <v>1.4706999999999999</v>
      </c>
      <c r="AW519" s="314">
        <v>1.5892999999999999</v>
      </c>
      <c r="AX519" s="314">
        <v>1.349</v>
      </c>
      <c r="AY519" s="314">
        <v>1.5342</v>
      </c>
      <c r="AZ519" s="314">
        <v>1.5947</v>
      </c>
      <c r="BA519" s="314">
        <v>1.2699</v>
      </c>
      <c r="BB519" s="314">
        <v>1.1988000000000001</v>
      </c>
      <c r="BC519" s="314">
        <v>1.6336999999999999</v>
      </c>
      <c r="BD519" s="314">
        <v>1.63</v>
      </c>
      <c r="BE519" s="314">
        <v>1.6997</v>
      </c>
      <c r="BF519" s="314">
        <v>1.5324</v>
      </c>
      <c r="BG519" s="314">
        <v>1.6309</v>
      </c>
      <c r="BH519" s="314">
        <v>1.6477999999999999</v>
      </c>
      <c r="BI519" s="314">
        <v>1.6182000000000001</v>
      </c>
      <c r="BJ519" s="314">
        <v>1.4406000000000001</v>
      </c>
      <c r="BK519" s="314">
        <v>1.5475000000000001</v>
      </c>
    </row>
    <row r="520" spans="1:63" x14ac:dyDescent="0.25">
      <c r="A520" s="306">
        <v>323120</v>
      </c>
      <c r="B520" s="314" t="s">
        <v>96</v>
      </c>
      <c r="C520" s="314">
        <v>1.6066</v>
      </c>
      <c r="D520" s="314">
        <v>1.1718</v>
      </c>
      <c r="E520" s="314">
        <v>1.3402000000000001</v>
      </c>
      <c r="F520" s="314">
        <v>1.3368</v>
      </c>
      <c r="G520" s="314">
        <v>1.3597999999999999</v>
      </c>
      <c r="H520" s="314">
        <v>1.4294</v>
      </c>
      <c r="I520" s="314">
        <v>1.4107000000000001</v>
      </c>
      <c r="J520" s="314">
        <v>1.4305000000000001</v>
      </c>
      <c r="K520" s="314">
        <v>1.212</v>
      </c>
      <c r="L520" s="314">
        <v>1.3252999999999999</v>
      </c>
      <c r="M520" s="314">
        <v>1.3586</v>
      </c>
      <c r="N520" s="314">
        <v>1.4972000000000001</v>
      </c>
      <c r="O520" s="314">
        <v>1.2592000000000001</v>
      </c>
      <c r="P520" s="314">
        <v>1.2435</v>
      </c>
      <c r="Q520" s="314">
        <v>1.2783</v>
      </c>
      <c r="R520" s="314">
        <v>1.4855</v>
      </c>
      <c r="S520" s="314">
        <v>1.3698999999999999</v>
      </c>
      <c r="T520" s="314">
        <v>1.3145</v>
      </c>
      <c r="U520" s="314">
        <v>1.4006000000000001</v>
      </c>
      <c r="V520" s="314">
        <v>1.3420000000000001</v>
      </c>
      <c r="W520" s="314">
        <v>1.4599</v>
      </c>
      <c r="X520" s="314">
        <v>1.3648</v>
      </c>
      <c r="Y520" s="314">
        <v>1.3170999999999999</v>
      </c>
      <c r="Z520" s="314">
        <v>1.4492</v>
      </c>
      <c r="AA520" s="314">
        <v>1.4379999999999999</v>
      </c>
      <c r="AB520" s="314">
        <v>1.4207000000000001</v>
      </c>
      <c r="AC520" s="314">
        <v>1.2958000000000001</v>
      </c>
      <c r="AD520" s="314">
        <v>1.1910000000000001</v>
      </c>
      <c r="AE520" s="314">
        <v>1.4198999999999999</v>
      </c>
      <c r="AF520" s="314">
        <v>1.1894</v>
      </c>
      <c r="AG520" s="314">
        <v>1.2493000000000001</v>
      </c>
      <c r="AH520" s="314">
        <v>1.4168000000000001</v>
      </c>
      <c r="AI520" s="314">
        <v>1.4712000000000001</v>
      </c>
      <c r="AJ520" s="314">
        <v>1.2159</v>
      </c>
      <c r="AK520" s="314">
        <v>1.3121</v>
      </c>
      <c r="AL520" s="314">
        <v>1.3965000000000001</v>
      </c>
      <c r="AM520" s="314">
        <v>1.4856</v>
      </c>
      <c r="AN520" s="314">
        <v>1.3130999999999999</v>
      </c>
      <c r="AO520" s="314">
        <v>1.4314</v>
      </c>
      <c r="AP520" s="314">
        <v>1.4883</v>
      </c>
      <c r="AQ520" s="314">
        <v>1.3818999999999999</v>
      </c>
      <c r="AR520" s="314">
        <v>1.3805000000000001</v>
      </c>
      <c r="AS520" s="314">
        <v>0</v>
      </c>
      <c r="AT520" s="314">
        <v>1.4318</v>
      </c>
      <c r="AU520" s="314">
        <v>1.4339</v>
      </c>
      <c r="AV520" s="314">
        <v>1.4116</v>
      </c>
      <c r="AW520" s="314">
        <v>1.4527000000000001</v>
      </c>
      <c r="AX520" s="314">
        <v>1.2650999999999999</v>
      </c>
      <c r="AY520" s="314">
        <v>1.3842000000000001</v>
      </c>
      <c r="AZ520" s="314">
        <v>1.4079999999999999</v>
      </c>
      <c r="BA520" s="314">
        <v>0</v>
      </c>
      <c r="BB520" s="314">
        <v>0</v>
      </c>
      <c r="BC520" s="314">
        <v>1.4833000000000001</v>
      </c>
      <c r="BD520" s="314">
        <v>1.4886999999999999</v>
      </c>
      <c r="BE520" s="314">
        <v>1.5003</v>
      </c>
      <c r="BF520" s="314">
        <v>1.4009</v>
      </c>
      <c r="BG520" s="314">
        <v>1.4803999999999999</v>
      </c>
      <c r="BH520" s="314">
        <v>1.4205000000000001</v>
      </c>
      <c r="BI520" s="314">
        <v>1.4574</v>
      </c>
      <c r="BJ520" s="314">
        <v>1.3965000000000001</v>
      </c>
      <c r="BK520" s="314">
        <v>1.4452</v>
      </c>
    </row>
    <row r="521" spans="1:63" x14ac:dyDescent="0.25">
      <c r="A521" s="306">
        <v>324110</v>
      </c>
      <c r="B521" s="314" t="s">
        <v>97</v>
      </c>
      <c r="C521" s="314">
        <v>1.8424</v>
      </c>
      <c r="D521" s="314">
        <v>1.6053999999999999</v>
      </c>
      <c r="E521" s="314">
        <v>1.3129</v>
      </c>
      <c r="F521" s="314">
        <v>1.3573</v>
      </c>
      <c r="G521" s="314">
        <v>1.1616</v>
      </c>
      <c r="H521" s="314">
        <v>1.5435000000000001</v>
      </c>
      <c r="I521" s="314">
        <v>1.6913</v>
      </c>
      <c r="J521" s="314">
        <v>0</v>
      </c>
      <c r="K521" s="314">
        <v>1.0716000000000001</v>
      </c>
      <c r="L521" s="314">
        <v>1.2353000000000001</v>
      </c>
      <c r="M521" s="314">
        <v>1.1488</v>
      </c>
      <c r="N521" s="314">
        <v>1.1957</v>
      </c>
      <c r="O521" s="314">
        <v>1.2082999999999999</v>
      </c>
      <c r="P521" s="314">
        <v>1.1285000000000001</v>
      </c>
      <c r="Q521" s="314">
        <v>1.1577</v>
      </c>
      <c r="R521" s="314">
        <v>1.3119000000000001</v>
      </c>
      <c r="S521" s="314">
        <v>1.2799</v>
      </c>
      <c r="T521" s="314">
        <v>1.5236000000000001</v>
      </c>
      <c r="U521" s="314">
        <v>1.3532999999999999</v>
      </c>
      <c r="V521" s="314">
        <v>1.7056</v>
      </c>
      <c r="W521" s="314">
        <v>1.1822999999999999</v>
      </c>
      <c r="X521" s="314">
        <v>1.1525000000000001</v>
      </c>
      <c r="Y521" s="314">
        <v>1.1514</v>
      </c>
      <c r="Z521" s="314">
        <v>1.2402</v>
      </c>
      <c r="AA521" s="314">
        <v>1.248</v>
      </c>
      <c r="AB521" s="314">
        <v>1.2129000000000001</v>
      </c>
      <c r="AC521" s="314">
        <v>1.4685999999999999</v>
      </c>
      <c r="AD521" s="314">
        <v>1.5048999999999999</v>
      </c>
      <c r="AE521" s="314">
        <v>1.1685000000000001</v>
      </c>
      <c r="AF521" s="314">
        <v>1.4661999999999999</v>
      </c>
      <c r="AG521" s="314">
        <v>1.1536999999999999</v>
      </c>
      <c r="AH521" s="314">
        <v>1.1516</v>
      </c>
      <c r="AI521" s="314">
        <v>1.2870999999999999</v>
      </c>
      <c r="AJ521" s="314">
        <v>1.5840000000000001</v>
      </c>
      <c r="AK521" s="314">
        <v>1.1588000000000001</v>
      </c>
      <c r="AL521" s="314">
        <v>1.1632</v>
      </c>
      <c r="AM521" s="314">
        <v>1.375</v>
      </c>
      <c r="AN521" s="314">
        <v>1.6840999999999999</v>
      </c>
      <c r="AO521" s="314">
        <v>1.1789000000000001</v>
      </c>
      <c r="AP521" s="314">
        <v>1.383</v>
      </c>
      <c r="AQ521" s="314">
        <v>0</v>
      </c>
      <c r="AR521" s="314">
        <v>1.1615</v>
      </c>
      <c r="AS521" s="314">
        <v>1.1172</v>
      </c>
      <c r="AT521" s="314">
        <v>1.2172000000000001</v>
      </c>
      <c r="AU521" s="314">
        <v>1.7670999999999999</v>
      </c>
      <c r="AV521" s="314">
        <v>1.6059000000000001</v>
      </c>
      <c r="AW521" s="314">
        <v>1.2109000000000001</v>
      </c>
      <c r="AX521" s="314">
        <v>0</v>
      </c>
      <c r="AY521" s="314">
        <v>1.2523</v>
      </c>
      <c r="AZ521" s="314">
        <v>1.1798</v>
      </c>
      <c r="BA521" s="314">
        <v>1.583</v>
      </c>
      <c r="BB521" s="314">
        <v>1.5973999999999999</v>
      </c>
      <c r="BC521" s="314">
        <v>1.1898</v>
      </c>
      <c r="BD521" s="314">
        <v>1.266</v>
      </c>
      <c r="BE521" s="314">
        <v>1.3104</v>
      </c>
      <c r="BF521" s="314">
        <v>1.2834000000000001</v>
      </c>
      <c r="BG521" s="314">
        <v>1.2273000000000001</v>
      </c>
      <c r="BH521" s="314">
        <v>1.3657999999999999</v>
      </c>
      <c r="BI521" s="314">
        <v>1.7706999999999999</v>
      </c>
      <c r="BJ521" s="314">
        <v>1.6991000000000001</v>
      </c>
      <c r="BK521" s="314">
        <v>1.5537000000000001</v>
      </c>
    </row>
    <row r="522" spans="1:63" x14ac:dyDescent="0.25">
      <c r="A522" s="306">
        <v>324121</v>
      </c>
      <c r="B522" s="314" t="s">
        <v>98</v>
      </c>
      <c r="C522" s="314">
        <v>2.1774</v>
      </c>
      <c r="D522" s="314">
        <v>1.6197999999999999</v>
      </c>
      <c r="E522" s="314">
        <v>1.5185999999999999</v>
      </c>
      <c r="F522" s="314">
        <v>1.5729</v>
      </c>
      <c r="G522" s="314">
        <v>1.3376999999999999</v>
      </c>
      <c r="H522" s="314">
        <v>1.8334999999999999</v>
      </c>
      <c r="I522" s="314">
        <v>1.7142999999999999</v>
      </c>
      <c r="J522" s="314">
        <v>1.4295</v>
      </c>
      <c r="K522" s="314">
        <v>0</v>
      </c>
      <c r="L522" s="314">
        <v>1.6456999999999999</v>
      </c>
      <c r="M522" s="314">
        <v>1.3385</v>
      </c>
      <c r="N522" s="314">
        <v>1.4921</v>
      </c>
      <c r="O522" s="314">
        <v>1.5589999999999999</v>
      </c>
      <c r="P522" s="314">
        <v>1.3025</v>
      </c>
      <c r="Q522" s="314">
        <v>1.2749999999999999</v>
      </c>
      <c r="R522" s="314">
        <v>1.8033999999999999</v>
      </c>
      <c r="S522" s="314">
        <v>1.7828999999999999</v>
      </c>
      <c r="T522" s="314">
        <v>1.764</v>
      </c>
      <c r="U522" s="314">
        <v>1.7306999999999999</v>
      </c>
      <c r="V522" s="314">
        <v>1.8187</v>
      </c>
      <c r="W522" s="314">
        <v>1.4319</v>
      </c>
      <c r="X522" s="314">
        <v>1.3496999999999999</v>
      </c>
      <c r="Y522" s="314">
        <v>1.3093999999999999</v>
      </c>
      <c r="Z522" s="314">
        <v>1.5305</v>
      </c>
      <c r="AA522" s="314">
        <v>1.6758999999999999</v>
      </c>
      <c r="AB522" s="314">
        <v>1.5164</v>
      </c>
      <c r="AC522" s="314">
        <v>1.7202999999999999</v>
      </c>
      <c r="AD522" s="314">
        <v>1.6281000000000001</v>
      </c>
      <c r="AE522" s="314">
        <v>1.4790000000000001</v>
      </c>
      <c r="AF522" s="314">
        <v>0</v>
      </c>
      <c r="AG522" s="314">
        <v>0</v>
      </c>
      <c r="AH522" s="314">
        <v>1.3844000000000001</v>
      </c>
      <c r="AI522" s="314">
        <v>1.7635000000000001</v>
      </c>
      <c r="AJ522" s="314">
        <v>1.6532</v>
      </c>
      <c r="AK522" s="314">
        <v>1.3391999999999999</v>
      </c>
      <c r="AL522" s="314">
        <v>1.3869</v>
      </c>
      <c r="AM522" s="314">
        <v>1.7562</v>
      </c>
      <c r="AN522" s="314">
        <v>1.8140000000000001</v>
      </c>
      <c r="AO522" s="314">
        <v>1.4215</v>
      </c>
      <c r="AP522" s="314">
        <v>1.7681</v>
      </c>
      <c r="AQ522" s="314">
        <v>1.3856999999999999</v>
      </c>
      <c r="AR522" s="314">
        <v>1.4467000000000001</v>
      </c>
      <c r="AS522" s="314">
        <v>1.2275</v>
      </c>
      <c r="AT522" s="314">
        <v>1.5501</v>
      </c>
      <c r="AU522" s="314">
        <v>1.9469000000000001</v>
      </c>
      <c r="AV522" s="314">
        <v>1.8969</v>
      </c>
      <c r="AW522" s="314">
        <v>1.4590000000000001</v>
      </c>
      <c r="AX522" s="314">
        <v>1.2585999999999999</v>
      </c>
      <c r="AY522" s="314">
        <v>1.6709000000000001</v>
      </c>
      <c r="AZ522" s="314">
        <v>1.4758</v>
      </c>
      <c r="BA522" s="314">
        <v>1.5993999999999999</v>
      </c>
      <c r="BB522" s="314">
        <v>1.6291</v>
      </c>
      <c r="BC522" s="314">
        <v>1.4641999999999999</v>
      </c>
      <c r="BD522" s="314">
        <v>1.627</v>
      </c>
      <c r="BE522" s="314">
        <v>1.7654000000000001</v>
      </c>
      <c r="BF522" s="314">
        <v>1.6137999999999999</v>
      </c>
      <c r="BG522" s="314">
        <v>1.5384</v>
      </c>
      <c r="BH522" s="314">
        <v>1.7787999999999999</v>
      </c>
      <c r="BI522" s="314">
        <v>1.9643999999999999</v>
      </c>
      <c r="BJ522" s="314">
        <v>1.7717000000000001</v>
      </c>
      <c r="BK522" s="314">
        <v>1.8454999999999999</v>
      </c>
    </row>
    <row r="523" spans="1:63" x14ac:dyDescent="0.25">
      <c r="A523" s="306">
        <v>324122</v>
      </c>
      <c r="B523" s="314" t="s">
        <v>99</v>
      </c>
      <c r="C523" s="314">
        <v>2.0472000000000001</v>
      </c>
      <c r="D523" s="314">
        <v>0</v>
      </c>
      <c r="E523" s="314">
        <v>1.4945999999999999</v>
      </c>
      <c r="F523" s="314">
        <v>1.5119</v>
      </c>
      <c r="G523" s="314">
        <v>1.3835</v>
      </c>
      <c r="H523" s="314">
        <v>1.7190000000000001</v>
      </c>
      <c r="I523" s="314">
        <v>1.6422000000000001</v>
      </c>
      <c r="J523" s="314">
        <v>1.3938999999999999</v>
      </c>
      <c r="K523" s="314">
        <v>0</v>
      </c>
      <c r="L523" s="314">
        <v>1.5586</v>
      </c>
      <c r="M523" s="314">
        <v>1.39</v>
      </c>
      <c r="N523" s="314">
        <v>1.5628</v>
      </c>
      <c r="O523" s="314">
        <v>0</v>
      </c>
      <c r="P523" s="314">
        <v>1.2492000000000001</v>
      </c>
      <c r="Q523" s="314">
        <v>1.2806</v>
      </c>
      <c r="R523" s="314">
        <v>1.6711</v>
      </c>
      <c r="S523" s="314">
        <v>1.6785000000000001</v>
      </c>
      <c r="T523" s="314">
        <v>1.5806</v>
      </c>
      <c r="U523" s="314">
        <v>0</v>
      </c>
      <c r="V523" s="314">
        <v>1.7223999999999999</v>
      </c>
      <c r="W523" s="314">
        <v>1.4603999999999999</v>
      </c>
      <c r="X523" s="314">
        <v>1.3631</v>
      </c>
      <c r="Y523" s="314">
        <v>0</v>
      </c>
      <c r="Z523" s="314">
        <v>1.5021</v>
      </c>
      <c r="AA523" s="314">
        <v>1.6620999999999999</v>
      </c>
      <c r="AB523" s="314">
        <v>1.5105</v>
      </c>
      <c r="AC523" s="314">
        <v>1.5589999999999999</v>
      </c>
      <c r="AD523" s="314">
        <v>0</v>
      </c>
      <c r="AE523" s="314">
        <v>1.5254000000000001</v>
      </c>
      <c r="AF523" s="314">
        <v>0</v>
      </c>
      <c r="AG523" s="314">
        <v>1.2994000000000001</v>
      </c>
      <c r="AH523" s="314">
        <v>1.5013000000000001</v>
      </c>
      <c r="AI523" s="314">
        <v>1.6861999999999999</v>
      </c>
      <c r="AJ523" s="314">
        <v>0</v>
      </c>
      <c r="AK523" s="314">
        <v>1.3982000000000001</v>
      </c>
      <c r="AL523" s="314">
        <v>1.4135</v>
      </c>
      <c r="AM523" s="314">
        <v>1.7443</v>
      </c>
      <c r="AN523" s="314">
        <v>1.7141999999999999</v>
      </c>
      <c r="AO523" s="314">
        <v>1.5246</v>
      </c>
      <c r="AP523" s="314">
        <v>1.7806</v>
      </c>
      <c r="AQ523" s="314">
        <v>0</v>
      </c>
      <c r="AR523" s="314">
        <v>1.4657</v>
      </c>
      <c r="AS523" s="314">
        <v>0</v>
      </c>
      <c r="AT523" s="314">
        <v>1.5840000000000001</v>
      </c>
      <c r="AU523" s="314">
        <v>1.829</v>
      </c>
      <c r="AV523" s="314">
        <v>1.7537</v>
      </c>
      <c r="AW523" s="314">
        <v>1.4664999999999999</v>
      </c>
      <c r="AX523" s="314">
        <v>0</v>
      </c>
      <c r="AY523" s="314">
        <v>1.6491</v>
      </c>
      <c r="AZ523" s="314">
        <v>1.4721</v>
      </c>
      <c r="BA523" s="314">
        <v>0</v>
      </c>
      <c r="BB523" s="314">
        <v>1.4224000000000001</v>
      </c>
      <c r="BC523" s="314">
        <v>1.5105</v>
      </c>
      <c r="BD523" s="314">
        <v>1.6366000000000001</v>
      </c>
      <c r="BE523" s="314">
        <v>1.7696000000000001</v>
      </c>
      <c r="BF523" s="314">
        <v>1.577</v>
      </c>
      <c r="BG523" s="314">
        <v>1.5933999999999999</v>
      </c>
      <c r="BH523" s="314">
        <v>1.7124999999999999</v>
      </c>
      <c r="BI523" s="314">
        <v>1.8658999999999999</v>
      </c>
      <c r="BJ523" s="314">
        <v>1.6771</v>
      </c>
      <c r="BK523" s="314">
        <v>1.762</v>
      </c>
    </row>
    <row r="524" spans="1:63" x14ac:dyDescent="0.25">
      <c r="A524" s="306">
        <v>324191</v>
      </c>
      <c r="B524" s="314" t="s">
        <v>100</v>
      </c>
      <c r="C524" s="314">
        <v>2.2185999999999999</v>
      </c>
      <c r="D524" s="314">
        <v>0</v>
      </c>
      <c r="E524" s="314">
        <v>1.5011000000000001</v>
      </c>
      <c r="F524" s="314">
        <v>1.5804</v>
      </c>
      <c r="G524" s="314">
        <v>1.2826</v>
      </c>
      <c r="H524" s="314">
        <v>1.8857999999999999</v>
      </c>
      <c r="I524" s="314">
        <v>1.7392000000000001</v>
      </c>
      <c r="J524" s="314">
        <v>1.381</v>
      </c>
      <c r="K524" s="314">
        <v>0</v>
      </c>
      <c r="L524" s="314">
        <v>1.7404999999999999</v>
      </c>
      <c r="M524" s="314">
        <v>1.2870999999999999</v>
      </c>
      <c r="N524" s="314">
        <v>1.4369000000000001</v>
      </c>
      <c r="O524" s="314">
        <v>0</v>
      </c>
      <c r="P524" s="314">
        <v>1.2565</v>
      </c>
      <c r="Q524" s="314">
        <v>0</v>
      </c>
      <c r="R524" s="314">
        <v>1.7979000000000001</v>
      </c>
      <c r="S524" s="314">
        <v>1.7819</v>
      </c>
      <c r="T524" s="314">
        <v>1.8265</v>
      </c>
      <c r="U524" s="314">
        <v>1.7294</v>
      </c>
      <c r="V524" s="314">
        <v>1.9556</v>
      </c>
      <c r="W524" s="314">
        <v>1.3824000000000001</v>
      </c>
      <c r="X524" s="314">
        <v>1.3309</v>
      </c>
      <c r="Y524" s="314">
        <v>0</v>
      </c>
      <c r="Z524" s="314">
        <v>1.4792000000000001</v>
      </c>
      <c r="AA524" s="314">
        <v>1.6820999999999999</v>
      </c>
      <c r="AB524" s="314">
        <v>1.4692000000000001</v>
      </c>
      <c r="AC524" s="314">
        <v>1.78</v>
      </c>
      <c r="AD524" s="314">
        <v>0</v>
      </c>
      <c r="AE524" s="314">
        <v>1.4097</v>
      </c>
      <c r="AF524" s="314">
        <v>0</v>
      </c>
      <c r="AG524" s="314">
        <v>1.2708999999999999</v>
      </c>
      <c r="AH524" s="314">
        <v>1.3106</v>
      </c>
      <c r="AI524" s="314">
        <v>1.8294999999999999</v>
      </c>
      <c r="AJ524" s="314">
        <v>1.7539</v>
      </c>
      <c r="AK524" s="314">
        <v>1.3069</v>
      </c>
      <c r="AL524" s="314">
        <v>1.3210999999999999</v>
      </c>
      <c r="AM524" s="314">
        <v>1.7250000000000001</v>
      </c>
      <c r="AN524" s="314">
        <v>1.8576999999999999</v>
      </c>
      <c r="AO524" s="314">
        <v>1.3614999999999999</v>
      </c>
      <c r="AP524" s="314">
        <v>1.7504999999999999</v>
      </c>
      <c r="AQ524" s="314">
        <v>0</v>
      </c>
      <c r="AR524" s="314">
        <v>1.377</v>
      </c>
      <c r="AS524" s="314">
        <v>0</v>
      </c>
      <c r="AT524" s="314">
        <v>1.4892000000000001</v>
      </c>
      <c r="AU524" s="314">
        <v>2.0463</v>
      </c>
      <c r="AV524" s="314">
        <v>1.9207000000000001</v>
      </c>
      <c r="AW524" s="314">
        <v>0</v>
      </c>
      <c r="AX524" s="314">
        <v>0</v>
      </c>
      <c r="AY524" s="314">
        <v>1.7304999999999999</v>
      </c>
      <c r="AZ524" s="314">
        <v>1.4039999999999999</v>
      </c>
      <c r="BA524" s="314">
        <v>1.6362000000000001</v>
      </c>
      <c r="BB524" s="314">
        <v>0</v>
      </c>
      <c r="BC524" s="314">
        <v>1.3996999999999999</v>
      </c>
      <c r="BD524" s="314">
        <v>1.5986</v>
      </c>
      <c r="BE524" s="314">
        <v>1.7282999999999999</v>
      </c>
      <c r="BF524" s="314">
        <v>1.5826</v>
      </c>
      <c r="BG524" s="314">
        <v>1.4772000000000001</v>
      </c>
      <c r="BH524" s="314">
        <v>1.7787999999999999</v>
      </c>
      <c r="BI524" s="314">
        <v>2.0594000000000001</v>
      </c>
      <c r="BJ524" s="314">
        <v>1.8075000000000001</v>
      </c>
      <c r="BK524" s="314">
        <v>1.8964000000000001</v>
      </c>
    </row>
    <row r="525" spans="1:63" x14ac:dyDescent="0.25">
      <c r="A525" s="306">
        <v>324199</v>
      </c>
      <c r="B525" s="314" t="s">
        <v>101</v>
      </c>
      <c r="C525" s="314">
        <v>2.1408</v>
      </c>
      <c r="D525" s="314">
        <v>0</v>
      </c>
      <c r="E525" s="314">
        <v>1.4332</v>
      </c>
      <c r="F525" s="314">
        <v>0</v>
      </c>
      <c r="G525" s="314">
        <v>0</v>
      </c>
      <c r="H525" s="314">
        <v>1.8688</v>
      </c>
      <c r="I525" s="314">
        <v>1.7750999999999999</v>
      </c>
      <c r="J525" s="314">
        <v>0</v>
      </c>
      <c r="K525" s="314">
        <v>0</v>
      </c>
      <c r="L525" s="314">
        <v>0</v>
      </c>
      <c r="M525" s="314">
        <v>1.2746</v>
      </c>
      <c r="N525" s="314">
        <v>1.3357000000000001</v>
      </c>
      <c r="O525" s="314">
        <v>0</v>
      </c>
      <c r="P525" s="314">
        <v>0</v>
      </c>
      <c r="Q525" s="314">
        <v>0</v>
      </c>
      <c r="R525" s="314">
        <v>1.6778999999999999</v>
      </c>
      <c r="S525" s="314">
        <v>1.6674</v>
      </c>
      <c r="T525" s="314">
        <v>0</v>
      </c>
      <c r="U525" s="314">
        <v>1.6355</v>
      </c>
      <c r="V525" s="314">
        <v>1.9322999999999999</v>
      </c>
      <c r="W525" s="314">
        <v>0</v>
      </c>
      <c r="X525" s="314">
        <v>0</v>
      </c>
      <c r="Y525" s="314">
        <v>0</v>
      </c>
      <c r="Z525" s="314">
        <v>1.4089</v>
      </c>
      <c r="AA525" s="314">
        <v>1.6055999999999999</v>
      </c>
      <c r="AB525" s="314">
        <v>0</v>
      </c>
      <c r="AC525" s="314">
        <v>1.7451000000000001</v>
      </c>
      <c r="AD525" s="314">
        <v>0</v>
      </c>
      <c r="AE525" s="314">
        <v>0</v>
      </c>
      <c r="AF525" s="314">
        <v>0</v>
      </c>
      <c r="AG525" s="314">
        <v>1.2376</v>
      </c>
      <c r="AH525" s="314">
        <v>0</v>
      </c>
      <c r="AI525" s="314">
        <v>1.704</v>
      </c>
      <c r="AJ525" s="314">
        <v>0</v>
      </c>
      <c r="AK525" s="314">
        <v>0</v>
      </c>
      <c r="AL525" s="314">
        <v>1.2908999999999999</v>
      </c>
      <c r="AM525" s="314">
        <v>1.6189</v>
      </c>
      <c r="AN525" s="314">
        <v>1.8825000000000001</v>
      </c>
      <c r="AO525" s="314">
        <v>0</v>
      </c>
      <c r="AP525" s="314">
        <v>1.6649</v>
      </c>
      <c r="AQ525" s="314">
        <v>0</v>
      </c>
      <c r="AR525" s="314">
        <v>1.2861</v>
      </c>
      <c r="AS525" s="314">
        <v>0</v>
      </c>
      <c r="AT525" s="314">
        <v>1.4058999999999999</v>
      </c>
      <c r="AU525" s="314">
        <v>2.0154000000000001</v>
      </c>
      <c r="AV525" s="314">
        <v>1.9103000000000001</v>
      </c>
      <c r="AW525" s="314">
        <v>1.3734999999999999</v>
      </c>
      <c r="AX525" s="314">
        <v>0</v>
      </c>
      <c r="AY525" s="314">
        <v>0</v>
      </c>
      <c r="AZ525" s="314">
        <v>1.3353999999999999</v>
      </c>
      <c r="BA525" s="314">
        <v>1.6216999999999999</v>
      </c>
      <c r="BB525" s="314">
        <v>1.7626999999999999</v>
      </c>
      <c r="BC525" s="314">
        <v>0</v>
      </c>
      <c r="BD525" s="314">
        <v>1.5004999999999999</v>
      </c>
      <c r="BE525" s="314">
        <v>1.6032999999999999</v>
      </c>
      <c r="BF525" s="314">
        <v>1.4996</v>
      </c>
      <c r="BG525" s="314">
        <v>1.3927</v>
      </c>
      <c r="BH525" s="314">
        <v>1.6728000000000001</v>
      </c>
      <c r="BI525" s="314">
        <v>2.0234000000000001</v>
      </c>
      <c r="BJ525" s="314">
        <v>1.8383</v>
      </c>
      <c r="BK525" s="314">
        <v>1.8815</v>
      </c>
    </row>
    <row r="526" spans="1:63" x14ac:dyDescent="0.25">
      <c r="A526" s="306">
        <v>325110</v>
      </c>
      <c r="B526" s="314" t="s">
        <v>102</v>
      </c>
      <c r="C526" s="314">
        <v>2.4738000000000002</v>
      </c>
      <c r="D526" s="314">
        <v>0</v>
      </c>
      <c r="E526" s="314">
        <v>1.9315</v>
      </c>
      <c r="F526" s="314">
        <v>1.7628999999999999</v>
      </c>
      <c r="G526" s="314">
        <v>0</v>
      </c>
      <c r="H526" s="314">
        <v>1.6999</v>
      </c>
      <c r="I526" s="314">
        <v>0</v>
      </c>
      <c r="J526" s="314">
        <v>1.6365000000000001</v>
      </c>
      <c r="K526" s="314">
        <v>0</v>
      </c>
      <c r="L526" s="314">
        <v>1.9300999999999999</v>
      </c>
      <c r="M526" s="314">
        <v>1.3589</v>
      </c>
      <c r="N526" s="314">
        <v>1.6278999999999999</v>
      </c>
      <c r="O526" s="314">
        <v>0</v>
      </c>
      <c r="P526" s="314">
        <v>0</v>
      </c>
      <c r="Q526" s="314">
        <v>0</v>
      </c>
      <c r="R526" s="314">
        <v>1.9518</v>
      </c>
      <c r="S526" s="314">
        <v>0</v>
      </c>
      <c r="T526" s="314">
        <v>0</v>
      </c>
      <c r="U526" s="314">
        <v>0</v>
      </c>
      <c r="V526" s="314">
        <v>2.1486000000000001</v>
      </c>
      <c r="W526" s="314">
        <v>1.5185</v>
      </c>
      <c r="X526" s="314">
        <v>0</v>
      </c>
      <c r="Y526" s="314">
        <v>1.2551000000000001</v>
      </c>
      <c r="Z526" s="314">
        <v>1.5432999999999999</v>
      </c>
      <c r="AA526" s="314">
        <v>0</v>
      </c>
      <c r="AB526" s="314">
        <v>1.9222999999999999</v>
      </c>
      <c r="AC526" s="314">
        <v>1.6778</v>
      </c>
      <c r="AD526" s="314">
        <v>0</v>
      </c>
      <c r="AE526" s="314">
        <v>1.6206</v>
      </c>
      <c r="AF526" s="314">
        <v>0</v>
      </c>
      <c r="AG526" s="314">
        <v>0</v>
      </c>
      <c r="AH526" s="314">
        <v>0</v>
      </c>
      <c r="AI526" s="314">
        <v>2.0657000000000001</v>
      </c>
      <c r="AJ526" s="314">
        <v>0</v>
      </c>
      <c r="AK526" s="314">
        <v>0</v>
      </c>
      <c r="AL526" s="314">
        <v>1.3822000000000001</v>
      </c>
      <c r="AM526" s="314">
        <v>1.9716</v>
      </c>
      <c r="AN526" s="314">
        <v>0</v>
      </c>
      <c r="AO526" s="314">
        <v>0</v>
      </c>
      <c r="AP526" s="314">
        <v>1.8384</v>
      </c>
      <c r="AQ526" s="314">
        <v>0</v>
      </c>
      <c r="AR526" s="314">
        <v>1.7746</v>
      </c>
      <c r="AS526" s="314">
        <v>0</v>
      </c>
      <c r="AT526" s="314">
        <v>1.5504</v>
      </c>
      <c r="AU526" s="314">
        <v>2.2770000000000001</v>
      </c>
      <c r="AV526" s="314">
        <v>0</v>
      </c>
      <c r="AW526" s="314">
        <v>0</v>
      </c>
      <c r="AX526" s="314">
        <v>0</v>
      </c>
      <c r="AY526" s="314">
        <v>1.5797000000000001</v>
      </c>
      <c r="AZ526" s="314">
        <v>0</v>
      </c>
      <c r="BA526" s="314">
        <v>1.9396</v>
      </c>
      <c r="BB526" s="314">
        <v>0</v>
      </c>
      <c r="BC526" s="314">
        <v>1.5525</v>
      </c>
      <c r="BD526" s="314">
        <v>1.7919</v>
      </c>
      <c r="BE526" s="314">
        <v>1.9432</v>
      </c>
      <c r="BF526" s="314">
        <v>1.8085</v>
      </c>
      <c r="BG526" s="314">
        <v>1.6819999999999999</v>
      </c>
      <c r="BH526" s="314">
        <v>1.9854000000000001</v>
      </c>
      <c r="BI526" s="314">
        <v>2.2847</v>
      </c>
      <c r="BJ526" s="314">
        <v>0</v>
      </c>
      <c r="BK526" s="314">
        <v>1.7096</v>
      </c>
    </row>
    <row r="527" spans="1:63" x14ac:dyDescent="0.25">
      <c r="A527" s="306">
        <v>325120</v>
      </c>
      <c r="B527" s="314" t="s">
        <v>103</v>
      </c>
      <c r="C527" s="314">
        <v>1.9403999999999999</v>
      </c>
      <c r="D527" s="314">
        <v>0</v>
      </c>
      <c r="E527" s="314">
        <v>1.5844</v>
      </c>
      <c r="F527" s="314">
        <v>1.5753999999999999</v>
      </c>
      <c r="G527" s="314">
        <v>1.4745999999999999</v>
      </c>
      <c r="H527" s="314">
        <v>1.5893999999999999</v>
      </c>
      <c r="I527" s="314">
        <v>1.6560999999999999</v>
      </c>
      <c r="J527" s="314">
        <v>1.5592999999999999</v>
      </c>
      <c r="K527" s="314">
        <v>0</v>
      </c>
      <c r="L527" s="314">
        <v>1.5911</v>
      </c>
      <c r="M527" s="314">
        <v>1.4297</v>
      </c>
      <c r="N527" s="314">
        <v>1.5949</v>
      </c>
      <c r="O527" s="314">
        <v>1.4577</v>
      </c>
      <c r="P527" s="314">
        <v>1.4005000000000001</v>
      </c>
      <c r="Q527" s="314">
        <v>1.369</v>
      </c>
      <c r="R527" s="314">
        <v>1.7310000000000001</v>
      </c>
      <c r="S527" s="314">
        <v>1.6052</v>
      </c>
      <c r="T527" s="314">
        <v>1.5736000000000001</v>
      </c>
      <c r="U527" s="314">
        <v>1.5920000000000001</v>
      </c>
      <c r="V527" s="314">
        <v>1.655</v>
      </c>
      <c r="W527" s="314">
        <v>1.5221</v>
      </c>
      <c r="X527" s="314">
        <v>1.4738</v>
      </c>
      <c r="Y527" s="314">
        <v>1.3991</v>
      </c>
      <c r="Z527" s="314">
        <v>1.6111</v>
      </c>
      <c r="AA527" s="314">
        <v>1.5998000000000001</v>
      </c>
      <c r="AB527" s="314">
        <v>1.6413</v>
      </c>
      <c r="AC527" s="314">
        <v>1.4956</v>
      </c>
      <c r="AD527" s="314">
        <v>1.494</v>
      </c>
      <c r="AE527" s="314">
        <v>1.5298</v>
      </c>
      <c r="AF527" s="314">
        <v>0</v>
      </c>
      <c r="AG527" s="314">
        <v>1.4582999999999999</v>
      </c>
      <c r="AH527" s="314">
        <v>0</v>
      </c>
      <c r="AI527" s="314">
        <v>1.605</v>
      </c>
      <c r="AJ527" s="314">
        <v>1.5009999999999999</v>
      </c>
      <c r="AK527" s="314">
        <v>1.4807999999999999</v>
      </c>
      <c r="AL527" s="314">
        <v>1.5253000000000001</v>
      </c>
      <c r="AM527" s="314">
        <v>1.7087000000000001</v>
      </c>
      <c r="AN527" s="314">
        <v>1.5477000000000001</v>
      </c>
      <c r="AO527" s="314">
        <v>1.5590999999999999</v>
      </c>
      <c r="AP527" s="314">
        <v>1.7165999999999999</v>
      </c>
      <c r="AQ527" s="314">
        <v>1.3785000000000001</v>
      </c>
      <c r="AR527" s="314">
        <v>1.5219</v>
      </c>
      <c r="AS527" s="314">
        <v>0</v>
      </c>
      <c r="AT527" s="314">
        <v>1.5740000000000001</v>
      </c>
      <c r="AU527" s="314">
        <v>1.7282999999999999</v>
      </c>
      <c r="AV527" s="314">
        <v>1.6595</v>
      </c>
      <c r="AW527" s="314">
        <v>1.5578000000000001</v>
      </c>
      <c r="AX527" s="314">
        <v>0</v>
      </c>
      <c r="AY527" s="314">
        <v>1.5827</v>
      </c>
      <c r="AZ527" s="314">
        <v>1.5601</v>
      </c>
      <c r="BA527" s="314">
        <v>1.5461</v>
      </c>
      <c r="BB527" s="314">
        <v>1.4480999999999999</v>
      </c>
      <c r="BC527" s="314">
        <v>1.5712999999999999</v>
      </c>
      <c r="BD527" s="314">
        <v>1.6641999999999999</v>
      </c>
      <c r="BE527" s="314">
        <v>1.7224999999999999</v>
      </c>
      <c r="BF527" s="314">
        <v>1.6278999999999999</v>
      </c>
      <c r="BG527" s="314">
        <v>1.6483000000000001</v>
      </c>
      <c r="BH527" s="314">
        <v>1.6545000000000001</v>
      </c>
      <c r="BI527" s="314">
        <v>1.7450000000000001</v>
      </c>
      <c r="BJ527" s="314">
        <v>1.6861999999999999</v>
      </c>
      <c r="BK527" s="314">
        <v>1.6214</v>
      </c>
    </row>
    <row r="528" spans="1:63" x14ac:dyDescent="0.25">
      <c r="A528" s="306">
        <v>325130</v>
      </c>
      <c r="B528" s="314" t="s">
        <v>104</v>
      </c>
      <c r="C528" s="314">
        <v>2.1612</v>
      </c>
      <c r="D528" s="314">
        <v>0</v>
      </c>
      <c r="E528" s="314">
        <v>1.6760999999999999</v>
      </c>
      <c r="F528" s="314">
        <v>1.6631</v>
      </c>
      <c r="G528" s="314">
        <v>1.4703999999999999</v>
      </c>
      <c r="H528" s="314">
        <v>1.7191000000000001</v>
      </c>
      <c r="I528" s="314">
        <v>1.7223999999999999</v>
      </c>
      <c r="J528" s="314">
        <v>1.7192000000000001</v>
      </c>
      <c r="K528" s="314">
        <v>0</v>
      </c>
      <c r="L528" s="314">
        <v>1.6968000000000001</v>
      </c>
      <c r="M528" s="314">
        <v>1.4709000000000001</v>
      </c>
      <c r="N528" s="314">
        <v>1.7196</v>
      </c>
      <c r="O528" s="314">
        <v>0</v>
      </c>
      <c r="P528" s="314">
        <v>1.4487000000000001</v>
      </c>
      <c r="Q528" s="314">
        <v>1.4300999999999999</v>
      </c>
      <c r="R528" s="314">
        <v>1.9205000000000001</v>
      </c>
      <c r="S528" s="314">
        <v>1.7367999999999999</v>
      </c>
      <c r="T528" s="314">
        <v>1.633</v>
      </c>
      <c r="U528" s="314">
        <v>1.7101999999999999</v>
      </c>
      <c r="V528" s="314">
        <v>1.7505999999999999</v>
      </c>
      <c r="W528" s="314">
        <v>1.6841999999999999</v>
      </c>
      <c r="X528" s="314">
        <v>1.5263</v>
      </c>
      <c r="Y528" s="314">
        <v>0</v>
      </c>
      <c r="Z528" s="314">
        <v>1.7292000000000001</v>
      </c>
      <c r="AA528" s="314">
        <v>1.7208000000000001</v>
      </c>
      <c r="AB528" s="314">
        <v>1.7828999999999999</v>
      </c>
      <c r="AC528" s="314">
        <v>1.5373000000000001</v>
      </c>
      <c r="AD528" s="314">
        <v>0</v>
      </c>
      <c r="AE528" s="314">
        <v>1.6904999999999999</v>
      </c>
      <c r="AF528" s="314">
        <v>0</v>
      </c>
      <c r="AG528" s="314">
        <v>0</v>
      </c>
      <c r="AH528" s="314">
        <v>1.5227999999999999</v>
      </c>
      <c r="AI528" s="314">
        <v>1.8562000000000001</v>
      </c>
      <c r="AJ528" s="314">
        <v>0</v>
      </c>
      <c r="AK528" s="314">
        <v>0</v>
      </c>
      <c r="AL528" s="314">
        <v>1.5914999999999999</v>
      </c>
      <c r="AM528" s="314">
        <v>1.8953</v>
      </c>
      <c r="AN528" s="314">
        <v>1.5543</v>
      </c>
      <c r="AO528" s="314">
        <v>1.6467000000000001</v>
      </c>
      <c r="AP528" s="314">
        <v>1.8711</v>
      </c>
      <c r="AQ528" s="314">
        <v>1.5414000000000001</v>
      </c>
      <c r="AR528" s="314">
        <v>1.6484000000000001</v>
      </c>
      <c r="AS528" s="314">
        <v>0</v>
      </c>
      <c r="AT528" s="314">
        <v>1.6758</v>
      </c>
      <c r="AU528" s="314">
        <v>1.8847</v>
      </c>
      <c r="AV528" s="314">
        <v>0</v>
      </c>
      <c r="AW528" s="314">
        <v>1.6889000000000001</v>
      </c>
      <c r="AX528" s="314">
        <v>0</v>
      </c>
      <c r="AY528" s="314">
        <v>1.62</v>
      </c>
      <c r="AZ528" s="314">
        <v>1.6704000000000001</v>
      </c>
      <c r="BA528" s="314">
        <v>1.6044</v>
      </c>
      <c r="BB528" s="314">
        <v>0</v>
      </c>
      <c r="BC528" s="314">
        <v>1.7321</v>
      </c>
      <c r="BD528" s="314">
        <v>1.8466</v>
      </c>
      <c r="BE528" s="314">
        <v>1.9103000000000001</v>
      </c>
      <c r="BF528" s="314">
        <v>1.7396</v>
      </c>
      <c r="BG528" s="314">
        <v>1.7665999999999999</v>
      </c>
      <c r="BH528" s="314">
        <v>1.7907</v>
      </c>
      <c r="BI528" s="314">
        <v>1.9028</v>
      </c>
      <c r="BJ528" s="314">
        <v>1.6995</v>
      </c>
      <c r="BK528" s="314">
        <v>1.7314000000000001</v>
      </c>
    </row>
    <row r="529" spans="1:63" x14ac:dyDescent="0.25">
      <c r="A529" s="306">
        <v>325181</v>
      </c>
      <c r="B529" s="314" t="s">
        <v>105</v>
      </c>
      <c r="C529" s="314">
        <v>2.2315</v>
      </c>
      <c r="D529" s="314">
        <v>0</v>
      </c>
      <c r="E529" s="314">
        <v>1.7040999999999999</v>
      </c>
      <c r="F529" s="314">
        <v>0</v>
      </c>
      <c r="G529" s="314">
        <v>0</v>
      </c>
      <c r="H529" s="314">
        <v>1.8279000000000001</v>
      </c>
      <c r="I529" s="314">
        <v>1.8986000000000001</v>
      </c>
      <c r="J529" s="314">
        <v>0</v>
      </c>
      <c r="K529" s="314">
        <v>0</v>
      </c>
      <c r="L529" s="314">
        <v>1.6876</v>
      </c>
      <c r="M529" s="314">
        <v>1.5382</v>
      </c>
      <c r="N529" s="314">
        <v>1.7688999999999999</v>
      </c>
      <c r="O529" s="314">
        <v>0</v>
      </c>
      <c r="P529" s="314">
        <v>1.5045999999999999</v>
      </c>
      <c r="Q529" s="314">
        <v>0</v>
      </c>
      <c r="R529" s="314">
        <v>1.9873000000000001</v>
      </c>
      <c r="S529" s="314">
        <v>0</v>
      </c>
      <c r="T529" s="314">
        <v>1.7563</v>
      </c>
      <c r="U529" s="314">
        <v>0</v>
      </c>
      <c r="V529" s="314">
        <v>1.8268</v>
      </c>
      <c r="W529" s="314">
        <v>0</v>
      </c>
      <c r="X529" s="314">
        <v>1.605</v>
      </c>
      <c r="Y529" s="314">
        <v>0</v>
      </c>
      <c r="Z529" s="314">
        <v>1.8653</v>
      </c>
      <c r="AA529" s="314">
        <v>0</v>
      </c>
      <c r="AB529" s="314">
        <v>0</v>
      </c>
      <c r="AC529" s="314">
        <v>1.6786000000000001</v>
      </c>
      <c r="AD529" s="314">
        <v>0</v>
      </c>
      <c r="AE529" s="314">
        <v>0</v>
      </c>
      <c r="AF529" s="314">
        <v>0</v>
      </c>
      <c r="AG529" s="314">
        <v>0</v>
      </c>
      <c r="AH529" s="314">
        <v>0</v>
      </c>
      <c r="AI529" s="314">
        <v>1.8391999999999999</v>
      </c>
      <c r="AJ529" s="314">
        <v>0</v>
      </c>
      <c r="AK529" s="314">
        <v>1.6021000000000001</v>
      </c>
      <c r="AL529" s="314">
        <v>1.7312000000000001</v>
      </c>
      <c r="AM529" s="314">
        <v>1.9505999999999999</v>
      </c>
      <c r="AN529" s="314">
        <v>1.7383</v>
      </c>
      <c r="AO529" s="314">
        <v>0</v>
      </c>
      <c r="AP529" s="314">
        <v>2.0015000000000001</v>
      </c>
      <c r="AQ529" s="314">
        <v>0</v>
      </c>
      <c r="AR529" s="314">
        <v>0</v>
      </c>
      <c r="AS529" s="314">
        <v>0</v>
      </c>
      <c r="AT529" s="314">
        <v>1.7611000000000001</v>
      </c>
      <c r="AU529" s="314">
        <v>1.9574</v>
      </c>
      <c r="AV529" s="314">
        <v>1.8584000000000001</v>
      </c>
      <c r="AW529" s="314">
        <v>1.7606999999999999</v>
      </c>
      <c r="AX529" s="314">
        <v>0</v>
      </c>
      <c r="AY529" s="314">
        <v>1.7393000000000001</v>
      </c>
      <c r="AZ529" s="314">
        <v>1.7222</v>
      </c>
      <c r="BA529" s="314">
        <v>1.6761999999999999</v>
      </c>
      <c r="BB529" s="314">
        <v>1.5907</v>
      </c>
      <c r="BC529" s="314">
        <v>0</v>
      </c>
      <c r="BD529" s="314">
        <v>1.8967000000000001</v>
      </c>
      <c r="BE529" s="314">
        <v>1.9583999999999999</v>
      </c>
      <c r="BF529" s="314">
        <v>1.8290999999999999</v>
      </c>
      <c r="BG529" s="314">
        <v>1.8312999999999999</v>
      </c>
      <c r="BH529" s="314">
        <v>1.8321000000000001</v>
      </c>
      <c r="BI529" s="314">
        <v>1.9695</v>
      </c>
      <c r="BJ529" s="314">
        <v>1.8819999999999999</v>
      </c>
      <c r="BK529" s="314">
        <v>1.857</v>
      </c>
    </row>
    <row r="530" spans="1:63" x14ac:dyDescent="0.25">
      <c r="A530" s="306">
        <v>325182</v>
      </c>
      <c r="B530" s="314" t="s">
        <v>106</v>
      </c>
      <c r="C530" s="314">
        <v>2.0171999999999999</v>
      </c>
      <c r="D530" s="314">
        <v>0</v>
      </c>
      <c r="E530" s="314">
        <v>1.4835</v>
      </c>
      <c r="F530" s="314">
        <v>0</v>
      </c>
      <c r="G530" s="314">
        <v>0</v>
      </c>
      <c r="H530" s="314">
        <v>0</v>
      </c>
      <c r="I530" s="314">
        <v>0</v>
      </c>
      <c r="J530" s="314">
        <v>0</v>
      </c>
      <c r="K530" s="314">
        <v>0</v>
      </c>
      <c r="L530" s="314">
        <v>0</v>
      </c>
      <c r="M530" s="314">
        <v>0</v>
      </c>
      <c r="N530" s="314">
        <v>1.4483999999999999</v>
      </c>
      <c r="O530" s="314">
        <v>0</v>
      </c>
      <c r="P530" s="314">
        <v>0</v>
      </c>
      <c r="Q530" s="314">
        <v>0</v>
      </c>
      <c r="R530" s="314">
        <v>0</v>
      </c>
      <c r="S530" s="314">
        <v>0</v>
      </c>
      <c r="T530" s="314">
        <v>1.6879</v>
      </c>
      <c r="U530" s="314">
        <v>1.5688</v>
      </c>
      <c r="V530" s="314">
        <v>1.7614000000000001</v>
      </c>
      <c r="W530" s="314">
        <v>0</v>
      </c>
      <c r="X530" s="314">
        <v>0</v>
      </c>
      <c r="Y530" s="314">
        <v>0</v>
      </c>
      <c r="Z530" s="314">
        <v>0</v>
      </c>
      <c r="AA530" s="314">
        <v>0</v>
      </c>
      <c r="AB530" s="314">
        <v>0</v>
      </c>
      <c r="AC530" s="314">
        <v>0</v>
      </c>
      <c r="AD530" s="314">
        <v>0</v>
      </c>
      <c r="AE530" s="314">
        <v>1.4069</v>
      </c>
      <c r="AF530" s="314">
        <v>0</v>
      </c>
      <c r="AG530" s="314">
        <v>0</v>
      </c>
      <c r="AH530" s="314">
        <v>0</v>
      </c>
      <c r="AI530" s="314">
        <v>0</v>
      </c>
      <c r="AJ530" s="314">
        <v>0</v>
      </c>
      <c r="AK530" s="314">
        <v>0</v>
      </c>
      <c r="AL530" s="314">
        <v>0</v>
      </c>
      <c r="AM530" s="314">
        <v>1.6274999999999999</v>
      </c>
      <c r="AN530" s="314">
        <v>1.7532000000000001</v>
      </c>
      <c r="AO530" s="314">
        <v>0</v>
      </c>
      <c r="AP530" s="314">
        <v>0</v>
      </c>
      <c r="AQ530" s="314">
        <v>0</v>
      </c>
      <c r="AR530" s="314">
        <v>0</v>
      </c>
      <c r="AS530" s="314">
        <v>0</v>
      </c>
      <c r="AT530" s="314">
        <v>0</v>
      </c>
      <c r="AU530" s="314">
        <v>1.861</v>
      </c>
      <c r="AV530" s="314">
        <v>0</v>
      </c>
      <c r="AW530" s="314">
        <v>0</v>
      </c>
      <c r="AX530" s="314">
        <v>0</v>
      </c>
      <c r="AY530" s="314">
        <v>0</v>
      </c>
      <c r="AZ530" s="314">
        <v>0</v>
      </c>
      <c r="BA530" s="314">
        <v>1.5409999999999999</v>
      </c>
      <c r="BB530" s="314">
        <v>0</v>
      </c>
      <c r="BC530" s="314">
        <v>0</v>
      </c>
      <c r="BD530" s="314">
        <v>0</v>
      </c>
      <c r="BE530" s="314">
        <v>1.6412</v>
      </c>
      <c r="BF530" s="314">
        <v>1.5765</v>
      </c>
      <c r="BG530" s="314">
        <v>1.4912000000000001</v>
      </c>
      <c r="BH530" s="314">
        <v>1.615</v>
      </c>
      <c r="BI530" s="314">
        <v>1.8666</v>
      </c>
      <c r="BJ530" s="314">
        <v>0</v>
      </c>
      <c r="BK530" s="314">
        <v>0</v>
      </c>
    </row>
    <row r="531" spans="1:63" x14ac:dyDescent="0.25">
      <c r="A531" s="306">
        <v>325188</v>
      </c>
      <c r="B531" s="314" t="s">
        <v>107</v>
      </c>
      <c r="C531" s="314">
        <v>2.06</v>
      </c>
      <c r="D531" s="314">
        <v>0</v>
      </c>
      <c r="E531" s="314">
        <v>1.6282000000000001</v>
      </c>
      <c r="F531" s="314">
        <v>1.5777000000000001</v>
      </c>
      <c r="G531" s="314">
        <v>1.5652999999999999</v>
      </c>
      <c r="H531" s="314">
        <v>1.6471</v>
      </c>
      <c r="I531" s="314">
        <v>1.6813</v>
      </c>
      <c r="J531" s="314">
        <v>1.6031</v>
      </c>
      <c r="K531" s="314">
        <v>0</v>
      </c>
      <c r="L531" s="314">
        <v>1.5019</v>
      </c>
      <c r="M531" s="314">
        <v>1.496</v>
      </c>
      <c r="N531" s="314">
        <v>1.677</v>
      </c>
      <c r="O531" s="314">
        <v>1.3740000000000001</v>
      </c>
      <c r="P531" s="314">
        <v>1.4591000000000001</v>
      </c>
      <c r="Q531" s="314">
        <v>1.413</v>
      </c>
      <c r="R531" s="314">
        <v>1.7725</v>
      </c>
      <c r="S531" s="314">
        <v>1.6812</v>
      </c>
      <c r="T531" s="314">
        <v>1.5884</v>
      </c>
      <c r="U531" s="314">
        <v>1.6345000000000001</v>
      </c>
      <c r="V531" s="314">
        <v>1.7323</v>
      </c>
      <c r="W531" s="314">
        <v>1.5854999999999999</v>
      </c>
      <c r="X531" s="314">
        <v>1.5344</v>
      </c>
      <c r="Y531" s="314">
        <v>1.4291</v>
      </c>
      <c r="Z531" s="314">
        <v>1.6930000000000001</v>
      </c>
      <c r="AA531" s="314">
        <v>0</v>
      </c>
      <c r="AB531" s="314">
        <v>1.6959</v>
      </c>
      <c r="AC531" s="314">
        <v>1.5135000000000001</v>
      </c>
      <c r="AD531" s="314">
        <v>1.5167999999999999</v>
      </c>
      <c r="AE531" s="314">
        <v>1.6103000000000001</v>
      </c>
      <c r="AF531" s="314">
        <v>0</v>
      </c>
      <c r="AG531" s="314">
        <v>1.4451000000000001</v>
      </c>
      <c r="AH531" s="314">
        <v>0</v>
      </c>
      <c r="AI531" s="314">
        <v>1.6759999999999999</v>
      </c>
      <c r="AJ531" s="314">
        <v>1.5126999999999999</v>
      </c>
      <c r="AK531" s="314">
        <v>1.5341</v>
      </c>
      <c r="AL531" s="314">
        <v>1.5234000000000001</v>
      </c>
      <c r="AM531" s="314">
        <v>1.792</v>
      </c>
      <c r="AN531" s="314">
        <v>1.6432</v>
      </c>
      <c r="AO531" s="314">
        <v>1.609</v>
      </c>
      <c r="AP531" s="314">
        <v>1.794</v>
      </c>
      <c r="AQ531" s="314">
        <v>1.4804999999999999</v>
      </c>
      <c r="AR531" s="314">
        <v>1.6316999999999999</v>
      </c>
      <c r="AS531" s="314">
        <v>0</v>
      </c>
      <c r="AT531" s="314">
        <v>1.6971000000000001</v>
      </c>
      <c r="AU531" s="314">
        <v>1.8108</v>
      </c>
      <c r="AV531" s="314">
        <v>1.7239</v>
      </c>
      <c r="AW531" s="314">
        <v>1.5563</v>
      </c>
      <c r="AX531" s="314">
        <v>0</v>
      </c>
      <c r="AY531" s="314">
        <v>1.6089</v>
      </c>
      <c r="AZ531" s="314">
        <v>1.6225000000000001</v>
      </c>
      <c r="BA531" s="314">
        <v>1.5749</v>
      </c>
      <c r="BB531" s="314">
        <v>1.4610000000000001</v>
      </c>
      <c r="BC531" s="314">
        <v>1.6319999999999999</v>
      </c>
      <c r="BD531" s="314">
        <v>1.7139</v>
      </c>
      <c r="BE531" s="314">
        <v>1.8128</v>
      </c>
      <c r="BF531" s="314">
        <v>1.7054</v>
      </c>
      <c r="BG531" s="314">
        <v>1.7157</v>
      </c>
      <c r="BH531" s="314">
        <v>1.7378</v>
      </c>
      <c r="BI531" s="314">
        <v>1.8331999999999999</v>
      </c>
      <c r="BJ531" s="314">
        <v>1.7373000000000001</v>
      </c>
      <c r="BK531" s="314">
        <v>1.6827000000000001</v>
      </c>
    </row>
    <row r="532" spans="1:63" x14ac:dyDescent="0.25">
      <c r="A532" s="306">
        <v>325190</v>
      </c>
      <c r="B532" s="314" t="s">
        <v>108</v>
      </c>
      <c r="C532" s="314">
        <v>2.4697</v>
      </c>
      <c r="D532" s="314">
        <v>0</v>
      </c>
      <c r="E532" s="314">
        <v>1.9164000000000001</v>
      </c>
      <c r="F532" s="314">
        <v>1.8049999999999999</v>
      </c>
      <c r="G532" s="314">
        <v>1.4273</v>
      </c>
      <c r="H532" s="314">
        <v>1.7705</v>
      </c>
      <c r="I532" s="314">
        <v>1.6978</v>
      </c>
      <c r="J532" s="314">
        <v>1.6852</v>
      </c>
      <c r="K532" s="314">
        <v>0</v>
      </c>
      <c r="L532" s="314">
        <v>1.8515999999999999</v>
      </c>
      <c r="M532" s="314">
        <v>1.4431</v>
      </c>
      <c r="N532" s="314">
        <v>1.7319</v>
      </c>
      <c r="O532" s="314">
        <v>0</v>
      </c>
      <c r="P532" s="314">
        <v>1.5286</v>
      </c>
      <c r="Q532" s="314">
        <v>1.389</v>
      </c>
      <c r="R532" s="314">
        <v>2.0007999999999999</v>
      </c>
      <c r="S532" s="314">
        <v>1.911</v>
      </c>
      <c r="T532" s="314">
        <v>1.8337000000000001</v>
      </c>
      <c r="U532" s="314">
        <v>1.8689</v>
      </c>
      <c r="V532" s="314">
        <v>2.0874000000000001</v>
      </c>
      <c r="W532" s="314">
        <v>1.6022000000000001</v>
      </c>
      <c r="X532" s="314">
        <v>1.4218999999999999</v>
      </c>
      <c r="Y532" s="314">
        <v>1.3703000000000001</v>
      </c>
      <c r="Z532" s="314">
        <v>1.6796</v>
      </c>
      <c r="AA532" s="314">
        <v>1.7843</v>
      </c>
      <c r="AB532" s="314">
        <v>1.9225000000000001</v>
      </c>
      <c r="AC532" s="314">
        <v>1.7079</v>
      </c>
      <c r="AD532" s="314">
        <v>1.6775</v>
      </c>
      <c r="AE532" s="314">
        <v>1.7017</v>
      </c>
      <c r="AF532" s="314">
        <v>1.6352</v>
      </c>
      <c r="AG532" s="314">
        <v>1.5390999999999999</v>
      </c>
      <c r="AH532" s="314">
        <v>0</v>
      </c>
      <c r="AI532" s="314">
        <v>2.0148999999999999</v>
      </c>
      <c r="AJ532" s="314">
        <v>1.5306999999999999</v>
      </c>
      <c r="AK532" s="314">
        <v>1.4211</v>
      </c>
      <c r="AL532" s="314">
        <v>1.4779</v>
      </c>
      <c r="AM532" s="314">
        <v>2.0173000000000001</v>
      </c>
      <c r="AN532" s="314">
        <v>1.681</v>
      </c>
      <c r="AO532" s="314">
        <v>1.6125</v>
      </c>
      <c r="AP532" s="314">
        <v>1.9227000000000001</v>
      </c>
      <c r="AQ532" s="314">
        <v>1.4813000000000001</v>
      </c>
      <c r="AR532" s="314">
        <v>1.8080000000000001</v>
      </c>
      <c r="AS532" s="314">
        <v>1.4282999999999999</v>
      </c>
      <c r="AT532" s="314">
        <v>1.6821999999999999</v>
      </c>
      <c r="AU532" s="314">
        <v>2.2193000000000001</v>
      </c>
      <c r="AV532" s="314">
        <v>0</v>
      </c>
      <c r="AW532" s="314">
        <v>1.6654</v>
      </c>
      <c r="AX532" s="314">
        <v>0</v>
      </c>
      <c r="AY532" s="314">
        <v>1.6543000000000001</v>
      </c>
      <c r="AZ532" s="314">
        <v>1.6858</v>
      </c>
      <c r="BA532" s="314">
        <v>1.8777999999999999</v>
      </c>
      <c r="BB532" s="314">
        <v>1.6032</v>
      </c>
      <c r="BC532" s="314">
        <v>1.6546000000000001</v>
      </c>
      <c r="BD532" s="314">
        <v>1.8469</v>
      </c>
      <c r="BE532" s="314">
        <v>2.0133999999999999</v>
      </c>
      <c r="BF532" s="314">
        <v>1.8519000000000001</v>
      </c>
      <c r="BG532" s="314">
        <v>1.7719</v>
      </c>
      <c r="BH532" s="314">
        <v>2.0175000000000001</v>
      </c>
      <c r="BI532" s="314">
        <v>2.2461000000000002</v>
      </c>
      <c r="BJ532" s="314">
        <v>1.7323</v>
      </c>
      <c r="BK532" s="314">
        <v>1.7846</v>
      </c>
    </row>
    <row r="533" spans="1:63" x14ac:dyDescent="0.25">
      <c r="A533" s="306">
        <v>325211</v>
      </c>
      <c r="B533" s="314" t="s">
        <v>2</v>
      </c>
      <c r="C533" s="314">
        <v>2.4807999999999999</v>
      </c>
      <c r="D533" s="314">
        <v>1.3358000000000001</v>
      </c>
      <c r="E533" s="314">
        <v>1.9527000000000001</v>
      </c>
      <c r="F533" s="314">
        <v>1.8218000000000001</v>
      </c>
      <c r="G533" s="314">
        <v>1.3575999999999999</v>
      </c>
      <c r="H533" s="314">
        <v>1.6676</v>
      </c>
      <c r="I533" s="314">
        <v>1.6103000000000001</v>
      </c>
      <c r="J533" s="314">
        <v>1.7602</v>
      </c>
      <c r="K533" s="314">
        <v>0</v>
      </c>
      <c r="L533" s="314">
        <v>1.9589000000000001</v>
      </c>
      <c r="M533" s="314">
        <v>1.4196</v>
      </c>
      <c r="N533" s="314">
        <v>1.7621</v>
      </c>
      <c r="O533" s="314">
        <v>0</v>
      </c>
      <c r="P533" s="314">
        <v>1.5895999999999999</v>
      </c>
      <c r="Q533" s="314">
        <v>1.3432999999999999</v>
      </c>
      <c r="R533" s="314">
        <v>2.0642999999999998</v>
      </c>
      <c r="S533" s="314">
        <v>1.9516</v>
      </c>
      <c r="T533" s="314">
        <v>1.7999000000000001</v>
      </c>
      <c r="U533" s="314">
        <v>1.9080999999999999</v>
      </c>
      <c r="V533" s="314">
        <v>2.089</v>
      </c>
      <c r="W533" s="314">
        <v>1.6312</v>
      </c>
      <c r="X533" s="314">
        <v>1.3964000000000001</v>
      </c>
      <c r="Y533" s="314">
        <v>1.3379000000000001</v>
      </c>
      <c r="Z533" s="314">
        <v>1.6687000000000001</v>
      </c>
      <c r="AA533" s="314">
        <v>1.788</v>
      </c>
      <c r="AB533" s="314">
        <v>1.9861</v>
      </c>
      <c r="AC533" s="314">
        <v>1.6732</v>
      </c>
      <c r="AD533" s="314">
        <v>1.6276999999999999</v>
      </c>
      <c r="AE533" s="314">
        <v>1.7504</v>
      </c>
      <c r="AF533" s="314">
        <v>0</v>
      </c>
      <c r="AG533" s="314">
        <v>1.5853999999999999</v>
      </c>
      <c r="AH533" s="314">
        <v>1.4028</v>
      </c>
      <c r="AI533" s="314">
        <v>2.0701999999999998</v>
      </c>
      <c r="AJ533" s="314">
        <v>1.4292</v>
      </c>
      <c r="AK533" s="314">
        <v>1.3672</v>
      </c>
      <c r="AL533" s="314">
        <v>1.4777</v>
      </c>
      <c r="AM533" s="314">
        <v>2.0916000000000001</v>
      </c>
      <c r="AN533" s="314">
        <v>1.5286999999999999</v>
      </c>
      <c r="AO533" s="314">
        <v>1.5858000000000001</v>
      </c>
      <c r="AP533" s="314">
        <v>1.9003000000000001</v>
      </c>
      <c r="AQ533" s="314">
        <v>1.5065999999999999</v>
      </c>
      <c r="AR533" s="314">
        <v>1.8813</v>
      </c>
      <c r="AS533" s="314">
        <v>1.4608000000000001</v>
      </c>
      <c r="AT533" s="314">
        <v>1.6679999999999999</v>
      </c>
      <c r="AU533" s="314">
        <v>2.2092000000000001</v>
      </c>
      <c r="AV533" s="314">
        <v>1.5999000000000001</v>
      </c>
      <c r="AW533" s="314">
        <v>1.7196</v>
      </c>
      <c r="AX533" s="314">
        <v>1.2277</v>
      </c>
      <c r="AY533" s="314">
        <v>1.5831</v>
      </c>
      <c r="AZ533" s="314">
        <v>1.738</v>
      </c>
      <c r="BA533" s="314">
        <v>1.9081999999999999</v>
      </c>
      <c r="BB533" s="314">
        <v>0</v>
      </c>
      <c r="BC533" s="314">
        <v>1.6897</v>
      </c>
      <c r="BD533" s="314">
        <v>1.8907</v>
      </c>
      <c r="BE533" s="314">
        <v>2.0815000000000001</v>
      </c>
      <c r="BF533" s="314">
        <v>1.8734</v>
      </c>
      <c r="BG533" s="314">
        <v>1.8117000000000001</v>
      </c>
      <c r="BH533" s="314">
        <v>2.0535999999999999</v>
      </c>
      <c r="BI533" s="314">
        <v>2.2273999999999998</v>
      </c>
      <c r="BJ533" s="314">
        <v>1.6133999999999999</v>
      </c>
      <c r="BK533" s="314">
        <v>1.6776</v>
      </c>
    </row>
    <row r="534" spans="1:63" x14ac:dyDescent="0.25">
      <c r="A534" s="306">
        <v>325212</v>
      </c>
      <c r="B534" s="314" t="s">
        <v>109</v>
      </c>
      <c r="C534" s="314">
        <v>2.3418000000000001</v>
      </c>
      <c r="D534" s="314">
        <v>0</v>
      </c>
      <c r="E534" s="314">
        <v>1.8053999999999999</v>
      </c>
      <c r="F534" s="314">
        <v>0</v>
      </c>
      <c r="G534" s="314">
        <v>1.3887</v>
      </c>
      <c r="H534" s="314">
        <v>1.6940999999999999</v>
      </c>
      <c r="I534" s="314">
        <v>0</v>
      </c>
      <c r="J534" s="314">
        <v>1.6716</v>
      </c>
      <c r="K534" s="314">
        <v>0</v>
      </c>
      <c r="L534" s="314">
        <v>1.8310999999999999</v>
      </c>
      <c r="M534" s="314">
        <v>1.4137</v>
      </c>
      <c r="N534" s="314">
        <v>1.6848000000000001</v>
      </c>
      <c r="O534" s="314">
        <v>0</v>
      </c>
      <c r="P534" s="314">
        <v>0</v>
      </c>
      <c r="Q534" s="314">
        <v>0</v>
      </c>
      <c r="R534" s="314">
        <v>1.9156</v>
      </c>
      <c r="S534" s="314">
        <v>1.7705</v>
      </c>
      <c r="T534" s="314">
        <v>0</v>
      </c>
      <c r="U534" s="314">
        <v>1.7515000000000001</v>
      </c>
      <c r="V534" s="314">
        <v>1.9961</v>
      </c>
      <c r="W534" s="314">
        <v>1.6059000000000001</v>
      </c>
      <c r="X534" s="314">
        <v>1.4131</v>
      </c>
      <c r="Y534" s="314">
        <v>1.3374999999999999</v>
      </c>
      <c r="Z534" s="314">
        <v>1.6428</v>
      </c>
      <c r="AA534" s="314">
        <v>1.7101</v>
      </c>
      <c r="AB534" s="314">
        <v>0</v>
      </c>
      <c r="AC534" s="314">
        <v>1.6375999999999999</v>
      </c>
      <c r="AD534" s="314">
        <v>0</v>
      </c>
      <c r="AE534" s="314">
        <v>1.6759999999999999</v>
      </c>
      <c r="AF534" s="314">
        <v>0</v>
      </c>
      <c r="AG534" s="314">
        <v>0</v>
      </c>
      <c r="AH534" s="314">
        <v>1.4088000000000001</v>
      </c>
      <c r="AI534" s="314">
        <v>1.9891000000000001</v>
      </c>
      <c r="AJ534" s="314">
        <v>1.4446000000000001</v>
      </c>
      <c r="AK534" s="314">
        <v>0</v>
      </c>
      <c r="AL534" s="314">
        <v>1.4964999999999999</v>
      </c>
      <c r="AM534" s="314">
        <v>1.9253</v>
      </c>
      <c r="AN534" s="314">
        <v>1.5512999999999999</v>
      </c>
      <c r="AO534" s="314">
        <v>1.5418000000000001</v>
      </c>
      <c r="AP534" s="314">
        <v>1.8748</v>
      </c>
      <c r="AQ534" s="314">
        <v>1.4816</v>
      </c>
      <c r="AR534" s="314">
        <v>1.7312000000000001</v>
      </c>
      <c r="AS534" s="314">
        <v>0</v>
      </c>
      <c r="AT534" s="314">
        <v>1.6293</v>
      </c>
      <c r="AU534" s="314">
        <v>2.1002000000000001</v>
      </c>
      <c r="AV534" s="314">
        <v>1.6422000000000001</v>
      </c>
      <c r="AW534" s="314">
        <v>1.6492</v>
      </c>
      <c r="AX534" s="314">
        <v>0</v>
      </c>
      <c r="AY534" s="314">
        <v>1.6017999999999999</v>
      </c>
      <c r="AZ534" s="314">
        <v>1.6134999999999999</v>
      </c>
      <c r="BA534" s="314">
        <v>0</v>
      </c>
      <c r="BB534" s="314">
        <v>0</v>
      </c>
      <c r="BC534" s="314">
        <v>1.6475</v>
      </c>
      <c r="BD534" s="314">
        <v>1.8156000000000001</v>
      </c>
      <c r="BE534" s="314">
        <v>1.9064000000000001</v>
      </c>
      <c r="BF534" s="314">
        <v>1.7464</v>
      </c>
      <c r="BG534" s="314">
        <v>1.744</v>
      </c>
      <c r="BH534" s="314">
        <v>1.8940999999999999</v>
      </c>
      <c r="BI534" s="314">
        <v>2.1135999999999999</v>
      </c>
      <c r="BJ534" s="314">
        <v>1.6356999999999999</v>
      </c>
      <c r="BK534" s="314">
        <v>1.7029000000000001</v>
      </c>
    </row>
    <row r="535" spans="1:63" x14ac:dyDescent="0.25">
      <c r="A535" s="306">
        <v>325220</v>
      </c>
      <c r="B535" s="314" t="s">
        <v>110</v>
      </c>
      <c r="C535" s="314">
        <v>2.3704999999999998</v>
      </c>
      <c r="D535" s="314">
        <v>0</v>
      </c>
      <c r="E535" s="314">
        <v>1.9036</v>
      </c>
      <c r="F535" s="314">
        <v>1.7309000000000001</v>
      </c>
      <c r="G535" s="314">
        <v>1.3896999999999999</v>
      </c>
      <c r="H535" s="314">
        <v>1.6213</v>
      </c>
      <c r="I535" s="314">
        <v>1.5811999999999999</v>
      </c>
      <c r="J535" s="314">
        <v>1.8144</v>
      </c>
      <c r="K535" s="314">
        <v>0</v>
      </c>
      <c r="L535" s="314">
        <v>1.9053</v>
      </c>
      <c r="M535" s="314">
        <v>1.4273</v>
      </c>
      <c r="N535" s="314">
        <v>1.7750999999999999</v>
      </c>
      <c r="O535" s="314">
        <v>1.3324</v>
      </c>
      <c r="P535" s="314">
        <v>1.5616000000000001</v>
      </c>
      <c r="Q535" s="314">
        <v>0</v>
      </c>
      <c r="R535" s="314">
        <v>2.0320999999999998</v>
      </c>
      <c r="S535" s="314">
        <v>0</v>
      </c>
      <c r="T535" s="314">
        <v>1.6355999999999999</v>
      </c>
      <c r="U535" s="314">
        <v>0</v>
      </c>
      <c r="V535" s="314">
        <v>0</v>
      </c>
      <c r="W535" s="314">
        <v>1.7701</v>
      </c>
      <c r="X535" s="314">
        <v>1.4255</v>
      </c>
      <c r="Y535" s="314">
        <v>0</v>
      </c>
      <c r="Z535" s="314">
        <v>1.7881</v>
      </c>
      <c r="AA535" s="314">
        <v>0</v>
      </c>
      <c r="AB535" s="314">
        <v>0</v>
      </c>
      <c r="AC535" s="314">
        <v>1.6497999999999999</v>
      </c>
      <c r="AD535" s="314">
        <v>0</v>
      </c>
      <c r="AE535" s="314">
        <v>1.7730999999999999</v>
      </c>
      <c r="AF535" s="314">
        <v>0</v>
      </c>
      <c r="AG535" s="314">
        <v>0</v>
      </c>
      <c r="AH535" s="314">
        <v>1.4548000000000001</v>
      </c>
      <c r="AI535" s="314">
        <v>1.9450000000000001</v>
      </c>
      <c r="AJ535" s="314">
        <v>1.3331999999999999</v>
      </c>
      <c r="AK535" s="314">
        <v>0</v>
      </c>
      <c r="AL535" s="314">
        <v>1.5358000000000001</v>
      </c>
      <c r="AM535" s="314">
        <v>2.0581999999999998</v>
      </c>
      <c r="AN535" s="314">
        <v>0</v>
      </c>
      <c r="AO535" s="314">
        <v>1.6106</v>
      </c>
      <c r="AP535" s="314">
        <v>1.9392</v>
      </c>
      <c r="AQ535" s="314">
        <v>0</v>
      </c>
      <c r="AR535" s="314">
        <v>1.863</v>
      </c>
      <c r="AS535" s="314">
        <v>0</v>
      </c>
      <c r="AT535" s="314">
        <v>1.7431000000000001</v>
      </c>
      <c r="AU535" s="314">
        <v>2.0684</v>
      </c>
      <c r="AV535" s="314">
        <v>1.5637000000000001</v>
      </c>
      <c r="AW535" s="314">
        <v>1.7301</v>
      </c>
      <c r="AX535" s="314">
        <v>1.2232000000000001</v>
      </c>
      <c r="AY535" s="314">
        <v>0</v>
      </c>
      <c r="AZ535" s="314">
        <v>0</v>
      </c>
      <c r="BA535" s="314">
        <v>0</v>
      </c>
      <c r="BB535" s="314">
        <v>0</v>
      </c>
      <c r="BC535" s="314">
        <v>1.8102</v>
      </c>
      <c r="BD535" s="314">
        <v>1.8771</v>
      </c>
      <c r="BE535" s="314">
        <v>2.0608</v>
      </c>
      <c r="BF535" s="314">
        <v>1.7957000000000001</v>
      </c>
      <c r="BG535" s="314">
        <v>1.8580000000000001</v>
      </c>
      <c r="BH535" s="314">
        <v>1.9739</v>
      </c>
      <c r="BI535" s="314">
        <v>2.0926999999999998</v>
      </c>
      <c r="BJ535" s="314">
        <v>1.5505</v>
      </c>
      <c r="BK535" s="314">
        <v>1.6328</v>
      </c>
    </row>
    <row r="536" spans="1:63" x14ac:dyDescent="0.25">
      <c r="A536" s="306">
        <v>325310</v>
      </c>
      <c r="B536" s="314" t="s">
        <v>111</v>
      </c>
      <c r="C536" s="314">
        <v>2.4110999999999998</v>
      </c>
      <c r="D536" s="314">
        <v>1.8774999999999999</v>
      </c>
      <c r="E536" s="314">
        <v>1.9395</v>
      </c>
      <c r="F536" s="314">
        <v>1.9436</v>
      </c>
      <c r="G536" s="314">
        <v>1.7010000000000001</v>
      </c>
      <c r="H536" s="314">
        <v>1.8867</v>
      </c>
      <c r="I536" s="314">
        <v>1.9047000000000001</v>
      </c>
      <c r="J536" s="314">
        <v>1.6056999999999999</v>
      </c>
      <c r="K536" s="314">
        <v>1.1949000000000001</v>
      </c>
      <c r="L536" s="314">
        <v>1.5528999999999999</v>
      </c>
      <c r="M536" s="314">
        <v>1.6899</v>
      </c>
      <c r="N536" s="314">
        <v>1.8426</v>
      </c>
      <c r="O536" s="314">
        <v>1.5516000000000001</v>
      </c>
      <c r="P536" s="314">
        <v>1.6252</v>
      </c>
      <c r="Q536" s="314">
        <v>1.7723</v>
      </c>
      <c r="R536" s="314">
        <v>1.8635999999999999</v>
      </c>
      <c r="S536" s="314">
        <v>1.7918000000000001</v>
      </c>
      <c r="T536" s="314">
        <v>1.9416</v>
      </c>
      <c r="U536" s="314">
        <v>1.7012</v>
      </c>
      <c r="V536" s="314">
        <v>2.0583999999999998</v>
      </c>
      <c r="W536" s="314">
        <v>1.6160000000000001</v>
      </c>
      <c r="X536" s="314">
        <v>1.5193000000000001</v>
      </c>
      <c r="Y536" s="314">
        <v>1.5884</v>
      </c>
      <c r="Z536" s="314">
        <v>1.7327999999999999</v>
      </c>
      <c r="AA536" s="314">
        <v>1.6402000000000001</v>
      </c>
      <c r="AB536" s="314">
        <v>1.9657</v>
      </c>
      <c r="AC536" s="314">
        <v>1.7606999999999999</v>
      </c>
      <c r="AD536" s="314">
        <v>1.8391999999999999</v>
      </c>
      <c r="AE536" s="314">
        <v>1.8667</v>
      </c>
      <c r="AF536" s="314">
        <v>0</v>
      </c>
      <c r="AG536" s="314">
        <v>1.7487999999999999</v>
      </c>
      <c r="AH536" s="314">
        <v>0</v>
      </c>
      <c r="AI536" s="314">
        <v>1.9140999999999999</v>
      </c>
      <c r="AJ536" s="314">
        <v>1.7373000000000001</v>
      </c>
      <c r="AK536" s="314">
        <v>1.6929000000000001</v>
      </c>
      <c r="AL536" s="314">
        <v>1.5444</v>
      </c>
      <c r="AM536" s="314">
        <v>2.0823</v>
      </c>
      <c r="AN536" s="314">
        <v>2.0699999999999998</v>
      </c>
      <c r="AO536" s="314">
        <v>1.9129</v>
      </c>
      <c r="AP536" s="314">
        <v>1.9373</v>
      </c>
      <c r="AQ536" s="314">
        <v>0</v>
      </c>
      <c r="AR536" s="314">
        <v>1.7194</v>
      </c>
      <c r="AS536" s="314">
        <v>1.5923</v>
      </c>
      <c r="AT536" s="314">
        <v>1.6497999999999999</v>
      </c>
      <c r="AU536" s="314">
        <v>2.0952000000000002</v>
      </c>
      <c r="AV536" s="314">
        <v>1.9772000000000001</v>
      </c>
      <c r="AW536" s="314">
        <v>1.6404000000000001</v>
      </c>
      <c r="AX536" s="314">
        <v>1.5162</v>
      </c>
      <c r="AY536" s="314">
        <v>1.7068000000000001</v>
      </c>
      <c r="AZ536" s="314">
        <v>1.7990999999999999</v>
      </c>
      <c r="BA536" s="314">
        <v>1.7567999999999999</v>
      </c>
      <c r="BB536" s="314">
        <v>1.8685</v>
      </c>
      <c r="BC536" s="314">
        <v>1.659</v>
      </c>
      <c r="BD536" s="314">
        <v>1.7876000000000001</v>
      </c>
      <c r="BE536" s="314">
        <v>2.0442</v>
      </c>
      <c r="BF536" s="314">
        <v>1.9449000000000001</v>
      </c>
      <c r="BG536" s="314">
        <v>1.9366000000000001</v>
      </c>
      <c r="BH536" s="314">
        <v>1.909</v>
      </c>
      <c r="BI536" s="314">
        <v>2.2381000000000002</v>
      </c>
      <c r="BJ536" s="314">
        <v>2.1322000000000001</v>
      </c>
      <c r="BK536" s="314">
        <v>1.9291</v>
      </c>
    </row>
    <row r="537" spans="1:63" x14ac:dyDescent="0.25">
      <c r="A537" s="306">
        <v>325320</v>
      </c>
      <c r="B537" s="314" t="s">
        <v>112</v>
      </c>
      <c r="C537" s="314">
        <v>1.9797</v>
      </c>
      <c r="D537" s="314">
        <v>0</v>
      </c>
      <c r="E537" s="314">
        <v>1.6077999999999999</v>
      </c>
      <c r="F537" s="314">
        <v>1.5911999999999999</v>
      </c>
      <c r="G537" s="314">
        <v>1.3203</v>
      </c>
      <c r="H537" s="314">
        <v>1.5084</v>
      </c>
      <c r="I537" s="314">
        <v>1.4986999999999999</v>
      </c>
      <c r="J537" s="314">
        <v>1.6141000000000001</v>
      </c>
      <c r="K537" s="314">
        <v>0</v>
      </c>
      <c r="L537" s="314">
        <v>0</v>
      </c>
      <c r="M537" s="314">
        <v>1.3586</v>
      </c>
      <c r="N537" s="314">
        <v>1.6213</v>
      </c>
      <c r="O537" s="314">
        <v>0</v>
      </c>
      <c r="P537" s="314">
        <v>1.4401999999999999</v>
      </c>
      <c r="Q537" s="314">
        <v>1.3079000000000001</v>
      </c>
      <c r="R537" s="314">
        <v>1.7975000000000001</v>
      </c>
      <c r="S537" s="314">
        <v>1.6537999999999999</v>
      </c>
      <c r="T537" s="314">
        <v>1.5525</v>
      </c>
      <c r="U537" s="314">
        <v>1.6266</v>
      </c>
      <c r="V537" s="314">
        <v>1.6500999999999999</v>
      </c>
      <c r="W537" s="314">
        <v>1.5290999999999999</v>
      </c>
      <c r="X537" s="314">
        <v>1.3729</v>
      </c>
      <c r="Y537" s="314">
        <v>1.3198000000000001</v>
      </c>
      <c r="Z537" s="314">
        <v>1.5478000000000001</v>
      </c>
      <c r="AA537" s="314">
        <v>1.603</v>
      </c>
      <c r="AB537" s="314">
        <v>1.7391000000000001</v>
      </c>
      <c r="AC537" s="314">
        <v>1.3935999999999999</v>
      </c>
      <c r="AD537" s="314">
        <v>1.3892</v>
      </c>
      <c r="AE537" s="314">
        <v>1.6089</v>
      </c>
      <c r="AF537" s="314">
        <v>1.4026000000000001</v>
      </c>
      <c r="AG537" s="314">
        <v>1.4663999999999999</v>
      </c>
      <c r="AH537" s="314">
        <v>0</v>
      </c>
      <c r="AI537" s="314">
        <v>1.7582</v>
      </c>
      <c r="AJ537" s="314">
        <v>1.2629999999999999</v>
      </c>
      <c r="AK537" s="314">
        <v>0</v>
      </c>
      <c r="AL537" s="314">
        <v>1.4346000000000001</v>
      </c>
      <c r="AM537" s="314">
        <v>1.7789999999999999</v>
      </c>
      <c r="AN537" s="314">
        <v>1.3260000000000001</v>
      </c>
      <c r="AO537" s="314">
        <v>1.5004999999999999</v>
      </c>
      <c r="AP537" s="314">
        <v>1.6317999999999999</v>
      </c>
      <c r="AQ537" s="314">
        <v>0</v>
      </c>
      <c r="AR537" s="314">
        <v>1.5868</v>
      </c>
      <c r="AS537" s="314">
        <v>0</v>
      </c>
      <c r="AT537" s="314">
        <v>1.5002</v>
      </c>
      <c r="AU537" s="314">
        <v>1.732</v>
      </c>
      <c r="AV537" s="314">
        <v>1.4692000000000001</v>
      </c>
      <c r="AW537" s="314">
        <v>1.6031</v>
      </c>
      <c r="AX537" s="314">
        <v>0</v>
      </c>
      <c r="AY537" s="314">
        <v>1.4287000000000001</v>
      </c>
      <c r="AZ537" s="314">
        <v>1.6122000000000001</v>
      </c>
      <c r="BA537" s="314">
        <v>1.5459000000000001</v>
      </c>
      <c r="BB537" s="314">
        <v>0</v>
      </c>
      <c r="BC537" s="314">
        <v>1.5736000000000001</v>
      </c>
      <c r="BD537" s="314">
        <v>1.6943999999999999</v>
      </c>
      <c r="BE537" s="314">
        <v>1.8096000000000001</v>
      </c>
      <c r="BF537" s="314">
        <v>1.6734</v>
      </c>
      <c r="BG537" s="314">
        <v>1.6504000000000001</v>
      </c>
      <c r="BH537" s="314">
        <v>1.6977</v>
      </c>
      <c r="BI537" s="314">
        <v>1.7467999999999999</v>
      </c>
      <c r="BJ537" s="314">
        <v>1.4718</v>
      </c>
      <c r="BK537" s="314">
        <v>1.5098</v>
      </c>
    </row>
    <row r="538" spans="1:63" x14ac:dyDescent="0.25">
      <c r="A538" s="306">
        <v>325411</v>
      </c>
      <c r="B538" s="314" t="s">
        <v>113</v>
      </c>
      <c r="C538" s="314">
        <v>1.8498000000000001</v>
      </c>
      <c r="D538" s="314">
        <v>0</v>
      </c>
      <c r="E538" s="314">
        <v>1.3420000000000001</v>
      </c>
      <c r="F538" s="314">
        <v>1.3132999999999999</v>
      </c>
      <c r="G538" s="314">
        <v>1.2867</v>
      </c>
      <c r="H538" s="314">
        <v>1.5657000000000001</v>
      </c>
      <c r="I538" s="314">
        <v>1.6182000000000001</v>
      </c>
      <c r="J538" s="314">
        <v>1.5952999999999999</v>
      </c>
      <c r="K538" s="314">
        <v>0</v>
      </c>
      <c r="L538" s="314">
        <v>0</v>
      </c>
      <c r="M538" s="314">
        <v>1.2919</v>
      </c>
      <c r="N538" s="314">
        <v>1.4464999999999999</v>
      </c>
      <c r="O538" s="314">
        <v>0</v>
      </c>
      <c r="P538" s="314">
        <v>1.4696</v>
      </c>
      <c r="Q538" s="314">
        <v>1.3402000000000001</v>
      </c>
      <c r="R538" s="314">
        <v>1.571</v>
      </c>
      <c r="S538" s="314">
        <v>1.3485</v>
      </c>
      <c r="T538" s="314">
        <v>1.3164</v>
      </c>
      <c r="U538" s="314">
        <v>1.4871000000000001</v>
      </c>
      <c r="V538" s="314">
        <v>1.2843</v>
      </c>
      <c r="W538" s="314">
        <v>1.6775</v>
      </c>
      <c r="X538" s="314">
        <v>1.4443999999999999</v>
      </c>
      <c r="Y538" s="314">
        <v>1.5629</v>
      </c>
      <c r="Z538" s="314">
        <v>1.5148999999999999</v>
      </c>
      <c r="AA538" s="314">
        <v>1.3862000000000001</v>
      </c>
      <c r="AB538" s="314">
        <v>1.7205999999999999</v>
      </c>
      <c r="AC538" s="314">
        <v>1.2284999999999999</v>
      </c>
      <c r="AD538" s="314">
        <v>1.3346</v>
      </c>
      <c r="AE538" s="314">
        <v>1.5616000000000001</v>
      </c>
      <c r="AF538" s="314">
        <v>0</v>
      </c>
      <c r="AG538" s="314">
        <v>1.3475999999999999</v>
      </c>
      <c r="AH538" s="314">
        <v>1.4088000000000001</v>
      </c>
      <c r="AI538" s="314">
        <v>1.7706999999999999</v>
      </c>
      <c r="AJ538" s="314">
        <v>1.2421</v>
      </c>
      <c r="AK538" s="314">
        <v>1.3012999999999999</v>
      </c>
      <c r="AL538" s="314">
        <v>1.3868</v>
      </c>
      <c r="AM538" s="314">
        <v>1.4162999999999999</v>
      </c>
      <c r="AN538" s="314">
        <v>0</v>
      </c>
      <c r="AO538" s="314">
        <v>1.3704000000000001</v>
      </c>
      <c r="AP538" s="314">
        <v>1.556</v>
      </c>
      <c r="AQ538" s="314">
        <v>0</v>
      </c>
      <c r="AR538" s="314">
        <v>1.3340000000000001</v>
      </c>
      <c r="AS538" s="314">
        <v>0</v>
      </c>
      <c r="AT538" s="314">
        <v>1.3249</v>
      </c>
      <c r="AU538" s="314">
        <v>1.4060999999999999</v>
      </c>
      <c r="AV538" s="314">
        <v>1.5828</v>
      </c>
      <c r="AW538" s="314">
        <v>1.5827</v>
      </c>
      <c r="AX538" s="314">
        <v>0</v>
      </c>
      <c r="AY538" s="314">
        <v>1.4387000000000001</v>
      </c>
      <c r="AZ538" s="314">
        <v>1.506</v>
      </c>
      <c r="BA538" s="314">
        <v>1.431</v>
      </c>
      <c r="BB538" s="314">
        <v>1.2174</v>
      </c>
      <c r="BC538" s="314">
        <v>1.7267999999999999</v>
      </c>
      <c r="BD538" s="314">
        <v>1.76</v>
      </c>
      <c r="BE538" s="314">
        <v>1.5454000000000001</v>
      </c>
      <c r="BF538" s="314">
        <v>1.607</v>
      </c>
      <c r="BG538" s="314">
        <v>1.595</v>
      </c>
      <c r="BH538" s="314">
        <v>1.4395</v>
      </c>
      <c r="BI538" s="314">
        <v>1.3928</v>
      </c>
      <c r="BJ538" s="314">
        <v>1.5046999999999999</v>
      </c>
      <c r="BK538" s="314">
        <v>1.5441</v>
      </c>
    </row>
    <row r="539" spans="1:63" x14ac:dyDescent="0.25">
      <c r="A539" s="306">
        <v>325412</v>
      </c>
      <c r="B539" s="314" t="s">
        <v>114</v>
      </c>
      <c r="C539" s="314">
        <v>1.7667999999999999</v>
      </c>
      <c r="D539" s="314">
        <v>0</v>
      </c>
      <c r="E539" s="314">
        <v>1.3227</v>
      </c>
      <c r="F539" s="314">
        <v>1.3394999999999999</v>
      </c>
      <c r="G539" s="314">
        <v>1.2809999999999999</v>
      </c>
      <c r="H539" s="314">
        <v>1.518</v>
      </c>
      <c r="I539" s="314">
        <v>1.5632999999999999</v>
      </c>
      <c r="J539" s="314">
        <v>1.5815999999999999</v>
      </c>
      <c r="K539" s="314">
        <v>1.1704000000000001</v>
      </c>
      <c r="L539" s="314">
        <v>1.4184000000000001</v>
      </c>
      <c r="M539" s="314">
        <v>1.3086</v>
      </c>
      <c r="N539" s="314">
        <v>1.4649000000000001</v>
      </c>
      <c r="O539" s="314">
        <v>1.2715000000000001</v>
      </c>
      <c r="P539" s="314">
        <v>1.3621000000000001</v>
      </c>
      <c r="Q539" s="314">
        <v>1.3157000000000001</v>
      </c>
      <c r="R539" s="314">
        <v>1.587</v>
      </c>
      <c r="S539" s="314">
        <v>1.3757999999999999</v>
      </c>
      <c r="T539" s="314">
        <v>1.3188</v>
      </c>
      <c r="U539" s="314">
        <v>1.4442999999999999</v>
      </c>
      <c r="V539" s="314">
        <v>1.3010999999999999</v>
      </c>
      <c r="W539" s="314">
        <v>1.6024</v>
      </c>
      <c r="X539" s="314">
        <v>1.3848</v>
      </c>
      <c r="Y539" s="314">
        <v>1.4603999999999999</v>
      </c>
      <c r="Z539" s="314">
        <v>1.5061</v>
      </c>
      <c r="AA539" s="314">
        <v>1.4162999999999999</v>
      </c>
      <c r="AB539" s="314">
        <v>1.6267</v>
      </c>
      <c r="AC539" s="314">
        <v>1.2309000000000001</v>
      </c>
      <c r="AD539" s="314">
        <v>1.2537</v>
      </c>
      <c r="AE539" s="314">
        <v>1.5215000000000001</v>
      </c>
      <c r="AF539" s="314">
        <v>0</v>
      </c>
      <c r="AG539" s="314">
        <v>1.3266</v>
      </c>
      <c r="AH539" s="314">
        <v>1.3644000000000001</v>
      </c>
      <c r="AI539" s="314">
        <v>1.6832</v>
      </c>
      <c r="AJ539" s="314">
        <v>1.2233000000000001</v>
      </c>
      <c r="AK539" s="314">
        <v>1.3255999999999999</v>
      </c>
      <c r="AL539" s="314">
        <v>1.4240999999999999</v>
      </c>
      <c r="AM539" s="314">
        <v>1.4601999999999999</v>
      </c>
      <c r="AN539" s="314">
        <v>1.2332000000000001</v>
      </c>
      <c r="AO539" s="314">
        <v>1.3748</v>
      </c>
      <c r="AP539" s="314">
        <v>1.5334000000000001</v>
      </c>
      <c r="AQ539" s="314">
        <v>1.3669</v>
      </c>
      <c r="AR539" s="314">
        <v>1.3476999999999999</v>
      </c>
      <c r="AS539" s="314">
        <v>1.1841999999999999</v>
      </c>
      <c r="AT539" s="314">
        <v>1.3552999999999999</v>
      </c>
      <c r="AU539" s="314">
        <v>1.4109</v>
      </c>
      <c r="AV539" s="314">
        <v>1.5464</v>
      </c>
      <c r="AW539" s="314">
        <v>1.5572999999999999</v>
      </c>
      <c r="AX539" s="314">
        <v>1.1420999999999999</v>
      </c>
      <c r="AY539" s="314">
        <v>1.3925000000000001</v>
      </c>
      <c r="AZ539" s="314">
        <v>1.4509000000000001</v>
      </c>
      <c r="BA539" s="314">
        <v>1.391</v>
      </c>
      <c r="BB539" s="314">
        <v>1.1793</v>
      </c>
      <c r="BC539" s="314">
        <v>1.6379999999999999</v>
      </c>
      <c r="BD539" s="314">
        <v>1.6759999999999999</v>
      </c>
      <c r="BE539" s="314">
        <v>1.5589999999999999</v>
      </c>
      <c r="BF539" s="314">
        <v>1.5288999999999999</v>
      </c>
      <c r="BG539" s="314">
        <v>1.5472999999999999</v>
      </c>
      <c r="BH539" s="314">
        <v>1.42</v>
      </c>
      <c r="BI539" s="314">
        <v>1.4037999999999999</v>
      </c>
      <c r="BJ539" s="314">
        <v>1.4632000000000001</v>
      </c>
      <c r="BK539" s="314">
        <v>1.5067999999999999</v>
      </c>
    </row>
    <row r="540" spans="1:63" x14ac:dyDescent="0.25">
      <c r="A540" s="306">
        <v>325413</v>
      </c>
      <c r="B540" s="314" t="s">
        <v>115</v>
      </c>
      <c r="C540" s="314">
        <v>2.0190000000000001</v>
      </c>
      <c r="D540" s="314">
        <v>0</v>
      </c>
      <c r="E540" s="314">
        <v>0</v>
      </c>
      <c r="F540" s="314">
        <v>1.462</v>
      </c>
      <c r="G540" s="314">
        <v>0</v>
      </c>
      <c r="H540" s="314">
        <v>1.7996000000000001</v>
      </c>
      <c r="I540" s="314">
        <v>1.7726</v>
      </c>
      <c r="J540" s="314">
        <v>1.7484999999999999</v>
      </c>
      <c r="K540" s="314">
        <v>0</v>
      </c>
      <c r="L540" s="314">
        <v>0</v>
      </c>
      <c r="M540" s="314">
        <v>1.4805999999999999</v>
      </c>
      <c r="N540" s="314">
        <v>1.6627000000000001</v>
      </c>
      <c r="O540" s="314">
        <v>0</v>
      </c>
      <c r="P540" s="314">
        <v>1.3821000000000001</v>
      </c>
      <c r="Q540" s="314">
        <v>0</v>
      </c>
      <c r="R540" s="314">
        <v>1.8501000000000001</v>
      </c>
      <c r="S540" s="314">
        <v>1.5109999999999999</v>
      </c>
      <c r="T540" s="314">
        <v>1.4624999999999999</v>
      </c>
      <c r="U540" s="314">
        <v>1.4817</v>
      </c>
      <c r="V540" s="314">
        <v>1.427</v>
      </c>
      <c r="W540" s="314">
        <v>1.8773</v>
      </c>
      <c r="X540" s="314">
        <v>1.6368</v>
      </c>
      <c r="Y540" s="314">
        <v>1.6060000000000001</v>
      </c>
      <c r="Z540" s="314">
        <v>1.7572000000000001</v>
      </c>
      <c r="AA540" s="314">
        <v>1.6592</v>
      </c>
      <c r="AB540" s="314">
        <v>1.8088</v>
      </c>
      <c r="AC540" s="314">
        <v>0</v>
      </c>
      <c r="AD540" s="314">
        <v>0</v>
      </c>
      <c r="AE540" s="314">
        <v>1.7614000000000001</v>
      </c>
      <c r="AF540" s="314">
        <v>0</v>
      </c>
      <c r="AG540" s="314">
        <v>1.5310999999999999</v>
      </c>
      <c r="AH540" s="314">
        <v>0</v>
      </c>
      <c r="AI540" s="314">
        <v>1.9283999999999999</v>
      </c>
      <c r="AJ540" s="314">
        <v>1.3320000000000001</v>
      </c>
      <c r="AK540" s="314">
        <v>0</v>
      </c>
      <c r="AL540" s="314">
        <v>1.7031000000000001</v>
      </c>
      <c r="AM540" s="314">
        <v>1.6546000000000001</v>
      </c>
      <c r="AN540" s="314">
        <v>1.3948</v>
      </c>
      <c r="AO540" s="314">
        <v>1.5965</v>
      </c>
      <c r="AP540" s="314">
        <v>1.8784000000000001</v>
      </c>
      <c r="AQ540" s="314">
        <v>1.5934999999999999</v>
      </c>
      <c r="AR540" s="314">
        <v>1.4353</v>
      </c>
      <c r="AS540" s="314">
        <v>0</v>
      </c>
      <c r="AT540" s="314">
        <v>1.556</v>
      </c>
      <c r="AU540" s="314">
        <v>1.5905</v>
      </c>
      <c r="AV540" s="314">
        <v>1.7170000000000001</v>
      </c>
      <c r="AW540" s="314">
        <v>1.7202999999999999</v>
      </c>
      <c r="AX540" s="314">
        <v>1.2273000000000001</v>
      </c>
      <c r="AY540" s="314">
        <v>1.6377999999999999</v>
      </c>
      <c r="AZ540" s="314">
        <v>1.6626000000000001</v>
      </c>
      <c r="BA540" s="314">
        <v>0</v>
      </c>
      <c r="BB540" s="314">
        <v>0</v>
      </c>
      <c r="BC540" s="314">
        <v>1.8927</v>
      </c>
      <c r="BD540" s="314">
        <v>1.9314</v>
      </c>
      <c r="BE540" s="314">
        <v>1.8071999999999999</v>
      </c>
      <c r="BF540" s="314">
        <v>1.71</v>
      </c>
      <c r="BG540" s="314">
        <v>1.8217000000000001</v>
      </c>
      <c r="BH540" s="314">
        <v>1.5039</v>
      </c>
      <c r="BI540" s="314">
        <v>1.5804</v>
      </c>
      <c r="BJ540" s="314">
        <v>1.6516</v>
      </c>
      <c r="BK540" s="314">
        <v>1.7947</v>
      </c>
    </row>
    <row r="541" spans="1:63" x14ac:dyDescent="0.25">
      <c r="A541" s="306">
        <v>325414</v>
      </c>
      <c r="B541" s="314" t="s">
        <v>116</v>
      </c>
      <c r="C541" s="314">
        <v>1.8764000000000001</v>
      </c>
      <c r="D541" s="314">
        <v>0</v>
      </c>
      <c r="E541" s="314">
        <v>1.3986000000000001</v>
      </c>
      <c r="F541" s="314">
        <v>1.3947000000000001</v>
      </c>
      <c r="G541" s="314">
        <v>1.3920999999999999</v>
      </c>
      <c r="H541" s="314">
        <v>1.6733</v>
      </c>
      <c r="I541" s="314">
        <v>1.6348</v>
      </c>
      <c r="J541" s="314">
        <v>1.5989</v>
      </c>
      <c r="K541" s="314">
        <v>0</v>
      </c>
      <c r="L541" s="314">
        <v>1.6140000000000001</v>
      </c>
      <c r="M541" s="314">
        <v>1.3904000000000001</v>
      </c>
      <c r="N541" s="314">
        <v>1.5303</v>
      </c>
      <c r="O541" s="314">
        <v>1.3768</v>
      </c>
      <c r="P541" s="314">
        <v>1.3887</v>
      </c>
      <c r="Q541" s="314">
        <v>0</v>
      </c>
      <c r="R541" s="314">
        <v>1.7110000000000001</v>
      </c>
      <c r="S541" s="314">
        <v>1.4212</v>
      </c>
      <c r="T541" s="314">
        <v>1.4044000000000001</v>
      </c>
      <c r="U541" s="314">
        <v>0</v>
      </c>
      <c r="V541" s="314">
        <v>1.3452999999999999</v>
      </c>
      <c r="W541" s="314">
        <v>1.7591000000000001</v>
      </c>
      <c r="X541" s="314">
        <v>1.5698000000000001</v>
      </c>
      <c r="Y541" s="314">
        <v>1.5603</v>
      </c>
      <c r="Z541" s="314">
        <v>1.6312</v>
      </c>
      <c r="AA541" s="314">
        <v>1.5265</v>
      </c>
      <c r="AB541" s="314">
        <v>1.7295</v>
      </c>
      <c r="AC541" s="314">
        <v>1.2842</v>
      </c>
      <c r="AD541" s="314">
        <v>1.2766</v>
      </c>
      <c r="AE541" s="314">
        <v>1.6950000000000001</v>
      </c>
      <c r="AF541" s="314">
        <v>0</v>
      </c>
      <c r="AG541" s="314">
        <v>1.4815</v>
      </c>
      <c r="AH541" s="314">
        <v>1.5849</v>
      </c>
      <c r="AI541" s="314">
        <v>1.8009999999999999</v>
      </c>
      <c r="AJ541" s="314">
        <v>0</v>
      </c>
      <c r="AK541" s="314">
        <v>0</v>
      </c>
      <c r="AL541" s="314">
        <v>1.5539000000000001</v>
      </c>
      <c r="AM541" s="314">
        <v>1.5418000000000001</v>
      </c>
      <c r="AN541" s="314">
        <v>1.3210999999999999</v>
      </c>
      <c r="AO541" s="314">
        <v>1.5046999999999999</v>
      </c>
      <c r="AP541" s="314">
        <v>1.7654000000000001</v>
      </c>
      <c r="AQ541" s="314">
        <v>0</v>
      </c>
      <c r="AR541" s="314">
        <v>1.3737999999999999</v>
      </c>
      <c r="AS541" s="314">
        <v>0</v>
      </c>
      <c r="AT541" s="314">
        <v>1.4462999999999999</v>
      </c>
      <c r="AU541" s="314">
        <v>1.4950000000000001</v>
      </c>
      <c r="AV541" s="314">
        <v>0</v>
      </c>
      <c r="AW541" s="314">
        <v>1.5882000000000001</v>
      </c>
      <c r="AX541" s="314">
        <v>1.2158</v>
      </c>
      <c r="AY541" s="314">
        <v>1.55</v>
      </c>
      <c r="AZ541" s="314">
        <v>1.5979000000000001</v>
      </c>
      <c r="BA541" s="314">
        <v>0</v>
      </c>
      <c r="BB541" s="314">
        <v>0</v>
      </c>
      <c r="BC541" s="314">
        <v>1.7748999999999999</v>
      </c>
      <c r="BD541" s="314">
        <v>1.8051999999999999</v>
      </c>
      <c r="BE541" s="314">
        <v>1.6860999999999999</v>
      </c>
      <c r="BF541" s="314">
        <v>1.6308</v>
      </c>
      <c r="BG541" s="314">
        <v>1.7188000000000001</v>
      </c>
      <c r="BH541" s="314">
        <v>1.4288000000000001</v>
      </c>
      <c r="BI541" s="314">
        <v>1.4830000000000001</v>
      </c>
      <c r="BJ541" s="314">
        <v>1.5278</v>
      </c>
      <c r="BK541" s="314">
        <v>1.6641999999999999</v>
      </c>
    </row>
    <row r="542" spans="1:63" x14ac:dyDescent="0.25">
      <c r="A542" s="306">
        <v>325510</v>
      </c>
      <c r="B542" s="314" t="s">
        <v>117</v>
      </c>
      <c r="C542" s="314">
        <v>2.2702</v>
      </c>
      <c r="D542" s="314">
        <v>0</v>
      </c>
      <c r="E542" s="314">
        <v>1.7555000000000001</v>
      </c>
      <c r="F542" s="314">
        <v>1.6659999999999999</v>
      </c>
      <c r="G542" s="314">
        <v>1.4137999999999999</v>
      </c>
      <c r="H542" s="314">
        <v>1.5770999999999999</v>
      </c>
      <c r="I542" s="314">
        <v>1.5529999999999999</v>
      </c>
      <c r="J542" s="314">
        <v>1.6840999999999999</v>
      </c>
      <c r="K542" s="314">
        <v>0</v>
      </c>
      <c r="L542" s="314">
        <v>1.8047</v>
      </c>
      <c r="M542" s="314">
        <v>1.4048</v>
      </c>
      <c r="N542" s="314">
        <v>1.8124</v>
      </c>
      <c r="O542" s="314">
        <v>0</v>
      </c>
      <c r="P542" s="314">
        <v>1.5335000000000001</v>
      </c>
      <c r="Q542" s="314">
        <v>1.3480000000000001</v>
      </c>
      <c r="R542" s="314">
        <v>1.9708000000000001</v>
      </c>
      <c r="S542" s="314">
        <v>1.8536999999999999</v>
      </c>
      <c r="T542" s="314">
        <v>1.5752999999999999</v>
      </c>
      <c r="U542" s="314">
        <v>1.8337000000000001</v>
      </c>
      <c r="V542" s="314">
        <v>1.8338000000000001</v>
      </c>
      <c r="W542" s="314">
        <v>1.6721999999999999</v>
      </c>
      <c r="X542" s="314">
        <v>1.512</v>
      </c>
      <c r="Y542" s="314">
        <v>0</v>
      </c>
      <c r="Z542" s="314">
        <v>1.8148</v>
      </c>
      <c r="AA542" s="314">
        <v>1.6648000000000001</v>
      </c>
      <c r="AB542" s="314">
        <v>1.8463000000000001</v>
      </c>
      <c r="AC542" s="314">
        <v>1.6425000000000001</v>
      </c>
      <c r="AD542" s="314">
        <v>0</v>
      </c>
      <c r="AE542" s="314">
        <v>1.7709999999999999</v>
      </c>
      <c r="AF542" s="314">
        <v>1.3573999999999999</v>
      </c>
      <c r="AG542" s="314">
        <v>1.4478</v>
      </c>
      <c r="AH542" s="314">
        <v>1.4476</v>
      </c>
      <c r="AI542" s="314">
        <v>1.9180999999999999</v>
      </c>
      <c r="AJ542" s="314">
        <v>1.3149999999999999</v>
      </c>
      <c r="AK542" s="314">
        <v>1.4085000000000001</v>
      </c>
      <c r="AL542" s="314">
        <v>1.5432999999999999</v>
      </c>
      <c r="AM542" s="314">
        <v>2.0131999999999999</v>
      </c>
      <c r="AN542" s="314">
        <v>1.4342999999999999</v>
      </c>
      <c r="AO542" s="314">
        <v>1.6608000000000001</v>
      </c>
      <c r="AP542" s="314">
        <v>1.9553</v>
      </c>
      <c r="AQ542" s="314">
        <v>1.6191</v>
      </c>
      <c r="AR542" s="314">
        <v>1.7834000000000001</v>
      </c>
      <c r="AS542" s="314">
        <v>1.3315999999999999</v>
      </c>
      <c r="AT542" s="314">
        <v>1.7863</v>
      </c>
      <c r="AU542" s="314">
        <v>1.9854000000000001</v>
      </c>
      <c r="AV542" s="314">
        <v>1.5362</v>
      </c>
      <c r="AW542" s="314">
        <v>1.6669</v>
      </c>
      <c r="AX542" s="314">
        <v>1.2569999999999999</v>
      </c>
      <c r="AY542" s="314">
        <v>1.5241</v>
      </c>
      <c r="AZ542" s="314">
        <v>1.6913</v>
      </c>
      <c r="BA542" s="314">
        <v>1.7137</v>
      </c>
      <c r="BB542" s="314">
        <v>0</v>
      </c>
      <c r="BC542" s="314">
        <v>1.7282</v>
      </c>
      <c r="BD542" s="314">
        <v>1.8942000000000001</v>
      </c>
      <c r="BE542" s="314">
        <v>2.0350000000000001</v>
      </c>
      <c r="BF542" s="314">
        <v>1.7334000000000001</v>
      </c>
      <c r="BG542" s="314">
        <v>1.8338000000000001</v>
      </c>
      <c r="BH542" s="314">
        <v>1.9279999999999999</v>
      </c>
      <c r="BI542" s="314">
        <v>1.9991000000000001</v>
      </c>
      <c r="BJ542" s="314">
        <v>1.5409999999999999</v>
      </c>
      <c r="BK542" s="314">
        <v>1.6089</v>
      </c>
    </row>
    <row r="543" spans="1:63" x14ac:dyDescent="0.25">
      <c r="A543" s="306">
        <v>325520</v>
      </c>
      <c r="B543" s="314" t="s">
        <v>118</v>
      </c>
      <c r="C543" s="314">
        <v>2.2181999999999999</v>
      </c>
      <c r="D543" s="314">
        <v>0</v>
      </c>
      <c r="E543" s="314">
        <v>1.6840999999999999</v>
      </c>
      <c r="F543" s="314">
        <v>1.6233</v>
      </c>
      <c r="G543" s="314">
        <v>1.448</v>
      </c>
      <c r="H543" s="314">
        <v>1.7335</v>
      </c>
      <c r="I543" s="314">
        <v>1.6653</v>
      </c>
      <c r="J543" s="314">
        <v>1.6851</v>
      </c>
      <c r="K543" s="314">
        <v>1.2022999999999999</v>
      </c>
      <c r="L543" s="314">
        <v>1.7242</v>
      </c>
      <c r="M543" s="314">
        <v>1.4593</v>
      </c>
      <c r="N543" s="314">
        <v>1.7405999999999999</v>
      </c>
      <c r="O543" s="314">
        <v>0</v>
      </c>
      <c r="P543" s="314">
        <v>1.4656</v>
      </c>
      <c r="Q543" s="314">
        <v>0</v>
      </c>
      <c r="R543" s="314">
        <v>1.9639</v>
      </c>
      <c r="S543" s="314">
        <v>1.7887999999999999</v>
      </c>
      <c r="T543" s="314">
        <v>1.6324000000000001</v>
      </c>
      <c r="U543" s="314">
        <v>1.7598</v>
      </c>
      <c r="V543" s="314">
        <v>1.8144</v>
      </c>
      <c r="W543" s="314">
        <v>1.6598999999999999</v>
      </c>
      <c r="X543" s="314">
        <v>1.5162</v>
      </c>
      <c r="Y543" s="314">
        <v>0</v>
      </c>
      <c r="Z543" s="314">
        <v>1.7474000000000001</v>
      </c>
      <c r="AA543" s="314">
        <v>1.6795</v>
      </c>
      <c r="AB543" s="314">
        <v>1.8083</v>
      </c>
      <c r="AC543" s="314">
        <v>1.6286</v>
      </c>
      <c r="AD543" s="314">
        <v>0</v>
      </c>
      <c r="AE543" s="314">
        <v>1.7216</v>
      </c>
      <c r="AF543" s="314">
        <v>1.4095</v>
      </c>
      <c r="AG543" s="314">
        <v>1.4351</v>
      </c>
      <c r="AH543" s="314">
        <v>1.5206999999999999</v>
      </c>
      <c r="AI543" s="314">
        <v>1.8902000000000001</v>
      </c>
      <c r="AJ543" s="314">
        <v>0</v>
      </c>
      <c r="AK543" s="314">
        <v>1.4524999999999999</v>
      </c>
      <c r="AL543" s="314">
        <v>1.5475000000000001</v>
      </c>
      <c r="AM543" s="314">
        <v>1.9301999999999999</v>
      </c>
      <c r="AN543" s="314">
        <v>1.5497000000000001</v>
      </c>
      <c r="AO543" s="314">
        <v>1.5589999999999999</v>
      </c>
      <c r="AP543" s="314">
        <v>1.8940999999999999</v>
      </c>
      <c r="AQ543" s="314">
        <v>1.5311999999999999</v>
      </c>
      <c r="AR543" s="314">
        <v>1.68</v>
      </c>
      <c r="AS543" s="314">
        <v>0</v>
      </c>
      <c r="AT543" s="314">
        <v>1.7090000000000001</v>
      </c>
      <c r="AU543" s="314">
        <v>1.9060999999999999</v>
      </c>
      <c r="AV543" s="314">
        <v>1.6984999999999999</v>
      </c>
      <c r="AW543" s="314">
        <v>1.6854</v>
      </c>
      <c r="AX543" s="314">
        <v>1.2627999999999999</v>
      </c>
      <c r="AY543" s="314">
        <v>1.6194</v>
      </c>
      <c r="AZ543" s="314">
        <v>1.6642999999999999</v>
      </c>
      <c r="BA543" s="314">
        <v>1.6466000000000001</v>
      </c>
      <c r="BB543" s="314">
        <v>0</v>
      </c>
      <c r="BC543" s="314">
        <v>1.7178</v>
      </c>
      <c r="BD543" s="314">
        <v>1.8371</v>
      </c>
      <c r="BE543" s="314">
        <v>1.9531000000000001</v>
      </c>
      <c r="BF543" s="314">
        <v>1.7403999999999999</v>
      </c>
      <c r="BG543" s="314">
        <v>1.7861</v>
      </c>
      <c r="BH543" s="314">
        <v>1.8467</v>
      </c>
      <c r="BI543" s="314">
        <v>1.9246000000000001</v>
      </c>
      <c r="BJ543" s="314">
        <v>1.6491</v>
      </c>
      <c r="BK543" s="314">
        <v>1.7324999999999999</v>
      </c>
    </row>
    <row r="544" spans="1:63" x14ac:dyDescent="0.25">
      <c r="A544" s="306">
        <v>325610</v>
      </c>
      <c r="B544" s="314" t="s">
        <v>119</v>
      </c>
      <c r="C544" s="314">
        <v>1.9278999999999999</v>
      </c>
      <c r="D544" s="314">
        <v>1.153</v>
      </c>
      <c r="E544" s="314">
        <v>1.4512</v>
      </c>
      <c r="F544" s="314">
        <v>1.4791000000000001</v>
      </c>
      <c r="G544" s="314">
        <v>1.3323</v>
      </c>
      <c r="H544" s="314">
        <v>1.6164000000000001</v>
      </c>
      <c r="I544" s="314">
        <v>1.4827999999999999</v>
      </c>
      <c r="J544" s="314">
        <v>1.5248999999999999</v>
      </c>
      <c r="K544" s="314">
        <v>1.1331</v>
      </c>
      <c r="L544" s="314">
        <v>1.4499</v>
      </c>
      <c r="M544" s="314">
        <v>1.3482000000000001</v>
      </c>
      <c r="N544" s="314">
        <v>1.6779999999999999</v>
      </c>
      <c r="O544" s="314">
        <v>1.2714000000000001</v>
      </c>
      <c r="P544" s="314">
        <v>1.3575999999999999</v>
      </c>
      <c r="Q544" s="314">
        <v>1.3141</v>
      </c>
      <c r="R544" s="314">
        <v>1.7886</v>
      </c>
      <c r="S544" s="314">
        <v>1.6456</v>
      </c>
      <c r="T544" s="314">
        <v>1.5545</v>
      </c>
      <c r="U544" s="314">
        <v>1.6506000000000001</v>
      </c>
      <c r="V544" s="314">
        <v>1.5685</v>
      </c>
      <c r="W544" s="314">
        <v>1.5055000000000001</v>
      </c>
      <c r="X544" s="314">
        <v>1.4976</v>
      </c>
      <c r="Y544" s="314">
        <v>1.4066000000000001</v>
      </c>
      <c r="Z544" s="314">
        <v>1.6617</v>
      </c>
      <c r="AA544" s="314">
        <v>1.5307999999999999</v>
      </c>
      <c r="AB544" s="314">
        <v>1.7082999999999999</v>
      </c>
      <c r="AC544" s="314">
        <v>1.4781</v>
      </c>
      <c r="AD544" s="314">
        <v>1.2524999999999999</v>
      </c>
      <c r="AE544" s="314">
        <v>1.6777</v>
      </c>
      <c r="AF544" s="314">
        <v>0</v>
      </c>
      <c r="AG544" s="314">
        <v>1.3188</v>
      </c>
      <c r="AH544" s="314">
        <v>1.3916999999999999</v>
      </c>
      <c r="AI544" s="314">
        <v>1.7453000000000001</v>
      </c>
      <c r="AJ544" s="314">
        <v>1.2484999999999999</v>
      </c>
      <c r="AK544" s="314">
        <v>1.3360000000000001</v>
      </c>
      <c r="AL544" s="314">
        <v>1.4187000000000001</v>
      </c>
      <c r="AM544" s="314">
        <v>1.7747999999999999</v>
      </c>
      <c r="AN544" s="314">
        <v>1.3803000000000001</v>
      </c>
      <c r="AO544" s="314">
        <v>1.4454</v>
      </c>
      <c r="AP544" s="314">
        <v>1.6975</v>
      </c>
      <c r="AQ544" s="314">
        <v>1.5337000000000001</v>
      </c>
      <c r="AR544" s="314">
        <v>1.5969</v>
      </c>
      <c r="AS544" s="314">
        <v>1.2545999999999999</v>
      </c>
      <c r="AT544" s="314">
        <v>1.6208</v>
      </c>
      <c r="AU544" s="314">
        <v>1.62</v>
      </c>
      <c r="AV544" s="314">
        <v>1.6294999999999999</v>
      </c>
      <c r="AW544" s="314">
        <v>1.4988999999999999</v>
      </c>
      <c r="AX544" s="314">
        <v>1.3266</v>
      </c>
      <c r="AY544" s="314">
        <v>1.4292</v>
      </c>
      <c r="AZ544" s="314">
        <v>1.6128</v>
      </c>
      <c r="BA544" s="314">
        <v>1.4488000000000001</v>
      </c>
      <c r="BB544" s="314">
        <v>1.2213000000000001</v>
      </c>
      <c r="BC544" s="314">
        <v>1.5629</v>
      </c>
      <c r="BD544" s="314">
        <v>1.6865000000000001</v>
      </c>
      <c r="BE544" s="314">
        <v>1.7930999999999999</v>
      </c>
      <c r="BF544" s="314">
        <v>1.6363000000000001</v>
      </c>
      <c r="BG544" s="314">
        <v>1.6874</v>
      </c>
      <c r="BH544" s="314">
        <v>1.6485000000000001</v>
      </c>
      <c r="BI544" s="314">
        <v>1.6326000000000001</v>
      </c>
      <c r="BJ544" s="314">
        <v>1.49</v>
      </c>
      <c r="BK544" s="314">
        <v>1.5851</v>
      </c>
    </row>
    <row r="545" spans="1:63" x14ac:dyDescent="0.25">
      <c r="A545" s="306">
        <v>325620</v>
      </c>
      <c r="B545" s="314" t="s">
        <v>120</v>
      </c>
      <c r="C545" s="314">
        <v>1.8372999999999999</v>
      </c>
      <c r="D545" s="314">
        <v>0</v>
      </c>
      <c r="E545" s="314">
        <v>1.4634</v>
      </c>
      <c r="F545" s="314">
        <v>1.5106999999999999</v>
      </c>
      <c r="G545" s="314">
        <v>1.3556999999999999</v>
      </c>
      <c r="H545" s="314">
        <v>1.5558000000000001</v>
      </c>
      <c r="I545" s="314">
        <v>1.5257000000000001</v>
      </c>
      <c r="J545" s="314">
        <v>1.5653999999999999</v>
      </c>
      <c r="K545" s="314">
        <v>0</v>
      </c>
      <c r="L545" s="314">
        <v>1.4792000000000001</v>
      </c>
      <c r="M545" s="314">
        <v>1.3733</v>
      </c>
      <c r="N545" s="314">
        <v>1.5814999999999999</v>
      </c>
      <c r="O545" s="314">
        <v>1.3234999999999999</v>
      </c>
      <c r="P545" s="314">
        <v>1.3782000000000001</v>
      </c>
      <c r="Q545" s="314">
        <v>1.3454999999999999</v>
      </c>
      <c r="R545" s="314">
        <v>1.7075</v>
      </c>
      <c r="S545" s="314">
        <v>1.5323</v>
      </c>
      <c r="T545" s="314">
        <v>1.4315</v>
      </c>
      <c r="U545" s="314">
        <v>1.5394000000000001</v>
      </c>
      <c r="V545" s="314">
        <v>1.4594</v>
      </c>
      <c r="W545" s="314">
        <v>1.5557000000000001</v>
      </c>
      <c r="X545" s="314">
        <v>1.4297</v>
      </c>
      <c r="Y545" s="314">
        <v>1.3737999999999999</v>
      </c>
      <c r="Z545" s="314">
        <v>1.595</v>
      </c>
      <c r="AA545" s="314">
        <v>1.5788</v>
      </c>
      <c r="AB545" s="314">
        <v>1.6341000000000001</v>
      </c>
      <c r="AC545" s="314">
        <v>1.3935999999999999</v>
      </c>
      <c r="AD545" s="314">
        <v>1.2267999999999999</v>
      </c>
      <c r="AE545" s="314">
        <v>1.5934999999999999</v>
      </c>
      <c r="AF545" s="314">
        <v>1.2853000000000001</v>
      </c>
      <c r="AG545" s="314">
        <v>1.3832</v>
      </c>
      <c r="AH545" s="314">
        <v>1.4544999999999999</v>
      </c>
      <c r="AI545" s="314">
        <v>1.653</v>
      </c>
      <c r="AJ545" s="314">
        <v>1.2484</v>
      </c>
      <c r="AK545" s="314">
        <v>1.3940999999999999</v>
      </c>
      <c r="AL545" s="314">
        <v>1.4651000000000001</v>
      </c>
      <c r="AM545" s="314">
        <v>1.6796</v>
      </c>
      <c r="AN545" s="314">
        <v>1.3666</v>
      </c>
      <c r="AO545" s="314">
        <v>1.4859</v>
      </c>
      <c r="AP545" s="314">
        <v>1.6648000000000001</v>
      </c>
      <c r="AQ545" s="314">
        <v>1.4669000000000001</v>
      </c>
      <c r="AR545" s="314">
        <v>1.4779</v>
      </c>
      <c r="AS545" s="314">
        <v>1.2669999999999999</v>
      </c>
      <c r="AT545" s="314">
        <v>1.5362</v>
      </c>
      <c r="AU545" s="314">
        <v>1.5566</v>
      </c>
      <c r="AV545" s="314">
        <v>1.5438000000000001</v>
      </c>
      <c r="AW545" s="314">
        <v>1.5530999999999999</v>
      </c>
      <c r="AX545" s="314">
        <v>1.2484</v>
      </c>
      <c r="AY545" s="314">
        <v>1.4515</v>
      </c>
      <c r="AZ545" s="314">
        <v>1.5539000000000001</v>
      </c>
      <c r="BA545" s="314">
        <v>0</v>
      </c>
      <c r="BB545" s="314">
        <v>1.2056</v>
      </c>
      <c r="BC545" s="314">
        <v>1.5998000000000001</v>
      </c>
      <c r="BD545" s="314">
        <v>1.6403000000000001</v>
      </c>
      <c r="BE545" s="314">
        <v>1.7056</v>
      </c>
      <c r="BF545" s="314">
        <v>1.5931999999999999</v>
      </c>
      <c r="BG545" s="314">
        <v>1.6036999999999999</v>
      </c>
      <c r="BH545" s="314">
        <v>1.5653999999999999</v>
      </c>
      <c r="BI545" s="314">
        <v>1.5749</v>
      </c>
      <c r="BJ545" s="314">
        <v>1.4801</v>
      </c>
      <c r="BK545" s="314">
        <v>1.5511999999999999</v>
      </c>
    </row>
    <row r="546" spans="1:63" x14ac:dyDescent="0.25">
      <c r="A546" s="306">
        <v>325910</v>
      </c>
      <c r="B546" s="314" t="s">
        <v>121</v>
      </c>
      <c r="C546" s="314">
        <v>2.3235000000000001</v>
      </c>
      <c r="D546" s="314">
        <v>0</v>
      </c>
      <c r="E546" s="314">
        <v>1.6383000000000001</v>
      </c>
      <c r="F546" s="314">
        <v>1.5678000000000001</v>
      </c>
      <c r="G546" s="314">
        <v>1.4152</v>
      </c>
      <c r="H546" s="314">
        <v>1.6707000000000001</v>
      </c>
      <c r="I546" s="314">
        <v>1.6245000000000001</v>
      </c>
      <c r="J546" s="314">
        <v>1.6041000000000001</v>
      </c>
      <c r="K546" s="314">
        <v>0</v>
      </c>
      <c r="L546" s="314">
        <v>1.8866000000000001</v>
      </c>
      <c r="M546" s="314">
        <v>1.4140999999999999</v>
      </c>
      <c r="N546" s="314">
        <v>1.8560000000000001</v>
      </c>
      <c r="O546" s="314">
        <v>0</v>
      </c>
      <c r="P546" s="314">
        <v>1.4611000000000001</v>
      </c>
      <c r="Q546" s="314">
        <v>0</v>
      </c>
      <c r="R546" s="314">
        <v>1.956</v>
      </c>
      <c r="S546" s="314">
        <v>1.8392999999999999</v>
      </c>
      <c r="T546" s="314">
        <v>1.6434</v>
      </c>
      <c r="U546" s="314">
        <v>1.87</v>
      </c>
      <c r="V546" s="314">
        <v>1.8555999999999999</v>
      </c>
      <c r="W546" s="314">
        <v>1.6525000000000001</v>
      </c>
      <c r="X546" s="314">
        <v>1.63</v>
      </c>
      <c r="Y546" s="314">
        <v>1.3295999999999999</v>
      </c>
      <c r="Z546" s="314">
        <v>1.8668</v>
      </c>
      <c r="AA546" s="314">
        <v>1.6983999999999999</v>
      </c>
      <c r="AB546" s="314">
        <v>1.7439</v>
      </c>
      <c r="AC546" s="314">
        <v>0</v>
      </c>
      <c r="AD546" s="314">
        <v>0</v>
      </c>
      <c r="AE546" s="314">
        <v>1.8150999999999999</v>
      </c>
      <c r="AF546" s="314">
        <v>0</v>
      </c>
      <c r="AG546" s="314">
        <v>1.3499000000000001</v>
      </c>
      <c r="AH546" s="314">
        <v>1.4218999999999999</v>
      </c>
      <c r="AI546" s="314">
        <v>1.9824999999999999</v>
      </c>
      <c r="AJ546" s="314">
        <v>1.3831</v>
      </c>
      <c r="AK546" s="314">
        <v>1.4339999999999999</v>
      </c>
      <c r="AL546" s="314">
        <v>1.5606</v>
      </c>
      <c r="AM546" s="314">
        <v>2.0198999999999998</v>
      </c>
      <c r="AN546" s="314">
        <v>1.5748</v>
      </c>
      <c r="AO546" s="314">
        <v>1.7343999999999999</v>
      </c>
      <c r="AP546" s="314">
        <v>2.0179999999999998</v>
      </c>
      <c r="AQ546" s="314">
        <v>1.6015999999999999</v>
      </c>
      <c r="AR546" s="314">
        <v>1.6476</v>
      </c>
      <c r="AS546" s="314">
        <v>0</v>
      </c>
      <c r="AT546" s="314">
        <v>1.8026</v>
      </c>
      <c r="AU546" s="314">
        <v>2.0581999999999998</v>
      </c>
      <c r="AV546" s="314">
        <v>1.6388</v>
      </c>
      <c r="AW546" s="314">
        <v>1.6612</v>
      </c>
      <c r="AX546" s="314">
        <v>0</v>
      </c>
      <c r="AY546" s="314">
        <v>1.5718000000000001</v>
      </c>
      <c r="AZ546" s="314">
        <v>1.6409</v>
      </c>
      <c r="BA546" s="314">
        <v>0</v>
      </c>
      <c r="BB546" s="314">
        <v>0</v>
      </c>
      <c r="BC546" s="314">
        <v>1.6850000000000001</v>
      </c>
      <c r="BD546" s="314">
        <v>1.9356</v>
      </c>
      <c r="BE546" s="314">
        <v>2.0238</v>
      </c>
      <c r="BF546" s="314">
        <v>1.6997</v>
      </c>
      <c r="BG546" s="314">
        <v>1.8767</v>
      </c>
      <c r="BH546" s="314">
        <v>1.9293</v>
      </c>
      <c r="BI546" s="314">
        <v>2.0686</v>
      </c>
      <c r="BJ546" s="314">
        <v>1.6128</v>
      </c>
      <c r="BK546" s="314">
        <v>1.6997</v>
      </c>
    </row>
    <row r="547" spans="1:63" x14ac:dyDescent="0.25">
      <c r="A547" s="306" t="s">
        <v>715</v>
      </c>
      <c r="B547" s="314" t="s">
        <v>122</v>
      </c>
      <c r="C547" s="314">
        <v>2.1861999999999999</v>
      </c>
      <c r="D547" s="314">
        <v>1.232</v>
      </c>
      <c r="E547" s="314">
        <v>1.6807000000000001</v>
      </c>
      <c r="F547" s="314">
        <v>1.671</v>
      </c>
      <c r="G547" s="314">
        <v>1.4171</v>
      </c>
      <c r="H547" s="314">
        <v>1.6564000000000001</v>
      </c>
      <c r="I547" s="314">
        <v>1.6457999999999999</v>
      </c>
      <c r="J547" s="314">
        <v>1.7256</v>
      </c>
      <c r="K547" s="314">
        <v>0</v>
      </c>
      <c r="L547" s="314">
        <v>1.7195</v>
      </c>
      <c r="M547" s="314">
        <v>1.4252</v>
      </c>
      <c r="N547" s="314">
        <v>1.756</v>
      </c>
      <c r="O547" s="314">
        <v>1.3754999999999999</v>
      </c>
      <c r="P547" s="314">
        <v>1.4339999999999999</v>
      </c>
      <c r="Q547" s="314">
        <v>1.4272</v>
      </c>
      <c r="R547" s="314">
        <v>1.9438</v>
      </c>
      <c r="S547" s="314">
        <v>1.7537</v>
      </c>
      <c r="T547" s="314">
        <v>1.5746</v>
      </c>
      <c r="U547" s="314">
        <v>1.7499</v>
      </c>
      <c r="V547" s="314">
        <v>1.7804</v>
      </c>
      <c r="W547" s="314">
        <v>1.7125999999999999</v>
      </c>
      <c r="X547" s="314">
        <v>1.5007999999999999</v>
      </c>
      <c r="Y547" s="314">
        <v>1.4116</v>
      </c>
      <c r="Z547" s="314">
        <v>1.7779</v>
      </c>
      <c r="AA547" s="314">
        <v>1.69</v>
      </c>
      <c r="AB547" s="314">
        <v>1.8085</v>
      </c>
      <c r="AC547" s="314">
        <v>1.5851999999999999</v>
      </c>
      <c r="AD547" s="314">
        <v>1.3448</v>
      </c>
      <c r="AE547" s="314">
        <v>1.7528999999999999</v>
      </c>
      <c r="AF547" s="314">
        <v>1.3216000000000001</v>
      </c>
      <c r="AG547" s="314">
        <v>1.4221999999999999</v>
      </c>
      <c r="AH547" s="314">
        <v>1.5305</v>
      </c>
      <c r="AI547" s="314">
        <v>1.8896999999999999</v>
      </c>
      <c r="AJ547" s="314">
        <v>1.3673999999999999</v>
      </c>
      <c r="AK547" s="314">
        <v>1.4645999999999999</v>
      </c>
      <c r="AL547" s="314">
        <v>1.5924</v>
      </c>
      <c r="AM547" s="314">
        <v>1.9297</v>
      </c>
      <c r="AN547" s="314">
        <v>1.4896</v>
      </c>
      <c r="AO547" s="314">
        <v>1.5954999999999999</v>
      </c>
      <c r="AP547" s="314">
        <v>1.9227000000000001</v>
      </c>
      <c r="AQ547" s="314">
        <v>1.5949</v>
      </c>
      <c r="AR547" s="314">
        <v>1.7045999999999999</v>
      </c>
      <c r="AS547" s="314">
        <v>1.3331999999999999</v>
      </c>
      <c r="AT547" s="314">
        <v>1.7401</v>
      </c>
      <c r="AU547" s="314">
        <v>1.8795999999999999</v>
      </c>
      <c r="AV547" s="314">
        <v>1.6345000000000001</v>
      </c>
      <c r="AW547" s="314">
        <v>1.6882999999999999</v>
      </c>
      <c r="AX547" s="314">
        <v>1.2332000000000001</v>
      </c>
      <c r="AY547" s="314">
        <v>1.5865</v>
      </c>
      <c r="AZ547" s="314">
        <v>1.6460999999999999</v>
      </c>
      <c r="BA547" s="314">
        <v>1.6059000000000001</v>
      </c>
      <c r="BB547" s="314">
        <v>1.3286</v>
      </c>
      <c r="BC547" s="314">
        <v>1.7735000000000001</v>
      </c>
      <c r="BD547" s="314">
        <v>1.8653999999999999</v>
      </c>
      <c r="BE547" s="314">
        <v>1.9547000000000001</v>
      </c>
      <c r="BF547" s="314">
        <v>1.7183999999999999</v>
      </c>
      <c r="BG547" s="314">
        <v>1.8113999999999999</v>
      </c>
      <c r="BH547" s="314">
        <v>1.8289</v>
      </c>
      <c r="BI547" s="314">
        <v>1.9076</v>
      </c>
      <c r="BJ547" s="314">
        <v>1.6187</v>
      </c>
      <c r="BK547" s="314">
        <v>1.6674</v>
      </c>
    </row>
    <row r="548" spans="1:63" x14ac:dyDescent="0.25">
      <c r="A548" s="306">
        <v>326110</v>
      </c>
      <c r="B548" s="314" t="s">
        <v>123</v>
      </c>
      <c r="C548" s="314">
        <v>2.1789000000000001</v>
      </c>
      <c r="D548" s="314">
        <v>0</v>
      </c>
      <c r="E548" s="314">
        <v>1.8152999999999999</v>
      </c>
      <c r="F548" s="314">
        <v>1.5863</v>
      </c>
      <c r="G548" s="314">
        <v>1.3050999999999999</v>
      </c>
      <c r="H548" s="314">
        <v>1.4659</v>
      </c>
      <c r="I548" s="314">
        <v>1.3665</v>
      </c>
      <c r="J548" s="314">
        <v>1.6606000000000001</v>
      </c>
      <c r="K548" s="314">
        <v>0</v>
      </c>
      <c r="L548" s="314">
        <v>1.7551000000000001</v>
      </c>
      <c r="M548" s="314">
        <v>1.3375999999999999</v>
      </c>
      <c r="N548" s="314">
        <v>1.6621999999999999</v>
      </c>
      <c r="O548" s="314">
        <v>1.1950000000000001</v>
      </c>
      <c r="P548" s="314">
        <v>1.4875</v>
      </c>
      <c r="Q548" s="314">
        <v>1.2703</v>
      </c>
      <c r="R548" s="314">
        <v>1.8555999999999999</v>
      </c>
      <c r="S548" s="314">
        <v>1.7814000000000001</v>
      </c>
      <c r="T548" s="314">
        <v>1.4569000000000001</v>
      </c>
      <c r="U548" s="314">
        <v>1.7853000000000001</v>
      </c>
      <c r="V548" s="314">
        <v>1.8484</v>
      </c>
      <c r="W548" s="314">
        <v>1.6913</v>
      </c>
      <c r="X548" s="314">
        <v>1.3263</v>
      </c>
      <c r="Y548" s="314">
        <v>1.3274999999999999</v>
      </c>
      <c r="Z548" s="314">
        <v>1.7064999999999999</v>
      </c>
      <c r="AA548" s="314">
        <v>1.5344</v>
      </c>
      <c r="AB548" s="314">
        <v>1.7787999999999999</v>
      </c>
      <c r="AC548" s="314">
        <v>1.6769000000000001</v>
      </c>
      <c r="AD548" s="314">
        <v>0</v>
      </c>
      <c r="AE548" s="314">
        <v>1.6581999999999999</v>
      </c>
      <c r="AF548" s="314">
        <v>1.2278</v>
      </c>
      <c r="AG548" s="314">
        <v>1.3471</v>
      </c>
      <c r="AH548" s="314">
        <v>1.4252</v>
      </c>
      <c r="AI548" s="314">
        <v>1.7455000000000001</v>
      </c>
      <c r="AJ548" s="314">
        <v>1.2295</v>
      </c>
      <c r="AK548" s="314">
        <v>1.2847999999999999</v>
      </c>
      <c r="AL548" s="314">
        <v>1.3936999999999999</v>
      </c>
      <c r="AM548" s="314">
        <v>1.9215</v>
      </c>
      <c r="AN548" s="314">
        <v>1.4212</v>
      </c>
      <c r="AO548" s="314">
        <v>1.45</v>
      </c>
      <c r="AP548" s="314">
        <v>1.8725000000000001</v>
      </c>
      <c r="AQ548" s="314">
        <v>1.5881000000000001</v>
      </c>
      <c r="AR548" s="314">
        <v>1.8446</v>
      </c>
      <c r="AS548" s="314">
        <v>1.2988999999999999</v>
      </c>
      <c r="AT548" s="314">
        <v>1.7484</v>
      </c>
      <c r="AU548" s="314">
        <v>1.9639</v>
      </c>
      <c r="AV548" s="314">
        <v>1.4180999999999999</v>
      </c>
      <c r="AW548" s="314">
        <v>1.544</v>
      </c>
      <c r="AX548" s="314">
        <v>1.2472000000000001</v>
      </c>
      <c r="AY548" s="314">
        <v>1.4446000000000001</v>
      </c>
      <c r="AZ548" s="314">
        <v>1.5495000000000001</v>
      </c>
      <c r="BA548" s="314">
        <v>1.7221</v>
      </c>
      <c r="BB548" s="314">
        <v>0</v>
      </c>
      <c r="BC548" s="314">
        <v>1.7250000000000001</v>
      </c>
      <c r="BD548" s="314">
        <v>1.7028000000000001</v>
      </c>
      <c r="BE548" s="314">
        <v>1.9047000000000001</v>
      </c>
      <c r="BF548" s="314">
        <v>1.6115999999999999</v>
      </c>
      <c r="BG548" s="314">
        <v>1.7419</v>
      </c>
      <c r="BH548" s="314">
        <v>1.8964000000000001</v>
      </c>
      <c r="BI548" s="314">
        <v>1.9916</v>
      </c>
      <c r="BJ548" s="314">
        <v>1.3673</v>
      </c>
      <c r="BK548" s="314">
        <v>1.4762999999999999</v>
      </c>
    </row>
    <row r="549" spans="1:63" x14ac:dyDescent="0.25">
      <c r="A549" s="306">
        <v>326121</v>
      </c>
      <c r="B549" s="314" t="s">
        <v>124</v>
      </c>
      <c r="C549" s="314">
        <v>2.0392999999999999</v>
      </c>
      <c r="D549" s="314">
        <v>0</v>
      </c>
      <c r="E549" s="314">
        <v>1.72</v>
      </c>
      <c r="F549" s="314">
        <v>1.5136000000000001</v>
      </c>
      <c r="G549" s="314">
        <v>1.3005</v>
      </c>
      <c r="H549" s="314">
        <v>1.4263999999999999</v>
      </c>
      <c r="I549" s="314">
        <v>1.3665</v>
      </c>
      <c r="J549" s="314">
        <v>1.6037999999999999</v>
      </c>
      <c r="K549" s="314">
        <v>0</v>
      </c>
      <c r="L549" s="314">
        <v>1.6693</v>
      </c>
      <c r="M549" s="314">
        <v>1.3225</v>
      </c>
      <c r="N549" s="314">
        <v>1.5822000000000001</v>
      </c>
      <c r="O549" s="314">
        <v>1.2002999999999999</v>
      </c>
      <c r="P549" s="314">
        <v>1.4156</v>
      </c>
      <c r="Q549" s="314">
        <v>1.2606999999999999</v>
      </c>
      <c r="R549" s="314">
        <v>1.7624</v>
      </c>
      <c r="S549" s="314">
        <v>1.6791</v>
      </c>
      <c r="T549" s="314">
        <v>1.3935</v>
      </c>
      <c r="U549" s="314">
        <v>1.6779999999999999</v>
      </c>
      <c r="V549" s="314">
        <v>1.7577</v>
      </c>
      <c r="W549" s="314">
        <v>1.6254999999999999</v>
      </c>
      <c r="X549" s="314">
        <v>1.3058000000000001</v>
      </c>
      <c r="Y549" s="314">
        <v>0</v>
      </c>
      <c r="Z549" s="314">
        <v>1.6453</v>
      </c>
      <c r="AA549" s="314">
        <v>1.4666999999999999</v>
      </c>
      <c r="AB549" s="314">
        <v>1.6800999999999999</v>
      </c>
      <c r="AC549" s="314">
        <v>1.6112</v>
      </c>
      <c r="AD549" s="314">
        <v>1.2016</v>
      </c>
      <c r="AE549" s="314">
        <v>1.5832999999999999</v>
      </c>
      <c r="AF549" s="314">
        <v>1.1986000000000001</v>
      </c>
      <c r="AG549" s="314">
        <v>0</v>
      </c>
      <c r="AH549" s="314">
        <v>1.4003000000000001</v>
      </c>
      <c r="AI549" s="314">
        <v>1.6601999999999999</v>
      </c>
      <c r="AJ549" s="314">
        <v>0</v>
      </c>
      <c r="AK549" s="314">
        <v>1.2695000000000001</v>
      </c>
      <c r="AL549" s="314">
        <v>1.3842000000000001</v>
      </c>
      <c r="AM549" s="314">
        <v>1.8115000000000001</v>
      </c>
      <c r="AN549" s="314">
        <v>1.3694999999999999</v>
      </c>
      <c r="AO549" s="314">
        <v>1.411</v>
      </c>
      <c r="AP549" s="314">
        <v>1.7956000000000001</v>
      </c>
      <c r="AQ549" s="314">
        <v>1.5469999999999999</v>
      </c>
      <c r="AR549" s="314">
        <v>1.7430000000000001</v>
      </c>
      <c r="AS549" s="314">
        <v>0</v>
      </c>
      <c r="AT549" s="314">
        <v>1.6722999999999999</v>
      </c>
      <c r="AU549" s="314">
        <v>1.8566</v>
      </c>
      <c r="AV549" s="314">
        <v>1.3985000000000001</v>
      </c>
      <c r="AW549" s="314">
        <v>1.4792000000000001</v>
      </c>
      <c r="AX549" s="314">
        <v>0</v>
      </c>
      <c r="AY549" s="314">
        <v>1.4094</v>
      </c>
      <c r="AZ549" s="314">
        <v>1.4730000000000001</v>
      </c>
      <c r="BA549" s="314">
        <v>1.6407</v>
      </c>
      <c r="BB549" s="314">
        <v>0</v>
      </c>
      <c r="BC549" s="314">
        <v>1.6636</v>
      </c>
      <c r="BD549" s="314">
        <v>1.6355</v>
      </c>
      <c r="BE549" s="314">
        <v>1.7961</v>
      </c>
      <c r="BF549" s="314">
        <v>1.526</v>
      </c>
      <c r="BG549" s="314">
        <v>1.66</v>
      </c>
      <c r="BH549" s="314">
        <v>1.7785</v>
      </c>
      <c r="BI549" s="314">
        <v>1.8777999999999999</v>
      </c>
      <c r="BJ549" s="314">
        <v>1.3586</v>
      </c>
      <c r="BK549" s="314">
        <v>1.4370000000000001</v>
      </c>
    </row>
    <row r="550" spans="1:63" x14ac:dyDescent="0.25">
      <c r="A550" s="306">
        <v>326122</v>
      </c>
      <c r="B550" s="314" t="s">
        <v>125</v>
      </c>
      <c r="C550" s="314">
        <v>2.2936000000000001</v>
      </c>
      <c r="D550" s="314">
        <v>0</v>
      </c>
      <c r="E550" s="314">
        <v>1.9394</v>
      </c>
      <c r="F550" s="314">
        <v>1.5621</v>
      </c>
      <c r="G550" s="314">
        <v>1.2782</v>
      </c>
      <c r="H550" s="314">
        <v>1.403</v>
      </c>
      <c r="I550" s="314">
        <v>1.3220000000000001</v>
      </c>
      <c r="J550" s="314">
        <v>1.6964999999999999</v>
      </c>
      <c r="K550" s="314">
        <v>0</v>
      </c>
      <c r="L550" s="314">
        <v>0</v>
      </c>
      <c r="M550" s="314">
        <v>1.3051999999999999</v>
      </c>
      <c r="N550" s="314">
        <v>1.6069</v>
      </c>
      <c r="O550" s="314">
        <v>0</v>
      </c>
      <c r="P550" s="314">
        <v>1.4872000000000001</v>
      </c>
      <c r="Q550" s="314">
        <v>1.2352000000000001</v>
      </c>
      <c r="R550" s="314">
        <v>1.9036</v>
      </c>
      <c r="S550" s="314">
        <v>1.8341000000000001</v>
      </c>
      <c r="T550" s="314">
        <v>1.4147000000000001</v>
      </c>
      <c r="U550" s="314">
        <v>1.8268</v>
      </c>
      <c r="V550" s="314">
        <v>1.9977</v>
      </c>
      <c r="W550" s="314">
        <v>1.7217</v>
      </c>
      <c r="X550" s="314">
        <v>1.2553000000000001</v>
      </c>
      <c r="Y550" s="314">
        <v>1.2442</v>
      </c>
      <c r="Z550" s="314">
        <v>1.7499</v>
      </c>
      <c r="AA550" s="314">
        <v>1.4395</v>
      </c>
      <c r="AB550" s="314">
        <v>1.8258000000000001</v>
      </c>
      <c r="AC550" s="314">
        <v>1.7738</v>
      </c>
      <c r="AD550" s="314">
        <v>1.1968000000000001</v>
      </c>
      <c r="AE550" s="314">
        <v>1.6454</v>
      </c>
      <c r="AF550" s="314">
        <v>1.1944999999999999</v>
      </c>
      <c r="AG550" s="314">
        <v>1.351</v>
      </c>
      <c r="AH550" s="314">
        <v>1.3809</v>
      </c>
      <c r="AI550" s="314">
        <v>1.7569999999999999</v>
      </c>
      <c r="AJ550" s="314">
        <v>1.2062999999999999</v>
      </c>
      <c r="AK550" s="314">
        <v>1.2119</v>
      </c>
      <c r="AL550" s="314">
        <v>1.3712</v>
      </c>
      <c r="AM550" s="314">
        <v>1.9871000000000001</v>
      </c>
      <c r="AN550" s="314">
        <v>1.3631</v>
      </c>
      <c r="AO550" s="314">
        <v>1.3837999999999999</v>
      </c>
      <c r="AP550" s="314">
        <v>1.9577</v>
      </c>
      <c r="AQ550" s="314">
        <v>0</v>
      </c>
      <c r="AR550" s="314">
        <v>1.9398</v>
      </c>
      <c r="AS550" s="314">
        <v>0</v>
      </c>
      <c r="AT550" s="314">
        <v>1.7885</v>
      </c>
      <c r="AU550" s="314">
        <v>2.1124000000000001</v>
      </c>
      <c r="AV550" s="314">
        <v>1.3571</v>
      </c>
      <c r="AW550" s="314">
        <v>1.4890000000000001</v>
      </c>
      <c r="AX550" s="314">
        <v>1.2343</v>
      </c>
      <c r="AY550" s="314">
        <v>1.3979999999999999</v>
      </c>
      <c r="AZ550" s="314">
        <v>1.4686999999999999</v>
      </c>
      <c r="BA550" s="314">
        <v>1.8871</v>
      </c>
      <c r="BB550" s="314">
        <v>1.1910000000000001</v>
      </c>
      <c r="BC550" s="314">
        <v>1.7636000000000001</v>
      </c>
      <c r="BD550" s="314">
        <v>1.7065999999999999</v>
      </c>
      <c r="BE550" s="314">
        <v>1.9504999999999999</v>
      </c>
      <c r="BF550" s="314">
        <v>1.5634999999999999</v>
      </c>
      <c r="BG550" s="314">
        <v>1.742</v>
      </c>
      <c r="BH550" s="314">
        <v>1.9689000000000001</v>
      </c>
      <c r="BI550" s="314">
        <v>2.1236999999999999</v>
      </c>
      <c r="BJ550" s="314">
        <v>1.32</v>
      </c>
      <c r="BK550" s="314">
        <v>1.409</v>
      </c>
    </row>
    <row r="551" spans="1:63" x14ac:dyDescent="0.25">
      <c r="A551" s="306">
        <v>326130</v>
      </c>
      <c r="B551" s="314" t="s">
        <v>126</v>
      </c>
      <c r="C551" s="314">
        <v>2.0821000000000001</v>
      </c>
      <c r="D551" s="314">
        <v>0</v>
      </c>
      <c r="E551" s="314">
        <v>1.7242999999999999</v>
      </c>
      <c r="F551" s="314">
        <v>1.6647000000000001</v>
      </c>
      <c r="G551" s="314">
        <v>1.3637999999999999</v>
      </c>
      <c r="H551" s="314">
        <v>1.5099</v>
      </c>
      <c r="I551" s="314">
        <v>1.4357</v>
      </c>
      <c r="J551" s="314">
        <v>1.6574</v>
      </c>
      <c r="K551" s="314">
        <v>0</v>
      </c>
      <c r="L551" s="314">
        <v>1.6006</v>
      </c>
      <c r="M551" s="314">
        <v>1.3944000000000001</v>
      </c>
      <c r="N551" s="314">
        <v>1.7657</v>
      </c>
      <c r="O551" s="314">
        <v>0</v>
      </c>
      <c r="P551" s="314">
        <v>1.454</v>
      </c>
      <c r="Q551" s="314">
        <v>1.3908</v>
      </c>
      <c r="R551" s="314">
        <v>1.7665</v>
      </c>
      <c r="S551" s="314">
        <v>1.6914</v>
      </c>
      <c r="T551" s="314">
        <v>1.4852000000000001</v>
      </c>
      <c r="U551" s="314">
        <v>1.7664</v>
      </c>
      <c r="V551" s="314">
        <v>1.7262999999999999</v>
      </c>
      <c r="W551" s="314">
        <v>1.6932</v>
      </c>
      <c r="X551" s="314">
        <v>1.4137999999999999</v>
      </c>
      <c r="Y551" s="314">
        <v>1.4875</v>
      </c>
      <c r="Z551" s="314">
        <v>1.6894</v>
      </c>
      <c r="AA551" s="314">
        <v>1.6626000000000001</v>
      </c>
      <c r="AB551" s="314">
        <v>1.675</v>
      </c>
      <c r="AC551" s="314">
        <v>1.6371</v>
      </c>
      <c r="AD551" s="314">
        <v>0</v>
      </c>
      <c r="AE551" s="314">
        <v>1.7047000000000001</v>
      </c>
      <c r="AF551" s="314">
        <v>0</v>
      </c>
      <c r="AG551" s="314">
        <v>1.3129999999999999</v>
      </c>
      <c r="AH551" s="314">
        <v>1.579</v>
      </c>
      <c r="AI551" s="314">
        <v>1.7417</v>
      </c>
      <c r="AJ551" s="314">
        <v>0</v>
      </c>
      <c r="AK551" s="314">
        <v>0</v>
      </c>
      <c r="AL551" s="314">
        <v>1.4671000000000001</v>
      </c>
      <c r="AM551" s="314">
        <v>1.877</v>
      </c>
      <c r="AN551" s="314">
        <v>1.5589</v>
      </c>
      <c r="AO551" s="314">
        <v>1.5743</v>
      </c>
      <c r="AP551" s="314">
        <v>1.8555999999999999</v>
      </c>
      <c r="AQ551" s="314">
        <v>1.5463</v>
      </c>
      <c r="AR551" s="314">
        <v>1.7713000000000001</v>
      </c>
      <c r="AS551" s="314">
        <v>1.3452999999999999</v>
      </c>
      <c r="AT551" s="314">
        <v>1.7684</v>
      </c>
      <c r="AU551" s="314">
        <v>1.7813000000000001</v>
      </c>
      <c r="AV551" s="314">
        <v>1.486</v>
      </c>
      <c r="AW551" s="314">
        <v>1.6382000000000001</v>
      </c>
      <c r="AX551" s="314">
        <v>1.3018000000000001</v>
      </c>
      <c r="AY551" s="314">
        <v>1.5765</v>
      </c>
      <c r="AZ551" s="314">
        <v>1.6679999999999999</v>
      </c>
      <c r="BA551" s="314">
        <v>0</v>
      </c>
      <c r="BB551" s="314">
        <v>1.2323999999999999</v>
      </c>
      <c r="BC551" s="314">
        <v>1.7537</v>
      </c>
      <c r="BD551" s="314">
        <v>1.7359</v>
      </c>
      <c r="BE551" s="314">
        <v>1.8889</v>
      </c>
      <c r="BF551" s="314">
        <v>1.6474</v>
      </c>
      <c r="BG551" s="314">
        <v>1.7624</v>
      </c>
      <c r="BH551" s="314">
        <v>1.8559000000000001</v>
      </c>
      <c r="BI551" s="314">
        <v>1.8865000000000001</v>
      </c>
      <c r="BJ551" s="314">
        <v>1.4495</v>
      </c>
      <c r="BK551" s="314">
        <v>1.5665</v>
      </c>
    </row>
    <row r="552" spans="1:63" x14ac:dyDescent="0.25">
      <c r="A552" s="306">
        <v>326140</v>
      </c>
      <c r="B552" s="314" t="s">
        <v>127</v>
      </c>
      <c r="C552" s="314">
        <v>2.0897000000000001</v>
      </c>
      <c r="D552" s="314">
        <v>1.1917</v>
      </c>
      <c r="E552" s="314">
        <v>1.7096</v>
      </c>
      <c r="F552" s="314">
        <v>1.4885999999999999</v>
      </c>
      <c r="G552" s="314">
        <v>1.3024</v>
      </c>
      <c r="H552" s="314">
        <v>1.4858</v>
      </c>
      <c r="I552" s="314">
        <v>1.3654999999999999</v>
      </c>
      <c r="J552" s="314">
        <v>1.5501</v>
      </c>
      <c r="K552" s="314">
        <v>0</v>
      </c>
      <c r="L552" s="314">
        <v>1.5801000000000001</v>
      </c>
      <c r="M552" s="314">
        <v>1.3761000000000001</v>
      </c>
      <c r="N552" s="314">
        <v>1.6634</v>
      </c>
      <c r="O552" s="314">
        <v>1.2135</v>
      </c>
      <c r="P552" s="314">
        <v>1.3852</v>
      </c>
      <c r="Q552" s="314">
        <v>1.2543</v>
      </c>
      <c r="R552" s="314">
        <v>1.7871999999999999</v>
      </c>
      <c r="S552" s="314">
        <v>1.6932</v>
      </c>
      <c r="T552" s="314">
        <v>1.3926000000000001</v>
      </c>
      <c r="U552" s="314">
        <v>1.7161</v>
      </c>
      <c r="V552" s="314">
        <v>1.7932999999999999</v>
      </c>
      <c r="W552" s="314">
        <v>1.5904</v>
      </c>
      <c r="X552" s="314">
        <v>1.3253999999999999</v>
      </c>
      <c r="Y552" s="314">
        <v>1.3277000000000001</v>
      </c>
      <c r="Z552" s="314">
        <v>1.6083000000000001</v>
      </c>
      <c r="AA552" s="314">
        <v>1.4632000000000001</v>
      </c>
      <c r="AB552" s="314">
        <v>1.6211</v>
      </c>
      <c r="AC552" s="314">
        <v>1.6436999999999999</v>
      </c>
      <c r="AD552" s="314">
        <v>1.2341</v>
      </c>
      <c r="AE552" s="314">
        <v>1.6395999999999999</v>
      </c>
      <c r="AF552" s="314">
        <v>0</v>
      </c>
      <c r="AG552" s="314">
        <v>1.3208</v>
      </c>
      <c r="AH552" s="314">
        <v>1.3617999999999999</v>
      </c>
      <c r="AI552" s="314">
        <v>1.6254</v>
      </c>
      <c r="AJ552" s="314">
        <v>1.2666999999999999</v>
      </c>
      <c r="AK552" s="314">
        <v>1.2604</v>
      </c>
      <c r="AL552" s="314">
        <v>1.4500999999999999</v>
      </c>
      <c r="AM552" s="314">
        <v>1.843</v>
      </c>
      <c r="AN552" s="314">
        <v>1.3763000000000001</v>
      </c>
      <c r="AO552" s="314">
        <v>1.4117</v>
      </c>
      <c r="AP552" s="314">
        <v>1.7502</v>
      </c>
      <c r="AQ552" s="314">
        <v>1.5125999999999999</v>
      </c>
      <c r="AR552" s="314">
        <v>1.6869000000000001</v>
      </c>
      <c r="AS552" s="314">
        <v>1.2566999999999999</v>
      </c>
      <c r="AT552" s="314">
        <v>1.6362000000000001</v>
      </c>
      <c r="AU552" s="314">
        <v>1.8791</v>
      </c>
      <c r="AV552" s="314">
        <v>1.4128000000000001</v>
      </c>
      <c r="AW552" s="314">
        <v>1.4878</v>
      </c>
      <c r="AX552" s="314">
        <v>0</v>
      </c>
      <c r="AY552" s="314">
        <v>1.4059999999999999</v>
      </c>
      <c r="AZ552" s="314">
        <v>1.4866999999999999</v>
      </c>
      <c r="BA552" s="314">
        <v>1.5555000000000001</v>
      </c>
      <c r="BB552" s="314">
        <v>0</v>
      </c>
      <c r="BC552" s="314">
        <v>1.6116999999999999</v>
      </c>
      <c r="BD552" s="314">
        <v>1.6933</v>
      </c>
      <c r="BE552" s="314">
        <v>1.8290999999999999</v>
      </c>
      <c r="BF552" s="314">
        <v>1.5066999999999999</v>
      </c>
      <c r="BG552" s="314">
        <v>1.6852</v>
      </c>
      <c r="BH552" s="314">
        <v>1.8258000000000001</v>
      </c>
      <c r="BI552" s="314">
        <v>1.9064000000000001</v>
      </c>
      <c r="BJ552" s="314">
        <v>1.367</v>
      </c>
      <c r="BK552" s="314">
        <v>1.4869000000000001</v>
      </c>
    </row>
    <row r="553" spans="1:63" x14ac:dyDescent="0.25">
      <c r="A553" s="306">
        <v>326150</v>
      </c>
      <c r="B553" s="314" t="s">
        <v>128</v>
      </c>
      <c r="C553" s="314">
        <v>2.1394000000000002</v>
      </c>
      <c r="D553" s="314">
        <v>1.1738999999999999</v>
      </c>
      <c r="E553" s="314">
        <v>1.7371000000000001</v>
      </c>
      <c r="F553" s="314">
        <v>1.6117999999999999</v>
      </c>
      <c r="G553" s="314">
        <v>1.3238000000000001</v>
      </c>
      <c r="H553" s="314">
        <v>1.5045999999999999</v>
      </c>
      <c r="I553" s="314">
        <v>1.4342999999999999</v>
      </c>
      <c r="J553" s="314">
        <v>1.6382000000000001</v>
      </c>
      <c r="K553" s="314">
        <v>0</v>
      </c>
      <c r="L553" s="314">
        <v>1.6046</v>
      </c>
      <c r="M553" s="314">
        <v>1.3788</v>
      </c>
      <c r="N553" s="314">
        <v>1.7326999999999999</v>
      </c>
      <c r="O553" s="314">
        <v>0</v>
      </c>
      <c r="P553" s="314">
        <v>1.5059</v>
      </c>
      <c r="Q553" s="314">
        <v>0</v>
      </c>
      <c r="R553" s="314">
        <v>1.8622000000000001</v>
      </c>
      <c r="S553" s="314">
        <v>1.7895000000000001</v>
      </c>
      <c r="T553" s="314">
        <v>1.5449999999999999</v>
      </c>
      <c r="U553" s="314">
        <v>1.77</v>
      </c>
      <c r="V553" s="314">
        <v>1.7234</v>
      </c>
      <c r="W553" s="314">
        <v>1.6020000000000001</v>
      </c>
      <c r="X553" s="314">
        <v>1.3511</v>
      </c>
      <c r="Y553" s="314">
        <v>1.3234999999999999</v>
      </c>
      <c r="Z553" s="314">
        <v>1.6143000000000001</v>
      </c>
      <c r="AA553" s="314">
        <v>1.6664000000000001</v>
      </c>
      <c r="AB553" s="314">
        <v>1.7262999999999999</v>
      </c>
      <c r="AC553" s="314">
        <v>1.5698000000000001</v>
      </c>
      <c r="AD553" s="314">
        <v>0</v>
      </c>
      <c r="AE553" s="314">
        <v>1.6738999999999999</v>
      </c>
      <c r="AF553" s="314">
        <v>0</v>
      </c>
      <c r="AG553" s="314">
        <v>1.3972</v>
      </c>
      <c r="AH553" s="314">
        <v>1.4560999999999999</v>
      </c>
      <c r="AI553" s="314">
        <v>1.7788999999999999</v>
      </c>
      <c r="AJ553" s="314">
        <v>1.2645999999999999</v>
      </c>
      <c r="AK553" s="314">
        <v>1.2985</v>
      </c>
      <c r="AL553" s="314">
        <v>1.4431</v>
      </c>
      <c r="AM553" s="314">
        <v>1.9174</v>
      </c>
      <c r="AN553" s="314">
        <v>1.4151</v>
      </c>
      <c r="AO553" s="314">
        <v>1.5093000000000001</v>
      </c>
      <c r="AP553" s="314">
        <v>1.7715000000000001</v>
      </c>
      <c r="AQ553" s="314">
        <v>1.5035000000000001</v>
      </c>
      <c r="AR553" s="314">
        <v>1.7619</v>
      </c>
      <c r="AS553" s="314">
        <v>0</v>
      </c>
      <c r="AT553" s="314">
        <v>1.6928000000000001</v>
      </c>
      <c r="AU553" s="314">
        <v>1.8672</v>
      </c>
      <c r="AV553" s="314">
        <v>1.454</v>
      </c>
      <c r="AW553" s="314">
        <v>1.5762</v>
      </c>
      <c r="AX553" s="314">
        <v>0</v>
      </c>
      <c r="AY553" s="314">
        <v>1.431</v>
      </c>
      <c r="AZ553" s="314">
        <v>1.6382000000000001</v>
      </c>
      <c r="BA553" s="314">
        <v>1.5893999999999999</v>
      </c>
      <c r="BB553" s="314">
        <v>0</v>
      </c>
      <c r="BC553" s="314">
        <v>1.6625000000000001</v>
      </c>
      <c r="BD553" s="314">
        <v>1.7549999999999999</v>
      </c>
      <c r="BE553" s="314">
        <v>1.9196</v>
      </c>
      <c r="BF553" s="314">
        <v>1.7008000000000001</v>
      </c>
      <c r="BG553" s="314">
        <v>1.7144999999999999</v>
      </c>
      <c r="BH553" s="314">
        <v>1.8891</v>
      </c>
      <c r="BI553" s="314">
        <v>1.887</v>
      </c>
      <c r="BJ553" s="314">
        <v>1.4297</v>
      </c>
      <c r="BK553" s="314">
        <v>1.5096000000000001</v>
      </c>
    </row>
    <row r="554" spans="1:63" x14ac:dyDescent="0.25">
      <c r="A554" s="306">
        <v>326160</v>
      </c>
      <c r="B554" s="314" t="s">
        <v>129</v>
      </c>
      <c r="C554" s="314">
        <v>2.1160999999999999</v>
      </c>
      <c r="D554" s="314">
        <v>0</v>
      </c>
      <c r="E554" s="314">
        <v>1.8084</v>
      </c>
      <c r="F554" s="314">
        <v>1.5668</v>
      </c>
      <c r="G554" s="314">
        <v>1.2781</v>
      </c>
      <c r="H554" s="314">
        <v>1.4045000000000001</v>
      </c>
      <c r="I554" s="314">
        <v>1.3339000000000001</v>
      </c>
      <c r="J554" s="314">
        <v>1.6286</v>
      </c>
      <c r="K554" s="314">
        <v>0</v>
      </c>
      <c r="L554" s="314">
        <v>1.7464999999999999</v>
      </c>
      <c r="M554" s="314">
        <v>1.3065</v>
      </c>
      <c r="N554" s="314">
        <v>1.6180000000000001</v>
      </c>
      <c r="O554" s="314">
        <v>1.1889000000000001</v>
      </c>
      <c r="P554" s="314">
        <v>1.4818</v>
      </c>
      <c r="Q554" s="314">
        <v>0</v>
      </c>
      <c r="R554" s="314">
        <v>1.8149</v>
      </c>
      <c r="S554" s="314">
        <v>1.7557</v>
      </c>
      <c r="T554" s="314">
        <v>1.4411</v>
      </c>
      <c r="U554" s="314">
        <v>1.7533000000000001</v>
      </c>
      <c r="V554" s="314">
        <v>1.8471</v>
      </c>
      <c r="W554" s="314">
        <v>1.6303000000000001</v>
      </c>
      <c r="X554" s="314">
        <v>1.2959000000000001</v>
      </c>
      <c r="Y554" s="314">
        <v>1.288</v>
      </c>
      <c r="Z554" s="314">
        <v>1.6677999999999999</v>
      </c>
      <c r="AA554" s="314">
        <v>1.4883999999999999</v>
      </c>
      <c r="AB554" s="314">
        <v>1.74</v>
      </c>
      <c r="AC554" s="314">
        <v>1.673</v>
      </c>
      <c r="AD554" s="314">
        <v>1.23</v>
      </c>
      <c r="AE554" s="314">
        <v>1.6077999999999999</v>
      </c>
      <c r="AF554" s="314">
        <v>1.2355</v>
      </c>
      <c r="AG554" s="314">
        <v>0</v>
      </c>
      <c r="AH554" s="314">
        <v>1.3863000000000001</v>
      </c>
      <c r="AI554" s="314">
        <v>1.6916</v>
      </c>
      <c r="AJ554" s="314">
        <v>0</v>
      </c>
      <c r="AK554" s="314">
        <v>1.2485999999999999</v>
      </c>
      <c r="AL554" s="314">
        <v>1.361</v>
      </c>
      <c r="AM554" s="314">
        <v>1.8791</v>
      </c>
      <c r="AN554" s="314">
        <v>1.3752</v>
      </c>
      <c r="AO554" s="314">
        <v>1.4044000000000001</v>
      </c>
      <c r="AP554" s="314">
        <v>1.8308</v>
      </c>
      <c r="AQ554" s="314">
        <v>1.5621</v>
      </c>
      <c r="AR554" s="314">
        <v>1.8269</v>
      </c>
      <c r="AS554" s="314">
        <v>1.2902</v>
      </c>
      <c r="AT554" s="314">
        <v>1.7115</v>
      </c>
      <c r="AU554" s="314">
        <v>1.9259999999999999</v>
      </c>
      <c r="AV554" s="314">
        <v>1.3726</v>
      </c>
      <c r="AW554" s="314">
        <v>1.5015000000000001</v>
      </c>
      <c r="AX554" s="314">
        <v>1.2256</v>
      </c>
      <c r="AY554" s="314">
        <v>1.4137</v>
      </c>
      <c r="AZ554" s="314">
        <v>1.5145</v>
      </c>
      <c r="BA554" s="314">
        <v>1.7195</v>
      </c>
      <c r="BB554" s="314">
        <v>1.2076</v>
      </c>
      <c r="BC554" s="314">
        <v>1.6692</v>
      </c>
      <c r="BD554" s="314">
        <v>1.6521999999999999</v>
      </c>
      <c r="BE554" s="314">
        <v>1.861</v>
      </c>
      <c r="BF554" s="314">
        <v>1.5712999999999999</v>
      </c>
      <c r="BG554" s="314">
        <v>1.6949000000000001</v>
      </c>
      <c r="BH554" s="314">
        <v>1.8638999999999999</v>
      </c>
      <c r="BI554" s="314">
        <v>1.9515</v>
      </c>
      <c r="BJ554" s="314">
        <v>1.3319000000000001</v>
      </c>
      <c r="BK554" s="314">
        <v>1.4171</v>
      </c>
    </row>
    <row r="555" spans="1:63" x14ac:dyDescent="0.25">
      <c r="A555" s="306" t="s">
        <v>716</v>
      </c>
      <c r="B555" s="314" t="s">
        <v>130</v>
      </c>
      <c r="C555" s="314">
        <v>2.0545</v>
      </c>
      <c r="D555" s="314">
        <v>1.2248000000000001</v>
      </c>
      <c r="E555" s="314">
        <v>1.6923999999999999</v>
      </c>
      <c r="F555" s="314">
        <v>1.5689</v>
      </c>
      <c r="G555" s="314">
        <v>1.3779999999999999</v>
      </c>
      <c r="H555" s="314">
        <v>1.5237000000000001</v>
      </c>
      <c r="I555" s="314">
        <v>1.4626999999999999</v>
      </c>
      <c r="J555" s="314">
        <v>1.6406000000000001</v>
      </c>
      <c r="K555" s="314">
        <v>0</v>
      </c>
      <c r="L555" s="314">
        <v>1.6291</v>
      </c>
      <c r="M555" s="314">
        <v>1.4013</v>
      </c>
      <c r="N555" s="314">
        <v>1.6721999999999999</v>
      </c>
      <c r="O555" s="314">
        <v>1.2602</v>
      </c>
      <c r="P555" s="314">
        <v>1.4584999999999999</v>
      </c>
      <c r="Q555" s="314">
        <v>1.3268</v>
      </c>
      <c r="R555" s="314">
        <v>1.7963</v>
      </c>
      <c r="S555" s="314">
        <v>1.7049000000000001</v>
      </c>
      <c r="T555" s="314">
        <v>1.4579</v>
      </c>
      <c r="U555" s="314">
        <v>1.7070000000000001</v>
      </c>
      <c r="V555" s="314">
        <v>1.6892</v>
      </c>
      <c r="W555" s="314">
        <v>1.6639999999999999</v>
      </c>
      <c r="X555" s="314">
        <v>1.3893</v>
      </c>
      <c r="Y555" s="314">
        <v>1.4028</v>
      </c>
      <c r="Z555" s="314">
        <v>1.6754</v>
      </c>
      <c r="AA555" s="314">
        <v>1.5798000000000001</v>
      </c>
      <c r="AB555" s="314">
        <v>1.7029000000000001</v>
      </c>
      <c r="AC555" s="314">
        <v>1.6178999999999999</v>
      </c>
      <c r="AD555" s="314">
        <v>1.2581</v>
      </c>
      <c r="AE555" s="314">
        <v>1.6462000000000001</v>
      </c>
      <c r="AF555" s="314">
        <v>1.2617</v>
      </c>
      <c r="AG555" s="314">
        <v>1.3444</v>
      </c>
      <c r="AH555" s="314">
        <v>1.5195000000000001</v>
      </c>
      <c r="AI555" s="314">
        <v>1.7099</v>
      </c>
      <c r="AJ555" s="314">
        <v>1.2628999999999999</v>
      </c>
      <c r="AK555" s="314">
        <v>1.3633</v>
      </c>
      <c r="AL555" s="314">
        <v>1.4573</v>
      </c>
      <c r="AM555" s="314">
        <v>1.8260000000000001</v>
      </c>
      <c r="AN555" s="314">
        <v>1.4663999999999999</v>
      </c>
      <c r="AO555" s="314">
        <v>1.5061</v>
      </c>
      <c r="AP555" s="314">
        <v>1.8369</v>
      </c>
      <c r="AQ555" s="314">
        <v>1.5810999999999999</v>
      </c>
      <c r="AR555" s="314">
        <v>1.7437</v>
      </c>
      <c r="AS555" s="314">
        <v>1.3163</v>
      </c>
      <c r="AT555" s="314">
        <v>1.7134</v>
      </c>
      <c r="AU555" s="314">
        <v>1.8311999999999999</v>
      </c>
      <c r="AV555" s="314">
        <v>1.4950000000000001</v>
      </c>
      <c r="AW555" s="314">
        <v>1.5708</v>
      </c>
      <c r="AX555" s="314">
        <v>1.3118000000000001</v>
      </c>
      <c r="AY555" s="314">
        <v>1.4991000000000001</v>
      </c>
      <c r="AZ555" s="314">
        <v>1.5721000000000001</v>
      </c>
      <c r="BA555" s="314">
        <v>1.6082000000000001</v>
      </c>
      <c r="BB555" s="314">
        <v>1.2463</v>
      </c>
      <c r="BC555" s="314">
        <v>1.7149000000000001</v>
      </c>
      <c r="BD555" s="314">
        <v>1.7040999999999999</v>
      </c>
      <c r="BE555" s="314">
        <v>1.8357000000000001</v>
      </c>
      <c r="BF555" s="314">
        <v>1.6074999999999999</v>
      </c>
      <c r="BG555" s="314">
        <v>1.7202</v>
      </c>
      <c r="BH555" s="314">
        <v>1.7966</v>
      </c>
      <c r="BI555" s="314">
        <v>1.8551</v>
      </c>
      <c r="BJ555" s="314">
        <v>1.4544999999999999</v>
      </c>
      <c r="BK555" s="314">
        <v>1.5447</v>
      </c>
    </row>
    <row r="556" spans="1:63" x14ac:dyDescent="0.25">
      <c r="A556" s="306">
        <v>326210</v>
      </c>
      <c r="B556" s="314" t="s">
        <v>131</v>
      </c>
      <c r="C556" s="314">
        <v>1.9957</v>
      </c>
      <c r="D556" s="314">
        <v>0</v>
      </c>
      <c r="E556" s="314">
        <v>1.6405000000000001</v>
      </c>
      <c r="F556" s="314">
        <v>1.5132000000000001</v>
      </c>
      <c r="G556" s="314">
        <v>1.3835</v>
      </c>
      <c r="H556" s="314">
        <v>1.4858</v>
      </c>
      <c r="I556" s="314">
        <v>1.4412</v>
      </c>
      <c r="J556" s="314">
        <v>1.4473</v>
      </c>
      <c r="K556" s="314">
        <v>0</v>
      </c>
      <c r="L556" s="314">
        <v>1.4419999999999999</v>
      </c>
      <c r="M556" s="314">
        <v>1.4269000000000001</v>
      </c>
      <c r="N556" s="314">
        <v>1.7333000000000001</v>
      </c>
      <c r="O556" s="314">
        <v>1.2493000000000001</v>
      </c>
      <c r="P556" s="314">
        <v>1.3436999999999999</v>
      </c>
      <c r="Q556" s="314">
        <v>1.2706999999999999</v>
      </c>
      <c r="R556" s="314">
        <v>1.667</v>
      </c>
      <c r="S556" s="314">
        <v>1.6117999999999999</v>
      </c>
      <c r="T556" s="314">
        <v>1.4979</v>
      </c>
      <c r="U556" s="314">
        <v>1.6740999999999999</v>
      </c>
      <c r="V556" s="314">
        <v>1.6131</v>
      </c>
      <c r="W556" s="314">
        <v>1.4982</v>
      </c>
      <c r="X556" s="314">
        <v>1.3573</v>
      </c>
      <c r="Y556" s="314">
        <v>1.4048</v>
      </c>
      <c r="Z556" s="314">
        <v>1.488</v>
      </c>
      <c r="AA556" s="314">
        <v>1.4908999999999999</v>
      </c>
      <c r="AB556" s="314">
        <v>1.5490999999999999</v>
      </c>
      <c r="AC556" s="314">
        <v>1.5507</v>
      </c>
      <c r="AD556" s="314">
        <v>1.2948999999999999</v>
      </c>
      <c r="AE556" s="314">
        <v>1.6506000000000001</v>
      </c>
      <c r="AF556" s="314">
        <v>1.2412000000000001</v>
      </c>
      <c r="AG556" s="314">
        <v>1.3130999999999999</v>
      </c>
      <c r="AH556" s="314">
        <v>1.3767</v>
      </c>
      <c r="AI556" s="314">
        <v>1.5639000000000001</v>
      </c>
      <c r="AJ556" s="314">
        <v>1.2645</v>
      </c>
      <c r="AK556" s="314">
        <v>1.3120000000000001</v>
      </c>
      <c r="AL556" s="314">
        <v>1.4704999999999999</v>
      </c>
      <c r="AM556" s="314">
        <v>1.7908999999999999</v>
      </c>
      <c r="AN556" s="314">
        <v>1.4819</v>
      </c>
      <c r="AO556" s="314">
        <v>1.4742999999999999</v>
      </c>
      <c r="AP556" s="314">
        <v>1.6282000000000001</v>
      </c>
      <c r="AQ556" s="314">
        <v>0</v>
      </c>
      <c r="AR556" s="314">
        <v>1.5981000000000001</v>
      </c>
      <c r="AS556" s="314">
        <v>1.2502</v>
      </c>
      <c r="AT556" s="314">
        <v>1.5855999999999999</v>
      </c>
      <c r="AU556" s="314">
        <v>1.7323</v>
      </c>
      <c r="AV556" s="314">
        <v>1.4399</v>
      </c>
      <c r="AW556" s="314">
        <v>1.5496000000000001</v>
      </c>
      <c r="AX556" s="314">
        <v>0</v>
      </c>
      <c r="AY556" s="314">
        <v>1.4077999999999999</v>
      </c>
      <c r="AZ556" s="314">
        <v>1.4944</v>
      </c>
      <c r="BA556" s="314">
        <v>1.4302999999999999</v>
      </c>
      <c r="BB556" s="314">
        <v>0</v>
      </c>
      <c r="BC556" s="314">
        <v>1.5298</v>
      </c>
      <c r="BD556" s="314">
        <v>1.65</v>
      </c>
      <c r="BE556" s="314">
        <v>1.7284999999999999</v>
      </c>
      <c r="BF556" s="314">
        <v>1.5542</v>
      </c>
      <c r="BG556" s="314">
        <v>1.7168000000000001</v>
      </c>
      <c r="BH556" s="314">
        <v>1.7887</v>
      </c>
      <c r="BI556" s="314">
        <v>1.7927</v>
      </c>
      <c r="BJ556" s="314">
        <v>1.4245000000000001</v>
      </c>
      <c r="BK556" s="314">
        <v>1.4931000000000001</v>
      </c>
    </row>
    <row r="557" spans="1:63" x14ac:dyDescent="0.25">
      <c r="A557" s="306">
        <v>326220</v>
      </c>
      <c r="B557" s="314" t="s">
        <v>132</v>
      </c>
      <c r="C557" s="314">
        <v>1.8547</v>
      </c>
      <c r="D557" s="314">
        <v>0</v>
      </c>
      <c r="E557" s="314">
        <v>1.5371999999999999</v>
      </c>
      <c r="F557" s="314">
        <v>1.4676</v>
      </c>
      <c r="G557" s="314">
        <v>1.2721</v>
      </c>
      <c r="H557" s="314">
        <v>1.4312</v>
      </c>
      <c r="I557" s="314">
        <v>1.3514999999999999</v>
      </c>
      <c r="J557" s="314">
        <v>1.5104</v>
      </c>
      <c r="K557" s="314">
        <v>0</v>
      </c>
      <c r="L557" s="314">
        <v>1.4003000000000001</v>
      </c>
      <c r="M557" s="314">
        <v>1.3411</v>
      </c>
      <c r="N557" s="314">
        <v>1.5486</v>
      </c>
      <c r="O557" s="314">
        <v>0</v>
      </c>
      <c r="P557" s="314">
        <v>1.3772</v>
      </c>
      <c r="Q557" s="314">
        <v>1.2226999999999999</v>
      </c>
      <c r="R557" s="314">
        <v>1.6608000000000001</v>
      </c>
      <c r="S557" s="314">
        <v>1.5844</v>
      </c>
      <c r="T557" s="314">
        <v>1.3253999999999999</v>
      </c>
      <c r="U557" s="314">
        <v>1.6057999999999999</v>
      </c>
      <c r="V557" s="314">
        <v>1.5189999999999999</v>
      </c>
      <c r="W557" s="314">
        <v>1.4722999999999999</v>
      </c>
      <c r="X557" s="314">
        <v>1.2870999999999999</v>
      </c>
      <c r="Y557" s="314">
        <v>0</v>
      </c>
      <c r="Z557" s="314">
        <v>1.5366</v>
      </c>
      <c r="AA557" s="314">
        <v>1.4908999999999999</v>
      </c>
      <c r="AB557" s="314">
        <v>1.5456000000000001</v>
      </c>
      <c r="AC557" s="314">
        <v>1.4895</v>
      </c>
      <c r="AD557" s="314">
        <v>0</v>
      </c>
      <c r="AE557" s="314">
        <v>1.5458000000000001</v>
      </c>
      <c r="AF557" s="314">
        <v>1.2027000000000001</v>
      </c>
      <c r="AG557" s="314">
        <v>1.3594999999999999</v>
      </c>
      <c r="AH557" s="314">
        <v>1.3964000000000001</v>
      </c>
      <c r="AI557" s="314">
        <v>1.5103</v>
      </c>
      <c r="AJ557" s="314">
        <v>0</v>
      </c>
      <c r="AK557" s="314">
        <v>1.2346999999999999</v>
      </c>
      <c r="AL557" s="314">
        <v>1.3476999999999999</v>
      </c>
      <c r="AM557" s="314">
        <v>1.6934</v>
      </c>
      <c r="AN557" s="314">
        <v>1.4124000000000001</v>
      </c>
      <c r="AO557" s="314">
        <v>1.3846000000000001</v>
      </c>
      <c r="AP557" s="314">
        <v>1.6154999999999999</v>
      </c>
      <c r="AQ557" s="314">
        <v>1.3868</v>
      </c>
      <c r="AR557" s="314">
        <v>1.5606</v>
      </c>
      <c r="AS557" s="314">
        <v>0</v>
      </c>
      <c r="AT557" s="314">
        <v>1.5290999999999999</v>
      </c>
      <c r="AU557" s="314">
        <v>1.6487000000000001</v>
      </c>
      <c r="AV557" s="314">
        <v>1.4014</v>
      </c>
      <c r="AW557" s="314">
        <v>1.444</v>
      </c>
      <c r="AX557" s="314">
        <v>0</v>
      </c>
      <c r="AY557" s="314">
        <v>1.3061</v>
      </c>
      <c r="AZ557" s="314">
        <v>1.4945999999999999</v>
      </c>
      <c r="BA557" s="314">
        <v>1.4639</v>
      </c>
      <c r="BB557" s="314">
        <v>0</v>
      </c>
      <c r="BC557" s="314">
        <v>1.5242</v>
      </c>
      <c r="BD557" s="314">
        <v>1.5431999999999999</v>
      </c>
      <c r="BE557" s="314">
        <v>1.6875</v>
      </c>
      <c r="BF557" s="314">
        <v>1.506</v>
      </c>
      <c r="BG557" s="314">
        <v>1.5627</v>
      </c>
      <c r="BH557" s="314">
        <v>1.6605000000000001</v>
      </c>
      <c r="BI557" s="314">
        <v>1.6782999999999999</v>
      </c>
      <c r="BJ557" s="314">
        <v>1.3386</v>
      </c>
      <c r="BK557" s="314">
        <v>1.4181999999999999</v>
      </c>
    </row>
    <row r="558" spans="1:63" x14ac:dyDescent="0.25">
      <c r="A558" s="306">
        <v>326290</v>
      </c>
      <c r="B558" s="314" t="s">
        <v>133</v>
      </c>
      <c r="C558" s="314">
        <v>2.0146999999999999</v>
      </c>
      <c r="D558" s="314">
        <v>0</v>
      </c>
      <c r="E558" s="314">
        <v>1.629</v>
      </c>
      <c r="F558" s="314">
        <v>1.5543</v>
      </c>
      <c r="G558" s="314">
        <v>1.3554999999999999</v>
      </c>
      <c r="H558" s="314">
        <v>1.5367999999999999</v>
      </c>
      <c r="I558" s="314">
        <v>1.4175</v>
      </c>
      <c r="J558" s="314">
        <v>1.5951</v>
      </c>
      <c r="K558" s="314">
        <v>0</v>
      </c>
      <c r="L558" s="314">
        <v>1.4454</v>
      </c>
      <c r="M558" s="314">
        <v>1.4236</v>
      </c>
      <c r="N558" s="314">
        <v>1.6648000000000001</v>
      </c>
      <c r="O558" s="314">
        <v>0</v>
      </c>
      <c r="P558" s="314">
        <v>1.4534</v>
      </c>
      <c r="Q558" s="314">
        <v>1.2586999999999999</v>
      </c>
      <c r="R558" s="314">
        <v>1.7822</v>
      </c>
      <c r="S558" s="314">
        <v>1.6862999999999999</v>
      </c>
      <c r="T558" s="314">
        <v>1.4236</v>
      </c>
      <c r="U558" s="314">
        <v>1.7101</v>
      </c>
      <c r="V558" s="314">
        <v>1.5953999999999999</v>
      </c>
      <c r="W558" s="314">
        <v>1.5709</v>
      </c>
      <c r="X558" s="314">
        <v>1.3694</v>
      </c>
      <c r="Y558" s="314">
        <v>1.3532</v>
      </c>
      <c r="Z558" s="314">
        <v>1.6265000000000001</v>
      </c>
      <c r="AA558" s="314">
        <v>1.6017999999999999</v>
      </c>
      <c r="AB558" s="314">
        <v>1.6337999999999999</v>
      </c>
      <c r="AC558" s="314">
        <v>1.5485</v>
      </c>
      <c r="AD558" s="314">
        <v>1.2725</v>
      </c>
      <c r="AE558" s="314">
        <v>1.6437999999999999</v>
      </c>
      <c r="AF558" s="314">
        <v>0</v>
      </c>
      <c r="AG558" s="314">
        <v>1.4168000000000001</v>
      </c>
      <c r="AH558" s="314">
        <v>1.4953000000000001</v>
      </c>
      <c r="AI558" s="314">
        <v>1.6099000000000001</v>
      </c>
      <c r="AJ558" s="314">
        <v>1.3223</v>
      </c>
      <c r="AK558" s="314">
        <v>1.2998000000000001</v>
      </c>
      <c r="AL558" s="314">
        <v>1.446</v>
      </c>
      <c r="AM558" s="314">
        <v>1.8242</v>
      </c>
      <c r="AN558" s="314">
        <v>1.4994000000000001</v>
      </c>
      <c r="AO558" s="314">
        <v>1.4972000000000001</v>
      </c>
      <c r="AP558" s="314">
        <v>1.7249000000000001</v>
      </c>
      <c r="AQ558" s="314">
        <v>1.4623999999999999</v>
      </c>
      <c r="AR558" s="314">
        <v>1.65</v>
      </c>
      <c r="AS558" s="314">
        <v>1.351</v>
      </c>
      <c r="AT558" s="314">
        <v>1.6161000000000001</v>
      </c>
      <c r="AU558" s="314">
        <v>1.7539</v>
      </c>
      <c r="AV558" s="314">
        <v>1.4972000000000001</v>
      </c>
      <c r="AW558" s="314">
        <v>1.5339</v>
      </c>
      <c r="AX558" s="314">
        <v>1.3253999999999999</v>
      </c>
      <c r="AY558" s="314">
        <v>1.3831</v>
      </c>
      <c r="AZ558" s="314">
        <v>1.6014999999999999</v>
      </c>
      <c r="BA558" s="314">
        <v>1.5376000000000001</v>
      </c>
      <c r="BB558" s="314">
        <v>1.2357</v>
      </c>
      <c r="BC558" s="314">
        <v>1.619</v>
      </c>
      <c r="BD558" s="314">
        <v>1.6782999999999999</v>
      </c>
      <c r="BE558" s="314">
        <v>1.8156000000000001</v>
      </c>
      <c r="BF558" s="314">
        <v>1.6153999999999999</v>
      </c>
      <c r="BG558" s="314">
        <v>1.6700999999999999</v>
      </c>
      <c r="BH558" s="314">
        <v>1.7858000000000001</v>
      </c>
      <c r="BI558" s="314">
        <v>1.7862</v>
      </c>
      <c r="BJ558" s="314">
        <v>1.4162999999999999</v>
      </c>
      <c r="BK558" s="314">
        <v>1.5284</v>
      </c>
    </row>
    <row r="559" spans="1:63" x14ac:dyDescent="0.25">
      <c r="A559" s="306" t="s">
        <v>717</v>
      </c>
      <c r="B559" s="314" t="s">
        <v>134</v>
      </c>
      <c r="C559" s="314">
        <v>1.8280000000000001</v>
      </c>
      <c r="D559" s="314">
        <v>0</v>
      </c>
      <c r="E559" s="314">
        <v>1.5311999999999999</v>
      </c>
      <c r="F559" s="314">
        <v>1.4872000000000001</v>
      </c>
      <c r="G559" s="314">
        <v>1.383</v>
      </c>
      <c r="H559" s="314">
        <v>1.5542</v>
      </c>
      <c r="I559" s="314">
        <v>1.4767999999999999</v>
      </c>
      <c r="J559" s="314">
        <v>1.5096000000000001</v>
      </c>
      <c r="K559" s="314">
        <v>1.1671</v>
      </c>
      <c r="L559" s="314">
        <v>1.3879999999999999</v>
      </c>
      <c r="M559" s="314">
        <v>1.3714</v>
      </c>
      <c r="N559" s="314">
        <v>1.5994999999999999</v>
      </c>
      <c r="O559" s="314">
        <v>1.2619</v>
      </c>
      <c r="P559" s="314">
        <v>1.3549</v>
      </c>
      <c r="Q559" s="314">
        <v>1.3019000000000001</v>
      </c>
      <c r="R559" s="314">
        <v>1.6396999999999999</v>
      </c>
      <c r="S559" s="314">
        <v>1.5725</v>
      </c>
      <c r="T559" s="314">
        <v>1.4306000000000001</v>
      </c>
      <c r="U559" s="314">
        <v>1.5734999999999999</v>
      </c>
      <c r="V559" s="314">
        <v>1.4550000000000001</v>
      </c>
      <c r="W559" s="314">
        <v>1.5504</v>
      </c>
      <c r="X559" s="314">
        <v>1.4055</v>
      </c>
      <c r="Y559" s="314">
        <v>1.3460000000000001</v>
      </c>
      <c r="Z559" s="314">
        <v>1.6215999999999999</v>
      </c>
      <c r="AA559" s="314">
        <v>1.5259</v>
      </c>
      <c r="AB559" s="314">
        <v>1.5976999999999999</v>
      </c>
      <c r="AC559" s="314">
        <v>1.3976999999999999</v>
      </c>
      <c r="AD559" s="314">
        <v>1.2374000000000001</v>
      </c>
      <c r="AE559" s="314">
        <v>1.5506</v>
      </c>
      <c r="AF559" s="314">
        <v>1.2615000000000001</v>
      </c>
      <c r="AG559" s="314">
        <v>1.3435999999999999</v>
      </c>
      <c r="AH559" s="314">
        <v>1.4217</v>
      </c>
      <c r="AI559" s="314">
        <v>1.5649999999999999</v>
      </c>
      <c r="AJ559" s="314">
        <v>1.2932999999999999</v>
      </c>
      <c r="AK559" s="314">
        <v>1.3467</v>
      </c>
      <c r="AL559" s="314">
        <v>1.4641</v>
      </c>
      <c r="AM559" s="314">
        <v>1.6749000000000001</v>
      </c>
      <c r="AN559" s="314">
        <v>1.3982000000000001</v>
      </c>
      <c r="AO559" s="314">
        <v>1.5178</v>
      </c>
      <c r="AP559" s="314">
        <v>1.6869000000000001</v>
      </c>
      <c r="AQ559" s="314">
        <v>1.4328000000000001</v>
      </c>
      <c r="AR559" s="314">
        <v>1.4924999999999999</v>
      </c>
      <c r="AS559" s="314">
        <v>1.2790999999999999</v>
      </c>
      <c r="AT559" s="314">
        <v>1.5782</v>
      </c>
      <c r="AU559" s="314">
        <v>1.5582</v>
      </c>
      <c r="AV559" s="314">
        <v>1.5277000000000001</v>
      </c>
      <c r="AW559" s="314">
        <v>1.4705999999999999</v>
      </c>
      <c r="AX559" s="314">
        <v>1.2826</v>
      </c>
      <c r="AY559" s="314">
        <v>1.4453</v>
      </c>
      <c r="AZ559" s="314">
        <v>1.5297000000000001</v>
      </c>
      <c r="BA559" s="314">
        <v>1.4063000000000001</v>
      </c>
      <c r="BB559" s="314">
        <v>1.2208000000000001</v>
      </c>
      <c r="BC559" s="314">
        <v>1.5862000000000001</v>
      </c>
      <c r="BD559" s="314">
        <v>1.6169</v>
      </c>
      <c r="BE559" s="314">
        <v>1.6883999999999999</v>
      </c>
      <c r="BF559" s="314">
        <v>1.5670999999999999</v>
      </c>
      <c r="BG559" s="314">
        <v>1.59</v>
      </c>
      <c r="BH559" s="314">
        <v>1.6069</v>
      </c>
      <c r="BI559" s="314">
        <v>1.5828</v>
      </c>
      <c r="BJ559" s="314">
        <v>1.4661</v>
      </c>
      <c r="BK559" s="314">
        <v>1.5637000000000001</v>
      </c>
    </row>
    <row r="560" spans="1:63" x14ac:dyDescent="0.25">
      <c r="A560" s="306" t="s">
        <v>718</v>
      </c>
      <c r="B560" s="314" t="s">
        <v>135</v>
      </c>
      <c r="C560" s="314">
        <v>1.6977</v>
      </c>
      <c r="D560" s="314">
        <v>0</v>
      </c>
      <c r="E560" s="314">
        <v>1.4674</v>
      </c>
      <c r="F560" s="314">
        <v>1.4257</v>
      </c>
      <c r="G560" s="314">
        <v>1.3310999999999999</v>
      </c>
      <c r="H560" s="314">
        <v>1.4466000000000001</v>
      </c>
      <c r="I560" s="314">
        <v>1.4457</v>
      </c>
      <c r="J560" s="314">
        <v>1.4105000000000001</v>
      </c>
      <c r="K560" s="314">
        <v>0</v>
      </c>
      <c r="L560" s="314">
        <v>0</v>
      </c>
      <c r="M560" s="314">
        <v>1.3221000000000001</v>
      </c>
      <c r="N560" s="314">
        <v>1.4435</v>
      </c>
      <c r="O560" s="314">
        <v>1.254</v>
      </c>
      <c r="P560" s="314">
        <v>1.2801</v>
      </c>
      <c r="Q560" s="314">
        <v>1.2968999999999999</v>
      </c>
      <c r="R560" s="314">
        <v>1.5218</v>
      </c>
      <c r="S560" s="314">
        <v>1.4617</v>
      </c>
      <c r="T560" s="314">
        <v>1.3778999999999999</v>
      </c>
      <c r="U560" s="314">
        <v>1.4428000000000001</v>
      </c>
      <c r="V560" s="314">
        <v>1.4341999999999999</v>
      </c>
      <c r="W560" s="314">
        <v>1.4125000000000001</v>
      </c>
      <c r="X560" s="314">
        <v>1.3163</v>
      </c>
      <c r="Y560" s="314">
        <v>1.3252999999999999</v>
      </c>
      <c r="Z560" s="314">
        <v>1.4693000000000001</v>
      </c>
      <c r="AA560" s="314">
        <v>1.4315</v>
      </c>
      <c r="AB560" s="314">
        <v>1.4859</v>
      </c>
      <c r="AC560" s="314">
        <v>1.3487</v>
      </c>
      <c r="AD560" s="314">
        <v>1.3331999999999999</v>
      </c>
      <c r="AE560" s="314">
        <v>1.4224000000000001</v>
      </c>
      <c r="AF560" s="314">
        <v>1.2985</v>
      </c>
      <c r="AG560" s="314">
        <v>1.3199000000000001</v>
      </c>
      <c r="AH560" s="314">
        <v>1.3393999999999999</v>
      </c>
      <c r="AI560" s="314">
        <v>1.4475</v>
      </c>
      <c r="AJ560" s="314">
        <v>1.2901</v>
      </c>
      <c r="AK560" s="314">
        <v>0</v>
      </c>
      <c r="AL560" s="314">
        <v>1.3389</v>
      </c>
      <c r="AM560" s="314">
        <v>1.5286999999999999</v>
      </c>
      <c r="AN560" s="314">
        <v>1.4086000000000001</v>
      </c>
      <c r="AO560" s="314">
        <v>1.4756</v>
      </c>
      <c r="AP560" s="314">
        <v>1.5439000000000001</v>
      </c>
      <c r="AQ560" s="314">
        <v>0</v>
      </c>
      <c r="AR560" s="314">
        <v>1.4016999999999999</v>
      </c>
      <c r="AS560" s="314">
        <v>0</v>
      </c>
      <c r="AT560" s="314">
        <v>1.4040999999999999</v>
      </c>
      <c r="AU560" s="314">
        <v>1.5298</v>
      </c>
      <c r="AV560" s="314">
        <v>1.4964</v>
      </c>
      <c r="AW560" s="314">
        <v>1.4231</v>
      </c>
      <c r="AX560" s="314">
        <v>1.2642</v>
      </c>
      <c r="AY560" s="314">
        <v>1.3956999999999999</v>
      </c>
      <c r="AZ560" s="314">
        <v>1.4235</v>
      </c>
      <c r="BA560" s="314">
        <v>1.3905000000000001</v>
      </c>
      <c r="BB560" s="314">
        <v>0</v>
      </c>
      <c r="BC560" s="314">
        <v>1.4409000000000001</v>
      </c>
      <c r="BD560" s="314">
        <v>1.4698</v>
      </c>
      <c r="BE560" s="314">
        <v>1.5353000000000001</v>
      </c>
      <c r="BF560" s="314">
        <v>1.4607000000000001</v>
      </c>
      <c r="BG560" s="314">
        <v>1.4666999999999999</v>
      </c>
      <c r="BH560" s="314">
        <v>1.4803999999999999</v>
      </c>
      <c r="BI560" s="314">
        <v>1.5526</v>
      </c>
      <c r="BJ560" s="314">
        <v>1.4588000000000001</v>
      </c>
      <c r="BK560" s="314">
        <v>1.4875</v>
      </c>
    </row>
    <row r="561" spans="1:63" x14ac:dyDescent="0.25">
      <c r="A561" s="306" t="s">
        <v>719</v>
      </c>
      <c r="B561" s="314" t="s">
        <v>136</v>
      </c>
      <c r="C561" s="314">
        <v>2.0363000000000002</v>
      </c>
      <c r="D561" s="314">
        <v>0</v>
      </c>
      <c r="E561" s="314">
        <v>1.7381</v>
      </c>
      <c r="F561" s="314">
        <v>0</v>
      </c>
      <c r="G561" s="314">
        <v>1.4602999999999999</v>
      </c>
      <c r="H561" s="314">
        <v>1.669</v>
      </c>
      <c r="I561" s="314">
        <v>1.5071000000000001</v>
      </c>
      <c r="J561" s="314">
        <v>0</v>
      </c>
      <c r="K561" s="314">
        <v>0</v>
      </c>
      <c r="L561" s="314">
        <v>1.4009</v>
      </c>
      <c r="M561" s="314">
        <v>1.4355</v>
      </c>
      <c r="N561" s="314">
        <v>1.7558</v>
      </c>
      <c r="O561" s="314">
        <v>0</v>
      </c>
      <c r="P561" s="314">
        <v>1.3532</v>
      </c>
      <c r="Q561" s="314">
        <v>1.3620000000000001</v>
      </c>
      <c r="R561" s="314">
        <v>1.7337</v>
      </c>
      <c r="S561" s="314">
        <v>1.7685999999999999</v>
      </c>
      <c r="T561" s="314">
        <v>1.5617000000000001</v>
      </c>
      <c r="U561" s="314">
        <v>1.7517</v>
      </c>
      <c r="V561" s="314">
        <v>1.5682</v>
      </c>
      <c r="W561" s="314">
        <v>1.6774</v>
      </c>
      <c r="X561" s="314">
        <v>1.4649000000000001</v>
      </c>
      <c r="Y561" s="314">
        <v>0</v>
      </c>
      <c r="Z561" s="314">
        <v>1.7925</v>
      </c>
      <c r="AA561" s="314">
        <v>1.5391999999999999</v>
      </c>
      <c r="AB561" s="314">
        <v>1.7788999999999999</v>
      </c>
      <c r="AC561" s="314">
        <v>1.411</v>
      </c>
      <c r="AD561" s="314">
        <v>0</v>
      </c>
      <c r="AE561" s="314">
        <v>1.6950000000000001</v>
      </c>
      <c r="AF561" s="314">
        <v>0</v>
      </c>
      <c r="AG561" s="314">
        <v>0</v>
      </c>
      <c r="AH561" s="314">
        <v>0</v>
      </c>
      <c r="AI561" s="314">
        <v>1.6469</v>
      </c>
      <c r="AJ561" s="314">
        <v>1.3911</v>
      </c>
      <c r="AK561" s="314">
        <v>1.3935</v>
      </c>
      <c r="AL561" s="314">
        <v>1.6109</v>
      </c>
      <c r="AM561" s="314">
        <v>1.8372999999999999</v>
      </c>
      <c r="AN561" s="314">
        <v>1.5307999999999999</v>
      </c>
      <c r="AO561" s="314">
        <v>1.6293</v>
      </c>
      <c r="AP561" s="314">
        <v>1.8647</v>
      </c>
      <c r="AQ561" s="314">
        <v>0</v>
      </c>
      <c r="AR561" s="314">
        <v>1.6072</v>
      </c>
      <c r="AS561" s="314">
        <v>1.3032999999999999</v>
      </c>
      <c r="AT561" s="314">
        <v>1.7134</v>
      </c>
      <c r="AU561" s="314">
        <v>1.7149000000000001</v>
      </c>
      <c r="AV561" s="314">
        <v>1.6207</v>
      </c>
      <c r="AW561" s="314">
        <v>1.4944999999999999</v>
      </c>
      <c r="AX561" s="314">
        <v>1.3878999999999999</v>
      </c>
      <c r="AY561" s="314">
        <v>1.5435000000000001</v>
      </c>
      <c r="AZ561" s="314">
        <v>1.5903</v>
      </c>
      <c r="BA561" s="314">
        <v>1.5647</v>
      </c>
      <c r="BB561" s="314">
        <v>0</v>
      </c>
      <c r="BC561" s="314">
        <v>1.7122999999999999</v>
      </c>
      <c r="BD561" s="314">
        <v>1.7809999999999999</v>
      </c>
      <c r="BE561" s="314">
        <v>1.8795999999999999</v>
      </c>
      <c r="BF561" s="314">
        <v>1.6611</v>
      </c>
      <c r="BG561" s="314">
        <v>1.7070000000000001</v>
      </c>
      <c r="BH561" s="314">
        <v>1.7952999999999999</v>
      </c>
      <c r="BI561" s="314">
        <v>1.7255</v>
      </c>
      <c r="BJ561" s="314">
        <v>1.5483</v>
      </c>
      <c r="BK561" s="314">
        <v>1.7118</v>
      </c>
    </row>
    <row r="562" spans="1:63" x14ac:dyDescent="0.25">
      <c r="A562" s="306">
        <v>327211</v>
      </c>
      <c r="B562" s="314" t="s">
        <v>137</v>
      </c>
      <c r="C562" s="314">
        <v>1.8462000000000001</v>
      </c>
      <c r="D562" s="314">
        <v>0</v>
      </c>
      <c r="E562" s="314">
        <v>0</v>
      </c>
      <c r="F562" s="314">
        <v>0</v>
      </c>
      <c r="G562" s="314">
        <v>1.4292</v>
      </c>
      <c r="H562" s="314">
        <v>1.5541</v>
      </c>
      <c r="I562" s="314">
        <v>1.5732999999999999</v>
      </c>
      <c r="J562" s="314">
        <v>1.4584999999999999</v>
      </c>
      <c r="K562" s="314">
        <v>0</v>
      </c>
      <c r="L562" s="314">
        <v>0</v>
      </c>
      <c r="M562" s="314">
        <v>1.3734</v>
      </c>
      <c r="N562" s="314">
        <v>1.5862000000000001</v>
      </c>
      <c r="O562" s="314">
        <v>0</v>
      </c>
      <c r="P562" s="314">
        <v>1.3634999999999999</v>
      </c>
      <c r="Q562" s="314">
        <v>0</v>
      </c>
      <c r="R562" s="314">
        <v>1.6245000000000001</v>
      </c>
      <c r="S562" s="314">
        <v>1.5590999999999999</v>
      </c>
      <c r="T562" s="314">
        <v>1.5341</v>
      </c>
      <c r="U562" s="314">
        <v>1.5278</v>
      </c>
      <c r="V562" s="314">
        <v>0</v>
      </c>
      <c r="W562" s="314">
        <v>1.4809000000000001</v>
      </c>
      <c r="X562" s="314">
        <v>1.3871</v>
      </c>
      <c r="Y562" s="314">
        <v>1.3607</v>
      </c>
      <c r="Z562" s="314">
        <v>1.5449999999999999</v>
      </c>
      <c r="AA562" s="314">
        <v>1.4910000000000001</v>
      </c>
      <c r="AB562" s="314">
        <v>0</v>
      </c>
      <c r="AC562" s="314">
        <v>0</v>
      </c>
      <c r="AD562" s="314">
        <v>0</v>
      </c>
      <c r="AE562" s="314">
        <v>1.4746999999999999</v>
      </c>
      <c r="AF562" s="314">
        <v>0</v>
      </c>
      <c r="AG562" s="314">
        <v>0</v>
      </c>
      <c r="AH562" s="314">
        <v>1.3886000000000001</v>
      </c>
      <c r="AI562" s="314">
        <v>1.5093000000000001</v>
      </c>
      <c r="AJ562" s="314">
        <v>0</v>
      </c>
      <c r="AK562" s="314">
        <v>0</v>
      </c>
      <c r="AL562" s="314">
        <v>1.4287000000000001</v>
      </c>
      <c r="AM562" s="314">
        <v>1.6576</v>
      </c>
      <c r="AN562" s="314">
        <v>1.5255000000000001</v>
      </c>
      <c r="AO562" s="314">
        <v>1.5428999999999999</v>
      </c>
      <c r="AP562" s="314">
        <v>1.6532</v>
      </c>
      <c r="AQ562" s="314">
        <v>0</v>
      </c>
      <c r="AR562" s="314">
        <v>1.4654</v>
      </c>
      <c r="AS562" s="314">
        <v>0</v>
      </c>
      <c r="AT562" s="314">
        <v>1.5519000000000001</v>
      </c>
      <c r="AU562" s="314">
        <v>1.6874</v>
      </c>
      <c r="AV562" s="314">
        <v>0</v>
      </c>
      <c r="AW562" s="314">
        <v>1.4782999999999999</v>
      </c>
      <c r="AX562" s="314">
        <v>0</v>
      </c>
      <c r="AY562" s="314">
        <v>1.4774</v>
      </c>
      <c r="AZ562" s="314">
        <v>1.4962</v>
      </c>
      <c r="BA562" s="314">
        <v>1.5682</v>
      </c>
      <c r="BB562" s="314">
        <v>0</v>
      </c>
      <c r="BC562" s="314">
        <v>1.5126999999999999</v>
      </c>
      <c r="BD562" s="314">
        <v>1.5644</v>
      </c>
      <c r="BE562" s="314">
        <v>1.6459999999999999</v>
      </c>
      <c r="BF562" s="314">
        <v>1.5691999999999999</v>
      </c>
      <c r="BG562" s="314">
        <v>1.5782</v>
      </c>
      <c r="BH562" s="314">
        <v>1.6206</v>
      </c>
      <c r="BI562" s="314">
        <v>1.6974</v>
      </c>
      <c r="BJ562" s="314">
        <v>1.599</v>
      </c>
      <c r="BK562" s="314">
        <v>1.5752999999999999</v>
      </c>
    </row>
    <row r="563" spans="1:63" x14ac:dyDescent="0.25">
      <c r="A563" s="306">
        <v>327212</v>
      </c>
      <c r="B563" s="314" t="s">
        <v>138</v>
      </c>
      <c r="C563" s="314">
        <v>1.8298000000000001</v>
      </c>
      <c r="D563" s="314">
        <v>1.3019000000000001</v>
      </c>
      <c r="E563" s="314">
        <v>1.5389999999999999</v>
      </c>
      <c r="F563" s="314">
        <v>1.5221</v>
      </c>
      <c r="G563" s="314">
        <v>1.4144000000000001</v>
      </c>
      <c r="H563" s="314">
        <v>1.5217000000000001</v>
      </c>
      <c r="I563" s="314">
        <v>1.5507</v>
      </c>
      <c r="J563" s="314">
        <v>1.5005999999999999</v>
      </c>
      <c r="K563" s="314">
        <v>0</v>
      </c>
      <c r="L563" s="314">
        <v>1.4004000000000001</v>
      </c>
      <c r="M563" s="314">
        <v>1.3744000000000001</v>
      </c>
      <c r="N563" s="314">
        <v>1.5936999999999999</v>
      </c>
      <c r="O563" s="314">
        <v>1.3230999999999999</v>
      </c>
      <c r="P563" s="314">
        <v>1.3652</v>
      </c>
      <c r="Q563" s="314">
        <v>1.3581000000000001</v>
      </c>
      <c r="R563" s="314">
        <v>1.6504000000000001</v>
      </c>
      <c r="S563" s="314">
        <v>1.5528</v>
      </c>
      <c r="T563" s="314">
        <v>1.4643999999999999</v>
      </c>
      <c r="U563" s="314">
        <v>1.5368999999999999</v>
      </c>
      <c r="V563" s="314">
        <v>1.5583</v>
      </c>
      <c r="W563" s="314">
        <v>1.4982</v>
      </c>
      <c r="X563" s="314">
        <v>0</v>
      </c>
      <c r="Y563" s="314">
        <v>0</v>
      </c>
      <c r="Z563" s="314">
        <v>1.5669</v>
      </c>
      <c r="AA563" s="314">
        <v>1.5229999999999999</v>
      </c>
      <c r="AB563" s="314">
        <v>1.5623</v>
      </c>
      <c r="AC563" s="314">
        <v>1.4429000000000001</v>
      </c>
      <c r="AD563" s="314">
        <v>0</v>
      </c>
      <c r="AE563" s="314">
        <v>1.4987999999999999</v>
      </c>
      <c r="AF563" s="314">
        <v>1.3393999999999999</v>
      </c>
      <c r="AG563" s="314">
        <v>1.3837999999999999</v>
      </c>
      <c r="AH563" s="314">
        <v>1.4180999999999999</v>
      </c>
      <c r="AI563" s="314">
        <v>1.5525</v>
      </c>
      <c r="AJ563" s="314">
        <v>1.3823000000000001</v>
      </c>
      <c r="AK563" s="314">
        <v>1.407</v>
      </c>
      <c r="AL563" s="314">
        <v>1.4428000000000001</v>
      </c>
      <c r="AM563" s="314">
        <v>1.6500999999999999</v>
      </c>
      <c r="AN563" s="314">
        <v>1.4622999999999999</v>
      </c>
      <c r="AO563" s="314">
        <v>1.526</v>
      </c>
      <c r="AP563" s="314">
        <v>1.6516</v>
      </c>
      <c r="AQ563" s="314">
        <v>1.4275</v>
      </c>
      <c r="AR563" s="314">
        <v>1.4976</v>
      </c>
      <c r="AS563" s="314">
        <v>0</v>
      </c>
      <c r="AT563" s="314">
        <v>1.5647</v>
      </c>
      <c r="AU563" s="314">
        <v>1.649</v>
      </c>
      <c r="AV563" s="314">
        <v>1.569</v>
      </c>
      <c r="AW563" s="314">
        <v>1.5</v>
      </c>
      <c r="AX563" s="314">
        <v>1.2927999999999999</v>
      </c>
      <c r="AY563" s="314">
        <v>1.4945999999999999</v>
      </c>
      <c r="AZ563" s="314">
        <v>1.5213000000000001</v>
      </c>
      <c r="BA563" s="314">
        <v>1.4551000000000001</v>
      </c>
      <c r="BB563" s="314">
        <v>0</v>
      </c>
      <c r="BC563" s="314">
        <v>1.5344</v>
      </c>
      <c r="BD563" s="314">
        <v>1.589</v>
      </c>
      <c r="BE563" s="314">
        <v>1.6623000000000001</v>
      </c>
      <c r="BF563" s="314">
        <v>1.5492999999999999</v>
      </c>
      <c r="BG563" s="314">
        <v>1.5883</v>
      </c>
      <c r="BH563" s="314">
        <v>1.6055999999999999</v>
      </c>
      <c r="BI563" s="314">
        <v>1.6684000000000001</v>
      </c>
      <c r="BJ563" s="314">
        <v>1.5508</v>
      </c>
      <c r="BK563" s="314">
        <v>1.5592999999999999</v>
      </c>
    </row>
    <row r="564" spans="1:63" x14ac:dyDescent="0.25">
      <c r="A564" s="306">
        <v>327213</v>
      </c>
      <c r="B564" s="314" t="s">
        <v>139</v>
      </c>
      <c r="C564" s="314">
        <v>1.8713</v>
      </c>
      <c r="D564" s="314">
        <v>0</v>
      </c>
      <c r="E564" s="314">
        <v>0</v>
      </c>
      <c r="F564" s="314">
        <v>1.5619000000000001</v>
      </c>
      <c r="G564" s="314">
        <v>1.4069</v>
      </c>
      <c r="H564" s="314">
        <v>1.5523</v>
      </c>
      <c r="I564" s="314">
        <v>1.5299</v>
      </c>
      <c r="J564" s="314">
        <v>0</v>
      </c>
      <c r="K564" s="314">
        <v>0</v>
      </c>
      <c r="L564" s="314">
        <v>0</v>
      </c>
      <c r="M564" s="314">
        <v>1.3819999999999999</v>
      </c>
      <c r="N564" s="314">
        <v>1.6319999999999999</v>
      </c>
      <c r="O564" s="314">
        <v>0</v>
      </c>
      <c r="P564" s="314">
        <v>0</v>
      </c>
      <c r="Q564" s="314">
        <v>0</v>
      </c>
      <c r="R564" s="314">
        <v>1.6625000000000001</v>
      </c>
      <c r="S564" s="314">
        <v>1.6</v>
      </c>
      <c r="T564" s="314">
        <v>0</v>
      </c>
      <c r="U564" s="314">
        <v>0</v>
      </c>
      <c r="V564" s="314">
        <v>1.5971</v>
      </c>
      <c r="W564" s="314">
        <v>1.5161</v>
      </c>
      <c r="X564" s="314">
        <v>0</v>
      </c>
      <c r="Y564" s="314">
        <v>0</v>
      </c>
      <c r="Z564" s="314">
        <v>1.6148</v>
      </c>
      <c r="AA564" s="314">
        <v>1.5583</v>
      </c>
      <c r="AB564" s="314">
        <v>1.6133999999999999</v>
      </c>
      <c r="AC564" s="314">
        <v>0</v>
      </c>
      <c r="AD564" s="314">
        <v>0</v>
      </c>
      <c r="AE564" s="314">
        <v>1.5266</v>
      </c>
      <c r="AF564" s="314">
        <v>0</v>
      </c>
      <c r="AG564" s="314">
        <v>1.4036999999999999</v>
      </c>
      <c r="AH564" s="314">
        <v>0</v>
      </c>
      <c r="AI564" s="314">
        <v>1.5397000000000001</v>
      </c>
      <c r="AJ564" s="314">
        <v>0</v>
      </c>
      <c r="AK564" s="314">
        <v>0</v>
      </c>
      <c r="AL564" s="314">
        <v>1.4381999999999999</v>
      </c>
      <c r="AM564" s="314">
        <v>1.7023999999999999</v>
      </c>
      <c r="AN564" s="314">
        <v>1.4721</v>
      </c>
      <c r="AO564" s="314">
        <v>1.5258</v>
      </c>
      <c r="AP564" s="314">
        <v>1.6961999999999999</v>
      </c>
      <c r="AQ564" s="314">
        <v>0</v>
      </c>
      <c r="AR564" s="314">
        <v>0</v>
      </c>
      <c r="AS564" s="314">
        <v>0</v>
      </c>
      <c r="AT564" s="314">
        <v>1.6204000000000001</v>
      </c>
      <c r="AU564" s="314">
        <v>1.6383000000000001</v>
      </c>
      <c r="AV564" s="314">
        <v>0</v>
      </c>
      <c r="AW564" s="314">
        <v>1.5109999999999999</v>
      </c>
      <c r="AX564" s="314">
        <v>0</v>
      </c>
      <c r="AY564" s="314">
        <v>1.5138</v>
      </c>
      <c r="AZ564" s="314">
        <v>1.5739000000000001</v>
      </c>
      <c r="BA564" s="314">
        <v>0</v>
      </c>
      <c r="BB564" s="314">
        <v>0</v>
      </c>
      <c r="BC564" s="314">
        <v>1.5488999999999999</v>
      </c>
      <c r="BD564" s="314">
        <v>1.5916999999999999</v>
      </c>
      <c r="BE564" s="314">
        <v>1.6967000000000001</v>
      </c>
      <c r="BF564" s="314">
        <v>1.6059000000000001</v>
      </c>
      <c r="BG564" s="314">
        <v>1.6255999999999999</v>
      </c>
      <c r="BH564" s="314">
        <v>1.6646000000000001</v>
      </c>
      <c r="BI564" s="314">
        <v>1.6763999999999999</v>
      </c>
      <c r="BJ564" s="314">
        <v>1.5448</v>
      </c>
      <c r="BK564" s="314">
        <v>1.5761000000000001</v>
      </c>
    </row>
    <row r="565" spans="1:63" x14ac:dyDescent="0.25">
      <c r="A565" s="306">
        <v>327215</v>
      </c>
      <c r="B565" s="314" t="s">
        <v>140</v>
      </c>
      <c r="C565" s="314">
        <v>1.8912</v>
      </c>
      <c r="D565" s="314">
        <v>0</v>
      </c>
      <c r="E565" s="314">
        <v>1.4724999999999999</v>
      </c>
      <c r="F565" s="314">
        <v>1.3634999999999999</v>
      </c>
      <c r="G565" s="314">
        <v>1.4052</v>
      </c>
      <c r="H565" s="314">
        <v>1.5624</v>
      </c>
      <c r="I565" s="314">
        <v>1.5213000000000001</v>
      </c>
      <c r="J565" s="314">
        <v>1.4236</v>
      </c>
      <c r="K565" s="314">
        <v>0</v>
      </c>
      <c r="L565" s="314">
        <v>1.3311999999999999</v>
      </c>
      <c r="M565" s="314">
        <v>1.3835</v>
      </c>
      <c r="N565" s="314">
        <v>1.6236999999999999</v>
      </c>
      <c r="O565" s="314">
        <v>1.2554000000000001</v>
      </c>
      <c r="P565" s="314">
        <v>1.3975</v>
      </c>
      <c r="Q565" s="314">
        <v>1.2523</v>
      </c>
      <c r="R565" s="314">
        <v>1.6138999999999999</v>
      </c>
      <c r="S565" s="314">
        <v>1.5108999999999999</v>
      </c>
      <c r="T565" s="314">
        <v>1.4690000000000001</v>
      </c>
      <c r="U565" s="314">
        <v>1.6695</v>
      </c>
      <c r="V565" s="314">
        <v>1.444</v>
      </c>
      <c r="W565" s="314">
        <v>1.5606</v>
      </c>
      <c r="X565" s="314">
        <v>1.3513999999999999</v>
      </c>
      <c r="Y565" s="314">
        <v>1.3836999999999999</v>
      </c>
      <c r="Z565" s="314">
        <v>1.5723</v>
      </c>
      <c r="AA565" s="314">
        <v>1.4823</v>
      </c>
      <c r="AB565" s="314">
        <v>1.5063</v>
      </c>
      <c r="AC565" s="314">
        <v>1.3581000000000001</v>
      </c>
      <c r="AD565" s="314">
        <v>1.2146999999999999</v>
      </c>
      <c r="AE565" s="314">
        <v>1.6406000000000001</v>
      </c>
      <c r="AF565" s="314">
        <v>1.2961</v>
      </c>
      <c r="AG565" s="314">
        <v>1.2618</v>
      </c>
      <c r="AH565" s="314">
        <v>1.5102</v>
      </c>
      <c r="AI565" s="314">
        <v>1.6573</v>
      </c>
      <c r="AJ565" s="314">
        <v>1.2887999999999999</v>
      </c>
      <c r="AK565" s="314">
        <v>1.3291999999999999</v>
      </c>
      <c r="AL565" s="314">
        <v>1.4937</v>
      </c>
      <c r="AM565" s="314">
        <v>1.7517</v>
      </c>
      <c r="AN565" s="314">
        <v>1.5202</v>
      </c>
      <c r="AO565" s="314">
        <v>1.6238999999999999</v>
      </c>
      <c r="AP565" s="314">
        <v>1.7702</v>
      </c>
      <c r="AQ565" s="314">
        <v>1.417</v>
      </c>
      <c r="AR565" s="314">
        <v>1.5331999999999999</v>
      </c>
      <c r="AS565" s="314">
        <v>1.2294</v>
      </c>
      <c r="AT565" s="314">
        <v>1.6852</v>
      </c>
      <c r="AU565" s="314">
        <v>1.6403000000000001</v>
      </c>
      <c r="AV565" s="314">
        <v>1.5032000000000001</v>
      </c>
      <c r="AW565" s="314">
        <v>1.4716</v>
      </c>
      <c r="AX565" s="314">
        <v>1.3208</v>
      </c>
      <c r="AY565" s="314">
        <v>1.5422</v>
      </c>
      <c r="AZ565" s="314">
        <v>1.5595000000000001</v>
      </c>
      <c r="BA565" s="314">
        <v>1.5004</v>
      </c>
      <c r="BB565" s="314">
        <v>0</v>
      </c>
      <c r="BC565" s="314">
        <v>1.5983000000000001</v>
      </c>
      <c r="BD565" s="314">
        <v>1.7264999999999999</v>
      </c>
      <c r="BE565" s="314">
        <v>1.7666999999999999</v>
      </c>
      <c r="BF565" s="314">
        <v>1.5668</v>
      </c>
      <c r="BG565" s="314">
        <v>1.6372</v>
      </c>
      <c r="BH565" s="314">
        <v>1.7048000000000001</v>
      </c>
      <c r="BI565" s="314">
        <v>1.6524000000000001</v>
      </c>
      <c r="BJ565" s="314">
        <v>1.4672000000000001</v>
      </c>
      <c r="BK565" s="314">
        <v>1.5879000000000001</v>
      </c>
    </row>
    <row r="566" spans="1:63" x14ac:dyDescent="0.25">
      <c r="A566" s="306">
        <v>327310</v>
      </c>
      <c r="B566" s="314" t="s">
        <v>141</v>
      </c>
      <c r="C566" s="314">
        <v>1.8351999999999999</v>
      </c>
      <c r="D566" s="314">
        <v>0</v>
      </c>
      <c r="E566" s="314">
        <v>1.6007</v>
      </c>
      <c r="F566" s="314">
        <v>1.5291999999999999</v>
      </c>
      <c r="G566" s="314">
        <v>1.4783999999999999</v>
      </c>
      <c r="H566" s="314">
        <v>1.5432999999999999</v>
      </c>
      <c r="I566" s="314">
        <v>1.5714999999999999</v>
      </c>
      <c r="J566" s="314">
        <v>0</v>
      </c>
      <c r="K566" s="314">
        <v>0</v>
      </c>
      <c r="L566" s="314">
        <v>0</v>
      </c>
      <c r="M566" s="314">
        <v>1.4198</v>
      </c>
      <c r="N566" s="314">
        <v>1.5752999999999999</v>
      </c>
      <c r="O566" s="314">
        <v>1.3287</v>
      </c>
      <c r="P566" s="314">
        <v>1.3691</v>
      </c>
      <c r="Q566" s="314">
        <v>1.3543000000000001</v>
      </c>
      <c r="R566" s="314">
        <v>1.6276999999999999</v>
      </c>
      <c r="S566" s="314">
        <v>1.5971</v>
      </c>
      <c r="T566" s="314">
        <v>1.5085</v>
      </c>
      <c r="U566" s="314">
        <v>1.5633999999999999</v>
      </c>
      <c r="V566" s="314">
        <v>1.5505</v>
      </c>
      <c r="W566" s="314">
        <v>1.4776</v>
      </c>
      <c r="X566" s="314">
        <v>1.4195</v>
      </c>
      <c r="Y566" s="314">
        <v>1.3869</v>
      </c>
      <c r="Z566" s="314">
        <v>1.5837000000000001</v>
      </c>
      <c r="AA566" s="314">
        <v>0</v>
      </c>
      <c r="AB566" s="314">
        <v>1.5933999999999999</v>
      </c>
      <c r="AC566" s="314">
        <v>1.4366000000000001</v>
      </c>
      <c r="AD566" s="314">
        <v>1.4331</v>
      </c>
      <c r="AE566" s="314">
        <v>1.4353</v>
      </c>
      <c r="AF566" s="314">
        <v>1.3823000000000001</v>
      </c>
      <c r="AG566" s="314">
        <v>1.4093</v>
      </c>
      <c r="AH566" s="314">
        <v>1.4129</v>
      </c>
      <c r="AI566" s="314">
        <v>1.4843</v>
      </c>
      <c r="AJ566" s="314">
        <v>1.482</v>
      </c>
      <c r="AK566" s="314">
        <v>1.4466000000000001</v>
      </c>
      <c r="AL566" s="314">
        <v>1.4630000000000001</v>
      </c>
      <c r="AM566" s="314">
        <v>1.6333</v>
      </c>
      <c r="AN566" s="314">
        <v>1.5374000000000001</v>
      </c>
      <c r="AO566" s="314">
        <v>1.5322</v>
      </c>
      <c r="AP566" s="314">
        <v>1.6901999999999999</v>
      </c>
      <c r="AQ566" s="314">
        <v>0</v>
      </c>
      <c r="AR566" s="314">
        <v>1.4939</v>
      </c>
      <c r="AS566" s="314">
        <v>1.3411</v>
      </c>
      <c r="AT566" s="314">
        <v>1.5565</v>
      </c>
      <c r="AU566" s="314">
        <v>1.6964999999999999</v>
      </c>
      <c r="AV566" s="314">
        <v>1.6063000000000001</v>
      </c>
      <c r="AW566" s="314">
        <v>1.4996</v>
      </c>
      <c r="AX566" s="314">
        <v>0</v>
      </c>
      <c r="AY566" s="314">
        <v>1.5024</v>
      </c>
      <c r="AZ566" s="314">
        <v>0</v>
      </c>
      <c r="BA566" s="314">
        <v>1.5324</v>
      </c>
      <c r="BB566" s="314">
        <v>1.4337</v>
      </c>
      <c r="BC566" s="314">
        <v>1.4975000000000001</v>
      </c>
      <c r="BD566" s="314">
        <v>1.5955999999999999</v>
      </c>
      <c r="BE566" s="314">
        <v>1.6700999999999999</v>
      </c>
      <c r="BF566" s="314">
        <v>1.5606</v>
      </c>
      <c r="BG566" s="314">
        <v>1.5791999999999999</v>
      </c>
      <c r="BH566" s="314">
        <v>1.6157999999999999</v>
      </c>
      <c r="BI566" s="314">
        <v>1.7000999999999999</v>
      </c>
      <c r="BJ566" s="314">
        <v>1.6084000000000001</v>
      </c>
      <c r="BK566" s="314">
        <v>1.583</v>
      </c>
    </row>
    <row r="567" spans="1:63" x14ac:dyDescent="0.25">
      <c r="A567" s="306">
        <v>327320</v>
      </c>
      <c r="B567" s="314" t="s">
        <v>142</v>
      </c>
      <c r="C567" s="314">
        <v>2.0857999999999999</v>
      </c>
      <c r="D567" s="314">
        <v>1.4080999999999999</v>
      </c>
      <c r="E567" s="314">
        <v>1.8339000000000001</v>
      </c>
      <c r="F567" s="314">
        <v>1.7988999999999999</v>
      </c>
      <c r="G567" s="314">
        <v>1.7507999999999999</v>
      </c>
      <c r="H567" s="314">
        <v>1.68</v>
      </c>
      <c r="I567" s="314">
        <v>1.8386</v>
      </c>
      <c r="J567" s="314">
        <v>1.4573</v>
      </c>
      <c r="K567" s="314">
        <v>1.1265000000000001</v>
      </c>
      <c r="L567" s="314">
        <v>1.357</v>
      </c>
      <c r="M567" s="314">
        <v>1.6296999999999999</v>
      </c>
      <c r="N567" s="314">
        <v>1.7987</v>
      </c>
      <c r="O567" s="314">
        <v>1.4407000000000001</v>
      </c>
      <c r="P567" s="314">
        <v>1.6794</v>
      </c>
      <c r="Q567" s="314">
        <v>1.6753</v>
      </c>
      <c r="R567" s="314">
        <v>1.8212999999999999</v>
      </c>
      <c r="S567" s="314">
        <v>1.8483000000000001</v>
      </c>
      <c r="T567" s="314">
        <v>1.7544999999999999</v>
      </c>
      <c r="U567" s="314">
        <v>1.7495000000000001</v>
      </c>
      <c r="V567" s="314">
        <v>1.6896</v>
      </c>
      <c r="W567" s="314">
        <v>1.5455000000000001</v>
      </c>
      <c r="X567" s="314">
        <v>1.6523000000000001</v>
      </c>
      <c r="Y567" s="314">
        <v>1.6035999999999999</v>
      </c>
      <c r="Z567" s="314">
        <v>1.8238000000000001</v>
      </c>
      <c r="AA567" s="314">
        <v>1.5637000000000001</v>
      </c>
      <c r="AB567" s="314">
        <v>1.8691</v>
      </c>
      <c r="AC567" s="314">
        <v>1.6564000000000001</v>
      </c>
      <c r="AD567" s="314">
        <v>1.708</v>
      </c>
      <c r="AE567" s="314">
        <v>1.5314000000000001</v>
      </c>
      <c r="AF567" s="314">
        <v>1.4894000000000001</v>
      </c>
      <c r="AG567" s="314">
        <v>1.6890000000000001</v>
      </c>
      <c r="AH567" s="314">
        <v>1.5306</v>
      </c>
      <c r="AI567" s="314">
        <v>1.6122000000000001</v>
      </c>
      <c r="AJ567" s="314">
        <v>1.6488</v>
      </c>
      <c r="AK567" s="314">
        <v>1.6674</v>
      </c>
      <c r="AL567" s="314">
        <v>1.5005999999999999</v>
      </c>
      <c r="AM567" s="314">
        <v>1.7868999999999999</v>
      </c>
      <c r="AN567" s="314">
        <v>1.7963</v>
      </c>
      <c r="AO567" s="314">
        <v>1.7270000000000001</v>
      </c>
      <c r="AP567" s="314">
        <v>1.8673999999999999</v>
      </c>
      <c r="AQ567" s="314">
        <v>1.4351</v>
      </c>
      <c r="AR567" s="314">
        <v>1.7976000000000001</v>
      </c>
      <c r="AS567" s="314">
        <v>1.6392</v>
      </c>
      <c r="AT567" s="314">
        <v>1.8216000000000001</v>
      </c>
      <c r="AU567" s="314">
        <v>1.9188000000000001</v>
      </c>
      <c r="AV567" s="314">
        <v>1.8616999999999999</v>
      </c>
      <c r="AW567" s="314">
        <v>1.6837</v>
      </c>
      <c r="AX567" s="314">
        <v>1.4343999999999999</v>
      </c>
      <c r="AY567" s="314">
        <v>1.7043999999999999</v>
      </c>
      <c r="AZ567" s="314">
        <v>1.5861000000000001</v>
      </c>
      <c r="BA567" s="314">
        <v>1.772</v>
      </c>
      <c r="BB567" s="314">
        <v>1.6566000000000001</v>
      </c>
      <c r="BC567" s="314">
        <v>1.5745</v>
      </c>
      <c r="BD567" s="314">
        <v>1.7523</v>
      </c>
      <c r="BE567" s="314">
        <v>1.9392</v>
      </c>
      <c r="BF567" s="314">
        <v>1.8573999999999999</v>
      </c>
      <c r="BG567" s="314">
        <v>1.8219000000000001</v>
      </c>
      <c r="BH567" s="314">
        <v>1.8883000000000001</v>
      </c>
      <c r="BI567" s="314">
        <v>1.9360999999999999</v>
      </c>
      <c r="BJ567" s="314">
        <v>1.8729</v>
      </c>
      <c r="BK567" s="314">
        <v>1.7239</v>
      </c>
    </row>
    <row r="568" spans="1:63" x14ac:dyDescent="0.25">
      <c r="A568" s="306">
        <v>327330</v>
      </c>
      <c r="B568" s="314" t="s">
        <v>143</v>
      </c>
      <c r="C568" s="314">
        <v>1.8788</v>
      </c>
      <c r="D568" s="314">
        <v>1.2518</v>
      </c>
      <c r="E568" s="314">
        <v>1.6254</v>
      </c>
      <c r="F568" s="314">
        <v>1.5759000000000001</v>
      </c>
      <c r="G568" s="314">
        <v>1.5343</v>
      </c>
      <c r="H568" s="314">
        <v>1.5875999999999999</v>
      </c>
      <c r="I568" s="314">
        <v>1.6086</v>
      </c>
      <c r="J568" s="314">
        <v>1.429</v>
      </c>
      <c r="K568" s="314">
        <v>0</v>
      </c>
      <c r="L568" s="314">
        <v>1.3798999999999999</v>
      </c>
      <c r="M568" s="314">
        <v>1.53</v>
      </c>
      <c r="N568" s="314">
        <v>1.5967</v>
      </c>
      <c r="O568" s="314">
        <v>1.3028</v>
      </c>
      <c r="P568" s="314">
        <v>1.4513</v>
      </c>
      <c r="Q568" s="314">
        <v>1.4176</v>
      </c>
      <c r="R568" s="314">
        <v>1.6697</v>
      </c>
      <c r="S568" s="314">
        <v>1.6365000000000001</v>
      </c>
      <c r="T568" s="314">
        <v>1.5102</v>
      </c>
      <c r="U568" s="314">
        <v>1.6389</v>
      </c>
      <c r="V568" s="314">
        <v>1.5147999999999999</v>
      </c>
      <c r="W568" s="314">
        <v>1.4917</v>
      </c>
      <c r="X568" s="314">
        <v>1.5411999999999999</v>
      </c>
      <c r="Y568" s="314">
        <v>1.4854000000000001</v>
      </c>
      <c r="Z568" s="314">
        <v>1.6656</v>
      </c>
      <c r="AA568" s="314">
        <v>1.4723999999999999</v>
      </c>
      <c r="AB568" s="314">
        <v>1.6669</v>
      </c>
      <c r="AC568" s="314">
        <v>1.5143</v>
      </c>
      <c r="AD568" s="314">
        <v>1.3962000000000001</v>
      </c>
      <c r="AE568" s="314">
        <v>1.4742999999999999</v>
      </c>
      <c r="AF568" s="314">
        <v>1.2974000000000001</v>
      </c>
      <c r="AG568" s="314">
        <v>1.4578</v>
      </c>
      <c r="AH568" s="314">
        <v>1.4234</v>
      </c>
      <c r="AI568" s="314">
        <v>1.5387</v>
      </c>
      <c r="AJ568" s="314">
        <v>1.4432</v>
      </c>
      <c r="AK568" s="314">
        <v>1.4966999999999999</v>
      </c>
      <c r="AL568" s="314">
        <v>1.4438</v>
      </c>
      <c r="AM568" s="314">
        <v>1.6544000000000001</v>
      </c>
      <c r="AN568" s="314">
        <v>1.5835999999999999</v>
      </c>
      <c r="AO568" s="314">
        <v>1.5929</v>
      </c>
      <c r="AP568" s="314">
        <v>1.7304999999999999</v>
      </c>
      <c r="AQ568" s="314">
        <v>1.3672</v>
      </c>
      <c r="AR568" s="314">
        <v>1.6225000000000001</v>
      </c>
      <c r="AS568" s="314">
        <v>1.3648</v>
      </c>
      <c r="AT568" s="314">
        <v>1.6344000000000001</v>
      </c>
      <c r="AU568" s="314">
        <v>1.7130000000000001</v>
      </c>
      <c r="AV568" s="314">
        <v>1.6618999999999999</v>
      </c>
      <c r="AW568" s="314">
        <v>1.5548999999999999</v>
      </c>
      <c r="AX568" s="314">
        <v>1.2924</v>
      </c>
      <c r="AY568" s="314">
        <v>1.5270999999999999</v>
      </c>
      <c r="AZ568" s="314">
        <v>1.4590000000000001</v>
      </c>
      <c r="BA568" s="314">
        <v>1.5103</v>
      </c>
      <c r="BB568" s="314">
        <v>1.3731</v>
      </c>
      <c r="BC568" s="314">
        <v>1.5054000000000001</v>
      </c>
      <c r="BD568" s="314">
        <v>1.6577</v>
      </c>
      <c r="BE568" s="314">
        <v>1.7432000000000001</v>
      </c>
      <c r="BF568" s="314">
        <v>1.6243000000000001</v>
      </c>
      <c r="BG568" s="314">
        <v>1.6427</v>
      </c>
      <c r="BH568" s="314">
        <v>1.6797</v>
      </c>
      <c r="BI568" s="314">
        <v>1.7276</v>
      </c>
      <c r="BJ568" s="314">
        <v>1.6057999999999999</v>
      </c>
      <c r="BK568" s="314">
        <v>1.5982000000000001</v>
      </c>
    </row>
    <row r="569" spans="1:63" x14ac:dyDescent="0.25">
      <c r="A569" s="306">
        <v>327390</v>
      </c>
      <c r="B569" s="314" t="s">
        <v>144</v>
      </c>
      <c r="C569" s="314">
        <v>1.8839999999999999</v>
      </c>
      <c r="D569" s="314">
        <v>1.2287999999999999</v>
      </c>
      <c r="E569" s="314">
        <v>1.6193</v>
      </c>
      <c r="F569" s="314">
        <v>1.5721000000000001</v>
      </c>
      <c r="G569" s="314">
        <v>1.4844999999999999</v>
      </c>
      <c r="H569" s="314">
        <v>1.5551999999999999</v>
      </c>
      <c r="I569" s="314">
        <v>1.579</v>
      </c>
      <c r="J569" s="314">
        <v>1.4795</v>
      </c>
      <c r="K569" s="314">
        <v>0</v>
      </c>
      <c r="L569" s="314">
        <v>1.3946000000000001</v>
      </c>
      <c r="M569" s="314">
        <v>1.4871000000000001</v>
      </c>
      <c r="N569" s="314">
        <v>1.5888</v>
      </c>
      <c r="O569" s="314">
        <v>1.2988</v>
      </c>
      <c r="P569" s="314">
        <v>1.4547000000000001</v>
      </c>
      <c r="Q569" s="314">
        <v>1.3934</v>
      </c>
      <c r="R569" s="314">
        <v>1.7184999999999999</v>
      </c>
      <c r="S569" s="314">
        <v>1.6500999999999999</v>
      </c>
      <c r="T569" s="314">
        <v>1.4807999999999999</v>
      </c>
      <c r="U569" s="314">
        <v>1.6395999999999999</v>
      </c>
      <c r="V569" s="314">
        <v>1.4885999999999999</v>
      </c>
      <c r="W569" s="314">
        <v>1.5005999999999999</v>
      </c>
      <c r="X569" s="314">
        <v>1.5206999999999999</v>
      </c>
      <c r="Y569" s="314">
        <v>1.4610000000000001</v>
      </c>
      <c r="Z569" s="314">
        <v>1.6781999999999999</v>
      </c>
      <c r="AA569" s="314">
        <v>1.5477000000000001</v>
      </c>
      <c r="AB569" s="314">
        <v>1.6677</v>
      </c>
      <c r="AC569" s="314">
        <v>1.5007999999999999</v>
      </c>
      <c r="AD569" s="314">
        <v>1.3439000000000001</v>
      </c>
      <c r="AE569" s="314">
        <v>1.5350999999999999</v>
      </c>
      <c r="AF569" s="314">
        <v>1.2964</v>
      </c>
      <c r="AG569" s="314">
        <v>1.4456</v>
      </c>
      <c r="AH569" s="314">
        <v>1.4748000000000001</v>
      </c>
      <c r="AI569" s="314">
        <v>1.5472999999999999</v>
      </c>
      <c r="AJ569" s="314">
        <v>1.3561000000000001</v>
      </c>
      <c r="AK569" s="314">
        <v>1.4548000000000001</v>
      </c>
      <c r="AL569" s="314">
        <v>1.4278999999999999</v>
      </c>
      <c r="AM569" s="314">
        <v>1.6951000000000001</v>
      </c>
      <c r="AN569" s="314">
        <v>1.5639000000000001</v>
      </c>
      <c r="AO569" s="314">
        <v>1.6162000000000001</v>
      </c>
      <c r="AP569" s="314">
        <v>1.7443</v>
      </c>
      <c r="AQ569" s="314">
        <v>1.4219999999999999</v>
      </c>
      <c r="AR569" s="314">
        <v>1.6237999999999999</v>
      </c>
      <c r="AS569" s="314">
        <v>1.3387</v>
      </c>
      <c r="AT569" s="314">
        <v>1.6285000000000001</v>
      </c>
      <c r="AU569" s="314">
        <v>1.6716</v>
      </c>
      <c r="AV569" s="314">
        <v>1.6405000000000001</v>
      </c>
      <c r="AW569" s="314">
        <v>1.5315000000000001</v>
      </c>
      <c r="AX569" s="314">
        <v>1.3226</v>
      </c>
      <c r="AY569" s="314">
        <v>1.5134000000000001</v>
      </c>
      <c r="AZ569" s="314">
        <v>1.5486</v>
      </c>
      <c r="BA569" s="314">
        <v>1.4835</v>
      </c>
      <c r="BB569" s="314">
        <v>1.3198000000000001</v>
      </c>
      <c r="BC569" s="314">
        <v>1.5390999999999999</v>
      </c>
      <c r="BD569" s="314">
        <v>1.6476</v>
      </c>
      <c r="BE569" s="314">
        <v>1.7614000000000001</v>
      </c>
      <c r="BF569" s="314">
        <v>1.6296999999999999</v>
      </c>
      <c r="BG569" s="314">
        <v>1.6279999999999999</v>
      </c>
      <c r="BH569" s="314">
        <v>1.6755</v>
      </c>
      <c r="BI569" s="314">
        <v>1.6969000000000001</v>
      </c>
      <c r="BJ569" s="314">
        <v>1.5623</v>
      </c>
      <c r="BK569" s="314">
        <v>1.5791999999999999</v>
      </c>
    </row>
    <row r="570" spans="1:63" x14ac:dyDescent="0.25">
      <c r="A570" s="306" t="s">
        <v>720</v>
      </c>
      <c r="B570" s="314" t="s">
        <v>145</v>
      </c>
      <c r="C570" s="314">
        <v>1.9984999999999999</v>
      </c>
      <c r="D570" s="314">
        <v>0</v>
      </c>
      <c r="E570" s="314">
        <v>1.7068000000000001</v>
      </c>
      <c r="F570" s="314">
        <v>1.6807000000000001</v>
      </c>
      <c r="G570" s="314">
        <v>1.4423999999999999</v>
      </c>
      <c r="H570" s="314">
        <v>1.5337000000000001</v>
      </c>
      <c r="I570" s="314">
        <v>1.5580000000000001</v>
      </c>
      <c r="J570" s="314">
        <v>1.4113</v>
      </c>
      <c r="K570" s="314">
        <v>0</v>
      </c>
      <c r="L570" s="314">
        <v>1.3343</v>
      </c>
      <c r="M570" s="314">
        <v>1.4268000000000001</v>
      </c>
      <c r="N570" s="314">
        <v>1.6976</v>
      </c>
      <c r="O570" s="314">
        <v>0</v>
      </c>
      <c r="P570" s="314">
        <v>1.3785000000000001</v>
      </c>
      <c r="Q570" s="314">
        <v>1.5448</v>
      </c>
      <c r="R570" s="314">
        <v>1.6454</v>
      </c>
      <c r="S570" s="314">
        <v>1.6760999999999999</v>
      </c>
      <c r="T570" s="314">
        <v>1.5447</v>
      </c>
      <c r="U570" s="314">
        <v>1.5634999999999999</v>
      </c>
      <c r="V570" s="314">
        <v>1.7296</v>
      </c>
      <c r="W570" s="314">
        <v>1.4303999999999999</v>
      </c>
      <c r="X570" s="314">
        <v>1.3416999999999999</v>
      </c>
      <c r="Y570" s="314">
        <v>0</v>
      </c>
      <c r="Z570" s="314">
        <v>1.6479999999999999</v>
      </c>
      <c r="AA570" s="314">
        <v>0</v>
      </c>
      <c r="AB570" s="314">
        <v>1.5506</v>
      </c>
      <c r="AC570" s="314">
        <v>1.5365</v>
      </c>
      <c r="AD570" s="314">
        <v>1.6172</v>
      </c>
      <c r="AE570" s="314">
        <v>1.6160000000000001</v>
      </c>
      <c r="AF570" s="314">
        <v>0</v>
      </c>
      <c r="AG570" s="314">
        <v>1.3924000000000001</v>
      </c>
      <c r="AH570" s="314">
        <v>1.3245</v>
      </c>
      <c r="AI570" s="314">
        <v>1.4941</v>
      </c>
      <c r="AJ570" s="314">
        <v>1.4968999999999999</v>
      </c>
      <c r="AK570" s="314">
        <v>1.4282999999999999</v>
      </c>
      <c r="AL570" s="314">
        <v>1.4039999999999999</v>
      </c>
      <c r="AM570" s="314">
        <v>1.7645</v>
      </c>
      <c r="AN570" s="314">
        <v>1.6191</v>
      </c>
      <c r="AO570" s="314">
        <v>1.6731</v>
      </c>
      <c r="AP570" s="314">
        <v>1.6378999999999999</v>
      </c>
      <c r="AQ570" s="314">
        <v>0</v>
      </c>
      <c r="AR570" s="314">
        <v>1.6081000000000001</v>
      </c>
      <c r="AS570" s="314">
        <v>1.3062</v>
      </c>
      <c r="AT570" s="314">
        <v>1.6551</v>
      </c>
      <c r="AU570" s="314">
        <v>1.8031999999999999</v>
      </c>
      <c r="AV570" s="314">
        <v>1.6122000000000001</v>
      </c>
      <c r="AW570" s="314">
        <v>1.6049</v>
      </c>
      <c r="AX570" s="314">
        <v>0</v>
      </c>
      <c r="AY570" s="314">
        <v>1.6103000000000001</v>
      </c>
      <c r="AZ570" s="314">
        <v>1.5660000000000001</v>
      </c>
      <c r="BA570" s="314">
        <v>1.5821000000000001</v>
      </c>
      <c r="BB570" s="314">
        <v>1.4555</v>
      </c>
      <c r="BC570" s="314">
        <v>1.5101</v>
      </c>
      <c r="BD570" s="314">
        <v>1.5339</v>
      </c>
      <c r="BE570" s="314">
        <v>1.7333000000000001</v>
      </c>
      <c r="BF570" s="314">
        <v>1.5456000000000001</v>
      </c>
      <c r="BG570" s="314">
        <v>1.6957</v>
      </c>
      <c r="BH570" s="314">
        <v>1.7202999999999999</v>
      </c>
      <c r="BI570" s="314">
        <v>1.8411999999999999</v>
      </c>
      <c r="BJ570" s="314">
        <v>1.6758</v>
      </c>
      <c r="BK570" s="314">
        <v>1.6306</v>
      </c>
    </row>
    <row r="571" spans="1:63" x14ac:dyDescent="0.25">
      <c r="A571" s="306">
        <v>327910</v>
      </c>
      <c r="B571" s="314" t="s">
        <v>146</v>
      </c>
      <c r="C571" s="314">
        <v>1.6580999999999999</v>
      </c>
      <c r="D571" s="314">
        <v>0</v>
      </c>
      <c r="E571" s="314">
        <v>1.4421999999999999</v>
      </c>
      <c r="F571" s="314">
        <v>1.3976999999999999</v>
      </c>
      <c r="G571" s="314">
        <v>1.3495999999999999</v>
      </c>
      <c r="H571" s="314">
        <v>1.3909</v>
      </c>
      <c r="I571" s="314">
        <v>1.3885000000000001</v>
      </c>
      <c r="J571" s="314">
        <v>1.4592000000000001</v>
      </c>
      <c r="K571" s="314">
        <v>0</v>
      </c>
      <c r="L571" s="314">
        <v>0</v>
      </c>
      <c r="M571" s="314">
        <v>1.3059000000000001</v>
      </c>
      <c r="N571" s="314">
        <v>1.4892000000000001</v>
      </c>
      <c r="O571" s="314">
        <v>0</v>
      </c>
      <c r="P571" s="314">
        <v>1.2416</v>
      </c>
      <c r="Q571" s="314">
        <v>1.2559</v>
      </c>
      <c r="R571" s="314">
        <v>1.5443</v>
      </c>
      <c r="S571" s="314">
        <v>1.4120999999999999</v>
      </c>
      <c r="T571" s="314">
        <v>1.3052999999999999</v>
      </c>
      <c r="U571" s="314">
        <v>1.4176</v>
      </c>
      <c r="V571" s="314">
        <v>1.3554999999999999</v>
      </c>
      <c r="W571" s="314">
        <v>1.4604999999999999</v>
      </c>
      <c r="X571" s="314">
        <v>1.3277000000000001</v>
      </c>
      <c r="Y571" s="314">
        <v>0</v>
      </c>
      <c r="Z571" s="314">
        <v>1.4938</v>
      </c>
      <c r="AA571" s="314">
        <v>1.4533</v>
      </c>
      <c r="AB571" s="314">
        <v>1.4847999999999999</v>
      </c>
      <c r="AC571" s="314">
        <v>1.3665</v>
      </c>
      <c r="AD571" s="314">
        <v>0</v>
      </c>
      <c r="AE571" s="314">
        <v>1.4706999999999999</v>
      </c>
      <c r="AF571" s="314">
        <v>0</v>
      </c>
      <c r="AG571" s="314">
        <v>0</v>
      </c>
      <c r="AH571" s="314">
        <v>1.4181999999999999</v>
      </c>
      <c r="AI571" s="314">
        <v>1.4567000000000001</v>
      </c>
      <c r="AJ571" s="314">
        <v>0</v>
      </c>
      <c r="AK571" s="314">
        <v>0</v>
      </c>
      <c r="AL571" s="314">
        <v>1.4140999999999999</v>
      </c>
      <c r="AM571" s="314">
        <v>1.5424</v>
      </c>
      <c r="AN571" s="314">
        <v>0</v>
      </c>
      <c r="AO571" s="314">
        <v>1.4722</v>
      </c>
      <c r="AP571" s="314">
        <v>1.4964999999999999</v>
      </c>
      <c r="AQ571" s="314">
        <v>1.4176</v>
      </c>
      <c r="AR571" s="314">
        <v>1.3835</v>
      </c>
      <c r="AS571" s="314">
        <v>0</v>
      </c>
      <c r="AT571" s="314">
        <v>1.3883000000000001</v>
      </c>
      <c r="AU571" s="314">
        <v>1.5122</v>
      </c>
      <c r="AV571" s="314">
        <v>1.3908</v>
      </c>
      <c r="AW571" s="314">
        <v>1.4710000000000001</v>
      </c>
      <c r="AX571" s="314">
        <v>1.3050999999999999</v>
      </c>
      <c r="AY571" s="314">
        <v>1.3755999999999999</v>
      </c>
      <c r="AZ571" s="314">
        <v>1.4515</v>
      </c>
      <c r="BA571" s="314">
        <v>0</v>
      </c>
      <c r="BB571" s="314">
        <v>0</v>
      </c>
      <c r="BC571" s="314">
        <v>1.4902</v>
      </c>
      <c r="BD571" s="314">
        <v>1.5065</v>
      </c>
      <c r="BE571" s="314">
        <v>1.5478000000000001</v>
      </c>
      <c r="BF571" s="314">
        <v>1.4251</v>
      </c>
      <c r="BG571" s="314">
        <v>1.4697</v>
      </c>
      <c r="BH571" s="314">
        <v>1.4685999999999999</v>
      </c>
      <c r="BI571" s="314">
        <v>1.5007999999999999</v>
      </c>
      <c r="BJ571" s="314">
        <v>1.391</v>
      </c>
      <c r="BK571" s="314">
        <v>1.417</v>
      </c>
    </row>
    <row r="572" spans="1:63" x14ac:dyDescent="0.25">
      <c r="A572" s="306">
        <v>327991</v>
      </c>
      <c r="B572" s="314" t="s">
        <v>147</v>
      </c>
      <c r="C572" s="314">
        <v>1.8531</v>
      </c>
      <c r="D572" s="314">
        <v>1.3137000000000001</v>
      </c>
      <c r="E572" s="314">
        <v>1.5262</v>
      </c>
      <c r="F572" s="314">
        <v>1.5329999999999999</v>
      </c>
      <c r="G572" s="314">
        <v>1.5001</v>
      </c>
      <c r="H572" s="314">
        <v>1.5550999999999999</v>
      </c>
      <c r="I572" s="314">
        <v>1.6137999999999999</v>
      </c>
      <c r="J572" s="314">
        <v>1.5271999999999999</v>
      </c>
      <c r="K572" s="314">
        <v>0</v>
      </c>
      <c r="L572" s="314">
        <v>1.4160999999999999</v>
      </c>
      <c r="M572" s="314">
        <v>1.4781</v>
      </c>
      <c r="N572" s="314">
        <v>1.6589</v>
      </c>
      <c r="O572" s="314">
        <v>1.3878999999999999</v>
      </c>
      <c r="P572" s="314">
        <v>1.4192</v>
      </c>
      <c r="Q572" s="314">
        <v>1.4286000000000001</v>
      </c>
      <c r="R572" s="314">
        <v>1.7159</v>
      </c>
      <c r="S572" s="314">
        <v>1.5799000000000001</v>
      </c>
      <c r="T572" s="314">
        <v>1.5145</v>
      </c>
      <c r="U572" s="314">
        <v>1.5593999999999999</v>
      </c>
      <c r="V572" s="314">
        <v>1.4781</v>
      </c>
      <c r="W572" s="314">
        <v>1.5485</v>
      </c>
      <c r="X572" s="314">
        <v>1.4539</v>
      </c>
      <c r="Y572" s="314">
        <v>1.4472</v>
      </c>
      <c r="Z572" s="314">
        <v>1.6052999999999999</v>
      </c>
      <c r="AA572" s="314">
        <v>1.5766</v>
      </c>
      <c r="AB572" s="314">
        <v>1.6082000000000001</v>
      </c>
      <c r="AC572" s="314">
        <v>1.3825000000000001</v>
      </c>
      <c r="AD572" s="314">
        <v>1.4313</v>
      </c>
      <c r="AE572" s="314">
        <v>1.6113999999999999</v>
      </c>
      <c r="AF572" s="314">
        <v>1.3173999999999999</v>
      </c>
      <c r="AG572" s="314">
        <v>1.4174</v>
      </c>
      <c r="AH572" s="314">
        <v>1.4792000000000001</v>
      </c>
      <c r="AI572" s="314">
        <v>1.6085</v>
      </c>
      <c r="AJ572" s="314">
        <v>1.3567</v>
      </c>
      <c r="AK572" s="314">
        <v>1.4535</v>
      </c>
      <c r="AL572" s="314">
        <v>1.4991000000000001</v>
      </c>
      <c r="AM572" s="314">
        <v>1.698</v>
      </c>
      <c r="AN572" s="314">
        <v>1.4782</v>
      </c>
      <c r="AO572" s="314">
        <v>1.6102000000000001</v>
      </c>
      <c r="AP572" s="314">
        <v>1.6760999999999999</v>
      </c>
      <c r="AQ572" s="314">
        <v>1.5044999999999999</v>
      </c>
      <c r="AR572" s="314">
        <v>1.5725</v>
      </c>
      <c r="AS572" s="314">
        <v>1.3334999999999999</v>
      </c>
      <c r="AT572" s="314">
        <v>1.6060000000000001</v>
      </c>
      <c r="AU572" s="314">
        <v>1.6194</v>
      </c>
      <c r="AV572" s="314">
        <v>1.5969</v>
      </c>
      <c r="AW572" s="314">
        <v>1.5857000000000001</v>
      </c>
      <c r="AX572" s="314">
        <v>1.4286000000000001</v>
      </c>
      <c r="AY572" s="314">
        <v>1.4998</v>
      </c>
      <c r="AZ572" s="314">
        <v>1.6024</v>
      </c>
      <c r="BA572" s="314">
        <v>1.431</v>
      </c>
      <c r="BB572" s="314">
        <v>1.3487</v>
      </c>
      <c r="BC572" s="314">
        <v>1.5901000000000001</v>
      </c>
      <c r="BD572" s="314">
        <v>1.6436999999999999</v>
      </c>
      <c r="BE572" s="314">
        <v>1.7112000000000001</v>
      </c>
      <c r="BF572" s="314">
        <v>1.6084000000000001</v>
      </c>
      <c r="BG572" s="314">
        <v>1.6687000000000001</v>
      </c>
      <c r="BH572" s="314">
        <v>1.6015999999999999</v>
      </c>
      <c r="BI572" s="314">
        <v>1.6445000000000001</v>
      </c>
      <c r="BJ572" s="314">
        <v>1.607</v>
      </c>
      <c r="BK572" s="314">
        <v>1.5873999999999999</v>
      </c>
    </row>
    <row r="573" spans="1:63" x14ac:dyDescent="0.25">
      <c r="A573" s="306">
        <v>327992</v>
      </c>
      <c r="B573" s="314" t="s">
        <v>148</v>
      </c>
      <c r="C573" s="314">
        <v>1.6962999999999999</v>
      </c>
      <c r="D573" s="314">
        <v>0</v>
      </c>
      <c r="E573" s="314">
        <v>1.4625999999999999</v>
      </c>
      <c r="F573" s="314">
        <v>1.4588000000000001</v>
      </c>
      <c r="G573" s="314">
        <v>1.4249000000000001</v>
      </c>
      <c r="H573" s="314">
        <v>1.4369000000000001</v>
      </c>
      <c r="I573" s="314">
        <v>1.4930000000000001</v>
      </c>
      <c r="J573" s="314">
        <v>0</v>
      </c>
      <c r="K573" s="314">
        <v>0</v>
      </c>
      <c r="L573" s="314">
        <v>0</v>
      </c>
      <c r="M573" s="314">
        <v>1.3514999999999999</v>
      </c>
      <c r="N573" s="314">
        <v>1.5003</v>
      </c>
      <c r="O573" s="314">
        <v>0</v>
      </c>
      <c r="P573" s="314">
        <v>0</v>
      </c>
      <c r="Q573" s="314">
        <v>0</v>
      </c>
      <c r="R573" s="314">
        <v>1.548</v>
      </c>
      <c r="S573" s="314">
        <v>1.4912000000000001</v>
      </c>
      <c r="T573" s="314">
        <v>0</v>
      </c>
      <c r="U573" s="314">
        <v>1.4536</v>
      </c>
      <c r="V573" s="314">
        <v>1.4681999999999999</v>
      </c>
      <c r="W573" s="314">
        <v>1.3692</v>
      </c>
      <c r="X573" s="314">
        <v>0</v>
      </c>
      <c r="Y573" s="314">
        <v>1.3237000000000001</v>
      </c>
      <c r="Z573" s="314">
        <v>1.4741</v>
      </c>
      <c r="AA573" s="314">
        <v>1.3997999999999999</v>
      </c>
      <c r="AB573" s="314">
        <v>1.4767999999999999</v>
      </c>
      <c r="AC573" s="314">
        <v>0</v>
      </c>
      <c r="AD573" s="314">
        <v>0</v>
      </c>
      <c r="AE573" s="314">
        <v>1.4242999999999999</v>
      </c>
      <c r="AF573" s="314">
        <v>0</v>
      </c>
      <c r="AG573" s="314">
        <v>0</v>
      </c>
      <c r="AH573" s="314">
        <v>0</v>
      </c>
      <c r="AI573" s="314">
        <v>1.4444999999999999</v>
      </c>
      <c r="AJ573" s="314">
        <v>1.4171</v>
      </c>
      <c r="AK573" s="314">
        <v>1.3874</v>
      </c>
      <c r="AL573" s="314">
        <v>1.3645</v>
      </c>
      <c r="AM573" s="314">
        <v>1.544</v>
      </c>
      <c r="AN573" s="314">
        <v>1.4666999999999999</v>
      </c>
      <c r="AO573" s="314">
        <v>1.4705999999999999</v>
      </c>
      <c r="AP573" s="314">
        <v>1.5355000000000001</v>
      </c>
      <c r="AQ573" s="314">
        <v>0</v>
      </c>
      <c r="AR573" s="314">
        <v>1.4238999999999999</v>
      </c>
      <c r="AS573" s="314">
        <v>0</v>
      </c>
      <c r="AT573" s="314">
        <v>1.4682999999999999</v>
      </c>
      <c r="AU573" s="314">
        <v>1.5653999999999999</v>
      </c>
      <c r="AV573" s="314">
        <v>0</v>
      </c>
      <c r="AW573" s="314">
        <v>1.4285000000000001</v>
      </c>
      <c r="AX573" s="314">
        <v>0</v>
      </c>
      <c r="AY573" s="314">
        <v>1.4293</v>
      </c>
      <c r="AZ573" s="314">
        <v>1.4520999999999999</v>
      </c>
      <c r="BA573" s="314">
        <v>0</v>
      </c>
      <c r="BB573" s="314">
        <v>1.377</v>
      </c>
      <c r="BC573" s="314">
        <v>1.393</v>
      </c>
      <c r="BD573" s="314">
        <v>1.486</v>
      </c>
      <c r="BE573" s="314">
        <v>1.5516000000000001</v>
      </c>
      <c r="BF573" s="314">
        <v>1.4498</v>
      </c>
      <c r="BG573" s="314">
        <v>1.4994000000000001</v>
      </c>
      <c r="BH573" s="314">
        <v>1.4849000000000001</v>
      </c>
      <c r="BI573" s="314">
        <v>1.5862000000000001</v>
      </c>
      <c r="BJ573" s="314">
        <v>1.5377000000000001</v>
      </c>
      <c r="BK573" s="314">
        <v>1.4817</v>
      </c>
    </row>
    <row r="574" spans="1:63" x14ac:dyDescent="0.25">
      <c r="A574" s="306">
        <v>327993</v>
      </c>
      <c r="B574" s="314" t="s">
        <v>149</v>
      </c>
      <c r="C574" s="314">
        <v>1.8576999999999999</v>
      </c>
      <c r="D574" s="314">
        <v>0</v>
      </c>
      <c r="E574" s="314">
        <v>1.5599000000000001</v>
      </c>
      <c r="F574" s="314">
        <v>1.4970000000000001</v>
      </c>
      <c r="G574" s="314">
        <v>1.421</v>
      </c>
      <c r="H574" s="314">
        <v>1.5125999999999999</v>
      </c>
      <c r="I574" s="314">
        <v>1.4992000000000001</v>
      </c>
      <c r="J574" s="314">
        <v>1.4809000000000001</v>
      </c>
      <c r="K574" s="314">
        <v>0</v>
      </c>
      <c r="L574" s="314">
        <v>0</v>
      </c>
      <c r="M574" s="314">
        <v>1.3935</v>
      </c>
      <c r="N574" s="314">
        <v>1.5842000000000001</v>
      </c>
      <c r="O574" s="314">
        <v>1.2929999999999999</v>
      </c>
      <c r="P574" s="314">
        <v>1.3680000000000001</v>
      </c>
      <c r="Q574" s="314">
        <v>1.3389</v>
      </c>
      <c r="R574" s="314">
        <v>1.6417999999999999</v>
      </c>
      <c r="S574" s="314">
        <v>1.5686</v>
      </c>
      <c r="T574" s="314">
        <v>1.4450000000000001</v>
      </c>
      <c r="U574" s="314">
        <v>1.5826</v>
      </c>
      <c r="V574" s="314">
        <v>1.5395000000000001</v>
      </c>
      <c r="W574" s="314">
        <v>1.5016</v>
      </c>
      <c r="X574" s="314">
        <v>0</v>
      </c>
      <c r="Y574" s="314">
        <v>1.3871</v>
      </c>
      <c r="Z574" s="314">
        <v>1.5669</v>
      </c>
      <c r="AA574" s="314">
        <v>1.5265</v>
      </c>
      <c r="AB574" s="314">
        <v>1.5770999999999999</v>
      </c>
      <c r="AC574" s="314">
        <v>1.4621999999999999</v>
      </c>
      <c r="AD574" s="314">
        <v>0</v>
      </c>
      <c r="AE574" s="314">
        <v>1.5516000000000001</v>
      </c>
      <c r="AF574" s="314">
        <v>1.3298000000000001</v>
      </c>
      <c r="AG574" s="314">
        <v>1.369</v>
      </c>
      <c r="AH574" s="314">
        <v>0</v>
      </c>
      <c r="AI574" s="314">
        <v>1.5854999999999999</v>
      </c>
      <c r="AJ574" s="314">
        <v>1.3657999999999999</v>
      </c>
      <c r="AK574" s="314">
        <v>1.3741000000000001</v>
      </c>
      <c r="AL574" s="314">
        <v>1.4298999999999999</v>
      </c>
      <c r="AM574" s="314">
        <v>1.6900999999999999</v>
      </c>
      <c r="AN574" s="314">
        <v>1.4921</v>
      </c>
      <c r="AO574" s="314">
        <v>1.5662</v>
      </c>
      <c r="AP574" s="314">
        <v>1.673</v>
      </c>
      <c r="AQ574" s="314">
        <v>1.4555</v>
      </c>
      <c r="AR574" s="314">
        <v>1.5658000000000001</v>
      </c>
      <c r="AS574" s="314">
        <v>1.294</v>
      </c>
      <c r="AT574" s="314">
        <v>1.5729</v>
      </c>
      <c r="AU574" s="314">
        <v>1.6721999999999999</v>
      </c>
      <c r="AV574" s="314">
        <v>1.5584</v>
      </c>
      <c r="AW574" s="314">
        <v>1.5303</v>
      </c>
      <c r="AX574" s="314">
        <v>0</v>
      </c>
      <c r="AY574" s="314">
        <v>1.4796</v>
      </c>
      <c r="AZ574" s="314">
        <v>1.5284</v>
      </c>
      <c r="BA574" s="314">
        <v>1.4956</v>
      </c>
      <c r="BB574" s="314">
        <v>0</v>
      </c>
      <c r="BC574" s="314">
        <v>1.5467</v>
      </c>
      <c r="BD574" s="314">
        <v>1.6031</v>
      </c>
      <c r="BE574" s="314">
        <v>1.6883999999999999</v>
      </c>
      <c r="BF574" s="314">
        <v>1.552</v>
      </c>
      <c r="BG574" s="314">
        <v>1.6083000000000001</v>
      </c>
      <c r="BH574" s="314">
        <v>1.6365000000000001</v>
      </c>
      <c r="BI574" s="314">
        <v>1.6829000000000001</v>
      </c>
      <c r="BJ574" s="314">
        <v>1.5195000000000001</v>
      </c>
      <c r="BK574" s="314">
        <v>1.5396000000000001</v>
      </c>
    </row>
    <row r="575" spans="1:63" x14ac:dyDescent="0.25">
      <c r="A575" s="306">
        <v>327999</v>
      </c>
      <c r="B575" s="314" t="s">
        <v>721</v>
      </c>
      <c r="C575" s="314">
        <v>2.0146999999999999</v>
      </c>
      <c r="D575" s="314">
        <v>0</v>
      </c>
      <c r="E575" s="314">
        <v>1.6958</v>
      </c>
      <c r="F575" s="314">
        <v>1.6404000000000001</v>
      </c>
      <c r="G575" s="314">
        <v>1.5853999999999999</v>
      </c>
      <c r="H575" s="314">
        <v>1.6535</v>
      </c>
      <c r="I575" s="314">
        <v>1.6684000000000001</v>
      </c>
      <c r="J575" s="314">
        <v>1.4570000000000001</v>
      </c>
      <c r="K575" s="314">
        <v>1.1554</v>
      </c>
      <c r="L575" s="314">
        <v>1.427</v>
      </c>
      <c r="M575" s="314">
        <v>1.5809</v>
      </c>
      <c r="N575" s="314">
        <v>1.7438</v>
      </c>
      <c r="O575" s="314">
        <v>1.3031999999999999</v>
      </c>
      <c r="P575" s="314">
        <v>1.5202</v>
      </c>
      <c r="Q575" s="314">
        <v>1.4494</v>
      </c>
      <c r="R575" s="314">
        <v>1.7745</v>
      </c>
      <c r="S575" s="314">
        <v>1.7619</v>
      </c>
      <c r="T575" s="314">
        <v>1.5843</v>
      </c>
      <c r="U575" s="314">
        <v>1.7161999999999999</v>
      </c>
      <c r="V575" s="314">
        <v>1.6002000000000001</v>
      </c>
      <c r="W575" s="314">
        <v>1.5348999999999999</v>
      </c>
      <c r="X575" s="314">
        <v>1.5702</v>
      </c>
      <c r="Y575" s="314">
        <v>1.5432999999999999</v>
      </c>
      <c r="Z575" s="314">
        <v>1.7079</v>
      </c>
      <c r="AA575" s="314">
        <v>1.5821000000000001</v>
      </c>
      <c r="AB575" s="314">
        <v>1.7685999999999999</v>
      </c>
      <c r="AC575" s="314">
        <v>0</v>
      </c>
      <c r="AD575" s="314">
        <v>1.4441999999999999</v>
      </c>
      <c r="AE575" s="314">
        <v>1.5711999999999999</v>
      </c>
      <c r="AF575" s="314">
        <v>0</v>
      </c>
      <c r="AG575" s="314">
        <v>1.536</v>
      </c>
      <c r="AH575" s="314">
        <v>1.4990000000000001</v>
      </c>
      <c r="AI575" s="314">
        <v>1.6269</v>
      </c>
      <c r="AJ575" s="314">
        <v>1.5003</v>
      </c>
      <c r="AK575" s="314">
        <v>1.5448999999999999</v>
      </c>
      <c r="AL575" s="314">
        <v>1.4744999999999999</v>
      </c>
      <c r="AM575" s="314">
        <v>1.7766</v>
      </c>
      <c r="AN575" s="314">
        <v>1.6429</v>
      </c>
      <c r="AO575" s="314">
        <v>1.6772</v>
      </c>
      <c r="AP575" s="314">
        <v>1.8532</v>
      </c>
      <c r="AQ575" s="314">
        <v>1.4399</v>
      </c>
      <c r="AR575" s="314">
        <v>1.7040999999999999</v>
      </c>
      <c r="AS575" s="314">
        <v>1.4552</v>
      </c>
      <c r="AT575" s="314">
        <v>1.7381</v>
      </c>
      <c r="AU575" s="314">
        <v>1.8182</v>
      </c>
      <c r="AV575" s="314">
        <v>1.7587999999999999</v>
      </c>
      <c r="AW575" s="314">
        <v>1.6331</v>
      </c>
      <c r="AX575" s="314">
        <v>1.3468</v>
      </c>
      <c r="AY575" s="314">
        <v>1.593</v>
      </c>
      <c r="AZ575" s="314">
        <v>1.5722</v>
      </c>
      <c r="BA575" s="314">
        <v>1.6194999999999999</v>
      </c>
      <c r="BB575" s="314">
        <v>0</v>
      </c>
      <c r="BC575" s="314">
        <v>1.5689</v>
      </c>
      <c r="BD575" s="314">
        <v>1.7202999999999999</v>
      </c>
      <c r="BE575" s="314">
        <v>1.863</v>
      </c>
      <c r="BF575" s="314">
        <v>1.7462</v>
      </c>
      <c r="BG575" s="314">
        <v>1.7571000000000001</v>
      </c>
      <c r="BH575" s="314">
        <v>1.7844</v>
      </c>
      <c r="BI575" s="314">
        <v>1.8315999999999999</v>
      </c>
      <c r="BJ575" s="314">
        <v>1.7014</v>
      </c>
      <c r="BK575" s="314">
        <v>1.6737</v>
      </c>
    </row>
    <row r="576" spans="1:63" x14ac:dyDescent="0.25">
      <c r="A576" s="306">
        <v>331110</v>
      </c>
      <c r="B576" s="314" t="s">
        <v>150</v>
      </c>
      <c r="C576" s="314">
        <v>2.0815999999999999</v>
      </c>
      <c r="D576" s="314">
        <v>1.3156000000000001</v>
      </c>
      <c r="E576" s="314">
        <v>1.7722</v>
      </c>
      <c r="F576" s="314">
        <v>1.6553</v>
      </c>
      <c r="G576" s="314">
        <v>1.4961</v>
      </c>
      <c r="H576" s="314">
        <v>1.5616000000000001</v>
      </c>
      <c r="I576" s="314">
        <v>1.6516999999999999</v>
      </c>
      <c r="J576" s="314">
        <v>1.5348999999999999</v>
      </c>
      <c r="K576" s="314">
        <v>1.1678999999999999</v>
      </c>
      <c r="L576" s="314">
        <v>1.5259</v>
      </c>
      <c r="M576" s="314">
        <v>1.4388000000000001</v>
      </c>
      <c r="N576" s="314">
        <v>1.5860000000000001</v>
      </c>
      <c r="O576" s="314">
        <v>1.3151999999999999</v>
      </c>
      <c r="P576" s="314">
        <v>1.482</v>
      </c>
      <c r="Q576" s="314">
        <v>1.3523000000000001</v>
      </c>
      <c r="R576" s="314">
        <v>1.8436999999999999</v>
      </c>
      <c r="S576" s="314">
        <v>1.7757000000000001</v>
      </c>
      <c r="T576" s="314">
        <v>1.5176000000000001</v>
      </c>
      <c r="U576" s="314">
        <v>1.752</v>
      </c>
      <c r="V576" s="314">
        <v>1.5973999999999999</v>
      </c>
      <c r="W576" s="314">
        <v>1.5035000000000001</v>
      </c>
      <c r="X576" s="314">
        <v>1.5411999999999999</v>
      </c>
      <c r="Y576" s="314">
        <v>0</v>
      </c>
      <c r="Z576" s="314">
        <v>1.7829999999999999</v>
      </c>
      <c r="AA576" s="314">
        <v>1.6074999999999999</v>
      </c>
      <c r="AB576" s="314">
        <v>1.6482000000000001</v>
      </c>
      <c r="AC576" s="314">
        <v>1.5914999999999999</v>
      </c>
      <c r="AD576" s="314">
        <v>1.4001999999999999</v>
      </c>
      <c r="AE576" s="314">
        <v>1.5429999999999999</v>
      </c>
      <c r="AF576" s="314">
        <v>1.3919999999999999</v>
      </c>
      <c r="AG576" s="314">
        <v>1.4441999999999999</v>
      </c>
      <c r="AH576" s="314">
        <v>1.4806999999999999</v>
      </c>
      <c r="AI576" s="314">
        <v>1.5672999999999999</v>
      </c>
      <c r="AJ576" s="314">
        <v>1.4260999999999999</v>
      </c>
      <c r="AK576" s="314">
        <v>0</v>
      </c>
      <c r="AL576" s="314">
        <v>1.4527000000000001</v>
      </c>
      <c r="AM576" s="314">
        <v>1.8509</v>
      </c>
      <c r="AN576" s="314">
        <v>1.6572</v>
      </c>
      <c r="AO576" s="314">
        <v>1.6751</v>
      </c>
      <c r="AP576" s="314">
        <v>1.87</v>
      </c>
      <c r="AQ576" s="314">
        <v>1.4195</v>
      </c>
      <c r="AR576" s="314">
        <v>1.6808000000000001</v>
      </c>
      <c r="AS576" s="314">
        <v>0</v>
      </c>
      <c r="AT576" s="314">
        <v>1.7060999999999999</v>
      </c>
      <c r="AU576" s="314">
        <v>1.7727999999999999</v>
      </c>
      <c r="AV576" s="314">
        <v>1.7557</v>
      </c>
      <c r="AW576" s="314">
        <v>1.5720000000000001</v>
      </c>
      <c r="AX576" s="314">
        <v>1.343</v>
      </c>
      <c r="AY576" s="314">
        <v>1.5278</v>
      </c>
      <c r="AZ576" s="314">
        <v>1.5742</v>
      </c>
      <c r="BA576" s="314">
        <v>1.6936</v>
      </c>
      <c r="BB576" s="314">
        <v>0</v>
      </c>
      <c r="BC576" s="314">
        <v>1.5511999999999999</v>
      </c>
      <c r="BD576" s="314">
        <v>1.7539</v>
      </c>
      <c r="BE576" s="314">
        <v>1.9219999999999999</v>
      </c>
      <c r="BF576" s="314">
        <v>1.6697</v>
      </c>
      <c r="BG576" s="314">
        <v>1.6778999999999999</v>
      </c>
      <c r="BH576" s="314">
        <v>1.8184</v>
      </c>
      <c r="BI576" s="314">
        <v>1.8216000000000001</v>
      </c>
      <c r="BJ576" s="314">
        <v>1.637</v>
      </c>
      <c r="BK576" s="314">
        <v>1.5965</v>
      </c>
    </row>
    <row r="577" spans="1:63" x14ac:dyDescent="0.25">
      <c r="A577" s="306">
        <v>331200</v>
      </c>
      <c r="B577" s="314" t="s">
        <v>151</v>
      </c>
      <c r="C577" s="314">
        <v>2.1707000000000001</v>
      </c>
      <c r="D577" s="314">
        <v>1.2230000000000001</v>
      </c>
      <c r="E577" s="314">
        <v>1.8794999999999999</v>
      </c>
      <c r="F577" s="314">
        <v>1.7994000000000001</v>
      </c>
      <c r="G577" s="314">
        <v>1.411</v>
      </c>
      <c r="H577" s="314">
        <v>1.5518000000000001</v>
      </c>
      <c r="I577" s="314">
        <v>1.6173</v>
      </c>
      <c r="J577" s="314">
        <v>1.5728</v>
      </c>
      <c r="K577" s="314">
        <v>0</v>
      </c>
      <c r="L577" s="314">
        <v>1.6838</v>
      </c>
      <c r="M577" s="314">
        <v>1.4080999999999999</v>
      </c>
      <c r="N577" s="314">
        <v>1.5248999999999999</v>
      </c>
      <c r="O577" s="314">
        <v>1.2456</v>
      </c>
      <c r="P577" s="314">
        <v>1.5548999999999999</v>
      </c>
      <c r="Q577" s="314">
        <v>1.2939000000000001</v>
      </c>
      <c r="R577" s="314">
        <v>2.0222000000000002</v>
      </c>
      <c r="S577" s="314">
        <v>1.9141999999999999</v>
      </c>
      <c r="T577" s="314">
        <v>1.454</v>
      </c>
      <c r="U577" s="314">
        <v>1.8987000000000001</v>
      </c>
      <c r="V577" s="314">
        <v>1.6307</v>
      </c>
      <c r="W577" s="314">
        <v>1.4923</v>
      </c>
      <c r="X577" s="314">
        <v>1.6931</v>
      </c>
      <c r="Y577" s="314">
        <v>1.3439000000000001</v>
      </c>
      <c r="Z577" s="314">
        <v>1.9325000000000001</v>
      </c>
      <c r="AA577" s="314">
        <v>1.5648</v>
      </c>
      <c r="AB577" s="314">
        <v>1.5763</v>
      </c>
      <c r="AC577" s="314">
        <v>1.7474000000000001</v>
      </c>
      <c r="AD577" s="314">
        <v>1.2557</v>
      </c>
      <c r="AE577" s="314">
        <v>1.5969</v>
      </c>
      <c r="AF577" s="314">
        <v>0</v>
      </c>
      <c r="AG577" s="314">
        <v>1.468</v>
      </c>
      <c r="AH577" s="314">
        <v>1.5026999999999999</v>
      </c>
      <c r="AI577" s="314">
        <v>1.5728</v>
      </c>
      <c r="AJ577" s="314">
        <v>0</v>
      </c>
      <c r="AK577" s="314">
        <v>1.3069</v>
      </c>
      <c r="AL577" s="314">
        <v>1.4185000000000001</v>
      </c>
      <c r="AM577" s="314">
        <v>2.0038999999999998</v>
      </c>
      <c r="AN577" s="314">
        <v>1.8236000000000001</v>
      </c>
      <c r="AO577" s="314">
        <v>1.7926</v>
      </c>
      <c r="AP577" s="314">
        <v>2.0186000000000002</v>
      </c>
      <c r="AQ577" s="314">
        <v>1.4252</v>
      </c>
      <c r="AR577" s="314">
        <v>1.8682000000000001</v>
      </c>
      <c r="AS577" s="314">
        <v>1.2281</v>
      </c>
      <c r="AT577" s="314">
        <v>1.7879</v>
      </c>
      <c r="AU577" s="314">
        <v>1.8391</v>
      </c>
      <c r="AV577" s="314">
        <v>1.8043</v>
      </c>
      <c r="AW577" s="314">
        <v>1.5033000000000001</v>
      </c>
      <c r="AX577" s="314">
        <v>1.2907</v>
      </c>
      <c r="AY577" s="314">
        <v>1.4736</v>
      </c>
      <c r="AZ577" s="314">
        <v>1.577</v>
      </c>
      <c r="BA577" s="314">
        <v>1.7113</v>
      </c>
      <c r="BB577" s="314">
        <v>0</v>
      </c>
      <c r="BC577" s="314">
        <v>1.5597000000000001</v>
      </c>
      <c r="BD577" s="314">
        <v>1.9322999999999999</v>
      </c>
      <c r="BE577" s="314">
        <v>2.0331000000000001</v>
      </c>
      <c r="BF577" s="314">
        <v>1.5927</v>
      </c>
      <c r="BG577" s="314">
        <v>1.6772</v>
      </c>
      <c r="BH577" s="314">
        <v>1.9435</v>
      </c>
      <c r="BI577" s="314">
        <v>1.9623999999999999</v>
      </c>
      <c r="BJ577" s="314">
        <v>1.5299</v>
      </c>
      <c r="BK577" s="314">
        <v>1.5783</v>
      </c>
    </row>
    <row r="578" spans="1:63" x14ac:dyDescent="0.25">
      <c r="A578" s="306">
        <v>331314</v>
      </c>
      <c r="B578" s="314" t="s">
        <v>153</v>
      </c>
      <c r="C578" s="314">
        <v>2.0762999999999998</v>
      </c>
      <c r="D578" s="314">
        <v>0</v>
      </c>
      <c r="E578" s="314">
        <v>1.6780999999999999</v>
      </c>
      <c r="F578" s="314">
        <v>1.7743</v>
      </c>
      <c r="G578" s="314">
        <v>0</v>
      </c>
      <c r="H578" s="314">
        <v>1.6415999999999999</v>
      </c>
      <c r="I578" s="314">
        <v>0</v>
      </c>
      <c r="J578" s="314">
        <v>0</v>
      </c>
      <c r="K578" s="314">
        <v>0</v>
      </c>
      <c r="L578" s="314">
        <v>0</v>
      </c>
      <c r="M578" s="314">
        <v>1.4986999999999999</v>
      </c>
      <c r="N578" s="314">
        <v>1.6413</v>
      </c>
      <c r="O578" s="314">
        <v>0</v>
      </c>
      <c r="P578" s="314">
        <v>1.4650000000000001</v>
      </c>
      <c r="Q578" s="314">
        <v>1.4238999999999999</v>
      </c>
      <c r="R578" s="314">
        <v>1.7545999999999999</v>
      </c>
      <c r="S578" s="314">
        <v>1.857</v>
      </c>
      <c r="T578" s="314">
        <v>1.4933000000000001</v>
      </c>
      <c r="U578" s="314">
        <v>1.8346</v>
      </c>
      <c r="V578" s="314">
        <v>1.7008000000000001</v>
      </c>
      <c r="W578" s="314">
        <v>1.5254000000000001</v>
      </c>
      <c r="X578" s="314">
        <v>1.5224</v>
      </c>
      <c r="Y578" s="314">
        <v>0</v>
      </c>
      <c r="Z578" s="314">
        <v>1.7001999999999999</v>
      </c>
      <c r="AA578" s="314">
        <v>1.6377999999999999</v>
      </c>
      <c r="AB578" s="314">
        <v>1.8182</v>
      </c>
      <c r="AC578" s="314">
        <v>0</v>
      </c>
      <c r="AD578" s="314">
        <v>0</v>
      </c>
      <c r="AE578" s="314">
        <v>1.5753999999999999</v>
      </c>
      <c r="AF578" s="314">
        <v>0</v>
      </c>
      <c r="AG578" s="314">
        <v>0</v>
      </c>
      <c r="AH578" s="314">
        <v>0</v>
      </c>
      <c r="AI578" s="314">
        <v>1.6264000000000001</v>
      </c>
      <c r="AJ578" s="314">
        <v>0</v>
      </c>
      <c r="AK578" s="314">
        <v>0</v>
      </c>
      <c r="AL578" s="314">
        <v>1.6027</v>
      </c>
      <c r="AM578" s="314">
        <v>1.9342999999999999</v>
      </c>
      <c r="AN578" s="314">
        <v>1.5590999999999999</v>
      </c>
      <c r="AO578" s="314">
        <v>1.6755</v>
      </c>
      <c r="AP578" s="314">
        <v>1.7985</v>
      </c>
      <c r="AQ578" s="314">
        <v>0</v>
      </c>
      <c r="AR578" s="314">
        <v>1.7178</v>
      </c>
      <c r="AS578" s="314">
        <v>0</v>
      </c>
      <c r="AT578" s="314">
        <v>1.8716999999999999</v>
      </c>
      <c r="AU578" s="314">
        <v>1.8101</v>
      </c>
      <c r="AV578" s="314">
        <v>0</v>
      </c>
      <c r="AW578" s="314">
        <v>0</v>
      </c>
      <c r="AX578" s="314">
        <v>0</v>
      </c>
      <c r="AY578" s="314">
        <v>1.6545000000000001</v>
      </c>
      <c r="AZ578" s="314">
        <v>1.6165</v>
      </c>
      <c r="BA578" s="314">
        <v>0</v>
      </c>
      <c r="BB578" s="314">
        <v>0</v>
      </c>
      <c r="BC578" s="314">
        <v>1.5588</v>
      </c>
      <c r="BD578" s="314">
        <v>1.7696000000000001</v>
      </c>
      <c r="BE578" s="314">
        <v>1.9462999999999999</v>
      </c>
      <c r="BF578" s="314">
        <v>1.7606999999999999</v>
      </c>
      <c r="BG578" s="314">
        <v>1.6983999999999999</v>
      </c>
      <c r="BH578" s="314">
        <v>1.8958999999999999</v>
      </c>
      <c r="BI578" s="314">
        <v>1.9000999999999999</v>
      </c>
      <c r="BJ578" s="314">
        <v>1.5909</v>
      </c>
      <c r="BK578" s="314">
        <v>1.708</v>
      </c>
    </row>
    <row r="579" spans="1:63" x14ac:dyDescent="0.25">
      <c r="A579" s="306" t="s">
        <v>722</v>
      </c>
      <c r="B579" s="314" t="s">
        <v>152</v>
      </c>
      <c r="C579" s="314">
        <v>2.0695000000000001</v>
      </c>
      <c r="D579" s="314">
        <v>0</v>
      </c>
      <c r="E579" s="314">
        <v>1.6762999999999999</v>
      </c>
      <c r="F579" s="314">
        <v>1.7984</v>
      </c>
      <c r="G579" s="314">
        <v>1.5329999999999999</v>
      </c>
      <c r="H579" s="314">
        <v>1.5634999999999999</v>
      </c>
      <c r="I579" s="314">
        <v>0</v>
      </c>
      <c r="J579" s="314">
        <v>0</v>
      </c>
      <c r="K579" s="314">
        <v>0</v>
      </c>
      <c r="L579" s="314">
        <v>0</v>
      </c>
      <c r="M579" s="314">
        <v>1.4409000000000001</v>
      </c>
      <c r="N579" s="314">
        <v>1.5477000000000001</v>
      </c>
      <c r="O579" s="314">
        <v>0</v>
      </c>
      <c r="P579" s="314">
        <v>0</v>
      </c>
      <c r="Q579" s="314">
        <v>1.3856999999999999</v>
      </c>
      <c r="R579" s="314">
        <v>1.6798999999999999</v>
      </c>
      <c r="S579" s="314">
        <v>1.7834000000000001</v>
      </c>
      <c r="T579" s="314">
        <v>0</v>
      </c>
      <c r="U579" s="314">
        <v>1.8199000000000001</v>
      </c>
      <c r="V579" s="314">
        <v>1.7419</v>
      </c>
      <c r="W579" s="314">
        <v>1.4381999999999999</v>
      </c>
      <c r="X579" s="314">
        <v>1.4888999999999999</v>
      </c>
      <c r="Y579" s="314">
        <v>0</v>
      </c>
      <c r="Z579" s="314">
        <v>0</v>
      </c>
      <c r="AA579" s="314">
        <v>1.5718000000000001</v>
      </c>
      <c r="AB579" s="314">
        <v>1.762</v>
      </c>
      <c r="AC579" s="314">
        <v>0</v>
      </c>
      <c r="AD579" s="314">
        <v>1.5529999999999999</v>
      </c>
      <c r="AE579" s="314">
        <v>1.5148999999999999</v>
      </c>
      <c r="AF579" s="314">
        <v>0</v>
      </c>
      <c r="AG579" s="314">
        <v>0</v>
      </c>
      <c r="AH579" s="314">
        <v>1.4776</v>
      </c>
      <c r="AI579" s="314">
        <v>1.5192000000000001</v>
      </c>
      <c r="AJ579" s="314">
        <v>0</v>
      </c>
      <c r="AK579" s="314">
        <v>0</v>
      </c>
      <c r="AL579" s="314">
        <v>1.6185</v>
      </c>
      <c r="AM579" s="314">
        <v>1.9179999999999999</v>
      </c>
      <c r="AN579" s="314">
        <v>1.5822000000000001</v>
      </c>
      <c r="AO579" s="314">
        <v>1.6607000000000001</v>
      </c>
      <c r="AP579" s="314">
        <v>1.7849999999999999</v>
      </c>
      <c r="AQ579" s="314">
        <v>0</v>
      </c>
      <c r="AR579" s="314">
        <v>1.6718999999999999</v>
      </c>
      <c r="AS579" s="314">
        <v>0</v>
      </c>
      <c r="AT579" s="314">
        <v>1.8174999999999999</v>
      </c>
      <c r="AU579" s="314">
        <v>1.8426</v>
      </c>
      <c r="AV579" s="314">
        <v>0</v>
      </c>
      <c r="AW579" s="314">
        <v>0</v>
      </c>
      <c r="AX579" s="314">
        <v>0</v>
      </c>
      <c r="AY579" s="314">
        <v>1.6097999999999999</v>
      </c>
      <c r="AZ579" s="314">
        <v>0</v>
      </c>
      <c r="BA579" s="314">
        <v>1.6915</v>
      </c>
      <c r="BB579" s="314">
        <v>0</v>
      </c>
      <c r="BC579" s="314">
        <v>1.4675</v>
      </c>
      <c r="BD579" s="314">
        <v>1.7493000000000001</v>
      </c>
      <c r="BE579" s="314">
        <v>1.9166000000000001</v>
      </c>
      <c r="BF579" s="314">
        <v>1.7259</v>
      </c>
      <c r="BG579" s="314">
        <v>1.6744000000000001</v>
      </c>
      <c r="BH579" s="314">
        <v>1.8724000000000001</v>
      </c>
      <c r="BI579" s="314">
        <v>1.9259999999999999</v>
      </c>
      <c r="BJ579" s="314">
        <v>1.67</v>
      </c>
      <c r="BK579" s="314">
        <v>1.6556999999999999</v>
      </c>
    </row>
    <row r="580" spans="1:63" x14ac:dyDescent="0.25">
      <c r="A580" s="306" t="s">
        <v>723</v>
      </c>
      <c r="B580" s="314" t="s">
        <v>154</v>
      </c>
      <c r="C580" s="314">
        <v>2.1147999999999998</v>
      </c>
      <c r="D580" s="314">
        <v>0</v>
      </c>
      <c r="E580" s="314">
        <v>1.6517999999999999</v>
      </c>
      <c r="F580" s="314">
        <v>1.8063</v>
      </c>
      <c r="G580" s="314">
        <v>1.5871</v>
      </c>
      <c r="H580" s="314">
        <v>1.6589</v>
      </c>
      <c r="I580" s="314">
        <v>1.3883000000000001</v>
      </c>
      <c r="J580" s="314">
        <v>1.4762999999999999</v>
      </c>
      <c r="K580" s="314">
        <v>0</v>
      </c>
      <c r="L580" s="314">
        <v>0</v>
      </c>
      <c r="M580" s="314">
        <v>1.4131</v>
      </c>
      <c r="N580" s="314">
        <v>1.5669999999999999</v>
      </c>
      <c r="O580" s="314">
        <v>0</v>
      </c>
      <c r="P580" s="314">
        <v>1.452</v>
      </c>
      <c r="Q580" s="314">
        <v>0</v>
      </c>
      <c r="R580" s="314">
        <v>1.6036999999999999</v>
      </c>
      <c r="S580" s="314">
        <v>1.8711</v>
      </c>
      <c r="T580" s="314">
        <v>1.3479000000000001</v>
      </c>
      <c r="U580" s="314">
        <v>1.8562000000000001</v>
      </c>
      <c r="V580" s="314">
        <v>1.6278999999999999</v>
      </c>
      <c r="W580" s="314">
        <v>1.423</v>
      </c>
      <c r="X580" s="314">
        <v>1.3821000000000001</v>
      </c>
      <c r="Y580" s="314">
        <v>0</v>
      </c>
      <c r="Z580" s="314">
        <v>1.6830000000000001</v>
      </c>
      <c r="AA580" s="314">
        <v>1.5241</v>
      </c>
      <c r="AB580" s="314">
        <v>1.8292999999999999</v>
      </c>
      <c r="AC580" s="314">
        <v>1.4488000000000001</v>
      </c>
      <c r="AD580" s="314">
        <v>0</v>
      </c>
      <c r="AE580" s="314">
        <v>1.4621</v>
      </c>
      <c r="AF580" s="314">
        <v>0</v>
      </c>
      <c r="AG580" s="314">
        <v>0</v>
      </c>
      <c r="AH580" s="314">
        <v>1.5175000000000001</v>
      </c>
      <c r="AI580" s="314">
        <v>1.5187999999999999</v>
      </c>
      <c r="AJ580" s="314">
        <v>0</v>
      </c>
      <c r="AK580" s="314">
        <v>1.2266999999999999</v>
      </c>
      <c r="AL580" s="314">
        <v>1.5656000000000001</v>
      </c>
      <c r="AM580" s="314">
        <v>1.964</v>
      </c>
      <c r="AN580" s="314">
        <v>1.4409000000000001</v>
      </c>
      <c r="AO580" s="314">
        <v>1.6975</v>
      </c>
      <c r="AP580" s="314">
        <v>1.7799</v>
      </c>
      <c r="AQ580" s="314">
        <v>0</v>
      </c>
      <c r="AR580" s="314">
        <v>1.7077</v>
      </c>
      <c r="AS580" s="314">
        <v>1.3702000000000001</v>
      </c>
      <c r="AT580" s="314">
        <v>1.8647</v>
      </c>
      <c r="AU580" s="314">
        <v>1.8261000000000001</v>
      </c>
      <c r="AV580" s="314">
        <v>1.4841</v>
      </c>
      <c r="AW580" s="314">
        <v>1.5091000000000001</v>
      </c>
      <c r="AX580" s="314">
        <v>0</v>
      </c>
      <c r="AY580" s="314">
        <v>1.6779999999999999</v>
      </c>
      <c r="AZ580" s="314">
        <v>1.4966999999999999</v>
      </c>
      <c r="BA580" s="314">
        <v>1.6471</v>
      </c>
      <c r="BB580" s="314">
        <v>0</v>
      </c>
      <c r="BC580" s="314">
        <v>1.4671000000000001</v>
      </c>
      <c r="BD580" s="314">
        <v>1.7366999999999999</v>
      </c>
      <c r="BE580" s="314">
        <v>1.9614</v>
      </c>
      <c r="BF580" s="314">
        <v>1.7907999999999999</v>
      </c>
      <c r="BG580" s="314">
        <v>1.6449</v>
      </c>
      <c r="BH580" s="314">
        <v>1.8958999999999999</v>
      </c>
      <c r="BI580" s="314">
        <v>1.9535</v>
      </c>
      <c r="BJ580" s="314">
        <v>1.4963</v>
      </c>
      <c r="BK580" s="314">
        <v>1.7372000000000001</v>
      </c>
    </row>
    <row r="581" spans="1:63" x14ac:dyDescent="0.25">
      <c r="A581" s="306">
        <v>331411</v>
      </c>
      <c r="B581" s="314" t="s">
        <v>155</v>
      </c>
      <c r="C581" s="314">
        <v>1.9488000000000001</v>
      </c>
      <c r="D581" s="314">
        <v>0</v>
      </c>
      <c r="E581" s="314">
        <v>0</v>
      </c>
      <c r="F581" s="314">
        <v>0</v>
      </c>
      <c r="G581" s="314">
        <v>1.7018</v>
      </c>
      <c r="H581" s="314">
        <v>0</v>
      </c>
      <c r="I581" s="314">
        <v>0</v>
      </c>
      <c r="J581" s="314">
        <v>0</v>
      </c>
      <c r="K581" s="314">
        <v>0</v>
      </c>
      <c r="L581" s="314">
        <v>0</v>
      </c>
      <c r="M581" s="314">
        <v>0</v>
      </c>
      <c r="N581" s="314">
        <v>0</v>
      </c>
      <c r="O581" s="314">
        <v>0</v>
      </c>
      <c r="P581" s="314">
        <v>0</v>
      </c>
      <c r="Q581" s="314">
        <v>0</v>
      </c>
      <c r="R581" s="314">
        <v>0</v>
      </c>
      <c r="S581" s="314">
        <v>0</v>
      </c>
      <c r="T581" s="314">
        <v>0</v>
      </c>
      <c r="U581" s="314">
        <v>0</v>
      </c>
      <c r="V581" s="314">
        <v>0</v>
      </c>
      <c r="W581" s="314">
        <v>0</v>
      </c>
      <c r="X581" s="314">
        <v>0</v>
      </c>
      <c r="Y581" s="314">
        <v>0</v>
      </c>
      <c r="Z581" s="314">
        <v>1.5032000000000001</v>
      </c>
      <c r="AA581" s="314">
        <v>0</v>
      </c>
      <c r="AB581" s="314">
        <v>0</v>
      </c>
      <c r="AC581" s="314">
        <v>0</v>
      </c>
      <c r="AD581" s="314">
        <v>0</v>
      </c>
      <c r="AE581" s="314">
        <v>0</v>
      </c>
      <c r="AF581" s="314">
        <v>0</v>
      </c>
      <c r="AG581" s="314">
        <v>0</v>
      </c>
      <c r="AH581" s="314">
        <v>0</v>
      </c>
      <c r="AI581" s="314">
        <v>0</v>
      </c>
      <c r="AJ581" s="314">
        <v>0</v>
      </c>
      <c r="AK581" s="314">
        <v>0</v>
      </c>
      <c r="AL581" s="314">
        <v>0</v>
      </c>
      <c r="AM581" s="314">
        <v>0</v>
      </c>
      <c r="AN581" s="314">
        <v>0</v>
      </c>
      <c r="AO581" s="314">
        <v>0</v>
      </c>
      <c r="AP581" s="314">
        <v>0</v>
      </c>
      <c r="AQ581" s="314">
        <v>1.4293</v>
      </c>
      <c r="AR581" s="314">
        <v>0</v>
      </c>
      <c r="AS581" s="314">
        <v>0</v>
      </c>
      <c r="AT581" s="314">
        <v>0</v>
      </c>
      <c r="AU581" s="314">
        <v>1.5865</v>
      </c>
      <c r="AV581" s="314">
        <v>1.7936000000000001</v>
      </c>
      <c r="AW581" s="314">
        <v>0</v>
      </c>
      <c r="AX581" s="314">
        <v>0</v>
      </c>
      <c r="AY581" s="314">
        <v>0</v>
      </c>
      <c r="AZ581" s="314">
        <v>0</v>
      </c>
      <c r="BA581" s="314">
        <v>0</v>
      </c>
      <c r="BB581" s="314">
        <v>0</v>
      </c>
      <c r="BC581" s="314">
        <v>1.2944</v>
      </c>
      <c r="BD581" s="314">
        <v>0</v>
      </c>
      <c r="BE581" s="314">
        <v>1.3720000000000001</v>
      </c>
      <c r="BF581" s="314">
        <v>0</v>
      </c>
      <c r="BG581" s="314">
        <v>0</v>
      </c>
      <c r="BH581" s="314">
        <v>0</v>
      </c>
      <c r="BI581" s="314">
        <v>1.6317999999999999</v>
      </c>
      <c r="BJ581" s="314">
        <v>1.7434000000000001</v>
      </c>
      <c r="BK581" s="314">
        <v>0</v>
      </c>
    </row>
    <row r="582" spans="1:63" x14ac:dyDescent="0.25">
      <c r="A582" s="306">
        <v>331419</v>
      </c>
      <c r="B582" s="314" t="s">
        <v>156</v>
      </c>
      <c r="C582" s="314">
        <v>1.9823999999999999</v>
      </c>
      <c r="D582" s="314">
        <v>0</v>
      </c>
      <c r="E582" s="314">
        <v>1.4904999999999999</v>
      </c>
      <c r="F582" s="314">
        <v>1.5101</v>
      </c>
      <c r="G582" s="314">
        <v>1.4664999999999999</v>
      </c>
      <c r="H582" s="314">
        <v>1.4286000000000001</v>
      </c>
      <c r="I582" s="314">
        <v>1.6569</v>
      </c>
      <c r="J582" s="314">
        <v>1.4158999999999999</v>
      </c>
      <c r="K582" s="314">
        <v>0</v>
      </c>
      <c r="L582" s="314">
        <v>0</v>
      </c>
      <c r="M582" s="314">
        <v>1.3789</v>
      </c>
      <c r="N582" s="314">
        <v>0</v>
      </c>
      <c r="O582" s="314">
        <v>0</v>
      </c>
      <c r="P582" s="314">
        <v>0</v>
      </c>
      <c r="Q582" s="314">
        <v>1.5081</v>
      </c>
      <c r="R582" s="314">
        <v>1.478</v>
      </c>
      <c r="S582" s="314">
        <v>0</v>
      </c>
      <c r="T582" s="314">
        <v>1.3262</v>
      </c>
      <c r="U582" s="314">
        <v>0</v>
      </c>
      <c r="V582" s="314">
        <v>0</v>
      </c>
      <c r="W582" s="314">
        <v>1.4092</v>
      </c>
      <c r="X582" s="314">
        <v>0</v>
      </c>
      <c r="Y582" s="314">
        <v>0</v>
      </c>
      <c r="Z582" s="314">
        <v>1.4612000000000001</v>
      </c>
      <c r="AA582" s="314">
        <v>1.419</v>
      </c>
      <c r="AB582" s="314">
        <v>1.5528</v>
      </c>
      <c r="AC582" s="314">
        <v>0</v>
      </c>
      <c r="AD582" s="314">
        <v>1.5580000000000001</v>
      </c>
      <c r="AE582" s="314">
        <v>1.4068000000000001</v>
      </c>
      <c r="AF582" s="314">
        <v>1.302</v>
      </c>
      <c r="AG582" s="314">
        <v>0</v>
      </c>
      <c r="AH582" s="314">
        <v>0</v>
      </c>
      <c r="AI582" s="314">
        <v>1.4576</v>
      </c>
      <c r="AJ582" s="314">
        <v>1.5807</v>
      </c>
      <c r="AK582" s="314">
        <v>1.6593</v>
      </c>
      <c r="AL582" s="314">
        <v>1.4055</v>
      </c>
      <c r="AM582" s="314">
        <v>1.5236000000000001</v>
      </c>
      <c r="AN582" s="314">
        <v>0</v>
      </c>
      <c r="AO582" s="314">
        <v>1.4562999999999999</v>
      </c>
      <c r="AP582" s="314">
        <v>1.5523</v>
      </c>
      <c r="AQ582" s="314">
        <v>1.411</v>
      </c>
      <c r="AR582" s="314">
        <v>1.4177999999999999</v>
      </c>
      <c r="AS582" s="314">
        <v>1.4641</v>
      </c>
      <c r="AT582" s="314">
        <v>1.5201</v>
      </c>
      <c r="AU582" s="314">
        <v>1.5447</v>
      </c>
      <c r="AV582" s="314">
        <v>1.8366</v>
      </c>
      <c r="AW582" s="314">
        <v>0</v>
      </c>
      <c r="AX582" s="314">
        <v>0</v>
      </c>
      <c r="AY582" s="314">
        <v>1.4861</v>
      </c>
      <c r="AZ582" s="314">
        <v>0</v>
      </c>
      <c r="BA582" s="314">
        <v>0</v>
      </c>
      <c r="BB582" s="314">
        <v>0</v>
      </c>
      <c r="BC582" s="314">
        <v>1.4579</v>
      </c>
      <c r="BD582" s="314">
        <v>1.5232000000000001</v>
      </c>
      <c r="BE582" s="314">
        <v>1.5293000000000001</v>
      </c>
      <c r="BF582" s="314">
        <v>1.4988999999999999</v>
      </c>
      <c r="BG582" s="314">
        <v>1.4802999999999999</v>
      </c>
      <c r="BH582" s="314">
        <v>1.5529999999999999</v>
      </c>
      <c r="BI582" s="314">
        <v>1.5573999999999999</v>
      </c>
      <c r="BJ582" s="314">
        <v>1.8117000000000001</v>
      </c>
      <c r="BK582" s="314">
        <v>1.6293</v>
      </c>
    </row>
    <row r="583" spans="1:63" x14ac:dyDescent="0.25">
      <c r="A583" s="306">
        <v>331420</v>
      </c>
      <c r="B583" s="314" t="s">
        <v>157</v>
      </c>
      <c r="C583" s="314">
        <v>2.1156999999999999</v>
      </c>
      <c r="D583" s="314">
        <v>0</v>
      </c>
      <c r="E583" s="314">
        <v>1.6751</v>
      </c>
      <c r="F583" s="314">
        <v>1.6547000000000001</v>
      </c>
      <c r="G583" s="314">
        <v>1.6212</v>
      </c>
      <c r="H583" s="314">
        <v>1.4548000000000001</v>
      </c>
      <c r="I583" s="314">
        <v>1.3776999999999999</v>
      </c>
      <c r="J583" s="314">
        <v>1.7071000000000001</v>
      </c>
      <c r="K583" s="314">
        <v>0</v>
      </c>
      <c r="L583" s="314">
        <v>1.3227</v>
      </c>
      <c r="M583" s="314">
        <v>1.3297000000000001</v>
      </c>
      <c r="N583" s="314">
        <v>1.7271000000000001</v>
      </c>
      <c r="O583" s="314">
        <v>0</v>
      </c>
      <c r="P583" s="314">
        <v>1.5367</v>
      </c>
      <c r="Q583" s="314">
        <v>0</v>
      </c>
      <c r="R583" s="314">
        <v>1.7910999999999999</v>
      </c>
      <c r="S583" s="314">
        <v>1.7042999999999999</v>
      </c>
      <c r="T583" s="314">
        <v>1.583</v>
      </c>
      <c r="U583" s="314">
        <v>1.7090000000000001</v>
      </c>
      <c r="V583" s="314">
        <v>1.3491</v>
      </c>
      <c r="W583" s="314">
        <v>1.7042999999999999</v>
      </c>
      <c r="X583" s="314">
        <v>1.3161</v>
      </c>
      <c r="Y583" s="314">
        <v>1.2902</v>
      </c>
      <c r="Z583" s="314">
        <v>1.6919</v>
      </c>
      <c r="AA583" s="314">
        <v>1.3852</v>
      </c>
      <c r="AB583" s="314">
        <v>1.6313</v>
      </c>
      <c r="AC583" s="314">
        <v>1.5684</v>
      </c>
      <c r="AD583" s="314">
        <v>0</v>
      </c>
      <c r="AE583" s="314">
        <v>1.6873</v>
      </c>
      <c r="AF583" s="314">
        <v>0</v>
      </c>
      <c r="AG583" s="314">
        <v>1.4149</v>
      </c>
      <c r="AH583" s="314">
        <v>1.6546000000000001</v>
      </c>
      <c r="AI583" s="314">
        <v>1.6282000000000001</v>
      </c>
      <c r="AJ583" s="314">
        <v>1.2706</v>
      </c>
      <c r="AK583" s="314">
        <v>0</v>
      </c>
      <c r="AL583" s="314">
        <v>1.6079000000000001</v>
      </c>
      <c r="AM583" s="314">
        <v>1.7578</v>
      </c>
      <c r="AN583" s="314">
        <v>1.5871999999999999</v>
      </c>
      <c r="AO583" s="314">
        <v>1.3646</v>
      </c>
      <c r="AP583" s="314">
        <v>1.7856000000000001</v>
      </c>
      <c r="AQ583" s="314">
        <v>1.7309000000000001</v>
      </c>
      <c r="AR583" s="314">
        <v>1.6951000000000001</v>
      </c>
      <c r="AS583" s="314">
        <v>0</v>
      </c>
      <c r="AT583" s="314">
        <v>1.5987</v>
      </c>
      <c r="AU583" s="314">
        <v>1.7477</v>
      </c>
      <c r="AV583" s="314">
        <v>1.7003999999999999</v>
      </c>
      <c r="AW583" s="314">
        <v>1.4601999999999999</v>
      </c>
      <c r="AX583" s="314">
        <v>1.5417000000000001</v>
      </c>
      <c r="AY583" s="314">
        <v>0</v>
      </c>
      <c r="AZ583" s="314">
        <v>1.4709000000000001</v>
      </c>
      <c r="BA583" s="314">
        <v>1.4238999999999999</v>
      </c>
      <c r="BB583" s="314">
        <v>0</v>
      </c>
      <c r="BC583" s="314">
        <v>1.7339</v>
      </c>
      <c r="BD583" s="314">
        <v>1.7381</v>
      </c>
      <c r="BE583" s="314">
        <v>1.8068</v>
      </c>
      <c r="BF583" s="314">
        <v>1.5558000000000001</v>
      </c>
      <c r="BG583" s="314">
        <v>1.6079000000000001</v>
      </c>
      <c r="BH583" s="314">
        <v>1.7287999999999999</v>
      </c>
      <c r="BI583" s="314">
        <v>1.7826</v>
      </c>
      <c r="BJ583" s="314">
        <v>1.5731999999999999</v>
      </c>
      <c r="BK583" s="314">
        <v>1.4397</v>
      </c>
    </row>
    <row r="584" spans="1:63" x14ac:dyDescent="0.25">
      <c r="A584" s="306">
        <v>331490</v>
      </c>
      <c r="B584" s="314" t="s">
        <v>158</v>
      </c>
      <c r="C584" s="314">
        <v>1.8859999999999999</v>
      </c>
      <c r="D584" s="314">
        <v>0</v>
      </c>
      <c r="E584" s="314">
        <v>1.5741000000000001</v>
      </c>
      <c r="F584" s="314">
        <v>1.5199</v>
      </c>
      <c r="G584" s="314">
        <v>1.4186000000000001</v>
      </c>
      <c r="H584" s="314">
        <v>1.4815</v>
      </c>
      <c r="I584" s="314">
        <v>1.4770000000000001</v>
      </c>
      <c r="J584" s="314">
        <v>1.5342</v>
      </c>
      <c r="K584" s="314">
        <v>0</v>
      </c>
      <c r="L584" s="314">
        <v>0</v>
      </c>
      <c r="M584" s="314">
        <v>1.3720000000000001</v>
      </c>
      <c r="N584" s="314">
        <v>1.5207999999999999</v>
      </c>
      <c r="O584" s="314">
        <v>0</v>
      </c>
      <c r="P584" s="314">
        <v>0</v>
      </c>
      <c r="Q584" s="314">
        <v>1.3506</v>
      </c>
      <c r="R584" s="314">
        <v>1.6248</v>
      </c>
      <c r="S584" s="314">
        <v>1.5730999999999999</v>
      </c>
      <c r="T584" s="314">
        <v>0</v>
      </c>
      <c r="U584" s="314">
        <v>1.5752999999999999</v>
      </c>
      <c r="V584" s="314">
        <v>1.4335</v>
      </c>
      <c r="W584" s="314">
        <v>1.5209999999999999</v>
      </c>
      <c r="X584" s="314">
        <v>1.3818999999999999</v>
      </c>
      <c r="Y584" s="314">
        <v>1.3823000000000001</v>
      </c>
      <c r="Z584" s="314">
        <v>1.5501</v>
      </c>
      <c r="AA584" s="314">
        <v>1.4781</v>
      </c>
      <c r="AB584" s="314">
        <v>1.5772999999999999</v>
      </c>
      <c r="AC584" s="314">
        <v>0</v>
      </c>
      <c r="AD584" s="314">
        <v>1.3162</v>
      </c>
      <c r="AE584" s="314">
        <v>1.5384</v>
      </c>
      <c r="AF584" s="314">
        <v>0</v>
      </c>
      <c r="AG584" s="314">
        <v>0</v>
      </c>
      <c r="AH584" s="314">
        <v>1.4821</v>
      </c>
      <c r="AI584" s="314">
        <v>1.5130999999999999</v>
      </c>
      <c r="AJ584" s="314">
        <v>1.3287</v>
      </c>
      <c r="AK584" s="314">
        <v>1.4024000000000001</v>
      </c>
      <c r="AL584" s="314">
        <v>1.4447000000000001</v>
      </c>
      <c r="AM584" s="314">
        <v>1.6576</v>
      </c>
      <c r="AN584" s="314">
        <v>1.4089</v>
      </c>
      <c r="AO584" s="314">
        <v>1.5042</v>
      </c>
      <c r="AP584" s="314">
        <v>1.6929000000000001</v>
      </c>
      <c r="AQ584" s="314">
        <v>1.4918</v>
      </c>
      <c r="AR584" s="314">
        <v>1.5569999999999999</v>
      </c>
      <c r="AS584" s="314">
        <v>0</v>
      </c>
      <c r="AT584" s="314">
        <v>1.5763</v>
      </c>
      <c r="AU584" s="314">
        <v>1.5912999999999999</v>
      </c>
      <c r="AV584" s="314">
        <v>1.62</v>
      </c>
      <c r="AW584" s="314">
        <v>1.4429000000000001</v>
      </c>
      <c r="AX584" s="314">
        <v>0</v>
      </c>
      <c r="AY584" s="314">
        <v>1.4285000000000001</v>
      </c>
      <c r="AZ584" s="314">
        <v>1.4711000000000001</v>
      </c>
      <c r="BA584" s="314">
        <v>1.4289000000000001</v>
      </c>
      <c r="BB584" s="314">
        <v>0</v>
      </c>
      <c r="BC584" s="314">
        <v>1.5801000000000001</v>
      </c>
      <c r="BD584" s="314">
        <v>1.6368</v>
      </c>
      <c r="BE584" s="314">
        <v>1.6769000000000001</v>
      </c>
      <c r="BF584" s="314">
        <v>1.5139</v>
      </c>
      <c r="BG584" s="314">
        <v>1.5628</v>
      </c>
      <c r="BH584" s="314">
        <v>1.6385000000000001</v>
      </c>
      <c r="BI584" s="314">
        <v>1.6149</v>
      </c>
      <c r="BJ584" s="314">
        <v>1.5489999999999999</v>
      </c>
      <c r="BK584" s="314">
        <v>1.5330999999999999</v>
      </c>
    </row>
    <row r="585" spans="1:63" x14ac:dyDescent="0.25">
      <c r="A585" s="306">
        <v>331510</v>
      </c>
      <c r="B585" s="314" t="s">
        <v>159</v>
      </c>
      <c r="C585" s="314">
        <v>1.7156</v>
      </c>
      <c r="D585" s="314">
        <v>0</v>
      </c>
      <c r="E585" s="314">
        <v>1.4849000000000001</v>
      </c>
      <c r="F585" s="314">
        <v>1.4473</v>
      </c>
      <c r="G585" s="314">
        <v>1.4006000000000001</v>
      </c>
      <c r="H585" s="314">
        <v>1.4702</v>
      </c>
      <c r="I585" s="314">
        <v>1.4878</v>
      </c>
      <c r="J585" s="314">
        <v>1.4673</v>
      </c>
      <c r="K585" s="314">
        <v>0</v>
      </c>
      <c r="L585" s="314">
        <v>0</v>
      </c>
      <c r="M585" s="314">
        <v>1.3716999999999999</v>
      </c>
      <c r="N585" s="314">
        <v>1.4762</v>
      </c>
      <c r="O585" s="314">
        <v>0</v>
      </c>
      <c r="P585" s="314">
        <v>1.3359000000000001</v>
      </c>
      <c r="Q585" s="314">
        <v>1.2919</v>
      </c>
      <c r="R585" s="314">
        <v>1.5944</v>
      </c>
      <c r="S585" s="314">
        <v>1.5043</v>
      </c>
      <c r="T585" s="314">
        <v>1.3736999999999999</v>
      </c>
      <c r="U585" s="314">
        <v>1.4968999999999999</v>
      </c>
      <c r="V585" s="314">
        <v>1.4213</v>
      </c>
      <c r="W585" s="314">
        <v>1.4636</v>
      </c>
      <c r="X585" s="314">
        <v>1.4000999999999999</v>
      </c>
      <c r="Y585" s="314">
        <v>1.3473999999999999</v>
      </c>
      <c r="Z585" s="314">
        <v>1.5432999999999999</v>
      </c>
      <c r="AA585" s="314">
        <v>1.4681999999999999</v>
      </c>
      <c r="AB585" s="314">
        <v>1.5042</v>
      </c>
      <c r="AC585" s="314">
        <v>1.3806</v>
      </c>
      <c r="AD585" s="314">
        <v>1.2686999999999999</v>
      </c>
      <c r="AE585" s="314">
        <v>1.4434</v>
      </c>
      <c r="AF585" s="314">
        <v>0</v>
      </c>
      <c r="AG585" s="314">
        <v>1.3335999999999999</v>
      </c>
      <c r="AH585" s="314">
        <v>1.4240999999999999</v>
      </c>
      <c r="AI585" s="314">
        <v>1.4686999999999999</v>
      </c>
      <c r="AJ585" s="314">
        <v>1.2899</v>
      </c>
      <c r="AK585" s="314">
        <v>1.3536999999999999</v>
      </c>
      <c r="AL585" s="314">
        <v>1.4169</v>
      </c>
      <c r="AM585" s="314">
        <v>1.5916999999999999</v>
      </c>
      <c r="AN585" s="314">
        <v>1.4309000000000001</v>
      </c>
      <c r="AO585" s="314">
        <v>1.5055000000000001</v>
      </c>
      <c r="AP585" s="314">
        <v>1.601</v>
      </c>
      <c r="AQ585" s="314">
        <v>1.3929</v>
      </c>
      <c r="AR585" s="314">
        <v>1.4691000000000001</v>
      </c>
      <c r="AS585" s="314">
        <v>1.2528999999999999</v>
      </c>
      <c r="AT585" s="314">
        <v>1.5019</v>
      </c>
      <c r="AU585" s="314">
        <v>1.5327</v>
      </c>
      <c r="AV585" s="314">
        <v>1.5316000000000001</v>
      </c>
      <c r="AW585" s="314">
        <v>1.4374</v>
      </c>
      <c r="AX585" s="314">
        <v>1.2954000000000001</v>
      </c>
      <c r="AY585" s="314">
        <v>1.4208000000000001</v>
      </c>
      <c r="AZ585" s="314">
        <v>1.4587000000000001</v>
      </c>
      <c r="BA585" s="314">
        <v>1.3952</v>
      </c>
      <c r="BB585" s="314">
        <v>0</v>
      </c>
      <c r="BC585" s="314">
        <v>1.4926999999999999</v>
      </c>
      <c r="BD585" s="314">
        <v>1.5589999999999999</v>
      </c>
      <c r="BE585" s="314">
        <v>1.6085</v>
      </c>
      <c r="BF585" s="314">
        <v>1.4789000000000001</v>
      </c>
      <c r="BG585" s="314">
        <v>1.5053000000000001</v>
      </c>
      <c r="BH585" s="314">
        <v>1.534</v>
      </c>
      <c r="BI585" s="314">
        <v>1.5531999999999999</v>
      </c>
      <c r="BJ585" s="314">
        <v>1.4728000000000001</v>
      </c>
      <c r="BK585" s="314">
        <v>1.4894000000000001</v>
      </c>
    </row>
    <row r="586" spans="1:63" x14ac:dyDescent="0.25">
      <c r="A586" s="306">
        <v>331520</v>
      </c>
      <c r="B586" s="314" t="s">
        <v>160</v>
      </c>
      <c r="C586" s="314">
        <v>1.9171</v>
      </c>
      <c r="D586" s="314">
        <v>0</v>
      </c>
      <c r="E586" s="314">
        <v>1.5238</v>
      </c>
      <c r="F586" s="314">
        <v>1.5753999999999999</v>
      </c>
      <c r="G586" s="314">
        <v>1.4484999999999999</v>
      </c>
      <c r="H586" s="314">
        <v>1.5398000000000001</v>
      </c>
      <c r="I586" s="314">
        <v>1.4591000000000001</v>
      </c>
      <c r="J586" s="314">
        <v>1.5361</v>
      </c>
      <c r="K586" s="314">
        <v>0</v>
      </c>
      <c r="L586" s="314">
        <v>0</v>
      </c>
      <c r="M586" s="314">
        <v>1.3976999999999999</v>
      </c>
      <c r="N586" s="314">
        <v>1.5229999999999999</v>
      </c>
      <c r="O586" s="314">
        <v>0</v>
      </c>
      <c r="P586" s="314">
        <v>1.3657999999999999</v>
      </c>
      <c r="Q586" s="314">
        <v>1.3345</v>
      </c>
      <c r="R586" s="314">
        <v>1.6778999999999999</v>
      </c>
      <c r="S586" s="314">
        <v>1.6646000000000001</v>
      </c>
      <c r="T586" s="314">
        <v>1.3989</v>
      </c>
      <c r="U586" s="314">
        <v>1.6660999999999999</v>
      </c>
      <c r="V586" s="314">
        <v>1.5288999999999999</v>
      </c>
      <c r="W586" s="314">
        <v>1.5122</v>
      </c>
      <c r="X586" s="314">
        <v>1.4067000000000001</v>
      </c>
      <c r="Y586" s="314">
        <v>1.3625</v>
      </c>
      <c r="Z586" s="314">
        <v>1.6143000000000001</v>
      </c>
      <c r="AA586" s="314">
        <v>1.5423</v>
      </c>
      <c r="AB586" s="314">
        <v>1.6829000000000001</v>
      </c>
      <c r="AC586" s="314">
        <v>1.3626</v>
      </c>
      <c r="AD586" s="314">
        <v>1.3210999999999999</v>
      </c>
      <c r="AE586" s="314">
        <v>1.5138</v>
      </c>
      <c r="AF586" s="314">
        <v>0</v>
      </c>
      <c r="AG586" s="314">
        <v>1.3236000000000001</v>
      </c>
      <c r="AH586" s="314">
        <v>1.4719</v>
      </c>
      <c r="AI586" s="314">
        <v>1.5631999999999999</v>
      </c>
      <c r="AJ586" s="314">
        <v>1.2895000000000001</v>
      </c>
      <c r="AK586" s="314">
        <v>1.3491</v>
      </c>
      <c r="AL586" s="314">
        <v>1.5657000000000001</v>
      </c>
      <c r="AM586" s="314">
        <v>1.7712000000000001</v>
      </c>
      <c r="AN586" s="314">
        <v>1.4604999999999999</v>
      </c>
      <c r="AO586" s="314">
        <v>1.5237000000000001</v>
      </c>
      <c r="AP586" s="314">
        <v>1.7022999999999999</v>
      </c>
      <c r="AQ586" s="314">
        <v>1.4651000000000001</v>
      </c>
      <c r="AR586" s="314">
        <v>1.5753999999999999</v>
      </c>
      <c r="AS586" s="314">
        <v>1.2412000000000001</v>
      </c>
      <c r="AT586" s="314">
        <v>1.6698999999999999</v>
      </c>
      <c r="AU586" s="314">
        <v>1.6245000000000001</v>
      </c>
      <c r="AV586" s="314">
        <v>1.5144</v>
      </c>
      <c r="AW586" s="314">
        <v>1.4400999999999999</v>
      </c>
      <c r="AX586" s="314">
        <v>0</v>
      </c>
      <c r="AY586" s="314">
        <v>1.5066999999999999</v>
      </c>
      <c r="AZ586" s="314">
        <v>1.5097</v>
      </c>
      <c r="BA586" s="314">
        <v>1.4365000000000001</v>
      </c>
      <c r="BB586" s="314">
        <v>1.2242</v>
      </c>
      <c r="BC586" s="314">
        <v>1.5555000000000001</v>
      </c>
      <c r="BD586" s="314">
        <v>1.6854</v>
      </c>
      <c r="BE586" s="314">
        <v>1.7894000000000001</v>
      </c>
      <c r="BF586" s="314">
        <v>1.6187</v>
      </c>
      <c r="BG586" s="314">
        <v>1.5696000000000001</v>
      </c>
      <c r="BH586" s="314">
        <v>1.7003999999999999</v>
      </c>
      <c r="BI586" s="314">
        <v>1.6803999999999999</v>
      </c>
      <c r="BJ586" s="314">
        <v>1.4974000000000001</v>
      </c>
      <c r="BK586" s="314">
        <v>1.5832999999999999</v>
      </c>
    </row>
    <row r="587" spans="1:63" x14ac:dyDescent="0.25">
      <c r="A587" s="306">
        <v>332114</v>
      </c>
      <c r="B587" s="314" t="s">
        <v>162</v>
      </c>
      <c r="C587" s="314">
        <v>2.1743000000000001</v>
      </c>
      <c r="D587" s="314">
        <v>1.2144999999999999</v>
      </c>
      <c r="E587" s="314">
        <v>1.8506</v>
      </c>
      <c r="F587" s="314">
        <v>1.784</v>
      </c>
      <c r="G587" s="314">
        <v>0</v>
      </c>
      <c r="H587" s="314">
        <v>1.5837000000000001</v>
      </c>
      <c r="I587" s="314">
        <v>1.6029</v>
      </c>
      <c r="J587" s="314">
        <v>1.5468</v>
      </c>
      <c r="K587" s="314">
        <v>0</v>
      </c>
      <c r="L587" s="314">
        <v>0</v>
      </c>
      <c r="M587" s="314">
        <v>1.4114</v>
      </c>
      <c r="N587" s="314">
        <v>1.544</v>
      </c>
      <c r="O587" s="314">
        <v>0</v>
      </c>
      <c r="P587" s="314">
        <v>0</v>
      </c>
      <c r="Q587" s="314">
        <v>1.2914000000000001</v>
      </c>
      <c r="R587" s="314">
        <v>1.9732000000000001</v>
      </c>
      <c r="S587" s="314">
        <v>1.903</v>
      </c>
      <c r="T587" s="314">
        <v>1.403</v>
      </c>
      <c r="U587" s="314">
        <v>1.9011</v>
      </c>
      <c r="V587" s="314">
        <v>1.6228</v>
      </c>
      <c r="W587" s="314">
        <v>1.4762999999999999</v>
      </c>
      <c r="X587" s="314">
        <v>1.6535</v>
      </c>
      <c r="Y587" s="314">
        <v>0</v>
      </c>
      <c r="Z587" s="314">
        <v>1.9209000000000001</v>
      </c>
      <c r="AA587" s="314">
        <v>1.5435000000000001</v>
      </c>
      <c r="AB587" s="314">
        <v>1.5650999999999999</v>
      </c>
      <c r="AC587" s="314">
        <v>1.7097</v>
      </c>
      <c r="AD587" s="314">
        <v>0</v>
      </c>
      <c r="AE587" s="314">
        <v>1.5487</v>
      </c>
      <c r="AF587" s="314">
        <v>0</v>
      </c>
      <c r="AG587" s="314">
        <v>1.4387000000000001</v>
      </c>
      <c r="AH587" s="314">
        <v>1.4933000000000001</v>
      </c>
      <c r="AI587" s="314">
        <v>1.5299</v>
      </c>
      <c r="AJ587" s="314">
        <v>1.2525999999999999</v>
      </c>
      <c r="AK587" s="314">
        <v>1.3038000000000001</v>
      </c>
      <c r="AL587" s="314">
        <v>1.4380999999999999</v>
      </c>
      <c r="AM587" s="314">
        <v>1.9984999999999999</v>
      </c>
      <c r="AN587" s="314">
        <v>1.7626999999999999</v>
      </c>
      <c r="AO587" s="314">
        <v>1.796</v>
      </c>
      <c r="AP587" s="314">
        <v>1.9983</v>
      </c>
      <c r="AQ587" s="314">
        <v>0</v>
      </c>
      <c r="AR587" s="314">
        <v>1.8419000000000001</v>
      </c>
      <c r="AS587" s="314">
        <v>0</v>
      </c>
      <c r="AT587" s="314">
        <v>1.8029999999999999</v>
      </c>
      <c r="AU587" s="314">
        <v>1.8375999999999999</v>
      </c>
      <c r="AV587" s="314">
        <v>0</v>
      </c>
      <c r="AW587" s="314">
        <v>0</v>
      </c>
      <c r="AX587" s="314">
        <v>0</v>
      </c>
      <c r="AY587" s="314">
        <v>1.4870000000000001</v>
      </c>
      <c r="AZ587" s="314">
        <v>1.5353000000000001</v>
      </c>
      <c r="BA587" s="314">
        <v>1.7185999999999999</v>
      </c>
      <c r="BB587" s="314">
        <v>0</v>
      </c>
      <c r="BC587" s="314">
        <v>1.5177</v>
      </c>
      <c r="BD587" s="314">
        <v>1.9359</v>
      </c>
      <c r="BE587" s="314">
        <v>2.0337999999999998</v>
      </c>
      <c r="BF587" s="314">
        <v>1.5872999999999999</v>
      </c>
      <c r="BG587" s="314">
        <v>1.6774</v>
      </c>
      <c r="BH587" s="314">
        <v>1.9461999999999999</v>
      </c>
      <c r="BI587" s="314">
        <v>1.9679</v>
      </c>
      <c r="BJ587" s="314">
        <v>1.5215000000000001</v>
      </c>
      <c r="BK587" s="314">
        <v>1.6132</v>
      </c>
    </row>
    <row r="588" spans="1:63" x14ac:dyDescent="0.25">
      <c r="A588" s="306" t="s">
        <v>724</v>
      </c>
      <c r="B588" s="314" t="s">
        <v>161</v>
      </c>
      <c r="C588" s="314">
        <v>2.0720000000000001</v>
      </c>
      <c r="D588" s="314">
        <v>1.2517</v>
      </c>
      <c r="E588" s="314">
        <v>1.7365999999999999</v>
      </c>
      <c r="F588" s="314">
        <v>1.6303000000000001</v>
      </c>
      <c r="G588" s="314">
        <v>1.4397</v>
      </c>
      <c r="H588" s="314">
        <v>1.5898000000000001</v>
      </c>
      <c r="I588" s="314">
        <v>1.5834999999999999</v>
      </c>
      <c r="J588" s="314">
        <v>1.6148</v>
      </c>
      <c r="K588" s="314">
        <v>0</v>
      </c>
      <c r="L588" s="314">
        <v>0</v>
      </c>
      <c r="M588" s="314">
        <v>1.4196</v>
      </c>
      <c r="N588" s="314">
        <v>1.5396000000000001</v>
      </c>
      <c r="O588" s="314">
        <v>0</v>
      </c>
      <c r="P588" s="314">
        <v>1.4488000000000001</v>
      </c>
      <c r="Q588" s="314">
        <v>1.3033999999999999</v>
      </c>
      <c r="R588" s="314">
        <v>1.8641000000000001</v>
      </c>
      <c r="S588" s="314">
        <v>1.8063</v>
      </c>
      <c r="T588" s="314">
        <v>1.3895999999999999</v>
      </c>
      <c r="U588" s="314">
        <v>1.7851999999999999</v>
      </c>
      <c r="V588" s="314">
        <v>1.6080000000000001</v>
      </c>
      <c r="W588" s="314">
        <v>1.5638000000000001</v>
      </c>
      <c r="X588" s="314">
        <v>1.5401</v>
      </c>
      <c r="Y588" s="314">
        <v>0</v>
      </c>
      <c r="Z588" s="314">
        <v>1.8386</v>
      </c>
      <c r="AA588" s="314">
        <v>1.5193000000000001</v>
      </c>
      <c r="AB588" s="314">
        <v>1.5966</v>
      </c>
      <c r="AC588" s="314">
        <v>1.5740000000000001</v>
      </c>
      <c r="AD588" s="314">
        <v>1.2837000000000001</v>
      </c>
      <c r="AE588" s="314">
        <v>1.5684</v>
      </c>
      <c r="AF588" s="314">
        <v>0</v>
      </c>
      <c r="AG588" s="314">
        <v>1.3918999999999999</v>
      </c>
      <c r="AH588" s="314">
        <v>0</v>
      </c>
      <c r="AI588" s="314">
        <v>1.5528999999999999</v>
      </c>
      <c r="AJ588" s="314">
        <v>1.3506</v>
      </c>
      <c r="AK588" s="314">
        <v>1.4259999999999999</v>
      </c>
      <c r="AL588" s="314">
        <v>1.5069999999999999</v>
      </c>
      <c r="AM588" s="314">
        <v>1.9009</v>
      </c>
      <c r="AN588" s="314">
        <v>1.6135999999999999</v>
      </c>
      <c r="AO588" s="314">
        <v>1.6527000000000001</v>
      </c>
      <c r="AP588" s="314">
        <v>1.9140999999999999</v>
      </c>
      <c r="AQ588" s="314">
        <v>1.4442999999999999</v>
      </c>
      <c r="AR588" s="314">
        <v>1.7585999999999999</v>
      </c>
      <c r="AS588" s="314">
        <v>1.2462</v>
      </c>
      <c r="AT588" s="314">
        <v>1.7607999999999999</v>
      </c>
      <c r="AU588" s="314">
        <v>1.7601</v>
      </c>
      <c r="AV588" s="314">
        <v>1.7319</v>
      </c>
      <c r="AW588" s="314">
        <v>1.5168999999999999</v>
      </c>
      <c r="AX588" s="314">
        <v>1.2970999999999999</v>
      </c>
      <c r="AY588" s="314">
        <v>1.482</v>
      </c>
      <c r="AZ588" s="314">
        <v>1.5327999999999999</v>
      </c>
      <c r="BA588" s="314">
        <v>1.6141000000000001</v>
      </c>
      <c r="BB588" s="314">
        <v>1.2823</v>
      </c>
      <c r="BC588" s="314">
        <v>1.6093999999999999</v>
      </c>
      <c r="BD588" s="314">
        <v>1.8681000000000001</v>
      </c>
      <c r="BE588" s="314">
        <v>1.9291</v>
      </c>
      <c r="BF588" s="314">
        <v>1.5489999999999999</v>
      </c>
      <c r="BG588" s="314">
        <v>1.6517999999999999</v>
      </c>
      <c r="BH588" s="314">
        <v>1.8462000000000001</v>
      </c>
      <c r="BI588" s="314">
        <v>1.8347</v>
      </c>
      <c r="BJ588" s="314">
        <v>1.5739000000000001</v>
      </c>
      <c r="BK588" s="314">
        <v>1.603</v>
      </c>
    </row>
    <row r="589" spans="1:63" x14ac:dyDescent="0.25">
      <c r="A589" s="306" t="s">
        <v>725</v>
      </c>
      <c r="B589" s="314" t="s">
        <v>163</v>
      </c>
      <c r="C589" s="314">
        <v>2.0659000000000001</v>
      </c>
      <c r="D589" s="314">
        <v>0</v>
      </c>
      <c r="E589" s="314">
        <v>1.756</v>
      </c>
      <c r="F589" s="314">
        <v>1.6716</v>
      </c>
      <c r="G589" s="314">
        <v>1.4436</v>
      </c>
      <c r="H589" s="314">
        <v>1.5625</v>
      </c>
      <c r="I589" s="314">
        <v>1.5377000000000001</v>
      </c>
      <c r="J589" s="314">
        <v>1.5902000000000001</v>
      </c>
      <c r="K589" s="314">
        <v>1.1886000000000001</v>
      </c>
      <c r="L589" s="314">
        <v>1.5349999999999999</v>
      </c>
      <c r="M589" s="314">
        <v>1.397</v>
      </c>
      <c r="N589" s="314">
        <v>1.5569</v>
      </c>
      <c r="O589" s="314">
        <v>0</v>
      </c>
      <c r="P589" s="314">
        <v>1.5425</v>
      </c>
      <c r="Q589" s="314">
        <v>0</v>
      </c>
      <c r="R589" s="314">
        <v>1.8956</v>
      </c>
      <c r="S589" s="314">
        <v>1.7962</v>
      </c>
      <c r="T589" s="314">
        <v>1.4175</v>
      </c>
      <c r="U589" s="314">
        <v>1.7773000000000001</v>
      </c>
      <c r="V589" s="314">
        <v>0</v>
      </c>
      <c r="W589" s="314">
        <v>1.5219</v>
      </c>
      <c r="X589" s="314">
        <v>1.5268999999999999</v>
      </c>
      <c r="Y589" s="314">
        <v>1.3233999999999999</v>
      </c>
      <c r="Z589" s="314">
        <v>1.821</v>
      </c>
      <c r="AA589" s="314">
        <v>1.5490999999999999</v>
      </c>
      <c r="AB589" s="314">
        <v>1.6133999999999999</v>
      </c>
      <c r="AC589" s="314">
        <v>1.6182000000000001</v>
      </c>
      <c r="AD589" s="314">
        <v>1.2576000000000001</v>
      </c>
      <c r="AE589" s="314">
        <v>1.5766</v>
      </c>
      <c r="AF589" s="314">
        <v>1.2444999999999999</v>
      </c>
      <c r="AG589" s="314">
        <v>1.4117999999999999</v>
      </c>
      <c r="AH589" s="314">
        <v>1.5085</v>
      </c>
      <c r="AI589" s="314">
        <v>1.5551999999999999</v>
      </c>
      <c r="AJ589" s="314">
        <v>1.2607999999999999</v>
      </c>
      <c r="AK589" s="314">
        <v>1.3183</v>
      </c>
      <c r="AL589" s="314">
        <v>1.4668000000000001</v>
      </c>
      <c r="AM589" s="314">
        <v>1.8809</v>
      </c>
      <c r="AN589" s="314">
        <v>1.6369</v>
      </c>
      <c r="AO589" s="314">
        <v>1.6462000000000001</v>
      </c>
      <c r="AP589" s="314">
        <v>1.8653</v>
      </c>
      <c r="AQ589" s="314">
        <v>1.4340999999999999</v>
      </c>
      <c r="AR589" s="314">
        <v>1.7444</v>
      </c>
      <c r="AS589" s="314">
        <v>1.2598</v>
      </c>
      <c r="AT589" s="314">
        <v>1.7526999999999999</v>
      </c>
      <c r="AU589" s="314">
        <v>1.7310000000000001</v>
      </c>
      <c r="AV589" s="314">
        <v>1.6822999999999999</v>
      </c>
      <c r="AW589" s="314">
        <v>1.5241</v>
      </c>
      <c r="AX589" s="314">
        <v>1.3586</v>
      </c>
      <c r="AY589" s="314">
        <v>1.4630000000000001</v>
      </c>
      <c r="AZ589" s="314">
        <v>1.5855999999999999</v>
      </c>
      <c r="BA589" s="314">
        <v>1.6103000000000001</v>
      </c>
      <c r="BB589" s="314">
        <v>0</v>
      </c>
      <c r="BC589" s="314">
        <v>1.5777000000000001</v>
      </c>
      <c r="BD589" s="314">
        <v>1.8029999999999999</v>
      </c>
      <c r="BE589" s="314">
        <v>1.9177999999999999</v>
      </c>
      <c r="BF589" s="314">
        <v>1.597</v>
      </c>
      <c r="BG589" s="314">
        <v>1.6387</v>
      </c>
      <c r="BH589" s="314">
        <v>1.8322000000000001</v>
      </c>
      <c r="BI589" s="314">
        <v>1.8</v>
      </c>
      <c r="BJ589" s="314">
        <v>1.5063</v>
      </c>
      <c r="BK589" s="314">
        <v>1.5773999999999999</v>
      </c>
    </row>
    <row r="590" spans="1:63" x14ac:dyDescent="0.25">
      <c r="A590" s="306" t="s">
        <v>726</v>
      </c>
      <c r="B590" s="314" t="s">
        <v>164</v>
      </c>
      <c r="C590" s="314">
        <v>1.7037</v>
      </c>
      <c r="D590" s="314">
        <v>1.1204000000000001</v>
      </c>
      <c r="E590" s="314">
        <v>1.4645999999999999</v>
      </c>
      <c r="F590" s="314">
        <v>1.4565999999999999</v>
      </c>
      <c r="G590" s="314">
        <v>1.2809999999999999</v>
      </c>
      <c r="H590" s="314">
        <v>1.3877999999999999</v>
      </c>
      <c r="I590" s="314">
        <v>1.3191999999999999</v>
      </c>
      <c r="J590" s="314">
        <v>1.3813</v>
      </c>
      <c r="K590" s="314">
        <v>0</v>
      </c>
      <c r="L590" s="314">
        <v>0</v>
      </c>
      <c r="M590" s="314">
        <v>1.2767999999999999</v>
      </c>
      <c r="N590" s="314">
        <v>1.3843000000000001</v>
      </c>
      <c r="O590" s="314">
        <v>0</v>
      </c>
      <c r="P590" s="314">
        <v>1.3231999999999999</v>
      </c>
      <c r="Q590" s="314">
        <v>1.2145999999999999</v>
      </c>
      <c r="R590" s="314">
        <v>1.5382</v>
      </c>
      <c r="S590" s="314">
        <v>1.5249999999999999</v>
      </c>
      <c r="T590" s="314">
        <v>1.2846</v>
      </c>
      <c r="U590" s="314">
        <v>1.5176000000000001</v>
      </c>
      <c r="V590" s="314">
        <v>0</v>
      </c>
      <c r="W590" s="314">
        <v>1.3581000000000001</v>
      </c>
      <c r="X590" s="314">
        <v>1.3329</v>
      </c>
      <c r="Y590" s="314">
        <v>0</v>
      </c>
      <c r="Z590" s="314">
        <v>1.5139</v>
      </c>
      <c r="AA590" s="314">
        <v>1.4059999999999999</v>
      </c>
      <c r="AB590" s="314">
        <v>1.4661</v>
      </c>
      <c r="AC590" s="314">
        <v>0</v>
      </c>
      <c r="AD590" s="314">
        <v>1.1747000000000001</v>
      </c>
      <c r="AE590" s="314">
        <v>1.3832</v>
      </c>
      <c r="AF590" s="314">
        <v>1.1423000000000001</v>
      </c>
      <c r="AG590" s="314">
        <v>1.2471000000000001</v>
      </c>
      <c r="AH590" s="314">
        <v>1.3121</v>
      </c>
      <c r="AI590" s="314">
        <v>1.4047000000000001</v>
      </c>
      <c r="AJ590" s="314">
        <v>1.1627000000000001</v>
      </c>
      <c r="AK590" s="314">
        <v>0</v>
      </c>
      <c r="AL590" s="314">
        <v>1.3180000000000001</v>
      </c>
      <c r="AM590" s="314">
        <v>1.5956999999999999</v>
      </c>
      <c r="AN590" s="314">
        <v>1.3644000000000001</v>
      </c>
      <c r="AO590" s="314">
        <v>1.4360999999999999</v>
      </c>
      <c r="AP590" s="314">
        <v>1.5681</v>
      </c>
      <c r="AQ590" s="314">
        <v>0</v>
      </c>
      <c r="AR590" s="314">
        <v>1.4933000000000001</v>
      </c>
      <c r="AS590" s="314">
        <v>0</v>
      </c>
      <c r="AT590" s="314">
        <v>1.4965999999999999</v>
      </c>
      <c r="AU590" s="314">
        <v>1.4912000000000001</v>
      </c>
      <c r="AV590" s="314">
        <v>0</v>
      </c>
      <c r="AW590" s="314">
        <v>1.3398000000000001</v>
      </c>
      <c r="AX590" s="314">
        <v>1.1826000000000001</v>
      </c>
      <c r="AY590" s="314">
        <v>1.3573999999999999</v>
      </c>
      <c r="AZ590" s="314">
        <v>1.3995</v>
      </c>
      <c r="BA590" s="314">
        <v>1.3432999999999999</v>
      </c>
      <c r="BB590" s="314">
        <v>0</v>
      </c>
      <c r="BC590" s="314">
        <v>1.3865000000000001</v>
      </c>
      <c r="BD590" s="314">
        <v>1.5012000000000001</v>
      </c>
      <c r="BE590" s="314">
        <v>1.6079000000000001</v>
      </c>
      <c r="BF590" s="314">
        <v>1.4474</v>
      </c>
      <c r="BG590" s="314">
        <v>1.4369000000000001</v>
      </c>
      <c r="BH590" s="314">
        <v>1.5417000000000001</v>
      </c>
      <c r="BI590" s="314">
        <v>1.5457000000000001</v>
      </c>
      <c r="BJ590" s="314">
        <v>1.3138000000000001</v>
      </c>
      <c r="BK590" s="314">
        <v>1.4137999999999999</v>
      </c>
    </row>
    <row r="591" spans="1:63" x14ac:dyDescent="0.25">
      <c r="A591" s="306" t="s">
        <v>727</v>
      </c>
      <c r="B591" s="314" t="s">
        <v>165</v>
      </c>
      <c r="C591" s="314">
        <v>1.821</v>
      </c>
      <c r="D591" s="314">
        <v>1.1793</v>
      </c>
      <c r="E591" s="314">
        <v>1.5563</v>
      </c>
      <c r="F591" s="314">
        <v>1.4970000000000001</v>
      </c>
      <c r="G591" s="314">
        <v>1.3461000000000001</v>
      </c>
      <c r="H591" s="314">
        <v>1.4643999999999999</v>
      </c>
      <c r="I591" s="314">
        <v>1.4515</v>
      </c>
      <c r="J591" s="314">
        <v>1.4835</v>
      </c>
      <c r="K591" s="314">
        <v>0</v>
      </c>
      <c r="L591" s="314">
        <v>1.4133</v>
      </c>
      <c r="M591" s="314">
        <v>1.3411</v>
      </c>
      <c r="N591" s="314">
        <v>1.4652000000000001</v>
      </c>
      <c r="O591" s="314">
        <v>0</v>
      </c>
      <c r="P591" s="314">
        <v>1.377</v>
      </c>
      <c r="Q591" s="314">
        <v>1.27</v>
      </c>
      <c r="R591" s="314">
        <v>1.6753</v>
      </c>
      <c r="S591" s="314">
        <v>1.5886</v>
      </c>
      <c r="T591" s="314">
        <v>1.3429</v>
      </c>
      <c r="U591" s="314">
        <v>1.5685</v>
      </c>
      <c r="V591" s="314">
        <v>1.4398</v>
      </c>
      <c r="W591" s="314">
        <v>1.4655</v>
      </c>
      <c r="X591" s="314">
        <v>1.4218</v>
      </c>
      <c r="Y591" s="314">
        <v>1.3184</v>
      </c>
      <c r="Z591" s="314">
        <v>1.6201000000000001</v>
      </c>
      <c r="AA591" s="314">
        <v>1.4778</v>
      </c>
      <c r="AB591" s="314">
        <v>1.4893000000000001</v>
      </c>
      <c r="AC591" s="314">
        <v>1.4370000000000001</v>
      </c>
      <c r="AD591" s="314">
        <v>1.2171000000000001</v>
      </c>
      <c r="AE591" s="314">
        <v>1.4759</v>
      </c>
      <c r="AF591" s="314">
        <v>1.1915</v>
      </c>
      <c r="AG591" s="314">
        <v>1.3270999999999999</v>
      </c>
      <c r="AH591" s="314">
        <v>1.4278</v>
      </c>
      <c r="AI591" s="314">
        <v>1.4729000000000001</v>
      </c>
      <c r="AJ591" s="314">
        <v>1.2282999999999999</v>
      </c>
      <c r="AK591" s="314">
        <v>1.3071999999999999</v>
      </c>
      <c r="AL591" s="314">
        <v>1.4020999999999999</v>
      </c>
      <c r="AM591" s="314">
        <v>1.6666000000000001</v>
      </c>
      <c r="AN591" s="314">
        <v>1.4579</v>
      </c>
      <c r="AO591" s="314">
        <v>1.5226</v>
      </c>
      <c r="AP591" s="314">
        <v>1.68</v>
      </c>
      <c r="AQ591" s="314">
        <v>1.3965000000000001</v>
      </c>
      <c r="AR591" s="314">
        <v>1.554</v>
      </c>
      <c r="AS591" s="314">
        <v>1.2138</v>
      </c>
      <c r="AT591" s="314">
        <v>1.5723</v>
      </c>
      <c r="AU591" s="314">
        <v>1.5647</v>
      </c>
      <c r="AV591" s="314">
        <v>1.5478000000000001</v>
      </c>
      <c r="AW591" s="314">
        <v>1.4321999999999999</v>
      </c>
      <c r="AX591" s="314">
        <v>1.258</v>
      </c>
      <c r="AY591" s="314">
        <v>1.3931</v>
      </c>
      <c r="AZ591" s="314">
        <v>1.4710000000000001</v>
      </c>
      <c r="BA591" s="314">
        <v>1.4283999999999999</v>
      </c>
      <c r="BB591" s="314">
        <v>1.1866000000000001</v>
      </c>
      <c r="BC591" s="314">
        <v>1.5068999999999999</v>
      </c>
      <c r="BD591" s="314">
        <v>1.641</v>
      </c>
      <c r="BE591" s="314">
        <v>1.6996</v>
      </c>
      <c r="BF591" s="314">
        <v>1.4755</v>
      </c>
      <c r="BG591" s="314">
        <v>1.5306999999999999</v>
      </c>
      <c r="BH591" s="314">
        <v>1.6194</v>
      </c>
      <c r="BI591" s="314">
        <v>1.6131</v>
      </c>
      <c r="BJ591" s="314">
        <v>1.4254</v>
      </c>
      <c r="BK591" s="314">
        <v>1.4842</v>
      </c>
    </row>
    <row r="592" spans="1:63" x14ac:dyDescent="0.25">
      <c r="A592" s="306">
        <v>332310</v>
      </c>
      <c r="B592" s="314" t="s">
        <v>166</v>
      </c>
      <c r="C592" s="314">
        <v>1.9999</v>
      </c>
      <c r="D592" s="314">
        <v>1.2221</v>
      </c>
      <c r="E592" s="314">
        <v>1.7013</v>
      </c>
      <c r="F592" s="314">
        <v>1.6212</v>
      </c>
      <c r="G592" s="314">
        <v>1.4478</v>
      </c>
      <c r="H592" s="314">
        <v>1.5622</v>
      </c>
      <c r="I592" s="314">
        <v>1.5759000000000001</v>
      </c>
      <c r="J592" s="314">
        <v>1.5557000000000001</v>
      </c>
      <c r="K592" s="314">
        <v>1.1961999999999999</v>
      </c>
      <c r="L592" s="314">
        <v>1.5589</v>
      </c>
      <c r="M592" s="314">
        <v>1.4245000000000001</v>
      </c>
      <c r="N592" s="314">
        <v>1.5422</v>
      </c>
      <c r="O592" s="314">
        <v>1.2527999999999999</v>
      </c>
      <c r="P592" s="314">
        <v>1.4832000000000001</v>
      </c>
      <c r="Q592" s="314">
        <v>1.304</v>
      </c>
      <c r="R592" s="314">
        <v>1.8649</v>
      </c>
      <c r="S592" s="314">
        <v>1.7442</v>
      </c>
      <c r="T592" s="314">
        <v>1.4221999999999999</v>
      </c>
      <c r="U592" s="314">
        <v>1.7142999999999999</v>
      </c>
      <c r="V592" s="314">
        <v>1.5441</v>
      </c>
      <c r="W592" s="314">
        <v>1.5068999999999999</v>
      </c>
      <c r="X592" s="314">
        <v>1.55</v>
      </c>
      <c r="Y592" s="314">
        <v>1.3452999999999999</v>
      </c>
      <c r="Z592" s="314">
        <v>1.7931999999999999</v>
      </c>
      <c r="AA592" s="314">
        <v>1.5513999999999999</v>
      </c>
      <c r="AB592" s="314">
        <v>1.5664</v>
      </c>
      <c r="AC592" s="314">
        <v>1.5825</v>
      </c>
      <c r="AD592" s="314">
        <v>1.2559</v>
      </c>
      <c r="AE592" s="314">
        <v>1.5390999999999999</v>
      </c>
      <c r="AF592" s="314">
        <v>1.2256</v>
      </c>
      <c r="AG592" s="314">
        <v>1.3951</v>
      </c>
      <c r="AH592" s="314">
        <v>1.5136000000000001</v>
      </c>
      <c r="AI592" s="314">
        <v>1.5487</v>
      </c>
      <c r="AJ592" s="314">
        <v>1.2645999999999999</v>
      </c>
      <c r="AK592" s="314">
        <v>1.3455999999999999</v>
      </c>
      <c r="AL592" s="314">
        <v>1.4419</v>
      </c>
      <c r="AM592" s="314">
        <v>1.8451</v>
      </c>
      <c r="AN592" s="314">
        <v>1.6601999999999999</v>
      </c>
      <c r="AO592" s="314">
        <v>1.6843999999999999</v>
      </c>
      <c r="AP592" s="314">
        <v>1.8593999999999999</v>
      </c>
      <c r="AQ592" s="314">
        <v>1.4180999999999999</v>
      </c>
      <c r="AR592" s="314">
        <v>1.7085999999999999</v>
      </c>
      <c r="AS592" s="314">
        <v>1.2486999999999999</v>
      </c>
      <c r="AT592" s="314">
        <v>1.6966000000000001</v>
      </c>
      <c r="AU592" s="314">
        <v>1.7421</v>
      </c>
      <c r="AV592" s="314">
        <v>1.6775</v>
      </c>
      <c r="AW592" s="314">
        <v>1.5285</v>
      </c>
      <c r="AX592" s="314">
        <v>1.3142</v>
      </c>
      <c r="AY592" s="314">
        <v>1.4641</v>
      </c>
      <c r="AZ592" s="314">
        <v>1.5525</v>
      </c>
      <c r="BA592" s="314">
        <v>1.5656000000000001</v>
      </c>
      <c r="BB592" s="314">
        <v>1.2387999999999999</v>
      </c>
      <c r="BC592" s="314">
        <v>1.5533999999999999</v>
      </c>
      <c r="BD592" s="314">
        <v>1.7892999999999999</v>
      </c>
      <c r="BE592" s="314">
        <v>1.8772</v>
      </c>
      <c r="BF592" s="314">
        <v>1.5664</v>
      </c>
      <c r="BG592" s="314">
        <v>1.6203000000000001</v>
      </c>
      <c r="BH592" s="314">
        <v>1.7762</v>
      </c>
      <c r="BI592" s="314">
        <v>1.8097000000000001</v>
      </c>
      <c r="BJ592" s="314">
        <v>1.5188999999999999</v>
      </c>
      <c r="BK592" s="314">
        <v>1.5768</v>
      </c>
    </row>
    <row r="593" spans="1:63" x14ac:dyDescent="0.25">
      <c r="A593" s="306">
        <v>332320</v>
      </c>
      <c r="B593" s="314" t="s">
        <v>167</v>
      </c>
      <c r="C593" s="314">
        <v>2.0464000000000002</v>
      </c>
      <c r="D593" s="314">
        <v>1.214</v>
      </c>
      <c r="E593" s="314">
        <v>1.7029000000000001</v>
      </c>
      <c r="F593" s="314">
        <v>1.641</v>
      </c>
      <c r="G593" s="314">
        <v>1.486</v>
      </c>
      <c r="H593" s="314">
        <v>1.6400999999999999</v>
      </c>
      <c r="I593" s="314">
        <v>1.5722</v>
      </c>
      <c r="J593" s="314">
        <v>1.6109</v>
      </c>
      <c r="K593" s="314">
        <v>1.1833</v>
      </c>
      <c r="L593" s="314">
        <v>1.5063</v>
      </c>
      <c r="M593" s="314">
        <v>1.4528000000000001</v>
      </c>
      <c r="N593" s="314">
        <v>1.6361000000000001</v>
      </c>
      <c r="O593" s="314">
        <v>1.2585</v>
      </c>
      <c r="P593" s="314">
        <v>1.5147999999999999</v>
      </c>
      <c r="Q593" s="314">
        <v>1.3233999999999999</v>
      </c>
      <c r="R593" s="314">
        <v>1.8461000000000001</v>
      </c>
      <c r="S593" s="314">
        <v>1.7653000000000001</v>
      </c>
      <c r="T593" s="314">
        <v>1.4429000000000001</v>
      </c>
      <c r="U593" s="314">
        <v>1.7716000000000001</v>
      </c>
      <c r="V593" s="314">
        <v>1.5137</v>
      </c>
      <c r="W593" s="314">
        <v>1.5526</v>
      </c>
      <c r="X593" s="314">
        <v>1.5262</v>
      </c>
      <c r="Y593" s="314">
        <v>1.3556999999999999</v>
      </c>
      <c r="Z593" s="314">
        <v>1.8022</v>
      </c>
      <c r="AA593" s="314">
        <v>1.601</v>
      </c>
      <c r="AB593" s="314">
        <v>1.6379999999999999</v>
      </c>
      <c r="AC593" s="314">
        <v>1.5744</v>
      </c>
      <c r="AD593" s="314">
        <v>1.2401</v>
      </c>
      <c r="AE593" s="314">
        <v>1.5641</v>
      </c>
      <c r="AF593" s="314">
        <v>1.2258</v>
      </c>
      <c r="AG593" s="314">
        <v>1.3511</v>
      </c>
      <c r="AH593" s="314">
        <v>1.5837000000000001</v>
      </c>
      <c r="AI593" s="314">
        <v>1.6012999999999999</v>
      </c>
      <c r="AJ593" s="314">
        <v>1.2659</v>
      </c>
      <c r="AK593" s="314">
        <v>1.3668</v>
      </c>
      <c r="AL593" s="314">
        <v>1.4913000000000001</v>
      </c>
      <c r="AM593" s="314">
        <v>1.883</v>
      </c>
      <c r="AN593" s="314">
        <v>1.6184000000000001</v>
      </c>
      <c r="AO593" s="314">
        <v>1.6950000000000001</v>
      </c>
      <c r="AP593" s="314">
        <v>1.8809</v>
      </c>
      <c r="AQ593" s="314">
        <v>1.4574</v>
      </c>
      <c r="AR593" s="314">
        <v>1.7193000000000001</v>
      </c>
      <c r="AS593" s="314">
        <v>1.306</v>
      </c>
      <c r="AT593" s="314">
        <v>1.7561</v>
      </c>
      <c r="AU593" s="314">
        <v>1.7675000000000001</v>
      </c>
      <c r="AV593" s="314">
        <v>1.645</v>
      </c>
      <c r="AW593" s="314">
        <v>1.5622</v>
      </c>
      <c r="AX593" s="314">
        <v>1.3145</v>
      </c>
      <c r="AY593" s="314">
        <v>1.5306999999999999</v>
      </c>
      <c r="AZ593" s="314">
        <v>1.5807</v>
      </c>
      <c r="BA593" s="314">
        <v>1.5707</v>
      </c>
      <c r="BB593" s="314">
        <v>1.2305999999999999</v>
      </c>
      <c r="BC593" s="314">
        <v>1.6111</v>
      </c>
      <c r="BD593" s="314">
        <v>1.8102</v>
      </c>
      <c r="BE593" s="314">
        <v>1.9115</v>
      </c>
      <c r="BF593" s="314">
        <v>1.6336999999999999</v>
      </c>
      <c r="BG593" s="314">
        <v>1.6684000000000001</v>
      </c>
      <c r="BH593" s="314">
        <v>1.8229</v>
      </c>
      <c r="BI593" s="314">
        <v>1.8282</v>
      </c>
      <c r="BJ593" s="314">
        <v>1.5296000000000001</v>
      </c>
      <c r="BK593" s="314">
        <v>1.6558999999999999</v>
      </c>
    </row>
    <row r="594" spans="1:63" x14ac:dyDescent="0.25">
      <c r="A594" s="306">
        <v>332410</v>
      </c>
      <c r="B594" s="314" t="s">
        <v>168</v>
      </c>
      <c r="C594" s="314">
        <v>1.9515</v>
      </c>
      <c r="D594" s="314">
        <v>0</v>
      </c>
      <c r="E594" s="314">
        <v>1.65</v>
      </c>
      <c r="F594" s="314">
        <v>0</v>
      </c>
      <c r="G594" s="314">
        <v>0</v>
      </c>
      <c r="H594" s="314">
        <v>1.5223</v>
      </c>
      <c r="I594" s="314">
        <v>1.4857</v>
      </c>
      <c r="J594" s="314">
        <v>1.5648</v>
      </c>
      <c r="K594" s="314">
        <v>0</v>
      </c>
      <c r="L594" s="314">
        <v>1.4339</v>
      </c>
      <c r="M594" s="314">
        <v>1.3646</v>
      </c>
      <c r="N594" s="314">
        <v>1.5266</v>
      </c>
      <c r="O594" s="314">
        <v>0</v>
      </c>
      <c r="P594" s="314">
        <v>1.4369000000000001</v>
      </c>
      <c r="Q594" s="314">
        <v>0</v>
      </c>
      <c r="R594" s="314">
        <v>1.7595000000000001</v>
      </c>
      <c r="S594" s="314">
        <v>1.6954</v>
      </c>
      <c r="T594" s="314">
        <v>1.4064000000000001</v>
      </c>
      <c r="U594" s="314">
        <v>1.6526000000000001</v>
      </c>
      <c r="V594" s="314">
        <v>1.5065</v>
      </c>
      <c r="W594" s="314">
        <v>1.5093000000000001</v>
      </c>
      <c r="X594" s="314">
        <v>0</v>
      </c>
      <c r="Y594" s="314">
        <v>0</v>
      </c>
      <c r="Z594" s="314">
        <v>1.7191000000000001</v>
      </c>
      <c r="AA594" s="314">
        <v>1.5525</v>
      </c>
      <c r="AB594" s="314">
        <v>1.5602</v>
      </c>
      <c r="AC594" s="314">
        <v>1.5262</v>
      </c>
      <c r="AD594" s="314">
        <v>0</v>
      </c>
      <c r="AE594" s="314">
        <v>1.5086999999999999</v>
      </c>
      <c r="AF594" s="314">
        <v>0</v>
      </c>
      <c r="AG594" s="314">
        <v>0</v>
      </c>
      <c r="AH594" s="314">
        <v>1.5092000000000001</v>
      </c>
      <c r="AI594" s="314">
        <v>1.5238</v>
      </c>
      <c r="AJ594" s="314">
        <v>1.2302</v>
      </c>
      <c r="AK594" s="314">
        <v>1.3051999999999999</v>
      </c>
      <c r="AL594" s="314">
        <v>1.4346000000000001</v>
      </c>
      <c r="AM594" s="314">
        <v>1.8071999999999999</v>
      </c>
      <c r="AN594" s="314">
        <v>1.5858000000000001</v>
      </c>
      <c r="AO594" s="314">
        <v>1.6002000000000001</v>
      </c>
      <c r="AP594" s="314">
        <v>1.8130999999999999</v>
      </c>
      <c r="AQ594" s="314">
        <v>1.4134</v>
      </c>
      <c r="AR594" s="314">
        <v>1.6603000000000001</v>
      </c>
      <c r="AS594" s="314">
        <v>1.2575000000000001</v>
      </c>
      <c r="AT594" s="314">
        <v>1.6749000000000001</v>
      </c>
      <c r="AU594" s="314">
        <v>1.7039</v>
      </c>
      <c r="AV594" s="314">
        <v>0</v>
      </c>
      <c r="AW594" s="314">
        <v>1.4906999999999999</v>
      </c>
      <c r="AX594" s="314">
        <v>0</v>
      </c>
      <c r="AY594" s="314">
        <v>1.4204000000000001</v>
      </c>
      <c r="AZ594" s="314">
        <v>1.5629999999999999</v>
      </c>
      <c r="BA594" s="314">
        <v>1.4574</v>
      </c>
      <c r="BB594" s="314">
        <v>0</v>
      </c>
      <c r="BC594" s="314">
        <v>1.5627</v>
      </c>
      <c r="BD594" s="314">
        <v>1.7206999999999999</v>
      </c>
      <c r="BE594" s="314">
        <v>1.8313999999999999</v>
      </c>
      <c r="BF594" s="314">
        <v>1.5561</v>
      </c>
      <c r="BG594" s="314">
        <v>1.5546</v>
      </c>
      <c r="BH594" s="314">
        <v>1.7382</v>
      </c>
      <c r="BI594" s="314">
        <v>1.7517</v>
      </c>
      <c r="BJ594" s="314">
        <v>1.4551000000000001</v>
      </c>
      <c r="BK594" s="314">
        <v>1.5333000000000001</v>
      </c>
    </row>
    <row r="595" spans="1:63" x14ac:dyDescent="0.25">
      <c r="A595" s="306">
        <v>332420</v>
      </c>
      <c r="B595" s="314" t="s">
        <v>169</v>
      </c>
      <c r="C595" s="314">
        <v>1.9810000000000001</v>
      </c>
      <c r="D595" s="314">
        <v>0</v>
      </c>
      <c r="E595" s="314">
        <v>1.6919</v>
      </c>
      <c r="F595" s="314">
        <v>1.6233</v>
      </c>
      <c r="G595" s="314">
        <v>1.4039999999999999</v>
      </c>
      <c r="H595" s="314">
        <v>1.5247999999999999</v>
      </c>
      <c r="I595" s="314">
        <v>1.5487</v>
      </c>
      <c r="J595" s="314">
        <v>1.5310999999999999</v>
      </c>
      <c r="K595" s="314">
        <v>0</v>
      </c>
      <c r="L595" s="314">
        <v>1.5720000000000001</v>
      </c>
      <c r="M595" s="314">
        <v>1.3913</v>
      </c>
      <c r="N595" s="314">
        <v>1.5052000000000001</v>
      </c>
      <c r="O595" s="314">
        <v>0</v>
      </c>
      <c r="P595" s="314">
        <v>1.4303999999999999</v>
      </c>
      <c r="Q595" s="314">
        <v>1.2790999999999999</v>
      </c>
      <c r="R595" s="314">
        <v>1.8059000000000001</v>
      </c>
      <c r="S595" s="314">
        <v>1.7322</v>
      </c>
      <c r="T595" s="314">
        <v>1.3845000000000001</v>
      </c>
      <c r="U595" s="314">
        <v>1.6626000000000001</v>
      </c>
      <c r="V595" s="314">
        <v>1.5613999999999999</v>
      </c>
      <c r="W595" s="314">
        <v>1.4716</v>
      </c>
      <c r="X595" s="314">
        <v>1.5078</v>
      </c>
      <c r="Y595" s="314">
        <v>1.3095000000000001</v>
      </c>
      <c r="Z595" s="314">
        <v>1.7758</v>
      </c>
      <c r="AA595" s="314">
        <v>1.5532999999999999</v>
      </c>
      <c r="AB595" s="314">
        <v>1.5470999999999999</v>
      </c>
      <c r="AC595" s="314">
        <v>1.5535000000000001</v>
      </c>
      <c r="AD595" s="314">
        <v>0</v>
      </c>
      <c r="AE595" s="314">
        <v>1.5089999999999999</v>
      </c>
      <c r="AF595" s="314">
        <v>1.2055</v>
      </c>
      <c r="AG595" s="314">
        <v>1.3705000000000001</v>
      </c>
      <c r="AH595" s="314">
        <v>0</v>
      </c>
      <c r="AI595" s="314">
        <v>1.5226</v>
      </c>
      <c r="AJ595" s="314">
        <v>1.2509999999999999</v>
      </c>
      <c r="AK595" s="314">
        <v>1.3177000000000001</v>
      </c>
      <c r="AL595" s="314">
        <v>1.4053</v>
      </c>
      <c r="AM595" s="314">
        <v>1.8306</v>
      </c>
      <c r="AN595" s="314">
        <v>1.6431</v>
      </c>
      <c r="AO595" s="314">
        <v>1.6720999999999999</v>
      </c>
      <c r="AP595" s="314">
        <v>1.8464</v>
      </c>
      <c r="AQ595" s="314">
        <v>1.3786</v>
      </c>
      <c r="AR595" s="314">
        <v>1.6977</v>
      </c>
      <c r="AS595" s="314">
        <v>1.234</v>
      </c>
      <c r="AT595" s="314">
        <v>1.6953</v>
      </c>
      <c r="AU595" s="314">
        <v>1.7395</v>
      </c>
      <c r="AV595" s="314">
        <v>1.6609</v>
      </c>
      <c r="AW595" s="314">
        <v>1.4953000000000001</v>
      </c>
      <c r="AX595" s="314">
        <v>0</v>
      </c>
      <c r="AY595" s="314">
        <v>1.4322999999999999</v>
      </c>
      <c r="AZ595" s="314">
        <v>1.552</v>
      </c>
      <c r="BA595" s="314">
        <v>1.4875</v>
      </c>
      <c r="BB595" s="314">
        <v>1.2182999999999999</v>
      </c>
      <c r="BC595" s="314">
        <v>1.5155000000000001</v>
      </c>
      <c r="BD595" s="314">
        <v>1.7596000000000001</v>
      </c>
      <c r="BE595" s="314">
        <v>1.8609</v>
      </c>
      <c r="BF595" s="314">
        <v>1.5348999999999999</v>
      </c>
      <c r="BG595" s="314">
        <v>1.5853999999999999</v>
      </c>
      <c r="BH595" s="314">
        <v>1.77</v>
      </c>
      <c r="BI595" s="314">
        <v>1.8069</v>
      </c>
      <c r="BJ595" s="314">
        <v>1.4857</v>
      </c>
      <c r="BK595" s="314">
        <v>1.5406</v>
      </c>
    </row>
    <row r="596" spans="1:63" x14ac:dyDescent="0.25">
      <c r="A596" s="306">
        <v>332430</v>
      </c>
      <c r="B596" s="314" t="s">
        <v>170</v>
      </c>
      <c r="C596" s="314">
        <v>2.2852000000000001</v>
      </c>
      <c r="D596" s="314">
        <v>0</v>
      </c>
      <c r="E596" s="314">
        <v>1.9491000000000001</v>
      </c>
      <c r="F596" s="314">
        <v>1.9309000000000001</v>
      </c>
      <c r="G596" s="314">
        <v>1.6545000000000001</v>
      </c>
      <c r="H596" s="314">
        <v>1.7815000000000001</v>
      </c>
      <c r="I596" s="314">
        <v>1.6238999999999999</v>
      </c>
      <c r="J596" s="314">
        <v>1.6922999999999999</v>
      </c>
      <c r="K596" s="314">
        <v>0</v>
      </c>
      <c r="L596" s="314">
        <v>1.4094</v>
      </c>
      <c r="M596" s="314">
        <v>1.5279</v>
      </c>
      <c r="N596" s="314">
        <v>1.8177000000000001</v>
      </c>
      <c r="O596" s="314">
        <v>1.2339</v>
      </c>
      <c r="P596" s="314">
        <v>1.74</v>
      </c>
      <c r="Q596" s="314">
        <v>1.2518</v>
      </c>
      <c r="R596" s="314">
        <v>1.9456</v>
      </c>
      <c r="S596" s="314">
        <v>2.0457999999999998</v>
      </c>
      <c r="T596" s="314">
        <v>1.5230999999999999</v>
      </c>
      <c r="U596" s="314">
        <v>1.9352</v>
      </c>
      <c r="V596" s="314">
        <v>1.5195000000000001</v>
      </c>
      <c r="W596" s="314">
        <v>1.4851000000000001</v>
      </c>
      <c r="X596" s="314">
        <v>1.5669</v>
      </c>
      <c r="Y596" s="314">
        <v>1.2816000000000001</v>
      </c>
      <c r="Z596" s="314">
        <v>1.8615999999999999</v>
      </c>
      <c r="AA596" s="314">
        <v>1.7226999999999999</v>
      </c>
      <c r="AB596" s="314">
        <v>1.8959999999999999</v>
      </c>
      <c r="AC596" s="314">
        <v>1.7994000000000001</v>
      </c>
      <c r="AD596" s="314">
        <v>0</v>
      </c>
      <c r="AE596" s="314">
        <v>1.6053999999999999</v>
      </c>
      <c r="AF596" s="314">
        <v>1.2157</v>
      </c>
      <c r="AG596" s="314">
        <v>1.3351</v>
      </c>
      <c r="AH596" s="314">
        <v>1.5472999999999999</v>
      </c>
      <c r="AI596" s="314">
        <v>1.6613</v>
      </c>
      <c r="AJ596" s="314">
        <v>1.2451000000000001</v>
      </c>
      <c r="AK596" s="314">
        <v>1.3290999999999999</v>
      </c>
      <c r="AL596" s="314">
        <v>1.5001</v>
      </c>
      <c r="AM596" s="314">
        <v>2.1295999999999999</v>
      </c>
      <c r="AN596" s="314">
        <v>1.7364999999999999</v>
      </c>
      <c r="AO596" s="314">
        <v>1.8148</v>
      </c>
      <c r="AP596" s="314">
        <v>2.0870000000000002</v>
      </c>
      <c r="AQ596" s="314">
        <v>1.4784999999999999</v>
      </c>
      <c r="AR596" s="314">
        <v>1.9442999999999999</v>
      </c>
      <c r="AS596" s="314">
        <v>1.4348000000000001</v>
      </c>
      <c r="AT596" s="314">
        <v>1.9001999999999999</v>
      </c>
      <c r="AU596" s="314">
        <v>1.8979999999999999</v>
      </c>
      <c r="AV596" s="314">
        <v>1.7338</v>
      </c>
      <c r="AW596" s="314">
        <v>1.7139</v>
      </c>
      <c r="AX596" s="314">
        <v>1.3270999999999999</v>
      </c>
      <c r="AY596" s="314">
        <v>1.6975</v>
      </c>
      <c r="AZ596" s="314">
        <v>1.7315</v>
      </c>
      <c r="BA596" s="314">
        <v>1.8186</v>
      </c>
      <c r="BB596" s="314">
        <v>1.3036000000000001</v>
      </c>
      <c r="BC596" s="314">
        <v>1.5790999999999999</v>
      </c>
      <c r="BD596" s="314">
        <v>1.9020999999999999</v>
      </c>
      <c r="BE596" s="314">
        <v>2.1543999999999999</v>
      </c>
      <c r="BF596" s="314">
        <v>1.8896999999999999</v>
      </c>
      <c r="BG596" s="314">
        <v>1.8091999999999999</v>
      </c>
      <c r="BH596" s="314">
        <v>2.0419</v>
      </c>
      <c r="BI596" s="314">
        <v>2.0059999999999998</v>
      </c>
      <c r="BJ596" s="314">
        <v>1.6286</v>
      </c>
      <c r="BK596" s="314">
        <v>1.7979000000000001</v>
      </c>
    </row>
    <row r="597" spans="1:63" x14ac:dyDescent="0.25">
      <c r="A597" s="306">
        <v>332500</v>
      </c>
      <c r="B597" s="314" t="s">
        <v>173</v>
      </c>
      <c r="C597" s="314">
        <v>1.8769</v>
      </c>
      <c r="D597" s="314">
        <v>0</v>
      </c>
      <c r="E597" s="314">
        <v>1.5919000000000001</v>
      </c>
      <c r="F597" s="314">
        <v>1.5441</v>
      </c>
      <c r="G597" s="314">
        <v>1.3786</v>
      </c>
      <c r="H597" s="314">
        <v>1.5268999999999999</v>
      </c>
      <c r="I597" s="314">
        <v>1.4579</v>
      </c>
      <c r="J597" s="314">
        <v>1.5669999999999999</v>
      </c>
      <c r="K597" s="314">
        <v>0</v>
      </c>
      <c r="L597" s="314">
        <v>1.4133</v>
      </c>
      <c r="M597" s="314">
        <v>1.3366</v>
      </c>
      <c r="N597" s="314">
        <v>1.4955000000000001</v>
      </c>
      <c r="O597" s="314">
        <v>1.2185999999999999</v>
      </c>
      <c r="P597" s="314">
        <v>1.4595</v>
      </c>
      <c r="Q597" s="314">
        <v>1.2858000000000001</v>
      </c>
      <c r="R597" s="314">
        <v>1.7506999999999999</v>
      </c>
      <c r="S597" s="314">
        <v>1.6519999999999999</v>
      </c>
      <c r="T597" s="314">
        <v>1.3421000000000001</v>
      </c>
      <c r="U597" s="314">
        <v>1.64</v>
      </c>
      <c r="V597" s="314">
        <v>1.3717999999999999</v>
      </c>
      <c r="W597" s="314">
        <v>1.5048999999999999</v>
      </c>
      <c r="X597" s="314">
        <v>1.3759999999999999</v>
      </c>
      <c r="Y597" s="314">
        <v>1.2879</v>
      </c>
      <c r="Z597" s="314">
        <v>1.6754</v>
      </c>
      <c r="AA597" s="314">
        <v>1.5690999999999999</v>
      </c>
      <c r="AB597" s="314">
        <v>1.5243</v>
      </c>
      <c r="AC597" s="314">
        <v>1.4683999999999999</v>
      </c>
      <c r="AD597" s="314">
        <v>1.2059</v>
      </c>
      <c r="AE597" s="314">
        <v>1.4978</v>
      </c>
      <c r="AF597" s="314">
        <v>0</v>
      </c>
      <c r="AG597" s="314">
        <v>1.2983</v>
      </c>
      <c r="AH597" s="314">
        <v>1.5154000000000001</v>
      </c>
      <c r="AI597" s="314">
        <v>1.5014000000000001</v>
      </c>
      <c r="AJ597" s="314">
        <v>0</v>
      </c>
      <c r="AK597" s="314">
        <v>1.2974000000000001</v>
      </c>
      <c r="AL597" s="314">
        <v>1.4117999999999999</v>
      </c>
      <c r="AM597" s="314">
        <v>1.7329000000000001</v>
      </c>
      <c r="AN597" s="314">
        <v>1.4708000000000001</v>
      </c>
      <c r="AO597" s="314">
        <v>1.4950000000000001</v>
      </c>
      <c r="AP597" s="314">
        <v>1.7349000000000001</v>
      </c>
      <c r="AQ597" s="314">
        <v>1.4827999999999999</v>
      </c>
      <c r="AR597" s="314">
        <v>1.5740000000000001</v>
      </c>
      <c r="AS597" s="314">
        <v>1.2618</v>
      </c>
      <c r="AT597" s="314">
        <v>1.6405000000000001</v>
      </c>
      <c r="AU597" s="314">
        <v>1.5645</v>
      </c>
      <c r="AV597" s="314">
        <v>1.4803999999999999</v>
      </c>
      <c r="AW597" s="314">
        <v>1.4422999999999999</v>
      </c>
      <c r="AX597" s="314">
        <v>0</v>
      </c>
      <c r="AY597" s="314">
        <v>1.3821000000000001</v>
      </c>
      <c r="AZ597" s="314">
        <v>1.5663</v>
      </c>
      <c r="BA597" s="314">
        <v>1.4201999999999999</v>
      </c>
      <c r="BB597" s="314">
        <v>0</v>
      </c>
      <c r="BC597" s="314">
        <v>1.5861000000000001</v>
      </c>
      <c r="BD597" s="314">
        <v>1.6437999999999999</v>
      </c>
      <c r="BE597" s="314">
        <v>1.7605999999999999</v>
      </c>
      <c r="BF597" s="314">
        <v>1.5535000000000001</v>
      </c>
      <c r="BG597" s="314">
        <v>1.5266</v>
      </c>
      <c r="BH597" s="314">
        <v>1.6720999999999999</v>
      </c>
      <c r="BI597" s="314">
        <v>1.6040000000000001</v>
      </c>
      <c r="BJ597" s="314">
        <v>1.4164000000000001</v>
      </c>
      <c r="BK597" s="314">
        <v>1.5281</v>
      </c>
    </row>
    <row r="598" spans="1:63" x14ac:dyDescent="0.25">
      <c r="A598" s="306">
        <v>332600</v>
      </c>
      <c r="B598" s="314" t="s">
        <v>174</v>
      </c>
      <c r="C598" s="314">
        <v>1.8882000000000001</v>
      </c>
      <c r="D598" s="314">
        <v>0</v>
      </c>
      <c r="E598" s="314">
        <v>1.6288</v>
      </c>
      <c r="F598" s="314">
        <v>1.5744</v>
      </c>
      <c r="G598" s="314">
        <v>1.3620000000000001</v>
      </c>
      <c r="H598" s="314">
        <v>1.4728000000000001</v>
      </c>
      <c r="I598" s="314">
        <v>1.4681</v>
      </c>
      <c r="J598" s="314">
        <v>1.5324</v>
      </c>
      <c r="K598" s="314">
        <v>0</v>
      </c>
      <c r="L598" s="314">
        <v>1.4472</v>
      </c>
      <c r="M598" s="314">
        <v>1.3393999999999999</v>
      </c>
      <c r="N598" s="314">
        <v>1.4412</v>
      </c>
      <c r="O598" s="314">
        <v>0</v>
      </c>
      <c r="P598" s="314">
        <v>1.4134</v>
      </c>
      <c r="Q598" s="314">
        <v>1.2423</v>
      </c>
      <c r="R598" s="314">
        <v>1.7726</v>
      </c>
      <c r="S598" s="314">
        <v>1.6621999999999999</v>
      </c>
      <c r="T598" s="314">
        <v>1.3597999999999999</v>
      </c>
      <c r="U598" s="314">
        <v>1.6580999999999999</v>
      </c>
      <c r="V598" s="314">
        <v>1.4409000000000001</v>
      </c>
      <c r="W598" s="314">
        <v>1.4521999999999999</v>
      </c>
      <c r="X598" s="314">
        <v>1.5144</v>
      </c>
      <c r="Y598" s="314">
        <v>1.3188</v>
      </c>
      <c r="Z598" s="314">
        <v>1.6894</v>
      </c>
      <c r="AA598" s="314">
        <v>1.5136000000000001</v>
      </c>
      <c r="AB598" s="314">
        <v>1.5209999999999999</v>
      </c>
      <c r="AC598" s="314">
        <v>1.5329999999999999</v>
      </c>
      <c r="AD598" s="314">
        <v>0</v>
      </c>
      <c r="AE598" s="314">
        <v>1.4782</v>
      </c>
      <c r="AF598" s="314">
        <v>1.1783999999999999</v>
      </c>
      <c r="AG598" s="314">
        <v>1.3108</v>
      </c>
      <c r="AH598" s="314">
        <v>1.4631000000000001</v>
      </c>
      <c r="AI598" s="314">
        <v>1.5259</v>
      </c>
      <c r="AJ598" s="314">
        <v>1.2064999999999999</v>
      </c>
      <c r="AK598" s="314">
        <v>1.2779</v>
      </c>
      <c r="AL598" s="314">
        <v>1.3723000000000001</v>
      </c>
      <c r="AM598" s="314">
        <v>1.742</v>
      </c>
      <c r="AN598" s="314">
        <v>1.5954999999999999</v>
      </c>
      <c r="AO598" s="314">
        <v>1.5657000000000001</v>
      </c>
      <c r="AP598" s="314">
        <v>1.7626999999999999</v>
      </c>
      <c r="AQ598" s="314">
        <v>1.4247000000000001</v>
      </c>
      <c r="AR598" s="314">
        <v>1.6429</v>
      </c>
      <c r="AS598" s="314">
        <v>1.1972</v>
      </c>
      <c r="AT598" s="314">
        <v>1.6262000000000001</v>
      </c>
      <c r="AU598" s="314">
        <v>1.6583000000000001</v>
      </c>
      <c r="AV598" s="314">
        <v>1.5323</v>
      </c>
      <c r="AW598" s="314">
        <v>1.3940999999999999</v>
      </c>
      <c r="AX598" s="314">
        <v>1.236</v>
      </c>
      <c r="AY598" s="314">
        <v>1.3848</v>
      </c>
      <c r="AZ598" s="314">
        <v>1.5069999999999999</v>
      </c>
      <c r="BA598" s="314">
        <v>1.4653</v>
      </c>
      <c r="BB598" s="314">
        <v>0</v>
      </c>
      <c r="BC598" s="314">
        <v>1.5363</v>
      </c>
      <c r="BD598" s="314">
        <v>1.6983999999999999</v>
      </c>
      <c r="BE598" s="314">
        <v>1.7683</v>
      </c>
      <c r="BF598" s="314">
        <v>1.5125</v>
      </c>
      <c r="BG598" s="314">
        <v>1.5248999999999999</v>
      </c>
      <c r="BH598" s="314">
        <v>1.6950000000000001</v>
      </c>
      <c r="BI598" s="314">
        <v>1.7215</v>
      </c>
      <c r="BJ598" s="314">
        <v>1.4148000000000001</v>
      </c>
      <c r="BK598" s="314">
        <v>1.4827999999999999</v>
      </c>
    </row>
    <row r="599" spans="1:63" x14ac:dyDescent="0.25">
      <c r="A599" s="306">
        <v>332710</v>
      </c>
      <c r="B599" s="314" t="s">
        <v>175</v>
      </c>
      <c r="C599" s="314">
        <v>1.8247</v>
      </c>
      <c r="D599" s="314">
        <v>1.2297</v>
      </c>
      <c r="E599" s="314">
        <v>1.5309999999999999</v>
      </c>
      <c r="F599" s="314">
        <v>1.4742999999999999</v>
      </c>
      <c r="G599" s="314">
        <v>1.4514</v>
      </c>
      <c r="H599" s="314">
        <v>1.5477000000000001</v>
      </c>
      <c r="I599" s="314">
        <v>1.5046999999999999</v>
      </c>
      <c r="J599" s="314">
        <v>1.536</v>
      </c>
      <c r="K599" s="314">
        <v>0</v>
      </c>
      <c r="L599" s="314">
        <v>1.3891</v>
      </c>
      <c r="M599" s="314">
        <v>1.397</v>
      </c>
      <c r="N599" s="314">
        <v>1.5051000000000001</v>
      </c>
      <c r="O599" s="314">
        <v>1.2605</v>
      </c>
      <c r="P599" s="314">
        <v>1.4220999999999999</v>
      </c>
      <c r="Q599" s="314">
        <v>1.3149</v>
      </c>
      <c r="R599" s="314">
        <v>1.7014</v>
      </c>
      <c r="S599" s="314">
        <v>1.58</v>
      </c>
      <c r="T599" s="314">
        <v>1.3916999999999999</v>
      </c>
      <c r="U599" s="314">
        <v>1.5527</v>
      </c>
      <c r="V599" s="314">
        <v>1.429</v>
      </c>
      <c r="W599" s="314">
        <v>1.5150999999999999</v>
      </c>
      <c r="X599" s="314">
        <v>1.3976</v>
      </c>
      <c r="Y599" s="314">
        <v>1.3775999999999999</v>
      </c>
      <c r="Z599" s="314">
        <v>1.6298999999999999</v>
      </c>
      <c r="AA599" s="314">
        <v>1.5450999999999999</v>
      </c>
      <c r="AB599" s="314">
        <v>1.5609</v>
      </c>
      <c r="AC599" s="314">
        <v>1.4052</v>
      </c>
      <c r="AD599" s="314">
        <v>1.2649999999999999</v>
      </c>
      <c r="AE599" s="314">
        <v>1.4903999999999999</v>
      </c>
      <c r="AF599" s="314">
        <v>1.2196</v>
      </c>
      <c r="AG599" s="314">
        <v>1.3309</v>
      </c>
      <c r="AH599" s="314">
        <v>1.5358000000000001</v>
      </c>
      <c r="AI599" s="314">
        <v>1.5169999999999999</v>
      </c>
      <c r="AJ599" s="314">
        <v>1.2602</v>
      </c>
      <c r="AK599" s="314">
        <v>1.3620000000000001</v>
      </c>
      <c r="AL599" s="314">
        <v>1.4441999999999999</v>
      </c>
      <c r="AM599" s="314">
        <v>1.6757</v>
      </c>
      <c r="AN599" s="314">
        <v>1.4878</v>
      </c>
      <c r="AO599" s="314">
        <v>1.5570999999999999</v>
      </c>
      <c r="AP599" s="314">
        <v>1.6932</v>
      </c>
      <c r="AQ599" s="314">
        <v>1.4412</v>
      </c>
      <c r="AR599" s="314">
        <v>1.5427</v>
      </c>
      <c r="AS599" s="314">
        <v>1.2745</v>
      </c>
      <c r="AT599" s="314">
        <v>1.5887</v>
      </c>
      <c r="AU599" s="314">
        <v>1.6023000000000001</v>
      </c>
      <c r="AV599" s="314">
        <v>1.5604</v>
      </c>
      <c r="AW599" s="314">
        <v>1.5108999999999999</v>
      </c>
      <c r="AX599" s="314">
        <v>1.3128</v>
      </c>
      <c r="AY599" s="314">
        <v>1.4589000000000001</v>
      </c>
      <c r="AZ599" s="314">
        <v>1.5381</v>
      </c>
      <c r="BA599" s="314">
        <v>1.4134</v>
      </c>
      <c r="BB599" s="314">
        <v>1.2655000000000001</v>
      </c>
      <c r="BC599" s="314">
        <v>1.5617000000000001</v>
      </c>
      <c r="BD599" s="314">
        <v>1.6255999999999999</v>
      </c>
      <c r="BE599" s="314">
        <v>1.704</v>
      </c>
      <c r="BF599" s="314">
        <v>1.5591999999999999</v>
      </c>
      <c r="BG599" s="314">
        <v>1.5401</v>
      </c>
      <c r="BH599" s="314">
        <v>1.607</v>
      </c>
      <c r="BI599" s="314">
        <v>1.623</v>
      </c>
      <c r="BJ599" s="314">
        <v>1.4972000000000001</v>
      </c>
      <c r="BK599" s="314">
        <v>1.5611999999999999</v>
      </c>
    </row>
    <row r="600" spans="1:63" x14ac:dyDescent="0.25">
      <c r="A600" s="306">
        <v>332720</v>
      </c>
      <c r="B600" s="314" t="s">
        <v>176</v>
      </c>
      <c r="C600" s="314">
        <v>1.8273999999999999</v>
      </c>
      <c r="D600" s="314">
        <v>0</v>
      </c>
      <c r="E600" s="314">
        <v>1.5542</v>
      </c>
      <c r="F600" s="314">
        <v>1.4993000000000001</v>
      </c>
      <c r="G600" s="314">
        <v>1.3731</v>
      </c>
      <c r="H600" s="314">
        <v>1.4902</v>
      </c>
      <c r="I600" s="314">
        <v>1.4614</v>
      </c>
      <c r="J600" s="314">
        <v>1.5374000000000001</v>
      </c>
      <c r="K600" s="314">
        <v>0</v>
      </c>
      <c r="L600" s="314">
        <v>1.3684000000000001</v>
      </c>
      <c r="M600" s="314">
        <v>1.3319000000000001</v>
      </c>
      <c r="N600" s="314">
        <v>1.4390000000000001</v>
      </c>
      <c r="O600" s="314">
        <v>0</v>
      </c>
      <c r="P600" s="314">
        <v>1.4196</v>
      </c>
      <c r="Q600" s="314">
        <v>1.2636000000000001</v>
      </c>
      <c r="R600" s="314">
        <v>1.7168000000000001</v>
      </c>
      <c r="S600" s="314">
        <v>1.6153999999999999</v>
      </c>
      <c r="T600" s="314">
        <v>1.3389</v>
      </c>
      <c r="U600" s="314">
        <v>1.6017999999999999</v>
      </c>
      <c r="V600" s="314">
        <v>1.3745000000000001</v>
      </c>
      <c r="W600" s="314">
        <v>1.4739</v>
      </c>
      <c r="X600" s="314">
        <v>1.3986000000000001</v>
      </c>
      <c r="Y600" s="314">
        <v>1.3086</v>
      </c>
      <c r="Z600" s="314">
        <v>1.6501999999999999</v>
      </c>
      <c r="AA600" s="314">
        <v>1.5102</v>
      </c>
      <c r="AB600" s="314">
        <v>1.4967999999999999</v>
      </c>
      <c r="AC600" s="314">
        <v>1.4386000000000001</v>
      </c>
      <c r="AD600" s="314">
        <v>1.2032</v>
      </c>
      <c r="AE600" s="314">
        <v>1.4681999999999999</v>
      </c>
      <c r="AF600" s="314">
        <v>0</v>
      </c>
      <c r="AG600" s="314">
        <v>1.3107</v>
      </c>
      <c r="AH600" s="314">
        <v>1.4801</v>
      </c>
      <c r="AI600" s="314">
        <v>1.4653</v>
      </c>
      <c r="AJ600" s="314">
        <v>1.2117</v>
      </c>
      <c r="AK600" s="314">
        <v>1.2967</v>
      </c>
      <c r="AL600" s="314">
        <v>1.3957999999999999</v>
      </c>
      <c r="AM600" s="314">
        <v>1.6938</v>
      </c>
      <c r="AN600" s="314">
        <v>1.5019</v>
      </c>
      <c r="AO600" s="314">
        <v>1.5125</v>
      </c>
      <c r="AP600" s="314">
        <v>1.7095</v>
      </c>
      <c r="AQ600" s="314">
        <v>1.4358</v>
      </c>
      <c r="AR600" s="314">
        <v>1.5646</v>
      </c>
      <c r="AS600" s="314">
        <v>1.2231000000000001</v>
      </c>
      <c r="AT600" s="314">
        <v>1.5841000000000001</v>
      </c>
      <c r="AU600" s="314">
        <v>1.5573999999999999</v>
      </c>
      <c r="AV600" s="314">
        <v>1.5215000000000001</v>
      </c>
      <c r="AW600" s="314">
        <v>1.4077999999999999</v>
      </c>
      <c r="AX600" s="314">
        <v>1.2695000000000001</v>
      </c>
      <c r="AY600" s="314">
        <v>1.3829</v>
      </c>
      <c r="AZ600" s="314">
        <v>1.5072000000000001</v>
      </c>
      <c r="BA600" s="314">
        <v>1.3888</v>
      </c>
      <c r="BB600" s="314">
        <v>0</v>
      </c>
      <c r="BC600" s="314">
        <v>1.5439000000000001</v>
      </c>
      <c r="BD600" s="314">
        <v>1.6395</v>
      </c>
      <c r="BE600" s="314">
        <v>1.7192000000000001</v>
      </c>
      <c r="BF600" s="314">
        <v>1.5031000000000001</v>
      </c>
      <c r="BG600" s="314">
        <v>1.4908999999999999</v>
      </c>
      <c r="BH600" s="314">
        <v>1.6326000000000001</v>
      </c>
      <c r="BI600" s="314">
        <v>1.6009</v>
      </c>
      <c r="BJ600" s="314">
        <v>1.4207000000000001</v>
      </c>
      <c r="BK600" s="314">
        <v>1.4967999999999999</v>
      </c>
    </row>
    <row r="601" spans="1:63" x14ac:dyDescent="0.25">
      <c r="A601" s="306">
        <v>332800</v>
      </c>
      <c r="B601" s="314" t="s">
        <v>177</v>
      </c>
      <c r="C601" s="314">
        <v>1.9555</v>
      </c>
      <c r="D601" s="314">
        <v>1.246</v>
      </c>
      <c r="E601" s="314">
        <v>1.6251</v>
      </c>
      <c r="F601" s="314">
        <v>1.5417000000000001</v>
      </c>
      <c r="G601" s="314">
        <v>1.3962000000000001</v>
      </c>
      <c r="H601" s="314">
        <v>1.5468999999999999</v>
      </c>
      <c r="I601" s="314">
        <v>1.5389999999999999</v>
      </c>
      <c r="J601" s="314">
        <v>1.5710999999999999</v>
      </c>
      <c r="K601" s="314">
        <v>0</v>
      </c>
      <c r="L601" s="314">
        <v>1.5206</v>
      </c>
      <c r="M601" s="314">
        <v>1.3826000000000001</v>
      </c>
      <c r="N601" s="314">
        <v>1.5508999999999999</v>
      </c>
      <c r="O601" s="314">
        <v>1.2686999999999999</v>
      </c>
      <c r="P601" s="314">
        <v>1.4088000000000001</v>
      </c>
      <c r="Q601" s="314">
        <v>1.3021</v>
      </c>
      <c r="R601" s="314">
        <v>1.8003</v>
      </c>
      <c r="S601" s="314">
        <v>1.6868000000000001</v>
      </c>
      <c r="T601" s="314">
        <v>1.4329000000000001</v>
      </c>
      <c r="U601" s="314">
        <v>1.6738999999999999</v>
      </c>
      <c r="V601" s="314">
        <v>1.5750999999999999</v>
      </c>
      <c r="W601" s="314">
        <v>1.5184</v>
      </c>
      <c r="X601" s="314">
        <v>1.4749000000000001</v>
      </c>
      <c r="Y601" s="314">
        <v>1.3086</v>
      </c>
      <c r="Z601" s="314">
        <v>1.7065999999999999</v>
      </c>
      <c r="AA601" s="314">
        <v>1.5807</v>
      </c>
      <c r="AB601" s="314">
        <v>1.5770999999999999</v>
      </c>
      <c r="AC601" s="314">
        <v>1.5530999999999999</v>
      </c>
      <c r="AD601" s="314">
        <v>1.2623</v>
      </c>
      <c r="AE601" s="314">
        <v>1.5407999999999999</v>
      </c>
      <c r="AF601" s="314">
        <v>1.2421</v>
      </c>
      <c r="AG601" s="314">
        <v>1.3438000000000001</v>
      </c>
      <c r="AH601" s="314">
        <v>1.4609000000000001</v>
      </c>
      <c r="AI601" s="314">
        <v>1.5980000000000001</v>
      </c>
      <c r="AJ601" s="314">
        <v>1.2875000000000001</v>
      </c>
      <c r="AK601" s="314">
        <v>1.3409</v>
      </c>
      <c r="AL601" s="314">
        <v>1.4491000000000001</v>
      </c>
      <c r="AM601" s="314">
        <v>1.7778</v>
      </c>
      <c r="AN601" s="314">
        <v>1.5718000000000001</v>
      </c>
      <c r="AO601" s="314">
        <v>1.5891</v>
      </c>
      <c r="AP601" s="314">
        <v>1.7901</v>
      </c>
      <c r="AQ601" s="314">
        <v>1.4438</v>
      </c>
      <c r="AR601" s="314">
        <v>1.6261000000000001</v>
      </c>
      <c r="AS601" s="314">
        <v>1.2474000000000001</v>
      </c>
      <c r="AT601" s="314">
        <v>1.6443000000000001</v>
      </c>
      <c r="AU601" s="314">
        <v>1.7439</v>
      </c>
      <c r="AV601" s="314">
        <v>1.5860000000000001</v>
      </c>
      <c r="AW601" s="314">
        <v>1.5044</v>
      </c>
      <c r="AX601" s="314">
        <v>1.3025</v>
      </c>
      <c r="AY601" s="314">
        <v>1.4202999999999999</v>
      </c>
      <c r="AZ601" s="314">
        <v>1.5223</v>
      </c>
      <c r="BA601" s="314">
        <v>1.5324</v>
      </c>
      <c r="BB601" s="314">
        <v>1.2859</v>
      </c>
      <c r="BC601" s="314">
        <v>1.5749</v>
      </c>
      <c r="BD601" s="314">
        <v>1.7278</v>
      </c>
      <c r="BE601" s="314">
        <v>1.7989999999999999</v>
      </c>
      <c r="BF601" s="314">
        <v>1.5558000000000001</v>
      </c>
      <c r="BG601" s="314">
        <v>1.5921000000000001</v>
      </c>
      <c r="BH601" s="314">
        <v>1.7231000000000001</v>
      </c>
      <c r="BI601" s="314">
        <v>1.7868999999999999</v>
      </c>
      <c r="BJ601" s="314">
        <v>1.4937</v>
      </c>
      <c r="BK601" s="314">
        <v>1.5512999999999999</v>
      </c>
    </row>
    <row r="602" spans="1:63" x14ac:dyDescent="0.25">
      <c r="A602" s="306">
        <v>332913</v>
      </c>
      <c r="B602" s="314" t="s">
        <v>8</v>
      </c>
      <c r="C602" s="314">
        <v>1.9561999999999999</v>
      </c>
      <c r="D602" s="314">
        <v>0</v>
      </c>
      <c r="E602" s="314">
        <v>0</v>
      </c>
      <c r="F602" s="314">
        <v>1.5958000000000001</v>
      </c>
      <c r="G602" s="314">
        <v>1.4446000000000001</v>
      </c>
      <c r="H602" s="314">
        <v>1.5671999999999999</v>
      </c>
      <c r="I602" s="314">
        <v>1.4172</v>
      </c>
      <c r="J602" s="314">
        <v>1.6528</v>
      </c>
      <c r="K602" s="314">
        <v>0</v>
      </c>
      <c r="L602" s="314">
        <v>1.3813</v>
      </c>
      <c r="M602" s="314">
        <v>1.3662000000000001</v>
      </c>
      <c r="N602" s="314">
        <v>1.6045</v>
      </c>
      <c r="O602" s="314">
        <v>0</v>
      </c>
      <c r="P602" s="314">
        <v>0</v>
      </c>
      <c r="Q602" s="314">
        <v>1.3110999999999999</v>
      </c>
      <c r="R602" s="314">
        <v>1.7625</v>
      </c>
      <c r="S602" s="314">
        <v>1.6485000000000001</v>
      </c>
      <c r="T602" s="314">
        <v>1.3697999999999999</v>
      </c>
      <c r="U602" s="314">
        <v>1.6574</v>
      </c>
      <c r="V602" s="314">
        <v>0</v>
      </c>
      <c r="W602" s="314">
        <v>1.6407</v>
      </c>
      <c r="X602" s="314">
        <v>0</v>
      </c>
      <c r="Y602" s="314">
        <v>0</v>
      </c>
      <c r="Z602" s="314">
        <v>1.6193</v>
      </c>
      <c r="AA602" s="314">
        <v>1.5411999999999999</v>
      </c>
      <c r="AB602" s="314">
        <v>1.5931999999999999</v>
      </c>
      <c r="AC602" s="314">
        <v>0</v>
      </c>
      <c r="AD602" s="314">
        <v>0</v>
      </c>
      <c r="AE602" s="314">
        <v>1.5965</v>
      </c>
      <c r="AF602" s="314">
        <v>0</v>
      </c>
      <c r="AG602" s="314">
        <v>0</v>
      </c>
      <c r="AH602" s="314">
        <v>1.6268</v>
      </c>
      <c r="AI602" s="314">
        <v>1.5264</v>
      </c>
      <c r="AJ602" s="314">
        <v>0</v>
      </c>
      <c r="AK602" s="314">
        <v>1.3075000000000001</v>
      </c>
      <c r="AL602" s="314">
        <v>1.4515</v>
      </c>
      <c r="AM602" s="314">
        <v>1.6971000000000001</v>
      </c>
      <c r="AN602" s="314">
        <v>1.3825000000000001</v>
      </c>
      <c r="AO602" s="314">
        <v>1.4972000000000001</v>
      </c>
      <c r="AP602" s="314">
        <v>1.7844</v>
      </c>
      <c r="AQ602" s="314">
        <v>1.5987</v>
      </c>
      <c r="AR602" s="314">
        <v>1.6472</v>
      </c>
      <c r="AS602" s="314">
        <v>0</v>
      </c>
      <c r="AT602" s="314">
        <v>1.6176999999999999</v>
      </c>
      <c r="AU602" s="314">
        <v>1.6543000000000001</v>
      </c>
      <c r="AV602" s="314">
        <v>0</v>
      </c>
      <c r="AW602" s="314">
        <v>1.5406</v>
      </c>
      <c r="AX602" s="314">
        <v>0</v>
      </c>
      <c r="AY602" s="314">
        <v>1.3887</v>
      </c>
      <c r="AZ602" s="314">
        <v>1.5911</v>
      </c>
      <c r="BA602" s="314">
        <v>0</v>
      </c>
      <c r="BB602" s="314">
        <v>0</v>
      </c>
      <c r="BC602" s="314">
        <v>1.6928000000000001</v>
      </c>
      <c r="BD602" s="314">
        <v>1.6398999999999999</v>
      </c>
      <c r="BE602" s="314">
        <v>1.7514000000000001</v>
      </c>
      <c r="BF602" s="314">
        <v>1.56</v>
      </c>
      <c r="BG602" s="314">
        <v>1.5987</v>
      </c>
      <c r="BH602" s="314">
        <v>1.6655</v>
      </c>
      <c r="BI602" s="314">
        <v>1.6668000000000001</v>
      </c>
      <c r="BJ602" s="314">
        <v>1.4429000000000001</v>
      </c>
      <c r="BK602" s="314">
        <v>1.5598000000000001</v>
      </c>
    </row>
    <row r="603" spans="1:63" x14ac:dyDescent="0.25">
      <c r="A603" s="306" t="s">
        <v>601</v>
      </c>
      <c r="B603" s="314" t="s">
        <v>612</v>
      </c>
      <c r="C603" s="314">
        <v>1.8293999999999999</v>
      </c>
      <c r="D603" s="314">
        <v>0</v>
      </c>
      <c r="E603" s="314">
        <v>1.5678000000000001</v>
      </c>
      <c r="F603" s="314">
        <v>1.4938</v>
      </c>
      <c r="G603" s="314">
        <v>1.4080999999999999</v>
      </c>
      <c r="H603" s="314">
        <v>1.4773000000000001</v>
      </c>
      <c r="I603" s="314">
        <v>1.3934</v>
      </c>
      <c r="J603" s="314">
        <v>1.5138</v>
      </c>
      <c r="K603" s="314">
        <v>1.1232</v>
      </c>
      <c r="L603" s="314">
        <v>0</v>
      </c>
      <c r="M603" s="314">
        <v>1.3132999999999999</v>
      </c>
      <c r="N603" s="314">
        <v>1.4169</v>
      </c>
      <c r="O603" s="314">
        <v>0</v>
      </c>
      <c r="P603" s="314">
        <v>1.4311</v>
      </c>
      <c r="Q603" s="314">
        <v>1.2616000000000001</v>
      </c>
      <c r="R603" s="314">
        <v>1.7019</v>
      </c>
      <c r="S603" s="314">
        <v>1.6073</v>
      </c>
      <c r="T603" s="314">
        <v>1.3888</v>
      </c>
      <c r="U603" s="314">
        <v>1.5293000000000001</v>
      </c>
      <c r="V603" s="314">
        <v>1.3779999999999999</v>
      </c>
      <c r="W603" s="314">
        <v>1.4809000000000001</v>
      </c>
      <c r="X603" s="314">
        <v>1.3266</v>
      </c>
      <c r="Y603" s="314">
        <v>1.2811999999999999</v>
      </c>
      <c r="Z603" s="314">
        <v>1.6347</v>
      </c>
      <c r="AA603" s="314">
        <v>1.5238</v>
      </c>
      <c r="AB603" s="314">
        <v>1.5153000000000001</v>
      </c>
      <c r="AC603" s="314">
        <v>1.3771</v>
      </c>
      <c r="AD603" s="314">
        <v>1.1943999999999999</v>
      </c>
      <c r="AE603" s="314">
        <v>1.4656</v>
      </c>
      <c r="AF603" s="314">
        <v>1.1818</v>
      </c>
      <c r="AG603" s="314">
        <v>1.3189</v>
      </c>
      <c r="AH603" s="314">
        <v>1.5397000000000001</v>
      </c>
      <c r="AI603" s="314">
        <v>1.4535</v>
      </c>
      <c r="AJ603" s="314">
        <v>1.1916</v>
      </c>
      <c r="AK603" s="314">
        <v>1.3078000000000001</v>
      </c>
      <c r="AL603" s="314">
        <v>1.3815</v>
      </c>
      <c r="AM603" s="314">
        <v>1.6923999999999999</v>
      </c>
      <c r="AN603" s="314">
        <v>1.4735</v>
      </c>
      <c r="AO603" s="314">
        <v>1.5088999999999999</v>
      </c>
      <c r="AP603" s="314">
        <v>1.7050000000000001</v>
      </c>
      <c r="AQ603" s="314">
        <v>1.4607000000000001</v>
      </c>
      <c r="AR603" s="314">
        <v>1.5368999999999999</v>
      </c>
      <c r="AS603" s="314">
        <v>1.2151000000000001</v>
      </c>
      <c r="AT603" s="314">
        <v>1.5964</v>
      </c>
      <c r="AU603" s="314">
        <v>1.5662</v>
      </c>
      <c r="AV603" s="314">
        <v>1.5126999999999999</v>
      </c>
      <c r="AW603" s="314">
        <v>1.4148000000000001</v>
      </c>
      <c r="AX603" s="314">
        <v>1.3005</v>
      </c>
      <c r="AY603" s="314">
        <v>1.3672</v>
      </c>
      <c r="AZ603" s="314">
        <v>1.5511999999999999</v>
      </c>
      <c r="BA603" s="314">
        <v>1.3577999999999999</v>
      </c>
      <c r="BB603" s="314">
        <v>1.1963999999999999</v>
      </c>
      <c r="BC603" s="314">
        <v>1.5415000000000001</v>
      </c>
      <c r="BD603" s="314">
        <v>1.5933999999999999</v>
      </c>
      <c r="BE603" s="314">
        <v>1.7177</v>
      </c>
      <c r="BF603" s="314">
        <v>1.5342</v>
      </c>
      <c r="BG603" s="314">
        <v>1.4584999999999999</v>
      </c>
      <c r="BH603" s="314">
        <v>1.6333</v>
      </c>
      <c r="BI603" s="314">
        <v>1.5936999999999999</v>
      </c>
      <c r="BJ603" s="314">
        <v>1.4240999999999999</v>
      </c>
      <c r="BK603" s="314">
        <v>1.5039</v>
      </c>
    </row>
    <row r="604" spans="1:63" x14ac:dyDescent="0.25">
      <c r="A604" s="306">
        <v>332991</v>
      </c>
      <c r="B604" s="314" t="s">
        <v>178</v>
      </c>
      <c r="C604" s="314">
        <v>1.8068</v>
      </c>
      <c r="D604" s="314">
        <v>0</v>
      </c>
      <c r="E604" s="314">
        <v>1.4859</v>
      </c>
      <c r="F604" s="314">
        <v>0</v>
      </c>
      <c r="G604" s="314">
        <v>0</v>
      </c>
      <c r="H604" s="314">
        <v>1.4138999999999999</v>
      </c>
      <c r="I604" s="314">
        <v>0</v>
      </c>
      <c r="J604" s="314">
        <v>1.5521</v>
      </c>
      <c r="K604" s="314">
        <v>0</v>
      </c>
      <c r="L604" s="314">
        <v>1.3313999999999999</v>
      </c>
      <c r="M604" s="314">
        <v>1.2673000000000001</v>
      </c>
      <c r="N604" s="314">
        <v>1.4815</v>
      </c>
      <c r="O604" s="314">
        <v>0</v>
      </c>
      <c r="P604" s="314">
        <v>1.4355</v>
      </c>
      <c r="Q604" s="314">
        <v>0</v>
      </c>
      <c r="R604" s="314">
        <v>1.7217</v>
      </c>
      <c r="S604" s="314">
        <v>1.6293</v>
      </c>
      <c r="T604" s="314">
        <v>1.2871999999999999</v>
      </c>
      <c r="U604" s="314">
        <v>1.5951</v>
      </c>
      <c r="V604" s="314">
        <v>0</v>
      </c>
      <c r="W604" s="314">
        <v>1.4104000000000001</v>
      </c>
      <c r="X604" s="314">
        <v>1.3233999999999999</v>
      </c>
      <c r="Y604" s="314">
        <v>0</v>
      </c>
      <c r="Z604" s="314">
        <v>1.6458999999999999</v>
      </c>
      <c r="AA604" s="314">
        <v>0</v>
      </c>
      <c r="AB604" s="314">
        <v>1.4116</v>
      </c>
      <c r="AC604" s="314">
        <v>1.3688</v>
      </c>
      <c r="AD604" s="314">
        <v>0</v>
      </c>
      <c r="AE604" s="314">
        <v>1.4911000000000001</v>
      </c>
      <c r="AF604" s="314">
        <v>0</v>
      </c>
      <c r="AG604" s="314">
        <v>0</v>
      </c>
      <c r="AH604" s="314">
        <v>1.4648000000000001</v>
      </c>
      <c r="AI604" s="314">
        <v>1.3731</v>
      </c>
      <c r="AJ604" s="314">
        <v>0</v>
      </c>
      <c r="AK604" s="314">
        <v>1.2729999999999999</v>
      </c>
      <c r="AL604" s="314">
        <v>1.3641000000000001</v>
      </c>
      <c r="AM604" s="314">
        <v>1.6956</v>
      </c>
      <c r="AN604" s="314">
        <v>1.3778999999999999</v>
      </c>
      <c r="AO604" s="314">
        <v>0</v>
      </c>
      <c r="AP604" s="314">
        <v>1.6615</v>
      </c>
      <c r="AQ604" s="314">
        <v>1.3138000000000001</v>
      </c>
      <c r="AR604" s="314">
        <v>1.5802</v>
      </c>
      <c r="AS604" s="314">
        <v>0</v>
      </c>
      <c r="AT604" s="314">
        <v>1.6036999999999999</v>
      </c>
      <c r="AU604" s="314">
        <v>1.4904999999999999</v>
      </c>
      <c r="AV604" s="314">
        <v>0</v>
      </c>
      <c r="AW604" s="314">
        <v>1.4335</v>
      </c>
      <c r="AX604" s="314">
        <v>0</v>
      </c>
      <c r="AY604" s="314">
        <v>0</v>
      </c>
      <c r="AZ604" s="314">
        <v>1.4533</v>
      </c>
      <c r="BA604" s="314">
        <v>0</v>
      </c>
      <c r="BB604" s="314">
        <v>1.2332000000000001</v>
      </c>
      <c r="BC604" s="314">
        <v>1.5601</v>
      </c>
      <c r="BD604" s="314">
        <v>1.5827</v>
      </c>
      <c r="BE604" s="314">
        <v>1.7164999999999999</v>
      </c>
      <c r="BF604" s="314">
        <v>1.4033</v>
      </c>
      <c r="BG604" s="314">
        <v>1.5182</v>
      </c>
      <c r="BH604" s="314">
        <v>1.6274999999999999</v>
      </c>
      <c r="BI604" s="314">
        <v>1.5165</v>
      </c>
      <c r="BJ604" s="314">
        <v>1.3471</v>
      </c>
      <c r="BK604" s="314">
        <v>1.4146000000000001</v>
      </c>
    </row>
    <row r="605" spans="1:63" x14ac:dyDescent="0.25">
      <c r="A605" s="306">
        <v>332996</v>
      </c>
      <c r="B605" s="314" t="s">
        <v>179</v>
      </c>
      <c r="C605" s="314">
        <v>1.9523999999999999</v>
      </c>
      <c r="D605" s="314">
        <v>1.1920999999999999</v>
      </c>
      <c r="E605" s="314">
        <v>1.6825000000000001</v>
      </c>
      <c r="F605" s="314">
        <v>1.6082000000000001</v>
      </c>
      <c r="G605" s="314">
        <v>1.3924000000000001</v>
      </c>
      <c r="H605" s="314">
        <v>1.4996</v>
      </c>
      <c r="I605" s="314">
        <v>1.4990000000000001</v>
      </c>
      <c r="J605" s="314">
        <v>1.5306999999999999</v>
      </c>
      <c r="K605" s="314">
        <v>0</v>
      </c>
      <c r="L605" s="314">
        <v>1.5134000000000001</v>
      </c>
      <c r="M605" s="314">
        <v>1.3422000000000001</v>
      </c>
      <c r="N605" s="314">
        <v>1.4372</v>
      </c>
      <c r="O605" s="314">
        <v>0</v>
      </c>
      <c r="P605" s="314">
        <v>1.4275</v>
      </c>
      <c r="Q605" s="314">
        <v>1.2477</v>
      </c>
      <c r="R605" s="314">
        <v>1.7867999999999999</v>
      </c>
      <c r="S605" s="314">
        <v>1.7209000000000001</v>
      </c>
      <c r="T605" s="314">
        <v>1.3813</v>
      </c>
      <c r="U605" s="314">
        <v>1.6135999999999999</v>
      </c>
      <c r="V605" s="314">
        <v>1.5374000000000001</v>
      </c>
      <c r="W605" s="314">
        <v>1.4633</v>
      </c>
      <c r="X605" s="314">
        <v>1.4359</v>
      </c>
      <c r="Y605" s="314">
        <v>1.2966</v>
      </c>
      <c r="Z605" s="314">
        <v>1.7605</v>
      </c>
      <c r="AA605" s="314">
        <v>1.5407999999999999</v>
      </c>
      <c r="AB605" s="314">
        <v>1.5004</v>
      </c>
      <c r="AC605" s="314">
        <v>1.5205</v>
      </c>
      <c r="AD605" s="314">
        <v>1.1954</v>
      </c>
      <c r="AE605" s="314">
        <v>1.4782</v>
      </c>
      <c r="AF605" s="314">
        <v>0</v>
      </c>
      <c r="AG605" s="314">
        <v>1.3632</v>
      </c>
      <c r="AH605" s="314">
        <v>1.4772000000000001</v>
      </c>
      <c r="AI605" s="314">
        <v>1.4702</v>
      </c>
      <c r="AJ605" s="314">
        <v>1.2173</v>
      </c>
      <c r="AK605" s="314">
        <v>1.2887999999999999</v>
      </c>
      <c r="AL605" s="314">
        <v>1.371</v>
      </c>
      <c r="AM605" s="314">
        <v>1.8105</v>
      </c>
      <c r="AN605" s="314">
        <v>1.6382000000000001</v>
      </c>
      <c r="AO605" s="314">
        <v>1.6405000000000001</v>
      </c>
      <c r="AP605" s="314">
        <v>1.8303</v>
      </c>
      <c r="AQ605" s="314">
        <v>1.3726</v>
      </c>
      <c r="AR605" s="314">
        <v>1.6842999999999999</v>
      </c>
      <c r="AS605" s="314">
        <v>1.2022999999999999</v>
      </c>
      <c r="AT605" s="314">
        <v>1.6716</v>
      </c>
      <c r="AU605" s="314">
        <v>1.7073</v>
      </c>
      <c r="AV605" s="314">
        <v>1.6474</v>
      </c>
      <c r="AW605" s="314">
        <v>1.4524999999999999</v>
      </c>
      <c r="AX605" s="314">
        <v>0</v>
      </c>
      <c r="AY605" s="314">
        <v>1.3914</v>
      </c>
      <c r="AZ605" s="314">
        <v>1.556</v>
      </c>
      <c r="BA605" s="314">
        <v>1.4562999999999999</v>
      </c>
      <c r="BB605" s="314">
        <v>1.2037</v>
      </c>
      <c r="BC605" s="314">
        <v>1.5137</v>
      </c>
      <c r="BD605" s="314">
        <v>1.7204999999999999</v>
      </c>
      <c r="BE605" s="314">
        <v>1.8387</v>
      </c>
      <c r="BF605" s="314">
        <v>1.5126999999999999</v>
      </c>
      <c r="BG605" s="314">
        <v>1.5286999999999999</v>
      </c>
      <c r="BH605" s="314">
        <v>1.7516</v>
      </c>
      <c r="BI605" s="314">
        <v>1.7692000000000001</v>
      </c>
      <c r="BJ605" s="314">
        <v>1.4530000000000001</v>
      </c>
      <c r="BK605" s="314">
        <v>1.5179</v>
      </c>
    </row>
    <row r="606" spans="1:63" x14ac:dyDescent="0.25">
      <c r="A606" s="306" t="s">
        <v>728</v>
      </c>
      <c r="B606" s="314" t="s">
        <v>171</v>
      </c>
      <c r="C606" s="314">
        <v>1.6672</v>
      </c>
      <c r="D606" s="314">
        <v>0</v>
      </c>
      <c r="E606" s="314">
        <v>1.4193</v>
      </c>
      <c r="F606" s="314">
        <v>1.4097</v>
      </c>
      <c r="G606" s="314">
        <v>0</v>
      </c>
      <c r="H606" s="314">
        <v>1.3969</v>
      </c>
      <c r="I606" s="314">
        <v>0</v>
      </c>
      <c r="J606" s="314">
        <v>1.4522999999999999</v>
      </c>
      <c r="K606" s="314">
        <v>0</v>
      </c>
      <c r="L606" s="314">
        <v>0</v>
      </c>
      <c r="M606" s="314">
        <v>1.2618</v>
      </c>
      <c r="N606" s="314">
        <v>1.4104000000000001</v>
      </c>
      <c r="O606" s="314">
        <v>0</v>
      </c>
      <c r="P606" s="314">
        <v>1.323</v>
      </c>
      <c r="Q606" s="314">
        <v>1.2511000000000001</v>
      </c>
      <c r="R606" s="314">
        <v>1.5602</v>
      </c>
      <c r="S606" s="314">
        <v>1.4749000000000001</v>
      </c>
      <c r="T606" s="314">
        <v>1.3266</v>
      </c>
      <c r="U606" s="314">
        <v>1.4637</v>
      </c>
      <c r="V606" s="314">
        <v>0</v>
      </c>
      <c r="W606" s="314">
        <v>1.4331</v>
      </c>
      <c r="X606" s="314">
        <v>1.264</v>
      </c>
      <c r="Y606" s="314">
        <v>0</v>
      </c>
      <c r="Z606" s="314">
        <v>1.4917</v>
      </c>
      <c r="AA606" s="314">
        <v>1.4251</v>
      </c>
      <c r="AB606" s="314">
        <v>1.4476</v>
      </c>
      <c r="AC606" s="314">
        <v>1.3405</v>
      </c>
      <c r="AD606" s="314">
        <v>1.1662999999999999</v>
      </c>
      <c r="AE606" s="314">
        <v>1.4153</v>
      </c>
      <c r="AF606" s="314">
        <v>0</v>
      </c>
      <c r="AG606" s="314">
        <v>1.2443</v>
      </c>
      <c r="AH606" s="314">
        <v>0</v>
      </c>
      <c r="AI606" s="314">
        <v>0</v>
      </c>
      <c r="AJ606" s="314">
        <v>1.1789000000000001</v>
      </c>
      <c r="AK606" s="314">
        <v>1.2433000000000001</v>
      </c>
      <c r="AL606" s="314">
        <v>0</v>
      </c>
      <c r="AM606" s="314">
        <v>1.5593999999999999</v>
      </c>
      <c r="AN606" s="314">
        <v>0</v>
      </c>
      <c r="AO606" s="314">
        <v>1.3755999999999999</v>
      </c>
      <c r="AP606" s="314">
        <v>1.5558000000000001</v>
      </c>
      <c r="AQ606" s="314">
        <v>0</v>
      </c>
      <c r="AR606" s="314">
        <v>1.4409000000000001</v>
      </c>
      <c r="AS606" s="314">
        <v>1.2123999999999999</v>
      </c>
      <c r="AT606" s="314">
        <v>1.4697</v>
      </c>
      <c r="AU606" s="314">
        <v>1.4581999999999999</v>
      </c>
      <c r="AV606" s="314">
        <v>1.3676999999999999</v>
      </c>
      <c r="AW606" s="314">
        <v>1.3722000000000001</v>
      </c>
      <c r="AX606" s="314">
        <v>0</v>
      </c>
      <c r="AY606" s="314">
        <v>1.296</v>
      </c>
      <c r="AZ606" s="314">
        <v>1.4182999999999999</v>
      </c>
      <c r="BA606" s="314">
        <v>1.3214999999999999</v>
      </c>
      <c r="BB606" s="314">
        <v>0</v>
      </c>
      <c r="BC606" s="314">
        <v>1.4842</v>
      </c>
      <c r="BD606" s="314">
        <v>1.4899</v>
      </c>
      <c r="BE606" s="314">
        <v>1.5716000000000001</v>
      </c>
      <c r="BF606" s="314">
        <v>1.4348000000000001</v>
      </c>
      <c r="BG606" s="314">
        <v>1.417</v>
      </c>
      <c r="BH606" s="314">
        <v>1.5036</v>
      </c>
      <c r="BI606" s="314">
        <v>1.4777</v>
      </c>
      <c r="BJ606" s="314">
        <v>1.3418000000000001</v>
      </c>
      <c r="BK606" s="314">
        <v>1.3995</v>
      </c>
    </row>
    <row r="607" spans="1:63" x14ac:dyDescent="0.25">
      <c r="A607" s="306" t="s">
        <v>729</v>
      </c>
      <c r="B607" s="314" t="s">
        <v>172</v>
      </c>
      <c r="C607" s="314">
        <v>1.6629</v>
      </c>
      <c r="D607" s="314">
        <v>0</v>
      </c>
      <c r="E607" s="314">
        <v>1.4094</v>
      </c>
      <c r="F607" s="314">
        <v>1.3819999999999999</v>
      </c>
      <c r="G607" s="314">
        <v>1.3158000000000001</v>
      </c>
      <c r="H607" s="314">
        <v>1.4154</v>
      </c>
      <c r="I607" s="314">
        <v>1.3608</v>
      </c>
      <c r="J607" s="314">
        <v>1.4292</v>
      </c>
      <c r="K607" s="314">
        <v>0</v>
      </c>
      <c r="L607" s="314">
        <v>0</v>
      </c>
      <c r="M607" s="314">
        <v>1.2807999999999999</v>
      </c>
      <c r="N607" s="314">
        <v>1.4016999999999999</v>
      </c>
      <c r="O607" s="314">
        <v>0</v>
      </c>
      <c r="P607" s="314">
        <v>1.2983</v>
      </c>
      <c r="Q607" s="314">
        <v>1.2439</v>
      </c>
      <c r="R607" s="314">
        <v>1.546</v>
      </c>
      <c r="S607" s="314">
        <v>1.4542999999999999</v>
      </c>
      <c r="T607" s="314">
        <v>1.3017000000000001</v>
      </c>
      <c r="U607" s="314">
        <v>1.4470000000000001</v>
      </c>
      <c r="V607" s="314">
        <v>0</v>
      </c>
      <c r="W607" s="314">
        <v>1.4226000000000001</v>
      </c>
      <c r="X607" s="314">
        <v>1.2934000000000001</v>
      </c>
      <c r="Y607" s="314">
        <v>1.2764</v>
      </c>
      <c r="Z607" s="314">
        <v>1.4863999999999999</v>
      </c>
      <c r="AA607" s="314">
        <v>1.4198999999999999</v>
      </c>
      <c r="AB607" s="314">
        <v>1.4176</v>
      </c>
      <c r="AC607" s="314">
        <v>1.3231999999999999</v>
      </c>
      <c r="AD607" s="314">
        <v>1.1901999999999999</v>
      </c>
      <c r="AE607" s="314">
        <v>1.3937999999999999</v>
      </c>
      <c r="AF607" s="314">
        <v>0</v>
      </c>
      <c r="AG607" s="314">
        <v>1.2388999999999999</v>
      </c>
      <c r="AH607" s="314">
        <v>1.4068000000000001</v>
      </c>
      <c r="AI607" s="314">
        <v>1.3889</v>
      </c>
      <c r="AJ607" s="314">
        <v>0</v>
      </c>
      <c r="AK607" s="314">
        <v>1.2561</v>
      </c>
      <c r="AL607" s="314">
        <v>1.3472999999999999</v>
      </c>
      <c r="AM607" s="314">
        <v>1.5379</v>
      </c>
      <c r="AN607" s="314">
        <v>1.3472999999999999</v>
      </c>
      <c r="AO607" s="314">
        <v>1.4019999999999999</v>
      </c>
      <c r="AP607" s="314">
        <v>1.5454000000000001</v>
      </c>
      <c r="AQ607" s="314">
        <v>0</v>
      </c>
      <c r="AR607" s="314">
        <v>1.4305000000000001</v>
      </c>
      <c r="AS607" s="314">
        <v>1.1948000000000001</v>
      </c>
      <c r="AT607" s="314">
        <v>1.4666999999999999</v>
      </c>
      <c r="AU607" s="314">
        <v>1.4537</v>
      </c>
      <c r="AV607" s="314">
        <v>1.3821000000000001</v>
      </c>
      <c r="AW607" s="314">
        <v>1.3672</v>
      </c>
      <c r="AX607" s="314">
        <v>1.2655000000000001</v>
      </c>
      <c r="AY607" s="314">
        <v>1.3301000000000001</v>
      </c>
      <c r="AZ607" s="314">
        <v>1.4227000000000001</v>
      </c>
      <c r="BA607" s="314">
        <v>1.3086</v>
      </c>
      <c r="BB607" s="314">
        <v>1.1909000000000001</v>
      </c>
      <c r="BC607" s="314">
        <v>1.4710000000000001</v>
      </c>
      <c r="BD607" s="314">
        <v>1.4931000000000001</v>
      </c>
      <c r="BE607" s="314">
        <v>1.5618000000000001</v>
      </c>
      <c r="BF607" s="314">
        <v>1.4179999999999999</v>
      </c>
      <c r="BG607" s="314">
        <v>1.4162999999999999</v>
      </c>
      <c r="BH607" s="314">
        <v>1.4957</v>
      </c>
      <c r="BI607" s="314">
        <v>1.4832000000000001</v>
      </c>
      <c r="BJ607" s="314">
        <v>1.3592</v>
      </c>
      <c r="BK607" s="314">
        <v>1.4358</v>
      </c>
    </row>
    <row r="608" spans="1:63" x14ac:dyDescent="0.25">
      <c r="A608" s="306" t="s">
        <v>600</v>
      </c>
      <c r="B608" s="314" t="s">
        <v>7</v>
      </c>
      <c r="C608" s="314">
        <v>1.9160999999999999</v>
      </c>
      <c r="D608" s="314">
        <v>1.1678999999999999</v>
      </c>
      <c r="E608" s="314">
        <v>1.6282000000000001</v>
      </c>
      <c r="F608" s="314">
        <v>1.5777000000000001</v>
      </c>
      <c r="G608" s="314">
        <v>1.4215</v>
      </c>
      <c r="H608" s="314">
        <v>1.5283</v>
      </c>
      <c r="I608" s="314">
        <v>1.4433</v>
      </c>
      <c r="J608" s="314">
        <v>1.5353000000000001</v>
      </c>
      <c r="K608" s="314">
        <v>0</v>
      </c>
      <c r="L608" s="314">
        <v>0</v>
      </c>
      <c r="M608" s="314">
        <v>1.3668</v>
      </c>
      <c r="N608" s="314">
        <v>1.522</v>
      </c>
      <c r="O608" s="314">
        <v>0</v>
      </c>
      <c r="P608" s="314">
        <v>1.4684999999999999</v>
      </c>
      <c r="Q608" s="314">
        <v>1.2633000000000001</v>
      </c>
      <c r="R608" s="314">
        <v>1.732</v>
      </c>
      <c r="S608" s="314">
        <v>1.6815</v>
      </c>
      <c r="T608" s="314">
        <v>1.3809</v>
      </c>
      <c r="U608" s="314">
        <v>1.663</v>
      </c>
      <c r="V608" s="314">
        <v>1.4358</v>
      </c>
      <c r="W608" s="314">
        <v>1.4761</v>
      </c>
      <c r="X608" s="314">
        <v>1.4065000000000001</v>
      </c>
      <c r="Y608" s="314">
        <v>1.2907999999999999</v>
      </c>
      <c r="Z608" s="314">
        <v>1.6919</v>
      </c>
      <c r="AA608" s="314">
        <v>1.5409999999999999</v>
      </c>
      <c r="AB608" s="314">
        <v>1.5818000000000001</v>
      </c>
      <c r="AC608" s="314">
        <v>1.5024</v>
      </c>
      <c r="AD608" s="314">
        <v>1.2068000000000001</v>
      </c>
      <c r="AE608" s="314">
        <v>1.4986999999999999</v>
      </c>
      <c r="AF608" s="314">
        <v>1.2076</v>
      </c>
      <c r="AG608" s="314">
        <v>1.3107</v>
      </c>
      <c r="AH608" s="314">
        <v>1.5044999999999999</v>
      </c>
      <c r="AI608" s="314">
        <v>1.5188999999999999</v>
      </c>
      <c r="AJ608" s="314">
        <v>1.2155</v>
      </c>
      <c r="AK608" s="314">
        <v>1.2970999999999999</v>
      </c>
      <c r="AL608" s="314">
        <v>1.3959999999999999</v>
      </c>
      <c r="AM608" s="314">
        <v>1.7665999999999999</v>
      </c>
      <c r="AN608" s="314">
        <v>1.5113000000000001</v>
      </c>
      <c r="AO608" s="314">
        <v>1.5986</v>
      </c>
      <c r="AP608" s="314">
        <v>1.7685</v>
      </c>
      <c r="AQ608" s="314">
        <v>1.4123000000000001</v>
      </c>
      <c r="AR608" s="314">
        <v>1.6173999999999999</v>
      </c>
      <c r="AS608" s="314">
        <v>1.2743</v>
      </c>
      <c r="AT608" s="314">
        <v>1.6503000000000001</v>
      </c>
      <c r="AU608" s="314">
        <v>1.6585000000000001</v>
      </c>
      <c r="AV608" s="314">
        <v>1.5487</v>
      </c>
      <c r="AW608" s="314">
        <v>1.4815</v>
      </c>
      <c r="AX608" s="314">
        <v>1.2778</v>
      </c>
      <c r="AY608" s="314">
        <v>1.4588000000000001</v>
      </c>
      <c r="AZ608" s="314">
        <v>1.5478000000000001</v>
      </c>
      <c r="BA608" s="314">
        <v>1.4713000000000001</v>
      </c>
      <c r="BB608" s="314">
        <v>1.2001999999999999</v>
      </c>
      <c r="BC608" s="314">
        <v>1.5326</v>
      </c>
      <c r="BD608" s="314">
        <v>1.6684000000000001</v>
      </c>
      <c r="BE608" s="314">
        <v>1.7876000000000001</v>
      </c>
      <c r="BF608" s="314">
        <v>1.5864</v>
      </c>
      <c r="BG608" s="314">
        <v>1.5570999999999999</v>
      </c>
      <c r="BH608" s="314">
        <v>1.7061999999999999</v>
      </c>
      <c r="BI608" s="314">
        <v>1.71</v>
      </c>
      <c r="BJ608" s="314">
        <v>1.4401999999999999</v>
      </c>
      <c r="BK608" s="314">
        <v>1.5487</v>
      </c>
    </row>
    <row r="609" spans="1:63" x14ac:dyDescent="0.25">
      <c r="A609" s="306">
        <v>333111</v>
      </c>
      <c r="B609" s="314" t="s">
        <v>180</v>
      </c>
      <c r="C609" s="314">
        <v>1.9883</v>
      </c>
      <c r="D609" s="314">
        <v>0</v>
      </c>
      <c r="E609" s="314">
        <v>1.6587000000000001</v>
      </c>
      <c r="F609" s="314">
        <v>1.5913999999999999</v>
      </c>
      <c r="G609" s="314">
        <v>1.3841000000000001</v>
      </c>
      <c r="H609" s="314">
        <v>1.5063</v>
      </c>
      <c r="I609" s="314">
        <v>1.4653</v>
      </c>
      <c r="J609" s="314">
        <v>0</v>
      </c>
      <c r="K609" s="314">
        <v>0</v>
      </c>
      <c r="L609" s="314">
        <v>0</v>
      </c>
      <c r="M609" s="314">
        <v>1.3589</v>
      </c>
      <c r="N609" s="314">
        <v>1.5511999999999999</v>
      </c>
      <c r="O609" s="314">
        <v>1.1887000000000001</v>
      </c>
      <c r="P609" s="314">
        <v>1.5722</v>
      </c>
      <c r="Q609" s="314">
        <v>1.2481</v>
      </c>
      <c r="R609" s="314">
        <v>1.8536999999999999</v>
      </c>
      <c r="S609" s="314">
        <v>1.7583</v>
      </c>
      <c r="T609" s="314">
        <v>1.419</v>
      </c>
      <c r="U609" s="314">
        <v>1.7145999999999999</v>
      </c>
      <c r="V609" s="314">
        <v>1.3804000000000001</v>
      </c>
      <c r="W609" s="314">
        <v>1.5084</v>
      </c>
      <c r="X609" s="314">
        <v>1.4233</v>
      </c>
      <c r="Y609" s="314">
        <v>1.3243</v>
      </c>
      <c r="Z609" s="314">
        <v>1.7679</v>
      </c>
      <c r="AA609" s="314">
        <v>1.5855999999999999</v>
      </c>
      <c r="AB609" s="314">
        <v>1.6343000000000001</v>
      </c>
      <c r="AC609" s="314">
        <v>1.5526</v>
      </c>
      <c r="AD609" s="314">
        <v>1.1935</v>
      </c>
      <c r="AE609" s="314">
        <v>1.6202000000000001</v>
      </c>
      <c r="AF609" s="314">
        <v>1.2538</v>
      </c>
      <c r="AG609" s="314">
        <v>1.4158999999999999</v>
      </c>
      <c r="AH609" s="314">
        <v>1.5251999999999999</v>
      </c>
      <c r="AI609" s="314">
        <v>1.5176000000000001</v>
      </c>
      <c r="AJ609" s="314">
        <v>1.2354000000000001</v>
      </c>
      <c r="AK609" s="314">
        <v>1.3103</v>
      </c>
      <c r="AL609" s="314">
        <v>1.4162999999999999</v>
      </c>
      <c r="AM609" s="314">
        <v>1.8358000000000001</v>
      </c>
      <c r="AN609" s="314">
        <v>1.5547</v>
      </c>
      <c r="AO609" s="314">
        <v>1.5394000000000001</v>
      </c>
      <c r="AP609" s="314">
        <v>1.7887999999999999</v>
      </c>
      <c r="AQ609" s="314">
        <v>0</v>
      </c>
      <c r="AR609" s="314">
        <v>1.6795</v>
      </c>
      <c r="AS609" s="314">
        <v>1.296</v>
      </c>
      <c r="AT609" s="314">
        <v>1.7322</v>
      </c>
      <c r="AU609" s="314">
        <v>1.5820000000000001</v>
      </c>
      <c r="AV609" s="314">
        <v>1.6034999999999999</v>
      </c>
      <c r="AW609" s="314">
        <v>1.4578</v>
      </c>
      <c r="AX609" s="314">
        <v>0</v>
      </c>
      <c r="AY609" s="314">
        <v>1.3712</v>
      </c>
      <c r="AZ609" s="314">
        <v>1.6827000000000001</v>
      </c>
      <c r="BA609" s="314">
        <v>0</v>
      </c>
      <c r="BB609" s="314">
        <v>1.1891</v>
      </c>
      <c r="BC609" s="314">
        <v>1.5744</v>
      </c>
      <c r="BD609" s="314">
        <v>1.6574</v>
      </c>
      <c r="BE609" s="314">
        <v>1.8746</v>
      </c>
      <c r="BF609" s="314">
        <v>1.6642999999999999</v>
      </c>
      <c r="BG609" s="314">
        <v>1.5787</v>
      </c>
      <c r="BH609" s="314">
        <v>1.7746999999999999</v>
      </c>
      <c r="BI609" s="314">
        <v>1.6363000000000001</v>
      </c>
      <c r="BJ609" s="314">
        <v>1.4442999999999999</v>
      </c>
      <c r="BK609" s="314">
        <v>1.5095000000000001</v>
      </c>
    </row>
    <row r="610" spans="1:63" x14ac:dyDescent="0.25">
      <c r="A610" s="306">
        <v>333112</v>
      </c>
      <c r="B610" s="314" t="s">
        <v>181</v>
      </c>
      <c r="C610" s="314">
        <v>2.1221000000000001</v>
      </c>
      <c r="D610" s="314">
        <v>0</v>
      </c>
      <c r="E610" s="314">
        <v>1.8216000000000001</v>
      </c>
      <c r="F610" s="314">
        <v>1.6202000000000001</v>
      </c>
      <c r="G610" s="314">
        <v>1.3782000000000001</v>
      </c>
      <c r="H610" s="314">
        <v>1.4816</v>
      </c>
      <c r="I610" s="314">
        <v>1.5203</v>
      </c>
      <c r="J610" s="314">
        <v>1.5598000000000001</v>
      </c>
      <c r="K610" s="314">
        <v>0</v>
      </c>
      <c r="L610" s="314">
        <v>0</v>
      </c>
      <c r="M610" s="314">
        <v>1.3483000000000001</v>
      </c>
      <c r="N610" s="314">
        <v>1.5613999999999999</v>
      </c>
      <c r="O610" s="314">
        <v>0</v>
      </c>
      <c r="P610" s="314">
        <v>1.6948000000000001</v>
      </c>
      <c r="Q610" s="314">
        <v>1.2531000000000001</v>
      </c>
      <c r="R610" s="314">
        <v>1.9662999999999999</v>
      </c>
      <c r="S610" s="314">
        <v>1.8886000000000001</v>
      </c>
      <c r="T610" s="314">
        <v>1.4370000000000001</v>
      </c>
      <c r="U610" s="314">
        <v>1.8408</v>
      </c>
      <c r="V610" s="314">
        <v>1.3672</v>
      </c>
      <c r="W610" s="314">
        <v>1.4663999999999999</v>
      </c>
      <c r="X610" s="314">
        <v>1.4810000000000001</v>
      </c>
      <c r="Y610" s="314">
        <v>1.3194999999999999</v>
      </c>
      <c r="Z610" s="314">
        <v>1.9129</v>
      </c>
      <c r="AA610" s="314">
        <v>1.5339</v>
      </c>
      <c r="AB610" s="314">
        <v>1.7795000000000001</v>
      </c>
      <c r="AC610" s="314">
        <v>1.6397999999999999</v>
      </c>
      <c r="AD610" s="314">
        <v>0</v>
      </c>
      <c r="AE610" s="314">
        <v>1.7426999999999999</v>
      </c>
      <c r="AF610" s="314">
        <v>0</v>
      </c>
      <c r="AG610" s="314">
        <v>1.4273</v>
      </c>
      <c r="AH610" s="314">
        <v>0</v>
      </c>
      <c r="AI610" s="314">
        <v>1.4666999999999999</v>
      </c>
      <c r="AJ610" s="314">
        <v>0</v>
      </c>
      <c r="AK610" s="314">
        <v>0</v>
      </c>
      <c r="AL610" s="314">
        <v>1.4614</v>
      </c>
      <c r="AM610" s="314">
        <v>1.9549000000000001</v>
      </c>
      <c r="AN610" s="314">
        <v>1.6254</v>
      </c>
      <c r="AO610" s="314">
        <v>1.5215000000000001</v>
      </c>
      <c r="AP610" s="314">
        <v>1.7761</v>
      </c>
      <c r="AQ610" s="314">
        <v>0</v>
      </c>
      <c r="AR610" s="314">
        <v>1.8193999999999999</v>
      </c>
      <c r="AS610" s="314">
        <v>1.3089999999999999</v>
      </c>
      <c r="AT610" s="314">
        <v>1.8674999999999999</v>
      </c>
      <c r="AU610" s="314">
        <v>1.5724</v>
      </c>
      <c r="AV610" s="314">
        <v>1.7033</v>
      </c>
      <c r="AW610" s="314">
        <v>1.4442999999999999</v>
      </c>
      <c r="AX610" s="314">
        <v>0</v>
      </c>
      <c r="AY610" s="314">
        <v>1.3649</v>
      </c>
      <c r="AZ610" s="314">
        <v>1.8292999999999999</v>
      </c>
      <c r="BA610" s="314">
        <v>1.4881</v>
      </c>
      <c r="BB610" s="314">
        <v>0</v>
      </c>
      <c r="BC610" s="314">
        <v>1.5347999999999999</v>
      </c>
      <c r="BD610" s="314">
        <v>1.6456</v>
      </c>
      <c r="BE610" s="314">
        <v>2.0093000000000001</v>
      </c>
      <c r="BF610" s="314">
        <v>1.7262</v>
      </c>
      <c r="BG610" s="314">
        <v>1.6113</v>
      </c>
      <c r="BH610" s="314">
        <v>1.9017999999999999</v>
      </c>
      <c r="BI610" s="314">
        <v>1.629</v>
      </c>
      <c r="BJ610" s="314">
        <v>1.4782</v>
      </c>
      <c r="BK610" s="314">
        <v>1.4876</v>
      </c>
    </row>
    <row r="611" spans="1:63" x14ac:dyDescent="0.25">
      <c r="A611" s="306">
        <v>333120</v>
      </c>
      <c r="B611" s="314" t="s">
        <v>182</v>
      </c>
      <c r="C611" s="314">
        <v>2.0545</v>
      </c>
      <c r="D611" s="314">
        <v>0</v>
      </c>
      <c r="E611" s="314">
        <v>1.7266999999999999</v>
      </c>
      <c r="F611" s="314">
        <v>1.6161000000000001</v>
      </c>
      <c r="G611" s="314">
        <v>1.4159999999999999</v>
      </c>
      <c r="H611" s="314">
        <v>1.5336000000000001</v>
      </c>
      <c r="I611" s="314">
        <v>1.5324</v>
      </c>
      <c r="J611" s="314">
        <v>1.5582</v>
      </c>
      <c r="K611" s="314">
        <v>0</v>
      </c>
      <c r="L611" s="314">
        <v>0</v>
      </c>
      <c r="M611" s="314">
        <v>1.3863000000000001</v>
      </c>
      <c r="N611" s="314">
        <v>1.5891999999999999</v>
      </c>
      <c r="O611" s="314">
        <v>0</v>
      </c>
      <c r="P611" s="314">
        <v>1.6235999999999999</v>
      </c>
      <c r="Q611" s="314">
        <v>1.2795000000000001</v>
      </c>
      <c r="R611" s="314">
        <v>1.9049</v>
      </c>
      <c r="S611" s="314">
        <v>1.8104</v>
      </c>
      <c r="T611" s="314">
        <v>1.5051000000000001</v>
      </c>
      <c r="U611" s="314">
        <v>1.7304999999999999</v>
      </c>
      <c r="V611" s="314">
        <v>1.4315</v>
      </c>
      <c r="W611" s="314">
        <v>1.4802</v>
      </c>
      <c r="X611" s="314">
        <v>1.4309000000000001</v>
      </c>
      <c r="Y611" s="314">
        <v>1.3520000000000001</v>
      </c>
      <c r="Z611" s="314">
        <v>1.8035000000000001</v>
      </c>
      <c r="AA611" s="314">
        <v>1.5991</v>
      </c>
      <c r="AB611" s="314">
        <v>1.6894</v>
      </c>
      <c r="AC611" s="314">
        <v>1.6132</v>
      </c>
      <c r="AD611" s="314">
        <v>1.2181</v>
      </c>
      <c r="AE611" s="314">
        <v>1.6914</v>
      </c>
      <c r="AF611" s="314">
        <v>1.276</v>
      </c>
      <c r="AG611" s="314">
        <v>1.4322999999999999</v>
      </c>
      <c r="AH611" s="314">
        <v>1.5283</v>
      </c>
      <c r="AI611" s="314">
        <v>1.5042</v>
      </c>
      <c r="AJ611" s="314">
        <v>1.2458</v>
      </c>
      <c r="AK611" s="314">
        <v>0</v>
      </c>
      <c r="AL611" s="314">
        <v>1.4363999999999999</v>
      </c>
      <c r="AM611" s="314">
        <v>1.899</v>
      </c>
      <c r="AN611" s="314">
        <v>1.6557999999999999</v>
      </c>
      <c r="AO611" s="314">
        <v>1.5771999999999999</v>
      </c>
      <c r="AP611" s="314">
        <v>1.8170999999999999</v>
      </c>
      <c r="AQ611" s="314">
        <v>1.4077999999999999</v>
      </c>
      <c r="AR611" s="314">
        <v>1.7392000000000001</v>
      </c>
      <c r="AS611" s="314">
        <v>1.3382000000000001</v>
      </c>
      <c r="AT611" s="314">
        <v>1.7735000000000001</v>
      </c>
      <c r="AU611" s="314">
        <v>1.6294999999999999</v>
      </c>
      <c r="AV611" s="314">
        <v>1.6789000000000001</v>
      </c>
      <c r="AW611" s="314">
        <v>1.5154000000000001</v>
      </c>
      <c r="AX611" s="314">
        <v>1.3345</v>
      </c>
      <c r="AY611" s="314">
        <v>1.4301999999999999</v>
      </c>
      <c r="AZ611" s="314">
        <v>1.7603</v>
      </c>
      <c r="BA611" s="314">
        <v>1.4870000000000001</v>
      </c>
      <c r="BB611" s="314">
        <v>1.2117</v>
      </c>
      <c r="BC611" s="314">
        <v>1.5510999999999999</v>
      </c>
      <c r="BD611" s="314">
        <v>1.6594</v>
      </c>
      <c r="BE611" s="314">
        <v>1.9401999999999999</v>
      </c>
      <c r="BF611" s="314">
        <v>1.7213000000000001</v>
      </c>
      <c r="BG611" s="314">
        <v>1.6314</v>
      </c>
      <c r="BH611" s="314">
        <v>1.8285</v>
      </c>
      <c r="BI611" s="314">
        <v>1.6973</v>
      </c>
      <c r="BJ611" s="314">
        <v>1.5152000000000001</v>
      </c>
      <c r="BK611" s="314">
        <v>1.5511999999999999</v>
      </c>
    </row>
    <row r="612" spans="1:63" x14ac:dyDescent="0.25">
      <c r="A612" s="306">
        <v>333130</v>
      </c>
      <c r="B612" s="314" t="s">
        <v>183</v>
      </c>
      <c r="C612" s="314">
        <v>2.0346000000000002</v>
      </c>
      <c r="D612" s="314">
        <v>1.1907000000000001</v>
      </c>
      <c r="E612" s="314">
        <v>1.6697</v>
      </c>
      <c r="F612" s="314">
        <v>1.5415000000000001</v>
      </c>
      <c r="G612" s="314">
        <v>1.462</v>
      </c>
      <c r="H612" s="314">
        <v>1.5863</v>
      </c>
      <c r="I612" s="314">
        <v>1.575</v>
      </c>
      <c r="J612" s="314">
        <v>1.6009</v>
      </c>
      <c r="K612" s="314">
        <v>0</v>
      </c>
      <c r="L612" s="314">
        <v>0</v>
      </c>
      <c r="M612" s="314">
        <v>1.4068000000000001</v>
      </c>
      <c r="N612" s="314">
        <v>1.5322</v>
      </c>
      <c r="O612" s="314">
        <v>0</v>
      </c>
      <c r="P612" s="314">
        <v>1.5158</v>
      </c>
      <c r="Q612" s="314">
        <v>1.2892999999999999</v>
      </c>
      <c r="R612" s="314">
        <v>1.8816999999999999</v>
      </c>
      <c r="S612" s="314">
        <v>1.7415</v>
      </c>
      <c r="T612" s="314">
        <v>1.4601</v>
      </c>
      <c r="U612" s="314">
        <v>1.6766000000000001</v>
      </c>
      <c r="V612" s="314">
        <v>1.5184</v>
      </c>
      <c r="W612" s="314">
        <v>1.571</v>
      </c>
      <c r="X612" s="314">
        <v>1.4634</v>
      </c>
      <c r="Y612" s="314">
        <v>0</v>
      </c>
      <c r="Z612" s="314">
        <v>1.7981</v>
      </c>
      <c r="AA612" s="314">
        <v>1.6165</v>
      </c>
      <c r="AB612" s="314">
        <v>1.6122000000000001</v>
      </c>
      <c r="AC612" s="314">
        <v>1.5246999999999999</v>
      </c>
      <c r="AD612" s="314">
        <v>0</v>
      </c>
      <c r="AE612" s="314">
        <v>1.6047</v>
      </c>
      <c r="AF612" s="314">
        <v>1.2372000000000001</v>
      </c>
      <c r="AG612" s="314">
        <v>1.3839999999999999</v>
      </c>
      <c r="AH612" s="314">
        <v>1.5642</v>
      </c>
      <c r="AI612" s="314">
        <v>1.5288999999999999</v>
      </c>
      <c r="AJ612" s="314">
        <v>1.2638</v>
      </c>
      <c r="AK612" s="314">
        <v>1.3857999999999999</v>
      </c>
      <c r="AL612" s="314">
        <v>1.4662999999999999</v>
      </c>
      <c r="AM612" s="314">
        <v>1.8553999999999999</v>
      </c>
      <c r="AN612" s="314">
        <v>1.6385000000000001</v>
      </c>
      <c r="AO612" s="314">
        <v>1.6213</v>
      </c>
      <c r="AP612" s="314">
        <v>1.8569</v>
      </c>
      <c r="AQ612" s="314">
        <v>0</v>
      </c>
      <c r="AR612" s="314">
        <v>1.6935</v>
      </c>
      <c r="AS612" s="314">
        <v>0</v>
      </c>
      <c r="AT612" s="314">
        <v>1.7145999999999999</v>
      </c>
      <c r="AU612" s="314">
        <v>1.7123999999999999</v>
      </c>
      <c r="AV612" s="314">
        <v>1.7070000000000001</v>
      </c>
      <c r="AW612" s="314">
        <v>1.5095000000000001</v>
      </c>
      <c r="AX612" s="314">
        <v>1.3463000000000001</v>
      </c>
      <c r="AY612" s="314">
        <v>1.4615</v>
      </c>
      <c r="AZ612" s="314">
        <v>1.6794</v>
      </c>
      <c r="BA612" s="314">
        <v>1.4741</v>
      </c>
      <c r="BB612" s="314">
        <v>1.2492000000000001</v>
      </c>
      <c r="BC612" s="314">
        <v>1.6294999999999999</v>
      </c>
      <c r="BD612" s="314">
        <v>1.7312000000000001</v>
      </c>
      <c r="BE612" s="314">
        <v>1.8903000000000001</v>
      </c>
      <c r="BF612" s="314">
        <v>1.6413</v>
      </c>
      <c r="BG612" s="314">
        <v>1.6009</v>
      </c>
      <c r="BH612" s="314">
        <v>1.7687999999999999</v>
      </c>
      <c r="BI612" s="314">
        <v>1.7543</v>
      </c>
      <c r="BJ612" s="314">
        <v>1.5518000000000001</v>
      </c>
      <c r="BK612" s="314">
        <v>1.6025</v>
      </c>
    </row>
    <row r="613" spans="1:63" x14ac:dyDescent="0.25">
      <c r="A613" s="306">
        <v>333220</v>
      </c>
      <c r="B613" s="314" t="s">
        <v>185</v>
      </c>
      <c r="C613" s="314">
        <v>1.9396</v>
      </c>
      <c r="D613" s="314">
        <v>0</v>
      </c>
      <c r="E613" s="314">
        <v>1.5684</v>
      </c>
      <c r="F613" s="314">
        <v>1.5101</v>
      </c>
      <c r="G613" s="314">
        <v>1.4587000000000001</v>
      </c>
      <c r="H613" s="314">
        <v>1.5740000000000001</v>
      </c>
      <c r="I613" s="314">
        <v>1.5134000000000001</v>
      </c>
      <c r="J613" s="314">
        <v>1.6198999999999999</v>
      </c>
      <c r="K613" s="314">
        <v>0</v>
      </c>
      <c r="L613" s="314">
        <v>0</v>
      </c>
      <c r="M613" s="314">
        <v>1.4053</v>
      </c>
      <c r="N613" s="314">
        <v>1.4978</v>
      </c>
      <c r="O613" s="314">
        <v>0</v>
      </c>
      <c r="P613" s="314">
        <v>1.4805999999999999</v>
      </c>
      <c r="Q613" s="314">
        <v>0</v>
      </c>
      <c r="R613" s="314">
        <v>1.8257000000000001</v>
      </c>
      <c r="S613" s="314">
        <v>1.6417999999999999</v>
      </c>
      <c r="T613" s="314">
        <v>1.4724999999999999</v>
      </c>
      <c r="U613" s="314">
        <v>1.5803</v>
      </c>
      <c r="V613" s="314">
        <v>1.4325000000000001</v>
      </c>
      <c r="W613" s="314">
        <v>1.5853999999999999</v>
      </c>
      <c r="X613" s="314">
        <v>1.4080999999999999</v>
      </c>
      <c r="Y613" s="314">
        <v>0</v>
      </c>
      <c r="Z613" s="314">
        <v>1.7402</v>
      </c>
      <c r="AA613" s="314">
        <v>1.6247</v>
      </c>
      <c r="AB613" s="314">
        <v>1.5526</v>
      </c>
      <c r="AC613" s="314">
        <v>1.4461999999999999</v>
      </c>
      <c r="AD613" s="314">
        <v>0</v>
      </c>
      <c r="AE613" s="314">
        <v>1.5678000000000001</v>
      </c>
      <c r="AF613" s="314">
        <v>1.2157</v>
      </c>
      <c r="AG613" s="314">
        <v>1.3763000000000001</v>
      </c>
      <c r="AH613" s="314">
        <v>1.5905</v>
      </c>
      <c r="AI613" s="314">
        <v>1.5539000000000001</v>
      </c>
      <c r="AJ613" s="314">
        <v>1.2329000000000001</v>
      </c>
      <c r="AK613" s="314">
        <v>0</v>
      </c>
      <c r="AL613" s="314">
        <v>1.4786999999999999</v>
      </c>
      <c r="AM613" s="314">
        <v>1.7978000000000001</v>
      </c>
      <c r="AN613" s="314">
        <v>1.5528</v>
      </c>
      <c r="AO613" s="314">
        <v>1.597</v>
      </c>
      <c r="AP613" s="314">
        <v>1.7928999999999999</v>
      </c>
      <c r="AQ613" s="314">
        <v>1.4569000000000001</v>
      </c>
      <c r="AR613" s="314">
        <v>1.5871</v>
      </c>
      <c r="AS613" s="314">
        <v>0</v>
      </c>
      <c r="AT613" s="314">
        <v>1.6323000000000001</v>
      </c>
      <c r="AU613" s="314">
        <v>1.6587000000000001</v>
      </c>
      <c r="AV613" s="314">
        <v>1.6175999999999999</v>
      </c>
      <c r="AW613" s="314">
        <v>1.5381</v>
      </c>
      <c r="AX613" s="314">
        <v>1.3439000000000001</v>
      </c>
      <c r="AY613" s="314">
        <v>1.4771000000000001</v>
      </c>
      <c r="AZ613" s="314">
        <v>1.6556</v>
      </c>
      <c r="BA613" s="314">
        <v>1.4040999999999999</v>
      </c>
      <c r="BB613" s="314">
        <v>0</v>
      </c>
      <c r="BC613" s="314">
        <v>1.6433</v>
      </c>
      <c r="BD613" s="314">
        <v>1.7063999999999999</v>
      </c>
      <c r="BE613" s="314">
        <v>1.8268</v>
      </c>
      <c r="BF613" s="314">
        <v>1.6160000000000001</v>
      </c>
      <c r="BG613" s="314">
        <v>1.5791999999999999</v>
      </c>
      <c r="BH613" s="314">
        <v>1.6637</v>
      </c>
      <c r="BI613" s="314">
        <v>1.6871</v>
      </c>
      <c r="BJ613" s="314">
        <v>1.5029999999999999</v>
      </c>
      <c r="BK613" s="314">
        <v>1.5939000000000001</v>
      </c>
    </row>
    <row r="614" spans="1:63" x14ac:dyDescent="0.25">
      <c r="A614" s="306">
        <v>333295</v>
      </c>
      <c r="B614" s="314" t="s">
        <v>186</v>
      </c>
      <c r="C614" s="314">
        <v>1.8544</v>
      </c>
      <c r="D614" s="314">
        <v>0</v>
      </c>
      <c r="E614" s="314">
        <v>1.4327000000000001</v>
      </c>
      <c r="F614" s="314">
        <v>1.4221999999999999</v>
      </c>
      <c r="G614" s="314">
        <v>1.482</v>
      </c>
      <c r="H614" s="314">
        <v>1.6128</v>
      </c>
      <c r="I614" s="314">
        <v>1.4850000000000001</v>
      </c>
      <c r="J614" s="314">
        <v>1.6112</v>
      </c>
      <c r="K614" s="314">
        <v>0</v>
      </c>
      <c r="L614" s="314">
        <v>0</v>
      </c>
      <c r="M614" s="314">
        <v>1.4013</v>
      </c>
      <c r="N614" s="314">
        <v>1.486</v>
      </c>
      <c r="O614" s="314">
        <v>0</v>
      </c>
      <c r="P614" s="314">
        <v>1.3702000000000001</v>
      </c>
      <c r="Q614" s="314">
        <v>1.2945</v>
      </c>
      <c r="R614" s="314">
        <v>1.653</v>
      </c>
      <c r="S614" s="314">
        <v>0</v>
      </c>
      <c r="T614" s="314">
        <v>0</v>
      </c>
      <c r="U614" s="314">
        <v>1.4841</v>
      </c>
      <c r="V614" s="314">
        <v>0</v>
      </c>
      <c r="W614" s="314">
        <v>1.6285000000000001</v>
      </c>
      <c r="X614" s="314">
        <v>1.3798999999999999</v>
      </c>
      <c r="Y614" s="314">
        <v>0</v>
      </c>
      <c r="Z614" s="314">
        <v>1.5753999999999999</v>
      </c>
      <c r="AA614" s="314">
        <v>1.5864</v>
      </c>
      <c r="AB614" s="314">
        <v>0</v>
      </c>
      <c r="AC614" s="314">
        <v>0</v>
      </c>
      <c r="AD614" s="314">
        <v>1.2756000000000001</v>
      </c>
      <c r="AE614" s="314">
        <v>1.4971000000000001</v>
      </c>
      <c r="AF614" s="314">
        <v>0</v>
      </c>
      <c r="AG614" s="314">
        <v>0</v>
      </c>
      <c r="AH614" s="314">
        <v>1.5606</v>
      </c>
      <c r="AI614" s="314">
        <v>1.5270999999999999</v>
      </c>
      <c r="AJ614" s="314">
        <v>0</v>
      </c>
      <c r="AK614" s="314">
        <v>0</v>
      </c>
      <c r="AL614" s="314">
        <v>1.4591000000000001</v>
      </c>
      <c r="AM614" s="314">
        <v>1.6272</v>
      </c>
      <c r="AN614" s="314">
        <v>0</v>
      </c>
      <c r="AO614" s="314">
        <v>1.5822000000000001</v>
      </c>
      <c r="AP614" s="314">
        <v>1.6941999999999999</v>
      </c>
      <c r="AQ614" s="314">
        <v>0</v>
      </c>
      <c r="AR614" s="314">
        <v>0</v>
      </c>
      <c r="AS614" s="314">
        <v>0</v>
      </c>
      <c r="AT614" s="314">
        <v>1.524</v>
      </c>
      <c r="AU614" s="314">
        <v>1.5748</v>
      </c>
      <c r="AV614" s="314">
        <v>1.52</v>
      </c>
      <c r="AW614" s="314">
        <v>1.5027999999999999</v>
      </c>
      <c r="AX614" s="314">
        <v>1.3915</v>
      </c>
      <c r="AY614" s="314">
        <v>0</v>
      </c>
      <c r="AZ614" s="314">
        <v>1.5298</v>
      </c>
      <c r="BA614" s="314">
        <v>0</v>
      </c>
      <c r="BB614" s="314">
        <v>0</v>
      </c>
      <c r="BC614" s="314">
        <v>1.6645000000000001</v>
      </c>
      <c r="BD614" s="314">
        <v>1.6067</v>
      </c>
      <c r="BE614" s="314">
        <v>1.6514</v>
      </c>
      <c r="BF614" s="314">
        <v>1.5418000000000001</v>
      </c>
      <c r="BG614" s="314">
        <v>1.5297000000000001</v>
      </c>
      <c r="BH614" s="314">
        <v>1.5170999999999999</v>
      </c>
      <c r="BI614" s="314">
        <v>1.5827</v>
      </c>
      <c r="BJ614" s="314">
        <v>1.5192000000000001</v>
      </c>
      <c r="BK614" s="314">
        <v>1.6188</v>
      </c>
    </row>
    <row r="615" spans="1:63" x14ac:dyDescent="0.25">
      <c r="A615" s="306" t="s">
        <v>730</v>
      </c>
      <c r="B615" s="314" t="s">
        <v>184</v>
      </c>
      <c r="C615" s="314">
        <v>1.9500999999999999</v>
      </c>
      <c r="D615" s="314">
        <v>0</v>
      </c>
      <c r="E615" s="314">
        <v>1.5871</v>
      </c>
      <c r="F615" s="314">
        <v>1.5524</v>
      </c>
      <c r="G615" s="314">
        <v>1.4424999999999999</v>
      </c>
      <c r="H615" s="314">
        <v>1.5849</v>
      </c>
      <c r="I615" s="314">
        <v>1.5347</v>
      </c>
      <c r="J615" s="314">
        <v>1.6312</v>
      </c>
      <c r="K615" s="314">
        <v>0</v>
      </c>
      <c r="L615" s="314">
        <v>1.4063000000000001</v>
      </c>
      <c r="M615" s="314">
        <v>1.4056</v>
      </c>
      <c r="N615" s="314">
        <v>1.5479000000000001</v>
      </c>
      <c r="O615" s="314">
        <v>0</v>
      </c>
      <c r="P615" s="314">
        <v>1.4816</v>
      </c>
      <c r="Q615" s="314">
        <v>1.3098000000000001</v>
      </c>
      <c r="R615" s="314">
        <v>1.8264</v>
      </c>
      <c r="S615" s="314">
        <v>1.6839999999999999</v>
      </c>
      <c r="T615" s="314">
        <v>1.4603999999999999</v>
      </c>
      <c r="U615" s="314">
        <v>1.6376999999999999</v>
      </c>
      <c r="V615" s="314">
        <v>1.4623999999999999</v>
      </c>
      <c r="W615" s="314">
        <v>1.6027</v>
      </c>
      <c r="X615" s="314">
        <v>1.4347000000000001</v>
      </c>
      <c r="Y615" s="314">
        <v>1.3938999999999999</v>
      </c>
      <c r="Z615" s="314">
        <v>1.7459</v>
      </c>
      <c r="AA615" s="314">
        <v>1.6479999999999999</v>
      </c>
      <c r="AB615" s="314">
        <v>1.6088</v>
      </c>
      <c r="AC615" s="314">
        <v>1.454</v>
      </c>
      <c r="AD615" s="314">
        <v>1.2275</v>
      </c>
      <c r="AE615" s="314">
        <v>1.5876999999999999</v>
      </c>
      <c r="AF615" s="314">
        <v>1.2250000000000001</v>
      </c>
      <c r="AG615" s="314">
        <v>1.3682000000000001</v>
      </c>
      <c r="AH615" s="314">
        <v>1.605</v>
      </c>
      <c r="AI615" s="314">
        <v>1.57</v>
      </c>
      <c r="AJ615" s="314">
        <v>1.2447999999999999</v>
      </c>
      <c r="AK615" s="314">
        <v>1.3491</v>
      </c>
      <c r="AL615" s="314">
        <v>1.4962</v>
      </c>
      <c r="AM615" s="314">
        <v>1.8069</v>
      </c>
      <c r="AN615" s="314">
        <v>1.5465</v>
      </c>
      <c r="AO615" s="314">
        <v>1.6291</v>
      </c>
      <c r="AP615" s="314">
        <v>1.8051999999999999</v>
      </c>
      <c r="AQ615" s="314">
        <v>1.4988999999999999</v>
      </c>
      <c r="AR615" s="314">
        <v>1.6318999999999999</v>
      </c>
      <c r="AS615" s="314">
        <v>1.2782</v>
      </c>
      <c r="AT615" s="314">
        <v>1.6529</v>
      </c>
      <c r="AU615" s="314">
        <v>1.6538999999999999</v>
      </c>
      <c r="AV615" s="314">
        <v>1.6111</v>
      </c>
      <c r="AW615" s="314">
        <v>1.5306</v>
      </c>
      <c r="AX615" s="314">
        <v>1.3527</v>
      </c>
      <c r="AY615" s="314">
        <v>1.4883999999999999</v>
      </c>
      <c r="AZ615" s="314">
        <v>1.6478999999999999</v>
      </c>
      <c r="BA615" s="314">
        <v>1.4295</v>
      </c>
      <c r="BB615" s="314">
        <v>1.2270000000000001</v>
      </c>
      <c r="BC615" s="314">
        <v>1.6581999999999999</v>
      </c>
      <c r="BD615" s="314">
        <v>1.7183999999999999</v>
      </c>
      <c r="BE615" s="314">
        <v>1.8334999999999999</v>
      </c>
      <c r="BF615" s="314">
        <v>1.6388</v>
      </c>
      <c r="BG615" s="314">
        <v>1.5984</v>
      </c>
      <c r="BH615" s="314">
        <v>1.6871</v>
      </c>
      <c r="BI615" s="314">
        <v>1.6886000000000001</v>
      </c>
      <c r="BJ615" s="314">
        <v>1.5</v>
      </c>
      <c r="BK615" s="314">
        <v>1.6035999999999999</v>
      </c>
    </row>
    <row r="616" spans="1:63" x14ac:dyDescent="0.25">
      <c r="A616" s="306">
        <v>333314</v>
      </c>
      <c r="B616" s="314" t="s">
        <v>188</v>
      </c>
      <c r="C616" s="314">
        <v>1.8677999999999999</v>
      </c>
      <c r="D616" s="314">
        <v>0</v>
      </c>
      <c r="E616" s="314">
        <v>1.5003</v>
      </c>
      <c r="F616" s="314">
        <v>1.4570000000000001</v>
      </c>
      <c r="G616" s="314">
        <v>1.4772000000000001</v>
      </c>
      <c r="H616" s="314">
        <v>1.6115999999999999</v>
      </c>
      <c r="I616" s="314">
        <v>1.5659000000000001</v>
      </c>
      <c r="J616" s="314">
        <v>1.5936999999999999</v>
      </c>
      <c r="K616" s="314">
        <v>0</v>
      </c>
      <c r="L616" s="314">
        <v>1.4079999999999999</v>
      </c>
      <c r="M616" s="314">
        <v>1.4686999999999999</v>
      </c>
      <c r="N616" s="314">
        <v>1.5931999999999999</v>
      </c>
      <c r="O616" s="314">
        <v>1.2918000000000001</v>
      </c>
      <c r="P616" s="314">
        <v>1.3887</v>
      </c>
      <c r="Q616" s="314">
        <v>1.3159000000000001</v>
      </c>
      <c r="R616" s="314">
        <v>1.6963999999999999</v>
      </c>
      <c r="S616" s="314">
        <v>1.5508999999999999</v>
      </c>
      <c r="T616" s="314">
        <v>1.4211</v>
      </c>
      <c r="U616" s="314">
        <v>1.5676000000000001</v>
      </c>
      <c r="V616" s="314">
        <v>1.4181999999999999</v>
      </c>
      <c r="W616" s="314">
        <v>1.6413</v>
      </c>
      <c r="X616" s="314">
        <v>1.4426000000000001</v>
      </c>
      <c r="Y616" s="314">
        <v>1.4077999999999999</v>
      </c>
      <c r="Z616" s="314">
        <v>1.6184000000000001</v>
      </c>
      <c r="AA616" s="314">
        <v>1.6125</v>
      </c>
      <c r="AB616" s="314">
        <v>1.571</v>
      </c>
      <c r="AC616" s="314">
        <v>1.3929</v>
      </c>
      <c r="AD616" s="314">
        <v>1.2512000000000001</v>
      </c>
      <c r="AE616" s="314">
        <v>1.5680000000000001</v>
      </c>
      <c r="AF616" s="314">
        <v>1.2988</v>
      </c>
      <c r="AG616" s="314">
        <v>1.3299000000000001</v>
      </c>
      <c r="AH616" s="314">
        <v>1.6017999999999999</v>
      </c>
      <c r="AI616" s="314">
        <v>1.6583000000000001</v>
      </c>
      <c r="AJ616" s="314">
        <v>1.2999000000000001</v>
      </c>
      <c r="AK616" s="314">
        <v>1.4129</v>
      </c>
      <c r="AL616" s="314">
        <v>1.5306999999999999</v>
      </c>
      <c r="AM616" s="314">
        <v>1.6832</v>
      </c>
      <c r="AN616" s="314">
        <v>1.4517</v>
      </c>
      <c r="AO616" s="314">
        <v>1.6093</v>
      </c>
      <c r="AP616" s="314">
        <v>1.7206999999999999</v>
      </c>
      <c r="AQ616" s="314">
        <v>1.4990000000000001</v>
      </c>
      <c r="AR616" s="314">
        <v>0</v>
      </c>
      <c r="AS616" s="314">
        <v>0</v>
      </c>
      <c r="AT616" s="314">
        <v>1.6026</v>
      </c>
      <c r="AU616" s="314">
        <v>1.6234999999999999</v>
      </c>
      <c r="AV616" s="314">
        <v>1.5713999999999999</v>
      </c>
      <c r="AW616" s="314">
        <v>1.5293000000000001</v>
      </c>
      <c r="AX616" s="314">
        <v>1.3669</v>
      </c>
      <c r="AY616" s="314">
        <v>1.524</v>
      </c>
      <c r="AZ616" s="314">
        <v>1.5746</v>
      </c>
      <c r="BA616" s="314">
        <v>1.4058999999999999</v>
      </c>
      <c r="BB616" s="314">
        <v>0</v>
      </c>
      <c r="BC616" s="314">
        <v>1.6758999999999999</v>
      </c>
      <c r="BD616" s="314">
        <v>1.6999</v>
      </c>
      <c r="BE616" s="314">
        <v>1.7174</v>
      </c>
      <c r="BF616" s="314">
        <v>1.5840000000000001</v>
      </c>
      <c r="BG616" s="314">
        <v>1.6166</v>
      </c>
      <c r="BH616" s="314">
        <v>1.6014999999999999</v>
      </c>
      <c r="BI616" s="314">
        <v>1.6286</v>
      </c>
      <c r="BJ616" s="314">
        <v>1.5367</v>
      </c>
      <c r="BK616" s="314">
        <v>1.6248</v>
      </c>
    </row>
    <row r="617" spans="1:63" x14ac:dyDescent="0.25">
      <c r="A617" s="306">
        <v>333315</v>
      </c>
      <c r="B617" s="314" t="s">
        <v>189</v>
      </c>
      <c r="C617" s="314">
        <v>1.7615000000000001</v>
      </c>
      <c r="D617" s="314">
        <v>0</v>
      </c>
      <c r="E617" s="314">
        <v>1.4413</v>
      </c>
      <c r="F617" s="314">
        <v>0</v>
      </c>
      <c r="G617" s="314">
        <v>1.3253999999999999</v>
      </c>
      <c r="H617" s="314">
        <v>1.4490000000000001</v>
      </c>
      <c r="I617" s="314">
        <v>1.4005000000000001</v>
      </c>
      <c r="J617" s="314">
        <v>1.4964</v>
      </c>
      <c r="K617" s="314">
        <v>0</v>
      </c>
      <c r="L617" s="314">
        <v>0</v>
      </c>
      <c r="M617" s="314">
        <v>1.3083</v>
      </c>
      <c r="N617" s="314">
        <v>1.4690000000000001</v>
      </c>
      <c r="O617" s="314">
        <v>0</v>
      </c>
      <c r="P617" s="314">
        <v>0</v>
      </c>
      <c r="Q617" s="314">
        <v>1.2717000000000001</v>
      </c>
      <c r="R617" s="314">
        <v>1.5788</v>
      </c>
      <c r="S617" s="314">
        <v>1.5069999999999999</v>
      </c>
      <c r="T617" s="314">
        <v>1.3282</v>
      </c>
      <c r="U617" s="314">
        <v>1.4954000000000001</v>
      </c>
      <c r="V617" s="314">
        <v>0</v>
      </c>
      <c r="W617" s="314">
        <v>1.5273000000000001</v>
      </c>
      <c r="X617" s="314">
        <v>1.2798</v>
      </c>
      <c r="Y617" s="314">
        <v>1.3082</v>
      </c>
      <c r="Z617" s="314">
        <v>1.5185999999999999</v>
      </c>
      <c r="AA617" s="314">
        <v>1.4934000000000001</v>
      </c>
      <c r="AB617" s="314">
        <v>1.4626999999999999</v>
      </c>
      <c r="AC617" s="314">
        <v>0</v>
      </c>
      <c r="AD617" s="314">
        <v>1.1696</v>
      </c>
      <c r="AE617" s="314">
        <v>1.4967999999999999</v>
      </c>
      <c r="AF617" s="314">
        <v>1.1910000000000001</v>
      </c>
      <c r="AG617" s="314">
        <v>1.2575000000000001</v>
      </c>
      <c r="AH617" s="314">
        <v>1.4196</v>
      </c>
      <c r="AI617" s="314">
        <v>1.4901</v>
      </c>
      <c r="AJ617" s="314">
        <v>1.2159</v>
      </c>
      <c r="AK617" s="314">
        <v>0</v>
      </c>
      <c r="AL617" s="314">
        <v>1.377</v>
      </c>
      <c r="AM617" s="314">
        <v>1.6112</v>
      </c>
      <c r="AN617" s="314">
        <v>1.2943</v>
      </c>
      <c r="AO617" s="314">
        <v>1.4651000000000001</v>
      </c>
      <c r="AP617" s="314">
        <v>1.5831999999999999</v>
      </c>
      <c r="AQ617" s="314">
        <v>0</v>
      </c>
      <c r="AR617" s="314">
        <v>1.4856</v>
      </c>
      <c r="AS617" s="314">
        <v>0</v>
      </c>
      <c r="AT617" s="314">
        <v>1.4993000000000001</v>
      </c>
      <c r="AU617" s="314">
        <v>1.5438000000000001</v>
      </c>
      <c r="AV617" s="314">
        <v>1.4360999999999999</v>
      </c>
      <c r="AW617" s="314">
        <v>1.4200999999999999</v>
      </c>
      <c r="AX617" s="314">
        <v>0</v>
      </c>
      <c r="AY617" s="314">
        <v>1.3551</v>
      </c>
      <c r="AZ617" s="314">
        <v>1.4793000000000001</v>
      </c>
      <c r="BA617" s="314">
        <v>0</v>
      </c>
      <c r="BB617" s="314">
        <v>0</v>
      </c>
      <c r="BC617" s="314">
        <v>1.5664</v>
      </c>
      <c r="BD617" s="314">
        <v>1.5457000000000001</v>
      </c>
      <c r="BE617" s="314">
        <v>1.6083000000000001</v>
      </c>
      <c r="BF617" s="314">
        <v>1.4666999999999999</v>
      </c>
      <c r="BG617" s="314">
        <v>1.4831000000000001</v>
      </c>
      <c r="BH617" s="314">
        <v>1.5366</v>
      </c>
      <c r="BI617" s="314">
        <v>1.5663</v>
      </c>
      <c r="BJ617" s="314">
        <v>1.3873</v>
      </c>
      <c r="BK617" s="314">
        <v>1.4561999999999999</v>
      </c>
    </row>
    <row r="618" spans="1:63" x14ac:dyDescent="0.25">
      <c r="A618" s="306">
        <v>333319</v>
      </c>
      <c r="B618" s="314" t="s">
        <v>190</v>
      </c>
      <c r="C618" s="314">
        <v>1.9220999999999999</v>
      </c>
      <c r="D618" s="314">
        <v>0</v>
      </c>
      <c r="E618" s="314">
        <v>1.5589</v>
      </c>
      <c r="F618" s="314">
        <v>1.5370999999999999</v>
      </c>
      <c r="G618" s="314">
        <v>1.4117999999999999</v>
      </c>
      <c r="H618" s="314">
        <v>1.5908</v>
      </c>
      <c r="I618" s="314">
        <v>1.4843</v>
      </c>
      <c r="J618" s="314">
        <v>1.5927</v>
      </c>
      <c r="K618" s="314">
        <v>0</v>
      </c>
      <c r="L618" s="314">
        <v>0</v>
      </c>
      <c r="M618" s="314">
        <v>1.4185000000000001</v>
      </c>
      <c r="N618" s="314">
        <v>1.5559000000000001</v>
      </c>
      <c r="O618" s="314">
        <v>1.2263999999999999</v>
      </c>
      <c r="P618" s="314">
        <v>1.4129</v>
      </c>
      <c r="Q618" s="314">
        <v>1.2821</v>
      </c>
      <c r="R618" s="314">
        <v>1.7623</v>
      </c>
      <c r="S618" s="314">
        <v>1.6325000000000001</v>
      </c>
      <c r="T618" s="314">
        <v>1.425</v>
      </c>
      <c r="U618" s="314">
        <v>1.6203000000000001</v>
      </c>
      <c r="V618" s="314">
        <v>1.4326000000000001</v>
      </c>
      <c r="W618" s="314">
        <v>1.5895999999999999</v>
      </c>
      <c r="X618" s="314">
        <v>1.3954</v>
      </c>
      <c r="Y618" s="314">
        <v>1.3828</v>
      </c>
      <c r="Z618" s="314">
        <v>1.6258999999999999</v>
      </c>
      <c r="AA618" s="314">
        <v>1.6016999999999999</v>
      </c>
      <c r="AB618" s="314">
        <v>1.5732999999999999</v>
      </c>
      <c r="AC618" s="314">
        <v>1.4484999999999999</v>
      </c>
      <c r="AD618" s="314">
        <v>1.2272000000000001</v>
      </c>
      <c r="AE618" s="314">
        <v>1.5705</v>
      </c>
      <c r="AF618" s="314">
        <v>1.2427999999999999</v>
      </c>
      <c r="AG618" s="314">
        <v>1.3472</v>
      </c>
      <c r="AH618" s="314">
        <v>1.5664</v>
      </c>
      <c r="AI618" s="314">
        <v>1.5686</v>
      </c>
      <c r="AJ618" s="314">
        <v>1.2531000000000001</v>
      </c>
      <c r="AK618" s="314">
        <v>1.3552999999999999</v>
      </c>
      <c r="AL618" s="314">
        <v>1.4669000000000001</v>
      </c>
      <c r="AM618" s="314">
        <v>1.7343999999999999</v>
      </c>
      <c r="AN618" s="314">
        <v>1.5008999999999999</v>
      </c>
      <c r="AO618" s="314">
        <v>1.5305</v>
      </c>
      <c r="AP618" s="314">
        <v>1.7465999999999999</v>
      </c>
      <c r="AQ618" s="314">
        <v>1.4878</v>
      </c>
      <c r="AR618" s="314">
        <v>1.5814999999999999</v>
      </c>
      <c r="AS618" s="314">
        <v>1.2657</v>
      </c>
      <c r="AT618" s="314">
        <v>1.6138999999999999</v>
      </c>
      <c r="AU618" s="314">
        <v>1.6569</v>
      </c>
      <c r="AV618" s="314">
        <v>1.5609999999999999</v>
      </c>
      <c r="AW618" s="314">
        <v>1.4890000000000001</v>
      </c>
      <c r="AX618" s="314">
        <v>1.3502000000000001</v>
      </c>
      <c r="AY618" s="314">
        <v>1.4392</v>
      </c>
      <c r="AZ618" s="314">
        <v>1.6054999999999999</v>
      </c>
      <c r="BA618" s="314">
        <v>0</v>
      </c>
      <c r="BB618" s="314">
        <v>1.2276</v>
      </c>
      <c r="BC618" s="314">
        <v>1.6357999999999999</v>
      </c>
      <c r="BD618" s="314">
        <v>1.6698999999999999</v>
      </c>
      <c r="BE618" s="314">
        <v>1.7653000000000001</v>
      </c>
      <c r="BF618" s="314">
        <v>1.5896999999999999</v>
      </c>
      <c r="BG618" s="314">
        <v>1.593</v>
      </c>
      <c r="BH618" s="314">
        <v>1.6583000000000001</v>
      </c>
      <c r="BI618" s="314">
        <v>1.6849000000000001</v>
      </c>
      <c r="BJ618" s="314">
        <v>1.4809000000000001</v>
      </c>
      <c r="BK618" s="314">
        <v>1.5871</v>
      </c>
    </row>
    <row r="619" spans="1:63" x14ac:dyDescent="0.25">
      <c r="A619" s="306" t="s">
        <v>731</v>
      </c>
      <c r="B619" s="314" t="s">
        <v>187</v>
      </c>
      <c r="C619" s="314">
        <v>2.1316000000000002</v>
      </c>
      <c r="D619" s="314">
        <v>0</v>
      </c>
      <c r="E619" s="314">
        <v>1.6728000000000001</v>
      </c>
      <c r="F619" s="314">
        <v>1.6216999999999999</v>
      </c>
      <c r="G619" s="314">
        <v>1.5381</v>
      </c>
      <c r="H619" s="314">
        <v>1.7239</v>
      </c>
      <c r="I619" s="314">
        <v>1.6334</v>
      </c>
      <c r="J619" s="314">
        <v>1.7625999999999999</v>
      </c>
      <c r="K619" s="314">
        <v>0</v>
      </c>
      <c r="L619" s="314">
        <v>0</v>
      </c>
      <c r="M619" s="314">
        <v>1.5478000000000001</v>
      </c>
      <c r="N619" s="314">
        <v>1.7070000000000001</v>
      </c>
      <c r="O619" s="314">
        <v>0</v>
      </c>
      <c r="P619" s="314">
        <v>1.5205</v>
      </c>
      <c r="Q619" s="314">
        <v>1.3411</v>
      </c>
      <c r="R619" s="314">
        <v>1.9528000000000001</v>
      </c>
      <c r="S619" s="314">
        <v>1.7571000000000001</v>
      </c>
      <c r="T619" s="314">
        <v>1.4843</v>
      </c>
      <c r="U619" s="314">
        <v>1.7242</v>
      </c>
      <c r="V619" s="314">
        <v>1.5631999999999999</v>
      </c>
      <c r="W619" s="314">
        <v>1.7523</v>
      </c>
      <c r="X619" s="314">
        <v>1.5358000000000001</v>
      </c>
      <c r="Y619" s="314">
        <v>0</v>
      </c>
      <c r="Z619" s="314">
        <v>1.7890999999999999</v>
      </c>
      <c r="AA619" s="314">
        <v>1.78</v>
      </c>
      <c r="AB619" s="314">
        <v>1.7413000000000001</v>
      </c>
      <c r="AC619" s="314">
        <v>0</v>
      </c>
      <c r="AD619" s="314">
        <v>1.2797000000000001</v>
      </c>
      <c r="AE619" s="314">
        <v>1.7441</v>
      </c>
      <c r="AF619" s="314">
        <v>0</v>
      </c>
      <c r="AG619" s="314">
        <v>1.4044000000000001</v>
      </c>
      <c r="AH619" s="314">
        <v>1.7072000000000001</v>
      </c>
      <c r="AI619" s="314">
        <v>1.7581</v>
      </c>
      <c r="AJ619" s="314">
        <v>0</v>
      </c>
      <c r="AK619" s="314">
        <v>0</v>
      </c>
      <c r="AL619" s="314">
        <v>1.6048</v>
      </c>
      <c r="AM619" s="314">
        <v>1.8875999999999999</v>
      </c>
      <c r="AN619" s="314">
        <v>1.6007</v>
      </c>
      <c r="AO619" s="314">
        <v>1.6117999999999999</v>
      </c>
      <c r="AP619" s="314">
        <v>1.9451000000000001</v>
      </c>
      <c r="AQ619" s="314">
        <v>0</v>
      </c>
      <c r="AR619" s="314">
        <v>1.7568999999999999</v>
      </c>
      <c r="AS619" s="314">
        <v>0</v>
      </c>
      <c r="AT619" s="314">
        <v>1.7882</v>
      </c>
      <c r="AU619" s="314">
        <v>1.8399000000000001</v>
      </c>
      <c r="AV619" s="314">
        <v>1.6631</v>
      </c>
      <c r="AW619" s="314">
        <v>1.6422000000000001</v>
      </c>
      <c r="AX619" s="314">
        <v>0</v>
      </c>
      <c r="AY619" s="314">
        <v>1.5207999999999999</v>
      </c>
      <c r="AZ619" s="314">
        <v>1.7384999999999999</v>
      </c>
      <c r="BA619" s="314">
        <v>1.4661</v>
      </c>
      <c r="BB619" s="314">
        <v>1.2754000000000001</v>
      </c>
      <c r="BC619" s="314">
        <v>1.806</v>
      </c>
      <c r="BD619" s="314">
        <v>1.8631</v>
      </c>
      <c r="BE619" s="314">
        <v>1.9592000000000001</v>
      </c>
      <c r="BF619" s="314">
        <v>1.7343999999999999</v>
      </c>
      <c r="BG619" s="314">
        <v>1.772</v>
      </c>
      <c r="BH619" s="314">
        <v>1.8061</v>
      </c>
      <c r="BI619" s="314">
        <v>1.8626</v>
      </c>
      <c r="BJ619" s="314">
        <v>1.6057999999999999</v>
      </c>
      <c r="BK619" s="314">
        <v>1.7051000000000001</v>
      </c>
    </row>
    <row r="620" spans="1:63" x14ac:dyDescent="0.25">
      <c r="A620" s="306">
        <v>333414</v>
      </c>
      <c r="B620" s="314" t="s">
        <v>5</v>
      </c>
      <c r="C620" s="314">
        <v>2.0041000000000002</v>
      </c>
      <c r="D620" s="314">
        <v>1.2370000000000001</v>
      </c>
      <c r="E620" s="314">
        <v>1.6415999999999999</v>
      </c>
      <c r="F620" s="314">
        <v>0</v>
      </c>
      <c r="G620" s="314">
        <v>1.4517</v>
      </c>
      <c r="H620" s="314">
        <v>1.5843</v>
      </c>
      <c r="I620" s="314">
        <v>1.5087999999999999</v>
      </c>
      <c r="J620" s="314">
        <v>1.6087</v>
      </c>
      <c r="K620" s="314">
        <v>0</v>
      </c>
      <c r="L620" s="314">
        <v>1.4819</v>
      </c>
      <c r="M620" s="314">
        <v>1.4100999999999999</v>
      </c>
      <c r="N620" s="314">
        <v>1.6083000000000001</v>
      </c>
      <c r="O620" s="314">
        <v>1.2454000000000001</v>
      </c>
      <c r="P620" s="314">
        <v>1.4721</v>
      </c>
      <c r="Q620" s="314">
        <v>1.2968</v>
      </c>
      <c r="R620" s="314">
        <v>1.8617999999999999</v>
      </c>
      <c r="S620" s="314">
        <v>1.722</v>
      </c>
      <c r="T620" s="314">
        <v>1.4529000000000001</v>
      </c>
      <c r="U620" s="314">
        <v>1.6466000000000001</v>
      </c>
      <c r="V620" s="314">
        <v>1.4886999999999999</v>
      </c>
      <c r="W620" s="314">
        <v>1.6051</v>
      </c>
      <c r="X620" s="314">
        <v>1.4924999999999999</v>
      </c>
      <c r="Y620" s="314">
        <v>1.3772</v>
      </c>
      <c r="Z620" s="314">
        <v>1.7726999999999999</v>
      </c>
      <c r="AA620" s="314">
        <v>1.6831</v>
      </c>
      <c r="AB620" s="314">
        <v>1.6520999999999999</v>
      </c>
      <c r="AC620" s="314">
        <v>1.5044999999999999</v>
      </c>
      <c r="AD620" s="314">
        <v>0</v>
      </c>
      <c r="AE620" s="314">
        <v>1.6012999999999999</v>
      </c>
      <c r="AF620" s="314">
        <v>1.2305999999999999</v>
      </c>
      <c r="AG620" s="314">
        <v>1.3697999999999999</v>
      </c>
      <c r="AH620" s="314">
        <v>1.5702</v>
      </c>
      <c r="AI620" s="314">
        <v>1.6140000000000001</v>
      </c>
      <c r="AJ620" s="314">
        <v>1.2747999999999999</v>
      </c>
      <c r="AK620" s="314">
        <v>1.37</v>
      </c>
      <c r="AL620" s="314">
        <v>1.4599</v>
      </c>
      <c r="AM620" s="314">
        <v>1.8365</v>
      </c>
      <c r="AN620" s="314">
        <v>1.5746</v>
      </c>
      <c r="AO620" s="314">
        <v>1.6339999999999999</v>
      </c>
      <c r="AP620" s="314">
        <v>1.8190999999999999</v>
      </c>
      <c r="AQ620" s="314">
        <v>1.4958</v>
      </c>
      <c r="AR620" s="314">
        <v>1.6062000000000001</v>
      </c>
      <c r="AS620" s="314">
        <v>1.2415</v>
      </c>
      <c r="AT620" s="314">
        <v>1.7212000000000001</v>
      </c>
      <c r="AU620" s="314">
        <v>1.6980999999999999</v>
      </c>
      <c r="AV620" s="314">
        <v>1.6435</v>
      </c>
      <c r="AW620" s="314">
        <v>1.5405</v>
      </c>
      <c r="AX620" s="314">
        <v>1.3368</v>
      </c>
      <c r="AY620" s="314">
        <v>1.4809000000000001</v>
      </c>
      <c r="AZ620" s="314">
        <v>1.6506000000000001</v>
      </c>
      <c r="BA620" s="314">
        <v>0</v>
      </c>
      <c r="BB620" s="314">
        <v>0</v>
      </c>
      <c r="BC620" s="314">
        <v>1.6539999999999999</v>
      </c>
      <c r="BD620" s="314">
        <v>1.7395</v>
      </c>
      <c r="BE620" s="314">
        <v>1.869</v>
      </c>
      <c r="BF620" s="314">
        <v>1.6521999999999999</v>
      </c>
      <c r="BG620" s="314">
        <v>1.6116999999999999</v>
      </c>
      <c r="BH620" s="314">
        <v>1.7384999999999999</v>
      </c>
      <c r="BI620" s="314">
        <v>1.7355</v>
      </c>
      <c r="BJ620" s="314">
        <v>1.5149999999999999</v>
      </c>
      <c r="BK620" s="314">
        <v>1.6062000000000001</v>
      </c>
    </row>
    <row r="621" spans="1:63" x14ac:dyDescent="0.25">
      <c r="A621" s="306">
        <v>333415</v>
      </c>
      <c r="B621" s="314" t="s">
        <v>192</v>
      </c>
      <c r="C621" s="314">
        <v>1.9673</v>
      </c>
      <c r="D621" s="314">
        <v>0</v>
      </c>
      <c r="E621" s="314">
        <v>1.6446000000000001</v>
      </c>
      <c r="F621" s="314">
        <v>1.6296999999999999</v>
      </c>
      <c r="G621" s="314">
        <v>1.4395</v>
      </c>
      <c r="H621" s="314">
        <v>1.4979</v>
      </c>
      <c r="I621" s="314">
        <v>1.4930000000000001</v>
      </c>
      <c r="J621" s="314">
        <v>1.5467</v>
      </c>
      <c r="K621" s="314">
        <v>0</v>
      </c>
      <c r="L621" s="314">
        <v>1.379</v>
      </c>
      <c r="M621" s="314">
        <v>1.3762000000000001</v>
      </c>
      <c r="N621" s="314">
        <v>1.6217999999999999</v>
      </c>
      <c r="O621" s="314">
        <v>0</v>
      </c>
      <c r="P621" s="314">
        <v>1.5259</v>
      </c>
      <c r="Q621" s="314">
        <v>1.2655000000000001</v>
      </c>
      <c r="R621" s="314">
        <v>1.7797000000000001</v>
      </c>
      <c r="S621" s="314">
        <v>1.7350000000000001</v>
      </c>
      <c r="T621" s="314">
        <v>1.5055000000000001</v>
      </c>
      <c r="U621" s="314">
        <v>1.7013</v>
      </c>
      <c r="V621" s="314">
        <v>1.4224000000000001</v>
      </c>
      <c r="W621" s="314">
        <v>1.5188999999999999</v>
      </c>
      <c r="X621" s="314">
        <v>1.4117999999999999</v>
      </c>
      <c r="Y621" s="314">
        <v>1.3132999999999999</v>
      </c>
      <c r="Z621" s="314">
        <v>1.7259</v>
      </c>
      <c r="AA621" s="314">
        <v>1.6457999999999999</v>
      </c>
      <c r="AB621" s="314">
        <v>1.6640999999999999</v>
      </c>
      <c r="AC621" s="314">
        <v>1.5462</v>
      </c>
      <c r="AD621" s="314">
        <v>0</v>
      </c>
      <c r="AE621" s="314">
        <v>1.5909</v>
      </c>
      <c r="AF621" s="314">
        <v>1.2564</v>
      </c>
      <c r="AG621" s="314">
        <v>1.3391999999999999</v>
      </c>
      <c r="AH621" s="314">
        <v>1.5742</v>
      </c>
      <c r="AI621" s="314">
        <v>1.5257000000000001</v>
      </c>
      <c r="AJ621" s="314">
        <v>1.2109000000000001</v>
      </c>
      <c r="AK621" s="314">
        <v>1.3082</v>
      </c>
      <c r="AL621" s="314">
        <v>1.4498</v>
      </c>
      <c r="AM621" s="314">
        <v>1.8348</v>
      </c>
      <c r="AN621" s="314">
        <v>1.5866</v>
      </c>
      <c r="AO621" s="314">
        <v>1.5216000000000001</v>
      </c>
      <c r="AP621" s="314">
        <v>1.8104</v>
      </c>
      <c r="AQ621" s="314">
        <v>1.4259999999999999</v>
      </c>
      <c r="AR621" s="314">
        <v>1.6875</v>
      </c>
      <c r="AS621" s="314">
        <v>1.2488999999999999</v>
      </c>
      <c r="AT621" s="314">
        <v>1.7190000000000001</v>
      </c>
      <c r="AU621" s="314">
        <v>1.6781999999999999</v>
      </c>
      <c r="AV621" s="314">
        <v>1.5309999999999999</v>
      </c>
      <c r="AW621" s="314">
        <v>1.5681</v>
      </c>
      <c r="AX621" s="314">
        <v>1.2917000000000001</v>
      </c>
      <c r="AY621" s="314">
        <v>1.4125000000000001</v>
      </c>
      <c r="AZ621" s="314">
        <v>1.6574</v>
      </c>
      <c r="BA621" s="314">
        <v>0</v>
      </c>
      <c r="BB621" s="314">
        <v>0</v>
      </c>
      <c r="BC621" s="314">
        <v>1.5687</v>
      </c>
      <c r="BD621" s="314">
        <v>1.6776</v>
      </c>
      <c r="BE621" s="314">
        <v>1.8586</v>
      </c>
      <c r="BF621" s="314">
        <v>1.6756</v>
      </c>
      <c r="BG621" s="314">
        <v>1.6220000000000001</v>
      </c>
      <c r="BH621" s="314">
        <v>1.7566999999999999</v>
      </c>
      <c r="BI621" s="314">
        <v>1.7235</v>
      </c>
      <c r="BJ621" s="314">
        <v>1.4547000000000001</v>
      </c>
      <c r="BK621" s="314">
        <v>1.5092000000000001</v>
      </c>
    </row>
    <row r="622" spans="1:63" x14ac:dyDescent="0.25">
      <c r="A622" s="306" t="s">
        <v>599</v>
      </c>
      <c r="B622" s="314" t="s">
        <v>191</v>
      </c>
      <c r="C622" s="314">
        <v>1.9953000000000001</v>
      </c>
      <c r="D622" s="314">
        <v>0</v>
      </c>
      <c r="E622" s="314">
        <v>1.6580999999999999</v>
      </c>
      <c r="F622" s="314">
        <v>1.6483000000000001</v>
      </c>
      <c r="G622" s="314">
        <v>1.4282999999999999</v>
      </c>
      <c r="H622" s="314">
        <v>1.5163</v>
      </c>
      <c r="I622" s="314">
        <v>1.4790000000000001</v>
      </c>
      <c r="J622" s="314">
        <v>1.6134999999999999</v>
      </c>
      <c r="K622" s="314">
        <v>0</v>
      </c>
      <c r="L622" s="314">
        <v>0</v>
      </c>
      <c r="M622" s="314">
        <v>1.3948</v>
      </c>
      <c r="N622" s="314">
        <v>1.6284000000000001</v>
      </c>
      <c r="O622" s="314">
        <v>1.2104999999999999</v>
      </c>
      <c r="P622" s="314">
        <v>1.4756</v>
      </c>
      <c r="Q622" s="314">
        <v>1.2688999999999999</v>
      </c>
      <c r="R622" s="314">
        <v>1.8022</v>
      </c>
      <c r="S622" s="314">
        <v>1.708</v>
      </c>
      <c r="T622" s="314">
        <v>1.4480999999999999</v>
      </c>
      <c r="U622" s="314">
        <v>1.6900999999999999</v>
      </c>
      <c r="V622" s="314">
        <v>1.419</v>
      </c>
      <c r="W622" s="314">
        <v>1.5790999999999999</v>
      </c>
      <c r="X622" s="314">
        <v>1.3929</v>
      </c>
      <c r="Y622" s="314">
        <v>0</v>
      </c>
      <c r="Z622" s="314">
        <v>1.6881999999999999</v>
      </c>
      <c r="AA622" s="314">
        <v>1.5787</v>
      </c>
      <c r="AB622" s="314">
        <v>1.6452</v>
      </c>
      <c r="AC622" s="314">
        <v>1.5353000000000001</v>
      </c>
      <c r="AD622" s="314">
        <v>0</v>
      </c>
      <c r="AE622" s="314">
        <v>1.6659999999999999</v>
      </c>
      <c r="AF622" s="314">
        <v>0</v>
      </c>
      <c r="AG622" s="314">
        <v>1.3674999999999999</v>
      </c>
      <c r="AH622" s="314">
        <v>1.5814999999999999</v>
      </c>
      <c r="AI622" s="314">
        <v>1.5750999999999999</v>
      </c>
      <c r="AJ622" s="314">
        <v>1.2119</v>
      </c>
      <c r="AK622" s="314">
        <v>1.3396999999999999</v>
      </c>
      <c r="AL622" s="314">
        <v>1.4702999999999999</v>
      </c>
      <c r="AM622" s="314">
        <v>1.8360000000000001</v>
      </c>
      <c r="AN622" s="314">
        <v>1.5615000000000001</v>
      </c>
      <c r="AO622" s="314">
        <v>1.5378000000000001</v>
      </c>
      <c r="AP622" s="314">
        <v>1.8095000000000001</v>
      </c>
      <c r="AQ622" s="314">
        <v>0</v>
      </c>
      <c r="AR622" s="314">
        <v>1.6920999999999999</v>
      </c>
      <c r="AS622" s="314">
        <v>1.2473000000000001</v>
      </c>
      <c r="AT622" s="314">
        <v>1.7053</v>
      </c>
      <c r="AU622" s="314">
        <v>1.6583000000000001</v>
      </c>
      <c r="AV622" s="314">
        <v>1.5691999999999999</v>
      </c>
      <c r="AW622" s="314">
        <v>1.5611999999999999</v>
      </c>
      <c r="AX622" s="314">
        <v>1.3210999999999999</v>
      </c>
      <c r="AY622" s="314">
        <v>1.417</v>
      </c>
      <c r="AZ622" s="314">
        <v>1.6457999999999999</v>
      </c>
      <c r="BA622" s="314">
        <v>0</v>
      </c>
      <c r="BB622" s="314">
        <v>1.2161</v>
      </c>
      <c r="BC622" s="314">
        <v>1.6427</v>
      </c>
      <c r="BD622" s="314">
        <v>1.7048000000000001</v>
      </c>
      <c r="BE622" s="314">
        <v>1.8511</v>
      </c>
      <c r="BF622" s="314">
        <v>1.6313</v>
      </c>
      <c r="BG622" s="314">
        <v>1.6573</v>
      </c>
      <c r="BH622" s="314">
        <v>1.7598</v>
      </c>
      <c r="BI622" s="314">
        <v>1.7130000000000001</v>
      </c>
      <c r="BJ622" s="314">
        <v>1.4706999999999999</v>
      </c>
      <c r="BK622" s="314">
        <v>1.5226</v>
      </c>
    </row>
    <row r="623" spans="1:63" x14ac:dyDescent="0.25">
      <c r="A623" s="306">
        <v>333511</v>
      </c>
      <c r="B623" s="314" t="s">
        <v>193</v>
      </c>
      <c r="C623" s="314">
        <v>1.8008</v>
      </c>
      <c r="D623" s="314">
        <v>0</v>
      </c>
      <c r="E623" s="314">
        <v>1.5174000000000001</v>
      </c>
      <c r="F623" s="314">
        <v>1.4825999999999999</v>
      </c>
      <c r="G623" s="314">
        <v>1.4020999999999999</v>
      </c>
      <c r="H623" s="314">
        <v>1.5078</v>
      </c>
      <c r="I623" s="314">
        <v>1.4823999999999999</v>
      </c>
      <c r="J623" s="314">
        <v>1.5208999999999999</v>
      </c>
      <c r="K623" s="314">
        <v>0</v>
      </c>
      <c r="L623" s="314">
        <v>0</v>
      </c>
      <c r="M623" s="314">
        <v>1.3626</v>
      </c>
      <c r="N623" s="314">
        <v>1.4793000000000001</v>
      </c>
      <c r="O623" s="314">
        <v>0</v>
      </c>
      <c r="P623" s="314">
        <v>1.4006000000000001</v>
      </c>
      <c r="Q623" s="314">
        <v>1.2828999999999999</v>
      </c>
      <c r="R623" s="314">
        <v>1.6918</v>
      </c>
      <c r="S623" s="314">
        <v>1.5705</v>
      </c>
      <c r="T623" s="314">
        <v>1.3593999999999999</v>
      </c>
      <c r="U623" s="314">
        <v>1.5542</v>
      </c>
      <c r="V623" s="314">
        <v>1.3794999999999999</v>
      </c>
      <c r="W623" s="314">
        <v>1.5044999999999999</v>
      </c>
      <c r="X623" s="314">
        <v>1.4261999999999999</v>
      </c>
      <c r="Y623" s="314">
        <v>1.3494999999999999</v>
      </c>
      <c r="Z623" s="314">
        <v>1.6191</v>
      </c>
      <c r="AA623" s="314">
        <v>1.5289999999999999</v>
      </c>
      <c r="AB623" s="314">
        <v>1.5291999999999999</v>
      </c>
      <c r="AC623" s="314">
        <v>1.4014</v>
      </c>
      <c r="AD623" s="314">
        <v>0</v>
      </c>
      <c r="AE623" s="314">
        <v>1.4702999999999999</v>
      </c>
      <c r="AF623" s="314">
        <v>0</v>
      </c>
      <c r="AG623" s="314">
        <v>1.3461000000000001</v>
      </c>
      <c r="AH623" s="314">
        <v>1.5052000000000001</v>
      </c>
      <c r="AI623" s="314">
        <v>1.4961</v>
      </c>
      <c r="AJ623" s="314">
        <v>1.2314000000000001</v>
      </c>
      <c r="AK623" s="314">
        <v>1.3442000000000001</v>
      </c>
      <c r="AL623" s="314">
        <v>1.4193</v>
      </c>
      <c r="AM623" s="314">
        <v>1.6667000000000001</v>
      </c>
      <c r="AN623" s="314">
        <v>1.4442999999999999</v>
      </c>
      <c r="AO623" s="314">
        <v>1.5443</v>
      </c>
      <c r="AP623" s="314">
        <v>1.6823999999999999</v>
      </c>
      <c r="AQ623" s="314">
        <v>1.4341999999999999</v>
      </c>
      <c r="AR623" s="314">
        <v>1.5216000000000001</v>
      </c>
      <c r="AS623" s="314">
        <v>1.2388999999999999</v>
      </c>
      <c r="AT623" s="314">
        <v>1.5601</v>
      </c>
      <c r="AU623" s="314">
        <v>1.5475000000000001</v>
      </c>
      <c r="AV623" s="314">
        <v>1.5499000000000001</v>
      </c>
      <c r="AW623" s="314">
        <v>1.4732000000000001</v>
      </c>
      <c r="AX623" s="314">
        <v>1.3063</v>
      </c>
      <c r="AY623" s="314">
        <v>1.4298999999999999</v>
      </c>
      <c r="AZ623" s="314">
        <v>1.5105999999999999</v>
      </c>
      <c r="BA623" s="314">
        <v>1.405</v>
      </c>
      <c r="BB623" s="314">
        <v>0</v>
      </c>
      <c r="BC623" s="314">
        <v>1.5464</v>
      </c>
      <c r="BD623" s="314">
        <v>1.6285000000000001</v>
      </c>
      <c r="BE623" s="314">
        <v>1.6898</v>
      </c>
      <c r="BF623" s="314">
        <v>1.5264</v>
      </c>
      <c r="BG623" s="314">
        <v>1.5147999999999999</v>
      </c>
      <c r="BH623" s="314">
        <v>1.591</v>
      </c>
      <c r="BI623" s="314">
        <v>1.5748</v>
      </c>
      <c r="BJ623" s="314">
        <v>1.4525999999999999</v>
      </c>
      <c r="BK623" s="314">
        <v>1.5232000000000001</v>
      </c>
    </row>
    <row r="624" spans="1:63" x14ac:dyDescent="0.25">
      <c r="A624" s="306">
        <v>333514</v>
      </c>
      <c r="B624" s="314" t="s">
        <v>195</v>
      </c>
      <c r="C624" s="314">
        <v>1.81</v>
      </c>
      <c r="D624" s="314">
        <v>0</v>
      </c>
      <c r="E624" s="314">
        <v>1.5001</v>
      </c>
      <c r="F624" s="314">
        <v>1.4593</v>
      </c>
      <c r="G624" s="314">
        <v>1.3907</v>
      </c>
      <c r="H624" s="314">
        <v>1.4913000000000001</v>
      </c>
      <c r="I624" s="314">
        <v>1.4871000000000001</v>
      </c>
      <c r="J624" s="314">
        <v>1.5328999999999999</v>
      </c>
      <c r="K624" s="314">
        <v>0</v>
      </c>
      <c r="L624" s="314">
        <v>0</v>
      </c>
      <c r="M624" s="314">
        <v>1.3473999999999999</v>
      </c>
      <c r="N624" s="314">
        <v>1.43</v>
      </c>
      <c r="O624" s="314">
        <v>0</v>
      </c>
      <c r="P624" s="314">
        <v>1.3905000000000001</v>
      </c>
      <c r="Q624" s="314">
        <v>1.2584</v>
      </c>
      <c r="R624" s="314">
        <v>1.7077</v>
      </c>
      <c r="S624" s="314">
        <v>1.5757000000000001</v>
      </c>
      <c r="T624" s="314">
        <v>1.3545</v>
      </c>
      <c r="U624" s="314">
        <v>1.5365</v>
      </c>
      <c r="V624" s="314">
        <v>1.3711</v>
      </c>
      <c r="W624" s="314">
        <v>1.4946999999999999</v>
      </c>
      <c r="X624" s="314">
        <v>1.3956999999999999</v>
      </c>
      <c r="Y624" s="314">
        <v>1.3529</v>
      </c>
      <c r="Z624" s="314">
        <v>1.6377999999999999</v>
      </c>
      <c r="AA624" s="314">
        <v>1.5136000000000001</v>
      </c>
      <c r="AB624" s="314">
        <v>1.5088999999999999</v>
      </c>
      <c r="AC624" s="314">
        <v>1.3852</v>
      </c>
      <c r="AD624" s="314">
        <v>0</v>
      </c>
      <c r="AE624" s="314">
        <v>1.4433</v>
      </c>
      <c r="AF624" s="314">
        <v>1.1884999999999999</v>
      </c>
      <c r="AG624" s="314">
        <v>1.3387</v>
      </c>
      <c r="AH624" s="314">
        <v>1.4709000000000001</v>
      </c>
      <c r="AI624" s="314">
        <v>1.4669000000000001</v>
      </c>
      <c r="AJ624" s="314">
        <v>1.2230000000000001</v>
      </c>
      <c r="AK624" s="314">
        <v>1.3222</v>
      </c>
      <c r="AL624" s="314">
        <v>1.4198999999999999</v>
      </c>
      <c r="AM624" s="314">
        <v>1.675</v>
      </c>
      <c r="AN624" s="314">
        <v>1.4615</v>
      </c>
      <c r="AO624" s="314">
        <v>1.5117</v>
      </c>
      <c r="AP624" s="314">
        <v>1.6931</v>
      </c>
      <c r="AQ624" s="314">
        <v>1.4326000000000001</v>
      </c>
      <c r="AR624" s="314">
        <v>1.4907999999999999</v>
      </c>
      <c r="AS624" s="314">
        <v>1.2273000000000001</v>
      </c>
      <c r="AT624" s="314">
        <v>1.5617000000000001</v>
      </c>
      <c r="AU624" s="314">
        <v>1.5318000000000001</v>
      </c>
      <c r="AV624" s="314">
        <v>1.5354000000000001</v>
      </c>
      <c r="AW624" s="314">
        <v>1.4302999999999999</v>
      </c>
      <c r="AX624" s="314">
        <v>1.2762</v>
      </c>
      <c r="AY624" s="314">
        <v>1.4174</v>
      </c>
      <c r="AZ624" s="314">
        <v>1.5123</v>
      </c>
      <c r="BA624" s="314">
        <v>1.377</v>
      </c>
      <c r="BB624" s="314">
        <v>0</v>
      </c>
      <c r="BC624" s="314">
        <v>1.5430999999999999</v>
      </c>
      <c r="BD624" s="314">
        <v>1.6485000000000001</v>
      </c>
      <c r="BE624" s="314">
        <v>1.7003999999999999</v>
      </c>
      <c r="BF624" s="314">
        <v>1.5125999999999999</v>
      </c>
      <c r="BG624" s="314">
        <v>1.4838</v>
      </c>
      <c r="BH624" s="314">
        <v>1.5867</v>
      </c>
      <c r="BI624" s="314">
        <v>1.5639000000000001</v>
      </c>
      <c r="BJ624" s="314">
        <v>1.4416</v>
      </c>
      <c r="BK624" s="314">
        <v>1.5053000000000001</v>
      </c>
    </row>
    <row r="625" spans="1:63" x14ac:dyDescent="0.25">
      <c r="A625" s="306">
        <v>333515</v>
      </c>
      <c r="B625" s="314" t="s">
        <v>196</v>
      </c>
      <c r="C625" s="314">
        <v>1.744</v>
      </c>
      <c r="D625" s="314">
        <v>0</v>
      </c>
      <c r="E625" s="314">
        <v>1.4477</v>
      </c>
      <c r="F625" s="314">
        <v>1.4328000000000001</v>
      </c>
      <c r="G625" s="314">
        <v>1.3602000000000001</v>
      </c>
      <c r="H625" s="314">
        <v>1.4705999999999999</v>
      </c>
      <c r="I625" s="314">
        <v>1.4636</v>
      </c>
      <c r="J625" s="314">
        <v>1.5052000000000001</v>
      </c>
      <c r="K625" s="314">
        <v>0</v>
      </c>
      <c r="L625" s="314">
        <v>0</v>
      </c>
      <c r="M625" s="314">
        <v>1.3461000000000001</v>
      </c>
      <c r="N625" s="314">
        <v>1.4368000000000001</v>
      </c>
      <c r="O625" s="314">
        <v>0</v>
      </c>
      <c r="P625" s="314">
        <v>1.3148</v>
      </c>
      <c r="Q625" s="314">
        <v>1.2644</v>
      </c>
      <c r="R625" s="314">
        <v>1.6073999999999999</v>
      </c>
      <c r="S625" s="314">
        <v>1.5188999999999999</v>
      </c>
      <c r="T625" s="314">
        <v>1.3105</v>
      </c>
      <c r="U625" s="314">
        <v>1.5108999999999999</v>
      </c>
      <c r="V625" s="314">
        <v>1.3785000000000001</v>
      </c>
      <c r="W625" s="314">
        <v>1.4891000000000001</v>
      </c>
      <c r="X625" s="314">
        <v>1.3525</v>
      </c>
      <c r="Y625" s="314">
        <v>1.3735999999999999</v>
      </c>
      <c r="Z625" s="314">
        <v>1.5725</v>
      </c>
      <c r="AA625" s="314">
        <v>1.4530000000000001</v>
      </c>
      <c r="AB625" s="314">
        <v>1.4962</v>
      </c>
      <c r="AC625" s="314">
        <v>1.3271999999999999</v>
      </c>
      <c r="AD625" s="314">
        <v>1.2312000000000001</v>
      </c>
      <c r="AE625" s="314">
        <v>1.4898</v>
      </c>
      <c r="AF625" s="314">
        <v>0</v>
      </c>
      <c r="AG625" s="314">
        <v>1.3212999999999999</v>
      </c>
      <c r="AH625" s="314">
        <v>1.4510000000000001</v>
      </c>
      <c r="AI625" s="314">
        <v>1.4778</v>
      </c>
      <c r="AJ625" s="314">
        <v>1.2767999999999999</v>
      </c>
      <c r="AK625" s="314">
        <v>1.3759999999999999</v>
      </c>
      <c r="AL625" s="314">
        <v>1.4438</v>
      </c>
      <c r="AM625" s="314">
        <v>1.6182000000000001</v>
      </c>
      <c r="AN625" s="314">
        <v>1.3855</v>
      </c>
      <c r="AO625" s="314">
        <v>1.4649000000000001</v>
      </c>
      <c r="AP625" s="314">
        <v>1.6325000000000001</v>
      </c>
      <c r="AQ625" s="314">
        <v>1.4343999999999999</v>
      </c>
      <c r="AR625" s="314">
        <v>1.4867999999999999</v>
      </c>
      <c r="AS625" s="314">
        <v>1.2032</v>
      </c>
      <c r="AT625" s="314">
        <v>1.5113000000000001</v>
      </c>
      <c r="AU625" s="314">
        <v>1.4882</v>
      </c>
      <c r="AV625" s="314">
        <v>1.5643</v>
      </c>
      <c r="AW625" s="314">
        <v>1.4216</v>
      </c>
      <c r="AX625" s="314">
        <v>1.2605</v>
      </c>
      <c r="AY625" s="314">
        <v>1.3678999999999999</v>
      </c>
      <c r="AZ625" s="314">
        <v>1.4466000000000001</v>
      </c>
      <c r="BA625" s="314">
        <v>0</v>
      </c>
      <c r="BB625" s="314">
        <v>0</v>
      </c>
      <c r="BC625" s="314">
        <v>1.5307999999999999</v>
      </c>
      <c r="BD625" s="314">
        <v>1.5989</v>
      </c>
      <c r="BE625" s="314">
        <v>1.6386000000000001</v>
      </c>
      <c r="BF625" s="314">
        <v>1.4520999999999999</v>
      </c>
      <c r="BG625" s="314">
        <v>1.5105</v>
      </c>
      <c r="BH625" s="314">
        <v>1.5290999999999999</v>
      </c>
      <c r="BI625" s="314">
        <v>1.5152000000000001</v>
      </c>
      <c r="BJ625" s="314">
        <v>1.4690000000000001</v>
      </c>
      <c r="BK625" s="314">
        <v>1.4723999999999999</v>
      </c>
    </row>
    <row r="626" spans="1:63" x14ac:dyDescent="0.25">
      <c r="A626" s="306" t="s">
        <v>732</v>
      </c>
      <c r="B626" s="314" t="s">
        <v>194</v>
      </c>
      <c r="C626" s="314">
        <v>1.9060999999999999</v>
      </c>
      <c r="D626" s="314">
        <v>0</v>
      </c>
      <c r="E626" s="314">
        <v>1.5223</v>
      </c>
      <c r="F626" s="314">
        <v>1.4649000000000001</v>
      </c>
      <c r="G626" s="314">
        <v>1.427</v>
      </c>
      <c r="H626" s="314">
        <v>1.5722</v>
      </c>
      <c r="I626" s="314">
        <v>1.5169999999999999</v>
      </c>
      <c r="J626" s="314">
        <v>1.6203000000000001</v>
      </c>
      <c r="K626" s="314">
        <v>0</v>
      </c>
      <c r="L626" s="314">
        <v>1.4222999999999999</v>
      </c>
      <c r="M626" s="314">
        <v>1.3957999999999999</v>
      </c>
      <c r="N626" s="314">
        <v>1.5250999999999999</v>
      </c>
      <c r="O626" s="314">
        <v>0</v>
      </c>
      <c r="P626" s="314">
        <v>1.4458</v>
      </c>
      <c r="Q626" s="314">
        <v>1.2808999999999999</v>
      </c>
      <c r="R626" s="314">
        <v>1.8042</v>
      </c>
      <c r="S626" s="314">
        <v>1.6034999999999999</v>
      </c>
      <c r="T626" s="314">
        <v>1.4281999999999999</v>
      </c>
      <c r="U626" s="314">
        <v>1.579</v>
      </c>
      <c r="V626" s="314">
        <v>1.4165000000000001</v>
      </c>
      <c r="W626" s="314">
        <v>1.5752999999999999</v>
      </c>
      <c r="X626" s="314">
        <v>1.4255</v>
      </c>
      <c r="Y626" s="314">
        <v>0</v>
      </c>
      <c r="Z626" s="314">
        <v>1.7081</v>
      </c>
      <c r="AA626" s="314">
        <v>1.6353</v>
      </c>
      <c r="AB626" s="314">
        <v>1.5726</v>
      </c>
      <c r="AC626" s="314">
        <v>1.4309000000000001</v>
      </c>
      <c r="AD626" s="314">
        <v>1.2145999999999999</v>
      </c>
      <c r="AE626" s="314">
        <v>1.5750999999999999</v>
      </c>
      <c r="AF626" s="314">
        <v>0</v>
      </c>
      <c r="AG626" s="314">
        <v>1.3560000000000001</v>
      </c>
      <c r="AH626" s="314">
        <v>1.5825</v>
      </c>
      <c r="AI626" s="314">
        <v>1.5507</v>
      </c>
      <c r="AJ626" s="314">
        <v>1.2307999999999999</v>
      </c>
      <c r="AK626" s="314">
        <v>1.3591</v>
      </c>
      <c r="AL626" s="314">
        <v>1.4818</v>
      </c>
      <c r="AM626" s="314">
        <v>1.7594000000000001</v>
      </c>
      <c r="AN626" s="314">
        <v>1.5143</v>
      </c>
      <c r="AO626" s="314">
        <v>1.5788</v>
      </c>
      <c r="AP626" s="314">
        <v>1.7618</v>
      </c>
      <c r="AQ626" s="314">
        <v>1.4690000000000001</v>
      </c>
      <c r="AR626" s="314">
        <v>1.5754999999999999</v>
      </c>
      <c r="AS626" s="314">
        <v>1.2653000000000001</v>
      </c>
      <c r="AT626" s="314">
        <v>1.5942000000000001</v>
      </c>
      <c r="AU626" s="314">
        <v>1.6063000000000001</v>
      </c>
      <c r="AV626" s="314">
        <v>1.5696000000000001</v>
      </c>
      <c r="AW626" s="314">
        <v>1.532</v>
      </c>
      <c r="AX626" s="314">
        <v>1.3372999999999999</v>
      </c>
      <c r="AY626" s="314">
        <v>1.4764999999999999</v>
      </c>
      <c r="AZ626" s="314">
        <v>1.6248</v>
      </c>
      <c r="BA626" s="314">
        <v>0</v>
      </c>
      <c r="BB626" s="314">
        <v>1.2074</v>
      </c>
      <c r="BC626" s="314">
        <v>1.6404000000000001</v>
      </c>
      <c r="BD626" s="314">
        <v>1.6940999999999999</v>
      </c>
      <c r="BE626" s="314">
        <v>1.7895000000000001</v>
      </c>
      <c r="BF626" s="314">
        <v>1.5969</v>
      </c>
      <c r="BG626" s="314">
        <v>1.5846</v>
      </c>
      <c r="BH626" s="314">
        <v>1.6243000000000001</v>
      </c>
      <c r="BI626" s="314">
        <v>1.6274</v>
      </c>
      <c r="BJ626" s="314">
        <v>1.4761</v>
      </c>
      <c r="BK626" s="314">
        <v>1.5845</v>
      </c>
    </row>
    <row r="627" spans="1:63" x14ac:dyDescent="0.25">
      <c r="A627" s="306" t="s">
        <v>733</v>
      </c>
      <c r="B627" s="314" t="s">
        <v>197</v>
      </c>
      <c r="C627" s="314">
        <v>1.8708</v>
      </c>
      <c r="D627" s="314">
        <v>0</v>
      </c>
      <c r="E627" s="314">
        <v>1.4778</v>
      </c>
      <c r="F627" s="314">
        <v>1.4372</v>
      </c>
      <c r="G627" s="314">
        <v>1.4202999999999999</v>
      </c>
      <c r="H627" s="314">
        <v>1.5406</v>
      </c>
      <c r="I627" s="314">
        <v>1.5165999999999999</v>
      </c>
      <c r="J627" s="314">
        <v>1.6154999999999999</v>
      </c>
      <c r="K627" s="314">
        <v>0</v>
      </c>
      <c r="L627" s="314">
        <v>0</v>
      </c>
      <c r="M627" s="314">
        <v>1.3794999999999999</v>
      </c>
      <c r="N627" s="314">
        <v>1.4951000000000001</v>
      </c>
      <c r="O627" s="314">
        <v>0</v>
      </c>
      <c r="P627" s="314">
        <v>1.4043000000000001</v>
      </c>
      <c r="Q627" s="314">
        <v>1.2692000000000001</v>
      </c>
      <c r="R627" s="314">
        <v>1.7787999999999999</v>
      </c>
      <c r="S627" s="314">
        <v>1.5881000000000001</v>
      </c>
      <c r="T627" s="314">
        <v>1.44</v>
      </c>
      <c r="U627" s="314">
        <v>1.516</v>
      </c>
      <c r="V627" s="314">
        <v>0</v>
      </c>
      <c r="W627" s="314">
        <v>1.5799000000000001</v>
      </c>
      <c r="X627" s="314">
        <v>1.3885000000000001</v>
      </c>
      <c r="Y627" s="314">
        <v>1.3796999999999999</v>
      </c>
      <c r="Z627" s="314">
        <v>1.6791</v>
      </c>
      <c r="AA627" s="314">
        <v>1.5855999999999999</v>
      </c>
      <c r="AB627" s="314">
        <v>1.5535000000000001</v>
      </c>
      <c r="AC627" s="314">
        <v>1.3853</v>
      </c>
      <c r="AD627" s="314">
        <v>0</v>
      </c>
      <c r="AE627" s="314">
        <v>1.5435000000000001</v>
      </c>
      <c r="AF627" s="314">
        <v>0</v>
      </c>
      <c r="AG627" s="314">
        <v>1.3520000000000001</v>
      </c>
      <c r="AH627" s="314">
        <v>1.5738000000000001</v>
      </c>
      <c r="AI627" s="314">
        <v>1.5125</v>
      </c>
      <c r="AJ627" s="314">
        <v>0</v>
      </c>
      <c r="AK627" s="314">
        <v>0</v>
      </c>
      <c r="AL627" s="314">
        <v>1.4807999999999999</v>
      </c>
      <c r="AM627" s="314">
        <v>1.7294</v>
      </c>
      <c r="AN627" s="314">
        <v>1.4903</v>
      </c>
      <c r="AO627" s="314">
        <v>0</v>
      </c>
      <c r="AP627" s="314">
        <v>1.7262</v>
      </c>
      <c r="AQ627" s="314">
        <v>1.4776</v>
      </c>
      <c r="AR627" s="314">
        <v>1.538</v>
      </c>
      <c r="AS627" s="314">
        <v>1.2712000000000001</v>
      </c>
      <c r="AT627" s="314">
        <v>1.5826</v>
      </c>
      <c r="AU627" s="314">
        <v>1.5665</v>
      </c>
      <c r="AV627" s="314">
        <v>1.5343</v>
      </c>
      <c r="AW627" s="314">
        <v>1.4995000000000001</v>
      </c>
      <c r="AX627" s="314">
        <v>0</v>
      </c>
      <c r="AY627" s="314">
        <v>1.4756</v>
      </c>
      <c r="AZ627" s="314">
        <v>1.6104000000000001</v>
      </c>
      <c r="BA627" s="314">
        <v>1.3552</v>
      </c>
      <c r="BB627" s="314">
        <v>0</v>
      </c>
      <c r="BC627" s="314">
        <v>1.6429</v>
      </c>
      <c r="BD627" s="314">
        <v>1.6711</v>
      </c>
      <c r="BE627" s="314">
        <v>1.7615000000000001</v>
      </c>
      <c r="BF627" s="314">
        <v>1.5754999999999999</v>
      </c>
      <c r="BG627" s="314">
        <v>1.5535000000000001</v>
      </c>
      <c r="BH627" s="314">
        <v>1.5882000000000001</v>
      </c>
      <c r="BI627" s="314">
        <v>1.5835999999999999</v>
      </c>
      <c r="BJ627" s="314">
        <v>1.4604999999999999</v>
      </c>
      <c r="BK627" s="314">
        <v>1.5538000000000001</v>
      </c>
    </row>
    <row r="628" spans="1:63" x14ac:dyDescent="0.25">
      <c r="A628" s="306">
        <v>333611</v>
      </c>
      <c r="B628" s="314" t="s">
        <v>198</v>
      </c>
      <c r="C628" s="314">
        <v>1.6363000000000001</v>
      </c>
      <c r="D628" s="314">
        <v>0</v>
      </c>
      <c r="E628" s="314">
        <v>1.397</v>
      </c>
      <c r="F628" s="314">
        <v>1.2918000000000001</v>
      </c>
      <c r="G628" s="314">
        <v>1.2907999999999999</v>
      </c>
      <c r="H628" s="314">
        <v>1.3754</v>
      </c>
      <c r="I628" s="314">
        <v>1.3272999999999999</v>
      </c>
      <c r="J628" s="314">
        <v>1.3865000000000001</v>
      </c>
      <c r="K628" s="314">
        <v>1.1283000000000001</v>
      </c>
      <c r="L628" s="314">
        <v>0</v>
      </c>
      <c r="M628" s="314">
        <v>1.2484999999999999</v>
      </c>
      <c r="N628" s="314">
        <v>1.329</v>
      </c>
      <c r="O628" s="314">
        <v>0</v>
      </c>
      <c r="P628" s="314">
        <v>1.3042</v>
      </c>
      <c r="Q628" s="314">
        <v>1.1796</v>
      </c>
      <c r="R628" s="314">
        <v>1.5547</v>
      </c>
      <c r="S628" s="314">
        <v>1.4751000000000001</v>
      </c>
      <c r="T628" s="314">
        <v>1.2753000000000001</v>
      </c>
      <c r="U628" s="314">
        <v>1.3985000000000001</v>
      </c>
      <c r="V628" s="314">
        <v>1.3318000000000001</v>
      </c>
      <c r="W628" s="314">
        <v>1.3691</v>
      </c>
      <c r="X628" s="314">
        <v>0</v>
      </c>
      <c r="Y628" s="314">
        <v>1.2027000000000001</v>
      </c>
      <c r="Z628" s="314">
        <v>1.5201</v>
      </c>
      <c r="AA628" s="314">
        <v>1.3743000000000001</v>
      </c>
      <c r="AB628" s="314">
        <v>1.3473999999999999</v>
      </c>
      <c r="AC628" s="314">
        <v>1.3288</v>
      </c>
      <c r="AD628" s="314">
        <v>0</v>
      </c>
      <c r="AE628" s="314">
        <v>1.3455999999999999</v>
      </c>
      <c r="AF628" s="314">
        <v>1.1168</v>
      </c>
      <c r="AG628" s="314">
        <v>0</v>
      </c>
      <c r="AH628" s="314">
        <v>1.3248</v>
      </c>
      <c r="AI628" s="314">
        <v>1.3152999999999999</v>
      </c>
      <c r="AJ628" s="314">
        <v>0</v>
      </c>
      <c r="AK628" s="314">
        <v>1.2798</v>
      </c>
      <c r="AL628" s="314">
        <v>1.2817000000000001</v>
      </c>
      <c r="AM628" s="314">
        <v>1.552</v>
      </c>
      <c r="AN628" s="314">
        <v>1.3438000000000001</v>
      </c>
      <c r="AO628" s="314">
        <v>0</v>
      </c>
      <c r="AP628" s="314">
        <v>1.5321</v>
      </c>
      <c r="AQ628" s="314">
        <v>0</v>
      </c>
      <c r="AR628" s="314">
        <v>1.4339</v>
      </c>
      <c r="AS628" s="314">
        <v>1.1449</v>
      </c>
      <c r="AT628" s="314">
        <v>1.4755</v>
      </c>
      <c r="AU628" s="314">
        <v>1.4623999999999999</v>
      </c>
      <c r="AV628" s="314">
        <v>1.3865000000000001</v>
      </c>
      <c r="AW628" s="314">
        <v>1.3149999999999999</v>
      </c>
      <c r="AX628" s="314">
        <v>1.1862999999999999</v>
      </c>
      <c r="AY628" s="314">
        <v>1.2986</v>
      </c>
      <c r="AZ628" s="314">
        <v>1.4392</v>
      </c>
      <c r="BA628" s="314">
        <v>0</v>
      </c>
      <c r="BB628" s="314">
        <v>1.1831</v>
      </c>
      <c r="BC628" s="314">
        <v>1.4049</v>
      </c>
      <c r="BD628" s="314">
        <v>1.4734</v>
      </c>
      <c r="BE628" s="314">
        <v>1.5669</v>
      </c>
      <c r="BF628" s="314">
        <v>1.3649</v>
      </c>
      <c r="BG628" s="314">
        <v>1.3454999999999999</v>
      </c>
      <c r="BH628" s="314">
        <v>1.4990000000000001</v>
      </c>
      <c r="BI628" s="314">
        <v>1.4775</v>
      </c>
      <c r="BJ628" s="314">
        <v>1.3297000000000001</v>
      </c>
      <c r="BK628" s="314">
        <v>1.3916999999999999</v>
      </c>
    </row>
    <row r="629" spans="1:63" x14ac:dyDescent="0.25">
      <c r="A629" s="306">
        <v>333612</v>
      </c>
      <c r="B629" s="314" t="s">
        <v>199</v>
      </c>
      <c r="C629" s="314">
        <v>1.8051999999999999</v>
      </c>
      <c r="D629" s="314">
        <v>0</v>
      </c>
      <c r="E629" s="314">
        <v>1.5064</v>
      </c>
      <c r="F629" s="314">
        <v>0</v>
      </c>
      <c r="G629" s="314">
        <v>1.3589</v>
      </c>
      <c r="H629" s="314">
        <v>1.4721</v>
      </c>
      <c r="I629" s="314">
        <v>0</v>
      </c>
      <c r="J629" s="314">
        <v>1.5436000000000001</v>
      </c>
      <c r="K629" s="314">
        <v>0</v>
      </c>
      <c r="L629" s="314">
        <v>0</v>
      </c>
      <c r="M629" s="314">
        <v>1.3286</v>
      </c>
      <c r="N629" s="314">
        <v>1.4912000000000001</v>
      </c>
      <c r="O629" s="314">
        <v>0</v>
      </c>
      <c r="P629" s="314">
        <v>1.3755999999999999</v>
      </c>
      <c r="Q629" s="314">
        <v>1.2556</v>
      </c>
      <c r="R629" s="314">
        <v>1.716</v>
      </c>
      <c r="S629" s="314">
        <v>1.5896999999999999</v>
      </c>
      <c r="T629" s="314">
        <v>1.3774999999999999</v>
      </c>
      <c r="U629" s="314">
        <v>1.5436000000000001</v>
      </c>
      <c r="V629" s="314">
        <v>1.3733</v>
      </c>
      <c r="W629" s="314">
        <v>1.4972000000000001</v>
      </c>
      <c r="X629" s="314">
        <v>1.3818999999999999</v>
      </c>
      <c r="Y629" s="314">
        <v>1.2816000000000001</v>
      </c>
      <c r="Z629" s="314">
        <v>1.6462000000000001</v>
      </c>
      <c r="AA629" s="314">
        <v>1.4944999999999999</v>
      </c>
      <c r="AB629" s="314">
        <v>1.4681999999999999</v>
      </c>
      <c r="AC629" s="314">
        <v>1.3839999999999999</v>
      </c>
      <c r="AD629" s="314">
        <v>0</v>
      </c>
      <c r="AE629" s="314">
        <v>1.4988999999999999</v>
      </c>
      <c r="AF629" s="314">
        <v>0</v>
      </c>
      <c r="AG629" s="314">
        <v>1.33</v>
      </c>
      <c r="AH629" s="314">
        <v>1.4855</v>
      </c>
      <c r="AI629" s="314">
        <v>1.4739</v>
      </c>
      <c r="AJ629" s="314">
        <v>1.2173</v>
      </c>
      <c r="AK629" s="314">
        <v>0</v>
      </c>
      <c r="AL629" s="314">
        <v>1.4321999999999999</v>
      </c>
      <c r="AM629" s="314">
        <v>1.6836</v>
      </c>
      <c r="AN629" s="314">
        <v>1.4146000000000001</v>
      </c>
      <c r="AO629" s="314">
        <v>1.5023</v>
      </c>
      <c r="AP629" s="314">
        <v>1.6752</v>
      </c>
      <c r="AQ629" s="314">
        <v>0</v>
      </c>
      <c r="AR629" s="314">
        <v>1.5193000000000001</v>
      </c>
      <c r="AS629" s="314">
        <v>1.2</v>
      </c>
      <c r="AT629" s="314">
        <v>1.5794999999999999</v>
      </c>
      <c r="AU629" s="314">
        <v>1.5494000000000001</v>
      </c>
      <c r="AV629" s="314">
        <v>1.4855</v>
      </c>
      <c r="AW629" s="314">
        <v>1.4511000000000001</v>
      </c>
      <c r="AX629" s="314">
        <v>0</v>
      </c>
      <c r="AY629" s="314">
        <v>1.3806</v>
      </c>
      <c r="AZ629" s="314">
        <v>1.5416000000000001</v>
      </c>
      <c r="BA629" s="314">
        <v>0</v>
      </c>
      <c r="BB629" s="314">
        <v>0</v>
      </c>
      <c r="BC629" s="314">
        <v>1.5609999999999999</v>
      </c>
      <c r="BD629" s="314">
        <v>1.6189</v>
      </c>
      <c r="BE629" s="314">
        <v>1.7081</v>
      </c>
      <c r="BF629" s="314">
        <v>1.4944</v>
      </c>
      <c r="BG629" s="314">
        <v>1.502</v>
      </c>
      <c r="BH629" s="314">
        <v>1.6057999999999999</v>
      </c>
      <c r="BI629" s="314">
        <v>1.5741000000000001</v>
      </c>
      <c r="BJ629" s="314">
        <v>1.4140999999999999</v>
      </c>
      <c r="BK629" s="314">
        <v>1.4885999999999999</v>
      </c>
    </row>
    <row r="630" spans="1:63" x14ac:dyDescent="0.25">
      <c r="A630" s="306">
        <v>333613</v>
      </c>
      <c r="B630" s="314" t="s">
        <v>200</v>
      </c>
      <c r="C630" s="314">
        <v>1.9032</v>
      </c>
      <c r="D630" s="314">
        <v>0</v>
      </c>
      <c r="E630" s="314">
        <v>1.5821000000000001</v>
      </c>
      <c r="F630" s="314">
        <v>1.4799</v>
      </c>
      <c r="G630" s="314">
        <v>0</v>
      </c>
      <c r="H630" s="314">
        <v>1.5181</v>
      </c>
      <c r="I630" s="314">
        <v>0</v>
      </c>
      <c r="J630" s="314">
        <v>1.5794999999999999</v>
      </c>
      <c r="K630" s="314">
        <v>0</v>
      </c>
      <c r="L630" s="314">
        <v>0</v>
      </c>
      <c r="M630" s="314">
        <v>1.3575999999999999</v>
      </c>
      <c r="N630" s="314">
        <v>1.5141</v>
      </c>
      <c r="O630" s="314">
        <v>0</v>
      </c>
      <c r="P630" s="314">
        <v>0</v>
      </c>
      <c r="Q630" s="314">
        <v>0</v>
      </c>
      <c r="R630" s="314">
        <v>1.7983</v>
      </c>
      <c r="S630" s="314">
        <v>1.6706000000000001</v>
      </c>
      <c r="T630" s="314">
        <v>1.4114</v>
      </c>
      <c r="U630" s="314">
        <v>1.6082000000000001</v>
      </c>
      <c r="V630" s="314">
        <v>1.421</v>
      </c>
      <c r="W630" s="314">
        <v>1.528</v>
      </c>
      <c r="X630" s="314">
        <v>1.4307000000000001</v>
      </c>
      <c r="Y630" s="314">
        <v>0</v>
      </c>
      <c r="Z630" s="314">
        <v>1.7206999999999999</v>
      </c>
      <c r="AA630" s="314">
        <v>1.5349999999999999</v>
      </c>
      <c r="AB630" s="314">
        <v>1.5170999999999999</v>
      </c>
      <c r="AC630" s="314">
        <v>1.4484999999999999</v>
      </c>
      <c r="AD630" s="314">
        <v>0</v>
      </c>
      <c r="AE630" s="314">
        <v>1.5417000000000001</v>
      </c>
      <c r="AF630" s="314">
        <v>0</v>
      </c>
      <c r="AG630" s="314">
        <v>1.3622000000000001</v>
      </c>
      <c r="AH630" s="314">
        <v>1.5310999999999999</v>
      </c>
      <c r="AI630" s="314">
        <v>1.5015000000000001</v>
      </c>
      <c r="AJ630" s="314">
        <v>0</v>
      </c>
      <c r="AK630" s="314">
        <v>0</v>
      </c>
      <c r="AL630" s="314">
        <v>1.4558</v>
      </c>
      <c r="AM630" s="314">
        <v>1.7605</v>
      </c>
      <c r="AN630" s="314">
        <v>1.5074000000000001</v>
      </c>
      <c r="AO630" s="314">
        <v>1.5650999999999999</v>
      </c>
      <c r="AP630" s="314">
        <v>1.7571000000000001</v>
      </c>
      <c r="AQ630" s="314">
        <v>1.4196</v>
      </c>
      <c r="AR630" s="314">
        <v>1.593</v>
      </c>
      <c r="AS630" s="314">
        <v>0</v>
      </c>
      <c r="AT630" s="314">
        <v>1.633</v>
      </c>
      <c r="AU630" s="314">
        <v>1.615</v>
      </c>
      <c r="AV630" s="314">
        <v>0</v>
      </c>
      <c r="AW630" s="314">
        <v>0</v>
      </c>
      <c r="AX630" s="314">
        <v>0</v>
      </c>
      <c r="AY630" s="314">
        <v>1.4198</v>
      </c>
      <c r="AZ630" s="314">
        <v>1.585</v>
      </c>
      <c r="BA630" s="314">
        <v>1.3824000000000001</v>
      </c>
      <c r="BB630" s="314">
        <v>0</v>
      </c>
      <c r="BC630" s="314">
        <v>1.6006</v>
      </c>
      <c r="BD630" s="314">
        <v>1.6818</v>
      </c>
      <c r="BE630" s="314">
        <v>1.7918000000000001</v>
      </c>
      <c r="BF630" s="314">
        <v>1.5496000000000001</v>
      </c>
      <c r="BG630" s="314">
        <v>1.5537000000000001</v>
      </c>
      <c r="BH630" s="314">
        <v>1.6763999999999999</v>
      </c>
      <c r="BI630" s="314">
        <v>1.6438999999999999</v>
      </c>
      <c r="BJ630" s="314">
        <v>0</v>
      </c>
      <c r="BK630" s="314">
        <v>1.5361</v>
      </c>
    </row>
    <row r="631" spans="1:63" x14ac:dyDescent="0.25">
      <c r="A631" s="306">
        <v>333618</v>
      </c>
      <c r="B631" s="314" t="s">
        <v>201</v>
      </c>
      <c r="C631" s="314">
        <v>2.1261999999999999</v>
      </c>
      <c r="D631" s="314">
        <v>0</v>
      </c>
      <c r="E631" s="314">
        <v>1.7962</v>
      </c>
      <c r="F631" s="314">
        <v>1.6355</v>
      </c>
      <c r="G631" s="314">
        <v>1.4468000000000001</v>
      </c>
      <c r="H631" s="314">
        <v>1.5556000000000001</v>
      </c>
      <c r="I631" s="314">
        <v>1.5354000000000001</v>
      </c>
      <c r="J631" s="314">
        <v>1.6308</v>
      </c>
      <c r="K631" s="314">
        <v>0</v>
      </c>
      <c r="L631" s="314">
        <v>0</v>
      </c>
      <c r="M631" s="314">
        <v>1.3977999999999999</v>
      </c>
      <c r="N631" s="314">
        <v>1.6316999999999999</v>
      </c>
      <c r="O631" s="314">
        <v>1.2008000000000001</v>
      </c>
      <c r="P631" s="314">
        <v>1.6253</v>
      </c>
      <c r="Q631" s="314">
        <v>0</v>
      </c>
      <c r="R631" s="314">
        <v>1.9408000000000001</v>
      </c>
      <c r="S631" s="314">
        <v>1.8861000000000001</v>
      </c>
      <c r="T631" s="314">
        <v>1.5059</v>
      </c>
      <c r="U631" s="314">
        <v>1.8098000000000001</v>
      </c>
      <c r="V631" s="314">
        <v>1.4312</v>
      </c>
      <c r="W631" s="314">
        <v>1.5532999999999999</v>
      </c>
      <c r="X631" s="314">
        <v>1.452</v>
      </c>
      <c r="Y631" s="314">
        <v>0</v>
      </c>
      <c r="Z631" s="314">
        <v>1.8672</v>
      </c>
      <c r="AA631" s="314">
        <v>1.6248</v>
      </c>
      <c r="AB631" s="314">
        <v>1.7387999999999999</v>
      </c>
      <c r="AC631" s="314">
        <v>1.6102000000000001</v>
      </c>
      <c r="AD631" s="314">
        <v>0</v>
      </c>
      <c r="AE631" s="314">
        <v>1.7353000000000001</v>
      </c>
      <c r="AF631" s="314">
        <v>1.2682</v>
      </c>
      <c r="AG631" s="314">
        <v>0</v>
      </c>
      <c r="AH631" s="314">
        <v>0</v>
      </c>
      <c r="AI631" s="314">
        <v>1.5184</v>
      </c>
      <c r="AJ631" s="314">
        <v>1.2497</v>
      </c>
      <c r="AK631" s="314">
        <v>1.3775999999999999</v>
      </c>
      <c r="AL631" s="314">
        <v>1.4609000000000001</v>
      </c>
      <c r="AM631" s="314">
        <v>1.9416</v>
      </c>
      <c r="AN631" s="314">
        <v>1.6097999999999999</v>
      </c>
      <c r="AO631" s="314">
        <v>1.6189</v>
      </c>
      <c r="AP631" s="314">
        <v>1.8796999999999999</v>
      </c>
      <c r="AQ631" s="314">
        <v>0</v>
      </c>
      <c r="AR631" s="314">
        <v>1.7995000000000001</v>
      </c>
      <c r="AS631" s="314">
        <v>1.3432999999999999</v>
      </c>
      <c r="AT631" s="314">
        <v>1.8537999999999999</v>
      </c>
      <c r="AU631" s="314">
        <v>1.7051000000000001</v>
      </c>
      <c r="AV631" s="314">
        <v>1.6712</v>
      </c>
      <c r="AW631" s="314">
        <v>1.5224</v>
      </c>
      <c r="AX631" s="314">
        <v>0</v>
      </c>
      <c r="AY631" s="314">
        <v>1.4699</v>
      </c>
      <c r="AZ631" s="314">
        <v>1.8485</v>
      </c>
      <c r="BA631" s="314">
        <v>0</v>
      </c>
      <c r="BB631" s="314">
        <v>0</v>
      </c>
      <c r="BC631" s="314">
        <v>1.6444000000000001</v>
      </c>
      <c r="BD631" s="314">
        <v>1.7018</v>
      </c>
      <c r="BE631" s="314">
        <v>1.9933000000000001</v>
      </c>
      <c r="BF631" s="314">
        <v>1.7387999999999999</v>
      </c>
      <c r="BG631" s="314">
        <v>1.6476</v>
      </c>
      <c r="BH631" s="314">
        <v>1.9140999999999999</v>
      </c>
      <c r="BI631" s="314">
        <v>1.7504999999999999</v>
      </c>
      <c r="BJ631" s="314">
        <v>1.5416000000000001</v>
      </c>
      <c r="BK631" s="314">
        <v>1.599</v>
      </c>
    </row>
    <row r="632" spans="1:63" x14ac:dyDescent="0.25">
      <c r="A632" s="306">
        <v>333911</v>
      </c>
      <c r="B632" s="314" t="s">
        <v>202</v>
      </c>
      <c r="C632" s="314">
        <v>1.9513</v>
      </c>
      <c r="D632" s="314">
        <v>0</v>
      </c>
      <c r="E632" s="314">
        <v>1.6279999999999999</v>
      </c>
      <c r="F632" s="314">
        <v>1.5407</v>
      </c>
      <c r="G632" s="314">
        <v>1.4311</v>
      </c>
      <c r="H632" s="314">
        <v>1.5421</v>
      </c>
      <c r="I632" s="314">
        <v>1.4753000000000001</v>
      </c>
      <c r="J632" s="314">
        <v>1.5954999999999999</v>
      </c>
      <c r="K632" s="314">
        <v>0</v>
      </c>
      <c r="L632" s="314">
        <v>1.3685</v>
      </c>
      <c r="M632" s="314">
        <v>1.3651</v>
      </c>
      <c r="N632" s="314">
        <v>1.5469999999999999</v>
      </c>
      <c r="O632" s="314">
        <v>0</v>
      </c>
      <c r="P632" s="314">
        <v>1.5145</v>
      </c>
      <c r="Q632" s="314">
        <v>0</v>
      </c>
      <c r="R632" s="314">
        <v>1.8349</v>
      </c>
      <c r="S632" s="314">
        <v>1.7137</v>
      </c>
      <c r="T632" s="314">
        <v>1.4885999999999999</v>
      </c>
      <c r="U632" s="314">
        <v>1.6267</v>
      </c>
      <c r="V632" s="314">
        <v>1.43</v>
      </c>
      <c r="W632" s="314">
        <v>1.5518000000000001</v>
      </c>
      <c r="X632" s="314">
        <v>1.3811</v>
      </c>
      <c r="Y632" s="314">
        <v>1.3557999999999999</v>
      </c>
      <c r="Z632" s="314">
        <v>1.7388999999999999</v>
      </c>
      <c r="AA632" s="314">
        <v>1.6561999999999999</v>
      </c>
      <c r="AB632" s="314">
        <v>1.6225000000000001</v>
      </c>
      <c r="AC632" s="314">
        <v>1.4815</v>
      </c>
      <c r="AD632" s="314">
        <v>1.2141</v>
      </c>
      <c r="AE632" s="314">
        <v>1.5946</v>
      </c>
      <c r="AF632" s="314">
        <v>0</v>
      </c>
      <c r="AG632" s="314">
        <v>1.3633</v>
      </c>
      <c r="AH632" s="314">
        <v>1.601</v>
      </c>
      <c r="AI632" s="314">
        <v>1.5266999999999999</v>
      </c>
      <c r="AJ632" s="314">
        <v>1.2291000000000001</v>
      </c>
      <c r="AK632" s="314">
        <v>1.3566</v>
      </c>
      <c r="AL632" s="314">
        <v>1.4314</v>
      </c>
      <c r="AM632" s="314">
        <v>1.8171999999999999</v>
      </c>
      <c r="AN632" s="314">
        <v>1.573</v>
      </c>
      <c r="AO632" s="314">
        <v>1.6101000000000001</v>
      </c>
      <c r="AP632" s="314">
        <v>1.7936000000000001</v>
      </c>
      <c r="AQ632" s="314">
        <v>1.4593</v>
      </c>
      <c r="AR632" s="314">
        <v>1.6151</v>
      </c>
      <c r="AS632" s="314">
        <v>1.2628999999999999</v>
      </c>
      <c r="AT632" s="314">
        <v>1.6876</v>
      </c>
      <c r="AU632" s="314">
        <v>1.6516</v>
      </c>
      <c r="AV632" s="314">
        <v>1.6193</v>
      </c>
      <c r="AW632" s="314">
        <v>1.5524</v>
      </c>
      <c r="AX632" s="314">
        <v>1.3243</v>
      </c>
      <c r="AY632" s="314">
        <v>1.4597</v>
      </c>
      <c r="AZ632" s="314">
        <v>1.6946000000000001</v>
      </c>
      <c r="BA632" s="314">
        <v>1.4624999999999999</v>
      </c>
      <c r="BB632" s="314">
        <v>1.2533000000000001</v>
      </c>
      <c r="BC632" s="314">
        <v>1.6184000000000001</v>
      </c>
      <c r="BD632" s="314">
        <v>1.6619999999999999</v>
      </c>
      <c r="BE632" s="314">
        <v>1.8436999999999999</v>
      </c>
      <c r="BF632" s="314">
        <v>1.6617</v>
      </c>
      <c r="BG632" s="314">
        <v>1.5745</v>
      </c>
      <c r="BH632" s="314">
        <v>1.7236</v>
      </c>
      <c r="BI632" s="314">
        <v>1.6881999999999999</v>
      </c>
      <c r="BJ632" s="314">
        <v>1.4762</v>
      </c>
      <c r="BK632" s="314">
        <v>1.5742</v>
      </c>
    </row>
    <row r="633" spans="1:63" x14ac:dyDescent="0.25">
      <c r="A633" s="306">
        <v>333912</v>
      </c>
      <c r="B633" s="314" t="s">
        <v>203</v>
      </c>
      <c r="C633" s="314">
        <v>2.1004</v>
      </c>
      <c r="D633" s="314">
        <v>0</v>
      </c>
      <c r="E633" s="314">
        <v>1.7177</v>
      </c>
      <c r="F633" s="314">
        <v>1.5696000000000001</v>
      </c>
      <c r="G633" s="314">
        <v>0</v>
      </c>
      <c r="H633" s="314">
        <v>1.6437999999999999</v>
      </c>
      <c r="I633" s="314">
        <v>1.5911999999999999</v>
      </c>
      <c r="J633" s="314">
        <v>1.7088000000000001</v>
      </c>
      <c r="K633" s="314">
        <v>0</v>
      </c>
      <c r="L633" s="314">
        <v>0</v>
      </c>
      <c r="M633" s="314">
        <v>1.4568000000000001</v>
      </c>
      <c r="N633" s="314">
        <v>1.6206</v>
      </c>
      <c r="O633" s="314">
        <v>0</v>
      </c>
      <c r="P633" s="314">
        <v>1.5673999999999999</v>
      </c>
      <c r="Q633" s="314">
        <v>0</v>
      </c>
      <c r="R633" s="314">
        <v>1.9719</v>
      </c>
      <c r="S633" s="314">
        <v>1.8025</v>
      </c>
      <c r="T633" s="314">
        <v>1.5575000000000001</v>
      </c>
      <c r="U633" s="314">
        <v>1.7082999999999999</v>
      </c>
      <c r="V633" s="314">
        <v>1.5329999999999999</v>
      </c>
      <c r="W633" s="314">
        <v>1.6775</v>
      </c>
      <c r="X633" s="314">
        <v>1.4813000000000001</v>
      </c>
      <c r="Y633" s="314">
        <v>0</v>
      </c>
      <c r="Z633" s="314">
        <v>1.8511</v>
      </c>
      <c r="AA633" s="314">
        <v>1.7397</v>
      </c>
      <c r="AB633" s="314">
        <v>1.7398</v>
      </c>
      <c r="AC633" s="314">
        <v>1.5210999999999999</v>
      </c>
      <c r="AD633" s="314">
        <v>0</v>
      </c>
      <c r="AE633" s="314">
        <v>1.6996</v>
      </c>
      <c r="AF633" s="314">
        <v>0</v>
      </c>
      <c r="AG633" s="314">
        <v>1.3964000000000001</v>
      </c>
      <c r="AH633" s="314">
        <v>1.6874</v>
      </c>
      <c r="AI633" s="314">
        <v>1.6414</v>
      </c>
      <c r="AJ633" s="314">
        <v>1.2991999999999999</v>
      </c>
      <c r="AK633" s="314">
        <v>1.4148000000000001</v>
      </c>
      <c r="AL633" s="314">
        <v>1.5501</v>
      </c>
      <c r="AM633" s="314">
        <v>1.9298</v>
      </c>
      <c r="AN633" s="314">
        <v>1.6767000000000001</v>
      </c>
      <c r="AO633" s="314">
        <v>1.6516</v>
      </c>
      <c r="AP633" s="314">
        <v>1.9225000000000001</v>
      </c>
      <c r="AQ633" s="314">
        <v>1.54</v>
      </c>
      <c r="AR633" s="314">
        <v>1.7057</v>
      </c>
      <c r="AS633" s="314">
        <v>1.3475999999999999</v>
      </c>
      <c r="AT633" s="314">
        <v>1.7981</v>
      </c>
      <c r="AU633" s="314">
        <v>1.7684</v>
      </c>
      <c r="AV633" s="314">
        <v>1.6910000000000001</v>
      </c>
      <c r="AW633" s="314">
        <v>1.6003000000000001</v>
      </c>
      <c r="AX633" s="314">
        <v>0</v>
      </c>
      <c r="AY633" s="314">
        <v>1.5174000000000001</v>
      </c>
      <c r="AZ633" s="314">
        <v>1.8012999999999999</v>
      </c>
      <c r="BA633" s="314">
        <v>1.4782999999999999</v>
      </c>
      <c r="BB633" s="314">
        <v>0</v>
      </c>
      <c r="BC633" s="314">
        <v>1.7419</v>
      </c>
      <c r="BD633" s="314">
        <v>1.7912999999999999</v>
      </c>
      <c r="BE633" s="314">
        <v>1.97</v>
      </c>
      <c r="BF633" s="314">
        <v>1.7499</v>
      </c>
      <c r="BG633" s="314">
        <v>1.6781999999999999</v>
      </c>
      <c r="BH633" s="314">
        <v>1.8269</v>
      </c>
      <c r="BI633" s="314">
        <v>1.7945</v>
      </c>
      <c r="BJ633" s="314">
        <v>1.5810999999999999</v>
      </c>
      <c r="BK633" s="314">
        <v>1.6605000000000001</v>
      </c>
    </row>
    <row r="634" spans="1:63" x14ac:dyDescent="0.25">
      <c r="A634" s="306">
        <v>333920</v>
      </c>
      <c r="B634" s="314" t="s">
        <v>204</v>
      </c>
      <c r="C634" s="314">
        <v>2.0501</v>
      </c>
      <c r="D634" s="314">
        <v>1.1601999999999999</v>
      </c>
      <c r="E634" s="314">
        <v>1.6906000000000001</v>
      </c>
      <c r="F634" s="314">
        <v>1.6204000000000001</v>
      </c>
      <c r="G634" s="314">
        <v>1.4196</v>
      </c>
      <c r="H634" s="314">
        <v>1.5706</v>
      </c>
      <c r="I634" s="314">
        <v>1.5390999999999999</v>
      </c>
      <c r="J634" s="314">
        <v>1.6278999999999999</v>
      </c>
      <c r="K634" s="314">
        <v>1.1329</v>
      </c>
      <c r="L634" s="314">
        <v>1.4340999999999999</v>
      </c>
      <c r="M634" s="314">
        <v>1.4031</v>
      </c>
      <c r="N634" s="314">
        <v>1.5599000000000001</v>
      </c>
      <c r="O634" s="314">
        <v>0</v>
      </c>
      <c r="P634" s="314">
        <v>1.5598000000000001</v>
      </c>
      <c r="Q634" s="314">
        <v>1.2784</v>
      </c>
      <c r="R634" s="314">
        <v>1.9222999999999999</v>
      </c>
      <c r="S634" s="314">
        <v>1.7858000000000001</v>
      </c>
      <c r="T634" s="314">
        <v>1.5014000000000001</v>
      </c>
      <c r="U634" s="314">
        <v>1.7209000000000001</v>
      </c>
      <c r="V634" s="314">
        <v>1.4746999999999999</v>
      </c>
      <c r="W634" s="314">
        <v>1.5490999999999999</v>
      </c>
      <c r="X634" s="314">
        <v>1.4382999999999999</v>
      </c>
      <c r="Y634" s="314">
        <v>1.3643000000000001</v>
      </c>
      <c r="Z634" s="314">
        <v>1.8279000000000001</v>
      </c>
      <c r="AA634" s="314">
        <v>1.6434</v>
      </c>
      <c r="AB634" s="314">
        <v>1.6069</v>
      </c>
      <c r="AC634" s="314">
        <v>1.5435000000000001</v>
      </c>
      <c r="AD634" s="314">
        <v>0</v>
      </c>
      <c r="AE634" s="314">
        <v>1.6342000000000001</v>
      </c>
      <c r="AF634" s="314">
        <v>1.2454000000000001</v>
      </c>
      <c r="AG634" s="314">
        <v>1.4341999999999999</v>
      </c>
      <c r="AH634" s="314">
        <v>1.5784</v>
      </c>
      <c r="AI634" s="314">
        <v>1.56</v>
      </c>
      <c r="AJ634" s="314">
        <v>1.2168000000000001</v>
      </c>
      <c r="AK634" s="314">
        <v>1.3384</v>
      </c>
      <c r="AL634" s="314">
        <v>1.4799</v>
      </c>
      <c r="AM634" s="314">
        <v>1.9073</v>
      </c>
      <c r="AN634" s="314">
        <v>1.6189</v>
      </c>
      <c r="AO634" s="314">
        <v>1.6462000000000001</v>
      </c>
      <c r="AP634" s="314">
        <v>1.8673999999999999</v>
      </c>
      <c r="AQ634" s="314">
        <v>1.4350000000000001</v>
      </c>
      <c r="AR634" s="314">
        <v>1.7265999999999999</v>
      </c>
      <c r="AS634" s="314">
        <v>1.2866</v>
      </c>
      <c r="AT634" s="314">
        <v>1.7355</v>
      </c>
      <c r="AU634" s="314">
        <v>1.6933</v>
      </c>
      <c r="AV634" s="314">
        <v>1.6752</v>
      </c>
      <c r="AW634" s="314">
        <v>1.5383</v>
      </c>
      <c r="AX634" s="314">
        <v>0</v>
      </c>
      <c r="AY634" s="314">
        <v>1.4729000000000001</v>
      </c>
      <c r="AZ634" s="314">
        <v>1.6980999999999999</v>
      </c>
      <c r="BA634" s="314">
        <v>1.4723999999999999</v>
      </c>
      <c r="BB634" s="314">
        <v>0</v>
      </c>
      <c r="BC634" s="314">
        <v>1.6258999999999999</v>
      </c>
      <c r="BD634" s="314">
        <v>1.7565</v>
      </c>
      <c r="BE634" s="314">
        <v>1.9352</v>
      </c>
      <c r="BF634" s="314">
        <v>1.6735</v>
      </c>
      <c r="BG634" s="314">
        <v>1.6304000000000001</v>
      </c>
      <c r="BH634" s="314">
        <v>1.7985</v>
      </c>
      <c r="BI634" s="314">
        <v>1.7592000000000001</v>
      </c>
      <c r="BJ634" s="314">
        <v>1.5021</v>
      </c>
      <c r="BK634" s="314">
        <v>1.5979000000000001</v>
      </c>
    </row>
    <row r="635" spans="1:63" x14ac:dyDescent="0.25">
      <c r="A635" s="306">
        <v>333991</v>
      </c>
      <c r="B635" s="314" t="s">
        <v>205</v>
      </c>
      <c r="C635" s="314">
        <v>1.9029</v>
      </c>
      <c r="D635" s="314">
        <v>0</v>
      </c>
      <c r="E635" s="314">
        <v>1.5706</v>
      </c>
      <c r="F635" s="314">
        <v>1.5591999999999999</v>
      </c>
      <c r="G635" s="314">
        <v>1.3621000000000001</v>
      </c>
      <c r="H635" s="314">
        <v>1.4792000000000001</v>
      </c>
      <c r="I635" s="314">
        <v>1.3842000000000001</v>
      </c>
      <c r="J635" s="314">
        <v>1.5714999999999999</v>
      </c>
      <c r="K635" s="314">
        <v>0</v>
      </c>
      <c r="L635" s="314">
        <v>0</v>
      </c>
      <c r="M635" s="314">
        <v>1.3018000000000001</v>
      </c>
      <c r="N635" s="314">
        <v>1.5381</v>
      </c>
      <c r="O635" s="314">
        <v>0</v>
      </c>
      <c r="P635" s="314">
        <v>1.5178</v>
      </c>
      <c r="Q635" s="314">
        <v>1.2751999999999999</v>
      </c>
      <c r="R635" s="314">
        <v>1.7788999999999999</v>
      </c>
      <c r="S635" s="314">
        <v>1.7013</v>
      </c>
      <c r="T635" s="314">
        <v>1.42</v>
      </c>
      <c r="U635" s="314">
        <v>0</v>
      </c>
      <c r="V635" s="314">
        <v>1.3539000000000001</v>
      </c>
      <c r="W635" s="314">
        <v>1.5263</v>
      </c>
      <c r="X635" s="314">
        <v>1.3109</v>
      </c>
      <c r="Y635" s="314">
        <v>0</v>
      </c>
      <c r="Z635" s="314">
        <v>1.6695</v>
      </c>
      <c r="AA635" s="314">
        <v>1.5831</v>
      </c>
      <c r="AB635" s="314">
        <v>1.6093999999999999</v>
      </c>
      <c r="AC635" s="314">
        <v>1.4462999999999999</v>
      </c>
      <c r="AD635" s="314">
        <v>0</v>
      </c>
      <c r="AE635" s="314">
        <v>1.5885</v>
      </c>
      <c r="AF635" s="314">
        <v>0</v>
      </c>
      <c r="AG635" s="314">
        <v>1.3004</v>
      </c>
      <c r="AH635" s="314">
        <v>0</v>
      </c>
      <c r="AI635" s="314">
        <v>1.4812000000000001</v>
      </c>
      <c r="AJ635" s="314">
        <v>0</v>
      </c>
      <c r="AK635" s="314">
        <v>1.3031999999999999</v>
      </c>
      <c r="AL635" s="314">
        <v>1.3638999999999999</v>
      </c>
      <c r="AM635" s="314">
        <v>1.7878000000000001</v>
      </c>
      <c r="AN635" s="314">
        <v>1.4448000000000001</v>
      </c>
      <c r="AO635" s="314">
        <v>1.5354000000000001</v>
      </c>
      <c r="AP635" s="314">
        <v>1.7534000000000001</v>
      </c>
      <c r="AQ635" s="314">
        <v>1.4753000000000001</v>
      </c>
      <c r="AR635" s="314">
        <v>1.6415999999999999</v>
      </c>
      <c r="AS635" s="314">
        <v>0</v>
      </c>
      <c r="AT635" s="314">
        <v>1.677</v>
      </c>
      <c r="AU635" s="314">
        <v>1.5686</v>
      </c>
      <c r="AV635" s="314">
        <v>0</v>
      </c>
      <c r="AW635" s="314">
        <v>1.4918</v>
      </c>
      <c r="AX635" s="314">
        <v>1.2865</v>
      </c>
      <c r="AY635" s="314">
        <v>1.3980999999999999</v>
      </c>
      <c r="AZ635" s="314">
        <v>1.6464000000000001</v>
      </c>
      <c r="BA635" s="314">
        <v>0</v>
      </c>
      <c r="BB635" s="314">
        <v>0</v>
      </c>
      <c r="BC635" s="314">
        <v>1.6023000000000001</v>
      </c>
      <c r="BD635" s="314">
        <v>1.5976999999999999</v>
      </c>
      <c r="BE635" s="314">
        <v>1.8022</v>
      </c>
      <c r="BF635" s="314">
        <v>1.6153999999999999</v>
      </c>
      <c r="BG635" s="314">
        <v>1.5552999999999999</v>
      </c>
      <c r="BH635" s="314">
        <v>1.7141</v>
      </c>
      <c r="BI635" s="314">
        <v>1.6024</v>
      </c>
      <c r="BJ635" s="314">
        <v>1.3808</v>
      </c>
      <c r="BK635" s="314">
        <v>1.5022</v>
      </c>
    </row>
    <row r="636" spans="1:63" x14ac:dyDescent="0.25">
      <c r="A636" s="306">
        <v>333993</v>
      </c>
      <c r="B636" s="314" t="s">
        <v>207</v>
      </c>
      <c r="C636" s="314">
        <v>1.9614</v>
      </c>
      <c r="D636" s="314">
        <v>0</v>
      </c>
      <c r="E636" s="314">
        <v>1.518</v>
      </c>
      <c r="F636" s="314">
        <v>1.5134000000000001</v>
      </c>
      <c r="G636" s="314">
        <v>1.4285000000000001</v>
      </c>
      <c r="H636" s="314">
        <v>1.6216999999999999</v>
      </c>
      <c r="I636" s="314">
        <v>1.5181</v>
      </c>
      <c r="J636" s="314">
        <v>1.6435999999999999</v>
      </c>
      <c r="K636" s="314">
        <v>0</v>
      </c>
      <c r="L636" s="314">
        <v>0</v>
      </c>
      <c r="M636" s="314">
        <v>1.4456</v>
      </c>
      <c r="N636" s="314">
        <v>1.599</v>
      </c>
      <c r="O636" s="314">
        <v>0</v>
      </c>
      <c r="P636" s="314">
        <v>1.458</v>
      </c>
      <c r="Q636" s="314">
        <v>0</v>
      </c>
      <c r="R636" s="314">
        <v>1.8263</v>
      </c>
      <c r="S636" s="314">
        <v>1.5994999999999999</v>
      </c>
      <c r="T636" s="314">
        <v>1.4609000000000001</v>
      </c>
      <c r="U636" s="314">
        <v>1.6265000000000001</v>
      </c>
      <c r="V636" s="314">
        <v>1.4213</v>
      </c>
      <c r="W636" s="314">
        <v>1.6668000000000001</v>
      </c>
      <c r="X636" s="314">
        <v>1.4156</v>
      </c>
      <c r="Y636" s="314">
        <v>1.421</v>
      </c>
      <c r="Z636" s="314">
        <v>1.7048000000000001</v>
      </c>
      <c r="AA636" s="314">
        <v>1.6636</v>
      </c>
      <c r="AB636" s="314">
        <v>1.5914999999999999</v>
      </c>
      <c r="AC636" s="314">
        <v>1.4236</v>
      </c>
      <c r="AD636" s="314">
        <v>1.24</v>
      </c>
      <c r="AE636" s="314">
        <v>1.6253</v>
      </c>
      <c r="AF636" s="314">
        <v>1.2403999999999999</v>
      </c>
      <c r="AG636" s="314">
        <v>1.3747</v>
      </c>
      <c r="AH636" s="314">
        <v>1.6216999999999999</v>
      </c>
      <c r="AI636" s="314">
        <v>1.6132</v>
      </c>
      <c r="AJ636" s="314">
        <v>1.2330000000000001</v>
      </c>
      <c r="AK636" s="314">
        <v>1.3492999999999999</v>
      </c>
      <c r="AL636" s="314">
        <v>1.518</v>
      </c>
      <c r="AM636" s="314">
        <v>1.8013999999999999</v>
      </c>
      <c r="AN636" s="314">
        <v>1.4601</v>
      </c>
      <c r="AO636" s="314">
        <v>1.5569999999999999</v>
      </c>
      <c r="AP636" s="314">
        <v>1.7632000000000001</v>
      </c>
      <c r="AQ636" s="314">
        <v>0</v>
      </c>
      <c r="AR636" s="314">
        <v>1.6207</v>
      </c>
      <c r="AS636" s="314">
        <v>0</v>
      </c>
      <c r="AT636" s="314">
        <v>1.6321000000000001</v>
      </c>
      <c r="AU636" s="314">
        <v>1.5972999999999999</v>
      </c>
      <c r="AV636" s="314">
        <v>1.5799000000000001</v>
      </c>
      <c r="AW636" s="314">
        <v>1.5878000000000001</v>
      </c>
      <c r="AX636" s="314">
        <v>0</v>
      </c>
      <c r="AY636" s="314">
        <v>1.4910000000000001</v>
      </c>
      <c r="AZ636" s="314">
        <v>1.6854</v>
      </c>
      <c r="BA636" s="314">
        <v>0</v>
      </c>
      <c r="BB636" s="314">
        <v>0</v>
      </c>
      <c r="BC636" s="314">
        <v>1.7166999999999999</v>
      </c>
      <c r="BD636" s="314">
        <v>1.6978</v>
      </c>
      <c r="BE636" s="314">
        <v>1.8262</v>
      </c>
      <c r="BF636" s="314">
        <v>1.6557999999999999</v>
      </c>
      <c r="BG636" s="314">
        <v>1.6517999999999999</v>
      </c>
      <c r="BH636" s="314">
        <v>1.6822999999999999</v>
      </c>
      <c r="BI636" s="314">
        <v>1.6215999999999999</v>
      </c>
      <c r="BJ636" s="314">
        <v>1.4854000000000001</v>
      </c>
      <c r="BK636" s="314">
        <v>1.6278999999999999</v>
      </c>
    </row>
    <row r="637" spans="1:63" x14ac:dyDescent="0.25">
      <c r="A637" s="306">
        <v>333994</v>
      </c>
      <c r="B637" s="314" t="s">
        <v>208</v>
      </c>
      <c r="C637" s="314">
        <v>1.7357</v>
      </c>
      <c r="D637" s="314">
        <v>0</v>
      </c>
      <c r="E637" s="314">
        <v>1.4509000000000001</v>
      </c>
      <c r="F637" s="314">
        <v>0</v>
      </c>
      <c r="G637" s="314">
        <v>1.3752</v>
      </c>
      <c r="H637" s="314">
        <v>1.5043</v>
      </c>
      <c r="I637" s="314">
        <v>1.4481999999999999</v>
      </c>
      <c r="J637" s="314">
        <v>1.4985999999999999</v>
      </c>
      <c r="K637" s="314">
        <v>0</v>
      </c>
      <c r="L637" s="314">
        <v>0</v>
      </c>
      <c r="M637" s="314">
        <v>1.3428</v>
      </c>
      <c r="N637" s="314">
        <v>1.4368000000000001</v>
      </c>
      <c r="O637" s="314">
        <v>0</v>
      </c>
      <c r="P637" s="314">
        <v>1.365</v>
      </c>
      <c r="Q637" s="314">
        <v>1.2873000000000001</v>
      </c>
      <c r="R637" s="314">
        <v>1.6408</v>
      </c>
      <c r="S637" s="314">
        <v>1.4793000000000001</v>
      </c>
      <c r="T637" s="314">
        <v>1.3871</v>
      </c>
      <c r="U637" s="314">
        <v>1.4492</v>
      </c>
      <c r="V637" s="314">
        <v>1.3428</v>
      </c>
      <c r="W637" s="314">
        <v>1.52</v>
      </c>
      <c r="X637" s="314">
        <v>1.3576999999999999</v>
      </c>
      <c r="Y637" s="314">
        <v>0</v>
      </c>
      <c r="Z637" s="314">
        <v>1.5710999999999999</v>
      </c>
      <c r="AA637" s="314">
        <v>1.5347999999999999</v>
      </c>
      <c r="AB637" s="314">
        <v>1.5095000000000001</v>
      </c>
      <c r="AC637" s="314">
        <v>0</v>
      </c>
      <c r="AD637" s="314">
        <v>0</v>
      </c>
      <c r="AE637" s="314">
        <v>1.4213</v>
      </c>
      <c r="AF637" s="314">
        <v>0</v>
      </c>
      <c r="AG637" s="314">
        <v>0</v>
      </c>
      <c r="AH637" s="314">
        <v>1.4915</v>
      </c>
      <c r="AI637" s="314">
        <v>1.5179</v>
      </c>
      <c r="AJ637" s="314">
        <v>0</v>
      </c>
      <c r="AK637" s="314">
        <v>1.3182</v>
      </c>
      <c r="AL637" s="314">
        <v>1.4365000000000001</v>
      </c>
      <c r="AM637" s="314">
        <v>1.6033999999999999</v>
      </c>
      <c r="AN637" s="314">
        <v>1.4404999999999999</v>
      </c>
      <c r="AO637" s="314">
        <v>1.5188999999999999</v>
      </c>
      <c r="AP637" s="314">
        <v>1.6296999999999999</v>
      </c>
      <c r="AQ637" s="314">
        <v>1.4328000000000001</v>
      </c>
      <c r="AR637" s="314">
        <v>1.4399</v>
      </c>
      <c r="AS637" s="314">
        <v>0</v>
      </c>
      <c r="AT637" s="314">
        <v>1.4581999999999999</v>
      </c>
      <c r="AU637" s="314">
        <v>1.4806999999999999</v>
      </c>
      <c r="AV637" s="314">
        <v>0</v>
      </c>
      <c r="AW637" s="314">
        <v>0</v>
      </c>
      <c r="AX637" s="314">
        <v>0</v>
      </c>
      <c r="AY637" s="314">
        <v>1.3846000000000001</v>
      </c>
      <c r="AZ637" s="314">
        <v>1.5046999999999999</v>
      </c>
      <c r="BA637" s="314">
        <v>1.3623000000000001</v>
      </c>
      <c r="BB637" s="314">
        <v>0</v>
      </c>
      <c r="BC637" s="314">
        <v>1.5479000000000001</v>
      </c>
      <c r="BD637" s="314">
        <v>1.6054999999999999</v>
      </c>
      <c r="BE637" s="314">
        <v>1.6352</v>
      </c>
      <c r="BF637" s="314">
        <v>1.5175000000000001</v>
      </c>
      <c r="BG637" s="314">
        <v>1.4645999999999999</v>
      </c>
      <c r="BH637" s="314">
        <v>1.4793000000000001</v>
      </c>
      <c r="BI637" s="314">
        <v>1.5335000000000001</v>
      </c>
      <c r="BJ637" s="314">
        <v>1.4149</v>
      </c>
      <c r="BK637" s="314">
        <v>1.5067999999999999</v>
      </c>
    </row>
    <row r="638" spans="1:63" x14ac:dyDescent="0.25">
      <c r="A638" s="306" t="s">
        <v>734</v>
      </c>
      <c r="B638" s="314" t="s">
        <v>206</v>
      </c>
      <c r="C638" s="314">
        <v>1.931</v>
      </c>
      <c r="D638" s="314">
        <v>1.1717</v>
      </c>
      <c r="E638" s="314">
        <v>1.5743</v>
      </c>
      <c r="F638" s="314">
        <v>1.5338000000000001</v>
      </c>
      <c r="G638" s="314">
        <v>1.4172</v>
      </c>
      <c r="H638" s="314">
        <v>1.5689</v>
      </c>
      <c r="I638" s="314">
        <v>1.4893000000000001</v>
      </c>
      <c r="J638" s="314">
        <v>1.5971</v>
      </c>
      <c r="K638" s="314">
        <v>0</v>
      </c>
      <c r="L638" s="314">
        <v>1.4073</v>
      </c>
      <c r="M638" s="314">
        <v>1.4052</v>
      </c>
      <c r="N638" s="314">
        <v>1.5596000000000001</v>
      </c>
      <c r="O638" s="314">
        <v>0</v>
      </c>
      <c r="P638" s="314">
        <v>1.4460999999999999</v>
      </c>
      <c r="Q638" s="314">
        <v>1.3069</v>
      </c>
      <c r="R638" s="314">
        <v>1.7755000000000001</v>
      </c>
      <c r="S638" s="314">
        <v>1.6485000000000001</v>
      </c>
      <c r="T638" s="314">
        <v>1.4258</v>
      </c>
      <c r="U638" s="314">
        <v>1.6317999999999999</v>
      </c>
      <c r="V638" s="314">
        <v>1.4355</v>
      </c>
      <c r="W638" s="314">
        <v>1.5987</v>
      </c>
      <c r="X638" s="314">
        <v>1.4355</v>
      </c>
      <c r="Y638" s="314">
        <v>1.3969</v>
      </c>
      <c r="Z638" s="314">
        <v>1.6958</v>
      </c>
      <c r="AA638" s="314">
        <v>1.6248</v>
      </c>
      <c r="AB638" s="314">
        <v>1.5913999999999999</v>
      </c>
      <c r="AC638" s="314">
        <v>1.4564999999999999</v>
      </c>
      <c r="AD638" s="314">
        <v>1.2125999999999999</v>
      </c>
      <c r="AE638" s="314">
        <v>1.5827</v>
      </c>
      <c r="AF638" s="314">
        <v>0</v>
      </c>
      <c r="AG638" s="314">
        <v>1.3712</v>
      </c>
      <c r="AH638" s="314">
        <v>1.5786</v>
      </c>
      <c r="AI638" s="314">
        <v>1.5680000000000001</v>
      </c>
      <c r="AJ638" s="314">
        <v>1.2327999999999999</v>
      </c>
      <c r="AK638" s="314">
        <v>1.3709</v>
      </c>
      <c r="AL638" s="314">
        <v>1.488</v>
      </c>
      <c r="AM638" s="314">
        <v>1.7776000000000001</v>
      </c>
      <c r="AN638" s="314">
        <v>1.5004</v>
      </c>
      <c r="AO638" s="314">
        <v>1.5899000000000001</v>
      </c>
      <c r="AP638" s="314">
        <v>1.7663</v>
      </c>
      <c r="AQ638" s="314">
        <v>1.5027999999999999</v>
      </c>
      <c r="AR638" s="314">
        <v>1.6</v>
      </c>
      <c r="AS638" s="314">
        <v>1.2667999999999999</v>
      </c>
      <c r="AT638" s="314">
        <v>1.6459999999999999</v>
      </c>
      <c r="AU638" s="314">
        <v>1.6315999999999999</v>
      </c>
      <c r="AV638" s="314">
        <v>1.569</v>
      </c>
      <c r="AW638" s="314">
        <v>1.5073000000000001</v>
      </c>
      <c r="AX638" s="314">
        <v>1.3422000000000001</v>
      </c>
      <c r="AY638" s="314">
        <v>1.4587000000000001</v>
      </c>
      <c r="AZ638" s="314">
        <v>1.6235999999999999</v>
      </c>
      <c r="BA638" s="314">
        <v>1.4129</v>
      </c>
      <c r="BB638" s="314">
        <v>1.2107000000000001</v>
      </c>
      <c r="BC638" s="314">
        <v>1.6467000000000001</v>
      </c>
      <c r="BD638" s="314">
        <v>1.6982999999999999</v>
      </c>
      <c r="BE638" s="314">
        <v>1.8009999999999999</v>
      </c>
      <c r="BF638" s="314">
        <v>1.6122000000000001</v>
      </c>
      <c r="BG638" s="314">
        <v>1.5880000000000001</v>
      </c>
      <c r="BH638" s="314">
        <v>1.6813</v>
      </c>
      <c r="BI638" s="314">
        <v>1.6647000000000001</v>
      </c>
      <c r="BJ638" s="314">
        <v>1.4723999999999999</v>
      </c>
      <c r="BK638" s="314">
        <v>1.5847</v>
      </c>
    </row>
    <row r="639" spans="1:63" x14ac:dyDescent="0.25">
      <c r="A639" s="306" t="s">
        <v>735</v>
      </c>
      <c r="B639" s="314" t="s">
        <v>736</v>
      </c>
      <c r="C639" s="314">
        <v>1.9028</v>
      </c>
      <c r="D639" s="314">
        <v>0</v>
      </c>
      <c r="E639" s="314">
        <v>1.5831999999999999</v>
      </c>
      <c r="F639" s="314">
        <v>1.4998</v>
      </c>
      <c r="G639" s="314">
        <v>1.3971</v>
      </c>
      <c r="H639" s="314">
        <v>1.5525</v>
      </c>
      <c r="I639" s="314">
        <v>1.4883</v>
      </c>
      <c r="J639" s="314">
        <v>1.5806</v>
      </c>
      <c r="K639" s="314">
        <v>0</v>
      </c>
      <c r="L639" s="314">
        <v>1.3686</v>
      </c>
      <c r="M639" s="314">
        <v>1.3478000000000001</v>
      </c>
      <c r="N639" s="314">
        <v>1.4704999999999999</v>
      </c>
      <c r="O639" s="314">
        <v>0</v>
      </c>
      <c r="P639" s="314">
        <v>1.4561999999999999</v>
      </c>
      <c r="Q639" s="314">
        <v>1.2786</v>
      </c>
      <c r="R639" s="314">
        <v>1.7887999999999999</v>
      </c>
      <c r="S639" s="314">
        <v>1.6701999999999999</v>
      </c>
      <c r="T639" s="314">
        <v>1.407</v>
      </c>
      <c r="U639" s="314">
        <v>1.6233</v>
      </c>
      <c r="V639" s="314">
        <v>1.4308000000000001</v>
      </c>
      <c r="W639" s="314">
        <v>1.5455000000000001</v>
      </c>
      <c r="X639" s="314">
        <v>0</v>
      </c>
      <c r="Y639" s="314">
        <v>1.3524</v>
      </c>
      <c r="Z639" s="314">
        <v>1.7294</v>
      </c>
      <c r="AA639" s="314">
        <v>1.5886</v>
      </c>
      <c r="AB639" s="314">
        <v>1.5331999999999999</v>
      </c>
      <c r="AC639" s="314">
        <v>1.4287000000000001</v>
      </c>
      <c r="AD639" s="314">
        <v>1.2079</v>
      </c>
      <c r="AE639" s="314">
        <v>1.5188999999999999</v>
      </c>
      <c r="AF639" s="314">
        <v>0</v>
      </c>
      <c r="AG639" s="314">
        <v>1.3524</v>
      </c>
      <c r="AH639" s="314">
        <v>1.5669</v>
      </c>
      <c r="AI639" s="314">
        <v>1.4873000000000001</v>
      </c>
      <c r="AJ639" s="314">
        <v>1.2185999999999999</v>
      </c>
      <c r="AK639" s="314">
        <v>1.3428</v>
      </c>
      <c r="AL639" s="314">
        <v>1.4413</v>
      </c>
      <c r="AM639" s="314">
        <v>1.7753000000000001</v>
      </c>
      <c r="AN639" s="314">
        <v>1.5101</v>
      </c>
      <c r="AO639" s="314">
        <v>1.5892999999999999</v>
      </c>
      <c r="AP639" s="314">
        <v>1.7684</v>
      </c>
      <c r="AQ639" s="314">
        <v>0</v>
      </c>
      <c r="AR639" s="314">
        <v>1.5851999999999999</v>
      </c>
      <c r="AS639" s="314">
        <v>1.2412000000000001</v>
      </c>
      <c r="AT639" s="314">
        <v>1.6296999999999999</v>
      </c>
      <c r="AU639" s="314">
        <v>1.6185</v>
      </c>
      <c r="AV639" s="314">
        <v>1.5787</v>
      </c>
      <c r="AW639" s="314">
        <v>1.482</v>
      </c>
      <c r="AX639" s="314">
        <v>1.3063</v>
      </c>
      <c r="AY639" s="314">
        <v>1.4208000000000001</v>
      </c>
      <c r="AZ639" s="314">
        <v>1.607</v>
      </c>
      <c r="BA639" s="314">
        <v>1.4275</v>
      </c>
      <c r="BB639" s="314">
        <v>1.2191000000000001</v>
      </c>
      <c r="BC639" s="314">
        <v>1.6095999999999999</v>
      </c>
      <c r="BD639" s="314">
        <v>1.6774</v>
      </c>
      <c r="BE639" s="314">
        <v>1.7974000000000001</v>
      </c>
      <c r="BF639" s="314">
        <v>1.5744</v>
      </c>
      <c r="BG639" s="314">
        <v>1.5236000000000001</v>
      </c>
      <c r="BH639" s="314">
        <v>1.6745000000000001</v>
      </c>
      <c r="BI639" s="314">
        <v>1.6534</v>
      </c>
      <c r="BJ639" s="314">
        <v>1.4584999999999999</v>
      </c>
      <c r="BK639" s="314">
        <v>1.5691999999999999</v>
      </c>
    </row>
    <row r="640" spans="1:63" x14ac:dyDescent="0.25">
      <c r="A640" s="306">
        <v>334111</v>
      </c>
      <c r="B640" s="314" t="s">
        <v>209</v>
      </c>
      <c r="C640" s="314">
        <v>1.8301000000000001</v>
      </c>
      <c r="D640" s="314">
        <v>0</v>
      </c>
      <c r="E640" s="314">
        <v>1.3487</v>
      </c>
      <c r="F640" s="314">
        <v>0</v>
      </c>
      <c r="G640" s="314">
        <v>1.4499</v>
      </c>
      <c r="H640" s="314">
        <v>1.7122999999999999</v>
      </c>
      <c r="I640" s="314">
        <v>1.6741999999999999</v>
      </c>
      <c r="J640" s="314">
        <v>1.452</v>
      </c>
      <c r="K640" s="314">
        <v>1.1383000000000001</v>
      </c>
      <c r="L640" s="314">
        <v>0</v>
      </c>
      <c r="M640" s="314">
        <v>1.4149</v>
      </c>
      <c r="N640" s="314">
        <v>1.4723999999999999</v>
      </c>
      <c r="O640" s="314">
        <v>1.2017</v>
      </c>
      <c r="P640" s="314">
        <v>1.2146999999999999</v>
      </c>
      <c r="Q640" s="314">
        <v>1.3869</v>
      </c>
      <c r="R640" s="314">
        <v>1.4757</v>
      </c>
      <c r="S640" s="314">
        <v>1.3452999999999999</v>
      </c>
      <c r="T640" s="314">
        <v>1.2831999999999999</v>
      </c>
      <c r="U640" s="314">
        <v>1.3183</v>
      </c>
      <c r="V640" s="314">
        <v>1.2302999999999999</v>
      </c>
      <c r="W640" s="314">
        <v>1.7245999999999999</v>
      </c>
      <c r="X640" s="314">
        <v>1.329</v>
      </c>
      <c r="Y640" s="314">
        <v>0</v>
      </c>
      <c r="Z640" s="314">
        <v>1.4815</v>
      </c>
      <c r="AA640" s="314">
        <v>1.6204000000000001</v>
      </c>
      <c r="AB640" s="314">
        <v>1.4071</v>
      </c>
      <c r="AC640" s="314">
        <v>1.2112000000000001</v>
      </c>
      <c r="AD640" s="314">
        <v>1.1646000000000001</v>
      </c>
      <c r="AE640" s="314">
        <v>1.5113000000000001</v>
      </c>
      <c r="AF640" s="314">
        <v>1.3418000000000001</v>
      </c>
      <c r="AG640" s="314">
        <v>0</v>
      </c>
      <c r="AH640" s="314">
        <v>1.6169</v>
      </c>
      <c r="AI640" s="314">
        <v>1.4749000000000001</v>
      </c>
      <c r="AJ640" s="314">
        <v>1.2681</v>
      </c>
      <c r="AK640" s="314">
        <v>1.3198000000000001</v>
      </c>
      <c r="AL640" s="314">
        <v>1.4342999999999999</v>
      </c>
      <c r="AM640" s="314">
        <v>1.4729000000000001</v>
      </c>
      <c r="AN640" s="314">
        <v>1.2996000000000001</v>
      </c>
      <c r="AO640" s="314">
        <v>1.5790999999999999</v>
      </c>
      <c r="AP640" s="314">
        <v>1.4919</v>
      </c>
      <c r="AQ640" s="314">
        <v>0</v>
      </c>
      <c r="AR640" s="314">
        <v>1.2855000000000001</v>
      </c>
      <c r="AS640" s="314">
        <v>0</v>
      </c>
      <c r="AT640" s="314">
        <v>1.3738999999999999</v>
      </c>
      <c r="AU640" s="314">
        <v>1.5820000000000001</v>
      </c>
      <c r="AV640" s="314">
        <v>1.5412999999999999</v>
      </c>
      <c r="AW640" s="314">
        <v>1.4411</v>
      </c>
      <c r="AX640" s="314">
        <v>0</v>
      </c>
      <c r="AY640" s="314">
        <v>1.5051000000000001</v>
      </c>
      <c r="AZ640" s="314">
        <v>1.5184</v>
      </c>
      <c r="BA640" s="314">
        <v>0</v>
      </c>
      <c r="BB640" s="314">
        <v>0</v>
      </c>
      <c r="BC640" s="314">
        <v>1.7235</v>
      </c>
      <c r="BD640" s="314">
        <v>1.5154000000000001</v>
      </c>
      <c r="BE640" s="314">
        <v>1.4982</v>
      </c>
      <c r="BF640" s="314">
        <v>1.5108999999999999</v>
      </c>
      <c r="BG640" s="314">
        <v>1.4965999999999999</v>
      </c>
      <c r="BH640" s="314">
        <v>1.3717999999999999</v>
      </c>
      <c r="BI640" s="314">
        <v>1.5592999999999999</v>
      </c>
      <c r="BJ640" s="314">
        <v>1.6415</v>
      </c>
      <c r="BK640" s="314">
        <v>1.7154</v>
      </c>
    </row>
    <row r="641" spans="1:63" x14ac:dyDescent="0.25">
      <c r="A641" s="306">
        <v>334112</v>
      </c>
      <c r="B641" s="314" t="s">
        <v>210</v>
      </c>
      <c r="C641" s="314">
        <v>1.9738</v>
      </c>
      <c r="D641" s="314">
        <v>0</v>
      </c>
      <c r="E641" s="314">
        <v>1.4268000000000001</v>
      </c>
      <c r="F641" s="314">
        <v>0</v>
      </c>
      <c r="G641" s="314">
        <v>1.48</v>
      </c>
      <c r="H641" s="314">
        <v>1.8015000000000001</v>
      </c>
      <c r="I641" s="314">
        <v>1.7751999999999999</v>
      </c>
      <c r="J641" s="314">
        <v>1.5686</v>
      </c>
      <c r="K641" s="314">
        <v>0</v>
      </c>
      <c r="L641" s="314">
        <v>0</v>
      </c>
      <c r="M641" s="314">
        <v>1.4605999999999999</v>
      </c>
      <c r="N641" s="314">
        <v>1.6464000000000001</v>
      </c>
      <c r="O641" s="314">
        <v>0</v>
      </c>
      <c r="P641" s="314">
        <v>1.2891999999999999</v>
      </c>
      <c r="Q641" s="314">
        <v>1.4530000000000001</v>
      </c>
      <c r="R641" s="314">
        <v>1.6076999999999999</v>
      </c>
      <c r="S641" s="314">
        <v>0</v>
      </c>
      <c r="T641" s="314">
        <v>1.3818999999999999</v>
      </c>
      <c r="U641" s="314">
        <v>0</v>
      </c>
      <c r="V641" s="314">
        <v>0</v>
      </c>
      <c r="W641" s="314">
        <v>1.8149999999999999</v>
      </c>
      <c r="X641" s="314">
        <v>1.4443999999999999</v>
      </c>
      <c r="Y641" s="314">
        <v>0</v>
      </c>
      <c r="Z641" s="314">
        <v>1.6158999999999999</v>
      </c>
      <c r="AA641" s="314">
        <v>1.7322</v>
      </c>
      <c r="AB641" s="314">
        <v>0</v>
      </c>
      <c r="AC641" s="314">
        <v>0</v>
      </c>
      <c r="AD641" s="314">
        <v>0</v>
      </c>
      <c r="AE641" s="314">
        <v>0</v>
      </c>
      <c r="AF641" s="314">
        <v>0</v>
      </c>
      <c r="AG641" s="314">
        <v>0</v>
      </c>
      <c r="AH641" s="314">
        <v>1.722</v>
      </c>
      <c r="AI641" s="314">
        <v>1.6105</v>
      </c>
      <c r="AJ641" s="314">
        <v>0</v>
      </c>
      <c r="AK641" s="314">
        <v>0</v>
      </c>
      <c r="AL641" s="314">
        <v>1.4876</v>
      </c>
      <c r="AM641" s="314">
        <v>0</v>
      </c>
      <c r="AN641" s="314">
        <v>1.3966000000000001</v>
      </c>
      <c r="AO641" s="314">
        <v>0</v>
      </c>
      <c r="AP641" s="314">
        <v>1.6204000000000001</v>
      </c>
      <c r="AQ641" s="314">
        <v>0</v>
      </c>
      <c r="AR641" s="314">
        <v>0</v>
      </c>
      <c r="AS641" s="314">
        <v>1.3238000000000001</v>
      </c>
      <c r="AT641" s="314">
        <v>1.4854000000000001</v>
      </c>
      <c r="AU641" s="314">
        <v>1.6214999999999999</v>
      </c>
      <c r="AV641" s="314">
        <v>1.6497999999999999</v>
      </c>
      <c r="AW641" s="314">
        <v>1.5745</v>
      </c>
      <c r="AX641" s="314">
        <v>0</v>
      </c>
      <c r="AY641" s="314">
        <v>1.6134999999999999</v>
      </c>
      <c r="AZ641" s="314">
        <v>1.6645000000000001</v>
      </c>
      <c r="BA641" s="314">
        <v>0</v>
      </c>
      <c r="BB641" s="314">
        <v>0</v>
      </c>
      <c r="BC641" s="314">
        <v>1.8308</v>
      </c>
      <c r="BD641" s="314">
        <v>1.6147</v>
      </c>
      <c r="BE641" s="314">
        <v>1.6367</v>
      </c>
      <c r="BF641" s="314">
        <v>1.6378999999999999</v>
      </c>
      <c r="BG641" s="314">
        <v>1.6234</v>
      </c>
      <c r="BH641" s="314">
        <v>1.4729000000000001</v>
      </c>
      <c r="BI641" s="314">
        <v>1.5975999999999999</v>
      </c>
      <c r="BJ641" s="314">
        <v>1.7362</v>
      </c>
      <c r="BK641" s="314">
        <v>1.8070999999999999</v>
      </c>
    </row>
    <row r="642" spans="1:63" x14ac:dyDescent="0.25">
      <c r="A642" s="306" t="s">
        <v>737</v>
      </c>
      <c r="B642" s="314" t="s">
        <v>211</v>
      </c>
      <c r="C642" s="314">
        <v>2.0261999999999998</v>
      </c>
      <c r="D642" s="314">
        <v>0</v>
      </c>
      <c r="E642" s="314">
        <v>1.5182</v>
      </c>
      <c r="F642" s="314">
        <v>1.5074000000000001</v>
      </c>
      <c r="G642" s="314">
        <v>1.5155000000000001</v>
      </c>
      <c r="H642" s="314">
        <v>1.7645</v>
      </c>
      <c r="I642" s="314">
        <v>1.7154</v>
      </c>
      <c r="J642" s="314">
        <v>1.6910000000000001</v>
      </c>
      <c r="K642" s="314">
        <v>1.2219</v>
      </c>
      <c r="L642" s="314">
        <v>1.4443999999999999</v>
      </c>
      <c r="M642" s="314">
        <v>1.5122</v>
      </c>
      <c r="N642" s="314">
        <v>1.6869000000000001</v>
      </c>
      <c r="O642" s="314">
        <v>0</v>
      </c>
      <c r="P642" s="314">
        <v>1.3751</v>
      </c>
      <c r="Q642" s="314">
        <v>1.4038999999999999</v>
      </c>
      <c r="R642" s="314">
        <v>1.7701</v>
      </c>
      <c r="S642" s="314">
        <v>1.6074999999999999</v>
      </c>
      <c r="T642" s="314">
        <v>1.4429000000000001</v>
      </c>
      <c r="U642" s="314">
        <v>1.5891</v>
      </c>
      <c r="V642" s="314">
        <v>1.4585999999999999</v>
      </c>
      <c r="W642" s="314">
        <v>1.8050999999999999</v>
      </c>
      <c r="X642" s="314">
        <v>1.4867999999999999</v>
      </c>
      <c r="Y642" s="314">
        <v>0</v>
      </c>
      <c r="Z642" s="314">
        <v>1.7190000000000001</v>
      </c>
      <c r="AA642" s="314">
        <v>1.7143999999999999</v>
      </c>
      <c r="AB642" s="314">
        <v>1.6337999999999999</v>
      </c>
      <c r="AC642" s="314">
        <v>1.4241999999999999</v>
      </c>
      <c r="AD642" s="314">
        <v>1.2666999999999999</v>
      </c>
      <c r="AE642" s="314">
        <v>1.6763999999999999</v>
      </c>
      <c r="AF642" s="314">
        <v>1.3809</v>
      </c>
      <c r="AG642" s="314">
        <v>1.3772</v>
      </c>
      <c r="AH642" s="314">
        <v>1.6595</v>
      </c>
      <c r="AI642" s="314">
        <v>1.6632</v>
      </c>
      <c r="AJ642" s="314">
        <v>1.3201000000000001</v>
      </c>
      <c r="AK642" s="314">
        <v>1.4781</v>
      </c>
      <c r="AL642" s="314">
        <v>1.5662</v>
      </c>
      <c r="AM642" s="314">
        <v>1.7508999999999999</v>
      </c>
      <c r="AN642" s="314">
        <v>1.4435</v>
      </c>
      <c r="AO642" s="314">
        <v>1.6778</v>
      </c>
      <c r="AP642" s="314">
        <v>1.7938000000000001</v>
      </c>
      <c r="AQ642" s="314">
        <v>1.5308999999999999</v>
      </c>
      <c r="AR642" s="314">
        <v>1.5732999999999999</v>
      </c>
      <c r="AS642" s="314">
        <v>1.2862</v>
      </c>
      <c r="AT642" s="314">
        <v>1.6512</v>
      </c>
      <c r="AU642" s="314">
        <v>1.748</v>
      </c>
      <c r="AV642" s="314">
        <v>1.6768000000000001</v>
      </c>
      <c r="AW642" s="314">
        <v>1.6345000000000001</v>
      </c>
      <c r="AX642" s="314">
        <v>1.3562000000000001</v>
      </c>
      <c r="AY642" s="314">
        <v>1.6326000000000001</v>
      </c>
      <c r="AZ642" s="314">
        <v>1.6707000000000001</v>
      </c>
      <c r="BA642" s="314">
        <v>0</v>
      </c>
      <c r="BB642" s="314">
        <v>1.2675000000000001</v>
      </c>
      <c r="BC642" s="314">
        <v>1.83</v>
      </c>
      <c r="BD642" s="314">
        <v>1.764</v>
      </c>
      <c r="BE642" s="314">
        <v>1.7844</v>
      </c>
      <c r="BF642" s="314">
        <v>1.6317999999999999</v>
      </c>
      <c r="BG642" s="314">
        <v>1.7002999999999999</v>
      </c>
      <c r="BH642" s="314">
        <v>1.6414</v>
      </c>
      <c r="BI642" s="314">
        <v>1.7453000000000001</v>
      </c>
      <c r="BJ642" s="314">
        <v>1.6734</v>
      </c>
      <c r="BK642" s="314">
        <v>1.7741</v>
      </c>
    </row>
    <row r="643" spans="1:63" x14ac:dyDescent="0.25">
      <c r="A643" s="306">
        <v>334210</v>
      </c>
      <c r="B643" s="314" t="s">
        <v>212</v>
      </c>
      <c r="C643" s="314">
        <v>1.8667</v>
      </c>
      <c r="D643" s="314">
        <v>0</v>
      </c>
      <c r="E643" s="314">
        <v>1.3575999999999999</v>
      </c>
      <c r="F643" s="314">
        <v>1.3446</v>
      </c>
      <c r="G643" s="314">
        <v>1.4936</v>
      </c>
      <c r="H643" s="314">
        <v>1.7047000000000001</v>
      </c>
      <c r="I643" s="314">
        <v>1.5589999999999999</v>
      </c>
      <c r="J643" s="314">
        <v>1.5414000000000001</v>
      </c>
      <c r="K643" s="314">
        <v>1.1494</v>
      </c>
      <c r="L643" s="314">
        <v>1.3421000000000001</v>
      </c>
      <c r="M643" s="314">
        <v>1.5048999999999999</v>
      </c>
      <c r="N643" s="314">
        <v>1.5289999999999999</v>
      </c>
      <c r="O643" s="314">
        <v>0</v>
      </c>
      <c r="P643" s="314">
        <v>0</v>
      </c>
      <c r="Q643" s="314">
        <v>1.3539000000000001</v>
      </c>
      <c r="R643" s="314">
        <v>1.6555</v>
      </c>
      <c r="S643" s="314">
        <v>0</v>
      </c>
      <c r="T643" s="314">
        <v>1.3996</v>
      </c>
      <c r="U643" s="314">
        <v>1.3580000000000001</v>
      </c>
      <c r="V643" s="314">
        <v>1.2718</v>
      </c>
      <c r="W643" s="314">
        <v>1.6698999999999999</v>
      </c>
      <c r="X643" s="314">
        <v>1.4681</v>
      </c>
      <c r="Y643" s="314">
        <v>0</v>
      </c>
      <c r="Z643" s="314">
        <v>1.47</v>
      </c>
      <c r="AA643" s="314">
        <v>1.5362</v>
      </c>
      <c r="AB643" s="314">
        <v>1.4504999999999999</v>
      </c>
      <c r="AC643" s="314">
        <v>1.2563</v>
      </c>
      <c r="AD643" s="314">
        <v>0</v>
      </c>
      <c r="AE643" s="314">
        <v>1.5851999999999999</v>
      </c>
      <c r="AF643" s="314">
        <v>0</v>
      </c>
      <c r="AG643" s="314">
        <v>1.2695000000000001</v>
      </c>
      <c r="AH643" s="314">
        <v>1.6111</v>
      </c>
      <c r="AI643" s="314">
        <v>1.6164000000000001</v>
      </c>
      <c r="AJ643" s="314">
        <v>1.3140000000000001</v>
      </c>
      <c r="AK643" s="314">
        <v>1.3421000000000001</v>
      </c>
      <c r="AL643" s="314">
        <v>1.5041</v>
      </c>
      <c r="AM643" s="314">
        <v>1.5443</v>
      </c>
      <c r="AN643" s="314">
        <v>1.3086</v>
      </c>
      <c r="AO643" s="314">
        <v>1.5365</v>
      </c>
      <c r="AP643" s="314">
        <v>1.5777000000000001</v>
      </c>
      <c r="AQ643" s="314">
        <v>1.4567000000000001</v>
      </c>
      <c r="AR643" s="314">
        <v>1.3486</v>
      </c>
      <c r="AS643" s="314">
        <v>0</v>
      </c>
      <c r="AT643" s="314">
        <v>1.3908</v>
      </c>
      <c r="AU643" s="314">
        <v>1.675</v>
      </c>
      <c r="AV643" s="314">
        <v>1.6274999999999999</v>
      </c>
      <c r="AW643" s="314">
        <v>1.5676000000000001</v>
      </c>
      <c r="AX643" s="314">
        <v>0</v>
      </c>
      <c r="AY643" s="314">
        <v>1.4593</v>
      </c>
      <c r="AZ643" s="314">
        <v>1.4585999999999999</v>
      </c>
      <c r="BA643" s="314">
        <v>0</v>
      </c>
      <c r="BB643" s="314">
        <v>0</v>
      </c>
      <c r="BC643" s="314">
        <v>1.7094</v>
      </c>
      <c r="BD643" s="314">
        <v>1.6201000000000001</v>
      </c>
      <c r="BE643" s="314">
        <v>1.6105</v>
      </c>
      <c r="BF643" s="314">
        <v>1.5058</v>
      </c>
      <c r="BG643" s="314">
        <v>1.5979000000000001</v>
      </c>
      <c r="BH643" s="314">
        <v>1.3894</v>
      </c>
      <c r="BI643" s="314">
        <v>1.6524000000000001</v>
      </c>
      <c r="BJ643" s="314">
        <v>1.5639000000000001</v>
      </c>
      <c r="BK643" s="314">
        <v>1.7056</v>
      </c>
    </row>
    <row r="644" spans="1:63" x14ac:dyDescent="0.25">
      <c r="A644" s="306">
        <v>334220</v>
      </c>
      <c r="B644" s="314" t="s">
        <v>738</v>
      </c>
      <c r="C644" s="314">
        <v>2.0419</v>
      </c>
      <c r="D644" s="314">
        <v>0</v>
      </c>
      <c r="E644" s="314">
        <v>1.4157999999999999</v>
      </c>
      <c r="F644" s="314">
        <v>1.3924000000000001</v>
      </c>
      <c r="G644" s="314">
        <v>1.6352</v>
      </c>
      <c r="H644" s="314">
        <v>1.8775999999999999</v>
      </c>
      <c r="I644" s="314">
        <v>1.7075</v>
      </c>
      <c r="J644" s="314">
        <v>1.6491</v>
      </c>
      <c r="K644" s="314">
        <v>1.244</v>
      </c>
      <c r="L644" s="314">
        <v>0</v>
      </c>
      <c r="M644" s="314">
        <v>1.6534</v>
      </c>
      <c r="N644" s="314">
        <v>1.6881999999999999</v>
      </c>
      <c r="O644" s="314">
        <v>0</v>
      </c>
      <c r="P644" s="314">
        <v>1.3066</v>
      </c>
      <c r="Q644" s="314">
        <v>1.4222999999999999</v>
      </c>
      <c r="R644" s="314">
        <v>1.7707999999999999</v>
      </c>
      <c r="S644" s="314">
        <v>1.5636000000000001</v>
      </c>
      <c r="T644" s="314">
        <v>1.5136000000000001</v>
      </c>
      <c r="U644" s="314">
        <v>0</v>
      </c>
      <c r="V644" s="314">
        <v>1.3305</v>
      </c>
      <c r="W644" s="314">
        <v>1.8010999999999999</v>
      </c>
      <c r="X644" s="314">
        <v>1.5994999999999999</v>
      </c>
      <c r="Y644" s="314">
        <v>1.5636000000000001</v>
      </c>
      <c r="Z644" s="314">
        <v>1.5694999999999999</v>
      </c>
      <c r="AA644" s="314">
        <v>1.6417999999999999</v>
      </c>
      <c r="AB644" s="314">
        <v>1.5650999999999999</v>
      </c>
      <c r="AC644" s="314">
        <v>1.3037000000000001</v>
      </c>
      <c r="AD644" s="314">
        <v>1.2451000000000001</v>
      </c>
      <c r="AE644" s="314">
        <v>1.6996</v>
      </c>
      <c r="AF644" s="314">
        <v>1.3169</v>
      </c>
      <c r="AG644" s="314">
        <v>1.3298000000000001</v>
      </c>
      <c r="AH644" s="314">
        <v>1.7541</v>
      </c>
      <c r="AI644" s="314">
        <v>1.7713000000000001</v>
      </c>
      <c r="AJ644" s="314">
        <v>1.3838999999999999</v>
      </c>
      <c r="AK644" s="314">
        <v>1.4225000000000001</v>
      </c>
      <c r="AL644" s="314">
        <v>1.6364000000000001</v>
      </c>
      <c r="AM644" s="314">
        <v>1.6319999999999999</v>
      </c>
      <c r="AN644" s="314">
        <v>1.3938999999999999</v>
      </c>
      <c r="AO644" s="314">
        <v>1.6606000000000001</v>
      </c>
      <c r="AP644" s="314">
        <v>1.673</v>
      </c>
      <c r="AQ644" s="314">
        <v>1.5882000000000001</v>
      </c>
      <c r="AR644" s="314">
        <v>1.4032</v>
      </c>
      <c r="AS644" s="314">
        <v>1.3671</v>
      </c>
      <c r="AT644" s="314">
        <v>1.4661</v>
      </c>
      <c r="AU644" s="314">
        <v>1.802</v>
      </c>
      <c r="AV644" s="314">
        <v>1.8038000000000001</v>
      </c>
      <c r="AW644" s="314">
        <v>1.7233000000000001</v>
      </c>
      <c r="AX644" s="314">
        <v>1.367</v>
      </c>
      <c r="AY644" s="314">
        <v>1.5905</v>
      </c>
      <c r="AZ644" s="314">
        <v>1.5373000000000001</v>
      </c>
      <c r="BA644" s="314">
        <v>0</v>
      </c>
      <c r="BB644" s="314">
        <v>0</v>
      </c>
      <c r="BC644" s="314">
        <v>1.8483000000000001</v>
      </c>
      <c r="BD644" s="314">
        <v>1.7557</v>
      </c>
      <c r="BE644" s="314">
        <v>1.728</v>
      </c>
      <c r="BF644" s="314">
        <v>1.6232</v>
      </c>
      <c r="BG644" s="314">
        <v>1.7503</v>
      </c>
      <c r="BH644" s="314">
        <v>1.4468000000000001</v>
      </c>
      <c r="BI644" s="314">
        <v>1.7687999999999999</v>
      </c>
      <c r="BJ644" s="314">
        <v>1.7164999999999999</v>
      </c>
      <c r="BK644" s="314">
        <v>1.8821000000000001</v>
      </c>
    </row>
    <row r="645" spans="1:63" x14ac:dyDescent="0.25">
      <c r="A645" s="306">
        <v>334290</v>
      </c>
      <c r="B645" s="314" t="s">
        <v>213</v>
      </c>
      <c r="C645" s="314">
        <v>1.9694</v>
      </c>
      <c r="D645" s="314">
        <v>1.1759999999999999</v>
      </c>
      <c r="E645" s="314">
        <v>1.4438</v>
      </c>
      <c r="F645" s="314">
        <v>0</v>
      </c>
      <c r="G645" s="314">
        <v>1.5134000000000001</v>
      </c>
      <c r="H645" s="314">
        <v>1.7744</v>
      </c>
      <c r="I645" s="314">
        <v>1.7196</v>
      </c>
      <c r="J645" s="314">
        <v>1.6626000000000001</v>
      </c>
      <c r="K645" s="314">
        <v>0</v>
      </c>
      <c r="L645" s="314">
        <v>0</v>
      </c>
      <c r="M645" s="314">
        <v>1.5123</v>
      </c>
      <c r="N645" s="314">
        <v>1.6939</v>
      </c>
      <c r="O645" s="314">
        <v>0</v>
      </c>
      <c r="P645" s="314">
        <v>1.3310999999999999</v>
      </c>
      <c r="Q645" s="314">
        <v>1.3667</v>
      </c>
      <c r="R645" s="314">
        <v>1.7158</v>
      </c>
      <c r="S645" s="314">
        <v>1.5165</v>
      </c>
      <c r="T645" s="314">
        <v>1.4333</v>
      </c>
      <c r="U645" s="314">
        <v>1.4494</v>
      </c>
      <c r="V645" s="314">
        <v>1.3419000000000001</v>
      </c>
      <c r="W645" s="314">
        <v>1.7927999999999999</v>
      </c>
      <c r="X645" s="314">
        <v>1.4973000000000001</v>
      </c>
      <c r="Y645" s="314">
        <v>1.4132</v>
      </c>
      <c r="Z645" s="314">
        <v>1.6845000000000001</v>
      </c>
      <c r="AA645" s="314">
        <v>1.7165999999999999</v>
      </c>
      <c r="AB645" s="314">
        <v>1.5981000000000001</v>
      </c>
      <c r="AC645" s="314">
        <v>1.3119000000000001</v>
      </c>
      <c r="AD645" s="314">
        <v>1.2196</v>
      </c>
      <c r="AE645" s="314">
        <v>1.6500999999999999</v>
      </c>
      <c r="AF645" s="314">
        <v>0</v>
      </c>
      <c r="AG645" s="314">
        <v>1.3534999999999999</v>
      </c>
      <c r="AH645" s="314">
        <v>1.7097</v>
      </c>
      <c r="AI645" s="314">
        <v>1.6859</v>
      </c>
      <c r="AJ645" s="314">
        <v>1.2809999999999999</v>
      </c>
      <c r="AK645" s="314">
        <v>1.4386000000000001</v>
      </c>
      <c r="AL645" s="314">
        <v>1.5348999999999999</v>
      </c>
      <c r="AM645" s="314">
        <v>1.6394</v>
      </c>
      <c r="AN645" s="314">
        <v>1.3718999999999999</v>
      </c>
      <c r="AO645" s="314">
        <v>1.6944999999999999</v>
      </c>
      <c r="AP645" s="314">
        <v>1.7085999999999999</v>
      </c>
      <c r="AQ645" s="314">
        <v>1.589</v>
      </c>
      <c r="AR645" s="314">
        <v>1.4450000000000001</v>
      </c>
      <c r="AS645" s="314">
        <v>1.2887</v>
      </c>
      <c r="AT645" s="314">
        <v>1.5498000000000001</v>
      </c>
      <c r="AU645" s="314">
        <v>1.6919999999999999</v>
      </c>
      <c r="AV645" s="314">
        <v>1.7333000000000001</v>
      </c>
      <c r="AW645" s="314">
        <v>1.6513</v>
      </c>
      <c r="AX645" s="314">
        <v>0</v>
      </c>
      <c r="AY645" s="314">
        <v>1.6327</v>
      </c>
      <c r="AZ645" s="314">
        <v>1.6565000000000001</v>
      </c>
      <c r="BA645" s="314">
        <v>0</v>
      </c>
      <c r="BB645" s="314">
        <v>0</v>
      </c>
      <c r="BC645" s="314">
        <v>1.8162</v>
      </c>
      <c r="BD645" s="314">
        <v>1.6856</v>
      </c>
      <c r="BE645" s="314">
        <v>1.712</v>
      </c>
      <c r="BF645" s="314">
        <v>1.6225000000000001</v>
      </c>
      <c r="BG645" s="314">
        <v>1.6828000000000001</v>
      </c>
      <c r="BH645" s="314">
        <v>1.5044999999999999</v>
      </c>
      <c r="BI645" s="314">
        <v>1.6541999999999999</v>
      </c>
      <c r="BJ645" s="314">
        <v>1.6892</v>
      </c>
      <c r="BK645" s="314">
        <v>1.7822</v>
      </c>
    </row>
    <row r="646" spans="1:63" x14ac:dyDescent="0.25">
      <c r="A646" s="306">
        <v>334300</v>
      </c>
      <c r="B646" s="314" t="s">
        <v>214</v>
      </c>
      <c r="C646" s="314">
        <v>2.0842999999999998</v>
      </c>
      <c r="D646" s="314">
        <v>0</v>
      </c>
      <c r="E646" s="314">
        <v>1.4899</v>
      </c>
      <c r="F646" s="314">
        <v>1.5205</v>
      </c>
      <c r="G646" s="314">
        <v>1.4977</v>
      </c>
      <c r="H646" s="314">
        <v>1.8240000000000001</v>
      </c>
      <c r="I646" s="314">
        <v>1.5569999999999999</v>
      </c>
      <c r="J646" s="314">
        <v>1.5921000000000001</v>
      </c>
      <c r="K646" s="314">
        <v>1.1705000000000001</v>
      </c>
      <c r="L646" s="314">
        <v>1.4145000000000001</v>
      </c>
      <c r="M646" s="314">
        <v>1.4924999999999999</v>
      </c>
      <c r="N646" s="314">
        <v>1.6475</v>
      </c>
      <c r="O646" s="314">
        <v>0</v>
      </c>
      <c r="P646" s="314">
        <v>1.3547</v>
      </c>
      <c r="Q646" s="314">
        <v>1.3584000000000001</v>
      </c>
      <c r="R646" s="314">
        <v>1.7595000000000001</v>
      </c>
      <c r="S646" s="314">
        <v>1.6039000000000001</v>
      </c>
      <c r="T646" s="314">
        <v>1.3940999999999999</v>
      </c>
      <c r="U646" s="314">
        <v>1.6400999999999999</v>
      </c>
      <c r="V646" s="314">
        <v>1.3355999999999999</v>
      </c>
      <c r="W646" s="314">
        <v>1.8548</v>
      </c>
      <c r="X646" s="314">
        <v>1.4495</v>
      </c>
      <c r="Y646" s="314">
        <v>1.4233</v>
      </c>
      <c r="Z646" s="314">
        <v>1.7358</v>
      </c>
      <c r="AA646" s="314">
        <v>1.6427</v>
      </c>
      <c r="AB646" s="314">
        <v>1.6119000000000001</v>
      </c>
      <c r="AC646" s="314">
        <v>1.4027000000000001</v>
      </c>
      <c r="AD646" s="314">
        <v>0</v>
      </c>
      <c r="AE646" s="314">
        <v>1.625</v>
      </c>
      <c r="AF646" s="314">
        <v>1.3198000000000001</v>
      </c>
      <c r="AG646" s="314">
        <v>1.323</v>
      </c>
      <c r="AH646" s="314">
        <v>1.6456</v>
      </c>
      <c r="AI646" s="314">
        <v>1.7566999999999999</v>
      </c>
      <c r="AJ646" s="314">
        <v>1.3366</v>
      </c>
      <c r="AK646" s="314">
        <v>1.3796999999999999</v>
      </c>
      <c r="AL646" s="314">
        <v>1.5491999999999999</v>
      </c>
      <c r="AM646" s="314">
        <v>1.7364999999999999</v>
      </c>
      <c r="AN646" s="314">
        <v>1.3931</v>
      </c>
      <c r="AO646" s="314">
        <v>1.6224000000000001</v>
      </c>
      <c r="AP646" s="314">
        <v>1.7894000000000001</v>
      </c>
      <c r="AQ646" s="314">
        <v>1.4685999999999999</v>
      </c>
      <c r="AR646" s="314">
        <v>1.5645</v>
      </c>
      <c r="AS646" s="314">
        <v>0</v>
      </c>
      <c r="AT646" s="314">
        <v>1.6167</v>
      </c>
      <c r="AU646" s="314">
        <v>1.6798999999999999</v>
      </c>
      <c r="AV646" s="314">
        <v>1.6462000000000001</v>
      </c>
      <c r="AW646" s="314">
        <v>1.5092000000000001</v>
      </c>
      <c r="AX646" s="314">
        <v>1.357</v>
      </c>
      <c r="AY646" s="314">
        <v>1.5321</v>
      </c>
      <c r="AZ646" s="314">
        <v>1.6353</v>
      </c>
      <c r="BA646" s="314">
        <v>1.3309</v>
      </c>
      <c r="BB646" s="314">
        <v>1.1667000000000001</v>
      </c>
      <c r="BC646" s="314">
        <v>1.8616999999999999</v>
      </c>
      <c r="BD646" s="314">
        <v>1.7428999999999999</v>
      </c>
      <c r="BE646" s="314">
        <v>1.7889999999999999</v>
      </c>
      <c r="BF646" s="314">
        <v>1.5912999999999999</v>
      </c>
      <c r="BG646" s="314">
        <v>1.6600999999999999</v>
      </c>
      <c r="BH646" s="314">
        <v>1.6707000000000001</v>
      </c>
      <c r="BI646" s="314">
        <v>1.6779999999999999</v>
      </c>
      <c r="BJ646" s="314">
        <v>1.5973999999999999</v>
      </c>
      <c r="BK646" s="314">
        <v>1.8364</v>
      </c>
    </row>
    <row r="647" spans="1:63" x14ac:dyDescent="0.25">
      <c r="A647" s="306">
        <v>334411</v>
      </c>
      <c r="B647" s="314" t="s">
        <v>215</v>
      </c>
      <c r="C647" s="314">
        <v>2.0142000000000002</v>
      </c>
      <c r="D647" s="314">
        <v>0</v>
      </c>
      <c r="E647" s="314">
        <v>0</v>
      </c>
      <c r="F647" s="314">
        <v>0</v>
      </c>
      <c r="G647" s="314">
        <v>0</v>
      </c>
      <c r="H647" s="314">
        <v>1.643</v>
      </c>
      <c r="I647" s="314">
        <v>1.5247999999999999</v>
      </c>
      <c r="J647" s="314">
        <v>0</v>
      </c>
      <c r="K647" s="314">
        <v>0</v>
      </c>
      <c r="L647" s="314">
        <v>0</v>
      </c>
      <c r="M647" s="314">
        <v>1.4055</v>
      </c>
      <c r="N647" s="314">
        <v>0</v>
      </c>
      <c r="O647" s="314">
        <v>0</v>
      </c>
      <c r="P647" s="314">
        <v>0</v>
      </c>
      <c r="Q647" s="314">
        <v>0</v>
      </c>
      <c r="R647" s="314">
        <v>1.7130000000000001</v>
      </c>
      <c r="S647" s="314">
        <v>0</v>
      </c>
      <c r="T647" s="314">
        <v>0</v>
      </c>
      <c r="U647" s="314">
        <v>1.7119</v>
      </c>
      <c r="V647" s="314">
        <v>1.389</v>
      </c>
      <c r="W647" s="314">
        <v>1.6007</v>
      </c>
      <c r="X647" s="314">
        <v>1.3788</v>
      </c>
      <c r="Y647" s="314">
        <v>0</v>
      </c>
      <c r="Z647" s="314">
        <v>1.6879</v>
      </c>
      <c r="AA647" s="314">
        <v>0</v>
      </c>
      <c r="AB647" s="314">
        <v>1.5169999999999999</v>
      </c>
      <c r="AC647" s="314">
        <v>1.4286000000000001</v>
      </c>
      <c r="AD647" s="314">
        <v>0</v>
      </c>
      <c r="AE647" s="314">
        <v>0</v>
      </c>
      <c r="AF647" s="314">
        <v>0</v>
      </c>
      <c r="AG647" s="314">
        <v>0</v>
      </c>
      <c r="AH647" s="314">
        <v>0</v>
      </c>
      <c r="AI647" s="314">
        <v>1.7386999999999999</v>
      </c>
      <c r="AJ647" s="314">
        <v>0</v>
      </c>
      <c r="AK647" s="314">
        <v>0</v>
      </c>
      <c r="AL647" s="314">
        <v>1.4973000000000001</v>
      </c>
      <c r="AM647" s="314">
        <v>1.8354999999999999</v>
      </c>
      <c r="AN647" s="314">
        <v>0</v>
      </c>
      <c r="AO647" s="314">
        <v>0</v>
      </c>
      <c r="AP647" s="314">
        <v>1.8759999999999999</v>
      </c>
      <c r="AQ647" s="314">
        <v>0</v>
      </c>
      <c r="AR647" s="314">
        <v>1.6119000000000001</v>
      </c>
      <c r="AS647" s="314">
        <v>0</v>
      </c>
      <c r="AT647" s="314">
        <v>0</v>
      </c>
      <c r="AU647" s="314">
        <v>1.6432</v>
      </c>
      <c r="AV647" s="314">
        <v>0</v>
      </c>
      <c r="AW647" s="314">
        <v>0</v>
      </c>
      <c r="AX647" s="314">
        <v>0</v>
      </c>
      <c r="AY647" s="314">
        <v>0</v>
      </c>
      <c r="AZ647" s="314">
        <v>1.6662999999999999</v>
      </c>
      <c r="BA647" s="314">
        <v>0</v>
      </c>
      <c r="BB647" s="314">
        <v>0</v>
      </c>
      <c r="BC647" s="314">
        <v>1.6715</v>
      </c>
      <c r="BD647" s="314">
        <v>1.8081</v>
      </c>
      <c r="BE647" s="314">
        <v>1.8626</v>
      </c>
      <c r="BF647" s="314">
        <v>1.6425000000000001</v>
      </c>
      <c r="BG647" s="314">
        <v>1.6194</v>
      </c>
      <c r="BH647" s="314">
        <v>1.766</v>
      </c>
      <c r="BI647" s="314">
        <v>1.6513</v>
      </c>
      <c r="BJ647" s="314">
        <v>1.5229999999999999</v>
      </c>
      <c r="BK647" s="314">
        <v>1.6821999999999999</v>
      </c>
    </row>
    <row r="648" spans="1:63" x14ac:dyDescent="0.25">
      <c r="A648" s="306">
        <v>334412</v>
      </c>
      <c r="B648" s="314" t="s">
        <v>216</v>
      </c>
      <c r="C648" s="314">
        <v>1.9301999999999999</v>
      </c>
      <c r="D648" s="314">
        <v>0</v>
      </c>
      <c r="E648" s="314">
        <v>1.52</v>
      </c>
      <c r="F648" s="314">
        <v>1.4439</v>
      </c>
      <c r="G648" s="314">
        <v>1.5719000000000001</v>
      </c>
      <c r="H648" s="314">
        <v>1.6918</v>
      </c>
      <c r="I648" s="314">
        <v>1.6445000000000001</v>
      </c>
      <c r="J648" s="314">
        <v>1.6437999999999999</v>
      </c>
      <c r="K648" s="314">
        <v>0</v>
      </c>
      <c r="L648" s="314">
        <v>0</v>
      </c>
      <c r="M648" s="314">
        <v>1.5271999999999999</v>
      </c>
      <c r="N648" s="314">
        <v>1.5742</v>
      </c>
      <c r="O648" s="314">
        <v>0</v>
      </c>
      <c r="P648" s="314">
        <v>1.3443000000000001</v>
      </c>
      <c r="Q648" s="314">
        <v>1.3858999999999999</v>
      </c>
      <c r="R648" s="314">
        <v>1.7142999999999999</v>
      </c>
      <c r="S648" s="314">
        <v>1.528</v>
      </c>
      <c r="T648" s="314">
        <v>1.4139999999999999</v>
      </c>
      <c r="U648" s="314">
        <v>1.4981</v>
      </c>
      <c r="V648" s="314">
        <v>1.4248000000000001</v>
      </c>
      <c r="W648" s="314">
        <v>1.716</v>
      </c>
      <c r="X648" s="314">
        <v>1.4484999999999999</v>
      </c>
      <c r="Y648" s="314">
        <v>1.4316</v>
      </c>
      <c r="Z648" s="314">
        <v>1.6294</v>
      </c>
      <c r="AA648" s="314">
        <v>1.6327</v>
      </c>
      <c r="AB648" s="314">
        <v>1.5685</v>
      </c>
      <c r="AC648" s="314">
        <v>1.3667</v>
      </c>
      <c r="AD648" s="314">
        <v>0</v>
      </c>
      <c r="AE648" s="314">
        <v>1.6142000000000001</v>
      </c>
      <c r="AF648" s="314">
        <v>1.3331999999999999</v>
      </c>
      <c r="AG648" s="314">
        <v>1.3269</v>
      </c>
      <c r="AH648" s="314">
        <v>1.6143000000000001</v>
      </c>
      <c r="AI648" s="314">
        <v>1.6620999999999999</v>
      </c>
      <c r="AJ648" s="314">
        <v>1.3512999999999999</v>
      </c>
      <c r="AK648" s="314">
        <v>1.4186000000000001</v>
      </c>
      <c r="AL648" s="314">
        <v>1.5728</v>
      </c>
      <c r="AM648" s="314">
        <v>1.6539999999999999</v>
      </c>
      <c r="AN648" s="314">
        <v>1.43</v>
      </c>
      <c r="AO648" s="314">
        <v>1.6068</v>
      </c>
      <c r="AP648" s="314">
        <v>1.7132000000000001</v>
      </c>
      <c r="AQ648" s="314">
        <v>1.4686999999999999</v>
      </c>
      <c r="AR648" s="314">
        <v>1.4965999999999999</v>
      </c>
      <c r="AS648" s="314">
        <v>1.3317000000000001</v>
      </c>
      <c r="AT648" s="314">
        <v>1.5807</v>
      </c>
      <c r="AU648" s="314">
        <v>1.7132000000000001</v>
      </c>
      <c r="AV648" s="314">
        <v>1.6541999999999999</v>
      </c>
      <c r="AW648" s="314">
        <v>1.5618000000000001</v>
      </c>
      <c r="AX648" s="314">
        <v>1.4033</v>
      </c>
      <c r="AY648" s="314">
        <v>1.5366</v>
      </c>
      <c r="AZ648" s="314">
        <v>1.5682</v>
      </c>
      <c r="BA648" s="314">
        <v>0</v>
      </c>
      <c r="BB648" s="314">
        <v>0</v>
      </c>
      <c r="BC648" s="314">
        <v>1.7462</v>
      </c>
      <c r="BD648" s="314">
        <v>1.7076</v>
      </c>
      <c r="BE648" s="314">
        <v>1.7037</v>
      </c>
      <c r="BF648" s="314">
        <v>1.6105</v>
      </c>
      <c r="BG648" s="314">
        <v>1.6574</v>
      </c>
      <c r="BH648" s="314">
        <v>1.5797000000000001</v>
      </c>
      <c r="BI648" s="314">
        <v>1.7141</v>
      </c>
      <c r="BJ648" s="314">
        <v>1.6516</v>
      </c>
      <c r="BK648" s="314">
        <v>1.7052</v>
      </c>
    </row>
    <row r="649" spans="1:63" x14ac:dyDescent="0.25">
      <c r="A649" s="306">
        <v>334413</v>
      </c>
      <c r="B649" s="314" t="s">
        <v>217</v>
      </c>
      <c r="C649" s="314">
        <v>1.7483</v>
      </c>
      <c r="D649" s="314">
        <v>0</v>
      </c>
      <c r="E649" s="314">
        <v>1.4147000000000001</v>
      </c>
      <c r="F649" s="314">
        <v>1.4106000000000001</v>
      </c>
      <c r="G649" s="314">
        <v>1.4198999999999999</v>
      </c>
      <c r="H649" s="314">
        <v>1.5325</v>
      </c>
      <c r="I649" s="314">
        <v>1.5299</v>
      </c>
      <c r="J649" s="314">
        <v>1.488</v>
      </c>
      <c r="K649" s="314">
        <v>1.1807000000000001</v>
      </c>
      <c r="L649" s="314">
        <v>1.4302999999999999</v>
      </c>
      <c r="M649" s="314">
        <v>1.3946000000000001</v>
      </c>
      <c r="N649" s="314">
        <v>1.5036</v>
      </c>
      <c r="O649" s="314">
        <v>1.3069</v>
      </c>
      <c r="P649" s="314">
        <v>1.2750999999999999</v>
      </c>
      <c r="Q649" s="314">
        <v>1.3414999999999999</v>
      </c>
      <c r="R649" s="314">
        <v>1.5925</v>
      </c>
      <c r="S649" s="314">
        <v>1.4441999999999999</v>
      </c>
      <c r="T649" s="314">
        <v>1.3753</v>
      </c>
      <c r="U649" s="314">
        <v>1.4346000000000001</v>
      </c>
      <c r="V649" s="314">
        <v>0</v>
      </c>
      <c r="W649" s="314">
        <v>1.5415000000000001</v>
      </c>
      <c r="X649" s="314">
        <v>1.4154</v>
      </c>
      <c r="Y649" s="314">
        <v>1.3851</v>
      </c>
      <c r="Z649" s="314">
        <v>1.5103</v>
      </c>
      <c r="AA649" s="314">
        <v>1.4661</v>
      </c>
      <c r="AB649" s="314">
        <v>1.5214000000000001</v>
      </c>
      <c r="AC649" s="314">
        <v>1.3206</v>
      </c>
      <c r="AD649" s="314">
        <v>1.2657</v>
      </c>
      <c r="AE649" s="314">
        <v>1.5056</v>
      </c>
      <c r="AF649" s="314">
        <v>0</v>
      </c>
      <c r="AG649" s="314">
        <v>1.2964</v>
      </c>
      <c r="AH649" s="314">
        <v>1.4406000000000001</v>
      </c>
      <c r="AI649" s="314">
        <v>1.5713999999999999</v>
      </c>
      <c r="AJ649" s="314">
        <v>1.3328</v>
      </c>
      <c r="AK649" s="314">
        <v>1.4036999999999999</v>
      </c>
      <c r="AL649" s="314">
        <v>1.4570000000000001</v>
      </c>
      <c r="AM649" s="314">
        <v>1.5815999999999999</v>
      </c>
      <c r="AN649" s="314">
        <v>1.3563000000000001</v>
      </c>
      <c r="AO649" s="314">
        <v>1.4962</v>
      </c>
      <c r="AP649" s="314">
        <v>1.5993999999999999</v>
      </c>
      <c r="AQ649" s="314">
        <v>1.4</v>
      </c>
      <c r="AR649" s="314">
        <v>1.4192</v>
      </c>
      <c r="AS649" s="314">
        <v>1.2181</v>
      </c>
      <c r="AT649" s="314">
        <v>1.4756</v>
      </c>
      <c r="AU649" s="314">
        <v>1.5578000000000001</v>
      </c>
      <c r="AV649" s="314">
        <v>1.5751999999999999</v>
      </c>
      <c r="AW649" s="314">
        <v>1.4827999999999999</v>
      </c>
      <c r="AX649" s="314">
        <v>1.2554000000000001</v>
      </c>
      <c r="AY649" s="314">
        <v>1.4719</v>
      </c>
      <c r="AZ649" s="314">
        <v>1.4262999999999999</v>
      </c>
      <c r="BA649" s="314">
        <v>1.3339000000000001</v>
      </c>
      <c r="BB649" s="314">
        <v>0</v>
      </c>
      <c r="BC649" s="314">
        <v>1.5685</v>
      </c>
      <c r="BD649" s="314">
        <v>1.5988</v>
      </c>
      <c r="BE649" s="314">
        <v>1.5908</v>
      </c>
      <c r="BF649" s="314">
        <v>1.4708000000000001</v>
      </c>
      <c r="BG649" s="314">
        <v>1.5522</v>
      </c>
      <c r="BH649" s="314">
        <v>1.4742</v>
      </c>
      <c r="BI649" s="314">
        <v>1.5615000000000001</v>
      </c>
      <c r="BJ649" s="314">
        <v>1.5373000000000001</v>
      </c>
      <c r="BK649" s="314">
        <v>1.5509999999999999</v>
      </c>
    </row>
    <row r="650" spans="1:63" x14ac:dyDescent="0.25">
      <c r="A650" s="306">
        <v>334417</v>
      </c>
      <c r="B650" s="314" t="s">
        <v>219</v>
      </c>
      <c r="C650" s="314">
        <v>1.9824999999999999</v>
      </c>
      <c r="D650" s="314">
        <v>0</v>
      </c>
      <c r="E650" s="314">
        <v>1.5465</v>
      </c>
      <c r="F650" s="314">
        <v>1.5547</v>
      </c>
      <c r="G650" s="314">
        <v>1.4733000000000001</v>
      </c>
      <c r="H650" s="314">
        <v>1.6717</v>
      </c>
      <c r="I650" s="314">
        <v>1.6041000000000001</v>
      </c>
      <c r="J650" s="314">
        <v>1.7126999999999999</v>
      </c>
      <c r="K650" s="314">
        <v>0</v>
      </c>
      <c r="L650" s="314">
        <v>1.5277000000000001</v>
      </c>
      <c r="M650" s="314">
        <v>1.4474</v>
      </c>
      <c r="N650" s="314">
        <v>1.6075999999999999</v>
      </c>
      <c r="O650" s="314">
        <v>0</v>
      </c>
      <c r="P650" s="314">
        <v>1.3796999999999999</v>
      </c>
      <c r="Q650" s="314">
        <v>0</v>
      </c>
      <c r="R650" s="314">
        <v>1.8302</v>
      </c>
      <c r="S650" s="314">
        <v>1.6215999999999999</v>
      </c>
      <c r="T650" s="314">
        <v>1.4418</v>
      </c>
      <c r="U650" s="314">
        <v>0</v>
      </c>
      <c r="V650" s="314">
        <v>0</v>
      </c>
      <c r="W650" s="314">
        <v>1.7315</v>
      </c>
      <c r="X650" s="314">
        <v>1.4803999999999999</v>
      </c>
      <c r="Y650" s="314">
        <v>1.4125000000000001</v>
      </c>
      <c r="Z650" s="314">
        <v>1.6999</v>
      </c>
      <c r="AA650" s="314">
        <v>1.6580999999999999</v>
      </c>
      <c r="AB650" s="314">
        <v>1.679</v>
      </c>
      <c r="AC650" s="314">
        <v>1.4044000000000001</v>
      </c>
      <c r="AD650" s="314">
        <v>0</v>
      </c>
      <c r="AE650" s="314">
        <v>1.6263000000000001</v>
      </c>
      <c r="AF650" s="314">
        <v>0</v>
      </c>
      <c r="AG650" s="314">
        <v>1.3895999999999999</v>
      </c>
      <c r="AH650" s="314">
        <v>1.6345000000000001</v>
      </c>
      <c r="AI650" s="314">
        <v>1.7350000000000001</v>
      </c>
      <c r="AJ650" s="314">
        <v>0</v>
      </c>
      <c r="AK650" s="314">
        <v>1.4841</v>
      </c>
      <c r="AL650" s="314">
        <v>1.6193</v>
      </c>
      <c r="AM650" s="314">
        <v>1.7604</v>
      </c>
      <c r="AN650" s="314">
        <v>1.45</v>
      </c>
      <c r="AO650" s="314">
        <v>1.5949</v>
      </c>
      <c r="AP650" s="314">
        <v>1.8353999999999999</v>
      </c>
      <c r="AQ650" s="314">
        <v>1.5960000000000001</v>
      </c>
      <c r="AR650" s="314">
        <v>1.5407999999999999</v>
      </c>
      <c r="AS650" s="314">
        <v>0</v>
      </c>
      <c r="AT650" s="314">
        <v>1.6231</v>
      </c>
      <c r="AU650" s="314">
        <v>1.6632</v>
      </c>
      <c r="AV650" s="314">
        <v>1.6183000000000001</v>
      </c>
      <c r="AW650" s="314">
        <v>1.5833999999999999</v>
      </c>
      <c r="AX650" s="314">
        <v>0</v>
      </c>
      <c r="AY650" s="314">
        <v>1.536</v>
      </c>
      <c r="AZ650" s="314">
        <v>0</v>
      </c>
      <c r="BA650" s="314">
        <v>0</v>
      </c>
      <c r="BB650" s="314">
        <v>0</v>
      </c>
      <c r="BC650" s="314">
        <v>1.7750999999999999</v>
      </c>
      <c r="BD650" s="314">
        <v>1.8033999999999999</v>
      </c>
      <c r="BE650" s="314">
        <v>1.8154999999999999</v>
      </c>
      <c r="BF650" s="314">
        <v>1.6405000000000001</v>
      </c>
      <c r="BG650" s="314">
        <v>1.6629</v>
      </c>
      <c r="BH650" s="314">
        <v>1.6289</v>
      </c>
      <c r="BI650" s="314">
        <v>1.6778999999999999</v>
      </c>
      <c r="BJ650" s="314">
        <v>1.5815999999999999</v>
      </c>
      <c r="BK650" s="314">
        <v>1.6786000000000001</v>
      </c>
    </row>
    <row r="651" spans="1:63" x14ac:dyDescent="0.25">
      <c r="A651" s="306">
        <v>334418</v>
      </c>
      <c r="B651" s="314" t="s">
        <v>220</v>
      </c>
      <c r="C651" s="314">
        <v>1.9280999999999999</v>
      </c>
      <c r="D651" s="314">
        <v>0</v>
      </c>
      <c r="E651" s="314">
        <v>1.3896999999999999</v>
      </c>
      <c r="F651" s="314">
        <v>1.4475</v>
      </c>
      <c r="G651" s="314">
        <v>1.6331</v>
      </c>
      <c r="H651" s="314">
        <v>1.7624</v>
      </c>
      <c r="I651" s="314">
        <v>1.6820999999999999</v>
      </c>
      <c r="J651" s="314">
        <v>1.5723</v>
      </c>
      <c r="K651" s="314">
        <v>0</v>
      </c>
      <c r="L651" s="314">
        <v>0</v>
      </c>
      <c r="M651" s="314">
        <v>1.5610999999999999</v>
      </c>
      <c r="N651" s="314">
        <v>1.4339999999999999</v>
      </c>
      <c r="O651" s="314">
        <v>0</v>
      </c>
      <c r="P651" s="314">
        <v>1.2869999999999999</v>
      </c>
      <c r="Q651" s="314">
        <v>1.4509000000000001</v>
      </c>
      <c r="R651" s="314">
        <v>1.6217999999999999</v>
      </c>
      <c r="S651" s="314">
        <v>1.4635</v>
      </c>
      <c r="T651" s="314">
        <v>1.3559000000000001</v>
      </c>
      <c r="U651" s="314">
        <v>1.4246000000000001</v>
      </c>
      <c r="V651" s="314">
        <v>1.2847</v>
      </c>
      <c r="W651" s="314">
        <v>1.7873000000000001</v>
      </c>
      <c r="X651" s="314">
        <v>1.3687</v>
      </c>
      <c r="Y651" s="314">
        <v>1.5774999999999999</v>
      </c>
      <c r="Z651" s="314">
        <v>1.5609999999999999</v>
      </c>
      <c r="AA651" s="314">
        <v>1.6023000000000001</v>
      </c>
      <c r="AB651" s="314">
        <v>1.5153000000000001</v>
      </c>
      <c r="AC651" s="314">
        <v>1.2909999999999999</v>
      </c>
      <c r="AD651" s="314">
        <v>1.23</v>
      </c>
      <c r="AE651" s="314">
        <v>1.6057999999999999</v>
      </c>
      <c r="AF651" s="314">
        <v>1.3220000000000001</v>
      </c>
      <c r="AG651" s="314">
        <v>1.2686999999999999</v>
      </c>
      <c r="AH651" s="314">
        <v>1.6213</v>
      </c>
      <c r="AI651" s="314">
        <v>1.5927</v>
      </c>
      <c r="AJ651" s="314">
        <v>1.4473</v>
      </c>
      <c r="AK651" s="314">
        <v>1.4153</v>
      </c>
      <c r="AL651" s="314">
        <v>1.5528999999999999</v>
      </c>
      <c r="AM651" s="314">
        <v>1.6583000000000001</v>
      </c>
      <c r="AN651" s="314">
        <v>1.3433999999999999</v>
      </c>
      <c r="AO651" s="314">
        <v>1.7298</v>
      </c>
      <c r="AP651" s="314">
        <v>1.6434</v>
      </c>
      <c r="AQ651" s="314">
        <v>1.3652</v>
      </c>
      <c r="AR651" s="314">
        <v>1.3491</v>
      </c>
      <c r="AS651" s="314">
        <v>1.3266</v>
      </c>
      <c r="AT651" s="314">
        <v>1.4528000000000001</v>
      </c>
      <c r="AU651" s="314">
        <v>1.7407999999999999</v>
      </c>
      <c r="AV651" s="314">
        <v>1.6616</v>
      </c>
      <c r="AW651" s="314">
        <v>1.5216000000000001</v>
      </c>
      <c r="AX651" s="314">
        <v>1.4818</v>
      </c>
      <c r="AY651" s="314">
        <v>1.5158</v>
      </c>
      <c r="AZ651" s="314">
        <v>1.5226</v>
      </c>
      <c r="BA651" s="314">
        <v>1.2945</v>
      </c>
      <c r="BB651" s="314">
        <v>0</v>
      </c>
      <c r="BC651" s="314">
        <v>1.8078000000000001</v>
      </c>
      <c r="BD651" s="314">
        <v>1.6512</v>
      </c>
      <c r="BE651" s="314">
        <v>1.6281000000000001</v>
      </c>
      <c r="BF651" s="314">
        <v>1.5334000000000001</v>
      </c>
      <c r="BG651" s="314">
        <v>1.5759000000000001</v>
      </c>
      <c r="BH651" s="314">
        <v>1.4376</v>
      </c>
      <c r="BI651" s="314">
        <v>1.7412000000000001</v>
      </c>
      <c r="BJ651" s="314">
        <v>1.7104999999999999</v>
      </c>
      <c r="BK651" s="314">
        <v>1.7703</v>
      </c>
    </row>
    <row r="652" spans="1:63" x14ac:dyDescent="0.25">
      <c r="A652" s="306">
        <v>334419</v>
      </c>
      <c r="B652" s="314" t="s">
        <v>221</v>
      </c>
      <c r="C652" s="314">
        <v>1.9206000000000001</v>
      </c>
      <c r="D652" s="314">
        <v>0</v>
      </c>
      <c r="E652" s="314">
        <v>1.5038</v>
      </c>
      <c r="F652" s="314">
        <v>1.5176000000000001</v>
      </c>
      <c r="G652" s="314">
        <v>1.5169999999999999</v>
      </c>
      <c r="H652" s="314">
        <v>1.6876</v>
      </c>
      <c r="I652" s="314">
        <v>1.6356999999999999</v>
      </c>
      <c r="J652" s="314">
        <v>1.6689000000000001</v>
      </c>
      <c r="K652" s="314">
        <v>0</v>
      </c>
      <c r="L652" s="314">
        <v>1.4941</v>
      </c>
      <c r="M652" s="314">
        <v>1.4950000000000001</v>
      </c>
      <c r="N652" s="314">
        <v>1.5884</v>
      </c>
      <c r="O652" s="314">
        <v>0</v>
      </c>
      <c r="P652" s="314">
        <v>1.3628</v>
      </c>
      <c r="Q652" s="314">
        <v>1.3926000000000001</v>
      </c>
      <c r="R652" s="314">
        <v>1.7833000000000001</v>
      </c>
      <c r="S652" s="314">
        <v>1.5768</v>
      </c>
      <c r="T652" s="314">
        <v>1.4359</v>
      </c>
      <c r="U652" s="314">
        <v>1.5485</v>
      </c>
      <c r="V652" s="314">
        <v>1.4117</v>
      </c>
      <c r="W652" s="314">
        <v>1.7141</v>
      </c>
      <c r="X652" s="314">
        <v>1.4888999999999999</v>
      </c>
      <c r="Y652" s="314">
        <v>1.4446000000000001</v>
      </c>
      <c r="Z652" s="314">
        <v>1.6635</v>
      </c>
      <c r="AA652" s="314">
        <v>1.6472</v>
      </c>
      <c r="AB652" s="314">
        <v>1.6284000000000001</v>
      </c>
      <c r="AC652" s="314">
        <v>1.3744000000000001</v>
      </c>
      <c r="AD652" s="314">
        <v>1.2715000000000001</v>
      </c>
      <c r="AE652" s="314">
        <v>1.6152</v>
      </c>
      <c r="AF652" s="314">
        <v>1.3134999999999999</v>
      </c>
      <c r="AG652" s="314">
        <v>1.3722000000000001</v>
      </c>
      <c r="AH652" s="314">
        <v>1.6288</v>
      </c>
      <c r="AI652" s="314">
        <v>1.6981999999999999</v>
      </c>
      <c r="AJ652" s="314">
        <v>1.3380000000000001</v>
      </c>
      <c r="AK652" s="314">
        <v>1.4709000000000001</v>
      </c>
      <c r="AL652" s="314">
        <v>1.5912999999999999</v>
      </c>
      <c r="AM652" s="314">
        <v>1.7036</v>
      </c>
      <c r="AN652" s="314">
        <v>1.4350000000000001</v>
      </c>
      <c r="AO652" s="314">
        <v>1.62</v>
      </c>
      <c r="AP652" s="314">
        <v>1.7622</v>
      </c>
      <c r="AQ652" s="314">
        <v>1.5249999999999999</v>
      </c>
      <c r="AR652" s="314">
        <v>1.4985999999999999</v>
      </c>
      <c r="AS652" s="314">
        <v>1.3073999999999999</v>
      </c>
      <c r="AT652" s="314">
        <v>1.5757000000000001</v>
      </c>
      <c r="AU652" s="314">
        <v>1.6578999999999999</v>
      </c>
      <c r="AV652" s="314">
        <v>1.6415</v>
      </c>
      <c r="AW652" s="314">
        <v>1.5733999999999999</v>
      </c>
      <c r="AX652" s="314">
        <v>1.3405</v>
      </c>
      <c r="AY652" s="314">
        <v>1.5467</v>
      </c>
      <c r="AZ652" s="314">
        <v>1.6029</v>
      </c>
      <c r="BA652" s="314">
        <v>1.3796999999999999</v>
      </c>
      <c r="BB652" s="314">
        <v>0</v>
      </c>
      <c r="BC652" s="314">
        <v>1.7458</v>
      </c>
      <c r="BD652" s="314">
        <v>1.7482</v>
      </c>
      <c r="BE652" s="314">
        <v>1.7564</v>
      </c>
      <c r="BF652" s="314">
        <v>1.6153999999999999</v>
      </c>
      <c r="BG652" s="314">
        <v>1.6518999999999999</v>
      </c>
      <c r="BH652" s="314">
        <v>1.5693999999999999</v>
      </c>
      <c r="BI652" s="314">
        <v>1.6649</v>
      </c>
      <c r="BJ652" s="314">
        <v>1.6074999999999999</v>
      </c>
      <c r="BK652" s="314">
        <v>1.6910000000000001</v>
      </c>
    </row>
    <row r="653" spans="1:63" x14ac:dyDescent="0.25">
      <c r="A653" s="306" t="s">
        <v>739</v>
      </c>
      <c r="B653" s="314" t="s">
        <v>218</v>
      </c>
      <c r="C653" s="314">
        <v>1.8521000000000001</v>
      </c>
      <c r="D653" s="314">
        <v>0</v>
      </c>
      <c r="E653" s="314">
        <v>1.5074000000000001</v>
      </c>
      <c r="F653" s="314">
        <v>1.5059</v>
      </c>
      <c r="G653" s="314">
        <v>1.4497</v>
      </c>
      <c r="H653" s="314">
        <v>1.5814999999999999</v>
      </c>
      <c r="I653" s="314">
        <v>1.5648</v>
      </c>
      <c r="J653" s="314">
        <v>1.6186</v>
      </c>
      <c r="K653" s="314">
        <v>0</v>
      </c>
      <c r="L653" s="314">
        <v>0</v>
      </c>
      <c r="M653" s="314">
        <v>1.4268000000000001</v>
      </c>
      <c r="N653" s="314">
        <v>1.5609</v>
      </c>
      <c r="O653" s="314">
        <v>0</v>
      </c>
      <c r="P653" s="314">
        <v>1.3468</v>
      </c>
      <c r="Q653" s="314">
        <v>0</v>
      </c>
      <c r="R653" s="314">
        <v>1.7139</v>
      </c>
      <c r="S653" s="314">
        <v>1.5591999999999999</v>
      </c>
      <c r="T653" s="314">
        <v>1.4008</v>
      </c>
      <c r="U653" s="314">
        <v>1.5557000000000001</v>
      </c>
      <c r="V653" s="314">
        <v>1.4359</v>
      </c>
      <c r="W653" s="314">
        <v>1.6268</v>
      </c>
      <c r="X653" s="314">
        <v>1.46</v>
      </c>
      <c r="Y653" s="314">
        <v>1.3948</v>
      </c>
      <c r="Z653" s="314">
        <v>1.6351</v>
      </c>
      <c r="AA653" s="314">
        <v>1.5607</v>
      </c>
      <c r="AB653" s="314">
        <v>1.6040000000000001</v>
      </c>
      <c r="AC653" s="314">
        <v>1.3774</v>
      </c>
      <c r="AD653" s="314">
        <v>0</v>
      </c>
      <c r="AE653" s="314">
        <v>1.5678000000000001</v>
      </c>
      <c r="AF653" s="314">
        <v>0</v>
      </c>
      <c r="AG653" s="314">
        <v>1.3768</v>
      </c>
      <c r="AH653" s="314">
        <v>1.5411999999999999</v>
      </c>
      <c r="AI653" s="314">
        <v>1.6394</v>
      </c>
      <c r="AJ653" s="314">
        <v>1.2971999999999999</v>
      </c>
      <c r="AK653" s="314">
        <v>1.4336</v>
      </c>
      <c r="AL653" s="314">
        <v>1.5545</v>
      </c>
      <c r="AM653" s="314">
        <v>1.6772</v>
      </c>
      <c r="AN653" s="314">
        <v>0</v>
      </c>
      <c r="AO653" s="314">
        <v>1.5463</v>
      </c>
      <c r="AP653" s="314">
        <v>1.7317</v>
      </c>
      <c r="AQ653" s="314">
        <v>1.5152000000000001</v>
      </c>
      <c r="AR653" s="314">
        <v>1.5146999999999999</v>
      </c>
      <c r="AS653" s="314">
        <v>1.2526999999999999</v>
      </c>
      <c r="AT653" s="314">
        <v>1.5734999999999999</v>
      </c>
      <c r="AU653" s="314">
        <v>1.5786</v>
      </c>
      <c r="AV653" s="314">
        <v>1.5993999999999999</v>
      </c>
      <c r="AW653" s="314">
        <v>1.5288999999999999</v>
      </c>
      <c r="AX653" s="314">
        <v>1.2888999999999999</v>
      </c>
      <c r="AY653" s="314">
        <v>1.4839</v>
      </c>
      <c r="AZ653" s="314">
        <v>1.5266</v>
      </c>
      <c r="BA653" s="314">
        <v>1.3884000000000001</v>
      </c>
      <c r="BB653" s="314">
        <v>0</v>
      </c>
      <c r="BC653" s="314">
        <v>1.6555</v>
      </c>
      <c r="BD653" s="314">
        <v>1.7189000000000001</v>
      </c>
      <c r="BE653" s="314">
        <v>1.7157</v>
      </c>
      <c r="BF653" s="314">
        <v>1.5630999999999999</v>
      </c>
      <c r="BG653" s="314">
        <v>1.6178999999999999</v>
      </c>
      <c r="BH653" s="314">
        <v>1.5775999999999999</v>
      </c>
      <c r="BI653" s="314">
        <v>1.5982000000000001</v>
      </c>
      <c r="BJ653" s="314">
        <v>1.5434000000000001</v>
      </c>
      <c r="BK653" s="314">
        <v>1.5894999999999999</v>
      </c>
    </row>
    <row r="654" spans="1:63" x14ac:dyDescent="0.25">
      <c r="A654" s="306">
        <v>334510</v>
      </c>
      <c r="B654" s="314" t="s">
        <v>222</v>
      </c>
      <c r="C654" s="314">
        <v>1.925</v>
      </c>
      <c r="D654" s="314">
        <v>0</v>
      </c>
      <c r="E654" s="314">
        <v>0</v>
      </c>
      <c r="F654" s="314">
        <v>0</v>
      </c>
      <c r="G654" s="314">
        <v>1.4502999999999999</v>
      </c>
      <c r="H654" s="314">
        <v>1.6761999999999999</v>
      </c>
      <c r="I654" s="314">
        <v>1.5989</v>
      </c>
      <c r="J654" s="314">
        <v>1.6321000000000001</v>
      </c>
      <c r="K654" s="314">
        <v>0</v>
      </c>
      <c r="L654" s="314">
        <v>1.4436</v>
      </c>
      <c r="M654" s="314">
        <v>1.4666999999999999</v>
      </c>
      <c r="N654" s="314">
        <v>1.609</v>
      </c>
      <c r="O654" s="314">
        <v>1.2794000000000001</v>
      </c>
      <c r="P654" s="314">
        <v>1.3231999999999999</v>
      </c>
      <c r="Q654" s="314">
        <v>1.3411999999999999</v>
      </c>
      <c r="R654" s="314">
        <v>1.7306999999999999</v>
      </c>
      <c r="S654" s="314">
        <v>1.5363</v>
      </c>
      <c r="T654" s="314">
        <v>1.3948</v>
      </c>
      <c r="U654" s="314">
        <v>1.5193000000000001</v>
      </c>
      <c r="V654" s="314">
        <v>1.3938999999999999</v>
      </c>
      <c r="W654" s="314">
        <v>1.7016</v>
      </c>
      <c r="X654" s="314">
        <v>1.4350000000000001</v>
      </c>
      <c r="Y654" s="314">
        <v>1.3778999999999999</v>
      </c>
      <c r="Z654" s="314">
        <v>1.6455</v>
      </c>
      <c r="AA654" s="314">
        <v>1.651</v>
      </c>
      <c r="AB654" s="314">
        <v>1.6043000000000001</v>
      </c>
      <c r="AC654" s="314">
        <v>0</v>
      </c>
      <c r="AD654" s="314">
        <v>1.2084999999999999</v>
      </c>
      <c r="AE654" s="314">
        <v>1.6076999999999999</v>
      </c>
      <c r="AF654" s="314">
        <v>0</v>
      </c>
      <c r="AG654" s="314">
        <v>0</v>
      </c>
      <c r="AH654" s="314">
        <v>1.6005</v>
      </c>
      <c r="AI654" s="314">
        <v>1.6667000000000001</v>
      </c>
      <c r="AJ654" s="314">
        <v>1.2816000000000001</v>
      </c>
      <c r="AK654" s="314">
        <v>0</v>
      </c>
      <c r="AL654" s="314">
        <v>1.5288999999999999</v>
      </c>
      <c r="AM654" s="314">
        <v>1.6870000000000001</v>
      </c>
      <c r="AN654" s="314">
        <v>1.3993</v>
      </c>
      <c r="AO654" s="314">
        <v>1.5869</v>
      </c>
      <c r="AP654" s="314">
        <v>1.7166999999999999</v>
      </c>
      <c r="AQ654" s="314">
        <v>1.5006999999999999</v>
      </c>
      <c r="AR654" s="314">
        <v>1.482</v>
      </c>
      <c r="AS654" s="314">
        <v>1.2624</v>
      </c>
      <c r="AT654" s="314">
        <v>1.5683</v>
      </c>
      <c r="AU654" s="314">
        <v>1.6357999999999999</v>
      </c>
      <c r="AV654" s="314">
        <v>1.5712999999999999</v>
      </c>
      <c r="AW654" s="314">
        <v>1.5623</v>
      </c>
      <c r="AX654" s="314">
        <v>1.2929999999999999</v>
      </c>
      <c r="AY654" s="314">
        <v>1.5223</v>
      </c>
      <c r="AZ654" s="314">
        <v>1.6167</v>
      </c>
      <c r="BA654" s="314">
        <v>0</v>
      </c>
      <c r="BB654" s="314">
        <v>0</v>
      </c>
      <c r="BC654" s="314">
        <v>1.7317</v>
      </c>
      <c r="BD654" s="314">
        <v>1.6943999999999999</v>
      </c>
      <c r="BE654" s="314">
        <v>1.7355</v>
      </c>
      <c r="BF654" s="314">
        <v>1.6059000000000001</v>
      </c>
      <c r="BG654" s="314">
        <v>1.6419999999999999</v>
      </c>
      <c r="BH654" s="314">
        <v>1.5571999999999999</v>
      </c>
      <c r="BI654" s="314">
        <v>1.6325000000000001</v>
      </c>
      <c r="BJ654" s="314">
        <v>1.5660000000000001</v>
      </c>
      <c r="BK654" s="314">
        <v>1.6731</v>
      </c>
    </row>
    <row r="655" spans="1:63" x14ac:dyDescent="0.25">
      <c r="A655" s="306">
        <v>334511</v>
      </c>
      <c r="B655" s="314" t="s">
        <v>223</v>
      </c>
      <c r="C655" s="314">
        <v>1.8593999999999999</v>
      </c>
      <c r="D655" s="314">
        <v>0</v>
      </c>
      <c r="E655" s="314">
        <v>1.4006000000000001</v>
      </c>
      <c r="F655" s="314">
        <v>1.4165000000000001</v>
      </c>
      <c r="G655" s="314">
        <v>1.494</v>
      </c>
      <c r="H655" s="314">
        <v>1.6839</v>
      </c>
      <c r="I655" s="314">
        <v>1.6473</v>
      </c>
      <c r="J655" s="314">
        <v>1.6205000000000001</v>
      </c>
      <c r="K655" s="314">
        <v>1.2470000000000001</v>
      </c>
      <c r="L655" s="314">
        <v>0</v>
      </c>
      <c r="M655" s="314">
        <v>1.4871000000000001</v>
      </c>
      <c r="N655" s="314">
        <v>1.5662</v>
      </c>
      <c r="O655" s="314">
        <v>1.3436999999999999</v>
      </c>
      <c r="P655" s="314">
        <v>1.2834000000000001</v>
      </c>
      <c r="Q655" s="314">
        <v>1.3698999999999999</v>
      </c>
      <c r="R655" s="314">
        <v>1.6881999999999999</v>
      </c>
      <c r="S655" s="314">
        <v>1.4621999999999999</v>
      </c>
      <c r="T655" s="314">
        <v>1.385</v>
      </c>
      <c r="U655" s="314">
        <v>1.4332</v>
      </c>
      <c r="V655" s="314">
        <v>1.3514999999999999</v>
      </c>
      <c r="W655" s="314">
        <v>1.7083999999999999</v>
      </c>
      <c r="X655" s="314">
        <v>1.4790000000000001</v>
      </c>
      <c r="Y655" s="314">
        <v>1.4181999999999999</v>
      </c>
      <c r="Z655" s="314">
        <v>1.5936999999999999</v>
      </c>
      <c r="AA655" s="314">
        <v>1.6101000000000001</v>
      </c>
      <c r="AB655" s="314">
        <v>1.579</v>
      </c>
      <c r="AC655" s="314">
        <v>1.3005</v>
      </c>
      <c r="AD655" s="314">
        <v>1.2370000000000001</v>
      </c>
      <c r="AE655" s="314">
        <v>1.5729</v>
      </c>
      <c r="AF655" s="314">
        <v>0</v>
      </c>
      <c r="AG655" s="314">
        <v>1.3574999999999999</v>
      </c>
      <c r="AH655" s="314">
        <v>1.5926</v>
      </c>
      <c r="AI655" s="314">
        <v>1.6603000000000001</v>
      </c>
      <c r="AJ655" s="314">
        <v>1.3224</v>
      </c>
      <c r="AK655" s="314">
        <v>1.4505999999999999</v>
      </c>
      <c r="AL655" s="314">
        <v>1.5651999999999999</v>
      </c>
      <c r="AM655" s="314">
        <v>1.6106</v>
      </c>
      <c r="AN655" s="314">
        <v>1.3735999999999999</v>
      </c>
      <c r="AO655" s="314">
        <v>1.5967</v>
      </c>
      <c r="AP655" s="314">
        <v>1.6798999999999999</v>
      </c>
      <c r="AQ655" s="314">
        <v>1.5024999999999999</v>
      </c>
      <c r="AR655" s="314">
        <v>1.4021999999999999</v>
      </c>
      <c r="AS655" s="314">
        <v>1.2438</v>
      </c>
      <c r="AT655" s="314">
        <v>1.4823999999999999</v>
      </c>
      <c r="AU655" s="314">
        <v>1.6081000000000001</v>
      </c>
      <c r="AV655" s="314">
        <v>1.6297999999999999</v>
      </c>
      <c r="AW655" s="314">
        <v>1.5945</v>
      </c>
      <c r="AX655" s="314">
        <v>1.3019000000000001</v>
      </c>
      <c r="AY655" s="314">
        <v>1.5484</v>
      </c>
      <c r="AZ655" s="314">
        <v>1.5475000000000001</v>
      </c>
      <c r="BA655" s="314">
        <v>0</v>
      </c>
      <c r="BB655" s="314">
        <v>1.1860999999999999</v>
      </c>
      <c r="BC655" s="314">
        <v>1.7263999999999999</v>
      </c>
      <c r="BD655" s="314">
        <v>1.6891</v>
      </c>
      <c r="BE655" s="314">
        <v>1.6591</v>
      </c>
      <c r="BF655" s="314">
        <v>1.5625</v>
      </c>
      <c r="BG655" s="314">
        <v>1.6304000000000001</v>
      </c>
      <c r="BH655" s="314">
        <v>1.4572000000000001</v>
      </c>
      <c r="BI655" s="314">
        <v>1.5987</v>
      </c>
      <c r="BJ655" s="314">
        <v>1.6148</v>
      </c>
      <c r="BK655" s="314">
        <v>1.6866000000000001</v>
      </c>
    </row>
    <row r="656" spans="1:63" x14ac:dyDescent="0.25">
      <c r="A656" s="306">
        <v>334512</v>
      </c>
      <c r="B656" s="314" t="s">
        <v>224</v>
      </c>
      <c r="C656" s="314">
        <v>1.9034</v>
      </c>
      <c r="D656" s="314">
        <v>1.1645000000000001</v>
      </c>
      <c r="E656" s="314">
        <v>1.4698</v>
      </c>
      <c r="F656" s="314">
        <v>1.4782999999999999</v>
      </c>
      <c r="G656" s="314">
        <v>1.4662999999999999</v>
      </c>
      <c r="H656" s="314">
        <v>1.6473</v>
      </c>
      <c r="I656" s="314">
        <v>1.5891999999999999</v>
      </c>
      <c r="J656" s="314">
        <v>1.6369</v>
      </c>
      <c r="K656" s="314">
        <v>0</v>
      </c>
      <c r="L656" s="314">
        <v>0</v>
      </c>
      <c r="M656" s="314">
        <v>1.4320999999999999</v>
      </c>
      <c r="N656" s="314">
        <v>1.58</v>
      </c>
      <c r="O656" s="314">
        <v>0</v>
      </c>
      <c r="P656" s="314">
        <v>1.3478000000000001</v>
      </c>
      <c r="Q656" s="314">
        <v>0</v>
      </c>
      <c r="R656" s="314">
        <v>1.7235</v>
      </c>
      <c r="S656" s="314">
        <v>1.5326</v>
      </c>
      <c r="T656" s="314">
        <v>1.3975</v>
      </c>
      <c r="U656" s="314">
        <v>1.5109999999999999</v>
      </c>
      <c r="V656" s="314">
        <v>1.3514999999999999</v>
      </c>
      <c r="W656" s="314">
        <v>1.7098</v>
      </c>
      <c r="X656" s="314">
        <v>1.4321999999999999</v>
      </c>
      <c r="Y656" s="314">
        <v>1.3972</v>
      </c>
      <c r="Z656" s="314">
        <v>1.6509</v>
      </c>
      <c r="AA656" s="314">
        <v>1.6089</v>
      </c>
      <c r="AB656" s="314">
        <v>1.587</v>
      </c>
      <c r="AC656" s="314">
        <v>0</v>
      </c>
      <c r="AD656" s="314">
        <v>0</v>
      </c>
      <c r="AE656" s="314">
        <v>1.5984</v>
      </c>
      <c r="AF656" s="314">
        <v>0</v>
      </c>
      <c r="AG656" s="314">
        <v>1.3484</v>
      </c>
      <c r="AH656" s="314">
        <v>1.6096999999999999</v>
      </c>
      <c r="AI656" s="314">
        <v>1.6374</v>
      </c>
      <c r="AJ656" s="314">
        <v>1.2733000000000001</v>
      </c>
      <c r="AK656" s="314">
        <v>1.4156</v>
      </c>
      <c r="AL656" s="314">
        <v>1.53</v>
      </c>
      <c r="AM656" s="314">
        <v>1.6727000000000001</v>
      </c>
      <c r="AN656" s="314">
        <v>1.3653999999999999</v>
      </c>
      <c r="AO656" s="314">
        <v>1.5768</v>
      </c>
      <c r="AP656" s="314">
        <v>1.7146999999999999</v>
      </c>
      <c r="AQ656" s="314">
        <v>1.5197000000000001</v>
      </c>
      <c r="AR656" s="314">
        <v>1.4702</v>
      </c>
      <c r="AS656" s="314">
        <v>1.2539</v>
      </c>
      <c r="AT656" s="314">
        <v>1.5486</v>
      </c>
      <c r="AU656" s="314">
        <v>1.6132</v>
      </c>
      <c r="AV656" s="314">
        <v>1.6137999999999999</v>
      </c>
      <c r="AW656" s="314">
        <v>1.5582</v>
      </c>
      <c r="AX656" s="314">
        <v>0</v>
      </c>
      <c r="AY656" s="314">
        <v>1.5114000000000001</v>
      </c>
      <c r="AZ656" s="314">
        <v>1.5752999999999999</v>
      </c>
      <c r="BA656" s="314">
        <v>1.3341000000000001</v>
      </c>
      <c r="BB656" s="314">
        <v>1.1738999999999999</v>
      </c>
      <c r="BC656" s="314">
        <v>1.7362</v>
      </c>
      <c r="BD656" s="314">
        <v>1.6917</v>
      </c>
      <c r="BE656" s="314">
        <v>1.7151000000000001</v>
      </c>
      <c r="BF656" s="314">
        <v>1.5807</v>
      </c>
      <c r="BG656" s="314">
        <v>1.6126</v>
      </c>
      <c r="BH656" s="314">
        <v>1.5386</v>
      </c>
      <c r="BI656" s="314">
        <v>1.6116999999999999</v>
      </c>
      <c r="BJ656" s="314">
        <v>1.5691999999999999</v>
      </c>
      <c r="BK656" s="314">
        <v>1.6482000000000001</v>
      </c>
    </row>
    <row r="657" spans="1:63" x14ac:dyDescent="0.25">
      <c r="A657" s="306">
        <v>334513</v>
      </c>
      <c r="B657" s="314" t="s">
        <v>6</v>
      </c>
      <c r="C657" s="314">
        <v>1.9542999999999999</v>
      </c>
      <c r="D657" s="314">
        <v>1.2378</v>
      </c>
      <c r="E657" s="314">
        <v>1.5058</v>
      </c>
      <c r="F657" s="314">
        <v>1.4696</v>
      </c>
      <c r="G657" s="314">
        <v>1.53</v>
      </c>
      <c r="H657" s="314">
        <v>1.7194</v>
      </c>
      <c r="I657" s="314">
        <v>1.677</v>
      </c>
      <c r="J657" s="314">
        <v>1.6734</v>
      </c>
      <c r="K657" s="314">
        <v>0</v>
      </c>
      <c r="L657" s="314">
        <v>1.4520999999999999</v>
      </c>
      <c r="M657" s="314">
        <v>1.4866999999999999</v>
      </c>
      <c r="N657" s="314">
        <v>1.6092</v>
      </c>
      <c r="O657" s="314">
        <v>1.3189</v>
      </c>
      <c r="P657" s="314">
        <v>1.3645</v>
      </c>
      <c r="Q657" s="314">
        <v>1.3545</v>
      </c>
      <c r="R657" s="314">
        <v>1.7643</v>
      </c>
      <c r="S657" s="314">
        <v>1.5592999999999999</v>
      </c>
      <c r="T657" s="314">
        <v>1.4251</v>
      </c>
      <c r="U657" s="314">
        <v>1.5193000000000001</v>
      </c>
      <c r="V657" s="314">
        <v>1.4224000000000001</v>
      </c>
      <c r="W657" s="314">
        <v>1.7343999999999999</v>
      </c>
      <c r="X657" s="314">
        <v>1.5004</v>
      </c>
      <c r="Y657" s="314">
        <v>1.4026000000000001</v>
      </c>
      <c r="Z657" s="314">
        <v>1.6919</v>
      </c>
      <c r="AA657" s="314">
        <v>1.6786000000000001</v>
      </c>
      <c r="AB657" s="314">
        <v>1.6012999999999999</v>
      </c>
      <c r="AC657" s="314">
        <v>1.3597999999999999</v>
      </c>
      <c r="AD657" s="314">
        <v>1.2761</v>
      </c>
      <c r="AE657" s="314">
        <v>1.5973999999999999</v>
      </c>
      <c r="AF657" s="314">
        <v>0</v>
      </c>
      <c r="AG657" s="314">
        <v>1.3706</v>
      </c>
      <c r="AH657" s="314">
        <v>1.6380999999999999</v>
      </c>
      <c r="AI657" s="314">
        <v>1.6883999999999999</v>
      </c>
      <c r="AJ657" s="314">
        <v>1.3003</v>
      </c>
      <c r="AK657" s="314">
        <v>1.4504999999999999</v>
      </c>
      <c r="AL657" s="314">
        <v>1.5755999999999999</v>
      </c>
      <c r="AM657" s="314">
        <v>1.6934</v>
      </c>
      <c r="AN657" s="314">
        <v>1.4634</v>
      </c>
      <c r="AO657" s="314">
        <v>1.6479999999999999</v>
      </c>
      <c r="AP657" s="314">
        <v>1.7656000000000001</v>
      </c>
      <c r="AQ657" s="314">
        <v>1.5386</v>
      </c>
      <c r="AR657" s="314">
        <v>1.4830000000000001</v>
      </c>
      <c r="AS657" s="314">
        <v>1.2886</v>
      </c>
      <c r="AT657" s="314">
        <v>1.5915999999999999</v>
      </c>
      <c r="AU657" s="314">
        <v>1.6774</v>
      </c>
      <c r="AV657" s="314">
        <v>1.6661999999999999</v>
      </c>
      <c r="AW657" s="314">
        <v>1.5868</v>
      </c>
      <c r="AX657" s="314">
        <v>1.3378000000000001</v>
      </c>
      <c r="AY657" s="314">
        <v>1.5815999999999999</v>
      </c>
      <c r="AZ657" s="314">
        <v>1.6161000000000001</v>
      </c>
      <c r="BA657" s="314">
        <v>1.365</v>
      </c>
      <c r="BB657" s="314">
        <v>0</v>
      </c>
      <c r="BC657" s="314">
        <v>1.7622</v>
      </c>
      <c r="BD657" s="314">
        <v>1.7467999999999999</v>
      </c>
      <c r="BE657" s="314">
        <v>1.7508999999999999</v>
      </c>
      <c r="BF657" s="314">
        <v>1.6269</v>
      </c>
      <c r="BG657" s="314">
        <v>1.6577999999999999</v>
      </c>
      <c r="BH657" s="314">
        <v>1.5681</v>
      </c>
      <c r="BI657" s="314">
        <v>1.6756</v>
      </c>
      <c r="BJ657" s="314">
        <v>1.6393</v>
      </c>
      <c r="BK657" s="314">
        <v>1.7277</v>
      </c>
    </row>
    <row r="658" spans="1:63" x14ac:dyDescent="0.25">
      <c r="A658" s="306">
        <v>334514</v>
      </c>
      <c r="B658" s="314" t="s">
        <v>225</v>
      </c>
      <c r="C658" s="314">
        <v>2.1166</v>
      </c>
      <c r="D658" s="314">
        <v>0</v>
      </c>
      <c r="E658" s="314">
        <v>1.5528999999999999</v>
      </c>
      <c r="F658" s="314">
        <v>1.4709000000000001</v>
      </c>
      <c r="G658" s="314">
        <v>1.5841000000000001</v>
      </c>
      <c r="H658" s="314">
        <v>1.8431</v>
      </c>
      <c r="I658" s="314">
        <v>1.7573000000000001</v>
      </c>
      <c r="J658" s="314">
        <v>1.71</v>
      </c>
      <c r="K658" s="314">
        <v>0</v>
      </c>
      <c r="L658" s="314">
        <v>0</v>
      </c>
      <c r="M658" s="314">
        <v>1.5302</v>
      </c>
      <c r="N658" s="314">
        <v>1.6946000000000001</v>
      </c>
      <c r="O658" s="314">
        <v>0</v>
      </c>
      <c r="P658" s="314">
        <v>1.3875999999999999</v>
      </c>
      <c r="Q658" s="314">
        <v>1.3865000000000001</v>
      </c>
      <c r="R658" s="314">
        <v>1.7791999999999999</v>
      </c>
      <c r="S658" s="314">
        <v>1.5985</v>
      </c>
      <c r="T658" s="314">
        <v>0</v>
      </c>
      <c r="U658" s="314">
        <v>1.5085</v>
      </c>
      <c r="V658" s="314">
        <v>1.3431</v>
      </c>
      <c r="W658" s="314">
        <v>1.8878999999999999</v>
      </c>
      <c r="X658" s="314">
        <v>1.4913000000000001</v>
      </c>
      <c r="Y658" s="314">
        <v>0</v>
      </c>
      <c r="Z658" s="314">
        <v>1.7750999999999999</v>
      </c>
      <c r="AA658" s="314">
        <v>1.796</v>
      </c>
      <c r="AB658" s="314">
        <v>1.6248</v>
      </c>
      <c r="AC658" s="314">
        <v>0</v>
      </c>
      <c r="AD658" s="314">
        <v>0</v>
      </c>
      <c r="AE658" s="314">
        <v>1.7135</v>
      </c>
      <c r="AF658" s="314">
        <v>0</v>
      </c>
      <c r="AG658" s="314">
        <v>1.3567</v>
      </c>
      <c r="AH658" s="314">
        <v>0</v>
      </c>
      <c r="AI658" s="314">
        <v>1.6971000000000001</v>
      </c>
      <c r="AJ658" s="314">
        <v>1.3066</v>
      </c>
      <c r="AK658" s="314">
        <v>1.4277</v>
      </c>
      <c r="AL658" s="314">
        <v>1.5205</v>
      </c>
      <c r="AM658" s="314">
        <v>1.738</v>
      </c>
      <c r="AN658" s="314">
        <v>1.4053</v>
      </c>
      <c r="AO658" s="314">
        <v>1.8072999999999999</v>
      </c>
      <c r="AP658" s="314">
        <v>1.7962</v>
      </c>
      <c r="AQ658" s="314">
        <v>0</v>
      </c>
      <c r="AR658" s="314">
        <v>1.5184</v>
      </c>
      <c r="AS658" s="314">
        <v>0</v>
      </c>
      <c r="AT658" s="314">
        <v>0</v>
      </c>
      <c r="AU658" s="314">
        <v>1.7976000000000001</v>
      </c>
      <c r="AV658" s="314">
        <v>0</v>
      </c>
      <c r="AW658" s="314">
        <v>1.6532</v>
      </c>
      <c r="AX658" s="314">
        <v>1.4219999999999999</v>
      </c>
      <c r="AY658" s="314">
        <v>1.6854</v>
      </c>
      <c r="AZ658" s="314">
        <v>1.7492000000000001</v>
      </c>
      <c r="BA658" s="314">
        <v>1.3664000000000001</v>
      </c>
      <c r="BB658" s="314">
        <v>0</v>
      </c>
      <c r="BC658" s="314">
        <v>1.9220999999999999</v>
      </c>
      <c r="BD658" s="314">
        <v>1.7203999999999999</v>
      </c>
      <c r="BE658" s="314">
        <v>1.7981</v>
      </c>
      <c r="BF658" s="314">
        <v>1.6898</v>
      </c>
      <c r="BG658" s="314">
        <v>1.7064999999999999</v>
      </c>
      <c r="BH658" s="314">
        <v>1.6013999999999999</v>
      </c>
      <c r="BI658" s="314">
        <v>1.7582</v>
      </c>
      <c r="BJ658" s="314">
        <v>1.7611000000000001</v>
      </c>
      <c r="BK658" s="314">
        <v>1.8605</v>
      </c>
    </row>
    <row r="659" spans="1:63" x14ac:dyDescent="0.25">
      <c r="A659" s="306">
        <v>334515</v>
      </c>
      <c r="B659" s="314" t="s">
        <v>4</v>
      </c>
      <c r="C659" s="314">
        <v>1.7257</v>
      </c>
      <c r="D659" s="314">
        <v>0</v>
      </c>
      <c r="E659" s="314">
        <v>1.3603000000000001</v>
      </c>
      <c r="F659" s="314">
        <v>1.2502</v>
      </c>
      <c r="G659" s="314">
        <v>1.4545999999999999</v>
      </c>
      <c r="H659" s="314">
        <v>1.6055999999999999</v>
      </c>
      <c r="I659" s="314">
        <v>1.5492999999999999</v>
      </c>
      <c r="J659" s="314">
        <v>1.4665999999999999</v>
      </c>
      <c r="K659" s="314">
        <v>1.1763999999999999</v>
      </c>
      <c r="L659" s="314">
        <v>1.2470000000000001</v>
      </c>
      <c r="M659" s="314">
        <v>1.3951</v>
      </c>
      <c r="N659" s="314">
        <v>1.4347000000000001</v>
      </c>
      <c r="O659" s="314">
        <v>0</v>
      </c>
      <c r="P659" s="314">
        <v>1.2196</v>
      </c>
      <c r="Q659" s="314">
        <v>1.2329000000000001</v>
      </c>
      <c r="R659" s="314">
        <v>1.4984999999999999</v>
      </c>
      <c r="S659" s="314">
        <v>1.3622000000000001</v>
      </c>
      <c r="T659" s="314">
        <v>1.3163</v>
      </c>
      <c r="U659" s="314">
        <v>1.3016000000000001</v>
      </c>
      <c r="V659" s="314">
        <v>1.2467999999999999</v>
      </c>
      <c r="W659" s="314">
        <v>1.6037999999999999</v>
      </c>
      <c r="X659" s="314">
        <v>1.3944000000000001</v>
      </c>
      <c r="Y659" s="314">
        <v>0</v>
      </c>
      <c r="Z659" s="314">
        <v>1.446</v>
      </c>
      <c r="AA659" s="314">
        <v>1.5062</v>
      </c>
      <c r="AB659" s="314">
        <v>1.3613</v>
      </c>
      <c r="AC659" s="314">
        <v>1.2103999999999999</v>
      </c>
      <c r="AD659" s="314">
        <v>1.2252000000000001</v>
      </c>
      <c r="AE659" s="314">
        <v>1.44</v>
      </c>
      <c r="AF659" s="314">
        <v>0</v>
      </c>
      <c r="AG659" s="314">
        <v>1.2246999999999999</v>
      </c>
      <c r="AH659" s="314">
        <v>1.5226999999999999</v>
      </c>
      <c r="AI659" s="314">
        <v>1.4981</v>
      </c>
      <c r="AJ659" s="314">
        <v>1.2401</v>
      </c>
      <c r="AK659" s="314">
        <v>1.2718</v>
      </c>
      <c r="AL659" s="314">
        <v>1.3904000000000001</v>
      </c>
      <c r="AM659" s="314">
        <v>1.4359</v>
      </c>
      <c r="AN659" s="314">
        <v>1.2882</v>
      </c>
      <c r="AO659" s="314">
        <v>1.5227999999999999</v>
      </c>
      <c r="AP659" s="314">
        <v>1.4901</v>
      </c>
      <c r="AQ659" s="314">
        <v>1.3425</v>
      </c>
      <c r="AR659" s="314">
        <v>1.3050999999999999</v>
      </c>
      <c r="AS659" s="314">
        <v>1.2662</v>
      </c>
      <c r="AT659" s="314">
        <v>1.3782000000000001</v>
      </c>
      <c r="AU659" s="314">
        <v>1.5403</v>
      </c>
      <c r="AV659" s="314">
        <v>1.5306999999999999</v>
      </c>
      <c r="AW659" s="314">
        <v>1.3978999999999999</v>
      </c>
      <c r="AX659" s="314">
        <v>1.3206</v>
      </c>
      <c r="AY659" s="314">
        <v>1.4835</v>
      </c>
      <c r="AZ659" s="314">
        <v>1.4359999999999999</v>
      </c>
      <c r="BA659" s="314">
        <v>1.2172000000000001</v>
      </c>
      <c r="BB659" s="314">
        <v>0</v>
      </c>
      <c r="BC659" s="314">
        <v>1.6161000000000001</v>
      </c>
      <c r="BD659" s="314">
        <v>1.4908999999999999</v>
      </c>
      <c r="BE659" s="314">
        <v>1.4813000000000001</v>
      </c>
      <c r="BF659" s="314">
        <v>1.4236</v>
      </c>
      <c r="BG659" s="314">
        <v>1.4702999999999999</v>
      </c>
      <c r="BH659" s="314">
        <v>1.3611</v>
      </c>
      <c r="BI659" s="314">
        <v>1.5091000000000001</v>
      </c>
      <c r="BJ659" s="314">
        <v>1.5458000000000001</v>
      </c>
      <c r="BK659" s="314">
        <v>1.6074999999999999</v>
      </c>
    </row>
    <row r="660" spans="1:63" x14ac:dyDescent="0.25">
      <c r="A660" s="306">
        <v>334516</v>
      </c>
      <c r="B660" s="314" t="s">
        <v>226</v>
      </c>
      <c r="C660" s="314">
        <v>1.9903</v>
      </c>
      <c r="D660" s="314">
        <v>0</v>
      </c>
      <c r="E660" s="314">
        <v>1.4594</v>
      </c>
      <c r="F660" s="314">
        <v>0</v>
      </c>
      <c r="G660" s="314">
        <v>1.5138</v>
      </c>
      <c r="H660" s="314">
        <v>1.7669999999999999</v>
      </c>
      <c r="I660" s="314">
        <v>1.7425999999999999</v>
      </c>
      <c r="J660" s="314">
        <v>1.6997</v>
      </c>
      <c r="K660" s="314">
        <v>1.2782</v>
      </c>
      <c r="L660" s="314">
        <v>1.4576</v>
      </c>
      <c r="M660" s="314">
        <v>1.5044999999999999</v>
      </c>
      <c r="N660" s="314">
        <v>1.7114</v>
      </c>
      <c r="O660" s="314">
        <v>0</v>
      </c>
      <c r="P660" s="314">
        <v>0</v>
      </c>
      <c r="Q660" s="314">
        <v>1.3775999999999999</v>
      </c>
      <c r="R660" s="314">
        <v>1.7519</v>
      </c>
      <c r="S660" s="314">
        <v>1.5246</v>
      </c>
      <c r="T660" s="314">
        <v>0</v>
      </c>
      <c r="U660" s="314">
        <v>1.5028999999999999</v>
      </c>
      <c r="V660" s="314">
        <v>1.3898999999999999</v>
      </c>
      <c r="W660" s="314">
        <v>1.8108</v>
      </c>
      <c r="X660" s="314">
        <v>1.5168999999999999</v>
      </c>
      <c r="Y660" s="314">
        <v>1.4194</v>
      </c>
      <c r="Z660" s="314">
        <v>1.7153</v>
      </c>
      <c r="AA660" s="314">
        <v>1.7366999999999999</v>
      </c>
      <c r="AB660" s="314">
        <v>1.6476999999999999</v>
      </c>
      <c r="AC660" s="314">
        <v>1.3454999999999999</v>
      </c>
      <c r="AD660" s="314">
        <v>1.2410000000000001</v>
      </c>
      <c r="AE660" s="314">
        <v>1.6691</v>
      </c>
      <c r="AF660" s="314">
        <v>0</v>
      </c>
      <c r="AG660" s="314">
        <v>1.3748</v>
      </c>
      <c r="AH660" s="314">
        <v>1.7101999999999999</v>
      </c>
      <c r="AI660" s="314">
        <v>1.7401</v>
      </c>
      <c r="AJ660" s="314">
        <v>1.2847</v>
      </c>
      <c r="AK660" s="314">
        <v>1.4753000000000001</v>
      </c>
      <c r="AL660" s="314">
        <v>1.5824</v>
      </c>
      <c r="AM660" s="314">
        <v>1.6835</v>
      </c>
      <c r="AN660" s="314">
        <v>1.4036999999999999</v>
      </c>
      <c r="AO660" s="314">
        <v>1.7083999999999999</v>
      </c>
      <c r="AP660" s="314">
        <v>1.7622</v>
      </c>
      <c r="AQ660" s="314">
        <v>1.61</v>
      </c>
      <c r="AR660" s="314">
        <v>1.4834000000000001</v>
      </c>
      <c r="AS660" s="314">
        <v>0</v>
      </c>
      <c r="AT660" s="314">
        <v>1.5892999999999999</v>
      </c>
      <c r="AU660" s="314">
        <v>1.6976</v>
      </c>
      <c r="AV660" s="314">
        <v>1.7208000000000001</v>
      </c>
      <c r="AW660" s="314">
        <v>1.6700999999999999</v>
      </c>
      <c r="AX660" s="314">
        <v>1.3250999999999999</v>
      </c>
      <c r="AY660" s="314">
        <v>1.6485000000000001</v>
      </c>
      <c r="AZ660" s="314">
        <v>1.6675</v>
      </c>
      <c r="BA660" s="314">
        <v>0</v>
      </c>
      <c r="BB660" s="314">
        <v>1.2061999999999999</v>
      </c>
      <c r="BC660" s="314">
        <v>1.8367</v>
      </c>
      <c r="BD660" s="314">
        <v>1.7410000000000001</v>
      </c>
      <c r="BE660" s="314">
        <v>1.7492000000000001</v>
      </c>
      <c r="BF660" s="314">
        <v>1.6435999999999999</v>
      </c>
      <c r="BG660" s="314">
        <v>1.7092000000000001</v>
      </c>
      <c r="BH660" s="314">
        <v>1.5402</v>
      </c>
      <c r="BI660" s="314">
        <v>1.6668000000000001</v>
      </c>
      <c r="BJ660" s="314">
        <v>1.6943999999999999</v>
      </c>
      <c r="BK660" s="314">
        <v>1.7706</v>
      </c>
    </row>
    <row r="661" spans="1:63" x14ac:dyDescent="0.25">
      <c r="A661" s="306">
        <v>334517</v>
      </c>
      <c r="B661" s="314" t="s">
        <v>227</v>
      </c>
      <c r="C661" s="314">
        <v>1.8384</v>
      </c>
      <c r="D661" s="314">
        <v>1.1289</v>
      </c>
      <c r="E661" s="314">
        <v>1.3909</v>
      </c>
      <c r="F661" s="314">
        <v>0</v>
      </c>
      <c r="G661" s="314">
        <v>1.3959999999999999</v>
      </c>
      <c r="H661" s="314">
        <v>1.6333</v>
      </c>
      <c r="I661" s="314">
        <v>1.5501</v>
      </c>
      <c r="J661" s="314">
        <v>1.5687</v>
      </c>
      <c r="K661" s="314">
        <v>0</v>
      </c>
      <c r="L661" s="314">
        <v>0</v>
      </c>
      <c r="M661" s="314">
        <v>1.3755999999999999</v>
      </c>
      <c r="N661" s="314">
        <v>1.4974000000000001</v>
      </c>
      <c r="O661" s="314">
        <v>0</v>
      </c>
      <c r="P661" s="314">
        <v>1.2968</v>
      </c>
      <c r="Q661" s="314">
        <v>0</v>
      </c>
      <c r="R661" s="314">
        <v>1.6385000000000001</v>
      </c>
      <c r="S661" s="314">
        <v>1.4862</v>
      </c>
      <c r="T661" s="314">
        <v>1.3264</v>
      </c>
      <c r="U661" s="314">
        <v>1.4891000000000001</v>
      </c>
      <c r="V661" s="314">
        <v>1.3306</v>
      </c>
      <c r="W661" s="314">
        <v>1.6688000000000001</v>
      </c>
      <c r="X661" s="314">
        <v>1.3505</v>
      </c>
      <c r="Y661" s="314">
        <v>0</v>
      </c>
      <c r="Z661" s="314">
        <v>1.6233</v>
      </c>
      <c r="AA661" s="314">
        <v>1.5709</v>
      </c>
      <c r="AB661" s="314">
        <v>1.4944999999999999</v>
      </c>
      <c r="AC661" s="314">
        <v>0</v>
      </c>
      <c r="AD661" s="314">
        <v>0</v>
      </c>
      <c r="AE661" s="314">
        <v>1.5085999999999999</v>
      </c>
      <c r="AF661" s="314">
        <v>0</v>
      </c>
      <c r="AG661" s="314">
        <v>0</v>
      </c>
      <c r="AH661" s="314">
        <v>0</v>
      </c>
      <c r="AI661" s="314">
        <v>1.5366</v>
      </c>
      <c r="AJ661" s="314">
        <v>1.2290000000000001</v>
      </c>
      <c r="AK661" s="314">
        <v>0</v>
      </c>
      <c r="AL661" s="314">
        <v>1.4569000000000001</v>
      </c>
      <c r="AM661" s="314">
        <v>1.6132</v>
      </c>
      <c r="AN661" s="314">
        <v>1.3282</v>
      </c>
      <c r="AO661" s="314">
        <v>1.5294000000000001</v>
      </c>
      <c r="AP661" s="314">
        <v>1.6552</v>
      </c>
      <c r="AQ661" s="314">
        <v>1.4352</v>
      </c>
      <c r="AR661" s="314">
        <v>0</v>
      </c>
      <c r="AS661" s="314">
        <v>0</v>
      </c>
      <c r="AT661" s="314">
        <v>1.5053000000000001</v>
      </c>
      <c r="AU661" s="314">
        <v>1.5698000000000001</v>
      </c>
      <c r="AV661" s="314">
        <v>1.5196000000000001</v>
      </c>
      <c r="AW661" s="314">
        <v>0</v>
      </c>
      <c r="AX661" s="314">
        <v>1.2685</v>
      </c>
      <c r="AY661" s="314">
        <v>1.4621999999999999</v>
      </c>
      <c r="AZ661" s="314">
        <v>1.5495000000000001</v>
      </c>
      <c r="BA661" s="314">
        <v>1.2706999999999999</v>
      </c>
      <c r="BB661" s="314">
        <v>0</v>
      </c>
      <c r="BC661" s="314">
        <v>1.6911</v>
      </c>
      <c r="BD661" s="314">
        <v>1.6271</v>
      </c>
      <c r="BE661" s="314">
        <v>1.647</v>
      </c>
      <c r="BF661" s="314">
        <v>1.5004999999999999</v>
      </c>
      <c r="BG661" s="314">
        <v>1.5150999999999999</v>
      </c>
      <c r="BH661" s="314">
        <v>1.5074000000000001</v>
      </c>
      <c r="BI661" s="314">
        <v>1.5602</v>
      </c>
      <c r="BJ661" s="314">
        <v>1.5099</v>
      </c>
      <c r="BK661" s="314">
        <v>1.629</v>
      </c>
    </row>
    <row r="662" spans="1:63" x14ac:dyDescent="0.25">
      <c r="A662" s="306" t="s">
        <v>740</v>
      </c>
      <c r="B662" s="314" t="s">
        <v>228</v>
      </c>
      <c r="C662" s="314">
        <v>1.9321999999999999</v>
      </c>
      <c r="D662" s="314">
        <v>0</v>
      </c>
      <c r="E662" s="314">
        <v>1.4470000000000001</v>
      </c>
      <c r="F662" s="314">
        <v>1.4346000000000001</v>
      </c>
      <c r="G662" s="314">
        <v>1.5063</v>
      </c>
      <c r="H662" s="314">
        <v>1.7292000000000001</v>
      </c>
      <c r="I662" s="314">
        <v>1.7071000000000001</v>
      </c>
      <c r="J662" s="314">
        <v>1.6551</v>
      </c>
      <c r="K662" s="314">
        <v>0</v>
      </c>
      <c r="L662" s="314">
        <v>0</v>
      </c>
      <c r="M662" s="314">
        <v>1.4862</v>
      </c>
      <c r="N662" s="314">
        <v>1.6433</v>
      </c>
      <c r="O662" s="314">
        <v>0</v>
      </c>
      <c r="P662" s="314">
        <v>1.3225</v>
      </c>
      <c r="Q662" s="314">
        <v>1.3567</v>
      </c>
      <c r="R662" s="314">
        <v>1.7183999999999999</v>
      </c>
      <c r="S662" s="314">
        <v>1.5068999999999999</v>
      </c>
      <c r="T662" s="314">
        <v>1.4107000000000001</v>
      </c>
      <c r="U662" s="314">
        <v>1.474</v>
      </c>
      <c r="V662" s="314">
        <v>1.3855999999999999</v>
      </c>
      <c r="W662" s="314">
        <v>1.7552000000000001</v>
      </c>
      <c r="X662" s="314">
        <v>1.4910000000000001</v>
      </c>
      <c r="Y662" s="314">
        <v>1.3915</v>
      </c>
      <c r="Z662" s="314">
        <v>1.6736</v>
      </c>
      <c r="AA662" s="314">
        <v>1.6816</v>
      </c>
      <c r="AB662" s="314">
        <v>1.5960000000000001</v>
      </c>
      <c r="AC662" s="314">
        <v>1.3249</v>
      </c>
      <c r="AD662" s="314">
        <v>1.2501</v>
      </c>
      <c r="AE662" s="314">
        <v>1.6043000000000001</v>
      </c>
      <c r="AF662" s="314">
        <v>1.3416999999999999</v>
      </c>
      <c r="AG662" s="314">
        <v>1.3609</v>
      </c>
      <c r="AH662" s="314">
        <v>1.6483000000000001</v>
      </c>
      <c r="AI662" s="314">
        <v>1.6825000000000001</v>
      </c>
      <c r="AJ662" s="314">
        <v>1.2841</v>
      </c>
      <c r="AK662" s="314">
        <v>1.4498</v>
      </c>
      <c r="AL662" s="314">
        <v>1.5618000000000001</v>
      </c>
      <c r="AM662" s="314">
        <v>1.6477999999999999</v>
      </c>
      <c r="AN662" s="314">
        <v>1.4066000000000001</v>
      </c>
      <c r="AO662" s="314">
        <v>1.6665000000000001</v>
      </c>
      <c r="AP662" s="314">
        <v>1.7213000000000001</v>
      </c>
      <c r="AQ662" s="314">
        <v>1.5544</v>
      </c>
      <c r="AR662" s="314">
        <v>1.4494</v>
      </c>
      <c r="AS662" s="314">
        <v>0</v>
      </c>
      <c r="AT662" s="314">
        <v>1.5586</v>
      </c>
      <c r="AU662" s="314">
        <v>1.6629</v>
      </c>
      <c r="AV662" s="314">
        <v>1.6823999999999999</v>
      </c>
      <c r="AW662" s="314">
        <v>1.6138999999999999</v>
      </c>
      <c r="AX662" s="314">
        <v>1.3167</v>
      </c>
      <c r="AY662" s="314">
        <v>1.6067</v>
      </c>
      <c r="AZ662" s="314">
        <v>1.6099000000000001</v>
      </c>
      <c r="BA662" s="314">
        <v>1.3193999999999999</v>
      </c>
      <c r="BB662" s="314">
        <v>1.2061999999999999</v>
      </c>
      <c r="BC662" s="314">
        <v>1.7739</v>
      </c>
      <c r="BD662" s="314">
        <v>1.7075</v>
      </c>
      <c r="BE662" s="314">
        <v>1.7040999999999999</v>
      </c>
      <c r="BF662" s="314">
        <v>1.5989</v>
      </c>
      <c r="BG662" s="314">
        <v>1.6549</v>
      </c>
      <c r="BH662" s="314">
        <v>1.5159</v>
      </c>
      <c r="BI662" s="314">
        <v>1.6398999999999999</v>
      </c>
      <c r="BJ662" s="314">
        <v>1.6612</v>
      </c>
      <c r="BK662" s="314">
        <v>1.7346999999999999</v>
      </c>
    </row>
    <row r="663" spans="1:63" x14ac:dyDescent="0.25">
      <c r="A663" s="306">
        <v>334613</v>
      </c>
      <c r="B663" s="314" t="s">
        <v>229</v>
      </c>
      <c r="C663" s="314">
        <v>2.0127999999999999</v>
      </c>
      <c r="D663" s="314">
        <v>0</v>
      </c>
      <c r="E663" s="314">
        <v>1.5490999999999999</v>
      </c>
      <c r="F663" s="314">
        <v>0</v>
      </c>
      <c r="G663" s="314">
        <v>1.4147000000000001</v>
      </c>
      <c r="H663" s="314">
        <v>1.6665000000000001</v>
      </c>
      <c r="I663" s="314">
        <v>1.5754999999999999</v>
      </c>
      <c r="J663" s="314">
        <v>1.6540999999999999</v>
      </c>
      <c r="K663" s="314">
        <v>1.181</v>
      </c>
      <c r="L663" s="314">
        <v>0</v>
      </c>
      <c r="M663" s="314">
        <v>1.4045000000000001</v>
      </c>
      <c r="N663" s="314">
        <v>1.7293000000000001</v>
      </c>
      <c r="O663" s="314">
        <v>0</v>
      </c>
      <c r="P663" s="314">
        <v>0</v>
      </c>
      <c r="Q663" s="314">
        <v>0</v>
      </c>
      <c r="R663" s="314">
        <v>1.7244999999999999</v>
      </c>
      <c r="S663" s="314">
        <v>0</v>
      </c>
      <c r="T663" s="314">
        <v>1.4307000000000001</v>
      </c>
      <c r="U663" s="314">
        <v>0</v>
      </c>
      <c r="V663" s="314">
        <v>0</v>
      </c>
      <c r="W663" s="314">
        <v>1.7323</v>
      </c>
      <c r="X663" s="314">
        <v>1.4319</v>
      </c>
      <c r="Y663" s="314">
        <v>1.3972</v>
      </c>
      <c r="Z663" s="314">
        <v>0</v>
      </c>
      <c r="AA663" s="314">
        <v>1.7068000000000001</v>
      </c>
      <c r="AB663" s="314">
        <v>0</v>
      </c>
      <c r="AC663" s="314">
        <v>0</v>
      </c>
      <c r="AD663" s="314">
        <v>0</v>
      </c>
      <c r="AE663" s="314">
        <v>1.6677999999999999</v>
      </c>
      <c r="AF663" s="314">
        <v>1.3527</v>
      </c>
      <c r="AG663" s="314">
        <v>0</v>
      </c>
      <c r="AH663" s="314">
        <v>0</v>
      </c>
      <c r="AI663" s="314">
        <v>1.6698999999999999</v>
      </c>
      <c r="AJ663" s="314">
        <v>0</v>
      </c>
      <c r="AK663" s="314">
        <v>1.3994</v>
      </c>
      <c r="AL663" s="314">
        <v>1.4548000000000001</v>
      </c>
      <c r="AM663" s="314">
        <v>0</v>
      </c>
      <c r="AN663" s="314">
        <v>1.4117</v>
      </c>
      <c r="AO663" s="314">
        <v>0</v>
      </c>
      <c r="AP663" s="314">
        <v>0</v>
      </c>
      <c r="AQ663" s="314">
        <v>0</v>
      </c>
      <c r="AR663" s="314">
        <v>0</v>
      </c>
      <c r="AS663" s="314">
        <v>0</v>
      </c>
      <c r="AT663" s="314">
        <v>0</v>
      </c>
      <c r="AU663" s="314">
        <v>1.7253000000000001</v>
      </c>
      <c r="AV663" s="314">
        <v>1.607</v>
      </c>
      <c r="AW663" s="314">
        <v>0</v>
      </c>
      <c r="AX663" s="314">
        <v>0</v>
      </c>
      <c r="AY663" s="314">
        <v>1.5755999999999999</v>
      </c>
      <c r="AZ663" s="314">
        <v>0</v>
      </c>
      <c r="BA663" s="314">
        <v>0</v>
      </c>
      <c r="BB663" s="314">
        <v>0</v>
      </c>
      <c r="BC663" s="314">
        <v>1.7824</v>
      </c>
      <c r="BD663" s="314">
        <v>1.6702999999999999</v>
      </c>
      <c r="BE663" s="314">
        <v>1.7775000000000001</v>
      </c>
      <c r="BF663" s="314">
        <v>1.6533</v>
      </c>
      <c r="BG663" s="314">
        <v>1.6842999999999999</v>
      </c>
      <c r="BH663" s="314">
        <v>1.6778</v>
      </c>
      <c r="BI663" s="314">
        <v>1.7139</v>
      </c>
      <c r="BJ663" s="314">
        <v>1.5515000000000001</v>
      </c>
      <c r="BK663" s="314">
        <v>1.6747000000000001</v>
      </c>
    </row>
    <row r="664" spans="1:63" x14ac:dyDescent="0.25">
      <c r="A664" s="306" t="s">
        <v>741</v>
      </c>
      <c r="B664" s="314" t="s">
        <v>742</v>
      </c>
      <c r="C664" s="314">
        <v>2.0573000000000001</v>
      </c>
      <c r="D664" s="314">
        <v>0</v>
      </c>
      <c r="E664" s="314">
        <v>1.6277999999999999</v>
      </c>
      <c r="F664" s="314">
        <v>1.5319</v>
      </c>
      <c r="G664" s="314">
        <v>1.4634</v>
      </c>
      <c r="H664" s="314">
        <v>1.6986000000000001</v>
      </c>
      <c r="I664" s="314">
        <v>1.6301000000000001</v>
      </c>
      <c r="J664" s="314">
        <v>1.6887000000000001</v>
      </c>
      <c r="K664" s="314">
        <v>1.2385999999999999</v>
      </c>
      <c r="L664" s="314">
        <v>1.5278</v>
      </c>
      <c r="M664" s="314">
        <v>1.4706999999999999</v>
      </c>
      <c r="N664" s="314">
        <v>1.7513000000000001</v>
      </c>
      <c r="O664" s="314">
        <v>0</v>
      </c>
      <c r="P664" s="314">
        <v>1.3634999999999999</v>
      </c>
      <c r="Q664" s="314">
        <v>1.4189000000000001</v>
      </c>
      <c r="R664" s="314">
        <v>1.7494000000000001</v>
      </c>
      <c r="S664" s="314">
        <v>1.5801000000000001</v>
      </c>
      <c r="T664" s="314">
        <v>1.4333</v>
      </c>
      <c r="U664" s="314">
        <v>1.5454000000000001</v>
      </c>
      <c r="V664" s="314">
        <v>1.5387999999999999</v>
      </c>
      <c r="W664" s="314">
        <v>1.7773000000000001</v>
      </c>
      <c r="X664" s="314">
        <v>1.4882</v>
      </c>
      <c r="Y664" s="314">
        <v>1.4325000000000001</v>
      </c>
      <c r="Z664" s="314">
        <v>1.7189000000000001</v>
      </c>
      <c r="AA664" s="314">
        <v>1.6986000000000001</v>
      </c>
      <c r="AB664" s="314">
        <v>1.6541999999999999</v>
      </c>
      <c r="AC664" s="314">
        <v>0</v>
      </c>
      <c r="AD664" s="314">
        <v>1.3169</v>
      </c>
      <c r="AE664" s="314">
        <v>1.7141</v>
      </c>
      <c r="AF664" s="314">
        <v>0</v>
      </c>
      <c r="AG664" s="314">
        <v>1.3733</v>
      </c>
      <c r="AH664" s="314">
        <v>1.5547</v>
      </c>
      <c r="AI664" s="314">
        <v>1.7117</v>
      </c>
      <c r="AJ664" s="314">
        <v>1.2661</v>
      </c>
      <c r="AK664" s="314">
        <v>1.4513</v>
      </c>
      <c r="AL664" s="314">
        <v>1.5504</v>
      </c>
      <c r="AM664" s="314">
        <v>1.7221</v>
      </c>
      <c r="AN664" s="314">
        <v>1.4917</v>
      </c>
      <c r="AO664" s="314">
        <v>1.6378999999999999</v>
      </c>
      <c r="AP664" s="314">
        <v>1.7621</v>
      </c>
      <c r="AQ664" s="314">
        <v>1.6185</v>
      </c>
      <c r="AR664" s="314">
        <v>1.5740000000000001</v>
      </c>
      <c r="AS664" s="314">
        <v>0</v>
      </c>
      <c r="AT664" s="314">
        <v>1.6628000000000001</v>
      </c>
      <c r="AU664" s="314">
        <v>1.7505999999999999</v>
      </c>
      <c r="AV664" s="314">
        <v>1.655</v>
      </c>
      <c r="AW664" s="314">
        <v>1.681</v>
      </c>
      <c r="AX664" s="314">
        <v>1.3636999999999999</v>
      </c>
      <c r="AY664" s="314">
        <v>1.6174999999999999</v>
      </c>
      <c r="AZ664" s="314">
        <v>1.619</v>
      </c>
      <c r="BA664" s="314">
        <v>1.4361999999999999</v>
      </c>
      <c r="BB664" s="314">
        <v>0</v>
      </c>
      <c r="BC664" s="314">
        <v>1.7997000000000001</v>
      </c>
      <c r="BD664" s="314">
        <v>1.7121</v>
      </c>
      <c r="BE664" s="314">
        <v>1.7639</v>
      </c>
      <c r="BF664" s="314">
        <v>1.6371</v>
      </c>
      <c r="BG664" s="314">
        <v>1.7565999999999999</v>
      </c>
      <c r="BH664" s="314">
        <v>1.704</v>
      </c>
      <c r="BI664" s="314">
        <v>1.7571000000000001</v>
      </c>
      <c r="BJ664" s="314">
        <v>1.6241000000000001</v>
      </c>
      <c r="BK664" s="314">
        <v>1.7304999999999999</v>
      </c>
    </row>
    <row r="665" spans="1:63" x14ac:dyDescent="0.25">
      <c r="A665" s="306">
        <v>335110</v>
      </c>
      <c r="B665" s="314" t="s">
        <v>230</v>
      </c>
      <c r="C665" s="314">
        <v>1.6738</v>
      </c>
      <c r="D665" s="314">
        <v>0</v>
      </c>
      <c r="E665" s="314">
        <v>1.3945000000000001</v>
      </c>
      <c r="F665" s="314">
        <v>1.3593</v>
      </c>
      <c r="G665" s="314">
        <v>1.3048</v>
      </c>
      <c r="H665" s="314">
        <v>1.4168000000000001</v>
      </c>
      <c r="I665" s="314">
        <v>1.3814</v>
      </c>
      <c r="J665" s="314">
        <v>1.4435</v>
      </c>
      <c r="K665" s="314">
        <v>0</v>
      </c>
      <c r="L665" s="314">
        <v>0</v>
      </c>
      <c r="M665" s="314">
        <v>1.2942</v>
      </c>
      <c r="N665" s="314">
        <v>0</v>
      </c>
      <c r="O665" s="314">
        <v>0</v>
      </c>
      <c r="P665" s="314">
        <v>1.2911999999999999</v>
      </c>
      <c r="Q665" s="314">
        <v>0</v>
      </c>
      <c r="R665" s="314">
        <v>1.4825999999999999</v>
      </c>
      <c r="S665" s="314">
        <v>1.4547000000000001</v>
      </c>
      <c r="T665" s="314">
        <v>0</v>
      </c>
      <c r="U665" s="314">
        <v>1.5019</v>
      </c>
      <c r="V665" s="314">
        <v>1.3547</v>
      </c>
      <c r="W665" s="314">
        <v>1.4545999999999999</v>
      </c>
      <c r="X665" s="314">
        <v>1.3058000000000001</v>
      </c>
      <c r="Y665" s="314">
        <v>1.3097000000000001</v>
      </c>
      <c r="Z665" s="314">
        <v>0</v>
      </c>
      <c r="AA665" s="314">
        <v>0</v>
      </c>
      <c r="AB665" s="314">
        <v>1.4117999999999999</v>
      </c>
      <c r="AC665" s="314">
        <v>0</v>
      </c>
      <c r="AD665" s="314">
        <v>0</v>
      </c>
      <c r="AE665" s="314">
        <v>1.4745999999999999</v>
      </c>
      <c r="AF665" s="314">
        <v>0</v>
      </c>
      <c r="AG665" s="314">
        <v>0</v>
      </c>
      <c r="AH665" s="314">
        <v>1.4158999999999999</v>
      </c>
      <c r="AI665" s="314">
        <v>1.5113000000000001</v>
      </c>
      <c r="AJ665" s="314">
        <v>0</v>
      </c>
      <c r="AK665" s="314">
        <v>0</v>
      </c>
      <c r="AL665" s="314">
        <v>1.3929</v>
      </c>
      <c r="AM665" s="314">
        <v>1.5787</v>
      </c>
      <c r="AN665" s="314">
        <v>0</v>
      </c>
      <c r="AO665" s="314">
        <v>1.4409000000000001</v>
      </c>
      <c r="AP665" s="314">
        <v>1.5868</v>
      </c>
      <c r="AQ665" s="314">
        <v>0</v>
      </c>
      <c r="AR665" s="314">
        <v>1.4217</v>
      </c>
      <c r="AS665" s="314">
        <v>0</v>
      </c>
      <c r="AT665" s="314">
        <v>1.4934000000000001</v>
      </c>
      <c r="AU665" s="314">
        <v>1.4249000000000001</v>
      </c>
      <c r="AV665" s="314">
        <v>0</v>
      </c>
      <c r="AW665" s="314">
        <v>1.3774</v>
      </c>
      <c r="AX665" s="314">
        <v>1.2163999999999999</v>
      </c>
      <c r="AY665" s="314">
        <v>0</v>
      </c>
      <c r="AZ665" s="314">
        <v>0</v>
      </c>
      <c r="BA665" s="314">
        <v>1.3363</v>
      </c>
      <c r="BB665" s="314">
        <v>0</v>
      </c>
      <c r="BC665" s="314">
        <v>1.4863999999999999</v>
      </c>
      <c r="BD665" s="314">
        <v>1.5550999999999999</v>
      </c>
      <c r="BE665" s="314">
        <v>1.5885</v>
      </c>
      <c r="BF665" s="314">
        <v>1.4305000000000001</v>
      </c>
      <c r="BG665" s="314">
        <v>1.4730000000000001</v>
      </c>
      <c r="BH665" s="314">
        <v>1.5291999999999999</v>
      </c>
      <c r="BI665" s="314">
        <v>1.4442999999999999</v>
      </c>
      <c r="BJ665" s="314">
        <v>1.3726</v>
      </c>
      <c r="BK665" s="314">
        <v>1.4329000000000001</v>
      </c>
    </row>
    <row r="666" spans="1:63" x14ac:dyDescent="0.25">
      <c r="A666" s="306">
        <v>335120</v>
      </c>
      <c r="B666" s="314" t="s">
        <v>231</v>
      </c>
      <c r="C666" s="314">
        <v>1.8752</v>
      </c>
      <c r="D666" s="314">
        <v>0</v>
      </c>
      <c r="E666" s="314">
        <v>1.5436000000000001</v>
      </c>
      <c r="F666" s="314">
        <v>1.5511999999999999</v>
      </c>
      <c r="G666" s="314">
        <v>1.4056</v>
      </c>
      <c r="H666" s="314">
        <v>1.5549999999999999</v>
      </c>
      <c r="I666" s="314">
        <v>1.4545999999999999</v>
      </c>
      <c r="J666" s="314">
        <v>1.5503</v>
      </c>
      <c r="K666" s="314">
        <v>0</v>
      </c>
      <c r="L666" s="314">
        <v>1.3863000000000001</v>
      </c>
      <c r="M666" s="314">
        <v>1.3922000000000001</v>
      </c>
      <c r="N666" s="314">
        <v>1.5658000000000001</v>
      </c>
      <c r="O666" s="314">
        <v>1.2258</v>
      </c>
      <c r="P666" s="314">
        <v>1.4025000000000001</v>
      </c>
      <c r="Q666" s="314">
        <v>1.3131999999999999</v>
      </c>
      <c r="R666" s="314">
        <v>1.7173</v>
      </c>
      <c r="S666" s="314">
        <v>1.5958000000000001</v>
      </c>
      <c r="T666" s="314">
        <v>1.4044000000000001</v>
      </c>
      <c r="U666" s="314">
        <v>1.6197999999999999</v>
      </c>
      <c r="V666" s="314">
        <v>1.4419</v>
      </c>
      <c r="W666" s="314">
        <v>1.5773999999999999</v>
      </c>
      <c r="X666" s="314">
        <v>1.3998999999999999</v>
      </c>
      <c r="Y666" s="314">
        <v>1.3364</v>
      </c>
      <c r="Z666" s="314">
        <v>1.6296999999999999</v>
      </c>
      <c r="AA666" s="314">
        <v>1.5526</v>
      </c>
      <c r="AB666" s="314">
        <v>1.6021000000000001</v>
      </c>
      <c r="AC666" s="314">
        <v>1.4523999999999999</v>
      </c>
      <c r="AD666" s="314">
        <v>1.2031000000000001</v>
      </c>
      <c r="AE666" s="314">
        <v>1.546</v>
      </c>
      <c r="AF666" s="314">
        <v>0</v>
      </c>
      <c r="AG666" s="314">
        <v>1.3033999999999999</v>
      </c>
      <c r="AH666" s="314">
        <v>1.5419</v>
      </c>
      <c r="AI666" s="314">
        <v>1.5888</v>
      </c>
      <c r="AJ666" s="314">
        <v>1.2131000000000001</v>
      </c>
      <c r="AK666" s="314">
        <v>1.3292999999999999</v>
      </c>
      <c r="AL666" s="314">
        <v>1.4369000000000001</v>
      </c>
      <c r="AM666" s="314">
        <v>1.7373000000000001</v>
      </c>
      <c r="AN666" s="314">
        <v>1.4164000000000001</v>
      </c>
      <c r="AO666" s="314">
        <v>1.5610999999999999</v>
      </c>
      <c r="AP666" s="314">
        <v>1.7242</v>
      </c>
      <c r="AQ666" s="314">
        <v>1.4419</v>
      </c>
      <c r="AR666" s="314">
        <v>1.5441</v>
      </c>
      <c r="AS666" s="314">
        <v>1.2877000000000001</v>
      </c>
      <c r="AT666" s="314">
        <v>1.6328</v>
      </c>
      <c r="AU666" s="314">
        <v>1.5931999999999999</v>
      </c>
      <c r="AV666" s="314">
        <v>1.488</v>
      </c>
      <c r="AW666" s="314">
        <v>1.5283</v>
      </c>
      <c r="AX666" s="314">
        <v>1.2990999999999999</v>
      </c>
      <c r="AY666" s="314">
        <v>1.4481999999999999</v>
      </c>
      <c r="AZ666" s="314">
        <v>1.5727</v>
      </c>
      <c r="BA666" s="314">
        <v>1.3962000000000001</v>
      </c>
      <c r="BB666" s="314">
        <v>1.1911</v>
      </c>
      <c r="BC666" s="314">
        <v>1.6106</v>
      </c>
      <c r="BD666" s="314">
        <v>1.6574</v>
      </c>
      <c r="BE666" s="314">
        <v>1.7577</v>
      </c>
      <c r="BF666" s="314">
        <v>1.587</v>
      </c>
      <c r="BG666" s="314">
        <v>1.5855999999999999</v>
      </c>
      <c r="BH666" s="314">
        <v>1.6620999999999999</v>
      </c>
      <c r="BI666" s="314">
        <v>1.6326000000000001</v>
      </c>
      <c r="BJ666" s="314">
        <v>1.4311</v>
      </c>
      <c r="BK666" s="314">
        <v>1.5642</v>
      </c>
    </row>
    <row r="667" spans="1:63" x14ac:dyDescent="0.25">
      <c r="A667" s="306">
        <v>335210</v>
      </c>
      <c r="B667" s="314" t="s">
        <v>232</v>
      </c>
      <c r="C667" s="314">
        <v>1.8997999999999999</v>
      </c>
      <c r="D667" s="314">
        <v>0</v>
      </c>
      <c r="E667" s="314">
        <v>1.6073999999999999</v>
      </c>
      <c r="F667" s="314">
        <v>1.5868</v>
      </c>
      <c r="G667" s="314">
        <v>1.3343</v>
      </c>
      <c r="H667" s="314">
        <v>1.4696</v>
      </c>
      <c r="I667" s="314">
        <v>1.4048</v>
      </c>
      <c r="J667" s="314">
        <v>1.5827</v>
      </c>
      <c r="K667" s="314">
        <v>0</v>
      </c>
      <c r="L667" s="314">
        <v>0</v>
      </c>
      <c r="M667" s="314">
        <v>1.3221000000000001</v>
      </c>
      <c r="N667" s="314">
        <v>0</v>
      </c>
      <c r="O667" s="314">
        <v>0</v>
      </c>
      <c r="P667" s="314">
        <v>1.4623999999999999</v>
      </c>
      <c r="Q667" s="314">
        <v>1.2696000000000001</v>
      </c>
      <c r="R667" s="314">
        <v>1.7443</v>
      </c>
      <c r="S667" s="314">
        <v>1.6617</v>
      </c>
      <c r="T667" s="314">
        <v>1.4278</v>
      </c>
      <c r="U667" s="314">
        <v>1.6507000000000001</v>
      </c>
      <c r="V667" s="314">
        <v>0</v>
      </c>
      <c r="W667" s="314">
        <v>1.5785</v>
      </c>
      <c r="X667" s="314">
        <v>1.3687</v>
      </c>
      <c r="Y667" s="314">
        <v>0</v>
      </c>
      <c r="Z667" s="314">
        <v>1.6475</v>
      </c>
      <c r="AA667" s="314">
        <v>1.585</v>
      </c>
      <c r="AB667" s="314">
        <v>1.6482000000000001</v>
      </c>
      <c r="AC667" s="314">
        <v>1.4863</v>
      </c>
      <c r="AD667" s="314">
        <v>0</v>
      </c>
      <c r="AE667" s="314">
        <v>1.6111</v>
      </c>
      <c r="AF667" s="314">
        <v>0</v>
      </c>
      <c r="AG667" s="314">
        <v>0</v>
      </c>
      <c r="AH667" s="314">
        <v>0</v>
      </c>
      <c r="AI667" s="314">
        <v>1.5822000000000001</v>
      </c>
      <c r="AJ667" s="314">
        <v>0</v>
      </c>
      <c r="AK667" s="314">
        <v>0</v>
      </c>
      <c r="AL667" s="314">
        <v>1.3967000000000001</v>
      </c>
      <c r="AM667" s="314">
        <v>1.7609999999999999</v>
      </c>
      <c r="AN667" s="314">
        <v>0</v>
      </c>
      <c r="AO667" s="314">
        <v>0</v>
      </c>
      <c r="AP667" s="314">
        <v>1.718</v>
      </c>
      <c r="AQ667" s="314">
        <v>0</v>
      </c>
      <c r="AR667" s="314">
        <v>1.6359999999999999</v>
      </c>
      <c r="AS667" s="314">
        <v>1.258</v>
      </c>
      <c r="AT667" s="314">
        <v>1.6675</v>
      </c>
      <c r="AU667" s="314">
        <v>1.5985</v>
      </c>
      <c r="AV667" s="314">
        <v>1.4832000000000001</v>
      </c>
      <c r="AW667" s="314">
        <v>1.5012000000000001</v>
      </c>
      <c r="AX667" s="314">
        <v>0</v>
      </c>
      <c r="AY667" s="314">
        <v>1.4056</v>
      </c>
      <c r="AZ667" s="314">
        <v>1.5927</v>
      </c>
      <c r="BA667" s="314">
        <v>0</v>
      </c>
      <c r="BB667" s="314">
        <v>0</v>
      </c>
      <c r="BC667" s="314">
        <v>1.6244000000000001</v>
      </c>
      <c r="BD667" s="314">
        <v>1.6113999999999999</v>
      </c>
      <c r="BE667" s="314">
        <v>1.7713000000000001</v>
      </c>
      <c r="BF667" s="314">
        <v>1.6113</v>
      </c>
      <c r="BG667" s="314">
        <v>1.6054999999999999</v>
      </c>
      <c r="BH667" s="314">
        <v>1.6937</v>
      </c>
      <c r="BI667" s="314">
        <v>1.6433</v>
      </c>
      <c r="BJ667" s="314">
        <v>1.3914</v>
      </c>
      <c r="BK667" s="314">
        <v>1.4756</v>
      </c>
    </row>
    <row r="668" spans="1:63" x14ac:dyDescent="0.25">
      <c r="A668" s="306">
        <v>335221</v>
      </c>
      <c r="B668" s="314" t="s">
        <v>233</v>
      </c>
      <c r="C668" s="314">
        <v>2.1768000000000001</v>
      </c>
      <c r="D668" s="314">
        <v>0</v>
      </c>
      <c r="E668" s="314">
        <v>0</v>
      </c>
      <c r="F668" s="314">
        <v>0</v>
      </c>
      <c r="G668" s="314">
        <v>1.4637</v>
      </c>
      <c r="H668" s="314">
        <v>1.6516</v>
      </c>
      <c r="I668" s="314">
        <v>0</v>
      </c>
      <c r="J668" s="314">
        <v>1.6991000000000001</v>
      </c>
      <c r="K668" s="314">
        <v>0</v>
      </c>
      <c r="L668" s="314">
        <v>0</v>
      </c>
      <c r="M668" s="314">
        <v>1.403</v>
      </c>
      <c r="N668" s="314">
        <v>1.6691</v>
      </c>
      <c r="O668" s="314">
        <v>0</v>
      </c>
      <c r="P668" s="314">
        <v>1.5834999999999999</v>
      </c>
      <c r="Q668" s="314">
        <v>1.3211999999999999</v>
      </c>
      <c r="R668" s="314">
        <v>1.9559</v>
      </c>
      <c r="S668" s="314">
        <v>1.8886000000000001</v>
      </c>
      <c r="T668" s="314">
        <v>1.5027999999999999</v>
      </c>
      <c r="U668" s="314">
        <v>1.8408</v>
      </c>
      <c r="V668" s="314">
        <v>1.4453</v>
      </c>
      <c r="W668" s="314">
        <v>0</v>
      </c>
      <c r="X668" s="314">
        <v>1.47</v>
      </c>
      <c r="Y668" s="314">
        <v>0</v>
      </c>
      <c r="Z668" s="314">
        <v>0</v>
      </c>
      <c r="AA668" s="314">
        <v>0</v>
      </c>
      <c r="AB668" s="314">
        <v>1.7394000000000001</v>
      </c>
      <c r="AC668" s="314">
        <v>1.6044</v>
      </c>
      <c r="AD668" s="314">
        <v>1.1896</v>
      </c>
      <c r="AE668" s="314">
        <v>1.6768000000000001</v>
      </c>
      <c r="AF668" s="314">
        <v>0</v>
      </c>
      <c r="AG668" s="314">
        <v>0</v>
      </c>
      <c r="AH668" s="314">
        <v>0</v>
      </c>
      <c r="AI668" s="314">
        <v>1.7095</v>
      </c>
      <c r="AJ668" s="314">
        <v>0</v>
      </c>
      <c r="AK668" s="314">
        <v>1.3576999999999999</v>
      </c>
      <c r="AL668" s="314">
        <v>1.4887999999999999</v>
      </c>
      <c r="AM668" s="314">
        <v>2.0129999999999999</v>
      </c>
      <c r="AN668" s="314">
        <v>1.5002</v>
      </c>
      <c r="AO668" s="314">
        <v>1.7018</v>
      </c>
      <c r="AP668" s="314">
        <v>1.9816</v>
      </c>
      <c r="AQ668" s="314">
        <v>0</v>
      </c>
      <c r="AR668" s="314">
        <v>1.7527999999999999</v>
      </c>
      <c r="AS668" s="314">
        <v>0</v>
      </c>
      <c r="AT668" s="314">
        <v>1.8346</v>
      </c>
      <c r="AU668" s="314">
        <v>1.7283999999999999</v>
      </c>
      <c r="AV668" s="314">
        <v>1.6429</v>
      </c>
      <c r="AW668" s="314">
        <v>0</v>
      </c>
      <c r="AX668" s="314">
        <v>0</v>
      </c>
      <c r="AY668" s="314">
        <v>0</v>
      </c>
      <c r="AZ668" s="314">
        <v>1.7742</v>
      </c>
      <c r="BA668" s="314">
        <v>0</v>
      </c>
      <c r="BB668" s="314">
        <v>0</v>
      </c>
      <c r="BC668" s="314">
        <v>1.7744</v>
      </c>
      <c r="BD668" s="314">
        <v>1.8498000000000001</v>
      </c>
      <c r="BE668" s="314">
        <v>2.0278999999999998</v>
      </c>
      <c r="BF668" s="314">
        <v>1.7994000000000001</v>
      </c>
      <c r="BG668" s="314">
        <v>1.68</v>
      </c>
      <c r="BH668" s="314">
        <v>1.8882000000000001</v>
      </c>
      <c r="BI668" s="314">
        <v>1.7634000000000001</v>
      </c>
      <c r="BJ668" s="314">
        <v>1.4935</v>
      </c>
      <c r="BK668" s="314">
        <v>1.6596</v>
      </c>
    </row>
    <row r="669" spans="1:63" x14ac:dyDescent="0.25">
      <c r="A669" s="306">
        <v>335222</v>
      </c>
      <c r="B669" s="314" t="s">
        <v>234</v>
      </c>
      <c r="C669" s="314">
        <v>2.1309999999999998</v>
      </c>
      <c r="D669" s="314">
        <v>0</v>
      </c>
      <c r="E669" s="314">
        <v>1.7447999999999999</v>
      </c>
      <c r="F669" s="314">
        <v>1.7473000000000001</v>
      </c>
      <c r="G669" s="314">
        <v>1.3880999999999999</v>
      </c>
      <c r="H669" s="314">
        <v>1.5376000000000001</v>
      </c>
      <c r="I669" s="314">
        <v>0</v>
      </c>
      <c r="J669" s="314">
        <v>0</v>
      </c>
      <c r="K669" s="314">
        <v>0</v>
      </c>
      <c r="L669" s="314">
        <v>0</v>
      </c>
      <c r="M669" s="314">
        <v>1.3841000000000001</v>
      </c>
      <c r="N669" s="314">
        <v>0</v>
      </c>
      <c r="O669" s="314">
        <v>0</v>
      </c>
      <c r="P669" s="314">
        <v>1.595</v>
      </c>
      <c r="Q669" s="314">
        <v>0</v>
      </c>
      <c r="R669" s="314">
        <v>1.9046000000000001</v>
      </c>
      <c r="S669" s="314">
        <v>1.8592</v>
      </c>
      <c r="T669" s="314">
        <v>0</v>
      </c>
      <c r="U669" s="314">
        <v>1.8419000000000001</v>
      </c>
      <c r="V669" s="314">
        <v>0</v>
      </c>
      <c r="W669" s="314">
        <v>0</v>
      </c>
      <c r="X669" s="314">
        <v>0</v>
      </c>
      <c r="Y669" s="314">
        <v>0</v>
      </c>
      <c r="Z669" s="314">
        <v>1.8224</v>
      </c>
      <c r="AA669" s="314">
        <v>1.724</v>
      </c>
      <c r="AB669" s="314">
        <v>0</v>
      </c>
      <c r="AC669" s="314">
        <v>1.6704000000000001</v>
      </c>
      <c r="AD669" s="314">
        <v>0</v>
      </c>
      <c r="AE669" s="314">
        <v>0</v>
      </c>
      <c r="AF669" s="314">
        <v>0</v>
      </c>
      <c r="AG669" s="314">
        <v>0</v>
      </c>
      <c r="AH669" s="314">
        <v>0</v>
      </c>
      <c r="AI669" s="314">
        <v>0</v>
      </c>
      <c r="AJ669" s="314">
        <v>0</v>
      </c>
      <c r="AK669" s="314">
        <v>0</v>
      </c>
      <c r="AL669" s="314">
        <v>0</v>
      </c>
      <c r="AM669" s="314">
        <v>1.9777</v>
      </c>
      <c r="AN669" s="314">
        <v>0</v>
      </c>
      <c r="AO669" s="314">
        <v>0</v>
      </c>
      <c r="AP669" s="314">
        <v>0</v>
      </c>
      <c r="AQ669" s="314">
        <v>0</v>
      </c>
      <c r="AR669" s="314">
        <v>1.8213999999999999</v>
      </c>
      <c r="AS669" s="314">
        <v>0</v>
      </c>
      <c r="AT669" s="314">
        <v>0</v>
      </c>
      <c r="AU669" s="314">
        <v>1.7937000000000001</v>
      </c>
      <c r="AV669" s="314">
        <v>0</v>
      </c>
      <c r="AW669" s="314">
        <v>0</v>
      </c>
      <c r="AX669" s="314">
        <v>0</v>
      </c>
      <c r="AY669" s="314">
        <v>1.4575</v>
      </c>
      <c r="AZ669" s="314">
        <v>1.7285999999999999</v>
      </c>
      <c r="BA669" s="314">
        <v>0</v>
      </c>
      <c r="BB669" s="314">
        <v>0</v>
      </c>
      <c r="BC669" s="314">
        <v>0</v>
      </c>
      <c r="BD669" s="314">
        <v>0</v>
      </c>
      <c r="BE669" s="314">
        <v>1.9877</v>
      </c>
      <c r="BF669" s="314">
        <v>1.7453000000000001</v>
      </c>
      <c r="BG669" s="314">
        <v>1.7501</v>
      </c>
      <c r="BH669" s="314">
        <v>1.8926000000000001</v>
      </c>
      <c r="BI669" s="314">
        <v>1.8547</v>
      </c>
      <c r="BJ669" s="314">
        <v>1.4412</v>
      </c>
      <c r="BK669" s="314">
        <v>1.5409999999999999</v>
      </c>
    </row>
    <row r="670" spans="1:63" x14ac:dyDescent="0.25">
      <c r="A670" s="306">
        <v>335224</v>
      </c>
      <c r="B670" s="314" t="s">
        <v>235</v>
      </c>
      <c r="C670" s="314">
        <v>1.9275</v>
      </c>
      <c r="D670" s="314">
        <v>0</v>
      </c>
      <c r="E670" s="314">
        <v>0</v>
      </c>
      <c r="F670" s="314">
        <v>0</v>
      </c>
      <c r="G670" s="314">
        <v>0</v>
      </c>
      <c r="H670" s="314">
        <v>1.4673</v>
      </c>
      <c r="I670" s="314">
        <v>0</v>
      </c>
      <c r="J670" s="314">
        <v>0</v>
      </c>
      <c r="K670" s="314">
        <v>0</v>
      </c>
      <c r="L670" s="314">
        <v>0</v>
      </c>
      <c r="M670" s="314">
        <v>1.3081</v>
      </c>
      <c r="N670" s="314">
        <v>0</v>
      </c>
      <c r="O670" s="314">
        <v>0</v>
      </c>
      <c r="P670" s="314">
        <v>1.44</v>
      </c>
      <c r="Q670" s="314">
        <v>0</v>
      </c>
      <c r="R670" s="314">
        <v>1.7725</v>
      </c>
      <c r="S670" s="314">
        <v>0</v>
      </c>
      <c r="T670" s="314">
        <v>0</v>
      </c>
      <c r="U670" s="314">
        <v>0</v>
      </c>
      <c r="V670" s="314">
        <v>0</v>
      </c>
      <c r="W670" s="314">
        <v>0</v>
      </c>
      <c r="X670" s="314">
        <v>0</v>
      </c>
      <c r="Y670" s="314">
        <v>0</v>
      </c>
      <c r="Z670" s="314">
        <v>1.6814</v>
      </c>
      <c r="AA670" s="314">
        <v>0</v>
      </c>
      <c r="AB670" s="314">
        <v>0</v>
      </c>
      <c r="AC670" s="314">
        <v>0</v>
      </c>
      <c r="AD670" s="314">
        <v>0</v>
      </c>
      <c r="AE670" s="314">
        <v>0</v>
      </c>
      <c r="AF670" s="314">
        <v>0</v>
      </c>
      <c r="AG670" s="314">
        <v>0</v>
      </c>
      <c r="AH670" s="314">
        <v>0</v>
      </c>
      <c r="AI670" s="314">
        <v>1.5038</v>
      </c>
      <c r="AJ670" s="314">
        <v>0</v>
      </c>
      <c r="AK670" s="314">
        <v>0</v>
      </c>
      <c r="AL670" s="314">
        <v>1.3623000000000001</v>
      </c>
      <c r="AM670" s="314">
        <v>1.8028999999999999</v>
      </c>
      <c r="AN670" s="314">
        <v>0</v>
      </c>
      <c r="AO670" s="314">
        <v>0</v>
      </c>
      <c r="AP670" s="314">
        <v>0</v>
      </c>
      <c r="AQ670" s="314">
        <v>0</v>
      </c>
      <c r="AR670" s="314">
        <v>0</v>
      </c>
      <c r="AS670" s="314">
        <v>0</v>
      </c>
      <c r="AT670" s="314">
        <v>0</v>
      </c>
      <c r="AU670" s="314">
        <v>0</v>
      </c>
      <c r="AV670" s="314">
        <v>0</v>
      </c>
      <c r="AW670" s="314">
        <v>1.4770000000000001</v>
      </c>
      <c r="AX670" s="314">
        <v>0</v>
      </c>
      <c r="AY670" s="314">
        <v>0</v>
      </c>
      <c r="AZ670" s="314">
        <v>0</v>
      </c>
      <c r="BA670" s="314">
        <v>0</v>
      </c>
      <c r="BB670" s="314">
        <v>0</v>
      </c>
      <c r="BC670" s="314">
        <v>0</v>
      </c>
      <c r="BD670" s="314">
        <v>1.6246</v>
      </c>
      <c r="BE670" s="314">
        <v>1.8102</v>
      </c>
      <c r="BF670" s="314">
        <v>1.6026</v>
      </c>
      <c r="BG670" s="314">
        <v>1.5705</v>
      </c>
      <c r="BH670" s="314">
        <v>0</v>
      </c>
      <c r="BI670" s="314">
        <v>0</v>
      </c>
      <c r="BJ670" s="314">
        <v>0</v>
      </c>
      <c r="BK670" s="314">
        <v>1.4814000000000001</v>
      </c>
    </row>
    <row r="671" spans="1:63" x14ac:dyDescent="0.25">
      <c r="A671" s="306">
        <v>335228</v>
      </c>
      <c r="B671" s="314" t="s">
        <v>236</v>
      </c>
      <c r="C671" s="314">
        <v>1.9797</v>
      </c>
      <c r="D671" s="314">
        <v>0</v>
      </c>
      <c r="E671" s="314">
        <v>1.6198999999999999</v>
      </c>
      <c r="F671" s="314">
        <v>0</v>
      </c>
      <c r="G671" s="314">
        <v>0</v>
      </c>
      <c r="H671" s="314">
        <v>1.5444</v>
      </c>
      <c r="I671" s="314">
        <v>0</v>
      </c>
      <c r="J671" s="314">
        <v>1.5973999999999999</v>
      </c>
      <c r="K671" s="314">
        <v>0</v>
      </c>
      <c r="L671" s="314">
        <v>0</v>
      </c>
      <c r="M671" s="314">
        <v>1.3652</v>
      </c>
      <c r="N671" s="314">
        <v>0</v>
      </c>
      <c r="O671" s="314">
        <v>0</v>
      </c>
      <c r="P671" s="314">
        <v>0</v>
      </c>
      <c r="Q671" s="314">
        <v>0</v>
      </c>
      <c r="R671" s="314">
        <v>0</v>
      </c>
      <c r="S671" s="314">
        <v>0</v>
      </c>
      <c r="T671" s="314">
        <v>0</v>
      </c>
      <c r="U671" s="314">
        <v>1.6664000000000001</v>
      </c>
      <c r="V671" s="314">
        <v>1.4486000000000001</v>
      </c>
      <c r="W671" s="314">
        <v>1.6163000000000001</v>
      </c>
      <c r="X671" s="314">
        <v>1.4437</v>
      </c>
      <c r="Y671" s="314">
        <v>0</v>
      </c>
      <c r="Z671" s="314">
        <v>1.7279</v>
      </c>
      <c r="AA671" s="314">
        <v>1.6359999999999999</v>
      </c>
      <c r="AB671" s="314">
        <v>0</v>
      </c>
      <c r="AC671" s="314">
        <v>1.4917</v>
      </c>
      <c r="AD671" s="314">
        <v>0</v>
      </c>
      <c r="AE671" s="314">
        <v>1.5992</v>
      </c>
      <c r="AF671" s="314">
        <v>0</v>
      </c>
      <c r="AG671" s="314">
        <v>0</v>
      </c>
      <c r="AH671" s="314">
        <v>1.5638000000000001</v>
      </c>
      <c r="AI671" s="314">
        <v>1.6153999999999999</v>
      </c>
      <c r="AJ671" s="314">
        <v>0</v>
      </c>
      <c r="AK671" s="314">
        <v>0</v>
      </c>
      <c r="AL671" s="314">
        <v>1.4285000000000001</v>
      </c>
      <c r="AM671" s="314">
        <v>1.8179000000000001</v>
      </c>
      <c r="AN671" s="314">
        <v>0</v>
      </c>
      <c r="AO671" s="314">
        <v>0</v>
      </c>
      <c r="AP671" s="314">
        <v>1.7750999999999999</v>
      </c>
      <c r="AQ671" s="314">
        <v>0</v>
      </c>
      <c r="AR671" s="314">
        <v>1.6326000000000001</v>
      </c>
      <c r="AS671" s="314">
        <v>0</v>
      </c>
      <c r="AT671" s="314">
        <v>1.6976</v>
      </c>
      <c r="AU671" s="314">
        <v>1.6413</v>
      </c>
      <c r="AV671" s="314">
        <v>0</v>
      </c>
      <c r="AW671" s="314">
        <v>0</v>
      </c>
      <c r="AX671" s="314">
        <v>0</v>
      </c>
      <c r="AY671" s="314">
        <v>1.4333</v>
      </c>
      <c r="AZ671" s="314">
        <v>1.6033999999999999</v>
      </c>
      <c r="BA671" s="314">
        <v>0</v>
      </c>
      <c r="BB671" s="314">
        <v>0</v>
      </c>
      <c r="BC671" s="314">
        <v>1.6718</v>
      </c>
      <c r="BD671" s="314">
        <v>1.6868000000000001</v>
      </c>
      <c r="BE671" s="314">
        <v>1.8349</v>
      </c>
      <c r="BF671" s="314">
        <v>1.6405000000000001</v>
      </c>
      <c r="BG671" s="314">
        <v>1.6080000000000001</v>
      </c>
      <c r="BH671" s="314">
        <v>1.7143999999999999</v>
      </c>
      <c r="BI671" s="314">
        <v>1.68</v>
      </c>
      <c r="BJ671" s="314">
        <v>0</v>
      </c>
      <c r="BK671" s="314">
        <v>1.5452999999999999</v>
      </c>
    </row>
    <row r="672" spans="1:63" x14ac:dyDescent="0.25">
      <c r="A672" s="306">
        <v>335311</v>
      </c>
      <c r="B672" s="314" t="s">
        <v>237</v>
      </c>
      <c r="C672" s="314">
        <v>1.9246000000000001</v>
      </c>
      <c r="D672" s="314">
        <v>1.1501999999999999</v>
      </c>
      <c r="E672" s="314">
        <v>1.6188</v>
      </c>
      <c r="F672" s="314">
        <v>1.6339999999999999</v>
      </c>
      <c r="G672" s="314">
        <v>1.3846000000000001</v>
      </c>
      <c r="H672" s="314">
        <v>1.48</v>
      </c>
      <c r="I672" s="314">
        <v>1.4654</v>
      </c>
      <c r="J672" s="314">
        <v>1.542</v>
      </c>
      <c r="K672" s="314">
        <v>0</v>
      </c>
      <c r="L672" s="314">
        <v>0</v>
      </c>
      <c r="M672" s="314">
        <v>1.3384</v>
      </c>
      <c r="N672" s="314">
        <v>1.5629999999999999</v>
      </c>
      <c r="O672" s="314">
        <v>0</v>
      </c>
      <c r="P672" s="314">
        <v>1.4473</v>
      </c>
      <c r="Q672" s="314">
        <v>1.2458</v>
      </c>
      <c r="R672" s="314">
        <v>1.7718</v>
      </c>
      <c r="S672" s="314">
        <v>1.6733</v>
      </c>
      <c r="T672" s="314">
        <v>1.4301999999999999</v>
      </c>
      <c r="U672" s="314">
        <v>1.6618999999999999</v>
      </c>
      <c r="V672" s="314">
        <v>1.4569000000000001</v>
      </c>
      <c r="W672" s="314">
        <v>1.5445</v>
      </c>
      <c r="X672" s="314">
        <v>1.4415</v>
      </c>
      <c r="Y672" s="314">
        <v>0</v>
      </c>
      <c r="Z672" s="314">
        <v>1.67</v>
      </c>
      <c r="AA672" s="314">
        <v>1.4564999999999999</v>
      </c>
      <c r="AB672" s="314">
        <v>1.5379</v>
      </c>
      <c r="AC672" s="314">
        <v>1.5477000000000001</v>
      </c>
      <c r="AD672" s="314">
        <v>0</v>
      </c>
      <c r="AE672" s="314">
        <v>1.5639000000000001</v>
      </c>
      <c r="AF672" s="314">
        <v>0</v>
      </c>
      <c r="AG672" s="314">
        <v>0</v>
      </c>
      <c r="AH672" s="314">
        <v>1.5218</v>
      </c>
      <c r="AI672" s="314">
        <v>1.5634999999999999</v>
      </c>
      <c r="AJ672" s="314">
        <v>1.216</v>
      </c>
      <c r="AK672" s="314">
        <v>0</v>
      </c>
      <c r="AL672" s="314">
        <v>1.4694</v>
      </c>
      <c r="AM672" s="314">
        <v>1.7706999999999999</v>
      </c>
      <c r="AN672" s="314">
        <v>1.5649999999999999</v>
      </c>
      <c r="AO672" s="314">
        <v>1.554</v>
      </c>
      <c r="AP672" s="314">
        <v>1.7941</v>
      </c>
      <c r="AQ672" s="314">
        <v>0</v>
      </c>
      <c r="AR672" s="314">
        <v>1.6375999999999999</v>
      </c>
      <c r="AS672" s="314">
        <v>1.1953</v>
      </c>
      <c r="AT672" s="314">
        <v>1.6047</v>
      </c>
      <c r="AU672" s="314">
        <v>1.6242000000000001</v>
      </c>
      <c r="AV672" s="314">
        <v>1.5761000000000001</v>
      </c>
      <c r="AW672" s="314">
        <v>1.4496</v>
      </c>
      <c r="AX672" s="314">
        <v>1.3178000000000001</v>
      </c>
      <c r="AY672" s="314">
        <v>1.3782000000000001</v>
      </c>
      <c r="AZ672" s="314">
        <v>1.4741</v>
      </c>
      <c r="BA672" s="314">
        <v>1.4689000000000001</v>
      </c>
      <c r="BB672" s="314">
        <v>0</v>
      </c>
      <c r="BC672" s="314">
        <v>1.5647</v>
      </c>
      <c r="BD672" s="314">
        <v>1.7471000000000001</v>
      </c>
      <c r="BE672" s="314">
        <v>1.7962</v>
      </c>
      <c r="BF672" s="314">
        <v>1.5268999999999999</v>
      </c>
      <c r="BG672" s="314">
        <v>1.5765</v>
      </c>
      <c r="BH672" s="314">
        <v>1.6919999999999999</v>
      </c>
      <c r="BI672" s="314">
        <v>1.6990000000000001</v>
      </c>
      <c r="BJ672" s="314">
        <v>1.4328000000000001</v>
      </c>
      <c r="BK672" s="314">
        <v>1.4876</v>
      </c>
    </row>
    <row r="673" spans="1:63" x14ac:dyDescent="0.25">
      <c r="A673" s="306">
        <v>335312</v>
      </c>
      <c r="B673" s="314" t="s">
        <v>238</v>
      </c>
      <c r="C673" s="314">
        <v>1.8593</v>
      </c>
      <c r="D673" s="314">
        <v>0</v>
      </c>
      <c r="E673" s="314">
        <v>1.5739000000000001</v>
      </c>
      <c r="F673" s="314">
        <v>1.5391999999999999</v>
      </c>
      <c r="G673" s="314">
        <v>1.3302</v>
      </c>
      <c r="H673" s="314">
        <v>1.4253</v>
      </c>
      <c r="I673" s="314">
        <v>1.4000999999999999</v>
      </c>
      <c r="J673" s="314">
        <v>1.5134000000000001</v>
      </c>
      <c r="K673" s="314">
        <v>0</v>
      </c>
      <c r="L673" s="314">
        <v>1.3803000000000001</v>
      </c>
      <c r="M673" s="314">
        <v>1.2836000000000001</v>
      </c>
      <c r="N673" s="314">
        <v>1.4850000000000001</v>
      </c>
      <c r="O673" s="314">
        <v>0</v>
      </c>
      <c r="P673" s="314">
        <v>1.4470000000000001</v>
      </c>
      <c r="Q673" s="314">
        <v>1.2267999999999999</v>
      </c>
      <c r="R673" s="314">
        <v>1.7343</v>
      </c>
      <c r="S673" s="314">
        <v>1.6462000000000001</v>
      </c>
      <c r="T673" s="314">
        <v>1.3684000000000001</v>
      </c>
      <c r="U673" s="314">
        <v>1.6319999999999999</v>
      </c>
      <c r="V673" s="314">
        <v>1.3394999999999999</v>
      </c>
      <c r="W673" s="314">
        <v>1.4786999999999999</v>
      </c>
      <c r="X673" s="314">
        <v>1.3489</v>
      </c>
      <c r="Y673" s="314">
        <v>1.2536</v>
      </c>
      <c r="Z673" s="314">
        <v>1.6472</v>
      </c>
      <c r="AA673" s="314">
        <v>1.4625999999999999</v>
      </c>
      <c r="AB673" s="314">
        <v>1.5376000000000001</v>
      </c>
      <c r="AC673" s="314">
        <v>1.464</v>
      </c>
      <c r="AD673" s="314">
        <v>1.1500999999999999</v>
      </c>
      <c r="AE673" s="314">
        <v>1.54</v>
      </c>
      <c r="AF673" s="314">
        <v>0</v>
      </c>
      <c r="AG673" s="314">
        <v>1.3099000000000001</v>
      </c>
      <c r="AH673" s="314">
        <v>1.4919</v>
      </c>
      <c r="AI673" s="314">
        <v>1.4577</v>
      </c>
      <c r="AJ673" s="314">
        <v>1.1755</v>
      </c>
      <c r="AK673" s="314">
        <v>1.2612000000000001</v>
      </c>
      <c r="AL673" s="314">
        <v>1.3984000000000001</v>
      </c>
      <c r="AM673" s="314">
        <v>1.7279</v>
      </c>
      <c r="AN673" s="314">
        <v>1.4722</v>
      </c>
      <c r="AO673" s="314">
        <v>1.4605999999999999</v>
      </c>
      <c r="AP673" s="314">
        <v>1.6942999999999999</v>
      </c>
      <c r="AQ673" s="314">
        <v>0</v>
      </c>
      <c r="AR673" s="314">
        <v>1.5783</v>
      </c>
      <c r="AS673" s="314">
        <v>0</v>
      </c>
      <c r="AT673" s="314">
        <v>1.6034999999999999</v>
      </c>
      <c r="AU673" s="314">
        <v>1.5221</v>
      </c>
      <c r="AV673" s="314">
        <v>1.4937</v>
      </c>
      <c r="AW673" s="314">
        <v>1.4174</v>
      </c>
      <c r="AX673" s="314">
        <v>0</v>
      </c>
      <c r="AY673" s="314">
        <v>1.3239000000000001</v>
      </c>
      <c r="AZ673" s="314">
        <v>1.5496000000000001</v>
      </c>
      <c r="BA673" s="314">
        <v>1.4087000000000001</v>
      </c>
      <c r="BB673" s="314">
        <v>1.1597</v>
      </c>
      <c r="BC673" s="314">
        <v>1.5278</v>
      </c>
      <c r="BD673" s="314">
        <v>1.6105</v>
      </c>
      <c r="BE673" s="314">
        <v>1.7545999999999999</v>
      </c>
      <c r="BF673" s="314">
        <v>1.5286</v>
      </c>
      <c r="BG673" s="314">
        <v>1.5121</v>
      </c>
      <c r="BH673" s="314">
        <v>1.6554</v>
      </c>
      <c r="BI673" s="314">
        <v>1.5707</v>
      </c>
      <c r="BJ673" s="314">
        <v>1.3775999999999999</v>
      </c>
      <c r="BK673" s="314">
        <v>1.4336</v>
      </c>
    </row>
    <row r="674" spans="1:63" x14ac:dyDescent="0.25">
      <c r="A674" s="306">
        <v>335313</v>
      </c>
      <c r="B674" s="314" t="s">
        <v>239</v>
      </c>
      <c r="C674" s="314">
        <v>1.7307999999999999</v>
      </c>
      <c r="D674" s="314">
        <v>1.1168</v>
      </c>
      <c r="E674" s="314">
        <v>1.4118999999999999</v>
      </c>
      <c r="F674" s="314">
        <v>1.3583000000000001</v>
      </c>
      <c r="G674" s="314">
        <v>1.3289</v>
      </c>
      <c r="H674" s="314">
        <v>1.4277</v>
      </c>
      <c r="I674" s="314">
        <v>1.3640000000000001</v>
      </c>
      <c r="J674" s="314">
        <v>1.5168999999999999</v>
      </c>
      <c r="K674" s="314">
        <v>0</v>
      </c>
      <c r="L674" s="314">
        <v>1.3117000000000001</v>
      </c>
      <c r="M674" s="314">
        <v>1.327</v>
      </c>
      <c r="N674" s="314">
        <v>1.4257</v>
      </c>
      <c r="O674" s="314">
        <v>0</v>
      </c>
      <c r="P674" s="314">
        <v>1.3278000000000001</v>
      </c>
      <c r="Q674" s="314">
        <v>0</v>
      </c>
      <c r="R674" s="314">
        <v>1.6044</v>
      </c>
      <c r="S674" s="314">
        <v>1.4776</v>
      </c>
      <c r="T674" s="314">
        <v>1.3452</v>
      </c>
      <c r="U674" s="314">
        <v>1.466</v>
      </c>
      <c r="V674" s="314">
        <v>1.3299000000000001</v>
      </c>
      <c r="W674" s="314">
        <v>1.5077</v>
      </c>
      <c r="X674" s="314">
        <v>1.3176000000000001</v>
      </c>
      <c r="Y674" s="314">
        <v>1.3134999999999999</v>
      </c>
      <c r="Z674" s="314">
        <v>1.5263</v>
      </c>
      <c r="AA674" s="314">
        <v>1.4816</v>
      </c>
      <c r="AB674" s="314">
        <v>1.458</v>
      </c>
      <c r="AC674" s="314">
        <v>1.3492999999999999</v>
      </c>
      <c r="AD674" s="314">
        <v>0</v>
      </c>
      <c r="AE674" s="314">
        <v>1.4811000000000001</v>
      </c>
      <c r="AF674" s="314">
        <v>0</v>
      </c>
      <c r="AG674" s="314">
        <v>1.2629999999999999</v>
      </c>
      <c r="AH674" s="314">
        <v>1.4450000000000001</v>
      </c>
      <c r="AI674" s="314">
        <v>1.4249000000000001</v>
      </c>
      <c r="AJ674" s="314">
        <v>1.1666000000000001</v>
      </c>
      <c r="AK674" s="314">
        <v>1.2750999999999999</v>
      </c>
      <c r="AL674" s="314">
        <v>1.3594999999999999</v>
      </c>
      <c r="AM674" s="314">
        <v>1.6077999999999999</v>
      </c>
      <c r="AN674" s="314">
        <v>1.3528</v>
      </c>
      <c r="AO674" s="314">
        <v>1.4399</v>
      </c>
      <c r="AP674" s="314">
        <v>1.6174999999999999</v>
      </c>
      <c r="AQ674" s="314">
        <v>0</v>
      </c>
      <c r="AR674" s="314">
        <v>1.4761</v>
      </c>
      <c r="AS674" s="314">
        <v>1.2099</v>
      </c>
      <c r="AT674" s="314">
        <v>1.4741</v>
      </c>
      <c r="AU674" s="314">
        <v>1.5116000000000001</v>
      </c>
      <c r="AV674" s="314">
        <v>1.4060999999999999</v>
      </c>
      <c r="AW674" s="314">
        <v>1.421</v>
      </c>
      <c r="AX674" s="314">
        <v>0</v>
      </c>
      <c r="AY674" s="314">
        <v>1.3805000000000001</v>
      </c>
      <c r="AZ674" s="314">
        <v>1.5012000000000001</v>
      </c>
      <c r="BA674" s="314">
        <v>1.3514999999999999</v>
      </c>
      <c r="BB674" s="314">
        <v>1.153</v>
      </c>
      <c r="BC674" s="314">
        <v>1.5383</v>
      </c>
      <c r="BD674" s="314">
        <v>1.5402</v>
      </c>
      <c r="BE674" s="314">
        <v>1.6276999999999999</v>
      </c>
      <c r="BF674" s="314">
        <v>1.4684999999999999</v>
      </c>
      <c r="BG674" s="314">
        <v>1.4972000000000001</v>
      </c>
      <c r="BH674" s="314">
        <v>1.4899</v>
      </c>
      <c r="BI674" s="314">
        <v>1.526</v>
      </c>
      <c r="BJ674" s="314">
        <v>1.3633999999999999</v>
      </c>
      <c r="BK674" s="314">
        <v>1.4379999999999999</v>
      </c>
    </row>
    <row r="675" spans="1:63" x14ac:dyDescent="0.25">
      <c r="A675" s="306">
        <v>335314</v>
      </c>
      <c r="B675" s="314" t="s">
        <v>9</v>
      </c>
      <c r="C675" s="314">
        <v>1.7321</v>
      </c>
      <c r="D675" s="314">
        <v>1.1193</v>
      </c>
      <c r="E675" s="314">
        <v>1.3812</v>
      </c>
      <c r="F675" s="314">
        <v>1.3526</v>
      </c>
      <c r="G675" s="314">
        <v>1.3585</v>
      </c>
      <c r="H675" s="314">
        <v>1.4738</v>
      </c>
      <c r="I675" s="314">
        <v>1.429</v>
      </c>
      <c r="J675" s="314">
        <v>1.5758000000000001</v>
      </c>
      <c r="K675" s="314">
        <v>0</v>
      </c>
      <c r="L675" s="314">
        <v>1.2928999999999999</v>
      </c>
      <c r="M675" s="314">
        <v>1.3817999999999999</v>
      </c>
      <c r="N675" s="314">
        <v>1.4117999999999999</v>
      </c>
      <c r="O675" s="314">
        <v>0</v>
      </c>
      <c r="P675" s="314">
        <v>1.2879</v>
      </c>
      <c r="Q675" s="314">
        <v>1.2255</v>
      </c>
      <c r="R675" s="314">
        <v>1.6352</v>
      </c>
      <c r="S675" s="314">
        <v>1.4489000000000001</v>
      </c>
      <c r="T675" s="314">
        <v>1.3505</v>
      </c>
      <c r="U675" s="314">
        <v>1.4247000000000001</v>
      </c>
      <c r="V675" s="314">
        <v>1.3267</v>
      </c>
      <c r="W675" s="314">
        <v>1.5848</v>
      </c>
      <c r="X675" s="314">
        <v>1.3134999999999999</v>
      </c>
      <c r="Y675" s="314">
        <v>1.3533999999999999</v>
      </c>
      <c r="Z675" s="314">
        <v>1.538</v>
      </c>
      <c r="AA675" s="314">
        <v>1.5488999999999999</v>
      </c>
      <c r="AB675" s="314">
        <v>1.4374</v>
      </c>
      <c r="AC675" s="314">
        <v>1.3179000000000001</v>
      </c>
      <c r="AD675" s="314">
        <v>0</v>
      </c>
      <c r="AE675" s="314">
        <v>1.5394000000000001</v>
      </c>
      <c r="AF675" s="314">
        <v>1.2299</v>
      </c>
      <c r="AG675" s="314">
        <v>1.2632000000000001</v>
      </c>
      <c r="AH675" s="314">
        <v>1.5242</v>
      </c>
      <c r="AI675" s="314">
        <v>1.4486000000000001</v>
      </c>
      <c r="AJ675" s="314">
        <v>1.1932</v>
      </c>
      <c r="AK675" s="314">
        <v>1.3077000000000001</v>
      </c>
      <c r="AL675" s="314">
        <v>1.4179999999999999</v>
      </c>
      <c r="AM675" s="314">
        <v>1.6106</v>
      </c>
      <c r="AN675" s="314">
        <v>1.3325</v>
      </c>
      <c r="AO675" s="314">
        <v>1.4711000000000001</v>
      </c>
      <c r="AP675" s="314">
        <v>1.6279999999999999</v>
      </c>
      <c r="AQ675" s="314">
        <v>1.3537999999999999</v>
      </c>
      <c r="AR675" s="314">
        <v>1.4722999999999999</v>
      </c>
      <c r="AS675" s="314">
        <v>1.2538</v>
      </c>
      <c r="AT675" s="314">
        <v>1.4428000000000001</v>
      </c>
      <c r="AU675" s="314">
        <v>1.5011000000000001</v>
      </c>
      <c r="AV675" s="314">
        <v>1.4217</v>
      </c>
      <c r="AW675" s="314">
        <v>1.4644999999999999</v>
      </c>
      <c r="AX675" s="314">
        <v>1.28</v>
      </c>
      <c r="AY675" s="314">
        <v>1.4393</v>
      </c>
      <c r="AZ675" s="314">
        <v>1.5513999999999999</v>
      </c>
      <c r="BA675" s="314">
        <v>1.345</v>
      </c>
      <c r="BB675" s="314">
        <v>1.1508</v>
      </c>
      <c r="BC675" s="314">
        <v>1.6095999999999999</v>
      </c>
      <c r="BD675" s="314">
        <v>1.5719000000000001</v>
      </c>
      <c r="BE675" s="314">
        <v>1.6364000000000001</v>
      </c>
      <c r="BF675" s="314">
        <v>1.4822</v>
      </c>
      <c r="BG675" s="314">
        <v>1.5407</v>
      </c>
      <c r="BH675" s="314">
        <v>1.4493</v>
      </c>
      <c r="BI675" s="314">
        <v>1.5068999999999999</v>
      </c>
      <c r="BJ675" s="314">
        <v>1.4000999999999999</v>
      </c>
      <c r="BK675" s="314">
        <v>1.4866999999999999</v>
      </c>
    </row>
    <row r="676" spans="1:63" x14ac:dyDescent="0.25">
      <c r="A676" s="306">
        <v>335911</v>
      </c>
      <c r="B676" s="314" t="s">
        <v>240</v>
      </c>
      <c r="C676" s="314">
        <v>1.8704000000000001</v>
      </c>
      <c r="D676" s="314">
        <v>0</v>
      </c>
      <c r="E676" s="314">
        <v>0</v>
      </c>
      <c r="F676" s="314">
        <v>1.4712000000000001</v>
      </c>
      <c r="G676" s="314">
        <v>1.4171</v>
      </c>
      <c r="H676" s="314">
        <v>1.5089999999999999</v>
      </c>
      <c r="I676" s="314">
        <v>1.4854000000000001</v>
      </c>
      <c r="J676" s="314">
        <v>1.5570999999999999</v>
      </c>
      <c r="K676" s="314">
        <v>0</v>
      </c>
      <c r="L676" s="314">
        <v>1.4271</v>
      </c>
      <c r="M676" s="314">
        <v>1.3886000000000001</v>
      </c>
      <c r="N676" s="314">
        <v>1.5643</v>
      </c>
      <c r="O676" s="314">
        <v>0</v>
      </c>
      <c r="P676" s="314">
        <v>1.3608</v>
      </c>
      <c r="Q676" s="314">
        <v>0</v>
      </c>
      <c r="R676" s="314">
        <v>1.6358999999999999</v>
      </c>
      <c r="S676" s="314">
        <v>1.56</v>
      </c>
      <c r="T676" s="314">
        <v>1.3935999999999999</v>
      </c>
      <c r="U676" s="314">
        <v>1.5597000000000001</v>
      </c>
      <c r="V676" s="314">
        <v>0</v>
      </c>
      <c r="W676" s="314">
        <v>0</v>
      </c>
      <c r="X676" s="314">
        <v>0</v>
      </c>
      <c r="Y676" s="314">
        <v>0</v>
      </c>
      <c r="Z676" s="314">
        <v>1.5963000000000001</v>
      </c>
      <c r="AA676" s="314">
        <v>1.5542</v>
      </c>
      <c r="AB676" s="314">
        <v>1.6418999999999999</v>
      </c>
      <c r="AC676" s="314">
        <v>1.3976</v>
      </c>
      <c r="AD676" s="314">
        <v>0</v>
      </c>
      <c r="AE676" s="314">
        <v>1.5599000000000001</v>
      </c>
      <c r="AF676" s="314">
        <v>0</v>
      </c>
      <c r="AG676" s="314">
        <v>0</v>
      </c>
      <c r="AH676" s="314">
        <v>0</v>
      </c>
      <c r="AI676" s="314">
        <v>1.6302000000000001</v>
      </c>
      <c r="AJ676" s="314">
        <v>0</v>
      </c>
      <c r="AK676" s="314">
        <v>0</v>
      </c>
      <c r="AL676" s="314">
        <v>0</v>
      </c>
      <c r="AM676" s="314">
        <v>1.6997</v>
      </c>
      <c r="AN676" s="314">
        <v>1.3972</v>
      </c>
      <c r="AO676" s="314">
        <v>1.5471999999999999</v>
      </c>
      <c r="AP676" s="314">
        <v>1.7270000000000001</v>
      </c>
      <c r="AQ676" s="314">
        <v>1.5610999999999999</v>
      </c>
      <c r="AR676" s="314">
        <v>1.5469999999999999</v>
      </c>
      <c r="AS676" s="314">
        <v>0</v>
      </c>
      <c r="AT676" s="314">
        <v>1.609</v>
      </c>
      <c r="AU676" s="314">
        <v>1.6037999999999999</v>
      </c>
      <c r="AV676" s="314">
        <v>1.6272</v>
      </c>
      <c r="AW676" s="314">
        <v>0</v>
      </c>
      <c r="AX676" s="314">
        <v>0</v>
      </c>
      <c r="AY676" s="314">
        <v>1.5031000000000001</v>
      </c>
      <c r="AZ676" s="314">
        <v>1.4986999999999999</v>
      </c>
      <c r="BA676" s="314">
        <v>1.4423999999999999</v>
      </c>
      <c r="BB676" s="314">
        <v>0</v>
      </c>
      <c r="BC676" s="314">
        <v>1.6293</v>
      </c>
      <c r="BD676" s="314">
        <v>1.6776</v>
      </c>
      <c r="BE676" s="314">
        <v>1.7051000000000001</v>
      </c>
      <c r="BF676" s="314">
        <v>1.5731999999999999</v>
      </c>
      <c r="BG676" s="314">
        <v>1.5887</v>
      </c>
      <c r="BH676" s="314">
        <v>1.6463000000000001</v>
      </c>
      <c r="BI676" s="314">
        <v>1.6048</v>
      </c>
      <c r="BJ676" s="314">
        <v>1.5630999999999999</v>
      </c>
      <c r="BK676" s="314">
        <v>1.5702</v>
      </c>
    </row>
    <row r="677" spans="1:63" x14ac:dyDescent="0.25">
      <c r="A677" s="306">
        <v>335912</v>
      </c>
      <c r="B677" s="314" t="s">
        <v>241</v>
      </c>
      <c r="C677" s="314">
        <v>1.7072000000000001</v>
      </c>
      <c r="D677" s="314">
        <v>0</v>
      </c>
      <c r="E677" s="314">
        <v>1.4721</v>
      </c>
      <c r="F677" s="314">
        <v>0</v>
      </c>
      <c r="G677" s="314">
        <v>1.2814000000000001</v>
      </c>
      <c r="H677" s="314">
        <v>1.3848</v>
      </c>
      <c r="I677" s="314">
        <v>1.2969999999999999</v>
      </c>
      <c r="J677" s="314">
        <v>1.4554</v>
      </c>
      <c r="K677" s="314">
        <v>0</v>
      </c>
      <c r="L677" s="314">
        <v>0</v>
      </c>
      <c r="M677" s="314">
        <v>1.2351000000000001</v>
      </c>
      <c r="N677" s="314">
        <v>1.3723000000000001</v>
      </c>
      <c r="O677" s="314">
        <v>0</v>
      </c>
      <c r="P677" s="314">
        <v>1.3504</v>
      </c>
      <c r="Q677" s="314">
        <v>0</v>
      </c>
      <c r="R677" s="314">
        <v>1.5402</v>
      </c>
      <c r="S677" s="314">
        <v>1.5121</v>
      </c>
      <c r="T677" s="314">
        <v>0</v>
      </c>
      <c r="U677" s="314">
        <v>1.5214000000000001</v>
      </c>
      <c r="V677" s="314">
        <v>0</v>
      </c>
      <c r="W677" s="314">
        <v>1.4461999999999999</v>
      </c>
      <c r="X677" s="314">
        <v>0</v>
      </c>
      <c r="Y677" s="314">
        <v>0</v>
      </c>
      <c r="Z677" s="314">
        <v>0</v>
      </c>
      <c r="AA677" s="314">
        <v>1.4213</v>
      </c>
      <c r="AB677" s="314">
        <v>1.4341999999999999</v>
      </c>
      <c r="AC677" s="314">
        <v>0</v>
      </c>
      <c r="AD677" s="314">
        <v>0</v>
      </c>
      <c r="AE677" s="314">
        <v>1.4379</v>
      </c>
      <c r="AF677" s="314">
        <v>0</v>
      </c>
      <c r="AG677" s="314">
        <v>0</v>
      </c>
      <c r="AH677" s="314">
        <v>0</v>
      </c>
      <c r="AI677" s="314">
        <v>1.4353</v>
      </c>
      <c r="AJ677" s="314">
        <v>0</v>
      </c>
      <c r="AK677" s="314">
        <v>1.2363999999999999</v>
      </c>
      <c r="AL677" s="314">
        <v>1.3291999999999999</v>
      </c>
      <c r="AM677" s="314">
        <v>0</v>
      </c>
      <c r="AN677" s="314">
        <v>0</v>
      </c>
      <c r="AO677" s="314">
        <v>0</v>
      </c>
      <c r="AP677" s="314">
        <v>1.6065</v>
      </c>
      <c r="AQ677" s="314">
        <v>0</v>
      </c>
      <c r="AR677" s="314">
        <v>1.4666999999999999</v>
      </c>
      <c r="AS677" s="314">
        <v>0</v>
      </c>
      <c r="AT677" s="314">
        <v>1.5288999999999999</v>
      </c>
      <c r="AU677" s="314">
        <v>1.4246000000000001</v>
      </c>
      <c r="AV677" s="314">
        <v>0</v>
      </c>
      <c r="AW677" s="314">
        <v>0</v>
      </c>
      <c r="AX677" s="314">
        <v>1.2688999999999999</v>
      </c>
      <c r="AY677" s="314">
        <v>0</v>
      </c>
      <c r="AZ677" s="314">
        <v>1.4638</v>
      </c>
      <c r="BA677" s="314">
        <v>0</v>
      </c>
      <c r="BB677" s="314">
        <v>0</v>
      </c>
      <c r="BC677" s="314">
        <v>1.4930000000000001</v>
      </c>
      <c r="BD677" s="314">
        <v>1.5354000000000001</v>
      </c>
      <c r="BE677" s="314">
        <v>1.6143000000000001</v>
      </c>
      <c r="BF677" s="314">
        <v>1.4380999999999999</v>
      </c>
      <c r="BG677" s="314">
        <v>1.4283999999999999</v>
      </c>
      <c r="BH677" s="314">
        <v>1.5542</v>
      </c>
      <c r="BI677" s="314">
        <v>1.4533</v>
      </c>
      <c r="BJ677" s="314">
        <v>1.3364</v>
      </c>
      <c r="BK677" s="314">
        <v>1.3845000000000001</v>
      </c>
    </row>
    <row r="678" spans="1:63" x14ac:dyDescent="0.25">
      <c r="A678" s="306">
        <v>335920</v>
      </c>
      <c r="B678" s="314" t="s">
        <v>242</v>
      </c>
      <c r="C678" s="314">
        <v>2.1395</v>
      </c>
      <c r="D678" s="314">
        <v>0</v>
      </c>
      <c r="E678" s="314">
        <v>1.748</v>
      </c>
      <c r="F678" s="314">
        <v>1.7075</v>
      </c>
      <c r="G678" s="314">
        <v>1.4995000000000001</v>
      </c>
      <c r="H678" s="314">
        <v>1.5247999999999999</v>
      </c>
      <c r="I678" s="314">
        <v>1.3775999999999999</v>
      </c>
      <c r="J678" s="314">
        <v>1.7582</v>
      </c>
      <c r="K678" s="314">
        <v>0</v>
      </c>
      <c r="L678" s="314">
        <v>1.4391</v>
      </c>
      <c r="M678" s="314">
        <v>1.3651</v>
      </c>
      <c r="N678" s="314">
        <v>1.7958000000000001</v>
      </c>
      <c r="O678" s="314">
        <v>0</v>
      </c>
      <c r="P678" s="314">
        <v>1.5261</v>
      </c>
      <c r="Q678" s="314">
        <v>1.254</v>
      </c>
      <c r="R678" s="314">
        <v>1.8456999999999999</v>
      </c>
      <c r="S678" s="314">
        <v>1.7777000000000001</v>
      </c>
      <c r="T678" s="314">
        <v>0</v>
      </c>
      <c r="U678" s="314">
        <v>1.8123</v>
      </c>
      <c r="V678" s="314">
        <v>0</v>
      </c>
      <c r="W678" s="314">
        <v>1.7487999999999999</v>
      </c>
      <c r="X678" s="314">
        <v>1.3468</v>
      </c>
      <c r="Y678" s="314">
        <v>1.3147</v>
      </c>
      <c r="Z678" s="314">
        <v>1.6731</v>
      </c>
      <c r="AA678" s="314">
        <v>1.4641999999999999</v>
      </c>
      <c r="AB678" s="314">
        <v>1.6947000000000001</v>
      </c>
      <c r="AC678" s="314">
        <v>1.6215999999999999</v>
      </c>
      <c r="AD678" s="314">
        <v>1.2084999999999999</v>
      </c>
      <c r="AE678" s="314">
        <v>1.756</v>
      </c>
      <c r="AF678" s="314">
        <v>1.2516</v>
      </c>
      <c r="AG678" s="314">
        <v>1.4039999999999999</v>
      </c>
      <c r="AH678" s="314">
        <v>1.7226999999999999</v>
      </c>
      <c r="AI678" s="314">
        <v>1.6906000000000001</v>
      </c>
      <c r="AJ678" s="314">
        <v>1.2317</v>
      </c>
      <c r="AK678" s="314">
        <v>1.2816000000000001</v>
      </c>
      <c r="AL678" s="314">
        <v>1.5814999999999999</v>
      </c>
      <c r="AM678" s="314">
        <v>1.8458000000000001</v>
      </c>
      <c r="AN678" s="314">
        <v>0</v>
      </c>
      <c r="AO678" s="314">
        <v>1.4581999999999999</v>
      </c>
      <c r="AP678" s="314">
        <v>1.9171</v>
      </c>
      <c r="AQ678" s="314">
        <v>1.7033</v>
      </c>
      <c r="AR678" s="314">
        <v>1.7964</v>
      </c>
      <c r="AS678" s="314">
        <v>0</v>
      </c>
      <c r="AT678" s="314">
        <v>1.6862999999999999</v>
      </c>
      <c r="AU678" s="314">
        <v>1.7727999999999999</v>
      </c>
      <c r="AV678" s="314">
        <v>1.5676000000000001</v>
      </c>
      <c r="AW678" s="314">
        <v>1.5438000000000001</v>
      </c>
      <c r="AX678" s="314">
        <v>1.5004</v>
      </c>
      <c r="AY678" s="314">
        <v>1.3954</v>
      </c>
      <c r="AZ678" s="314">
        <v>1.5637000000000001</v>
      </c>
      <c r="BA678" s="314">
        <v>0</v>
      </c>
      <c r="BB678" s="314">
        <v>1.1980999999999999</v>
      </c>
      <c r="BC678" s="314">
        <v>1.7966</v>
      </c>
      <c r="BD678" s="314">
        <v>1.8007</v>
      </c>
      <c r="BE678" s="314">
        <v>1.8886000000000001</v>
      </c>
      <c r="BF678" s="314">
        <v>1.6223000000000001</v>
      </c>
      <c r="BG678" s="314">
        <v>1.7098</v>
      </c>
      <c r="BH678" s="314">
        <v>1.8169</v>
      </c>
      <c r="BI678" s="314">
        <v>1.8007</v>
      </c>
      <c r="BJ678" s="314">
        <v>1.4550000000000001</v>
      </c>
      <c r="BK678" s="314">
        <v>1.5146999999999999</v>
      </c>
    </row>
    <row r="679" spans="1:63" x14ac:dyDescent="0.25">
      <c r="A679" s="306">
        <v>335930</v>
      </c>
      <c r="B679" s="314" t="s">
        <v>243</v>
      </c>
      <c r="C679" s="314">
        <v>1.7823</v>
      </c>
      <c r="D679" s="314">
        <v>1.1397999999999999</v>
      </c>
      <c r="E679" s="314">
        <v>1.504</v>
      </c>
      <c r="F679" s="314">
        <v>1.4559</v>
      </c>
      <c r="G679" s="314">
        <v>1.3365</v>
      </c>
      <c r="H679" s="314">
        <v>1.4312</v>
      </c>
      <c r="I679" s="314">
        <v>1.3754999999999999</v>
      </c>
      <c r="J679" s="314">
        <v>1.4939</v>
      </c>
      <c r="K679" s="314">
        <v>0</v>
      </c>
      <c r="L679" s="314">
        <v>1.4013</v>
      </c>
      <c r="M679" s="314">
        <v>1.3024</v>
      </c>
      <c r="N679" s="314">
        <v>1.4242999999999999</v>
      </c>
      <c r="O679" s="314">
        <v>0</v>
      </c>
      <c r="P679" s="314">
        <v>1.3567</v>
      </c>
      <c r="Q679" s="314">
        <v>1.2414000000000001</v>
      </c>
      <c r="R679" s="314">
        <v>1.633</v>
      </c>
      <c r="S679" s="314">
        <v>1.5392999999999999</v>
      </c>
      <c r="T679" s="314">
        <v>1.3260000000000001</v>
      </c>
      <c r="U679" s="314">
        <v>1.5286999999999999</v>
      </c>
      <c r="V679" s="314">
        <v>0</v>
      </c>
      <c r="W679" s="314">
        <v>1.4976</v>
      </c>
      <c r="X679" s="314">
        <v>1.3069999999999999</v>
      </c>
      <c r="Y679" s="314">
        <v>1.2810999999999999</v>
      </c>
      <c r="Z679" s="314">
        <v>1.5539000000000001</v>
      </c>
      <c r="AA679" s="314">
        <v>1.4515</v>
      </c>
      <c r="AB679" s="314">
        <v>1.4928999999999999</v>
      </c>
      <c r="AC679" s="314">
        <v>1.3895</v>
      </c>
      <c r="AD679" s="314">
        <v>1.1816</v>
      </c>
      <c r="AE679" s="314">
        <v>1.4510000000000001</v>
      </c>
      <c r="AF679" s="314">
        <v>1.1839</v>
      </c>
      <c r="AG679" s="314">
        <v>1.2833000000000001</v>
      </c>
      <c r="AH679" s="314">
        <v>1.4371</v>
      </c>
      <c r="AI679" s="314">
        <v>1.4863999999999999</v>
      </c>
      <c r="AJ679" s="314">
        <v>1.1902999999999999</v>
      </c>
      <c r="AK679" s="314">
        <v>1.2841</v>
      </c>
      <c r="AL679" s="314">
        <v>1.3884000000000001</v>
      </c>
      <c r="AM679" s="314">
        <v>1.6388</v>
      </c>
      <c r="AN679" s="314">
        <v>1.3767</v>
      </c>
      <c r="AO679" s="314">
        <v>1.4373</v>
      </c>
      <c r="AP679" s="314">
        <v>1.6420999999999999</v>
      </c>
      <c r="AQ679" s="314">
        <v>1.4348000000000001</v>
      </c>
      <c r="AR679" s="314">
        <v>1.4964</v>
      </c>
      <c r="AS679" s="314">
        <v>0</v>
      </c>
      <c r="AT679" s="314">
        <v>1.5244</v>
      </c>
      <c r="AU679" s="314">
        <v>1.5488</v>
      </c>
      <c r="AV679" s="314">
        <v>1.4379999999999999</v>
      </c>
      <c r="AW679" s="314">
        <v>1.3891</v>
      </c>
      <c r="AX679" s="314">
        <v>0</v>
      </c>
      <c r="AY679" s="314">
        <v>1.3424</v>
      </c>
      <c r="AZ679" s="314">
        <v>1.4444999999999999</v>
      </c>
      <c r="BA679" s="314">
        <v>0</v>
      </c>
      <c r="BB679" s="314">
        <v>0</v>
      </c>
      <c r="BC679" s="314">
        <v>1.5306999999999999</v>
      </c>
      <c r="BD679" s="314">
        <v>1.5813999999999999</v>
      </c>
      <c r="BE679" s="314">
        <v>1.6497999999999999</v>
      </c>
      <c r="BF679" s="314">
        <v>1.4681999999999999</v>
      </c>
      <c r="BG679" s="314">
        <v>1.4779</v>
      </c>
      <c r="BH679" s="314">
        <v>1.5665</v>
      </c>
      <c r="BI679" s="314">
        <v>1.5761000000000001</v>
      </c>
      <c r="BJ679" s="314">
        <v>1.3705000000000001</v>
      </c>
      <c r="BK679" s="314">
        <v>1.4437</v>
      </c>
    </row>
    <row r="680" spans="1:63" x14ac:dyDescent="0.25">
      <c r="A680" s="306">
        <v>335991</v>
      </c>
      <c r="B680" s="314" t="s">
        <v>0</v>
      </c>
      <c r="C680" s="314">
        <v>1.9205000000000001</v>
      </c>
      <c r="D680" s="314">
        <v>0</v>
      </c>
      <c r="E680" s="314">
        <v>1.5681</v>
      </c>
      <c r="F680" s="314">
        <v>1.5183</v>
      </c>
      <c r="G680" s="314">
        <v>1.3682000000000001</v>
      </c>
      <c r="H680" s="314">
        <v>1.5255000000000001</v>
      </c>
      <c r="I680" s="314">
        <v>1.5002</v>
      </c>
      <c r="J680" s="314">
        <v>1.4316</v>
      </c>
      <c r="K680" s="314">
        <v>0</v>
      </c>
      <c r="L680" s="314">
        <v>0</v>
      </c>
      <c r="M680" s="314">
        <v>1.3465</v>
      </c>
      <c r="N680" s="314">
        <v>0</v>
      </c>
      <c r="O680" s="314">
        <v>0</v>
      </c>
      <c r="P680" s="314">
        <v>1.3537999999999999</v>
      </c>
      <c r="Q680" s="314">
        <v>0</v>
      </c>
      <c r="R680" s="314">
        <v>1.7068000000000001</v>
      </c>
      <c r="S680" s="314">
        <v>0</v>
      </c>
      <c r="T680" s="314">
        <v>0</v>
      </c>
      <c r="U680" s="314">
        <v>1.6385000000000001</v>
      </c>
      <c r="V680" s="314">
        <v>0</v>
      </c>
      <c r="W680" s="314">
        <v>1.4419</v>
      </c>
      <c r="X680" s="314">
        <v>0</v>
      </c>
      <c r="Y680" s="314">
        <v>1.335</v>
      </c>
      <c r="Z680" s="314">
        <v>1.5187999999999999</v>
      </c>
      <c r="AA680" s="314">
        <v>1.5327999999999999</v>
      </c>
      <c r="AB680" s="314">
        <v>1.5516000000000001</v>
      </c>
      <c r="AC680" s="314">
        <v>0</v>
      </c>
      <c r="AD680" s="314">
        <v>0</v>
      </c>
      <c r="AE680" s="314">
        <v>1.4757</v>
      </c>
      <c r="AF680" s="314">
        <v>0</v>
      </c>
      <c r="AG680" s="314">
        <v>0</v>
      </c>
      <c r="AH680" s="314">
        <v>1.3920999999999999</v>
      </c>
      <c r="AI680" s="314">
        <v>1.5518000000000001</v>
      </c>
      <c r="AJ680" s="314">
        <v>0</v>
      </c>
      <c r="AK680" s="314">
        <v>0</v>
      </c>
      <c r="AL680" s="314">
        <v>1.4064000000000001</v>
      </c>
      <c r="AM680" s="314">
        <v>1.7254</v>
      </c>
      <c r="AN680" s="314">
        <v>0</v>
      </c>
      <c r="AO680" s="314">
        <v>1.4792000000000001</v>
      </c>
      <c r="AP680" s="314">
        <v>1.7060999999999999</v>
      </c>
      <c r="AQ680" s="314">
        <v>0</v>
      </c>
      <c r="AR680" s="314">
        <v>1.4986999999999999</v>
      </c>
      <c r="AS680" s="314">
        <v>0</v>
      </c>
      <c r="AT680" s="314">
        <v>1.5166999999999999</v>
      </c>
      <c r="AU680" s="314">
        <v>1.722</v>
      </c>
      <c r="AV680" s="314">
        <v>1.5238</v>
      </c>
      <c r="AW680" s="314">
        <v>1.4955000000000001</v>
      </c>
      <c r="AX680" s="314">
        <v>1.2747999999999999</v>
      </c>
      <c r="AY680" s="314">
        <v>0</v>
      </c>
      <c r="AZ680" s="314">
        <v>1.5152000000000001</v>
      </c>
      <c r="BA680" s="314">
        <v>1.5384</v>
      </c>
      <c r="BB680" s="314">
        <v>1.4390000000000001</v>
      </c>
      <c r="BC680" s="314">
        <v>1.4776</v>
      </c>
      <c r="BD680" s="314">
        <v>1.6302000000000001</v>
      </c>
      <c r="BE680" s="314">
        <v>1.7254</v>
      </c>
      <c r="BF680" s="314">
        <v>1.5335000000000001</v>
      </c>
      <c r="BG680" s="314">
        <v>1.5701000000000001</v>
      </c>
      <c r="BH680" s="314">
        <v>1.6653</v>
      </c>
      <c r="BI680" s="314">
        <v>1.7794000000000001</v>
      </c>
      <c r="BJ680" s="314">
        <v>1.5450999999999999</v>
      </c>
      <c r="BK680" s="314">
        <v>1.5470999999999999</v>
      </c>
    </row>
    <row r="681" spans="1:63" x14ac:dyDescent="0.25">
      <c r="A681" s="306">
        <v>335999</v>
      </c>
      <c r="B681" s="314" t="s">
        <v>3</v>
      </c>
      <c r="C681" s="314">
        <v>1.7715000000000001</v>
      </c>
      <c r="D681" s="314">
        <v>0</v>
      </c>
      <c r="E681" s="314">
        <v>1.4077</v>
      </c>
      <c r="F681" s="314">
        <v>1.4241999999999999</v>
      </c>
      <c r="G681" s="314">
        <v>1.4548000000000001</v>
      </c>
      <c r="H681" s="314">
        <v>1.5804</v>
      </c>
      <c r="I681" s="314">
        <v>1.5144</v>
      </c>
      <c r="J681" s="314">
        <v>1.5747</v>
      </c>
      <c r="K681" s="314">
        <v>0</v>
      </c>
      <c r="L681" s="314">
        <v>0</v>
      </c>
      <c r="M681" s="314">
        <v>1.4446000000000001</v>
      </c>
      <c r="N681" s="314">
        <v>1.4924999999999999</v>
      </c>
      <c r="O681" s="314">
        <v>0</v>
      </c>
      <c r="P681" s="314">
        <v>1.3053999999999999</v>
      </c>
      <c r="Q681" s="314">
        <v>1.2982</v>
      </c>
      <c r="R681" s="314">
        <v>1.6460999999999999</v>
      </c>
      <c r="S681" s="314">
        <v>1.4802</v>
      </c>
      <c r="T681" s="314">
        <v>1.3564000000000001</v>
      </c>
      <c r="U681" s="314">
        <v>1.4512</v>
      </c>
      <c r="V681" s="314">
        <v>1.3425</v>
      </c>
      <c r="W681" s="314">
        <v>1.6062000000000001</v>
      </c>
      <c r="X681" s="314">
        <v>1.3962000000000001</v>
      </c>
      <c r="Y681" s="314">
        <v>1.3718999999999999</v>
      </c>
      <c r="Z681" s="314">
        <v>1.5378000000000001</v>
      </c>
      <c r="AA681" s="314">
        <v>1.5558000000000001</v>
      </c>
      <c r="AB681" s="314">
        <v>1.51</v>
      </c>
      <c r="AC681" s="314">
        <v>1.3108</v>
      </c>
      <c r="AD681" s="314">
        <v>1.244</v>
      </c>
      <c r="AE681" s="314">
        <v>1.4869000000000001</v>
      </c>
      <c r="AF681" s="314">
        <v>0</v>
      </c>
      <c r="AG681" s="314">
        <v>1.3221000000000001</v>
      </c>
      <c r="AH681" s="314">
        <v>1.5374000000000001</v>
      </c>
      <c r="AI681" s="314">
        <v>1.5743</v>
      </c>
      <c r="AJ681" s="314">
        <v>1.2654000000000001</v>
      </c>
      <c r="AK681" s="314">
        <v>1.3940999999999999</v>
      </c>
      <c r="AL681" s="314">
        <v>1.5145999999999999</v>
      </c>
      <c r="AM681" s="314">
        <v>1.5829</v>
      </c>
      <c r="AN681" s="314">
        <v>1.3822000000000001</v>
      </c>
      <c r="AO681" s="314">
        <v>1.5098</v>
      </c>
      <c r="AP681" s="314">
        <v>1.6372</v>
      </c>
      <c r="AQ681" s="314">
        <v>1.4624999999999999</v>
      </c>
      <c r="AR681" s="314">
        <v>1.4276</v>
      </c>
      <c r="AS681" s="314">
        <v>0</v>
      </c>
      <c r="AT681" s="314">
        <v>1.4859</v>
      </c>
      <c r="AU681" s="314">
        <v>1.5446</v>
      </c>
      <c r="AV681" s="314">
        <v>1.5031000000000001</v>
      </c>
      <c r="AW681" s="314">
        <v>1.4635</v>
      </c>
      <c r="AX681" s="314">
        <v>1.3143</v>
      </c>
      <c r="AY681" s="314">
        <v>1.4475</v>
      </c>
      <c r="AZ681" s="314">
        <v>1.5085</v>
      </c>
      <c r="BA681" s="314">
        <v>1.2998000000000001</v>
      </c>
      <c r="BB681" s="314">
        <v>0</v>
      </c>
      <c r="BC681" s="314">
        <v>1.6294999999999999</v>
      </c>
      <c r="BD681" s="314">
        <v>1.6312</v>
      </c>
      <c r="BE681" s="314">
        <v>1.631</v>
      </c>
      <c r="BF681" s="314">
        <v>1.52</v>
      </c>
      <c r="BG681" s="314">
        <v>1.5386</v>
      </c>
      <c r="BH681" s="314">
        <v>1.4742</v>
      </c>
      <c r="BI681" s="314">
        <v>1.5527</v>
      </c>
      <c r="BJ681" s="314">
        <v>1.4964</v>
      </c>
      <c r="BK681" s="314">
        <v>1.5845</v>
      </c>
    </row>
    <row r="682" spans="1:63" x14ac:dyDescent="0.25">
      <c r="A682" s="306">
        <v>336111</v>
      </c>
      <c r="B682" s="314" t="s">
        <v>244</v>
      </c>
      <c r="C682" s="314">
        <v>2.1796000000000002</v>
      </c>
      <c r="D682" s="314">
        <v>0</v>
      </c>
      <c r="E682" s="314">
        <v>1.9009</v>
      </c>
      <c r="F682" s="314">
        <v>0</v>
      </c>
      <c r="G682" s="314">
        <v>1.3552999999999999</v>
      </c>
      <c r="H682" s="314">
        <v>1.3891</v>
      </c>
      <c r="I682" s="314">
        <v>1.3119000000000001</v>
      </c>
      <c r="J682" s="314">
        <v>0</v>
      </c>
      <c r="K682" s="314">
        <v>0</v>
      </c>
      <c r="L682" s="314">
        <v>1.2163999999999999</v>
      </c>
      <c r="M682" s="314">
        <v>1.2588999999999999</v>
      </c>
      <c r="N682" s="314">
        <v>1.5949</v>
      </c>
      <c r="O682" s="314">
        <v>0</v>
      </c>
      <c r="P682" s="314">
        <v>1.7708999999999999</v>
      </c>
      <c r="Q682" s="314">
        <v>0</v>
      </c>
      <c r="R682" s="314">
        <v>1.9083000000000001</v>
      </c>
      <c r="S682" s="314">
        <v>1.9381999999999999</v>
      </c>
      <c r="T682" s="314">
        <v>1.3907</v>
      </c>
      <c r="U682" s="314">
        <v>1.9212</v>
      </c>
      <c r="V682" s="314">
        <v>1.2272000000000001</v>
      </c>
      <c r="W682" s="314">
        <v>1.3089999999999999</v>
      </c>
      <c r="X682" s="314">
        <v>1.2522</v>
      </c>
      <c r="Y682" s="314">
        <v>0</v>
      </c>
      <c r="Z682" s="314">
        <v>1.9642999999999999</v>
      </c>
      <c r="AA682" s="314">
        <v>1.3821000000000001</v>
      </c>
      <c r="AB682" s="314">
        <v>1.8204</v>
      </c>
      <c r="AC682" s="314">
        <v>0</v>
      </c>
      <c r="AD682" s="314">
        <v>0</v>
      </c>
      <c r="AE682" s="314">
        <v>1.8753</v>
      </c>
      <c r="AF682" s="314">
        <v>1.3062</v>
      </c>
      <c r="AG682" s="314">
        <v>0</v>
      </c>
      <c r="AH682" s="314">
        <v>0</v>
      </c>
      <c r="AI682" s="314">
        <v>1.3073999999999999</v>
      </c>
      <c r="AJ682" s="314">
        <v>0</v>
      </c>
      <c r="AK682" s="314">
        <v>1.2201</v>
      </c>
      <c r="AL682" s="314">
        <v>1.4632000000000001</v>
      </c>
      <c r="AM682" s="314">
        <v>2.0335999999999999</v>
      </c>
      <c r="AN682" s="314">
        <v>1.5104</v>
      </c>
      <c r="AO682" s="314">
        <v>1.4450000000000001</v>
      </c>
      <c r="AP682" s="314">
        <v>1.5690999999999999</v>
      </c>
      <c r="AQ682" s="314">
        <v>0</v>
      </c>
      <c r="AR682" s="314">
        <v>1.9037999999999999</v>
      </c>
      <c r="AS682" s="314">
        <v>1.2444999999999999</v>
      </c>
      <c r="AT682" s="314">
        <v>1.9450000000000001</v>
      </c>
      <c r="AU682" s="314">
        <v>1.4632000000000001</v>
      </c>
      <c r="AV682" s="314">
        <v>0</v>
      </c>
      <c r="AW682" s="314">
        <v>1.4388000000000001</v>
      </c>
      <c r="AX682" s="314">
        <v>0</v>
      </c>
      <c r="AY682" s="314">
        <v>1.2947</v>
      </c>
      <c r="AZ682" s="314">
        <v>1.9167000000000001</v>
      </c>
      <c r="BA682" s="314">
        <v>0</v>
      </c>
      <c r="BB682" s="314">
        <v>0</v>
      </c>
      <c r="BC682" s="314">
        <v>1.4154</v>
      </c>
      <c r="BD682" s="314">
        <v>1.5237000000000001</v>
      </c>
      <c r="BE682" s="314">
        <v>2.0537000000000001</v>
      </c>
      <c r="BF682" s="314">
        <v>1.6576</v>
      </c>
      <c r="BG682" s="314">
        <v>1.5975999999999999</v>
      </c>
      <c r="BH682" s="314">
        <v>1.986</v>
      </c>
      <c r="BI682" s="314">
        <v>1.5122</v>
      </c>
      <c r="BJ682" s="314">
        <v>1.3643000000000001</v>
      </c>
      <c r="BK682" s="314">
        <v>1.3882000000000001</v>
      </c>
    </row>
    <row r="683" spans="1:63" x14ac:dyDescent="0.25">
      <c r="A683" s="306">
        <v>336112</v>
      </c>
      <c r="B683" s="314" t="s">
        <v>245</v>
      </c>
      <c r="C683" s="314">
        <v>2.2566999999999999</v>
      </c>
      <c r="D683" s="314">
        <v>0</v>
      </c>
      <c r="E683" s="314">
        <v>1.9528000000000001</v>
      </c>
      <c r="F683" s="314">
        <v>0</v>
      </c>
      <c r="G683" s="314">
        <v>1.3765000000000001</v>
      </c>
      <c r="H683" s="314">
        <v>1.4146000000000001</v>
      </c>
      <c r="I683" s="314">
        <v>0</v>
      </c>
      <c r="J683" s="314">
        <v>0</v>
      </c>
      <c r="K683" s="314">
        <v>0</v>
      </c>
      <c r="L683" s="314">
        <v>0</v>
      </c>
      <c r="M683" s="314">
        <v>0</v>
      </c>
      <c r="N683" s="314">
        <v>1.6244000000000001</v>
      </c>
      <c r="O683" s="314">
        <v>0</v>
      </c>
      <c r="P683" s="314">
        <v>0</v>
      </c>
      <c r="Q683" s="314">
        <v>1.2195</v>
      </c>
      <c r="R683" s="314">
        <v>1.9719</v>
      </c>
      <c r="S683" s="314">
        <v>2.0002</v>
      </c>
      <c r="T683" s="314">
        <v>1.4091</v>
      </c>
      <c r="U683" s="314">
        <v>1.9742</v>
      </c>
      <c r="V683" s="314">
        <v>1.2387999999999999</v>
      </c>
      <c r="W683" s="314">
        <v>1.3263</v>
      </c>
      <c r="X683" s="314">
        <v>1.2775000000000001</v>
      </c>
      <c r="Y683" s="314">
        <v>0</v>
      </c>
      <c r="Z683" s="314">
        <v>2.0207999999999999</v>
      </c>
      <c r="AA683" s="314">
        <v>1.3992</v>
      </c>
      <c r="AB683" s="314">
        <v>1.8672</v>
      </c>
      <c r="AC683" s="314">
        <v>1.8062</v>
      </c>
      <c r="AD683" s="314">
        <v>0</v>
      </c>
      <c r="AE683" s="314">
        <v>1.9254</v>
      </c>
      <c r="AF683" s="314">
        <v>0</v>
      </c>
      <c r="AG683" s="314">
        <v>0</v>
      </c>
      <c r="AH683" s="314">
        <v>0</v>
      </c>
      <c r="AI683" s="314">
        <v>1.3227</v>
      </c>
      <c r="AJ683" s="314">
        <v>0</v>
      </c>
      <c r="AK683" s="314">
        <v>0</v>
      </c>
      <c r="AL683" s="314">
        <v>1.4795</v>
      </c>
      <c r="AM683" s="314">
        <v>2.0991</v>
      </c>
      <c r="AN683" s="314">
        <v>1.5459000000000001</v>
      </c>
      <c r="AO683" s="314">
        <v>1.4761</v>
      </c>
      <c r="AP683" s="314">
        <v>1.6124000000000001</v>
      </c>
      <c r="AQ683" s="314">
        <v>0</v>
      </c>
      <c r="AR683" s="314">
        <v>1.9610000000000001</v>
      </c>
      <c r="AS683" s="314">
        <v>0</v>
      </c>
      <c r="AT683" s="314">
        <v>0</v>
      </c>
      <c r="AU683" s="314">
        <v>1.5007999999999999</v>
      </c>
      <c r="AV683" s="314">
        <v>1.8162</v>
      </c>
      <c r="AW683" s="314">
        <v>1.4585999999999999</v>
      </c>
      <c r="AX683" s="314">
        <v>0</v>
      </c>
      <c r="AY683" s="314">
        <v>1.3009999999999999</v>
      </c>
      <c r="AZ683" s="314">
        <v>1.9663999999999999</v>
      </c>
      <c r="BA683" s="314">
        <v>0</v>
      </c>
      <c r="BB683" s="314">
        <v>0</v>
      </c>
      <c r="BC683" s="314">
        <v>1.4414</v>
      </c>
      <c r="BD683" s="314">
        <v>1.5567</v>
      </c>
      <c r="BE683" s="314">
        <v>2.1223999999999998</v>
      </c>
      <c r="BF683" s="314">
        <v>1.7004999999999999</v>
      </c>
      <c r="BG683" s="314">
        <v>1.6334</v>
      </c>
      <c r="BH683" s="314">
        <v>2.0478999999999998</v>
      </c>
      <c r="BI683" s="314">
        <v>1.5561</v>
      </c>
      <c r="BJ683" s="314">
        <v>1.3912</v>
      </c>
      <c r="BK683" s="314">
        <v>1.4113</v>
      </c>
    </row>
    <row r="684" spans="1:63" x14ac:dyDescent="0.25">
      <c r="A684" s="306">
        <v>336120</v>
      </c>
      <c r="B684" s="314" t="s">
        <v>246</v>
      </c>
      <c r="C684" s="314">
        <v>2.3799000000000001</v>
      </c>
      <c r="D684" s="314">
        <v>0</v>
      </c>
      <c r="E684" s="314">
        <v>2.0426000000000002</v>
      </c>
      <c r="F684" s="314">
        <v>1.7605999999999999</v>
      </c>
      <c r="G684" s="314">
        <v>1.3553999999999999</v>
      </c>
      <c r="H684" s="314">
        <v>1.4422999999999999</v>
      </c>
      <c r="I684" s="314">
        <v>1.5755999999999999</v>
      </c>
      <c r="J684" s="314">
        <v>1.5960000000000001</v>
      </c>
      <c r="K684" s="314">
        <v>0</v>
      </c>
      <c r="L684" s="314">
        <v>0</v>
      </c>
      <c r="M684" s="314">
        <v>1.3182</v>
      </c>
      <c r="N684" s="314">
        <v>1.6976</v>
      </c>
      <c r="O684" s="314">
        <v>0</v>
      </c>
      <c r="P684" s="314">
        <v>1.8707</v>
      </c>
      <c r="Q684" s="314">
        <v>1.2293000000000001</v>
      </c>
      <c r="R684" s="314">
        <v>2.1282999999999999</v>
      </c>
      <c r="S684" s="314">
        <v>2.1179000000000001</v>
      </c>
      <c r="T684" s="314">
        <v>1.4875</v>
      </c>
      <c r="U684" s="314">
        <v>2.0714000000000001</v>
      </c>
      <c r="V684" s="314">
        <v>1.3039000000000001</v>
      </c>
      <c r="W684" s="314">
        <v>0</v>
      </c>
      <c r="X684" s="314">
        <v>1.5145999999999999</v>
      </c>
      <c r="Y684" s="314">
        <v>0</v>
      </c>
      <c r="Z684" s="314">
        <v>2.1280999999999999</v>
      </c>
      <c r="AA684" s="314">
        <v>1.4751000000000001</v>
      </c>
      <c r="AB684" s="314">
        <v>1.9714</v>
      </c>
      <c r="AC684" s="314">
        <v>1.8718999999999999</v>
      </c>
      <c r="AD684" s="314">
        <v>1.1565000000000001</v>
      </c>
      <c r="AE684" s="314">
        <v>1.9927999999999999</v>
      </c>
      <c r="AF684" s="314">
        <v>1.3128</v>
      </c>
      <c r="AG684" s="314">
        <v>1.5265</v>
      </c>
      <c r="AH684" s="314">
        <v>0</v>
      </c>
      <c r="AI684" s="314">
        <v>1.4103000000000001</v>
      </c>
      <c r="AJ684" s="314">
        <v>1.1990000000000001</v>
      </c>
      <c r="AK684" s="314">
        <v>0</v>
      </c>
      <c r="AL684" s="314">
        <v>1.522</v>
      </c>
      <c r="AM684" s="314">
        <v>2.1676000000000002</v>
      </c>
      <c r="AN684" s="314">
        <v>1.7211000000000001</v>
      </c>
      <c r="AO684" s="314">
        <v>1.4947999999999999</v>
      </c>
      <c r="AP684" s="314">
        <v>1.7977000000000001</v>
      </c>
      <c r="AQ684" s="314">
        <v>0</v>
      </c>
      <c r="AR684" s="314">
        <v>2.0417999999999998</v>
      </c>
      <c r="AS684" s="314">
        <v>1.3545</v>
      </c>
      <c r="AT684" s="314">
        <v>2.0952999999999999</v>
      </c>
      <c r="AU684" s="314">
        <v>1.5969</v>
      </c>
      <c r="AV684" s="314">
        <v>0</v>
      </c>
      <c r="AW684" s="314">
        <v>1.4719</v>
      </c>
      <c r="AX684" s="314">
        <v>0</v>
      </c>
      <c r="AY684" s="314">
        <v>1.325</v>
      </c>
      <c r="AZ684" s="314">
        <v>2.0870000000000002</v>
      </c>
      <c r="BA684" s="314">
        <v>1.5751999999999999</v>
      </c>
      <c r="BB684" s="314">
        <v>0</v>
      </c>
      <c r="BC684" s="314">
        <v>1.5116000000000001</v>
      </c>
      <c r="BD684" s="314">
        <v>1.6395999999999999</v>
      </c>
      <c r="BE684" s="314">
        <v>2.2397</v>
      </c>
      <c r="BF684" s="314">
        <v>1.8428</v>
      </c>
      <c r="BG684" s="314">
        <v>1.7166999999999999</v>
      </c>
      <c r="BH684" s="314">
        <v>2.1453000000000002</v>
      </c>
      <c r="BI684" s="314">
        <v>1.6651</v>
      </c>
      <c r="BJ684" s="314">
        <v>1.5026999999999999</v>
      </c>
      <c r="BK684" s="314">
        <v>1.4415</v>
      </c>
    </row>
    <row r="685" spans="1:63" x14ac:dyDescent="0.25">
      <c r="A685" s="306">
        <v>336211</v>
      </c>
      <c r="B685" s="314" t="s">
        <v>247</v>
      </c>
      <c r="C685" s="314">
        <v>2.0171999999999999</v>
      </c>
      <c r="D685" s="314">
        <v>1.1259999999999999</v>
      </c>
      <c r="E685" s="314">
        <v>1.7057</v>
      </c>
      <c r="F685" s="314">
        <v>1.5979000000000001</v>
      </c>
      <c r="G685" s="314">
        <v>1.4161999999999999</v>
      </c>
      <c r="H685" s="314">
        <v>1.5667</v>
      </c>
      <c r="I685" s="314">
        <v>1.4561999999999999</v>
      </c>
      <c r="J685" s="314">
        <v>1.5319</v>
      </c>
      <c r="K685" s="314">
        <v>0</v>
      </c>
      <c r="L685" s="314">
        <v>1.3573</v>
      </c>
      <c r="M685" s="314">
        <v>1.3915999999999999</v>
      </c>
      <c r="N685" s="314">
        <v>1.5764</v>
      </c>
      <c r="O685" s="314">
        <v>1.2001999999999999</v>
      </c>
      <c r="P685" s="314">
        <v>1.4849000000000001</v>
      </c>
      <c r="Q685" s="314">
        <v>1.2682</v>
      </c>
      <c r="R685" s="314">
        <v>1.7512000000000001</v>
      </c>
      <c r="S685" s="314">
        <v>1.7578</v>
      </c>
      <c r="T685" s="314">
        <v>1.411</v>
      </c>
      <c r="U685" s="314">
        <v>1.7652000000000001</v>
      </c>
      <c r="V685" s="314">
        <v>1.4362999999999999</v>
      </c>
      <c r="W685" s="314">
        <v>1.4779</v>
      </c>
      <c r="X685" s="314">
        <v>1.3546</v>
      </c>
      <c r="Y685" s="314">
        <v>0</v>
      </c>
      <c r="Z685" s="314">
        <v>1.7698</v>
      </c>
      <c r="AA685" s="314">
        <v>1.585</v>
      </c>
      <c r="AB685" s="314">
        <v>1.6338999999999999</v>
      </c>
      <c r="AC685" s="314">
        <v>1.5226</v>
      </c>
      <c r="AD685" s="314">
        <v>1.1781999999999999</v>
      </c>
      <c r="AE685" s="314">
        <v>1.6705000000000001</v>
      </c>
      <c r="AF685" s="314">
        <v>1.2781</v>
      </c>
      <c r="AG685" s="314">
        <v>1.3843000000000001</v>
      </c>
      <c r="AH685" s="314">
        <v>1.4975000000000001</v>
      </c>
      <c r="AI685" s="314">
        <v>1.4916</v>
      </c>
      <c r="AJ685" s="314">
        <v>1.1916</v>
      </c>
      <c r="AK685" s="314">
        <v>1.3228</v>
      </c>
      <c r="AL685" s="314">
        <v>1.4277</v>
      </c>
      <c r="AM685" s="314">
        <v>1.8726</v>
      </c>
      <c r="AN685" s="314">
        <v>1.5259</v>
      </c>
      <c r="AO685" s="314">
        <v>1.6064000000000001</v>
      </c>
      <c r="AP685" s="314">
        <v>1.7882</v>
      </c>
      <c r="AQ685" s="314">
        <v>1.3834</v>
      </c>
      <c r="AR685" s="314">
        <v>1.657</v>
      </c>
      <c r="AS685" s="314">
        <v>1.3434999999999999</v>
      </c>
      <c r="AT685" s="314">
        <v>1.7462</v>
      </c>
      <c r="AU685" s="314">
        <v>1.5774999999999999</v>
      </c>
      <c r="AV685" s="314">
        <v>1.5589999999999999</v>
      </c>
      <c r="AW685" s="314">
        <v>1.5334000000000001</v>
      </c>
      <c r="AX685" s="314">
        <v>1.2839</v>
      </c>
      <c r="AY685" s="314">
        <v>1.4721</v>
      </c>
      <c r="AZ685" s="314">
        <v>1.7231000000000001</v>
      </c>
      <c r="BA685" s="314">
        <v>1.4557</v>
      </c>
      <c r="BB685" s="314">
        <v>1.1818</v>
      </c>
      <c r="BC685" s="314">
        <v>1.5305</v>
      </c>
      <c r="BD685" s="314">
        <v>1.6535</v>
      </c>
      <c r="BE685" s="314">
        <v>1.8948</v>
      </c>
      <c r="BF685" s="314">
        <v>1.6549</v>
      </c>
      <c r="BG685" s="314">
        <v>1.6448</v>
      </c>
      <c r="BH685" s="314">
        <v>1.7977000000000001</v>
      </c>
      <c r="BI685" s="314">
        <v>1.6907000000000001</v>
      </c>
      <c r="BJ685" s="314">
        <v>1.4483999999999999</v>
      </c>
      <c r="BK685" s="314">
        <v>1.6032999999999999</v>
      </c>
    </row>
    <row r="686" spans="1:63" x14ac:dyDescent="0.25">
      <c r="A686" s="306">
        <v>336212</v>
      </c>
      <c r="B686" s="314" t="s">
        <v>248</v>
      </c>
      <c r="C686" s="314">
        <v>2.2161</v>
      </c>
      <c r="D686" s="314">
        <v>1.1706000000000001</v>
      </c>
      <c r="E686" s="314">
        <v>1.8284</v>
      </c>
      <c r="F686" s="314">
        <v>1.8459000000000001</v>
      </c>
      <c r="G686" s="314">
        <v>1.5081</v>
      </c>
      <c r="H686" s="314">
        <v>1.6363000000000001</v>
      </c>
      <c r="I686" s="314">
        <v>1.5401</v>
      </c>
      <c r="J686" s="314">
        <v>0</v>
      </c>
      <c r="K686" s="314">
        <v>0</v>
      </c>
      <c r="L686" s="314">
        <v>1.4004000000000001</v>
      </c>
      <c r="M686" s="314">
        <v>1.4374</v>
      </c>
      <c r="N686" s="314">
        <v>1.7838000000000001</v>
      </c>
      <c r="O686" s="314">
        <v>0</v>
      </c>
      <c r="P686" s="314">
        <v>1.6979</v>
      </c>
      <c r="Q686" s="314">
        <v>1.3607</v>
      </c>
      <c r="R686" s="314">
        <v>1.8565</v>
      </c>
      <c r="S686" s="314">
        <v>1.9300999999999999</v>
      </c>
      <c r="T686" s="314">
        <v>1.4998</v>
      </c>
      <c r="U686" s="314">
        <v>1.8464</v>
      </c>
      <c r="V686" s="314">
        <v>1.4615</v>
      </c>
      <c r="W686" s="314">
        <v>1.4923</v>
      </c>
      <c r="X686" s="314">
        <v>0</v>
      </c>
      <c r="Y686" s="314">
        <v>1.4153</v>
      </c>
      <c r="Z686" s="314">
        <v>1.9046000000000001</v>
      </c>
      <c r="AA686" s="314">
        <v>1.6161000000000001</v>
      </c>
      <c r="AB686" s="314">
        <v>1.8169</v>
      </c>
      <c r="AC686" s="314">
        <v>1.7304999999999999</v>
      </c>
      <c r="AD686" s="314">
        <v>1.2445999999999999</v>
      </c>
      <c r="AE686" s="314">
        <v>1.7235</v>
      </c>
      <c r="AF686" s="314">
        <v>1.2845</v>
      </c>
      <c r="AG686" s="314">
        <v>1.4382999999999999</v>
      </c>
      <c r="AH686" s="314">
        <v>0</v>
      </c>
      <c r="AI686" s="314">
        <v>1.5362</v>
      </c>
      <c r="AJ686" s="314">
        <v>1.2302</v>
      </c>
      <c r="AK686" s="314">
        <v>0</v>
      </c>
      <c r="AL686" s="314">
        <v>1.4994000000000001</v>
      </c>
      <c r="AM686" s="314">
        <v>2.0325000000000002</v>
      </c>
      <c r="AN686" s="314">
        <v>1.6463000000000001</v>
      </c>
      <c r="AO686" s="314">
        <v>1.7519</v>
      </c>
      <c r="AP686" s="314">
        <v>1.89</v>
      </c>
      <c r="AQ686" s="314">
        <v>1.3868</v>
      </c>
      <c r="AR686" s="314">
        <v>1.8698999999999999</v>
      </c>
      <c r="AS686" s="314">
        <v>1.3982000000000001</v>
      </c>
      <c r="AT686" s="314">
        <v>1.9113</v>
      </c>
      <c r="AU686" s="314">
        <v>1.7344999999999999</v>
      </c>
      <c r="AV686" s="314">
        <v>1.7248000000000001</v>
      </c>
      <c r="AW686" s="314">
        <v>1.6779999999999999</v>
      </c>
      <c r="AX686" s="314">
        <v>0</v>
      </c>
      <c r="AY686" s="314">
        <v>1.5690999999999999</v>
      </c>
      <c r="AZ686" s="314">
        <v>1.7592000000000001</v>
      </c>
      <c r="BA686" s="314">
        <v>1.6174999999999999</v>
      </c>
      <c r="BB686" s="314">
        <v>0</v>
      </c>
      <c r="BC686" s="314">
        <v>1.5797000000000001</v>
      </c>
      <c r="BD686" s="314">
        <v>1.7385999999999999</v>
      </c>
      <c r="BE686" s="314">
        <v>2.0647000000000002</v>
      </c>
      <c r="BF686" s="314">
        <v>1.8194999999999999</v>
      </c>
      <c r="BG686" s="314">
        <v>1.7755000000000001</v>
      </c>
      <c r="BH686" s="314">
        <v>1.944</v>
      </c>
      <c r="BI686" s="314">
        <v>1.8502000000000001</v>
      </c>
      <c r="BJ686" s="314">
        <v>1.5529999999999999</v>
      </c>
      <c r="BK686" s="314">
        <v>1.6886000000000001</v>
      </c>
    </row>
    <row r="687" spans="1:63" x14ac:dyDescent="0.25">
      <c r="A687" s="306">
        <v>336213</v>
      </c>
      <c r="B687" s="314" t="s">
        <v>249</v>
      </c>
      <c r="C687" s="314">
        <v>2.2774000000000001</v>
      </c>
      <c r="D687" s="314">
        <v>0</v>
      </c>
      <c r="E687" s="314">
        <v>1.931</v>
      </c>
      <c r="F687" s="314">
        <v>0</v>
      </c>
      <c r="G687" s="314">
        <v>1.4735</v>
      </c>
      <c r="H687" s="314">
        <v>1.5869</v>
      </c>
      <c r="I687" s="314">
        <v>0</v>
      </c>
      <c r="J687" s="314">
        <v>0</v>
      </c>
      <c r="K687" s="314">
        <v>0</v>
      </c>
      <c r="L687" s="314">
        <v>0</v>
      </c>
      <c r="M687" s="314">
        <v>1.4739</v>
      </c>
      <c r="N687" s="314">
        <v>0</v>
      </c>
      <c r="O687" s="314">
        <v>0</v>
      </c>
      <c r="P687" s="314">
        <v>1.5254000000000001</v>
      </c>
      <c r="Q687" s="314">
        <v>0</v>
      </c>
      <c r="R687" s="314">
        <v>0</v>
      </c>
      <c r="S687" s="314">
        <v>1.9388000000000001</v>
      </c>
      <c r="T687" s="314">
        <v>0</v>
      </c>
      <c r="U687" s="314">
        <v>0</v>
      </c>
      <c r="V687" s="314">
        <v>0</v>
      </c>
      <c r="W687" s="314">
        <v>0</v>
      </c>
      <c r="X687" s="314">
        <v>0</v>
      </c>
      <c r="Y687" s="314">
        <v>0</v>
      </c>
      <c r="Z687" s="314">
        <v>1.7988</v>
      </c>
      <c r="AA687" s="314">
        <v>1.7746999999999999</v>
      </c>
      <c r="AB687" s="314">
        <v>1.7295</v>
      </c>
      <c r="AC687" s="314">
        <v>1.6462000000000001</v>
      </c>
      <c r="AD687" s="314">
        <v>0</v>
      </c>
      <c r="AE687" s="314">
        <v>0</v>
      </c>
      <c r="AF687" s="314">
        <v>0</v>
      </c>
      <c r="AG687" s="314">
        <v>0</v>
      </c>
      <c r="AH687" s="314">
        <v>0</v>
      </c>
      <c r="AI687" s="314">
        <v>0</v>
      </c>
      <c r="AJ687" s="314">
        <v>0</v>
      </c>
      <c r="AK687" s="314">
        <v>0</v>
      </c>
      <c r="AL687" s="314">
        <v>1.44</v>
      </c>
      <c r="AM687" s="314">
        <v>2.0512000000000001</v>
      </c>
      <c r="AN687" s="314">
        <v>1.6569</v>
      </c>
      <c r="AO687" s="314">
        <v>1.7627999999999999</v>
      </c>
      <c r="AP687" s="314">
        <v>1.9295</v>
      </c>
      <c r="AQ687" s="314">
        <v>0</v>
      </c>
      <c r="AR687" s="314">
        <v>1.7951999999999999</v>
      </c>
      <c r="AS687" s="314">
        <v>0</v>
      </c>
      <c r="AT687" s="314">
        <v>0</v>
      </c>
      <c r="AU687" s="314">
        <v>1.6274</v>
      </c>
      <c r="AV687" s="314">
        <v>1.5585</v>
      </c>
      <c r="AW687" s="314">
        <v>1.7323999999999999</v>
      </c>
      <c r="AX687" s="314">
        <v>0</v>
      </c>
      <c r="AY687" s="314">
        <v>0</v>
      </c>
      <c r="AZ687" s="314">
        <v>1.9541999999999999</v>
      </c>
      <c r="BA687" s="314">
        <v>0</v>
      </c>
      <c r="BB687" s="314">
        <v>0</v>
      </c>
      <c r="BC687" s="314">
        <v>0</v>
      </c>
      <c r="BD687" s="314">
        <v>1.6839</v>
      </c>
      <c r="BE687" s="314">
        <v>2.1038999999999999</v>
      </c>
      <c r="BF687" s="314">
        <v>1.7839</v>
      </c>
      <c r="BG687" s="314">
        <v>1.8592</v>
      </c>
      <c r="BH687" s="314">
        <v>2.0485000000000002</v>
      </c>
      <c r="BI687" s="314">
        <v>1.825</v>
      </c>
      <c r="BJ687" s="314">
        <v>1.5123</v>
      </c>
      <c r="BK687" s="314">
        <v>1.7466999999999999</v>
      </c>
    </row>
    <row r="688" spans="1:63" x14ac:dyDescent="0.25">
      <c r="A688" s="306">
        <v>336214</v>
      </c>
      <c r="B688" s="314" t="s">
        <v>250</v>
      </c>
      <c r="C688" s="314">
        <v>2.254</v>
      </c>
      <c r="D688" s="314">
        <v>1.1966000000000001</v>
      </c>
      <c r="E688" s="314">
        <v>1.8035000000000001</v>
      </c>
      <c r="F688" s="314">
        <v>1.8089999999999999</v>
      </c>
      <c r="G688" s="314">
        <v>1.4777</v>
      </c>
      <c r="H688" s="314">
        <v>1.6162000000000001</v>
      </c>
      <c r="I688" s="314">
        <v>1.5295000000000001</v>
      </c>
      <c r="J688" s="314">
        <v>1.5743</v>
      </c>
      <c r="K688" s="314">
        <v>0</v>
      </c>
      <c r="L688" s="314">
        <v>0</v>
      </c>
      <c r="M688" s="314">
        <v>1.4719</v>
      </c>
      <c r="N688" s="314">
        <v>1.7848999999999999</v>
      </c>
      <c r="O688" s="314">
        <v>0</v>
      </c>
      <c r="P688" s="314">
        <v>1.6234999999999999</v>
      </c>
      <c r="Q688" s="314">
        <v>1.4268000000000001</v>
      </c>
      <c r="R688" s="314">
        <v>1.8021</v>
      </c>
      <c r="S688" s="314">
        <v>1.91</v>
      </c>
      <c r="T688" s="314">
        <v>1.5118</v>
      </c>
      <c r="U688" s="314">
        <v>1.8321000000000001</v>
      </c>
      <c r="V688" s="314">
        <v>1.5315000000000001</v>
      </c>
      <c r="W688" s="314">
        <v>1.5513999999999999</v>
      </c>
      <c r="X688" s="314">
        <v>1.4281999999999999</v>
      </c>
      <c r="Y688" s="314">
        <v>1.4784999999999999</v>
      </c>
      <c r="Z688" s="314">
        <v>1.8272999999999999</v>
      </c>
      <c r="AA688" s="314">
        <v>1.6872</v>
      </c>
      <c r="AB688" s="314">
        <v>1.7869999999999999</v>
      </c>
      <c r="AC688" s="314">
        <v>1.6453</v>
      </c>
      <c r="AD688" s="314">
        <v>1.3271999999999999</v>
      </c>
      <c r="AE688" s="314">
        <v>1.7685999999999999</v>
      </c>
      <c r="AF688" s="314">
        <v>1.3190999999999999</v>
      </c>
      <c r="AG688" s="314">
        <v>1.4263999999999999</v>
      </c>
      <c r="AH688" s="314">
        <v>1.5835999999999999</v>
      </c>
      <c r="AI688" s="314">
        <v>1.6057999999999999</v>
      </c>
      <c r="AJ688" s="314">
        <v>1.2842</v>
      </c>
      <c r="AK688" s="314">
        <v>1.3723000000000001</v>
      </c>
      <c r="AL688" s="314">
        <v>1.4999</v>
      </c>
      <c r="AM688" s="314">
        <v>1.9908999999999999</v>
      </c>
      <c r="AN688" s="314">
        <v>1.6524000000000001</v>
      </c>
      <c r="AO688" s="314">
        <v>1.7338</v>
      </c>
      <c r="AP688" s="314">
        <v>1.8781000000000001</v>
      </c>
      <c r="AQ688" s="314">
        <v>0</v>
      </c>
      <c r="AR688" s="314">
        <v>1.8909</v>
      </c>
      <c r="AS688" s="314">
        <v>1.3362000000000001</v>
      </c>
      <c r="AT688" s="314">
        <v>1.8786</v>
      </c>
      <c r="AU688" s="314">
        <v>1.76</v>
      </c>
      <c r="AV688" s="314">
        <v>1.7123999999999999</v>
      </c>
      <c r="AW688" s="314">
        <v>1.6222000000000001</v>
      </c>
      <c r="AX688" s="314">
        <v>1.4132</v>
      </c>
      <c r="AY688" s="314">
        <v>1.5781000000000001</v>
      </c>
      <c r="AZ688" s="314">
        <v>1.7950999999999999</v>
      </c>
      <c r="BA688" s="314">
        <v>0</v>
      </c>
      <c r="BB688" s="314">
        <v>1.2453000000000001</v>
      </c>
      <c r="BC688" s="314">
        <v>1.6341000000000001</v>
      </c>
      <c r="BD688" s="314">
        <v>1.7404999999999999</v>
      </c>
      <c r="BE688" s="314">
        <v>2.0547</v>
      </c>
      <c r="BF688" s="314">
        <v>1.7949999999999999</v>
      </c>
      <c r="BG688" s="314">
        <v>1.8229</v>
      </c>
      <c r="BH688" s="314">
        <v>1.9543999999999999</v>
      </c>
      <c r="BI688" s="314">
        <v>1.8613999999999999</v>
      </c>
      <c r="BJ688" s="314">
        <v>1.5810999999999999</v>
      </c>
      <c r="BK688" s="314">
        <v>1.7074</v>
      </c>
    </row>
    <row r="689" spans="1:63" x14ac:dyDescent="0.25">
      <c r="A689" s="306">
        <v>336300</v>
      </c>
      <c r="B689" s="314" t="s">
        <v>251</v>
      </c>
      <c r="C689" s="314">
        <v>2.1324999999999998</v>
      </c>
      <c r="D689" s="314">
        <v>1.1747000000000001</v>
      </c>
      <c r="E689" s="314">
        <v>1.7742</v>
      </c>
      <c r="F689" s="314">
        <v>1.696</v>
      </c>
      <c r="G689" s="314">
        <v>1.4551000000000001</v>
      </c>
      <c r="H689" s="314">
        <v>1.5888</v>
      </c>
      <c r="I689" s="314">
        <v>1.5016</v>
      </c>
      <c r="J689" s="314">
        <v>1.6433</v>
      </c>
      <c r="K689" s="314">
        <v>0</v>
      </c>
      <c r="L689" s="314">
        <v>1.4393</v>
      </c>
      <c r="M689" s="314">
        <v>1.3872</v>
      </c>
      <c r="N689" s="314">
        <v>1.6073</v>
      </c>
      <c r="O689" s="314">
        <v>1.2242999999999999</v>
      </c>
      <c r="P689" s="314">
        <v>1.6091</v>
      </c>
      <c r="Q689" s="314">
        <v>1.3488</v>
      </c>
      <c r="R689" s="314">
        <v>1.9277</v>
      </c>
      <c r="S689" s="314">
        <v>1.8349</v>
      </c>
      <c r="T689" s="314">
        <v>1.4682999999999999</v>
      </c>
      <c r="U689" s="314">
        <v>1.7945</v>
      </c>
      <c r="V689" s="314">
        <v>1.4542999999999999</v>
      </c>
      <c r="W689" s="314">
        <v>1.5664</v>
      </c>
      <c r="X689" s="314">
        <v>1.4197</v>
      </c>
      <c r="Y689" s="314">
        <v>1.3995</v>
      </c>
      <c r="Z689" s="314">
        <v>1.8882000000000001</v>
      </c>
      <c r="AA689" s="314">
        <v>1.6420999999999999</v>
      </c>
      <c r="AB689" s="314">
        <v>1.7372000000000001</v>
      </c>
      <c r="AC689" s="314">
        <v>1.6031</v>
      </c>
      <c r="AD689" s="314">
        <v>1.2456</v>
      </c>
      <c r="AE689" s="314">
        <v>1.7073</v>
      </c>
      <c r="AF689" s="314">
        <v>1.2808999999999999</v>
      </c>
      <c r="AG689" s="314">
        <v>1.4783999999999999</v>
      </c>
      <c r="AH689" s="314">
        <v>1.6144000000000001</v>
      </c>
      <c r="AI689" s="314">
        <v>1.556</v>
      </c>
      <c r="AJ689" s="314">
        <v>1.2428999999999999</v>
      </c>
      <c r="AK689" s="314">
        <v>1.3805000000000001</v>
      </c>
      <c r="AL689" s="314">
        <v>1.4938</v>
      </c>
      <c r="AM689" s="314">
        <v>1.9575</v>
      </c>
      <c r="AN689" s="314">
        <v>1.5826</v>
      </c>
      <c r="AO689" s="314">
        <v>1.6655</v>
      </c>
      <c r="AP689" s="314">
        <v>1.8656999999999999</v>
      </c>
      <c r="AQ689" s="314">
        <v>1.5025999999999999</v>
      </c>
      <c r="AR689" s="314">
        <v>1.7683</v>
      </c>
      <c r="AS689" s="314">
        <v>1.3075000000000001</v>
      </c>
      <c r="AT689" s="314">
        <v>1.8187</v>
      </c>
      <c r="AU689" s="314">
        <v>1.6816</v>
      </c>
      <c r="AV689" s="314">
        <v>1.7139</v>
      </c>
      <c r="AW689" s="314">
        <v>1.5693999999999999</v>
      </c>
      <c r="AX689" s="314">
        <v>1.3720000000000001</v>
      </c>
      <c r="AY689" s="314">
        <v>1.4801</v>
      </c>
      <c r="AZ689" s="314">
        <v>1.7742</v>
      </c>
      <c r="BA689" s="314">
        <v>1.5924</v>
      </c>
      <c r="BB689" s="314">
        <v>1.2295</v>
      </c>
      <c r="BC689" s="314">
        <v>1.6574</v>
      </c>
      <c r="BD689" s="314">
        <v>1.744</v>
      </c>
      <c r="BE689" s="314">
        <v>1.9877</v>
      </c>
      <c r="BF689" s="314">
        <v>1.7119</v>
      </c>
      <c r="BG689" s="314">
        <v>1.6537999999999999</v>
      </c>
      <c r="BH689" s="314">
        <v>1.8793</v>
      </c>
      <c r="BI689" s="314">
        <v>1.7243999999999999</v>
      </c>
      <c r="BJ689" s="314">
        <v>1.5143</v>
      </c>
      <c r="BK689" s="314">
        <v>1.6194</v>
      </c>
    </row>
    <row r="690" spans="1:63" x14ac:dyDescent="0.25">
      <c r="A690" s="306">
        <v>336411</v>
      </c>
      <c r="B690" s="314" t="s">
        <v>252</v>
      </c>
      <c r="C690" s="314">
        <v>1.8916999999999999</v>
      </c>
      <c r="D690" s="314">
        <v>1.1044</v>
      </c>
      <c r="E690" s="314">
        <v>1.4618</v>
      </c>
      <c r="F690" s="314">
        <v>1.4177999999999999</v>
      </c>
      <c r="G690" s="314">
        <v>1.5764</v>
      </c>
      <c r="H690" s="314">
        <v>1.6203000000000001</v>
      </c>
      <c r="I690" s="314">
        <v>1.448</v>
      </c>
      <c r="J690" s="314">
        <v>1.6231</v>
      </c>
      <c r="K690" s="314">
        <v>0</v>
      </c>
      <c r="L690" s="314">
        <v>1.3339000000000001</v>
      </c>
      <c r="M690" s="314">
        <v>1.4872000000000001</v>
      </c>
      <c r="N690" s="314">
        <v>1.4448000000000001</v>
      </c>
      <c r="O690" s="314">
        <v>0</v>
      </c>
      <c r="P690" s="314">
        <v>1.3411999999999999</v>
      </c>
      <c r="Q690" s="314">
        <v>1.2032</v>
      </c>
      <c r="R690" s="314">
        <v>1.5085</v>
      </c>
      <c r="S690" s="314">
        <v>1.5109999999999999</v>
      </c>
      <c r="T690" s="314">
        <v>1.4937</v>
      </c>
      <c r="U690" s="314">
        <v>1.4056</v>
      </c>
      <c r="V690" s="314">
        <v>1.2574000000000001</v>
      </c>
      <c r="W690" s="314">
        <v>1.5522</v>
      </c>
      <c r="X690" s="314">
        <v>1.4447000000000001</v>
      </c>
      <c r="Y690" s="314">
        <v>1.3288</v>
      </c>
      <c r="Z690" s="314">
        <v>1.4919</v>
      </c>
      <c r="AA690" s="314">
        <v>1.4094</v>
      </c>
      <c r="AB690" s="314">
        <v>1.4684999999999999</v>
      </c>
      <c r="AC690" s="314">
        <v>1.2716000000000001</v>
      </c>
      <c r="AD690" s="314">
        <v>1.1363000000000001</v>
      </c>
      <c r="AE690" s="314">
        <v>1.4761</v>
      </c>
      <c r="AF690" s="314">
        <v>0</v>
      </c>
      <c r="AG690" s="314">
        <v>0</v>
      </c>
      <c r="AH690" s="314">
        <v>1.5222</v>
      </c>
      <c r="AI690" s="314">
        <v>1.472</v>
      </c>
      <c r="AJ690" s="314">
        <v>1.3275999999999999</v>
      </c>
      <c r="AK690" s="314">
        <v>1.2806999999999999</v>
      </c>
      <c r="AL690" s="314">
        <v>1.4354</v>
      </c>
      <c r="AM690" s="314">
        <v>1.6434</v>
      </c>
      <c r="AN690" s="314">
        <v>1.4261999999999999</v>
      </c>
      <c r="AO690" s="314">
        <v>1.5007999999999999</v>
      </c>
      <c r="AP690" s="314">
        <v>1.4836</v>
      </c>
      <c r="AQ690" s="314">
        <v>0</v>
      </c>
      <c r="AR690" s="314">
        <v>1.3763000000000001</v>
      </c>
      <c r="AS690" s="314">
        <v>1.1669</v>
      </c>
      <c r="AT690" s="314">
        <v>1.4557</v>
      </c>
      <c r="AU690" s="314">
        <v>1.5938000000000001</v>
      </c>
      <c r="AV690" s="314">
        <v>1.601</v>
      </c>
      <c r="AW690" s="314">
        <v>1.4198999999999999</v>
      </c>
      <c r="AX690" s="314">
        <v>0</v>
      </c>
      <c r="AY690" s="314">
        <v>1.4451000000000001</v>
      </c>
      <c r="AZ690" s="314">
        <v>1.3412999999999999</v>
      </c>
      <c r="BA690" s="314">
        <v>1.3916999999999999</v>
      </c>
      <c r="BB690" s="314">
        <v>1.1144000000000001</v>
      </c>
      <c r="BC690" s="314">
        <v>1.7163999999999999</v>
      </c>
      <c r="BD690" s="314">
        <v>1.524</v>
      </c>
      <c r="BE690" s="314">
        <v>1.6125</v>
      </c>
      <c r="BF690" s="314">
        <v>1.5873999999999999</v>
      </c>
      <c r="BG690" s="314">
        <v>1.5479000000000001</v>
      </c>
      <c r="BH690" s="314">
        <v>1.4698</v>
      </c>
      <c r="BI690" s="314">
        <v>1.5817000000000001</v>
      </c>
      <c r="BJ690" s="314">
        <v>1.6292</v>
      </c>
      <c r="BK690" s="314">
        <v>1.6155999999999999</v>
      </c>
    </row>
    <row r="691" spans="1:63" x14ac:dyDescent="0.25">
      <c r="A691" s="306">
        <v>336412</v>
      </c>
      <c r="B691" s="314" t="s">
        <v>253</v>
      </c>
      <c r="C691" s="314">
        <v>1.8814</v>
      </c>
      <c r="D691" s="314">
        <v>1.1435999999999999</v>
      </c>
      <c r="E691" s="314">
        <v>1.4231</v>
      </c>
      <c r="F691" s="314">
        <v>1.3493999999999999</v>
      </c>
      <c r="G691" s="314">
        <v>1.5823</v>
      </c>
      <c r="H691" s="314">
        <v>1.5061</v>
      </c>
      <c r="I691" s="314">
        <v>1.3963000000000001</v>
      </c>
      <c r="J691" s="314">
        <v>1.6966000000000001</v>
      </c>
      <c r="K691" s="314">
        <v>0</v>
      </c>
      <c r="L691" s="314">
        <v>0</v>
      </c>
      <c r="M691" s="314">
        <v>1.5399</v>
      </c>
      <c r="N691" s="314">
        <v>1.5138</v>
      </c>
      <c r="O691" s="314">
        <v>0</v>
      </c>
      <c r="P691" s="314">
        <v>1.3272999999999999</v>
      </c>
      <c r="Q691" s="314">
        <v>1.2287999999999999</v>
      </c>
      <c r="R691" s="314">
        <v>1.5792999999999999</v>
      </c>
      <c r="S691" s="314">
        <v>1.6157999999999999</v>
      </c>
      <c r="T691" s="314">
        <v>1.5206999999999999</v>
      </c>
      <c r="U691" s="314">
        <v>1.5544</v>
      </c>
      <c r="V691" s="314">
        <v>1.3487</v>
      </c>
      <c r="W691" s="314">
        <v>1.6667000000000001</v>
      </c>
      <c r="X691" s="314">
        <v>1.3048999999999999</v>
      </c>
      <c r="Y691" s="314">
        <v>1.4856</v>
      </c>
      <c r="Z691" s="314">
        <v>1.5783</v>
      </c>
      <c r="AA691" s="314">
        <v>1.397</v>
      </c>
      <c r="AB691" s="314">
        <v>1.3905000000000001</v>
      </c>
      <c r="AC691" s="314">
        <v>1.2497</v>
      </c>
      <c r="AD691" s="314">
        <v>0</v>
      </c>
      <c r="AE691" s="314">
        <v>1.6215999999999999</v>
      </c>
      <c r="AF691" s="314">
        <v>0</v>
      </c>
      <c r="AG691" s="314">
        <v>1.2569999999999999</v>
      </c>
      <c r="AH691" s="314">
        <v>1.6237999999999999</v>
      </c>
      <c r="AI691" s="314">
        <v>1.4386000000000001</v>
      </c>
      <c r="AJ691" s="314">
        <v>1.4282999999999999</v>
      </c>
      <c r="AK691" s="314">
        <v>1.4182999999999999</v>
      </c>
      <c r="AL691" s="314">
        <v>1.3923000000000001</v>
      </c>
      <c r="AM691" s="314">
        <v>1.7383</v>
      </c>
      <c r="AN691" s="314">
        <v>1.4214</v>
      </c>
      <c r="AO691" s="314">
        <v>1.3572</v>
      </c>
      <c r="AP691" s="314">
        <v>1.5344</v>
      </c>
      <c r="AQ691" s="314">
        <v>0</v>
      </c>
      <c r="AR691" s="314">
        <v>1.3854</v>
      </c>
      <c r="AS691" s="314">
        <v>1.173</v>
      </c>
      <c r="AT691" s="314">
        <v>1.4691000000000001</v>
      </c>
      <c r="AU691" s="314">
        <v>1.5348999999999999</v>
      </c>
      <c r="AV691" s="314">
        <v>1.6035999999999999</v>
      </c>
      <c r="AW691" s="314">
        <v>1.3678999999999999</v>
      </c>
      <c r="AX691" s="314">
        <v>1.4168000000000001</v>
      </c>
      <c r="AY691" s="314">
        <v>1.3345</v>
      </c>
      <c r="AZ691" s="314">
        <v>1.3663000000000001</v>
      </c>
      <c r="BA691" s="314">
        <v>1.4577</v>
      </c>
      <c r="BB691" s="314">
        <v>1.1402000000000001</v>
      </c>
      <c r="BC691" s="314">
        <v>1.7391000000000001</v>
      </c>
      <c r="BD691" s="314">
        <v>1.4944</v>
      </c>
      <c r="BE691" s="314">
        <v>1.7586999999999999</v>
      </c>
      <c r="BF691" s="314">
        <v>1.4592000000000001</v>
      </c>
      <c r="BG691" s="314">
        <v>1.5488</v>
      </c>
      <c r="BH691" s="314">
        <v>1.4824999999999999</v>
      </c>
      <c r="BI691" s="314">
        <v>1.5261</v>
      </c>
      <c r="BJ691" s="314">
        <v>1.6552</v>
      </c>
      <c r="BK691" s="314">
        <v>1.4867999999999999</v>
      </c>
    </row>
    <row r="692" spans="1:63" x14ac:dyDescent="0.25">
      <c r="A692" s="306">
        <v>336413</v>
      </c>
      <c r="B692" s="314" t="s">
        <v>254</v>
      </c>
      <c r="C692" s="314">
        <v>1.9196</v>
      </c>
      <c r="D692" s="314">
        <v>1.2388999999999999</v>
      </c>
      <c r="E692" s="314">
        <v>1.5809</v>
      </c>
      <c r="F692" s="314">
        <v>1.5829</v>
      </c>
      <c r="G692" s="314">
        <v>1.4965999999999999</v>
      </c>
      <c r="H692" s="314">
        <v>1.6220000000000001</v>
      </c>
      <c r="I692" s="314">
        <v>1.5728</v>
      </c>
      <c r="J692" s="314">
        <v>1.6284000000000001</v>
      </c>
      <c r="K692" s="314">
        <v>0</v>
      </c>
      <c r="L692" s="314">
        <v>1.4489000000000001</v>
      </c>
      <c r="M692" s="314">
        <v>1.4330000000000001</v>
      </c>
      <c r="N692" s="314">
        <v>1.6104000000000001</v>
      </c>
      <c r="O692" s="314">
        <v>1.3287</v>
      </c>
      <c r="P692" s="314">
        <v>1.4285000000000001</v>
      </c>
      <c r="Q692" s="314">
        <v>1.3605</v>
      </c>
      <c r="R692" s="314">
        <v>1.7273000000000001</v>
      </c>
      <c r="S692" s="314">
        <v>1.6092</v>
      </c>
      <c r="T692" s="314">
        <v>1.4576</v>
      </c>
      <c r="U692" s="314">
        <v>1.5819000000000001</v>
      </c>
      <c r="V692" s="314">
        <v>1.4531000000000001</v>
      </c>
      <c r="W692" s="314">
        <v>1.5814999999999999</v>
      </c>
      <c r="X692" s="314">
        <v>1.4577</v>
      </c>
      <c r="Y692" s="314">
        <v>0</v>
      </c>
      <c r="Z692" s="314">
        <v>1.6906000000000001</v>
      </c>
      <c r="AA692" s="314">
        <v>1.5879000000000001</v>
      </c>
      <c r="AB692" s="314">
        <v>1.6535</v>
      </c>
      <c r="AC692" s="314">
        <v>1.4479</v>
      </c>
      <c r="AD692" s="314">
        <v>1.2758</v>
      </c>
      <c r="AE692" s="314">
        <v>1.5754999999999999</v>
      </c>
      <c r="AF692" s="314">
        <v>1.31</v>
      </c>
      <c r="AG692" s="314">
        <v>1.4174</v>
      </c>
      <c r="AH692" s="314">
        <v>1.5677000000000001</v>
      </c>
      <c r="AI692" s="314">
        <v>1.5847</v>
      </c>
      <c r="AJ692" s="314">
        <v>1.2909999999999999</v>
      </c>
      <c r="AK692" s="314">
        <v>1.4529000000000001</v>
      </c>
      <c r="AL692" s="314">
        <v>1.4917</v>
      </c>
      <c r="AM692" s="314">
        <v>1.7585</v>
      </c>
      <c r="AN692" s="314">
        <v>1.4891000000000001</v>
      </c>
      <c r="AO692" s="314">
        <v>1.6375999999999999</v>
      </c>
      <c r="AP692" s="314">
        <v>1.7421</v>
      </c>
      <c r="AQ692" s="314">
        <v>0</v>
      </c>
      <c r="AR692" s="314">
        <v>1.5753999999999999</v>
      </c>
      <c r="AS692" s="314">
        <v>1.3126</v>
      </c>
      <c r="AT692" s="314">
        <v>1.6548</v>
      </c>
      <c r="AU692" s="314">
        <v>1.6569</v>
      </c>
      <c r="AV692" s="314">
        <v>1.6412</v>
      </c>
      <c r="AW692" s="314">
        <v>1.5742</v>
      </c>
      <c r="AX692" s="314">
        <v>1.3281000000000001</v>
      </c>
      <c r="AY692" s="314">
        <v>1.5354000000000001</v>
      </c>
      <c r="AZ692" s="314">
        <v>1.6011</v>
      </c>
      <c r="BA692" s="314">
        <v>1.4675</v>
      </c>
      <c r="BB692" s="314">
        <v>1.2803</v>
      </c>
      <c r="BC692" s="314">
        <v>1.6697</v>
      </c>
      <c r="BD692" s="314">
        <v>1.6687000000000001</v>
      </c>
      <c r="BE692" s="314">
        <v>1.7714000000000001</v>
      </c>
      <c r="BF692" s="314">
        <v>1.6473</v>
      </c>
      <c r="BG692" s="314">
        <v>1.6275999999999999</v>
      </c>
      <c r="BH692" s="314">
        <v>1.6528</v>
      </c>
      <c r="BI692" s="314">
        <v>1.6731</v>
      </c>
      <c r="BJ692" s="314">
        <v>1.5973999999999999</v>
      </c>
      <c r="BK692" s="314">
        <v>1.6358999999999999</v>
      </c>
    </row>
    <row r="693" spans="1:63" x14ac:dyDescent="0.25">
      <c r="A693" s="306">
        <v>336414</v>
      </c>
      <c r="B693" s="314" t="s">
        <v>255</v>
      </c>
      <c r="C693" s="314">
        <v>2.0148000000000001</v>
      </c>
      <c r="D693" s="314">
        <v>0</v>
      </c>
      <c r="E693" s="314">
        <v>1.6068</v>
      </c>
      <c r="F693" s="314">
        <v>1.4009</v>
      </c>
      <c r="G693" s="314">
        <v>1.6695</v>
      </c>
      <c r="H693" s="314">
        <v>1.8120000000000001</v>
      </c>
      <c r="I693" s="314">
        <v>1.7185999999999999</v>
      </c>
      <c r="J693" s="314">
        <v>0</v>
      </c>
      <c r="K693" s="314">
        <v>0</v>
      </c>
      <c r="L693" s="314">
        <v>0</v>
      </c>
      <c r="M693" s="314">
        <v>1.6903999999999999</v>
      </c>
      <c r="N693" s="314">
        <v>1.5634999999999999</v>
      </c>
      <c r="O693" s="314">
        <v>0</v>
      </c>
      <c r="P693" s="314">
        <v>0</v>
      </c>
      <c r="Q693" s="314">
        <v>0</v>
      </c>
      <c r="R693" s="314">
        <v>0</v>
      </c>
      <c r="S693" s="314">
        <v>1.45</v>
      </c>
      <c r="T693" s="314">
        <v>0</v>
      </c>
      <c r="U693" s="314">
        <v>0</v>
      </c>
      <c r="V693" s="314">
        <v>0</v>
      </c>
      <c r="W693" s="314">
        <v>1.8118000000000001</v>
      </c>
      <c r="X693" s="314">
        <v>0</v>
      </c>
      <c r="Y693" s="314">
        <v>0</v>
      </c>
      <c r="Z693" s="314">
        <v>0</v>
      </c>
      <c r="AA693" s="314">
        <v>0</v>
      </c>
      <c r="AB693" s="314">
        <v>0</v>
      </c>
      <c r="AC693" s="314">
        <v>0</v>
      </c>
      <c r="AD693" s="314">
        <v>0</v>
      </c>
      <c r="AE693" s="314">
        <v>0</v>
      </c>
      <c r="AF693" s="314">
        <v>0</v>
      </c>
      <c r="AG693" s="314">
        <v>0</v>
      </c>
      <c r="AH693" s="314">
        <v>0</v>
      </c>
      <c r="AI693" s="314">
        <v>0</v>
      </c>
      <c r="AJ693" s="314">
        <v>1.3853</v>
      </c>
      <c r="AK693" s="314">
        <v>1.4597</v>
      </c>
      <c r="AL693" s="314">
        <v>0</v>
      </c>
      <c r="AM693" s="314">
        <v>0</v>
      </c>
      <c r="AN693" s="314">
        <v>1.4312</v>
      </c>
      <c r="AO693" s="314">
        <v>0</v>
      </c>
      <c r="AP693" s="314">
        <v>0</v>
      </c>
      <c r="AQ693" s="314">
        <v>0</v>
      </c>
      <c r="AR693" s="314">
        <v>0</v>
      </c>
      <c r="AS693" s="314">
        <v>0</v>
      </c>
      <c r="AT693" s="314">
        <v>0</v>
      </c>
      <c r="AU693" s="314">
        <v>1.6445000000000001</v>
      </c>
      <c r="AV693" s="314">
        <v>1.6718999999999999</v>
      </c>
      <c r="AW693" s="314">
        <v>1.5478000000000001</v>
      </c>
      <c r="AX693" s="314">
        <v>0</v>
      </c>
      <c r="AY693" s="314">
        <v>0</v>
      </c>
      <c r="AZ693" s="314">
        <v>0</v>
      </c>
      <c r="BA693" s="314">
        <v>0</v>
      </c>
      <c r="BB693" s="314">
        <v>0</v>
      </c>
      <c r="BC693" s="314">
        <v>1.8239000000000001</v>
      </c>
      <c r="BD693" s="314">
        <v>0</v>
      </c>
      <c r="BE693" s="314">
        <v>1.6374</v>
      </c>
      <c r="BF693" s="314">
        <v>0</v>
      </c>
      <c r="BG693" s="314">
        <v>1.7333000000000001</v>
      </c>
      <c r="BH693" s="314">
        <v>1.6915</v>
      </c>
      <c r="BI693" s="314">
        <v>1.6923999999999999</v>
      </c>
      <c r="BJ693" s="314">
        <v>1.7721</v>
      </c>
      <c r="BK693" s="314">
        <v>1.8103</v>
      </c>
    </row>
    <row r="694" spans="1:63" x14ac:dyDescent="0.25">
      <c r="A694" s="306" t="s">
        <v>743</v>
      </c>
      <c r="B694" s="314" t="s">
        <v>744</v>
      </c>
      <c r="C694" s="314">
        <v>1.7769999999999999</v>
      </c>
      <c r="D694" s="314">
        <v>0</v>
      </c>
      <c r="E694" s="314">
        <v>1.4724999999999999</v>
      </c>
      <c r="F694" s="314">
        <v>0</v>
      </c>
      <c r="G694" s="314">
        <v>1.4644999999999999</v>
      </c>
      <c r="H694" s="314">
        <v>1.6109</v>
      </c>
      <c r="I694" s="314">
        <v>1.5165</v>
      </c>
      <c r="J694" s="314">
        <v>0</v>
      </c>
      <c r="K694" s="314">
        <v>0</v>
      </c>
      <c r="L694" s="314">
        <v>0</v>
      </c>
      <c r="M694" s="314">
        <v>1.4826999999999999</v>
      </c>
      <c r="N694" s="314">
        <v>1.4039999999999999</v>
      </c>
      <c r="O694" s="314">
        <v>0</v>
      </c>
      <c r="P694" s="314">
        <v>0</v>
      </c>
      <c r="Q694" s="314">
        <v>0</v>
      </c>
      <c r="R694" s="314">
        <v>0</v>
      </c>
      <c r="S694" s="314">
        <v>0</v>
      </c>
      <c r="T694" s="314">
        <v>0</v>
      </c>
      <c r="U694" s="314">
        <v>0</v>
      </c>
      <c r="V694" s="314">
        <v>1.3439000000000001</v>
      </c>
      <c r="W694" s="314">
        <v>1.6124000000000001</v>
      </c>
      <c r="X694" s="314">
        <v>1.3656999999999999</v>
      </c>
      <c r="Y694" s="314">
        <v>1.3095000000000001</v>
      </c>
      <c r="Z694" s="314">
        <v>1.4652000000000001</v>
      </c>
      <c r="AA694" s="314">
        <v>0</v>
      </c>
      <c r="AB694" s="314">
        <v>0</v>
      </c>
      <c r="AC694" s="314">
        <v>1.2962</v>
      </c>
      <c r="AD694" s="314">
        <v>0</v>
      </c>
      <c r="AE694" s="314">
        <v>0</v>
      </c>
      <c r="AF694" s="314">
        <v>0</v>
      </c>
      <c r="AG694" s="314">
        <v>0</v>
      </c>
      <c r="AH694" s="314">
        <v>0</v>
      </c>
      <c r="AI694" s="314">
        <v>0</v>
      </c>
      <c r="AJ694" s="314">
        <v>0</v>
      </c>
      <c r="AK694" s="314">
        <v>0</v>
      </c>
      <c r="AL694" s="314">
        <v>1.3287</v>
      </c>
      <c r="AM694" s="314">
        <v>1.4049</v>
      </c>
      <c r="AN694" s="314">
        <v>1.2787999999999999</v>
      </c>
      <c r="AO694" s="314">
        <v>0</v>
      </c>
      <c r="AP694" s="314">
        <v>1.5065999999999999</v>
      </c>
      <c r="AQ694" s="314">
        <v>0</v>
      </c>
      <c r="AR694" s="314">
        <v>0</v>
      </c>
      <c r="AS694" s="314">
        <v>1.173</v>
      </c>
      <c r="AT694" s="314">
        <v>0</v>
      </c>
      <c r="AU694" s="314">
        <v>1.454</v>
      </c>
      <c r="AV694" s="314">
        <v>1.494</v>
      </c>
      <c r="AW694" s="314">
        <v>1.3957999999999999</v>
      </c>
      <c r="AX694" s="314">
        <v>0</v>
      </c>
      <c r="AY694" s="314">
        <v>1.4125000000000001</v>
      </c>
      <c r="AZ694" s="314">
        <v>1.3584000000000001</v>
      </c>
      <c r="BA694" s="314">
        <v>1.2808999999999999</v>
      </c>
      <c r="BB694" s="314">
        <v>0</v>
      </c>
      <c r="BC694" s="314">
        <v>1.6291</v>
      </c>
      <c r="BD694" s="314">
        <v>1.4610000000000001</v>
      </c>
      <c r="BE694" s="314">
        <v>1.4435</v>
      </c>
      <c r="BF694" s="314">
        <v>1.3586</v>
      </c>
      <c r="BG694" s="314">
        <v>1.5491999999999999</v>
      </c>
      <c r="BH694" s="314">
        <v>1.5306999999999999</v>
      </c>
      <c r="BI694" s="314">
        <v>1.5073000000000001</v>
      </c>
      <c r="BJ694" s="314">
        <v>1.5849</v>
      </c>
      <c r="BK694" s="314">
        <v>1.6153</v>
      </c>
    </row>
    <row r="695" spans="1:63" x14ac:dyDescent="0.25">
      <c r="A695" s="306">
        <v>336500</v>
      </c>
      <c r="B695" s="314" t="s">
        <v>256</v>
      </c>
      <c r="C695" s="314">
        <v>1.8996</v>
      </c>
      <c r="D695" s="314">
        <v>0</v>
      </c>
      <c r="E695" s="314">
        <v>1.5421</v>
      </c>
      <c r="F695" s="314">
        <v>1.5361</v>
      </c>
      <c r="G695" s="314">
        <v>1.3382000000000001</v>
      </c>
      <c r="H695" s="314">
        <v>1.4483999999999999</v>
      </c>
      <c r="I695" s="314">
        <v>1.4535</v>
      </c>
      <c r="J695" s="314">
        <v>1.4741</v>
      </c>
      <c r="K695" s="314">
        <v>0</v>
      </c>
      <c r="L695" s="314">
        <v>1.3463000000000001</v>
      </c>
      <c r="M695" s="314">
        <v>1.3212999999999999</v>
      </c>
      <c r="N695" s="314">
        <v>1.5587</v>
      </c>
      <c r="O695" s="314">
        <v>0</v>
      </c>
      <c r="P695" s="314">
        <v>1.4755</v>
      </c>
      <c r="Q695" s="314">
        <v>1.3483000000000001</v>
      </c>
      <c r="R695" s="314">
        <v>1.7767999999999999</v>
      </c>
      <c r="S695" s="314">
        <v>1.6361000000000001</v>
      </c>
      <c r="T695" s="314">
        <v>1.4078999999999999</v>
      </c>
      <c r="U695" s="314">
        <v>1.5415000000000001</v>
      </c>
      <c r="V695" s="314">
        <v>1.496</v>
      </c>
      <c r="W695" s="314">
        <v>0</v>
      </c>
      <c r="X695" s="314">
        <v>1.3432999999999999</v>
      </c>
      <c r="Y695" s="314">
        <v>1.321</v>
      </c>
      <c r="Z695" s="314">
        <v>1.5908</v>
      </c>
      <c r="AA695" s="314">
        <v>1.5019</v>
      </c>
      <c r="AB695" s="314">
        <v>1.5896999999999999</v>
      </c>
      <c r="AC695" s="314">
        <v>0</v>
      </c>
      <c r="AD695" s="314">
        <v>0</v>
      </c>
      <c r="AE695" s="314">
        <v>1.5373000000000001</v>
      </c>
      <c r="AF695" s="314">
        <v>0</v>
      </c>
      <c r="AG695" s="314">
        <v>1.3965000000000001</v>
      </c>
      <c r="AH695" s="314">
        <v>0</v>
      </c>
      <c r="AI695" s="314">
        <v>1.4175</v>
      </c>
      <c r="AJ695" s="314">
        <v>0</v>
      </c>
      <c r="AK695" s="314">
        <v>1.3076000000000001</v>
      </c>
      <c r="AL695" s="314">
        <v>1.4694</v>
      </c>
      <c r="AM695" s="314">
        <v>1.6569</v>
      </c>
      <c r="AN695" s="314">
        <v>1.4822</v>
      </c>
      <c r="AO695" s="314">
        <v>1.5951</v>
      </c>
      <c r="AP695" s="314">
        <v>1.758</v>
      </c>
      <c r="AQ695" s="314">
        <v>0</v>
      </c>
      <c r="AR695" s="314">
        <v>1.6211</v>
      </c>
      <c r="AS695" s="314">
        <v>0</v>
      </c>
      <c r="AT695" s="314">
        <v>1.5066999999999999</v>
      </c>
      <c r="AU695" s="314">
        <v>1.6471</v>
      </c>
      <c r="AV695" s="314">
        <v>1.4923999999999999</v>
      </c>
      <c r="AW695" s="314">
        <v>1.5852999999999999</v>
      </c>
      <c r="AX695" s="314">
        <v>1.2311000000000001</v>
      </c>
      <c r="AY695" s="314">
        <v>1.4347000000000001</v>
      </c>
      <c r="AZ695" s="314">
        <v>1.5809</v>
      </c>
      <c r="BA695" s="314">
        <v>1.4623999999999999</v>
      </c>
      <c r="BB695" s="314">
        <v>0</v>
      </c>
      <c r="BC695" s="314">
        <v>1.4923999999999999</v>
      </c>
      <c r="BD695" s="314">
        <v>1.6666000000000001</v>
      </c>
      <c r="BE695" s="314">
        <v>1.7287999999999999</v>
      </c>
      <c r="BF695" s="314">
        <v>1.5571999999999999</v>
      </c>
      <c r="BG695" s="314">
        <v>1.5766</v>
      </c>
      <c r="BH695" s="314">
        <v>1.5597000000000001</v>
      </c>
      <c r="BI695" s="314">
        <v>1.6752</v>
      </c>
      <c r="BJ695" s="314">
        <v>1.4591000000000001</v>
      </c>
      <c r="BK695" s="314">
        <v>1.4845999999999999</v>
      </c>
    </row>
    <row r="696" spans="1:63" x14ac:dyDescent="0.25">
      <c r="A696" s="306">
        <v>336611</v>
      </c>
      <c r="B696" s="314" t="s">
        <v>257</v>
      </c>
      <c r="C696" s="314">
        <v>1.8926000000000001</v>
      </c>
      <c r="D696" s="314">
        <v>1.2241</v>
      </c>
      <c r="E696" s="314">
        <v>1.5389999999999999</v>
      </c>
      <c r="F696" s="314">
        <v>1.4253</v>
      </c>
      <c r="G696" s="314">
        <v>0</v>
      </c>
      <c r="H696" s="314">
        <v>1.5682</v>
      </c>
      <c r="I696" s="314">
        <v>0</v>
      </c>
      <c r="J696" s="314">
        <v>1.5686</v>
      </c>
      <c r="K696" s="314">
        <v>1.2222</v>
      </c>
      <c r="L696" s="314">
        <v>1.3938999999999999</v>
      </c>
      <c r="M696" s="314">
        <v>1.4286000000000001</v>
      </c>
      <c r="N696" s="314">
        <v>1.5457000000000001</v>
      </c>
      <c r="O696" s="314">
        <v>1.2690999999999999</v>
      </c>
      <c r="P696" s="314">
        <v>0</v>
      </c>
      <c r="Q696" s="314">
        <v>0</v>
      </c>
      <c r="R696" s="314">
        <v>1.7433000000000001</v>
      </c>
      <c r="S696" s="314">
        <v>1.5745</v>
      </c>
      <c r="T696" s="314">
        <v>0</v>
      </c>
      <c r="U696" s="314">
        <v>1.5469999999999999</v>
      </c>
      <c r="V696" s="314">
        <v>1.4187000000000001</v>
      </c>
      <c r="W696" s="314">
        <v>1.5887</v>
      </c>
      <c r="X696" s="314">
        <v>1.5027999999999999</v>
      </c>
      <c r="Y696" s="314">
        <v>1.3547</v>
      </c>
      <c r="Z696" s="314">
        <v>1.6617</v>
      </c>
      <c r="AA696" s="314">
        <v>0</v>
      </c>
      <c r="AB696" s="314">
        <v>1.5585</v>
      </c>
      <c r="AC696" s="314">
        <v>1.4208000000000001</v>
      </c>
      <c r="AD696" s="314">
        <v>0</v>
      </c>
      <c r="AE696" s="314">
        <v>1.5694999999999999</v>
      </c>
      <c r="AF696" s="314">
        <v>0</v>
      </c>
      <c r="AG696" s="314">
        <v>0</v>
      </c>
      <c r="AH696" s="314">
        <v>1.4938</v>
      </c>
      <c r="AI696" s="314">
        <v>1.5763</v>
      </c>
      <c r="AJ696" s="314">
        <v>0</v>
      </c>
      <c r="AK696" s="314">
        <v>0</v>
      </c>
      <c r="AL696" s="314">
        <v>1.5004</v>
      </c>
      <c r="AM696" s="314">
        <v>1.6807000000000001</v>
      </c>
      <c r="AN696" s="314">
        <v>0</v>
      </c>
      <c r="AO696" s="314">
        <v>1.4968999999999999</v>
      </c>
      <c r="AP696" s="314">
        <v>1.7076</v>
      </c>
      <c r="AQ696" s="314">
        <v>1.4275</v>
      </c>
      <c r="AR696" s="314">
        <v>1.5799000000000001</v>
      </c>
      <c r="AS696" s="314">
        <v>0</v>
      </c>
      <c r="AT696" s="314">
        <v>1.6314</v>
      </c>
      <c r="AU696" s="314">
        <v>1.6172</v>
      </c>
      <c r="AV696" s="314">
        <v>1.5609</v>
      </c>
      <c r="AW696" s="314">
        <v>1.4963</v>
      </c>
      <c r="AX696" s="314">
        <v>0</v>
      </c>
      <c r="AY696" s="314">
        <v>1.454</v>
      </c>
      <c r="AZ696" s="314">
        <v>1.5823</v>
      </c>
      <c r="BA696" s="314">
        <v>0</v>
      </c>
      <c r="BB696" s="314">
        <v>0</v>
      </c>
      <c r="BC696" s="314">
        <v>1.6197999999999999</v>
      </c>
      <c r="BD696" s="314">
        <v>1.6708000000000001</v>
      </c>
      <c r="BE696" s="314">
        <v>1.7372000000000001</v>
      </c>
      <c r="BF696" s="314">
        <v>1.5642</v>
      </c>
      <c r="BG696" s="314">
        <v>1.6091</v>
      </c>
      <c r="BH696" s="314">
        <v>1.6274999999999999</v>
      </c>
      <c r="BI696" s="314">
        <v>1.6334</v>
      </c>
      <c r="BJ696" s="314">
        <v>1.5276000000000001</v>
      </c>
      <c r="BK696" s="314">
        <v>1.5731999999999999</v>
      </c>
    </row>
    <row r="697" spans="1:63" x14ac:dyDescent="0.25">
      <c r="A697" s="306">
        <v>336612</v>
      </c>
      <c r="B697" s="314" t="s">
        <v>258</v>
      </c>
      <c r="C697" s="314">
        <v>2.1099000000000001</v>
      </c>
      <c r="D697" s="314">
        <v>1.2423</v>
      </c>
      <c r="E697" s="314">
        <v>1.7442</v>
      </c>
      <c r="F697" s="314">
        <v>1.6327</v>
      </c>
      <c r="G697" s="314">
        <v>1.4659</v>
      </c>
      <c r="H697" s="314">
        <v>1.6073999999999999</v>
      </c>
      <c r="I697" s="314">
        <v>1.589</v>
      </c>
      <c r="J697" s="314">
        <v>1.6483000000000001</v>
      </c>
      <c r="K697" s="314">
        <v>0</v>
      </c>
      <c r="L697" s="314">
        <v>1.4427000000000001</v>
      </c>
      <c r="M697" s="314">
        <v>1.4657</v>
      </c>
      <c r="N697" s="314">
        <v>1.728</v>
      </c>
      <c r="O697" s="314">
        <v>1.3027</v>
      </c>
      <c r="P697" s="314">
        <v>1.5691999999999999</v>
      </c>
      <c r="Q697" s="314">
        <v>1.3569</v>
      </c>
      <c r="R697" s="314">
        <v>1.8263</v>
      </c>
      <c r="S697" s="314">
        <v>1.7787999999999999</v>
      </c>
      <c r="T697" s="314">
        <v>1.4402999999999999</v>
      </c>
      <c r="U697" s="314">
        <v>1.7725</v>
      </c>
      <c r="V697" s="314">
        <v>1.4931000000000001</v>
      </c>
      <c r="W697" s="314">
        <v>1.5811999999999999</v>
      </c>
      <c r="X697" s="314">
        <v>1.4643999999999999</v>
      </c>
      <c r="Y697" s="314">
        <v>1.4171</v>
      </c>
      <c r="Z697" s="314">
        <v>1.8401000000000001</v>
      </c>
      <c r="AA697" s="314">
        <v>1.5741000000000001</v>
      </c>
      <c r="AB697" s="314">
        <v>1.7734000000000001</v>
      </c>
      <c r="AC697" s="314">
        <v>1.6240000000000001</v>
      </c>
      <c r="AD697" s="314">
        <v>1.2825</v>
      </c>
      <c r="AE697" s="314">
        <v>1.7575000000000001</v>
      </c>
      <c r="AF697" s="314">
        <v>1.3231999999999999</v>
      </c>
      <c r="AG697" s="314">
        <v>1.4120999999999999</v>
      </c>
      <c r="AH697" s="314">
        <v>1.5650999999999999</v>
      </c>
      <c r="AI697" s="314">
        <v>1.6007</v>
      </c>
      <c r="AJ697" s="314">
        <v>0</v>
      </c>
      <c r="AK697" s="314">
        <v>1.3989</v>
      </c>
      <c r="AL697" s="314">
        <v>1.5337000000000001</v>
      </c>
      <c r="AM697" s="314">
        <v>1.8715999999999999</v>
      </c>
      <c r="AN697" s="314">
        <v>1.5347</v>
      </c>
      <c r="AO697" s="314">
        <v>1.6228</v>
      </c>
      <c r="AP697" s="314">
        <v>1.7708999999999999</v>
      </c>
      <c r="AQ697" s="314">
        <v>1.5071000000000001</v>
      </c>
      <c r="AR697" s="314">
        <v>1.7658</v>
      </c>
      <c r="AS697" s="314">
        <v>0</v>
      </c>
      <c r="AT697" s="314">
        <v>1.8120000000000001</v>
      </c>
      <c r="AU697" s="314">
        <v>1.675</v>
      </c>
      <c r="AV697" s="314">
        <v>1.6946000000000001</v>
      </c>
      <c r="AW697" s="314">
        <v>1.6433</v>
      </c>
      <c r="AX697" s="314">
        <v>1.3838999999999999</v>
      </c>
      <c r="AY697" s="314">
        <v>1.5541</v>
      </c>
      <c r="AZ697" s="314">
        <v>1.7687999999999999</v>
      </c>
      <c r="BA697" s="314">
        <v>1.5434000000000001</v>
      </c>
      <c r="BB697" s="314">
        <v>0</v>
      </c>
      <c r="BC697" s="314">
        <v>1.6689000000000001</v>
      </c>
      <c r="BD697" s="314">
        <v>1.6883999999999999</v>
      </c>
      <c r="BE697" s="314">
        <v>1.9221999999999999</v>
      </c>
      <c r="BF697" s="314">
        <v>1.6972</v>
      </c>
      <c r="BG697" s="314">
        <v>1.7490000000000001</v>
      </c>
      <c r="BH697" s="314">
        <v>1.8403</v>
      </c>
      <c r="BI697" s="314">
        <v>1.7103999999999999</v>
      </c>
      <c r="BJ697" s="314">
        <v>1.5668</v>
      </c>
      <c r="BK697" s="314">
        <v>1.6412</v>
      </c>
    </row>
    <row r="698" spans="1:63" x14ac:dyDescent="0.25">
      <c r="A698" s="306">
        <v>336991</v>
      </c>
      <c r="B698" s="314" t="s">
        <v>259</v>
      </c>
      <c r="C698" s="314">
        <v>1.992</v>
      </c>
      <c r="D698" s="314">
        <v>0</v>
      </c>
      <c r="E698" s="314">
        <v>1.6034999999999999</v>
      </c>
      <c r="F698" s="314">
        <v>1.5664</v>
      </c>
      <c r="G698" s="314">
        <v>1.4744999999999999</v>
      </c>
      <c r="H698" s="314">
        <v>1.6252</v>
      </c>
      <c r="I698" s="314">
        <v>1.5124</v>
      </c>
      <c r="J698" s="314">
        <v>1.6009</v>
      </c>
      <c r="K698" s="314">
        <v>0</v>
      </c>
      <c r="L698" s="314">
        <v>0</v>
      </c>
      <c r="M698" s="314">
        <v>1.3841000000000001</v>
      </c>
      <c r="N698" s="314">
        <v>1.5931999999999999</v>
      </c>
      <c r="O698" s="314">
        <v>0</v>
      </c>
      <c r="P698" s="314">
        <v>1.4331</v>
      </c>
      <c r="Q698" s="314">
        <v>1.3129</v>
      </c>
      <c r="R698" s="314">
        <v>1.7198</v>
      </c>
      <c r="S698" s="314">
        <v>1.6611</v>
      </c>
      <c r="T698" s="314">
        <v>1.4248000000000001</v>
      </c>
      <c r="U698" s="314">
        <v>1.6295999999999999</v>
      </c>
      <c r="V698" s="314">
        <v>1.4487000000000001</v>
      </c>
      <c r="W698" s="314">
        <v>1.5108999999999999</v>
      </c>
      <c r="X698" s="314">
        <v>1.4034</v>
      </c>
      <c r="Y698" s="314">
        <v>1.3103</v>
      </c>
      <c r="Z698" s="314">
        <v>1.7029000000000001</v>
      </c>
      <c r="AA698" s="314">
        <v>1.5489999999999999</v>
      </c>
      <c r="AB698" s="314">
        <v>1.6233</v>
      </c>
      <c r="AC698" s="314">
        <v>0</v>
      </c>
      <c r="AD698" s="314">
        <v>1.232</v>
      </c>
      <c r="AE698" s="314">
        <v>1.5102</v>
      </c>
      <c r="AF698" s="314">
        <v>0</v>
      </c>
      <c r="AG698" s="314">
        <v>1.3452</v>
      </c>
      <c r="AH698" s="314">
        <v>1.5333000000000001</v>
      </c>
      <c r="AI698" s="314">
        <v>1.4907999999999999</v>
      </c>
      <c r="AJ698" s="314">
        <v>1.204</v>
      </c>
      <c r="AK698" s="314">
        <v>1.3204</v>
      </c>
      <c r="AL698" s="314">
        <v>1.4246000000000001</v>
      </c>
      <c r="AM698" s="314">
        <v>1.8167</v>
      </c>
      <c r="AN698" s="314">
        <v>1.4911000000000001</v>
      </c>
      <c r="AO698" s="314">
        <v>1.7162999999999999</v>
      </c>
      <c r="AP698" s="314">
        <v>1.8046</v>
      </c>
      <c r="AQ698" s="314">
        <v>1.4298</v>
      </c>
      <c r="AR698" s="314">
        <v>1.5984</v>
      </c>
      <c r="AS698" s="314">
        <v>1.3197000000000001</v>
      </c>
      <c r="AT698" s="314">
        <v>1.6676</v>
      </c>
      <c r="AU698" s="314">
        <v>1.6517999999999999</v>
      </c>
      <c r="AV698" s="314">
        <v>1.5807</v>
      </c>
      <c r="AW698" s="314">
        <v>1.5434000000000001</v>
      </c>
      <c r="AX698" s="314">
        <v>0</v>
      </c>
      <c r="AY698" s="314">
        <v>1.526</v>
      </c>
      <c r="AZ698" s="314">
        <v>1.6073999999999999</v>
      </c>
      <c r="BA698" s="314">
        <v>0</v>
      </c>
      <c r="BB698" s="314">
        <v>0</v>
      </c>
      <c r="BC698" s="314">
        <v>1.579</v>
      </c>
      <c r="BD698" s="314">
        <v>1.7166999999999999</v>
      </c>
      <c r="BE698" s="314">
        <v>1.8434999999999999</v>
      </c>
      <c r="BF698" s="314">
        <v>1.6472</v>
      </c>
      <c r="BG698" s="314">
        <v>1.5929</v>
      </c>
      <c r="BH698" s="314">
        <v>1.6909000000000001</v>
      </c>
      <c r="BI698" s="314">
        <v>1.7050000000000001</v>
      </c>
      <c r="BJ698" s="314">
        <v>1.5052000000000001</v>
      </c>
      <c r="BK698" s="314">
        <v>1.6492</v>
      </c>
    </row>
    <row r="699" spans="1:63" x14ac:dyDescent="0.25">
      <c r="A699" s="306">
        <v>336992</v>
      </c>
      <c r="B699" s="314" t="s">
        <v>260</v>
      </c>
      <c r="C699" s="314">
        <v>1.974</v>
      </c>
      <c r="D699" s="314">
        <v>0</v>
      </c>
      <c r="E699" s="314">
        <v>1.67</v>
      </c>
      <c r="F699" s="314">
        <v>0</v>
      </c>
      <c r="G699" s="314">
        <v>1.5421</v>
      </c>
      <c r="H699" s="314">
        <v>1.6580999999999999</v>
      </c>
      <c r="I699" s="314">
        <v>0</v>
      </c>
      <c r="J699" s="314">
        <v>0</v>
      </c>
      <c r="K699" s="314">
        <v>0</v>
      </c>
      <c r="L699" s="314">
        <v>0</v>
      </c>
      <c r="M699" s="314">
        <v>1.4618</v>
      </c>
      <c r="N699" s="314">
        <v>1.6283000000000001</v>
      </c>
      <c r="O699" s="314">
        <v>0</v>
      </c>
      <c r="P699" s="314">
        <v>0</v>
      </c>
      <c r="Q699" s="314">
        <v>0</v>
      </c>
      <c r="R699" s="314">
        <v>1.8029999999999999</v>
      </c>
      <c r="S699" s="314">
        <v>0</v>
      </c>
      <c r="T699" s="314">
        <v>0</v>
      </c>
      <c r="U699" s="314">
        <v>0</v>
      </c>
      <c r="V699" s="314">
        <v>1.4570000000000001</v>
      </c>
      <c r="W699" s="314">
        <v>0</v>
      </c>
      <c r="X699" s="314">
        <v>1.423</v>
      </c>
      <c r="Y699" s="314">
        <v>0</v>
      </c>
      <c r="Z699" s="314">
        <v>1.7325999999999999</v>
      </c>
      <c r="AA699" s="314">
        <v>1.6475</v>
      </c>
      <c r="AB699" s="314">
        <v>0</v>
      </c>
      <c r="AC699" s="314">
        <v>0</v>
      </c>
      <c r="AD699" s="314">
        <v>0</v>
      </c>
      <c r="AE699" s="314">
        <v>1.5604</v>
      </c>
      <c r="AF699" s="314">
        <v>0</v>
      </c>
      <c r="AG699" s="314">
        <v>0</v>
      </c>
      <c r="AH699" s="314">
        <v>0</v>
      </c>
      <c r="AI699" s="314">
        <v>1.6398999999999999</v>
      </c>
      <c r="AJ699" s="314">
        <v>0</v>
      </c>
      <c r="AK699" s="314">
        <v>0</v>
      </c>
      <c r="AL699" s="314">
        <v>1.5226999999999999</v>
      </c>
      <c r="AM699" s="314">
        <v>1.8310999999999999</v>
      </c>
      <c r="AN699" s="314">
        <v>1.5687</v>
      </c>
      <c r="AO699" s="314">
        <v>0</v>
      </c>
      <c r="AP699" s="314">
        <v>1.843</v>
      </c>
      <c r="AQ699" s="314">
        <v>0</v>
      </c>
      <c r="AR699" s="314">
        <v>1.5926</v>
      </c>
      <c r="AS699" s="314">
        <v>0</v>
      </c>
      <c r="AT699" s="314">
        <v>1.6896</v>
      </c>
      <c r="AU699" s="314">
        <v>1.6698999999999999</v>
      </c>
      <c r="AV699" s="314">
        <v>0</v>
      </c>
      <c r="AW699" s="314">
        <v>1.5092000000000001</v>
      </c>
      <c r="AX699" s="314">
        <v>0</v>
      </c>
      <c r="AY699" s="314">
        <v>0</v>
      </c>
      <c r="AZ699" s="314">
        <v>1.6444000000000001</v>
      </c>
      <c r="BA699" s="314">
        <v>0</v>
      </c>
      <c r="BB699" s="314">
        <v>0</v>
      </c>
      <c r="BC699" s="314">
        <v>0</v>
      </c>
      <c r="BD699" s="314">
        <v>1.7867</v>
      </c>
      <c r="BE699" s="314">
        <v>1.8589</v>
      </c>
      <c r="BF699" s="314">
        <v>1.6548</v>
      </c>
      <c r="BG699" s="314">
        <v>1.6023000000000001</v>
      </c>
      <c r="BH699" s="314">
        <v>1.7487999999999999</v>
      </c>
      <c r="BI699" s="314">
        <v>1.7286999999999999</v>
      </c>
      <c r="BJ699" s="314">
        <v>1.5641</v>
      </c>
      <c r="BK699" s="314">
        <v>1.677</v>
      </c>
    </row>
    <row r="700" spans="1:63" x14ac:dyDescent="0.25">
      <c r="A700" s="306">
        <v>336999</v>
      </c>
      <c r="B700" s="314" t="s">
        <v>261</v>
      </c>
      <c r="C700" s="314">
        <v>2.1663000000000001</v>
      </c>
      <c r="D700" s="314">
        <v>0</v>
      </c>
      <c r="E700" s="314">
        <v>1.7745</v>
      </c>
      <c r="F700" s="314">
        <v>1.7563</v>
      </c>
      <c r="G700" s="314">
        <v>1.3947000000000001</v>
      </c>
      <c r="H700" s="314">
        <v>1.5523</v>
      </c>
      <c r="I700" s="314">
        <v>1.4476</v>
      </c>
      <c r="J700" s="314">
        <v>1.6222000000000001</v>
      </c>
      <c r="K700" s="314">
        <v>0</v>
      </c>
      <c r="L700" s="314">
        <v>1.4023000000000001</v>
      </c>
      <c r="M700" s="314">
        <v>1.4077999999999999</v>
      </c>
      <c r="N700" s="314">
        <v>1.6819</v>
      </c>
      <c r="O700" s="314">
        <v>0</v>
      </c>
      <c r="P700" s="314">
        <v>1.6758</v>
      </c>
      <c r="Q700" s="314">
        <v>1.3036000000000001</v>
      </c>
      <c r="R700" s="314">
        <v>1.9061999999999999</v>
      </c>
      <c r="S700" s="314">
        <v>1.9232</v>
      </c>
      <c r="T700" s="314">
        <v>1.4626999999999999</v>
      </c>
      <c r="U700" s="314">
        <v>1.8360000000000001</v>
      </c>
      <c r="V700" s="314">
        <v>1.5049999999999999</v>
      </c>
      <c r="W700" s="314">
        <v>0</v>
      </c>
      <c r="X700" s="314">
        <v>1.4347000000000001</v>
      </c>
      <c r="Y700" s="314">
        <v>0</v>
      </c>
      <c r="Z700" s="314">
        <v>1.8926000000000001</v>
      </c>
      <c r="AA700" s="314">
        <v>1.7071000000000001</v>
      </c>
      <c r="AB700" s="314">
        <v>1.7976000000000001</v>
      </c>
      <c r="AC700" s="314">
        <v>1.6408</v>
      </c>
      <c r="AD700" s="314">
        <v>0</v>
      </c>
      <c r="AE700" s="314">
        <v>1.8001</v>
      </c>
      <c r="AF700" s="314">
        <v>0</v>
      </c>
      <c r="AG700" s="314">
        <v>1.5230999999999999</v>
      </c>
      <c r="AH700" s="314">
        <v>1.5738000000000001</v>
      </c>
      <c r="AI700" s="314">
        <v>1.5766</v>
      </c>
      <c r="AJ700" s="314">
        <v>0</v>
      </c>
      <c r="AK700" s="314">
        <v>1.3485</v>
      </c>
      <c r="AL700" s="314">
        <v>1.4303999999999999</v>
      </c>
      <c r="AM700" s="314">
        <v>1.9379</v>
      </c>
      <c r="AN700" s="314">
        <v>1.621</v>
      </c>
      <c r="AO700" s="314">
        <v>1.6372</v>
      </c>
      <c r="AP700" s="314">
        <v>1.8255999999999999</v>
      </c>
      <c r="AQ700" s="314">
        <v>0</v>
      </c>
      <c r="AR700" s="314">
        <v>1.8665</v>
      </c>
      <c r="AS700" s="314">
        <v>1.3446</v>
      </c>
      <c r="AT700" s="314">
        <v>1.8011999999999999</v>
      </c>
      <c r="AU700" s="314">
        <v>1.6681999999999999</v>
      </c>
      <c r="AV700" s="314">
        <v>1.7499</v>
      </c>
      <c r="AW700" s="314">
        <v>1.5668</v>
      </c>
      <c r="AX700" s="314">
        <v>1.3847</v>
      </c>
      <c r="AY700" s="314">
        <v>1.458</v>
      </c>
      <c r="AZ700" s="314">
        <v>1.8539000000000001</v>
      </c>
      <c r="BA700" s="314">
        <v>0</v>
      </c>
      <c r="BB700" s="314">
        <v>1.2070000000000001</v>
      </c>
      <c r="BC700" s="314">
        <v>1.6346000000000001</v>
      </c>
      <c r="BD700" s="314">
        <v>1.6792</v>
      </c>
      <c r="BE700" s="314">
        <v>2.0171000000000001</v>
      </c>
      <c r="BF700" s="314">
        <v>1.784</v>
      </c>
      <c r="BG700" s="314">
        <v>1.7293000000000001</v>
      </c>
      <c r="BH700" s="314">
        <v>1.8729</v>
      </c>
      <c r="BI700" s="314">
        <v>1.7363999999999999</v>
      </c>
      <c r="BJ700" s="314">
        <v>1.4595</v>
      </c>
      <c r="BK700" s="314">
        <v>1.5629999999999999</v>
      </c>
    </row>
    <row r="701" spans="1:63" x14ac:dyDescent="0.25">
      <c r="A701" s="306">
        <v>337110</v>
      </c>
      <c r="B701" s="314" t="s">
        <v>262</v>
      </c>
      <c r="C701" s="314">
        <v>2.0668000000000002</v>
      </c>
      <c r="D701" s="314">
        <v>1.373</v>
      </c>
      <c r="E701" s="314">
        <v>1.7399</v>
      </c>
      <c r="F701" s="314">
        <v>1.6825000000000001</v>
      </c>
      <c r="G701" s="314">
        <v>1.4991000000000001</v>
      </c>
      <c r="H701" s="314">
        <v>1.6698999999999999</v>
      </c>
      <c r="I701" s="314">
        <v>1.6393</v>
      </c>
      <c r="J701" s="314">
        <v>1.5763</v>
      </c>
      <c r="K701" s="314">
        <v>1.2801</v>
      </c>
      <c r="L701" s="314">
        <v>1.4704999999999999</v>
      </c>
      <c r="M701" s="314">
        <v>1.5592999999999999</v>
      </c>
      <c r="N701" s="314">
        <v>1.8656999999999999</v>
      </c>
      <c r="O701" s="314">
        <v>1.3968</v>
      </c>
      <c r="P701" s="314">
        <v>1.4016</v>
      </c>
      <c r="Q701" s="314">
        <v>1.6204000000000001</v>
      </c>
      <c r="R701" s="314">
        <v>1.6796</v>
      </c>
      <c r="S701" s="314">
        <v>1.6247</v>
      </c>
      <c r="T701" s="314">
        <v>1.4354</v>
      </c>
      <c r="U701" s="314">
        <v>1.6809000000000001</v>
      </c>
      <c r="V701" s="314">
        <v>1.6757</v>
      </c>
      <c r="W701" s="314">
        <v>1.5941000000000001</v>
      </c>
      <c r="X701" s="314">
        <v>1.5437000000000001</v>
      </c>
      <c r="Y701" s="314">
        <v>1.6815</v>
      </c>
      <c r="Z701" s="314">
        <v>1.712</v>
      </c>
      <c r="AA701" s="314">
        <v>1.6535</v>
      </c>
      <c r="AB701" s="314">
        <v>1.6947000000000001</v>
      </c>
      <c r="AC701" s="314">
        <v>1.6533</v>
      </c>
      <c r="AD701" s="314">
        <v>1.5667</v>
      </c>
      <c r="AE701" s="314">
        <v>1.7741</v>
      </c>
      <c r="AF701" s="314">
        <v>1.3423</v>
      </c>
      <c r="AG701" s="314">
        <v>1.3638999999999999</v>
      </c>
      <c r="AH701" s="314">
        <v>1.6823999999999999</v>
      </c>
      <c r="AI701" s="314">
        <v>1.6576</v>
      </c>
      <c r="AJ701" s="314">
        <v>1.3718999999999999</v>
      </c>
      <c r="AK701" s="314">
        <v>1.4722</v>
      </c>
      <c r="AL701" s="314">
        <v>1.5150999999999999</v>
      </c>
      <c r="AM701" s="314">
        <v>1.6712</v>
      </c>
      <c r="AN701" s="314">
        <v>1.5748</v>
      </c>
      <c r="AO701" s="314">
        <v>1.8046</v>
      </c>
      <c r="AP701" s="314">
        <v>1.8123</v>
      </c>
      <c r="AQ701" s="314">
        <v>1.5238</v>
      </c>
      <c r="AR701" s="314">
        <v>1.7564</v>
      </c>
      <c r="AS701" s="314">
        <v>1.4514</v>
      </c>
      <c r="AT701" s="314">
        <v>1.7183999999999999</v>
      </c>
      <c r="AU701" s="314">
        <v>1.7712000000000001</v>
      </c>
      <c r="AV701" s="314">
        <v>1.641</v>
      </c>
      <c r="AW701" s="314">
        <v>1.7981</v>
      </c>
      <c r="AX701" s="314">
        <v>1.5763</v>
      </c>
      <c r="AY701" s="314">
        <v>1.7170000000000001</v>
      </c>
      <c r="AZ701" s="314">
        <v>1.7189000000000001</v>
      </c>
      <c r="BA701" s="314">
        <v>1.6008</v>
      </c>
      <c r="BB701" s="314">
        <v>1.3749</v>
      </c>
      <c r="BC701" s="314">
        <v>1.7354000000000001</v>
      </c>
      <c r="BD701" s="314">
        <v>1.7069000000000001</v>
      </c>
      <c r="BE701" s="314">
        <v>1.7628999999999999</v>
      </c>
      <c r="BF701" s="314">
        <v>1.6415999999999999</v>
      </c>
      <c r="BG701" s="314">
        <v>1.8824000000000001</v>
      </c>
      <c r="BH701" s="314">
        <v>1.8171999999999999</v>
      </c>
      <c r="BI701" s="314">
        <v>1.8728</v>
      </c>
      <c r="BJ701" s="314">
        <v>1.7258</v>
      </c>
      <c r="BK701" s="314">
        <v>1.8421000000000001</v>
      </c>
    </row>
    <row r="702" spans="1:63" x14ac:dyDescent="0.25">
      <c r="A702" s="306">
        <v>337121</v>
      </c>
      <c r="B702" s="314" t="s">
        <v>263</v>
      </c>
      <c r="C702" s="314">
        <v>1.9493</v>
      </c>
      <c r="D702" s="314">
        <v>0</v>
      </c>
      <c r="E702" s="314">
        <v>1.5965</v>
      </c>
      <c r="F702" s="314">
        <v>1.5495000000000001</v>
      </c>
      <c r="G702" s="314">
        <v>1.3329</v>
      </c>
      <c r="H702" s="314">
        <v>1.5158</v>
      </c>
      <c r="I702" s="314">
        <v>1.4381999999999999</v>
      </c>
      <c r="J702" s="314">
        <v>1.54</v>
      </c>
      <c r="K702" s="314">
        <v>1.0993999999999999</v>
      </c>
      <c r="L702" s="314">
        <v>0</v>
      </c>
      <c r="M702" s="314">
        <v>1.3557999999999999</v>
      </c>
      <c r="N702" s="314">
        <v>1.7272000000000001</v>
      </c>
      <c r="O702" s="314">
        <v>0</v>
      </c>
      <c r="P702" s="314">
        <v>1.3923000000000001</v>
      </c>
      <c r="Q702" s="314">
        <v>1.298</v>
      </c>
      <c r="R702" s="314">
        <v>1.581</v>
      </c>
      <c r="S702" s="314">
        <v>1.5888</v>
      </c>
      <c r="T702" s="314">
        <v>1.3385</v>
      </c>
      <c r="U702" s="314">
        <v>1.5879000000000001</v>
      </c>
      <c r="V702" s="314">
        <v>0</v>
      </c>
      <c r="W702" s="314">
        <v>1.5531999999999999</v>
      </c>
      <c r="X702" s="314">
        <v>1.3668</v>
      </c>
      <c r="Y702" s="314">
        <v>0</v>
      </c>
      <c r="Z702" s="314">
        <v>1.5792999999999999</v>
      </c>
      <c r="AA702" s="314">
        <v>1.4757</v>
      </c>
      <c r="AB702" s="314">
        <v>1.5264</v>
      </c>
      <c r="AC702" s="314">
        <v>1.6065</v>
      </c>
      <c r="AD702" s="314">
        <v>1.2544</v>
      </c>
      <c r="AE702" s="314">
        <v>1.7302999999999999</v>
      </c>
      <c r="AF702" s="314">
        <v>0</v>
      </c>
      <c r="AG702" s="314">
        <v>0</v>
      </c>
      <c r="AH702" s="314">
        <v>0</v>
      </c>
      <c r="AI702" s="314">
        <v>1.5141</v>
      </c>
      <c r="AJ702" s="314">
        <v>1.2735000000000001</v>
      </c>
      <c r="AK702" s="314">
        <v>1.2998000000000001</v>
      </c>
      <c r="AL702" s="314">
        <v>1.3852</v>
      </c>
      <c r="AM702" s="314">
        <v>1.6480999999999999</v>
      </c>
      <c r="AN702" s="314">
        <v>1.3734</v>
      </c>
      <c r="AO702" s="314">
        <v>1.5218</v>
      </c>
      <c r="AP702" s="314">
        <v>1.7262</v>
      </c>
      <c r="AQ702" s="314">
        <v>1.5089999999999999</v>
      </c>
      <c r="AR702" s="314">
        <v>1.7364999999999999</v>
      </c>
      <c r="AS702" s="314">
        <v>1.2338</v>
      </c>
      <c r="AT702" s="314">
        <v>1.6391</v>
      </c>
      <c r="AU702" s="314">
        <v>1.6137999999999999</v>
      </c>
      <c r="AV702" s="314">
        <v>1.4368000000000001</v>
      </c>
      <c r="AW702" s="314">
        <v>1.6251</v>
      </c>
      <c r="AX702" s="314">
        <v>0</v>
      </c>
      <c r="AY702" s="314">
        <v>1.5259</v>
      </c>
      <c r="AZ702" s="314">
        <v>1.6486000000000001</v>
      </c>
      <c r="BA702" s="314">
        <v>0</v>
      </c>
      <c r="BB702" s="314">
        <v>1.1933</v>
      </c>
      <c r="BC702" s="314">
        <v>1.6821999999999999</v>
      </c>
      <c r="BD702" s="314">
        <v>1.6203000000000001</v>
      </c>
      <c r="BE702" s="314">
        <v>1.6751</v>
      </c>
      <c r="BF702" s="314">
        <v>1.4841</v>
      </c>
      <c r="BG702" s="314">
        <v>1.7462</v>
      </c>
      <c r="BH702" s="314">
        <v>1.7926</v>
      </c>
      <c r="BI702" s="314">
        <v>1.6586000000000001</v>
      </c>
      <c r="BJ702" s="314">
        <v>1.4256</v>
      </c>
      <c r="BK702" s="314">
        <v>1.5768</v>
      </c>
    </row>
    <row r="703" spans="1:63" x14ac:dyDescent="0.25">
      <c r="A703" s="306">
        <v>337122</v>
      </c>
      <c r="B703" s="314" t="s">
        <v>264</v>
      </c>
      <c r="C703" s="314">
        <v>1.8211999999999999</v>
      </c>
      <c r="D703" s="314">
        <v>1.216</v>
      </c>
      <c r="E703" s="314">
        <v>1.6032</v>
      </c>
      <c r="F703" s="314">
        <v>1.5754999999999999</v>
      </c>
      <c r="G703" s="314">
        <v>1.3086</v>
      </c>
      <c r="H703" s="314">
        <v>1.4458</v>
      </c>
      <c r="I703" s="314">
        <v>1.4052</v>
      </c>
      <c r="J703" s="314">
        <v>1.3863000000000001</v>
      </c>
      <c r="K703" s="314">
        <v>0</v>
      </c>
      <c r="L703" s="314">
        <v>1.3105</v>
      </c>
      <c r="M703" s="314">
        <v>1.3617999999999999</v>
      </c>
      <c r="N703" s="314">
        <v>1.6902999999999999</v>
      </c>
      <c r="O703" s="314">
        <v>1.2210000000000001</v>
      </c>
      <c r="P703" s="314">
        <v>1.3132999999999999</v>
      </c>
      <c r="Q703" s="314">
        <v>1.4730000000000001</v>
      </c>
      <c r="R703" s="314">
        <v>1.47</v>
      </c>
      <c r="S703" s="314">
        <v>1.4805999999999999</v>
      </c>
      <c r="T703" s="314">
        <v>1.2959000000000001</v>
      </c>
      <c r="U703" s="314">
        <v>1.5391999999999999</v>
      </c>
      <c r="V703" s="314">
        <v>1.5378000000000001</v>
      </c>
      <c r="W703" s="314">
        <v>1.393</v>
      </c>
      <c r="X703" s="314">
        <v>1.3484</v>
      </c>
      <c r="Y703" s="314">
        <v>1.5210999999999999</v>
      </c>
      <c r="Z703" s="314">
        <v>1.5686</v>
      </c>
      <c r="AA703" s="314">
        <v>1.4861</v>
      </c>
      <c r="AB703" s="314">
        <v>1.4802</v>
      </c>
      <c r="AC703" s="314">
        <v>1.5518000000000001</v>
      </c>
      <c r="AD703" s="314">
        <v>1.4288000000000001</v>
      </c>
      <c r="AE703" s="314">
        <v>1.6285000000000001</v>
      </c>
      <c r="AF703" s="314">
        <v>1.2609999999999999</v>
      </c>
      <c r="AG703" s="314">
        <v>1.2554000000000001</v>
      </c>
      <c r="AH703" s="314">
        <v>1.4995000000000001</v>
      </c>
      <c r="AI703" s="314">
        <v>1.4365000000000001</v>
      </c>
      <c r="AJ703" s="314">
        <v>1.2137</v>
      </c>
      <c r="AK703" s="314">
        <v>1.3118000000000001</v>
      </c>
      <c r="AL703" s="314">
        <v>1.3293999999999999</v>
      </c>
      <c r="AM703" s="314">
        <v>1.5075000000000001</v>
      </c>
      <c r="AN703" s="314">
        <v>1.4111</v>
      </c>
      <c r="AO703" s="314">
        <v>1.6257999999999999</v>
      </c>
      <c r="AP703" s="314">
        <v>1.6196999999999999</v>
      </c>
      <c r="AQ703" s="314">
        <v>1.35</v>
      </c>
      <c r="AR703" s="314">
        <v>1.6104000000000001</v>
      </c>
      <c r="AS703" s="314">
        <v>1.3664000000000001</v>
      </c>
      <c r="AT703" s="314">
        <v>1.5529999999999999</v>
      </c>
      <c r="AU703" s="314">
        <v>1.5495000000000001</v>
      </c>
      <c r="AV703" s="314">
        <v>1.4278999999999999</v>
      </c>
      <c r="AW703" s="314">
        <v>1.5904</v>
      </c>
      <c r="AX703" s="314">
        <v>1.3931</v>
      </c>
      <c r="AY703" s="314">
        <v>1.5185</v>
      </c>
      <c r="AZ703" s="314">
        <v>1.5941000000000001</v>
      </c>
      <c r="BA703" s="314">
        <v>1.4762</v>
      </c>
      <c r="BB703" s="314">
        <v>1.2514000000000001</v>
      </c>
      <c r="BC703" s="314">
        <v>1.5209999999999999</v>
      </c>
      <c r="BD703" s="314">
        <v>1.4895</v>
      </c>
      <c r="BE703" s="314">
        <v>1.5873999999999999</v>
      </c>
      <c r="BF703" s="314">
        <v>1.4859</v>
      </c>
      <c r="BG703" s="314">
        <v>1.6716</v>
      </c>
      <c r="BH703" s="314">
        <v>1.6726000000000001</v>
      </c>
      <c r="BI703" s="314">
        <v>1.6616</v>
      </c>
      <c r="BJ703" s="314">
        <v>1.4985999999999999</v>
      </c>
      <c r="BK703" s="314">
        <v>1.6149</v>
      </c>
    </row>
    <row r="704" spans="1:63" x14ac:dyDescent="0.25">
      <c r="A704" s="306">
        <v>337127</v>
      </c>
      <c r="B704" s="314" t="s">
        <v>266</v>
      </c>
      <c r="C704" s="314">
        <v>1.9211</v>
      </c>
      <c r="D704" s="314">
        <v>0</v>
      </c>
      <c r="E704" s="314">
        <v>1.6366000000000001</v>
      </c>
      <c r="F704" s="314">
        <v>1.6001000000000001</v>
      </c>
      <c r="G704" s="314">
        <v>1.4076</v>
      </c>
      <c r="H704" s="314">
        <v>1.5417000000000001</v>
      </c>
      <c r="I704" s="314">
        <v>1.5115000000000001</v>
      </c>
      <c r="J704" s="314">
        <v>1.5007999999999999</v>
      </c>
      <c r="K704" s="314">
        <v>0</v>
      </c>
      <c r="L704" s="314">
        <v>1.4088000000000001</v>
      </c>
      <c r="M704" s="314">
        <v>1.4157</v>
      </c>
      <c r="N704" s="314">
        <v>1.6560999999999999</v>
      </c>
      <c r="O704" s="314">
        <v>0</v>
      </c>
      <c r="P704" s="314">
        <v>1.3856999999999999</v>
      </c>
      <c r="Q704" s="314">
        <v>1.3774</v>
      </c>
      <c r="R704" s="314">
        <v>1.6792</v>
      </c>
      <c r="S704" s="314">
        <v>1.6282000000000001</v>
      </c>
      <c r="T704" s="314">
        <v>1.3852</v>
      </c>
      <c r="U704" s="314">
        <v>1.6313</v>
      </c>
      <c r="V704" s="314">
        <v>1.4561999999999999</v>
      </c>
      <c r="W704" s="314">
        <v>1.5046999999999999</v>
      </c>
      <c r="X704" s="314">
        <v>1.4550000000000001</v>
      </c>
      <c r="Y704" s="314">
        <v>1.4705999999999999</v>
      </c>
      <c r="Z704" s="314">
        <v>1.6702999999999999</v>
      </c>
      <c r="AA704" s="314">
        <v>1.5591999999999999</v>
      </c>
      <c r="AB704" s="314">
        <v>1.5831</v>
      </c>
      <c r="AC704" s="314">
        <v>1.5629</v>
      </c>
      <c r="AD704" s="314">
        <v>1.3109</v>
      </c>
      <c r="AE704" s="314">
        <v>1.6035999999999999</v>
      </c>
      <c r="AF704" s="314">
        <v>1.2572000000000001</v>
      </c>
      <c r="AG704" s="314">
        <v>1.3278000000000001</v>
      </c>
      <c r="AH704" s="314">
        <v>1.5274000000000001</v>
      </c>
      <c r="AI704" s="314">
        <v>1.5457000000000001</v>
      </c>
      <c r="AJ704" s="314">
        <v>1.2534000000000001</v>
      </c>
      <c r="AK704" s="314">
        <v>1.3438000000000001</v>
      </c>
      <c r="AL704" s="314">
        <v>1.4198</v>
      </c>
      <c r="AM704" s="314">
        <v>1.6923999999999999</v>
      </c>
      <c r="AN704" s="314">
        <v>1.4843</v>
      </c>
      <c r="AO704" s="314">
        <v>1.6577999999999999</v>
      </c>
      <c r="AP704" s="314">
        <v>1.7357</v>
      </c>
      <c r="AQ704" s="314">
        <v>0</v>
      </c>
      <c r="AR704" s="314">
        <v>1.6331</v>
      </c>
      <c r="AS704" s="314">
        <v>0</v>
      </c>
      <c r="AT704" s="314">
        <v>1.6436999999999999</v>
      </c>
      <c r="AU704" s="314">
        <v>1.6567000000000001</v>
      </c>
      <c r="AV704" s="314">
        <v>1.5822000000000001</v>
      </c>
      <c r="AW704" s="314">
        <v>1.579</v>
      </c>
      <c r="AX704" s="314">
        <v>1.3917999999999999</v>
      </c>
      <c r="AY704" s="314">
        <v>1.5266999999999999</v>
      </c>
      <c r="AZ704" s="314">
        <v>1.5888</v>
      </c>
      <c r="BA704" s="314">
        <v>0</v>
      </c>
      <c r="BB704" s="314">
        <v>0</v>
      </c>
      <c r="BC704" s="314">
        <v>1.5868</v>
      </c>
      <c r="BD704" s="314">
        <v>1.6486000000000001</v>
      </c>
      <c r="BE704" s="314">
        <v>1.7408999999999999</v>
      </c>
      <c r="BF704" s="314">
        <v>1.5633999999999999</v>
      </c>
      <c r="BG704" s="314">
        <v>1.6565000000000001</v>
      </c>
      <c r="BH704" s="314">
        <v>1.7190000000000001</v>
      </c>
      <c r="BI704" s="314">
        <v>1.7270000000000001</v>
      </c>
      <c r="BJ704" s="314">
        <v>1.5194000000000001</v>
      </c>
      <c r="BK704" s="314">
        <v>1.6142000000000001</v>
      </c>
    </row>
    <row r="705" spans="1:63" x14ac:dyDescent="0.25">
      <c r="A705" s="306" t="s">
        <v>745</v>
      </c>
      <c r="B705" s="314" t="s">
        <v>265</v>
      </c>
      <c r="C705" s="314">
        <v>2.0297999999999998</v>
      </c>
      <c r="D705" s="314">
        <v>1.2008000000000001</v>
      </c>
      <c r="E705" s="314">
        <v>1.7027000000000001</v>
      </c>
      <c r="F705" s="314">
        <v>1.5968</v>
      </c>
      <c r="G705" s="314">
        <v>1.4208000000000001</v>
      </c>
      <c r="H705" s="314">
        <v>1.5694999999999999</v>
      </c>
      <c r="I705" s="314">
        <v>1.4825999999999999</v>
      </c>
      <c r="J705" s="314">
        <v>1.5984</v>
      </c>
      <c r="K705" s="314">
        <v>1.1544000000000001</v>
      </c>
      <c r="L705" s="314">
        <v>1.5056</v>
      </c>
      <c r="M705" s="314">
        <v>1.4091</v>
      </c>
      <c r="N705" s="314">
        <v>1.6443000000000001</v>
      </c>
      <c r="O705" s="314">
        <v>1.2255</v>
      </c>
      <c r="P705" s="314">
        <v>1.4767999999999999</v>
      </c>
      <c r="Q705" s="314">
        <v>1.3309</v>
      </c>
      <c r="R705" s="314">
        <v>1.7282</v>
      </c>
      <c r="S705" s="314">
        <v>1.7061999999999999</v>
      </c>
      <c r="T705" s="314">
        <v>1.4156</v>
      </c>
      <c r="U705" s="314">
        <v>1.6879999999999999</v>
      </c>
      <c r="V705" s="314">
        <v>0</v>
      </c>
      <c r="W705" s="314">
        <v>1.5696000000000001</v>
      </c>
      <c r="X705" s="314">
        <v>1.4145000000000001</v>
      </c>
      <c r="Y705" s="314">
        <v>0</v>
      </c>
      <c r="Z705" s="314">
        <v>1.7126999999999999</v>
      </c>
      <c r="AA705" s="314">
        <v>1.5521</v>
      </c>
      <c r="AB705" s="314">
        <v>1.6526000000000001</v>
      </c>
      <c r="AC705" s="314">
        <v>1.5926</v>
      </c>
      <c r="AD705" s="314">
        <v>1.2577</v>
      </c>
      <c r="AE705" s="314">
        <v>1.625</v>
      </c>
      <c r="AF705" s="314">
        <v>0</v>
      </c>
      <c r="AG705" s="314">
        <v>1.3107</v>
      </c>
      <c r="AH705" s="314">
        <v>1.5436000000000001</v>
      </c>
      <c r="AI705" s="314">
        <v>1.6134999999999999</v>
      </c>
      <c r="AJ705" s="314">
        <v>1.2467999999999999</v>
      </c>
      <c r="AK705" s="314">
        <v>1.304</v>
      </c>
      <c r="AL705" s="314">
        <v>1.4303999999999999</v>
      </c>
      <c r="AM705" s="314">
        <v>1.8031999999999999</v>
      </c>
      <c r="AN705" s="314">
        <v>1.4852000000000001</v>
      </c>
      <c r="AO705" s="314">
        <v>1.6029</v>
      </c>
      <c r="AP705" s="314">
        <v>1.8222</v>
      </c>
      <c r="AQ705" s="314">
        <v>0</v>
      </c>
      <c r="AR705" s="314">
        <v>1.7215</v>
      </c>
      <c r="AS705" s="314">
        <v>0</v>
      </c>
      <c r="AT705" s="314">
        <v>1.7190000000000001</v>
      </c>
      <c r="AU705" s="314">
        <v>1.7592000000000001</v>
      </c>
      <c r="AV705" s="314">
        <v>1.5437000000000001</v>
      </c>
      <c r="AW705" s="314">
        <v>1.5711999999999999</v>
      </c>
      <c r="AX705" s="314">
        <v>1.3522000000000001</v>
      </c>
      <c r="AY705" s="314">
        <v>1.5116000000000001</v>
      </c>
      <c r="AZ705" s="314">
        <v>1.5810999999999999</v>
      </c>
      <c r="BA705" s="314">
        <v>0</v>
      </c>
      <c r="BB705" s="314">
        <v>1.2234</v>
      </c>
      <c r="BC705" s="314">
        <v>1.6516999999999999</v>
      </c>
      <c r="BD705" s="314">
        <v>1.7050000000000001</v>
      </c>
      <c r="BE705" s="314">
        <v>1.8236000000000001</v>
      </c>
      <c r="BF705" s="314">
        <v>1.5989</v>
      </c>
      <c r="BG705" s="314">
        <v>1.6944999999999999</v>
      </c>
      <c r="BH705" s="314">
        <v>1.8004</v>
      </c>
      <c r="BI705" s="314">
        <v>1.8093999999999999</v>
      </c>
      <c r="BJ705" s="314">
        <v>1.4717</v>
      </c>
      <c r="BK705" s="314">
        <v>1.6044</v>
      </c>
    </row>
    <row r="706" spans="1:63" x14ac:dyDescent="0.25">
      <c r="A706" s="306">
        <v>337212</v>
      </c>
      <c r="B706" s="314" t="s">
        <v>268</v>
      </c>
      <c r="C706" s="314">
        <v>1.8282</v>
      </c>
      <c r="D706" s="314">
        <v>0</v>
      </c>
      <c r="E706" s="314">
        <v>1.5765</v>
      </c>
      <c r="F706" s="314">
        <v>1.5346</v>
      </c>
      <c r="G706" s="314">
        <v>1.3432999999999999</v>
      </c>
      <c r="H706" s="314">
        <v>1.4703999999999999</v>
      </c>
      <c r="I706" s="314">
        <v>1.4351</v>
      </c>
      <c r="J706" s="314">
        <v>1.4690000000000001</v>
      </c>
      <c r="K706" s="314">
        <v>1.1363000000000001</v>
      </c>
      <c r="L706" s="314">
        <v>1.4</v>
      </c>
      <c r="M706" s="314">
        <v>1.3607</v>
      </c>
      <c r="N706" s="314">
        <v>1.6122000000000001</v>
      </c>
      <c r="O706" s="314">
        <v>1.2299</v>
      </c>
      <c r="P706" s="314">
        <v>1.3729</v>
      </c>
      <c r="Q706" s="314">
        <v>1.3712</v>
      </c>
      <c r="R706" s="314">
        <v>1.5752999999999999</v>
      </c>
      <c r="S706" s="314">
        <v>1.548</v>
      </c>
      <c r="T706" s="314">
        <v>1.335</v>
      </c>
      <c r="U706" s="314">
        <v>1.5637000000000001</v>
      </c>
      <c r="V706" s="314">
        <v>1.4434</v>
      </c>
      <c r="W706" s="314">
        <v>1.4588000000000001</v>
      </c>
      <c r="X706" s="314">
        <v>1.3900999999999999</v>
      </c>
      <c r="Y706" s="314">
        <v>1.4350000000000001</v>
      </c>
      <c r="Z706" s="314">
        <v>1.5988</v>
      </c>
      <c r="AA706" s="314">
        <v>1.5016</v>
      </c>
      <c r="AB706" s="314">
        <v>1.4971000000000001</v>
      </c>
      <c r="AC706" s="314">
        <v>1.5149999999999999</v>
      </c>
      <c r="AD706" s="314">
        <v>1.3044</v>
      </c>
      <c r="AE706" s="314">
        <v>1.5833999999999999</v>
      </c>
      <c r="AF706" s="314">
        <v>1.2482</v>
      </c>
      <c r="AG706" s="314">
        <v>1.2810999999999999</v>
      </c>
      <c r="AH706" s="314">
        <v>1.4805999999999999</v>
      </c>
      <c r="AI706" s="314">
        <v>1.4977</v>
      </c>
      <c r="AJ706" s="314">
        <v>1.2223999999999999</v>
      </c>
      <c r="AK706" s="314">
        <v>1.3277000000000001</v>
      </c>
      <c r="AL706" s="314">
        <v>1.3625</v>
      </c>
      <c r="AM706" s="314">
        <v>1.6031</v>
      </c>
      <c r="AN706" s="314">
        <v>1.4177</v>
      </c>
      <c r="AO706" s="314">
        <v>1.5666</v>
      </c>
      <c r="AP706" s="314">
        <v>1.6601999999999999</v>
      </c>
      <c r="AQ706" s="314">
        <v>1.4127000000000001</v>
      </c>
      <c r="AR706" s="314">
        <v>1.5963000000000001</v>
      </c>
      <c r="AS706" s="314">
        <v>1.2890999999999999</v>
      </c>
      <c r="AT706" s="314">
        <v>1.5710999999999999</v>
      </c>
      <c r="AU706" s="314">
        <v>1.5784</v>
      </c>
      <c r="AV706" s="314">
        <v>1.4884999999999999</v>
      </c>
      <c r="AW706" s="314">
        <v>1.5358000000000001</v>
      </c>
      <c r="AX706" s="314">
        <v>1.3552999999999999</v>
      </c>
      <c r="AY706" s="314">
        <v>1.4481999999999999</v>
      </c>
      <c r="AZ706" s="314">
        <v>1.5474000000000001</v>
      </c>
      <c r="BA706" s="314">
        <v>1.4387000000000001</v>
      </c>
      <c r="BB706" s="314">
        <v>0</v>
      </c>
      <c r="BC706" s="314">
        <v>1.5454000000000001</v>
      </c>
      <c r="BD706" s="314">
        <v>1.5728</v>
      </c>
      <c r="BE706" s="314">
        <v>1.657</v>
      </c>
      <c r="BF706" s="314">
        <v>1.5042</v>
      </c>
      <c r="BG706" s="314">
        <v>1.6143000000000001</v>
      </c>
      <c r="BH706" s="314">
        <v>1.6600999999999999</v>
      </c>
      <c r="BI706" s="314">
        <v>1.6333</v>
      </c>
      <c r="BJ706" s="314">
        <v>1.4578</v>
      </c>
      <c r="BK706" s="314">
        <v>1.5474000000000001</v>
      </c>
    </row>
    <row r="707" spans="1:63" x14ac:dyDescent="0.25">
      <c r="A707" s="306">
        <v>337215</v>
      </c>
      <c r="B707" s="314" t="s">
        <v>269</v>
      </c>
      <c r="C707" s="314">
        <v>2.0312999999999999</v>
      </c>
      <c r="D707" s="314">
        <v>1.2141</v>
      </c>
      <c r="E707" s="314">
        <v>1.7491000000000001</v>
      </c>
      <c r="F707" s="314">
        <v>1.6697</v>
      </c>
      <c r="G707" s="314">
        <v>1.383</v>
      </c>
      <c r="H707" s="314">
        <v>1.5376000000000001</v>
      </c>
      <c r="I707" s="314">
        <v>1.5130999999999999</v>
      </c>
      <c r="J707" s="314">
        <v>1.5048999999999999</v>
      </c>
      <c r="K707" s="314">
        <v>0</v>
      </c>
      <c r="L707" s="314">
        <v>0</v>
      </c>
      <c r="M707" s="314">
        <v>1.4093</v>
      </c>
      <c r="N707" s="314">
        <v>1.6714</v>
      </c>
      <c r="O707" s="314">
        <v>1.2414000000000001</v>
      </c>
      <c r="P707" s="314">
        <v>1.4343999999999999</v>
      </c>
      <c r="Q707" s="314">
        <v>1.3747</v>
      </c>
      <c r="R707" s="314">
        <v>1.7477</v>
      </c>
      <c r="S707" s="314">
        <v>1.6857</v>
      </c>
      <c r="T707" s="314">
        <v>1.3802000000000001</v>
      </c>
      <c r="U707" s="314">
        <v>1.7146999999999999</v>
      </c>
      <c r="V707" s="314">
        <v>1.5721000000000001</v>
      </c>
      <c r="W707" s="314">
        <v>1.4945999999999999</v>
      </c>
      <c r="X707" s="314">
        <v>1.494</v>
      </c>
      <c r="Y707" s="314">
        <v>1.44</v>
      </c>
      <c r="Z707" s="314">
        <v>1.7511000000000001</v>
      </c>
      <c r="AA707" s="314">
        <v>1.5557000000000001</v>
      </c>
      <c r="AB707" s="314">
        <v>1.5639000000000001</v>
      </c>
      <c r="AC707" s="314">
        <v>1.66</v>
      </c>
      <c r="AD707" s="314">
        <v>1.3205</v>
      </c>
      <c r="AE707" s="314">
        <v>1.6482000000000001</v>
      </c>
      <c r="AF707" s="314">
        <v>1.2696000000000001</v>
      </c>
      <c r="AG707" s="314">
        <v>1.3556999999999999</v>
      </c>
      <c r="AH707" s="314">
        <v>1.5038</v>
      </c>
      <c r="AI707" s="314">
        <v>1.5652999999999999</v>
      </c>
      <c r="AJ707" s="314">
        <v>1.2414000000000001</v>
      </c>
      <c r="AK707" s="314">
        <v>1.331</v>
      </c>
      <c r="AL707" s="314">
        <v>1.4133</v>
      </c>
      <c r="AM707" s="314">
        <v>1.7637</v>
      </c>
      <c r="AN707" s="314">
        <v>1.5665</v>
      </c>
      <c r="AO707" s="314">
        <v>1.7019</v>
      </c>
      <c r="AP707" s="314">
        <v>1.8292999999999999</v>
      </c>
      <c r="AQ707" s="314">
        <v>1.4247000000000001</v>
      </c>
      <c r="AR707" s="314">
        <v>1.7419</v>
      </c>
      <c r="AS707" s="314">
        <v>1.3099000000000001</v>
      </c>
      <c r="AT707" s="314">
        <v>1.6966000000000001</v>
      </c>
      <c r="AU707" s="314">
        <v>1.7259</v>
      </c>
      <c r="AV707" s="314">
        <v>1.6168</v>
      </c>
      <c r="AW707" s="314">
        <v>1.6067</v>
      </c>
      <c r="AX707" s="314">
        <v>1.3753</v>
      </c>
      <c r="AY707" s="314">
        <v>1.5037</v>
      </c>
      <c r="AZ707" s="314">
        <v>1.5918000000000001</v>
      </c>
      <c r="BA707" s="314">
        <v>1.5661</v>
      </c>
      <c r="BB707" s="314">
        <v>1.2242</v>
      </c>
      <c r="BC707" s="314">
        <v>1.5809</v>
      </c>
      <c r="BD707" s="314">
        <v>1.7329000000000001</v>
      </c>
      <c r="BE707" s="314">
        <v>1.8205</v>
      </c>
      <c r="BF707" s="314">
        <v>1.5718000000000001</v>
      </c>
      <c r="BG707" s="314">
        <v>1.7174</v>
      </c>
      <c r="BH707" s="314">
        <v>1.8234999999999999</v>
      </c>
      <c r="BI707" s="314">
        <v>1.8238000000000001</v>
      </c>
      <c r="BJ707" s="314">
        <v>1.5169999999999999</v>
      </c>
      <c r="BK707" s="314">
        <v>1.6229</v>
      </c>
    </row>
    <row r="708" spans="1:63" x14ac:dyDescent="0.25">
      <c r="A708" s="306" t="s">
        <v>746</v>
      </c>
      <c r="B708" s="314" t="s">
        <v>267</v>
      </c>
      <c r="C708" s="314">
        <v>1.7159</v>
      </c>
      <c r="D708" s="314">
        <v>0</v>
      </c>
      <c r="E708" s="314">
        <v>0</v>
      </c>
      <c r="F708" s="314">
        <v>1.5227999999999999</v>
      </c>
      <c r="G708" s="314">
        <v>1.2401</v>
      </c>
      <c r="H708" s="314">
        <v>1.3333999999999999</v>
      </c>
      <c r="I708" s="314">
        <v>0</v>
      </c>
      <c r="J708" s="314">
        <v>1.2672000000000001</v>
      </c>
      <c r="K708" s="314">
        <v>0</v>
      </c>
      <c r="L708" s="314">
        <v>0</v>
      </c>
      <c r="M708" s="314">
        <v>1.2835000000000001</v>
      </c>
      <c r="N708" s="314">
        <v>1.607</v>
      </c>
      <c r="O708" s="314">
        <v>1.1680999999999999</v>
      </c>
      <c r="P708" s="314">
        <v>1.214</v>
      </c>
      <c r="Q708" s="314">
        <v>1.4534</v>
      </c>
      <c r="R708" s="314">
        <v>1.3486</v>
      </c>
      <c r="S708" s="314">
        <v>1.351</v>
      </c>
      <c r="T708" s="314">
        <v>1.2141</v>
      </c>
      <c r="U708" s="314">
        <v>0</v>
      </c>
      <c r="V708" s="314">
        <v>1.5185999999999999</v>
      </c>
      <c r="W708" s="314">
        <v>1.2948</v>
      </c>
      <c r="X708" s="314">
        <v>1.252</v>
      </c>
      <c r="Y708" s="314">
        <v>1.4831000000000001</v>
      </c>
      <c r="Z708" s="314">
        <v>1.5202</v>
      </c>
      <c r="AA708" s="314">
        <v>1.4484999999999999</v>
      </c>
      <c r="AB708" s="314">
        <v>1.3323</v>
      </c>
      <c r="AC708" s="314">
        <v>0</v>
      </c>
      <c r="AD708" s="314">
        <v>1.4249000000000001</v>
      </c>
      <c r="AE708" s="314">
        <v>1.5584</v>
      </c>
      <c r="AF708" s="314">
        <v>0</v>
      </c>
      <c r="AG708" s="314">
        <v>1.1863999999999999</v>
      </c>
      <c r="AH708" s="314">
        <v>0</v>
      </c>
      <c r="AI708" s="314">
        <v>1.339</v>
      </c>
      <c r="AJ708" s="314">
        <v>1.1719999999999999</v>
      </c>
      <c r="AK708" s="314">
        <v>1.3315999999999999</v>
      </c>
      <c r="AL708" s="314">
        <v>1.2384999999999999</v>
      </c>
      <c r="AM708" s="314">
        <v>1.3774999999999999</v>
      </c>
      <c r="AN708" s="314">
        <v>1.3267</v>
      </c>
      <c r="AO708" s="314">
        <v>1.5764</v>
      </c>
      <c r="AP708" s="314">
        <v>1.5297000000000001</v>
      </c>
      <c r="AQ708" s="314">
        <v>0</v>
      </c>
      <c r="AR708" s="314">
        <v>1.5563</v>
      </c>
      <c r="AS708" s="314">
        <v>0</v>
      </c>
      <c r="AT708" s="314">
        <v>1.4221999999999999</v>
      </c>
      <c r="AU708" s="314">
        <v>1.5310999999999999</v>
      </c>
      <c r="AV708" s="314">
        <v>1.3371</v>
      </c>
      <c r="AW708" s="314">
        <v>1.5337000000000001</v>
      </c>
      <c r="AX708" s="314">
        <v>0</v>
      </c>
      <c r="AY708" s="314">
        <v>1.3831</v>
      </c>
      <c r="AZ708" s="314">
        <v>1.5274000000000001</v>
      </c>
      <c r="BA708" s="314">
        <v>0</v>
      </c>
      <c r="BB708" s="314">
        <v>1.1642999999999999</v>
      </c>
      <c r="BC708" s="314">
        <v>1.4067000000000001</v>
      </c>
      <c r="BD708" s="314">
        <v>1.3817999999999999</v>
      </c>
      <c r="BE708" s="314">
        <v>1.5038</v>
      </c>
      <c r="BF708" s="314">
        <v>1.4309000000000001</v>
      </c>
      <c r="BG708" s="314">
        <v>1.5905</v>
      </c>
      <c r="BH708" s="314">
        <v>1.5956999999999999</v>
      </c>
      <c r="BI708" s="314">
        <v>1.6135999999999999</v>
      </c>
      <c r="BJ708" s="314">
        <v>1.4510000000000001</v>
      </c>
      <c r="BK708" s="314">
        <v>1.5202</v>
      </c>
    </row>
    <row r="709" spans="1:63" x14ac:dyDescent="0.25">
      <c r="A709" s="306">
        <v>337910</v>
      </c>
      <c r="B709" s="314" t="s">
        <v>270</v>
      </c>
      <c r="C709" s="314">
        <v>2.1255000000000002</v>
      </c>
      <c r="D709" s="314">
        <v>0</v>
      </c>
      <c r="E709" s="314">
        <v>1.6714</v>
      </c>
      <c r="F709" s="314">
        <v>1.6692</v>
      </c>
      <c r="G709" s="314">
        <v>1.4596</v>
      </c>
      <c r="H709" s="314">
        <v>1.6659999999999999</v>
      </c>
      <c r="I709" s="314">
        <v>1.5670999999999999</v>
      </c>
      <c r="J709" s="314">
        <v>1.7642</v>
      </c>
      <c r="K709" s="314">
        <v>0</v>
      </c>
      <c r="L709" s="314">
        <v>0</v>
      </c>
      <c r="M709" s="314">
        <v>1.4653</v>
      </c>
      <c r="N709" s="314">
        <v>1.7407999999999999</v>
      </c>
      <c r="O709" s="314">
        <v>1.2657</v>
      </c>
      <c r="P709" s="314">
        <v>1.5427999999999999</v>
      </c>
      <c r="Q709" s="314">
        <v>1.2739</v>
      </c>
      <c r="R709" s="314">
        <v>1.8560000000000001</v>
      </c>
      <c r="S709" s="314">
        <v>1.7824</v>
      </c>
      <c r="T709" s="314">
        <v>1.4581</v>
      </c>
      <c r="U709" s="314">
        <v>1.8125</v>
      </c>
      <c r="V709" s="314">
        <v>1.4306000000000001</v>
      </c>
      <c r="W709" s="314">
        <v>1.6767000000000001</v>
      </c>
      <c r="X709" s="314">
        <v>1.5962000000000001</v>
      </c>
      <c r="Y709" s="314">
        <v>1.6052999999999999</v>
      </c>
      <c r="Z709" s="314">
        <v>1.7565</v>
      </c>
      <c r="AA709" s="314">
        <v>1.6628000000000001</v>
      </c>
      <c r="AB709" s="314">
        <v>1.7504</v>
      </c>
      <c r="AC709" s="314">
        <v>1.7001999999999999</v>
      </c>
      <c r="AD709" s="314">
        <v>1.2359</v>
      </c>
      <c r="AE709" s="314">
        <v>1.7732000000000001</v>
      </c>
      <c r="AF709" s="314">
        <v>1.2579</v>
      </c>
      <c r="AG709" s="314">
        <v>1.3189</v>
      </c>
      <c r="AH709" s="314">
        <v>1.6958</v>
      </c>
      <c r="AI709" s="314">
        <v>1.7383999999999999</v>
      </c>
      <c r="AJ709" s="314">
        <v>1.3932</v>
      </c>
      <c r="AK709" s="314">
        <v>1.3879999999999999</v>
      </c>
      <c r="AL709" s="314">
        <v>1.4623999999999999</v>
      </c>
      <c r="AM709" s="314">
        <v>1.8754</v>
      </c>
      <c r="AN709" s="314">
        <v>1.5911</v>
      </c>
      <c r="AO709" s="314">
        <v>1.6667000000000001</v>
      </c>
      <c r="AP709" s="314">
        <v>1.8945000000000001</v>
      </c>
      <c r="AQ709" s="314">
        <v>0</v>
      </c>
      <c r="AR709" s="314">
        <v>1.8613</v>
      </c>
      <c r="AS709" s="314">
        <v>0</v>
      </c>
      <c r="AT709" s="314">
        <v>1.8286</v>
      </c>
      <c r="AU709" s="314">
        <v>1.8560000000000001</v>
      </c>
      <c r="AV709" s="314">
        <v>1.5190999999999999</v>
      </c>
      <c r="AW709" s="314">
        <v>1.6456</v>
      </c>
      <c r="AX709" s="314">
        <v>0</v>
      </c>
      <c r="AY709" s="314">
        <v>1.6192</v>
      </c>
      <c r="AZ709" s="314">
        <v>1.7890999999999999</v>
      </c>
      <c r="BA709" s="314">
        <v>1.5615000000000001</v>
      </c>
      <c r="BB709" s="314">
        <v>0</v>
      </c>
      <c r="BC709" s="314">
        <v>1.8361000000000001</v>
      </c>
      <c r="BD709" s="314">
        <v>1.8088</v>
      </c>
      <c r="BE709" s="314">
        <v>1.9071</v>
      </c>
      <c r="BF709" s="314">
        <v>1.6707000000000001</v>
      </c>
      <c r="BG709" s="314">
        <v>1.7990999999999999</v>
      </c>
      <c r="BH709" s="314">
        <v>1.9151</v>
      </c>
      <c r="BI709" s="314">
        <v>1.8607</v>
      </c>
      <c r="BJ709" s="314">
        <v>1.5036</v>
      </c>
      <c r="BK709" s="314">
        <v>1.6815</v>
      </c>
    </row>
    <row r="710" spans="1:63" x14ac:dyDescent="0.25">
      <c r="A710" s="306">
        <v>337920</v>
      </c>
      <c r="B710" s="314" t="s">
        <v>271</v>
      </c>
      <c r="C710" s="314">
        <v>2.0750999999999999</v>
      </c>
      <c r="D710" s="314">
        <v>1.1758</v>
      </c>
      <c r="E710" s="314">
        <v>1.6066</v>
      </c>
      <c r="F710" s="314">
        <v>0</v>
      </c>
      <c r="G710" s="314">
        <v>1.5185</v>
      </c>
      <c r="H710" s="314">
        <v>1.6212</v>
      </c>
      <c r="I710" s="314">
        <v>1.4693000000000001</v>
      </c>
      <c r="J710" s="314">
        <v>1.6839999999999999</v>
      </c>
      <c r="K710" s="314">
        <v>0</v>
      </c>
      <c r="L710" s="314">
        <v>1.4354</v>
      </c>
      <c r="M710" s="314">
        <v>1.4293</v>
      </c>
      <c r="N710" s="314">
        <v>1.7915000000000001</v>
      </c>
      <c r="O710" s="314">
        <v>1.2343</v>
      </c>
      <c r="P710" s="314">
        <v>1.4708000000000001</v>
      </c>
      <c r="Q710" s="314">
        <v>0</v>
      </c>
      <c r="R710" s="314">
        <v>1.7302999999999999</v>
      </c>
      <c r="S710" s="314">
        <v>1.7879</v>
      </c>
      <c r="T710" s="314">
        <v>1.3927</v>
      </c>
      <c r="U710" s="314">
        <v>1.677</v>
      </c>
      <c r="V710" s="314">
        <v>1.4721</v>
      </c>
      <c r="W710" s="314">
        <v>1.6797</v>
      </c>
      <c r="X710" s="314">
        <v>1.4279999999999999</v>
      </c>
      <c r="Y710" s="314">
        <v>0</v>
      </c>
      <c r="Z710" s="314">
        <v>1.7269000000000001</v>
      </c>
      <c r="AA710" s="314">
        <v>1.6227</v>
      </c>
      <c r="AB710" s="314">
        <v>1.7709999999999999</v>
      </c>
      <c r="AC710" s="314">
        <v>1.5421</v>
      </c>
      <c r="AD710" s="314">
        <v>0</v>
      </c>
      <c r="AE710" s="314">
        <v>1.7077</v>
      </c>
      <c r="AF710" s="314">
        <v>1.2110000000000001</v>
      </c>
      <c r="AG710" s="314">
        <v>1.2931999999999999</v>
      </c>
      <c r="AH710" s="314">
        <v>1.6897</v>
      </c>
      <c r="AI710" s="314">
        <v>1.7301</v>
      </c>
      <c r="AJ710" s="314">
        <v>1.2527999999999999</v>
      </c>
      <c r="AK710" s="314">
        <v>1.4166000000000001</v>
      </c>
      <c r="AL710" s="314">
        <v>1.4946999999999999</v>
      </c>
      <c r="AM710" s="314">
        <v>1.8855</v>
      </c>
      <c r="AN710" s="314">
        <v>1.4782999999999999</v>
      </c>
      <c r="AO710" s="314">
        <v>1.5704</v>
      </c>
      <c r="AP710" s="314">
        <v>1.8563000000000001</v>
      </c>
      <c r="AQ710" s="314">
        <v>1.5840000000000001</v>
      </c>
      <c r="AR710" s="314">
        <v>1.7883</v>
      </c>
      <c r="AS710" s="314">
        <v>1.3895999999999999</v>
      </c>
      <c r="AT710" s="314">
        <v>1.8277000000000001</v>
      </c>
      <c r="AU710" s="314">
        <v>1.7408999999999999</v>
      </c>
      <c r="AV710" s="314">
        <v>1.5350999999999999</v>
      </c>
      <c r="AW710" s="314">
        <v>1.6597</v>
      </c>
      <c r="AX710" s="314">
        <v>1.3075000000000001</v>
      </c>
      <c r="AY710" s="314">
        <v>1.5668</v>
      </c>
      <c r="AZ710" s="314">
        <v>1.6621999999999999</v>
      </c>
      <c r="BA710" s="314">
        <v>0</v>
      </c>
      <c r="BB710" s="314">
        <v>0</v>
      </c>
      <c r="BC710" s="314">
        <v>1.7412000000000001</v>
      </c>
      <c r="BD710" s="314">
        <v>1.7723</v>
      </c>
      <c r="BE710" s="314">
        <v>1.9097</v>
      </c>
      <c r="BF710" s="314">
        <v>1.7178</v>
      </c>
      <c r="BG710" s="314">
        <v>1.8089999999999999</v>
      </c>
      <c r="BH710" s="314">
        <v>1.8623000000000001</v>
      </c>
      <c r="BI710" s="314">
        <v>1.7726</v>
      </c>
      <c r="BJ710" s="314">
        <v>1.5079</v>
      </c>
      <c r="BK710" s="314">
        <v>1.631</v>
      </c>
    </row>
    <row r="711" spans="1:63" x14ac:dyDescent="0.25">
      <c r="A711" s="306">
        <v>339112</v>
      </c>
      <c r="B711" s="314" t="s">
        <v>747</v>
      </c>
      <c r="C711" s="314">
        <v>1.6827000000000001</v>
      </c>
      <c r="D711" s="314">
        <v>1.1637</v>
      </c>
      <c r="E711" s="314">
        <v>1.3913</v>
      </c>
      <c r="F711" s="314">
        <v>1.3595999999999999</v>
      </c>
      <c r="G711" s="314">
        <v>1.3248</v>
      </c>
      <c r="H711" s="314">
        <v>1.4835</v>
      </c>
      <c r="I711" s="314">
        <v>1.4238999999999999</v>
      </c>
      <c r="J711" s="314">
        <v>1.4674</v>
      </c>
      <c r="K711" s="314">
        <v>0</v>
      </c>
      <c r="L711" s="314">
        <v>0</v>
      </c>
      <c r="M711" s="314">
        <v>1.3807</v>
      </c>
      <c r="N711" s="314">
        <v>1.4827999999999999</v>
      </c>
      <c r="O711" s="314">
        <v>0</v>
      </c>
      <c r="P711" s="314">
        <v>1.2754000000000001</v>
      </c>
      <c r="Q711" s="314">
        <v>1.2315</v>
      </c>
      <c r="R711" s="314">
        <v>1.5639000000000001</v>
      </c>
      <c r="S711" s="314">
        <v>1.4609000000000001</v>
      </c>
      <c r="T711" s="314">
        <v>1.2962</v>
      </c>
      <c r="U711" s="314">
        <v>1.4061999999999999</v>
      </c>
      <c r="V711" s="314">
        <v>1.3115000000000001</v>
      </c>
      <c r="W711" s="314">
        <v>1.5208999999999999</v>
      </c>
      <c r="X711" s="314">
        <v>1.3424</v>
      </c>
      <c r="Y711" s="314">
        <v>1.3302</v>
      </c>
      <c r="Z711" s="314">
        <v>1.4608000000000001</v>
      </c>
      <c r="AA711" s="314">
        <v>1.4819</v>
      </c>
      <c r="AB711" s="314">
        <v>1.4522999999999999</v>
      </c>
      <c r="AC711" s="314">
        <v>1.3079000000000001</v>
      </c>
      <c r="AD711" s="314">
        <v>1.1872</v>
      </c>
      <c r="AE711" s="314">
        <v>1.4642999999999999</v>
      </c>
      <c r="AF711" s="314">
        <v>1.1841999999999999</v>
      </c>
      <c r="AG711" s="314">
        <v>1.3048</v>
      </c>
      <c r="AH711" s="314">
        <v>1.4473</v>
      </c>
      <c r="AI711" s="314">
        <v>1.5321</v>
      </c>
      <c r="AJ711" s="314">
        <v>0</v>
      </c>
      <c r="AK711" s="314">
        <v>1.2806</v>
      </c>
      <c r="AL711" s="314">
        <v>1.3817999999999999</v>
      </c>
      <c r="AM711" s="314">
        <v>1.5115000000000001</v>
      </c>
      <c r="AN711" s="314">
        <v>1.3093999999999999</v>
      </c>
      <c r="AO711" s="314">
        <v>1.3876999999999999</v>
      </c>
      <c r="AP711" s="314">
        <v>1.5630999999999999</v>
      </c>
      <c r="AQ711" s="314">
        <v>1.4524999999999999</v>
      </c>
      <c r="AR711" s="314">
        <v>1.4574</v>
      </c>
      <c r="AS711" s="314">
        <v>1.2238</v>
      </c>
      <c r="AT711" s="314">
        <v>1.4582999999999999</v>
      </c>
      <c r="AU711" s="314">
        <v>1.4499</v>
      </c>
      <c r="AV711" s="314">
        <v>1.4442999999999999</v>
      </c>
      <c r="AW711" s="314">
        <v>1.3877999999999999</v>
      </c>
      <c r="AX711" s="314">
        <v>1.3005</v>
      </c>
      <c r="AY711" s="314">
        <v>1.3456999999999999</v>
      </c>
      <c r="AZ711" s="314">
        <v>1.4140999999999999</v>
      </c>
      <c r="BA711" s="314">
        <v>0</v>
      </c>
      <c r="BB711" s="314">
        <v>0</v>
      </c>
      <c r="BC711" s="314">
        <v>1.5407999999999999</v>
      </c>
      <c r="BD711" s="314">
        <v>1.5431999999999999</v>
      </c>
      <c r="BE711" s="314">
        <v>1.5645</v>
      </c>
      <c r="BF711" s="314">
        <v>1.4616</v>
      </c>
      <c r="BG711" s="314">
        <v>1.4853000000000001</v>
      </c>
      <c r="BH711" s="314">
        <v>1.4648000000000001</v>
      </c>
      <c r="BI711" s="314">
        <v>1.4501999999999999</v>
      </c>
      <c r="BJ711" s="314">
        <v>1.4044000000000001</v>
      </c>
      <c r="BK711" s="314">
        <v>1.4872000000000001</v>
      </c>
    </row>
    <row r="712" spans="1:63" x14ac:dyDescent="0.25">
      <c r="A712" s="306">
        <v>339114</v>
      </c>
      <c r="B712" s="314" t="s">
        <v>272</v>
      </c>
      <c r="C712" s="314">
        <v>1.7003999999999999</v>
      </c>
      <c r="D712" s="314">
        <v>0</v>
      </c>
      <c r="E712" s="314">
        <v>1.4441999999999999</v>
      </c>
      <c r="F712" s="314">
        <v>1.3801000000000001</v>
      </c>
      <c r="G712" s="314">
        <v>1.3685</v>
      </c>
      <c r="H712" s="314">
        <v>1.4733000000000001</v>
      </c>
      <c r="I712" s="314">
        <v>1.4359</v>
      </c>
      <c r="J712" s="314">
        <v>1.4505999999999999</v>
      </c>
      <c r="K712" s="314">
        <v>0</v>
      </c>
      <c r="L712" s="314">
        <v>1.3186</v>
      </c>
      <c r="M712" s="314">
        <v>1.3847</v>
      </c>
      <c r="N712" s="314">
        <v>1.4814000000000001</v>
      </c>
      <c r="O712" s="314">
        <v>0</v>
      </c>
      <c r="P712" s="314">
        <v>0</v>
      </c>
      <c r="Q712" s="314">
        <v>1.2688999999999999</v>
      </c>
      <c r="R712" s="314">
        <v>1.542</v>
      </c>
      <c r="S712" s="314">
        <v>1.4419</v>
      </c>
      <c r="T712" s="314">
        <v>1.3419000000000001</v>
      </c>
      <c r="U712" s="314">
        <v>1.4389000000000001</v>
      </c>
      <c r="V712" s="314">
        <v>0</v>
      </c>
      <c r="W712" s="314">
        <v>1.4491000000000001</v>
      </c>
      <c r="X712" s="314">
        <v>1.3774999999999999</v>
      </c>
      <c r="Y712" s="314">
        <v>0</v>
      </c>
      <c r="Z712" s="314">
        <v>1.4659</v>
      </c>
      <c r="AA712" s="314">
        <v>1.4446000000000001</v>
      </c>
      <c r="AB712" s="314">
        <v>1.4934000000000001</v>
      </c>
      <c r="AC712" s="314">
        <v>1.2690999999999999</v>
      </c>
      <c r="AD712" s="314">
        <v>1.2312000000000001</v>
      </c>
      <c r="AE712" s="314">
        <v>1.4132</v>
      </c>
      <c r="AF712" s="314">
        <v>1.2202999999999999</v>
      </c>
      <c r="AG712" s="314">
        <v>0</v>
      </c>
      <c r="AH712" s="314">
        <v>0</v>
      </c>
      <c r="AI712" s="314">
        <v>1.4968999999999999</v>
      </c>
      <c r="AJ712" s="314">
        <v>1.2774000000000001</v>
      </c>
      <c r="AK712" s="314">
        <v>1.3638999999999999</v>
      </c>
      <c r="AL712" s="314">
        <v>1.3975</v>
      </c>
      <c r="AM712" s="314">
        <v>1.5411999999999999</v>
      </c>
      <c r="AN712" s="314">
        <v>1.3505</v>
      </c>
      <c r="AO712" s="314">
        <v>1.4661999999999999</v>
      </c>
      <c r="AP712" s="314">
        <v>1.5623</v>
      </c>
      <c r="AQ712" s="314">
        <v>1.3889</v>
      </c>
      <c r="AR712" s="314">
        <v>1.4105000000000001</v>
      </c>
      <c r="AS712" s="314">
        <v>1.2584</v>
      </c>
      <c r="AT712" s="314">
        <v>1.4843</v>
      </c>
      <c r="AU712" s="314">
        <v>1.5027999999999999</v>
      </c>
      <c r="AV712" s="314">
        <v>1.5044999999999999</v>
      </c>
      <c r="AW712" s="314">
        <v>0</v>
      </c>
      <c r="AX712" s="314">
        <v>0</v>
      </c>
      <c r="AY712" s="314">
        <v>1.4155</v>
      </c>
      <c r="AZ712" s="314">
        <v>1.4221999999999999</v>
      </c>
      <c r="BA712" s="314">
        <v>0</v>
      </c>
      <c r="BB712" s="314">
        <v>0</v>
      </c>
      <c r="BC712" s="314">
        <v>1.4892000000000001</v>
      </c>
      <c r="BD712" s="314">
        <v>1.5365</v>
      </c>
      <c r="BE712" s="314">
        <v>1.5666</v>
      </c>
      <c r="BF712" s="314">
        <v>1.4693000000000001</v>
      </c>
      <c r="BG712" s="314">
        <v>1.4957</v>
      </c>
      <c r="BH712" s="314">
        <v>1.4984999999999999</v>
      </c>
      <c r="BI712" s="314">
        <v>1.5044</v>
      </c>
      <c r="BJ712" s="314">
        <v>1.4774</v>
      </c>
      <c r="BK712" s="314">
        <v>1.5067999999999999</v>
      </c>
    </row>
    <row r="713" spans="1:63" x14ac:dyDescent="0.25">
      <c r="A713" s="306">
        <v>339115</v>
      </c>
      <c r="B713" s="314" t="s">
        <v>273</v>
      </c>
      <c r="C713" s="314">
        <v>1.6163000000000001</v>
      </c>
      <c r="D713" s="314">
        <v>0</v>
      </c>
      <c r="E713" s="314">
        <v>1.3480000000000001</v>
      </c>
      <c r="F713" s="314">
        <v>1.3443000000000001</v>
      </c>
      <c r="G713" s="314">
        <v>1.2864</v>
      </c>
      <c r="H713" s="314">
        <v>1.4333</v>
      </c>
      <c r="I713" s="314">
        <v>1.3915</v>
      </c>
      <c r="J713" s="314">
        <v>1.4267000000000001</v>
      </c>
      <c r="K713" s="314">
        <v>0</v>
      </c>
      <c r="L713" s="314">
        <v>0</v>
      </c>
      <c r="M713" s="314">
        <v>1.3520000000000001</v>
      </c>
      <c r="N713" s="314">
        <v>1.4259999999999999</v>
      </c>
      <c r="O713" s="314">
        <v>1.1875</v>
      </c>
      <c r="P713" s="314">
        <v>1.2483</v>
      </c>
      <c r="Q713" s="314">
        <v>1.2149000000000001</v>
      </c>
      <c r="R713" s="314">
        <v>1.5063</v>
      </c>
      <c r="S713" s="314">
        <v>1.4378</v>
      </c>
      <c r="T713" s="314">
        <v>1.2657</v>
      </c>
      <c r="U713" s="314">
        <v>1.3688</v>
      </c>
      <c r="V713" s="314">
        <v>1.2856000000000001</v>
      </c>
      <c r="W713" s="314">
        <v>1.4693000000000001</v>
      </c>
      <c r="X713" s="314">
        <v>1.292</v>
      </c>
      <c r="Y713" s="314">
        <v>1.2942</v>
      </c>
      <c r="Z713" s="314">
        <v>1.4149</v>
      </c>
      <c r="AA713" s="314">
        <v>1.4398</v>
      </c>
      <c r="AB713" s="314">
        <v>1.4200999999999999</v>
      </c>
      <c r="AC713" s="314">
        <v>1.2795000000000001</v>
      </c>
      <c r="AD713" s="314">
        <v>1.1737</v>
      </c>
      <c r="AE713" s="314">
        <v>1.4168000000000001</v>
      </c>
      <c r="AF713" s="314">
        <v>0</v>
      </c>
      <c r="AG713" s="314">
        <v>1.3024</v>
      </c>
      <c r="AH713" s="314">
        <v>1.4054</v>
      </c>
      <c r="AI713" s="314">
        <v>1.4702999999999999</v>
      </c>
      <c r="AJ713" s="314">
        <v>1.1798</v>
      </c>
      <c r="AK713" s="314">
        <v>1.2448999999999999</v>
      </c>
      <c r="AL713" s="314">
        <v>1.3309</v>
      </c>
      <c r="AM713" s="314">
        <v>1.4630000000000001</v>
      </c>
      <c r="AN713" s="314">
        <v>1.2643</v>
      </c>
      <c r="AO713" s="314">
        <v>1.3480000000000001</v>
      </c>
      <c r="AP713" s="314">
        <v>1.5093000000000001</v>
      </c>
      <c r="AQ713" s="314">
        <v>1.4104000000000001</v>
      </c>
      <c r="AR713" s="314">
        <v>1.4207000000000001</v>
      </c>
      <c r="AS713" s="314">
        <v>1.2063999999999999</v>
      </c>
      <c r="AT713" s="314">
        <v>1.4068000000000001</v>
      </c>
      <c r="AU713" s="314">
        <v>1.3971</v>
      </c>
      <c r="AV713" s="314">
        <v>1.4104000000000001</v>
      </c>
      <c r="AW713" s="314">
        <v>1.3374999999999999</v>
      </c>
      <c r="AX713" s="314">
        <v>1.2841</v>
      </c>
      <c r="AY713" s="314">
        <v>1.3106</v>
      </c>
      <c r="AZ713" s="314">
        <v>1.3807</v>
      </c>
      <c r="BA713" s="314">
        <v>1.2835000000000001</v>
      </c>
      <c r="BB713" s="314">
        <v>1.1488</v>
      </c>
      <c r="BC713" s="314">
        <v>1.4888999999999999</v>
      </c>
      <c r="BD713" s="314">
        <v>1.4814000000000001</v>
      </c>
      <c r="BE713" s="314">
        <v>1.5165</v>
      </c>
      <c r="BF713" s="314">
        <v>1.4311</v>
      </c>
      <c r="BG713" s="314">
        <v>1.4336</v>
      </c>
      <c r="BH713" s="314">
        <v>1.4077999999999999</v>
      </c>
      <c r="BI713" s="314">
        <v>1.3991</v>
      </c>
      <c r="BJ713" s="314">
        <v>1.3757999999999999</v>
      </c>
      <c r="BK713" s="314">
        <v>1.4384999999999999</v>
      </c>
    </row>
    <row r="714" spans="1:63" x14ac:dyDescent="0.25">
      <c r="A714" s="306">
        <v>339116</v>
      </c>
      <c r="B714" s="314" t="s">
        <v>748</v>
      </c>
      <c r="C714" s="314">
        <v>1.5390999999999999</v>
      </c>
      <c r="D714" s="314">
        <v>1.1624000000000001</v>
      </c>
      <c r="E714" s="314">
        <v>1.2722</v>
      </c>
      <c r="F714" s="314">
        <v>1.2988999999999999</v>
      </c>
      <c r="G714" s="314">
        <v>1.2791999999999999</v>
      </c>
      <c r="H714" s="314">
        <v>1.4232</v>
      </c>
      <c r="I714" s="314">
        <v>1.4158999999999999</v>
      </c>
      <c r="J714" s="314">
        <v>1.4141999999999999</v>
      </c>
      <c r="K714" s="314">
        <v>1.1514</v>
      </c>
      <c r="L714" s="314">
        <v>1.3521000000000001</v>
      </c>
      <c r="M714" s="314">
        <v>1.3478000000000001</v>
      </c>
      <c r="N714" s="314">
        <v>1.3567</v>
      </c>
      <c r="O714" s="314">
        <v>1.2259</v>
      </c>
      <c r="P714" s="314">
        <v>1.1851</v>
      </c>
      <c r="Q714" s="314">
        <v>1.2084999999999999</v>
      </c>
      <c r="R714" s="314">
        <v>1.4704999999999999</v>
      </c>
      <c r="S714" s="314">
        <v>1.3149999999999999</v>
      </c>
      <c r="T714" s="314">
        <v>1.2410000000000001</v>
      </c>
      <c r="U714" s="314">
        <v>1.3563000000000001</v>
      </c>
      <c r="V714" s="314">
        <v>1.2528999999999999</v>
      </c>
      <c r="W714" s="314">
        <v>1.4236</v>
      </c>
      <c r="X714" s="314">
        <v>1.2906</v>
      </c>
      <c r="Y714" s="314">
        <v>1.2444999999999999</v>
      </c>
      <c r="Z714" s="314">
        <v>1.4040999999999999</v>
      </c>
      <c r="AA714" s="314">
        <v>1.4114</v>
      </c>
      <c r="AB714" s="314">
        <v>1.3748</v>
      </c>
      <c r="AC714" s="314">
        <v>1.1959</v>
      </c>
      <c r="AD714" s="314">
        <v>1.2372000000000001</v>
      </c>
      <c r="AE714" s="314">
        <v>1.3504</v>
      </c>
      <c r="AF714" s="314">
        <v>1.1912</v>
      </c>
      <c r="AG714" s="314">
        <v>1.2236</v>
      </c>
      <c r="AH714" s="314">
        <v>1.2889999999999999</v>
      </c>
      <c r="AI714" s="314">
        <v>1.4576</v>
      </c>
      <c r="AJ714" s="314">
        <v>1.1896</v>
      </c>
      <c r="AK714" s="314">
        <v>1.2817000000000001</v>
      </c>
      <c r="AL714" s="314">
        <v>1.3773</v>
      </c>
      <c r="AM714" s="314">
        <v>1.3788</v>
      </c>
      <c r="AN714" s="314">
        <v>1.2677</v>
      </c>
      <c r="AO714" s="314">
        <v>1.3983000000000001</v>
      </c>
      <c r="AP714" s="314">
        <v>1.4536</v>
      </c>
      <c r="AQ714" s="314">
        <v>1.3091999999999999</v>
      </c>
      <c r="AR714" s="314">
        <v>1.2595000000000001</v>
      </c>
      <c r="AS714" s="314">
        <v>1.1768000000000001</v>
      </c>
      <c r="AT714" s="314">
        <v>1.3560000000000001</v>
      </c>
      <c r="AU714" s="314">
        <v>1.3328</v>
      </c>
      <c r="AV714" s="314">
        <v>1.4333</v>
      </c>
      <c r="AW714" s="314">
        <v>1.3271999999999999</v>
      </c>
      <c r="AX714" s="314">
        <v>1.1651</v>
      </c>
      <c r="AY714" s="314">
        <v>1.3092999999999999</v>
      </c>
      <c r="AZ714" s="314">
        <v>1.3708</v>
      </c>
      <c r="BA714" s="314">
        <v>1.1931</v>
      </c>
      <c r="BB714" s="314">
        <v>1.1504000000000001</v>
      </c>
      <c r="BC714" s="314">
        <v>1.4247000000000001</v>
      </c>
      <c r="BD714" s="314">
        <v>1.4734</v>
      </c>
      <c r="BE714" s="314">
        <v>1.4516</v>
      </c>
      <c r="BF714" s="314">
        <v>1.3553999999999999</v>
      </c>
      <c r="BG714" s="314">
        <v>1.3916999999999999</v>
      </c>
      <c r="BH714" s="314">
        <v>1.3387</v>
      </c>
      <c r="BI714" s="314">
        <v>1.3380000000000001</v>
      </c>
      <c r="BJ714" s="314">
        <v>1.4047000000000001</v>
      </c>
      <c r="BK714" s="314">
        <v>1.4318</v>
      </c>
    </row>
    <row r="715" spans="1:63" x14ac:dyDescent="0.25">
      <c r="A715" s="306" t="s">
        <v>749</v>
      </c>
      <c r="B715" s="314" t="s">
        <v>750</v>
      </c>
      <c r="C715" s="314">
        <v>1.7424999999999999</v>
      </c>
      <c r="D715" s="314">
        <v>1.1739999999999999</v>
      </c>
      <c r="E715" s="314">
        <v>1.4447000000000001</v>
      </c>
      <c r="F715" s="314">
        <v>1.3746</v>
      </c>
      <c r="G715" s="314">
        <v>1.3525</v>
      </c>
      <c r="H715" s="314">
        <v>1.5055000000000001</v>
      </c>
      <c r="I715" s="314">
        <v>1.4256</v>
      </c>
      <c r="J715" s="314">
        <v>1.4661999999999999</v>
      </c>
      <c r="K715" s="314">
        <v>0</v>
      </c>
      <c r="L715" s="314">
        <v>1.3537999999999999</v>
      </c>
      <c r="M715" s="314">
        <v>1.3932</v>
      </c>
      <c r="N715" s="314">
        <v>1.5236000000000001</v>
      </c>
      <c r="O715" s="314">
        <v>1.2141999999999999</v>
      </c>
      <c r="P715" s="314">
        <v>1.2927999999999999</v>
      </c>
      <c r="Q715" s="314">
        <v>1.2428999999999999</v>
      </c>
      <c r="R715" s="314">
        <v>1.5740000000000001</v>
      </c>
      <c r="S715" s="314">
        <v>1.4769000000000001</v>
      </c>
      <c r="T715" s="314">
        <v>1.3169</v>
      </c>
      <c r="U715" s="314">
        <v>1.4442999999999999</v>
      </c>
      <c r="V715" s="314">
        <v>1.3507</v>
      </c>
      <c r="W715" s="314">
        <v>1.5214000000000001</v>
      </c>
      <c r="X715" s="314">
        <v>1.3588</v>
      </c>
      <c r="Y715" s="314">
        <v>1.3484</v>
      </c>
      <c r="Z715" s="314">
        <v>1.4877</v>
      </c>
      <c r="AA715" s="314">
        <v>1.4775</v>
      </c>
      <c r="AB715" s="314">
        <v>1.4508000000000001</v>
      </c>
      <c r="AC715" s="314">
        <v>1.3471</v>
      </c>
      <c r="AD715" s="314">
        <v>1.2049000000000001</v>
      </c>
      <c r="AE715" s="314">
        <v>1.4854000000000001</v>
      </c>
      <c r="AF715" s="314">
        <v>1.1900999999999999</v>
      </c>
      <c r="AG715" s="314">
        <v>1.2915000000000001</v>
      </c>
      <c r="AH715" s="314">
        <v>1.4561999999999999</v>
      </c>
      <c r="AI715" s="314">
        <v>1.5269999999999999</v>
      </c>
      <c r="AJ715" s="314">
        <v>1.2251000000000001</v>
      </c>
      <c r="AK715" s="314">
        <v>1.2927</v>
      </c>
      <c r="AL715" s="314">
        <v>1.4040999999999999</v>
      </c>
      <c r="AM715" s="314">
        <v>1.5522</v>
      </c>
      <c r="AN715" s="314">
        <v>1.3392999999999999</v>
      </c>
      <c r="AO715" s="314">
        <v>1.4278999999999999</v>
      </c>
      <c r="AP715" s="314">
        <v>1.5863</v>
      </c>
      <c r="AQ715" s="314">
        <v>1.4373</v>
      </c>
      <c r="AR715" s="314">
        <v>1.4903</v>
      </c>
      <c r="AS715" s="314">
        <v>1.2310000000000001</v>
      </c>
      <c r="AT715" s="314">
        <v>1.5121</v>
      </c>
      <c r="AU715" s="314">
        <v>1.4903999999999999</v>
      </c>
      <c r="AV715" s="314">
        <v>1.4628000000000001</v>
      </c>
      <c r="AW715" s="314">
        <v>1.4305000000000001</v>
      </c>
      <c r="AX715" s="314">
        <v>1.292</v>
      </c>
      <c r="AY715" s="314">
        <v>1.3797999999999999</v>
      </c>
      <c r="AZ715" s="314">
        <v>1.4495</v>
      </c>
      <c r="BA715" s="314">
        <v>1.3315999999999999</v>
      </c>
      <c r="BB715" s="314">
        <v>1.1875</v>
      </c>
      <c r="BC715" s="314">
        <v>1.5517000000000001</v>
      </c>
      <c r="BD715" s="314">
        <v>1.5651999999999999</v>
      </c>
      <c r="BE715" s="314">
        <v>1.5923</v>
      </c>
      <c r="BF715" s="314">
        <v>1.4642999999999999</v>
      </c>
      <c r="BG715" s="314">
        <v>1.5349999999999999</v>
      </c>
      <c r="BH715" s="314">
        <v>1.5338000000000001</v>
      </c>
      <c r="BI715" s="314">
        <v>1.4979</v>
      </c>
      <c r="BJ715" s="314">
        <v>1.4174</v>
      </c>
      <c r="BK715" s="314">
        <v>1.5188999999999999</v>
      </c>
    </row>
    <row r="716" spans="1:63" x14ac:dyDescent="0.25">
      <c r="A716" s="306">
        <v>339910</v>
      </c>
      <c r="B716" s="314" t="s">
        <v>274</v>
      </c>
      <c r="C716" s="314">
        <v>1.7099</v>
      </c>
      <c r="D716" s="314">
        <v>1.1941999999999999</v>
      </c>
      <c r="E716" s="314">
        <v>1.4114</v>
      </c>
      <c r="F716" s="314">
        <v>1.3047</v>
      </c>
      <c r="G716" s="314">
        <v>1.3657999999999999</v>
      </c>
      <c r="H716" s="314">
        <v>1.4592000000000001</v>
      </c>
      <c r="I716" s="314">
        <v>1.4633</v>
      </c>
      <c r="J716" s="314">
        <v>1.4448000000000001</v>
      </c>
      <c r="K716" s="314">
        <v>0</v>
      </c>
      <c r="L716" s="314">
        <v>1.2802</v>
      </c>
      <c r="M716" s="314">
        <v>1.3448</v>
      </c>
      <c r="N716" s="314">
        <v>1.4029</v>
      </c>
      <c r="O716" s="314">
        <v>1.2878000000000001</v>
      </c>
      <c r="P716" s="314">
        <v>1.2446999999999999</v>
      </c>
      <c r="Q716" s="314">
        <v>1.2876000000000001</v>
      </c>
      <c r="R716" s="314">
        <v>1.4981</v>
      </c>
      <c r="S716" s="314">
        <v>1.4047000000000001</v>
      </c>
      <c r="T716" s="314">
        <v>1.2847</v>
      </c>
      <c r="U716" s="314">
        <v>1.3931</v>
      </c>
      <c r="V716" s="314">
        <v>1.3955</v>
      </c>
      <c r="W716" s="314">
        <v>1.4872000000000001</v>
      </c>
      <c r="X716" s="314">
        <v>1.3129999999999999</v>
      </c>
      <c r="Y716" s="314">
        <v>1.3375999999999999</v>
      </c>
      <c r="Z716" s="314">
        <v>1.4775</v>
      </c>
      <c r="AA716" s="314">
        <v>1.492</v>
      </c>
      <c r="AB716" s="314">
        <v>1.4668000000000001</v>
      </c>
      <c r="AC716" s="314">
        <v>1.2563</v>
      </c>
      <c r="AD716" s="314">
        <v>1.3009999999999999</v>
      </c>
      <c r="AE716" s="314">
        <v>1.4051</v>
      </c>
      <c r="AF716" s="314">
        <v>1.2646999999999999</v>
      </c>
      <c r="AG716" s="314">
        <v>1.2362</v>
      </c>
      <c r="AH716" s="314">
        <v>1.3987000000000001</v>
      </c>
      <c r="AI716" s="314">
        <v>1.5335000000000001</v>
      </c>
      <c r="AJ716" s="314">
        <v>1.3261000000000001</v>
      </c>
      <c r="AK716" s="314">
        <v>1.3664000000000001</v>
      </c>
      <c r="AL716" s="314">
        <v>1.4477</v>
      </c>
      <c r="AM716" s="314">
        <v>1.5149999999999999</v>
      </c>
      <c r="AN716" s="314">
        <v>1.3738999999999999</v>
      </c>
      <c r="AO716" s="314">
        <v>1.4359999999999999</v>
      </c>
      <c r="AP716" s="314">
        <v>1.5898000000000001</v>
      </c>
      <c r="AQ716" s="314">
        <v>1.4697</v>
      </c>
      <c r="AR716" s="314">
        <v>1.3889</v>
      </c>
      <c r="AS716" s="314">
        <v>1.2686999999999999</v>
      </c>
      <c r="AT716" s="314">
        <v>1.4380999999999999</v>
      </c>
      <c r="AU716" s="314">
        <v>1.5034000000000001</v>
      </c>
      <c r="AV716" s="314">
        <v>1.5611999999999999</v>
      </c>
      <c r="AW716" s="314">
        <v>1.3595999999999999</v>
      </c>
      <c r="AX716" s="314">
        <v>1.3109</v>
      </c>
      <c r="AY716" s="314">
        <v>1.3911</v>
      </c>
      <c r="AZ716" s="314">
        <v>1.3835</v>
      </c>
      <c r="BA716" s="314">
        <v>1.2858000000000001</v>
      </c>
      <c r="BB716" s="314">
        <v>1.1946000000000001</v>
      </c>
      <c r="BC716" s="314">
        <v>1.5329999999999999</v>
      </c>
      <c r="BD716" s="314">
        <v>1.5773999999999999</v>
      </c>
      <c r="BE716" s="314">
        <v>1.5342</v>
      </c>
      <c r="BF716" s="314">
        <v>1.4531000000000001</v>
      </c>
      <c r="BG716" s="314">
        <v>1.4294</v>
      </c>
      <c r="BH716" s="314">
        <v>1.4538</v>
      </c>
      <c r="BI716" s="314">
        <v>1.5088999999999999</v>
      </c>
      <c r="BJ716" s="314">
        <v>1.5333000000000001</v>
      </c>
      <c r="BK716" s="314">
        <v>1.4948999999999999</v>
      </c>
    </row>
    <row r="717" spans="1:63" x14ac:dyDescent="0.25">
      <c r="A717" s="306">
        <v>339920</v>
      </c>
      <c r="B717" s="314" t="s">
        <v>275</v>
      </c>
      <c r="C717" s="314">
        <v>1.9796</v>
      </c>
      <c r="D717" s="314">
        <v>0</v>
      </c>
      <c r="E717" s="314">
        <v>1.6423000000000001</v>
      </c>
      <c r="F717" s="314">
        <v>1.5498000000000001</v>
      </c>
      <c r="G717" s="314">
        <v>1.4496</v>
      </c>
      <c r="H717" s="314">
        <v>1.615</v>
      </c>
      <c r="I717" s="314">
        <v>1.5194000000000001</v>
      </c>
      <c r="J717" s="314">
        <v>1.5485</v>
      </c>
      <c r="K717" s="314">
        <v>0</v>
      </c>
      <c r="L717" s="314">
        <v>1.4089</v>
      </c>
      <c r="M717" s="314">
        <v>1.431</v>
      </c>
      <c r="N717" s="314">
        <v>1.6171</v>
      </c>
      <c r="O717" s="314">
        <v>1.2698</v>
      </c>
      <c r="P717" s="314">
        <v>1.4581999999999999</v>
      </c>
      <c r="Q717" s="314">
        <v>1.3399000000000001</v>
      </c>
      <c r="R717" s="314">
        <v>1.778</v>
      </c>
      <c r="S717" s="314">
        <v>1.637</v>
      </c>
      <c r="T717" s="314">
        <v>1.4257</v>
      </c>
      <c r="U717" s="314">
        <v>1.6657999999999999</v>
      </c>
      <c r="V717" s="314">
        <v>1.5236000000000001</v>
      </c>
      <c r="W717" s="314">
        <v>1.6037999999999999</v>
      </c>
      <c r="X717" s="314">
        <v>1.4205000000000001</v>
      </c>
      <c r="Y717" s="314">
        <v>1.3873</v>
      </c>
      <c r="Z717" s="314">
        <v>1.6543000000000001</v>
      </c>
      <c r="AA717" s="314">
        <v>1.5968</v>
      </c>
      <c r="AB717" s="314">
        <v>1.6357999999999999</v>
      </c>
      <c r="AC717" s="314">
        <v>1.5264</v>
      </c>
      <c r="AD717" s="314">
        <v>1.3204</v>
      </c>
      <c r="AE717" s="314">
        <v>1.5598000000000001</v>
      </c>
      <c r="AF717" s="314">
        <v>1.2251000000000001</v>
      </c>
      <c r="AG717" s="314">
        <v>1.3376999999999999</v>
      </c>
      <c r="AH717" s="314">
        <v>1.4970000000000001</v>
      </c>
      <c r="AI717" s="314">
        <v>1.5820000000000001</v>
      </c>
      <c r="AJ717" s="314">
        <v>1.2446999999999999</v>
      </c>
      <c r="AK717" s="314">
        <v>1.3371999999999999</v>
      </c>
      <c r="AL717" s="314">
        <v>1.4779</v>
      </c>
      <c r="AM717" s="314">
        <v>1.7184999999999999</v>
      </c>
      <c r="AN717" s="314">
        <v>1.4843999999999999</v>
      </c>
      <c r="AO717" s="314">
        <v>1.5984</v>
      </c>
      <c r="AP717" s="314">
        <v>1.7418</v>
      </c>
      <c r="AQ717" s="314">
        <v>1.4817</v>
      </c>
      <c r="AR717" s="314">
        <v>1.6062000000000001</v>
      </c>
      <c r="AS717" s="314">
        <v>0</v>
      </c>
      <c r="AT717" s="314">
        <v>1.6934</v>
      </c>
      <c r="AU717" s="314">
        <v>1.6726000000000001</v>
      </c>
      <c r="AV717" s="314">
        <v>1.5665</v>
      </c>
      <c r="AW717" s="314">
        <v>1.5711999999999999</v>
      </c>
      <c r="AX717" s="314">
        <v>1.3673999999999999</v>
      </c>
      <c r="AY717" s="314">
        <v>1.5141</v>
      </c>
      <c r="AZ717" s="314">
        <v>1.5914999999999999</v>
      </c>
      <c r="BA717" s="314">
        <v>1.4178999999999999</v>
      </c>
      <c r="BB717" s="314">
        <v>1.2367999999999999</v>
      </c>
      <c r="BC717" s="314">
        <v>1.6524000000000001</v>
      </c>
      <c r="BD717" s="314">
        <v>1.6875</v>
      </c>
      <c r="BE717" s="314">
        <v>1.7858000000000001</v>
      </c>
      <c r="BF717" s="314">
        <v>1.5933999999999999</v>
      </c>
      <c r="BG717" s="314">
        <v>1.6323000000000001</v>
      </c>
      <c r="BH717" s="314">
        <v>1.7413000000000001</v>
      </c>
      <c r="BI717" s="314">
        <v>1.7109000000000001</v>
      </c>
      <c r="BJ717" s="314">
        <v>1.5096000000000001</v>
      </c>
      <c r="BK717" s="314">
        <v>1.6406000000000001</v>
      </c>
    </row>
    <row r="718" spans="1:63" x14ac:dyDescent="0.25">
      <c r="A718" s="306">
        <v>339930</v>
      </c>
      <c r="B718" s="314" t="s">
        <v>276</v>
      </c>
      <c r="C718" s="314">
        <v>1.86</v>
      </c>
      <c r="D718" s="314">
        <v>1.1431</v>
      </c>
      <c r="E718" s="314">
        <v>0</v>
      </c>
      <c r="F718" s="314">
        <v>1.4786999999999999</v>
      </c>
      <c r="G718" s="314">
        <v>1.2795000000000001</v>
      </c>
      <c r="H718" s="314">
        <v>1.4585999999999999</v>
      </c>
      <c r="I718" s="314">
        <v>1.3515999999999999</v>
      </c>
      <c r="J718" s="314">
        <v>1.5244</v>
      </c>
      <c r="K718" s="314">
        <v>0</v>
      </c>
      <c r="L718" s="314">
        <v>1.4061999999999999</v>
      </c>
      <c r="M718" s="314">
        <v>1.3301000000000001</v>
      </c>
      <c r="N718" s="314">
        <v>1.5945</v>
      </c>
      <c r="O718" s="314">
        <v>0</v>
      </c>
      <c r="P718" s="314">
        <v>1.365</v>
      </c>
      <c r="Q718" s="314">
        <v>1.2814000000000001</v>
      </c>
      <c r="R718" s="314">
        <v>1.6212</v>
      </c>
      <c r="S718" s="314">
        <v>1.5497000000000001</v>
      </c>
      <c r="T718" s="314">
        <v>1.3596999999999999</v>
      </c>
      <c r="U718" s="314">
        <v>1.5421</v>
      </c>
      <c r="V718" s="314">
        <v>1.5319</v>
      </c>
      <c r="W718" s="314">
        <v>1.5624</v>
      </c>
      <c r="X718" s="314">
        <v>1.3247</v>
      </c>
      <c r="Y718" s="314">
        <v>1.3594999999999999</v>
      </c>
      <c r="Z718" s="314">
        <v>1.5667</v>
      </c>
      <c r="AA718" s="314">
        <v>1.4796</v>
      </c>
      <c r="AB718" s="314">
        <v>1.5216000000000001</v>
      </c>
      <c r="AC718" s="314">
        <v>1.4935</v>
      </c>
      <c r="AD718" s="314">
        <v>1.2017</v>
      </c>
      <c r="AE718" s="314">
        <v>1.5705</v>
      </c>
      <c r="AF718" s="314">
        <v>0</v>
      </c>
      <c r="AG718" s="314">
        <v>1.2506999999999999</v>
      </c>
      <c r="AH718" s="314">
        <v>1.4144000000000001</v>
      </c>
      <c r="AI718" s="314">
        <v>1.5469999999999999</v>
      </c>
      <c r="AJ718" s="314">
        <v>1.1791</v>
      </c>
      <c r="AK718" s="314">
        <v>1.2647999999999999</v>
      </c>
      <c r="AL718" s="314">
        <v>1.3694</v>
      </c>
      <c r="AM718" s="314">
        <v>1.6556</v>
      </c>
      <c r="AN718" s="314">
        <v>1.3669</v>
      </c>
      <c r="AO718" s="314">
        <v>1.4326000000000001</v>
      </c>
      <c r="AP718" s="314">
        <v>1.6484000000000001</v>
      </c>
      <c r="AQ718" s="314">
        <v>1.4928999999999999</v>
      </c>
      <c r="AR718" s="314">
        <v>0</v>
      </c>
      <c r="AS718" s="314">
        <v>1.2689999999999999</v>
      </c>
      <c r="AT718" s="314">
        <v>1.61</v>
      </c>
      <c r="AU718" s="314">
        <v>1.6112</v>
      </c>
      <c r="AV718" s="314">
        <v>1.3935</v>
      </c>
      <c r="AW718" s="314">
        <v>1.4944</v>
      </c>
      <c r="AX718" s="314">
        <v>1.2791999999999999</v>
      </c>
      <c r="AY718" s="314">
        <v>1.4434</v>
      </c>
      <c r="AZ718" s="314">
        <v>1.5101</v>
      </c>
      <c r="BA718" s="314">
        <v>1.3825000000000001</v>
      </c>
      <c r="BB718" s="314">
        <v>1.1541999999999999</v>
      </c>
      <c r="BC718" s="314">
        <v>1.6051</v>
      </c>
      <c r="BD718" s="314">
        <v>1.5538000000000001</v>
      </c>
      <c r="BE718" s="314">
        <v>1.6597</v>
      </c>
      <c r="BF718" s="314">
        <v>1.4769000000000001</v>
      </c>
      <c r="BG718" s="314">
        <v>1.6175999999999999</v>
      </c>
      <c r="BH718" s="314">
        <v>1.6534</v>
      </c>
      <c r="BI718" s="314">
        <v>1.6496</v>
      </c>
      <c r="BJ718" s="314">
        <v>1.3534999999999999</v>
      </c>
      <c r="BK718" s="314">
        <v>1.4883</v>
      </c>
    </row>
    <row r="719" spans="1:63" x14ac:dyDescent="0.25">
      <c r="A719" s="306">
        <v>339940</v>
      </c>
      <c r="B719" s="314" t="s">
        <v>277</v>
      </c>
      <c r="C719" s="314">
        <v>1.7125999999999999</v>
      </c>
      <c r="D719" s="314">
        <v>1.1577999999999999</v>
      </c>
      <c r="E719" s="314">
        <v>1.4149</v>
      </c>
      <c r="F719" s="314">
        <v>1.4439</v>
      </c>
      <c r="G719" s="314">
        <v>1.2709999999999999</v>
      </c>
      <c r="H719" s="314">
        <v>1.3824000000000001</v>
      </c>
      <c r="I719" s="314">
        <v>1.3555999999999999</v>
      </c>
      <c r="J719" s="314">
        <v>1.3993</v>
      </c>
      <c r="K719" s="314">
        <v>1.1019000000000001</v>
      </c>
      <c r="L719" s="314">
        <v>1.369</v>
      </c>
      <c r="M719" s="314">
        <v>1.31</v>
      </c>
      <c r="N719" s="314">
        <v>1.5195000000000001</v>
      </c>
      <c r="O719" s="314">
        <v>1.1694</v>
      </c>
      <c r="P719" s="314">
        <v>1.3246</v>
      </c>
      <c r="Q719" s="314">
        <v>1.2847</v>
      </c>
      <c r="R719" s="314">
        <v>1.5244</v>
      </c>
      <c r="S719" s="314">
        <v>1.4824999999999999</v>
      </c>
      <c r="T719" s="314">
        <v>1.3268</v>
      </c>
      <c r="U719" s="314">
        <v>1.4528000000000001</v>
      </c>
      <c r="V719" s="314">
        <v>1.4037999999999999</v>
      </c>
      <c r="W719" s="314">
        <v>1.4103000000000001</v>
      </c>
      <c r="X719" s="314">
        <v>1.3015000000000001</v>
      </c>
      <c r="Y719" s="314">
        <v>1.3246</v>
      </c>
      <c r="Z719" s="314">
        <v>1.4555</v>
      </c>
      <c r="AA719" s="314">
        <v>1.4096</v>
      </c>
      <c r="AB719" s="314">
        <v>1.4531000000000001</v>
      </c>
      <c r="AC719" s="314">
        <v>1.3707</v>
      </c>
      <c r="AD719" s="314">
        <v>1.2309000000000001</v>
      </c>
      <c r="AE719" s="314">
        <v>1.4756</v>
      </c>
      <c r="AF719" s="314">
        <v>1.2192000000000001</v>
      </c>
      <c r="AG719" s="314">
        <v>1.2534000000000001</v>
      </c>
      <c r="AH719" s="314">
        <v>1.3541000000000001</v>
      </c>
      <c r="AI719" s="314">
        <v>1.4919</v>
      </c>
      <c r="AJ719" s="314">
        <v>1.2138</v>
      </c>
      <c r="AK719" s="314">
        <v>1.2629999999999999</v>
      </c>
      <c r="AL719" s="314">
        <v>1.3435999999999999</v>
      </c>
      <c r="AM719" s="314">
        <v>1.5482</v>
      </c>
      <c r="AN719" s="314">
        <v>1.3208</v>
      </c>
      <c r="AO719" s="314">
        <v>1.4241999999999999</v>
      </c>
      <c r="AP719" s="314">
        <v>1.5384</v>
      </c>
      <c r="AQ719" s="314">
        <v>1.3821000000000001</v>
      </c>
      <c r="AR719" s="314">
        <v>1.4931000000000001</v>
      </c>
      <c r="AS719" s="314">
        <v>1.2375</v>
      </c>
      <c r="AT719" s="314">
        <v>1.5023</v>
      </c>
      <c r="AU719" s="314">
        <v>1.5039</v>
      </c>
      <c r="AV719" s="314">
        <v>1.3837999999999999</v>
      </c>
      <c r="AW719" s="314">
        <v>1.4103000000000001</v>
      </c>
      <c r="AX719" s="314">
        <v>0</v>
      </c>
      <c r="AY719" s="314">
        <v>1.3609</v>
      </c>
      <c r="AZ719" s="314">
        <v>1.4615</v>
      </c>
      <c r="BA719" s="314">
        <v>1.3814</v>
      </c>
      <c r="BB719" s="314">
        <v>1.1972</v>
      </c>
      <c r="BC719" s="314">
        <v>1.4778</v>
      </c>
      <c r="BD719" s="314">
        <v>1.4972000000000001</v>
      </c>
      <c r="BE719" s="314">
        <v>1.5669999999999999</v>
      </c>
      <c r="BF719" s="314">
        <v>1.4198999999999999</v>
      </c>
      <c r="BG719" s="314">
        <v>1.5182</v>
      </c>
      <c r="BH719" s="314">
        <v>1.544</v>
      </c>
      <c r="BI719" s="314">
        <v>1.5381</v>
      </c>
      <c r="BJ719" s="314">
        <v>1.3602000000000001</v>
      </c>
      <c r="BK719" s="314">
        <v>1.4117999999999999</v>
      </c>
    </row>
    <row r="720" spans="1:63" x14ac:dyDescent="0.25">
      <c r="A720" s="306">
        <v>339950</v>
      </c>
      <c r="B720" s="314" t="s">
        <v>278</v>
      </c>
      <c r="C720" s="314">
        <v>2.0573000000000001</v>
      </c>
      <c r="D720" s="314">
        <v>1.2595000000000001</v>
      </c>
      <c r="E720" s="314">
        <v>1.6967000000000001</v>
      </c>
      <c r="F720" s="314">
        <v>1.6076999999999999</v>
      </c>
      <c r="G720" s="314">
        <v>1.446</v>
      </c>
      <c r="H720" s="314">
        <v>1.6480999999999999</v>
      </c>
      <c r="I720" s="314">
        <v>1.5590999999999999</v>
      </c>
      <c r="J720" s="314">
        <v>1.6607000000000001</v>
      </c>
      <c r="K720" s="314">
        <v>1.1932</v>
      </c>
      <c r="L720" s="314">
        <v>1.5024</v>
      </c>
      <c r="M720" s="314">
        <v>1.4725999999999999</v>
      </c>
      <c r="N720" s="314">
        <v>1.7846</v>
      </c>
      <c r="O720" s="314">
        <v>1.2999000000000001</v>
      </c>
      <c r="P720" s="314">
        <v>1.472</v>
      </c>
      <c r="Q720" s="314">
        <v>1.3963000000000001</v>
      </c>
      <c r="R720" s="314">
        <v>1.8306</v>
      </c>
      <c r="S720" s="314">
        <v>1.7091000000000001</v>
      </c>
      <c r="T720" s="314">
        <v>1.4762999999999999</v>
      </c>
      <c r="U720" s="314">
        <v>1.7302999999999999</v>
      </c>
      <c r="V720" s="314">
        <v>1.516</v>
      </c>
      <c r="W720" s="314">
        <v>1.7047000000000001</v>
      </c>
      <c r="X720" s="314">
        <v>1.5348999999999999</v>
      </c>
      <c r="Y720" s="314">
        <v>1.5206</v>
      </c>
      <c r="Z720" s="314">
        <v>1.7443</v>
      </c>
      <c r="AA720" s="314">
        <v>1.6930000000000001</v>
      </c>
      <c r="AB720" s="314">
        <v>1.7168000000000001</v>
      </c>
      <c r="AC720" s="314">
        <v>1.57</v>
      </c>
      <c r="AD720" s="314">
        <v>1.3064</v>
      </c>
      <c r="AE720" s="314">
        <v>1.7163999999999999</v>
      </c>
      <c r="AF720" s="314">
        <v>1.2834000000000001</v>
      </c>
      <c r="AG720" s="314">
        <v>1.3824000000000001</v>
      </c>
      <c r="AH720" s="314">
        <v>1.6305000000000001</v>
      </c>
      <c r="AI720" s="314">
        <v>1.7183999999999999</v>
      </c>
      <c r="AJ720" s="314">
        <v>1.2678</v>
      </c>
      <c r="AK720" s="314">
        <v>1.4565999999999999</v>
      </c>
      <c r="AL720" s="314">
        <v>1.5256000000000001</v>
      </c>
      <c r="AM720" s="314">
        <v>1.8361000000000001</v>
      </c>
      <c r="AN720" s="314">
        <v>1.5267999999999999</v>
      </c>
      <c r="AO720" s="314">
        <v>1.6544000000000001</v>
      </c>
      <c r="AP720" s="314">
        <v>1.8345</v>
      </c>
      <c r="AQ720" s="314">
        <v>1.6438999999999999</v>
      </c>
      <c r="AR720" s="314">
        <v>1.7518</v>
      </c>
      <c r="AS720" s="314">
        <v>1.3456999999999999</v>
      </c>
      <c r="AT720" s="314">
        <v>1.7666999999999999</v>
      </c>
      <c r="AU720" s="314">
        <v>1.7282999999999999</v>
      </c>
      <c r="AV720" s="314">
        <v>1.6079000000000001</v>
      </c>
      <c r="AW720" s="314">
        <v>1.6641999999999999</v>
      </c>
      <c r="AX720" s="314">
        <v>1.4316</v>
      </c>
      <c r="AY720" s="314">
        <v>1.5722</v>
      </c>
      <c r="AZ720" s="314">
        <v>1.6862999999999999</v>
      </c>
      <c r="BA720" s="314">
        <v>1.4974000000000001</v>
      </c>
      <c r="BB720" s="314">
        <v>1.2623</v>
      </c>
      <c r="BC720" s="314">
        <v>1.7653000000000001</v>
      </c>
      <c r="BD720" s="314">
        <v>1.7513000000000001</v>
      </c>
      <c r="BE720" s="314">
        <v>1.8591</v>
      </c>
      <c r="BF720" s="314">
        <v>1.673</v>
      </c>
      <c r="BG720" s="314">
        <v>1.7625999999999999</v>
      </c>
      <c r="BH720" s="314">
        <v>1.8124</v>
      </c>
      <c r="BI720" s="314">
        <v>1.7524</v>
      </c>
      <c r="BJ720" s="314">
        <v>1.546</v>
      </c>
      <c r="BK720" s="314">
        <v>1.6802999999999999</v>
      </c>
    </row>
    <row r="721" spans="1:63" x14ac:dyDescent="0.25">
      <c r="A721" s="306">
        <v>339991</v>
      </c>
      <c r="B721" s="314" t="s">
        <v>1</v>
      </c>
      <c r="C721" s="314">
        <v>1.8669</v>
      </c>
      <c r="D721" s="314">
        <v>0</v>
      </c>
      <c r="E721" s="314">
        <v>1.5615000000000001</v>
      </c>
      <c r="F721" s="314">
        <v>1.4175</v>
      </c>
      <c r="G721" s="314">
        <v>1.3117000000000001</v>
      </c>
      <c r="H721" s="314">
        <v>1.4642999999999999</v>
      </c>
      <c r="I721" s="314">
        <v>1.4145000000000001</v>
      </c>
      <c r="J721" s="314">
        <v>1.5209999999999999</v>
      </c>
      <c r="K721" s="314">
        <v>0</v>
      </c>
      <c r="L721" s="314">
        <v>1.355</v>
      </c>
      <c r="M721" s="314">
        <v>1.3353999999999999</v>
      </c>
      <c r="N721" s="314">
        <v>1.4995000000000001</v>
      </c>
      <c r="O721" s="314">
        <v>0</v>
      </c>
      <c r="P721" s="314">
        <v>1.3199000000000001</v>
      </c>
      <c r="Q721" s="314">
        <v>0</v>
      </c>
      <c r="R721" s="314">
        <v>1.7192000000000001</v>
      </c>
      <c r="S721" s="314">
        <v>1.6148</v>
      </c>
      <c r="T721" s="314">
        <v>1.365</v>
      </c>
      <c r="U721" s="314">
        <v>1.6203000000000001</v>
      </c>
      <c r="V721" s="314">
        <v>1.5717000000000001</v>
      </c>
      <c r="W721" s="314">
        <v>1.5504</v>
      </c>
      <c r="X721" s="314">
        <v>1.3360000000000001</v>
      </c>
      <c r="Y721" s="314">
        <v>1.3561000000000001</v>
      </c>
      <c r="Z721" s="314">
        <v>1.6117999999999999</v>
      </c>
      <c r="AA721" s="314">
        <v>1.4885999999999999</v>
      </c>
      <c r="AB721" s="314">
        <v>1.5302</v>
      </c>
      <c r="AC721" s="314">
        <v>1.3972</v>
      </c>
      <c r="AD721" s="314">
        <v>1.242</v>
      </c>
      <c r="AE721" s="314">
        <v>1.5389999999999999</v>
      </c>
      <c r="AF721" s="314">
        <v>0</v>
      </c>
      <c r="AG721" s="314">
        <v>1.2767999999999999</v>
      </c>
      <c r="AH721" s="314">
        <v>1.4657</v>
      </c>
      <c r="AI721" s="314">
        <v>1.4935</v>
      </c>
      <c r="AJ721" s="314">
        <v>1.2315</v>
      </c>
      <c r="AK721" s="314">
        <v>1.3029999999999999</v>
      </c>
      <c r="AL721" s="314">
        <v>1.4500999999999999</v>
      </c>
      <c r="AM721" s="314">
        <v>1.7087000000000001</v>
      </c>
      <c r="AN721" s="314">
        <v>1.4847999999999999</v>
      </c>
      <c r="AO721" s="314">
        <v>1.5118</v>
      </c>
      <c r="AP721" s="314">
        <v>1.6801999999999999</v>
      </c>
      <c r="AQ721" s="314">
        <v>1.4948999999999999</v>
      </c>
      <c r="AR721" s="314">
        <v>1.5658000000000001</v>
      </c>
      <c r="AS721" s="314">
        <v>0</v>
      </c>
      <c r="AT721" s="314">
        <v>1.5379</v>
      </c>
      <c r="AU721" s="314">
        <v>1.7084999999999999</v>
      </c>
      <c r="AV721" s="314">
        <v>1.5023</v>
      </c>
      <c r="AW721" s="314">
        <v>1.4435</v>
      </c>
      <c r="AX721" s="314">
        <v>1.3359000000000001</v>
      </c>
      <c r="AY721" s="314">
        <v>1.3871</v>
      </c>
      <c r="AZ721" s="314">
        <v>1.5373000000000001</v>
      </c>
      <c r="BA721" s="314">
        <v>1.4539</v>
      </c>
      <c r="BB721" s="314">
        <v>0</v>
      </c>
      <c r="BC721" s="314">
        <v>1.5814999999999999</v>
      </c>
      <c r="BD721" s="314">
        <v>1.6234</v>
      </c>
      <c r="BE721" s="314">
        <v>1.726</v>
      </c>
      <c r="BF721" s="314">
        <v>1.4633</v>
      </c>
      <c r="BG721" s="314">
        <v>1.5295000000000001</v>
      </c>
      <c r="BH721" s="314">
        <v>1.6480999999999999</v>
      </c>
      <c r="BI721" s="314">
        <v>1.7253000000000001</v>
      </c>
      <c r="BJ721" s="314">
        <v>1.4011</v>
      </c>
      <c r="BK721" s="314">
        <v>1.4753000000000001</v>
      </c>
    </row>
    <row r="722" spans="1:63" x14ac:dyDescent="0.25">
      <c r="A722" s="306">
        <v>339992</v>
      </c>
      <c r="B722" s="314" t="s">
        <v>279</v>
      </c>
      <c r="C722" s="314">
        <v>1.728</v>
      </c>
      <c r="D722" s="314">
        <v>0</v>
      </c>
      <c r="E722" s="314">
        <v>0</v>
      </c>
      <c r="F722" s="314">
        <v>1.4305000000000001</v>
      </c>
      <c r="G722" s="314">
        <v>1.3704000000000001</v>
      </c>
      <c r="H722" s="314">
        <v>1.5285</v>
      </c>
      <c r="I722" s="314">
        <v>1.4074</v>
      </c>
      <c r="J722" s="314">
        <v>1.4326000000000001</v>
      </c>
      <c r="K722" s="314">
        <v>0</v>
      </c>
      <c r="L722" s="314">
        <v>0</v>
      </c>
      <c r="M722" s="314">
        <v>1.3674999999999999</v>
      </c>
      <c r="N722" s="314">
        <v>1.4922</v>
      </c>
      <c r="O722" s="314">
        <v>1.2988999999999999</v>
      </c>
      <c r="P722" s="314">
        <v>1.2578</v>
      </c>
      <c r="Q722" s="314">
        <v>1.3232999999999999</v>
      </c>
      <c r="R722" s="314">
        <v>1.5570999999999999</v>
      </c>
      <c r="S722" s="314">
        <v>1.4689000000000001</v>
      </c>
      <c r="T722" s="314">
        <v>1.2989999999999999</v>
      </c>
      <c r="U722" s="314">
        <v>1.3969</v>
      </c>
      <c r="V722" s="314">
        <v>1.3691</v>
      </c>
      <c r="W722" s="314">
        <v>1.5024</v>
      </c>
      <c r="X722" s="314">
        <v>1.4065000000000001</v>
      </c>
      <c r="Y722" s="314">
        <v>1.3856999999999999</v>
      </c>
      <c r="Z722" s="314">
        <v>1.4715</v>
      </c>
      <c r="AA722" s="314">
        <v>1.4254</v>
      </c>
      <c r="AB722" s="314">
        <v>1.4355</v>
      </c>
      <c r="AC722" s="314">
        <v>1.3298000000000001</v>
      </c>
      <c r="AD722" s="314">
        <v>1.3495999999999999</v>
      </c>
      <c r="AE722" s="314">
        <v>1.4641</v>
      </c>
      <c r="AF722" s="314">
        <v>1.2051000000000001</v>
      </c>
      <c r="AG722" s="314">
        <v>1.2436</v>
      </c>
      <c r="AH722" s="314">
        <v>1.4111</v>
      </c>
      <c r="AI722" s="314">
        <v>1.4285000000000001</v>
      </c>
      <c r="AJ722" s="314">
        <v>1.2383</v>
      </c>
      <c r="AK722" s="314">
        <v>1.2791999999999999</v>
      </c>
      <c r="AL722" s="314">
        <v>1.4252</v>
      </c>
      <c r="AM722" s="314">
        <v>1.522</v>
      </c>
      <c r="AN722" s="314">
        <v>1.3401000000000001</v>
      </c>
      <c r="AO722" s="314">
        <v>1.5488</v>
      </c>
      <c r="AP722" s="314">
        <v>1.5755999999999999</v>
      </c>
      <c r="AQ722" s="314">
        <v>1.3207</v>
      </c>
      <c r="AR722" s="314">
        <v>1.3916999999999999</v>
      </c>
      <c r="AS722" s="314">
        <v>1.2497</v>
      </c>
      <c r="AT722" s="314">
        <v>1.5269999999999999</v>
      </c>
      <c r="AU722" s="314">
        <v>1.4902</v>
      </c>
      <c r="AV722" s="314">
        <v>1.4213</v>
      </c>
      <c r="AW722" s="314">
        <v>1.4254</v>
      </c>
      <c r="AX722" s="314">
        <v>1.3707</v>
      </c>
      <c r="AY722" s="314">
        <v>1.4678</v>
      </c>
      <c r="AZ722" s="314">
        <v>1.4829000000000001</v>
      </c>
      <c r="BA722" s="314">
        <v>1.288</v>
      </c>
      <c r="BB722" s="314">
        <v>0</v>
      </c>
      <c r="BC722" s="314">
        <v>1.5456000000000001</v>
      </c>
      <c r="BD722" s="314">
        <v>1.5286</v>
      </c>
      <c r="BE722" s="314">
        <v>1.5590999999999999</v>
      </c>
      <c r="BF722" s="314">
        <v>1.403</v>
      </c>
      <c r="BG722" s="314">
        <v>1.5053000000000001</v>
      </c>
      <c r="BH722" s="314">
        <v>1.5174000000000001</v>
      </c>
      <c r="BI722" s="314">
        <v>1.5347</v>
      </c>
      <c r="BJ722" s="314">
        <v>1.4588000000000001</v>
      </c>
      <c r="BK722" s="314">
        <v>1.5858000000000001</v>
      </c>
    </row>
    <row r="723" spans="1:63" x14ac:dyDescent="0.25">
      <c r="A723" s="306">
        <v>339994</v>
      </c>
      <c r="B723" s="314" t="s">
        <v>281</v>
      </c>
      <c r="C723" s="314">
        <v>1.7918000000000001</v>
      </c>
      <c r="D723" s="314">
        <v>0</v>
      </c>
      <c r="E723" s="314">
        <v>1.5781000000000001</v>
      </c>
      <c r="F723" s="314">
        <v>1.4767999999999999</v>
      </c>
      <c r="G723" s="314">
        <v>0</v>
      </c>
      <c r="H723" s="314">
        <v>1.4095</v>
      </c>
      <c r="I723" s="314">
        <v>1.3928</v>
      </c>
      <c r="J723" s="314">
        <v>1.3712</v>
      </c>
      <c r="K723" s="314">
        <v>0</v>
      </c>
      <c r="L723" s="314">
        <v>1.3386</v>
      </c>
      <c r="M723" s="314">
        <v>1.3082</v>
      </c>
      <c r="N723" s="314">
        <v>1.6284000000000001</v>
      </c>
      <c r="O723" s="314">
        <v>0</v>
      </c>
      <c r="P723" s="314">
        <v>1.3825000000000001</v>
      </c>
      <c r="Q723" s="314">
        <v>0</v>
      </c>
      <c r="R723" s="314">
        <v>1.5729</v>
      </c>
      <c r="S723" s="314">
        <v>1.5054000000000001</v>
      </c>
      <c r="T723" s="314">
        <v>1.4145000000000001</v>
      </c>
      <c r="U723" s="314">
        <v>1.5076000000000001</v>
      </c>
      <c r="V723" s="314">
        <v>1.4883</v>
      </c>
      <c r="W723" s="314">
        <v>1.3959999999999999</v>
      </c>
      <c r="X723" s="314">
        <v>1.3712</v>
      </c>
      <c r="Y723" s="314">
        <v>0</v>
      </c>
      <c r="Z723" s="314">
        <v>1.5107999999999999</v>
      </c>
      <c r="AA723" s="314">
        <v>1.4551000000000001</v>
      </c>
      <c r="AB723" s="314">
        <v>1.5136000000000001</v>
      </c>
      <c r="AC723" s="314">
        <v>1.4762999999999999</v>
      </c>
      <c r="AD723" s="314">
        <v>0</v>
      </c>
      <c r="AE723" s="314">
        <v>1.5961000000000001</v>
      </c>
      <c r="AF723" s="314">
        <v>0</v>
      </c>
      <c r="AG723" s="314">
        <v>1.3379000000000001</v>
      </c>
      <c r="AH723" s="314">
        <v>1.4058999999999999</v>
      </c>
      <c r="AI723" s="314">
        <v>1.5255000000000001</v>
      </c>
      <c r="AJ723" s="314">
        <v>0</v>
      </c>
      <c r="AK723" s="314">
        <v>1.2959000000000001</v>
      </c>
      <c r="AL723" s="314">
        <v>1.3009999999999999</v>
      </c>
      <c r="AM723" s="314">
        <v>1.5753999999999999</v>
      </c>
      <c r="AN723" s="314">
        <v>1.4076</v>
      </c>
      <c r="AO723" s="314">
        <v>1.4739</v>
      </c>
      <c r="AP723" s="314">
        <v>1.5948</v>
      </c>
      <c r="AQ723" s="314">
        <v>1.4176</v>
      </c>
      <c r="AR723" s="314">
        <v>1.6041000000000001</v>
      </c>
      <c r="AS723" s="314">
        <v>1.3152999999999999</v>
      </c>
      <c r="AT723" s="314">
        <v>1.6251</v>
      </c>
      <c r="AU723" s="314">
        <v>1.5270999999999999</v>
      </c>
      <c r="AV723" s="314">
        <v>0</v>
      </c>
      <c r="AW723" s="314">
        <v>1.5085</v>
      </c>
      <c r="AX723" s="314">
        <v>1.3257000000000001</v>
      </c>
      <c r="AY723" s="314">
        <v>1.399</v>
      </c>
      <c r="AZ723" s="314">
        <v>1.5068999999999999</v>
      </c>
      <c r="BA723" s="314">
        <v>0</v>
      </c>
      <c r="BB723" s="314">
        <v>0</v>
      </c>
      <c r="BC723" s="314">
        <v>1.4501999999999999</v>
      </c>
      <c r="BD723" s="314">
        <v>1.4888999999999999</v>
      </c>
      <c r="BE723" s="314">
        <v>1.5906</v>
      </c>
      <c r="BF723" s="314">
        <v>1.4895</v>
      </c>
      <c r="BG723" s="314">
        <v>1.6046</v>
      </c>
      <c r="BH723" s="314">
        <v>1.6493</v>
      </c>
      <c r="BI723" s="314">
        <v>1.5512999999999999</v>
      </c>
      <c r="BJ723" s="314">
        <v>1.4248000000000001</v>
      </c>
      <c r="BK723" s="314">
        <v>1.4329000000000001</v>
      </c>
    </row>
    <row r="724" spans="1:63" x14ac:dyDescent="0.25">
      <c r="A724" s="306" t="s">
        <v>751</v>
      </c>
      <c r="B724" s="314" t="s">
        <v>280</v>
      </c>
      <c r="C724" s="314">
        <v>1.8803000000000001</v>
      </c>
      <c r="D724" s="314">
        <v>1.1746000000000001</v>
      </c>
      <c r="E724" s="314">
        <v>1.5872999999999999</v>
      </c>
      <c r="F724" s="314">
        <v>1.4904999999999999</v>
      </c>
      <c r="G724" s="314">
        <v>1.3672</v>
      </c>
      <c r="H724" s="314">
        <v>1.5179</v>
      </c>
      <c r="I724" s="314">
        <v>1.4174</v>
      </c>
      <c r="J724" s="314">
        <v>1.5148999999999999</v>
      </c>
      <c r="K724" s="314">
        <v>0</v>
      </c>
      <c r="L724" s="314">
        <v>0</v>
      </c>
      <c r="M724" s="314">
        <v>1.3701000000000001</v>
      </c>
      <c r="N724" s="314">
        <v>1.5859000000000001</v>
      </c>
      <c r="O724" s="314">
        <v>1.2079</v>
      </c>
      <c r="P724" s="314">
        <v>1.3661000000000001</v>
      </c>
      <c r="Q724" s="314">
        <v>1.3031999999999999</v>
      </c>
      <c r="R724" s="314">
        <v>1.6818</v>
      </c>
      <c r="S724" s="314">
        <v>1.5998000000000001</v>
      </c>
      <c r="T724" s="314">
        <v>1.359</v>
      </c>
      <c r="U724" s="314">
        <v>1.6062000000000001</v>
      </c>
      <c r="V724" s="314">
        <v>1.5024</v>
      </c>
      <c r="W724" s="314">
        <v>1.4870000000000001</v>
      </c>
      <c r="X724" s="314">
        <v>1.393</v>
      </c>
      <c r="Y724" s="314">
        <v>1.3892</v>
      </c>
      <c r="Z724" s="314">
        <v>1.5942000000000001</v>
      </c>
      <c r="AA724" s="314">
        <v>1.5387999999999999</v>
      </c>
      <c r="AB724" s="314">
        <v>1.522</v>
      </c>
      <c r="AC724" s="314">
        <v>1.5016</v>
      </c>
      <c r="AD724" s="314">
        <v>1.2626999999999999</v>
      </c>
      <c r="AE724" s="314">
        <v>1.5627</v>
      </c>
      <c r="AF724" s="314">
        <v>1.1961999999999999</v>
      </c>
      <c r="AG724" s="314">
        <v>1.2630999999999999</v>
      </c>
      <c r="AH724" s="314">
        <v>1.4651000000000001</v>
      </c>
      <c r="AI724" s="314">
        <v>1.5154000000000001</v>
      </c>
      <c r="AJ724" s="314">
        <v>1.2149000000000001</v>
      </c>
      <c r="AK724" s="314">
        <v>1.3198000000000001</v>
      </c>
      <c r="AL724" s="314">
        <v>1.4114</v>
      </c>
      <c r="AM724" s="314">
        <v>1.6847000000000001</v>
      </c>
      <c r="AN724" s="314">
        <v>1.4710000000000001</v>
      </c>
      <c r="AO724" s="314">
        <v>1.5301</v>
      </c>
      <c r="AP724" s="314">
        <v>1.7004999999999999</v>
      </c>
      <c r="AQ724" s="314">
        <v>1.4293</v>
      </c>
      <c r="AR724" s="314">
        <v>1.5747</v>
      </c>
      <c r="AS724" s="314">
        <v>1.2766</v>
      </c>
      <c r="AT724" s="314">
        <v>1.5831999999999999</v>
      </c>
      <c r="AU724" s="314">
        <v>1.6371</v>
      </c>
      <c r="AV724" s="314">
        <v>1.4625999999999999</v>
      </c>
      <c r="AW724" s="314">
        <v>1.4689000000000001</v>
      </c>
      <c r="AX724" s="314">
        <v>1.2962</v>
      </c>
      <c r="AY724" s="314">
        <v>1.4276</v>
      </c>
      <c r="AZ724" s="314">
        <v>1.5429999999999999</v>
      </c>
      <c r="BA724" s="314">
        <v>1.4114</v>
      </c>
      <c r="BB724" s="314">
        <v>1.2043999999999999</v>
      </c>
      <c r="BC724" s="314">
        <v>1.5563</v>
      </c>
      <c r="BD724" s="314">
        <v>1.6244000000000001</v>
      </c>
      <c r="BE724" s="314">
        <v>1.7202999999999999</v>
      </c>
      <c r="BF724" s="314">
        <v>1.5158</v>
      </c>
      <c r="BG724" s="314">
        <v>1.5792999999999999</v>
      </c>
      <c r="BH724" s="314">
        <v>1.6774</v>
      </c>
      <c r="BI724" s="314">
        <v>1.6846000000000001</v>
      </c>
      <c r="BJ724" s="314">
        <v>1.4419</v>
      </c>
      <c r="BK724" s="314">
        <v>1.5478000000000001</v>
      </c>
    </row>
    <row r="725" spans="1:63" x14ac:dyDescent="0.25">
      <c r="A725" s="306">
        <v>420000</v>
      </c>
      <c r="B725" s="314" t="s">
        <v>425</v>
      </c>
      <c r="C725" s="314">
        <v>1.4867999999999999</v>
      </c>
      <c r="D725" s="314">
        <v>1.1949000000000001</v>
      </c>
      <c r="E725" s="314">
        <v>1.2867999999999999</v>
      </c>
      <c r="F725" s="314">
        <v>1.2773000000000001</v>
      </c>
      <c r="G725" s="314">
        <v>1.3121</v>
      </c>
      <c r="H725" s="314">
        <v>1.3815</v>
      </c>
      <c r="I725" s="314">
        <v>1.3856999999999999</v>
      </c>
      <c r="J725" s="314">
        <v>1.3577999999999999</v>
      </c>
      <c r="K725" s="314">
        <v>1.1949000000000001</v>
      </c>
      <c r="L725" s="314">
        <v>1.3035000000000001</v>
      </c>
      <c r="M725" s="314">
        <v>1.3303</v>
      </c>
      <c r="N725" s="314">
        <v>1.401</v>
      </c>
      <c r="O725" s="314">
        <v>1.2597</v>
      </c>
      <c r="P725" s="314">
        <v>1.2306999999999999</v>
      </c>
      <c r="Q725" s="314">
        <v>1.2262</v>
      </c>
      <c r="R725" s="314">
        <v>1.4187000000000001</v>
      </c>
      <c r="S725" s="314">
        <v>1.3136000000000001</v>
      </c>
      <c r="T725" s="314">
        <v>1.2828999999999999</v>
      </c>
      <c r="U725" s="314">
        <v>1.3214999999999999</v>
      </c>
      <c r="V725" s="314">
        <v>1.2745</v>
      </c>
      <c r="W725" s="314">
        <v>1.3638999999999999</v>
      </c>
      <c r="X725" s="314">
        <v>1.3365</v>
      </c>
      <c r="Y725" s="314">
        <v>1.2881</v>
      </c>
      <c r="Z725" s="314">
        <v>1.3463000000000001</v>
      </c>
      <c r="AA725" s="314">
        <v>1.3509</v>
      </c>
      <c r="AB725" s="314">
        <v>1.3713</v>
      </c>
      <c r="AC725" s="314">
        <v>1.2372000000000001</v>
      </c>
      <c r="AD725" s="314">
        <v>1.2039</v>
      </c>
      <c r="AE725" s="314">
        <v>1.3346</v>
      </c>
      <c r="AF725" s="314">
        <v>1.1880999999999999</v>
      </c>
      <c r="AG725" s="314">
        <v>1.2436</v>
      </c>
      <c r="AH725" s="314">
        <v>1.3281000000000001</v>
      </c>
      <c r="AI725" s="314">
        <v>1.4061999999999999</v>
      </c>
      <c r="AJ725" s="314">
        <v>1.2163999999999999</v>
      </c>
      <c r="AK725" s="314">
        <v>1.2932999999999999</v>
      </c>
      <c r="AL725" s="314">
        <v>1.3460000000000001</v>
      </c>
      <c r="AM725" s="314">
        <v>1.3803000000000001</v>
      </c>
      <c r="AN725" s="314">
        <v>1.2848999999999999</v>
      </c>
      <c r="AO725" s="314">
        <v>1.3415999999999999</v>
      </c>
      <c r="AP725" s="314">
        <v>1.3951</v>
      </c>
      <c r="AQ725" s="314">
        <v>1.3067</v>
      </c>
      <c r="AR725" s="314">
        <v>1.3126</v>
      </c>
      <c r="AS725" s="314">
        <v>1.1782999999999999</v>
      </c>
      <c r="AT725" s="314">
        <v>1.3605</v>
      </c>
      <c r="AU725" s="314">
        <v>1.3783000000000001</v>
      </c>
      <c r="AV725" s="314">
        <v>1.3783000000000001</v>
      </c>
      <c r="AW725" s="314">
        <v>1.3684000000000001</v>
      </c>
      <c r="AX725" s="314">
        <v>1.2277</v>
      </c>
      <c r="AY725" s="314">
        <v>1.327</v>
      </c>
      <c r="AZ725" s="314">
        <v>1.3211999999999999</v>
      </c>
      <c r="BA725" s="314">
        <v>1.2249000000000001</v>
      </c>
      <c r="BB725" s="314">
        <v>1.163</v>
      </c>
      <c r="BC725" s="314">
        <v>1.3774999999999999</v>
      </c>
      <c r="BD725" s="314">
        <v>1.4141999999999999</v>
      </c>
      <c r="BE725" s="314">
        <v>1.4004000000000001</v>
      </c>
      <c r="BF725" s="314">
        <v>1.3411999999999999</v>
      </c>
      <c r="BG725" s="314">
        <v>1.3975</v>
      </c>
      <c r="BH725" s="314">
        <v>1.3421000000000001</v>
      </c>
      <c r="BI725" s="314">
        <v>1.3788</v>
      </c>
      <c r="BJ725" s="314">
        <v>1.3580000000000001</v>
      </c>
      <c r="BK725" s="314">
        <v>1.3842000000000001</v>
      </c>
    </row>
    <row r="726" spans="1:63" x14ac:dyDescent="0.25">
      <c r="A726" s="306">
        <v>481000</v>
      </c>
      <c r="B726" s="314" t="s">
        <v>752</v>
      </c>
      <c r="C726" s="314">
        <v>1.766</v>
      </c>
      <c r="D726" s="314">
        <v>1.5224</v>
      </c>
      <c r="E726" s="314">
        <v>1.4274</v>
      </c>
      <c r="F726" s="314">
        <v>1.3992</v>
      </c>
      <c r="G726" s="314">
        <v>1.4319</v>
      </c>
      <c r="H726" s="314">
        <v>1.6585000000000001</v>
      </c>
      <c r="I726" s="314">
        <v>1.5469999999999999</v>
      </c>
      <c r="J726" s="314">
        <v>1.4167000000000001</v>
      </c>
      <c r="K726" s="314">
        <v>1.2073</v>
      </c>
      <c r="L726" s="314">
        <v>1.5216000000000001</v>
      </c>
      <c r="M726" s="314">
        <v>1.4517</v>
      </c>
      <c r="N726" s="314">
        <v>1.4798</v>
      </c>
      <c r="O726" s="314">
        <v>1.5067999999999999</v>
      </c>
      <c r="P726" s="314">
        <v>1.2215</v>
      </c>
      <c r="Q726" s="314">
        <v>1.2597</v>
      </c>
      <c r="R726" s="314">
        <v>1.5815999999999999</v>
      </c>
      <c r="S726" s="314">
        <v>1.4595</v>
      </c>
      <c r="T726" s="314">
        <v>1.4605999999999999</v>
      </c>
      <c r="U726" s="314">
        <v>1.5039</v>
      </c>
      <c r="V726" s="314">
        <v>1.5592999999999999</v>
      </c>
      <c r="W726" s="314">
        <v>1.3773</v>
      </c>
      <c r="X726" s="314">
        <v>1.4278</v>
      </c>
      <c r="Y726" s="314">
        <v>1.3317000000000001</v>
      </c>
      <c r="Z726" s="314">
        <v>1.3637999999999999</v>
      </c>
      <c r="AA726" s="314">
        <v>1.4399</v>
      </c>
      <c r="AB726" s="314">
        <v>1.4401999999999999</v>
      </c>
      <c r="AC726" s="314">
        <v>1.4428000000000001</v>
      </c>
      <c r="AD726" s="314">
        <v>1.4211</v>
      </c>
      <c r="AE726" s="314">
        <v>1.3369</v>
      </c>
      <c r="AF726" s="314">
        <v>1.3945000000000001</v>
      </c>
      <c r="AG726" s="314">
        <v>1.2717000000000001</v>
      </c>
      <c r="AH726" s="314">
        <v>1.3556999999999999</v>
      </c>
      <c r="AI726" s="314">
        <v>1.5922000000000001</v>
      </c>
      <c r="AJ726" s="314">
        <v>1.5135000000000001</v>
      </c>
      <c r="AK726" s="314">
        <v>1.4046000000000001</v>
      </c>
      <c r="AL726" s="314">
        <v>1.3749</v>
      </c>
      <c r="AM726" s="314">
        <v>1.4847999999999999</v>
      </c>
      <c r="AN726" s="314">
        <v>1.5969</v>
      </c>
      <c r="AO726" s="314">
        <v>1.4274</v>
      </c>
      <c r="AP726" s="314">
        <v>1.4964</v>
      </c>
      <c r="AQ726" s="314">
        <v>1.3389</v>
      </c>
      <c r="AR726" s="314">
        <v>1.4422999999999999</v>
      </c>
      <c r="AS726" s="314">
        <v>1.1874</v>
      </c>
      <c r="AT726" s="314">
        <v>1.4676</v>
      </c>
      <c r="AU726" s="314">
        <v>1.6935</v>
      </c>
      <c r="AV726" s="314">
        <v>1.6194</v>
      </c>
      <c r="AW726" s="314">
        <v>1.4691000000000001</v>
      </c>
      <c r="AX726" s="314">
        <v>1.2930999999999999</v>
      </c>
      <c r="AY726" s="314">
        <v>1.5866</v>
      </c>
      <c r="AZ726" s="314">
        <v>1.3115000000000001</v>
      </c>
      <c r="BA726" s="314">
        <v>1.4156</v>
      </c>
      <c r="BB726" s="314">
        <v>1.4028</v>
      </c>
      <c r="BC726" s="314">
        <v>1.4149</v>
      </c>
      <c r="BD726" s="314">
        <v>1.4982</v>
      </c>
      <c r="BE726" s="314">
        <v>1.4993000000000001</v>
      </c>
      <c r="BF726" s="314">
        <v>1.4214</v>
      </c>
      <c r="BG726" s="314">
        <v>1.4971000000000001</v>
      </c>
      <c r="BH726" s="314">
        <v>1.5265</v>
      </c>
      <c r="BI726" s="314">
        <v>1.6851</v>
      </c>
      <c r="BJ726" s="314">
        <v>1.5831999999999999</v>
      </c>
      <c r="BK726" s="314">
        <v>1.6644000000000001</v>
      </c>
    </row>
    <row r="727" spans="1:63" x14ac:dyDescent="0.25">
      <c r="A727" s="306">
        <v>482000</v>
      </c>
      <c r="B727" s="314" t="s">
        <v>753</v>
      </c>
      <c r="C727" s="314">
        <v>1.8246</v>
      </c>
      <c r="D727" s="314">
        <v>0</v>
      </c>
      <c r="E727" s="314">
        <v>1.5108999999999999</v>
      </c>
      <c r="F727" s="314">
        <v>1.4263999999999999</v>
      </c>
      <c r="G727" s="314">
        <v>1.5033000000000001</v>
      </c>
      <c r="H727" s="314">
        <v>1.6187</v>
      </c>
      <c r="I727" s="314">
        <v>1.6061000000000001</v>
      </c>
      <c r="J727" s="314">
        <v>1.4987999999999999</v>
      </c>
      <c r="K727" s="314">
        <v>1.3179000000000001</v>
      </c>
      <c r="L727" s="314">
        <v>1.5256000000000001</v>
      </c>
      <c r="M727" s="314">
        <v>1.5281</v>
      </c>
      <c r="N727" s="314">
        <v>1.5992</v>
      </c>
      <c r="O727" s="314">
        <v>0</v>
      </c>
      <c r="P727" s="314">
        <v>1.373</v>
      </c>
      <c r="Q727" s="314">
        <v>1.3733</v>
      </c>
      <c r="R727" s="314">
        <v>1.6858</v>
      </c>
      <c r="S727" s="314">
        <v>1.4952000000000001</v>
      </c>
      <c r="T727" s="314">
        <v>1.4067000000000001</v>
      </c>
      <c r="U727" s="314">
        <v>1.5062</v>
      </c>
      <c r="V727" s="314">
        <v>1.5130999999999999</v>
      </c>
      <c r="W727" s="314">
        <v>1.4789000000000001</v>
      </c>
      <c r="X727" s="314">
        <v>1.5274000000000001</v>
      </c>
      <c r="Y727" s="314">
        <v>1.4177999999999999</v>
      </c>
      <c r="Z727" s="314">
        <v>1.4635</v>
      </c>
      <c r="AA727" s="314">
        <v>1.4934000000000001</v>
      </c>
      <c r="AB727" s="314">
        <v>1.5537000000000001</v>
      </c>
      <c r="AC727" s="314">
        <v>1.4415</v>
      </c>
      <c r="AD727" s="314">
        <v>1.4059999999999999</v>
      </c>
      <c r="AE727" s="314">
        <v>1.4530000000000001</v>
      </c>
      <c r="AF727" s="314">
        <v>1.3395999999999999</v>
      </c>
      <c r="AG727" s="314">
        <v>1.3412999999999999</v>
      </c>
      <c r="AH727" s="314">
        <v>1.5143</v>
      </c>
      <c r="AI727" s="314">
        <v>1.6047</v>
      </c>
      <c r="AJ727" s="314">
        <v>1.397</v>
      </c>
      <c r="AK727" s="314">
        <v>1.4567000000000001</v>
      </c>
      <c r="AL727" s="314">
        <v>1.5031000000000001</v>
      </c>
      <c r="AM727" s="314">
        <v>1.5258</v>
      </c>
      <c r="AN727" s="314">
        <v>1.5075000000000001</v>
      </c>
      <c r="AO727" s="314">
        <v>1.5317000000000001</v>
      </c>
      <c r="AP727" s="314">
        <v>1.6158999999999999</v>
      </c>
      <c r="AQ727" s="314">
        <v>1.4386000000000001</v>
      </c>
      <c r="AR727" s="314">
        <v>1.5522</v>
      </c>
      <c r="AS727" s="314">
        <v>1.3065</v>
      </c>
      <c r="AT727" s="314">
        <v>1.5483</v>
      </c>
      <c r="AU727" s="314">
        <v>1.6789000000000001</v>
      </c>
      <c r="AV727" s="314">
        <v>1.6125</v>
      </c>
      <c r="AW727" s="314">
        <v>1.5914999999999999</v>
      </c>
      <c r="AX727" s="314">
        <v>1.3507</v>
      </c>
      <c r="AY727" s="314">
        <v>1.5683</v>
      </c>
      <c r="AZ727" s="314">
        <v>1.4394</v>
      </c>
      <c r="BA727" s="314">
        <v>1.4246000000000001</v>
      </c>
      <c r="BB727" s="314">
        <v>1.3499000000000001</v>
      </c>
      <c r="BC727" s="314">
        <v>1.5318000000000001</v>
      </c>
      <c r="BD727" s="314">
        <v>1.6180000000000001</v>
      </c>
      <c r="BE727" s="314">
        <v>1.5875999999999999</v>
      </c>
      <c r="BF727" s="314">
        <v>1.4823</v>
      </c>
      <c r="BG727" s="314">
        <v>1.6205000000000001</v>
      </c>
      <c r="BH727" s="314">
        <v>1.5731999999999999</v>
      </c>
      <c r="BI727" s="314">
        <v>1.6891</v>
      </c>
      <c r="BJ727" s="314">
        <v>1.6061000000000001</v>
      </c>
      <c r="BK727" s="314">
        <v>1.6535</v>
      </c>
    </row>
    <row r="728" spans="1:63" x14ac:dyDescent="0.25">
      <c r="A728" s="306">
        <v>483000</v>
      </c>
      <c r="B728" s="314" t="s">
        <v>754</v>
      </c>
      <c r="C728" s="314">
        <v>1.8684000000000001</v>
      </c>
      <c r="D728" s="314">
        <v>1.4838</v>
      </c>
      <c r="E728" s="314">
        <v>1.5901000000000001</v>
      </c>
      <c r="F728" s="314">
        <v>1.4854000000000001</v>
      </c>
      <c r="G728" s="314">
        <v>1.5445</v>
      </c>
      <c r="H728" s="314">
        <v>1.657</v>
      </c>
      <c r="I728" s="314">
        <v>0</v>
      </c>
      <c r="J728" s="314">
        <v>1.6102000000000001</v>
      </c>
      <c r="K728" s="314">
        <v>1.2364999999999999</v>
      </c>
      <c r="L728" s="314">
        <v>1.528</v>
      </c>
      <c r="M728" s="314">
        <v>1.5889</v>
      </c>
      <c r="N728" s="314">
        <v>1.6317999999999999</v>
      </c>
      <c r="O728" s="314">
        <v>1.524</v>
      </c>
      <c r="P728" s="314">
        <v>1.3571</v>
      </c>
      <c r="Q728" s="314">
        <v>0</v>
      </c>
      <c r="R728" s="314">
        <v>1.7021999999999999</v>
      </c>
      <c r="S728" s="314">
        <v>1.5578000000000001</v>
      </c>
      <c r="T728" s="314">
        <v>0</v>
      </c>
      <c r="U728" s="314">
        <v>1.6052999999999999</v>
      </c>
      <c r="V728" s="314">
        <v>1.597</v>
      </c>
      <c r="W728" s="314">
        <v>1.5230999999999999</v>
      </c>
      <c r="X728" s="314">
        <v>1.5526</v>
      </c>
      <c r="Y728" s="314">
        <v>1.5455000000000001</v>
      </c>
      <c r="Z728" s="314">
        <v>1.5427999999999999</v>
      </c>
      <c r="AA728" s="314">
        <v>1.5042</v>
      </c>
      <c r="AB728" s="314">
        <v>1.5922000000000001</v>
      </c>
      <c r="AC728" s="314">
        <v>1.4999</v>
      </c>
      <c r="AD728" s="314">
        <v>0</v>
      </c>
      <c r="AE728" s="314">
        <v>1.5189999999999999</v>
      </c>
      <c r="AF728" s="314">
        <v>0</v>
      </c>
      <c r="AG728" s="314">
        <v>0</v>
      </c>
      <c r="AH728" s="314">
        <v>0</v>
      </c>
      <c r="AI728" s="314">
        <v>1.6565000000000001</v>
      </c>
      <c r="AJ728" s="314">
        <v>1.4157999999999999</v>
      </c>
      <c r="AK728" s="314">
        <v>1.5185</v>
      </c>
      <c r="AL728" s="314">
        <v>1.5326</v>
      </c>
      <c r="AM728" s="314">
        <v>1.6295999999999999</v>
      </c>
      <c r="AN728" s="314">
        <v>0</v>
      </c>
      <c r="AO728" s="314">
        <v>1.6593</v>
      </c>
      <c r="AP728" s="314">
        <v>1.6296999999999999</v>
      </c>
      <c r="AQ728" s="314">
        <v>1.5182</v>
      </c>
      <c r="AR728" s="314">
        <v>1.6527000000000001</v>
      </c>
      <c r="AS728" s="314">
        <v>0</v>
      </c>
      <c r="AT728" s="314">
        <v>1.657</v>
      </c>
      <c r="AU728" s="314">
        <v>1.7253000000000001</v>
      </c>
      <c r="AV728" s="314">
        <v>1.6446000000000001</v>
      </c>
      <c r="AW728" s="314">
        <v>1.6726000000000001</v>
      </c>
      <c r="AX728" s="314">
        <v>1.4024000000000001</v>
      </c>
      <c r="AY728" s="314">
        <v>1.6368</v>
      </c>
      <c r="AZ728" s="314">
        <v>1.5114000000000001</v>
      </c>
      <c r="BA728" s="314">
        <v>1.4483999999999999</v>
      </c>
      <c r="BB728" s="314">
        <v>1.3109999999999999</v>
      </c>
      <c r="BC728" s="314">
        <v>1.6059000000000001</v>
      </c>
      <c r="BD728" s="314">
        <v>1.6635</v>
      </c>
      <c r="BE728" s="314">
        <v>1.6614</v>
      </c>
      <c r="BF728" s="314">
        <v>1.5181</v>
      </c>
      <c r="BG728" s="314">
        <v>1.7014</v>
      </c>
      <c r="BH728" s="314">
        <v>1.6698999999999999</v>
      </c>
      <c r="BI728" s="314">
        <v>1.74</v>
      </c>
      <c r="BJ728" s="314">
        <v>1.5925</v>
      </c>
      <c r="BK728" s="314">
        <v>1.6947000000000001</v>
      </c>
    </row>
    <row r="729" spans="1:63" x14ac:dyDescent="0.25">
      <c r="A729" s="306">
        <v>484000</v>
      </c>
      <c r="B729" s="314" t="s">
        <v>755</v>
      </c>
      <c r="C729" s="314">
        <v>1.8349</v>
      </c>
      <c r="D729" s="314">
        <v>1.4641</v>
      </c>
      <c r="E729" s="314">
        <v>1.54</v>
      </c>
      <c r="F729" s="314">
        <v>1.4942</v>
      </c>
      <c r="G729" s="314">
        <v>1.4948999999999999</v>
      </c>
      <c r="H729" s="314">
        <v>1.6285000000000001</v>
      </c>
      <c r="I729" s="314">
        <v>1.6057999999999999</v>
      </c>
      <c r="J729" s="314">
        <v>1.4944999999999999</v>
      </c>
      <c r="K729" s="314">
        <v>1.2541</v>
      </c>
      <c r="L729" s="314">
        <v>1.5233000000000001</v>
      </c>
      <c r="M729" s="314">
        <v>1.4975000000000001</v>
      </c>
      <c r="N729" s="314">
        <v>1.6234</v>
      </c>
      <c r="O729" s="314">
        <v>1.4710000000000001</v>
      </c>
      <c r="P729" s="314">
        <v>1.4169</v>
      </c>
      <c r="Q729" s="314">
        <v>1.3788</v>
      </c>
      <c r="R729" s="314">
        <v>1.6893</v>
      </c>
      <c r="S729" s="314">
        <v>1.6231</v>
      </c>
      <c r="T729" s="314">
        <v>1.5616000000000001</v>
      </c>
      <c r="U729" s="314">
        <v>1.6277999999999999</v>
      </c>
      <c r="V729" s="314">
        <v>1.5646</v>
      </c>
      <c r="W729" s="314">
        <v>1.4838</v>
      </c>
      <c r="X729" s="314">
        <v>1.5198</v>
      </c>
      <c r="Y729" s="314">
        <v>1.4621</v>
      </c>
      <c r="Z729" s="314">
        <v>1.5587</v>
      </c>
      <c r="AA729" s="314">
        <v>1.5495000000000001</v>
      </c>
      <c r="AB729" s="314">
        <v>1.5705</v>
      </c>
      <c r="AC729" s="314">
        <v>1.5245</v>
      </c>
      <c r="AD729" s="314">
        <v>1.4549000000000001</v>
      </c>
      <c r="AE729" s="314">
        <v>1.5307999999999999</v>
      </c>
      <c r="AF729" s="314">
        <v>1.3965000000000001</v>
      </c>
      <c r="AG729" s="314">
        <v>1.4118999999999999</v>
      </c>
      <c r="AH729" s="314">
        <v>1.4743999999999999</v>
      </c>
      <c r="AI729" s="314">
        <v>1.6662999999999999</v>
      </c>
      <c r="AJ729" s="314">
        <v>1.4897</v>
      </c>
      <c r="AK729" s="314">
        <v>1.4172</v>
      </c>
      <c r="AL729" s="314">
        <v>1.4661999999999999</v>
      </c>
      <c r="AM729" s="314">
        <v>1.6679999999999999</v>
      </c>
      <c r="AN729" s="314">
        <v>1.5901000000000001</v>
      </c>
      <c r="AO729" s="314">
        <v>1.5374000000000001</v>
      </c>
      <c r="AP729" s="314">
        <v>1.6345000000000001</v>
      </c>
      <c r="AQ729" s="314">
        <v>1.4597</v>
      </c>
      <c r="AR729" s="314">
        <v>1.5681</v>
      </c>
      <c r="AS729" s="314">
        <v>1.2937000000000001</v>
      </c>
      <c r="AT729" s="314">
        <v>1.6281000000000001</v>
      </c>
      <c r="AU729" s="314">
        <v>1.6947000000000001</v>
      </c>
      <c r="AV729" s="314">
        <v>1.6655</v>
      </c>
      <c r="AW729" s="314">
        <v>1.5436000000000001</v>
      </c>
      <c r="AX729" s="314">
        <v>1.407</v>
      </c>
      <c r="AY729" s="314">
        <v>1.5567</v>
      </c>
      <c r="AZ729" s="314">
        <v>1.5239</v>
      </c>
      <c r="BA729" s="314">
        <v>1.4789000000000001</v>
      </c>
      <c r="BB729" s="314">
        <v>1.395</v>
      </c>
      <c r="BC729" s="314">
        <v>1.5055000000000001</v>
      </c>
      <c r="BD729" s="314">
        <v>1.5981000000000001</v>
      </c>
      <c r="BE729" s="314">
        <v>1.6777</v>
      </c>
      <c r="BF729" s="314">
        <v>1.5541</v>
      </c>
      <c r="BG729" s="314">
        <v>1.5986</v>
      </c>
      <c r="BH729" s="314">
        <v>1.6505000000000001</v>
      </c>
      <c r="BI729" s="314">
        <v>1.6913</v>
      </c>
      <c r="BJ729" s="314">
        <v>1.6133999999999999</v>
      </c>
      <c r="BK729" s="314">
        <v>1.6375999999999999</v>
      </c>
    </row>
    <row r="730" spans="1:63" x14ac:dyDescent="0.25">
      <c r="A730" s="306" t="s">
        <v>756</v>
      </c>
      <c r="B730" s="314" t="s">
        <v>282</v>
      </c>
      <c r="C730" s="314">
        <v>2.0752000000000002</v>
      </c>
      <c r="D730" s="314">
        <v>1.4841</v>
      </c>
      <c r="E730" s="314">
        <v>1.6476999999999999</v>
      </c>
      <c r="F730" s="314">
        <v>1.5599000000000001</v>
      </c>
      <c r="G730" s="314">
        <v>1.5028999999999999</v>
      </c>
      <c r="H730" s="314">
        <v>1.7464999999999999</v>
      </c>
      <c r="I730" s="314">
        <v>1.6780999999999999</v>
      </c>
      <c r="J730" s="314">
        <v>1.5927</v>
      </c>
      <c r="K730" s="314">
        <v>1.2905</v>
      </c>
      <c r="L730" s="314">
        <v>1.6071</v>
      </c>
      <c r="M730" s="314">
        <v>1.4938</v>
      </c>
      <c r="N730" s="314">
        <v>1.6493</v>
      </c>
      <c r="O730" s="314">
        <v>1.5129999999999999</v>
      </c>
      <c r="P730" s="314">
        <v>1.4711000000000001</v>
      </c>
      <c r="Q730" s="314">
        <v>1.3393999999999999</v>
      </c>
      <c r="R730" s="314">
        <v>1.8433999999999999</v>
      </c>
      <c r="S730" s="314">
        <v>1.7426999999999999</v>
      </c>
      <c r="T730" s="314">
        <v>1.6237999999999999</v>
      </c>
      <c r="U730" s="314">
        <v>1.7113</v>
      </c>
      <c r="V730" s="314">
        <v>1.6296999999999999</v>
      </c>
      <c r="W730" s="314">
        <v>1.5721000000000001</v>
      </c>
      <c r="X730" s="314">
        <v>1.5286</v>
      </c>
      <c r="Y730" s="314">
        <v>1.4427000000000001</v>
      </c>
      <c r="Z730" s="314">
        <v>1.6716</v>
      </c>
      <c r="AA730" s="314">
        <v>1.6417999999999999</v>
      </c>
      <c r="AB730" s="314">
        <v>1.6533</v>
      </c>
      <c r="AC730" s="314">
        <v>1.6274999999999999</v>
      </c>
      <c r="AD730" s="314">
        <v>1.4876</v>
      </c>
      <c r="AE730" s="314">
        <v>1.5959000000000001</v>
      </c>
      <c r="AF730" s="314">
        <v>1.4536</v>
      </c>
      <c r="AG730" s="314">
        <v>1.4282999999999999</v>
      </c>
      <c r="AH730" s="314">
        <v>1.5363</v>
      </c>
      <c r="AI730" s="314">
        <v>1.7150000000000001</v>
      </c>
      <c r="AJ730" s="314">
        <v>1.5294000000000001</v>
      </c>
      <c r="AK730" s="314">
        <v>1.4204000000000001</v>
      </c>
      <c r="AL730" s="314">
        <v>1.5270999999999999</v>
      </c>
      <c r="AM730" s="314">
        <v>1.7859</v>
      </c>
      <c r="AN730" s="314">
        <v>1.6739999999999999</v>
      </c>
      <c r="AO730" s="314">
        <v>1.5401</v>
      </c>
      <c r="AP730" s="314">
        <v>1.7535000000000001</v>
      </c>
      <c r="AQ730" s="314">
        <v>1.4685999999999999</v>
      </c>
      <c r="AR730" s="314">
        <v>1.6491</v>
      </c>
      <c r="AS730" s="314">
        <v>1.296</v>
      </c>
      <c r="AT730" s="314">
        <v>1.6863999999999999</v>
      </c>
      <c r="AU730" s="314">
        <v>1.8206</v>
      </c>
      <c r="AV730" s="314">
        <v>1.8008999999999999</v>
      </c>
      <c r="AW730" s="314">
        <v>1.5751999999999999</v>
      </c>
      <c r="AX730" s="314">
        <v>1.4454</v>
      </c>
      <c r="AY730" s="314">
        <v>1.6366000000000001</v>
      </c>
      <c r="AZ730" s="314">
        <v>1.6272</v>
      </c>
      <c r="BA730" s="314">
        <v>1.5744</v>
      </c>
      <c r="BB730" s="314">
        <v>1.4681</v>
      </c>
      <c r="BC730" s="314">
        <v>1.6051</v>
      </c>
      <c r="BD730" s="314">
        <v>1.6858</v>
      </c>
      <c r="BE730" s="314">
        <v>1.831</v>
      </c>
      <c r="BF730" s="314">
        <v>1.6406000000000001</v>
      </c>
      <c r="BG730" s="314">
        <v>1.6664000000000001</v>
      </c>
      <c r="BH730" s="314">
        <v>1.7794000000000001</v>
      </c>
      <c r="BI730" s="314">
        <v>1.8225</v>
      </c>
      <c r="BJ730" s="314">
        <v>1.6819999999999999</v>
      </c>
      <c r="BK730" s="314">
        <v>1.7479</v>
      </c>
    </row>
    <row r="731" spans="1:63" x14ac:dyDescent="0.25">
      <c r="A731" s="306">
        <v>486000</v>
      </c>
      <c r="B731" s="314" t="s">
        <v>757</v>
      </c>
      <c r="C731" s="314">
        <v>2.1177000000000001</v>
      </c>
      <c r="D731" s="314">
        <v>1.6557999999999999</v>
      </c>
      <c r="E731" s="314">
        <v>1.6594</v>
      </c>
      <c r="F731" s="314">
        <v>1.5752999999999999</v>
      </c>
      <c r="G731" s="314">
        <v>1.5891999999999999</v>
      </c>
      <c r="H731" s="314">
        <v>1.8520000000000001</v>
      </c>
      <c r="I731" s="314">
        <v>1.8341000000000001</v>
      </c>
      <c r="J731" s="314">
        <v>1.5632999999999999</v>
      </c>
      <c r="K731" s="314">
        <v>1.3688</v>
      </c>
      <c r="L731" s="314">
        <v>1.6713</v>
      </c>
      <c r="M731" s="314">
        <v>1.6073</v>
      </c>
      <c r="N731" s="314">
        <v>1.6862999999999999</v>
      </c>
      <c r="O731" s="314">
        <v>0</v>
      </c>
      <c r="P731" s="314">
        <v>1.4424999999999999</v>
      </c>
      <c r="Q731" s="314">
        <v>1.4426000000000001</v>
      </c>
      <c r="R731" s="314">
        <v>1.8427</v>
      </c>
      <c r="S731" s="314">
        <v>1.7672000000000001</v>
      </c>
      <c r="T731" s="314">
        <v>1.7394000000000001</v>
      </c>
      <c r="U731" s="314">
        <v>1.7346999999999999</v>
      </c>
      <c r="V731" s="314">
        <v>1.8141</v>
      </c>
      <c r="W731" s="314">
        <v>1.6271</v>
      </c>
      <c r="X731" s="314">
        <v>1.6276999999999999</v>
      </c>
      <c r="Y731" s="314">
        <v>1.5213000000000001</v>
      </c>
      <c r="Z731" s="314">
        <v>1.6580999999999999</v>
      </c>
      <c r="AA731" s="314">
        <v>1.708</v>
      </c>
      <c r="AB731" s="314">
        <v>1.6593</v>
      </c>
      <c r="AC731" s="314">
        <v>1.6923999999999999</v>
      </c>
      <c r="AD731" s="314">
        <v>1.6444000000000001</v>
      </c>
      <c r="AE731" s="314">
        <v>1.5845</v>
      </c>
      <c r="AF731" s="314">
        <v>1.55</v>
      </c>
      <c r="AG731" s="314">
        <v>1.4305000000000001</v>
      </c>
      <c r="AH731" s="314">
        <v>1.6051</v>
      </c>
      <c r="AI731" s="314">
        <v>1.7811999999999999</v>
      </c>
      <c r="AJ731" s="314">
        <v>1.6852</v>
      </c>
      <c r="AK731" s="314">
        <v>1.496</v>
      </c>
      <c r="AL731" s="314">
        <v>1.5427999999999999</v>
      </c>
      <c r="AM731" s="314">
        <v>1.7725</v>
      </c>
      <c r="AN731" s="314">
        <v>1.8177000000000001</v>
      </c>
      <c r="AO731" s="314">
        <v>1.6123000000000001</v>
      </c>
      <c r="AP731" s="314">
        <v>1.8388</v>
      </c>
      <c r="AQ731" s="314">
        <v>1.5166999999999999</v>
      </c>
      <c r="AR731" s="314">
        <v>1.6541999999999999</v>
      </c>
      <c r="AS731" s="314">
        <v>1.3217000000000001</v>
      </c>
      <c r="AT731" s="314">
        <v>1.7115</v>
      </c>
      <c r="AU731" s="314">
        <v>2.0003000000000002</v>
      </c>
      <c r="AV731" s="314">
        <v>1.8445</v>
      </c>
      <c r="AW731" s="314">
        <v>1.6843999999999999</v>
      </c>
      <c r="AX731" s="314">
        <v>0</v>
      </c>
      <c r="AY731" s="314">
        <v>1.7272000000000001</v>
      </c>
      <c r="AZ731" s="314">
        <v>1.6041000000000001</v>
      </c>
      <c r="BA731" s="314">
        <v>1.5984</v>
      </c>
      <c r="BB731" s="314">
        <v>1.6116999999999999</v>
      </c>
      <c r="BC731" s="314">
        <v>1.6357999999999999</v>
      </c>
      <c r="BD731" s="314">
        <v>1.7161999999999999</v>
      </c>
      <c r="BE731" s="314">
        <v>1.8079000000000001</v>
      </c>
      <c r="BF731" s="314">
        <v>1.6675</v>
      </c>
      <c r="BG731" s="314">
        <v>1.7344999999999999</v>
      </c>
      <c r="BH731" s="314">
        <v>1.8007</v>
      </c>
      <c r="BI731" s="314">
        <v>1.9928999999999999</v>
      </c>
      <c r="BJ731" s="314">
        <v>1.8284</v>
      </c>
      <c r="BK731" s="314">
        <v>1.867</v>
      </c>
    </row>
    <row r="732" spans="1:63" x14ac:dyDescent="0.25">
      <c r="A732" s="306" t="s">
        <v>758</v>
      </c>
      <c r="B732" s="314" t="s">
        <v>283</v>
      </c>
      <c r="C732" s="314">
        <v>1.6793</v>
      </c>
      <c r="D732" s="314">
        <v>1.4008</v>
      </c>
      <c r="E732" s="314">
        <v>1.4421999999999999</v>
      </c>
      <c r="F732" s="314">
        <v>1.4009</v>
      </c>
      <c r="G732" s="314">
        <v>1.4643999999999999</v>
      </c>
      <c r="H732" s="314">
        <v>1.5549999999999999</v>
      </c>
      <c r="I732" s="314">
        <v>1.5266999999999999</v>
      </c>
      <c r="J732" s="314">
        <v>1.4802</v>
      </c>
      <c r="K732" s="314">
        <v>1.2504</v>
      </c>
      <c r="L732" s="314">
        <v>1.4493</v>
      </c>
      <c r="M732" s="314">
        <v>1.4872000000000001</v>
      </c>
      <c r="N732" s="314">
        <v>1.5528999999999999</v>
      </c>
      <c r="O732" s="314">
        <v>1.4327000000000001</v>
      </c>
      <c r="P732" s="314">
        <v>1.3098000000000001</v>
      </c>
      <c r="Q732" s="314">
        <v>1.3290999999999999</v>
      </c>
      <c r="R732" s="314">
        <v>1.5610999999999999</v>
      </c>
      <c r="S732" s="314">
        <v>1.4756</v>
      </c>
      <c r="T732" s="314">
        <v>1.4321999999999999</v>
      </c>
      <c r="U732" s="314">
        <v>1.498</v>
      </c>
      <c r="V732" s="314">
        <v>1.4621999999999999</v>
      </c>
      <c r="W732" s="314">
        <v>1.4634</v>
      </c>
      <c r="X732" s="314">
        <v>1.5003</v>
      </c>
      <c r="Y732" s="314">
        <v>1.4113</v>
      </c>
      <c r="Z732" s="314">
        <v>1.4616</v>
      </c>
      <c r="AA732" s="314">
        <v>1.4435</v>
      </c>
      <c r="AB732" s="314">
        <v>1.4916</v>
      </c>
      <c r="AC732" s="314">
        <v>1.3937999999999999</v>
      </c>
      <c r="AD732" s="314">
        <v>1.3574999999999999</v>
      </c>
      <c r="AE732" s="314">
        <v>1.4490000000000001</v>
      </c>
      <c r="AF732" s="314">
        <v>1.2744</v>
      </c>
      <c r="AG732" s="314">
        <v>1.3317000000000001</v>
      </c>
      <c r="AH732" s="314">
        <v>1.4463999999999999</v>
      </c>
      <c r="AI732" s="314">
        <v>1.5899000000000001</v>
      </c>
      <c r="AJ732" s="314">
        <v>1.4000999999999999</v>
      </c>
      <c r="AK732" s="314">
        <v>1.4339</v>
      </c>
      <c r="AL732" s="314">
        <v>1.4598</v>
      </c>
      <c r="AM732" s="314">
        <v>1.5429999999999999</v>
      </c>
      <c r="AN732" s="314">
        <v>1.4560999999999999</v>
      </c>
      <c r="AO732" s="314">
        <v>1.4886999999999999</v>
      </c>
      <c r="AP732" s="314">
        <v>1.5325</v>
      </c>
      <c r="AQ732" s="314">
        <v>1.4354</v>
      </c>
      <c r="AR732" s="314">
        <v>1.4922</v>
      </c>
      <c r="AS732" s="314">
        <v>1.2383999999999999</v>
      </c>
      <c r="AT732" s="314">
        <v>1.5318000000000001</v>
      </c>
      <c r="AU732" s="314">
        <v>1.5702</v>
      </c>
      <c r="AV732" s="314">
        <v>1.5491999999999999</v>
      </c>
      <c r="AW732" s="314">
        <v>1.5099</v>
      </c>
      <c r="AX732" s="314">
        <v>1.3635999999999999</v>
      </c>
      <c r="AY732" s="314">
        <v>1.4764999999999999</v>
      </c>
      <c r="AZ732" s="314">
        <v>1.4168000000000001</v>
      </c>
      <c r="BA732" s="314">
        <v>1.3831</v>
      </c>
      <c r="BB732" s="314">
        <v>1.2945</v>
      </c>
      <c r="BC732" s="314">
        <v>1.4852000000000001</v>
      </c>
      <c r="BD732" s="314">
        <v>1.5568</v>
      </c>
      <c r="BE732" s="314">
        <v>1.5527</v>
      </c>
      <c r="BF732" s="314">
        <v>1.4416</v>
      </c>
      <c r="BG732" s="314">
        <v>1.5530999999999999</v>
      </c>
      <c r="BH732" s="314">
        <v>1.5227999999999999</v>
      </c>
      <c r="BI732" s="314">
        <v>1.5633999999999999</v>
      </c>
      <c r="BJ732" s="314">
        <v>1.5198</v>
      </c>
      <c r="BK732" s="314">
        <v>1.5608</v>
      </c>
    </row>
    <row r="733" spans="1:63" x14ac:dyDescent="0.25">
      <c r="A733" s="306">
        <v>491000</v>
      </c>
      <c r="B733" s="314" t="s">
        <v>759</v>
      </c>
      <c r="C733" s="314">
        <v>1.3218000000000001</v>
      </c>
      <c r="D733" s="314">
        <v>1.1594</v>
      </c>
      <c r="E733" s="314">
        <v>1.1986000000000001</v>
      </c>
      <c r="F733" s="314">
        <v>1.1649</v>
      </c>
      <c r="G733" s="314">
        <v>1.2113</v>
      </c>
      <c r="H733" s="314">
        <v>1.2363999999999999</v>
      </c>
      <c r="I733" s="314">
        <v>1.2297</v>
      </c>
      <c r="J733" s="314">
        <v>1.2018</v>
      </c>
      <c r="K733" s="314">
        <v>1.1285000000000001</v>
      </c>
      <c r="L733" s="314">
        <v>1.1843999999999999</v>
      </c>
      <c r="M733" s="314">
        <v>1.2064999999999999</v>
      </c>
      <c r="N733" s="314">
        <v>1.2412000000000001</v>
      </c>
      <c r="O733" s="314">
        <v>1.1726000000000001</v>
      </c>
      <c r="P733" s="314">
        <v>1.1517999999999999</v>
      </c>
      <c r="Q733" s="314">
        <v>1.1347</v>
      </c>
      <c r="R733" s="314">
        <v>1.2706999999999999</v>
      </c>
      <c r="S733" s="314">
        <v>1.212</v>
      </c>
      <c r="T733" s="314">
        <v>1.1658999999999999</v>
      </c>
      <c r="U733" s="314">
        <v>1.2226999999999999</v>
      </c>
      <c r="V733" s="314">
        <v>1.1811</v>
      </c>
      <c r="W733" s="314">
        <v>1.1984999999999999</v>
      </c>
      <c r="X733" s="314">
        <v>1.1922999999999999</v>
      </c>
      <c r="Y733" s="314">
        <v>1.1577999999999999</v>
      </c>
      <c r="Z733" s="314">
        <v>1.2164999999999999</v>
      </c>
      <c r="AA733" s="314">
        <v>1.2052</v>
      </c>
      <c r="AB733" s="314">
        <v>1.2387999999999999</v>
      </c>
      <c r="AC733" s="314">
        <v>1.1727000000000001</v>
      </c>
      <c r="AD733" s="314">
        <v>1.1489</v>
      </c>
      <c r="AE733" s="314">
        <v>1.2037</v>
      </c>
      <c r="AF733" s="314">
        <v>1.1359999999999999</v>
      </c>
      <c r="AG733" s="314">
        <v>1.1534</v>
      </c>
      <c r="AH733" s="314">
        <v>1.1738</v>
      </c>
      <c r="AI733" s="314">
        <v>1.2386999999999999</v>
      </c>
      <c r="AJ733" s="314">
        <v>1.1557999999999999</v>
      </c>
      <c r="AK733" s="314">
        <v>1.1776</v>
      </c>
      <c r="AL733" s="314">
        <v>1.2083999999999999</v>
      </c>
      <c r="AM733" s="314">
        <v>1.2421</v>
      </c>
      <c r="AN733" s="314">
        <v>1.2063999999999999</v>
      </c>
      <c r="AO733" s="314">
        <v>1.2007000000000001</v>
      </c>
      <c r="AP733" s="314">
        <v>1.2319</v>
      </c>
      <c r="AQ733" s="314">
        <v>1.177</v>
      </c>
      <c r="AR733" s="314">
        <v>1.2121</v>
      </c>
      <c r="AS733" s="314">
        <v>1.1149</v>
      </c>
      <c r="AT733" s="314">
        <v>1.2381</v>
      </c>
      <c r="AU733" s="314">
        <v>1.2597</v>
      </c>
      <c r="AV733" s="314">
        <v>1.2605</v>
      </c>
      <c r="AW733" s="314">
        <v>1.2196</v>
      </c>
      <c r="AX733" s="314">
        <v>1.1691</v>
      </c>
      <c r="AY733" s="314">
        <v>1.2112000000000001</v>
      </c>
      <c r="AZ733" s="314">
        <v>1.1979</v>
      </c>
      <c r="BA733" s="314">
        <v>1.1695</v>
      </c>
      <c r="BB733" s="314">
        <v>1.1262000000000001</v>
      </c>
      <c r="BC733" s="314">
        <v>1.2090000000000001</v>
      </c>
      <c r="BD733" s="314">
        <v>1.2399</v>
      </c>
      <c r="BE733" s="314">
        <v>1.2566999999999999</v>
      </c>
      <c r="BF733" s="314">
        <v>1.2059</v>
      </c>
      <c r="BG733" s="314">
        <v>1.2439</v>
      </c>
      <c r="BH733" s="314">
        <v>1.2327999999999999</v>
      </c>
      <c r="BI733" s="314">
        <v>1.2563</v>
      </c>
      <c r="BJ733" s="314">
        <v>1.2326999999999999</v>
      </c>
      <c r="BK733" s="314">
        <v>1.2406999999999999</v>
      </c>
    </row>
    <row r="734" spans="1:63" x14ac:dyDescent="0.25">
      <c r="A734" s="306">
        <v>492000</v>
      </c>
      <c r="B734" s="314" t="s">
        <v>284</v>
      </c>
      <c r="C734" s="314">
        <v>1.6398999999999999</v>
      </c>
      <c r="D734" s="314">
        <v>1.3738999999999999</v>
      </c>
      <c r="E734" s="314">
        <v>1.3680000000000001</v>
      </c>
      <c r="F734" s="314">
        <v>1.3666</v>
      </c>
      <c r="G734" s="314">
        <v>1.3664000000000001</v>
      </c>
      <c r="H734" s="314">
        <v>1.5207999999999999</v>
      </c>
      <c r="I734" s="314">
        <v>1.4782</v>
      </c>
      <c r="J734" s="314">
        <v>1.3843000000000001</v>
      </c>
      <c r="K734" s="314">
        <v>1.2024999999999999</v>
      </c>
      <c r="L734" s="314">
        <v>1.4281999999999999</v>
      </c>
      <c r="M734" s="314">
        <v>1.3859999999999999</v>
      </c>
      <c r="N734" s="314">
        <v>1.4527000000000001</v>
      </c>
      <c r="O734" s="314">
        <v>1.4097</v>
      </c>
      <c r="P734" s="314">
        <v>1.2468999999999999</v>
      </c>
      <c r="Q734" s="314">
        <v>1.2569999999999999</v>
      </c>
      <c r="R734" s="314">
        <v>1.5105999999999999</v>
      </c>
      <c r="S734" s="314">
        <v>1.4357</v>
      </c>
      <c r="T734" s="314">
        <v>1.4206000000000001</v>
      </c>
      <c r="U734" s="314">
        <v>1.4457</v>
      </c>
      <c r="V734" s="314">
        <v>1.4531000000000001</v>
      </c>
      <c r="W734" s="314">
        <v>1.3735999999999999</v>
      </c>
      <c r="X734" s="314">
        <v>1.3906000000000001</v>
      </c>
      <c r="Y734" s="314">
        <v>1.3207</v>
      </c>
      <c r="Z734" s="314">
        <v>1.3818999999999999</v>
      </c>
      <c r="AA734" s="314">
        <v>1.4137</v>
      </c>
      <c r="AB734" s="314">
        <v>1.4046000000000001</v>
      </c>
      <c r="AC734" s="314">
        <v>1.3893</v>
      </c>
      <c r="AD734" s="314">
        <v>1.3393999999999999</v>
      </c>
      <c r="AE734" s="314">
        <v>1.3736999999999999</v>
      </c>
      <c r="AF734" s="314">
        <v>1.288</v>
      </c>
      <c r="AG734" s="314">
        <v>1.2626999999999999</v>
      </c>
      <c r="AH734" s="314">
        <v>1.3566</v>
      </c>
      <c r="AI734" s="314">
        <v>1.5209999999999999</v>
      </c>
      <c r="AJ734" s="314">
        <v>1.3867</v>
      </c>
      <c r="AK734" s="314">
        <v>1.3464</v>
      </c>
      <c r="AL734" s="314">
        <v>1.3643000000000001</v>
      </c>
      <c r="AM734" s="314">
        <v>1.4713000000000001</v>
      </c>
      <c r="AN734" s="314">
        <v>1.4538</v>
      </c>
      <c r="AO734" s="314">
        <v>1.3829</v>
      </c>
      <c r="AP734" s="314">
        <v>1.4663999999999999</v>
      </c>
      <c r="AQ734" s="314">
        <v>1.3476999999999999</v>
      </c>
      <c r="AR734" s="314">
        <v>1.3856999999999999</v>
      </c>
      <c r="AS734" s="314">
        <v>1.1858</v>
      </c>
      <c r="AT734" s="314">
        <v>1.4328000000000001</v>
      </c>
      <c r="AU734" s="314">
        <v>1.5396000000000001</v>
      </c>
      <c r="AV734" s="314">
        <v>1.5168999999999999</v>
      </c>
      <c r="AW734" s="314">
        <v>1.4214</v>
      </c>
      <c r="AX734" s="314">
        <v>1.2591000000000001</v>
      </c>
      <c r="AY734" s="314">
        <v>1.4491000000000001</v>
      </c>
      <c r="AZ734" s="314">
        <v>1.3425</v>
      </c>
      <c r="BA734" s="314">
        <v>1.3385</v>
      </c>
      <c r="BB734" s="314">
        <v>1.3062</v>
      </c>
      <c r="BC734" s="314">
        <v>1.3886000000000001</v>
      </c>
      <c r="BD734" s="314">
        <v>1.4603999999999999</v>
      </c>
      <c r="BE734" s="314">
        <v>1.4793000000000001</v>
      </c>
      <c r="BF734" s="314">
        <v>1.3943000000000001</v>
      </c>
      <c r="BG734" s="314">
        <v>1.4531000000000001</v>
      </c>
      <c r="BH734" s="314">
        <v>1.4652000000000001</v>
      </c>
      <c r="BI734" s="314">
        <v>1.5422</v>
      </c>
      <c r="BJ734" s="314">
        <v>1.4829000000000001</v>
      </c>
      <c r="BK734" s="314">
        <v>1.5258</v>
      </c>
    </row>
    <row r="735" spans="1:63" x14ac:dyDescent="0.25">
      <c r="A735" s="306">
        <v>493000</v>
      </c>
      <c r="B735" s="314" t="s">
        <v>285</v>
      </c>
      <c r="C735" s="314">
        <v>1.5831</v>
      </c>
      <c r="D735" s="314">
        <v>1.2790999999999999</v>
      </c>
      <c r="E735" s="314">
        <v>1.3798999999999999</v>
      </c>
      <c r="F735" s="314">
        <v>1.3551</v>
      </c>
      <c r="G735" s="314">
        <v>1.3964000000000001</v>
      </c>
      <c r="H735" s="314">
        <v>1.4636</v>
      </c>
      <c r="I735" s="314">
        <v>1.446</v>
      </c>
      <c r="J735" s="314">
        <v>1.4291</v>
      </c>
      <c r="K735" s="314">
        <v>1.2228000000000001</v>
      </c>
      <c r="L735" s="314">
        <v>1.3933</v>
      </c>
      <c r="M735" s="314">
        <v>1.4072</v>
      </c>
      <c r="N735" s="314">
        <v>1.4867999999999999</v>
      </c>
      <c r="O735" s="314">
        <v>1.3347</v>
      </c>
      <c r="P735" s="314">
        <v>1.2997000000000001</v>
      </c>
      <c r="Q735" s="314">
        <v>1.2571000000000001</v>
      </c>
      <c r="R735" s="314">
        <v>1.5137</v>
      </c>
      <c r="S735" s="314">
        <v>1.4137999999999999</v>
      </c>
      <c r="T735" s="314">
        <v>1.3573</v>
      </c>
      <c r="U735" s="314">
        <v>1.4072</v>
      </c>
      <c r="V735" s="314">
        <v>1.3729</v>
      </c>
      <c r="W735" s="314">
        <v>1.4053</v>
      </c>
      <c r="X735" s="314">
        <v>1.4312</v>
      </c>
      <c r="Y735" s="314">
        <v>1.3532</v>
      </c>
      <c r="Z735" s="314">
        <v>1.4117999999999999</v>
      </c>
      <c r="AA735" s="314">
        <v>1.401</v>
      </c>
      <c r="AB735" s="314">
        <v>1.4408000000000001</v>
      </c>
      <c r="AC735" s="314">
        <v>1.3388</v>
      </c>
      <c r="AD735" s="314">
        <v>1.2450000000000001</v>
      </c>
      <c r="AE735" s="314">
        <v>1.4004000000000001</v>
      </c>
      <c r="AF735" s="314">
        <v>1.2094</v>
      </c>
      <c r="AG735" s="314">
        <v>1.2813000000000001</v>
      </c>
      <c r="AH735" s="314">
        <v>1.4020999999999999</v>
      </c>
      <c r="AI735" s="314">
        <v>1.4809000000000001</v>
      </c>
      <c r="AJ735" s="314">
        <v>1.2826</v>
      </c>
      <c r="AK735" s="314">
        <v>1.3838999999999999</v>
      </c>
      <c r="AL735" s="314">
        <v>1.3873</v>
      </c>
      <c r="AM735" s="314">
        <v>1.4675</v>
      </c>
      <c r="AN735" s="314">
        <v>1.3494999999999999</v>
      </c>
      <c r="AO735" s="314">
        <v>1.4218999999999999</v>
      </c>
      <c r="AP735" s="314">
        <v>1.4702999999999999</v>
      </c>
      <c r="AQ735" s="314">
        <v>1.3501000000000001</v>
      </c>
      <c r="AR735" s="314">
        <v>1.4391</v>
      </c>
      <c r="AS735" s="314">
        <v>1.1973</v>
      </c>
      <c r="AT735" s="314">
        <v>1.4562999999999999</v>
      </c>
      <c r="AU735" s="314">
        <v>1.4891000000000001</v>
      </c>
      <c r="AV735" s="314">
        <v>1.4670000000000001</v>
      </c>
      <c r="AW735" s="314">
        <v>1.454</v>
      </c>
      <c r="AX735" s="314">
        <v>1.3066</v>
      </c>
      <c r="AY735" s="314">
        <v>1.4074</v>
      </c>
      <c r="AZ735" s="314">
        <v>1.3912</v>
      </c>
      <c r="BA735" s="314">
        <v>1.2962</v>
      </c>
      <c r="BB735" s="314">
        <v>1.2554000000000001</v>
      </c>
      <c r="BC735" s="314">
        <v>1.4289000000000001</v>
      </c>
      <c r="BD735" s="314">
        <v>1.4891000000000001</v>
      </c>
      <c r="BE735" s="314">
        <v>1.4835</v>
      </c>
      <c r="BF735" s="314">
        <v>1.3935</v>
      </c>
      <c r="BG735" s="314">
        <v>1.4846999999999999</v>
      </c>
      <c r="BH735" s="314">
        <v>1.4406000000000001</v>
      </c>
      <c r="BI735" s="314">
        <v>1.4879</v>
      </c>
      <c r="BJ735" s="314">
        <v>1.4447000000000001</v>
      </c>
      <c r="BK735" s="314">
        <v>1.4673</v>
      </c>
    </row>
    <row r="736" spans="1:63" x14ac:dyDescent="0.25">
      <c r="A736" s="306" t="s">
        <v>760</v>
      </c>
      <c r="B736" s="314" t="s">
        <v>761</v>
      </c>
      <c r="C736" s="314">
        <v>1.5277000000000001</v>
      </c>
      <c r="D736" s="314">
        <v>1.226</v>
      </c>
      <c r="E736" s="314">
        <v>1.3240000000000001</v>
      </c>
      <c r="F736" s="314">
        <v>1.2919</v>
      </c>
      <c r="G736" s="314">
        <v>1.3360000000000001</v>
      </c>
      <c r="H736" s="314">
        <v>1.4023000000000001</v>
      </c>
      <c r="I736" s="314">
        <v>1.3978999999999999</v>
      </c>
      <c r="J736" s="314">
        <v>1.365</v>
      </c>
      <c r="K736" s="314">
        <v>1.2278</v>
      </c>
      <c r="L736" s="314">
        <v>1.3104</v>
      </c>
      <c r="M736" s="314">
        <v>1.3546</v>
      </c>
      <c r="N736" s="314">
        <v>1.4316</v>
      </c>
      <c r="O736" s="314">
        <v>1.288</v>
      </c>
      <c r="P736" s="314">
        <v>1.2687999999999999</v>
      </c>
      <c r="Q736" s="314">
        <v>1.2335</v>
      </c>
      <c r="R736" s="314">
        <v>1.4482999999999999</v>
      </c>
      <c r="S736" s="314">
        <v>1.3432999999999999</v>
      </c>
      <c r="T736" s="314">
        <v>1.2894000000000001</v>
      </c>
      <c r="U736" s="314">
        <v>1.3458000000000001</v>
      </c>
      <c r="V736" s="314">
        <v>1.2848999999999999</v>
      </c>
      <c r="W736" s="314">
        <v>1.3714</v>
      </c>
      <c r="X736" s="314">
        <v>1.363</v>
      </c>
      <c r="Y736" s="314">
        <v>1.3006</v>
      </c>
      <c r="Z736" s="314">
        <v>1.3640000000000001</v>
      </c>
      <c r="AA736" s="314">
        <v>1.3715999999999999</v>
      </c>
      <c r="AB736" s="314">
        <v>1.3944000000000001</v>
      </c>
      <c r="AC736" s="314">
        <v>1.2633000000000001</v>
      </c>
      <c r="AD736" s="314">
        <v>1.2286999999999999</v>
      </c>
      <c r="AE736" s="314">
        <v>1.3482000000000001</v>
      </c>
      <c r="AF736" s="314">
        <v>1.202</v>
      </c>
      <c r="AG736" s="314">
        <v>1.2605999999999999</v>
      </c>
      <c r="AH736" s="314">
        <v>1.3298000000000001</v>
      </c>
      <c r="AI736" s="314">
        <v>1.4104000000000001</v>
      </c>
      <c r="AJ736" s="314">
        <v>1.2323</v>
      </c>
      <c r="AK736" s="314">
        <v>1.3058000000000001</v>
      </c>
      <c r="AL736" s="314">
        <v>1.3708</v>
      </c>
      <c r="AM736" s="314">
        <v>1.3989</v>
      </c>
      <c r="AN736" s="314">
        <v>1.3059000000000001</v>
      </c>
      <c r="AO736" s="314">
        <v>1.3589</v>
      </c>
      <c r="AP736" s="314">
        <v>1.4049</v>
      </c>
      <c r="AQ736" s="314">
        <v>1.3125</v>
      </c>
      <c r="AR736" s="314">
        <v>1.3588</v>
      </c>
      <c r="AS736" s="314">
        <v>1.1936</v>
      </c>
      <c r="AT736" s="314">
        <v>1.4011</v>
      </c>
      <c r="AU736" s="314">
        <v>1.4096</v>
      </c>
      <c r="AV736" s="314">
        <v>1.4036999999999999</v>
      </c>
      <c r="AW736" s="314">
        <v>1.3843000000000001</v>
      </c>
      <c r="AX736" s="314">
        <v>1.2736000000000001</v>
      </c>
      <c r="AY736" s="314">
        <v>1.3479000000000001</v>
      </c>
      <c r="AZ736" s="314">
        <v>1.3455999999999999</v>
      </c>
      <c r="BA736" s="314">
        <v>1.2499</v>
      </c>
      <c r="BB736" s="314">
        <v>1.1863999999999999</v>
      </c>
      <c r="BC736" s="314">
        <v>1.3851</v>
      </c>
      <c r="BD736" s="314">
        <v>1.4331</v>
      </c>
      <c r="BE736" s="314">
        <v>1.4256</v>
      </c>
      <c r="BF736" s="314">
        <v>1.3599000000000001</v>
      </c>
      <c r="BG736" s="314">
        <v>1.4240999999999999</v>
      </c>
      <c r="BH736" s="314">
        <v>1.3776999999999999</v>
      </c>
      <c r="BI736" s="314">
        <v>1.4084000000000001</v>
      </c>
      <c r="BJ736" s="314">
        <v>1.381</v>
      </c>
      <c r="BK736" s="314">
        <v>1.4065000000000001</v>
      </c>
    </row>
    <row r="737" spans="1:63" x14ac:dyDescent="0.25">
      <c r="A737" s="306">
        <v>511110</v>
      </c>
      <c r="B737" s="314" t="s">
        <v>286</v>
      </c>
      <c r="C737" s="314">
        <v>1.6085</v>
      </c>
      <c r="D737" s="314">
        <v>1.2273000000000001</v>
      </c>
      <c r="E737" s="314">
        <v>1.3515999999999999</v>
      </c>
      <c r="F737" s="314">
        <v>1.3540000000000001</v>
      </c>
      <c r="G737" s="314">
        <v>1.3577999999999999</v>
      </c>
      <c r="H737" s="314">
        <v>1.4435</v>
      </c>
      <c r="I737" s="314">
        <v>1.4322999999999999</v>
      </c>
      <c r="J737" s="314">
        <v>1.4483999999999999</v>
      </c>
      <c r="K737" s="314">
        <v>1.2777000000000001</v>
      </c>
      <c r="L737" s="314">
        <v>1.3289</v>
      </c>
      <c r="M737" s="314">
        <v>1.3869</v>
      </c>
      <c r="N737" s="314">
        <v>1.5167999999999999</v>
      </c>
      <c r="O737" s="314">
        <v>1.2907999999999999</v>
      </c>
      <c r="P737" s="314">
        <v>1.2795000000000001</v>
      </c>
      <c r="Q737" s="314">
        <v>1.288</v>
      </c>
      <c r="R737" s="314">
        <v>1.4887999999999999</v>
      </c>
      <c r="S737" s="314">
        <v>1.3619000000000001</v>
      </c>
      <c r="T737" s="314">
        <v>1.3398000000000001</v>
      </c>
      <c r="U737" s="314">
        <v>1.4245000000000001</v>
      </c>
      <c r="V737" s="314">
        <v>1.3402000000000001</v>
      </c>
      <c r="W737" s="314">
        <v>1.4771000000000001</v>
      </c>
      <c r="X737" s="314">
        <v>1.4198</v>
      </c>
      <c r="Y737" s="314">
        <v>1.3774</v>
      </c>
      <c r="Z737" s="314">
        <v>1.4371</v>
      </c>
      <c r="AA737" s="314">
        <v>1.4593</v>
      </c>
      <c r="AB737" s="314">
        <v>1.4368000000000001</v>
      </c>
      <c r="AC737" s="314">
        <v>1.2962</v>
      </c>
      <c r="AD737" s="314">
        <v>1.244</v>
      </c>
      <c r="AE737" s="314">
        <v>1.4178999999999999</v>
      </c>
      <c r="AF737" s="314">
        <v>1.2045999999999999</v>
      </c>
      <c r="AG737" s="314">
        <v>1.2985</v>
      </c>
      <c r="AH737" s="314">
        <v>1.4169</v>
      </c>
      <c r="AI737" s="314">
        <v>1.4901</v>
      </c>
      <c r="AJ737" s="314">
        <v>1.2467999999999999</v>
      </c>
      <c r="AK737" s="314">
        <v>1.3071999999999999</v>
      </c>
      <c r="AL737" s="314">
        <v>1.4221999999999999</v>
      </c>
      <c r="AM737" s="314">
        <v>1.4791000000000001</v>
      </c>
      <c r="AN737" s="314">
        <v>1.3536999999999999</v>
      </c>
      <c r="AO737" s="314">
        <v>1.4540999999999999</v>
      </c>
      <c r="AP737" s="314">
        <v>1.4994000000000001</v>
      </c>
      <c r="AQ737" s="314">
        <v>1.3857999999999999</v>
      </c>
      <c r="AR737" s="314">
        <v>1.3832</v>
      </c>
      <c r="AS737" s="314">
        <v>1.1972</v>
      </c>
      <c r="AT737" s="314">
        <v>1.4470000000000001</v>
      </c>
      <c r="AU737" s="314">
        <v>1.4421999999999999</v>
      </c>
      <c r="AV737" s="314">
        <v>1.4386000000000001</v>
      </c>
      <c r="AW737" s="314">
        <v>1.4708000000000001</v>
      </c>
      <c r="AX737" s="314">
        <v>1.3224</v>
      </c>
      <c r="AY737" s="314">
        <v>1.4229000000000001</v>
      </c>
      <c r="AZ737" s="314">
        <v>1.4283999999999999</v>
      </c>
      <c r="BA737" s="314">
        <v>1.2522</v>
      </c>
      <c r="BB737" s="314">
        <v>1.1879999999999999</v>
      </c>
      <c r="BC737" s="314">
        <v>1.4951000000000001</v>
      </c>
      <c r="BD737" s="314">
        <v>1.5089999999999999</v>
      </c>
      <c r="BE737" s="314">
        <v>1.5019</v>
      </c>
      <c r="BF737" s="314">
        <v>1.4275</v>
      </c>
      <c r="BG737" s="314">
        <v>1.4974000000000001</v>
      </c>
      <c r="BH737" s="314">
        <v>1.4321999999999999</v>
      </c>
      <c r="BI737" s="314">
        <v>1.4683999999999999</v>
      </c>
      <c r="BJ737" s="314">
        <v>1.4097999999999999</v>
      </c>
      <c r="BK737" s="314">
        <v>1.4675</v>
      </c>
    </row>
    <row r="738" spans="1:63" x14ac:dyDescent="0.25">
      <c r="A738" s="306">
        <v>511120</v>
      </c>
      <c r="B738" s="314" t="s">
        <v>287</v>
      </c>
      <c r="C738" s="314">
        <v>1.8943000000000001</v>
      </c>
      <c r="D738" s="314">
        <v>1.3605</v>
      </c>
      <c r="E738" s="314">
        <v>1.4761</v>
      </c>
      <c r="F738" s="314">
        <v>1.4953000000000001</v>
      </c>
      <c r="G738" s="314">
        <v>1.5288999999999999</v>
      </c>
      <c r="H738" s="314">
        <v>1.6754</v>
      </c>
      <c r="I738" s="314">
        <v>1.645</v>
      </c>
      <c r="J738" s="314">
        <v>1.6800999999999999</v>
      </c>
      <c r="K738" s="314">
        <v>1.456</v>
      </c>
      <c r="L738" s="314">
        <v>1.4268000000000001</v>
      </c>
      <c r="M738" s="314">
        <v>1.5861000000000001</v>
      </c>
      <c r="N738" s="314">
        <v>1.7811999999999999</v>
      </c>
      <c r="O738" s="314">
        <v>1.4045000000000001</v>
      </c>
      <c r="P738" s="314">
        <v>1.4403999999999999</v>
      </c>
      <c r="Q738" s="314">
        <v>1.3773</v>
      </c>
      <c r="R738" s="314">
        <v>1.7564</v>
      </c>
      <c r="S738" s="314">
        <v>1.5881000000000001</v>
      </c>
      <c r="T738" s="314">
        <v>1.5443</v>
      </c>
      <c r="U738" s="314">
        <v>1.6228</v>
      </c>
      <c r="V738" s="314">
        <v>1.4571000000000001</v>
      </c>
      <c r="W738" s="314">
        <v>1.718</v>
      </c>
      <c r="X738" s="314">
        <v>1.66</v>
      </c>
      <c r="Y738" s="314">
        <v>1.5421</v>
      </c>
      <c r="Z738" s="314">
        <v>1.6658999999999999</v>
      </c>
      <c r="AA738" s="314">
        <v>1.702</v>
      </c>
      <c r="AB738" s="314">
        <v>1.6714</v>
      </c>
      <c r="AC738" s="314">
        <v>1.3854</v>
      </c>
      <c r="AD738" s="314">
        <v>1.3925000000000001</v>
      </c>
      <c r="AE738" s="314">
        <v>1.5904</v>
      </c>
      <c r="AF738" s="314">
        <v>1.2854000000000001</v>
      </c>
      <c r="AG738" s="314">
        <v>1.4436</v>
      </c>
      <c r="AH738" s="314">
        <v>1.6157999999999999</v>
      </c>
      <c r="AI738" s="314">
        <v>1.7738</v>
      </c>
      <c r="AJ738" s="314">
        <v>1.3304</v>
      </c>
      <c r="AK738" s="314">
        <v>1.4944999999999999</v>
      </c>
      <c r="AL738" s="314">
        <v>1.6217999999999999</v>
      </c>
      <c r="AM738" s="314">
        <v>1.7</v>
      </c>
      <c r="AN738" s="314">
        <v>1.5044</v>
      </c>
      <c r="AO738" s="314">
        <v>1.6627000000000001</v>
      </c>
      <c r="AP738" s="314">
        <v>1.7398</v>
      </c>
      <c r="AQ738" s="314">
        <v>1.5726</v>
      </c>
      <c r="AR738" s="314">
        <v>1.5328999999999999</v>
      </c>
      <c r="AS738" s="314">
        <v>1.3186</v>
      </c>
      <c r="AT738" s="314">
        <v>1.6927000000000001</v>
      </c>
      <c r="AU738" s="314">
        <v>1.6580999999999999</v>
      </c>
      <c r="AV738" s="314">
        <v>1.6814</v>
      </c>
      <c r="AW738" s="314">
        <v>1.6780999999999999</v>
      </c>
      <c r="AX738" s="314">
        <v>1.5028999999999999</v>
      </c>
      <c r="AY738" s="314">
        <v>1.5698000000000001</v>
      </c>
      <c r="AZ738" s="314">
        <v>1.6293</v>
      </c>
      <c r="BA738" s="314">
        <v>1.3556999999999999</v>
      </c>
      <c r="BB738" s="314">
        <v>1.2790999999999999</v>
      </c>
      <c r="BC738" s="314">
        <v>1.7318</v>
      </c>
      <c r="BD738" s="314">
        <v>1.7866</v>
      </c>
      <c r="BE738" s="314">
        <v>1.7448999999999999</v>
      </c>
      <c r="BF738" s="314">
        <v>1.6503000000000001</v>
      </c>
      <c r="BG738" s="314">
        <v>1.7344999999999999</v>
      </c>
      <c r="BH738" s="314">
        <v>1.6551</v>
      </c>
      <c r="BI738" s="314">
        <v>1.6576</v>
      </c>
      <c r="BJ738" s="314">
        <v>1.6066</v>
      </c>
      <c r="BK738" s="314">
        <v>1.6847000000000001</v>
      </c>
    </row>
    <row r="739" spans="1:63" x14ac:dyDescent="0.25">
      <c r="A739" s="306">
        <v>511130</v>
      </c>
      <c r="B739" s="314" t="s">
        <v>288</v>
      </c>
      <c r="C739" s="314">
        <v>1.7265999999999999</v>
      </c>
      <c r="D739" s="314">
        <v>1.2796000000000001</v>
      </c>
      <c r="E739" s="314">
        <v>1.3838999999999999</v>
      </c>
      <c r="F739" s="314">
        <v>1.3673999999999999</v>
      </c>
      <c r="G739" s="314">
        <v>1.4508000000000001</v>
      </c>
      <c r="H739" s="314">
        <v>1.5602</v>
      </c>
      <c r="I739" s="314">
        <v>1.5188999999999999</v>
      </c>
      <c r="J739" s="314">
        <v>1.5586</v>
      </c>
      <c r="K739" s="314">
        <v>1.3575999999999999</v>
      </c>
      <c r="L739" s="314">
        <v>1.3451</v>
      </c>
      <c r="M739" s="314">
        <v>1.4761</v>
      </c>
      <c r="N739" s="314">
        <v>1.6211</v>
      </c>
      <c r="O739" s="314">
        <v>1.3288</v>
      </c>
      <c r="P739" s="314">
        <v>1.3431999999999999</v>
      </c>
      <c r="Q739" s="314">
        <v>1.3056000000000001</v>
      </c>
      <c r="R739" s="314">
        <v>1.617</v>
      </c>
      <c r="S739" s="314">
        <v>1.4617</v>
      </c>
      <c r="T739" s="314">
        <v>1.4298</v>
      </c>
      <c r="U739" s="314">
        <v>1.4962</v>
      </c>
      <c r="V739" s="314">
        <v>1.3701000000000001</v>
      </c>
      <c r="W739" s="314">
        <v>1.5852999999999999</v>
      </c>
      <c r="X739" s="314">
        <v>1.5215000000000001</v>
      </c>
      <c r="Y739" s="314">
        <v>1.419</v>
      </c>
      <c r="Z739" s="314">
        <v>1.5322</v>
      </c>
      <c r="AA739" s="314">
        <v>1.5627</v>
      </c>
      <c r="AB739" s="314">
        <v>1.5455000000000001</v>
      </c>
      <c r="AC739" s="314">
        <v>1.3095000000000001</v>
      </c>
      <c r="AD739" s="314">
        <v>1.2922</v>
      </c>
      <c r="AE739" s="314">
        <v>1.4812000000000001</v>
      </c>
      <c r="AF739" s="314">
        <v>1.2516</v>
      </c>
      <c r="AG739" s="314">
        <v>1.3491</v>
      </c>
      <c r="AH739" s="314">
        <v>1.5077</v>
      </c>
      <c r="AI739" s="314">
        <v>1.6135999999999999</v>
      </c>
      <c r="AJ739" s="314">
        <v>1.2736000000000001</v>
      </c>
      <c r="AK739" s="314">
        <v>1.3787</v>
      </c>
      <c r="AL739" s="314">
        <v>1.5162</v>
      </c>
      <c r="AM739" s="314">
        <v>1.5665</v>
      </c>
      <c r="AN739" s="314">
        <v>1.3907</v>
      </c>
      <c r="AO739" s="314">
        <v>1.5343</v>
      </c>
      <c r="AP739" s="314">
        <v>1.6021000000000001</v>
      </c>
      <c r="AQ739" s="314">
        <v>1.4722</v>
      </c>
      <c r="AR739" s="314">
        <v>1.4157</v>
      </c>
      <c r="AS739" s="314">
        <v>1.2401</v>
      </c>
      <c r="AT739" s="314">
        <v>1.5367999999999999</v>
      </c>
      <c r="AU739" s="314">
        <v>1.5276000000000001</v>
      </c>
      <c r="AV739" s="314">
        <v>1.5452999999999999</v>
      </c>
      <c r="AW739" s="314">
        <v>1.5334000000000001</v>
      </c>
      <c r="AX739" s="314">
        <v>1.4115</v>
      </c>
      <c r="AY739" s="314">
        <v>1.4610000000000001</v>
      </c>
      <c r="AZ739" s="314">
        <v>1.5031000000000001</v>
      </c>
      <c r="BA739" s="314">
        <v>1.2854000000000001</v>
      </c>
      <c r="BB739" s="314">
        <v>1.2196</v>
      </c>
      <c r="BC739" s="314">
        <v>1.6013999999999999</v>
      </c>
      <c r="BD739" s="314">
        <v>1.6342000000000001</v>
      </c>
      <c r="BE739" s="314">
        <v>1.6034999999999999</v>
      </c>
      <c r="BF739" s="314">
        <v>1.5185</v>
      </c>
      <c r="BG739" s="314">
        <v>1.5839000000000001</v>
      </c>
      <c r="BH739" s="314">
        <v>1.5056</v>
      </c>
      <c r="BI739" s="314">
        <v>1.5257000000000001</v>
      </c>
      <c r="BJ739" s="314">
        <v>1.4928999999999999</v>
      </c>
      <c r="BK739" s="314">
        <v>1.5662</v>
      </c>
    </row>
    <row r="740" spans="1:63" x14ac:dyDescent="0.25">
      <c r="A740" s="306" t="s">
        <v>762</v>
      </c>
      <c r="B740" s="314" t="s">
        <v>289</v>
      </c>
      <c r="C740" s="314">
        <v>1.8130999999999999</v>
      </c>
      <c r="D740" s="314">
        <v>1.3050999999999999</v>
      </c>
      <c r="E740" s="314">
        <v>1.4384999999999999</v>
      </c>
      <c r="F740" s="314">
        <v>1.4572000000000001</v>
      </c>
      <c r="G740" s="314">
        <v>1.4762999999999999</v>
      </c>
      <c r="H740" s="314">
        <v>1.6042000000000001</v>
      </c>
      <c r="I740" s="314">
        <v>1.5904</v>
      </c>
      <c r="J740" s="314">
        <v>1.6214999999999999</v>
      </c>
      <c r="K740" s="314">
        <v>1.4441999999999999</v>
      </c>
      <c r="L740" s="314">
        <v>1.3801000000000001</v>
      </c>
      <c r="M740" s="314">
        <v>1.5379</v>
      </c>
      <c r="N740" s="314">
        <v>1.7014</v>
      </c>
      <c r="O740" s="314">
        <v>1.3712</v>
      </c>
      <c r="P740" s="314">
        <v>1.4146000000000001</v>
      </c>
      <c r="Q740" s="314">
        <v>1.3474999999999999</v>
      </c>
      <c r="R740" s="314">
        <v>1.7025999999999999</v>
      </c>
      <c r="S740" s="314">
        <v>1.5412999999999999</v>
      </c>
      <c r="T740" s="314">
        <v>1.4943</v>
      </c>
      <c r="U740" s="314">
        <v>1.5677000000000001</v>
      </c>
      <c r="V740" s="314">
        <v>1.3943000000000001</v>
      </c>
      <c r="W740" s="314">
        <v>1.6641999999999999</v>
      </c>
      <c r="X740" s="314">
        <v>1.6014999999999999</v>
      </c>
      <c r="Y740" s="314">
        <v>1.5037</v>
      </c>
      <c r="Z740" s="314">
        <v>1.6016999999999999</v>
      </c>
      <c r="AA740" s="314">
        <v>1.6369</v>
      </c>
      <c r="AB740" s="314">
        <v>1.6247</v>
      </c>
      <c r="AC740" s="314">
        <v>1.3529</v>
      </c>
      <c r="AD740" s="314">
        <v>1.3408</v>
      </c>
      <c r="AE740" s="314">
        <v>1.5487</v>
      </c>
      <c r="AF740" s="314">
        <v>1.2534000000000001</v>
      </c>
      <c r="AG740" s="314">
        <v>1.4166000000000001</v>
      </c>
      <c r="AH740" s="314">
        <v>1.5886</v>
      </c>
      <c r="AI740" s="314">
        <v>1.6991000000000001</v>
      </c>
      <c r="AJ740" s="314">
        <v>1.3076000000000001</v>
      </c>
      <c r="AK740" s="314">
        <v>1.4448000000000001</v>
      </c>
      <c r="AL740" s="314">
        <v>1.5586</v>
      </c>
      <c r="AM740" s="314">
        <v>1.6460999999999999</v>
      </c>
      <c r="AN740" s="314">
        <v>1.4388000000000001</v>
      </c>
      <c r="AO740" s="314">
        <v>1.6015999999999999</v>
      </c>
      <c r="AP740" s="314">
        <v>1.6851</v>
      </c>
      <c r="AQ740" s="314">
        <v>1.5297000000000001</v>
      </c>
      <c r="AR740" s="314">
        <v>1.4934000000000001</v>
      </c>
      <c r="AS740" s="314">
        <v>1.2914000000000001</v>
      </c>
      <c r="AT740" s="314">
        <v>1.6171</v>
      </c>
      <c r="AU740" s="314">
        <v>1.6051</v>
      </c>
      <c r="AV740" s="314">
        <v>1.6327</v>
      </c>
      <c r="AW740" s="314">
        <v>1.6147</v>
      </c>
      <c r="AX740" s="314">
        <v>1.4821</v>
      </c>
      <c r="AY740" s="314">
        <v>1.5172000000000001</v>
      </c>
      <c r="AZ740" s="314">
        <v>1.5625</v>
      </c>
      <c r="BA740" s="314">
        <v>1.3468</v>
      </c>
      <c r="BB740" s="314">
        <v>1.2433000000000001</v>
      </c>
      <c r="BC740" s="314">
        <v>1.6787000000000001</v>
      </c>
      <c r="BD740" s="314">
        <v>1.7091000000000001</v>
      </c>
      <c r="BE740" s="314">
        <v>1.6857</v>
      </c>
      <c r="BF740" s="314">
        <v>1.5964</v>
      </c>
      <c r="BG740" s="314">
        <v>1.6701999999999999</v>
      </c>
      <c r="BH740" s="314">
        <v>1.5906</v>
      </c>
      <c r="BI740" s="314">
        <v>1.599</v>
      </c>
      <c r="BJ740" s="314">
        <v>1.5566</v>
      </c>
      <c r="BK740" s="314">
        <v>1.613</v>
      </c>
    </row>
    <row r="741" spans="1:63" x14ac:dyDescent="0.25">
      <c r="A741" s="306">
        <v>511200</v>
      </c>
      <c r="B741" s="314" t="s">
        <v>290</v>
      </c>
      <c r="C741" s="314">
        <v>1.5359</v>
      </c>
      <c r="D741" s="314">
        <v>1.2283999999999999</v>
      </c>
      <c r="E741" s="314">
        <v>1.2922</v>
      </c>
      <c r="F741" s="314">
        <v>1.2586999999999999</v>
      </c>
      <c r="G741" s="314">
        <v>1.3747</v>
      </c>
      <c r="H741" s="314">
        <v>1.4607000000000001</v>
      </c>
      <c r="I741" s="314">
        <v>1.4533</v>
      </c>
      <c r="J741" s="314">
        <v>1.4051</v>
      </c>
      <c r="K741" s="314">
        <v>1.2997000000000001</v>
      </c>
      <c r="L741" s="314">
        <v>1.3262</v>
      </c>
      <c r="M741" s="314">
        <v>1.4041999999999999</v>
      </c>
      <c r="N741" s="314">
        <v>1.4588000000000001</v>
      </c>
      <c r="O741" s="314">
        <v>1.3187</v>
      </c>
      <c r="P741" s="314">
        <v>1.2136</v>
      </c>
      <c r="Q741" s="314">
        <v>1.2464999999999999</v>
      </c>
      <c r="R741" s="314">
        <v>1.4592000000000001</v>
      </c>
      <c r="S741" s="314">
        <v>1.3090999999999999</v>
      </c>
      <c r="T741" s="314">
        <v>1.2879</v>
      </c>
      <c r="U741" s="314">
        <v>1.3006</v>
      </c>
      <c r="V741" s="314">
        <v>1.3087</v>
      </c>
      <c r="W741" s="314">
        <v>1.4450000000000001</v>
      </c>
      <c r="X741" s="314">
        <v>1.3964000000000001</v>
      </c>
      <c r="Y741" s="314">
        <v>1.3010999999999999</v>
      </c>
      <c r="Z741" s="314">
        <v>1.3806</v>
      </c>
      <c r="AA741" s="314">
        <v>1.3968</v>
      </c>
      <c r="AB741" s="314">
        <v>1.3863000000000001</v>
      </c>
      <c r="AC741" s="314">
        <v>1.2267999999999999</v>
      </c>
      <c r="AD741" s="314">
        <v>1.2282999999999999</v>
      </c>
      <c r="AE741" s="314">
        <v>1.3672</v>
      </c>
      <c r="AF741" s="314">
        <v>1.1927000000000001</v>
      </c>
      <c r="AG741" s="314">
        <v>1.2346999999999999</v>
      </c>
      <c r="AH741" s="314">
        <v>1.3752</v>
      </c>
      <c r="AI741" s="314">
        <v>1.4650000000000001</v>
      </c>
      <c r="AJ741" s="314">
        <v>1.2532000000000001</v>
      </c>
      <c r="AK741" s="314">
        <v>1.3240000000000001</v>
      </c>
      <c r="AL741" s="314">
        <v>1.4137</v>
      </c>
      <c r="AM741" s="314">
        <v>1.3858999999999999</v>
      </c>
      <c r="AN741" s="314">
        <v>1.3227</v>
      </c>
      <c r="AO741" s="314">
        <v>1.3726</v>
      </c>
      <c r="AP741" s="314">
        <v>1.4172</v>
      </c>
      <c r="AQ741" s="314">
        <v>1.3545</v>
      </c>
      <c r="AR741" s="314">
        <v>1.3275999999999999</v>
      </c>
      <c r="AS741" s="314">
        <v>1.1704000000000001</v>
      </c>
      <c r="AT741" s="314">
        <v>1.3838999999999999</v>
      </c>
      <c r="AU741" s="314">
        <v>1.4297</v>
      </c>
      <c r="AV741" s="314">
        <v>1.4139999999999999</v>
      </c>
      <c r="AW741" s="314">
        <v>1.4171</v>
      </c>
      <c r="AX741" s="314">
        <v>1.2505999999999999</v>
      </c>
      <c r="AY741" s="314">
        <v>1.3771</v>
      </c>
      <c r="AZ741" s="314">
        <v>1.3381000000000001</v>
      </c>
      <c r="BA741" s="314">
        <v>1.2236</v>
      </c>
      <c r="BB741" s="314">
        <v>1.1748000000000001</v>
      </c>
      <c r="BC741" s="314">
        <v>1.4431</v>
      </c>
      <c r="BD741" s="314">
        <v>1.4641999999999999</v>
      </c>
      <c r="BE741" s="314">
        <v>1.4222999999999999</v>
      </c>
      <c r="BF741" s="314">
        <v>1.3566</v>
      </c>
      <c r="BG741" s="314">
        <v>1.4571000000000001</v>
      </c>
      <c r="BH741" s="314">
        <v>1.3472</v>
      </c>
      <c r="BI741" s="314">
        <v>1.4252</v>
      </c>
      <c r="BJ741" s="314">
        <v>1.4245000000000001</v>
      </c>
      <c r="BK741" s="314">
        <v>1.4616</v>
      </c>
    </row>
    <row r="742" spans="1:63" x14ac:dyDescent="0.25">
      <c r="A742" s="306">
        <v>512100</v>
      </c>
      <c r="B742" s="314" t="s">
        <v>291</v>
      </c>
      <c r="C742" s="314">
        <v>1.5498000000000001</v>
      </c>
      <c r="D742" s="314">
        <v>1.1617</v>
      </c>
      <c r="E742" s="314">
        <v>1.2248000000000001</v>
      </c>
      <c r="F742" s="314">
        <v>1.1757</v>
      </c>
      <c r="G742" s="314">
        <v>1.2819</v>
      </c>
      <c r="H742" s="314">
        <v>1.4823999999999999</v>
      </c>
      <c r="I742" s="314">
        <v>1.3434999999999999</v>
      </c>
      <c r="J742" s="314">
        <v>1.2968</v>
      </c>
      <c r="K742" s="314">
        <v>1.2845</v>
      </c>
      <c r="L742" s="314">
        <v>1.2102999999999999</v>
      </c>
      <c r="M742" s="314">
        <v>1.323</v>
      </c>
      <c r="N742" s="314">
        <v>1.3678999999999999</v>
      </c>
      <c r="O742" s="314">
        <v>1.2956000000000001</v>
      </c>
      <c r="P742" s="314">
        <v>1.1587000000000001</v>
      </c>
      <c r="Q742" s="314">
        <v>1.1677</v>
      </c>
      <c r="R742" s="314">
        <v>1.3633999999999999</v>
      </c>
      <c r="S742" s="314">
        <v>1.2342</v>
      </c>
      <c r="T742" s="314">
        <v>1.1907000000000001</v>
      </c>
      <c r="U742" s="314">
        <v>1.2089000000000001</v>
      </c>
      <c r="V742" s="314">
        <v>1.2529999999999999</v>
      </c>
      <c r="W742" s="314">
        <v>1.3223</v>
      </c>
      <c r="X742" s="314">
        <v>1.3148</v>
      </c>
      <c r="Y742" s="314">
        <v>1.2217</v>
      </c>
      <c r="Z742" s="314">
        <v>1.2844</v>
      </c>
      <c r="AA742" s="314">
        <v>1.2774000000000001</v>
      </c>
      <c r="AB742" s="314">
        <v>1.2779</v>
      </c>
      <c r="AC742" s="314">
        <v>1.1544000000000001</v>
      </c>
      <c r="AD742" s="314">
        <v>1.1785000000000001</v>
      </c>
      <c r="AE742" s="314">
        <v>1.2602</v>
      </c>
      <c r="AF742" s="314">
        <v>1.1241000000000001</v>
      </c>
      <c r="AG742" s="314">
        <v>1.1669</v>
      </c>
      <c r="AH742" s="314">
        <v>1.2676000000000001</v>
      </c>
      <c r="AI742" s="314">
        <v>1.3754</v>
      </c>
      <c r="AJ742" s="314">
        <v>1.3026</v>
      </c>
      <c r="AK742" s="314">
        <v>1.2759</v>
      </c>
      <c r="AL742" s="314">
        <v>1.4434</v>
      </c>
      <c r="AM742" s="314">
        <v>1.2655000000000001</v>
      </c>
      <c r="AN742" s="314">
        <v>1.2110000000000001</v>
      </c>
      <c r="AO742" s="314">
        <v>1.3037000000000001</v>
      </c>
      <c r="AP742" s="314">
        <v>1.3255999999999999</v>
      </c>
      <c r="AQ742" s="314">
        <v>1.2614000000000001</v>
      </c>
      <c r="AR742" s="314">
        <v>1.2321</v>
      </c>
      <c r="AS742" s="314">
        <v>1.1231</v>
      </c>
      <c r="AT742" s="314">
        <v>1.3903000000000001</v>
      </c>
      <c r="AU742" s="314">
        <v>1.3285</v>
      </c>
      <c r="AV742" s="314">
        <v>1.3583000000000001</v>
      </c>
      <c r="AW742" s="314">
        <v>1.3008</v>
      </c>
      <c r="AX742" s="314">
        <v>1.2350000000000001</v>
      </c>
      <c r="AY742" s="314">
        <v>1.2622</v>
      </c>
      <c r="AZ742" s="314">
        <v>1.2282</v>
      </c>
      <c r="BA742" s="314">
        <v>1.1761999999999999</v>
      </c>
      <c r="BB742" s="314">
        <v>1.1285000000000001</v>
      </c>
      <c r="BC742" s="314">
        <v>1.3217000000000001</v>
      </c>
      <c r="BD742" s="314">
        <v>1.4964</v>
      </c>
      <c r="BE742" s="314">
        <v>1.3208</v>
      </c>
      <c r="BF742" s="314">
        <v>1.2395</v>
      </c>
      <c r="BG742" s="314">
        <v>1.3586</v>
      </c>
      <c r="BH742" s="314">
        <v>1.2965</v>
      </c>
      <c r="BI742" s="314">
        <v>1.3166</v>
      </c>
      <c r="BJ742" s="314">
        <v>1.333</v>
      </c>
      <c r="BK742" s="314">
        <v>1.4832000000000001</v>
      </c>
    </row>
    <row r="743" spans="1:63" x14ac:dyDescent="0.25">
      <c r="A743" s="306">
        <v>512200</v>
      </c>
      <c r="B743" s="314" t="s">
        <v>292</v>
      </c>
      <c r="C743" s="314">
        <v>2.0508000000000002</v>
      </c>
      <c r="D743" s="314">
        <v>1.2658</v>
      </c>
      <c r="E743" s="314">
        <v>1.3714</v>
      </c>
      <c r="F743" s="314">
        <v>1.2976000000000001</v>
      </c>
      <c r="G743" s="314">
        <v>1.4519</v>
      </c>
      <c r="H743" s="314">
        <v>1.9129</v>
      </c>
      <c r="I743" s="314">
        <v>1.5811999999999999</v>
      </c>
      <c r="J743" s="314">
        <v>1.4436</v>
      </c>
      <c r="K743" s="314">
        <v>1.4272</v>
      </c>
      <c r="L743" s="314">
        <v>1.3111999999999999</v>
      </c>
      <c r="M743" s="314">
        <v>1.6453</v>
      </c>
      <c r="N743" s="314">
        <v>1.7028000000000001</v>
      </c>
      <c r="O743" s="314">
        <v>1.385</v>
      </c>
      <c r="P743" s="314">
        <v>1.2573000000000001</v>
      </c>
      <c r="Q743" s="314">
        <v>1.2701</v>
      </c>
      <c r="R743" s="314">
        <v>1.6995</v>
      </c>
      <c r="S743" s="314">
        <v>1.4053</v>
      </c>
      <c r="T743" s="314">
        <v>1.2910999999999999</v>
      </c>
      <c r="U743" s="314">
        <v>1.3686</v>
      </c>
      <c r="V743" s="314">
        <v>1.3349</v>
      </c>
      <c r="W743" s="314">
        <v>1.5185</v>
      </c>
      <c r="X743" s="314">
        <v>1.6343000000000001</v>
      </c>
      <c r="Y743" s="314">
        <v>1.3838999999999999</v>
      </c>
      <c r="Z743" s="314">
        <v>1.524</v>
      </c>
      <c r="AA743" s="314">
        <v>1.5398000000000001</v>
      </c>
      <c r="AB743" s="314">
        <v>1.4847999999999999</v>
      </c>
      <c r="AC743" s="314">
        <v>1.3111999999999999</v>
      </c>
      <c r="AD743" s="314">
        <v>1.2805</v>
      </c>
      <c r="AE743" s="314">
        <v>1.4608000000000001</v>
      </c>
      <c r="AF743" s="314">
        <v>1.2039</v>
      </c>
      <c r="AG743" s="314">
        <v>1.2801</v>
      </c>
      <c r="AH743" s="314">
        <v>1.3747</v>
      </c>
      <c r="AI743" s="314">
        <v>1.5936999999999999</v>
      </c>
      <c r="AJ743" s="314">
        <v>1.4801</v>
      </c>
      <c r="AK743" s="314">
        <v>1.677</v>
      </c>
      <c r="AL743" s="314">
        <v>1.8434999999999999</v>
      </c>
      <c r="AM743" s="314">
        <v>1.4785999999999999</v>
      </c>
      <c r="AN743" s="314">
        <v>1.3723000000000001</v>
      </c>
      <c r="AO743" s="314">
        <v>1.4423999999999999</v>
      </c>
      <c r="AP743" s="314">
        <v>1.5923</v>
      </c>
      <c r="AQ743" s="314">
        <v>1.3835999999999999</v>
      </c>
      <c r="AR743" s="314">
        <v>1.3946000000000001</v>
      </c>
      <c r="AS743" s="314">
        <v>1.21</v>
      </c>
      <c r="AT743" s="314">
        <v>1.8147</v>
      </c>
      <c r="AU743" s="314">
        <v>1.8275999999999999</v>
      </c>
      <c r="AV743" s="314">
        <v>1.6407</v>
      </c>
      <c r="AW743" s="314">
        <v>1.4952000000000001</v>
      </c>
      <c r="AX743" s="314">
        <v>1.4474</v>
      </c>
      <c r="AY743" s="314">
        <v>1.4959</v>
      </c>
      <c r="AZ743" s="314">
        <v>1.5218</v>
      </c>
      <c r="BA743" s="314">
        <v>1.2815000000000001</v>
      </c>
      <c r="BB743" s="314">
        <v>1.2242999999999999</v>
      </c>
      <c r="BC743" s="314">
        <v>1.5092000000000001</v>
      </c>
      <c r="BD743" s="314">
        <v>1.9475</v>
      </c>
      <c r="BE743" s="314">
        <v>1.6065</v>
      </c>
      <c r="BF743" s="314">
        <v>1.4229000000000001</v>
      </c>
      <c r="BG743" s="314">
        <v>1.6612</v>
      </c>
      <c r="BH743" s="314">
        <v>1.7673000000000001</v>
      </c>
      <c r="BI743" s="314">
        <v>1.7992999999999999</v>
      </c>
      <c r="BJ743" s="314">
        <v>1.5753999999999999</v>
      </c>
      <c r="BK743" s="314">
        <v>1.9193</v>
      </c>
    </row>
    <row r="744" spans="1:63" x14ac:dyDescent="0.25">
      <c r="A744" s="306">
        <v>515100</v>
      </c>
      <c r="B744" s="314" t="s">
        <v>293</v>
      </c>
      <c r="C744" s="314">
        <v>1.9242999999999999</v>
      </c>
      <c r="D744" s="314">
        <v>1.2719</v>
      </c>
      <c r="E744" s="314">
        <v>1.2907999999999999</v>
      </c>
      <c r="F744" s="314">
        <v>1.2361</v>
      </c>
      <c r="G744" s="314">
        <v>1.4673</v>
      </c>
      <c r="H744" s="314">
        <v>1.8580000000000001</v>
      </c>
      <c r="I744" s="314">
        <v>1.6191</v>
      </c>
      <c r="J744" s="314">
        <v>1.4389000000000001</v>
      </c>
      <c r="K744" s="314">
        <v>1.5847</v>
      </c>
      <c r="L744" s="314">
        <v>1.2132000000000001</v>
      </c>
      <c r="M744" s="314">
        <v>1.5593999999999999</v>
      </c>
      <c r="N744" s="314">
        <v>1.6128</v>
      </c>
      <c r="O744" s="314">
        <v>1.4065000000000001</v>
      </c>
      <c r="P744" s="314">
        <v>1.1927000000000001</v>
      </c>
      <c r="Q744" s="314">
        <v>1.2484</v>
      </c>
      <c r="R744" s="314">
        <v>1.5757000000000001</v>
      </c>
      <c r="S744" s="314">
        <v>1.3727</v>
      </c>
      <c r="T744" s="314">
        <v>1.2529999999999999</v>
      </c>
      <c r="U744" s="314">
        <v>1.3472</v>
      </c>
      <c r="V744" s="314">
        <v>1.5535000000000001</v>
      </c>
      <c r="W744" s="314">
        <v>1.5343</v>
      </c>
      <c r="X744" s="314">
        <v>1.5612999999999999</v>
      </c>
      <c r="Y744" s="314">
        <v>1.3771</v>
      </c>
      <c r="Z744" s="314">
        <v>1.4549000000000001</v>
      </c>
      <c r="AA744" s="314">
        <v>1.4652000000000001</v>
      </c>
      <c r="AB744" s="314">
        <v>1.4933000000000001</v>
      </c>
      <c r="AC744" s="314">
        <v>1.1947000000000001</v>
      </c>
      <c r="AD744" s="314">
        <v>1.286</v>
      </c>
      <c r="AE744" s="314">
        <v>1.4651000000000001</v>
      </c>
      <c r="AF744" s="314">
        <v>1.2122999999999999</v>
      </c>
      <c r="AG744" s="314">
        <v>1.2810999999999999</v>
      </c>
      <c r="AH744" s="314">
        <v>1.2943</v>
      </c>
      <c r="AI744" s="314">
        <v>1.5247999999999999</v>
      </c>
      <c r="AJ744" s="314">
        <v>1.4534</v>
      </c>
      <c r="AK744" s="314">
        <v>1.3761000000000001</v>
      </c>
      <c r="AL744" s="314">
        <v>1.8002</v>
      </c>
      <c r="AM744" s="314">
        <v>1.4282999999999999</v>
      </c>
      <c r="AN744" s="314">
        <v>1.3703000000000001</v>
      </c>
      <c r="AO744" s="314">
        <v>1.494</v>
      </c>
      <c r="AP744" s="314">
        <v>1.5193000000000001</v>
      </c>
      <c r="AQ744" s="314">
        <v>1.3474999999999999</v>
      </c>
      <c r="AR744" s="314">
        <v>1.2692000000000001</v>
      </c>
      <c r="AS744" s="314">
        <v>1.1928000000000001</v>
      </c>
      <c r="AT744" s="314">
        <v>1.7249000000000001</v>
      </c>
      <c r="AU744" s="314">
        <v>1.5565</v>
      </c>
      <c r="AV744" s="314">
        <v>1.6612</v>
      </c>
      <c r="AW744" s="314">
        <v>1.5290999999999999</v>
      </c>
      <c r="AX744" s="314">
        <v>1.2693000000000001</v>
      </c>
      <c r="AY744" s="314">
        <v>1.4453</v>
      </c>
      <c r="AZ744" s="314">
        <v>1.4097999999999999</v>
      </c>
      <c r="BA744" s="314">
        <v>1.2392000000000001</v>
      </c>
      <c r="BB744" s="314">
        <v>1.1716</v>
      </c>
      <c r="BC744" s="314">
        <v>1.5529999999999999</v>
      </c>
      <c r="BD744" s="314">
        <v>1.8680000000000001</v>
      </c>
      <c r="BE744" s="314">
        <v>1.4874000000000001</v>
      </c>
      <c r="BF744" s="314">
        <v>1.4175</v>
      </c>
      <c r="BG744" s="314">
        <v>1.6362000000000001</v>
      </c>
      <c r="BH744" s="314">
        <v>1.4568000000000001</v>
      </c>
      <c r="BI744" s="314">
        <v>1.5375000000000001</v>
      </c>
      <c r="BJ744" s="314">
        <v>1.5739000000000001</v>
      </c>
      <c r="BK744" s="314">
        <v>1.8568</v>
      </c>
    </row>
    <row r="745" spans="1:63" x14ac:dyDescent="0.25">
      <c r="A745" s="306">
        <v>515200</v>
      </c>
      <c r="B745" s="314" t="s">
        <v>294</v>
      </c>
      <c r="C745" s="314">
        <v>1.873</v>
      </c>
      <c r="D745" s="314">
        <v>1.1863999999999999</v>
      </c>
      <c r="E745" s="314">
        <v>1.2775000000000001</v>
      </c>
      <c r="F745" s="314">
        <v>1.2164999999999999</v>
      </c>
      <c r="G745" s="314">
        <v>1.4040999999999999</v>
      </c>
      <c r="H745" s="314">
        <v>1.7713000000000001</v>
      </c>
      <c r="I745" s="314">
        <v>1.5921000000000001</v>
      </c>
      <c r="J745" s="314">
        <v>1.5555000000000001</v>
      </c>
      <c r="K745" s="314">
        <v>1.4837</v>
      </c>
      <c r="L745" s="314">
        <v>1.2339</v>
      </c>
      <c r="M745" s="314">
        <v>1.4381999999999999</v>
      </c>
      <c r="N745" s="314">
        <v>1.5892999999999999</v>
      </c>
      <c r="O745" s="314">
        <v>1.2988999999999999</v>
      </c>
      <c r="P745" s="314">
        <v>1.1909000000000001</v>
      </c>
      <c r="Q745" s="314">
        <v>1.2250000000000001</v>
      </c>
      <c r="R745" s="314">
        <v>1.5109999999999999</v>
      </c>
      <c r="S745" s="314">
        <v>1.2969999999999999</v>
      </c>
      <c r="T745" s="314">
        <v>1.2747999999999999</v>
      </c>
      <c r="U745" s="314">
        <v>1.2847</v>
      </c>
      <c r="V745" s="314">
        <v>1.4642999999999999</v>
      </c>
      <c r="W745" s="314">
        <v>1.4611000000000001</v>
      </c>
      <c r="X745" s="314">
        <v>1.5364</v>
      </c>
      <c r="Y745" s="314">
        <v>1.3882000000000001</v>
      </c>
      <c r="Z745" s="314">
        <v>1.4007000000000001</v>
      </c>
      <c r="AA745" s="314">
        <v>1.4217</v>
      </c>
      <c r="AB745" s="314">
        <v>1.4276</v>
      </c>
      <c r="AC745" s="314">
        <v>1.1788000000000001</v>
      </c>
      <c r="AD745" s="314">
        <v>1.2366999999999999</v>
      </c>
      <c r="AE745" s="314">
        <v>1.4845999999999999</v>
      </c>
      <c r="AF745" s="314">
        <v>0</v>
      </c>
      <c r="AG745" s="314">
        <v>1.35</v>
      </c>
      <c r="AH745" s="314">
        <v>1.3118000000000001</v>
      </c>
      <c r="AI745" s="314">
        <v>1.5585</v>
      </c>
      <c r="AJ745" s="314">
        <v>1.3170999999999999</v>
      </c>
      <c r="AK745" s="314">
        <v>1.3021</v>
      </c>
      <c r="AL745" s="314">
        <v>1.7210000000000001</v>
      </c>
      <c r="AM745" s="314">
        <v>1.3613999999999999</v>
      </c>
      <c r="AN745" s="314">
        <v>1.3897999999999999</v>
      </c>
      <c r="AO745" s="314">
        <v>1.3832</v>
      </c>
      <c r="AP745" s="314">
        <v>1.4719</v>
      </c>
      <c r="AQ745" s="314">
        <v>1.2948999999999999</v>
      </c>
      <c r="AR745" s="314">
        <v>1.2524999999999999</v>
      </c>
      <c r="AS745" s="314">
        <v>1.1394</v>
      </c>
      <c r="AT745" s="314">
        <v>1.6391</v>
      </c>
      <c r="AU745" s="314">
        <v>1.5222</v>
      </c>
      <c r="AV745" s="314">
        <v>1.5991</v>
      </c>
      <c r="AW745" s="314">
        <v>1.5064</v>
      </c>
      <c r="AX745" s="314">
        <v>1.2563</v>
      </c>
      <c r="AY745" s="314">
        <v>1.3447</v>
      </c>
      <c r="AZ745" s="314">
        <v>1.3383</v>
      </c>
      <c r="BA745" s="314">
        <v>1.1878</v>
      </c>
      <c r="BB745" s="314">
        <v>1.1611</v>
      </c>
      <c r="BC745" s="314">
        <v>1.5960000000000001</v>
      </c>
      <c r="BD745" s="314">
        <v>1.7918000000000001</v>
      </c>
      <c r="BE745" s="314">
        <v>1.4298</v>
      </c>
      <c r="BF745" s="314">
        <v>1.3854</v>
      </c>
      <c r="BG745" s="314">
        <v>1.5965</v>
      </c>
      <c r="BH745" s="314">
        <v>1.4117</v>
      </c>
      <c r="BI745" s="314">
        <v>1.5014000000000001</v>
      </c>
      <c r="BJ745" s="314">
        <v>1.5203</v>
      </c>
      <c r="BK745" s="314">
        <v>1.768</v>
      </c>
    </row>
    <row r="746" spans="1:63" x14ac:dyDescent="0.25">
      <c r="A746" s="306">
        <v>517000</v>
      </c>
      <c r="B746" s="314" t="s">
        <v>295</v>
      </c>
      <c r="C746" s="314">
        <v>1.6820999999999999</v>
      </c>
      <c r="D746" s="314">
        <v>1.3822000000000001</v>
      </c>
      <c r="E746" s="314">
        <v>1.3877999999999999</v>
      </c>
      <c r="F746" s="314">
        <v>1.3584000000000001</v>
      </c>
      <c r="G746" s="314">
        <v>1.4201999999999999</v>
      </c>
      <c r="H746" s="314">
        <v>1.6059000000000001</v>
      </c>
      <c r="I746" s="314">
        <v>1.5585</v>
      </c>
      <c r="J746" s="314">
        <v>1.4885999999999999</v>
      </c>
      <c r="K746" s="314">
        <v>1.3866000000000001</v>
      </c>
      <c r="L746" s="314">
        <v>1.3718999999999999</v>
      </c>
      <c r="M746" s="314">
        <v>1.4770000000000001</v>
      </c>
      <c r="N746" s="314">
        <v>1.5547</v>
      </c>
      <c r="O746" s="314">
        <v>1.4407000000000001</v>
      </c>
      <c r="P746" s="314">
        <v>1.2485999999999999</v>
      </c>
      <c r="Q746" s="314">
        <v>1.2907999999999999</v>
      </c>
      <c r="R746" s="314">
        <v>1.5184</v>
      </c>
      <c r="S746" s="314">
        <v>1.3531</v>
      </c>
      <c r="T746" s="314">
        <v>1.4117999999999999</v>
      </c>
      <c r="U746" s="314">
        <v>1.3546</v>
      </c>
      <c r="V746" s="314">
        <v>1.3788</v>
      </c>
      <c r="W746" s="314">
        <v>1.5019</v>
      </c>
      <c r="X746" s="314">
        <v>1.5199</v>
      </c>
      <c r="Y746" s="314">
        <v>1.3179000000000001</v>
      </c>
      <c r="Z746" s="314">
        <v>1.3873</v>
      </c>
      <c r="AA746" s="314">
        <v>1.3942000000000001</v>
      </c>
      <c r="AB746" s="314">
        <v>1.4994000000000001</v>
      </c>
      <c r="AC746" s="314">
        <v>1.296</v>
      </c>
      <c r="AD746" s="314">
        <v>1.3152999999999999</v>
      </c>
      <c r="AE746" s="314">
        <v>1.3979999999999999</v>
      </c>
      <c r="AF746" s="314">
        <v>1.2255</v>
      </c>
      <c r="AG746" s="314">
        <v>1.2597</v>
      </c>
      <c r="AH746" s="314">
        <v>1.4195</v>
      </c>
      <c r="AI746" s="314">
        <v>1.5492999999999999</v>
      </c>
      <c r="AJ746" s="314">
        <v>1.3932</v>
      </c>
      <c r="AK746" s="314">
        <v>1.3431999999999999</v>
      </c>
      <c r="AL746" s="314">
        <v>1.4789000000000001</v>
      </c>
      <c r="AM746" s="314">
        <v>1.4297</v>
      </c>
      <c r="AN746" s="314">
        <v>1.4527000000000001</v>
      </c>
      <c r="AO746" s="314">
        <v>1.3794999999999999</v>
      </c>
      <c r="AP746" s="314">
        <v>1.5064</v>
      </c>
      <c r="AQ746" s="314">
        <v>1.4367000000000001</v>
      </c>
      <c r="AR746" s="314">
        <v>1.4242999999999999</v>
      </c>
      <c r="AS746" s="314">
        <v>1.2477</v>
      </c>
      <c r="AT746" s="314">
        <v>1.4672000000000001</v>
      </c>
      <c r="AU746" s="314">
        <v>1.5645</v>
      </c>
      <c r="AV746" s="314">
        <v>1.4317</v>
      </c>
      <c r="AW746" s="314">
        <v>1.5327999999999999</v>
      </c>
      <c r="AX746" s="314">
        <v>1.3514999999999999</v>
      </c>
      <c r="AY746" s="314">
        <v>1.4830000000000001</v>
      </c>
      <c r="AZ746" s="314">
        <v>1.3434999999999999</v>
      </c>
      <c r="BA746" s="314">
        <v>1.3255999999999999</v>
      </c>
      <c r="BB746" s="314">
        <v>1.2508999999999999</v>
      </c>
      <c r="BC746" s="314">
        <v>1.5178</v>
      </c>
      <c r="BD746" s="314">
        <v>1.5842000000000001</v>
      </c>
      <c r="BE746" s="314">
        <v>1.4548000000000001</v>
      </c>
      <c r="BF746" s="314">
        <v>1.4421999999999999</v>
      </c>
      <c r="BG746" s="314">
        <v>1.5670999999999999</v>
      </c>
      <c r="BH746" s="314">
        <v>1.4194</v>
      </c>
      <c r="BI746" s="314">
        <v>1.5543</v>
      </c>
      <c r="BJ746" s="314">
        <v>1.5349999999999999</v>
      </c>
      <c r="BK746" s="314">
        <v>1.6093</v>
      </c>
    </row>
    <row r="747" spans="1:63" x14ac:dyDescent="0.25">
      <c r="A747" s="306" t="s">
        <v>763</v>
      </c>
      <c r="B747" s="314" t="s">
        <v>764</v>
      </c>
      <c r="C747" s="314">
        <v>1.5588</v>
      </c>
      <c r="D747" s="314">
        <v>1.2741</v>
      </c>
      <c r="E747" s="314">
        <v>1.3130999999999999</v>
      </c>
      <c r="F747" s="314">
        <v>1.2804</v>
      </c>
      <c r="G747" s="314">
        <v>1.3863000000000001</v>
      </c>
      <c r="H747" s="314">
        <v>1.4729000000000001</v>
      </c>
      <c r="I747" s="314">
        <v>1.4607000000000001</v>
      </c>
      <c r="J747" s="314">
        <v>1.4041999999999999</v>
      </c>
      <c r="K747" s="314">
        <v>1.2882</v>
      </c>
      <c r="L747" s="314">
        <v>1.3260000000000001</v>
      </c>
      <c r="M747" s="314">
        <v>1.4056999999999999</v>
      </c>
      <c r="N747" s="314">
        <v>1.4711000000000001</v>
      </c>
      <c r="O747" s="314">
        <v>1.3217000000000001</v>
      </c>
      <c r="P747" s="314">
        <v>1.2334000000000001</v>
      </c>
      <c r="Q747" s="314">
        <v>1.2457</v>
      </c>
      <c r="R747" s="314">
        <v>1.4645999999999999</v>
      </c>
      <c r="S747" s="314">
        <v>1.3297000000000001</v>
      </c>
      <c r="T747" s="314">
        <v>1.3089999999999999</v>
      </c>
      <c r="U747" s="314">
        <v>1.3317000000000001</v>
      </c>
      <c r="V747" s="314">
        <v>1.3158000000000001</v>
      </c>
      <c r="W747" s="314">
        <v>1.4272</v>
      </c>
      <c r="X747" s="314">
        <v>1.415</v>
      </c>
      <c r="Y747" s="314">
        <v>1.2939000000000001</v>
      </c>
      <c r="Z747" s="314">
        <v>1.3692</v>
      </c>
      <c r="AA747" s="314">
        <v>1.3874</v>
      </c>
      <c r="AB747" s="314">
        <v>1.403</v>
      </c>
      <c r="AC747" s="314">
        <v>1.2423</v>
      </c>
      <c r="AD747" s="314">
        <v>1.2688999999999999</v>
      </c>
      <c r="AE747" s="314">
        <v>1.3528</v>
      </c>
      <c r="AF747" s="314">
        <v>1.2001999999999999</v>
      </c>
      <c r="AG747" s="314">
        <v>1.2439</v>
      </c>
      <c r="AH747" s="314">
        <v>1.3755999999999999</v>
      </c>
      <c r="AI747" s="314">
        <v>1.476</v>
      </c>
      <c r="AJ747" s="314">
        <v>1.2735000000000001</v>
      </c>
      <c r="AK747" s="314">
        <v>1.3146</v>
      </c>
      <c r="AL747" s="314">
        <v>1.3963000000000001</v>
      </c>
      <c r="AM747" s="314">
        <v>1.3939999999999999</v>
      </c>
      <c r="AN747" s="314">
        <v>1.3412999999999999</v>
      </c>
      <c r="AO747" s="314">
        <v>1.3753</v>
      </c>
      <c r="AP747" s="314">
        <v>1.4381999999999999</v>
      </c>
      <c r="AQ747" s="314">
        <v>1.3517999999999999</v>
      </c>
      <c r="AR747" s="314">
        <v>1.353</v>
      </c>
      <c r="AS747" s="314">
        <v>1.1815</v>
      </c>
      <c r="AT747" s="314">
        <v>1.3953</v>
      </c>
      <c r="AU747" s="314">
        <v>1.4614</v>
      </c>
      <c r="AV747" s="314">
        <v>1.4158999999999999</v>
      </c>
      <c r="AW747" s="314">
        <v>1.4380999999999999</v>
      </c>
      <c r="AX747" s="314">
        <v>1.2854000000000001</v>
      </c>
      <c r="AY747" s="314">
        <v>1.3991</v>
      </c>
      <c r="AZ747" s="314">
        <v>1.3282</v>
      </c>
      <c r="BA747" s="314">
        <v>1.2554000000000001</v>
      </c>
      <c r="BB747" s="314">
        <v>1.2041999999999999</v>
      </c>
      <c r="BC747" s="314">
        <v>1.4337</v>
      </c>
      <c r="BD747" s="314">
        <v>1.4729000000000001</v>
      </c>
      <c r="BE747" s="314">
        <v>1.4262999999999999</v>
      </c>
      <c r="BF747" s="314">
        <v>1.3731</v>
      </c>
      <c r="BG747" s="314">
        <v>1.4722</v>
      </c>
      <c r="BH747" s="314">
        <v>1.3657999999999999</v>
      </c>
      <c r="BI747" s="314">
        <v>1.4515</v>
      </c>
      <c r="BJ747" s="314">
        <v>1.4400999999999999</v>
      </c>
      <c r="BK747" s="314">
        <v>1.4798</v>
      </c>
    </row>
    <row r="748" spans="1:63" x14ac:dyDescent="0.25">
      <c r="A748" s="306" t="s">
        <v>765</v>
      </c>
      <c r="B748" s="314" t="s">
        <v>296</v>
      </c>
      <c r="C748" s="314">
        <v>1.569</v>
      </c>
      <c r="D748" s="314">
        <v>1.2593000000000001</v>
      </c>
      <c r="E748" s="314">
        <v>1.3307</v>
      </c>
      <c r="F748" s="314">
        <v>1.2786999999999999</v>
      </c>
      <c r="G748" s="314">
        <v>1.4108000000000001</v>
      </c>
      <c r="H748" s="314">
        <v>1.4777</v>
      </c>
      <c r="I748" s="314">
        <v>1.4842</v>
      </c>
      <c r="J748" s="314">
        <v>1.4573</v>
      </c>
      <c r="K748" s="314">
        <v>1.2858000000000001</v>
      </c>
      <c r="L748" s="314">
        <v>1.4258999999999999</v>
      </c>
      <c r="M748" s="314">
        <v>1.4470000000000001</v>
      </c>
      <c r="N748" s="314">
        <v>1.4814000000000001</v>
      </c>
      <c r="O748" s="314">
        <v>1.3365</v>
      </c>
      <c r="P748" s="314">
        <v>1.3121</v>
      </c>
      <c r="Q748" s="314">
        <v>1.2642</v>
      </c>
      <c r="R748" s="314">
        <v>1.518</v>
      </c>
      <c r="S748" s="314">
        <v>1.3132999999999999</v>
      </c>
      <c r="T748" s="314">
        <v>1.3281000000000001</v>
      </c>
      <c r="U748" s="314">
        <v>1.3619000000000001</v>
      </c>
      <c r="V748" s="314">
        <v>1.3291999999999999</v>
      </c>
      <c r="W748" s="314">
        <v>1.4641</v>
      </c>
      <c r="X748" s="314">
        <v>1.4359999999999999</v>
      </c>
      <c r="Y748" s="314">
        <v>1.3675999999999999</v>
      </c>
      <c r="Z748" s="314">
        <v>1.3692</v>
      </c>
      <c r="AA748" s="314">
        <v>1.4322999999999999</v>
      </c>
      <c r="AB748" s="314">
        <v>1.4463999999999999</v>
      </c>
      <c r="AC748" s="314">
        <v>1.2765</v>
      </c>
      <c r="AD748" s="314">
        <v>1.3009999999999999</v>
      </c>
      <c r="AE748" s="314">
        <v>1.3656999999999999</v>
      </c>
      <c r="AF748" s="314">
        <v>1.2358</v>
      </c>
      <c r="AG748" s="314">
        <v>1.3093999999999999</v>
      </c>
      <c r="AH748" s="314">
        <v>1.3994</v>
      </c>
      <c r="AI748" s="314">
        <v>1.5130999999999999</v>
      </c>
      <c r="AJ748" s="314">
        <v>1.2614000000000001</v>
      </c>
      <c r="AK748" s="314">
        <v>1.3646</v>
      </c>
      <c r="AL748" s="314">
        <v>1.4982</v>
      </c>
      <c r="AM748" s="314">
        <v>1.4086000000000001</v>
      </c>
      <c r="AN748" s="314">
        <v>1.3335999999999999</v>
      </c>
      <c r="AO748" s="314">
        <v>1.3831</v>
      </c>
      <c r="AP748" s="314">
        <v>1.4518</v>
      </c>
      <c r="AQ748" s="314">
        <v>1.4240999999999999</v>
      </c>
      <c r="AR748" s="314">
        <v>1.3781000000000001</v>
      </c>
      <c r="AS748" s="314">
        <v>1.2916000000000001</v>
      </c>
      <c r="AT748" s="314">
        <v>1.4325000000000001</v>
      </c>
      <c r="AU748" s="314">
        <v>1.4722</v>
      </c>
      <c r="AV748" s="314">
        <v>1.4655</v>
      </c>
      <c r="AW748" s="314">
        <v>1.4259999999999999</v>
      </c>
      <c r="AX748" s="314">
        <v>1.3037000000000001</v>
      </c>
      <c r="AY748" s="314">
        <v>1.399</v>
      </c>
      <c r="AZ748" s="314">
        <v>1.3576999999999999</v>
      </c>
      <c r="BA748" s="314">
        <v>1.2652000000000001</v>
      </c>
      <c r="BB748" s="314">
        <v>1.2102999999999999</v>
      </c>
      <c r="BC748" s="314">
        <v>1.4825999999999999</v>
      </c>
      <c r="BD748" s="314">
        <v>1.5306999999999999</v>
      </c>
      <c r="BE748" s="314">
        <v>1.448</v>
      </c>
      <c r="BF748" s="314">
        <v>1.4088000000000001</v>
      </c>
      <c r="BG748" s="314">
        <v>1.4872000000000001</v>
      </c>
      <c r="BH748" s="314">
        <v>1.3945000000000001</v>
      </c>
      <c r="BI748" s="314">
        <v>1.462</v>
      </c>
      <c r="BJ748" s="314">
        <v>1.4391</v>
      </c>
      <c r="BK748" s="314">
        <v>1.4684999999999999</v>
      </c>
    </row>
    <row r="749" spans="1:63" x14ac:dyDescent="0.25">
      <c r="A749" s="306">
        <v>523000</v>
      </c>
      <c r="B749" s="314" t="s">
        <v>297</v>
      </c>
      <c r="C749" s="314">
        <v>1.6196999999999999</v>
      </c>
      <c r="D749" s="314">
        <v>1.2428999999999999</v>
      </c>
      <c r="E749" s="314">
        <v>1.2870999999999999</v>
      </c>
      <c r="F749" s="314">
        <v>1.2502</v>
      </c>
      <c r="G749" s="314">
        <v>1.3898999999999999</v>
      </c>
      <c r="H749" s="314">
        <v>1.5192000000000001</v>
      </c>
      <c r="I749" s="314">
        <v>1.5154000000000001</v>
      </c>
      <c r="J749" s="314">
        <v>1.5085</v>
      </c>
      <c r="K749" s="314">
        <v>1.3676999999999999</v>
      </c>
      <c r="L749" s="314">
        <v>1.4302999999999999</v>
      </c>
      <c r="M749" s="314">
        <v>1.4393</v>
      </c>
      <c r="N749" s="314">
        <v>1.4766999999999999</v>
      </c>
      <c r="O749" s="314">
        <v>1.3129999999999999</v>
      </c>
      <c r="P749" s="314">
        <v>1.2408999999999999</v>
      </c>
      <c r="Q749" s="314">
        <v>1.2262999999999999</v>
      </c>
      <c r="R749" s="314">
        <v>1.5624</v>
      </c>
      <c r="S749" s="314">
        <v>1.2827999999999999</v>
      </c>
      <c r="T749" s="314">
        <v>1.3004</v>
      </c>
      <c r="U749" s="314">
        <v>1.3156000000000001</v>
      </c>
      <c r="V749" s="314">
        <v>1.2735000000000001</v>
      </c>
      <c r="W749" s="314">
        <v>1.5189999999999999</v>
      </c>
      <c r="X749" s="314">
        <v>1.4843999999999999</v>
      </c>
      <c r="Y749" s="314">
        <v>1.3073999999999999</v>
      </c>
      <c r="Z749" s="314">
        <v>1.3376999999999999</v>
      </c>
      <c r="AA749" s="314">
        <v>1.4272</v>
      </c>
      <c r="AB749" s="314">
        <v>1.4127000000000001</v>
      </c>
      <c r="AC749" s="314">
        <v>1.216</v>
      </c>
      <c r="AD749" s="314">
        <v>1.2446999999999999</v>
      </c>
      <c r="AE749" s="314">
        <v>1.3567</v>
      </c>
      <c r="AF749" s="314">
        <v>1.1847000000000001</v>
      </c>
      <c r="AG749" s="314">
        <v>1.2628999999999999</v>
      </c>
      <c r="AH749" s="314">
        <v>1.4480999999999999</v>
      </c>
      <c r="AI749" s="314">
        <v>1.5647</v>
      </c>
      <c r="AJ749" s="314">
        <v>1.2507999999999999</v>
      </c>
      <c r="AK749" s="314">
        <v>1.3161</v>
      </c>
      <c r="AL749" s="314">
        <v>1.5290999999999999</v>
      </c>
      <c r="AM749" s="314">
        <v>1.377</v>
      </c>
      <c r="AN749" s="314">
        <v>1.3</v>
      </c>
      <c r="AO749" s="314">
        <v>1.3449</v>
      </c>
      <c r="AP749" s="314">
        <v>1.4440999999999999</v>
      </c>
      <c r="AQ749" s="314">
        <v>1.4501999999999999</v>
      </c>
      <c r="AR749" s="314">
        <v>1.3442000000000001</v>
      </c>
      <c r="AS749" s="314">
        <v>1.2008000000000001</v>
      </c>
      <c r="AT749" s="314">
        <v>1.4020999999999999</v>
      </c>
      <c r="AU749" s="314">
        <v>1.4897</v>
      </c>
      <c r="AV749" s="314">
        <v>1.4245000000000001</v>
      </c>
      <c r="AW749" s="314">
        <v>1.4473</v>
      </c>
      <c r="AX749" s="314">
        <v>1.2927999999999999</v>
      </c>
      <c r="AY749" s="314">
        <v>1.3896999999999999</v>
      </c>
      <c r="AZ749" s="314">
        <v>1.3149999999999999</v>
      </c>
      <c r="BA749" s="314">
        <v>1.2165999999999999</v>
      </c>
      <c r="BB749" s="314">
        <v>1.1717</v>
      </c>
      <c r="BC749" s="314">
        <v>1.5304</v>
      </c>
      <c r="BD749" s="314">
        <v>1.5748</v>
      </c>
      <c r="BE749" s="314">
        <v>1.4433</v>
      </c>
      <c r="BF749" s="314">
        <v>1.3705000000000001</v>
      </c>
      <c r="BG749" s="314">
        <v>1.4851000000000001</v>
      </c>
      <c r="BH749" s="314">
        <v>1.3429</v>
      </c>
      <c r="BI749" s="314">
        <v>1.4616</v>
      </c>
      <c r="BJ749" s="314">
        <v>1.4338</v>
      </c>
      <c r="BK749" s="314">
        <v>1.498</v>
      </c>
    </row>
    <row r="750" spans="1:63" x14ac:dyDescent="0.25">
      <c r="A750" s="306">
        <v>524100</v>
      </c>
      <c r="B750" s="314" t="s">
        <v>298</v>
      </c>
      <c r="C750" s="314">
        <v>1.7067000000000001</v>
      </c>
      <c r="D750" s="314">
        <v>1.2542</v>
      </c>
      <c r="E750" s="314">
        <v>1.4616</v>
      </c>
      <c r="F750" s="314">
        <v>1.3387</v>
      </c>
      <c r="G750" s="314">
        <v>1.5557000000000001</v>
      </c>
      <c r="H750" s="314">
        <v>1.6208</v>
      </c>
      <c r="I750" s="314">
        <v>1.5869</v>
      </c>
      <c r="J750" s="314">
        <v>1.6303000000000001</v>
      </c>
      <c r="K750" s="314">
        <v>1.2694000000000001</v>
      </c>
      <c r="L750" s="314">
        <v>1.5912999999999999</v>
      </c>
      <c r="M750" s="314">
        <v>1.5935999999999999</v>
      </c>
      <c r="N750" s="314">
        <v>1.6357999999999999</v>
      </c>
      <c r="O750" s="314">
        <v>1.3967000000000001</v>
      </c>
      <c r="P750" s="314">
        <v>1.4797</v>
      </c>
      <c r="Q750" s="314">
        <v>1.304</v>
      </c>
      <c r="R750" s="314">
        <v>1.6745000000000001</v>
      </c>
      <c r="S750" s="314">
        <v>1.4517</v>
      </c>
      <c r="T750" s="314">
        <v>1.5128999999999999</v>
      </c>
      <c r="U750" s="314">
        <v>1.5187999999999999</v>
      </c>
      <c r="V750" s="314">
        <v>1.4930000000000001</v>
      </c>
      <c r="W750" s="314">
        <v>1.6554</v>
      </c>
      <c r="X750" s="314">
        <v>1.6034999999999999</v>
      </c>
      <c r="Y750" s="314">
        <v>1.5362</v>
      </c>
      <c r="Z750" s="314">
        <v>1.4585999999999999</v>
      </c>
      <c r="AA750" s="314">
        <v>1.5973999999999999</v>
      </c>
      <c r="AB750" s="314">
        <v>1.5932999999999999</v>
      </c>
      <c r="AC750" s="314">
        <v>1.3637999999999999</v>
      </c>
      <c r="AD750" s="314">
        <v>1.4657</v>
      </c>
      <c r="AE750" s="314">
        <v>1.4031</v>
      </c>
      <c r="AF750" s="314">
        <v>1.2902</v>
      </c>
      <c r="AG750" s="314">
        <v>1.4556</v>
      </c>
      <c r="AH750" s="314">
        <v>1.5952</v>
      </c>
      <c r="AI750" s="314">
        <v>1.6597</v>
      </c>
      <c r="AJ750" s="314">
        <v>1.2830999999999999</v>
      </c>
      <c r="AK750" s="314">
        <v>1.4287000000000001</v>
      </c>
      <c r="AL750" s="314">
        <v>1.6419999999999999</v>
      </c>
      <c r="AM750" s="314">
        <v>1.5498000000000001</v>
      </c>
      <c r="AN750" s="314">
        <v>1.4229000000000001</v>
      </c>
      <c r="AO750" s="314">
        <v>1.4971000000000001</v>
      </c>
      <c r="AP750" s="314">
        <v>1.6274</v>
      </c>
      <c r="AQ750" s="314">
        <v>1.5893999999999999</v>
      </c>
      <c r="AR750" s="314">
        <v>1.5235000000000001</v>
      </c>
      <c r="AS750" s="314">
        <v>1.3956999999999999</v>
      </c>
      <c r="AT750" s="314">
        <v>1.5824</v>
      </c>
      <c r="AU750" s="314">
        <v>1.6287</v>
      </c>
      <c r="AV750" s="314">
        <v>1.5985</v>
      </c>
      <c r="AW750" s="314">
        <v>1.4703999999999999</v>
      </c>
      <c r="AX750" s="314">
        <v>1.4420999999999999</v>
      </c>
      <c r="AY750" s="314">
        <v>1.4879</v>
      </c>
      <c r="AZ750" s="314">
        <v>1.5005999999999999</v>
      </c>
      <c r="BA750" s="314">
        <v>1.3824000000000001</v>
      </c>
      <c r="BB750" s="314">
        <v>1.2185999999999999</v>
      </c>
      <c r="BC750" s="314">
        <v>1.6553</v>
      </c>
      <c r="BD750" s="314">
        <v>1.6758999999999999</v>
      </c>
      <c r="BE750" s="314">
        <v>1.5939000000000001</v>
      </c>
      <c r="BF750" s="314">
        <v>1.5677000000000001</v>
      </c>
      <c r="BG750" s="314">
        <v>1.6137999999999999</v>
      </c>
      <c r="BH750" s="314">
        <v>1.5427999999999999</v>
      </c>
      <c r="BI750" s="314">
        <v>1.6087</v>
      </c>
      <c r="BJ750" s="314">
        <v>1.5279</v>
      </c>
      <c r="BK750" s="314">
        <v>1.5958000000000001</v>
      </c>
    </row>
    <row r="751" spans="1:63" x14ac:dyDescent="0.25">
      <c r="A751" s="306">
        <v>524200</v>
      </c>
      <c r="B751" s="314" t="s">
        <v>299</v>
      </c>
      <c r="C751" s="314">
        <v>1.6577999999999999</v>
      </c>
      <c r="D751" s="314">
        <v>1.298</v>
      </c>
      <c r="E751" s="314">
        <v>1.4218999999999999</v>
      </c>
      <c r="F751" s="314">
        <v>1.3208</v>
      </c>
      <c r="G751" s="314">
        <v>1.5328999999999999</v>
      </c>
      <c r="H751" s="314">
        <v>1.5878000000000001</v>
      </c>
      <c r="I751" s="314">
        <v>1.5606</v>
      </c>
      <c r="J751" s="314">
        <v>1.5437000000000001</v>
      </c>
      <c r="K751" s="314">
        <v>1.3308</v>
      </c>
      <c r="L751" s="314">
        <v>1.5167999999999999</v>
      </c>
      <c r="M751" s="314">
        <v>1.5563</v>
      </c>
      <c r="N751" s="314">
        <v>1.5954999999999999</v>
      </c>
      <c r="O751" s="314">
        <v>1.4120999999999999</v>
      </c>
      <c r="P751" s="314">
        <v>1.3740000000000001</v>
      </c>
      <c r="Q751" s="314">
        <v>1.3048</v>
      </c>
      <c r="R751" s="314">
        <v>1.609</v>
      </c>
      <c r="S751" s="314">
        <v>1.4192</v>
      </c>
      <c r="T751" s="314">
        <v>1.4496</v>
      </c>
      <c r="U751" s="314">
        <v>1.4484999999999999</v>
      </c>
      <c r="V751" s="314">
        <v>1.4508000000000001</v>
      </c>
      <c r="W751" s="314">
        <v>1.5772999999999999</v>
      </c>
      <c r="X751" s="314">
        <v>1.5653999999999999</v>
      </c>
      <c r="Y751" s="314">
        <v>1.4491000000000001</v>
      </c>
      <c r="Z751" s="314">
        <v>1.4397</v>
      </c>
      <c r="AA751" s="314">
        <v>1.5095000000000001</v>
      </c>
      <c r="AB751" s="314">
        <v>1.5168999999999999</v>
      </c>
      <c r="AC751" s="314">
        <v>1.3322000000000001</v>
      </c>
      <c r="AD751" s="314">
        <v>1.3972</v>
      </c>
      <c r="AE751" s="314">
        <v>1.4154</v>
      </c>
      <c r="AF751" s="314">
        <v>1.2437</v>
      </c>
      <c r="AG751" s="314">
        <v>1.3583000000000001</v>
      </c>
      <c r="AH751" s="314">
        <v>1.5271999999999999</v>
      </c>
      <c r="AI751" s="314">
        <v>1.6033999999999999</v>
      </c>
      <c r="AJ751" s="314">
        <v>1.329</v>
      </c>
      <c r="AK751" s="314">
        <v>1.4133</v>
      </c>
      <c r="AL751" s="314">
        <v>1.5584</v>
      </c>
      <c r="AM751" s="314">
        <v>1.5058</v>
      </c>
      <c r="AN751" s="314">
        <v>1.4191</v>
      </c>
      <c r="AO751" s="314">
        <v>1.4535</v>
      </c>
      <c r="AP751" s="314">
        <v>1.5561</v>
      </c>
      <c r="AQ751" s="314">
        <v>1.4955000000000001</v>
      </c>
      <c r="AR751" s="314">
        <v>1.4983</v>
      </c>
      <c r="AS751" s="314">
        <v>1.3015000000000001</v>
      </c>
      <c r="AT751" s="314">
        <v>1.5346</v>
      </c>
      <c r="AU751" s="314">
        <v>1.599</v>
      </c>
      <c r="AV751" s="314">
        <v>1.5409999999999999</v>
      </c>
      <c r="AW751" s="314">
        <v>1.4907999999999999</v>
      </c>
      <c r="AX751" s="314">
        <v>1.3803000000000001</v>
      </c>
      <c r="AY751" s="314">
        <v>1.4725999999999999</v>
      </c>
      <c r="AZ751" s="314">
        <v>1.4277</v>
      </c>
      <c r="BA751" s="314">
        <v>1.3479000000000001</v>
      </c>
      <c r="BB751" s="314">
        <v>1.226</v>
      </c>
      <c r="BC751" s="314">
        <v>1.5726</v>
      </c>
      <c r="BD751" s="314">
        <v>1.6022000000000001</v>
      </c>
      <c r="BE751" s="314">
        <v>1.5406</v>
      </c>
      <c r="BF751" s="314">
        <v>1.4783999999999999</v>
      </c>
      <c r="BG751" s="314">
        <v>1.5871999999999999</v>
      </c>
      <c r="BH751" s="314">
        <v>1.4884999999999999</v>
      </c>
      <c r="BI751" s="314">
        <v>1.5862000000000001</v>
      </c>
      <c r="BJ751" s="314">
        <v>1.5306</v>
      </c>
      <c r="BK751" s="314">
        <v>1.5732999999999999</v>
      </c>
    </row>
    <row r="752" spans="1:63" x14ac:dyDescent="0.25">
      <c r="A752" s="306">
        <v>525000</v>
      </c>
      <c r="B752" s="314" t="s">
        <v>300</v>
      </c>
      <c r="C752" s="314">
        <v>2.2965</v>
      </c>
      <c r="D752" s="314">
        <v>1.2918000000000001</v>
      </c>
      <c r="E752" s="314">
        <v>1.3705000000000001</v>
      </c>
      <c r="F752" s="314">
        <v>1.3413999999999999</v>
      </c>
      <c r="G752" s="314">
        <v>1.5182</v>
      </c>
      <c r="H752" s="314">
        <v>1.9927999999999999</v>
      </c>
      <c r="I752" s="314">
        <v>1.9144000000000001</v>
      </c>
      <c r="J752" s="314">
        <v>2.1648999999999998</v>
      </c>
      <c r="K752" s="314">
        <v>1.5417000000000001</v>
      </c>
      <c r="L752" s="314">
        <v>1.8916999999999999</v>
      </c>
      <c r="M752" s="314">
        <v>1.6900999999999999</v>
      </c>
      <c r="N752" s="314">
        <v>1.6793</v>
      </c>
      <c r="O752" s="314">
        <v>1.3583000000000001</v>
      </c>
      <c r="P752" s="314">
        <v>1.3119000000000001</v>
      </c>
      <c r="Q752" s="314">
        <v>1.2895000000000001</v>
      </c>
      <c r="R752" s="314">
        <v>2.2458</v>
      </c>
      <c r="S752" s="314">
        <v>1.3682000000000001</v>
      </c>
      <c r="T752" s="314">
        <v>1.4507000000000001</v>
      </c>
      <c r="U752" s="314">
        <v>1.4315</v>
      </c>
      <c r="V752" s="314">
        <v>1.3389</v>
      </c>
      <c r="W752" s="314">
        <v>2.2035</v>
      </c>
      <c r="X752" s="314">
        <v>1.9315</v>
      </c>
      <c r="Y752" s="314">
        <v>1.4176</v>
      </c>
      <c r="Z752" s="314">
        <v>1.4253</v>
      </c>
      <c r="AA752" s="314">
        <v>1.8472</v>
      </c>
      <c r="AB752" s="314">
        <v>1.6157999999999999</v>
      </c>
      <c r="AC752" s="314">
        <v>1.2634000000000001</v>
      </c>
      <c r="AD752" s="314">
        <v>1.3763000000000001</v>
      </c>
      <c r="AE752" s="314">
        <v>1.5458000000000001</v>
      </c>
      <c r="AF752" s="314">
        <v>1.2470000000000001</v>
      </c>
      <c r="AG752" s="314">
        <v>1.3439000000000001</v>
      </c>
      <c r="AH752" s="314">
        <v>2.0291999999999999</v>
      </c>
      <c r="AI752" s="314">
        <v>2.2368999999999999</v>
      </c>
      <c r="AJ752" s="314">
        <v>1.3009999999999999</v>
      </c>
      <c r="AK752" s="314">
        <v>1.3163</v>
      </c>
      <c r="AL752" s="314">
        <v>2.2145999999999999</v>
      </c>
      <c r="AM752" s="314">
        <v>1.4890000000000001</v>
      </c>
      <c r="AN752" s="314">
        <v>1.3861000000000001</v>
      </c>
      <c r="AO752" s="314">
        <v>1.423</v>
      </c>
      <c r="AP752" s="314">
        <v>1.7498</v>
      </c>
      <c r="AQ752" s="314">
        <v>2.0891000000000002</v>
      </c>
      <c r="AR752" s="314">
        <v>1.3808</v>
      </c>
      <c r="AS752" s="314">
        <v>1.2706</v>
      </c>
      <c r="AT752" s="314">
        <v>1.6515</v>
      </c>
      <c r="AU752" s="314">
        <v>1.7797000000000001</v>
      </c>
      <c r="AV752" s="314">
        <v>1.5755999999999999</v>
      </c>
      <c r="AW752" s="314">
        <v>1.5664</v>
      </c>
      <c r="AX752" s="314">
        <v>1.5034000000000001</v>
      </c>
      <c r="AY752" s="314">
        <v>1.552</v>
      </c>
      <c r="AZ752" s="314">
        <v>1.5133000000000001</v>
      </c>
      <c r="BA752" s="314">
        <v>1.2568999999999999</v>
      </c>
      <c r="BB752" s="314">
        <v>1.2488999999999999</v>
      </c>
      <c r="BC752" s="314">
        <v>2.2122999999999999</v>
      </c>
      <c r="BD752" s="314">
        <v>2.2536999999999998</v>
      </c>
      <c r="BE752" s="314">
        <v>1.7931999999999999</v>
      </c>
      <c r="BF752" s="314">
        <v>1.5578000000000001</v>
      </c>
      <c r="BG752" s="314">
        <v>1.6920999999999999</v>
      </c>
      <c r="BH752" s="314">
        <v>1.4845999999999999</v>
      </c>
      <c r="BI752" s="314">
        <v>1.673</v>
      </c>
      <c r="BJ752" s="314">
        <v>1.5656000000000001</v>
      </c>
      <c r="BK752" s="314">
        <v>1.8725000000000001</v>
      </c>
    </row>
    <row r="753" spans="1:63" x14ac:dyDescent="0.25">
      <c r="A753" s="306" t="s">
        <v>766</v>
      </c>
      <c r="B753" s="314" t="s">
        <v>767</v>
      </c>
      <c r="C753" s="314">
        <v>1.4744999999999999</v>
      </c>
      <c r="D753" s="314">
        <v>1.2072000000000001</v>
      </c>
      <c r="E753" s="314">
        <v>1.2473000000000001</v>
      </c>
      <c r="F753" s="314">
        <v>1.2038</v>
      </c>
      <c r="G753" s="314">
        <v>1.2930999999999999</v>
      </c>
      <c r="H753" s="314">
        <v>1.3863000000000001</v>
      </c>
      <c r="I753" s="314">
        <v>1.3816999999999999</v>
      </c>
      <c r="J753" s="314">
        <v>1.3837999999999999</v>
      </c>
      <c r="K753" s="314">
        <v>1.2338</v>
      </c>
      <c r="L753" s="314">
        <v>1.3451</v>
      </c>
      <c r="M753" s="314">
        <v>1.3388</v>
      </c>
      <c r="N753" s="314">
        <v>1.3569</v>
      </c>
      <c r="O753" s="314">
        <v>1.2479</v>
      </c>
      <c r="P753" s="314">
        <v>1.2302999999999999</v>
      </c>
      <c r="Q753" s="314">
        <v>1.2020999999999999</v>
      </c>
      <c r="R753" s="314">
        <v>1.4368000000000001</v>
      </c>
      <c r="S753" s="314">
        <v>1.2342</v>
      </c>
      <c r="T753" s="314">
        <v>1.2383</v>
      </c>
      <c r="U753" s="314">
        <v>1.2645</v>
      </c>
      <c r="V753" s="314">
        <v>1.2292000000000001</v>
      </c>
      <c r="W753" s="314">
        <v>1.3918999999999999</v>
      </c>
      <c r="X753" s="314">
        <v>1.3572</v>
      </c>
      <c r="Y753" s="314">
        <v>1.2668999999999999</v>
      </c>
      <c r="Z753" s="314">
        <v>1.2803</v>
      </c>
      <c r="AA753" s="314">
        <v>1.3393999999999999</v>
      </c>
      <c r="AB753" s="314">
        <v>1.3309</v>
      </c>
      <c r="AC753" s="314">
        <v>1.2111000000000001</v>
      </c>
      <c r="AD753" s="314">
        <v>1.2264999999999999</v>
      </c>
      <c r="AE753" s="314">
        <v>1.2948</v>
      </c>
      <c r="AF753" s="314">
        <v>1.1833</v>
      </c>
      <c r="AG753" s="314">
        <v>1.2141999999999999</v>
      </c>
      <c r="AH753" s="314">
        <v>1.3287</v>
      </c>
      <c r="AI753" s="314">
        <v>1.4258</v>
      </c>
      <c r="AJ753" s="314">
        <v>1.2035</v>
      </c>
      <c r="AK753" s="314">
        <v>1.2498</v>
      </c>
      <c r="AL753" s="314">
        <v>1.4117999999999999</v>
      </c>
      <c r="AM753" s="314">
        <v>1.298</v>
      </c>
      <c r="AN753" s="314">
        <v>1.2502</v>
      </c>
      <c r="AO753" s="314">
        <v>1.2723</v>
      </c>
      <c r="AP753" s="314">
        <v>1.343</v>
      </c>
      <c r="AQ753" s="314">
        <v>1.3649</v>
      </c>
      <c r="AR753" s="314">
        <v>1.27</v>
      </c>
      <c r="AS753" s="314">
        <v>1.2129000000000001</v>
      </c>
      <c r="AT753" s="314">
        <v>1.3308</v>
      </c>
      <c r="AU753" s="314">
        <v>1.3633999999999999</v>
      </c>
      <c r="AV753" s="314">
        <v>1.3412999999999999</v>
      </c>
      <c r="AW753" s="314">
        <v>1.3151999999999999</v>
      </c>
      <c r="AX753" s="314">
        <v>1.2508999999999999</v>
      </c>
      <c r="AY753" s="314">
        <v>1.3015000000000001</v>
      </c>
      <c r="AZ753" s="314">
        <v>1.2746999999999999</v>
      </c>
      <c r="BA753" s="314">
        <v>1.1879999999999999</v>
      </c>
      <c r="BB753" s="314">
        <v>1.1787000000000001</v>
      </c>
      <c r="BC753" s="314">
        <v>1.4091</v>
      </c>
      <c r="BD753" s="314">
        <v>1.4389000000000001</v>
      </c>
      <c r="BE753" s="314">
        <v>1.3552999999999999</v>
      </c>
      <c r="BF753" s="314">
        <v>1.2992999999999999</v>
      </c>
      <c r="BG753" s="314">
        <v>1.3656999999999999</v>
      </c>
      <c r="BH753" s="314">
        <v>1.2966</v>
      </c>
      <c r="BI753" s="314">
        <v>1.3452999999999999</v>
      </c>
      <c r="BJ753" s="314">
        <v>1.3225</v>
      </c>
      <c r="BK753" s="314">
        <v>1.3714</v>
      </c>
    </row>
    <row r="754" spans="1:63" x14ac:dyDescent="0.25">
      <c r="A754" s="306">
        <v>531000</v>
      </c>
      <c r="B754" s="314" t="s">
        <v>416</v>
      </c>
      <c r="C754" s="314">
        <v>1.3180000000000001</v>
      </c>
      <c r="D754" s="314">
        <v>1.1758</v>
      </c>
      <c r="E754" s="314">
        <v>1.2105999999999999</v>
      </c>
      <c r="F754" s="314">
        <v>1.1636</v>
      </c>
      <c r="G754" s="314">
        <v>1.2547999999999999</v>
      </c>
      <c r="H754" s="314">
        <v>1.2659</v>
      </c>
      <c r="I754" s="314">
        <v>1.2808999999999999</v>
      </c>
      <c r="J754" s="314">
        <v>1.2343999999999999</v>
      </c>
      <c r="K754" s="314">
        <v>1.177</v>
      </c>
      <c r="L754" s="314">
        <v>1.2451000000000001</v>
      </c>
      <c r="M754" s="314">
        <v>1.2569999999999999</v>
      </c>
      <c r="N754" s="314">
        <v>1.2728999999999999</v>
      </c>
      <c r="O754" s="314">
        <v>1.2290000000000001</v>
      </c>
      <c r="P754" s="314">
        <v>1.1548</v>
      </c>
      <c r="Q754" s="314">
        <v>1.1620999999999999</v>
      </c>
      <c r="R754" s="314">
        <v>1.2793000000000001</v>
      </c>
      <c r="S754" s="314">
        <v>1.2028000000000001</v>
      </c>
      <c r="T754" s="314">
        <v>1.1736</v>
      </c>
      <c r="U754" s="314">
        <v>1.2041999999999999</v>
      </c>
      <c r="V754" s="314">
        <v>1.1966000000000001</v>
      </c>
      <c r="W754" s="314">
        <v>1.2470000000000001</v>
      </c>
      <c r="X754" s="314">
        <v>1.2576000000000001</v>
      </c>
      <c r="Y754" s="314">
        <v>1.2027000000000001</v>
      </c>
      <c r="Z754" s="314">
        <v>1.2136</v>
      </c>
      <c r="AA754" s="314">
        <v>1.2323999999999999</v>
      </c>
      <c r="AB754" s="314">
        <v>1.2398</v>
      </c>
      <c r="AC754" s="314">
        <v>1.1698999999999999</v>
      </c>
      <c r="AD754" s="314">
        <v>1.17</v>
      </c>
      <c r="AE754" s="314">
        <v>1.2073</v>
      </c>
      <c r="AF754" s="314">
        <v>1.1316999999999999</v>
      </c>
      <c r="AG754" s="314">
        <v>1.1586000000000001</v>
      </c>
      <c r="AH754" s="314">
        <v>1.2341</v>
      </c>
      <c r="AI754" s="314">
        <v>1.2663</v>
      </c>
      <c r="AJ754" s="314">
        <v>1.1837</v>
      </c>
      <c r="AK754" s="314">
        <v>1.2313000000000001</v>
      </c>
      <c r="AL754" s="314">
        <v>1.2565</v>
      </c>
      <c r="AM754" s="314">
        <v>1.2330000000000001</v>
      </c>
      <c r="AN754" s="314">
        <v>1.1928000000000001</v>
      </c>
      <c r="AO754" s="314">
        <v>1.2345999999999999</v>
      </c>
      <c r="AP754" s="314">
        <v>1.2506999999999999</v>
      </c>
      <c r="AQ754" s="314">
        <v>1.2199</v>
      </c>
      <c r="AR754" s="314">
        <v>1.2485999999999999</v>
      </c>
      <c r="AS754" s="314">
        <v>1.1345000000000001</v>
      </c>
      <c r="AT754" s="314">
        <v>1.2458</v>
      </c>
      <c r="AU754" s="314">
        <v>1.2842</v>
      </c>
      <c r="AV754" s="314">
        <v>1.2635000000000001</v>
      </c>
      <c r="AW754" s="314">
        <v>1.2577</v>
      </c>
      <c r="AX754" s="314">
        <v>1.1863999999999999</v>
      </c>
      <c r="AY754" s="314">
        <v>1.2478</v>
      </c>
      <c r="AZ754" s="314">
        <v>1.1940999999999999</v>
      </c>
      <c r="BA754" s="314">
        <v>1.1657</v>
      </c>
      <c r="BB754" s="314">
        <v>1.1424000000000001</v>
      </c>
      <c r="BC754" s="314">
        <v>1.2513000000000001</v>
      </c>
      <c r="BD754" s="314">
        <v>1.2763</v>
      </c>
      <c r="BE754" s="314">
        <v>1.2481</v>
      </c>
      <c r="BF754" s="314">
        <v>1.2112000000000001</v>
      </c>
      <c r="BG754" s="314">
        <v>1.2822</v>
      </c>
      <c r="BH754" s="314">
        <v>1.2307999999999999</v>
      </c>
      <c r="BI754" s="314">
        <v>1.2795000000000001</v>
      </c>
      <c r="BJ754" s="314">
        <v>1.2735000000000001</v>
      </c>
      <c r="BK754" s="314">
        <v>1.2722</v>
      </c>
    </row>
    <row r="755" spans="1:63" x14ac:dyDescent="0.25">
      <c r="A755" s="306">
        <v>532100</v>
      </c>
      <c r="B755" s="314" t="s">
        <v>301</v>
      </c>
      <c r="C755" s="314">
        <v>1.6603000000000001</v>
      </c>
      <c r="D755" s="314">
        <v>1.2870999999999999</v>
      </c>
      <c r="E755" s="314">
        <v>1.4029</v>
      </c>
      <c r="F755" s="314">
        <v>1.3841000000000001</v>
      </c>
      <c r="G755" s="314">
        <v>1.4461999999999999</v>
      </c>
      <c r="H755" s="314">
        <v>1.5226999999999999</v>
      </c>
      <c r="I755" s="314">
        <v>1.5452999999999999</v>
      </c>
      <c r="J755" s="314">
        <v>1.5079</v>
      </c>
      <c r="K755" s="314">
        <v>1.2517</v>
      </c>
      <c r="L755" s="314">
        <v>1.4616</v>
      </c>
      <c r="M755" s="314">
        <v>1.4653</v>
      </c>
      <c r="N755" s="314">
        <v>1.5458000000000001</v>
      </c>
      <c r="O755" s="314">
        <v>1.4057999999999999</v>
      </c>
      <c r="P755" s="314">
        <v>1.3339000000000001</v>
      </c>
      <c r="Q755" s="314">
        <v>1.3246</v>
      </c>
      <c r="R755" s="314">
        <v>1.5842000000000001</v>
      </c>
      <c r="S755" s="314">
        <v>1.4193</v>
      </c>
      <c r="T755" s="314">
        <v>1.3657999999999999</v>
      </c>
      <c r="U755" s="314">
        <v>1.444</v>
      </c>
      <c r="V755" s="314">
        <v>1.3754</v>
      </c>
      <c r="W755" s="314">
        <v>1.5125999999999999</v>
      </c>
      <c r="X755" s="314">
        <v>1.4516</v>
      </c>
      <c r="Y755" s="314">
        <v>1.4202999999999999</v>
      </c>
      <c r="Z755" s="314">
        <v>1.4726999999999999</v>
      </c>
      <c r="AA755" s="314">
        <v>1.4841</v>
      </c>
      <c r="AB755" s="314">
        <v>1.5239</v>
      </c>
      <c r="AC755" s="314">
        <v>1.3372999999999999</v>
      </c>
      <c r="AD755" s="314">
        <v>1.2883</v>
      </c>
      <c r="AE755" s="314">
        <v>1.4629000000000001</v>
      </c>
      <c r="AF755" s="314">
        <v>1.2836000000000001</v>
      </c>
      <c r="AG755" s="314">
        <v>1.3553999999999999</v>
      </c>
      <c r="AH755" s="314">
        <v>1.466</v>
      </c>
      <c r="AI755" s="314">
        <v>1.5587</v>
      </c>
      <c r="AJ755" s="314">
        <v>1.2954000000000001</v>
      </c>
      <c r="AK755" s="314">
        <v>1.4294</v>
      </c>
      <c r="AL755" s="314">
        <v>1.504</v>
      </c>
      <c r="AM755" s="314">
        <v>1.5237000000000001</v>
      </c>
      <c r="AN755" s="314">
        <v>1.3919999999999999</v>
      </c>
      <c r="AO755" s="314">
        <v>1.4777</v>
      </c>
      <c r="AP755" s="314">
        <v>1.5439000000000001</v>
      </c>
      <c r="AQ755" s="314">
        <v>1.4697</v>
      </c>
      <c r="AR755" s="314">
        <v>1.4427000000000001</v>
      </c>
      <c r="AS755" s="314">
        <v>1.2681</v>
      </c>
      <c r="AT755" s="314">
        <v>1.4912000000000001</v>
      </c>
      <c r="AU755" s="314">
        <v>1.5064</v>
      </c>
      <c r="AV755" s="314">
        <v>1.5261</v>
      </c>
      <c r="AW755" s="314">
        <v>1.5147999999999999</v>
      </c>
      <c r="AX755" s="314">
        <v>1.3193999999999999</v>
      </c>
      <c r="AY755" s="314">
        <v>1.4593</v>
      </c>
      <c r="AZ755" s="314">
        <v>1.4520999999999999</v>
      </c>
      <c r="BA755" s="314">
        <v>1.319</v>
      </c>
      <c r="BB755" s="314">
        <v>1.2358</v>
      </c>
      <c r="BC755" s="314">
        <v>1.5347</v>
      </c>
      <c r="BD755" s="314">
        <v>1.571</v>
      </c>
      <c r="BE755" s="314">
        <v>1.5468999999999999</v>
      </c>
      <c r="BF755" s="314">
        <v>1.4789000000000001</v>
      </c>
      <c r="BG755" s="314">
        <v>1.5472999999999999</v>
      </c>
      <c r="BH755" s="314">
        <v>1.4624999999999999</v>
      </c>
      <c r="BI755" s="314">
        <v>1.5054000000000001</v>
      </c>
      <c r="BJ755" s="314">
        <v>1.4961</v>
      </c>
      <c r="BK755" s="314">
        <v>1.526</v>
      </c>
    </row>
    <row r="756" spans="1:63" x14ac:dyDescent="0.25">
      <c r="A756" s="306">
        <v>532230</v>
      </c>
      <c r="B756" s="314" t="s">
        <v>303</v>
      </c>
      <c r="C756" s="314">
        <v>1.7989999999999999</v>
      </c>
      <c r="D756" s="314">
        <v>1.3077000000000001</v>
      </c>
      <c r="E756" s="314">
        <v>1.4964</v>
      </c>
      <c r="F756" s="314">
        <v>1.5188999999999999</v>
      </c>
      <c r="G756" s="314">
        <v>1.5789</v>
      </c>
      <c r="H756" s="314">
        <v>1.6354</v>
      </c>
      <c r="I756" s="314">
        <v>1.6874</v>
      </c>
      <c r="J756" s="314">
        <v>1.6289</v>
      </c>
      <c r="K756" s="314">
        <v>1.2341</v>
      </c>
      <c r="L756" s="314">
        <v>1.5375000000000001</v>
      </c>
      <c r="M756" s="314">
        <v>1.5681</v>
      </c>
      <c r="N756" s="314">
        <v>1.6900999999999999</v>
      </c>
      <c r="O756" s="314">
        <v>1.4535</v>
      </c>
      <c r="P756" s="314">
        <v>1.3815999999999999</v>
      </c>
      <c r="Q756" s="314">
        <v>1.4232</v>
      </c>
      <c r="R756" s="314">
        <v>1.6909000000000001</v>
      </c>
      <c r="S756" s="314">
        <v>1.5409999999999999</v>
      </c>
      <c r="T756" s="314">
        <v>1.4675</v>
      </c>
      <c r="U756" s="314">
        <v>1.5481</v>
      </c>
      <c r="V756" s="314">
        <v>1.4994000000000001</v>
      </c>
      <c r="W756" s="314">
        <v>1.6456</v>
      </c>
      <c r="X756" s="314">
        <v>1.5452999999999999</v>
      </c>
      <c r="Y756" s="314">
        <v>1.4883</v>
      </c>
      <c r="Z756" s="314">
        <v>1.6088</v>
      </c>
      <c r="AA756" s="314">
        <v>1.6528</v>
      </c>
      <c r="AB756" s="314">
        <v>1.6505000000000001</v>
      </c>
      <c r="AC756" s="314">
        <v>1.4001999999999999</v>
      </c>
      <c r="AD756" s="314">
        <v>1.3832</v>
      </c>
      <c r="AE756" s="314">
        <v>1.5887</v>
      </c>
      <c r="AF756" s="314">
        <v>1.393</v>
      </c>
      <c r="AG756" s="314">
        <v>1.4258999999999999</v>
      </c>
      <c r="AH756" s="314">
        <v>1.5967</v>
      </c>
      <c r="AI756" s="314">
        <v>1.6726000000000001</v>
      </c>
      <c r="AJ756" s="314">
        <v>1.3340000000000001</v>
      </c>
      <c r="AK756" s="314">
        <v>1.5223</v>
      </c>
      <c r="AL756" s="314">
        <v>1.6043000000000001</v>
      </c>
      <c r="AM756" s="314">
        <v>1.6451</v>
      </c>
      <c r="AN756" s="314">
        <v>1.4805999999999999</v>
      </c>
      <c r="AO756" s="314">
        <v>1.6392</v>
      </c>
      <c r="AP756" s="314">
        <v>1.6830000000000001</v>
      </c>
      <c r="AQ756" s="314">
        <v>1.5577000000000001</v>
      </c>
      <c r="AR756" s="314">
        <v>1.5263</v>
      </c>
      <c r="AS756" s="314">
        <v>1.3409</v>
      </c>
      <c r="AT756" s="314">
        <v>1.6145</v>
      </c>
      <c r="AU756" s="314">
        <v>1.6203000000000001</v>
      </c>
      <c r="AV756" s="314">
        <v>1.6662999999999999</v>
      </c>
      <c r="AW756" s="314">
        <v>1.6261000000000001</v>
      </c>
      <c r="AX756" s="314">
        <v>1.3645</v>
      </c>
      <c r="AY756" s="314">
        <v>1.6031</v>
      </c>
      <c r="AZ756" s="314">
        <v>1.5938000000000001</v>
      </c>
      <c r="BA756" s="314">
        <v>1.4052</v>
      </c>
      <c r="BB756" s="314">
        <v>1.2971999999999999</v>
      </c>
      <c r="BC756" s="314">
        <v>1.6596</v>
      </c>
      <c r="BD756" s="314">
        <v>1.7010000000000001</v>
      </c>
      <c r="BE756" s="314">
        <v>1.6783999999999999</v>
      </c>
      <c r="BF756" s="314">
        <v>1.6141000000000001</v>
      </c>
      <c r="BG756" s="314">
        <v>1.6725000000000001</v>
      </c>
      <c r="BH756" s="314">
        <v>1.5784</v>
      </c>
      <c r="BI756" s="314">
        <v>1.6341000000000001</v>
      </c>
      <c r="BJ756" s="314">
        <v>1.6321000000000001</v>
      </c>
      <c r="BK756" s="314">
        <v>1.6614</v>
      </c>
    </row>
    <row r="757" spans="1:63" x14ac:dyDescent="0.25">
      <c r="A757" s="306">
        <v>532400</v>
      </c>
      <c r="B757" s="314" t="s">
        <v>304</v>
      </c>
      <c r="C757" s="314">
        <v>1.7402</v>
      </c>
      <c r="D757" s="314">
        <v>1.3084</v>
      </c>
      <c r="E757" s="314">
        <v>1.4573</v>
      </c>
      <c r="F757" s="314">
        <v>1.4501999999999999</v>
      </c>
      <c r="G757" s="314">
        <v>1.5289999999999999</v>
      </c>
      <c r="H757" s="314">
        <v>1.5952</v>
      </c>
      <c r="I757" s="314">
        <v>1.6271</v>
      </c>
      <c r="J757" s="314">
        <v>1.5674999999999999</v>
      </c>
      <c r="K757" s="314">
        <v>1.2537</v>
      </c>
      <c r="L757" s="314">
        <v>1.5141</v>
      </c>
      <c r="M757" s="314">
        <v>1.5430999999999999</v>
      </c>
      <c r="N757" s="314">
        <v>1.6328</v>
      </c>
      <c r="O757" s="314">
        <v>1.4349000000000001</v>
      </c>
      <c r="P757" s="314">
        <v>1.3646</v>
      </c>
      <c r="Q757" s="314">
        <v>1.3825000000000001</v>
      </c>
      <c r="R757" s="314">
        <v>1.6563000000000001</v>
      </c>
      <c r="S757" s="314">
        <v>1.4958</v>
      </c>
      <c r="T757" s="314">
        <v>1.4350000000000001</v>
      </c>
      <c r="U757" s="314">
        <v>1.5116000000000001</v>
      </c>
      <c r="V757" s="314">
        <v>1.462</v>
      </c>
      <c r="W757" s="314">
        <v>1.5727</v>
      </c>
      <c r="X757" s="314">
        <v>1.5263</v>
      </c>
      <c r="Y757" s="314">
        <v>1.4625999999999999</v>
      </c>
      <c r="Z757" s="314">
        <v>1.5513999999999999</v>
      </c>
      <c r="AA757" s="314">
        <v>1.5589999999999999</v>
      </c>
      <c r="AB757" s="314">
        <v>1.595</v>
      </c>
      <c r="AC757" s="314">
        <v>1.3857999999999999</v>
      </c>
      <c r="AD757" s="314">
        <v>1.3363</v>
      </c>
      <c r="AE757" s="314">
        <v>1.5386</v>
      </c>
      <c r="AF757" s="314">
        <v>1.3303</v>
      </c>
      <c r="AG757" s="314">
        <v>1.3908</v>
      </c>
      <c r="AH757" s="314">
        <v>1.5474000000000001</v>
      </c>
      <c r="AI757" s="314">
        <v>1.6383000000000001</v>
      </c>
      <c r="AJ757" s="314">
        <v>1.3461000000000001</v>
      </c>
      <c r="AK757" s="314">
        <v>1.4882</v>
      </c>
      <c r="AL757" s="314">
        <v>1.5364</v>
      </c>
      <c r="AM757" s="314">
        <v>1.6002000000000001</v>
      </c>
      <c r="AN757" s="314">
        <v>1.4607000000000001</v>
      </c>
      <c r="AO757" s="314">
        <v>1.5558000000000001</v>
      </c>
      <c r="AP757" s="314">
        <v>1.6194999999999999</v>
      </c>
      <c r="AQ757" s="314">
        <v>1.5130999999999999</v>
      </c>
      <c r="AR757" s="314">
        <v>1.5079</v>
      </c>
      <c r="AS757" s="314">
        <v>1.3069999999999999</v>
      </c>
      <c r="AT757" s="314">
        <v>1.5676000000000001</v>
      </c>
      <c r="AU757" s="314">
        <v>1.5892999999999999</v>
      </c>
      <c r="AV757" s="314">
        <v>1.599</v>
      </c>
      <c r="AW757" s="314">
        <v>1.5793999999999999</v>
      </c>
      <c r="AX757" s="314">
        <v>1.3332999999999999</v>
      </c>
      <c r="AY757" s="314">
        <v>1.5304</v>
      </c>
      <c r="AZ757" s="314">
        <v>1.5213000000000001</v>
      </c>
      <c r="BA757" s="314">
        <v>1.3674999999999999</v>
      </c>
      <c r="BB757" s="314">
        <v>1.2770999999999999</v>
      </c>
      <c r="BC757" s="314">
        <v>1.595</v>
      </c>
      <c r="BD757" s="314">
        <v>1.6365000000000001</v>
      </c>
      <c r="BE757" s="314">
        <v>1.6281000000000001</v>
      </c>
      <c r="BF757" s="314">
        <v>1.5464</v>
      </c>
      <c r="BG757" s="314">
        <v>1.6303000000000001</v>
      </c>
      <c r="BH757" s="314">
        <v>1.5398000000000001</v>
      </c>
      <c r="BI757" s="314">
        <v>1.5963000000000001</v>
      </c>
      <c r="BJ757" s="314">
        <v>1.5764</v>
      </c>
      <c r="BK757" s="314">
        <v>1.6043000000000001</v>
      </c>
    </row>
    <row r="758" spans="1:63" x14ac:dyDescent="0.25">
      <c r="A758" s="306" t="s">
        <v>768</v>
      </c>
      <c r="B758" s="314" t="s">
        <v>302</v>
      </c>
      <c r="C758" s="314">
        <v>1.7255</v>
      </c>
      <c r="D758" s="314">
        <v>1.2645999999999999</v>
      </c>
      <c r="E758" s="314">
        <v>1.4165000000000001</v>
      </c>
      <c r="F758" s="314">
        <v>1.4473</v>
      </c>
      <c r="G758" s="314">
        <v>1.4755</v>
      </c>
      <c r="H758" s="314">
        <v>1.5720000000000001</v>
      </c>
      <c r="I758" s="314">
        <v>1.6108</v>
      </c>
      <c r="J758" s="314">
        <v>1.5588</v>
      </c>
      <c r="K758" s="314">
        <v>1.2716000000000001</v>
      </c>
      <c r="L758" s="314">
        <v>1.4964999999999999</v>
      </c>
      <c r="M758" s="314">
        <v>1.4958</v>
      </c>
      <c r="N758" s="314">
        <v>1.6157999999999999</v>
      </c>
      <c r="O758" s="314">
        <v>1.4257</v>
      </c>
      <c r="P758" s="314">
        <v>1.3291999999999999</v>
      </c>
      <c r="Q758" s="314">
        <v>1.3606</v>
      </c>
      <c r="R758" s="314">
        <v>1.6301000000000001</v>
      </c>
      <c r="S758" s="314">
        <v>1.4511000000000001</v>
      </c>
      <c r="T758" s="314">
        <v>1.3971</v>
      </c>
      <c r="U758" s="314">
        <v>1.4767999999999999</v>
      </c>
      <c r="V758" s="314">
        <v>1.4106000000000001</v>
      </c>
      <c r="W758" s="314">
        <v>1.5751999999999999</v>
      </c>
      <c r="X758" s="314">
        <v>1.4863999999999999</v>
      </c>
      <c r="Y758" s="314">
        <v>1.4430000000000001</v>
      </c>
      <c r="Z758" s="314">
        <v>1.5324</v>
      </c>
      <c r="AA758" s="314">
        <v>1.5629999999999999</v>
      </c>
      <c r="AB758" s="314">
        <v>1.5844</v>
      </c>
      <c r="AC758" s="314">
        <v>1.3481000000000001</v>
      </c>
      <c r="AD758" s="314">
        <v>1.2937000000000001</v>
      </c>
      <c r="AE758" s="314">
        <v>1.5265</v>
      </c>
      <c r="AF758" s="314">
        <v>1.3047</v>
      </c>
      <c r="AG758" s="314">
        <v>1.387</v>
      </c>
      <c r="AH758" s="314">
        <v>1.5258</v>
      </c>
      <c r="AI758" s="314">
        <v>1.6213</v>
      </c>
      <c r="AJ758" s="314">
        <v>1.2967</v>
      </c>
      <c r="AK758" s="314">
        <v>1.4732000000000001</v>
      </c>
      <c r="AL758" s="314">
        <v>1.5526</v>
      </c>
      <c r="AM758" s="314">
        <v>1.5729</v>
      </c>
      <c r="AN758" s="314">
        <v>1.4041999999999999</v>
      </c>
      <c r="AO758" s="314">
        <v>1.5474000000000001</v>
      </c>
      <c r="AP758" s="314">
        <v>1.6071</v>
      </c>
      <c r="AQ758" s="314">
        <v>1.5114000000000001</v>
      </c>
      <c r="AR758" s="314">
        <v>1.4487000000000001</v>
      </c>
      <c r="AS758" s="314">
        <v>1.2749999999999999</v>
      </c>
      <c r="AT758" s="314">
        <v>1.5195000000000001</v>
      </c>
      <c r="AU758" s="314">
        <v>1.5333000000000001</v>
      </c>
      <c r="AV758" s="314">
        <v>1.5837000000000001</v>
      </c>
      <c r="AW758" s="314">
        <v>1.5802</v>
      </c>
      <c r="AX758" s="314">
        <v>1.3025</v>
      </c>
      <c r="AY758" s="314">
        <v>1.5125999999999999</v>
      </c>
      <c r="AZ758" s="314">
        <v>1.5082</v>
      </c>
      <c r="BA758" s="314">
        <v>1.3308</v>
      </c>
      <c r="BB758" s="314">
        <v>1.2197</v>
      </c>
      <c r="BC758" s="314">
        <v>1.5911999999999999</v>
      </c>
      <c r="BD758" s="314">
        <v>1.6357999999999999</v>
      </c>
      <c r="BE758" s="314">
        <v>1.6034999999999999</v>
      </c>
      <c r="BF758" s="314">
        <v>1.5427</v>
      </c>
      <c r="BG758" s="314">
        <v>1.6060000000000001</v>
      </c>
      <c r="BH758" s="314">
        <v>1.4886999999999999</v>
      </c>
      <c r="BI758" s="314">
        <v>1.5407999999999999</v>
      </c>
      <c r="BJ758" s="314">
        <v>1.5492999999999999</v>
      </c>
      <c r="BK758" s="314">
        <v>1.5898000000000001</v>
      </c>
    </row>
    <row r="759" spans="1:63" x14ac:dyDescent="0.25">
      <c r="A759" s="306">
        <v>533000</v>
      </c>
      <c r="B759" s="314" t="s">
        <v>305</v>
      </c>
      <c r="C759" s="314">
        <v>1.2571000000000001</v>
      </c>
      <c r="D759" s="314">
        <v>1.1343000000000001</v>
      </c>
      <c r="E759" s="314">
        <v>1.1635</v>
      </c>
      <c r="F759" s="314">
        <v>1.1305000000000001</v>
      </c>
      <c r="G759" s="314">
        <v>1.1857</v>
      </c>
      <c r="H759" s="314">
        <v>1.2114</v>
      </c>
      <c r="I759" s="314">
        <v>1.2192000000000001</v>
      </c>
      <c r="J759" s="314">
        <v>1.1919999999999999</v>
      </c>
      <c r="K759" s="314">
        <v>0</v>
      </c>
      <c r="L759" s="314">
        <v>1.1789000000000001</v>
      </c>
      <c r="M759" s="314">
        <v>1.2021999999999999</v>
      </c>
      <c r="N759" s="314">
        <v>1.2242999999999999</v>
      </c>
      <c r="O759" s="314">
        <v>1.1659999999999999</v>
      </c>
      <c r="P759" s="314">
        <v>1.1254999999999999</v>
      </c>
      <c r="Q759" s="314">
        <v>1.1205000000000001</v>
      </c>
      <c r="R759" s="314">
        <v>1.2273000000000001</v>
      </c>
      <c r="S759" s="314">
        <v>1.1573</v>
      </c>
      <c r="T759" s="314">
        <v>1.1513</v>
      </c>
      <c r="U759" s="314">
        <v>1.1583000000000001</v>
      </c>
      <c r="V759" s="314">
        <v>1.1476999999999999</v>
      </c>
      <c r="W759" s="314">
        <v>1.2067000000000001</v>
      </c>
      <c r="X759" s="314">
        <v>1.2024999999999999</v>
      </c>
      <c r="Y759" s="314">
        <v>1.1601999999999999</v>
      </c>
      <c r="Z759" s="314">
        <v>1.1754</v>
      </c>
      <c r="AA759" s="314">
        <v>1.1900999999999999</v>
      </c>
      <c r="AB759" s="314">
        <v>1.1896</v>
      </c>
      <c r="AC759" s="314">
        <v>1.1242000000000001</v>
      </c>
      <c r="AD759" s="314">
        <v>1.1362000000000001</v>
      </c>
      <c r="AE759" s="314">
        <v>1.1661999999999999</v>
      </c>
      <c r="AF759" s="314">
        <v>1.1086</v>
      </c>
      <c r="AG759" s="314">
        <v>1.1282000000000001</v>
      </c>
      <c r="AH759" s="314">
        <v>1.1830000000000001</v>
      </c>
      <c r="AI759" s="314">
        <v>1.2201</v>
      </c>
      <c r="AJ759" s="314">
        <v>1.1359999999999999</v>
      </c>
      <c r="AK759" s="314">
        <v>1.161</v>
      </c>
      <c r="AL759" s="314">
        <v>1.2063999999999999</v>
      </c>
      <c r="AM759" s="314">
        <v>1.1895</v>
      </c>
      <c r="AN759" s="314">
        <v>1.1635</v>
      </c>
      <c r="AO759" s="314">
        <v>1.1751</v>
      </c>
      <c r="AP759" s="314">
        <v>1.2093</v>
      </c>
      <c r="AQ759" s="314">
        <v>1.1736</v>
      </c>
      <c r="AR759" s="314">
        <v>1.1818</v>
      </c>
      <c r="AS759" s="314">
        <v>1.1025</v>
      </c>
      <c r="AT759" s="314">
        <v>1.1934</v>
      </c>
      <c r="AU759" s="314">
        <v>1.2237</v>
      </c>
      <c r="AV759" s="314">
        <v>1.1990000000000001</v>
      </c>
      <c r="AW759" s="314">
        <v>1.2028000000000001</v>
      </c>
      <c r="AX759" s="314">
        <v>1.1513</v>
      </c>
      <c r="AY759" s="314">
        <v>1.1888000000000001</v>
      </c>
      <c r="AZ759" s="314">
        <v>1.1583000000000001</v>
      </c>
      <c r="BA759" s="314">
        <v>1.1308</v>
      </c>
      <c r="BB759" s="314">
        <v>1.1035999999999999</v>
      </c>
      <c r="BC759" s="314">
        <v>1.2082999999999999</v>
      </c>
      <c r="BD759" s="314">
        <v>1.2273000000000001</v>
      </c>
      <c r="BE759" s="314">
        <v>1.2060999999999999</v>
      </c>
      <c r="BF759" s="314">
        <v>1.1733</v>
      </c>
      <c r="BG759" s="314">
        <v>1.2256</v>
      </c>
      <c r="BH759" s="314">
        <v>1.1783999999999999</v>
      </c>
      <c r="BI759" s="314">
        <v>1.2173</v>
      </c>
      <c r="BJ759" s="314">
        <v>1.2027000000000001</v>
      </c>
      <c r="BK759" s="314">
        <v>1.2134</v>
      </c>
    </row>
    <row r="760" spans="1:63" x14ac:dyDescent="0.25">
      <c r="A760" s="306">
        <v>541100</v>
      </c>
      <c r="B760" s="314" t="s">
        <v>306</v>
      </c>
      <c r="C760" s="314">
        <v>1.3876999999999999</v>
      </c>
      <c r="D760" s="314">
        <v>1.1776</v>
      </c>
      <c r="E760" s="314">
        <v>1.2194</v>
      </c>
      <c r="F760" s="314">
        <v>1.1888000000000001</v>
      </c>
      <c r="G760" s="314">
        <v>1.2737000000000001</v>
      </c>
      <c r="H760" s="314">
        <v>1.3240000000000001</v>
      </c>
      <c r="I760" s="314">
        <v>1.3352999999999999</v>
      </c>
      <c r="J760" s="314">
        <v>1.2850999999999999</v>
      </c>
      <c r="K760" s="314">
        <v>1.2324999999999999</v>
      </c>
      <c r="L760" s="314">
        <v>1.2597</v>
      </c>
      <c r="M760" s="314">
        <v>1.2994000000000001</v>
      </c>
      <c r="N760" s="314">
        <v>1.3313999999999999</v>
      </c>
      <c r="O760" s="314">
        <v>1.2444999999999999</v>
      </c>
      <c r="P760" s="314">
        <v>1.1724000000000001</v>
      </c>
      <c r="Q760" s="314">
        <v>1.1849000000000001</v>
      </c>
      <c r="R760" s="314">
        <v>1.3439000000000001</v>
      </c>
      <c r="S760" s="314">
        <v>1.2299</v>
      </c>
      <c r="T760" s="314">
        <v>1.2103999999999999</v>
      </c>
      <c r="U760" s="314">
        <v>1.2282999999999999</v>
      </c>
      <c r="V760" s="314">
        <v>1.2061999999999999</v>
      </c>
      <c r="W760" s="314">
        <v>1.3163</v>
      </c>
      <c r="X760" s="314">
        <v>1.2978000000000001</v>
      </c>
      <c r="Y760" s="314">
        <v>1.2382</v>
      </c>
      <c r="Z760" s="314">
        <v>1.2569999999999999</v>
      </c>
      <c r="AA760" s="314">
        <v>1.2922</v>
      </c>
      <c r="AB760" s="314">
        <v>1.2895000000000001</v>
      </c>
      <c r="AC760" s="314">
        <v>1.1647000000000001</v>
      </c>
      <c r="AD760" s="314">
        <v>1.1814</v>
      </c>
      <c r="AE760" s="314">
        <v>1.2493000000000001</v>
      </c>
      <c r="AF760" s="314">
        <v>1.1406000000000001</v>
      </c>
      <c r="AG760" s="314">
        <v>1.1809000000000001</v>
      </c>
      <c r="AH760" s="314">
        <v>1.2757000000000001</v>
      </c>
      <c r="AI760" s="314">
        <v>1.347</v>
      </c>
      <c r="AJ760" s="314">
        <v>1.1904999999999999</v>
      </c>
      <c r="AK760" s="314">
        <v>1.2521</v>
      </c>
      <c r="AL760" s="314">
        <v>1.3133999999999999</v>
      </c>
      <c r="AM760" s="314">
        <v>1.2842</v>
      </c>
      <c r="AN760" s="314">
        <v>1.2292000000000001</v>
      </c>
      <c r="AO760" s="314">
        <v>1.2715000000000001</v>
      </c>
      <c r="AP760" s="314">
        <v>1.3059000000000001</v>
      </c>
      <c r="AQ760" s="314">
        <v>1.2614000000000001</v>
      </c>
      <c r="AR760" s="314">
        <v>1.2592000000000001</v>
      </c>
      <c r="AS760" s="314">
        <v>1.1375</v>
      </c>
      <c r="AT760" s="314">
        <v>1.2824</v>
      </c>
      <c r="AU760" s="314">
        <v>1.3229</v>
      </c>
      <c r="AV760" s="314">
        <v>1.2988</v>
      </c>
      <c r="AW760" s="314">
        <v>1.3115000000000001</v>
      </c>
      <c r="AX760" s="314">
        <v>1.2041999999999999</v>
      </c>
      <c r="AY760" s="314">
        <v>1.2806999999999999</v>
      </c>
      <c r="AZ760" s="314">
        <v>1.2375</v>
      </c>
      <c r="BA760" s="314">
        <v>1.1768000000000001</v>
      </c>
      <c r="BB760" s="314">
        <v>1.1336999999999999</v>
      </c>
      <c r="BC760" s="314">
        <v>1.3156000000000001</v>
      </c>
      <c r="BD760" s="314">
        <v>1.349</v>
      </c>
      <c r="BE760" s="314">
        <v>1.3046</v>
      </c>
      <c r="BF760" s="314">
        <v>1.2656000000000001</v>
      </c>
      <c r="BG760" s="314">
        <v>1.3342000000000001</v>
      </c>
      <c r="BH760" s="314">
        <v>1.2544999999999999</v>
      </c>
      <c r="BI760" s="314">
        <v>1.3148</v>
      </c>
      <c r="BJ760" s="314">
        <v>1.3078000000000001</v>
      </c>
      <c r="BK760" s="314">
        <v>1.3252999999999999</v>
      </c>
    </row>
    <row r="761" spans="1:63" x14ac:dyDescent="0.25">
      <c r="A761" s="306">
        <v>541200</v>
      </c>
      <c r="B761" s="314" t="s">
        <v>307</v>
      </c>
      <c r="C761" s="314">
        <v>1.3796999999999999</v>
      </c>
      <c r="D761" s="314">
        <v>1.1860999999999999</v>
      </c>
      <c r="E761" s="314">
        <v>1.2153</v>
      </c>
      <c r="F761" s="314">
        <v>1.1811</v>
      </c>
      <c r="G761" s="314">
        <v>1.2696000000000001</v>
      </c>
      <c r="H761" s="314">
        <v>1.3245</v>
      </c>
      <c r="I761" s="314">
        <v>1.3261000000000001</v>
      </c>
      <c r="J761" s="314">
        <v>1.2853000000000001</v>
      </c>
      <c r="K761" s="314">
        <v>1.2190000000000001</v>
      </c>
      <c r="L761" s="314">
        <v>1.2518</v>
      </c>
      <c r="M761" s="314">
        <v>1.2927999999999999</v>
      </c>
      <c r="N761" s="314">
        <v>1.3214999999999999</v>
      </c>
      <c r="O761" s="314">
        <v>1.2395</v>
      </c>
      <c r="P761" s="314">
        <v>1.1561999999999999</v>
      </c>
      <c r="Q761" s="314">
        <v>1.1734</v>
      </c>
      <c r="R761" s="314">
        <v>1.3309</v>
      </c>
      <c r="S761" s="314">
        <v>1.218</v>
      </c>
      <c r="T761" s="314">
        <v>1.1983999999999999</v>
      </c>
      <c r="U761" s="314">
        <v>1.2297</v>
      </c>
      <c r="V761" s="314">
        <v>1.2141999999999999</v>
      </c>
      <c r="W761" s="314">
        <v>1.3112999999999999</v>
      </c>
      <c r="X761" s="314">
        <v>1.2942</v>
      </c>
      <c r="Y761" s="314">
        <v>1.2189000000000001</v>
      </c>
      <c r="Z761" s="314">
        <v>1.2529999999999999</v>
      </c>
      <c r="AA761" s="314">
        <v>1.2794000000000001</v>
      </c>
      <c r="AB761" s="314">
        <v>1.2769999999999999</v>
      </c>
      <c r="AC761" s="314">
        <v>1.1666000000000001</v>
      </c>
      <c r="AD761" s="314">
        <v>1.1747000000000001</v>
      </c>
      <c r="AE761" s="314">
        <v>1.2445999999999999</v>
      </c>
      <c r="AF761" s="314">
        <v>1.1376999999999999</v>
      </c>
      <c r="AG761" s="314">
        <v>1.1771</v>
      </c>
      <c r="AH761" s="314">
        <v>1.2694000000000001</v>
      </c>
      <c r="AI761" s="314">
        <v>1.3337000000000001</v>
      </c>
      <c r="AJ761" s="314">
        <v>1.1894</v>
      </c>
      <c r="AK761" s="314">
        <v>1.2391000000000001</v>
      </c>
      <c r="AL761" s="314">
        <v>1.3021</v>
      </c>
      <c r="AM761" s="314">
        <v>1.2712000000000001</v>
      </c>
      <c r="AN761" s="314">
        <v>1.2295</v>
      </c>
      <c r="AO761" s="314">
        <v>1.2597</v>
      </c>
      <c r="AP761" s="314">
        <v>1.2990999999999999</v>
      </c>
      <c r="AQ761" s="314">
        <v>1.26</v>
      </c>
      <c r="AR761" s="314">
        <v>1.2457</v>
      </c>
      <c r="AS761" s="314">
        <v>1.1256999999999999</v>
      </c>
      <c r="AT761" s="314">
        <v>1.2685999999999999</v>
      </c>
      <c r="AU761" s="314">
        <v>1.3167</v>
      </c>
      <c r="AV761" s="314">
        <v>1.2952999999999999</v>
      </c>
      <c r="AW761" s="314">
        <v>1.3007</v>
      </c>
      <c r="AX761" s="314">
        <v>1.1990000000000001</v>
      </c>
      <c r="AY761" s="314">
        <v>1.2708999999999999</v>
      </c>
      <c r="AZ761" s="314">
        <v>1.2250000000000001</v>
      </c>
      <c r="BA761" s="314">
        <v>1.1697</v>
      </c>
      <c r="BB761" s="314">
        <v>1.1399999999999999</v>
      </c>
      <c r="BC761" s="314">
        <v>1.3103</v>
      </c>
      <c r="BD761" s="314">
        <v>1.3351999999999999</v>
      </c>
      <c r="BE761" s="314">
        <v>1.2954000000000001</v>
      </c>
      <c r="BF761" s="314">
        <v>1.2503</v>
      </c>
      <c r="BG761" s="314">
        <v>1.3264</v>
      </c>
      <c r="BH761" s="314">
        <v>1.2496</v>
      </c>
      <c r="BI761" s="314">
        <v>1.3073999999999999</v>
      </c>
      <c r="BJ761" s="314">
        <v>1.2998000000000001</v>
      </c>
      <c r="BK761" s="314">
        <v>1.3243</v>
      </c>
    </row>
    <row r="762" spans="1:63" x14ac:dyDescent="0.25">
      <c r="A762" s="306">
        <v>541300</v>
      </c>
      <c r="B762" s="314" t="s">
        <v>308</v>
      </c>
      <c r="C762" s="314">
        <v>1.5652999999999999</v>
      </c>
      <c r="D762" s="314">
        <v>1.2750999999999999</v>
      </c>
      <c r="E762" s="314">
        <v>1.3349</v>
      </c>
      <c r="F762" s="314">
        <v>1.2637</v>
      </c>
      <c r="G762" s="314">
        <v>1.3996</v>
      </c>
      <c r="H762" s="314">
        <v>1.4735</v>
      </c>
      <c r="I762" s="314">
        <v>1.4766999999999999</v>
      </c>
      <c r="J762" s="314">
        <v>1.4066000000000001</v>
      </c>
      <c r="K762" s="314">
        <v>1.3272999999999999</v>
      </c>
      <c r="L762" s="314">
        <v>1.3660000000000001</v>
      </c>
      <c r="M762" s="314">
        <v>1.4258999999999999</v>
      </c>
      <c r="N762" s="314">
        <v>1.4721</v>
      </c>
      <c r="O762" s="314">
        <v>1.3452999999999999</v>
      </c>
      <c r="P762" s="314">
        <v>1.2292000000000001</v>
      </c>
      <c r="Q762" s="314">
        <v>1.2728999999999999</v>
      </c>
      <c r="R762" s="314">
        <v>1.4843</v>
      </c>
      <c r="S762" s="314">
        <v>1.34</v>
      </c>
      <c r="T762" s="314">
        <v>1.3117000000000001</v>
      </c>
      <c r="U762" s="314">
        <v>1.3472999999999999</v>
      </c>
      <c r="V762" s="314">
        <v>1.3331</v>
      </c>
      <c r="W762" s="314">
        <v>1.4624999999999999</v>
      </c>
      <c r="X762" s="314">
        <v>1.4416</v>
      </c>
      <c r="Y762" s="314">
        <v>1.3310999999999999</v>
      </c>
      <c r="Z762" s="314">
        <v>1.4028</v>
      </c>
      <c r="AA762" s="314">
        <v>1.3975</v>
      </c>
      <c r="AB762" s="314">
        <v>1.4144000000000001</v>
      </c>
      <c r="AC762" s="314">
        <v>1.2581</v>
      </c>
      <c r="AD762" s="314">
        <v>1.2645</v>
      </c>
      <c r="AE762" s="314">
        <v>1.3748</v>
      </c>
      <c r="AF762" s="314">
        <v>1.2023999999999999</v>
      </c>
      <c r="AG762" s="314">
        <v>1.2675000000000001</v>
      </c>
      <c r="AH762" s="314">
        <v>1.4032</v>
      </c>
      <c r="AI762" s="314">
        <v>1.4899</v>
      </c>
      <c r="AJ762" s="314">
        <v>1.3066</v>
      </c>
      <c r="AK762" s="314">
        <v>1.3413999999999999</v>
      </c>
      <c r="AL762" s="314">
        <v>1.4107000000000001</v>
      </c>
      <c r="AM762" s="314">
        <v>1.4158999999999999</v>
      </c>
      <c r="AN762" s="314">
        <v>1.3411</v>
      </c>
      <c r="AO762" s="314">
        <v>1.3895</v>
      </c>
      <c r="AP762" s="314">
        <v>1.4570000000000001</v>
      </c>
      <c r="AQ762" s="314">
        <v>1.3651</v>
      </c>
      <c r="AR762" s="314">
        <v>1.3752</v>
      </c>
      <c r="AS762" s="314">
        <v>1.1811</v>
      </c>
      <c r="AT762" s="314">
        <v>1.4033</v>
      </c>
      <c r="AU762" s="314">
        <v>1.4730000000000001</v>
      </c>
      <c r="AV762" s="314">
        <v>1.4386000000000001</v>
      </c>
      <c r="AW762" s="314">
        <v>1.4412</v>
      </c>
      <c r="AX762" s="314">
        <v>1.3041</v>
      </c>
      <c r="AY762" s="314">
        <v>1.4019999999999999</v>
      </c>
      <c r="AZ762" s="314">
        <v>1.3451</v>
      </c>
      <c r="BA762" s="314">
        <v>1.2559</v>
      </c>
      <c r="BB762" s="314">
        <v>1.2209000000000001</v>
      </c>
      <c r="BC762" s="314">
        <v>1.4601</v>
      </c>
      <c r="BD762" s="314">
        <v>1.4758</v>
      </c>
      <c r="BE762" s="314">
        <v>1.4565999999999999</v>
      </c>
      <c r="BF762" s="314">
        <v>1.3680000000000001</v>
      </c>
      <c r="BG762" s="314">
        <v>1.4854000000000001</v>
      </c>
      <c r="BH762" s="314">
        <v>1.3855</v>
      </c>
      <c r="BI762" s="314">
        <v>1.462</v>
      </c>
      <c r="BJ762" s="314">
        <v>1.4441999999999999</v>
      </c>
      <c r="BK762" s="314">
        <v>1.4739</v>
      </c>
    </row>
    <row r="763" spans="1:63" x14ac:dyDescent="0.25">
      <c r="A763" s="306">
        <v>541400</v>
      </c>
      <c r="B763" s="314" t="s">
        <v>309</v>
      </c>
      <c r="C763" s="314">
        <v>1.456</v>
      </c>
      <c r="D763" s="314">
        <v>1.1938</v>
      </c>
      <c r="E763" s="314">
        <v>1.2662</v>
      </c>
      <c r="F763" s="314">
        <v>1.2462</v>
      </c>
      <c r="G763" s="314">
        <v>1.2994000000000001</v>
      </c>
      <c r="H763" s="314">
        <v>1.3624000000000001</v>
      </c>
      <c r="I763" s="314">
        <v>1.3583000000000001</v>
      </c>
      <c r="J763" s="314">
        <v>1.3310999999999999</v>
      </c>
      <c r="K763" s="314">
        <v>1.2463</v>
      </c>
      <c r="L763" s="314">
        <v>1.2712000000000001</v>
      </c>
      <c r="M763" s="314">
        <v>1.3257000000000001</v>
      </c>
      <c r="N763" s="314">
        <v>1.3956999999999999</v>
      </c>
      <c r="O763" s="314">
        <v>1.2615000000000001</v>
      </c>
      <c r="P763" s="314">
        <v>1.2070000000000001</v>
      </c>
      <c r="Q763" s="314">
        <v>1.2196</v>
      </c>
      <c r="R763" s="314">
        <v>1.3937999999999999</v>
      </c>
      <c r="S763" s="314">
        <v>1.2983</v>
      </c>
      <c r="T763" s="314">
        <v>1.2557</v>
      </c>
      <c r="U763" s="314">
        <v>1.3005</v>
      </c>
      <c r="V763" s="314">
        <v>1.2602</v>
      </c>
      <c r="W763" s="314">
        <v>1.3575999999999999</v>
      </c>
      <c r="X763" s="314">
        <v>1.3367</v>
      </c>
      <c r="Y763" s="314">
        <v>1.2608999999999999</v>
      </c>
      <c r="Z763" s="314">
        <v>1.3301000000000001</v>
      </c>
      <c r="AA763" s="314">
        <v>1.3338000000000001</v>
      </c>
      <c r="AB763" s="314">
        <v>1.3381000000000001</v>
      </c>
      <c r="AC763" s="314">
        <v>1.2222</v>
      </c>
      <c r="AD763" s="314">
        <v>1.2067000000000001</v>
      </c>
      <c r="AE763" s="314">
        <v>1.3142</v>
      </c>
      <c r="AF763" s="314">
        <v>1.1524000000000001</v>
      </c>
      <c r="AG763" s="314">
        <v>1.1963999999999999</v>
      </c>
      <c r="AH763" s="314">
        <v>1.3273999999999999</v>
      </c>
      <c r="AI763" s="314">
        <v>1.3907</v>
      </c>
      <c r="AJ763" s="314">
        <v>1.2126999999999999</v>
      </c>
      <c r="AK763" s="314">
        <v>1.2732000000000001</v>
      </c>
      <c r="AL763" s="314">
        <v>1.3299000000000001</v>
      </c>
      <c r="AM763" s="314">
        <v>1.3536999999999999</v>
      </c>
      <c r="AN763" s="314">
        <v>1.2673000000000001</v>
      </c>
      <c r="AO763" s="314">
        <v>1.3196000000000001</v>
      </c>
      <c r="AP763" s="314">
        <v>1.3647</v>
      </c>
      <c r="AQ763" s="314">
        <v>1.3146</v>
      </c>
      <c r="AR763" s="314">
        <v>1.3199000000000001</v>
      </c>
      <c r="AS763" s="314">
        <v>1.1617</v>
      </c>
      <c r="AT763" s="314">
        <v>1.3520000000000001</v>
      </c>
      <c r="AU763" s="314">
        <v>1.3672</v>
      </c>
      <c r="AV763" s="314">
        <v>1.3424</v>
      </c>
      <c r="AW763" s="314">
        <v>1.355</v>
      </c>
      <c r="AX763" s="314">
        <v>1.2456</v>
      </c>
      <c r="AY763" s="314">
        <v>1.3109</v>
      </c>
      <c r="AZ763" s="314">
        <v>1.2889999999999999</v>
      </c>
      <c r="BA763" s="314">
        <v>1.2161</v>
      </c>
      <c r="BB763" s="314">
        <v>1.1628000000000001</v>
      </c>
      <c r="BC763" s="314">
        <v>1.3684000000000001</v>
      </c>
      <c r="BD763" s="314">
        <v>1.3896999999999999</v>
      </c>
      <c r="BE763" s="314">
        <v>1.3749</v>
      </c>
      <c r="BF763" s="314">
        <v>1.3048999999999999</v>
      </c>
      <c r="BG763" s="314">
        <v>1.3882000000000001</v>
      </c>
      <c r="BH763" s="314">
        <v>1.3331999999999999</v>
      </c>
      <c r="BI763" s="314">
        <v>1.3617999999999999</v>
      </c>
      <c r="BJ763" s="314">
        <v>1.337</v>
      </c>
      <c r="BK763" s="314">
        <v>1.3657999999999999</v>
      </c>
    </row>
    <row r="764" spans="1:63" x14ac:dyDescent="0.25">
      <c r="A764" s="306">
        <v>541511</v>
      </c>
      <c r="B764" s="314" t="s">
        <v>310</v>
      </c>
      <c r="C764" s="314">
        <v>1.4196</v>
      </c>
      <c r="D764" s="314">
        <v>1.1998</v>
      </c>
      <c r="E764" s="314">
        <v>1.2402</v>
      </c>
      <c r="F764" s="314">
        <v>1.1982999999999999</v>
      </c>
      <c r="G764" s="314">
        <v>1.3194999999999999</v>
      </c>
      <c r="H764" s="314">
        <v>1.3736999999999999</v>
      </c>
      <c r="I764" s="314">
        <v>1.3643000000000001</v>
      </c>
      <c r="J764" s="314">
        <v>1.3093999999999999</v>
      </c>
      <c r="K764" s="314">
        <v>1.2765</v>
      </c>
      <c r="L764" s="314">
        <v>1.2842</v>
      </c>
      <c r="M764" s="314">
        <v>1.3381000000000001</v>
      </c>
      <c r="N764" s="314">
        <v>1.363</v>
      </c>
      <c r="O764" s="314">
        <v>1.282</v>
      </c>
      <c r="P764" s="314">
        <v>1.1641999999999999</v>
      </c>
      <c r="Q764" s="314">
        <v>1.2068000000000001</v>
      </c>
      <c r="R764" s="314">
        <v>1.3641000000000001</v>
      </c>
      <c r="S764" s="314">
        <v>1.2446999999999999</v>
      </c>
      <c r="T764" s="314">
        <v>1.2349000000000001</v>
      </c>
      <c r="U764" s="314">
        <v>1.2454000000000001</v>
      </c>
      <c r="V764" s="314">
        <v>1.2528999999999999</v>
      </c>
      <c r="W764" s="314">
        <v>1.3514999999999999</v>
      </c>
      <c r="X764" s="314">
        <v>1.3362000000000001</v>
      </c>
      <c r="Y764" s="314">
        <v>1.2371000000000001</v>
      </c>
      <c r="Z764" s="314">
        <v>1.2925</v>
      </c>
      <c r="AA764" s="314">
        <v>1.2948</v>
      </c>
      <c r="AB764" s="314">
        <v>1.3032999999999999</v>
      </c>
      <c r="AC764" s="314">
        <v>1.1859</v>
      </c>
      <c r="AD764" s="314">
        <v>1.1964999999999999</v>
      </c>
      <c r="AE764" s="314">
        <v>1.2870999999999999</v>
      </c>
      <c r="AF764" s="314">
        <v>1.1388</v>
      </c>
      <c r="AG764" s="314">
        <v>1.1841999999999999</v>
      </c>
      <c r="AH764" s="314">
        <v>1.3069999999999999</v>
      </c>
      <c r="AI764" s="314">
        <v>1.3774</v>
      </c>
      <c r="AJ764" s="314">
        <v>1.2362</v>
      </c>
      <c r="AK764" s="314">
        <v>1.2574000000000001</v>
      </c>
      <c r="AL764" s="314">
        <v>1.3270999999999999</v>
      </c>
      <c r="AM764" s="314">
        <v>1.3066</v>
      </c>
      <c r="AN764" s="314">
        <v>1.2629999999999999</v>
      </c>
      <c r="AO764" s="314">
        <v>1.2896000000000001</v>
      </c>
      <c r="AP764" s="314">
        <v>1.3247</v>
      </c>
      <c r="AQ764" s="314">
        <v>1.2867999999999999</v>
      </c>
      <c r="AR764" s="314">
        <v>1.2843</v>
      </c>
      <c r="AS764" s="314">
        <v>1.1249</v>
      </c>
      <c r="AT764" s="314">
        <v>1.3042</v>
      </c>
      <c r="AU764" s="314">
        <v>1.3626</v>
      </c>
      <c r="AV764" s="314">
        <v>1.3273999999999999</v>
      </c>
      <c r="AW764" s="314">
        <v>1.3438000000000001</v>
      </c>
      <c r="AX764" s="314">
        <v>1.2107000000000001</v>
      </c>
      <c r="AY764" s="314">
        <v>1.3101</v>
      </c>
      <c r="AZ764" s="314">
        <v>1.2462</v>
      </c>
      <c r="BA764" s="314">
        <v>1.1871</v>
      </c>
      <c r="BB764" s="314">
        <v>1.1436999999999999</v>
      </c>
      <c r="BC764" s="314">
        <v>1.3447</v>
      </c>
      <c r="BD764" s="314">
        <v>1.363</v>
      </c>
      <c r="BE764" s="314">
        <v>1.3282</v>
      </c>
      <c r="BF764" s="314">
        <v>1.2689999999999999</v>
      </c>
      <c r="BG764" s="314">
        <v>1.3731</v>
      </c>
      <c r="BH764" s="314">
        <v>1.2742</v>
      </c>
      <c r="BI764" s="314">
        <v>1.3527</v>
      </c>
      <c r="BJ764" s="314">
        <v>1.3494999999999999</v>
      </c>
      <c r="BK764" s="314">
        <v>1.3744000000000001</v>
      </c>
    </row>
    <row r="765" spans="1:63" x14ac:dyDescent="0.25">
      <c r="A765" s="306">
        <v>541512</v>
      </c>
      <c r="B765" s="314" t="s">
        <v>311</v>
      </c>
      <c r="C765" s="314">
        <v>1.6085</v>
      </c>
      <c r="D765" s="314">
        <v>1.3026</v>
      </c>
      <c r="E765" s="314">
        <v>1.3557999999999999</v>
      </c>
      <c r="F765" s="314">
        <v>1.288</v>
      </c>
      <c r="G765" s="314">
        <v>1.4294</v>
      </c>
      <c r="H765" s="314">
        <v>1.5238</v>
      </c>
      <c r="I765" s="314">
        <v>1.5168999999999999</v>
      </c>
      <c r="J765" s="314">
        <v>1.4303999999999999</v>
      </c>
      <c r="K765" s="314">
        <v>1.3635999999999999</v>
      </c>
      <c r="L765" s="314">
        <v>1.3889</v>
      </c>
      <c r="M765" s="314">
        <v>1.4599</v>
      </c>
      <c r="N765" s="314">
        <v>1.5096000000000001</v>
      </c>
      <c r="O765" s="314">
        <v>1.3915</v>
      </c>
      <c r="P765" s="314">
        <v>1.2383</v>
      </c>
      <c r="Q765" s="314">
        <v>1.2971999999999999</v>
      </c>
      <c r="R765" s="314">
        <v>1.5185</v>
      </c>
      <c r="S765" s="314">
        <v>1.3494999999999999</v>
      </c>
      <c r="T765" s="314">
        <v>1.3268</v>
      </c>
      <c r="U765" s="314">
        <v>1.3545</v>
      </c>
      <c r="V765" s="314">
        <v>1.3479000000000001</v>
      </c>
      <c r="W765" s="314">
        <v>1.5037</v>
      </c>
      <c r="X765" s="314">
        <v>1.4719</v>
      </c>
      <c r="Y765" s="314">
        <v>1.3492</v>
      </c>
      <c r="Z765" s="314">
        <v>1.4356</v>
      </c>
      <c r="AA765" s="314">
        <v>1.4263999999999999</v>
      </c>
      <c r="AB765" s="314">
        <v>1.4503999999999999</v>
      </c>
      <c r="AC765" s="314">
        <v>1.2801</v>
      </c>
      <c r="AD765" s="314">
        <v>1.2972999999999999</v>
      </c>
      <c r="AE765" s="314">
        <v>1.3993</v>
      </c>
      <c r="AF765" s="314">
        <v>1.2201</v>
      </c>
      <c r="AG765" s="314">
        <v>1.2635000000000001</v>
      </c>
      <c r="AH765" s="314">
        <v>1.427</v>
      </c>
      <c r="AI765" s="314">
        <v>1.5283</v>
      </c>
      <c r="AJ765" s="314">
        <v>1.3318000000000001</v>
      </c>
      <c r="AK765" s="314">
        <v>1.3813</v>
      </c>
      <c r="AL765" s="314">
        <v>1.4476</v>
      </c>
      <c r="AM765" s="314">
        <v>1.4386000000000001</v>
      </c>
      <c r="AN765" s="314">
        <v>1.3606</v>
      </c>
      <c r="AO765" s="314">
        <v>1.4196</v>
      </c>
      <c r="AP765" s="314">
        <v>1.4837</v>
      </c>
      <c r="AQ765" s="314">
        <v>1.3992</v>
      </c>
      <c r="AR765" s="314">
        <v>1.3973</v>
      </c>
      <c r="AS765" s="314">
        <v>1.2043999999999999</v>
      </c>
      <c r="AT765" s="314">
        <v>1.429</v>
      </c>
      <c r="AU765" s="314">
        <v>1.5018</v>
      </c>
      <c r="AV765" s="314">
        <v>1.4795</v>
      </c>
      <c r="AW765" s="314">
        <v>1.4801</v>
      </c>
      <c r="AX765" s="314">
        <v>1.339</v>
      </c>
      <c r="AY765" s="314">
        <v>1.4461999999999999</v>
      </c>
      <c r="AZ765" s="314">
        <v>1.3656999999999999</v>
      </c>
      <c r="BA765" s="314">
        <v>1.2766999999999999</v>
      </c>
      <c r="BB765" s="314">
        <v>1.2369000000000001</v>
      </c>
      <c r="BC765" s="314">
        <v>1.4976</v>
      </c>
      <c r="BD765" s="314">
        <v>1.5170999999999999</v>
      </c>
      <c r="BE765" s="314">
        <v>1.4822</v>
      </c>
      <c r="BF765" s="314">
        <v>1.3911</v>
      </c>
      <c r="BG765" s="314">
        <v>1.5274000000000001</v>
      </c>
      <c r="BH765" s="314">
        <v>1.4058999999999999</v>
      </c>
      <c r="BI765" s="314">
        <v>1.4873000000000001</v>
      </c>
      <c r="BJ765" s="314">
        <v>1.4875</v>
      </c>
      <c r="BK765" s="314">
        <v>1.5264</v>
      </c>
    </row>
    <row r="766" spans="1:63" x14ac:dyDescent="0.25">
      <c r="A766" s="306" t="s">
        <v>769</v>
      </c>
      <c r="B766" s="314" t="s">
        <v>312</v>
      </c>
      <c r="C766" s="314">
        <v>1.3955</v>
      </c>
      <c r="D766" s="314">
        <v>1.1946000000000001</v>
      </c>
      <c r="E766" s="314">
        <v>1.2205999999999999</v>
      </c>
      <c r="F766" s="314">
        <v>1.1857</v>
      </c>
      <c r="G766" s="314">
        <v>1.2910999999999999</v>
      </c>
      <c r="H766" s="314">
        <v>1.3416999999999999</v>
      </c>
      <c r="I766" s="314">
        <v>1.3391999999999999</v>
      </c>
      <c r="J766" s="314">
        <v>1.2886</v>
      </c>
      <c r="K766" s="314">
        <v>1.2206999999999999</v>
      </c>
      <c r="L766" s="314">
        <v>1.2488999999999999</v>
      </c>
      <c r="M766" s="314">
        <v>1.3087</v>
      </c>
      <c r="N766" s="314">
        <v>1.3281000000000001</v>
      </c>
      <c r="O766" s="314">
        <v>1.2485999999999999</v>
      </c>
      <c r="P766" s="314">
        <v>1.1574</v>
      </c>
      <c r="Q766" s="314">
        <v>1.1819999999999999</v>
      </c>
      <c r="R766" s="314">
        <v>1.3378000000000001</v>
      </c>
      <c r="S766" s="314">
        <v>1.2211000000000001</v>
      </c>
      <c r="T766" s="314">
        <v>1.2050000000000001</v>
      </c>
      <c r="U766" s="314">
        <v>1.2284999999999999</v>
      </c>
      <c r="V766" s="314">
        <v>1.2233000000000001</v>
      </c>
      <c r="W766" s="314">
        <v>1.3185</v>
      </c>
      <c r="X766" s="314">
        <v>1.2950999999999999</v>
      </c>
      <c r="Y766" s="314">
        <v>1.2223999999999999</v>
      </c>
      <c r="Z766" s="314">
        <v>1.2645</v>
      </c>
      <c r="AA766" s="314">
        <v>1.2827999999999999</v>
      </c>
      <c r="AB766" s="314">
        <v>1.2797000000000001</v>
      </c>
      <c r="AC766" s="314">
        <v>1.1747000000000001</v>
      </c>
      <c r="AD766" s="314">
        <v>1.1862999999999999</v>
      </c>
      <c r="AE766" s="314">
        <v>1.2602</v>
      </c>
      <c r="AF766" s="314">
        <v>1.1435999999999999</v>
      </c>
      <c r="AG766" s="314">
        <v>1.1688000000000001</v>
      </c>
      <c r="AH766" s="314">
        <v>1.2814000000000001</v>
      </c>
      <c r="AI766" s="314">
        <v>1.3418000000000001</v>
      </c>
      <c r="AJ766" s="314">
        <v>1.2040999999999999</v>
      </c>
      <c r="AK766" s="314">
        <v>1.2430000000000001</v>
      </c>
      <c r="AL766" s="314">
        <v>1.3002</v>
      </c>
      <c r="AM766" s="314">
        <v>1.2745</v>
      </c>
      <c r="AN766" s="314">
        <v>1.2343</v>
      </c>
      <c r="AO766" s="314">
        <v>1.2647999999999999</v>
      </c>
      <c r="AP766" s="314">
        <v>1.3008999999999999</v>
      </c>
      <c r="AQ766" s="314">
        <v>1.2585999999999999</v>
      </c>
      <c r="AR766" s="314">
        <v>1.2539</v>
      </c>
      <c r="AS766" s="314">
        <v>1.1412</v>
      </c>
      <c r="AT766" s="314">
        <v>1.2796000000000001</v>
      </c>
      <c r="AU766" s="314">
        <v>1.3312999999999999</v>
      </c>
      <c r="AV766" s="314">
        <v>1.3090999999999999</v>
      </c>
      <c r="AW766" s="314">
        <v>1.3125</v>
      </c>
      <c r="AX766" s="314">
        <v>1.2061999999999999</v>
      </c>
      <c r="AY766" s="314">
        <v>1.2855000000000001</v>
      </c>
      <c r="AZ766" s="314">
        <v>1.2313000000000001</v>
      </c>
      <c r="BA766" s="314">
        <v>1.1754</v>
      </c>
      <c r="BB766" s="314">
        <v>1.1426000000000001</v>
      </c>
      <c r="BC766" s="314">
        <v>1.3196000000000001</v>
      </c>
      <c r="BD766" s="314">
        <v>1.337</v>
      </c>
      <c r="BE766" s="314">
        <v>1.3024</v>
      </c>
      <c r="BF766" s="314">
        <v>1.2601</v>
      </c>
      <c r="BG766" s="314">
        <v>1.3423</v>
      </c>
      <c r="BH766" s="314">
        <v>1.2572000000000001</v>
      </c>
      <c r="BI766" s="314">
        <v>1.3237000000000001</v>
      </c>
      <c r="BJ766" s="314">
        <v>1.3220000000000001</v>
      </c>
      <c r="BK766" s="314">
        <v>1.3431999999999999</v>
      </c>
    </row>
    <row r="767" spans="1:63" x14ac:dyDescent="0.25">
      <c r="A767" s="306">
        <v>541610</v>
      </c>
      <c r="B767" s="314" t="s">
        <v>313</v>
      </c>
      <c r="C767" s="314">
        <v>1.4843</v>
      </c>
      <c r="D767" s="314">
        <v>1.244</v>
      </c>
      <c r="E767" s="314">
        <v>1.2757000000000001</v>
      </c>
      <c r="F767" s="314">
        <v>1.2351000000000001</v>
      </c>
      <c r="G767" s="314">
        <v>1.3418000000000001</v>
      </c>
      <c r="H767" s="314">
        <v>1.4077</v>
      </c>
      <c r="I767" s="314">
        <v>1.409</v>
      </c>
      <c r="J767" s="314">
        <v>1.3626</v>
      </c>
      <c r="K767" s="314">
        <v>1.2813000000000001</v>
      </c>
      <c r="L767" s="314">
        <v>1.3129</v>
      </c>
      <c r="M767" s="314">
        <v>1.3715999999999999</v>
      </c>
      <c r="N767" s="314">
        <v>1.4188000000000001</v>
      </c>
      <c r="O767" s="314">
        <v>1.2984</v>
      </c>
      <c r="P767" s="314">
        <v>1.2136</v>
      </c>
      <c r="Q767" s="314">
        <v>1.2283999999999999</v>
      </c>
      <c r="R767" s="314">
        <v>1.4242999999999999</v>
      </c>
      <c r="S767" s="314">
        <v>1.2839</v>
      </c>
      <c r="T767" s="314">
        <v>1.2701</v>
      </c>
      <c r="U767" s="314">
        <v>1.2955000000000001</v>
      </c>
      <c r="V767" s="314">
        <v>1.2751999999999999</v>
      </c>
      <c r="W767" s="314">
        <v>1.3946000000000001</v>
      </c>
      <c r="X767" s="314">
        <v>1.3734999999999999</v>
      </c>
      <c r="Y767" s="314">
        <v>1.2875000000000001</v>
      </c>
      <c r="Z767" s="314">
        <v>1.3329</v>
      </c>
      <c r="AA767" s="314">
        <v>1.3522000000000001</v>
      </c>
      <c r="AB767" s="314">
        <v>1.3557999999999999</v>
      </c>
      <c r="AC767" s="314">
        <v>1.2177</v>
      </c>
      <c r="AD767" s="314">
        <v>1.2393000000000001</v>
      </c>
      <c r="AE767" s="314">
        <v>1.3182</v>
      </c>
      <c r="AF767" s="314">
        <v>1.1808000000000001</v>
      </c>
      <c r="AG767" s="314">
        <v>1.2295</v>
      </c>
      <c r="AH767" s="314">
        <v>1.3357000000000001</v>
      </c>
      <c r="AI767" s="314">
        <v>1.4295</v>
      </c>
      <c r="AJ767" s="314">
        <v>1.2444999999999999</v>
      </c>
      <c r="AK767" s="314">
        <v>1.2948999999999999</v>
      </c>
      <c r="AL767" s="314">
        <v>1.3811</v>
      </c>
      <c r="AM767" s="314">
        <v>1.3539000000000001</v>
      </c>
      <c r="AN767" s="314">
        <v>1.3024</v>
      </c>
      <c r="AO767" s="314">
        <v>1.3288</v>
      </c>
      <c r="AP767" s="314">
        <v>1.3878999999999999</v>
      </c>
      <c r="AQ767" s="314">
        <v>1.3304</v>
      </c>
      <c r="AR767" s="314">
        <v>1.3121</v>
      </c>
      <c r="AS767" s="314">
        <v>1.1734</v>
      </c>
      <c r="AT767" s="314">
        <v>1.3571</v>
      </c>
      <c r="AU767" s="314">
        <v>1.4013</v>
      </c>
      <c r="AV767" s="314">
        <v>1.3774</v>
      </c>
      <c r="AW767" s="314">
        <v>1.3816999999999999</v>
      </c>
      <c r="AX767" s="314">
        <v>1.2695000000000001</v>
      </c>
      <c r="AY767" s="314">
        <v>1.3468</v>
      </c>
      <c r="AZ767" s="314">
        <v>1.2991999999999999</v>
      </c>
      <c r="BA767" s="314">
        <v>1.2264999999999999</v>
      </c>
      <c r="BB767" s="314">
        <v>1.1845000000000001</v>
      </c>
      <c r="BC767" s="314">
        <v>1.3966000000000001</v>
      </c>
      <c r="BD767" s="314">
        <v>1.4267000000000001</v>
      </c>
      <c r="BE767" s="314">
        <v>1.3883000000000001</v>
      </c>
      <c r="BF767" s="314">
        <v>1.3223</v>
      </c>
      <c r="BG767" s="314">
        <v>1.4180999999999999</v>
      </c>
      <c r="BH767" s="314">
        <v>1.3260000000000001</v>
      </c>
      <c r="BI767" s="314">
        <v>1.3900999999999999</v>
      </c>
      <c r="BJ767" s="314">
        <v>1.3776999999999999</v>
      </c>
      <c r="BK767" s="314">
        <v>1.4075</v>
      </c>
    </row>
    <row r="768" spans="1:63" x14ac:dyDescent="0.25">
      <c r="A768" s="306" t="s">
        <v>770</v>
      </c>
      <c r="B768" s="314" t="s">
        <v>314</v>
      </c>
      <c r="C768" s="314">
        <v>1.4690000000000001</v>
      </c>
      <c r="D768" s="314">
        <v>1.224</v>
      </c>
      <c r="E768" s="314">
        <v>1.2824</v>
      </c>
      <c r="F768" s="314">
        <v>1.218</v>
      </c>
      <c r="G768" s="314">
        <v>1.3364</v>
      </c>
      <c r="H768" s="314">
        <v>1.3932</v>
      </c>
      <c r="I768" s="314">
        <v>1.3923000000000001</v>
      </c>
      <c r="J768" s="314">
        <v>1.3352999999999999</v>
      </c>
      <c r="K768" s="314">
        <v>1.2698</v>
      </c>
      <c r="L768" s="314">
        <v>1.3043</v>
      </c>
      <c r="M768" s="314">
        <v>1.3560000000000001</v>
      </c>
      <c r="N768" s="314">
        <v>1.4036999999999999</v>
      </c>
      <c r="O768" s="314">
        <v>1.2987</v>
      </c>
      <c r="P768" s="314">
        <v>1.1902999999999999</v>
      </c>
      <c r="Q768" s="314">
        <v>1.2242</v>
      </c>
      <c r="R768" s="314">
        <v>1.3929</v>
      </c>
      <c r="S768" s="314">
        <v>1.2807999999999999</v>
      </c>
      <c r="T768" s="314">
        <v>1.2592000000000001</v>
      </c>
      <c r="U768" s="314">
        <v>1.2819</v>
      </c>
      <c r="V768" s="314">
        <v>1.2844</v>
      </c>
      <c r="W768" s="314">
        <v>1.38</v>
      </c>
      <c r="X768" s="314">
        <v>1.3643000000000001</v>
      </c>
      <c r="Y768" s="314">
        <v>1.2643</v>
      </c>
      <c r="Z768" s="314">
        <v>1.3307</v>
      </c>
      <c r="AA768" s="314">
        <v>1.3264</v>
      </c>
      <c r="AB768" s="314">
        <v>1.3394999999999999</v>
      </c>
      <c r="AC768" s="314">
        <v>1.2112000000000001</v>
      </c>
      <c r="AD768" s="314">
        <v>1.2194</v>
      </c>
      <c r="AE768" s="314">
        <v>1.3147</v>
      </c>
      <c r="AF768" s="314">
        <v>1.1694</v>
      </c>
      <c r="AG768" s="314">
        <v>1.2081</v>
      </c>
      <c r="AH768" s="314">
        <v>1.3408</v>
      </c>
      <c r="AI768" s="314">
        <v>1.4141999999999999</v>
      </c>
      <c r="AJ768" s="314">
        <v>1.2525999999999999</v>
      </c>
      <c r="AK768" s="314">
        <v>1.2905</v>
      </c>
      <c r="AL768" s="314">
        <v>1.3440000000000001</v>
      </c>
      <c r="AM768" s="314">
        <v>1.3483000000000001</v>
      </c>
      <c r="AN768" s="314">
        <v>1.2934000000000001</v>
      </c>
      <c r="AO768" s="314">
        <v>1.3240000000000001</v>
      </c>
      <c r="AP768" s="314">
        <v>1.3781000000000001</v>
      </c>
      <c r="AQ768" s="314">
        <v>1.3115000000000001</v>
      </c>
      <c r="AR768" s="314">
        <v>1.32</v>
      </c>
      <c r="AS768" s="314">
        <v>1.1482000000000001</v>
      </c>
      <c r="AT768" s="314">
        <v>1.3541000000000001</v>
      </c>
      <c r="AU768" s="314">
        <v>1.3919999999999999</v>
      </c>
      <c r="AV768" s="314">
        <v>1.3621000000000001</v>
      </c>
      <c r="AW768" s="314">
        <v>1.3674999999999999</v>
      </c>
      <c r="AX768" s="314">
        <v>1.2444999999999999</v>
      </c>
      <c r="AY768" s="314">
        <v>1.3436999999999999</v>
      </c>
      <c r="AZ768" s="314">
        <v>1.2815000000000001</v>
      </c>
      <c r="BA768" s="314">
        <v>1.2146999999999999</v>
      </c>
      <c r="BB768" s="314">
        <v>1.1659999999999999</v>
      </c>
      <c r="BC768" s="314">
        <v>1.3801000000000001</v>
      </c>
      <c r="BD768" s="314">
        <v>1.4005000000000001</v>
      </c>
      <c r="BE768" s="314">
        <v>1.3777999999999999</v>
      </c>
      <c r="BF768" s="314">
        <v>1.3019000000000001</v>
      </c>
      <c r="BG768" s="314">
        <v>1.4080999999999999</v>
      </c>
      <c r="BH768" s="314">
        <v>1.3306</v>
      </c>
      <c r="BI768" s="314">
        <v>1.3861000000000001</v>
      </c>
      <c r="BJ768" s="314">
        <v>1.3714</v>
      </c>
      <c r="BK768" s="314">
        <v>1.3957999999999999</v>
      </c>
    </row>
    <row r="769" spans="1:63" x14ac:dyDescent="0.25">
      <c r="A769" s="306">
        <v>541700</v>
      </c>
      <c r="B769" s="314" t="s">
        <v>315</v>
      </c>
      <c r="C769" s="314">
        <v>1.6509</v>
      </c>
      <c r="D769" s="314">
        <v>1.3130999999999999</v>
      </c>
      <c r="E769" s="314">
        <v>1.4008</v>
      </c>
      <c r="F769" s="314">
        <v>1.3147</v>
      </c>
      <c r="G769" s="314">
        <v>1.4349000000000001</v>
      </c>
      <c r="H769" s="314">
        <v>1.5185</v>
      </c>
      <c r="I769" s="314">
        <v>1.5091000000000001</v>
      </c>
      <c r="J769" s="314">
        <v>1.4584999999999999</v>
      </c>
      <c r="K769" s="314">
        <v>1.3130999999999999</v>
      </c>
      <c r="L769" s="314">
        <v>1.399</v>
      </c>
      <c r="M769" s="314">
        <v>1.4681999999999999</v>
      </c>
      <c r="N769" s="314">
        <v>1.5064</v>
      </c>
      <c r="O769" s="314">
        <v>1.3807</v>
      </c>
      <c r="P769" s="314">
        <v>1.2684</v>
      </c>
      <c r="Q769" s="314">
        <v>1.3033999999999999</v>
      </c>
      <c r="R769" s="314">
        <v>1.5458000000000001</v>
      </c>
      <c r="S769" s="314">
        <v>1.4027000000000001</v>
      </c>
      <c r="T769" s="314">
        <v>1.3480000000000001</v>
      </c>
      <c r="U769" s="314">
        <v>1.4044000000000001</v>
      </c>
      <c r="V769" s="314">
        <v>1.3891</v>
      </c>
      <c r="W769" s="314">
        <v>1.4943</v>
      </c>
      <c r="X769" s="314">
        <v>1.4650000000000001</v>
      </c>
      <c r="Y769" s="314">
        <v>1.3617999999999999</v>
      </c>
      <c r="Z769" s="314">
        <v>1.4292</v>
      </c>
      <c r="AA769" s="314">
        <v>1.4353</v>
      </c>
      <c r="AB769" s="314">
        <v>1.4684999999999999</v>
      </c>
      <c r="AC769" s="314">
        <v>1.3208</v>
      </c>
      <c r="AD769" s="314">
        <v>1.2957000000000001</v>
      </c>
      <c r="AE769" s="314">
        <v>1.4248000000000001</v>
      </c>
      <c r="AF769" s="314">
        <v>1.2331000000000001</v>
      </c>
      <c r="AG769" s="314">
        <v>1.2955000000000001</v>
      </c>
      <c r="AH769" s="314">
        <v>1.4235</v>
      </c>
      <c r="AI769" s="314">
        <v>1.5376000000000001</v>
      </c>
      <c r="AJ769" s="314">
        <v>1.3317000000000001</v>
      </c>
      <c r="AK769" s="314">
        <v>1.3680000000000001</v>
      </c>
      <c r="AL769" s="314">
        <v>1.4570000000000001</v>
      </c>
      <c r="AM769" s="314">
        <v>1.4621999999999999</v>
      </c>
      <c r="AN769" s="314">
        <v>1.381</v>
      </c>
      <c r="AO769" s="314">
        <v>1.4333</v>
      </c>
      <c r="AP769" s="314">
        <v>1.5129999999999999</v>
      </c>
      <c r="AQ769" s="314">
        <v>1.3959999999999999</v>
      </c>
      <c r="AR769" s="314">
        <v>1.4194</v>
      </c>
      <c r="AS769" s="314">
        <v>1.2089000000000001</v>
      </c>
      <c r="AT769" s="314">
        <v>1.4596</v>
      </c>
      <c r="AU769" s="314">
        <v>1.5362</v>
      </c>
      <c r="AV769" s="314">
        <v>1.4844999999999999</v>
      </c>
      <c r="AW769" s="314">
        <v>1.4958</v>
      </c>
      <c r="AX769" s="314">
        <v>1.3439000000000001</v>
      </c>
      <c r="AY769" s="314">
        <v>1.4491000000000001</v>
      </c>
      <c r="AZ769" s="314">
        <v>1.3832</v>
      </c>
      <c r="BA769" s="314">
        <v>1.3208</v>
      </c>
      <c r="BB769" s="314">
        <v>1.2498</v>
      </c>
      <c r="BC769" s="314">
        <v>1.5039</v>
      </c>
      <c r="BD769" s="314">
        <v>1.5317000000000001</v>
      </c>
      <c r="BE769" s="314">
        <v>1.5118</v>
      </c>
      <c r="BF769" s="314">
        <v>1.4119999999999999</v>
      </c>
      <c r="BG769" s="314">
        <v>1.5457000000000001</v>
      </c>
      <c r="BH769" s="314">
        <v>1.4498</v>
      </c>
      <c r="BI769" s="314">
        <v>1.5271999999999999</v>
      </c>
      <c r="BJ769" s="314">
        <v>1.4849000000000001</v>
      </c>
      <c r="BK769" s="314">
        <v>1.5308999999999999</v>
      </c>
    </row>
    <row r="770" spans="1:63" x14ac:dyDescent="0.25">
      <c r="A770" s="306">
        <v>541800</v>
      </c>
      <c r="B770" s="314" t="s">
        <v>316</v>
      </c>
      <c r="C770" s="314">
        <v>1.5396000000000001</v>
      </c>
      <c r="D770" s="314">
        <v>1.2189000000000001</v>
      </c>
      <c r="E770" s="314">
        <v>1.2627999999999999</v>
      </c>
      <c r="F770" s="314">
        <v>1.2403999999999999</v>
      </c>
      <c r="G770" s="314">
        <v>1.3232999999999999</v>
      </c>
      <c r="H770" s="314">
        <v>1.4542999999999999</v>
      </c>
      <c r="I770" s="314">
        <v>1.4018999999999999</v>
      </c>
      <c r="J770" s="314">
        <v>1.3651</v>
      </c>
      <c r="K770" s="314">
        <v>1.2919</v>
      </c>
      <c r="L770" s="314">
        <v>1.2623</v>
      </c>
      <c r="M770" s="314">
        <v>1.3673</v>
      </c>
      <c r="N770" s="314">
        <v>1.4289000000000001</v>
      </c>
      <c r="O770" s="314">
        <v>1.3091999999999999</v>
      </c>
      <c r="P770" s="314">
        <v>1.2085999999999999</v>
      </c>
      <c r="Q770" s="314">
        <v>1.2158</v>
      </c>
      <c r="R770" s="314">
        <v>1.4245000000000001</v>
      </c>
      <c r="S770" s="314">
        <v>1.2942</v>
      </c>
      <c r="T770" s="314">
        <v>1.2635000000000001</v>
      </c>
      <c r="U770" s="314">
        <v>1.2866</v>
      </c>
      <c r="V770" s="314">
        <v>1.2684</v>
      </c>
      <c r="W770" s="314">
        <v>1.3814</v>
      </c>
      <c r="X770" s="314">
        <v>1.3749</v>
      </c>
      <c r="Y770" s="314">
        <v>1.2723</v>
      </c>
      <c r="Z770" s="314">
        <v>1.3394999999999999</v>
      </c>
      <c r="AA770" s="314">
        <v>1.3478000000000001</v>
      </c>
      <c r="AB770" s="314">
        <v>1.3581000000000001</v>
      </c>
      <c r="AC770" s="314">
        <v>1.2062999999999999</v>
      </c>
      <c r="AD770" s="314">
        <v>1.2166999999999999</v>
      </c>
      <c r="AE770" s="314">
        <v>1.3138000000000001</v>
      </c>
      <c r="AF770" s="314">
        <v>1.1573</v>
      </c>
      <c r="AG770" s="314">
        <v>1.2110000000000001</v>
      </c>
      <c r="AH770" s="314">
        <v>1.3364</v>
      </c>
      <c r="AI770" s="314">
        <v>1.4331</v>
      </c>
      <c r="AJ770" s="314">
        <v>1.2624</v>
      </c>
      <c r="AK770" s="314">
        <v>1.3188</v>
      </c>
      <c r="AL770" s="314">
        <v>1.4216</v>
      </c>
      <c r="AM770" s="314">
        <v>1.3503000000000001</v>
      </c>
      <c r="AN770" s="314">
        <v>1.2776000000000001</v>
      </c>
      <c r="AO770" s="314">
        <v>1.3378000000000001</v>
      </c>
      <c r="AP770" s="314">
        <v>1.3838999999999999</v>
      </c>
      <c r="AQ770" s="314">
        <v>1.3292999999999999</v>
      </c>
      <c r="AR770" s="314">
        <v>1.3004</v>
      </c>
      <c r="AS770" s="314">
        <v>1.1716</v>
      </c>
      <c r="AT770" s="314">
        <v>1.3934</v>
      </c>
      <c r="AU770" s="314">
        <v>1.3925000000000001</v>
      </c>
      <c r="AV770" s="314">
        <v>1.3819999999999999</v>
      </c>
      <c r="AW770" s="314">
        <v>1.3735999999999999</v>
      </c>
      <c r="AX770" s="314">
        <v>1.2795000000000001</v>
      </c>
      <c r="AY770" s="314">
        <v>1.3265</v>
      </c>
      <c r="AZ770" s="314">
        <v>1.2959000000000001</v>
      </c>
      <c r="BA770" s="314">
        <v>1.2148000000000001</v>
      </c>
      <c r="BB770" s="314">
        <v>1.1677999999999999</v>
      </c>
      <c r="BC770" s="314">
        <v>1.3893</v>
      </c>
      <c r="BD770" s="314">
        <v>1.4849000000000001</v>
      </c>
      <c r="BE770" s="314">
        <v>1.3871</v>
      </c>
      <c r="BF770" s="314">
        <v>1.3202</v>
      </c>
      <c r="BG770" s="314">
        <v>1.4184000000000001</v>
      </c>
      <c r="BH770" s="314">
        <v>1.3411999999999999</v>
      </c>
      <c r="BI770" s="314">
        <v>1.3809</v>
      </c>
      <c r="BJ770" s="314">
        <v>1.3789</v>
      </c>
      <c r="BK770" s="314">
        <v>1.4548000000000001</v>
      </c>
    </row>
    <row r="771" spans="1:63" x14ac:dyDescent="0.25">
      <c r="A771" s="306">
        <v>541920</v>
      </c>
      <c r="B771" s="314" t="s">
        <v>317</v>
      </c>
      <c r="C771" s="314">
        <v>1.6069</v>
      </c>
      <c r="D771" s="314">
        <v>1.2518</v>
      </c>
      <c r="E771" s="314">
        <v>1.3514999999999999</v>
      </c>
      <c r="F771" s="314">
        <v>1.2844</v>
      </c>
      <c r="G771" s="314">
        <v>1.4061999999999999</v>
      </c>
      <c r="H771" s="314">
        <v>1.4938</v>
      </c>
      <c r="I771" s="314">
        <v>1.4922</v>
      </c>
      <c r="J771" s="314">
        <v>1.4101999999999999</v>
      </c>
      <c r="K771" s="314">
        <v>1.3142</v>
      </c>
      <c r="L771" s="314">
        <v>1.3247</v>
      </c>
      <c r="M771" s="314">
        <v>1.4231</v>
      </c>
      <c r="N771" s="314">
        <v>1.5225</v>
      </c>
      <c r="O771" s="314">
        <v>1.3395999999999999</v>
      </c>
      <c r="P771" s="314">
        <v>1.2444</v>
      </c>
      <c r="Q771" s="314">
        <v>1.2732000000000001</v>
      </c>
      <c r="R771" s="314">
        <v>1.5226999999999999</v>
      </c>
      <c r="S771" s="314">
        <v>1.3976</v>
      </c>
      <c r="T771" s="314">
        <v>1.3028999999999999</v>
      </c>
      <c r="U771" s="314">
        <v>1.3626</v>
      </c>
      <c r="V771" s="314">
        <v>1.3375999999999999</v>
      </c>
      <c r="W771" s="314">
        <v>1.4398</v>
      </c>
      <c r="X771" s="314">
        <v>1.4511000000000001</v>
      </c>
      <c r="Y771" s="314">
        <v>1.302</v>
      </c>
      <c r="Z771" s="314">
        <v>1.4329000000000001</v>
      </c>
      <c r="AA771" s="314">
        <v>1.4386000000000001</v>
      </c>
      <c r="AB771" s="314">
        <v>1.4397</v>
      </c>
      <c r="AC771" s="314">
        <v>1.2624</v>
      </c>
      <c r="AD771" s="314">
        <v>1.2513000000000001</v>
      </c>
      <c r="AE771" s="314">
        <v>1.4146000000000001</v>
      </c>
      <c r="AF771" s="314">
        <v>1.1896</v>
      </c>
      <c r="AG771" s="314">
        <v>1.2403999999999999</v>
      </c>
      <c r="AH771" s="314">
        <v>1.3993</v>
      </c>
      <c r="AI771" s="314">
        <v>1.5224</v>
      </c>
      <c r="AJ771" s="314">
        <v>1.2715000000000001</v>
      </c>
      <c r="AK771" s="314">
        <v>1.3413999999999999</v>
      </c>
      <c r="AL771" s="314">
        <v>1.4384999999999999</v>
      </c>
      <c r="AM771" s="314">
        <v>1.4392</v>
      </c>
      <c r="AN771" s="314">
        <v>1.3345</v>
      </c>
      <c r="AO771" s="314">
        <v>1.3968</v>
      </c>
      <c r="AP771" s="314">
        <v>1.4843999999999999</v>
      </c>
      <c r="AQ771" s="314">
        <v>1.3982000000000001</v>
      </c>
      <c r="AR771" s="314">
        <v>1.3846000000000001</v>
      </c>
      <c r="AS771" s="314">
        <v>1.1961999999999999</v>
      </c>
      <c r="AT771" s="314">
        <v>1.4489000000000001</v>
      </c>
      <c r="AU771" s="314">
        <v>1.4932000000000001</v>
      </c>
      <c r="AV771" s="314">
        <v>1.4555</v>
      </c>
      <c r="AW771" s="314">
        <v>1.4432</v>
      </c>
      <c r="AX771" s="314">
        <v>1.3280000000000001</v>
      </c>
      <c r="AY771" s="314">
        <v>1.3835</v>
      </c>
      <c r="AZ771" s="314">
        <v>1.3440000000000001</v>
      </c>
      <c r="BA771" s="314">
        <v>1.2917000000000001</v>
      </c>
      <c r="BB771" s="314">
        <v>1.2102999999999999</v>
      </c>
      <c r="BC771" s="314">
        <v>1.4538</v>
      </c>
      <c r="BD771" s="314">
        <v>1.5251999999999999</v>
      </c>
      <c r="BE771" s="314">
        <v>1.4892000000000001</v>
      </c>
      <c r="BF771" s="314">
        <v>1.3841000000000001</v>
      </c>
      <c r="BG771" s="314">
        <v>1.5188999999999999</v>
      </c>
      <c r="BH771" s="314">
        <v>1.4340999999999999</v>
      </c>
      <c r="BI771" s="314">
        <v>1.4758</v>
      </c>
      <c r="BJ771" s="314">
        <v>1.4626999999999999</v>
      </c>
      <c r="BK771" s="314">
        <v>1.4923999999999999</v>
      </c>
    </row>
    <row r="772" spans="1:63" x14ac:dyDescent="0.25">
      <c r="A772" s="306">
        <v>541940</v>
      </c>
      <c r="B772" s="314" t="s">
        <v>318</v>
      </c>
      <c r="C772" s="314">
        <v>1.7314000000000001</v>
      </c>
      <c r="D772" s="314">
        <v>1.2618</v>
      </c>
      <c r="E772" s="314">
        <v>1.3553999999999999</v>
      </c>
      <c r="F772" s="314">
        <v>1.3156000000000001</v>
      </c>
      <c r="G772" s="314">
        <v>1.3966000000000001</v>
      </c>
      <c r="H772" s="314">
        <v>1.5878000000000001</v>
      </c>
      <c r="I772" s="314">
        <v>1.5293000000000001</v>
      </c>
      <c r="J772" s="314">
        <v>1.5132000000000001</v>
      </c>
      <c r="K772" s="314">
        <v>1.2512000000000001</v>
      </c>
      <c r="L772" s="314">
        <v>1.3825000000000001</v>
      </c>
      <c r="M772" s="314">
        <v>1.4216</v>
      </c>
      <c r="N772" s="314">
        <v>1.516</v>
      </c>
      <c r="O772" s="314">
        <v>1.3223</v>
      </c>
      <c r="P772" s="314">
        <v>1.2931999999999999</v>
      </c>
      <c r="Q772" s="314">
        <v>1.2649999999999999</v>
      </c>
      <c r="R772" s="314">
        <v>1.6059000000000001</v>
      </c>
      <c r="S772" s="314">
        <v>1.4882</v>
      </c>
      <c r="T772" s="314">
        <v>1.369</v>
      </c>
      <c r="U772" s="314">
        <v>1.3749</v>
      </c>
      <c r="V772" s="314">
        <v>1.3169999999999999</v>
      </c>
      <c r="W772" s="314">
        <v>1.5650999999999999</v>
      </c>
      <c r="X772" s="314">
        <v>1.4269000000000001</v>
      </c>
      <c r="Y772" s="314">
        <v>1.4428000000000001</v>
      </c>
      <c r="Z772" s="314">
        <v>1.4907999999999999</v>
      </c>
      <c r="AA772" s="314">
        <v>1.4333</v>
      </c>
      <c r="AB772" s="314">
        <v>1.5197000000000001</v>
      </c>
      <c r="AC772" s="314">
        <v>1.3176000000000001</v>
      </c>
      <c r="AD772" s="314">
        <v>1.2717000000000001</v>
      </c>
      <c r="AE772" s="314">
        <v>1.5127999999999999</v>
      </c>
      <c r="AF772" s="314">
        <v>1.2111000000000001</v>
      </c>
      <c r="AG772" s="314">
        <v>1.3086</v>
      </c>
      <c r="AH772" s="314">
        <v>1.3929</v>
      </c>
      <c r="AI772" s="314">
        <v>1.6228</v>
      </c>
      <c r="AJ772" s="314">
        <v>1.2946</v>
      </c>
      <c r="AK772" s="314">
        <v>1.3447</v>
      </c>
      <c r="AL772" s="314">
        <v>1.4843</v>
      </c>
      <c r="AM772" s="314">
        <v>1.4757</v>
      </c>
      <c r="AN772" s="314">
        <v>1.3529</v>
      </c>
      <c r="AO772" s="314">
        <v>1.3751</v>
      </c>
      <c r="AP772" s="314">
        <v>1.5934999999999999</v>
      </c>
      <c r="AQ772" s="314">
        <v>1.4744999999999999</v>
      </c>
      <c r="AR772" s="314">
        <v>1.4633</v>
      </c>
      <c r="AS772" s="314">
        <v>1.2327999999999999</v>
      </c>
      <c r="AT772" s="314">
        <v>1.4781</v>
      </c>
      <c r="AU772" s="314">
        <v>1.4968999999999999</v>
      </c>
      <c r="AV772" s="314">
        <v>1.5661</v>
      </c>
      <c r="AW772" s="314">
        <v>1.4525999999999999</v>
      </c>
      <c r="AX772" s="314">
        <v>1.292</v>
      </c>
      <c r="AY772" s="314">
        <v>1.4189000000000001</v>
      </c>
      <c r="AZ772" s="314">
        <v>1.3980999999999999</v>
      </c>
      <c r="BA772" s="314">
        <v>1.387</v>
      </c>
      <c r="BB772" s="314">
        <v>1.2205999999999999</v>
      </c>
      <c r="BC772" s="314">
        <v>1.5764</v>
      </c>
      <c r="BD772" s="314">
        <v>1.6282000000000001</v>
      </c>
      <c r="BE772" s="314">
        <v>1.5968</v>
      </c>
      <c r="BF772" s="314">
        <v>1.4451000000000001</v>
      </c>
      <c r="BG772" s="314">
        <v>1.5541</v>
      </c>
      <c r="BH772" s="314">
        <v>1.4406000000000001</v>
      </c>
      <c r="BI772" s="314">
        <v>1.4916</v>
      </c>
      <c r="BJ772" s="314">
        <v>1.4805999999999999</v>
      </c>
      <c r="BK772" s="314">
        <v>1.5888</v>
      </c>
    </row>
    <row r="773" spans="1:63" x14ac:dyDescent="0.25">
      <c r="A773" s="306" t="s">
        <v>771</v>
      </c>
      <c r="B773" s="314" t="s">
        <v>319</v>
      </c>
      <c r="C773" s="314">
        <v>1.3917999999999999</v>
      </c>
      <c r="D773" s="314">
        <v>1.1794</v>
      </c>
      <c r="E773" s="314">
        <v>1.2214</v>
      </c>
      <c r="F773" s="314">
        <v>1.1875</v>
      </c>
      <c r="G773" s="314">
        <v>1.2665999999999999</v>
      </c>
      <c r="H773" s="314">
        <v>1.3280000000000001</v>
      </c>
      <c r="I773" s="314">
        <v>1.3190999999999999</v>
      </c>
      <c r="J773" s="314">
        <v>1.2890999999999999</v>
      </c>
      <c r="K773" s="314">
        <v>1.2230000000000001</v>
      </c>
      <c r="L773" s="314">
        <v>1.2344999999999999</v>
      </c>
      <c r="M773" s="314">
        <v>1.2922</v>
      </c>
      <c r="N773" s="314">
        <v>1.3301000000000001</v>
      </c>
      <c r="O773" s="314">
        <v>1.2297</v>
      </c>
      <c r="P773" s="314">
        <v>1.1673</v>
      </c>
      <c r="Q773" s="314">
        <v>1.1733</v>
      </c>
      <c r="R773" s="314">
        <v>1.3348</v>
      </c>
      <c r="S773" s="314">
        <v>1.2276</v>
      </c>
      <c r="T773" s="314">
        <v>1.2088000000000001</v>
      </c>
      <c r="U773" s="314">
        <v>1.2306999999999999</v>
      </c>
      <c r="V773" s="314">
        <v>1.2162999999999999</v>
      </c>
      <c r="W773" s="314">
        <v>1.3129</v>
      </c>
      <c r="X773" s="314">
        <v>1.2936000000000001</v>
      </c>
      <c r="Y773" s="314">
        <v>1.2137</v>
      </c>
      <c r="Z773" s="314">
        <v>1.2636000000000001</v>
      </c>
      <c r="AA773" s="314">
        <v>1.2735000000000001</v>
      </c>
      <c r="AB773" s="314">
        <v>1.2774000000000001</v>
      </c>
      <c r="AC773" s="314">
        <v>1.1651</v>
      </c>
      <c r="AD773" s="314">
        <v>1.1806000000000001</v>
      </c>
      <c r="AE773" s="314">
        <v>1.2507999999999999</v>
      </c>
      <c r="AF773" s="314">
        <v>1.1361000000000001</v>
      </c>
      <c r="AG773" s="314">
        <v>1.1793</v>
      </c>
      <c r="AH773" s="314">
        <v>1.2682</v>
      </c>
      <c r="AI773" s="314">
        <v>1.3329</v>
      </c>
      <c r="AJ773" s="314">
        <v>1.1915</v>
      </c>
      <c r="AK773" s="314">
        <v>1.2216</v>
      </c>
      <c r="AL773" s="314">
        <v>1.3019000000000001</v>
      </c>
      <c r="AM773" s="314">
        <v>1.28</v>
      </c>
      <c r="AN773" s="314">
        <v>1.2323999999999999</v>
      </c>
      <c r="AO773" s="314">
        <v>1.2598</v>
      </c>
      <c r="AP773" s="314">
        <v>1.3048999999999999</v>
      </c>
      <c r="AQ773" s="314">
        <v>1.2535000000000001</v>
      </c>
      <c r="AR773" s="314">
        <v>1.2477</v>
      </c>
      <c r="AS773" s="314">
        <v>1.1248</v>
      </c>
      <c r="AT773" s="314">
        <v>1.2867999999999999</v>
      </c>
      <c r="AU773" s="314">
        <v>1.3219000000000001</v>
      </c>
      <c r="AV773" s="314">
        <v>1.2927</v>
      </c>
      <c r="AW773" s="314">
        <v>1.2947</v>
      </c>
      <c r="AX773" s="314">
        <v>1.2047000000000001</v>
      </c>
      <c r="AY773" s="314">
        <v>1.2685</v>
      </c>
      <c r="AZ773" s="314">
        <v>1.2304999999999999</v>
      </c>
      <c r="BA773" s="314">
        <v>1.1748000000000001</v>
      </c>
      <c r="BB773" s="314">
        <v>1.1382000000000001</v>
      </c>
      <c r="BC773" s="314">
        <v>1.3136000000000001</v>
      </c>
      <c r="BD773" s="314">
        <v>1.3412999999999999</v>
      </c>
      <c r="BE773" s="314">
        <v>1.3048999999999999</v>
      </c>
      <c r="BF773" s="314">
        <v>1.2524999999999999</v>
      </c>
      <c r="BG773" s="314">
        <v>1.3288</v>
      </c>
      <c r="BH773" s="314">
        <v>1.2575000000000001</v>
      </c>
      <c r="BI773" s="314">
        <v>1.3119000000000001</v>
      </c>
      <c r="BJ773" s="314">
        <v>1.3016000000000001</v>
      </c>
      <c r="BK773" s="314">
        <v>1.3282</v>
      </c>
    </row>
    <row r="774" spans="1:63" x14ac:dyDescent="0.25">
      <c r="A774" s="306">
        <v>550000</v>
      </c>
      <c r="B774" s="314" t="s">
        <v>320</v>
      </c>
      <c r="C774" s="314">
        <v>1.5777000000000001</v>
      </c>
      <c r="D774" s="314">
        <v>1.2627999999999999</v>
      </c>
      <c r="E774" s="314">
        <v>1.2996000000000001</v>
      </c>
      <c r="F774" s="314">
        <v>1.2450000000000001</v>
      </c>
      <c r="G774" s="314">
        <v>1.3801000000000001</v>
      </c>
      <c r="H774" s="314">
        <v>1.4938</v>
      </c>
      <c r="I774" s="314">
        <v>1.4867999999999999</v>
      </c>
      <c r="J774" s="314">
        <v>1.4411</v>
      </c>
      <c r="K774" s="314">
        <v>1.3633999999999999</v>
      </c>
      <c r="L774" s="314">
        <v>1.3319000000000001</v>
      </c>
      <c r="M774" s="314">
        <v>1.4235</v>
      </c>
      <c r="N774" s="314">
        <v>1.4824999999999999</v>
      </c>
      <c r="O774" s="314">
        <v>1.3166</v>
      </c>
      <c r="P774" s="314">
        <v>1.236</v>
      </c>
      <c r="Q774" s="314">
        <v>1.2343999999999999</v>
      </c>
      <c r="R774" s="314">
        <v>1.5008999999999999</v>
      </c>
      <c r="S774" s="314">
        <v>1.3004</v>
      </c>
      <c r="T774" s="314">
        <v>1.2976000000000001</v>
      </c>
      <c r="U774" s="314">
        <v>1.3087</v>
      </c>
      <c r="V774" s="314">
        <v>1.2938000000000001</v>
      </c>
      <c r="W774" s="314">
        <v>1.4670000000000001</v>
      </c>
      <c r="X774" s="314">
        <v>1.4431</v>
      </c>
      <c r="Y774" s="314">
        <v>1.3071999999999999</v>
      </c>
      <c r="Z774" s="314">
        <v>1.3797999999999999</v>
      </c>
      <c r="AA774" s="314">
        <v>1.4079999999999999</v>
      </c>
      <c r="AB774" s="314">
        <v>1.4157</v>
      </c>
      <c r="AC774" s="314">
        <v>1.2173</v>
      </c>
      <c r="AD774" s="314">
        <v>1.2604</v>
      </c>
      <c r="AE774" s="314">
        <v>1.3384</v>
      </c>
      <c r="AF774" s="314">
        <v>1.2024999999999999</v>
      </c>
      <c r="AG774" s="314">
        <v>1.2632000000000001</v>
      </c>
      <c r="AH774" s="314">
        <v>1.3807</v>
      </c>
      <c r="AI774" s="314">
        <v>1.4947999999999999</v>
      </c>
      <c r="AJ774" s="314">
        <v>1.2575000000000001</v>
      </c>
      <c r="AK774" s="314">
        <v>1.3242</v>
      </c>
      <c r="AL774" s="314">
        <v>1.4579</v>
      </c>
      <c r="AM774" s="314">
        <v>1.3857999999999999</v>
      </c>
      <c r="AN774" s="314">
        <v>1.3281000000000001</v>
      </c>
      <c r="AO774" s="314">
        <v>1.3592</v>
      </c>
      <c r="AP774" s="314">
        <v>1.4530000000000001</v>
      </c>
      <c r="AQ774" s="314">
        <v>1.3622000000000001</v>
      </c>
      <c r="AR774" s="314">
        <v>1.3311999999999999</v>
      </c>
      <c r="AS774" s="314">
        <v>1.1891</v>
      </c>
      <c r="AT774" s="314">
        <v>1.3963000000000001</v>
      </c>
      <c r="AU774" s="314">
        <v>1.4688000000000001</v>
      </c>
      <c r="AV774" s="314">
        <v>1.4275</v>
      </c>
      <c r="AW774" s="314">
        <v>1.4518</v>
      </c>
      <c r="AX774" s="314">
        <v>1.3085</v>
      </c>
      <c r="AY774" s="314">
        <v>1.3896999999999999</v>
      </c>
      <c r="AZ774" s="314">
        <v>1.3245</v>
      </c>
      <c r="BA774" s="314">
        <v>1.236</v>
      </c>
      <c r="BB774" s="314">
        <v>1.1900999999999999</v>
      </c>
      <c r="BC774" s="314">
        <v>1.4746999999999999</v>
      </c>
      <c r="BD774" s="314">
        <v>1.5185999999999999</v>
      </c>
      <c r="BE774" s="314">
        <v>1.4392</v>
      </c>
      <c r="BF774" s="314">
        <v>1.3712</v>
      </c>
      <c r="BG774" s="314">
        <v>1.4897</v>
      </c>
      <c r="BH774" s="314">
        <v>1.3449</v>
      </c>
      <c r="BI774" s="314">
        <v>1.4469000000000001</v>
      </c>
      <c r="BJ774" s="314">
        <v>1.4356</v>
      </c>
      <c r="BK774" s="314">
        <v>1.4903999999999999</v>
      </c>
    </row>
    <row r="775" spans="1:63" x14ac:dyDescent="0.25">
      <c r="A775" s="306">
        <v>561100</v>
      </c>
      <c r="B775" s="314" t="s">
        <v>323</v>
      </c>
      <c r="C775" s="314">
        <v>1.5669999999999999</v>
      </c>
      <c r="D775" s="314">
        <v>1.2581</v>
      </c>
      <c r="E775" s="314">
        <v>1.3185</v>
      </c>
      <c r="F775" s="314">
        <v>1.2688999999999999</v>
      </c>
      <c r="G775" s="314">
        <v>1.4005000000000001</v>
      </c>
      <c r="H775" s="314">
        <v>1.4790000000000001</v>
      </c>
      <c r="I775" s="314">
        <v>1.4843</v>
      </c>
      <c r="J775" s="314">
        <v>1.4289000000000001</v>
      </c>
      <c r="K775" s="314">
        <v>1.3361000000000001</v>
      </c>
      <c r="L775" s="314">
        <v>1.3815</v>
      </c>
      <c r="M775" s="314">
        <v>1.4403999999999999</v>
      </c>
      <c r="N775" s="314">
        <v>1.4847999999999999</v>
      </c>
      <c r="O775" s="314">
        <v>1.3468</v>
      </c>
      <c r="P775" s="314">
        <v>1.2375</v>
      </c>
      <c r="Q775" s="314">
        <v>1.2585</v>
      </c>
      <c r="R775" s="314">
        <v>1.5032000000000001</v>
      </c>
      <c r="S775" s="314">
        <v>1.333</v>
      </c>
      <c r="T775" s="314">
        <v>1.3045</v>
      </c>
      <c r="U775" s="314">
        <v>1.3428</v>
      </c>
      <c r="V775" s="314">
        <v>1.3280000000000001</v>
      </c>
      <c r="W775" s="314">
        <v>1.4622999999999999</v>
      </c>
      <c r="X775" s="314">
        <v>1.4448000000000001</v>
      </c>
      <c r="Y775" s="314">
        <v>1.3407</v>
      </c>
      <c r="Z775" s="314">
        <v>1.3904000000000001</v>
      </c>
      <c r="AA775" s="314">
        <v>1.4084000000000001</v>
      </c>
      <c r="AB775" s="314">
        <v>1.42</v>
      </c>
      <c r="AC775" s="314">
        <v>1.2474000000000001</v>
      </c>
      <c r="AD775" s="314">
        <v>1.2618</v>
      </c>
      <c r="AE775" s="314">
        <v>1.3788</v>
      </c>
      <c r="AF775" s="314">
        <v>1.198</v>
      </c>
      <c r="AG775" s="314">
        <v>1.2617</v>
      </c>
      <c r="AH775" s="314">
        <v>1.4047000000000001</v>
      </c>
      <c r="AI775" s="314">
        <v>1.5061</v>
      </c>
      <c r="AJ775" s="314">
        <v>1.2846</v>
      </c>
      <c r="AK775" s="314">
        <v>1.3488</v>
      </c>
      <c r="AL775" s="314">
        <v>1.4516</v>
      </c>
      <c r="AM775" s="314">
        <v>1.4207000000000001</v>
      </c>
      <c r="AN775" s="314">
        <v>1.351</v>
      </c>
      <c r="AO775" s="314">
        <v>1.3806</v>
      </c>
      <c r="AP775" s="314">
        <v>1.4501999999999999</v>
      </c>
      <c r="AQ775" s="314">
        <v>1.3842000000000001</v>
      </c>
      <c r="AR775" s="314">
        <v>1.3664000000000001</v>
      </c>
      <c r="AS775" s="314">
        <v>1.1861999999999999</v>
      </c>
      <c r="AT775" s="314">
        <v>1.419</v>
      </c>
      <c r="AU775" s="314">
        <v>1.4710000000000001</v>
      </c>
      <c r="AV775" s="314">
        <v>1.4305000000000001</v>
      </c>
      <c r="AW775" s="314">
        <v>1.4451000000000001</v>
      </c>
      <c r="AX775" s="314">
        <v>1.29</v>
      </c>
      <c r="AY775" s="314">
        <v>1.4</v>
      </c>
      <c r="AZ775" s="314">
        <v>1.3452</v>
      </c>
      <c r="BA775" s="314">
        <v>1.2598</v>
      </c>
      <c r="BB775" s="314">
        <v>1.2027000000000001</v>
      </c>
      <c r="BC775" s="314">
        <v>1.4641</v>
      </c>
      <c r="BD775" s="314">
        <v>1.5014000000000001</v>
      </c>
      <c r="BE775" s="314">
        <v>1.458</v>
      </c>
      <c r="BF775" s="314">
        <v>1.3696999999999999</v>
      </c>
      <c r="BG775" s="314">
        <v>1.4902</v>
      </c>
      <c r="BH775" s="314">
        <v>1.3852</v>
      </c>
      <c r="BI775" s="314">
        <v>1.4628000000000001</v>
      </c>
      <c r="BJ775" s="314">
        <v>1.4430000000000001</v>
      </c>
      <c r="BK775" s="314">
        <v>1.4762999999999999</v>
      </c>
    </row>
    <row r="776" spans="1:63" x14ac:dyDescent="0.25">
      <c r="A776" s="306">
        <v>561200</v>
      </c>
      <c r="B776" s="314" t="s">
        <v>324</v>
      </c>
      <c r="C776" s="314">
        <v>1.5980000000000001</v>
      </c>
      <c r="D776" s="314">
        <v>1.2709999999999999</v>
      </c>
      <c r="E776" s="314">
        <v>1.3552</v>
      </c>
      <c r="F776" s="314">
        <v>1.2979000000000001</v>
      </c>
      <c r="G776" s="314">
        <v>1.4349000000000001</v>
      </c>
      <c r="H776" s="314">
        <v>1.4897</v>
      </c>
      <c r="I776" s="314">
        <v>1.4876</v>
      </c>
      <c r="J776" s="314">
        <v>1.4303999999999999</v>
      </c>
      <c r="K776" s="314">
        <v>1.3247</v>
      </c>
      <c r="L776" s="314">
        <v>1.381</v>
      </c>
      <c r="M776" s="314">
        <v>1.456</v>
      </c>
      <c r="N776" s="314">
        <v>1.5118</v>
      </c>
      <c r="O776" s="314">
        <v>1.3231999999999999</v>
      </c>
      <c r="P776" s="314">
        <v>1.2493000000000001</v>
      </c>
      <c r="Q776" s="314">
        <v>1.2798</v>
      </c>
      <c r="R776" s="314">
        <v>1.5170999999999999</v>
      </c>
      <c r="S776" s="314">
        <v>1.3660000000000001</v>
      </c>
      <c r="T776" s="314">
        <v>1.3509</v>
      </c>
      <c r="U776" s="314">
        <v>1.3617999999999999</v>
      </c>
      <c r="V776" s="314">
        <v>1.3625</v>
      </c>
      <c r="W776" s="314">
        <v>1.4587000000000001</v>
      </c>
      <c r="X776" s="314">
        <v>1.456</v>
      </c>
      <c r="Y776" s="314">
        <v>1.3581000000000001</v>
      </c>
      <c r="Z776" s="314">
        <v>1.4165000000000001</v>
      </c>
      <c r="AA776" s="314">
        <v>1.389</v>
      </c>
      <c r="AB776" s="314">
        <v>1.4157999999999999</v>
      </c>
      <c r="AC776" s="314">
        <v>1.2685999999999999</v>
      </c>
      <c r="AD776" s="314">
        <v>1.268</v>
      </c>
      <c r="AE776" s="314">
        <v>1.4180999999999999</v>
      </c>
      <c r="AF776" s="314">
        <v>1.1900999999999999</v>
      </c>
      <c r="AG776" s="314">
        <v>1.2826</v>
      </c>
      <c r="AH776" s="314">
        <v>1.4272</v>
      </c>
      <c r="AI776" s="314">
        <v>1.4974000000000001</v>
      </c>
      <c r="AJ776" s="314">
        <v>1.3141</v>
      </c>
      <c r="AK776" s="314">
        <v>1.3388</v>
      </c>
      <c r="AL776" s="314">
        <v>1.4298999999999999</v>
      </c>
      <c r="AM776" s="314">
        <v>1.4502999999999999</v>
      </c>
      <c r="AN776" s="314">
        <v>1.3740000000000001</v>
      </c>
      <c r="AO776" s="314">
        <v>1.3977999999999999</v>
      </c>
      <c r="AP776" s="314">
        <v>1.4903999999999999</v>
      </c>
      <c r="AQ776" s="314">
        <v>1.3498000000000001</v>
      </c>
      <c r="AR776" s="314">
        <v>1.4145000000000001</v>
      </c>
      <c r="AS776" s="314">
        <v>1.1823999999999999</v>
      </c>
      <c r="AT776" s="314">
        <v>1.4502999999999999</v>
      </c>
      <c r="AU776" s="314">
        <v>1.5206</v>
      </c>
      <c r="AV776" s="314">
        <v>1.4500999999999999</v>
      </c>
      <c r="AW776" s="314">
        <v>1.4850000000000001</v>
      </c>
      <c r="AX776" s="314">
        <v>1.2823</v>
      </c>
      <c r="AY776" s="314">
        <v>1.4154</v>
      </c>
      <c r="AZ776" s="314">
        <v>1.3593</v>
      </c>
      <c r="BA776" s="314">
        <v>1.2934000000000001</v>
      </c>
      <c r="BB776" s="314">
        <v>1.2124999999999999</v>
      </c>
      <c r="BC776" s="314">
        <v>1.4676</v>
      </c>
      <c r="BD776" s="314">
        <v>1.4943</v>
      </c>
      <c r="BE776" s="314">
        <v>1.4931000000000001</v>
      </c>
      <c r="BF776" s="314">
        <v>1.3782000000000001</v>
      </c>
      <c r="BG776" s="314">
        <v>1.5246999999999999</v>
      </c>
      <c r="BH776" s="314">
        <v>1.4112</v>
      </c>
      <c r="BI776" s="314">
        <v>1.5157</v>
      </c>
      <c r="BJ776" s="314">
        <v>1.4642999999999999</v>
      </c>
      <c r="BK776" s="314">
        <v>1.4902</v>
      </c>
    </row>
    <row r="777" spans="1:63" x14ac:dyDescent="0.25">
      <c r="A777" s="306">
        <v>561300</v>
      </c>
      <c r="B777" s="314" t="s">
        <v>321</v>
      </c>
      <c r="C777" s="314">
        <v>1.2755000000000001</v>
      </c>
      <c r="D777" s="314">
        <v>1.1254</v>
      </c>
      <c r="E777" s="314">
        <v>1.1507000000000001</v>
      </c>
      <c r="F777" s="314">
        <v>1.1466000000000001</v>
      </c>
      <c r="G777" s="314">
        <v>1.1926000000000001</v>
      </c>
      <c r="H777" s="314">
        <v>1.2339</v>
      </c>
      <c r="I777" s="314">
        <v>1.2382</v>
      </c>
      <c r="J777" s="314">
        <v>1.2050000000000001</v>
      </c>
      <c r="K777" s="314">
        <v>1.1548</v>
      </c>
      <c r="L777" s="314">
        <v>1.1896</v>
      </c>
      <c r="M777" s="314">
        <v>1.2076</v>
      </c>
      <c r="N777" s="314">
        <v>1.2354000000000001</v>
      </c>
      <c r="O777" s="314">
        <v>1.1811</v>
      </c>
      <c r="P777" s="314">
        <v>1.1162000000000001</v>
      </c>
      <c r="Q777" s="314">
        <v>1.1344000000000001</v>
      </c>
      <c r="R777" s="314">
        <v>1.2419</v>
      </c>
      <c r="S777" s="314">
        <v>1.1612</v>
      </c>
      <c r="T777" s="314">
        <v>1.1523000000000001</v>
      </c>
      <c r="U777" s="314">
        <v>1.1725000000000001</v>
      </c>
      <c r="V777" s="314">
        <v>1.1633</v>
      </c>
      <c r="W777" s="314">
        <v>1.2255</v>
      </c>
      <c r="X777" s="314">
        <v>1.2049000000000001</v>
      </c>
      <c r="Y777" s="314">
        <v>1.1633</v>
      </c>
      <c r="Z777" s="314">
        <v>1.1953</v>
      </c>
      <c r="AA777" s="314">
        <v>1.2021999999999999</v>
      </c>
      <c r="AB777" s="314">
        <v>1.2113</v>
      </c>
      <c r="AC777" s="314">
        <v>1.1274999999999999</v>
      </c>
      <c r="AD777" s="314">
        <v>1.1248</v>
      </c>
      <c r="AE777" s="314">
        <v>1.1907000000000001</v>
      </c>
      <c r="AF777" s="314">
        <v>1.1005</v>
      </c>
      <c r="AG777" s="314">
        <v>1.1359999999999999</v>
      </c>
      <c r="AH777" s="314">
        <v>1.1961999999999999</v>
      </c>
      <c r="AI777" s="314">
        <v>1.2452000000000001</v>
      </c>
      <c r="AJ777" s="314">
        <v>1.141</v>
      </c>
      <c r="AK777" s="314">
        <v>1.1773</v>
      </c>
      <c r="AL777" s="314">
        <v>1.2170000000000001</v>
      </c>
      <c r="AM777" s="314">
        <v>1.2082999999999999</v>
      </c>
      <c r="AN777" s="314">
        <v>1.167</v>
      </c>
      <c r="AO777" s="314">
        <v>1.1987000000000001</v>
      </c>
      <c r="AP777" s="314">
        <v>1.2189000000000001</v>
      </c>
      <c r="AQ777" s="314">
        <v>1.1951000000000001</v>
      </c>
      <c r="AR777" s="314">
        <v>1.1754</v>
      </c>
      <c r="AS777" s="314">
        <v>1.0931999999999999</v>
      </c>
      <c r="AT777" s="314">
        <v>1.1966000000000001</v>
      </c>
      <c r="AU777" s="314">
        <v>1.2209000000000001</v>
      </c>
      <c r="AV777" s="314">
        <v>1.2197</v>
      </c>
      <c r="AW777" s="314">
        <v>1.2246999999999999</v>
      </c>
      <c r="AX777" s="314">
        <v>1.1302000000000001</v>
      </c>
      <c r="AY777" s="314">
        <v>1.2007000000000001</v>
      </c>
      <c r="AZ777" s="314">
        <v>1.1771</v>
      </c>
      <c r="BA777" s="314">
        <v>1.1289</v>
      </c>
      <c r="BB777" s="314">
        <v>1.0973999999999999</v>
      </c>
      <c r="BC777" s="314">
        <v>1.2253000000000001</v>
      </c>
      <c r="BD777" s="314">
        <v>1.2410000000000001</v>
      </c>
      <c r="BE777" s="314">
        <v>1.2209000000000001</v>
      </c>
      <c r="BF777" s="314">
        <v>1.1909000000000001</v>
      </c>
      <c r="BG777" s="314">
        <v>1.2403</v>
      </c>
      <c r="BH777" s="314">
        <v>1.1821999999999999</v>
      </c>
      <c r="BI777" s="314">
        <v>1.2170000000000001</v>
      </c>
      <c r="BJ777" s="314">
        <v>1.2210000000000001</v>
      </c>
      <c r="BK777" s="314">
        <v>1.2357</v>
      </c>
    </row>
    <row r="778" spans="1:63" x14ac:dyDescent="0.25">
      <c r="A778" s="306">
        <v>561400</v>
      </c>
      <c r="B778" s="314" t="s">
        <v>325</v>
      </c>
      <c r="C778" s="314">
        <v>1.5435000000000001</v>
      </c>
      <c r="D778" s="314">
        <v>1.2669999999999999</v>
      </c>
      <c r="E778" s="314">
        <v>1.3192999999999999</v>
      </c>
      <c r="F778" s="314">
        <v>1.2874000000000001</v>
      </c>
      <c r="G778" s="314">
        <v>1.3814</v>
      </c>
      <c r="H778" s="314">
        <v>1.4545999999999999</v>
      </c>
      <c r="I778" s="314">
        <v>1.4540999999999999</v>
      </c>
      <c r="J778" s="314">
        <v>1.3987000000000001</v>
      </c>
      <c r="K778" s="314">
        <v>1.3106</v>
      </c>
      <c r="L778" s="314">
        <v>1.3441000000000001</v>
      </c>
      <c r="M778" s="314">
        <v>1.4145000000000001</v>
      </c>
      <c r="N778" s="314">
        <v>1.4704999999999999</v>
      </c>
      <c r="O778" s="314">
        <v>1.3442000000000001</v>
      </c>
      <c r="P778" s="314">
        <v>1.242</v>
      </c>
      <c r="Q778" s="314">
        <v>1.254</v>
      </c>
      <c r="R778" s="314">
        <v>1.4705999999999999</v>
      </c>
      <c r="S778" s="314">
        <v>1.3374999999999999</v>
      </c>
      <c r="T778" s="314">
        <v>1.3170999999999999</v>
      </c>
      <c r="U778" s="314">
        <v>1.3436999999999999</v>
      </c>
      <c r="V778" s="314">
        <v>1.319</v>
      </c>
      <c r="W778" s="314">
        <v>1.4242999999999999</v>
      </c>
      <c r="X778" s="314">
        <v>1.421</v>
      </c>
      <c r="Y778" s="314">
        <v>1.3123</v>
      </c>
      <c r="Z778" s="314">
        <v>1.3752</v>
      </c>
      <c r="AA778" s="314">
        <v>1.3814</v>
      </c>
      <c r="AB778" s="314">
        <v>1.4080999999999999</v>
      </c>
      <c r="AC778" s="314">
        <v>1.2577</v>
      </c>
      <c r="AD778" s="314">
        <v>1.2585999999999999</v>
      </c>
      <c r="AE778" s="314">
        <v>1.3652</v>
      </c>
      <c r="AF778" s="314">
        <v>1.1909000000000001</v>
      </c>
      <c r="AG778" s="314">
        <v>1.2504</v>
      </c>
      <c r="AH778" s="314">
        <v>1.3844000000000001</v>
      </c>
      <c r="AI778" s="314">
        <v>1.4797</v>
      </c>
      <c r="AJ778" s="314">
        <v>1.2883</v>
      </c>
      <c r="AK778" s="314">
        <v>1.3303</v>
      </c>
      <c r="AL778" s="314">
        <v>1.4036</v>
      </c>
      <c r="AM778" s="314">
        <v>1.4117</v>
      </c>
      <c r="AN778" s="314">
        <v>1.3434999999999999</v>
      </c>
      <c r="AO778" s="314">
        <v>1.3734999999999999</v>
      </c>
      <c r="AP778" s="314">
        <v>1.4286000000000001</v>
      </c>
      <c r="AQ778" s="314">
        <v>1.3633999999999999</v>
      </c>
      <c r="AR778" s="314">
        <v>1.3692</v>
      </c>
      <c r="AS778" s="314">
        <v>1.1846000000000001</v>
      </c>
      <c r="AT778" s="314">
        <v>1.4059999999999999</v>
      </c>
      <c r="AU778" s="314">
        <v>1.4514</v>
      </c>
      <c r="AV778" s="314">
        <v>1.4180999999999999</v>
      </c>
      <c r="AW778" s="314">
        <v>1.4325000000000001</v>
      </c>
      <c r="AX778" s="314">
        <v>1.2847999999999999</v>
      </c>
      <c r="AY778" s="314">
        <v>1.3903000000000001</v>
      </c>
      <c r="AZ778" s="314">
        <v>1.33</v>
      </c>
      <c r="BA778" s="314">
        <v>1.2649999999999999</v>
      </c>
      <c r="BB778" s="314">
        <v>1.1963999999999999</v>
      </c>
      <c r="BC778" s="314">
        <v>1.4282999999999999</v>
      </c>
      <c r="BD778" s="314">
        <v>1.4690000000000001</v>
      </c>
      <c r="BE778" s="314">
        <v>1.4342999999999999</v>
      </c>
      <c r="BF778" s="314">
        <v>1.3663000000000001</v>
      </c>
      <c r="BG778" s="314">
        <v>1.4718</v>
      </c>
      <c r="BH778" s="314">
        <v>1.3767</v>
      </c>
      <c r="BI778" s="314">
        <v>1.4440999999999999</v>
      </c>
      <c r="BJ778" s="314">
        <v>1.4329000000000001</v>
      </c>
      <c r="BK778" s="314">
        <v>1.4571000000000001</v>
      </c>
    </row>
    <row r="779" spans="1:63" x14ac:dyDescent="0.25">
      <c r="A779" s="306">
        <v>561500</v>
      </c>
      <c r="B779" s="314" t="s">
        <v>322</v>
      </c>
      <c r="C779" s="314">
        <v>1.633</v>
      </c>
      <c r="D779" s="314">
        <v>1.2952999999999999</v>
      </c>
      <c r="E779" s="314">
        <v>1.3475999999999999</v>
      </c>
      <c r="F779" s="314">
        <v>1.2918000000000001</v>
      </c>
      <c r="G779" s="314">
        <v>1.4093</v>
      </c>
      <c r="H779" s="314">
        <v>1.5309999999999999</v>
      </c>
      <c r="I779" s="314">
        <v>1.5258</v>
      </c>
      <c r="J779" s="314">
        <v>1.4486000000000001</v>
      </c>
      <c r="K779" s="314">
        <v>1.3573</v>
      </c>
      <c r="L779" s="314">
        <v>1.3562000000000001</v>
      </c>
      <c r="M779" s="314">
        <v>1.4473</v>
      </c>
      <c r="N779" s="314">
        <v>1.5311999999999999</v>
      </c>
      <c r="O779" s="314">
        <v>1.3665</v>
      </c>
      <c r="P779" s="314">
        <v>1.2726999999999999</v>
      </c>
      <c r="Q779" s="314">
        <v>1.2724</v>
      </c>
      <c r="R779" s="314">
        <v>1.5392999999999999</v>
      </c>
      <c r="S779" s="314">
        <v>1.371</v>
      </c>
      <c r="T779" s="314">
        <v>1.3310999999999999</v>
      </c>
      <c r="U779" s="314">
        <v>1.3605</v>
      </c>
      <c r="V779" s="314">
        <v>1.3289</v>
      </c>
      <c r="W779" s="314">
        <v>1.4843</v>
      </c>
      <c r="X779" s="314">
        <v>1.4698</v>
      </c>
      <c r="Y779" s="314">
        <v>1.3533999999999999</v>
      </c>
      <c r="Z779" s="314">
        <v>1.4245000000000001</v>
      </c>
      <c r="AA779" s="314">
        <v>1.4527000000000001</v>
      </c>
      <c r="AB779" s="314">
        <v>1.4674</v>
      </c>
      <c r="AC779" s="314">
        <v>1.2588999999999999</v>
      </c>
      <c r="AD779" s="314">
        <v>1.2914000000000001</v>
      </c>
      <c r="AE779" s="314">
        <v>1.4</v>
      </c>
      <c r="AF779" s="314">
        <v>1.2265999999999999</v>
      </c>
      <c r="AG779" s="314">
        <v>1.2931999999999999</v>
      </c>
      <c r="AH779" s="314">
        <v>1.3977999999999999</v>
      </c>
      <c r="AI779" s="314">
        <v>1.5407</v>
      </c>
      <c r="AJ779" s="314">
        <v>1.2847999999999999</v>
      </c>
      <c r="AK779" s="314">
        <v>1.3645</v>
      </c>
      <c r="AL779" s="314">
        <v>1.4777</v>
      </c>
      <c r="AM779" s="314">
        <v>1.4410000000000001</v>
      </c>
      <c r="AN779" s="314">
        <v>1.363</v>
      </c>
      <c r="AO779" s="314">
        <v>1.4202999999999999</v>
      </c>
      <c r="AP779" s="314">
        <v>1.4944</v>
      </c>
      <c r="AQ779" s="314">
        <v>1.4104000000000001</v>
      </c>
      <c r="AR779" s="314">
        <v>1.3673999999999999</v>
      </c>
      <c r="AS779" s="314">
        <v>1.2145999999999999</v>
      </c>
      <c r="AT779" s="314">
        <v>1.4448000000000001</v>
      </c>
      <c r="AU779" s="314">
        <v>1.4994000000000001</v>
      </c>
      <c r="AV779" s="314">
        <v>1.4914000000000001</v>
      </c>
      <c r="AW779" s="314">
        <v>1.4705999999999999</v>
      </c>
      <c r="AX779" s="314">
        <v>1.3453999999999999</v>
      </c>
      <c r="AY779" s="314">
        <v>1.4265000000000001</v>
      </c>
      <c r="AZ779" s="314">
        <v>1.3777999999999999</v>
      </c>
      <c r="BA779" s="314">
        <v>1.2908999999999999</v>
      </c>
      <c r="BB779" s="314">
        <v>1.2174</v>
      </c>
      <c r="BC779" s="314">
        <v>1.4911000000000001</v>
      </c>
      <c r="BD779" s="314">
        <v>1.5553999999999999</v>
      </c>
      <c r="BE779" s="314">
        <v>1.4923999999999999</v>
      </c>
      <c r="BF779" s="314">
        <v>1.4186000000000001</v>
      </c>
      <c r="BG779" s="314">
        <v>1.5302</v>
      </c>
      <c r="BH779" s="314">
        <v>1.4156</v>
      </c>
      <c r="BI779" s="314">
        <v>1.4818</v>
      </c>
      <c r="BJ779" s="314">
        <v>1.4831000000000001</v>
      </c>
      <c r="BK779" s="314">
        <v>1.532</v>
      </c>
    </row>
    <row r="780" spans="1:63" x14ac:dyDescent="0.25">
      <c r="A780" s="306">
        <v>561600</v>
      </c>
      <c r="B780" s="314" t="s">
        <v>326</v>
      </c>
      <c r="C780" s="314">
        <v>1.4540999999999999</v>
      </c>
      <c r="D780" s="314">
        <v>1.1865000000000001</v>
      </c>
      <c r="E780" s="314">
        <v>1.2599</v>
      </c>
      <c r="F780" s="314">
        <v>1.2181</v>
      </c>
      <c r="G780" s="314">
        <v>1.2956000000000001</v>
      </c>
      <c r="H780" s="314">
        <v>1.3706</v>
      </c>
      <c r="I780" s="314">
        <v>1.3722000000000001</v>
      </c>
      <c r="J780" s="314">
        <v>1.3251999999999999</v>
      </c>
      <c r="K780" s="314">
        <v>1.2205999999999999</v>
      </c>
      <c r="L780" s="314">
        <v>1.2737000000000001</v>
      </c>
      <c r="M780" s="314">
        <v>1.3189</v>
      </c>
      <c r="N780" s="314">
        <v>1.3685</v>
      </c>
      <c r="O780" s="314">
        <v>1.2517</v>
      </c>
      <c r="P780" s="314">
        <v>1.1933</v>
      </c>
      <c r="Q780" s="314">
        <v>1.1906000000000001</v>
      </c>
      <c r="R780" s="314">
        <v>1.3914</v>
      </c>
      <c r="S780" s="314">
        <v>1.276</v>
      </c>
      <c r="T780" s="314">
        <v>1.2358</v>
      </c>
      <c r="U780" s="314">
        <v>1.2813000000000001</v>
      </c>
      <c r="V780" s="314">
        <v>1.2311000000000001</v>
      </c>
      <c r="W780" s="314">
        <v>1.353</v>
      </c>
      <c r="X780" s="314">
        <v>1.3346</v>
      </c>
      <c r="Y780" s="314">
        <v>1.2516</v>
      </c>
      <c r="Z780" s="314">
        <v>1.3076000000000001</v>
      </c>
      <c r="AA780" s="314">
        <v>1.3228</v>
      </c>
      <c r="AB780" s="314">
        <v>1.3407</v>
      </c>
      <c r="AC780" s="314">
        <v>1.1975</v>
      </c>
      <c r="AD780" s="314">
        <v>1.1850000000000001</v>
      </c>
      <c r="AE780" s="314">
        <v>1.3032999999999999</v>
      </c>
      <c r="AF780" s="314">
        <v>1.1538999999999999</v>
      </c>
      <c r="AG780" s="314">
        <v>1.2163999999999999</v>
      </c>
      <c r="AH780" s="314">
        <v>1.3077000000000001</v>
      </c>
      <c r="AI780" s="314">
        <v>1.3872</v>
      </c>
      <c r="AJ780" s="314">
        <v>1.2052</v>
      </c>
      <c r="AK780" s="314">
        <v>1.2444</v>
      </c>
      <c r="AL780" s="314">
        <v>1.3253999999999999</v>
      </c>
      <c r="AM780" s="314">
        <v>1.335</v>
      </c>
      <c r="AN780" s="314">
        <v>1.2541</v>
      </c>
      <c r="AO780" s="314">
        <v>1.3111999999999999</v>
      </c>
      <c r="AP780" s="314">
        <v>1.3621000000000001</v>
      </c>
      <c r="AQ780" s="314">
        <v>1.2937000000000001</v>
      </c>
      <c r="AR780" s="314">
        <v>1.2889999999999999</v>
      </c>
      <c r="AS780" s="314">
        <v>1.1471</v>
      </c>
      <c r="AT780" s="314">
        <v>1.3109999999999999</v>
      </c>
      <c r="AU780" s="314">
        <v>1.3675999999999999</v>
      </c>
      <c r="AV780" s="314">
        <v>1.3338000000000001</v>
      </c>
      <c r="AW780" s="314">
        <v>1.3373999999999999</v>
      </c>
      <c r="AX780" s="314">
        <v>1.2310000000000001</v>
      </c>
      <c r="AY780" s="314">
        <v>1.3072999999999999</v>
      </c>
      <c r="AZ780" s="314">
        <v>1.2783</v>
      </c>
      <c r="BA780" s="314">
        <v>1.204</v>
      </c>
      <c r="BB780" s="314">
        <v>1.1407</v>
      </c>
      <c r="BC780" s="314">
        <v>1.3559000000000001</v>
      </c>
      <c r="BD780" s="314">
        <v>1.3846000000000001</v>
      </c>
      <c r="BE780" s="314">
        <v>1.3606</v>
      </c>
      <c r="BF780" s="314">
        <v>1.3069999999999999</v>
      </c>
      <c r="BG780" s="314">
        <v>1.3791</v>
      </c>
      <c r="BH780" s="314">
        <v>1.3022</v>
      </c>
      <c r="BI780" s="314">
        <v>1.3563000000000001</v>
      </c>
      <c r="BJ780" s="314">
        <v>1.3384</v>
      </c>
      <c r="BK780" s="314">
        <v>1.3725000000000001</v>
      </c>
    </row>
    <row r="781" spans="1:63" x14ac:dyDescent="0.25">
      <c r="A781" s="306">
        <v>561700</v>
      </c>
      <c r="B781" s="314" t="s">
        <v>327</v>
      </c>
      <c r="C781" s="314">
        <v>1.7036</v>
      </c>
      <c r="D781" s="314">
        <v>1.3873</v>
      </c>
      <c r="E781" s="314">
        <v>1.3704000000000001</v>
      </c>
      <c r="F781" s="314">
        <v>1.3434999999999999</v>
      </c>
      <c r="G781" s="314">
        <v>1.3781000000000001</v>
      </c>
      <c r="H781" s="314">
        <v>1.5743</v>
      </c>
      <c r="I781" s="314">
        <v>1.5330999999999999</v>
      </c>
      <c r="J781" s="314">
        <v>1.3949</v>
      </c>
      <c r="K781" s="314">
        <v>1.2750999999999999</v>
      </c>
      <c r="L781" s="314">
        <v>1.4537</v>
      </c>
      <c r="M781" s="314">
        <v>1.409</v>
      </c>
      <c r="N781" s="314">
        <v>1.4661</v>
      </c>
      <c r="O781" s="314">
        <v>1.4314</v>
      </c>
      <c r="P781" s="314">
        <v>1.2556</v>
      </c>
      <c r="Q781" s="314">
        <v>1.2559</v>
      </c>
      <c r="R781" s="314">
        <v>1.5499000000000001</v>
      </c>
      <c r="S781" s="314">
        <v>1.4501999999999999</v>
      </c>
      <c r="T781" s="314">
        <v>1.4468000000000001</v>
      </c>
      <c r="U781" s="314">
        <v>1.4330000000000001</v>
      </c>
      <c r="V781" s="314">
        <v>1.4633</v>
      </c>
      <c r="W781" s="314">
        <v>1.4169</v>
      </c>
      <c r="X781" s="314">
        <v>1.4131</v>
      </c>
      <c r="Y781" s="314">
        <v>1.3169999999999999</v>
      </c>
      <c r="Z781" s="314">
        <v>1.3966000000000001</v>
      </c>
      <c r="AA781" s="314">
        <v>1.4502999999999999</v>
      </c>
      <c r="AB781" s="314">
        <v>1.4173</v>
      </c>
      <c r="AC781" s="314">
        <v>1.3884000000000001</v>
      </c>
      <c r="AD781" s="314">
        <v>1.3716999999999999</v>
      </c>
      <c r="AE781" s="314">
        <v>1.3696999999999999</v>
      </c>
      <c r="AF781" s="314">
        <v>1.3052999999999999</v>
      </c>
      <c r="AG781" s="314">
        <v>1.2525999999999999</v>
      </c>
      <c r="AH781" s="314">
        <v>1.3815</v>
      </c>
      <c r="AI781" s="314">
        <v>1.5604</v>
      </c>
      <c r="AJ781" s="314">
        <v>1.4134</v>
      </c>
      <c r="AK781" s="314">
        <v>1.3188</v>
      </c>
      <c r="AL781" s="314">
        <v>1.3911</v>
      </c>
      <c r="AM781" s="314">
        <v>1.4802999999999999</v>
      </c>
      <c r="AN781" s="314">
        <v>1.4883999999999999</v>
      </c>
      <c r="AO781" s="314">
        <v>1.3633</v>
      </c>
      <c r="AP781" s="314">
        <v>1.5059</v>
      </c>
      <c r="AQ781" s="314">
        <v>1.3643000000000001</v>
      </c>
      <c r="AR781" s="314">
        <v>1.3926000000000001</v>
      </c>
      <c r="AS781" s="314">
        <v>1.1944999999999999</v>
      </c>
      <c r="AT781" s="314">
        <v>1.4321999999999999</v>
      </c>
      <c r="AU781" s="314">
        <v>1.6041000000000001</v>
      </c>
      <c r="AV781" s="314">
        <v>1.5329999999999999</v>
      </c>
      <c r="AW781" s="314">
        <v>1.429</v>
      </c>
      <c r="AX781" s="314">
        <v>1.2927999999999999</v>
      </c>
      <c r="AY781" s="314">
        <v>1.4799</v>
      </c>
      <c r="AZ781" s="314">
        <v>1.3513999999999999</v>
      </c>
      <c r="BA781" s="314">
        <v>1.3513999999999999</v>
      </c>
      <c r="BB781" s="314">
        <v>1.3318000000000001</v>
      </c>
      <c r="BC781" s="314">
        <v>1.4233</v>
      </c>
      <c r="BD781" s="314">
        <v>1.4972000000000001</v>
      </c>
      <c r="BE781" s="314">
        <v>1.5043</v>
      </c>
      <c r="BF781" s="314">
        <v>1.421</v>
      </c>
      <c r="BG781" s="314">
        <v>1.4790000000000001</v>
      </c>
      <c r="BH781" s="314">
        <v>1.4729000000000001</v>
      </c>
      <c r="BI781" s="314">
        <v>1.5984</v>
      </c>
      <c r="BJ781" s="314">
        <v>1.5274000000000001</v>
      </c>
      <c r="BK781" s="314">
        <v>1.5768</v>
      </c>
    </row>
    <row r="782" spans="1:63" x14ac:dyDescent="0.25">
      <c r="A782" s="306">
        <v>561900</v>
      </c>
      <c r="B782" s="314" t="s">
        <v>328</v>
      </c>
      <c r="C782" s="314">
        <v>1.575</v>
      </c>
      <c r="D782" s="314">
        <v>1.2518</v>
      </c>
      <c r="E782" s="314">
        <v>1.3424</v>
      </c>
      <c r="F782" s="314">
        <v>1.2910999999999999</v>
      </c>
      <c r="G782" s="314">
        <v>1.3789</v>
      </c>
      <c r="H782" s="314">
        <v>1.4599</v>
      </c>
      <c r="I782" s="314">
        <v>1.4524999999999999</v>
      </c>
      <c r="J782" s="314">
        <v>1.4061999999999999</v>
      </c>
      <c r="K782" s="314">
        <v>1.2968999999999999</v>
      </c>
      <c r="L782" s="314">
        <v>1.3393999999999999</v>
      </c>
      <c r="M782" s="314">
        <v>1.4035</v>
      </c>
      <c r="N782" s="314">
        <v>1.4886999999999999</v>
      </c>
      <c r="O782" s="314">
        <v>1.3260000000000001</v>
      </c>
      <c r="P782" s="314">
        <v>1.2599</v>
      </c>
      <c r="Q782" s="314">
        <v>1.2535000000000001</v>
      </c>
      <c r="R782" s="314">
        <v>1.4964999999999999</v>
      </c>
      <c r="S782" s="314">
        <v>1.3726</v>
      </c>
      <c r="T782" s="314">
        <v>1.3146</v>
      </c>
      <c r="U782" s="314">
        <v>1.3611</v>
      </c>
      <c r="V782" s="314">
        <v>1.3069</v>
      </c>
      <c r="W782" s="314">
        <v>1.4375</v>
      </c>
      <c r="X782" s="314">
        <v>1.4229000000000001</v>
      </c>
      <c r="Y782" s="314">
        <v>1.3252999999999999</v>
      </c>
      <c r="Z782" s="314">
        <v>1.4044000000000001</v>
      </c>
      <c r="AA782" s="314">
        <v>1.4073</v>
      </c>
      <c r="AB782" s="314">
        <v>1.4272</v>
      </c>
      <c r="AC782" s="314">
        <v>1.2666999999999999</v>
      </c>
      <c r="AD782" s="314">
        <v>1.2585</v>
      </c>
      <c r="AE782" s="314">
        <v>1.3871</v>
      </c>
      <c r="AF782" s="314">
        <v>1.1991000000000001</v>
      </c>
      <c r="AG782" s="314">
        <v>1.2644</v>
      </c>
      <c r="AH782" s="314">
        <v>1.3902000000000001</v>
      </c>
      <c r="AI782" s="314">
        <v>1.4883</v>
      </c>
      <c r="AJ782" s="314">
        <v>1.2652000000000001</v>
      </c>
      <c r="AK782" s="314">
        <v>1.3303</v>
      </c>
      <c r="AL782" s="314">
        <v>1.4097</v>
      </c>
      <c r="AM782" s="314">
        <v>1.4311</v>
      </c>
      <c r="AN782" s="314">
        <v>1.3362000000000001</v>
      </c>
      <c r="AO782" s="314">
        <v>1.3825000000000001</v>
      </c>
      <c r="AP782" s="314">
        <v>1.4581</v>
      </c>
      <c r="AQ782" s="314">
        <v>1.3797999999999999</v>
      </c>
      <c r="AR782" s="314">
        <v>1.3759999999999999</v>
      </c>
      <c r="AS782" s="314">
        <v>1.1991000000000001</v>
      </c>
      <c r="AT782" s="314">
        <v>1.4296</v>
      </c>
      <c r="AU782" s="314">
        <v>1.4582999999999999</v>
      </c>
      <c r="AV782" s="314">
        <v>1.4394</v>
      </c>
      <c r="AW782" s="314">
        <v>1.4200999999999999</v>
      </c>
      <c r="AX782" s="314">
        <v>1.3071999999999999</v>
      </c>
      <c r="AY782" s="314">
        <v>1.3861000000000001</v>
      </c>
      <c r="AZ782" s="314">
        <v>1.3593999999999999</v>
      </c>
      <c r="BA782" s="314">
        <v>1.2741</v>
      </c>
      <c r="BB782" s="314">
        <v>1.1892</v>
      </c>
      <c r="BC782" s="314">
        <v>1.4453</v>
      </c>
      <c r="BD782" s="314">
        <v>1.4895</v>
      </c>
      <c r="BE782" s="314">
        <v>1.4671000000000001</v>
      </c>
      <c r="BF782" s="314">
        <v>1.383</v>
      </c>
      <c r="BG782" s="314">
        <v>1.4855</v>
      </c>
      <c r="BH782" s="314">
        <v>1.411</v>
      </c>
      <c r="BI782" s="314">
        <v>1.4475</v>
      </c>
      <c r="BJ782" s="314">
        <v>1.4288000000000001</v>
      </c>
      <c r="BK782" s="314">
        <v>1.462</v>
      </c>
    </row>
    <row r="783" spans="1:63" x14ac:dyDescent="0.25">
      <c r="A783" s="306">
        <v>562000</v>
      </c>
      <c r="B783" s="314" t="s">
        <v>329</v>
      </c>
      <c r="C783" s="314">
        <v>1.6629</v>
      </c>
      <c r="D783" s="314">
        <v>1.3253999999999999</v>
      </c>
      <c r="E783" s="314">
        <v>1.419</v>
      </c>
      <c r="F783" s="314">
        <v>1.3674999999999999</v>
      </c>
      <c r="G783" s="314">
        <v>1.4450000000000001</v>
      </c>
      <c r="H783" s="314">
        <v>1.5085</v>
      </c>
      <c r="I783" s="314">
        <v>1.5188999999999999</v>
      </c>
      <c r="J783" s="314">
        <v>1.4763999999999999</v>
      </c>
      <c r="K783" s="314">
        <v>1.2048000000000001</v>
      </c>
      <c r="L783" s="314">
        <v>1.4331</v>
      </c>
      <c r="M783" s="314">
        <v>1.4339999999999999</v>
      </c>
      <c r="N783" s="314">
        <v>1.4803999999999999</v>
      </c>
      <c r="O783" s="314">
        <v>1.3936999999999999</v>
      </c>
      <c r="P783" s="314">
        <v>1.2967</v>
      </c>
      <c r="Q783" s="314">
        <v>1.3033999999999999</v>
      </c>
      <c r="R783" s="314">
        <v>1.5552999999999999</v>
      </c>
      <c r="S783" s="314">
        <v>1.4602999999999999</v>
      </c>
      <c r="T783" s="314">
        <v>1.3589</v>
      </c>
      <c r="U783" s="314">
        <v>1.4551000000000001</v>
      </c>
      <c r="V783" s="314">
        <v>1.4069</v>
      </c>
      <c r="W783" s="314">
        <v>1.4810000000000001</v>
      </c>
      <c r="X783" s="314">
        <v>1.4455</v>
      </c>
      <c r="Y783" s="314">
        <v>1.4033</v>
      </c>
      <c r="Z783" s="314">
        <v>1.4773000000000001</v>
      </c>
      <c r="AA783" s="314">
        <v>1.4380999999999999</v>
      </c>
      <c r="AB783" s="314">
        <v>1.4705999999999999</v>
      </c>
      <c r="AC783" s="314">
        <v>1.3391999999999999</v>
      </c>
      <c r="AD783" s="314">
        <v>1.2864</v>
      </c>
      <c r="AE783" s="314">
        <v>1.4020999999999999</v>
      </c>
      <c r="AF783" s="314">
        <v>1.2266999999999999</v>
      </c>
      <c r="AG783" s="314">
        <v>1.3105</v>
      </c>
      <c r="AH783" s="314">
        <v>1.4500999999999999</v>
      </c>
      <c r="AI783" s="314">
        <v>1.5475000000000001</v>
      </c>
      <c r="AJ783" s="314">
        <v>1.3512999999999999</v>
      </c>
      <c r="AK783" s="314">
        <v>1.4008</v>
      </c>
      <c r="AL783" s="314">
        <v>1.4711000000000001</v>
      </c>
      <c r="AM783" s="314">
        <v>1.5371999999999999</v>
      </c>
      <c r="AN783" s="314">
        <v>1.4118999999999999</v>
      </c>
      <c r="AO783" s="314">
        <v>1.4718</v>
      </c>
      <c r="AP783" s="314">
        <v>1.5346</v>
      </c>
      <c r="AQ783" s="314">
        <v>1.427</v>
      </c>
      <c r="AR783" s="314">
        <v>1.478</v>
      </c>
      <c r="AS783" s="314">
        <v>1.2192000000000001</v>
      </c>
      <c r="AT783" s="314">
        <v>1.5133000000000001</v>
      </c>
      <c r="AU783" s="314">
        <v>1.5328999999999999</v>
      </c>
      <c r="AV783" s="314">
        <v>1.5145999999999999</v>
      </c>
      <c r="AW783" s="314">
        <v>1.4702999999999999</v>
      </c>
      <c r="AX783" s="314">
        <v>1.3469</v>
      </c>
      <c r="AY783" s="314">
        <v>1.4595</v>
      </c>
      <c r="AZ783" s="314">
        <v>1.4189000000000001</v>
      </c>
      <c r="BA783" s="314">
        <v>1.3545</v>
      </c>
      <c r="BB783" s="314">
        <v>1.2678</v>
      </c>
      <c r="BC783" s="314">
        <v>1.4967999999999999</v>
      </c>
      <c r="BD783" s="314">
        <v>1.5485</v>
      </c>
      <c r="BE783" s="314">
        <v>1.5477000000000001</v>
      </c>
      <c r="BF783" s="314">
        <v>1.4319</v>
      </c>
      <c r="BG783" s="314">
        <v>1.5207999999999999</v>
      </c>
      <c r="BH783" s="314">
        <v>1.5015000000000001</v>
      </c>
      <c r="BI783" s="314">
        <v>1.5287999999999999</v>
      </c>
      <c r="BJ783" s="314">
        <v>1.4947999999999999</v>
      </c>
      <c r="BK783" s="314">
        <v>1.5246</v>
      </c>
    </row>
    <row r="784" spans="1:63" x14ac:dyDescent="0.25">
      <c r="A784" s="306">
        <v>611100</v>
      </c>
      <c r="B784" s="314" t="s">
        <v>772</v>
      </c>
      <c r="C784" s="314">
        <v>1.6189</v>
      </c>
      <c r="D784" s="314">
        <v>1.2917000000000001</v>
      </c>
      <c r="E784" s="314">
        <v>1.3479000000000001</v>
      </c>
      <c r="F784" s="314">
        <v>1.2925</v>
      </c>
      <c r="G784" s="314">
        <v>1.4267000000000001</v>
      </c>
      <c r="H784" s="314">
        <v>1.5197000000000001</v>
      </c>
      <c r="I784" s="314">
        <v>1.5006999999999999</v>
      </c>
      <c r="J784" s="314">
        <v>1.4162999999999999</v>
      </c>
      <c r="K784" s="314">
        <v>1.3207</v>
      </c>
      <c r="L784" s="314">
        <v>1.3725000000000001</v>
      </c>
      <c r="M784" s="314">
        <v>1.4508000000000001</v>
      </c>
      <c r="N784" s="314">
        <v>1.4843</v>
      </c>
      <c r="O784" s="314">
        <v>1.3911</v>
      </c>
      <c r="P784" s="314">
        <v>1.2421</v>
      </c>
      <c r="Q784" s="314">
        <v>1.2861</v>
      </c>
      <c r="R784" s="314">
        <v>1.5185999999999999</v>
      </c>
      <c r="S784" s="314">
        <v>1.3633999999999999</v>
      </c>
      <c r="T784" s="314">
        <v>1.3002</v>
      </c>
      <c r="U784" s="314">
        <v>1.3426</v>
      </c>
      <c r="V784" s="314">
        <v>1.3174999999999999</v>
      </c>
      <c r="W784" s="314">
        <v>1.4701</v>
      </c>
      <c r="X784" s="314">
        <v>1.4519</v>
      </c>
      <c r="Y784" s="314">
        <v>1.3204</v>
      </c>
      <c r="Z784" s="314">
        <v>1.3662000000000001</v>
      </c>
      <c r="AA784" s="314">
        <v>1.4477</v>
      </c>
      <c r="AB784" s="314">
        <v>1.4319999999999999</v>
      </c>
      <c r="AC784" s="314">
        <v>1.2732000000000001</v>
      </c>
      <c r="AD784" s="314">
        <v>1.2684</v>
      </c>
      <c r="AE784" s="314">
        <v>1.3855</v>
      </c>
      <c r="AF784" s="314">
        <v>1.1976</v>
      </c>
      <c r="AG784" s="314">
        <v>1.2419</v>
      </c>
      <c r="AH784" s="314">
        <v>1.4098999999999999</v>
      </c>
      <c r="AI784" s="314">
        <v>1.4950000000000001</v>
      </c>
      <c r="AJ784" s="314">
        <v>1.2957000000000001</v>
      </c>
      <c r="AK784" s="314">
        <v>1.4156</v>
      </c>
      <c r="AL784" s="314">
        <v>1.4595</v>
      </c>
      <c r="AM784" s="314">
        <v>1.4147000000000001</v>
      </c>
      <c r="AN784" s="314">
        <v>1.3425</v>
      </c>
      <c r="AO784" s="314">
        <v>1.4212</v>
      </c>
      <c r="AP784" s="314">
        <v>1.4581999999999999</v>
      </c>
      <c r="AQ784" s="314">
        <v>1.3928</v>
      </c>
      <c r="AR784" s="314">
        <v>1.4178999999999999</v>
      </c>
      <c r="AS784" s="314">
        <v>1.1835</v>
      </c>
      <c r="AT784" s="314">
        <v>1.4415</v>
      </c>
      <c r="AU784" s="314">
        <v>1.5128999999999999</v>
      </c>
      <c r="AV784" s="314">
        <v>1.4809000000000001</v>
      </c>
      <c r="AW784" s="314">
        <v>1.4515</v>
      </c>
      <c r="AX784" s="314">
        <v>1.329</v>
      </c>
      <c r="AY784" s="314">
        <v>1.4443999999999999</v>
      </c>
      <c r="AZ784" s="314">
        <v>1.3539000000000001</v>
      </c>
      <c r="BA784" s="314">
        <v>1.2572000000000001</v>
      </c>
      <c r="BB784" s="314">
        <v>1.2237</v>
      </c>
      <c r="BC784" s="314">
        <v>1.4689000000000001</v>
      </c>
      <c r="BD784" s="314">
        <v>1.5204</v>
      </c>
      <c r="BE784" s="314">
        <v>1.4553</v>
      </c>
      <c r="BF784" s="314">
        <v>1.3805000000000001</v>
      </c>
      <c r="BG784" s="314">
        <v>1.4966999999999999</v>
      </c>
      <c r="BH784" s="314">
        <v>1.4162999999999999</v>
      </c>
      <c r="BI784" s="314">
        <v>1.5149999999999999</v>
      </c>
      <c r="BJ784" s="314">
        <v>1.4918</v>
      </c>
      <c r="BK784" s="314">
        <v>1.5277000000000001</v>
      </c>
    </row>
    <row r="785" spans="1:63" x14ac:dyDescent="0.25">
      <c r="A785" s="306" t="s">
        <v>773</v>
      </c>
      <c r="B785" s="314" t="s">
        <v>774</v>
      </c>
      <c r="C785" s="314">
        <v>1.7132000000000001</v>
      </c>
      <c r="D785" s="314">
        <v>1.36</v>
      </c>
      <c r="E785" s="314">
        <v>1.4165000000000001</v>
      </c>
      <c r="F785" s="314">
        <v>1.3798999999999999</v>
      </c>
      <c r="G785" s="314">
        <v>1.4476</v>
      </c>
      <c r="H785" s="314">
        <v>1.5596000000000001</v>
      </c>
      <c r="I785" s="314">
        <v>1.5775999999999999</v>
      </c>
      <c r="J785" s="314">
        <v>1.4461999999999999</v>
      </c>
      <c r="K785" s="314">
        <v>1.3227</v>
      </c>
      <c r="L785" s="314">
        <v>1.3955</v>
      </c>
      <c r="M785" s="314">
        <v>1.4391</v>
      </c>
      <c r="N785" s="314">
        <v>1.5111000000000001</v>
      </c>
      <c r="O785" s="314">
        <v>1.4423999999999999</v>
      </c>
      <c r="P785" s="314">
        <v>1.3067</v>
      </c>
      <c r="Q785" s="314">
        <v>1.3504</v>
      </c>
      <c r="R785" s="314">
        <v>1.5611999999999999</v>
      </c>
      <c r="S785" s="314">
        <v>1.4255</v>
      </c>
      <c r="T785" s="314">
        <v>1.3831</v>
      </c>
      <c r="U785" s="314">
        <v>1.427</v>
      </c>
      <c r="V785" s="314">
        <v>1.3855</v>
      </c>
      <c r="W785" s="314">
        <v>1.4998</v>
      </c>
      <c r="X785" s="314">
        <v>1.4619</v>
      </c>
      <c r="Y785" s="314">
        <v>1.3612</v>
      </c>
      <c r="Z785" s="314">
        <v>1.4367000000000001</v>
      </c>
      <c r="AA785" s="314">
        <v>1.4979</v>
      </c>
      <c r="AB785" s="314">
        <v>1.5324</v>
      </c>
      <c r="AC785" s="314">
        <v>1.3189</v>
      </c>
      <c r="AD785" s="314">
        <v>1.3503000000000001</v>
      </c>
      <c r="AE785" s="314">
        <v>1.4234</v>
      </c>
      <c r="AF785" s="314">
        <v>1.2866</v>
      </c>
      <c r="AG785" s="314">
        <v>1.3312999999999999</v>
      </c>
      <c r="AH785" s="314">
        <v>1.4176</v>
      </c>
      <c r="AI785" s="314">
        <v>1.5422</v>
      </c>
      <c r="AJ785" s="314">
        <v>1.3711</v>
      </c>
      <c r="AK785" s="314">
        <v>1.4238</v>
      </c>
      <c r="AL785" s="314">
        <v>1.4746999999999999</v>
      </c>
      <c r="AM785" s="314">
        <v>1.4978</v>
      </c>
      <c r="AN785" s="314">
        <v>1.431</v>
      </c>
      <c r="AO785" s="314">
        <v>1.4742</v>
      </c>
      <c r="AP785" s="314">
        <v>1.5499000000000001</v>
      </c>
      <c r="AQ785" s="314">
        <v>1.3885000000000001</v>
      </c>
      <c r="AR785" s="314">
        <v>1.4383999999999999</v>
      </c>
      <c r="AS785" s="314">
        <v>1.2559</v>
      </c>
      <c r="AT785" s="314">
        <v>1.4826999999999999</v>
      </c>
      <c r="AU785" s="314">
        <v>1.583</v>
      </c>
      <c r="AV785" s="314">
        <v>1.5528</v>
      </c>
      <c r="AW785" s="314">
        <v>1.5129999999999999</v>
      </c>
      <c r="AX785" s="314">
        <v>1.3653</v>
      </c>
      <c r="AY785" s="314">
        <v>1.5042</v>
      </c>
      <c r="AZ785" s="314">
        <v>1.413</v>
      </c>
      <c r="BA785" s="314">
        <v>1.3388</v>
      </c>
      <c r="BB785" s="314">
        <v>1.2712000000000001</v>
      </c>
      <c r="BC785" s="314">
        <v>1.5032000000000001</v>
      </c>
      <c r="BD785" s="314">
        <v>1.5640000000000001</v>
      </c>
      <c r="BE785" s="314">
        <v>1.5242</v>
      </c>
      <c r="BF785" s="314">
        <v>1.4767999999999999</v>
      </c>
      <c r="BG785" s="314">
        <v>1.5418000000000001</v>
      </c>
      <c r="BH785" s="314">
        <v>1.4715</v>
      </c>
      <c r="BI785" s="314">
        <v>1.5795999999999999</v>
      </c>
      <c r="BJ785" s="314">
        <v>1.5696000000000001</v>
      </c>
      <c r="BK785" s="314">
        <v>1.5734999999999999</v>
      </c>
    </row>
    <row r="786" spans="1:63" x14ac:dyDescent="0.25">
      <c r="A786" s="306" t="s">
        <v>775</v>
      </c>
      <c r="B786" s="314" t="s">
        <v>776</v>
      </c>
      <c r="C786" s="314">
        <v>1.6213</v>
      </c>
      <c r="D786" s="314">
        <v>1.2793000000000001</v>
      </c>
      <c r="E786" s="314">
        <v>1.3468</v>
      </c>
      <c r="F786" s="314">
        <v>1.306</v>
      </c>
      <c r="G786" s="314">
        <v>1.411</v>
      </c>
      <c r="H786" s="314">
        <v>1.5106999999999999</v>
      </c>
      <c r="I786" s="314">
        <v>1.5065999999999999</v>
      </c>
      <c r="J786" s="314">
        <v>1.4587000000000001</v>
      </c>
      <c r="K786" s="314">
        <v>1.3495999999999999</v>
      </c>
      <c r="L786" s="314">
        <v>1.3888</v>
      </c>
      <c r="M786" s="314">
        <v>1.4482999999999999</v>
      </c>
      <c r="N786" s="314">
        <v>1.5125</v>
      </c>
      <c r="O786" s="314">
        <v>1.3744000000000001</v>
      </c>
      <c r="P786" s="314">
        <v>1.2809999999999999</v>
      </c>
      <c r="Q786" s="314">
        <v>1.2758</v>
      </c>
      <c r="R786" s="314">
        <v>1.5394000000000001</v>
      </c>
      <c r="S786" s="314">
        <v>1.3715999999999999</v>
      </c>
      <c r="T786" s="314">
        <v>1.353</v>
      </c>
      <c r="U786" s="314">
        <v>1.3707</v>
      </c>
      <c r="V786" s="314">
        <v>1.3259000000000001</v>
      </c>
      <c r="W786" s="314">
        <v>1.5036</v>
      </c>
      <c r="X786" s="314">
        <v>1.4716</v>
      </c>
      <c r="Y786" s="314">
        <v>1.3596999999999999</v>
      </c>
      <c r="Z786" s="314">
        <v>1.4172</v>
      </c>
      <c r="AA786" s="314">
        <v>1.4477</v>
      </c>
      <c r="AB786" s="314">
        <v>1.4535</v>
      </c>
      <c r="AC786" s="314">
        <v>1.2659</v>
      </c>
      <c r="AD786" s="314">
        <v>1.2806999999999999</v>
      </c>
      <c r="AE786" s="314">
        <v>1.4048</v>
      </c>
      <c r="AF786" s="314">
        <v>1.2185999999999999</v>
      </c>
      <c r="AG786" s="314">
        <v>1.2862</v>
      </c>
      <c r="AH786" s="314">
        <v>1.4301999999999999</v>
      </c>
      <c r="AI786" s="314">
        <v>1.5343</v>
      </c>
      <c r="AJ786" s="314">
        <v>1.2935000000000001</v>
      </c>
      <c r="AK786" s="314">
        <v>1.3553999999999999</v>
      </c>
      <c r="AL786" s="314">
        <v>1.4715</v>
      </c>
      <c r="AM786" s="314">
        <v>1.4542999999999999</v>
      </c>
      <c r="AN786" s="314">
        <v>1.3563000000000001</v>
      </c>
      <c r="AO786" s="314">
        <v>1.4173</v>
      </c>
      <c r="AP786" s="314">
        <v>1.4907999999999999</v>
      </c>
      <c r="AQ786" s="314">
        <v>1.4239999999999999</v>
      </c>
      <c r="AR786" s="314">
        <v>1.3969</v>
      </c>
      <c r="AS786" s="314">
        <v>1.2057</v>
      </c>
      <c r="AT786" s="314">
        <v>1.4455</v>
      </c>
      <c r="AU786" s="314">
        <v>1.5021</v>
      </c>
      <c r="AV786" s="314">
        <v>1.47</v>
      </c>
      <c r="AW786" s="314">
        <v>1.4767999999999999</v>
      </c>
      <c r="AX786" s="314">
        <v>1.3399000000000001</v>
      </c>
      <c r="AY786" s="314">
        <v>1.4408000000000001</v>
      </c>
      <c r="AZ786" s="314">
        <v>1.3813</v>
      </c>
      <c r="BA786" s="314">
        <v>1.2750999999999999</v>
      </c>
      <c r="BB786" s="314">
        <v>1.2054</v>
      </c>
      <c r="BC786" s="314">
        <v>1.5048999999999999</v>
      </c>
      <c r="BD786" s="314">
        <v>1.5467</v>
      </c>
      <c r="BE786" s="314">
        <v>1.4885999999999999</v>
      </c>
      <c r="BF786" s="314">
        <v>1.4165000000000001</v>
      </c>
      <c r="BG786" s="314">
        <v>1.5179</v>
      </c>
      <c r="BH786" s="314">
        <v>1.4087000000000001</v>
      </c>
      <c r="BI786" s="314">
        <v>1.49</v>
      </c>
      <c r="BJ786" s="314">
        <v>1.4664999999999999</v>
      </c>
      <c r="BK786" s="314">
        <v>1.5144</v>
      </c>
    </row>
    <row r="787" spans="1:63" x14ac:dyDescent="0.25">
      <c r="A787" s="306">
        <v>621600</v>
      </c>
      <c r="B787" s="314" t="s">
        <v>331</v>
      </c>
      <c r="C787" s="314">
        <v>1.4194</v>
      </c>
      <c r="D787" s="314">
        <v>1.1603000000000001</v>
      </c>
      <c r="E787" s="314">
        <v>1.2295</v>
      </c>
      <c r="F787" s="314">
        <v>1.2078</v>
      </c>
      <c r="G787" s="314">
        <v>1.2695000000000001</v>
      </c>
      <c r="H787" s="314">
        <v>1.3453999999999999</v>
      </c>
      <c r="I787" s="314">
        <v>1.3304</v>
      </c>
      <c r="J787" s="314">
        <v>1.3185</v>
      </c>
      <c r="K787" s="314">
        <v>1.1957</v>
      </c>
      <c r="L787" s="314">
        <v>1.2745</v>
      </c>
      <c r="M787" s="314">
        <v>1.2885</v>
      </c>
      <c r="N787" s="314">
        <v>1.3320000000000001</v>
      </c>
      <c r="O787" s="314">
        <v>1.234</v>
      </c>
      <c r="P787" s="314">
        <v>1.1698999999999999</v>
      </c>
      <c r="Q787" s="314">
        <v>1.1791</v>
      </c>
      <c r="R787" s="314">
        <v>1.3673</v>
      </c>
      <c r="S787" s="314">
        <v>1.2676000000000001</v>
      </c>
      <c r="T787" s="314">
        <v>1.2225999999999999</v>
      </c>
      <c r="U787" s="314">
        <v>1.2474000000000001</v>
      </c>
      <c r="V787" s="314">
        <v>1.2231000000000001</v>
      </c>
      <c r="W787" s="314">
        <v>1.3421000000000001</v>
      </c>
      <c r="X787" s="314">
        <v>1.2931999999999999</v>
      </c>
      <c r="Y787" s="314">
        <v>1.2413000000000001</v>
      </c>
      <c r="Z787" s="314">
        <v>1.2990999999999999</v>
      </c>
      <c r="AA787" s="314">
        <v>1.278</v>
      </c>
      <c r="AB787" s="314">
        <v>1.2998000000000001</v>
      </c>
      <c r="AC787" s="314">
        <v>1.1878</v>
      </c>
      <c r="AD787" s="314">
        <v>1.1595</v>
      </c>
      <c r="AE787" s="314">
        <v>1.2965</v>
      </c>
      <c r="AF787" s="314">
        <v>1.1378999999999999</v>
      </c>
      <c r="AG787" s="314">
        <v>1.1873</v>
      </c>
      <c r="AH787" s="314">
        <v>1.2888999999999999</v>
      </c>
      <c r="AI787" s="314">
        <v>1.3725000000000001</v>
      </c>
      <c r="AJ787" s="314">
        <v>1.1934</v>
      </c>
      <c r="AK787" s="314">
        <v>1.2426999999999999</v>
      </c>
      <c r="AL787" s="314">
        <v>1.3062</v>
      </c>
      <c r="AM787" s="314">
        <v>1.3046</v>
      </c>
      <c r="AN787" s="314">
        <v>1.2318</v>
      </c>
      <c r="AO787" s="314">
        <v>1.2685999999999999</v>
      </c>
      <c r="AP787" s="314">
        <v>1.3361000000000001</v>
      </c>
      <c r="AQ787" s="314">
        <v>1.2925</v>
      </c>
      <c r="AR787" s="314">
        <v>1.2839</v>
      </c>
      <c r="AS787" s="314">
        <v>1.1206</v>
      </c>
      <c r="AT787" s="314">
        <v>1.2971999999999999</v>
      </c>
      <c r="AU787" s="314">
        <v>1.3248</v>
      </c>
      <c r="AV787" s="314">
        <v>1.3199000000000001</v>
      </c>
      <c r="AW787" s="314">
        <v>1.3033999999999999</v>
      </c>
      <c r="AX787" s="314">
        <v>1.1740999999999999</v>
      </c>
      <c r="AY787" s="314">
        <v>1.2785</v>
      </c>
      <c r="AZ787" s="314">
        <v>1.2493000000000001</v>
      </c>
      <c r="BA787" s="314">
        <v>1.2087000000000001</v>
      </c>
      <c r="BB787" s="314">
        <v>1.1291</v>
      </c>
      <c r="BC787" s="314">
        <v>1.3428</v>
      </c>
      <c r="BD787" s="314">
        <v>1.3621000000000001</v>
      </c>
      <c r="BE787" s="314">
        <v>1.3416999999999999</v>
      </c>
      <c r="BF787" s="314">
        <v>1.2646999999999999</v>
      </c>
      <c r="BG787" s="314">
        <v>1.3440000000000001</v>
      </c>
      <c r="BH787" s="314">
        <v>1.2713000000000001</v>
      </c>
      <c r="BI787" s="314">
        <v>1.3171999999999999</v>
      </c>
      <c r="BJ787" s="314">
        <v>1.3045</v>
      </c>
      <c r="BK787" s="314">
        <v>1.3464</v>
      </c>
    </row>
    <row r="788" spans="1:63" x14ac:dyDescent="0.25">
      <c r="A788" s="306" t="s">
        <v>777</v>
      </c>
      <c r="B788" s="314" t="s">
        <v>330</v>
      </c>
      <c r="C788" s="314">
        <v>1.5108999999999999</v>
      </c>
      <c r="D788" s="314">
        <v>1.2057</v>
      </c>
      <c r="E788" s="314">
        <v>1.286</v>
      </c>
      <c r="F788" s="314">
        <v>1.2322</v>
      </c>
      <c r="G788" s="314">
        <v>1.3328</v>
      </c>
      <c r="H788" s="314">
        <v>1.4255</v>
      </c>
      <c r="I788" s="314">
        <v>1.4081999999999999</v>
      </c>
      <c r="J788" s="314">
        <v>1.3837999999999999</v>
      </c>
      <c r="K788" s="314">
        <v>1.2347999999999999</v>
      </c>
      <c r="L788" s="314">
        <v>1.3255999999999999</v>
      </c>
      <c r="M788" s="314">
        <v>1.3649</v>
      </c>
      <c r="N788" s="314">
        <v>1.4036</v>
      </c>
      <c r="O788" s="314">
        <v>1.2777000000000001</v>
      </c>
      <c r="P788" s="314">
        <v>1.2177</v>
      </c>
      <c r="Q788" s="314">
        <v>1.2144999999999999</v>
      </c>
      <c r="R788" s="314">
        <v>1.4355</v>
      </c>
      <c r="S788" s="314">
        <v>1.3338000000000001</v>
      </c>
      <c r="T788" s="314">
        <v>1.2746</v>
      </c>
      <c r="U788" s="314">
        <v>1.3048</v>
      </c>
      <c r="V788" s="314">
        <v>1.2587999999999999</v>
      </c>
      <c r="W788" s="314">
        <v>1.4232</v>
      </c>
      <c r="X788" s="314">
        <v>1.3583000000000001</v>
      </c>
      <c r="Y788" s="314">
        <v>1.321</v>
      </c>
      <c r="Z788" s="314">
        <v>1.3584000000000001</v>
      </c>
      <c r="AA788" s="314">
        <v>1.3574999999999999</v>
      </c>
      <c r="AB788" s="314">
        <v>1.3634999999999999</v>
      </c>
      <c r="AC788" s="314">
        <v>1.2174</v>
      </c>
      <c r="AD788" s="314">
        <v>1.2210000000000001</v>
      </c>
      <c r="AE788" s="314">
        <v>1.3462000000000001</v>
      </c>
      <c r="AF788" s="314">
        <v>1.1737</v>
      </c>
      <c r="AG788" s="314">
        <v>1.2402</v>
      </c>
      <c r="AH788" s="314">
        <v>1.3461000000000001</v>
      </c>
      <c r="AI788" s="314">
        <v>1.4584999999999999</v>
      </c>
      <c r="AJ788" s="314">
        <v>1.2402</v>
      </c>
      <c r="AK788" s="314">
        <v>1.2757000000000001</v>
      </c>
      <c r="AL788" s="314">
        <v>1.3733</v>
      </c>
      <c r="AM788" s="314">
        <v>1.3649</v>
      </c>
      <c r="AN788" s="314">
        <v>1.2754000000000001</v>
      </c>
      <c r="AO788" s="314">
        <v>1.3260000000000001</v>
      </c>
      <c r="AP788" s="314">
        <v>1.4165000000000001</v>
      </c>
      <c r="AQ788" s="314">
        <v>1.3548</v>
      </c>
      <c r="AR788" s="314">
        <v>1.3434999999999999</v>
      </c>
      <c r="AS788" s="314">
        <v>1.1637999999999999</v>
      </c>
      <c r="AT788" s="314">
        <v>1.3620000000000001</v>
      </c>
      <c r="AU788" s="314">
        <v>1.3864000000000001</v>
      </c>
      <c r="AV788" s="314">
        <v>1.3876999999999999</v>
      </c>
      <c r="AW788" s="314">
        <v>1.3580000000000001</v>
      </c>
      <c r="AX788" s="314">
        <v>1.2501</v>
      </c>
      <c r="AY788" s="314">
        <v>1.3355999999999999</v>
      </c>
      <c r="AZ788" s="314">
        <v>1.3116000000000001</v>
      </c>
      <c r="BA788" s="314">
        <v>1.2623</v>
      </c>
      <c r="BB788" s="314">
        <v>1.1608000000000001</v>
      </c>
      <c r="BC788" s="314">
        <v>1.4266000000000001</v>
      </c>
      <c r="BD788" s="314">
        <v>1.4536</v>
      </c>
      <c r="BE788" s="314">
        <v>1.4192</v>
      </c>
      <c r="BF788" s="314">
        <v>1.3354999999999999</v>
      </c>
      <c r="BG788" s="314">
        <v>1.42</v>
      </c>
      <c r="BH788" s="314">
        <v>1.3339000000000001</v>
      </c>
      <c r="BI788" s="314">
        <v>1.3738999999999999</v>
      </c>
      <c r="BJ788" s="314">
        <v>1.3718999999999999</v>
      </c>
      <c r="BK788" s="314">
        <v>1.4265000000000001</v>
      </c>
    </row>
    <row r="789" spans="1:63" x14ac:dyDescent="0.25">
      <c r="A789" s="306" t="s">
        <v>778</v>
      </c>
      <c r="B789" s="314" t="s">
        <v>332</v>
      </c>
      <c r="C789" s="314">
        <v>1.6093999999999999</v>
      </c>
      <c r="D789" s="314">
        <v>1.2612000000000001</v>
      </c>
      <c r="E789" s="314">
        <v>1.365</v>
      </c>
      <c r="F789" s="314">
        <v>1.3108</v>
      </c>
      <c r="G789" s="314">
        <v>1.4109</v>
      </c>
      <c r="H789" s="314">
        <v>1.4916</v>
      </c>
      <c r="I789" s="314">
        <v>1.4843</v>
      </c>
      <c r="J789" s="314">
        <v>1.4561999999999999</v>
      </c>
      <c r="K789" s="314">
        <v>1.2906</v>
      </c>
      <c r="L789" s="314">
        <v>1.4024000000000001</v>
      </c>
      <c r="M789" s="314">
        <v>1.4343999999999999</v>
      </c>
      <c r="N789" s="314">
        <v>1.4984</v>
      </c>
      <c r="O789" s="314">
        <v>1.3502000000000001</v>
      </c>
      <c r="P789" s="314">
        <v>1.2582</v>
      </c>
      <c r="Q789" s="314">
        <v>1.2646999999999999</v>
      </c>
      <c r="R789" s="314">
        <v>1.5081</v>
      </c>
      <c r="S789" s="314">
        <v>1.403</v>
      </c>
      <c r="T789" s="314">
        <v>1.3446</v>
      </c>
      <c r="U789" s="314">
        <v>1.3867</v>
      </c>
      <c r="V789" s="314">
        <v>1.3503000000000001</v>
      </c>
      <c r="W789" s="314">
        <v>1.4950000000000001</v>
      </c>
      <c r="X789" s="314">
        <v>1.4455</v>
      </c>
      <c r="Y789" s="314">
        <v>1.3792</v>
      </c>
      <c r="Z789" s="314">
        <v>1.4311</v>
      </c>
      <c r="AA789" s="314">
        <v>1.4301999999999999</v>
      </c>
      <c r="AB789" s="314">
        <v>1.4481999999999999</v>
      </c>
      <c r="AC789" s="314">
        <v>1.284</v>
      </c>
      <c r="AD789" s="314">
        <v>1.2644</v>
      </c>
      <c r="AE789" s="314">
        <v>1.4222999999999999</v>
      </c>
      <c r="AF789" s="314">
        <v>1.1996</v>
      </c>
      <c r="AG789" s="314">
        <v>1.3029999999999999</v>
      </c>
      <c r="AH789" s="314">
        <v>1.4323999999999999</v>
      </c>
      <c r="AI789" s="314">
        <v>1.542</v>
      </c>
      <c r="AJ789" s="314">
        <v>1.3038000000000001</v>
      </c>
      <c r="AK789" s="314">
        <v>1.3584000000000001</v>
      </c>
      <c r="AL789" s="314">
        <v>1.4322999999999999</v>
      </c>
      <c r="AM789" s="314">
        <v>1.4629000000000001</v>
      </c>
      <c r="AN789" s="314">
        <v>1.3487</v>
      </c>
      <c r="AO789" s="314">
        <v>1.4069</v>
      </c>
      <c r="AP789" s="314">
        <v>1.5051000000000001</v>
      </c>
      <c r="AQ789" s="314">
        <v>1.4222999999999999</v>
      </c>
      <c r="AR789" s="314">
        <v>1.4238</v>
      </c>
      <c r="AS789" s="314">
        <v>1.1929000000000001</v>
      </c>
      <c r="AT789" s="314">
        <v>1.4430000000000001</v>
      </c>
      <c r="AU789" s="314">
        <v>1.4759</v>
      </c>
      <c r="AV789" s="314">
        <v>1.4512</v>
      </c>
      <c r="AW789" s="314">
        <v>1.4543999999999999</v>
      </c>
      <c r="AX789" s="314">
        <v>1.296</v>
      </c>
      <c r="AY789" s="314">
        <v>1.4131</v>
      </c>
      <c r="AZ789" s="314">
        <v>1.3879999999999999</v>
      </c>
      <c r="BA789" s="314">
        <v>1.3186</v>
      </c>
      <c r="BB789" s="314">
        <v>1.2089000000000001</v>
      </c>
      <c r="BC789" s="314">
        <v>1.5021</v>
      </c>
      <c r="BD789" s="314">
        <v>1.5327</v>
      </c>
      <c r="BE789" s="314">
        <v>1.5044</v>
      </c>
      <c r="BF789" s="314">
        <v>1.4085000000000001</v>
      </c>
      <c r="BG789" s="314">
        <v>1.5105999999999999</v>
      </c>
      <c r="BH789" s="314">
        <v>1.417</v>
      </c>
      <c r="BI789" s="314">
        <v>1.4702</v>
      </c>
      <c r="BJ789" s="314">
        <v>1.4501999999999999</v>
      </c>
      <c r="BK789" s="314">
        <v>1.4958</v>
      </c>
    </row>
    <row r="790" spans="1:63" x14ac:dyDescent="0.25">
      <c r="A790" s="306">
        <v>622000</v>
      </c>
      <c r="B790" s="314" t="s">
        <v>779</v>
      </c>
      <c r="C790" s="314">
        <v>1.6632</v>
      </c>
      <c r="D790" s="314">
        <v>1.2484</v>
      </c>
      <c r="E790" s="314">
        <v>1.3629</v>
      </c>
      <c r="F790" s="314">
        <v>1.3333999999999999</v>
      </c>
      <c r="G790" s="314">
        <v>1.4133</v>
      </c>
      <c r="H790" s="314">
        <v>1.526</v>
      </c>
      <c r="I790" s="314">
        <v>1.516</v>
      </c>
      <c r="J790" s="314">
        <v>1.4595</v>
      </c>
      <c r="K790" s="314">
        <v>1.2858000000000001</v>
      </c>
      <c r="L790" s="314">
        <v>1.4144000000000001</v>
      </c>
      <c r="M790" s="314">
        <v>1.4419</v>
      </c>
      <c r="N790" s="314">
        <v>1.5195000000000001</v>
      </c>
      <c r="O790" s="314">
        <v>1.3772</v>
      </c>
      <c r="P790" s="314">
        <v>1.2729999999999999</v>
      </c>
      <c r="Q790" s="314">
        <v>1.2886</v>
      </c>
      <c r="R790" s="314">
        <v>1.5395000000000001</v>
      </c>
      <c r="S790" s="314">
        <v>1.4278999999999999</v>
      </c>
      <c r="T790" s="314">
        <v>1.3384</v>
      </c>
      <c r="U790" s="314">
        <v>1.4045000000000001</v>
      </c>
      <c r="V790" s="314">
        <v>1.3308</v>
      </c>
      <c r="W790" s="314">
        <v>1.5284</v>
      </c>
      <c r="X790" s="314">
        <v>1.456</v>
      </c>
      <c r="Y790" s="314">
        <v>1.3914</v>
      </c>
      <c r="Z790" s="314">
        <v>1.4341999999999999</v>
      </c>
      <c r="AA790" s="314">
        <v>1.4958</v>
      </c>
      <c r="AB790" s="314">
        <v>1.4723999999999999</v>
      </c>
      <c r="AC790" s="314">
        <v>1.2885</v>
      </c>
      <c r="AD790" s="314">
        <v>1.2476</v>
      </c>
      <c r="AE790" s="314">
        <v>1.4413</v>
      </c>
      <c r="AF790" s="314">
        <v>1.2050000000000001</v>
      </c>
      <c r="AG790" s="314">
        <v>1.3225</v>
      </c>
      <c r="AH790" s="314">
        <v>1.4280999999999999</v>
      </c>
      <c r="AI790" s="314">
        <v>1.5585</v>
      </c>
      <c r="AJ790" s="314">
        <v>1.2897000000000001</v>
      </c>
      <c r="AK790" s="314">
        <v>1.3779999999999999</v>
      </c>
      <c r="AL790" s="314">
        <v>1.4587000000000001</v>
      </c>
      <c r="AM790" s="314">
        <v>1.4674</v>
      </c>
      <c r="AN790" s="314">
        <v>1.3416999999999999</v>
      </c>
      <c r="AO790" s="314">
        <v>1.4421999999999999</v>
      </c>
      <c r="AP790" s="314">
        <v>1.5195000000000001</v>
      </c>
      <c r="AQ790" s="314">
        <v>1.4502999999999999</v>
      </c>
      <c r="AR790" s="314">
        <v>1.4384999999999999</v>
      </c>
      <c r="AS790" s="314">
        <v>1.2101</v>
      </c>
      <c r="AT790" s="314">
        <v>1.4553</v>
      </c>
      <c r="AU790" s="314">
        <v>1.4924999999999999</v>
      </c>
      <c r="AV790" s="314">
        <v>1.4964999999999999</v>
      </c>
      <c r="AW790" s="314">
        <v>1.4689000000000001</v>
      </c>
      <c r="AX790" s="314">
        <v>1.2914000000000001</v>
      </c>
      <c r="AY790" s="314">
        <v>1.4457</v>
      </c>
      <c r="AZ790" s="314">
        <v>1.4176</v>
      </c>
      <c r="BA790" s="314">
        <v>1.2985</v>
      </c>
      <c r="BB790" s="314">
        <v>1.1973</v>
      </c>
      <c r="BC790" s="314">
        <v>1.5291999999999999</v>
      </c>
      <c r="BD790" s="314">
        <v>1.5577000000000001</v>
      </c>
      <c r="BE790" s="314">
        <v>1.5206999999999999</v>
      </c>
      <c r="BF790" s="314">
        <v>1.448</v>
      </c>
      <c r="BG790" s="314">
        <v>1.5336000000000001</v>
      </c>
      <c r="BH790" s="314">
        <v>1.4283999999999999</v>
      </c>
      <c r="BI790" s="314">
        <v>1.4910000000000001</v>
      </c>
      <c r="BJ790" s="314">
        <v>1.4802</v>
      </c>
      <c r="BK790" s="314">
        <v>1.5358000000000001</v>
      </c>
    </row>
    <row r="791" spans="1:63" x14ac:dyDescent="0.25">
      <c r="A791" s="306">
        <v>623000</v>
      </c>
      <c r="B791" s="314" t="s">
        <v>333</v>
      </c>
      <c r="C791" s="314">
        <v>1.5256000000000001</v>
      </c>
      <c r="D791" s="314">
        <v>1.2030000000000001</v>
      </c>
      <c r="E791" s="314">
        <v>1.2990999999999999</v>
      </c>
      <c r="F791" s="314">
        <v>1.2849999999999999</v>
      </c>
      <c r="G791" s="314">
        <v>1.3246</v>
      </c>
      <c r="H791" s="314">
        <v>1.397</v>
      </c>
      <c r="I791" s="314">
        <v>1.4079999999999999</v>
      </c>
      <c r="J791" s="314">
        <v>1.3395999999999999</v>
      </c>
      <c r="K791" s="314">
        <v>1.2241</v>
      </c>
      <c r="L791" s="314">
        <v>1.3295999999999999</v>
      </c>
      <c r="M791" s="314">
        <v>1.3431</v>
      </c>
      <c r="N791" s="314">
        <v>1.4084000000000001</v>
      </c>
      <c r="O791" s="314">
        <v>1.2906</v>
      </c>
      <c r="P791" s="314">
        <v>1.2490000000000001</v>
      </c>
      <c r="Q791" s="314">
        <v>1.2438</v>
      </c>
      <c r="R791" s="314">
        <v>1.4235</v>
      </c>
      <c r="S791" s="314">
        <v>1.3344</v>
      </c>
      <c r="T791" s="314">
        <v>1.2736000000000001</v>
      </c>
      <c r="U791" s="314">
        <v>1.3411999999999999</v>
      </c>
      <c r="V791" s="314">
        <v>1.2726</v>
      </c>
      <c r="W791" s="314">
        <v>1.38</v>
      </c>
      <c r="X791" s="314">
        <v>1.3474999999999999</v>
      </c>
      <c r="Y791" s="314">
        <v>1.3005</v>
      </c>
      <c r="Z791" s="314">
        <v>1.3342000000000001</v>
      </c>
      <c r="AA791" s="314">
        <v>1.385</v>
      </c>
      <c r="AB791" s="314">
        <v>1.3826000000000001</v>
      </c>
      <c r="AC791" s="314">
        <v>1.246</v>
      </c>
      <c r="AD791" s="314">
        <v>1.2092000000000001</v>
      </c>
      <c r="AE791" s="314">
        <v>1.3489</v>
      </c>
      <c r="AF791" s="314">
        <v>1.1823999999999999</v>
      </c>
      <c r="AG791" s="314">
        <v>1.2546999999999999</v>
      </c>
      <c r="AH791" s="314">
        <v>1.33</v>
      </c>
      <c r="AI791" s="314">
        <v>1.4015</v>
      </c>
      <c r="AJ791" s="314">
        <v>1.2439</v>
      </c>
      <c r="AK791" s="314">
        <v>1.2796000000000001</v>
      </c>
      <c r="AL791" s="314">
        <v>1.3541000000000001</v>
      </c>
      <c r="AM791" s="314">
        <v>1.3727</v>
      </c>
      <c r="AN791" s="314">
        <v>1.3081</v>
      </c>
      <c r="AO791" s="314">
        <v>1.3394999999999999</v>
      </c>
      <c r="AP791" s="314">
        <v>1.4105000000000001</v>
      </c>
      <c r="AQ791" s="314">
        <v>1.3187</v>
      </c>
      <c r="AR791" s="314">
        <v>1.3471</v>
      </c>
      <c r="AS791" s="314">
        <v>1.1900999999999999</v>
      </c>
      <c r="AT791" s="314">
        <v>1.3707</v>
      </c>
      <c r="AU791" s="314">
        <v>1.4161999999999999</v>
      </c>
      <c r="AV791" s="314">
        <v>1.3912</v>
      </c>
      <c r="AW791" s="314">
        <v>1.3663000000000001</v>
      </c>
      <c r="AX791" s="314">
        <v>1.2406999999999999</v>
      </c>
      <c r="AY791" s="314">
        <v>1.3424</v>
      </c>
      <c r="AZ791" s="314">
        <v>1.331</v>
      </c>
      <c r="BA791" s="314">
        <v>1.238</v>
      </c>
      <c r="BB791" s="314">
        <v>1.1626000000000001</v>
      </c>
      <c r="BC791" s="314">
        <v>1.3818999999999999</v>
      </c>
      <c r="BD791" s="314">
        <v>1.4142999999999999</v>
      </c>
      <c r="BE791" s="314">
        <v>1.4136</v>
      </c>
      <c r="BF791" s="314">
        <v>1.3576999999999999</v>
      </c>
      <c r="BG791" s="314">
        <v>1.4121999999999999</v>
      </c>
      <c r="BH791" s="314">
        <v>1.3575999999999999</v>
      </c>
      <c r="BI791" s="314">
        <v>1.4175</v>
      </c>
      <c r="BJ791" s="314">
        <v>1.3794999999999999</v>
      </c>
      <c r="BK791" s="314">
        <v>1.4037999999999999</v>
      </c>
    </row>
    <row r="792" spans="1:63" x14ac:dyDescent="0.25">
      <c r="A792" s="306">
        <v>624200</v>
      </c>
      <c r="B792" s="314" t="s">
        <v>336</v>
      </c>
      <c r="C792" s="314">
        <v>1.7076</v>
      </c>
      <c r="D792" s="314">
        <v>1.286</v>
      </c>
      <c r="E792" s="314">
        <v>1.4201999999999999</v>
      </c>
      <c r="F792" s="314">
        <v>1.3658999999999999</v>
      </c>
      <c r="G792" s="314">
        <v>1.4481999999999999</v>
      </c>
      <c r="H792" s="314">
        <v>1.5407</v>
      </c>
      <c r="I792" s="314">
        <v>1.5362</v>
      </c>
      <c r="J792" s="314">
        <v>1.4825999999999999</v>
      </c>
      <c r="K792" s="314">
        <v>1.3485</v>
      </c>
      <c r="L792" s="314">
        <v>1.4394</v>
      </c>
      <c r="M792" s="314">
        <v>1.4757</v>
      </c>
      <c r="N792" s="314">
        <v>1.5651999999999999</v>
      </c>
      <c r="O792" s="314">
        <v>1.3940999999999999</v>
      </c>
      <c r="P792" s="314">
        <v>1.3154999999999999</v>
      </c>
      <c r="Q792" s="314">
        <v>1.3089</v>
      </c>
      <c r="R792" s="314">
        <v>1.5939000000000001</v>
      </c>
      <c r="S792" s="314">
        <v>1.4260999999999999</v>
      </c>
      <c r="T792" s="314">
        <v>1.353</v>
      </c>
      <c r="U792" s="314">
        <v>1.4272</v>
      </c>
      <c r="V792" s="314">
        <v>1.3608</v>
      </c>
      <c r="W792" s="314">
        <v>1.5235000000000001</v>
      </c>
      <c r="X792" s="314">
        <v>1.4981</v>
      </c>
      <c r="Y792" s="314">
        <v>1.3817999999999999</v>
      </c>
      <c r="Z792" s="314">
        <v>1.4409000000000001</v>
      </c>
      <c r="AA792" s="314">
        <v>1.5007999999999999</v>
      </c>
      <c r="AB792" s="314">
        <v>1.4819</v>
      </c>
      <c r="AC792" s="314">
        <v>1.3307</v>
      </c>
      <c r="AD792" s="314">
        <v>1.2977000000000001</v>
      </c>
      <c r="AE792" s="314">
        <v>1.4701</v>
      </c>
      <c r="AF792" s="314">
        <v>1.2176</v>
      </c>
      <c r="AG792" s="314">
        <v>1.2978000000000001</v>
      </c>
      <c r="AH792" s="314">
        <v>1.4777</v>
      </c>
      <c r="AI792" s="314">
        <v>1.5569999999999999</v>
      </c>
      <c r="AJ792" s="314">
        <v>1.3076000000000001</v>
      </c>
      <c r="AK792" s="314">
        <v>1.3897999999999999</v>
      </c>
      <c r="AL792" s="314">
        <v>1.4972000000000001</v>
      </c>
      <c r="AM792" s="314">
        <v>1.4871000000000001</v>
      </c>
      <c r="AN792" s="314">
        <v>1.4068000000000001</v>
      </c>
      <c r="AO792" s="314">
        <v>1.4451000000000001</v>
      </c>
      <c r="AP792" s="314">
        <v>1.5305</v>
      </c>
      <c r="AQ792" s="314">
        <v>1.4411</v>
      </c>
      <c r="AR792" s="314">
        <v>1.48</v>
      </c>
      <c r="AS792" s="314">
        <v>1.2342</v>
      </c>
      <c r="AT792" s="314">
        <v>1.5115000000000001</v>
      </c>
      <c r="AU792" s="314">
        <v>1.5497000000000001</v>
      </c>
      <c r="AV792" s="314">
        <v>1.496</v>
      </c>
      <c r="AW792" s="314">
        <v>1.5154000000000001</v>
      </c>
      <c r="AX792" s="314">
        <v>1.3419000000000001</v>
      </c>
      <c r="AY792" s="314">
        <v>1.4537</v>
      </c>
      <c r="AZ792" s="314">
        <v>1.4237</v>
      </c>
      <c r="BA792" s="314">
        <v>1.3083</v>
      </c>
      <c r="BB792" s="314">
        <v>1.2159</v>
      </c>
      <c r="BC792" s="314">
        <v>1.5302</v>
      </c>
      <c r="BD792" s="314">
        <v>1.5751999999999999</v>
      </c>
      <c r="BE792" s="314">
        <v>1.5387999999999999</v>
      </c>
      <c r="BF792" s="314">
        <v>1.4491000000000001</v>
      </c>
      <c r="BG792" s="314">
        <v>1.5672999999999999</v>
      </c>
      <c r="BH792" s="314">
        <v>1.4793000000000001</v>
      </c>
      <c r="BI792" s="314">
        <v>1.5526</v>
      </c>
      <c r="BJ792" s="314">
        <v>1.5021</v>
      </c>
      <c r="BK792" s="314">
        <v>1.5462</v>
      </c>
    </row>
    <row r="793" spans="1:63" x14ac:dyDescent="0.25">
      <c r="A793" s="306">
        <v>624400</v>
      </c>
      <c r="B793" s="314" t="s">
        <v>334</v>
      </c>
      <c r="C793" s="314">
        <v>1.6453</v>
      </c>
      <c r="D793" s="314">
        <v>1.242</v>
      </c>
      <c r="E793" s="314">
        <v>1.3337000000000001</v>
      </c>
      <c r="F793" s="314">
        <v>1.3147</v>
      </c>
      <c r="G793" s="314">
        <v>1.369</v>
      </c>
      <c r="H793" s="314">
        <v>1.5048999999999999</v>
      </c>
      <c r="I793" s="314">
        <v>1.4717</v>
      </c>
      <c r="J793" s="314">
        <v>1.4258</v>
      </c>
      <c r="K793" s="314">
        <v>1.2690999999999999</v>
      </c>
      <c r="L793" s="314">
        <v>1.3703000000000001</v>
      </c>
      <c r="M793" s="314">
        <v>1.4</v>
      </c>
      <c r="N793" s="314">
        <v>1.4440999999999999</v>
      </c>
      <c r="O793" s="314">
        <v>1.3453999999999999</v>
      </c>
      <c r="P793" s="314">
        <v>1.2595000000000001</v>
      </c>
      <c r="Q793" s="314">
        <v>1.2808999999999999</v>
      </c>
      <c r="R793" s="314">
        <v>1.5128999999999999</v>
      </c>
      <c r="S793" s="314">
        <v>1.3585</v>
      </c>
      <c r="T793" s="314">
        <v>1.2888999999999999</v>
      </c>
      <c r="U793" s="314">
        <v>1.3681000000000001</v>
      </c>
      <c r="V793" s="314">
        <v>1.3137000000000001</v>
      </c>
      <c r="W793" s="314">
        <v>1.4605999999999999</v>
      </c>
      <c r="X793" s="314">
        <v>1.4068000000000001</v>
      </c>
      <c r="Y793" s="314">
        <v>1.3232999999999999</v>
      </c>
      <c r="Z793" s="314">
        <v>1.3537999999999999</v>
      </c>
      <c r="AA793" s="314">
        <v>1.4349000000000001</v>
      </c>
      <c r="AB793" s="314">
        <v>1.4319999999999999</v>
      </c>
      <c r="AC793" s="314">
        <v>1.2608999999999999</v>
      </c>
      <c r="AD793" s="314">
        <v>1.2589999999999999</v>
      </c>
      <c r="AE793" s="314">
        <v>1.3628</v>
      </c>
      <c r="AF793" s="314">
        <v>1.2036</v>
      </c>
      <c r="AG793" s="314">
        <v>1.2526999999999999</v>
      </c>
      <c r="AH793" s="314">
        <v>1.4072</v>
      </c>
      <c r="AI793" s="314">
        <v>1.5024</v>
      </c>
      <c r="AJ793" s="314">
        <v>1.2905</v>
      </c>
      <c r="AK793" s="314">
        <v>1.3304</v>
      </c>
      <c r="AL793" s="314">
        <v>1.4654</v>
      </c>
      <c r="AM793" s="314">
        <v>1.4195</v>
      </c>
      <c r="AN793" s="314">
        <v>1.3318000000000001</v>
      </c>
      <c r="AO793" s="314">
        <v>1.3989</v>
      </c>
      <c r="AP793" s="314">
        <v>1.4631000000000001</v>
      </c>
      <c r="AQ793" s="314">
        <v>1.3924000000000001</v>
      </c>
      <c r="AR793" s="314">
        <v>1.3712</v>
      </c>
      <c r="AS793" s="314">
        <v>1.2014</v>
      </c>
      <c r="AT793" s="314">
        <v>1.4422999999999999</v>
      </c>
      <c r="AU793" s="314">
        <v>1.4691000000000001</v>
      </c>
      <c r="AV793" s="314">
        <v>1.4359999999999999</v>
      </c>
      <c r="AW793" s="314">
        <v>1.4111</v>
      </c>
      <c r="AX793" s="314">
        <v>1.3239000000000001</v>
      </c>
      <c r="AY793" s="314">
        <v>1.4060999999999999</v>
      </c>
      <c r="AZ793" s="314">
        <v>1.3687</v>
      </c>
      <c r="BA793" s="314">
        <v>1.2594000000000001</v>
      </c>
      <c r="BB793" s="314">
        <v>1.1887000000000001</v>
      </c>
      <c r="BC793" s="314">
        <v>1.4714</v>
      </c>
      <c r="BD793" s="314">
        <v>1.5284</v>
      </c>
      <c r="BE793" s="314">
        <v>1.4691000000000001</v>
      </c>
      <c r="BF793" s="314">
        <v>1.3844000000000001</v>
      </c>
      <c r="BG793" s="314">
        <v>1.4515</v>
      </c>
      <c r="BH793" s="314">
        <v>1.407</v>
      </c>
      <c r="BI793" s="314">
        <v>1.4618</v>
      </c>
      <c r="BJ793" s="314">
        <v>1.4392</v>
      </c>
      <c r="BK793" s="314">
        <v>1.5042</v>
      </c>
    </row>
    <row r="794" spans="1:63" x14ac:dyDescent="0.25">
      <c r="A794" s="306" t="s">
        <v>780</v>
      </c>
      <c r="B794" s="314" t="s">
        <v>335</v>
      </c>
      <c r="C794" s="314">
        <v>1.6491</v>
      </c>
      <c r="D794" s="314">
        <v>1.2565999999999999</v>
      </c>
      <c r="E794" s="314">
        <v>1.3621000000000001</v>
      </c>
      <c r="F794" s="314">
        <v>1.3225</v>
      </c>
      <c r="G794" s="314">
        <v>1.4063000000000001</v>
      </c>
      <c r="H794" s="314">
        <v>1.5081</v>
      </c>
      <c r="I794" s="314">
        <v>1.4983</v>
      </c>
      <c r="J794" s="314">
        <v>1.4463999999999999</v>
      </c>
      <c r="K794" s="314">
        <v>1.3251999999999999</v>
      </c>
      <c r="L794" s="314">
        <v>1.3677999999999999</v>
      </c>
      <c r="M794" s="314">
        <v>1.4358</v>
      </c>
      <c r="N794" s="314">
        <v>1.5085999999999999</v>
      </c>
      <c r="O794" s="314">
        <v>1.3657999999999999</v>
      </c>
      <c r="P794" s="314">
        <v>1.2761</v>
      </c>
      <c r="Q794" s="314">
        <v>1.2756000000000001</v>
      </c>
      <c r="R794" s="314">
        <v>1.5373000000000001</v>
      </c>
      <c r="S794" s="314">
        <v>1.3778999999999999</v>
      </c>
      <c r="T794" s="314">
        <v>1.331</v>
      </c>
      <c r="U794" s="314">
        <v>1.3729</v>
      </c>
      <c r="V794" s="314">
        <v>1.3260000000000001</v>
      </c>
      <c r="W794" s="314">
        <v>1.4785999999999999</v>
      </c>
      <c r="X794" s="314">
        <v>1.4451000000000001</v>
      </c>
      <c r="Y794" s="314">
        <v>1.3516999999999999</v>
      </c>
      <c r="Z794" s="314">
        <v>1.3948</v>
      </c>
      <c r="AA794" s="314">
        <v>1.4279999999999999</v>
      </c>
      <c r="AB794" s="314">
        <v>1.4419999999999999</v>
      </c>
      <c r="AC794" s="314">
        <v>1.2748999999999999</v>
      </c>
      <c r="AD794" s="314">
        <v>1.2524</v>
      </c>
      <c r="AE794" s="314">
        <v>1.4097999999999999</v>
      </c>
      <c r="AF794" s="314">
        <v>1.1987000000000001</v>
      </c>
      <c r="AG794" s="314">
        <v>1.2753000000000001</v>
      </c>
      <c r="AH794" s="314">
        <v>1.4206000000000001</v>
      </c>
      <c r="AI794" s="314">
        <v>1.526</v>
      </c>
      <c r="AJ794" s="314">
        <v>1.2948999999999999</v>
      </c>
      <c r="AK794" s="314">
        <v>1.3577999999999999</v>
      </c>
      <c r="AL794" s="314">
        <v>1.4748000000000001</v>
      </c>
      <c r="AM794" s="314">
        <v>1.4567000000000001</v>
      </c>
      <c r="AN794" s="314">
        <v>1.3681000000000001</v>
      </c>
      <c r="AO794" s="314">
        <v>1.4088000000000001</v>
      </c>
      <c r="AP794" s="314">
        <v>1.4910000000000001</v>
      </c>
      <c r="AQ794" s="314">
        <v>1.3879999999999999</v>
      </c>
      <c r="AR794" s="314">
        <v>1.4155</v>
      </c>
      <c r="AS794" s="314">
        <v>1.1909000000000001</v>
      </c>
      <c r="AT794" s="314">
        <v>1.4699</v>
      </c>
      <c r="AU794" s="314">
        <v>1.4915</v>
      </c>
      <c r="AV794" s="314">
        <v>1.4618</v>
      </c>
      <c r="AW794" s="314">
        <v>1.4738</v>
      </c>
      <c r="AX794" s="314">
        <v>1.3139000000000001</v>
      </c>
      <c r="AY794" s="314">
        <v>1.4194</v>
      </c>
      <c r="AZ794" s="314">
        <v>1.3695999999999999</v>
      </c>
      <c r="BA794" s="314">
        <v>1.2723</v>
      </c>
      <c r="BB794" s="314">
        <v>1.1892</v>
      </c>
      <c r="BC794" s="314">
        <v>1.4839</v>
      </c>
      <c r="BD794" s="314">
        <v>1.5465</v>
      </c>
      <c r="BE794" s="314">
        <v>1.4951000000000001</v>
      </c>
      <c r="BF794" s="314">
        <v>1.4021999999999999</v>
      </c>
      <c r="BG794" s="314">
        <v>1.5130999999999999</v>
      </c>
      <c r="BH794" s="314">
        <v>1.4259999999999999</v>
      </c>
      <c r="BI794" s="314">
        <v>1.4948999999999999</v>
      </c>
      <c r="BJ794" s="314">
        <v>1.4604999999999999</v>
      </c>
      <c r="BK794" s="314">
        <v>1.5103</v>
      </c>
    </row>
    <row r="795" spans="1:63" x14ac:dyDescent="0.25">
      <c r="A795" s="306">
        <v>711100</v>
      </c>
      <c r="B795" s="314" t="s">
        <v>337</v>
      </c>
      <c r="C795" s="314">
        <v>1.6479999999999999</v>
      </c>
      <c r="D795" s="314">
        <v>1.2295</v>
      </c>
      <c r="E795" s="314">
        <v>1.2991999999999999</v>
      </c>
      <c r="F795" s="314">
        <v>1.2594000000000001</v>
      </c>
      <c r="G795" s="314">
        <v>1.4016</v>
      </c>
      <c r="H795" s="314">
        <v>1.5646</v>
      </c>
      <c r="I795" s="314">
        <v>1.4817</v>
      </c>
      <c r="J795" s="314">
        <v>1.4516</v>
      </c>
      <c r="K795" s="314">
        <v>1.3723000000000001</v>
      </c>
      <c r="L795" s="314">
        <v>1.3281000000000001</v>
      </c>
      <c r="M795" s="314">
        <v>1.4562999999999999</v>
      </c>
      <c r="N795" s="314">
        <v>1.5089999999999999</v>
      </c>
      <c r="O795" s="314">
        <v>1.4066000000000001</v>
      </c>
      <c r="P795" s="314">
        <v>1.2357</v>
      </c>
      <c r="Q795" s="314">
        <v>1.2468999999999999</v>
      </c>
      <c r="R795" s="314">
        <v>1.4849000000000001</v>
      </c>
      <c r="S795" s="314">
        <v>1.3198000000000001</v>
      </c>
      <c r="T795" s="314">
        <v>1.2949999999999999</v>
      </c>
      <c r="U795" s="314">
        <v>1.3143</v>
      </c>
      <c r="V795" s="314">
        <v>1.2985</v>
      </c>
      <c r="W795" s="314">
        <v>1.4500999999999999</v>
      </c>
      <c r="X795" s="314">
        <v>1.4177</v>
      </c>
      <c r="Y795" s="314">
        <v>1.3431</v>
      </c>
      <c r="Z795" s="314">
        <v>1.3797999999999999</v>
      </c>
      <c r="AA795" s="314">
        <v>1.3885000000000001</v>
      </c>
      <c r="AB795" s="314">
        <v>1.3984000000000001</v>
      </c>
      <c r="AC795" s="314">
        <v>1.236</v>
      </c>
      <c r="AD795" s="314">
        <v>1.2464</v>
      </c>
      <c r="AE795" s="314">
        <v>1.3678999999999999</v>
      </c>
      <c r="AF795" s="314">
        <v>1.1827000000000001</v>
      </c>
      <c r="AG795" s="314">
        <v>1.2619</v>
      </c>
      <c r="AH795" s="314">
        <v>1.4259999999999999</v>
      </c>
      <c r="AI795" s="314">
        <v>1.5230999999999999</v>
      </c>
      <c r="AJ795" s="314">
        <v>1.3018000000000001</v>
      </c>
      <c r="AK795" s="314">
        <v>1.4451000000000001</v>
      </c>
      <c r="AL795" s="314">
        <v>1.5361</v>
      </c>
      <c r="AM795" s="314">
        <v>1.4004000000000001</v>
      </c>
      <c r="AN795" s="314">
        <v>1.3058000000000001</v>
      </c>
      <c r="AO795" s="314">
        <v>1.3704000000000001</v>
      </c>
      <c r="AP795" s="314">
        <v>1.4332</v>
      </c>
      <c r="AQ795" s="314">
        <v>1.3433999999999999</v>
      </c>
      <c r="AR795" s="314">
        <v>1.3522000000000001</v>
      </c>
      <c r="AS795" s="314">
        <v>1.1751</v>
      </c>
      <c r="AT795" s="314">
        <v>1.4767999999999999</v>
      </c>
      <c r="AU795" s="314">
        <v>1.4536</v>
      </c>
      <c r="AV795" s="314">
        <v>1.4541999999999999</v>
      </c>
      <c r="AW795" s="314">
        <v>1.4351</v>
      </c>
      <c r="AX795" s="314">
        <v>1.3380000000000001</v>
      </c>
      <c r="AY795" s="314">
        <v>1.3754999999999999</v>
      </c>
      <c r="AZ795" s="314">
        <v>1.3304</v>
      </c>
      <c r="BA795" s="314">
        <v>1.2222999999999999</v>
      </c>
      <c r="BB795" s="314">
        <v>1.1826000000000001</v>
      </c>
      <c r="BC795" s="314">
        <v>1.4651000000000001</v>
      </c>
      <c r="BD795" s="314">
        <v>1.5863</v>
      </c>
      <c r="BE795" s="314">
        <v>1.4356</v>
      </c>
      <c r="BF795" s="314">
        <v>1.3512999999999999</v>
      </c>
      <c r="BG795" s="314">
        <v>1.4893000000000001</v>
      </c>
      <c r="BH795" s="314">
        <v>1.379</v>
      </c>
      <c r="BI795" s="314">
        <v>1.4336</v>
      </c>
      <c r="BJ795" s="314">
        <v>1.45</v>
      </c>
      <c r="BK795" s="314">
        <v>1.5640000000000001</v>
      </c>
    </row>
    <row r="796" spans="1:63" x14ac:dyDescent="0.25">
      <c r="A796" s="306">
        <v>711200</v>
      </c>
      <c r="B796" s="314" t="s">
        <v>781</v>
      </c>
      <c r="C796" s="314">
        <v>1.5820000000000001</v>
      </c>
      <c r="D796" s="314">
        <v>1.1911</v>
      </c>
      <c r="E796" s="314">
        <v>1.2454000000000001</v>
      </c>
      <c r="F796" s="314">
        <v>1.2345999999999999</v>
      </c>
      <c r="G796" s="314">
        <v>1.4113</v>
      </c>
      <c r="H796" s="314">
        <v>1.4983</v>
      </c>
      <c r="I796" s="314">
        <v>1.4961</v>
      </c>
      <c r="J796" s="314">
        <v>1.3591</v>
      </c>
      <c r="K796" s="314">
        <v>1.3372999999999999</v>
      </c>
      <c r="L796" s="314">
        <v>1.2766999999999999</v>
      </c>
      <c r="M796" s="314">
        <v>1.4420999999999999</v>
      </c>
      <c r="N796" s="314">
        <v>1.4666999999999999</v>
      </c>
      <c r="O796" s="314">
        <v>1.2766999999999999</v>
      </c>
      <c r="P796" s="314">
        <v>1.2074</v>
      </c>
      <c r="Q796" s="314">
        <v>1.2068000000000001</v>
      </c>
      <c r="R796" s="314">
        <v>1.4974000000000001</v>
      </c>
      <c r="S796" s="314">
        <v>1.3916999999999999</v>
      </c>
      <c r="T796" s="314">
        <v>1.2417</v>
      </c>
      <c r="U796" s="314">
        <v>1.3588</v>
      </c>
      <c r="V796" s="314">
        <v>1.3522000000000001</v>
      </c>
      <c r="W796" s="314">
        <v>1.4734</v>
      </c>
      <c r="X796" s="314">
        <v>1.4292</v>
      </c>
      <c r="Y796" s="314">
        <v>1.2826</v>
      </c>
      <c r="Z796" s="314">
        <v>1.4207000000000001</v>
      </c>
      <c r="AA796" s="314">
        <v>1.4478</v>
      </c>
      <c r="AB796" s="314">
        <v>1.4665999999999999</v>
      </c>
      <c r="AC796" s="314">
        <v>1.1816</v>
      </c>
      <c r="AD796" s="314">
        <v>1.1828000000000001</v>
      </c>
      <c r="AE796" s="314">
        <v>1.3986000000000001</v>
      </c>
      <c r="AF796" s="314">
        <v>1.1740999999999999</v>
      </c>
      <c r="AG796" s="314">
        <v>1.2398</v>
      </c>
      <c r="AH796" s="314">
        <v>1.3231999999999999</v>
      </c>
      <c r="AI796" s="314">
        <v>1.5119</v>
      </c>
      <c r="AJ796" s="314">
        <v>1.2250000000000001</v>
      </c>
      <c r="AK796" s="314">
        <v>1.3055000000000001</v>
      </c>
      <c r="AL796" s="314">
        <v>1.4495</v>
      </c>
      <c r="AM796" s="314">
        <v>1.4591000000000001</v>
      </c>
      <c r="AN796" s="314">
        <v>1.2887999999999999</v>
      </c>
      <c r="AO796" s="314">
        <v>1.3855</v>
      </c>
      <c r="AP796" s="314">
        <v>1.4724999999999999</v>
      </c>
      <c r="AQ796" s="314">
        <v>1.3032999999999999</v>
      </c>
      <c r="AR796" s="314">
        <v>1.2589999999999999</v>
      </c>
      <c r="AS796" s="314">
        <v>1.1496999999999999</v>
      </c>
      <c r="AT796" s="314">
        <v>1.4409000000000001</v>
      </c>
      <c r="AU796" s="314">
        <v>1.4353</v>
      </c>
      <c r="AV796" s="314">
        <v>1.4663999999999999</v>
      </c>
      <c r="AW796" s="314">
        <v>1.4034</v>
      </c>
      <c r="AX796" s="314">
        <v>1.2165999999999999</v>
      </c>
      <c r="AY796" s="314">
        <v>1.4177999999999999</v>
      </c>
      <c r="AZ796" s="314">
        <v>1.4069</v>
      </c>
      <c r="BA796" s="314">
        <v>1.1781999999999999</v>
      </c>
      <c r="BB796" s="314">
        <v>1.1335</v>
      </c>
      <c r="BC796" s="314">
        <v>1.4484999999999999</v>
      </c>
      <c r="BD796" s="314">
        <v>1.5209999999999999</v>
      </c>
      <c r="BE796" s="314">
        <v>1.4837</v>
      </c>
      <c r="BF796" s="314">
        <v>1.4098999999999999</v>
      </c>
      <c r="BG796" s="314">
        <v>1.4925999999999999</v>
      </c>
      <c r="BH796" s="314">
        <v>1.3657999999999999</v>
      </c>
      <c r="BI796" s="314">
        <v>1.4234</v>
      </c>
      <c r="BJ796" s="314">
        <v>1.4575</v>
      </c>
      <c r="BK796" s="314">
        <v>1.4963</v>
      </c>
    </row>
    <row r="797" spans="1:63" x14ac:dyDescent="0.25">
      <c r="A797" s="306">
        <v>711500</v>
      </c>
      <c r="B797" s="314" t="s">
        <v>339</v>
      </c>
      <c r="C797" s="314">
        <v>1.4672000000000001</v>
      </c>
      <c r="D797" s="314">
        <v>1.1402000000000001</v>
      </c>
      <c r="E797" s="314">
        <v>1.1793</v>
      </c>
      <c r="F797" s="314">
        <v>1.1639999999999999</v>
      </c>
      <c r="G797" s="314">
        <v>1.2810999999999999</v>
      </c>
      <c r="H797" s="314">
        <v>1.4193</v>
      </c>
      <c r="I797" s="314">
        <v>1.3445</v>
      </c>
      <c r="J797" s="314">
        <v>1.2963</v>
      </c>
      <c r="K797" s="314">
        <v>1.3251999999999999</v>
      </c>
      <c r="L797" s="314">
        <v>1.1995</v>
      </c>
      <c r="M797" s="314">
        <v>1.3617999999999999</v>
      </c>
      <c r="N797" s="314">
        <v>1.4003000000000001</v>
      </c>
      <c r="O797" s="314">
        <v>1.2848999999999999</v>
      </c>
      <c r="P797" s="314">
        <v>1.1364000000000001</v>
      </c>
      <c r="Q797" s="314">
        <v>1.1409</v>
      </c>
      <c r="R797" s="314">
        <v>1.3227</v>
      </c>
      <c r="S797" s="314">
        <v>1.24</v>
      </c>
      <c r="T797" s="314">
        <v>1.1712</v>
      </c>
      <c r="U797" s="314">
        <v>1.2229000000000001</v>
      </c>
      <c r="V797" s="314">
        <v>1.2405999999999999</v>
      </c>
      <c r="W797" s="314">
        <v>1.3491</v>
      </c>
      <c r="X797" s="314">
        <v>1.3118000000000001</v>
      </c>
      <c r="Y797" s="314">
        <v>1.2095</v>
      </c>
      <c r="Z797" s="314">
        <v>1.3002</v>
      </c>
      <c r="AA797" s="314">
        <v>1.276</v>
      </c>
      <c r="AB797" s="314">
        <v>1.3077000000000001</v>
      </c>
      <c r="AC797" s="314">
        <v>1.1413</v>
      </c>
      <c r="AD797" s="314">
        <v>1.1311</v>
      </c>
      <c r="AE797" s="314">
        <v>1.2467999999999999</v>
      </c>
      <c r="AF797" s="314">
        <v>1.1101000000000001</v>
      </c>
      <c r="AG797" s="314">
        <v>1.1694</v>
      </c>
      <c r="AH797" s="314">
        <v>1.2321</v>
      </c>
      <c r="AI797" s="314">
        <v>1.4168000000000001</v>
      </c>
      <c r="AJ797" s="314">
        <v>1.1879</v>
      </c>
      <c r="AK797" s="314">
        <v>1.3172999999999999</v>
      </c>
      <c r="AL797" s="314">
        <v>1.4045000000000001</v>
      </c>
      <c r="AM797" s="314">
        <v>1.357</v>
      </c>
      <c r="AN797" s="314">
        <v>1.1854</v>
      </c>
      <c r="AO797" s="314">
        <v>1.2477</v>
      </c>
      <c r="AP797" s="314">
        <v>1.3267</v>
      </c>
      <c r="AQ797" s="314">
        <v>1.2101999999999999</v>
      </c>
      <c r="AR797" s="314">
        <v>1.2089000000000001</v>
      </c>
      <c r="AS797" s="314">
        <v>1.1213</v>
      </c>
      <c r="AT797" s="314">
        <v>1.3701000000000001</v>
      </c>
      <c r="AU797" s="314">
        <v>1.3714</v>
      </c>
      <c r="AV797" s="314">
        <v>1.3546</v>
      </c>
      <c r="AW797" s="314">
        <v>1.3008999999999999</v>
      </c>
      <c r="AX797" s="314">
        <v>1.1937</v>
      </c>
      <c r="AY797" s="314">
        <v>1.2741</v>
      </c>
      <c r="AZ797" s="314">
        <v>1.2338</v>
      </c>
      <c r="BA797" s="314">
        <v>1.1314</v>
      </c>
      <c r="BB797" s="314">
        <v>1.0834999999999999</v>
      </c>
      <c r="BC797" s="314">
        <v>1.3263</v>
      </c>
      <c r="BD797" s="314">
        <v>1.4363999999999999</v>
      </c>
      <c r="BE797" s="314">
        <v>1.3346</v>
      </c>
      <c r="BF797" s="314">
        <v>1.2461</v>
      </c>
      <c r="BG797" s="314">
        <v>1.3752</v>
      </c>
      <c r="BH797" s="314">
        <v>1.2887</v>
      </c>
      <c r="BI797" s="314">
        <v>1.3409</v>
      </c>
      <c r="BJ797" s="314">
        <v>1.3164</v>
      </c>
      <c r="BK797" s="314">
        <v>1.4145000000000001</v>
      </c>
    </row>
    <row r="798" spans="1:63" x14ac:dyDescent="0.25">
      <c r="A798" s="306" t="s">
        <v>782</v>
      </c>
      <c r="B798" s="314" t="s">
        <v>338</v>
      </c>
      <c r="C798" s="314">
        <v>1.8573999999999999</v>
      </c>
      <c r="D798" s="314">
        <v>1.3492999999999999</v>
      </c>
      <c r="E798" s="314">
        <v>1.3696999999999999</v>
      </c>
      <c r="F798" s="314">
        <v>1.3058000000000001</v>
      </c>
      <c r="G798" s="314">
        <v>1.5346</v>
      </c>
      <c r="H798" s="314">
        <v>1.746</v>
      </c>
      <c r="I798" s="314">
        <v>1.6457999999999999</v>
      </c>
      <c r="J798" s="314">
        <v>1.6284000000000001</v>
      </c>
      <c r="K798" s="314">
        <v>1.4988999999999999</v>
      </c>
      <c r="L798" s="314">
        <v>1.4661999999999999</v>
      </c>
      <c r="M798" s="314">
        <v>1.6082000000000001</v>
      </c>
      <c r="N798" s="314">
        <v>1.6797</v>
      </c>
      <c r="O798" s="314">
        <v>1.5441</v>
      </c>
      <c r="P798" s="314">
        <v>1.3125</v>
      </c>
      <c r="Q798" s="314">
        <v>1.3026</v>
      </c>
      <c r="R798" s="314">
        <v>1.6607000000000001</v>
      </c>
      <c r="S798" s="314">
        <v>1.4301999999999999</v>
      </c>
      <c r="T798" s="314">
        <v>1.375</v>
      </c>
      <c r="U798" s="314">
        <v>1.4124000000000001</v>
      </c>
      <c r="V798" s="314">
        <v>1.4109</v>
      </c>
      <c r="W798" s="314">
        <v>1.6476999999999999</v>
      </c>
      <c r="X798" s="314">
        <v>1.5893999999999999</v>
      </c>
      <c r="Y798" s="314">
        <v>1.425</v>
      </c>
      <c r="Z798" s="314">
        <v>1.4944999999999999</v>
      </c>
      <c r="AA798" s="314">
        <v>1.5593999999999999</v>
      </c>
      <c r="AB798" s="314">
        <v>1.5598000000000001</v>
      </c>
      <c r="AC798" s="314">
        <v>1.2837000000000001</v>
      </c>
      <c r="AD798" s="314">
        <v>1.3502000000000001</v>
      </c>
      <c r="AE798" s="314">
        <v>1.4246000000000001</v>
      </c>
      <c r="AF798" s="314">
        <v>1.2524999999999999</v>
      </c>
      <c r="AG798" s="314">
        <v>1.3433999999999999</v>
      </c>
      <c r="AH798" s="314">
        <v>1.5177</v>
      </c>
      <c r="AI798" s="314">
        <v>1.7364999999999999</v>
      </c>
      <c r="AJ798" s="314">
        <v>1.3652</v>
      </c>
      <c r="AK798" s="314">
        <v>1.5763</v>
      </c>
      <c r="AL798" s="314">
        <v>1.7299</v>
      </c>
      <c r="AM798" s="314">
        <v>1.5525</v>
      </c>
      <c r="AN798" s="314">
        <v>1.3903000000000001</v>
      </c>
      <c r="AO798" s="314">
        <v>1.5098</v>
      </c>
      <c r="AP798" s="314">
        <v>1.6076999999999999</v>
      </c>
      <c r="AQ798" s="314">
        <v>1.5034000000000001</v>
      </c>
      <c r="AR798" s="314">
        <v>1.4185000000000001</v>
      </c>
      <c r="AS798" s="314">
        <v>1.2589999999999999</v>
      </c>
      <c r="AT798" s="314">
        <v>1.6059000000000001</v>
      </c>
      <c r="AU798" s="314">
        <v>1.6266</v>
      </c>
      <c r="AV798" s="314">
        <v>1.6247</v>
      </c>
      <c r="AW798" s="314">
        <v>1.5538000000000001</v>
      </c>
      <c r="AX798" s="314">
        <v>1.4448000000000001</v>
      </c>
      <c r="AY798" s="314">
        <v>1.5407999999999999</v>
      </c>
      <c r="AZ798" s="314">
        <v>1.4624999999999999</v>
      </c>
      <c r="BA798" s="314">
        <v>1.3028</v>
      </c>
      <c r="BB798" s="314">
        <v>1.2456</v>
      </c>
      <c r="BC798" s="314">
        <v>1.6454</v>
      </c>
      <c r="BD798" s="314">
        <v>1.7864</v>
      </c>
      <c r="BE798" s="314">
        <v>1.5945</v>
      </c>
      <c r="BF798" s="314">
        <v>1.4856</v>
      </c>
      <c r="BG798" s="314">
        <v>1.6480999999999999</v>
      </c>
      <c r="BH798" s="314">
        <v>1.4899</v>
      </c>
      <c r="BI798" s="314">
        <v>1.5911999999999999</v>
      </c>
      <c r="BJ798" s="314">
        <v>1.6046</v>
      </c>
      <c r="BK798" s="314">
        <v>1.7408999999999999</v>
      </c>
    </row>
    <row r="799" spans="1:63" x14ac:dyDescent="0.25">
      <c r="A799" s="306">
        <v>712000</v>
      </c>
      <c r="B799" s="314" t="s">
        <v>340</v>
      </c>
      <c r="C799" s="314">
        <v>1.5881000000000001</v>
      </c>
      <c r="D799" s="314">
        <v>1.3088</v>
      </c>
      <c r="E799" s="314">
        <v>1.3522000000000001</v>
      </c>
      <c r="F799" s="314">
        <v>1.2925</v>
      </c>
      <c r="G799" s="314">
        <v>1.4363999999999999</v>
      </c>
      <c r="H799" s="314">
        <v>1.4953000000000001</v>
      </c>
      <c r="I799" s="314">
        <v>1.4967999999999999</v>
      </c>
      <c r="J799" s="314">
        <v>1.4319999999999999</v>
      </c>
      <c r="K799" s="314">
        <v>1.3714999999999999</v>
      </c>
      <c r="L799" s="314">
        <v>1.3975</v>
      </c>
      <c r="M799" s="314">
        <v>1.4579</v>
      </c>
      <c r="N799" s="314">
        <v>1.5116000000000001</v>
      </c>
      <c r="O799" s="314">
        <v>1.399</v>
      </c>
      <c r="P799" s="314">
        <v>1.2645999999999999</v>
      </c>
      <c r="Q799" s="314">
        <v>1.2635000000000001</v>
      </c>
      <c r="R799" s="314">
        <v>1.5181</v>
      </c>
      <c r="S799" s="314">
        <v>1.3581000000000001</v>
      </c>
      <c r="T799" s="314">
        <v>1.3288</v>
      </c>
      <c r="U799" s="314">
        <v>1.3562000000000001</v>
      </c>
      <c r="V799" s="314">
        <v>1.3197000000000001</v>
      </c>
      <c r="W799" s="314">
        <v>1.4785999999999999</v>
      </c>
      <c r="X799" s="314">
        <v>1.4816</v>
      </c>
      <c r="Y799" s="314">
        <v>1.3612</v>
      </c>
      <c r="Z799" s="314">
        <v>1.3867</v>
      </c>
      <c r="AA799" s="314">
        <v>1.4332</v>
      </c>
      <c r="AB799" s="314">
        <v>1.4262999999999999</v>
      </c>
      <c r="AC799" s="314">
        <v>1.2657</v>
      </c>
      <c r="AD799" s="314">
        <v>1.2847</v>
      </c>
      <c r="AE799" s="314">
        <v>1.3826000000000001</v>
      </c>
      <c r="AF799" s="314">
        <v>1.2133</v>
      </c>
      <c r="AG799" s="314">
        <v>1.2823</v>
      </c>
      <c r="AH799" s="314">
        <v>1.4340999999999999</v>
      </c>
      <c r="AI799" s="314">
        <v>1.5063</v>
      </c>
      <c r="AJ799" s="314">
        <v>1.3028</v>
      </c>
      <c r="AK799" s="314">
        <v>1.397</v>
      </c>
      <c r="AL799" s="314">
        <v>1.4665999999999999</v>
      </c>
      <c r="AM799" s="314">
        <v>1.4173</v>
      </c>
      <c r="AN799" s="314">
        <v>1.3429</v>
      </c>
      <c r="AO799" s="314">
        <v>1.4137999999999999</v>
      </c>
      <c r="AP799" s="314">
        <v>1.4631000000000001</v>
      </c>
      <c r="AQ799" s="314">
        <v>1.3808</v>
      </c>
      <c r="AR799" s="314">
        <v>1.4175</v>
      </c>
      <c r="AS799" s="314">
        <v>1.1949000000000001</v>
      </c>
      <c r="AT799" s="314">
        <v>1.4379</v>
      </c>
      <c r="AU799" s="314">
        <v>1.5035000000000001</v>
      </c>
      <c r="AV799" s="314">
        <v>1.4677</v>
      </c>
      <c r="AW799" s="314">
        <v>1.48</v>
      </c>
      <c r="AX799" s="314">
        <v>1.339</v>
      </c>
      <c r="AY799" s="314">
        <v>1.4343999999999999</v>
      </c>
      <c r="AZ799" s="314">
        <v>1.3456999999999999</v>
      </c>
      <c r="BA799" s="314">
        <v>1.2801</v>
      </c>
      <c r="BB799" s="314">
        <v>1.2190000000000001</v>
      </c>
      <c r="BC799" s="314">
        <v>1.4742999999999999</v>
      </c>
      <c r="BD799" s="314">
        <v>1.5253000000000001</v>
      </c>
      <c r="BE799" s="314">
        <v>1.4565999999999999</v>
      </c>
      <c r="BF799" s="314">
        <v>1.3812</v>
      </c>
      <c r="BG799" s="314">
        <v>1.5182</v>
      </c>
      <c r="BH799" s="314">
        <v>1.3934</v>
      </c>
      <c r="BI799" s="314">
        <v>1.4902</v>
      </c>
      <c r="BJ799" s="314">
        <v>1.4717</v>
      </c>
      <c r="BK799" s="314">
        <v>1.4991000000000001</v>
      </c>
    </row>
    <row r="800" spans="1:63" x14ac:dyDescent="0.25">
      <c r="A800" s="306">
        <v>713940</v>
      </c>
      <c r="B800" s="314" t="s">
        <v>341</v>
      </c>
      <c r="C800" s="314">
        <v>1.6658999999999999</v>
      </c>
      <c r="D800" s="314">
        <v>1.3239000000000001</v>
      </c>
      <c r="E800" s="314">
        <v>1.3956999999999999</v>
      </c>
      <c r="F800" s="314">
        <v>1.3471</v>
      </c>
      <c r="G800" s="314">
        <v>1.4752000000000001</v>
      </c>
      <c r="H800" s="314">
        <v>1.5384</v>
      </c>
      <c r="I800" s="314">
        <v>1.5595000000000001</v>
      </c>
      <c r="J800" s="314">
        <v>1.4850000000000001</v>
      </c>
      <c r="K800" s="314">
        <v>1.3416999999999999</v>
      </c>
      <c r="L800" s="314">
        <v>1.4498</v>
      </c>
      <c r="M800" s="314">
        <v>1.4921</v>
      </c>
      <c r="N800" s="314">
        <v>1.5596000000000001</v>
      </c>
      <c r="O800" s="314">
        <v>1.4292</v>
      </c>
      <c r="P800" s="314">
        <v>1.3079000000000001</v>
      </c>
      <c r="Q800" s="314">
        <v>1.3033999999999999</v>
      </c>
      <c r="R800" s="314">
        <v>1.5801000000000001</v>
      </c>
      <c r="S800" s="314">
        <v>1.4129</v>
      </c>
      <c r="T800" s="314">
        <v>1.3601000000000001</v>
      </c>
      <c r="U800" s="314">
        <v>1.4198</v>
      </c>
      <c r="V800" s="314">
        <v>1.3948</v>
      </c>
      <c r="W800" s="314">
        <v>1.5116000000000001</v>
      </c>
      <c r="X800" s="314">
        <v>1.4993000000000001</v>
      </c>
      <c r="Y800" s="314">
        <v>1.3884000000000001</v>
      </c>
      <c r="Z800" s="314">
        <v>1.4486000000000001</v>
      </c>
      <c r="AA800" s="314">
        <v>1.4968999999999999</v>
      </c>
      <c r="AB800" s="314">
        <v>1.5023</v>
      </c>
      <c r="AC800" s="314">
        <v>1.3212999999999999</v>
      </c>
      <c r="AD800" s="314">
        <v>1.3187</v>
      </c>
      <c r="AE800" s="314">
        <v>1.4235</v>
      </c>
      <c r="AF800" s="314">
        <v>1.2621</v>
      </c>
      <c r="AG800" s="314">
        <v>1.3321000000000001</v>
      </c>
      <c r="AH800" s="314">
        <v>1.4549000000000001</v>
      </c>
      <c r="AI800" s="314">
        <v>1.552</v>
      </c>
      <c r="AJ800" s="314">
        <v>1.3305</v>
      </c>
      <c r="AK800" s="314">
        <v>1.4431</v>
      </c>
      <c r="AL800" s="314">
        <v>1.5144</v>
      </c>
      <c r="AM800" s="314">
        <v>1.4899</v>
      </c>
      <c r="AN800" s="314">
        <v>1.3996</v>
      </c>
      <c r="AO800" s="314">
        <v>1.4732000000000001</v>
      </c>
      <c r="AP800" s="314">
        <v>1.5248999999999999</v>
      </c>
      <c r="AQ800" s="314">
        <v>1.4332</v>
      </c>
      <c r="AR800" s="314">
        <v>1.4474</v>
      </c>
      <c r="AS800" s="314">
        <v>1.2484999999999999</v>
      </c>
      <c r="AT800" s="314">
        <v>1.4972000000000001</v>
      </c>
      <c r="AU800" s="314">
        <v>1.5525</v>
      </c>
      <c r="AV800" s="314">
        <v>1.5334000000000001</v>
      </c>
      <c r="AW800" s="314">
        <v>1.5202</v>
      </c>
      <c r="AX800" s="314">
        <v>1.3385</v>
      </c>
      <c r="AY800" s="314">
        <v>1.4729000000000001</v>
      </c>
      <c r="AZ800" s="314">
        <v>1.4125000000000001</v>
      </c>
      <c r="BA800" s="314">
        <v>1.3133999999999999</v>
      </c>
      <c r="BB800" s="314">
        <v>1.2514000000000001</v>
      </c>
      <c r="BC800" s="314">
        <v>1.5169999999999999</v>
      </c>
      <c r="BD800" s="314">
        <v>1.5752999999999999</v>
      </c>
      <c r="BE800" s="314">
        <v>1.5228999999999999</v>
      </c>
      <c r="BF800" s="314">
        <v>1.4550000000000001</v>
      </c>
      <c r="BG800" s="314">
        <v>1.5601</v>
      </c>
      <c r="BH800" s="314">
        <v>1.4573</v>
      </c>
      <c r="BI800" s="314">
        <v>1.5465</v>
      </c>
      <c r="BJ800" s="314">
        <v>1.5324</v>
      </c>
      <c r="BK800" s="314">
        <v>1.5452999999999999</v>
      </c>
    </row>
    <row r="801" spans="1:63" x14ac:dyDescent="0.25">
      <c r="A801" s="306">
        <v>713950</v>
      </c>
      <c r="B801" s="314" t="s">
        <v>342</v>
      </c>
      <c r="C801" s="314">
        <v>1.6062000000000001</v>
      </c>
      <c r="D801" s="314">
        <v>1.2518</v>
      </c>
      <c r="E801" s="314">
        <v>1.3404</v>
      </c>
      <c r="F801" s="314">
        <v>1.3105</v>
      </c>
      <c r="G801" s="314">
        <v>1.3797999999999999</v>
      </c>
      <c r="H801" s="314">
        <v>1.4663999999999999</v>
      </c>
      <c r="I801" s="314">
        <v>1.4894000000000001</v>
      </c>
      <c r="J801" s="314">
        <v>1.3923000000000001</v>
      </c>
      <c r="K801" s="314">
        <v>1.2329000000000001</v>
      </c>
      <c r="L801" s="314">
        <v>1.3393999999999999</v>
      </c>
      <c r="M801" s="314">
        <v>1.3992</v>
      </c>
      <c r="N801" s="314">
        <v>1.4904999999999999</v>
      </c>
      <c r="O801" s="314">
        <v>1.3653999999999999</v>
      </c>
      <c r="P801" s="314">
        <v>1.3186</v>
      </c>
      <c r="Q801" s="314">
        <v>1.2784</v>
      </c>
      <c r="R801" s="314">
        <v>1.5098</v>
      </c>
      <c r="S801" s="314">
        <v>1.3974</v>
      </c>
      <c r="T801" s="314">
        <v>1.3524</v>
      </c>
      <c r="U801" s="314">
        <v>1.4035</v>
      </c>
      <c r="V801" s="314">
        <v>1.3144</v>
      </c>
      <c r="W801" s="314">
        <v>1.4413</v>
      </c>
      <c r="X801" s="314">
        <v>1.4036999999999999</v>
      </c>
      <c r="Y801" s="314">
        <v>1.3517999999999999</v>
      </c>
      <c r="Z801" s="314">
        <v>1.3808</v>
      </c>
      <c r="AA801" s="314">
        <v>1.4538</v>
      </c>
      <c r="AB801" s="314">
        <v>1.4633</v>
      </c>
      <c r="AC801" s="314">
        <v>1.2693000000000001</v>
      </c>
      <c r="AD801" s="314">
        <v>1.2618</v>
      </c>
      <c r="AE801" s="314">
        <v>1.3758999999999999</v>
      </c>
      <c r="AF801" s="314">
        <v>1.2757000000000001</v>
      </c>
      <c r="AG801" s="314">
        <v>1.3234999999999999</v>
      </c>
      <c r="AH801" s="314">
        <v>1.3869</v>
      </c>
      <c r="AI801" s="314">
        <v>1.4635</v>
      </c>
      <c r="AJ801" s="314">
        <v>1.3051999999999999</v>
      </c>
      <c r="AK801" s="314">
        <v>1.333</v>
      </c>
      <c r="AL801" s="314">
        <v>1.4247000000000001</v>
      </c>
      <c r="AM801" s="314">
        <v>1.4527000000000001</v>
      </c>
      <c r="AN801" s="314">
        <v>1.3644000000000001</v>
      </c>
      <c r="AO801" s="314">
        <v>1.4321999999999999</v>
      </c>
      <c r="AP801" s="314">
        <v>1.4676</v>
      </c>
      <c r="AQ801" s="314">
        <v>1.3609</v>
      </c>
      <c r="AR801" s="314">
        <v>1.3426</v>
      </c>
      <c r="AS801" s="314">
        <v>1.2175</v>
      </c>
      <c r="AT801" s="314">
        <v>1.4205000000000001</v>
      </c>
      <c r="AU801" s="314">
        <v>1.4466000000000001</v>
      </c>
      <c r="AV801" s="314">
        <v>1.4531000000000001</v>
      </c>
      <c r="AW801" s="314">
        <v>1.4387000000000001</v>
      </c>
      <c r="AX801" s="314">
        <v>1.3182</v>
      </c>
      <c r="AY801" s="314">
        <v>1.4033</v>
      </c>
      <c r="AZ801" s="314">
        <v>1.4142999999999999</v>
      </c>
      <c r="BA801" s="314">
        <v>1.2575000000000001</v>
      </c>
      <c r="BB801" s="314">
        <v>1.2075</v>
      </c>
      <c r="BC801" s="314">
        <v>1.4438</v>
      </c>
      <c r="BD801" s="314">
        <v>1.4923</v>
      </c>
      <c r="BE801" s="314">
        <v>1.4928999999999999</v>
      </c>
      <c r="BF801" s="314">
        <v>1.4416</v>
      </c>
      <c r="BG801" s="314">
        <v>1.474</v>
      </c>
      <c r="BH801" s="314">
        <v>1.4188000000000001</v>
      </c>
      <c r="BI801" s="314">
        <v>1.4439</v>
      </c>
      <c r="BJ801" s="314">
        <v>1.4509000000000001</v>
      </c>
      <c r="BK801" s="314">
        <v>1.4753000000000001</v>
      </c>
    </row>
    <row r="802" spans="1:63" x14ac:dyDescent="0.25">
      <c r="A802" s="306" t="s">
        <v>783</v>
      </c>
      <c r="B802" s="314" t="s">
        <v>343</v>
      </c>
      <c r="C802" s="314">
        <v>1.4722999999999999</v>
      </c>
      <c r="D802" s="314">
        <v>1.1845000000000001</v>
      </c>
      <c r="E802" s="314">
        <v>1.2551000000000001</v>
      </c>
      <c r="F802" s="314">
        <v>1.2316</v>
      </c>
      <c r="G802" s="314">
        <v>1.2874000000000001</v>
      </c>
      <c r="H802" s="314">
        <v>1.3724000000000001</v>
      </c>
      <c r="I802" s="314">
        <v>1.3793</v>
      </c>
      <c r="J802" s="314">
        <v>1.3163</v>
      </c>
      <c r="K802" s="314">
        <v>1.2231000000000001</v>
      </c>
      <c r="L802" s="314">
        <v>1.2716000000000001</v>
      </c>
      <c r="M802" s="314">
        <v>1.3176000000000001</v>
      </c>
      <c r="N802" s="314">
        <v>1.3761000000000001</v>
      </c>
      <c r="O802" s="314">
        <v>1.2675000000000001</v>
      </c>
      <c r="P802" s="314">
        <v>1.2234</v>
      </c>
      <c r="Q802" s="314">
        <v>1.2082999999999999</v>
      </c>
      <c r="R802" s="314">
        <v>1.3916999999999999</v>
      </c>
      <c r="S802" s="314">
        <v>1.2737000000000001</v>
      </c>
      <c r="T802" s="314">
        <v>1.2465999999999999</v>
      </c>
      <c r="U802" s="314">
        <v>1.2883</v>
      </c>
      <c r="V802" s="314">
        <v>1.2484999999999999</v>
      </c>
      <c r="W802" s="314">
        <v>1.3499000000000001</v>
      </c>
      <c r="X802" s="314">
        <v>1.3185</v>
      </c>
      <c r="Y802" s="314">
        <v>1.2715000000000001</v>
      </c>
      <c r="Z802" s="314">
        <v>1.3063</v>
      </c>
      <c r="AA802" s="314">
        <v>1.3365</v>
      </c>
      <c r="AB802" s="314">
        <v>1.3536999999999999</v>
      </c>
      <c r="AC802" s="314">
        <v>1.2038</v>
      </c>
      <c r="AD802" s="314">
        <v>1.1982999999999999</v>
      </c>
      <c r="AE802" s="314">
        <v>1.2937000000000001</v>
      </c>
      <c r="AF802" s="314">
        <v>1.1805000000000001</v>
      </c>
      <c r="AG802" s="314">
        <v>1.2401</v>
      </c>
      <c r="AH802" s="314">
        <v>1.2997000000000001</v>
      </c>
      <c r="AI802" s="314">
        <v>1.3707</v>
      </c>
      <c r="AJ802" s="314">
        <v>1.2141999999999999</v>
      </c>
      <c r="AK802" s="314">
        <v>1.2699</v>
      </c>
      <c r="AL802" s="314">
        <v>1.3421000000000001</v>
      </c>
      <c r="AM802" s="314">
        <v>1.3351</v>
      </c>
      <c r="AN802" s="314">
        <v>1.2726</v>
      </c>
      <c r="AO802" s="314">
        <v>1.3129</v>
      </c>
      <c r="AP802" s="314">
        <v>1.3648</v>
      </c>
      <c r="AQ802" s="314">
        <v>1.2827</v>
      </c>
      <c r="AR802" s="314">
        <v>1.2666999999999999</v>
      </c>
      <c r="AS802" s="314">
        <v>1.1642999999999999</v>
      </c>
      <c r="AT802" s="314">
        <v>1.3214999999999999</v>
      </c>
      <c r="AU802" s="314">
        <v>1.3549</v>
      </c>
      <c r="AV802" s="314">
        <v>1.3504</v>
      </c>
      <c r="AW802" s="314">
        <v>1.3459000000000001</v>
      </c>
      <c r="AX802" s="314">
        <v>1.2356</v>
      </c>
      <c r="AY802" s="314">
        <v>1.3021</v>
      </c>
      <c r="AZ802" s="314">
        <v>1.298</v>
      </c>
      <c r="BA802" s="314">
        <v>1.1932</v>
      </c>
      <c r="BB802" s="314">
        <v>1.151</v>
      </c>
      <c r="BC802" s="314">
        <v>1.3562000000000001</v>
      </c>
      <c r="BD802" s="314">
        <v>1.3925000000000001</v>
      </c>
      <c r="BE802" s="314">
        <v>1.3709</v>
      </c>
      <c r="BF802" s="314">
        <v>1.3231999999999999</v>
      </c>
      <c r="BG802" s="314">
        <v>1.3784000000000001</v>
      </c>
      <c r="BH802" s="314">
        <v>1.3064</v>
      </c>
      <c r="BI802" s="314">
        <v>1.3479000000000001</v>
      </c>
      <c r="BJ802" s="314">
        <v>1.3424</v>
      </c>
      <c r="BK802" s="314">
        <v>1.375</v>
      </c>
    </row>
    <row r="803" spans="1:63" x14ac:dyDescent="0.25">
      <c r="A803" s="306" t="s">
        <v>784</v>
      </c>
      <c r="B803" s="314" t="s">
        <v>344</v>
      </c>
      <c r="C803" s="314">
        <v>1.5814999999999999</v>
      </c>
      <c r="D803" s="314">
        <v>1.2597</v>
      </c>
      <c r="E803" s="314">
        <v>1.3560000000000001</v>
      </c>
      <c r="F803" s="314">
        <v>1.3026</v>
      </c>
      <c r="G803" s="314">
        <v>1.3827</v>
      </c>
      <c r="H803" s="314">
        <v>1.4519</v>
      </c>
      <c r="I803" s="314">
        <v>1.4581</v>
      </c>
      <c r="J803" s="314">
        <v>1.3976</v>
      </c>
      <c r="K803" s="314">
        <v>1.2658</v>
      </c>
      <c r="L803" s="314">
        <v>1.3648</v>
      </c>
      <c r="M803" s="314">
        <v>1.4078999999999999</v>
      </c>
      <c r="N803" s="314">
        <v>1.4734</v>
      </c>
      <c r="O803" s="314">
        <v>1.3491</v>
      </c>
      <c r="P803" s="314">
        <v>1.2643</v>
      </c>
      <c r="Q803" s="314">
        <v>1.2627999999999999</v>
      </c>
      <c r="R803" s="314">
        <v>1.4810000000000001</v>
      </c>
      <c r="S803" s="314">
        <v>1.3568</v>
      </c>
      <c r="T803" s="314">
        <v>1.3089999999999999</v>
      </c>
      <c r="U803" s="314">
        <v>1.3663000000000001</v>
      </c>
      <c r="V803" s="314">
        <v>1.3293999999999999</v>
      </c>
      <c r="W803" s="314">
        <v>1.4282999999999999</v>
      </c>
      <c r="X803" s="314">
        <v>1.405</v>
      </c>
      <c r="Y803" s="314">
        <v>1.3375999999999999</v>
      </c>
      <c r="Z803" s="314">
        <v>1.38</v>
      </c>
      <c r="AA803" s="314">
        <v>1.4101999999999999</v>
      </c>
      <c r="AB803" s="314">
        <v>1.4240999999999999</v>
      </c>
      <c r="AC803" s="314">
        <v>1.2826</v>
      </c>
      <c r="AD803" s="314">
        <v>1.2626999999999999</v>
      </c>
      <c r="AE803" s="314">
        <v>1.3718999999999999</v>
      </c>
      <c r="AF803" s="314">
        <v>1.2256</v>
      </c>
      <c r="AG803" s="314">
        <v>1.2802</v>
      </c>
      <c r="AH803" s="314">
        <v>1.3858999999999999</v>
      </c>
      <c r="AI803" s="314">
        <v>1.4612000000000001</v>
      </c>
      <c r="AJ803" s="314">
        <v>1.2791999999999999</v>
      </c>
      <c r="AK803" s="314">
        <v>1.3547</v>
      </c>
      <c r="AL803" s="314">
        <v>1.4211</v>
      </c>
      <c r="AM803" s="314">
        <v>1.4238999999999999</v>
      </c>
      <c r="AN803" s="314">
        <v>1.3363</v>
      </c>
      <c r="AO803" s="314">
        <v>1.4015</v>
      </c>
      <c r="AP803" s="314">
        <v>1.4509000000000001</v>
      </c>
      <c r="AQ803" s="314">
        <v>1.365</v>
      </c>
      <c r="AR803" s="314">
        <v>1.3942000000000001</v>
      </c>
      <c r="AS803" s="314">
        <v>1.2029000000000001</v>
      </c>
      <c r="AT803" s="314">
        <v>1.4283999999999999</v>
      </c>
      <c r="AU803" s="314">
        <v>1.4573</v>
      </c>
      <c r="AV803" s="314">
        <v>1.4409000000000001</v>
      </c>
      <c r="AW803" s="314">
        <v>1.4340999999999999</v>
      </c>
      <c r="AX803" s="314">
        <v>1.2922</v>
      </c>
      <c r="AY803" s="314">
        <v>1.397</v>
      </c>
      <c r="AZ803" s="314">
        <v>1.355</v>
      </c>
      <c r="BA803" s="314">
        <v>1.2652000000000001</v>
      </c>
      <c r="BB803" s="314">
        <v>1.2112000000000001</v>
      </c>
      <c r="BC803" s="314">
        <v>1.4392</v>
      </c>
      <c r="BD803" s="314">
        <v>1.4805999999999999</v>
      </c>
      <c r="BE803" s="314">
        <v>1.4471000000000001</v>
      </c>
      <c r="BF803" s="314">
        <v>1.3857999999999999</v>
      </c>
      <c r="BG803" s="314">
        <v>1.4774</v>
      </c>
      <c r="BH803" s="314">
        <v>1.4126000000000001</v>
      </c>
      <c r="BI803" s="314">
        <v>1.4540999999999999</v>
      </c>
      <c r="BJ803" s="314">
        <v>1.4379</v>
      </c>
      <c r="BK803" s="314">
        <v>1.4621999999999999</v>
      </c>
    </row>
    <row r="804" spans="1:63" x14ac:dyDescent="0.25">
      <c r="A804" s="306" t="s">
        <v>785</v>
      </c>
      <c r="B804" s="314" t="s">
        <v>345</v>
      </c>
      <c r="C804" s="314">
        <v>1.5485</v>
      </c>
      <c r="D804" s="314">
        <v>1.2465999999999999</v>
      </c>
      <c r="E804" s="314">
        <v>1.3216000000000001</v>
      </c>
      <c r="F804" s="314">
        <v>1.3042</v>
      </c>
      <c r="G804" s="314">
        <v>1.3462000000000001</v>
      </c>
      <c r="H804" s="314">
        <v>1.4261999999999999</v>
      </c>
      <c r="I804" s="314">
        <v>1.4391</v>
      </c>
      <c r="J804" s="314">
        <v>1.3968</v>
      </c>
      <c r="K804" s="314">
        <v>1.2528999999999999</v>
      </c>
      <c r="L804" s="314">
        <v>1.3394999999999999</v>
      </c>
      <c r="M804" s="314">
        <v>1.3717999999999999</v>
      </c>
      <c r="N804" s="314">
        <v>1.4440999999999999</v>
      </c>
      <c r="O804" s="314">
        <v>1.3284</v>
      </c>
      <c r="P804" s="314">
        <v>1.2518</v>
      </c>
      <c r="Q804" s="314">
        <v>1.2563</v>
      </c>
      <c r="R804" s="314">
        <v>1.4581999999999999</v>
      </c>
      <c r="S804" s="314">
        <v>1.3376999999999999</v>
      </c>
      <c r="T804" s="314">
        <v>1.2988999999999999</v>
      </c>
      <c r="U804" s="314">
        <v>1.3532</v>
      </c>
      <c r="V804" s="314">
        <v>1.3203</v>
      </c>
      <c r="W804" s="314">
        <v>1.4166000000000001</v>
      </c>
      <c r="X804" s="314">
        <v>1.3718999999999999</v>
      </c>
      <c r="Y804" s="314">
        <v>1.3261000000000001</v>
      </c>
      <c r="Z804" s="314">
        <v>1.3777999999999999</v>
      </c>
      <c r="AA804" s="314">
        <v>1.3991</v>
      </c>
      <c r="AB804" s="314">
        <v>1.4086000000000001</v>
      </c>
      <c r="AC804" s="314">
        <v>1.2725</v>
      </c>
      <c r="AD804" s="314">
        <v>1.2458</v>
      </c>
      <c r="AE804" s="314">
        <v>1.3515999999999999</v>
      </c>
      <c r="AF804" s="314">
        <v>1.2210000000000001</v>
      </c>
      <c r="AG804" s="314">
        <v>1.2758</v>
      </c>
      <c r="AH804" s="314">
        <v>1.363</v>
      </c>
      <c r="AI804" s="314">
        <v>1.4323999999999999</v>
      </c>
      <c r="AJ804" s="314">
        <v>1.2654000000000001</v>
      </c>
      <c r="AK804" s="314">
        <v>1.3351999999999999</v>
      </c>
      <c r="AL804" s="314">
        <v>1.4072</v>
      </c>
      <c r="AM804" s="314">
        <v>1.4111</v>
      </c>
      <c r="AN804" s="314">
        <v>1.3288</v>
      </c>
      <c r="AO804" s="314">
        <v>1.3843000000000001</v>
      </c>
      <c r="AP804" s="314">
        <v>1.4420999999999999</v>
      </c>
      <c r="AQ804" s="314">
        <v>1.3454999999999999</v>
      </c>
      <c r="AR804" s="314">
        <v>1.3426</v>
      </c>
      <c r="AS804" s="314">
        <v>1.2011000000000001</v>
      </c>
      <c r="AT804" s="314">
        <v>1.3948</v>
      </c>
      <c r="AU804" s="314">
        <v>1.4153</v>
      </c>
      <c r="AV804" s="314">
        <v>1.4201999999999999</v>
      </c>
      <c r="AW804" s="314">
        <v>1.4151</v>
      </c>
      <c r="AX804" s="314">
        <v>1.2750999999999999</v>
      </c>
      <c r="AY804" s="314">
        <v>1.3728</v>
      </c>
      <c r="AZ804" s="314">
        <v>1.3597999999999999</v>
      </c>
      <c r="BA804" s="314">
        <v>1.2617</v>
      </c>
      <c r="BB804" s="314">
        <v>1.1994</v>
      </c>
      <c r="BC804" s="314">
        <v>1.4288000000000001</v>
      </c>
      <c r="BD804" s="314">
        <v>1.4613</v>
      </c>
      <c r="BE804" s="314">
        <v>1.4384999999999999</v>
      </c>
      <c r="BF804" s="314">
        <v>1.3787</v>
      </c>
      <c r="BG804" s="314">
        <v>1.4454</v>
      </c>
      <c r="BH804" s="314">
        <v>1.3779999999999999</v>
      </c>
      <c r="BI804" s="314">
        <v>1.4167000000000001</v>
      </c>
      <c r="BJ804" s="314">
        <v>1.4071</v>
      </c>
      <c r="BK804" s="314">
        <v>1.4360999999999999</v>
      </c>
    </row>
    <row r="805" spans="1:63" x14ac:dyDescent="0.25">
      <c r="A805" s="306" t="s">
        <v>786</v>
      </c>
      <c r="B805" s="314" t="s">
        <v>346</v>
      </c>
      <c r="C805" s="314">
        <v>1.6609</v>
      </c>
      <c r="D805" s="314">
        <v>1.3408</v>
      </c>
      <c r="E805" s="314">
        <v>1.4258</v>
      </c>
      <c r="F805" s="314">
        <v>1.3855</v>
      </c>
      <c r="G805" s="314">
        <v>1.4469000000000001</v>
      </c>
      <c r="H805" s="314">
        <v>1.5158</v>
      </c>
      <c r="I805" s="314">
        <v>1.5422</v>
      </c>
      <c r="J805" s="314">
        <v>1.476</v>
      </c>
      <c r="K805" s="314">
        <v>1.2976000000000001</v>
      </c>
      <c r="L805" s="314">
        <v>1.4359999999999999</v>
      </c>
      <c r="M805" s="314">
        <v>1.4664999999999999</v>
      </c>
      <c r="N805" s="314">
        <v>1.5437000000000001</v>
      </c>
      <c r="O805" s="314">
        <v>1.4236</v>
      </c>
      <c r="P805" s="314">
        <v>1.3186</v>
      </c>
      <c r="Q805" s="314">
        <v>1.3236000000000001</v>
      </c>
      <c r="R805" s="314">
        <v>1.554</v>
      </c>
      <c r="S805" s="314">
        <v>1.4382999999999999</v>
      </c>
      <c r="T805" s="314">
        <v>1.3779999999999999</v>
      </c>
      <c r="U805" s="314">
        <v>1.4607000000000001</v>
      </c>
      <c r="V805" s="314">
        <v>1.4157999999999999</v>
      </c>
      <c r="W805" s="314">
        <v>1.4995000000000001</v>
      </c>
      <c r="X805" s="314">
        <v>1.4730000000000001</v>
      </c>
      <c r="Y805" s="314">
        <v>1.4067000000000001</v>
      </c>
      <c r="Z805" s="314">
        <v>1.4578</v>
      </c>
      <c r="AA805" s="314">
        <v>1.484</v>
      </c>
      <c r="AB805" s="314">
        <v>1.5043</v>
      </c>
      <c r="AC805" s="314">
        <v>1.3584000000000001</v>
      </c>
      <c r="AD805" s="314">
        <v>1.3348</v>
      </c>
      <c r="AE805" s="314">
        <v>1.4365000000000001</v>
      </c>
      <c r="AF805" s="314">
        <v>1.2847999999999999</v>
      </c>
      <c r="AG805" s="314">
        <v>1.3423</v>
      </c>
      <c r="AH805" s="314">
        <v>1.4581</v>
      </c>
      <c r="AI805" s="314">
        <v>1.526</v>
      </c>
      <c r="AJ805" s="314">
        <v>1.3559000000000001</v>
      </c>
      <c r="AK805" s="314">
        <v>1.4097999999999999</v>
      </c>
      <c r="AL805" s="314">
        <v>1.4811000000000001</v>
      </c>
      <c r="AM805" s="314">
        <v>1.5095000000000001</v>
      </c>
      <c r="AN805" s="314">
        <v>1.4353</v>
      </c>
      <c r="AO805" s="314">
        <v>1.4825999999999999</v>
      </c>
      <c r="AP805" s="314">
        <v>1.5345</v>
      </c>
      <c r="AQ805" s="314">
        <v>1.4356</v>
      </c>
      <c r="AR805" s="314">
        <v>1.4552</v>
      </c>
      <c r="AS805" s="314">
        <v>1.2591000000000001</v>
      </c>
      <c r="AT805" s="314">
        <v>1.4975000000000001</v>
      </c>
      <c r="AU805" s="314">
        <v>1.5335000000000001</v>
      </c>
      <c r="AV805" s="314">
        <v>1.5085999999999999</v>
      </c>
      <c r="AW805" s="314">
        <v>1.5107999999999999</v>
      </c>
      <c r="AX805" s="314">
        <v>1.3604000000000001</v>
      </c>
      <c r="AY805" s="314">
        <v>1.4728000000000001</v>
      </c>
      <c r="AZ805" s="314">
        <v>1.4402999999999999</v>
      </c>
      <c r="BA805" s="314">
        <v>1.3456999999999999</v>
      </c>
      <c r="BB805" s="314">
        <v>1.2728999999999999</v>
      </c>
      <c r="BC805" s="314">
        <v>1.5122</v>
      </c>
      <c r="BD805" s="314">
        <v>1.5449999999999999</v>
      </c>
      <c r="BE805" s="314">
        <v>1.5327</v>
      </c>
      <c r="BF805" s="314">
        <v>1.4650000000000001</v>
      </c>
      <c r="BG805" s="314">
        <v>1.5446</v>
      </c>
      <c r="BH805" s="314">
        <v>1.4827999999999999</v>
      </c>
      <c r="BI805" s="314">
        <v>1.5347999999999999</v>
      </c>
      <c r="BJ805" s="314">
        <v>1.5112000000000001</v>
      </c>
      <c r="BK805" s="314">
        <v>1.5294000000000001</v>
      </c>
    </row>
    <row r="806" spans="1:63" x14ac:dyDescent="0.25">
      <c r="A806" s="306">
        <v>722000</v>
      </c>
      <c r="B806" s="314" t="s">
        <v>347</v>
      </c>
      <c r="C806" s="314">
        <v>1.8008</v>
      </c>
      <c r="D806" s="314">
        <v>1.2621</v>
      </c>
      <c r="E806" s="314">
        <v>1.4477</v>
      </c>
      <c r="F806" s="314">
        <v>1.4739</v>
      </c>
      <c r="G806" s="314">
        <v>1.415</v>
      </c>
      <c r="H806" s="314">
        <v>1.5569999999999999</v>
      </c>
      <c r="I806" s="314">
        <v>1.556</v>
      </c>
      <c r="J806" s="314">
        <v>1.4568000000000001</v>
      </c>
      <c r="K806" s="314">
        <v>1.2290000000000001</v>
      </c>
      <c r="L806" s="314">
        <v>1.4026000000000001</v>
      </c>
      <c r="M806" s="314">
        <v>1.4486000000000001</v>
      </c>
      <c r="N806" s="314">
        <v>1.5821000000000001</v>
      </c>
      <c r="O806" s="314">
        <v>1.3786</v>
      </c>
      <c r="P806" s="314">
        <v>1.4040999999999999</v>
      </c>
      <c r="Q806" s="314">
        <v>1.3785000000000001</v>
      </c>
      <c r="R806" s="314">
        <v>1.6029</v>
      </c>
      <c r="S806" s="314">
        <v>1.5145999999999999</v>
      </c>
      <c r="T806" s="314">
        <v>1.3965000000000001</v>
      </c>
      <c r="U806" s="314">
        <v>1.5414000000000001</v>
      </c>
      <c r="V806" s="314">
        <v>1.4168000000000001</v>
      </c>
      <c r="W806" s="314">
        <v>1.4974000000000001</v>
      </c>
      <c r="X806" s="314">
        <v>1.4518</v>
      </c>
      <c r="Y806" s="314">
        <v>1.4111</v>
      </c>
      <c r="Z806" s="314">
        <v>1.4951000000000001</v>
      </c>
      <c r="AA806" s="314">
        <v>1.5956999999999999</v>
      </c>
      <c r="AB806" s="314">
        <v>1.5922000000000001</v>
      </c>
      <c r="AC806" s="314">
        <v>1.3831</v>
      </c>
      <c r="AD806" s="314">
        <v>1.3059000000000001</v>
      </c>
      <c r="AE806" s="314">
        <v>1.4923999999999999</v>
      </c>
      <c r="AF806" s="314">
        <v>1.2951999999999999</v>
      </c>
      <c r="AG806" s="314">
        <v>1.3772</v>
      </c>
      <c r="AH806" s="314">
        <v>1.4185000000000001</v>
      </c>
      <c r="AI806" s="314">
        <v>1.5242</v>
      </c>
      <c r="AJ806" s="314">
        <v>1.3186</v>
      </c>
      <c r="AK806" s="314">
        <v>1.381</v>
      </c>
      <c r="AL806" s="314">
        <v>1.4716</v>
      </c>
      <c r="AM806" s="314">
        <v>1.5755999999999999</v>
      </c>
      <c r="AN806" s="314">
        <v>1.4483999999999999</v>
      </c>
      <c r="AO806" s="314">
        <v>1.5217000000000001</v>
      </c>
      <c r="AP806" s="314">
        <v>1.5979000000000001</v>
      </c>
      <c r="AQ806" s="314">
        <v>1.4069</v>
      </c>
      <c r="AR806" s="314">
        <v>1.4572000000000001</v>
      </c>
      <c r="AS806" s="314">
        <v>1.3188</v>
      </c>
      <c r="AT806" s="314">
        <v>1.5454000000000001</v>
      </c>
      <c r="AU806" s="314">
        <v>1.5662</v>
      </c>
      <c r="AV806" s="314">
        <v>1.5557000000000001</v>
      </c>
      <c r="AW806" s="314">
        <v>1.5161</v>
      </c>
      <c r="AX806" s="314">
        <v>1.3354999999999999</v>
      </c>
      <c r="AY806" s="314">
        <v>1.4913000000000001</v>
      </c>
      <c r="AZ806" s="314">
        <v>1.5313000000000001</v>
      </c>
      <c r="BA806" s="314">
        <v>1.3163</v>
      </c>
      <c r="BB806" s="314">
        <v>1.2302</v>
      </c>
      <c r="BC806" s="314">
        <v>1.5186999999999999</v>
      </c>
      <c r="BD806" s="314">
        <v>1.5717000000000001</v>
      </c>
      <c r="BE806" s="314">
        <v>1.627</v>
      </c>
      <c r="BF806" s="314">
        <v>1.5743</v>
      </c>
      <c r="BG806" s="314">
        <v>1.5788</v>
      </c>
      <c r="BH806" s="314">
        <v>1.5602</v>
      </c>
      <c r="BI806" s="314">
        <v>1.5929</v>
      </c>
      <c r="BJ806" s="314">
        <v>1.5349999999999999</v>
      </c>
      <c r="BK806" s="314">
        <v>1.5775999999999999</v>
      </c>
    </row>
    <row r="807" spans="1:63" x14ac:dyDescent="0.25">
      <c r="A807" s="306">
        <v>811192</v>
      </c>
      <c r="B807" s="314" t="s">
        <v>349</v>
      </c>
      <c r="C807" s="314">
        <v>1.6392</v>
      </c>
      <c r="D807" s="314">
        <v>1.2699</v>
      </c>
      <c r="E807" s="314">
        <v>1.4026000000000001</v>
      </c>
      <c r="F807" s="314">
        <v>1.3507</v>
      </c>
      <c r="G807" s="314">
        <v>1.3900999999999999</v>
      </c>
      <c r="H807" s="314">
        <v>1.4601</v>
      </c>
      <c r="I807" s="314">
        <v>1.4530000000000001</v>
      </c>
      <c r="J807" s="314">
        <v>1.4371</v>
      </c>
      <c r="K807" s="314">
        <v>1.2602</v>
      </c>
      <c r="L807" s="314">
        <v>1.3738999999999999</v>
      </c>
      <c r="M807" s="314">
        <v>1.3963000000000001</v>
      </c>
      <c r="N807" s="314">
        <v>1.4914000000000001</v>
      </c>
      <c r="O807" s="314">
        <v>1.3302</v>
      </c>
      <c r="P807" s="314">
        <v>1.3193999999999999</v>
      </c>
      <c r="Q807" s="314">
        <v>1.2513000000000001</v>
      </c>
      <c r="R807" s="314">
        <v>1.5422</v>
      </c>
      <c r="S807" s="314">
        <v>1.429</v>
      </c>
      <c r="T807" s="314">
        <v>1.3463000000000001</v>
      </c>
      <c r="U807" s="314">
        <v>1.4427000000000001</v>
      </c>
      <c r="V807" s="314">
        <v>1.3462000000000001</v>
      </c>
      <c r="W807" s="314">
        <v>1.4140999999999999</v>
      </c>
      <c r="X807" s="314">
        <v>1.4142999999999999</v>
      </c>
      <c r="Y807" s="314">
        <v>1.3327</v>
      </c>
      <c r="Z807" s="314">
        <v>1.4531000000000001</v>
      </c>
      <c r="AA807" s="314">
        <v>1.4041999999999999</v>
      </c>
      <c r="AB807" s="314">
        <v>1.4755</v>
      </c>
      <c r="AC807" s="314">
        <v>1.3454999999999999</v>
      </c>
      <c r="AD807" s="314">
        <v>1.2685999999999999</v>
      </c>
      <c r="AE807" s="314">
        <v>1.4171</v>
      </c>
      <c r="AF807" s="314">
        <v>1.2398</v>
      </c>
      <c r="AG807" s="314">
        <v>1.3099000000000001</v>
      </c>
      <c r="AH807" s="314">
        <v>1.3808</v>
      </c>
      <c r="AI807" s="314">
        <v>1.4772000000000001</v>
      </c>
      <c r="AJ807" s="314">
        <v>1.2834000000000001</v>
      </c>
      <c r="AK807" s="314">
        <v>1.3380000000000001</v>
      </c>
      <c r="AL807" s="314">
        <v>1.4293</v>
      </c>
      <c r="AM807" s="314">
        <v>1.5038</v>
      </c>
      <c r="AN807" s="314">
        <v>1.3815999999999999</v>
      </c>
      <c r="AO807" s="314">
        <v>1.4</v>
      </c>
      <c r="AP807" s="314">
        <v>1.4715</v>
      </c>
      <c r="AQ807" s="314">
        <v>1.3703000000000001</v>
      </c>
      <c r="AR807" s="314">
        <v>1.4481999999999999</v>
      </c>
      <c r="AS807" s="314">
        <v>1.2177</v>
      </c>
      <c r="AT807" s="314">
        <v>1.4863</v>
      </c>
      <c r="AU807" s="314">
        <v>1.4882</v>
      </c>
      <c r="AV807" s="314">
        <v>1.4852000000000001</v>
      </c>
      <c r="AW807" s="314">
        <v>1.4363999999999999</v>
      </c>
      <c r="AX807" s="314">
        <v>1.3307</v>
      </c>
      <c r="AY807" s="314">
        <v>1.3908</v>
      </c>
      <c r="AZ807" s="314">
        <v>1.4153</v>
      </c>
      <c r="BA807" s="314">
        <v>1.3345</v>
      </c>
      <c r="BB807" s="314">
        <v>1.218</v>
      </c>
      <c r="BC807" s="314">
        <v>1.4384999999999999</v>
      </c>
      <c r="BD807" s="314">
        <v>1.498</v>
      </c>
      <c r="BE807" s="314">
        <v>1.5204</v>
      </c>
      <c r="BF807" s="314">
        <v>1.4219999999999999</v>
      </c>
      <c r="BG807" s="314">
        <v>1.4931000000000001</v>
      </c>
      <c r="BH807" s="314">
        <v>1.4691000000000001</v>
      </c>
      <c r="BI807" s="314">
        <v>1.4854000000000001</v>
      </c>
      <c r="BJ807" s="314">
        <v>1.44</v>
      </c>
      <c r="BK807" s="314">
        <v>1.4626999999999999</v>
      </c>
    </row>
    <row r="808" spans="1:63" x14ac:dyDescent="0.25">
      <c r="A808" s="306" t="s">
        <v>787</v>
      </c>
      <c r="B808" s="314" t="s">
        <v>348</v>
      </c>
      <c r="C808" s="314">
        <v>1.6733</v>
      </c>
      <c r="D808" s="314">
        <v>1.2359</v>
      </c>
      <c r="E808" s="314">
        <v>1.4644999999999999</v>
      </c>
      <c r="F808" s="314">
        <v>1.4080999999999999</v>
      </c>
      <c r="G808" s="314">
        <v>1.3804000000000001</v>
      </c>
      <c r="H808" s="314">
        <v>1.4424999999999999</v>
      </c>
      <c r="I808" s="314">
        <v>1.4313</v>
      </c>
      <c r="J808" s="314">
        <v>1.4548000000000001</v>
      </c>
      <c r="K808" s="314">
        <v>1.2089000000000001</v>
      </c>
      <c r="L808" s="314">
        <v>1.3498000000000001</v>
      </c>
      <c r="M808" s="314">
        <v>1.3855999999999999</v>
      </c>
      <c r="N808" s="314">
        <v>1.4992000000000001</v>
      </c>
      <c r="O808" s="314">
        <v>1.3090999999999999</v>
      </c>
      <c r="P808" s="314">
        <v>1.3754999999999999</v>
      </c>
      <c r="Q808" s="314">
        <v>1.2623</v>
      </c>
      <c r="R808" s="314">
        <v>1.5743</v>
      </c>
      <c r="S808" s="314">
        <v>1.4895</v>
      </c>
      <c r="T808" s="314">
        <v>1.3304</v>
      </c>
      <c r="U808" s="314">
        <v>1.4875</v>
      </c>
      <c r="V808" s="314">
        <v>1.3079000000000001</v>
      </c>
      <c r="W808" s="314">
        <v>1.4307000000000001</v>
      </c>
      <c r="X808" s="314">
        <v>1.4039999999999999</v>
      </c>
      <c r="Y808" s="314">
        <v>1.3425</v>
      </c>
      <c r="Z808" s="314">
        <v>1.5105999999999999</v>
      </c>
      <c r="AA808" s="314">
        <v>1.4232</v>
      </c>
      <c r="AB808" s="314">
        <v>1.5174000000000001</v>
      </c>
      <c r="AC808" s="314">
        <v>1.3875999999999999</v>
      </c>
      <c r="AD808" s="314">
        <v>1.2454000000000001</v>
      </c>
      <c r="AE808" s="314">
        <v>1.4753000000000001</v>
      </c>
      <c r="AF808" s="314">
        <v>1.2525999999999999</v>
      </c>
      <c r="AG808" s="314">
        <v>1.3443000000000001</v>
      </c>
      <c r="AH808" s="314">
        <v>1.4088000000000001</v>
      </c>
      <c r="AI808" s="314">
        <v>1.4535</v>
      </c>
      <c r="AJ808" s="314">
        <v>1.2666999999999999</v>
      </c>
      <c r="AK808" s="314">
        <v>1.3348</v>
      </c>
      <c r="AL808" s="314">
        <v>1.4205000000000001</v>
      </c>
      <c r="AM808" s="314">
        <v>1.5521</v>
      </c>
      <c r="AN808" s="314">
        <v>1.3846000000000001</v>
      </c>
      <c r="AO808" s="314">
        <v>1.4192</v>
      </c>
      <c r="AP808" s="314">
        <v>1.4891000000000001</v>
      </c>
      <c r="AQ808" s="314">
        <v>1.3744000000000001</v>
      </c>
      <c r="AR808" s="314">
        <v>1.5005999999999999</v>
      </c>
      <c r="AS808" s="314">
        <v>1.2357</v>
      </c>
      <c r="AT808" s="314">
        <v>1.5267999999999999</v>
      </c>
      <c r="AU808" s="314">
        <v>1.4674</v>
      </c>
      <c r="AV808" s="314">
        <v>1.4982</v>
      </c>
      <c r="AW808" s="314">
        <v>1.4388000000000001</v>
      </c>
      <c r="AX808" s="314">
        <v>1.3597999999999999</v>
      </c>
      <c r="AY808" s="314">
        <v>1.3821000000000001</v>
      </c>
      <c r="AZ808" s="314">
        <v>1.4791000000000001</v>
      </c>
      <c r="BA808" s="314">
        <v>1.3801000000000001</v>
      </c>
      <c r="BB808" s="314">
        <v>1.2117</v>
      </c>
      <c r="BC808" s="314">
        <v>1.4597</v>
      </c>
      <c r="BD808" s="314">
        <v>1.4897</v>
      </c>
      <c r="BE808" s="314">
        <v>1.5717000000000001</v>
      </c>
      <c r="BF808" s="314">
        <v>1.4507000000000001</v>
      </c>
      <c r="BG808" s="314">
        <v>1.4945999999999999</v>
      </c>
      <c r="BH808" s="314">
        <v>1.5153000000000001</v>
      </c>
      <c r="BI808" s="314">
        <v>1.4685999999999999</v>
      </c>
      <c r="BJ808" s="314">
        <v>1.4162999999999999</v>
      </c>
      <c r="BK808" s="314">
        <v>1.4455</v>
      </c>
    </row>
    <row r="809" spans="1:63" x14ac:dyDescent="0.25">
      <c r="A809" s="306">
        <v>811200</v>
      </c>
      <c r="B809" s="314" t="s">
        <v>350</v>
      </c>
      <c r="C809" s="314">
        <v>1.4872000000000001</v>
      </c>
      <c r="D809" s="314">
        <v>1.1753</v>
      </c>
      <c r="E809" s="314">
        <v>1.2867999999999999</v>
      </c>
      <c r="F809" s="314">
        <v>1.2658</v>
      </c>
      <c r="G809" s="314">
        <v>1.3351999999999999</v>
      </c>
      <c r="H809" s="314">
        <v>1.3896999999999999</v>
      </c>
      <c r="I809" s="314">
        <v>1.3706</v>
      </c>
      <c r="J809" s="314">
        <v>1.3463000000000001</v>
      </c>
      <c r="K809" s="314">
        <v>1.1901999999999999</v>
      </c>
      <c r="L809" s="314">
        <v>1.2766999999999999</v>
      </c>
      <c r="M809" s="314">
        <v>1.3405</v>
      </c>
      <c r="N809" s="314">
        <v>1.3583000000000001</v>
      </c>
      <c r="O809" s="314">
        <v>1.2419</v>
      </c>
      <c r="P809" s="314">
        <v>1.2142999999999999</v>
      </c>
      <c r="Q809" s="314">
        <v>1.2099</v>
      </c>
      <c r="R809" s="314">
        <v>1.4118999999999999</v>
      </c>
      <c r="S809" s="314">
        <v>1.3152999999999999</v>
      </c>
      <c r="T809" s="314">
        <v>1.246</v>
      </c>
      <c r="U809" s="314">
        <v>1.3038000000000001</v>
      </c>
      <c r="V809" s="314">
        <v>1.24</v>
      </c>
      <c r="W809" s="314">
        <v>1.3797999999999999</v>
      </c>
      <c r="X809" s="314">
        <v>1.3160000000000001</v>
      </c>
      <c r="Y809" s="314">
        <v>1.2874000000000001</v>
      </c>
      <c r="Z809" s="314">
        <v>1.3419000000000001</v>
      </c>
      <c r="AA809" s="314">
        <v>1.3352999999999999</v>
      </c>
      <c r="AB809" s="314">
        <v>1.3374999999999999</v>
      </c>
      <c r="AC809" s="314">
        <v>1.2284999999999999</v>
      </c>
      <c r="AD809" s="314">
        <v>1.1914</v>
      </c>
      <c r="AE809" s="314">
        <v>1.3365</v>
      </c>
      <c r="AF809" s="314">
        <v>1.1857</v>
      </c>
      <c r="AG809" s="314">
        <v>1.2132000000000001</v>
      </c>
      <c r="AH809" s="314">
        <v>1.3489</v>
      </c>
      <c r="AI809" s="314">
        <v>1.3775999999999999</v>
      </c>
      <c r="AJ809" s="314">
        <v>1.2373000000000001</v>
      </c>
      <c r="AK809" s="314">
        <v>1.2732000000000001</v>
      </c>
      <c r="AL809" s="314">
        <v>1.3357000000000001</v>
      </c>
      <c r="AM809" s="314">
        <v>1.3747</v>
      </c>
      <c r="AN809" s="314">
        <v>1.2750999999999999</v>
      </c>
      <c r="AO809" s="314">
        <v>1.3348</v>
      </c>
      <c r="AP809" s="314">
        <v>1.3754</v>
      </c>
      <c r="AQ809" s="314">
        <v>1.2912999999999999</v>
      </c>
      <c r="AR809" s="314">
        <v>1.3069</v>
      </c>
      <c r="AS809" s="314">
        <v>1.1733</v>
      </c>
      <c r="AT809" s="314">
        <v>1.3404</v>
      </c>
      <c r="AU809" s="314">
        <v>1.3895</v>
      </c>
      <c r="AV809" s="314">
        <v>1.3524</v>
      </c>
      <c r="AW809" s="314">
        <v>1.337</v>
      </c>
      <c r="AX809" s="314">
        <v>1.2504</v>
      </c>
      <c r="AY809" s="314">
        <v>1.3052999999999999</v>
      </c>
      <c r="AZ809" s="314">
        <v>1.3112999999999999</v>
      </c>
      <c r="BA809" s="314">
        <v>1.2252000000000001</v>
      </c>
      <c r="BB809" s="314">
        <v>1.1494</v>
      </c>
      <c r="BC809" s="314">
        <v>1.3895</v>
      </c>
      <c r="BD809" s="314">
        <v>1.3856999999999999</v>
      </c>
      <c r="BE809" s="314">
        <v>1.3931</v>
      </c>
      <c r="BF809" s="314">
        <v>1.3196000000000001</v>
      </c>
      <c r="BG809" s="314">
        <v>1.3795999999999999</v>
      </c>
      <c r="BH809" s="314">
        <v>1.3224</v>
      </c>
      <c r="BI809" s="314">
        <v>1.3842000000000001</v>
      </c>
      <c r="BJ809" s="314">
        <v>1.3615999999999999</v>
      </c>
      <c r="BK809" s="314">
        <v>1.3903000000000001</v>
      </c>
    </row>
    <row r="810" spans="1:63" x14ac:dyDescent="0.25">
      <c r="A810" s="306">
        <v>811300</v>
      </c>
      <c r="B810" s="314" t="s">
        <v>351</v>
      </c>
      <c r="C810" s="314">
        <v>1.4661</v>
      </c>
      <c r="D810" s="314">
        <v>1.1739999999999999</v>
      </c>
      <c r="E810" s="314">
        <v>1.2881</v>
      </c>
      <c r="F810" s="314">
        <v>1.2496</v>
      </c>
      <c r="G810" s="314">
        <v>1.2753000000000001</v>
      </c>
      <c r="H810" s="314">
        <v>1.3373999999999999</v>
      </c>
      <c r="I810" s="314">
        <v>1.3372999999999999</v>
      </c>
      <c r="J810" s="314">
        <v>1.3340000000000001</v>
      </c>
      <c r="K810" s="314">
        <v>1.1734</v>
      </c>
      <c r="L810" s="314">
        <v>1.2804</v>
      </c>
      <c r="M810" s="314">
        <v>1.2923</v>
      </c>
      <c r="N810" s="314">
        <v>1.3519000000000001</v>
      </c>
      <c r="O810" s="314">
        <v>1.2282</v>
      </c>
      <c r="P810" s="314">
        <v>1.2336</v>
      </c>
      <c r="Q810" s="314">
        <v>1.1867000000000001</v>
      </c>
      <c r="R810" s="314">
        <v>1.4073</v>
      </c>
      <c r="S810" s="314">
        <v>1.3140000000000001</v>
      </c>
      <c r="T810" s="314">
        <v>1.2511000000000001</v>
      </c>
      <c r="U810" s="314">
        <v>1.3166</v>
      </c>
      <c r="V810" s="314">
        <v>1.2493000000000001</v>
      </c>
      <c r="W810" s="314">
        <v>1.3343</v>
      </c>
      <c r="X810" s="314">
        <v>1.2985</v>
      </c>
      <c r="Y810" s="314">
        <v>1.2423</v>
      </c>
      <c r="Z810" s="314">
        <v>1.3366</v>
      </c>
      <c r="AA810" s="314">
        <v>1.3275999999999999</v>
      </c>
      <c r="AB810" s="314">
        <v>1.3499000000000001</v>
      </c>
      <c r="AC810" s="314">
        <v>1.2343</v>
      </c>
      <c r="AD810" s="314">
        <v>1.1783999999999999</v>
      </c>
      <c r="AE810" s="314">
        <v>1.3086</v>
      </c>
      <c r="AF810" s="314">
        <v>1.1603000000000001</v>
      </c>
      <c r="AG810" s="314">
        <v>1.2039</v>
      </c>
      <c r="AH810" s="314">
        <v>1.3140000000000001</v>
      </c>
      <c r="AI810" s="314">
        <v>1.3543000000000001</v>
      </c>
      <c r="AJ810" s="314">
        <v>1.1939</v>
      </c>
      <c r="AK810" s="314">
        <v>1.2410000000000001</v>
      </c>
      <c r="AL810" s="314">
        <v>1.3131999999999999</v>
      </c>
      <c r="AM810" s="314">
        <v>1.3737999999999999</v>
      </c>
      <c r="AN810" s="314">
        <v>1.2844</v>
      </c>
      <c r="AO810" s="314">
        <v>1.292</v>
      </c>
      <c r="AP810" s="314">
        <v>1.3733</v>
      </c>
      <c r="AQ810" s="314">
        <v>1.2905</v>
      </c>
      <c r="AR810" s="314">
        <v>1.3243</v>
      </c>
      <c r="AS810" s="314">
        <v>1.1657</v>
      </c>
      <c r="AT810" s="314">
        <v>1.3471</v>
      </c>
      <c r="AU810" s="314">
        <v>1.3623000000000001</v>
      </c>
      <c r="AV810" s="314">
        <v>1.3181</v>
      </c>
      <c r="AW810" s="314">
        <v>1.3203</v>
      </c>
      <c r="AX810" s="314">
        <v>1.2198</v>
      </c>
      <c r="AY810" s="314">
        <v>1.2835000000000001</v>
      </c>
      <c r="AZ810" s="314">
        <v>1.3095000000000001</v>
      </c>
      <c r="BA810" s="314">
        <v>1.2121</v>
      </c>
      <c r="BB810" s="314">
        <v>1.1549</v>
      </c>
      <c r="BC810" s="314">
        <v>1.3508</v>
      </c>
      <c r="BD810" s="314">
        <v>1.3736999999999999</v>
      </c>
      <c r="BE810" s="314">
        <v>1.3907</v>
      </c>
      <c r="BF810" s="314">
        <v>1.3258000000000001</v>
      </c>
      <c r="BG810" s="314">
        <v>1.3615999999999999</v>
      </c>
      <c r="BH810" s="314">
        <v>1.3382000000000001</v>
      </c>
      <c r="BI810" s="314">
        <v>1.3625</v>
      </c>
      <c r="BJ810" s="314">
        <v>1.3104</v>
      </c>
      <c r="BK810" s="314">
        <v>1.3369</v>
      </c>
    </row>
    <row r="811" spans="1:63" x14ac:dyDescent="0.25">
      <c r="A811" s="306">
        <v>811400</v>
      </c>
      <c r="B811" s="314" t="s">
        <v>352</v>
      </c>
      <c r="C811" s="314">
        <v>1.5973999999999999</v>
      </c>
      <c r="D811" s="314">
        <v>1.2231000000000001</v>
      </c>
      <c r="E811" s="314">
        <v>1.3607</v>
      </c>
      <c r="F811" s="314">
        <v>1.3173999999999999</v>
      </c>
      <c r="G811" s="314">
        <v>1.3707</v>
      </c>
      <c r="H811" s="314">
        <v>1.4359999999999999</v>
      </c>
      <c r="I811" s="314">
        <v>1.4321999999999999</v>
      </c>
      <c r="J811" s="314">
        <v>1.4172</v>
      </c>
      <c r="K811" s="314">
        <v>1.2242999999999999</v>
      </c>
      <c r="L811" s="314">
        <v>1.3420000000000001</v>
      </c>
      <c r="M811" s="314">
        <v>1.3683000000000001</v>
      </c>
      <c r="N811" s="314">
        <v>1.458</v>
      </c>
      <c r="O811" s="314">
        <v>1.2963</v>
      </c>
      <c r="P811" s="314">
        <v>1.2855000000000001</v>
      </c>
      <c r="Q811" s="314">
        <v>1.2508999999999999</v>
      </c>
      <c r="R811" s="314">
        <v>1.5059</v>
      </c>
      <c r="S811" s="314">
        <v>1.3976999999999999</v>
      </c>
      <c r="T811" s="314">
        <v>1.3075000000000001</v>
      </c>
      <c r="U811" s="314">
        <v>1.3939999999999999</v>
      </c>
      <c r="V811" s="314">
        <v>1.3163</v>
      </c>
      <c r="W811" s="314">
        <v>1.4180999999999999</v>
      </c>
      <c r="X811" s="314">
        <v>1.3869</v>
      </c>
      <c r="Y811" s="314">
        <v>1.3252999999999999</v>
      </c>
      <c r="Z811" s="314">
        <v>1.3916999999999999</v>
      </c>
      <c r="AA811" s="314">
        <v>1.4113</v>
      </c>
      <c r="AB811" s="314">
        <v>1.4340999999999999</v>
      </c>
      <c r="AC811" s="314">
        <v>1.3101</v>
      </c>
      <c r="AD811" s="314">
        <v>1.2404999999999999</v>
      </c>
      <c r="AE811" s="314">
        <v>1.3862000000000001</v>
      </c>
      <c r="AF811" s="314">
        <v>1.2040999999999999</v>
      </c>
      <c r="AG811" s="314">
        <v>1.2663</v>
      </c>
      <c r="AH811" s="314">
        <v>1.3875999999999999</v>
      </c>
      <c r="AI811" s="314">
        <v>1.4389000000000001</v>
      </c>
      <c r="AJ811" s="314">
        <v>1.2535000000000001</v>
      </c>
      <c r="AK811" s="314">
        <v>1.3011999999999999</v>
      </c>
      <c r="AL811" s="314">
        <v>1.3851</v>
      </c>
      <c r="AM811" s="314">
        <v>1.4641999999999999</v>
      </c>
      <c r="AN811" s="314">
        <v>1.3419000000000001</v>
      </c>
      <c r="AO811" s="314">
        <v>1.387</v>
      </c>
      <c r="AP811" s="314">
        <v>1.4602999999999999</v>
      </c>
      <c r="AQ811" s="314">
        <v>1.3669</v>
      </c>
      <c r="AR811" s="314">
        <v>1.4207000000000001</v>
      </c>
      <c r="AS811" s="314">
        <v>1.2203999999999999</v>
      </c>
      <c r="AT811" s="314">
        <v>1.4422999999999999</v>
      </c>
      <c r="AU811" s="314">
        <v>1.4513</v>
      </c>
      <c r="AV811" s="314">
        <v>1.3916999999999999</v>
      </c>
      <c r="AW811" s="314">
        <v>1.3932</v>
      </c>
      <c r="AX811" s="314">
        <v>1.2867999999999999</v>
      </c>
      <c r="AY811" s="314">
        <v>1.3661000000000001</v>
      </c>
      <c r="AZ811" s="314">
        <v>1.3996</v>
      </c>
      <c r="BA811" s="314">
        <v>1.2763</v>
      </c>
      <c r="BB811" s="314">
        <v>1.1915</v>
      </c>
      <c r="BC811" s="314">
        <v>1.4407000000000001</v>
      </c>
      <c r="BD811" s="314">
        <v>1.4679</v>
      </c>
      <c r="BE811" s="314">
        <v>1.4943</v>
      </c>
      <c r="BF811" s="314">
        <v>1.4089</v>
      </c>
      <c r="BG811" s="314">
        <v>1.4629000000000001</v>
      </c>
      <c r="BH811" s="314">
        <v>1.4416</v>
      </c>
      <c r="BI811" s="314">
        <v>1.4634</v>
      </c>
      <c r="BJ811" s="314">
        <v>1.4023000000000001</v>
      </c>
      <c r="BK811" s="314">
        <v>1.4383999999999999</v>
      </c>
    </row>
    <row r="812" spans="1:63" x14ac:dyDescent="0.25">
      <c r="A812" s="306">
        <v>812100</v>
      </c>
      <c r="B812" s="314" t="s">
        <v>353</v>
      </c>
      <c r="C812" s="314">
        <v>1.5286999999999999</v>
      </c>
      <c r="D812" s="314">
        <v>1.2544999999999999</v>
      </c>
      <c r="E812" s="314">
        <v>1.2955000000000001</v>
      </c>
      <c r="F812" s="314">
        <v>1.2930999999999999</v>
      </c>
      <c r="G812" s="314">
        <v>1.3706</v>
      </c>
      <c r="H812" s="314">
        <v>1.4313</v>
      </c>
      <c r="I812" s="314">
        <v>1.4181999999999999</v>
      </c>
      <c r="J812" s="314">
        <v>1.4096</v>
      </c>
      <c r="K812" s="314">
        <v>1.2611000000000001</v>
      </c>
      <c r="L812" s="314">
        <v>1.3748</v>
      </c>
      <c r="M812" s="314">
        <v>1.3939999999999999</v>
      </c>
      <c r="N812" s="314">
        <v>1.4237</v>
      </c>
      <c r="O812" s="314">
        <v>1.3351999999999999</v>
      </c>
      <c r="P812" s="314">
        <v>1.2608999999999999</v>
      </c>
      <c r="Q812" s="314">
        <v>1.2665999999999999</v>
      </c>
      <c r="R812" s="314">
        <v>1.4689000000000001</v>
      </c>
      <c r="S812" s="314">
        <v>1.3226</v>
      </c>
      <c r="T812" s="314">
        <v>1.2719</v>
      </c>
      <c r="U812" s="314">
        <v>1.3254999999999999</v>
      </c>
      <c r="V812" s="314">
        <v>1.2798</v>
      </c>
      <c r="W812" s="314">
        <v>1.4046000000000001</v>
      </c>
      <c r="X812" s="314">
        <v>1.4133</v>
      </c>
      <c r="Y812" s="314">
        <v>1.2996000000000001</v>
      </c>
      <c r="Z812" s="314">
        <v>1.3371</v>
      </c>
      <c r="AA812" s="314">
        <v>1.405</v>
      </c>
      <c r="AB812" s="314">
        <v>1.3922000000000001</v>
      </c>
      <c r="AC812" s="314">
        <v>1.2424999999999999</v>
      </c>
      <c r="AD812" s="314">
        <v>1.2334000000000001</v>
      </c>
      <c r="AE812" s="314">
        <v>1.3564000000000001</v>
      </c>
      <c r="AF812" s="314">
        <v>1.2005999999999999</v>
      </c>
      <c r="AG812" s="314">
        <v>1.2477</v>
      </c>
      <c r="AH812" s="314">
        <v>1.3587</v>
      </c>
      <c r="AI812" s="314">
        <v>1.4582999999999999</v>
      </c>
      <c r="AJ812" s="314">
        <v>1.2558</v>
      </c>
      <c r="AK812" s="314">
        <v>1.3335999999999999</v>
      </c>
      <c r="AL812" s="314">
        <v>1.4271</v>
      </c>
      <c r="AM812" s="314">
        <v>1.4113</v>
      </c>
      <c r="AN812" s="314">
        <v>1.2939000000000001</v>
      </c>
      <c r="AO812" s="314">
        <v>1.3489</v>
      </c>
      <c r="AP812" s="314">
        <v>1.4278</v>
      </c>
      <c r="AQ812" s="314">
        <v>1.3758999999999999</v>
      </c>
      <c r="AR812" s="314">
        <v>1.3412999999999999</v>
      </c>
      <c r="AS812" s="314">
        <v>1.1834</v>
      </c>
      <c r="AT812" s="314">
        <v>1.4104000000000001</v>
      </c>
      <c r="AU812" s="314">
        <v>1.4267000000000001</v>
      </c>
      <c r="AV812" s="314">
        <v>1.4191</v>
      </c>
      <c r="AW812" s="314">
        <v>1.4049</v>
      </c>
      <c r="AX812" s="314">
        <v>1.2986</v>
      </c>
      <c r="AY812" s="314">
        <v>1.3603000000000001</v>
      </c>
      <c r="AZ812" s="314">
        <v>1.3129999999999999</v>
      </c>
      <c r="BA812" s="314">
        <v>1.2372000000000001</v>
      </c>
      <c r="BB812" s="314">
        <v>1.1931</v>
      </c>
      <c r="BC812" s="314">
        <v>1.4349000000000001</v>
      </c>
      <c r="BD812" s="314">
        <v>1.4726999999999999</v>
      </c>
      <c r="BE812" s="314">
        <v>1.4336</v>
      </c>
      <c r="BF812" s="314">
        <v>1.3602000000000001</v>
      </c>
      <c r="BG812" s="314">
        <v>1.4514</v>
      </c>
      <c r="BH812" s="314">
        <v>1.3633999999999999</v>
      </c>
      <c r="BI812" s="314">
        <v>1.4161999999999999</v>
      </c>
      <c r="BJ812" s="314">
        <v>1.4061999999999999</v>
      </c>
      <c r="BK812" s="314">
        <v>1.4300999999999999</v>
      </c>
    </row>
    <row r="813" spans="1:63" x14ac:dyDescent="0.25">
      <c r="A813" s="306">
        <v>812200</v>
      </c>
      <c r="B813" s="314" t="s">
        <v>354</v>
      </c>
      <c r="C813" s="314">
        <v>1.8243</v>
      </c>
      <c r="D813" s="314">
        <v>1.2381</v>
      </c>
      <c r="E813" s="314">
        <v>1.5847</v>
      </c>
      <c r="F813" s="314">
        <v>1.5122</v>
      </c>
      <c r="G813" s="314">
        <v>1.5264</v>
      </c>
      <c r="H813" s="314">
        <v>1.6207</v>
      </c>
      <c r="I813" s="314">
        <v>1.5274000000000001</v>
      </c>
      <c r="J813" s="314">
        <v>1.6096999999999999</v>
      </c>
      <c r="K813" s="314">
        <v>1.2203999999999999</v>
      </c>
      <c r="L813" s="314">
        <v>1.3836999999999999</v>
      </c>
      <c r="M813" s="314">
        <v>1.4947999999999999</v>
      </c>
      <c r="N813" s="314">
        <v>1.6706000000000001</v>
      </c>
      <c r="O813" s="314">
        <v>1.3804000000000001</v>
      </c>
      <c r="P813" s="314">
        <v>1.3613999999999999</v>
      </c>
      <c r="Q813" s="314">
        <v>1.3633</v>
      </c>
      <c r="R813" s="314">
        <v>1.7159</v>
      </c>
      <c r="S813" s="314">
        <v>1.6094999999999999</v>
      </c>
      <c r="T813" s="314">
        <v>1.4992000000000001</v>
      </c>
      <c r="U813" s="314">
        <v>1.6027</v>
      </c>
      <c r="V813" s="314">
        <v>1.4258</v>
      </c>
      <c r="W813" s="314">
        <v>1.5022</v>
      </c>
      <c r="X813" s="314">
        <v>1.5165999999999999</v>
      </c>
      <c r="Y813" s="314">
        <v>1.5196000000000001</v>
      </c>
      <c r="Z813" s="314">
        <v>1.5282</v>
      </c>
      <c r="AA813" s="314">
        <v>1.6220000000000001</v>
      </c>
      <c r="AB813" s="314">
        <v>1.5505</v>
      </c>
      <c r="AC813" s="314">
        <v>1.5046999999999999</v>
      </c>
      <c r="AD813" s="314">
        <v>1.3588</v>
      </c>
      <c r="AE813" s="314">
        <v>1.5883</v>
      </c>
      <c r="AF813" s="314">
        <v>1.2786</v>
      </c>
      <c r="AG813" s="314">
        <v>1.3305</v>
      </c>
      <c r="AH813" s="314">
        <v>1.5884</v>
      </c>
      <c r="AI813" s="314">
        <v>1.5759000000000001</v>
      </c>
      <c r="AJ813" s="314">
        <v>1.2910999999999999</v>
      </c>
      <c r="AK813" s="314">
        <v>1.4997</v>
      </c>
      <c r="AL813" s="314">
        <v>1.4937</v>
      </c>
      <c r="AM813" s="314">
        <v>1.6482000000000001</v>
      </c>
      <c r="AN813" s="314">
        <v>1.5515000000000001</v>
      </c>
      <c r="AO813" s="314">
        <v>1.5662</v>
      </c>
      <c r="AP813" s="314">
        <v>1.7043999999999999</v>
      </c>
      <c r="AQ813" s="314">
        <v>1.4945999999999999</v>
      </c>
      <c r="AR813" s="314">
        <v>1.5667</v>
      </c>
      <c r="AS813" s="314">
        <v>1.3522000000000001</v>
      </c>
      <c r="AT813" s="314">
        <v>1.6129</v>
      </c>
      <c r="AU813" s="314">
        <v>1.5953999999999999</v>
      </c>
      <c r="AV813" s="314">
        <v>1.5729</v>
      </c>
      <c r="AW813" s="314">
        <v>1.5246</v>
      </c>
      <c r="AX813" s="314">
        <v>1.3774999999999999</v>
      </c>
      <c r="AY813" s="314">
        <v>1.5218</v>
      </c>
      <c r="AZ813" s="314">
        <v>1.5981000000000001</v>
      </c>
      <c r="BA813" s="314">
        <v>1.3629</v>
      </c>
      <c r="BB813" s="314">
        <v>1.2217</v>
      </c>
      <c r="BC813" s="314">
        <v>1.6146</v>
      </c>
      <c r="BD813" s="314">
        <v>1.6406000000000001</v>
      </c>
      <c r="BE813" s="314">
        <v>1.7079</v>
      </c>
      <c r="BF813" s="314">
        <v>1.5570999999999999</v>
      </c>
      <c r="BG813" s="314">
        <v>1.6176999999999999</v>
      </c>
      <c r="BH813" s="314">
        <v>1.6516</v>
      </c>
      <c r="BI813" s="314">
        <v>1.6135999999999999</v>
      </c>
      <c r="BJ813" s="314">
        <v>1.6019000000000001</v>
      </c>
      <c r="BK813" s="314">
        <v>1.6368</v>
      </c>
    </row>
    <row r="814" spans="1:63" x14ac:dyDescent="0.25">
      <c r="A814" s="306">
        <v>812300</v>
      </c>
      <c r="B814" s="314" t="s">
        <v>355</v>
      </c>
      <c r="C814" s="314">
        <v>1.3424</v>
      </c>
      <c r="D814" s="314">
        <v>1.1375999999999999</v>
      </c>
      <c r="E814" s="314">
        <v>1.2092000000000001</v>
      </c>
      <c r="F814" s="314">
        <v>1.1836</v>
      </c>
      <c r="G814" s="314">
        <v>1.2033</v>
      </c>
      <c r="H814" s="314">
        <v>1.2614000000000001</v>
      </c>
      <c r="I814" s="314">
        <v>1.2490000000000001</v>
      </c>
      <c r="J814" s="314">
        <v>1.2347999999999999</v>
      </c>
      <c r="K814" s="314">
        <v>1.1092</v>
      </c>
      <c r="L814" s="314">
        <v>1.2041999999999999</v>
      </c>
      <c r="M814" s="314">
        <v>1.2161</v>
      </c>
      <c r="N814" s="314">
        <v>1.2701</v>
      </c>
      <c r="O814" s="314">
        <v>1.1906000000000001</v>
      </c>
      <c r="P814" s="314">
        <v>1.1549</v>
      </c>
      <c r="Q814" s="314">
        <v>1.1404000000000001</v>
      </c>
      <c r="R814" s="314">
        <v>1.2843</v>
      </c>
      <c r="S814" s="314">
        <v>1.2243999999999999</v>
      </c>
      <c r="T814" s="314">
        <v>1.1891</v>
      </c>
      <c r="U814" s="314">
        <v>1.2290000000000001</v>
      </c>
      <c r="V814" s="314">
        <v>1.2101999999999999</v>
      </c>
      <c r="W814" s="314">
        <v>1.2363</v>
      </c>
      <c r="X814" s="314">
        <v>1.2178</v>
      </c>
      <c r="Y814" s="314">
        <v>1.1970000000000001</v>
      </c>
      <c r="Z814" s="314">
        <v>1.2297</v>
      </c>
      <c r="AA814" s="314">
        <v>1.226</v>
      </c>
      <c r="AB814" s="314">
        <v>1.254</v>
      </c>
      <c r="AC814" s="314">
        <v>1.1886000000000001</v>
      </c>
      <c r="AD814" s="314">
        <v>1.1406000000000001</v>
      </c>
      <c r="AE814" s="314">
        <v>1.2370000000000001</v>
      </c>
      <c r="AF814" s="314">
        <v>1.133</v>
      </c>
      <c r="AG814" s="314">
        <v>1.1574</v>
      </c>
      <c r="AH814" s="314">
        <v>1.2141999999999999</v>
      </c>
      <c r="AI814" s="314">
        <v>1.2728999999999999</v>
      </c>
      <c r="AJ814" s="314">
        <v>1.1533</v>
      </c>
      <c r="AK814" s="314">
        <v>1.1898</v>
      </c>
      <c r="AL814" s="314">
        <v>1.2293000000000001</v>
      </c>
      <c r="AM814" s="314">
        <v>1.2695000000000001</v>
      </c>
      <c r="AN814" s="314">
        <v>1.2013</v>
      </c>
      <c r="AO814" s="314">
        <v>1.2192000000000001</v>
      </c>
      <c r="AP814" s="314">
        <v>1.2682</v>
      </c>
      <c r="AQ814" s="314">
        <v>1.2205999999999999</v>
      </c>
      <c r="AR814" s="314">
        <v>1.2370000000000001</v>
      </c>
      <c r="AS814" s="314">
        <v>1.1180000000000001</v>
      </c>
      <c r="AT814" s="314">
        <v>1.242</v>
      </c>
      <c r="AU814" s="314">
        <v>1.2607999999999999</v>
      </c>
      <c r="AV814" s="314">
        <v>1.2511000000000001</v>
      </c>
      <c r="AW814" s="314">
        <v>1.2398</v>
      </c>
      <c r="AX814" s="314">
        <v>1.1575</v>
      </c>
      <c r="AY814" s="314">
        <v>1.212</v>
      </c>
      <c r="AZ814" s="314">
        <v>1.2263999999999999</v>
      </c>
      <c r="BA814" s="314">
        <v>1.1680999999999999</v>
      </c>
      <c r="BB814" s="314">
        <v>1.1244000000000001</v>
      </c>
      <c r="BC814" s="314">
        <v>1.2523</v>
      </c>
      <c r="BD814" s="314">
        <v>1.274</v>
      </c>
      <c r="BE814" s="314">
        <v>1.2790999999999999</v>
      </c>
      <c r="BF814" s="314">
        <v>1.2354000000000001</v>
      </c>
      <c r="BG814" s="314">
        <v>1.2766</v>
      </c>
      <c r="BH814" s="314">
        <v>1.2430000000000001</v>
      </c>
      <c r="BI814" s="314">
        <v>1.2585999999999999</v>
      </c>
      <c r="BJ814" s="314">
        <v>1.2377</v>
      </c>
      <c r="BK814" s="314">
        <v>1.2585</v>
      </c>
    </row>
    <row r="815" spans="1:63" x14ac:dyDescent="0.25">
      <c r="A815" s="306">
        <v>812900</v>
      </c>
      <c r="B815" s="314" t="s">
        <v>356</v>
      </c>
      <c r="C815" s="314">
        <v>1.6469</v>
      </c>
      <c r="D815" s="314">
        <v>1.2719</v>
      </c>
      <c r="E815" s="314">
        <v>1.3653999999999999</v>
      </c>
      <c r="F815" s="314">
        <v>1.3272999999999999</v>
      </c>
      <c r="G815" s="314">
        <v>1.4236</v>
      </c>
      <c r="H815" s="314">
        <v>1.5261</v>
      </c>
      <c r="I815" s="314">
        <v>1.5185999999999999</v>
      </c>
      <c r="J815" s="314">
        <v>1.4827999999999999</v>
      </c>
      <c r="K815" s="314">
        <v>1.3616999999999999</v>
      </c>
      <c r="L815" s="314">
        <v>1.3786</v>
      </c>
      <c r="M815" s="314">
        <v>1.4782999999999999</v>
      </c>
      <c r="N815" s="314">
        <v>1.5432999999999999</v>
      </c>
      <c r="O815" s="314">
        <v>1.4023000000000001</v>
      </c>
      <c r="P815" s="314">
        <v>1.3037000000000001</v>
      </c>
      <c r="Q815" s="314">
        <v>1.2883</v>
      </c>
      <c r="R815" s="314">
        <v>1.5553999999999999</v>
      </c>
      <c r="S815" s="314">
        <v>1.4032</v>
      </c>
      <c r="T815" s="314">
        <v>1.3572</v>
      </c>
      <c r="U815" s="314">
        <v>1.3817999999999999</v>
      </c>
      <c r="V815" s="314">
        <v>1.3485</v>
      </c>
      <c r="W815" s="314">
        <v>1.4888999999999999</v>
      </c>
      <c r="X815" s="314">
        <v>1.4798</v>
      </c>
      <c r="Y815" s="314">
        <v>1.3504</v>
      </c>
      <c r="Z815" s="314">
        <v>1.4346000000000001</v>
      </c>
      <c r="AA815" s="314">
        <v>1.4419999999999999</v>
      </c>
      <c r="AB815" s="314">
        <v>1.4665999999999999</v>
      </c>
      <c r="AC815" s="314">
        <v>1.2883</v>
      </c>
      <c r="AD815" s="314">
        <v>1.2724</v>
      </c>
      <c r="AE815" s="314">
        <v>1.4307000000000001</v>
      </c>
      <c r="AF815" s="314">
        <v>1.2091000000000001</v>
      </c>
      <c r="AG815" s="314">
        <v>1.2876000000000001</v>
      </c>
      <c r="AH815" s="314">
        <v>1.4618</v>
      </c>
      <c r="AI815" s="314">
        <v>1.5537000000000001</v>
      </c>
      <c r="AJ815" s="314">
        <v>1.3181</v>
      </c>
      <c r="AK815" s="314">
        <v>1.3896999999999999</v>
      </c>
      <c r="AL815" s="314">
        <v>1.4959</v>
      </c>
      <c r="AM815" s="314">
        <v>1.4791000000000001</v>
      </c>
      <c r="AN815" s="314">
        <v>1.3787</v>
      </c>
      <c r="AO815" s="314">
        <v>1.4133</v>
      </c>
      <c r="AP815" s="314">
        <v>1.4911000000000001</v>
      </c>
      <c r="AQ815" s="314">
        <v>1.4100999999999999</v>
      </c>
      <c r="AR815" s="314">
        <v>1.4300999999999999</v>
      </c>
      <c r="AS815" s="314">
        <v>1.2148000000000001</v>
      </c>
      <c r="AT815" s="314">
        <v>1.492</v>
      </c>
      <c r="AU815" s="314">
        <v>1.5132000000000001</v>
      </c>
      <c r="AV815" s="314">
        <v>1.4659</v>
      </c>
      <c r="AW815" s="314">
        <v>1.4794</v>
      </c>
      <c r="AX815" s="314">
        <v>1.3287</v>
      </c>
      <c r="AY815" s="314">
        <v>1.4285000000000001</v>
      </c>
      <c r="AZ815" s="314">
        <v>1.3762000000000001</v>
      </c>
      <c r="BA815" s="314">
        <v>1.2997000000000001</v>
      </c>
      <c r="BB815" s="314">
        <v>1.2109000000000001</v>
      </c>
      <c r="BC815" s="314">
        <v>1.5029999999999999</v>
      </c>
      <c r="BD815" s="314">
        <v>1.569</v>
      </c>
      <c r="BE815" s="314">
        <v>1.5091000000000001</v>
      </c>
      <c r="BF815" s="314">
        <v>1.4237</v>
      </c>
      <c r="BG815" s="314">
        <v>1.5338000000000001</v>
      </c>
      <c r="BH815" s="314">
        <v>1.4371</v>
      </c>
      <c r="BI815" s="314">
        <v>1.5066999999999999</v>
      </c>
      <c r="BJ815" s="314">
        <v>1.4928999999999999</v>
      </c>
      <c r="BK815" s="314">
        <v>1.526</v>
      </c>
    </row>
    <row r="816" spans="1:63" x14ac:dyDescent="0.25">
      <c r="A816" s="306">
        <v>813100</v>
      </c>
      <c r="B816" s="314" t="s">
        <v>357</v>
      </c>
      <c r="C816" s="314">
        <v>1.8654999999999999</v>
      </c>
      <c r="D816" s="314">
        <v>1.3371</v>
      </c>
      <c r="E816" s="314">
        <v>1.3955</v>
      </c>
      <c r="F816" s="314">
        <v>1.3216000000000001</v>
      </c>
      <c r="G816" s="314">
        <v>1.5265</v>
      </c>
      <c r="H816" s="314">
        <v>1.6986000000000001</v>
      </c>
      <c r="I816" s="314">
        <v>1.6899</v>
      </c>
      <c r="J816" s="314">
        <v>1.6877</v>
      </c>
      <c r="K816" s="314">
        <v>1.4698</v>
      </c>
      <c r="L816" s="314">
        <v>1.601</v>
      </c>
      <c r="M816" s="314">
        <v>1.5965</v>
      </c>
      <c r="N816" s="314">
        <v>1.6153999999999999</v>
      </c>
      <c r="O816" s="314">
        <v>1.4139999999999999</v>
      </c>
      <c r="P816" s="314">
        <v>1.3386</v>
      </c>
      <c r="Q816" s="314">
        <v>1.3339000000000001</v>
      </c>
      <c r="R816" s="314">
        <v>1.7917000000000001</v>
      </c>
      <c r="S816" s="314">
        <v>1.4032</v>
      </c>
      <c r="T816" s="314">
        <v>1.3754999999999999</v>
      </c>
      <c r="U816" s="314">
        <v>1.4318</v>
      </c>
      <c r="V816" s="314">
        <v>1.3732</v>
      </c>
      <c r="W816" s="314">
        <v>1.6986000000000001</v>
      </c>
      <c r="X816" s="314">
        <v>1.6677999999999999</v>
      </c>
      <c r="Y816" s="314">
        <v>1.4181999999999999</v>
      </c>
      <c r="Z816" s="314">
        <v>1.4407000000000001</v>
      </c>
      <c r="AA816" s="314">
        <v>1.5954999999999999</v>
      </c>
      <c r="AB816" s="314">
        <v>1.5495000000000001</v>
      </c>
      <c r="AC816" s="314">
        <v>1.3208</v>
      </c>
      <c r="AD816" s="314">
        <v>1.3396999999999999</v>
      </c>
      <c r="AE816" s="314">
        <v>1.4871000000000001</v>
      </c>
      <c r="AF816" s="314">
        <v>1.2578</v>
      </c>
      <c r="AG816" s="314">
        <v>1.3519000000000001</v>
      </c>
      <c r="AH816" s="314">
        <v>1.6157999999999999</v>
      </c>
      <c r="AI816" s="314">
        <v>1.7793000000000001</v>
      </c>
      <c r="AJ816" s="314">
        <v>1.3528</v>
      </c>
      <c r="AK816" s="314">
        <v>1.4567000000000001</v>
      </c>
      <c r="AL816" s="314">
        <v>1.7381</v>
      </c>
      <c r="AM816" s="314">
        <v>1.488</v>
      </c>
      <c r="AN816" s="314">
        <v>1.3805000000000001</v>
      </c>
      <c r="AO816" s="314">
        <v>1.4786999999999999</v>
      </c>
      <c r="AP816" s="314">
        <v>1.5810999999999999</v>
      </c>
      <c r="AQ816" s="314">
        <v>1.6254</v>
      </c>
      <c r="AR816" s="314">
        <v>1.4779</v>
      </c>
      <c r="AS816" s="314">
        <v>1.2982</v>
      </c>
      <c r="AT816" s="314">
        <v>1.5688</v>
      </c>
      <c r="AU816" s="314">
        <v>1.6598999999999999</v>
      </c>
      <c r="AV816" s="314">
        <v>1.5805</v>
      </c>
      <c r="AW816" s="314">
        <v>1.5792999999999999</v>
      </c>
      <c r="AX816" s="314">
        <v>1.401</v>
      </c>
      <c r="AY816" s="314">
        <v>1.5176000000000001</v>
      </c>
      <c r="AZ816" s="314">
        <v>1.4334</v>
      </c>
      <c r="BA816" s="314">
        <v>1.2826</v>
      </c>
      <c r="BB816" s="314">
        <v>1.2686999999999999</v>
      </c>
      <c r="BC816" s="314">
        <v>1.7203999999999999</v>
      </c>
      <c r="BD816" s="314">
        <v>1.7932999999999999</v>
      </c>
      <c r="BE816" s="314">
        <v>1.5991</v>
      </c>
      <c r="BF816" s="314">
        <v>1.4893000000000001</v>
      </c>
      <c r="BG816" s="314">
        <v>1.6347</v>
      </c>
      <c r="BH816" s="314">
        <v>1.4824999999999999</v>
      </c>
      <c r="BI816" s="314">
        <v>1.6235999999999999</v>
      </c>
      <c r="BJ816" s="314">
        <v>1.5839000000000001</v>
      </c>
      <c r="BK816" s="314">
        <v>1.6671</v>
      </c>
    </row>
    <row r="817" spans="1:63" x14ac:dyDescent="0.25">
      <c r="A817" s="306" t="s">
        <v>788</v>
      </c>
      <c r="B817" s="314" t="s">
        <v>358</v>
      </c>
      <c r="C817" s="314">
        <v>1.9075</v>
      </c>
      <c r="D817" s="314">
        <v>1.4006000000000001</v>
      </c>
      <c r="E817" s="314">
        <v>1.4494</v>
      </c>
      <c r="F817" s="314">
        <v>1.3888</v>
      </c>
      <c r="G817" s="314">
        <v>1.6054999999999999</v>
      </c>
      <c r="H817" s="314">
        <v>1.7484</v>
      </c>
      <c r="I817" s="314">
        <v>1.7414000000000001</v>
      </c>
      <c r="J817" s="314">
        <v>1.6880999999999999</v>
      </c>
      <c r="K817" s="314">
        <v>1.5523</v>
      </c>
      <c r="L817" s="314">
        <v>1.5736000000000001</v>
      </c>
      <c r="M817" s="314">
        <v>1.6692</v>
      </c>
      <c r="N817" s="314">
        <v>1.7381</v>
      </c>
      <c r="O817" s="314">
        <v>1.4935</v>
      </c>
      <c r="P817" s="314">
        <v>1.3871</v>
      </c>
      <c r="Q817" s="314">
        <v>1.3656999999999999</v>
      </c>
      <c r="R817" s="314">
        <v>1.8082</v>
      </c>
      <c r="S817" s="314">
        <v>1.4866999999999999</v>
      </c>
      <c r="T817" s="314">
        <v>1.4744999999999999</v>
      </c>
      <c r="U817" s="314">
        <v>1.5128999999999999</v>
      </c>
      <c r="V817" s="314">
        <v>1.4421999999999999</v>
      </c>
      <c r="W817" s="314">
        <v>1.7263999999999999</v>
      </c>
      <c r="X817" s="314">
        <v>1.7199</v>
      </c>
      <c r="Y817" s="314">
        <v>1.5077</v>
      </c>
      <c r="Z817" s="314">
        <v>1.5533999999999999</v>
      </c>
      <c r="AA817" s="314">
        <v>1.6363000000000001</v>
      </c>
      <c r="AB817" s="314">
        <v>1.6167</v>
      </c>
      <c r="AC817" s="314">
        <v>1.3602000000000001</v>
      </c>
      <c r="AD817" s="314">
        <v>1.3797999999999999</v>
      </c>
      <c r="AE817" s="314">
        <v>1.5753999999999999</v>
      </c>
      <c r="AF817" s="314">
        <v>1.2767999999999999</v>
      </c>
      <c r="AG817" s="314">
        <v>1.3874</v>
      </c>
      <c r="AH817" s="314">
        <v>1.6443000000000001</v>
      </c>
      <c r="AI817" s="314">
        <v>1.81</v>
      </c>
      <c r="AJ817" s="314">
        <v>1.4118999999999999</v>
      </c>
      <c r="AK817" s="314">
        <v>1.5128999999999999</v>
      </c>
      <c r="AL817" s="314">
        <v>1.7216</v>
      </c>
      <c r="AM817" s="314">
        <v>1.6011</v>
      </c>
      <c r="AN817" s="314">
        <v>1.4903999999999999</v>
      </c>
      <c r="AO817" s="314">
        <v>1.5605</v>
      </c>
      <c r="AP817" s="314">
        <v>1.6702999999999999</v>
      </c>
      <c r="AQ817" s="314">
        <v>1.6109</v>
      </c>
      <c r="AR817" s="314">
        <v>1.5569</v>
      </c>
      <c r="AS817" s="314">
        <v>1.2891999999999999</v>
      </c>
      <c r="AT817" s="314">
        <v>1.6428</v>
      </c>
      <c r="AU817" s="314">
        <v>1.7202999999999999</v>
      </c>
      <c r="AV817" s="314">
        <v>1.6615</v>
      </c>
      <c r="AW817" s="314">
        <v>1.6823999999999999</v>
      </c>
      <c r="AX817" s="314">
        <v>1.4799</v>
      </c>
      <c r="AY817" s="314">
        <v>1.599</v>
      </c>
      <c r="AZ817" s="314">
        <v>1.5097</v>
      </c>
      <c r="BA817" s="314">
        <v>1.3704000000000001</v>
      </c>
      <c r="BB817" s="314">
        <v>1.2895000000000001</v>
      </c>
      <c r="BC817" s="314">
        <v>1.7396</v>
      </c>
      <c r="BD817" s="314">
        <v>1.8109999999999999</v>
      </c>
      <c r="BE817" s="314">
        <v>1.6909000000000001</v>
      </c>
      <c r="BF817" s="314">
        <v>1.5609999999999999</v>
      </c>
      <c r="BG817" s="314">
        <v>1.7478</v>
      </c>
      <c r="BH817" s="314">
        <v>1.5669999999999999</v>
      </c>
      <c r="BI817" s="314">
        <v>1.7028000000000001</v>
      </c>
      <c r="BJ817" s="314">
        <v>1.6640999999999999</v>
      </c>
      <c r="BK817" s="314">
        <v>1.7333000000000001</v>
      </c>
    </row>
    <row r="818" spans="1:63" x14ac:dyDescent="0.25">
      <c r="A818" s="306" t="s">
        <v>789</v>
      </c>
      <c r="B818" s="314" t="s">
        <v>359</v>
      </c>
      <c r="C818" s="314">
        <v>1.9341999999999999</v>
      </c>
      <c r="D818" s="314">
        <v>1.4251</v>
      </c>
      <c r="E818" s="314">
        <v>1.5281</v>
      </c>
      <c r="F818" s="314">
        <v>1.4327000000000001</v>
      </c>
      <c r="G818" s="314">
        <v>1.5953999999999999</v>
      </c>
      <c r="H818" s="314">
        <v>1.7573000000000001</v>
      </c>
      <c r="I818" s="314">
        <v>1.7317</v>
      </c>
      <c r="J818" s="314">
        <v>1.6878</v>
      </c>
      <c r="K818" s="314">
        <v>1.4722999999999999</v>
      </c>
      <c r="L818" s="314">
        <v>1.629</v>
      </c>
      <c r="M818" s="314">
        <v>1.6553</v>
      </c>
      <c r="N818" s="314">
        <v>1.7366999999999999</v>
      </c>
      <c r="O818" s="314">
        <v>1.5095000000000001</v>
      </c>
      <c r="P818" s="314">
        <v>1.4583999999999999</v>
      </c>
      <c r="Q818" s="314">
        <v>1.4016</v>
      </c>
      <c r="R818" s="314">
        <v>1.8045</v>
      </c>
      <c r="S818" s="314">
        <v>1.5122</v>
      </c>
      <c r="T818" s="314">
        <v>1.5096000000000001</v>
      </c>
      <c r="U818" s="314">
        <v>1.5459000000000001</v>
      </c>
      <c r="V818" s="314">
        <v>1.4551000000000001</v>
      </c>
      <c r="W818" s="314">
        <v>1.7222</v>
      </c>
      <c r="X818" s="314">
        <v>1.6707000000000001</v>
      </c>
      <c r="Y818" s="314">
        <v>1.5250999999999999</v>
      </c>
      <c r="Z818" s="314">
        <v>1.5766</v>
      </c>
      <c r="AA818" s="314">
        <v>1.66</v>
      </c>
      <c r="AB818" s="314">
        <v>1.6645000000000001</v>
      </c>
      <c r="AC818" s="314">
        <v>1.4244000000000001</v>
      </c>
      <c r="AD818" s="314">
        <v>1.4254</v>
      </c>
      <c r="AE818" s="314">
        <v>1.5813999999999999</v>
      </c>
      <c r="AF818" s="314">
        <v>1.3513999999999999</v>
      </c>
      <c r="AG818" s="314">
        <v>1.4181999999999999</v>
      </c>
      <c r="AH818" s="314">
        <v>1.6011</v>
      </c>
      <c r="AI818" s="314">
        <v>1.7806999999999999</v>
      </c>
      <c r="AJ818" s="314">
        <v>1.4052</v>
      </c>
      <c r="AK818" s="314">
        <v>1.53</v>
      </c>
      <c r="AL818" s="314">
        <v>1.7594000000000001</v>
      </c>
      <c r="AM818" s="314">
        <v>1.6351</v>
      </c>
      <c r="AN818" s="314">
        <v>1.5189999999999999</v>
      </c>
      <c r="AO818" s="314">
        <v>1.5640000000000001</v>
      </c>
      <c r="AP818" s="314">
        <v>1.7115</v>
      </c>
      <c r="AQ818" s="314">
        <v>1.6061000000000001</v>
      </c>
      <c r="AR818" s="314">
        <v>1.5924</v>
      </c>
      <c r="AS818" s="314">
        <v>1.3951</v>
      </c>
      <c r="AT818" s="314">
        <v>1.6823999999999999</v>
      </c>
      <c r="AU818" s="314">
        <v>1.7542</v>
      </c>
      <c r="AV818" s="314">
        <v>1.6993</v>
      </c>
      <c r="AW818" s="314">
        <v>1.649</v>
      </c>
      <c r="AX818" s="314">
        <v>1.4985999999999999</v>
      </c>
      <c r="AY818" s="314">
        <v>1.6034999999999999</v>
      </c>
      <c r="AZ818" s="314">
        <v>1.5455000000000001</v>
      </c>
      <c r="BA818" s="314">
        <v>1.3942000000000001</v>
      </c>
      <c r="BB818" s="314">
        <v>1.3314999999999999</v>
      </c>
      <c r="BC818" s="314">
        <v>1.7437</v>
      </c>
      <c r="BD818" s="314">
        <v>1.8346</v>
      </c>
      <c r="BE818" s="314">
        <v>1.7031000000000001</v>
      </c>
      <c r="BF818" s="314">
        <v>1.6041000000000001</v>
      </c>
      <c r="BG818" s="314">
        <v>1.7365999999999999</v>
      </c>
      <c r="BH818" s="314">
        <v>1.6291</v>
      </c>
      <c r="BI818" s="314">
        <v>1.7323</v>
      </c>
      <c r="BJ818" s="314">
        <v>1.6677</v>
      </c>
      <c r="BK818" s="314">
        <v>1.7464</v>
      </c>
    </row>
    <row r="819" spans="1:63" x14ac:dyDescent="0.25">
      <c r="A819" s="306" t="s">
        <v>790</v>
      </c>
      <c r="B819" s="314" t="s">
        <v>791</v>
      </c>
      <c r="C819" s="314">
        <v>0</v>
      </c>
      <c r="D819" s="314">
        <v>0</v>
      </c>
      <c r="E819" s="314">
        <v>0</v>
      </c>
      <c r="F819" s="314">
        <v>0</v>
      </c>
      <c r="G819" s="314">
        <v>0</v>
      </c>
      <c r="H819" s="314">
        <v>0</v>
      </c>
      <c r="I819" s="314">
        <v>0</v>
      </c>
      <c r="J819" s="314">
        <v>0</v>
      </c>
      <c r="K819" s="314">
        <v>0</v>
      </c>
      <c r="L819" s="314">
        <v>0</v>
      </c>
      <c r="M819" s="314">
        <v>0</v>
      </c>
      <c r="N819" s="314">
        <v>0</v>
      </c>
      <c r="O819" s="314">
        <v>0</v>
      </c>
      <c r="P819" s="314">
        <v>0</v>
      </c>
      <c r="Q819" s="314">
        <v>0</v>
      </c>
      <c r="R819" s="314">
        <v>0</v>
      </c>
      <c r="S819" s="314">
        <v>0</v>
      </c>
      <c r="T819" s="314">
        <v>0</v>
      </c>
      <c r="U819" s="314">
        <v>0</v>
      </c>
      <c r="V819" s="314">
        <v>0</v>
      </c>
      <c r="W819" s="314">
        <v>0</v>
      </c>
      <c r="X819" s="314">
        <v>0</v>
      </c>
      <c r="Y819" s="314">
        <v>0</v>
      </c>
      <c r="Z819" s="314">
        <v>0</v>
      </c>
      <c r="AA819" s="314">
        <v>0</v>
      </c>
      <c r="AB819" s="314">
        <v>0</v>
      </c>
      <c r="AC819" s="314">
        <v>0</v>
      </c>
      <c r="AD819" s="314">
        <v>0</v>
      </c>
      <c r="AE819" s="314">
        <v>0</v>
      </c>
      <c r="AF819" s="314">
        <v>0</v>
      </c>
      <c r="AG819" s="314">
        <v>0</v>
      </c>
      <c r="AH819" s="314">
        <v>0</v>
      </c>
      <c r="AI819" s="314">
        <v>0</v>
      </c>
      <c r="AJ819" s="314">
        <v>0</v>
      </c>
      <c r="AK819" s="314">
        <v>0</v>
      </c>
      <c r="AL819" s="314">
        <v>0</v>
      </c>
      <c r="AM819" s="314">
        <v>0</v>
      </c>
      <c r="AN819" s="314">
        <v>0</v>
      </c>
      <c r="AO819" s="314">
        <v>0</v>
      </c>
      <c r="AP819" s="314">
        <v>0</v>
      </c>
      <c r="AQ819" s="314">
        <v>0</v>
      </c>
      <c r="AR819" s="314">
        <v>0</v>
      </c>
      <c r="AS819" s="314">
        <v>0</v>
      </c>
      <c r="AT819" s="314">
        <v>0</v>
      </c>
      <c r="AU819" s="314">
        <v>0</v>
      </c>
      <c r="AV819" s="314">
        <v>0</v>
      </c>
      <c r="AW819" s="314">
        <v>0</v>
      </c>
      <c r="AX819" s="314">
        <v>0</v>
      </c>
      <c r="AY819" s="314">
        <v>0</v>
      </c>
      <c r="AZ819" s="314">
        <v>0</v>
      </c>
      <c r="BA819" s="314">
        <v>0</v>
      </c>
      <c r="BB819" s="314">
        <v>0</v>
      </c>
      <c r="BC819" s="314">
        <v>0</v>
      </c>
      <c r="BD819" s="314">
        <v>0</v>
      </c>
      <c r="BE819" s="314">
        <v>0</v>
      </c>
      <c r="BF819" s="314">
        <v>0</v>
      </c>
      <c r="BG819" s="314">
        <v>0</v>
      </c>
      <c r="BH819" s="314">
        <v>0</v>
      </c>
      <c r="BI819" s="314">
        <v>0</v>
      </c>
      <c r="BJ819" s="314">
        <v>0</v>
      </c>
      <c r="BK819" s="314">
        <v>0</v>
      </c>
    </row>
    <row r="820" spans="1:63" x14ac:dyDescent="0.25">
      <c r="A820" s="306" t="s">
        <v>792</v>
      </c>
      <c r="B820" s="314" t="s">
        <v>793</v>
      </c>
      <c r="C820" s="314">
        <v>1.4676</v>
      </c>
      <c r="D820" s="314">
        <v>1.1980999999999999</v>
      </c>
      <c r="E820" s="314">
        <v>1.3032999999999999</v>
      </c>
      <c r="F820" s="314">
        <v>1.2237</v>
      </c>
      <c r="G820" s="314">
        <v>1.3555999999999999</v>
      </c>
      <c r="H820" s="314">
        <v>1.3611</v>
      </c>
      <c r="I820" s="314">
        <v>1.3980999999999999</v>
      </c>
      <c r="J820" s="314">
        <v>1.3456999999999999</v>
      </c>
      <c r="K820" s="314">
        <v>1.2322</v>
      </c>
      <c r="L820" s="314">
        <v>1.3566</v>
      </c>
      <c r="M820" s="314">
        <v>1.3759999999999999</v>
      </c>
      <c r="N820" s="314">
        <v>1.4057999999999999</v>
      </c>
      <c r="O820" s="314">
        <v>1.2592000000000001</v>
      </c>
      <c r="P820" s="314">
        <v>1.2944</v>
      </c>
      <c r="Q820" s="314">
        <v>1.2396</v>
      </c>
      <c r="R820" s="314">
        <v>1.4127000000000001</v>
      </c>
      <c r="S820" s="314">
        <v>1.3001</v>
      </c>
      <c r="T820" s="314">
        <v>1.2391000000000001</v>
      </c>
      <c r="U820" s="314">
        <v>1.3198000000000001</v>
      </c>
      <c r="V820" s="314">
        <v>1.2478</v>
      </c>
      <c r="W820" s="314">
        <v>1.3149</v>
      </c>
      <c r="X820" s="314">
        <v>1.3651</v>
      </c>
      <c r="Y820" s="314">
        <v>1.3059000000000001</v>
      </c>
      <c r="Z820" s="314">
        <v>1.3006</v>
      </c>
      <c r="AA820" s="314">
        <v>1.3357000000000001</v>
      </c>
      <c r="AB820" s="314">
        <v>1.3648</v>
      </c>
      <c r="AC820" s="314">
        <v>1.2571000000000001</v>
      </c>
      <c r="AD820" s="314">
        <v>1.2342</v>
      </c>
      <c r="AE820" s="314">
        <v>1.3233999999999999</v>
      </c>
      <c r="AF820" s="314">
        <v>1.2068000000000001</v>
      </c>
      <c r="AG820" s="314">
        <v>1.2592000000000001</v>
      </c>
      <c r="AH820" s="314">
        <v>1.3231999999999999</v>
      </c>
      <c r="AI820" s="314">
        <v>1.379</v>
      </c>
      <c r="AJ820" s="314">
        <v>1.2190000000000001</v>
      </c>
      <c r="AK820" s="314">
        <v>1.3203</v>
      </c>
      <c r="AL820" s="314">
        <v>1.357</v>
      </c>
      <c r="AM820" s="314">
        <v>1.3434999999999999</v>
      </c>
      <c r="AN820" s="314">
        <v>1.2554000000000001</v>
      </c>
      <c r="AO820" s="314">
        <v>1.3416999999999999</v>
      </c>
      <c r="AP820" s="314">
        <v>1.3592</v>
      </c>
      <c r="AQ820" s="314">
        <v>1.3189</v>
      </c>
      <c r="AR820" s="314">
        <v>1.3733</v>
      </c>
      <c r="AS820" s="314">
        <v>1.2561</v>
      </c>
      <c r="AT820" s="314">
        <v>1.3772</v>
      </c>
      <c r="AU820" s="314">
        <v>1.407</v>
      </c>
      <c r="AV820" s="314">
        <v>1.377</v>
      </c>
      <c r="AW820" s="314">
        <v>1.3751</v>
      </c>
      <c r="AX820" s="314">
        <v>1.2454000000000001</v>
      </c>
      <c r="AY820" s="314">
        <v>1.3369</v>
      </c>
      <c r="AZ820" s="314">
        <v>1.2988</v>
      </c>
      <c r="BA820" s="314">
        <v>1.2158</v>
      </c>
      <c r="BB820" s="314">
        <v>1.1758999999999999</v>
      </c>
      <c r="BC820" s="314">
        <v>1.3527</v>
      </c>
      <c r="BD820" s="314">
        <v>1.3978999999999999</v>
      </c>
      <c r="BE820" s="314">
        <v>1.3722000000000001</v>
      </c>
      <c r="BF820" s="314">
        <v>1.3342000000000001</v>
      </c>
      <c r="BG820" s="314">
        <v>1.4120999999999999</v>
      </c>
      <c r="BH820" s="314">
        <v>1.3519000000000001</v>
      </c>
      <c r="BI820" s="314">
        <v>1.4028</v>
      </c>
      <c r="BJ820" s="314">
        <v>1.377</v>
      </c>
      <c r="BK820" s="314">
        <v>1.3721000000000001</v>
      </c>
    </row>
    <row r="821" spans="1:63" x14ac:dyDescent="0.25">
      <c r="A821" s="306" t="s">
        <v>794</v>
      </c>
      <c r="B821" s="314" t="s">
        <v>795</v>
      </c>
      <c r="C821" s="314">
        <v>1.9187000000000001</v>
      </c>
      <c r="D821" s="314">
        <v>1.5132000000000001</v>
      </c>
      <c r="E821" s="314">
        <v>1.6455</v>
      </c>
      <c r="F821" s="314">
        <v>1.5284</v>
      </c>
      <c r="G821" s="314">
        <v>1.6039000000000001</v>
      </c>
      <c r="H821" s="314">
        <v>1.6969000000000001</v>
      </c>
      <c r="I821" s="314">
        <v>1.7121999999999999</v>
      </c>
      <c r="J821" s="314">
        <v>1.5511999999999999</v>
      </c>
      <c r="K821" s="314">
        <v>1.3002</v>
      </c>
      <c r="L821" s="314">
        <v>1.5313000000000001</v>
      </c>
      <c r="M821" s="314">
        <v>1.5832999999999999</v>
      </c>
      <c r="N821" s="314">
        <v>1.6709000000000001</v>
      </c>
      <c r="O821" s="314">
        <v>1.5177</v>
      </c>
      <c r="P821" s="314">
        <v>1.4083000000000001</v>
      </c>
      <c r="Q821" s="314">
        <v>1.4545999999999999</v>
      </c>
      <c r="R821" s="314">
        <v>1.7060999999999999</v>
      </c>
      <c r="S821" s="314">
        <v>1.5988</v>
      </c>
      <c r="T821" s="314">
        <v>1.5390999999999999</v>
      </c>
      <c r="U821" s="314">
        <v>1.5805</v>
      </c>
      <c r="V821" s="314">
        <v>1.6149</v>
      </c>
      <c r="W821" s="314">
        <v>1.595</v>
      </c>
      <c r="X821" s="314">
        <v>1.5640000000000001</v>
      </c>
      <c r="Y821" s="314">
        <v>1.5145999999999999</v>
      </c>
      <c r="Z821" s="314">
        <v>1.5753999999999999</v>
      </c>
      <c r="AA821" s="314">
        <v>1.5731999999999999</v>
      </c>
      <c r="AB821" s="314">
        <v>1.6533</v>
      </c>
      <c r="AC821" s="314">
        <v>1.5361</v>
      </c>
      <c r="AD821" s="314">
        <v>1.5153000000000001</v>
      </c>
      <c r="AE821" s="314">
        <v>1.5609999999999999</v>
      </c>
      <c r="AF821" s="314">
        <v>1.4134</v>
      </c>
      <c r="AG821" s="314">
        <v>1.4124000000000001</v>
      </c>
      <c r="AH821" s="314">
        <v>1.5556000000000001</v>
      </c>
      <c r="AI821" s="314">
        <v>1.6692</v>
      </c>
      <c r="AJ821" s="314">
        <v>1.5263</v>
      </c>
      <c r="AK821" s="314">
        <v>1.5448</v>
      </c>
      <c r="AL821" s="314">
        <v>1.5329999999999999</v>
      </c>
      <c r="AM821" s="314">
        <v>1.67</v>
      </c>
      <c r="AN821" s="314">
        <v>1.6263000000000001</v>
      </c>
      <c r="AO821" s="314">
        <v>1.6103000000000001</v>
      </c>
      <c r="AP821" s="314">
        <v>1.7286999999999999</v>
      </c>
      <c r="AQ821" s="314">
        <v>1.5163</v>
      </c>
      <c r="AR821" s="314">
        <v>1.6435999999999999</v>
      </c>
      <c r="AS821" s="314">
        <v>1.3612</v>
      </c>
      <c r="AT821" s="314">
        <v>1.6615</v>
      </c>
      <c r="AU821" s="314">
        <v>1.796</v>
      </c>
      <c r="AV821" s="314">
        <v>1.7219</v>
      </c>
      <c r="AW821" s="314">
        <v>1.6194</v>
      </c>
      <c r="AX821" s="314">
        <v>1.4976</v>
      </c>
      <c r="AY821" s="314">
        <v>1.6349</v>
      </c>
      <c r="AZ821" s="314">
        <v>1.5429999999999999</v>
      </c>
      <c r="BA821" s="314">
        <v>1.5487</v>
      </c>
      <c r="BB821" s="314">
        <v>1.4671000000000001</v>
      </c>
      <c r="BC821" s="314">
        <v>1.6197999999999999</v>
      </c>
      <c r="BD821" s="314">
        <v>1.6705000000000001</v>
      </c>
      <c r="BE821" s="314">
        <v>1.7005999999999999</v>
      </c>
      <c r="BF821" s="314">
        <v>1.5880000000000001</v>
      </c>
      <c r="BG821" s="314">
        <v>1.6932</v>
      </c>
      <c r="BH821" s="314">
        <v>1.696</v>
      </c>
      <c r="BI821" s="314">
        <v>1.8004</v>
      </c>
      <c r="BJ821" s="314">
        <v>1.7208000000000001</v>
      </c>
      <c r="BK821" s="314">
        <v>1.7209000000000001</v>
      </c>
    </row>
    <row r="823" spans="1:63" s="135" customFormat="1" x14ac:dyDescent="0.25">
      <c r="A823" s="136"/>
    </row>
    <row r="825" spans="1:63" x14ac:dyDescent="0.25">
      <c r="B825" s="2" t="s">
        <v>1066</v>
      </c>
    </row>
    <row r="826" spans="1:63" x14ac:dyDescent="0.25">
      <c r="A826" s="306" t="s">
        <v>617</v>
      </c>
      <c r="B826" s="315" t="s">
        <v>618</v>
      </c>
      <c r="C826" s="315" t="s">
        <v>1381</v>
      </c>
      <c r="D826" s="315" t="s">
        <v>1382</v>
      </c>
      <c r="E826" s="315" t="s">
        <v>1383</v>
      </c>
      <c r="F826" s="315" t="s">
        <v>1384</v>
      </c>
      <c r="G826" s="315" t="s">
        <v>1385</v>
      </c>
      <c r="H826" s="315" t="s">
        <v>1386</v>
      </c>
      <c r="I826" s="315" t="s">
        <v>1387</v>
      </c>
      <c r="J826" s="315" t="s">
        <v>1388</v>
      </c>
      <c r="K826" s="315" t="s">
        <v>1389</v>
      </c>
      <c r="L826" s="315" t="s">
        <v>1390</v>
      </c>
      <c r="M826" s="315" t="s">
        <v>1391</v>
      </c>
      <c r="N826" s="315" t="s">
        <v>1392</v>
      </c>
      <c r="O826" s="315" t="s">
        <v>1393</v>
      </c>
      <c r="P826" s="315" t="s">
        <v>1394</v>
      </c>
      <c r="Q826" s="315" t="s">
        <v>1395</v>
      </c>
      <c r="R826" s="315" t="s">
        <v>1396</v>
      </c>
      <c r="S826" s="315" t="s">
        <v>1397</v>
      </c>
      <c r="T826" s="315" t="s">
        <v>1398</v>
      </c>
      <c r="U826" s="315" t="s">
        <v>1399</v>
      </c>
      <c r="V826" s="315" t="s">
        <v>1400</v>
      </c>
      <c r="W826" s="315" t="s">
        <v>1401</v>
      </c>
      <c r="X826" s="315" t="s">
        <v>1402</v>
      </c>
      <c r="Y826" s="315" t="s">
        <v>1403</v>
      </c>
      <c r="Z826" s="315" t="s">
        <v>1404</v>
      </c>
      <c r="AA826" s="315" t="s">
        <v>1405</v>
      </c>
      <c r="AB826" s="315" t="s">
        <v>1406</v>
      </c>
      <c r="AC826" s="315" t="s">
        <v>1407</v>
      </c>
      <c r="AD826" s="315" t="s">
        <v>1408</v>
      </c>
      <c r="AE826" s="315" t="s">
        <v>1409</v>
      </c>
      <c r="AF826" s="315" t="s">
        <v>1410</v>
      </c>
      <c r="AG826" s="315" t="s">
        <v>1411</v>
      </c>
      <c r="AH826" s="315" t="s">
        <v>1412</v>
      </c>
      <c r="AI826" s="315" t="s">
        <v>1413</v>
      </c>
      <c r="AJ826" s="315" t="s">
        <v>1414</v>
      </c>
      <c r="AK826" s="315" t="s">
        <v>1415</v>
      </c>
      <c r="AL826" s="315" t="s">
        <v>1416</v>
      </c>
      <c r="AM826" s="315" t="s">
        <v>1417</v>
      </c>
      <c r="AN826" s="315" t="s">
        <v>1418</v>
      </c>
      <c r="AO826" s="315" t="s">
        <v>1419</v>
      </c>
      <c r="AP826" s="315" t="s">
        <v>1420</v>
      </c>
      <c r="AQ826" s="315" t="s">
        <v>1421</v>
      </c>
      <c r="AR826" s="315" t="s">
        <v>1422</v>
      </c>
      <c r="AS826" s="315" t="s">
        <v>1423</v>
      </c>
      <c r="AT826" s="315" t="s">
        <v>1424</v>
      </c>
      <c r="AU826" s="315" t="s">
        <v>1425</v>
      </c>
      <c r="AV826" s="315" t="s">
        <v>1426</v>
      </c>
      <c r="AW826" s="315" t="s">
        <v>1427</v>
      </c>
      <c r="AX826" s="315" t="s">
        <v>1428</v>
      </c>
      <c r="AY826" s="315" t="s">
        <v>1429</v>
      </c>
      <c r="AZ826" s="315" t="s">
        <v>1430</v>
      </c>
      <c r="BA826" s="315" t="s">
        <v>1431</v>
      </c>
      <c r="BB826" s="315" t="s">
        <v>1432</v>
      </c>
      <c r="BC826" s="315" t="s">
        <v>1433</v>
      </c>
      <c r="BD826" s="315" t="s">
        <v>1434</v>
      </c>
      <c r="BE826" s="315" t="s">
        <v>1435</v>
      </c>
      <c r="BF826" s="315" t="s">
        <v>1436</v>
      </c>
      <c r="BG826" s="315" t="s">
        <v>1437</v>
      </c>
      <c r="BH826" s="315" t="s">
        <v>1438</v>
      </c>
      <c r="BI826" s="315" t="s">
        <v>1439</v>
      </c>
      <c r="BJ826" s="315" t="s">
        <v>1440</v>
      </c>
      <c r="BK826" s="315" t="s">
        <v>1441</v>
      </c>
    </row>
    <row r="827" spans="1:63" x14ac:dyDescent="0.25">
      <c r="A827" s="306" t="s">
        <v>680</v>
      </c>
      <c r="B827" s="315" t="s">
        <v>681</v>
      </c>
      <c r="C827" s="315">
        <v>2.8889</v>
      </c>
      <c r="D827" s="315">
        <v>1.6476999999999999</v>
      </c>
      <c r="E827" s="315">
        <v>2.0152999999999999</v>
      </c>
      <c r="F827" s="315">
        <v>1.9914000000000001</v>
      </c>
      <c r="G827" s="315">
        <v>1.9898</v>
      </c>
      <c r="H827" s="315">
        <v>2.1358000000000001</v>
      </c>
      <c r="I827" s="315">
        <v>2.1353</v>
      </c>
      <c r="J827" s="315">
        <v>1.6973</v>
      </c>
      <c r="K827" s="315">
        <v>0</v>
      </c>
      <c r="L827" s="315">
        <v>1.8152999999999999</v>
      </c>
      <c r="M827" s="315">
        <v>1.9945999999999999</v>
      </c>
      <c r="N827" s="315">
        <v>2.1215999999999999</v>
      </c>
      <c r="O827" s="315">
        <v>1.8260000000000001</v>
      </c>
      <c r="P827" s="315">
        <v>1.8764000000000001</v>
      </c>
      <c r="Q827" s="315">
        <v>1.8469</v>
      </c>
      <c r="R827" s="315">
        <v>2.2568999999999999</v>
      </c>
      <c r="S827" s="315">
        <v>2.0045999999999999</v>
      </c>
      <c r="T827" s="315">
        <v>1.9133</v>
      </c>
      <c r="U827" s="315">
        <v>2.0318999999999998</v>
      </c>
      <c r="V827" s="315">
        <v>2.0598999999999998</v>
      </c>
      <c r="W827" s="315">
        <v>1.8226</v>
      </c>
      <c r="X827" s="315">
        <v>1.8391999999999999</v>
      </c>
      <c r="Y827" s="315">
        <v>1.7487999999999999</v>
      </c>
      <c r="Z827" s="315">
        <v>1.9137</v>
      </c>
      <c r="AA827" s="315">
        <v>2.0533000000000001</v>
      </c>
      <c r="AB827" s="315">
        <v>2.2223000000000002</v>
      </c>
      <c r="AC827" s="315">
        <v>2.0106999999999999</v>
      </c>
      <c r="AD827" s="315">
        <v>1.9726999999999999</v>
      </c>
      <c r="AE827" s="315">
        <v>1.9937</v>
      </c>
      <c r="AF827" s="315">
        <v>1.7762</v>
      </c>
      <c r="AG827" s="315">
        <v>1.8029999999999999</v>
      </c>
      <c r="AH827" s="315">
        <v>1.6884999999999999</v>
      </c>
      <c r="AI827" s="315">
        <v>1.9642999999999999</v>
      </c>
      <c r="AJ827" s="315">
        <v>1.7867</v>
      </c>
      <c r="AK827" s="315">
        <v>1.694</v>
      </c>
      <c r="AL827" s="315">
        <v>1.7666999999999999</v>
      </c>
      <c r="AM827" s="315">
        <v>2.0857999999999999</v>
      </c>
      <c r="AN827" s="315">
        <v>2.0245000000000002</v>
      </c>
      <c r="AO827" s="315">
        <v>2.0087000000000002</v>
      </c>
      <c r="AP827" s="315">
        <v>1.9810000000000001</v>
      </c>
      <c r="AQ827" s="315">
        <v>1.6707000000000001</v>
      </c>
      <c r="AR827" s="315">
        <v>1.994</v>
      </c>
      <c r="AS827" s="315">
        <v>1.6904999999999999</v>
      </c>
      <c r="AT827" s="315">
        <v>2.0188000000000001</v>
      </c>
      <c r="AU827" s="315">
        <v>2.3357000000000001</v>
      </c>
      <c r="AV827" s="315">
        <v>2.0533000000000001</v>
      </c>
      <c r="AW827" s="315">
        <v>1.8359000000000001</v>
      </c>
      <c r="AX827" s="315">
        <v>1.7023999999999999</v>
      </c>
      <c r="AY827" s="315">
        <v>2.1179000000000001</v>
      </c>
      <c r="AZ827" s="315">
        <v>2.0318999999999998</v>
      </c>
      <c r="BA827" s="315">
        <v>1.6653</v>
      </c>
      <c r="BB827" s="315">
        <v>1.6767000000000001</v>
      </c>
      <c r="BC827" s="315">
        <v>1.8489</v>
      </c>
      <c r="BD827" s="315">
        <v>1.9891000000000001</v>
      </c>
      <c r="BE827" s="315">
        <v>2.2726000000000002</v>
      </c>
      <c r="BF827" s="315">
        <v>2.1501000000000001</v>
      </c>
      <c r="BG827" s="315">
        <v>2.2311999999999999</v>
      </c>
      <c r="BH827" s="315">
        <v>2.2383000000000002</v>
      </c>
      <c r="BI827" s="315">
        <v>2.4649999999999999</v>
      </c>
      <c r="BJ827" s="315">
        <v>2.2749999999999999</v>
      </c>
      <c r="BK827" s="315">
        <v>2.1770999999999998</v>
      </c>
    </row>
    <row r="828" spans="1:63" x14ac:dyDescent="0.25">
      <c r="A828" s="306">
        <v>111200</v>
      </c>
      <c r="B828" s="315" t="s">
        <v>11</v>
      </c>
      <c r="C828" s="315">
        <v>2.5642999999999998</v>
      </c>
      <c r="D828" s="315">
        <v>1.4984</v>
      </c>
      <c r="E828" s="315">
        <v>1.9021999999999999</v>
      </c>
      <c r="F828" s="315">
        <v>1.7937000000000001</v>
      </c>
      <c r="G828" s="315">
        <v>1.8914</v>
      </c>
      <c r="H828" s="315">
        <v>2.0194000000000001</v>
      </c>
      <c r="I828" s="315">
        <v>1.9151</v>
      </c>
      <c r="J828" s="315">
        <v>1.6133999999999999</v>
      </c>
      <c r="K828" s="315">
        <v>0</v>
      </c>
      <c r="L828" s="315">
        <v>1.6549</v>
      </c>
      <c r="M828" s="315">
        <v>1.9036999999999999</v>
      </c>
      <c r="N828" s="315">
        <v>2.0013999999999998</v>
      </c>
      <c r="O828" s="315">
        <v>1.7084999999999999</v>
      </c>
      <c r="P828" s="315">
        <v>1.7053</v>
      </c>
      <c r="Q828" s="315">
        <v>1.6789000000000001</v>
      </c>
      <c r="R828" s="315">
        <v>1.9439</v>
      </c>
      <c r="S828" s="315">
        <v>1.7882</v>
      </c>
      <c r="T828" s="315">
        <v>1.6678999999999999</v>
      </c>
      <c r="U828" s="315">
        <v>1.8566</v>
      </c>
      <c r="V828" s="315">
        <v>1.8286</v>
      </c>
      <c r="W828" s="315">
        <v>1.7024999999999999</v>
      </c>
      <c r="X828" s="315">
        <v>1.6920999999999999</v>
      </c>
      <c r="Y828" s="315">
        <v>1.7278</v>
      </c>
      <c r="Z828" s="315">
        <v>1.7866</v>
      </c>
      <c r="AA828" s="315">
        <v>1.8221000000000001</v>
      </c>
      <c r="AB828" s="315">
        <v>1.9499</v>
      </c>
      <c r="AC828" s="315">
        <v>1.8391</v>
      </c>
      <c r="AD828" s="315">
        <v>1.7721</v>
      </c>
      <c r="AE828" s="315">
        <v>1.8672</v>
      </c>
      <c r="AF828" s="315">
        <v>1.6577999999999999</v>
      </c>
      <c r="AG828" s="315">
        <v>1.6409</v>
      </c>
      <c r="AH828" s="315">
        <v>1.6242000000000001</v>
      </c>
      <c r="AI828" s="315">
        <v>1.8004</v>
      </c>
      <c r="AJ828" s="315">
        <v>1.7002999999999999</v>
      </c>
      <c r="AK828" s="315">
        <v>1.5778000000000001</v>
      </c>
      <c r="AL828" s="315">
        <v>1.6374</v>
      </c>
      <c r="AM828" s="315">
        <v>1.8267</v>
      </c>
      <c r="AN828" s="315">
        <v>1.7407999999999999</v>
      </c>
      <c r="AO828" s="315">
        <v>1.9101999999999999</v>
      </c>
      <c r="AP828" s="315">
        <v>1.8612</v>
      </c>
      <c r="AQ828" s="315">
        <v>1.5774999999999999</v>
      </c>
      <c r="AR828" s="315">
        <v>1.8852</v>
      </c>
      <c r="AS828" s="315">
        <v>1.5136000000000001</v>
      </c>
      <c r="AT828" s="315">
        <v>1.8671</v>
      </c>
      <c r="AU828" s="315">
        <v>2.0882999999999998</v>
      </c>
      <c r="AV828" s="315">
        <v>1.8797999999999999</v>
      </c>
      <c r="AW828" s="315">
        <v>1.7175</v>
      </c>
      <c r="AX828" s="315">
        <v>1.6605000000000001</v>
      </c>
      <c r="AY828" s="315">
        <v>1.9469000000000001</v>
      </c>
      <c r="AZ828" s="315">
        <v>1.8748</v>
      </c>
      <c r="BA828" s="315">
        <v>1.6071</v>
      </c>
      <c r="BB828" s="315">
        <v>1.5074000000000001</v>
      </c>
      <c r="BC828" s="315">
        <v>1.7595000000000001</v>
      </c>
      <c r="BD828" s="315">
        <v>1.8391999999999999</v>
      </c>
      <c r="BE828" s="315">
        <v>1.9974000000000001</v>
      </c>
      <c r="BF828" s="315">
        <v>1.9142999999999999</v>
      </c>
      <c r="BG828" s="315">
        <v>2.1025999999999998</v>
      </c>
      <c r="BH828" s="315">
        <v>2.0350000000000001</v>
      </c>
      <c r="BI828" s="315">
        <v>2.1341999999999999</v>
      </c>
      <c r="BJ828" s="315">
        <v>2.0482</v>
      </c>
      <c r="BK828" s="315">
        <v>2.0488</v>
      </c>
    </row>
    <row r="829" spans="1:63" x14ac:dyDescent="0.25">
      <c r="A829" s="306" t="s">
        <v>682</v>
      </c>
      <c r="B829" s="315" t="s">
        <v>683</v>
      </c>
      <c r="C829" s="315">
        <v>2.6446000000000001</v>
      </c>
      <c r="D829" s="315">
        <v>1.4924999999999999</v>
      </c>
      <c r="E829" s="315">
        <v>1.9795</v>
      </c>
      <c r="F829" s="315">
        <v>1.8732</v>
      </c>
      <c r="G829" s="315">
        <v>1.9044000000000001</v>
      </c>
      <c r="H829" s="315">
        <v>2.0577000000000001</v>
      </c>
      <c r="I829" s="315">
        <v>1.9027000000000001</v>
      </c>
      <c r="J829" s="315">
        <v>1.6293</v>
      </c>
      <c r="K829" s="315">
        <v>0</v>
      </c>
      <c r="L829" s="315">
        <v>1.6274999999999999</v>
      </c>
      <c r="M829" s="315">
        <v>1.9362999999999999</v>
      </c>
      <c r="N829" s="315">
        <v>2.0013999999999998</v>
      </c>
      <c r="O829" s="315">
        <v>1.7011000000000001</v>
      </c>
      <c r="P829" s="315">
        <v>1.8108</v>
      </c>
      <c r="Q829" s="315">
        <v>1.7198</v>
      </c>
      <c r="R829" s="315">
        <v>1.9695</v>
      </c>
      <c r="S829" s="315">
        <v>1.8156000000000001</v>
      </c>
      <c r="T829" s="315">
        <v>1.7175</v>
      </c>
      <c r="U829" s="315">
        <v>1.9598</v>
      </c>
      <c r="V829" s="315">
        <v>1.8794</v>
      </c>
      <c r="W829" s="315">
        <v>1.7294</v>
      </c>
      <c r="X829" s="315">
        <v>1.6908000000000001</v>
      </c>
      <c r="Y829" s="315">
        <v>1.7634000000000001</v>
      </c>
      <c r="Z829" s="315">
        <v>1.8056000000000001</v>
      </c>
      <c r="AA829" s="315">
        <v>1.8257000000000001</v>
      </c>
      <c r="AB829" s="315">
        <v>2.0143</v>
      </c>
      <c r="AC829" s="315">
        <v>1.9044000000000001</v>
      </c>
      <c r="AD829" s="315">
        <v>1.8206</v>
      </c>
      <c r="AE829" s="315">
        <v>1.8755999999999999</v>
      </c>
      <c r="AF829" s="315">
        <v>1.706</v>
      </c>
      <c r="AG829" s="315">
        <v>1.7039</v>
      </c>
      <c r="AH829" s="315">
        <v>1.6339999999999999</v>
      </c>
      <c r="AI829" s="315">
        <v>1.7927</v>
      </c>
      <c r="AJ829" s="315">
        <v>1.7410000000000001</v>
      </c>
      <c r="AK829" s="315">
        <v>1.5311999999999999</v>
      </c>
      <c r="AL829" s="315">
        <v>1.6385000000000001</v>
      </c>
      <c r="AM829" s="315">
        <v>1.8631</v>
      </c>
      <c r="AN829" s="315">
        <v>1.7909999999999999</v>
      </c>
      <c r="AO829" s="315">
        <v>1.9512</v>
      </c>
      <c r="AP829" s="315">
        <v>1.9036</v>
      </c>
      <c r="AQ829" s="315">
        <v>1.5907</v>
      </c>
      <c r="AR829" s="315">
        <v>1.8946000000000001</v>
      </c>
      <c r="AS829" s="315">
        <v>1.5819000000000001</v>
      </c>
      <c r="AT829" s="315">
        <v>1.8842000000000001</v>
      </c>
      <c r="AU829" s="315">
        <v>2.121</v>
      </c>
      <c r="AV829" s="315">
        <v>1.8876999999999999</v>
      </c>
      <c r="AW829" s="315">
        <v>1.7059</v>
      </c>
      <c r="AX829" s="315">
        <v>1.7218</v>
      </c>
      <c r="AY829" s="315">
        <v>1.9814000000000001</v>
      </c>
      <c r="AZ829" s="315">
        <v>1.9249000000000001</v>
      </c>
      <c r="BA829" s="315">
        <v>1.6426000000000001</v>
      </c>
      <c r="BB829" s="315">
        <v>1.5427</v>
      </c>
      <c r="BC829" s="315">
        <v>1.7859</v>
      </c>
      <c r="BD829" s="315">
        <v>1.8487</v>
      </c>
      <c r="BE829" s="315">
        <v>2.0329999999999999</v>
      </c>
      <c r="BF829" s="315">
        <v>1.9761</v>
      </c>
      <c r="BG829" s="315">
        <v>2.1221999999999999</v>
      </c>
      <c r="BH829" s="315">
        <v>2.1179000000000001</v>
      </c>
      <c r="BI829" s="315">
        <v>2.1747000000000001</v>
      </c>
      <c r="BJ829" s="315">
        <v>2.0659000000000001</v>
      </c>
      <c r="BK829" s="315">
        <v>2.0867</v>
      </c>
    </row>
    <row r="830" spans="1:63" x14ac:dyDescent="0.25">
      <c r="A830" s="306">
        <v>111400</v>
      </c>
      <c r="B830" s="315" t="s">
        <v>12</v>
      </c>
      <c r="C830" s="315">
        <v>2.4544999999999999</v>
      </c>
      <c r="D830" s="315">
        <v>1.5347999999999999</v>
      </c>
      <c r="E830" s="315">
        <v>1.8848</v>
      </c>
      <c r="F830" s="315">
        <v>1.6850000000000001</v>
      </c>
      <c r="G830" s="315">
        <v>1.8263</v>
      </c>
      <c r="H830" s="315">
        <v>2.0106999999999999</v>
      </c>
      <c r="I830" s="315">
        <v>1.9287000000000001</v>
      </c>
      <c r="J830" s="315">
        <v>1.7158</v>
      </c>
      <c r="K830" s="315">
        <v>0</v>
      </c>
      <c r="L830" s="315">
        <v>1.5975999999999999</v>
      </c>
      <c r="M830" s="315">
        <v>1.8513999999999999</v>
      </c>
      <c r="N830" s="315">
        <v>1.9249000000000001</v>
      </c>
      <c r="O830" s="315">
        <v>1.7478</v>
      </c>
      <c r="P830" s="315">
        <v>1.5943000000000001</v>
      </c>
      <c r="Q830" s="315">
        <v>1.6564000000000001</v>
      </c>
      <c r="R830" s="315">
        <v>1.8937999999999999</v>
      </c>
      <c r="S830" s="315">
        <v>1.7433000000000001</v>
      </c>
      <c r="T830" s="315">
        <v>1.6508</v>
      </c>
      <c r="U830" s="315">
        <v>1.8025</v>
      </c>
      <c r="V830" s="315">
        <v>1.7544</v>
      </c>
      <c r="W830" s="315">
        <v>1.7075</v>
      </c>
      <c r="X830" s="315">
        <v>1.6938</v>
      </c>
      <c r="Y830" s="315">
        <v>1.7439</v>
      </c>
      <c r="Z830" s="315">
        <v>1.8297000000000001</v>
      </c>
      <c r="AA830" s="315">
        <v>1.7917000000000001</v>
      </c>
      <c r="AB830" s="315">
        <v>1.8144</v>
      </c>
      <c r="AC830" s="315">
        <v>1.7133</v>
      </c>
      <c r="AD830" s="315">
        <v>1.6900999999999999</v>
      </c>
      <c r="AE830" s="315">
        <v>1.8243</v>
      </c>
      <c r="AF830" s="315">
        <v>1.5431999999999999</v>
      </c>
      <c r="AG830" s="315">
        <v>1.5234000000000001</v>
      </c>
      <c r="AH830" s="315">
        <v>1.716</v>
      </c>
      <c r="AI830" s="315">
        <v>1.8815</v>
      </c>
      <c r="AJ830" s="315">
        <v>1.7014</v>
      </c>
      <c r="AK830" s="315">
        <v>1.5087999999999999</v>
      </c>
      <c r="AL830" s="315">
        <v>1.5952999999999999</v>
      </c>
      <c r="AM830" s="315">
        <v>1.8606</v>
      </c>
      <c r="AN830" s="315">
        <v>1.8405</v>
      </c>
      <c r="AO830" s="315">
        <v>1.8532999999999999</v>
      </c>
      <c r="AP830" s="315">
        <v>1.9507000000000001</v>
      </c>
      <c r="AQ830" s="315">
        <v>1.6942999999999999</v>
      </c>
      <c r="AR830" s="315">
        <v>1.8528</v>
      </c>
      <c r="AS830" s="315">
        <v>1.4775</v>
      </c>
      <c r="AT830" s="315">
        <v>1.8998999999999999</v>
      </c>
      <c r="AU830" s="315">
        <v>2.0303</v>
      </c>
      <c r="AV830" s="315">
        <v>1.9492</v>
      </c>
      <c r="AW830" s="315">
        <v>1.7053</v>
      </c>
      <c r="AX830" s="315">
        <v>1.6978</v>
      </c>
      <c r="AY830" s="315">
        <v>1.907</v>
      </c>
      <c r="AZ830" s="315">
        <v>1.8129</v>
      </c>
      <c r="BA830" s="315">
        <v>1.6157999999999999</v>
      </c>
      <c r="BB830" s="315">
        <v>1.4831000000000001</v>
      </c>
      <c r="BC830" s="315">
        <v>1.8213999999999999</v>
      </c>
      <c r="BD830" s="315">
        <v>1.8677999999999999</v>
      </c>
      <c r="BE830" s="315">
        <v>1.9595</v>
      </c>
      <c r="BF830" s="315">
        <v>1.8028</v>
      </c>
      <c r="BG830" s="315">
        <v>2.0005999999999999</v>
      </c>
      <c r="BH830" s="315">
        <v>2.0146999999999999</v>
      </c>
      <c r="BI830" s="315">
        <v>2.0573999999999999</v>
      </c>
      <c r="BJ830" s="315">
        <v>1.9986999999999999</v>
      </c>
      <c r="BK830" s="315">
        <v>2.0337999999999998</v>
      </c>
    </row>
    <row r="831" spans="1:63" x14ac:dyDescent="0.25">
      <c r="A831" s="306">
        <v>111910</v>
      </c>
      <c r="B831" s="315" t="s">
        <v>13</v>
      </c>
      <c r="C831" s="315">
        <v>3.1515</v>
      </c>
      <c r="D831" s="315">
        <v>0</v>
      </c>
      <c r="E831" s="315">
        <v>0</v>
      </c>
      <c r="F831" s="315">
        <v>0</v>
      </c>
      <c r="G831" s="315">
        <v>0</v>
      </c>
      <c r="H831" s="315">
        <v>0</v>
      </c>
      <c r="I831" s="315">
        <v>0</v>
      </c>
      <c r="J831" s="315">
        <v>1.8859999999999999</v>
      </c>
      <c r="K831" s="315">
        <v>0</v>
      </c>
      <c r="L831" s="315">
        <v>0</v>
      </c>
      <c r="M831" s="315">
        <v>2.0756000000000001</v>
      </c>
      <c r="N831" s="315">
        <v>2.3069999999999999</v>
      </c>
      <c r="O831" s="315">
        <v>0</v>
      </c>
      <c r="P831" s="315">
        <v>0</v>
      </c>
      <c r="Q831" s="315">
        <v>0</v>
      </c>
      <c r="R831" s="315">
        <v>2.4056999999999999</v>
      </c>
      <c r="S831" s="315">
        <v>2.1274999999999999</v>
      </c>
      <c r="T831" s="315">
        <v>0</v>
      </c>
      <c r="U831" s="315">
        <v>2.2090000000000001</v>
      </c>
      <c r="V831" s="315">
        <v>0</v>
      </c>
      <c r="W831" s="315">
        <v>1.9845999999999999</v>
      </c>
      <c r="X831" s="315">
        <v>1.9451000000000001</v>
      </c>
      <c r="Y831" s="315">
        <v>0</v>
      </c>
      <c r="Z831" s="315">
        <v>0</v>
      </c>
      <c r="AA831" s="315">
        <v>0</v>
      </c>
      <c r="AB831" s="315">
        <v>2.2822</v>
      </c>
      <c r="AC831" s="315">
        <v>0</v>
      </c>
      <c r="AD831" s="315">
        <v>0</v>
      </c>
      <c r="AE831" s="315">
        <v>2.1575000000000002</v>
      </c>
      <c r="AF831" s="315">
        <v>0</v>
      </c>
      <c r="AG831" s="315">
        <v>0</v>
      </c>
      <c r="AH831" s="315">
        <v>0</v>
      </c>
      <c r="AI831" s="315">
        <v>0</v>
      </c>
      <c r="AJ831" s="315">
        <v>0</v>
      </c>
      <c r="AK831" s="315">
        <v>0</v>
      </c>
      <c r="AL831" s="315">
        <v>0</v>
      </c>
      <c r="AM831" s="315">
        <v>2.1781000000000001</v>
      </c>
      <c r="AN831" s="315">
        <v>0</v>
      </c>
      <c r="AO831" s="315">
        <v>0</v>
      </c>
      <c r="AP831" s="315">
        <v>2.1823000000000001</v>
      </c>
      <c r="AQ831" s="315">
        <v>0</v>
      </c>
      <c r="AR831" s="315">
        <v>2.1488</v>
      </c>
      <c r="AS831" s="315">
        <v>0</v>
      </c>
      <c r="AT831" s="315">
        <v>2.1894</v>
      </c>
      <c r="AU831" s="315">
        <v>0</v>
      </c>
      <c r="AV831" s="315">
        <v>0</v>
      </c>
      <c r="AW831" s="315">
        <v>2.0091999999999999</v>
      </c>
      <c r="AX831" s="315">
        <v>0</v>
      </c>
      <c r="AY831" s="315">
        <v>0</v>
      </c>
      <c r="AZ831" s="315">
        <v>2.0962000000000001</v>
      </c>
      <c r="BA831" s="315">
        <v>1.7533000000000001</v>
      </c>
      <c r="BB831" s="315">
        <v>0</v>
      </c>
      <c r="BC831" s="315">
        <v>2.0543</v>
      </c>
      <c r="BD831" s="315">
        <v>2.1383000000000001</v>
      </c>
      <c r="BE831" s="315">
        <v>2.3942999999999999</v>
      </c>
      <c r="BF831" s="315">
        <v>2.2094</v>
      </c>
      <c r="BG831" s="315">
        <v>2.4571000000000001</v>
      </c>
      <c r="BH831" s="315">
        <v>2.4327999999999999</v>
      </c>
      <c r="BI831" s="315">
        <v>0</v>
      </c>
      <c r="BJ831" s="315">
        <v>0</v>
      </c>
      <c r="BK831" s="315">
        <v>0</v>
      </c>
    </row>
    <row r="832" spans="1:63" x14ac:dyDescent="0.25">
      <c r="A832" s="306">
        <v>111920</v>
      </c>
      <c r="B832" s="315" t="s">
        <v>14</v>
      </c>
      <c r="C832" s="315">
        <v>3.1497999999999999</v>
      </c>
      <c r="D832" s="315">
        <v>0</v>
      </c>
      <c r="E832" s="315">
        <v>2.3075000000000001</v>
      </c>
      <c r="F832" s="315">
        <v>2.1602999999999999</v>
      </c>
      <c r="G832" s="315">
        <v>2.1474000000000002</v>
      </c>
      <c r="H832" s="315">
        <v>2.3498000000000001</v>
      </c>
      <c r="I832" s="315">
        <v>0</v>
      </c>
      <c r="J832" s="315">
        <v>0</v>
      </c>
      <c r="K832" s="315">
        <v>0</v>
      </c>
      <c r="L832" s="315">
        <v>0</v>
      </c>
      <c r="M832" s="315">
        <v>2.0531000000000001</v>
      </c>
      <c r="N832" s="315">
        <v>2.3483999999999998</v>
      </c>
      <c r="O832" s="315">
        <v>0</v>
      </c>
      <c r="P832" s="315">
        <v>0</v>
      </c>
      <c r="Q832" s="315">
        <v>0</v>
      </c>
      <c r="R832" s="315">
        <v>0</v>
      </c>
      <c r="S832" s="315">
        <v>0</v>
      </c>
      <c r="T832" s="315">
        <v>1.9276</v>
      </c>
      <c r="U832" s="315">
        <v>0</v>
      </c>
      <c r="V832" s="315">
        <v>2.2482000000000002</v>
      </c>
      <c r="W832" s="315">
        <v>0</v>
      </c>
      <c r="X832" s="315">
        <v>0</v>
      </c>
      <c r="Y832" s="315">
        <v>0</v>
      </c>
      <c r="Z832" s="315">
        <v>0</v>
      </c>
      <c r="AA832" s="315">
        <v>0</v>
      </c>
      <c r="AB832" s="315">
        <v>2.3599000000000001</v>
      </c>
      <c r="AC832" s="315">
        <v>2.1013999999999999</v>
      </c>
      <c r="AD832" s="315">
        <v>0</v>
      </c>
      <c r="AE832" s="315">
        <v>2.1501999999999999</v>
      </c>
      <c r="AF832" s="315">
        <v>0</v>
      </c>
      <c r="AG832" s="315">
        <v>0</v>
      </c>
      <c r="AH832" s="315">
        <v>0</v>
      </c>
      <c r="AI832" s="315">
        <v>0</v>
      </c>
      <c r="AJ832" s="315">
        <v>1.9516</v>
      </c>
      <c r="AK832" s="315">
        <v>0</v>
      </c>
      <c r="AL832" s="315">
        <v>0</v>
      </c>
      <c r="AM832" s="315">
        <v>0</v>
      </c>
      <c r="AN832" s="315">
        <v>2.0828000000000002</v>
      </c>
      <c r="AO832" s="315">
        <v>0</v>
      </c>
      <c r="AP832" s="315">
        <v>0</v>
      </c>
      <c r="AQ832" s="315">
        <v>0</v>
      </c>
      <c r="AR832" s="315">
        <v>2.282</v>
      </c>
      <c r="AS832" s="315">
        <v>0</v>
      </c>
      <c r="AT832" s="315">
        <v>2.1482999999999999</v>
      </c>
      <c r="AU832" s="315">
        <v>2.5991</v>
      </c>
      <c r="AV832" s="315">
        <v>0</v>
      </c>
      <c r="AW832" s="315">
        <v>1.9443999999999999</v>
      </c>
      <c r="AX832" s="315">
        <v>0</v>
      </c>
      <c r="AY832" s="315">
        <v>0</v>
      </c>
      <c r="AZ832" s="315">
        <v>0</v>
      </c>
      <c r="BA832" s="315">
        <v>0</v>
      </c>
      <c r="BB832" s="315">
        <v>0</v>
      </c>
      <c r="BC832" s="315">
        <v>0</v>
      </c>
      <c r="BD832" s="315">
        <v>0</v>
      </c>
      <c r="BE832" s="315">
        <v>0</v>
      </c>
      <c r="BF832" s="315">
        <v>2.1745000000000001</v>
      </c>
      <c r="BG832" s="315">
        <v>2.4496000000000002</v>
      </c>
      <c r="BH832" s="315">
        <v>2.4733000000000001</v>
      </c>
      <c r="BI832" s="315">
        <v>2.6705000000000001</v>
      </c>
      <c r="BJ832" s="315">
        <v>2.3254999999999999</v>
      </c>
      <c r="BK832" s="315">
        <v>2.3654000000000002</v>
      </c>
    </row>
    <row r="833" spans="1:63" x14ac:dyDescent="0.25">
      <c r="A833" s="306" t="s">
        <v>684</v>
      </c>
      <c r="B833" s="315" t="s">
        <v>685</v>
      </c>
      <c r="C833" s="315">
        <v>2.9127999999999998</v>
      </c>
      <c r="D833" s="315">
        <v>1.6814</v>
      </c>
      <c r="E833" s="315">
        <v>2.0724</v>
      </c>
      <c r="F833" s="315">
        <v>1.9961</v>
      </c>
      <c r="G833" s="315">
        <v>2.0283000000000002</v>
      </c>
      <c r="H833" s="315">
        <v>2.1993999999999998</v>
      </c>
      <c r="I833" s="315">
        <v>2.1515</v>
      </c>
      <c r="J833" s="315">
        <v>1.7143999999999999</v>
      </c>
      <c r="K833" s="315">
        <v>0</v>
      </c>
      <c r="L833" s="315">
        <v>1.8019000000000001</v>
      </c>
      <c r="M833" s="315">
        <v>2.0375000000000001</v>
      </c>
      <c r="N833" s="315">
        <v>2.1454</v>
      </c>
      <c r="O833" s="315">
        <v>1.8649</v>
      </c>
      <c r="P833" s="315">
        <v>1.8833</v>
      </c>
      <c r="Q833" s="315">
        <v>1.8307</v>
      </c>
      <c r="R833" s="315">
        <v>2.2153999999999998</v>
      </c>
      <c r="S833" s="315">
        <v>2.0028999999999999</v>
      </c>
      <c r="T833" s="315">
        <v>1.9252</v>
      </c>
      <c r="U833" s="315">
        <v>2.0912000000000002</v>
      </c>
      <c r="V833" s="315">
        <v>2.0840999999999998</v>
      </c>
      <c r="W833" s="315">
        <v>1.8223</v>
      </c>
      <c r="X833" s="315">
        <v>1.8228</v>
      </c>
      <c r="Y833" s="315">
        <v>1.8069999999999999</v>
      </c>
      <c r="Z833" s="315">
        <v>1.9282999999999999</v>
      </c>
      <c r="AA833" s="315">
        <v>2.0453000000000001</v>
      </c>
      <c r="AB833" s="315">
        <v>2.1819000000000002</v>
      </c>
      <c r="AC833" s="315">
        <v>2.0251999999999999</v>
      </c>
      <c r="AD833" s="315">
        <v>2.0011999999999999</v>
      </c>
      <c r="AE833" s="315">
        <v>1.978</v>
      </c>
      <c r="AF833" s="315">
        <v>1.8333999999999999</v>
      </c>
      <c r="AG833" s="315">
        <v>1.8075000000000001</v>
      </c>
      <c r="AH833" s="315">
        <v>1.7194</v>
      </c>
      <c r="AI833" s="315">
        <v>1.9681</v>
      </c>
      <c r="AJ833" s="315">
        <v>1.8653999999999999</v>
      </c>
      <c r="AK833" s="315">
        <v>1.6946000000000001</v>
      </c>
      <c r="AL833" s="315">
        <v>1.7737000000000001</v>
      </c>
      <c r="AM833" s="315">
        <v>2.0701000000000001</v>
      </c>
      <c r="AN833" s="315">
        <v>2.0400999999999998</v>
      </c>
      <c r="AO833" s="315">
        <v>2.0428999999999999</v>
      </c>
      <c r="AP833" s="315">
        <v>2.0409000000000002</v>
      </c>
      <c r="AQ833" s="315">
        <v>1.6649</v>
      </c>
      <c r="AR833" s="315">
        <v>2.0097</v>
      </c>
      <c r="AS833" s="315">
        <v>1.6971000000000001</v>
      </c>
      <c r="AT833" s="315">
        <v>2.0219</v>
      </c>
      <c r="AU833" s="315">
        <v>2.3713000000000002</v>
      </c>
      <c r="AV833" s="315">
        <v>2.1118000000000001</v>
      </c>
      <c r="AW833" s="315">
        <v>1.8363</v>
      </c>
      <c r="AX833" s="315">
        <v>1.7806999999999999</v>
      </c>
      <c r="AY833" s="315">
        <v>2.1467999999999998</v>
      </c>
      <c r="AZ833" s="315">
        <v>2.0303</v>
      </c>
      <c r="BA833" s="315">
        <v>1.7457</v>
      </c>
      <c r="BB833" s="315">
        <v>1.7231000000000001</v>
      </c>
      <c r="BC833" s="315">
        <v>1.8771</v>
      </c>
      <c r="BD833" s="315">
        <v>2.0082</v>
      </c>
      <c r="BE833" s="315">
        <v>2.2431999999999999</v>
      </c>
      <c r="BF833" s="315">
        <v>2.1469</v>
      </c>
      <c r="BG833" s="315">
        <v>2.2532999999999999</v>
      </c>
      <c r="BH833" s="315">
        <v>2.2688000000000001</v>
      </c>
      <c r="BI833" s="315">
        <v>2.4598</v>
      </c>
      <c r="BJ833" s="315">
        <v>2.2928000000000002</v>
      </c>
      <c r="BK833" s="315">
        <v>2.2389999999999999</v>
      </c>
    </row>
    <row r="834" spans="1:63" x14ac:dyDescent="0.25">
      <c r="A834" s="306">
        <v>112120</v>
      </c>
      <c r="B834" s="315" t="s">
        <v>16</v>
      </c>
      <c r="C834" s="315">
        <v>2.9996</v>
      </c>
      <c r="D834" s="315">
        <v>1.4015</v>
      </c>
      <c r="E834" s="315">
        <v>2.12</v>
      </c>
      <c r="F834" s="315">
        <v>2.2311000000000001</v>
      </c>
      <c r="G834" s="315">
        <v>1.8353999999999999</v>
      </c>
      <c r="H834" s="315">
        <v>2.1356000000000002</v>
      </c>
      <c r="I834" s="315">
        <v>2.2069000000000001</v>
      </c>
      <c r="J834" s="315">
        <v>1.5132000000000001</v>
      </c>
      <c r="K834" s="315">
        <v>0</v>
      </c>
      <c r="L834" s="315">
        <v>1.6288</v>
      </c>
      <c r="M834" s="315">
        <v>1.8771</v>
      </c>
      <c r="N834" s="315">
        <v>2.2574999999999998</v>
      </c>
      <c r="O834" s="315">
        <v>1.6798999999999999</v>
      </c>
      <c r="P834" s="315">
        <v>2.0701999999999998</v>
      </c>
      <c r="Q834" s="315">
        <v>2.0371000000000001</v>
      </c>
      <c r="R834" s="315">
        <v>2.2667000000000002</v>
      </c>
      <c r="S834" s="315">
        <v>2.1457000000000002</v>
      </c>
      <c r="T834" s="315">
        <v>2.1743000000000001</v>
      </c>
      <c r="U834" s="315">
        <v>2.35</v>
      </c>
      <c r="V834" s="315">
        <v>2.0588000000000002</v>
      </c>
      <c r="W834" s="315">
        <v>1.5325</v>
      </c>
      <c r="X834" s="315">
        <v>1.6268</v>
      </c>
      <c r="Y834" s="315">
        <v>1.8416999999999999</v>
      </c>
      <c r="Z834" s="315">
        <v>1.8527</v>
      </c>
      <c r="AA834" s="315">
        <v>2.3643999999999998</v>
      </c>
      <c r="AB834" s="315">
        <v>2.4097</v>
      </c>
      <c r="AC834" s="315">
        <v>2.1055999999999999</v>
      </c>
      <c r="AD834" s="315">
        <v>2.141</v>
      </c>
      <c r="AE834" s="315">
        <v>2.0076000000000001</v>
      </c>
      <c r="AF834" s="315">
        <v>2.0834999999999999</v>
      </c>
      <c r="AG834" s="315">
        <v>2.0608</v>
      </c>
      <c r="AH834" s="315">
        <v>1.6093</v>
      </c>
      <c r="AI834" s="315">
        <v>1.6539999999999999</v>
      </c>
      <c r="AJ834" s="315">
        <v>1.8947000000000001</v>
      </c>
      <c r="AK834" s="315">
        <v>1.6076999999999999</v>
      </c>
      <c r="AL834" s="315">
        <v>1.5953999999999999</v>
      </c>
      <c r="AM834" s="315">
        <v>2.1676000000000002</v>
      </c>
      <c r="AN834" s="315">
        <v>2.2795999999999998</v>
      </c>
      <c r="AO834" s="315">
        <v>2.0388000000000002</v>
      </c>
      <c r="AP834" s="315">
        <v>2.0432000000000001</v>
      </c>
      <c r="AQ834" s="315">
        <v>1.4477</v>
      </c>
      <c r="AR834" s="315">
        <v>1.7894000000000001</v>
      </c>
      <c r="AS834" s="315">
        <v>1.9766999999999999</v>
      </c>
      <c r="AT834" s="315">
        <v>1.8176000000000001</v>
      </c>
      <c r="AU834" s="315">
        <v>2.3283</v>
      </c>
      <c r="AV834" s="315">
        <v>2.2113</v>
      </c>
      <c r="AW834" s="315">
        <v>1.8059000000000001</v>
      </c>
      <c r="AX834" s="315">
        <v>1.8568</v>
      </c>
      <c r="AY834" s="315">
        <v>2.1545999999999998</v>
      </c>
      <c r="AZ834" s="315">
        <v>2.1551</v>
      </c>
      <c r="BA834" s="315">
        <v>1.5801000000000001</v>
      </c>
      <c r="BB834" s="315">
        <v>1.6472</v>
      </c>
      <c r="BC834" s="315">
        <v>1.6768000000000001</v>
      </c>
      <c r="BD834" s="315">
        <v>1.8554999999999999</v>
      </c>
      <c r="BE834" s="315">
        <v>2.3424</v>
      </c>
      <c r="BF834" s="315">
        <v>2.4056999999999999</v>
      </c>
      <c r="BG834" s="315">
        <v>2.1316000000000002</v>
      </c>
      <c r="BH834" s="315">
        <v>2.3692000000000002</v>
      </c>
      <c r="BI834" s="315">
        <v>2.5548000000000002</v>
      </c>
      <c r="BJ834" s="315">
        <v>2.2431999999999999</v>
      </c>
      <c r="BK834" s="315">
        <v>2.1675</v>
      </c>
    </row>
    <row r="835" spans="1:63" x14ac:dyDescent="0.25">
      <c r="A835" s="306" t="s">
        <v>686</v>
      </c>
      <c r="B835" s="315" t="s">
        <v>15</v>
      </c>
      <c r="C835" s="315">
        <v>3.6086999999999998</v>
      </c>
      <c r="D835" s="315">
        <v>1.4098999999999999</v>
      </c>
      <c r="E835" s="315">
        <v>2.2431000000000001</v>
      </c>
      <c r="F835" s="315">
        <v>2.7681</v>
      </c>
      <c r="G835" s="315">
        <v>2.2382</v>
      </c>
      <c r="H835" s="315">
        <v>2.2006999999999999</v>
      </c>
      <c r="I835" s="315">
        <v>2.9878999999999998</v>
      </c>
      <c r="J835" s="315">
        <v>1.4579</v>
      </c>
      <c r="K835" s="315">
        <v>0</v>
      </c>
      <c r="L835" s="315">
        <v>1.5269999999999999</v>
      </c>
      <c r="M835" s="315">
        <v>1.9020999999999999</v>
      </c>
      <c r="N835" s="315">
        <v>2.0968</v>
      </c>
      <c r="O835" s="315">
        <v>1.8035000000000001</v>
      </c>
      <c r="P835" s="315">
        <v>2.5508000000000002</v>
      </c>
      <c r="Q835" s="315">
        <v>2.6219000000000001</v>
      </c>
      <c r="R835" s="315">
        <v>2.0091999999999999</v>
      </c>
      <c r="S835" s="315">
        <v>2.0211000000000001</v>
      </c>
      <c r="T835" s="315">
        <v>2.778</v>
      </c>
      <c r="U835" s="315">
        <v>2.9264000000000001</v>
      </c>
      <c r="V835" s="315">
        <v>2.0956999999999999</v>
      </c>
      <c r="W835" s="315">
        <v>1.5091000000000001</v>
      </c>
      <c r="X835" s="315">
        <v>1.5519000000000001</v>
      </c>
      <c r="Y835" s="315">
        <v>1.7423</v>
      </c>
      <c r="Z835" s="315">
        <v>1.9602999999999999</v>
      </c>
      <c r="AA835" s="315">
        <v>2.9822000000000002</v>
      </c>
      <c r="AB835" s="315">
        <v>2.9603000000000002</v>
      </c>
      <c r="AC835" s="315">
        <v>2.2704</v>
      </c>
      <c r="AD835" s="315">
        <v>2.7829999999999999</v>
      </c>
      <c r="AE835" s="315">
        <v>1.9584999999999999</v>
      </c>
      <c r="AF835" s="315">
        <v>2.6408</v>
      </c>
      <c r="AG835" s="315">
        <v>2.6052</v>
      </c>
      <c r="AH835" s="315">
        <v>1.5421</v>
      </c>
      <c r="AI835" s="315">
        <v>1.5911999999999999</v>
      </c>
      <c r="AJ835" s="315">
        <v>2.5926999999999998</v>
      </c>
      <c r="AK835" s="315">
        <v>1.8355999999999999</v>
      </c>
      <c r="AL835" s="315">
        <v>1.5458000000000001</v>
      </c>
      <c r="AM835" s="315">
        <v>1.9423999999999999</v>
      </c>
      <c r="AN835" s="315">
        <v>2.895</v>
      </c>
      <c r="AO835" s="315">
        <v>2.6918000000000002</v>
      </c>
      <c r="AP835" s="315">
        <v>1.903</v>
      </c>
      <c r="AQ835" s="315">
        <v>1.4373</v>
      </c>
      <c r="AR835" s="315">
        <v>1.8337000000000001</v>
      </c>
      <c r="AS835" s="315">
        <v>2.5326</v>
      </c>
      <c r="AT835" s="315">
        <v>1.9879</v>
      </c>
      <c r="AU835" s="315">
        <v>3.1265000000000001</v>
      </c>
      <c r="AV835" s="315">
        <v>2.5131999999999999</v>
      </c>
      <c r="AW835" s="315">
        <v>1.7656000000000001</v>
      </c>
      <c r="AX835" s="315">
        <v>1.9896</v>
      </c>
      <c r="AY835" s="315">
        <v>2.3180999999999998</v>
      </c>
      <c r="AZ835" s="315">
        <v>2.4847999999999999</v>
      </c>
      <c r="BA835" s="315">
        <v>1.9106000000000001</v>
      </c>
      <c r="BB835" s="315">
        <v>2.4272</v>
      </c>
      <c r="BC835" s="315">
        <v>1.6128</v>
      </c>
      <c r="BD835" s="315">
        <v>1.7365999999999999</v>
      </c>
      <c r="BE835" s="315">
        <v>2.1549999999999998</v>
      </c>
      <c r="BF835" s="315">
        <v>2.9918999999999998</v>
      </c>
      <c r="BG835" s="315">
        <v>2.0712000000000002</v>
      </c>
      <c r="BH835" s="315">
        <v>2.5306000000000002</v>
      </c>
      <c r="BI835" s="315">
        <v>3.2490999999999999</v>
      </c>
      <c r="BJ835" s="315">
        <v>3.0263</v>
      </c>
      <c r="BK835" s="315">
        <v>2.2797999999999998</v>
      </c>
    </row>
    <row r="836" spans="1:63" x14ac:dyDescent="0.25">
      <c r="A836" s="306">
        <v>112300</v>
      </c>
      <c r="B836" s="315" t="s">
        <v>17</v>
      </c>
      <c r="C836" s="315">
        <v>3.8944000000000001</v>
      </c>
      <c r="D836" s="315">
        <v>1.3244</v>
      </c>
      <c r="E836" s="315">
        <v>2.5291000000000001</v>
      </c>
      <c r="F836" s="315">
        <v>2.9413</v>
      </c>
      <c r="G836" s="315">
        <v>1.5874999999999999</v>
      </c>
      <c r="H836" s="315">
        <v>2.1396000000000002</v>
      </c>
      <c r="I836" s="315">
        <v>2.2519999999999998</v>
      </c>
      <c r="J836" s="315">
        <v>1.4896</v>
      </c>
      <c r="K836" s="315">
        <v>0</v>
      </c>
      <c r="L836" s="315">
        <v>2.0059999999999998</v>
      </c>
      <c r="M836" s="315">
        <v>1.6928000000000001</v>
      </c>
      <c r="N836" s="315">
        <v>2.7621000000000002</v>
      </c>
      <c r="O836" s="315">
        <v>1.4244000000000001</v>
      </c>
      <c r="P836" s="315">
        <v>2.7833000000000001</v>
      </c>
      <c r="Q836" s="315">
        <v>2.2035999999999998</v>
      </c>
      <c r="R836" s="315">
        <v>2.8932000000000002</v>
      </c>
      <c r="S836" s="315">
        <v>3.089</v>
      </c>
      <c r="T836" s="315">
        <v>2.4428000000000001</v>
      </c>
      <c r="U836" s="315">
        <v>3.0897000000000001</v>
      </c>
      <c r="V836" s="315">
        <v>2.4752000000000001</v>
      </c>
      <c r="W836" s="315">
        <v>1.4925999999999999</v>
      </c>
      <c r="X836" s="315">
        <v>1.8852</v>
      </c>
      <c r="Y836" s="315">
        <v>2.0209999999999999</v>
      </c>
      <c r="Z836" s="315">
        <v>1.8916999999999999</v>
      </c>
      <c r="AA836" s="315">
        <v>3.0956999999999999</v>
      </c>
      <c r="AB836" s="315">
        <v>3.2444000000000002</v>
      </c>
      <c r="AC836" s="315">
        <v>2.8565999999999998</v>
      </c>
      <c r="AD836" s="315">
        <v>2.3089</v>
      </c>
      <c r="AE836" s="315">
        <v>2.6273</v>
      </c>
      <c r="AF836" s="315">
        <v>2.4180999999999999</v>
      </c>
      <c r="AG836" s="315">
        <v>2.5266999999999999</v>
      </c>
      <c r="AH836" s="315">
        <v>1.5562</v>
      </c>
      <c r="AI836" s="315">
        <v>1.6721999999999999</v>
      </c>
      <c r="AJ836" s="315">
        <v>1.8463000000000001</v>
      </c>
      <c r="AK836" s="315">
        <v>1.3841000000000001</v>
      </c>
      <c r="AL836" s="315">
        <v>1.5448999999999999</v>
      </c>
      <c r="AM836" s="315">
        <v>2.9289000000000001</v>
      </c>
      <c r="AN836" s="315">
        <v>2.9775</v>
      </c>
      <c r="AO836" s="315">
        <v>2.0087999999999999</v>
      </c>
      <c r="AP836" s="315">
        <v>2.4321000000000002</v>
      </c>
      <c r="AQ836" s="315">
        <v>1.3902000000000001</v>
      </c>
      <c r="AR836" s="315">
        <v>1.9574</v>
      </c>
      <c r="AS836" s="315">
        <v>2.5646</v>
      </c>
      <c r="AT836" s="315">
        <v>2.1724999999999999</v>
      </c>
      <c r="AU836" s="315">
        <v>2.5062000000000002</v>
      </c>
      <c r="AV836" s="315">
        <v>2.3567</v>
      </c>
      <c r="AW836" s="315">
        <v>2.1615000000000002</v>
      </c>
      <c r="AX836" s="315">
        <v>1.8308</v>
      </c>
      <c r="AY836" s="315">
        <v>2.2947000000000002</v>
      </c>
      <c r="AZ836" s="315">
        <v>2.5607000000000002</v>
      </c>
      <c r="BA836" s="315">
        <v>1.6624000000000001</v>
      </c>
      <c r="BB836" s="315">
        <v>1.4634</v>
      </c>
      <c r="BC836" s="315">
        <v>1.6701999999999999</v>
      </c>
      <c r="BD836" s="315">
        <v>1.9643999999999999</v>
      </c>
      <c r="BE836" s="315">
        <v>3.0895000000000001</v>
      </c>
      <c r="BF836" s="315">
        <v>3.1764000000000001</v>
      </c>
      <c r="BG836" s="315">
        <v>2.4373</v>
      </c>
      <c r="BH836" s="315">
        <v>3.1198000000000001</v>
      </c>
      <c r="BI836" s="315">
        <v>3.1680000000000001</v>
      </c>
      <c r="BJ836" s="315">
        <v>2.2315</v>
      </c>
      <c r="BK836" s="315">
        <v>2.1718999999999999</v>
      </c>
    </row>
    <row r="837" spans="1:63" x14ac:dyDescent="0.25">
      <c r="A837" s="306" t="s">
        <v>687</v>
      </c>
      <c r="B837" s="315" t="s">
        <v>18</v>
      </c>
      <c r="C837" s="315">
        <v>2.5750999999999999</v>
      </c>
      <c r="D837" s="315">
        <v>1.3451</v>
      </c>
      <c r="E837" s="315">
        <v>1.8411999999999999</v>
      </c>
      <c r="F837" s="315">
        <v>1.9745999999999999</v>
      </c>
      <c r="G837" s="315">
        <v>1.6458999999999999</v>
      </c>
      <c r="H837" s="315">
        <v>1.8061</v>
      </c>
      <c r="I837" s="315">
        <v>1.9657</v>
      </c>
      <c r="J837" s="315">
        <v>1.4040999999999999</v>
      </c>
      <c r="K837" s="315">
        <v>0</v>
      </c>
      <c r="L837" s="315">
        <v>1.474</v>
      </c>
      <c r="M837" s="315">
        <v>1.6577</v>
      </c>
      <c r="N837" s="315">
        <v>1.8554999999999999</v>
      </c>
      <c r="O837" s="315">
        <v>1.5502</v>
      </c>
      <c r="P837" s="315">
        <v>1.8621000000000001</v>
      </c>
      <c r="Q837" s="315">
        <v>1.8423</v>
      </c>
      <c r="R837" s="315">
        <v>2.0280999999999998</v>
      </c>
      <c r="S837" s="315">
        <v>1.9263999999999999</v>
      </c>
      <c r="T837" s="315">
        <v>1.9343999999999999</v>
      </c>
      <c r="U837" s="315">
        <v>2.0771000000000002</v>
      </c>
      <c r="V837" s="315">
        <v>1.8023</v>
      </c>
      <c r="W837" s="315">
        <v>1.4348000000000001</v>
      </c>
      <c r="X837" s="315">
        <v>1.4844999999999999</v>
      </c>
      <c r="Y837" s="315">
        <v>1.7009000000000001</v>
      </c>
      <c r="Z837" s="315">
        <v>1.7190000000000001</v>
      </c>
      <c r="AA837" s="315">
        <v>2.0708000000000002</v>
      </c>
      <c r="AB837" s="315">
        <v>2.1095000000000002</v>
      </c>
      <c r="AC837" s="315">
        <v>1.9108000000000001</v>
      </c>
      <c r="AD837" s="315">
        <v>1.9295</v>
      </c>
      <c r="AE837" s="315">
        <v>1.8282</v>
      </c>
      <c r="AF837" s="315">
        <v>1.8641000000000001</v>
      </c>
      <c r="AG837" s="315">
        <v>1.8480000000000001</v>
      </c>
      <c r="AH837" s="315">
        <v>1.4638</v>
      </c>
      <c r="AI837" s="315">
        <v>1.5209999999999999</v>
      </c>
      <c r="AJ837" s="315">
        <v>1.6607000000000001</v>
      </c>
      <c r="AK837" s="315">
        <v>1.4643999999999999</v>
      </c>
      <c r="AL837" s="315">
        <v>1.4470000000000001</v>
      </c>
      <c r="AM837" s="315">
        <v>1.9114</v>
      </c>
      <c r="AN837" s="315">
        <v>2.0251000000000001</v>
      </c>
      <c r="AO837" s="315">
        <v>1.764</v>
      </c>
      <c r="AP837" s="315">
        <v>1.7819</v>
      </c>
      <c r="AQ837" s="315">
        <v>1.3705000000000001</v>
      </c>
      <c r="AR837" s="315">
        <v>1.6457999999999999</v>
      </c>
      <c r="AS837" s="315">
        <v>1.7849999999999999</v>
      </c>
      <c r="AT837" s="315">
        <v>1.6416999999999999</v>
      </c>
      <c r="AU837" s="315">
        <v>1.9751000000000001</v>
      </c>
      <c r="AV837" s="315">
        <v>1.9862</v>
      </c>
      <c r="AW837" s="315">
        <v>1.5967</v>
      </c>
      <c r="AX837" s="315">
        <v>1.6152</v>
      </c>
      <c r="AY837" s="315">
        <v>1.8535999999999999</v>
      </c>
      <c r="AZ837" s="315">
        <v>1.883</v>
      </c>
      <c r="BA837" s="315">
        <v>1.4631000000000001</v>
      </c>
      <c r="BB837" s="315">
        <v>1.6203000000000001</v>
      </c>
      <c r="BC837" s="315">
        <v>1.5246</v>
      </c>
      <c r="BD837" s="315">
        <v>1.6335999999999999</v>
      </c>
      <c r="BE837" s="315">
        <v>2.0737999999999999</v>
      </c>
      <c r="BF837" s="315">
        <v>2.1013000000000002</v>
      </c>
      <c r="BG837" s="315">
        <v>1.9538</v>
      </c>
      <c r="BH837" s="315">
        <v>2.0950000000000002</v>
      </c>
      <c r="BI837" s="315">
        <v>2.1453000000000002</v>
      </c>
      <c r="BJ837" s="315">
        <v>1.9746999999999999</v>
      </c>
      <c r="BK837" s="315">
        <v>1.8404</v>
      </c>
    </row>
    <row r="838" spans="1:63" x14ac:dyDescent="0.25">
      <c r="A838" s="306">
        <v>113300</v>
      </c>
      <c r="B838" s="315" t="s">
        <v>688</v>
      </c>
      <c r="C838" s="315">
        <v>3.3449</v>
      </c>
      <c r="D838" s="315">
        <v>1.8415999999999999</v>
      </c>
      <c r="E838" s="315">
        <v>2.6425999999999998</v>
      </c>
      <c r="F838" s="315">
        <v>2.5343</v>
      </c>
      <c r="G838" s="315">
        <v>1.6857</v>
      </c>
      <c r="H838" s="315">
        <v>2.0173999999999999</v>
      </c>
      <c r="I838" s="315">
        <v>1.7497</v>
      </c>
      <c r="J838" s="315">
        <v>1.4164000000000001</v>
      </c>
      <c r="K838" s="315">
        <v>0</v>
      </c>
      <c r="L838" s="315">
        <v>1.3928</v>
      </c>
      <c r="M838" s="315">
        <v>2.3632</v>
      </c>
      <c r="N838" s="315">
        <v>2.7412000000000001</v>
      </c>
      <c r="O838" s="315">
        <v>1.6051</v>
      </c>
      <c r="P838" s="315">
        <v>1.4613</v>
      </c>
      <c r="Q838" s="315">
        <v>2.4498000000000002</v>
      </c>
      <c r="R838" s="315">
        <v>1.6102000000000001</v>
      </c>
      <c r="S838" s="315">
        <v>1.6759999999999999</v>
      </c>
      <c r="T838" s="315">
        <v>1.5319</v>
      </c>
      <c r="U838" s="315">
        <v>1.8016000000000001</v>
      </c>
      <c r="V838" s="315">
        <v>2.5554999999999999</v>
      </c>
      <c r="W838" s="315">
        <v>1.4298</v>
      </c>
      <c r="X838" s="315">
        <v>1.5345</v>
      </c>
      <c r="Y838" s="315">
        <v>2.4624000000000001</v>
      </c>
      <c r="Z838" s="315">
        <v>2.0598999999999998</v>
      </c>
      <c r="AA838" s="315">
        <v>2.2050000000000001</v>
      </c>
      <c r="AB838" s="315">
        <v>1.738</v>
      </c>
      <c r="AC838" s="315">
        <v>2.4941</v>
      </c>
      <c r="AD838" s="315">
        <v>2.4961000000000002</v>
      </c>
      <c r="AE838" s="315">
        <v>2.3877000000000002</v>
      </c>
      <c r="AF838" s="315">
        <v>0</v>
      </c>
      <c r="AG838" s="315">
        <v>1.4131</v>
      </c>
      <c r="AH838" s="315">
        <v>2.0956000000000001</v>
      </c>
      <c r="AI838" s="315">
        <v>1.4639</v>
      </c>
      <c r="AJ838" s="315">
        <v>1.5737000000000001</v>
      </c>
      <c r="AK838" s="315">
        <v>1.4653</v>
      </c>
      <c r="AL838" s="315">
        <v>1.474</v>
      </c>
      <c r="AM838" s="315">
        <v>1.6458999999999999</v>
      </c>
      <c r="AN838" s="315">
        <v>1.8512</v>
      </c>
      <c r="AO838" s="315">
        <v>2.6579999999999999</v>
      </c>
      <c r="AP838" s="315">
        <v>1.7508999999999999</v>
      </c>
      <c r="AQ838" s="315">
        <v>1.4265000000000001</v>
      </c>
      <c r="AR838" s="315">
        <v>2.5846</v>
      </c>
      <c r="AS838" s="315">
        <v>1.7582</v>
      </c>
      <c r="AT838" s="315">
        <v>1.8464</v>
      </c>
      <c r="AU838" s="315">
        <v>2.2065999999999999</v>
      </c>
      <c r="AV838" s="315">
        <v>1.7228000000000001</v>
      </c>
      <c r="AW838" s="315">
        <v>2.0377000000000001</v>
      </c>
      <c r="AX838" s="315">
        <v>2.2210000000000001</v>
      </c>
      <c r="AY838" s="315">
        <v>2.7069999999999999</v>
      </c>
      <c r="AZ838" s="315">
        <v>1.9608000000000001</v>
      </c>
      <c r="BA838" s="315">
        <v>2.0188999999999999</v>
      </c>
      <c r="BB838" s="315">
        <v>1.6134999999999999</v>
      </c>
      <c r="BC838" s="315">
        <v>2.1383999999999999</v>
      </c>
      <c r="BD838" s="315">
        <v>1.6380999999999999</v>
      </c>
      <c r="BE838" s="315">
        <v>1.8222</v>
      </c>
      <c r="BF838" s="315">
        <v>1.8383</v>
      </c>
      <c r="BG838" s="315">
        <v>2.774</v>
      </c>
      <c r="BH838" s="315">
        <v>2.7694000000000001</v>
      </c>
      <c r="BI838" s="315">
        <v>2.8738999999999999</v>
      </c>
      <c r="BJ838" s="315">
        <v>2.2183999999999999</v>
      </c>
      <c r="BK838" s="315">
        <v>2.8327</v>
      </c>
    </row>
    <row r="839" spans="1:63" x14ac:dyDescent="0.25">
      <c r="A839" s="306" t="s">
        <v>689</v>
      </c>
      <c r="B839" s="315" t="s">
        <v>690</v>
      </c>
      <c r="C839" s="315">
        <v>2.8428</v>
      </c>
      <c r="D839" s="315">
        <v>1.3307</v>
      </c>
      <c r="E839" s="315">
        <v>2.0623999999999998</v>
      </c>
      <c r="F839" s="315">
        <v>2.0276999999999998</v>
      </c>
      <c r="G839" s="315">
        <v>2.0257999999999998</v>
      </c>
      <c r="H839" s="315">
        <v>2.1743000000000001</v>
      </c>
      <c r="I839" s="315">
        <v>1.8762000000000001</v>
      </c>
      <c r="J839" s="315">
        <v>0</v>
      </c>
      <c r="K839" s="315">
        <v>0</v>
      </c>
      <c r="L839" s="315">
        <v>0</v>
      </c>
      <c r="M839" s="315">
        <v>2.0333999999999999</v>
      </c>
      <c r="N839" s="315">
        <v>1.9864999999999999</v>
      </c>
      <c r="O839" s="315">
        <v>1.6548</v>
      </c>
      <c r="P839" s="315">
        <v>0</v>
      </c>
      <c r="Q839" s="315">
        <v>1.9414</v>
      </c>
      <c r="R839" s="315">
        <v>1.8897999999999999</v>
      </c>
      <c r="S839" s="315">
        <v>1.7124999999999999</v>
      </c>
      <c r="T839" s="315">
        <v>0</v>
      </c>
      <c r="U839" s="315">
        <v>2.1585000000000001</v>
      </c>
      <c r="V839" s="315">
        <v>1.8671</v>
      </c>
      <c r="W839" s="315">
        <v>1.6154999999999999</v>
      </c>
      <c r="X839" s="315">
        <v>1.5344</v>
      </c>
      <c r="Y839" s="315">
        <v>1.7195</v>
      </c>
      <c r="Z839" s="315">
        <v>1.7030000000000001</v>
      </c>
      <c r="AA839" s="315">
        <v>1.8275999999999999</v>
      </c>
      <c r="AB839" s="315">
        <v>2.0013000000000001</v>
      </c>
      <c r="AC839" s="315">
        <v>2.0499000000000001</v>
      </c>
      <c r="AD839" s="315">
        <v>1.9455</v>
      </c>
      <c r="AE839" s="315">
        <v>1.8396999999999999</v>
      </c>
      <c r="AF839" s="315">
        <v>1.8202</v>
      </c>
      <c r="AG839" s="315">
        <v>1.8254999999999999</v>
      </c>
      <c r="AH839" s="315">
        <v>1.5368999999999999</v>
      </c>
      <c r="AI839" s="315">
        <v>1.5542</v>
      </c>
      <c r="AJ839" s="315">
        <v>1.8609</v>
      </c>
      <c r="AK839" s="315">
        <v>0</v>
      </c>
      <c r="AL839" s="315">
        <v>1.4822</v>
      </c>
      <c r="AM839" s="315">
        <v>1.7373000000000001</v>
      </c>
      <c r="AN839" s="315">
        <v>1.7538</v>
      </c>
      <c r="AO839" s="315">
        <v>2.0871</v>
      </c>
      <c r="AP839" s="315">
        <v>1.7888999999999999</v>
      </c>
      <c r="AQ839" s="315">
        <v>0</v>
      </c>
      <c r="AR839" s="315">
        <v>1.9024000000000001</v>
      </c>
      <c r="AS839" s="315">
        <v>1.673</v>
      </c>
      <c r="AT839" s="315">
        <v>1.7044999999999999</v>
      </c>
      <c r="AU839" s="315">
        <v>2.0257999999999998</v>
      </c>
      <c r="AV839" s="315">
        <v>0</v>
      </c>
      <c r="AW839" s="315">
        <v>1.5582</v>
      </c>
      <c r="AX839" s="315">
        <v>1.7723</v>
      </c>
      <c r="AY839" s="315">
        <v>2.0827</v>
      </c>
      <c r="AZ839" s="315">
        <v>1.9799</v>
      </c>
      <c r="BA839" s="315">
        <v>1.4676</v>
      </c>
      <c r="BB839" s="315">
        <v>0</v>
      </c>
      <c r="BC839" s="315">
        <v>1.665</v>
      </c>
      <c r="BD839" s="315">
        <v>1.6700999999999999</v>
      </c>
      <c r="BE839" s="315">
        <v>1.9403999999999999</v>
      </c>
      <c r="BF839" s="315">
        <v>2.0165000000000002</v>
      </c>
      <c r="BG839" s="315">
        <v>2.0981999999999998</v>
      </c>
      <c r="BH839" s="315">
        <v>2.2063000000000001</v>
      </c>
      <c r="BI839" s="315">
        <v>2.1322000000000001</v>
      </c>
      <c r="BJ839" s="315">
        <v>2.1907000000000001</v>
      </c>
      <c r="BK839" s="315">
        <v>2.1997</v>
      </c>
    </row>
    <row r="840" spans="1:63" x14ac:dyDescent="0.25">
      <c r="A840" s="306">
        <v>114100</v>
      </c>
      <c r="B840" s="315" t="s">
        <v>691</v>
      </c>
      <c r="C840" s="315">
        <v>2.7063999999999999</v>
      </c>
      <c r="D840" s="315">
        <v>1.581</v>
      </c>
      <c r="E840" s="315">
        <v>1.9534</v>
      </c>
      <c r="F840" s="315">
        <v>1.7474000000000001</v>
      </c>
      <c r="G840" s="315">
        <v>0</v>
      </c>
      <c r="H840" s="315">
        <v>2.1528</v>
      </c>
      <c r="I840" s="315">
        <v>0</v>
      </c>
      <c r="J840" s="315">
        <v>1.8778999999999999</v>
      </c>
      <c r="K840" s="315">
        <v>0</v>
      </c>
      <c r="L840" s="315">
        <v>1.7112000000000001</v>
      </c>
      <c r="M840" s="315">
        <v>1.8724000000000001</v>
      </c>
      <c r="N840" s="315">
        <v>1.9742</v>
      </c>
      <c r="O840" s="315">
        <v>1.9053</v>
      </c>
      <c r="P840" s="315">
        <v>0</v>
      </c>
      <c r="Q840" s="315">
        <v>1.6181000000000001</v>
      </c>
      <c r="R840" s="315">
        <v>2.0958000000000001</v>
      </c>
      <c r="S840" s="315">
        <v>0</v>
      </c>
      <c r="T840" s="315">
        <v>0</v>
      </c>
      <c r="U840" s="315">
        <v>2.0236000000000001</v>
      </c>
      <c r="V840" s="315">
        <v>1.9801</v>
      </c>
      <c r="W840" s="315">
        <v>1.8378000000000001</v>
      </c>
      <c r="X840" s="315">
        <v>1.8193999999999999</v>
      </c>
      <c r="Y840" s="315">
        <v>1.8544</v>
      </c>
      <c r="Z840" s="315">
        <v>1.9101999999999999</v>
      </c>
      <c r="AA840" s="315">
        <v>1.9337</v>
      </c>
      <c r="AB840" s="315">
        <v>0</v>
      </c>
      <c r="AC840" s="315">
        <v>1.9128000000000001</v>
      </c>
      <c r="AD840" s="315">
        <v>1.66</v>
      </c>
      <c r="AE840" s="315">
        <v>1.8654999999999999</v>
      </c>
      <c r="AF840" s="315">
        <v>0</v>
      </c>
      <c r="AG840" s="315">
        <v>0</v>
      </c>
      <c r="AH840" s="315">
        <v>1.7801</v>
      </c>
      <c r="AI840" s="315">
        <v>1.9826999999999999</v>
      </c>
      <c r="AJ840" s="315">
        <v>0</v>
      </c>
      <c r="AK840" s="315">
        <v>1.6516</v>
      </c>
      <c r="AL840" s="315">
        <v>1.7394000000000001</v>
      </c>
      <c r="AM840" s="315">
        <v>2.0396999999999998</v>
      </c>
      <c r="AN840" s="315">
        <v>0</v>
      </c>
      <c r="AO840" s="315">
        <v>1.9041999999999999</v>
      </c>
      <c r="AP840" s="315">
        <v>2.0101</v>
      </c>
      <c r="AQ840" s="315">
        <v>1.8424</v>
      </c>
      <c r="AR840" s="315">
        <v>1.9691000000000001</v>
      </c>
      <c r="AS840" s="315">
        <v>0</v>
      </c>
      <c r="AT840" s="315">
        <v>2.0539000000000001</v>
      </c>
      <c r="AU840" s="315">
        <v>2.2479</v>
      </c>
      <c r="AV840" s="315">
        <v>2.0265</v>
      </c>
      <c r="AW840" s="315">
        <v>1.9419999999999999</v>
      </c>
      <c r="AX840" s="315">
        <v>0</v>
      </c>
      <c r="AY840" s="315">
        <v>2.0247999999999999</v>
      </c>
      <c r="AZ840" s="315">
        <v>1.9104000000000001</v>
      </c>
      <c r="BA840" s="315">
        <v>0</v>
      </c>
      <c r="BB840" s="315">
        <v>0</v>
      </c>
      <c r="BC840" s="315">
        <v>2.0232999999999999</v>
      </c>
      <c r="BD840" s="315">
        <v>2.0268000000000002</v>
      </c>
      <c r="BE840" s="315">
        <v>2.1474000000000002</v>
      </c>
      <c r="BF840" s="315">
        <v>1.9007000000000001</v>
      </c>
      <c r="BG840" s="315">
        <v>2.1314000000000002</v>
      </c>
      <c r="BH840" s="315">
        <v>2.1608000000000001</v>
      </c>
      <c r="BI840" s="315">
        <v>2.2894000000000001</v>
      </c>
      <c r="BJ840" s="315">
        <v>2.0188000000000001</v>
      </c>
      <c r="BK840" s="315">
        <v>2.2305000000000001</v>
      </c>
    </row>
    <row r="841" spans="1:63" x14ac:dyDescent="0.25">
      <c r="A841" s="306">
        <v>114200</v>
      </c>
      <c r="B841" s="315" t="s">
        <v>692</v>
      </c>
      <c r="C841" s="315">
        <v>2.3940999999999999</v>
      </c>
      <c r="D841" s="315">
        <v>0</v>
      </c>
      <c r="E841" s="315">
        <v>1.7764</v>
      </c>
      <c r="F841" s="315">
        <v>1.6907000000000001</v>
      </c>
      <c r="G841" s="315">
        <v>1.6891</v>
      </c>
      <c r="H841" s="315">
        <v>1.881</v>
      </c>
      <c r="I841" s="315">
        <v>1.8492999999999999</v>
      </c>
      <c r="J841" s="315">
        <v>1.6782999999999999</v>
      </c>
      <c r="K841" s="315">
        <v>0</v>
      </c>
      <c r="L841" s="315">
        <v>0</v>
      </c>
      <c r="M841" s="315">
        <v>1.6972</v>
      </c>
      <c r="N841" s="315">
        <v>1.8893</v>
      </c>
      <c r="O841" s="315">
        <v>1.5245</v>
      </c>
      <c r="P841" s="315">
        <v>1.6044</v>
      </c>
      <c r="Q841" s="315">
        <v>1.5402</v>
      </c>
      <c r="R841" s="315">
        <v>2.0152999999999999</v>
      </c>
      <c r="S841" s="315">
        <v>1.8487</v>
      </c>
      <c r="T841" s="315">
        <v>1.6720999999999999</v>
      </c>
      <c r="U841" s="315">
        <v>1.8277000000000001</v>
      </c>
      <c r="V841" s="315">
        <v>1.6763999999999999</v>
      </c>
      <c r="W841" s="315">
        <v>1.7031000000000001</v>
      </c>
      <c r="X841" s="315">
        <v>1.6577999999999999</v>
      </c>
      <c r="Y841" s="315">
        <v>0</v>
      </c>
      <c r="Z841" s="315">
        <v>1.7883</v>
      </c>
      <c r="AA841" s="315">
        <v>1.7923</v>
      </c>
      <c r="AB841" s="315">
        <v>1.8230999999999999</v>
      </c>
      <c r="AC841" s="315">
        <v>1.6778</v>
      </c>
      <c r="AD841" s="315">
        <v>1.5620000000000001</v>
      </c>
      <c r="AE841" s="315">
        <v>1.7959000000000001</v>
      </c>
      <c r="AF841" s="315">
        <v>1.5126999999999999</v>
      </c>
      <c r="AG841" s="315">
        <v>1.5438000000000001</v>
      </c>
      <c r="AH841" s="315">
        <v>0</v>
      </c>
      <c r="AI841" s="315">
        <v>1.8479000000000001</v>
      </c>
      <c r="AJ841" s="315">
        <v>0</v>
      </c>
      <c r="AK841" s="315">
        <v>1.5378000000000001</v>
      </c>
      <c r="AL841" s="315">
        <v>1.5972999999999999</v>
      </c>
      <c r="AM841" s="315">
        <v>1.9394</v>
      </c>
      <c r="AN841" s="315">
        <v>1.768</v>
      </c>
      <c r="AO841" s="315">
        <v>1.7351000000000001</v>
      </c>
      <c r="AP841" s="315">
        <v>1.9179999999999999</v>
      </c>
      <c r="AQ841" s="315">
        <v>0</v>
      </c>
      <c r="AR841" s="315">
        <v>1.8122</v>
      </c>
      <c r="AS841" s="315">
        <v>1.4728000000000001</v>
      </c>
      <c r="AT841" s="315">
        <v>1.893</v>
      </c>
      <c r="AU841" s="315">
        <v>1.9759</v>
      </c>
      <c r="AV841" s="315">
        <v>1.8571</v>
      </c>
      <c r="AW841" s="315">
        <v>1.6960999999999999</v>
      </c>
      <c r="AX841" s="315">
        <v>1.5964</v>
      </c>
      <c r="AY841" s="315">
        <v>1.7448999999999999</v>
      </c>
      <c r="AZ841" s="315">
        <v>1.7950999999999999</v>
      </c>
      <c r="BA841" s="315">
        <v>1.6017999999999999</v>
      </c>
      <c r="BB841" s="315">
        <v>1.4778</v>
      </c>
      <c r="BC841" s="315">
        <v>1.7884</v>
      </c>
      <c r="BD841" s="315">
        <v>1.8599000000000001</v>
      </c>
      <c r="BE841" s="315">
        <v>2.0259999999999998</v>
      </c>
      <c r="BF841" s="315">
        <v>1.8214999999999999</v>
      </c>
      <c r="BG841" s="315">
        <v>1.907</v>
      </c>
      <c r="BH841" s="315">
        <v>1.9387000000000001</v>
      </c>
      <c r="BI841" s="315">
        <v>1.9996</v>
      </c>
      <c r="BJ841" s="315">
        <v>1.8360000000000001</v>
      </c>
      <c r="BK841" s="315">
        <v>1.903</v>
      </c>
    </row>
    <row r="842" spans="1:63" x14ac:dyDescent="0.25">
      <c r="A842" s="306">
        <v>115000</v>
      </c>
      <c r="B842" s="315" t="s">
        <v>19</v>
      </c>
      <c r="C842" s="315">
        <v>3.0093999999999999</v>
      </c>
      <c r="D842" s="315">
        <v>1.766</v>
      </c>
      <c r="E842" s="315">
        <v>2.1922000000000001</v>
      </c>
      <c r="F842" s="315">
        <v>1.9918</v>
      </c>
      <c r="G842" s="315">
        <v>1.9933000000000001</v>
      </c>
      <c r="H842" s="315">
        <v>2.1718000000000002</v>
      </c>
      <c r="I842" s="315">
        <v>2.1480999999999999</v>
      </c>
      <c r="J842" s="315">
        <v>1.8138000000000001</v>
      </c>
      <c r="K842" s="315">
        <v>0</v>
      </c>
      <c r="L842" s="315">
        <v>1.8266</v>
      </c>
      <c r="M842" s="315">
        <v>2.0825999999999998</v>
      </c>
      <c r="N842" s="315">
        <v>2.2553999999999998</v>
      </c>
      <c r="O842" s="315">
        <v>1.8314999999999999</v>
      </c>
      <c r="P842" s="315">
        <v>1.9041999999999999</v>
      </c>
      <c r="Q842" s="315">
        <v>1.8492</v>
      </c>
      <c r="R842" s="315">
        <v>2.2376999999999998</v>
      </c>
      <c r="S842" s="315">
        <v>2.1004999999999998</v>
      </c>
      <c r="T842" s="315">
        <v>1.9523999999999999</v>
      </c>
      <c r="U842" s="315">
        <v>2.0289000000000001</v>
      </c>
      <c r="V842" s="315">
        <v>2.0975000000000001</v>
      </c>
      <c r="W842" s="315">
        <v>1.9537</v>
      </c>
      <c r="X842" s="315">
        <v>1.9379999999999999</v>
      </c>
      <c r="Y842" s="315">
        <v>1.9908999999999999</v>
      </c>
      <c r="Z842" s="315">
        <v>2.0535999999999999</v>
      </c>
      <c r="AA842" s="315">
        <v>1.9996</v>
      </c>
      <c r="AB842" s="315">
        <v>2.3298000000000001</v>
      </c>
      <c r="AC842" s="315">
        <v>2.0184000000000002</v>
      </c>
      <c r="AD842" s="315">
        <v>1.8938999999999999</v>
      </c>
      <c r="AE842" s="315">
        <v>2.2241</v>
      </c>
      <c r="AF842" s="315">
        <v>1.6744000000000001</v>
      </c>
      <c r="AG842" s="315">
        <v>1.857</v>
      </c>
      <c r="AH842" s="315">
        <v>1.8312999999999999</v>
      </c>
      <c r="AI842" s="315">
        <v>2.1587000000000001</v>
      </c>
      <c r="AJ842" s="315">
        <v>1.7563</v>
      </c>
      <c r="AK842" s="315">
        <v>1.7289000000000001</v>
      </c>
      <c r="AL842" s="315">
        <v>1.7177</v>
      </c>
      <c r="AM842" s="315">
        <v>2.2888999999999999</v>
      </c>
      <c r="AN842" s="315">
        <v>2.0908000000000002</v>
      </c>
      <c r="AO842" s="315">
        <v>2.0785999999999998</v>
      </c>
      <c r="AP842" s="315">
        <v>2.2290999999999999</v>
      </c>
      <c r="AQ842" s="315">
        <v>1.8317000000000001</v>
      </c>
      <c r="AR842" s="315">
        <v>2.0406</v>
      </c>
      <c r="AS842" s="315">
        <v>1.7250000000000001</v>
      </c>
      <c r="AT842" s="315">
        <v>2.1438999999999999</v>
      </c>
      <c r="AU842" s="315">
        <v>2.3426999999999998</v>
      </c>
      <c r="AV842" s="315">
        <v>2.1996000000000002</v>
      </c>
      <c r="AW842" s="315">
        <v>1.9633</v>
      </c>
      <c r="AX842" s="315">
        <v>1.7786</v>
      </c>
      <c r="AY842" s="315">
        <v>2.0213000000000001</v>
      </c>
      <c r="AZ842" s="315">
        <v>2.1890999999999998</v>
      </c>
      <c r="BA842" s="315">
        <v>1.7877000000000001</v>
      </c>
      <c r="BB842" s="315">
        <v>1.6753</v>
      </c>
      <c r="BC842" s="315">
        <v>2.0554999999999999</v>
      </c>
      <c r="BD842" s="315">
        <v>2.0937000000000001</v>
      </c>
      <c r="BE842" s="315">
        <v>2.4994000000000001</v>
      </c>
      <c r="BF842" s="315">
        <v>2.2652999999999999</v>
      </c>
      <c r="BG842" s="315">
        <v>2.4626000000000001</v>
      </c>
      <c r="BH842" s="315">
        <v>2.3917000000000002</v>
      </c>
      <c r="BI842" s="315">
        <v>2.4754999999999998</v>
      </c>
      <c r="BJ842" s="315">
        <v>2.2631000000000001</v>
      </c>
      <c r="BK842" s="315">
        <v>2.2027000000000001</v>
      </c>
    </row>
    <row r="843" spans="1:63" x14ac:dyDescent="0.25">
      <c r="A843" s="306">
        <v>211000</v>
      </c>
      <c r="B843" s="315" t="s">
        <v>693</v>
      </c>
      <c r="C843" s="315">
        <v>2.5541</v>
      </c>
      <c r="D843" s="315">
        <v>1.6858</v>
      </c>
      <c r="E843" s="315">
        <v>1.7396</v>
      </c>
      <c r="F843" s="315">
        <v>1.6797</v>
      </c>
      <c r="G843" s="315">
        <v>1.8134999999999999</v>
      </c>
      <c r="H843" s="315">
        <v>2.0649999999999999</v>
      </c>
      <c r="I843" s="315">
        <v>2.1109</v>
      </c>
      <c r="J843" s="315">
        <v>1.8862000000000001</v>
      </c>
      <c r="K843" s="315">
        <v>0</v>
      </c>
      <c r="L843" s="315">
        <v>0</v>
      </c>
      <c r="M843" s="315">
        <v>1.8092999999999999</v>
      </c>
      <c r="N843" s="315">
        <v>0</v>
      </c>
      <c r="O843" s="315">
        <v>1.6359999999999999</v>
      </c>
      <c r="P843" s="315">
        <v>0</v>
      </c>
      <c r="Q843" s="315">
        <v>1.5714999999999999</v>
      </c>
      <c r="R843" s="315">
        <v>2.0447000000000002</v>
      </c>
      <c r="S843" s="315">
        <v>1.7914000000000001</v>
      </c>
      <c r="T843" s="315">
        <v>1.6712</v>
      </c>
      <c r="U843" s="315">
        <v>1.7825</v>
      </c>
      <c r="V843" s="315">
        <v>1.8919999999999999</v>
      </c>
      <c r="W843" s="315">
        <v>1.8749</v>
      </c>
      <c r="X843" s="315">
        <v>1.7639</v>
      </c>
      <c r="Y843" s="315">
        <v>1.6245000000000001</v>
      </c>
      <c r="Z843" s="315">
        <v>1.9408000000000001</v>
      </c>
      <c r="AA843" s="315">
        <v>1.9434</v>
      </c>
      <c r="AB843" s="315">
        <v>1.8348</v>
      </c>
      <c r="AC843" s="315">
        <v>1.6284000000000001</v>
      </c>
      <c r="AD843" s="315">
        <v>1.6839999999999999</v>
      </c>
      <c r="AE843" s="315">
        <v>1.7285999999999999</v>
      </c>
      <c r="AF843" s="315">
        <v>1.5572999999999999</v>
      </c>
      <c r="AG843" s="315">
        <v>1.5555000000000001</v>
      </c>
      <c r="AH843" s="315">
        <v>0</v>
      </c>
      <c r="AI843" s="315">
        <v>1.9668000000000001</v>
      </c>
      <c r="AJ843" s="315">
        <v>1.5869</v>
      </c>
      <c r="AK843" s="315">
        <v>1.6994</v>
      </c>
      <c r="AL843" s="315">
        <v>1.7650999999999999</v>
      </c>
      <c r="AM843" s="315">
        <v>1.9333</v>
      </c>
      <c r="AN843" s="315">
        <v>1.8980999999999999</v>
      </c>
      <c r="AO843" s="315">
        <v>1.8404</v>
      </c>
      <c r="AP843" s="315">
        <v>2.1067</v>
      </c>
      <c r="AQ843" s="315">
        <v>1.7585</v>
      </c>
      <c r="AR843" s="315">
        <v>1.7543</v>
      </c>
      <c r="AS843" s="315">
        <v>1.3166</v>
      </c>
      <c r="AT843" s="315">
        <v>1.9588000000000001</v>
      </c>
      <c r="AU843" s="315">
        <v>2.1524000000000001</v>
      </c>
      <c r="AV843" s="315">
        <v>2.0310999999999999</v>
      </c>
      <c r="AW843" s="315">
        <v>1.8647</v>
      </c>
      <c r="AX843" s="315">
        <v>0</v>
      </c>
      <c r="AY843" s="315">
        <v>0</v>
      </c>
      <c r="AZ843" s="315">
        <v>1.8729</v>
      </c>
      <c r="BA843" s="315">
        <v>1.6546000000000001</v>
      </c>
      <c r="BB843" s="315">
        <v>1.5968</v>
      </c>
      <c r="BC843" s="315">
        <v>1.9734</v>
      </c>
      <c r="BD843" s="315">
        <v>2.0211000000000001</v>
      </c>
      <c r="BE843" s="315">
        <v>2.0541999999999998</v>
      </c>
      <c r="BF843" s="315">
        <v>1.9174</v>
      </c>
      <c r="BG843" s="315">
        <v>2.0015999999999998</v>
      </c>
      <c r="BH843" s="315">
        <v>1.8904000000000001</v>
      </c>
      <c r="BI843" s="315">
        <v>2.1623000000000001</v>
      </c>
      <c r="BJ843" s="315">
        <v>2.0722</v>
      </c>
      <c r="BK843" s="315">
        <v>2.0924999999999998</v>
      </c>
    </row>
    <row r="844" spans="1:63" x14ac:dyDescent="0.25">
      <c r="A844" s="306">
        <v>212100</v>
      </c>
      <c r="B844" s="315" t="s">
        <v>694</v>
      </c>
      <c r="C844" s="315">
        <v>2.7002999999999999</v>
      </c>
      <c r="D844" s="315">
        <v>1.6002000000000001</v>
      </c>
      <c r="E844" s="315">
        <v>1.9734</v>
      </c>
      <c r="F844" s="315">
        <v>1.6037999999999999</v>
      </c>
      <c r="G844" s="315">
        <v>1.8341000000000001</v>
      </c>
      <c r="H844" s="315">
        <v>1.7468999999999999</v>
      </c>
      <c r="I844" s="315">
        <v>2.1381999999999999</v>
      </c>
      <c r="J844" s="315">
        <v>0</v>
      </c>
      <c r="K844" s="315">
        <v>0</v>
      </c>
      <c r="L844" s="315">
        <v>0</v>
      </c>
      <c r="M844" s="315">
        <v>0</v>
      </c>
      <c r="N844" s="315">
        <v>1.8708</v>
      </c>
      <c r="O844" s="315">
        <v>0</v>
      </c>
      <c r="P844" s="315">
        <v>0</v>
      </c>
      <c r="Q844" s="315">
        <v>0</v>
      </c>
      <c r="R844" s="315">
        <v>2.2113999999999998</v>
      </c>
      <c r="S844" s="315">
        <v>1.9609000000000001</v>
      </c>
      <c r="T844" s="315">
        <v>1.7122999999999999</v>
      </c>
      <c r="U844" s="315">
        <v>2.0089000000000001</v>
      </c>
      <c r="V844" s="315">
        <v>1.7628999999999999</v>
      </c>
      <c r="W844" s="315">
        <v>0</v>
      </c>
      <c r="X844" s="315">
        <v>1.7081</v>
      </c>
      <c r="Y844" s="315">
        <v>0</v>
      </c>
      <c r="Z844" s="315">
        <v>0</v>
      </c>
      <c r="AA844" s="315">
        <v>0</v>
      </c>
      <c r="AB844" s="315">
        <v>1.9437</v>
      </c>
      <c r="AC844" s="315">
        <v>1.6842999999999999</v>
      </c>
      <c r="AD844" s="315">
        <v>1.6697</v>
      </c>
      <c r="AE844" s="315">
        <v>1.7797000000000001</v>
      </c>
      <c r="AF844" s="315">
        <v>1.647</v>
      </c>
      <c r="AG844" s="315">
        <v>0</v>
      </c>
      <c r="AH844" s="315">
        <v>0</v>
      </c>
      <c r="AI844" s="315">
        <v>0</v>
      </c>
      <c r="AJ844" s="315">
        <v>1.7243999999999999</v>
      </c>
      <c r="AK844" s="315">
        <v>0</v>
      </c>
      <c r="AL844" s="315">
        <v>1.7063999999999999</v>
      </c>
      <c r="AM844" s="315">
        <v>2.1126</v>
      </c>
      <c r="AN844" s="315">
        <v>1.8778999999999999</v>
      </c>
      <c r="AO844" s="315">
        <v>0</v>
      </c>
      <c r="AP844" s="315">
        <v>2.2048000000000001</v>
      </c>
      <c r="AQ844" s="315">
        <v>0</v>
      </c>
      <c r="AR844" s="315">
        <v>1.8476999999999999</v>
      </c>
      <c r="AS844" s="315">
        <v>0</v>
      </c>
      <c r="AT844" s="315">
        <v>1.9776</v>
      </c>
      <c r="AU844" s="315">
        <v>2.0994999999999999</v>
      </c>
      <c r="AV844" s="315">
        <v>2.1337999999999999</v>
      </c>
      <c r="AW844" s="315">
        <v>1.9829000000000001</v>
      </c>
      <c r="AX844" s="315">
        <v>0</v>
      </c>
      <c r="AY844" s="315">
        <v>1.8847</v>
      </c>
      <c r="AZ844" s="315">
        <v>0</v>
      </c>
      <c r="BA844" s="315">
        <v>1.7962</v>
      </c>
      <c r="BB844" s="315">
        <v>1.6288</v>
      </c>
      <c r="BC844" s="315">
        <v>0</v>
      </c>
      <c r="BD844" s="315">
        <v>2.0346000000000002</v>
      </c>
      <c r="BE844" s="315">
        <v>2.2025000000000001</v>
      </c>
      <c r="BF844" s="315">
        <v>1.9096</v>
      </c>
      <c r="BG844" s="315">
        <v>2.1507000000000001</v>
      </c>
      <c r="BH844" s="315">
        <v>2.1248</v>
      </c>
      <c r="BI844" s="315">
        <v>2.1286999999999998</v>
      </c>
      <c r="BJ844" s="315">
        <v>2.1059000000000001</v>
      </c>
      <c r="BK844" s="315">
        <v>1.9518</v>
      </c>
    </row>
    <row r="845" spans="1:63" x14ac:dyDescent="0.25">
      <c r="A845" s="306">
        <v>212210</v>
      </c>
      <c r="B845" s="315" t="s">
        <v>695</v>
      </c>
      <c r="C845" s="315">
        <v>2.9598</v>
      </c>
      <c r="D845" s="315">
        <v>0</v>
      </c>
      <c r="E845" s="315">
        <v>2.1764999999999999</v>
      </c>
      <c r="F845" s="315">
        <v>0</v>
      </c>
      <c r="G845" s="315">
        <v>1.9275</v>
      </c>
      <c r="H845" s="315">
        <v>1.9582999999999999</v>
      </c>
      <c r="I845" s="315">
        <v>2.1785000000000001</v>
      </c>
      <c r="J845" s="315">
        <v>0</v>
      </c>
      <c r="K845" s="315">
        <v>0</v>
      </c>
      <c r="L845" s="315">
        <v>0</v>
      </c>
      <c r="M845" s="315">
        <v>1.7990999999999999</v>
      </c>
      <c r="N845" s="315">
        <v>0</v>
      </c>
      <c r="O845" s="315">
        <v>0</v>
      </c>
      <c r="P845" s="315">
        <v>0</v>
      </c>
      <c r="Q845" s="315">
        <v>0</v>
      </c>
      <c r="R845" s="315">
        <v>0</v>
      </c>
      <c r="S845" s="315">
        <v>0</v>
      </c>
      <c r="T845" s="315">
        <v>0</v>
      </c>
      <c r="U845" s="315">
        <v>0</v>
      </c>
      <c r="V845" s="315">
        <v>2.0594000000000001</v>
      </c>
      <c r="W845" s="315">
        <v>0</v>
      </c>
      <c r="X845" s="315">
        <v>0</v>
      </c>
      <c r="Y845" s="315">
        <v>0</v>
      </c>
      <c r="Z845" s="315">
        <v>2.2225999999999999</v>
      </c>
      <c r="AA845" s="315">
        <v>2.0802999999999998</v>
      </c>
      <c r="AB845" s="315">
        <v>0</v>
      </c>
      <c r="AC845" s="315">
        <v>0</v>
      </c>
      <c r="AD845" s="315">
        <v>1.8046</v>
      </c>
      <c r="AE845" s="315">
        <v>0</v>
      </c>
      <c r="AF845" s="315">
        <v>0</v>
      </c>
      <c r="AG845" s="315">
        <v>0</v>
      </c>
      <c r="AH845" s="315">
        <v>0</v>
      </c>
      <c r="AI845" s="315">
        <v>0</v>
      </c>
      <c r="AJ845" s="315">
        <v>0</v>
      </c>
      <c r="AK845" s="315">
        <v>1.8334999999999999</v>
      </c>
      <c r="AL845" s="315">
        <v>0</v>
      </c>
      <c r="AM845" s="315">
        <v>0</v>
      </c>
      <c r="AN845" s="315">
        <v>0</v>
      </c>
      <c r="AO845" s="315">
        <v>0</v>
      </c>
      <c r="AP845" s="315">
        <v>2.3805000000000001</v>
      </c>
      <c r="AQ845" s="315">
        <v>0</v>
      </c>
      <c r="AR845" s="315">
        <v>2.0752999999999999</v>
      </c>
      <c r="AS845" s="315">
        <v>0</v>
      </c>
      <c r="AT845" s="315">
        <v>0</v>
      </c>
      <c r="AU845" s="315">
        <v>2.3708999999999998</v>
      </c>
      <c r="AV845" s="315">
        <v>0</v>
      </c>
      <c r="AW845" s="315">
        <v>1.994</v>
      </c>
      <c r="AX845" s="315">
        <v>0</v>
      </c>
      <c r="AY845" s="315">
        <v>2.0367000000000002</v>
      </c>
      <c r="AZ845" s="315">
        <v>0</v>
      </c>
      <c r="BA845" s="315">
        <v>1.9267000000000001</v>
      </c>
      <c r="BB845" s="315">
        <v>0</v>
      </c>
      <c r="BC845" s="315">
        <v>0</v>
      </c>
      <c r="BD845" s="315">
        <v>2.1823999999999999</v>
      </c>
      <c r="BE845" s="315">
        <v>2.4695</v>
      </c>
      <c r="BF845" s="315">
        <v>2.1505000000000001</v>
      </c>
      <c r="BG845" s="315">
        <v>2.1833999999999998</v>
      </c>
      <c r="BH845" s="315">
        <v>2.3513000000000002</v>
      </c>
      <c r="BI845" s="315">
        <v>2.4220999999999999</v>
      </c>
      <c r="BJ845" s="315">
        <v>2.1861000000000002</v>
      </c>
      <c r="BK845" s="315">
        <v>2.0741000000000001</v>
      </c>
    </row>
    <row r="846" spans="1:63" x14ac:dyDescent="0.25">
      <c r="A846" s="306">
        <v>212230</v>
      </c>
      <c r="B846" s="315" t="s">
        <v>696</v>
      </c>
      <c r="C846" s="315">
        <v>2.4725000000000001</v>
      </c>
      <c r="D846" s="315">
        <v>1.6613</v>
      </c>
      <c r="E846" s="315">
        <v>0</v>
      </c>
      <c r="F846" s="315">
        <v>0</v>
      </c>
      <c r="G846" s="315">
        <v>1.7413000000000001</v>
      </c>
      <c r="H846" s="315">
        <v>0</v>
      </c>
      <c r="I846" s="315">
        <v>2.0872999999999999</v>
      </c>
      <c r="J846" s="315">
        <v>0</v>
      </c>
      <c r="K846" s="315">
        <v>0</v>
      </c>
      <c r="L846" s="315">
        <v>0</v>
      </c>
      <c r="M846" s="315">
        <v>0</v>
      </c>
      <c r="N846" s="315">
        <v>0</v>
      </c>
      <c r="O846" s="315">
        <v>0</v>
      </c>
      <c r="P846" s="315">
        <v>0</v>
      </c>
      <c r="Q846" s="315">
        <v>1.5883</v>
      </c>
      <c r="R846" s="315">
        <v>0</v>
      </c>
      <c r="S846" s="315">
        <v>0</v>
      </c>
      <c r="T846" s="315">
        <v>0</v>
      </c>
      <c r="U846" s="315">
        <v>0</v>
      </c>
      <c r="V846" s="315">
        <v>1.6722999999999999</v>
      </c>
      <c r="W846" s="315">
        <v>0</v>
      </c>
      <c r="X846" s="315">
        <v>0</v>
      </c>
      <c r="Y846" s="315">
        <v>0</v>
      </c>
      <c r="Z846" s="315">
        <v>1.778</v>
      </c>
      <c r="AA846" s="315">
        <v>1.7667999999999999</v>
      </c>
      <c r="AB846" s="315">
        <v>1.8353999999999999</v>
      </c>
      <c r="AC846" s="315">
        <v>0</v>
      </c>
      <c r="AD846" s="315">
        <v>1.6879999999999999</v>
      </c>
      <c r="AE846" s="315">
        <v>0</v>
      </c>
      <c r="AF846" s="315">
        <v>0</v>
      </c>
      <c r="AG846" s="315">
        <v>0</v>
      </c>
      <c r="AH846" s="315">
        <v>0</v>
      </c>
      <c r="AI846" s="315">
        <v>0</v>
      </c>
      <c r="AJ846" s="315">
        <v>1.7282</v>
      </c>
      <c r="AK846" s="315">
        <v>1.7545999999999999</v>
      </c>
      <c r="AL846" s="315">
        <v>1.5773999999999999</v>
      </c>
      <c r="AM846" s="315">
        <v>0</v>
      </c>
      <c r="AN846" s="315">
        <v>1.7185999999999999</v>
      </c>
      <c r="AO846" s="315">
        <v>0</v>
      </c>
      <c r="AP846" s="315">
        <v>0</v>
      </c>
      <c r="AQ846" s="315">
        <v>0</v>
      </c>
      <c r="AR846" s="315">
        <v>0</v>
      </c>
      <c r="AS846" s="315">
        <v>1.5432999999999999</v>
      </c>
      <c r="AT846" s="315">
        <v>1.7906</v>
      </c>
      <c r="AU846" s="315">
        <v>0</v>
      </c>
      <c r="AV846" s="315">
        <v>2.0638000000000001</v>
      </c>
      <c r="AW846" s="315">
        <v>0</v>
      </c>
      <c r="AX846" s="315">
        <v>1.5286999999999999</v>
      </c>
      <c r="AY846" s="315">
        <v>1.8270999999999999</v>
      </c>
      <c r="AZ846" s="315">
        <v>0</v>
      </c>
      <c r="BA846" s="315">
        <v>0</v>
      </c>
      <c r="BB846" s="315">
        <v>0</v>
      </c>
      <c r="BC846" s="315">
        <v>1.8111999999999999</v>
      </c>
      <c r="BD846" s="315">
        <v>1.88</v>
      </c>
      <c r="BE846" s="315">
        <v>1.9260999999999999</v>
      </c>
      <c r="BF846" s="315">
        <v>1.7847</v>
      </c>
      <c r="BG846" s="315">
        <v>0</v>
      </c>
      <c r="BH846" s="315">
        <v>1.8219000000000001</v>
      </c>
      <c r="BI846" s="315">
        <v>1.9365000000000001</v>
      </c>
      <c r="BJ846" s="315">
        <v>2.0564</v>
      </c>
      <c r="BK846" s="315">
        <v>1.9164000000000001</v>
      </c>
    </row>
    <row r="847" spans="1:63" x14ac:dyDescent="0.25">
      <c r="A847" s="306" t="s">
        <v>697</v>
      </c>
      <c r="B847" s="315" t="s">
        <v>698</v>
      </c>
      <c r="C847" s="315">
        <v>2.7302</v>
      </c>
      <c r="D847" s="315">
        <v>1.6816</v>
      </c>
      <c r="E847" s="315">
        <v>1.9206000000000001</v>
      </c>
      <c r="F847" s="315">
        <v>1.8974</v>
      </c>
      <c r="G847" s="315">
        <v>1.8033999999999999</v>
      </c>
      <c r="H847" s="315">
        <v>1.841</v>
      </c>
      <c r="I847" s="315">
        <v>2.1501000000000001</v>
      </c>
      <c r="J847" s="315">
        <v>0</v>
      </c>
      <c r="K847" s="315">
        <v>0</v>
      </c>
      <c r="L847" s="315">
        <v>0</v>
      </c>
      <c r="M847" s="315">
        <v>1.8106</v>
      </c>
      <c r="N847" s="315">
        <v>0</v>
      </c>
      <c r="O847" s="315">
        <v>0</v>
      </c>
      <c r="P847" s="315">
        <v>0</v>
      </c>
      <c r="Q847" s="315">
        <v>1.6526000000000001</v>
      </c>
      <c r="R847" s="315">
        <v>1.9874000000000001</v>
      </c>
      <c r="S847" s="315">
        <v>0</v>
      </c>
      <c r="T847" s="315">
        <v>0</v>
      </c>
      <c r="U847" s="315">
        <v>0</v>
      </c>
      <c r="V847" s="315">
        <v>1.8046</v>
      </c>
      <c r="W847" s="315">
        <v>0</v>
      </c>
      <c r="X847" s="315">
        <v>0</v>
      </c>
      <c r="Y847" s="315">
        <v>0</v>
      </c>
      <c r="Z847" s="315">
        <v>0</v>
      </c>
      <c r="AA847" s="315">
        <v>0</v>
      </c>
      <c r="AB847" s="315">
        <v>1.9993000000000001</v>
      </c>
      <c r="AC847" s="315">
        <v>0</v>
      </c>
      <c r="AD847" s="315">
        <v>1.7326999999999999</v>
      </c>
      <c r="AE847" s="315">
        <v>1.8106</v>
      </c>
      <c r="AF847" s="315">
        <v>0</v>
      </c>
      <c r="AG847" s="315">
        <v>1.6446000000000001</v>
      </c>
      <c r="AH847" s="315">
        <v>0</v>
      </c>
      <c r="AI847" s="315">
        <v>0</v>
      </c>
      <c r="AJ847" s="315">
        <v>1.7998000000000001</v>
      </c>
      <c r="AK847" s="315">
        <v>1.8512999999999999</v>
      </c>
      <c r="AL847" s="315">
        <v>1.6048</v>
      </c>
      <c r="AM847" s="315">
        <v>0</v>
      </c>
      <c r="AN847" s="315">
        <v>1.8787</v>
      </c>
      <c r="AO847" s="315">
        <v>1.8694</v>
      </c>
      <c r="AP847" s="315">
        <v>2.1076000000000001</v>
      </c>
      <c r="AQ847" s="315">
        <v>0</v>
      </c>
      <c r="AR847" s="315">
        <v>1.8268</v>
      </c>
      <c r="AS847" s="315">
        <v>1.6580999999999999</v>
      </c>
      <c r="AT847" s="315">
        <v>0</v>
      </c>
      <c r="AU847" s="315">
        <v>2.1013999999999999</v>
      </c>
      <c r="AV847" s="315">
        <v>2.1871999999999998</v>
      </c>
      <c r="AW847" s="315">
        <v>1.9345000000000001</v>
      </c>
      <c r="AX847" s="315">
        <v>0</v>
      </c>
      <c r="AY847" s="315">
        <v>1.9207000000000001</v>
      </c>
      <c r="AZ847" s="315">
        <v>0</v>
      </c>
      <c r="BA847" s="315">
        <v>1.6567000000000001</v>
      </c>
      <c r="BB847" s="315">
        <v>1.6708000000000001</v>
      </c>
      <c r="BC847" s="315">
        <v>0</v>
      </c>
      <c r="BD847" s="315">
        <v>2.0116999999999998</v>
      </c>
      <c r="BE847" s="315">
        <v>2.1444999999999999</v>
      </c>
      <c r="BF847" s="315">
        <v>1.9685999999999999</v>
      </c>
      <c r="BG847" s="315">
        <v>2.0571000000000002</v>
      </c>
      <c r="BH847" s="315">
        <v>2.0331999999999999</v>
      </c>
      <c r="BI847" s="315">
        <v>2.1271</v>
      </c>
      <c r="BJ847" s="315">
        <v>2.1442999999999999</v>
      </c>
      <c r="BK847" s="315">
        <v>2.0036</v>
      </c>
    </row>
    <row r="848" spans="1:63" x14ac:dyDescent="0.25">
      <c r="A848" s="306">
        <v>212310</v>
      </c>
      <c r="B848" s="315" t="s">
        <v>699</v>
      </c>
      <c r="C848" s="315">
        <v>2.6941000000000002</v>
      </c>
      <c r="D848" s="315">
        <v>1.6785000000000001</v>
      </c>
      <c r="E848" s="315">
        <v>1.9843</v>
      </c>
      <c r="F848" s="315">
        <v>1.8678999999999999</v>
      </c>
      <c r="G848" s="315">
        <v>1.9382999999999999</v>
      </c>
      <c r="H848" s="315">
        <v>1.9984</v>
      </c>
      <c r="I848" s="315">
        <v>2.1187</v>
      </c>
      <c r="J848" s="315">
        <v>1.7668999999999999</v>
      </c>
      <c r="K848" s="315">
        <v>0</v>
      </c>
      <c r="L848" s="315">
        <v>0</v>
      </c>
      <c r="M848" s="315">
        <v>1.8635999999999999</v>
      </c>
      <c r="N848" s="315">
        <v>2.1366000000000001</v>
      </c>
      <c r="O848" s="315">
        <v>1.8050999999999999</v>
      </c>
      <c r="P848" s="315">
        <v>1.6773</v>
      </c>
      <c r="Q848" s="315">
        <v>1.7117</v>
      </c>
      <c r="R848" s="315">
        <v>2.2387000000000001</v>
      </c>
      <c r="S848" s="315">
        <v>1.9552</v>
      </c>
      <c r="T848" s="315">
        <v>1.7969999999999999</v>
      </c>
      <c r="U848" s="315">
        <v>1.9978</v>
      </c>
      <c r="V848" s="315">
        <v>1.8089999999999999</v>
      </c>
      <c r="W848" s="315">
        <v>1.8313999999999999</v>
      </c>
      <c r="X848" s="315">
        <v>1.8283</v>
      </c>
      <c r="Y848" s="315">
        <v>1.663</v>
      </c>
      <c r="Z848" s="315">
        <v>2.0001000000000002</v>
      </c>
      <c r="AA848" s="315">
        <v>1.9280999999999999</v>
      </c>
      <c r="AB848" s="315">
        <v>2.0897000000000001</v>
      </c>
      <c r="AC848" s="315">
        <v>1.7012</v>
      </c>
      <c r="AD848" s="315">
        <v>1.7219</v>
      </c>
      <c r="AE848" s="315">
        <v>1.9294</v>
      </c>
      <c r="AF848" s="315">
        <v>0</v>
      </c>
      <c r="AG848" s="315">
        <v>1.6843999999999999</v>
      </c>
      <c r="AH848" s="315">
        <v>1.8508</v>
      </c>
      <c r="AI848" s="315">
        <v>1.9883</v>
      </c>
      <c r="AJ848" s="315">
        <v>1.7263999999999999</v>
      </c>
      <c r="AK848" s="315">
        <v>1.7904</v>
      </c>
      <c r="AL848" s="315">
        <v>1.7909999999999999</v>
      </c>
      <c r="AM848" s="315">
        <v>2.1604000000000001</v>
      </c>
      <c r="AN848" s="315">
        <v>1.9755</v>
      </c>
      <c r="AO848" s="315">
        <v>1.9631000000000001</v>
      </c>
      <c r="AP848" s="315">
        <v>2.2027999999999999</v>
      </c>
      <c r="AQ848" s="315">
        <v>1.7164999999999999</v>
      </c>
      <c r="AR848" s="315">
        <v>1.9704999999999999</v>
      </c>
      <c r="AS848" s="315">
        <v>1.5881000000000001</v>
      </c>
      <c r="AT848" s="315">
        <v>2.1059999999999999</v>
      </c>
      <c r="AU848" s="315">
        <v>2.1471</v>
      </c>
      <c r="AV848" s="315">
        <v>2.0981999999999998</v>
      </c>
      <c r="AW848" s="315">
        <v>2.032</v>
      </c>
      <c r="AX848" s="315">
        <v>1.6613</v>
      </c>
      <c r="AY848" s="315">
        <v>1.9734</v>
      </c>
      <c r="AZ848" s="315">
        <v>1.917</v>
      </c>
      <c r="BA848" s="315">
        <v>1.79</v>
      </c>
      <c r="BB848" s="315">
        <v>1.6064000000000001</v>
      </c>
      <c r="BC848" s="315">
        <v>1.9455</v>
      </c>
      <c r="BD848" s="315">
        <v>2.1377999999999999</v>
      </c>
      <c r="BE848" s="315">
        <v>2.2448999999999999</v>
      </c>
      <c r="BF848" s="315">
        <v>2.0165000000000002</v>
      </c>
      <c r="BG848" s="315">
        <v>2.2044999999999999</v>
      </c>
      <c r="BH848" s="315">
        <v>2.1269999999999998</v>
      </c>
      <c r="BI848" s="315">
        <v>2.2008999999999999</v>
      </c>
      <c r="BJ848" s="315">
        <v>2.1284000000000001</v>
      </c>
      <c r="BK848" s="315">
        <v>2.056</v>
      </c>
    </row>
    <row r="849" spans="1:63" x14ac:dyDescent="0.25">
      <c r="A849" s="306">
        <v>212320</v>
      </c>
      <c r="B849" s="315" t="s">
        <v>700</v>
      </c>
      <c r="C849" s="315">
        <v>2.8517000000000001</v>
      </c>
      <c r="D849" s="315">
        <v>1.7761</v>
      </c>
      <c r="E849" s="315">
        <v>2.0141</v>
      </c>
      <c r="F849" s="315">
        <v>1.8656999999999999</v>
      </c>
      <c r="G849" s="315">
        <v>1.9797</v>
      </c>
      <c r="H849" s="315">
        <v>2.0666000000000002</v>
      </c>
      <c r="I849" s="315">
        <v>2.2703000000000002</v>
      </c>
      <c r="J849" s="315">
        <v>1.8662000000000001</v>
      </c>
      <c r="K849" s="315">
        <v>0</v>
      </c>
      <c r="L849" s="315">
        <v>1.7141</v>
      </c>
      <c r="M849" s="315">
        <v>1.8756999999999999</v>
      </c>
      <c r="N849" s="315">
        <v>2.1570999999999998</v>
      </c>
      <c r="O849" s="315">
        <v>1.7699</v>
      </c>
      <c r="P849" s="315">
        <v>1.6662999999999999</v>
      </c>
      <c r="Q849" s="315">
        <v>1.7594000000000001</v>
      </c>
      <c r="R849" s="315">
        <v>2.2892999999999999</v>
      </c>
      <c r="S849" s="315">
        <v>1.9847999999999999</v>
      </c>
      <c r="T849" s="315">
        <v>1.7839</v>
      </c>
      <c r="U849" s="315">
        <v>2.0461</v>
      </c>
      <c r="V849" s="315">
        <v>1.9457</v>
      </c>
      <c r="W849" s="315">
        <v>1.89</v>
      </c>
      <c r="X849" s="315">
        <v>1.9131</v>
      </c>
      <c r="Y849" s="315">
        <v>1.6803999999999999</v>
      </c>
      <c r="Z849" s="315">
        <v>2.0678000000000001</v>
      </c>
      <c r="AA849" s="315">
        <v>2.0089000000000001</v>
      </c>
      <c r="AB849" s="315">
        <v>2.1476000000000002</v>
      </c>
      <c r="AC849" s="315">
        <v>1.7678</v>
      </c>
      <c r="AD849" s="315">
        <v>1.7826</v>
      </c>
      <c r="AE849" s="315">
        <v>1.8906000000000001</v>
      </c>
      <c r="AF849" s="315">
        <v>1.66</v>
      </c>
      <c r="AG849" s="315">
        <v>1.7095</v>
      </c>
      <c r="AH849" s="315">
        <v>1.9669000000000001</v>
      </c>
      <c r="AI849" s="315">
        <v>2.0013999999999998</v>
      </c>
      <c r="AJ849" s="315">
        <v>1.8268</v>
      </c>
      <c r="AK849" s="315">
        <v>1.8927</v>
      </c>
      <c r="AL849" s="315">
        <v>1.8223</v>
      </c>
      <c r="AM849" s="315">
        <v>2.2484999999999999</v>
      </c>
      <c r="AN849" s="315">
        <v>2.0257000000000001</v>
      </c>
      <c r="AO849" s="315">
        <v>1.9603999999999999</v>
      </c>
      <c r="AP849" s="315">
        <v>2.3050999999999999</v>
      </c>
      <c r="AQ849" s="315">
        <v>1.7741</v>
      </c>
      <c r="AR849" s="315">
        <v>1.9388000000000001</v>
      </c>
      <c r="AS849" s="315">
        <v>1.5804</v>
      </c>
      <c r="AT849" s="315">
        <v>2.1814</v>
      </c>
      <c r="AU849" s="315">
        <v>2.2324999999999999</v>
      </c>
      <c r="AV849" s="315">
        <v>2.2759</v>
      </c>
      <c r="AW849" s="315">
        <v>2.0644</v>
      </c>
      <c r="AX849" s="315">
        <v>1.6434</v>
      </c>
      <c r="AY849" s="315">
        <v>2.0788000000000002</v>
      </c>
      <c r="AZ849" s="315">
        <v>1.9328000000000001</v>
      </c>
      <c r="BA849" s="315">
        <v>1.857</v>
      </c>
      <c r="BB849" s="315">
        <v>1.6889000000000001</v>
      </c>
      <c r="BC849" s="315">
        <v>2.0325000000000002</v>
      </c>
      <c r="BD849" s="315">
        <v>2.1680000000000001</v>
      </c>
      <c r="BE849" s="315">
        <v>2.3182</v>
      </c>
      <c r="BF849" s="315">
        <v>2.0465</v>
      </c>
      <c r="BG849" s="315">
        <v>2.2759</v>
      </c>
      <c r="BH849" s="315">
        <v>2.2191999999999998</v>
      </c>
      <c r="BI849" s="315">
        <v>2.2656000000000001</v>
      </c>
      <c r="BJ849" s="315">
        <v>2.2302</v>
      </c>
      <c r="BK849" s="315">
        <v>2.1436999999999999</v>
      </c>
    </row>
    <row r="850" spans="1:63" x14ac:dyDescent="0.25">
      <c r="A850" s="306">
        <v>212390</v>
      </c>
      <c r="B850" s="315" t="s">
        <v>701</v>
      </c>
      <c r="C850" s="315">
        <v>2.7071000000000001</v>
      </c>
      <c r="D850" s="315">
        <v>1.7498</v>
      </c>
      <c r="E850" s="315">
        <v>1.9133</v>
      </c>
      <c r="F850" s="315">
        <v>1.8120000000000001</v>
      </c>
      <c r="G850" s="315">
        <v>1.9051</v>
      </c>
      <c r="H850" s="315">
        <v>1.992</v>
      </c>
      <c r="I850" s="315">
        <v>2.1783000000000001</v>
      </c>
      <c r="J850" s="315">
        <v>1.7496</v>
      </c>
      <c r="K850" s="315">
        <v>0</v>
      </c>
      <c r="L850" s="315">
        <v>0</v>
      </c>
      <c r="M850" s="315">
        <v>1.8272999999999999</v>
      </c>
      <c r="N850" s="315">
        <v>2.0419999999999998</v>
      </c>
      <c r="O850" s="315">
        <v>1.6818</v>
      </c>
      <c r="P850" s="315">
        <v>1.6073</v>
      </c>
      <c r="Q850" s="315">
        <v>1.7016</v>
      </c>
      <c r="R850" s="315">
        <v>2.1598000000000002</v>
      </c>
      <c r="S850" s="315">
        <v>1.9219999999999999</v>
      </c>
      <c r="T850" s="315">
        <v>1.7654000000000001</v>
      </c>
      <c r="U850" s="315">
        <v>0</v>
      </c>
      <c r="V850" s="315">
        <v>1.9300999999999999</v>
      </c>
      <c r="W850" s="315">
        <v>0</v>
      </c>
      <c r="X850" s="315">
        <v>1.8131999999999999</v>
      </c>
      <c r="Y850" s="315">
        <v>1.6476</v>
      </c>
      <c r="Z850" s="315">
        <v>1.9552</v>
      </c>
      <c r="AA850" s="315">
        <v>1.9053</v>
      </c>
      <c r="AB850" s="315">
        <v>2.0106999999999999</v>
      </c>
      <c r="AC850" s="315">
        <v>1.7190000000000001</v>
      </c>
      <c r="AD850" s="315">
        <v>1.7708999999999999</v>
      </c>
      <c r="AE850" s="315">
        <v>1.8386</v>
      </c>
      <c r="AF850" s="315">
        <v>0</v>
      </c>
      <c r="AG850" s="315">
        <v>1.6524000000000001</v>
      </c>
      <c r="AH850" s="315">
        <v>1.833</v>
      </c>
      <c r="AI850" s="315">
        <v>1.9067000000000001</v>
      </c>
      <c r="AJ850" s="315">
        <v>1.8258000000000001</v>
      </c>
      <c r="AK850" s="315">
        <v>1.8160000000000001</v>
      </c>
      <c r="AL850" s="315">
        <v>1.7565</v>
      </c>
      <c r="AM850" s="315">
        <v>2.1547999999999998</v>
      </c>
      <c r="AN850" s="315">
        <v>1.9834000000000001</v>
      </c>
      <c r="AO850" s="315">
        <v>1.8895</v>
      </c>
      <c r="AP850" s="315">
        <v>2.1757</v>
      </c>
      <c r="AQ850" s="315">
        <v>0</v>
      </c>
      <c r="AR850" s="315">
        <v>1.8717999999999999</v>
      </c>
      <c r="AS850" s="315">
        <v>1.5384</v>
      </c>
      <c r="AT850" s="315">
        <v>2.0272000000000001</v>
      </c>
      <c r="AU850" s="315">
        <v>2.1717</v>
      </c>
      <c r="AV850" s="315">
        <v>2.1970000000000001</v>
      </c>
      <c r="AW850" s="315">
        <v>1.9360999999999999</v>
      </c>
      <c r="AX850" s="315">
        <v>1.6295999999999999</v>
      </c>
      <c r="AY850" s="315">
        <v>1.9455</v>
      </c>
      <c r="AZ850" s="315">
        <v>1.8571</v>
      </c>
      <c r="BA850" s="315">
        <v>1.8354999999999999</v>
      </c>
      <c r="BB850" s="315">
        <v>1.6948000000000001</v>
      </c>
      <c r="BC850" s="315">
        <v>1.9134</v>
      </c>
      <c r="BD850" s="315">
        <v>2.0531999999999999</v>
      </c>
      <c r="BE850" s="315">
        <v>2.1882000000000001</v>
      </c>
      <c r="BF850" s="315">
        <v>1.9384999999999999</v>
      </c>
      <c r="BG850" s="315">
        <v>2.1591999999999998</v>
      </c>
      <c r="BH850" s="315">
        <v>2.0749</v>
      </c>
      <c r="BI850" s="315">
        <v>2.2010000000000001</v>
      </c>
      <c r="BJ850" s="315">
        <v>2.1547000000000001</v>
      </c>
      <c r="BK850" s="315">
        <v>2.0455000000000001</v>
      </c>
    </row>
    <row r="851" spans="1:63" x14ac:dyDescent="0.25">
      <c r="A851" s="306">
        <v>213111</v>
      </c>
      <c r="B851" s="315" t="s">
        <v>20</v>
      </c>
      <c r="C851" s="315">
        <v>2.7865000000000002</v>
      </c>
      <c r="D851" s="315">
        <v>1.4883</v>
      </c>
      <c r="E851" s="315">
        <v>1.9414</v>
      </c>
      <c r="F851" s="315">
        <v>1.8621000000000001</v>
      </c>
      <c r="G851" s="315">
        <v>1.7826</v>
      </c>
      <c r="H851" s="315">
        <v>2.0392999999999999</v>
      </c>
      <c r="I851" s="315">
        <v>2.0543</v>
      </c>
      <c r="J851" s="315">
        <v>1.8667</v>
      </c>
      <c r="K851" s="315">
        <v>0</v>
      </c>
      <c r="L851" s="315">
        <v>1.7890999999999999</v>
      </c>
      <c r="M851" s="315">
        <v>1.8163</v>
      </c>
      <c r="N851" s="315">
        <v>2.0204</v>
      </c>
      <c r="O851" s="315">
        <v>0</v>
      </c>
      <c r="P851" s="315">
        <v>1.6706000000000001</v>
      </c>
      <c r="Q851" s="315">
        <v>1.6156999999999999</v>
      </c>
      <c r="R851" s="315">
        <v>2.2873000000000001</v>
      </c>
      <c r="S851" s="315">
        <v>2.0165000000000002</v>
      </c>
      <c r="T851" s="315">
        <v>1.7892999999999999</v>
      </c>
      <c r="U851" s="315">
        <v>2.0123000000000002</v>
      </c>
      <c r="V851" s="315">
        <v>1.9622999999999999</v>
      </c>
      <c r="W851" s="315">
        <v>1.8602000000000001</v>
      </c>
      <c r="X851" s="315">
        <v>1.8184</v>
      </c>
      <c r="Y851" s="315">
        <v>1.7154</v>
      </c>
      <c r="Z851" s="315">
        <v>2.1110000000000002</v>
      </c>
      <c r="AA851" s="315">
        <v>1.9508000000000001</v>
      </c>
      <c r="AB851" s="315">
        <v>2.0078999999999998</v>
      </c>
      <c r="AC851" s="315">
        <v>1.8244</v>
      </c>
      <c r="AD851" s="315">
        <v>1.5924</v>
      </c>
      <c r="AE851" s="315">
        <v>1.8805000000000001</v>
      </c>
      <c r="AF851" s="315">
        <v>1.532</v>
      </c>
      <c r="AG851" s="315">
        <v>1.5947</v>
      </c>
      <c r="AH851" s="315">
        <v>1.7377</v>
      </c>
      <c r="AI851" s="315">
        <v>2.0566</v>
      </c>
      <c r="AJ851" s="315">
        <v>1.6254</v>
      </c>
      <c r="AK851" s="315">
        <v>1.7135</v>
      </c>
      <c r="AL851" s="315">
        <v>1.7410000000000001</v>
      </c>
      <c r="AM851" s="315">
        <v>2.2017000000000002</v>
      </c>
      <c r="AN851" s="315">
        <v>1.9162999999999999</v>
      </c>
      <c r="AO851" s="315">
        <v>1.9419</v>
      </c>
      <c r="AP851" s="315">
        <v>2.2616999999999998</v>
      </c>
      <c r="AQ851" s="315">
        <v>1.6633</v>
      </c>
      <c r="AR851" s="315">
        <v>1.9253</v>
      </c>
      <c r="AS851" s="315">
        <v>1.5085999999999999</v>
      </c>
      <c r="AT851" s="315">
        <v>1.946</v>
      </c>
      <c r="AU851" s="315">
        <v>2.2688000000000001</v>
      </c>
      <c r="AV851" s="315">
        <v>2.0924999999999998</v>
      </c>
      <c r="AW851" s="315">
        <v>1.9131</v>
      </c>
      <c r="AX851" s="315">
        <v>0</v>
      </c>
      <c r="AY851" s="315">
        <v>1.8664000000000001</v>
      </c>
      <c r="AZ851" s="315">
        <v>1.9202999999999999</v>
      </c>
      <c r="BA851" s="315">
        <v>1.7991999999999999</v>
      </c>
      <c r="BB851" s="315">
        <v>1.5337000000000001</v>
      </c>
      <c r="BC851" s="315">
        <v>2.0028000000000001</v>
      </c>
      <c r="BD851" s="315">
        <v>2.1684999999999999</v>
      </c>
      <c r="BE851" s="315">
        <v>2.3266</v>
      </c>
      <c r="BF851" s="315">
        <v>2.0068999999999999</v>
      </c>
      <c r="BG851" s="315">
        <v>2.1196999999999999</v>
      </c>
      <c r="BH851" s="315">
        <v>2.1545999999999998</v>
      </c>
      <c r="BI851" s="315">
        <v>2.3157999999999999</v>
      </c>
      <c r="BJ851" s="315">
        <v>1.9968999999999999</v>
      </c>
      <c r="BK851" s="315">
        <v>2.0627</v>
      </c>
    </row>
    <row r="852" spans="1:63" x14ac:dyDescent="0.25">
      <c r="A852" s="306">
        <v>213112</v>
      </c>
      <c r="B852" s="315" t="s">
        <v>21</v>
      </c>
      <c r="C852" s="315">
        <v>3.0129999999999999</v>
      </c>
      <c r="D852" s="315">
        <v>1.6414</v>
      </c>
      <c r="E852" s="315">
        <v>1.9894000000000001</v>
      </c>
      <c r="F852" s="315">
        <v>1.8877999999999999</v>
      </c>
      <c r="G852" s="315">
        <v>1.9663999999999999</v>
      </c>
      <c r="H852" s="315">
        <v>2.2967</v>
      </c>
      <c r="I852" s="315">
        <v>2.3008000000000002</v>
      </c>
      <c r="J852" s="315">
        <v>2.0701000000000001</v>
      </c>
      <c r="K852" s="315">
        <v>0</v>
      </c>
      <c r="L852" s="315">
        <v>0</v>
      </c>
      <c r="M852" s="315">
        <v>2.0139999999999998</v>
      </c>
      <c r="N852" s="315">
        <v>2.1789999999999998</v>
      </c>
      <c r="O852" s="315">
        <v>1.8466</v>
      </c>
      <c r="P852" s="315">
        <v>1.6937</v>
      </c>
      <c r="Q852" s="315">
        <v>1.7156</v>
      </c>
      <c r="R852" s="315">
        <v>2.4539</v>
      </c>
      <c r="S852" s="315">
        <v>2.0365000000000002</v>
      </c>
      <c r="T852" s="315">
        <v>1.8585</v>
      </c>
      <c r="U852" s="315">
        <v>2.0659999999999998</v>
      </c>
      <c r="V852" s="315">
        <v>1.9869000000000001</v>
      </c>
      <c r="W852" s="315">
        <v>2.1086999999999998</v>
      </c>
      <c r="X852" s="315">
        <v>2.0347</v>
      </c>
      <c r="Y852" s="315">
        <v>0</v>
      </c>
      <c r="Z852" s="315">
        <v>2.2210999999999999</v>
      </c>
      <c r="AA852" s="315">
        <v>2.1091000000000002</v>
      </c>
      <c r="AB852" s="315">
        <v>2.1393</v>
      </c>
      <c r="AC852" s="315">
        <v>1.8505</v>
      </c>
      <c r="AD852" s="315">
        <v>1.6822999999999999</v>
      </c>
      <c r="AE852" s="315">
        <v>1.9854000000000001</v>
      </c>
      <c r="AF852" s="315">
        <v>1.6142000000000001</v>
      </c>
      <c r="AG852" s="315">
        <v>1.6572</v>
      </c>
      <c r="AH852" s="315">
        <v>0</v>
      </c>
      <c r="AI852" s="315">
        <v>2.2742</v>
      </c>
      <c r="AJ852" s="315">
        <v>1.7571000000000001</v>
      </c>
      <c r="AK852" s="315">
        <v>1.8680000000000001</v>
      </c>
      <c r="AL852" s="315">
        <v>1.9564999999999999</v>
      </c>
      <c r="AM852" s="315">
        <v>2.2698999999999998</v>
      </c>
      <c r="AN852" s="315">
        <v>2.024</v>
      </c>
      <c r="AO852" s="315">
        <v>2.0613000000000001</v>
      </c>
      <c r="AP852" s="315">
        <v>2.3974000000000002</v>
      </c>
      <c r="AQ852" s="315">
        <v>0</v>
      </c>
      <c r="AR852" s="315">
        <v>1.9388000000000001</v>
      </c>
      <c r="AS852" s="315">
        <v>1.5488999999999999</v>
      </c>
      <c r="AT852" s="315">
        <v>2.0442</v>
      </c>
      <c r="AU852" s="315">
        <v>2.3986000000000001</v>
      </c>
      <c r="AV852" s="315">
        <v>2.2907000000000002</v>
      </c>
      <c r="AW852" s="315">
        <v>2.0657000000000001</v>
      </c>
      <c r="AX852" s="315">
        <v>0</v>
      </c>
      <c r="AY852" s="315">
        <v>2.0531000000000001</v>
      </c>
      <c r="AZ852" s="315">
        <v>2.0299999999999998</v>
      </c>
      <c r="BA852" s="315">
        <v>1.8323</v>
      </c>
      <c r="BB852" s="315">
        <v>1.5915999999999999</v>
      </c>
      <c r="BC852" s="315">
        <v>2.2492999999999999</v>
      </c>
      <c r="BD852" s="315">
        <v>2.3765999999999998</v>
      </c>
      <c r="BE852" s="315">
        <v>2.44</v>
      </c>
      <c r="BF852" s="315">
        <v>2.1128</v>
      </c>
      <c r="BG852" s="315">
        <v>2.2976999999999999</v>
      </c>
      <c r="BH852" s="315">
        <v>2.2126000000000001</v>
      </c>
      <c r="BI852" s="315">
        <v>2.4194</v>
      </c>
      <c r="BJ852" s="315">
        <v>2.2071000000000001</v>
      </c>
      <c r="BK852" s="315">
        <v>2.3088000000000002</v>
      </c>
    </row>
    <row r="853" spans="1:63" x14ac:dyDescent="0.25">
      <c r="A853" s="306" t="s">
        <v>702</v>
      </c>
      <c r="B853" s="315" t="s">
        <v>22</v>
      </c>
      <c r="C853" s="315">
        <v>3.2669999999999999</v>
      </c>
      <c r="D853" s="315">
        <v>1.921</v>
      </c>
      <c r="E853" s="315">
        <v>2.2425000000000002</v>
      </c>
      <c r="F853" s="315">
        <v>1.9077999999999999</v>
      </c>
      <c r="G853" s="315">
        <v>2.1920000000000002</v>
      </c>
      <c r="H853" s="315">
        <v>2.4140999999999999</v>
      </c>
      <c r="I853" s="315">
        <v>2.5329999999999999</v>
      </c>
      <c r="J853" s="315">
        <v>2.0579000000000001</v>
      </c>
      <c r="K853" s="315">
        <v>0</v>
      </c>
      <c r="L853" s="315">
        <v>0</v>
      </c>
      <c r="M853" s="315">
        <v>2.1109</v>
      </c>
      <c r="N853" s="315">
        <v>2.3574000000000002</v>
      </c>
      <c r="O853" s="315">
        <v>0</v>
      </c>
      <c r="P853" s="315">
        <v>1.7067000000000001</v>
      </c>
      <c r="Q853" s="315">
        <v>1.8919999999999999</v>
      </c>
      <c r="R853" s="315">
        <v>2.5394000000000001</v>
      </c>
      <c r="S853" s="315">
        <v>2.1465999999999998</v>
      </c>
      <c r="T853" s="315">
        <v>1.9267000000000001</v>
      </c>
      <c r="U853" s="315">
        <v>2.2299000000000002</v>
      </c>
      <c r="V853" s="315">
        <v>2.2096</v>
      </c>
      <c r="W853" s="315">
        <v>2.194</v>
      </c>
      <c r="X853" s="315">
        <v>2.2902999999999998</v>
      </c>
      <c r="Y853" s="315">
        <v>0</v>
      </c>
      <c r="Z853" s="315">
        <v>2.4194</v>
      </c>
      <c r="AA853" s="315">
        <v>2.1482999999999999</v>
      </c>
      <c r="AB853" s="315">
        <v>2.2726000000000002</v>
      </c>
      <c r="AC853" s="315">
        <v>1.9864999999999999</v>
      </c>
      <c r="AD853" s="315">
        <v>1.9074</v>
      </c>
      <c r="AE853" s="315">
        <v>2.0188999999999999</v>
      </c>
      <c r="AF853" s="315">
        <v>1.6721999999999999</v>
      </c>
      <c r="AG853" s="315">
        <v>1.7565999999999999</v>
      </c>
      <c r="AH853" s="315">
        <v>2.0387</v>
      </c>
      <c r="AI853" s="315">
        <v>2.3166000000000002</v>
      </c>
      <c r="AJ853" s="315">
        <v>1.9717</v>
      </c>
      <c r="AK853" s="315">
        <v>2.0611000000000002</v>
      </c>
      <c r="AL853" s="315">
        <v>1.9335</v>
      </c>
      <c r="AM853" s="315">
        <v>2.4712000000000001</v>
      </c>
      <c r="AN853" s="315">
        <v>2.2347000000000001</v>
      </c>
      <c r="AO853" s="315">
        <v>2.2050000000000001</v>
      </c>
      <c r="AP853" s="315">
        <v>2.6358999999999999</v>
      </c>
      <c r="AQ853" s="315">
        <v>0</v>
      </c>
      <c r="AR853" s="315">
        <v>2.1604000000000001</v>
      </c>
      <c r="AS853" s="315">
        <v>1.5751999999999999</v>
      </c>
      <c r="AT853" s="315">
        <v>2.2978000000000001</v>
      </c>
      <c r="AU853" s="315">
        <v>2.5766</v>
      </c>
      <c r="AV853" s="315">
        <v>2.5781999999999998</v>
      </c>
      <c r="AW853" s="315">
        <v>2.2742</v>
      </c>
      <c r="AX853" s="315">
        <v>1.8154999999999999</v>
      </c>
      <c r="AY853" s="315">
        <v>2.2965</v>
      </c>
      <c r="AZ853" s="315">
        <v>2.0750000000000002</v>
      </c>
      <c r="BA853" s="315">
        <v>2.0335000000000001</v>
      </c>
      <c r="BB853" s="315">
        <v>1.7719</v>
      </c>
      <c r="BC853" s="315">
        <v>2.3102</v>
      </c>
      <c r="BD853" s="315">
        <v>2.4554</v>
      </c>
      <c r="BE853" s="315">
        <v>2.6288</v>
      </c>
      <c r="BF853" s="315">
        <v>2.1583000000000001</v>
      </c>
      <c r="BG853" s="315">
        <v>2.5499999999999998</v>
      </c>
      <c r="BH853" s="315">
        <v>2.5053999999999998</v>
      </c>
      <c r="BI853" s="315">
        <v>2.6246999999999998</v>
      </c>
      <c r="BJ853" s="315">
        <v>2.4464000000000001</v>
      </c>
      <c r="BK853" s="315">
        <v>2.4613999999999998</v>
      </c>
    </row>
    <row r="854" spans="1:63" x14ac:dyDescent="0.25">
      <c r="A854" s="306" t="s">
        <v>602</v>
      </c>
      <c r="B854" s="315" t="s">
        <v>23</v>
      </c>
      <c r="C854" s="315">
        <v>2.2658</v>
      </c>
      <c r="D854" s="315">
        <v>1.5723</v>
      </c>
      <c r="E854" s="315">
        <v>1.7125999999999999</v>
      </c>
      <c r="F854" s="315">
        <v>1.518</v>
      </c>
      <c r="G854" s="315">
        <v>1.5914999999999999</v>
      </c>
      <c r="H854" s="315">
        <v>1.7318</v>
      </c>
      <c r="I854" s="315">
        <v>1.9257</v>
      </c>
      <c r="J854" s="315">
        <v>1.482</v>
      </c>
      <c r="K854" s="315">
        <v>1.163</v>
      </c>
      <c r="L854" s="315">
        <v>1.4540999999999999</v>
      </c>
      <c r="M854" s="315">
        <v>1.5720000000000001</v>
      </c>
      <c r="N854" s="315">
        <v>1.6416999999999999</v>
      </c>
      <c r="O854" s="315">
        <v>1.4737</v>
      </c>
      <c r="P854" s="315">
        <v>1.3892</v>
      </c>
      <c r="Q854" s="315">
        <v>1.4296</v>
      </c>
      <c r="R854" s="315">
        <v>1.8168</v>
      </c>
      <c r="S854" s="315">
        <v>1.6835</v>
      </c>
      <c r="T854" s="315">
        <v>1.5202</v>
      </c>
      <c r="U854" s="315">
        <v>1.7076</v>
      </c>
      <c r="V854" s="315">
        <v>1.6713</v>
      </c>
      <c r="W854" s="315">
        <v>1.5466</v>
      </c>
      <c r="X854" s="315">
        <v>1.5247999999999999</v>
      </c>
      <c r="Y854" s="315">
        <v>1.5233000000000001</v>
      </c>
      <c r="Z854" s="315">
        <v>1.5714999999999999</v>
      </c>
      <c r="AA854" s="315">
        <v>1.5752999999999999</v>
      </c>
      <c r="AB854" s="315">
        <v>1.6587000000000001</v>
      </c>
      <c r="AC854" s="315">
        <v>1.5772999999999999</v>
      </c>
      <c r="AD854" s="315">
        <v>1.6287</v>
      </c>
      <c r="AE854" s="315">
        <v>1.5097</v>
      </c>
      <c r="AF854" s="315">
        <v>1.5461</v>
      </c>
      <c r="AG854" s="315">
        <v>1.3673999999999999</v>
      </c>
      <c r="AH854" s="315">
        <v>1.4565999999999999</v>
      </c>
      <c r="AI854" s="315">
        <v>1.5868</v>
      </c>
      <c r="AJ854" s="315">
        <v>1.6830000000000001</v>
      </c>
      <c r="AK854" s="315">
        <v>1.4396</v>
      </c>
      <c r="AL854" s="315">
        <v>1.4797</v>
      </c>
      <c r="AM854" s="315">
        <v>1.7462</v>
      </c>
      <c r="AN854" s="315">
        <v>1.6909000000000001</v>
      </c>
      <c r="AO854" s="315">
        <v>1.5286999999999999</v>
      </c>
      <c r="AP854" s="315">
        <v>1.8458000000000001</v>
      </c>
      <c r="AQ854" s="315">
        <v>1.4433</v>
      </c>
      <c r="AR854" s="315">
        <v>1.5242</v>
      </c>
      <c r="AS854" s="315">
        <v>1.3580000000000001</v>
      </c>
      <c r="AT854" s="315">
        <v>1.6404000000000001</v>
      </c>
      <c r="AU854" s="315">
        <v>1.9041999999999999</v>
      </c>
      <c r="AV854" s="315">
        <v>1.88</v>
      </c>
      <c r="AW854" s="315">
        <v>1.6981999999999999</v>
      </c>
      <c r="AX854" s="315">
        <v>1.4</v>
      </c>
      <c r="AY854" s="315">
        <v>1.5805</v>
      </c>
      <c r="AZ854" s="315">
        <v>1.5394000000000001</v>
      </c>
      <c r="BA854" s="315">
        <v>1.6435999999999999</v>
      </c>
      <c r="BB854" s="315">
        <v>1.5662</v>
      </c>
      <c r="BC854" s="315">
        <v>1.6012</v>
      </c>
      <c r="BD854" s="315">
        <v>1.7287999999999999</v>
      </c>
      <c r="BE854" s="315">
        <v>1.8002</v>
      </c>
      <c r="BF854" s="315">
        <v>1.6238999999999999</v>
      </c>
      <c r="BG854" s="315">
        <v>1.8302</v>
      </c>
      <c r="BH854" s="315">
        <v>1.8027</v>
      </c>
      <c r="BI854" s="315">
        <v>1.8954</v>
      </c>
      <c r="BJ854" s="315">
        <v>1.9065000000000001</v>
      </c>
      <c r="BK854" s="315">
        <v>1.7578</v>
      </c>
    </row>
    <row r="855" spans="1:63" x14ac:dyDescent="0.25">
      <c r="A855" s="306">
        <v>221200</v>
      </c>
      <c r="B855" s="315" t="s">
        <v>24</v>
      </c>
      <c r="C855" s="315">
        <v>2.7616000000000001</v>
      </c>
      <c r="D855" s="315">
        <v>2.0116000000000001</v>
      </c>
      <c r="E855" s="315">
        <v>1.7090000000000001</v>
      </c>
      <c r="F855" s="315">
        <v>1.6957</v>
      </c>
      <c r="G855" s="315">
        <v>1.3937999999999999</v>
      </c>
      <c r="H855" s="315">
        <v>1.9564999999999999</v>
      </c>
      <c r="I855" s="315">
        <v>2.3611</v>
      </c>
      <c r="J855" s="315">
        <v>1.3869</v>
      </c>
      <c r="K855" s="315">
        <v>1.0972</v>
      </c>
      <c r="L855" s="315">
        <v>1.2658</v>
      </c>
      <c r="M855" s="315">
        <v>1.3644000000000001</v>
      </c>
      <c r="N855" s="315">
        <v>1.4590000000000001</v>
      </c>
      <c r="O855" s="315">
        <v>1.2804</v>
      </c>
      <c r="P855" s="315">
        <v>1.3460000000000001</v>
      </c>
      <c r="Q855" s="315">
        <v>1.3328</v>
      </c>
      <c r="R855" s="315">
        <v>1.5887</v>
      </c>
      <c r="S855" s="315">
        <v>1.4782</v>
      </c>
      <c r="T855" s="315">
        <v>1.8634999999999999</v>
      </c>
      <c r="U855" s="315">
        <v>1.706</v>
      </c>
      <c r="V855" s="315">
        <v>2.1699000000000002</v>
      </c>
      <c r="W855" s="315">
        <v>1.3849</v>
      </c>
      <c r="X855" s="315">
        <v>1.325</v>
      </c>
      <c r="Y855" s="315">
        <v>1.4351</v>
      </c>
      <c r="Z855" s="315">
        <v>1.5557000000000001</v>
      </c>
      <c r="AA855" s="315">
        <v>1.4301999999999999</v>
      </c>
      <c r="AB855" s="315">
        <v>1.4334</v>
      </c>
      <c r="AC855" s="315">
        <v>1.8349</v>
      </c>
      <c r="AD855" s="315">
        <v>1.8509</v>
      </c>
      <c r="AE855" s="315">
        <v>1.3525</v>
      </c>
      <c r="AF855" s="315">
        <v>1.7642</v>
      </c>
      <c r="AG855" s="315">
        <v>1.3064</v>
      </c>
      <c r="AH855" s="315">
        <v>1.3156000000000001</v>
      </c>
      <c r="AI855" s="315">
        <v>1.4273</v>
      </c>
      <c r="AJ855" s="315">
        <v>2.0042</v>
      </c>
      <c r="AK855" s="315">
        <v>1.2788999999999999</v>
      </c>
      <c r="AL855" s="315">
        <v>1.3391</v>
      </c>
      <c r="AM855" s="315">
        <v>1.7084999999999999</v>
      </c>
      <c r="AN855" s="315">
        <v>2.2088000000000001</v>
      </c>
      <c r="AO855" s="315">
        <v>1.3140000000000001</v>
      </c>
      <c r="AP855" s="315">
        <v>1.8190999999999999</v>
      </c>
      <c r="AQ855" s="315">
        <v>1.3363</v>
      </c>
      <c r="AR855" s="315">
        <v>1.3593999999999999</v>
      </c>
      <c r="AS855" s="315">
        <v>1.2732000000000001</v>
      </c>
      <c r="AT855" s="315">
        <v>1.5471999999999999</v>
      </c>
      <c r="AU855" s="315">
        <v>2.4487999999999999</v>
      </c>
      <c r="AV855" s="315">
        <v>2.1055000000000001</v>
      </c>
      <c r="AW855" s="315">
        <v>1.4302999999999999</v>
      </c>
      <c r="AX855" s="315">
        <v>1.2555000000000001</v>
      </c>
      <c r="AY855" s="315">
        <v>1.3816999999999999</v>
      </c>
      <c r="AZ855" s="315">
        <v>1.4084000000000001</v>
      </c>
      <c r="BA855" s="315">
        <v>2.0116999999999998</v>
      </c>
      <c r="BB855" s="315">
        <v>1.9336</v>
      </c>
      <c r="BC855" s="315">
        <v>1.4407000000000001</v>
      </c>
      <c r="BD855" s="315">
        <v>1.5414000000000001</v>
      </c>
      <c r="BE855" s="315">
        <v>1.6395</v>
      </c>
      <c r="BF855" s="315">
        <v>1.5704</v>
      </c>
      <c r="BG855" s="315">
        <v>1.5353000000000001</v>
      </c>
      <c r="BH855" s="315">
        <v>1.7766</v>
      </c>
      <c r="BI855" s="315">
        <v>2.4479000000000002</v>
      </c>
      <c r="BJ855" s="315">
        <v>2.3332999999999999</v>
      </c>
      <c r="BK855" s="315">
        <v>1.9956</v>
      </c>
    </row>
    <row r="856" spans="1:63" x14ac:dyDescent="0.25">
      <c r="A856" s="306">
        <v>221300</v>
      </c>
      <c r="B856" s="315" t="s">
        <v>703</v>
      </c>
      <c r="C856" s="315">
        <v>2.4733000000000001</v>
      </c>
      <c r="D856" s="315">
        <v>1.7087000000000001</v>
      </c>
      <c r="E856" s="315">
        <v>1.8942000000000001</v>
      </c>
      <c r="F856" s="315">
        <v>1.6840999999999999</v>
      </c>
      <c r="G856" s="315">
        <v>1.9136</v>
      </c>
      <c r="H856" s="315">
        <v>2.0794999999999999</v>
      </c>
      <c r="I856" s="315">
        <v>2.0768</v>
      </c>
      <c r="J856" s="315">
        <v>1.7928999999999999</v>
      </c>
      <c r="K856" s="315">
        <v>1.2706999999999999</v>
      </c>
      <c r="L856" s="315">
        <v>1.7501</v>
      </c>
      <c r="M856" s="315">
        <v>1.9570000000000001</v>
      </c>
      <c r="N856" s="315">
        <v>2.0251999999999999</v>
      </c>
      <c r="O856" s="315">
        <v>1.8375999999999999</v>
      </c>
      <c r="P856" s="315">
        <v>1.5427999999999999</v>
      </c>
      <c r="Q856" s="315">
        <v>1.6765000000000001</v>
      </c>
      <c r="R856" s="315">
        <v>2.0623</v>
      </c>
      <c r="S856" s="315">
        <v>1.8633</v>
      </c>
      <c r="T856" s="315">
        <v>1.6707000000000001</v>
      </c>
      <c r="U856" s="315">
        <v>1.8198000000000001</v>
      </c>
      <c r="V856" s="315">
        <v>1.8399000000000001</v>
      </c>
      <c r="W856" s="315">
        <v>1.9072</v>
      </c>
      <c r="X856" s="315">
        <v>1.8864000000000001</v>
      </c>
      <c r="Y856" s="315">
        <v>1.8046</v>
      </c>
      <c r="Z856" s="315">
        <v>1.9038999999999999</v>
      </c>
      <c r="AA856" s="315">
        <v>1.8565</v>
      </c>
      <c r="AB856" s="315">
        <v>1.9347000000000001</v>
      </c>
      <c r="AC856" s="315">
        <v>1.7430000000000001</v>
      </c>
      <c r="AD856" s="315">
        <v>1.7273000000000001</v>
      </c>
      <c r="AE856" s="315">
        <v>1.8234999999999999</v>
      </c>
      <c r="AF856" s="315">
        <v>1.5570999999999999</v>
      </c>
      <c r="AG856" s="315">
        <v>1.5441</v>
      </c>
      <c r="AH856" s="315">
        <v>1.8107</v>
      </c>
      <c r="AI856" s="315">
        <v>1.9673</v>
      </c>
      <c r="AJ856" s="315">
        <v>1.7536</v>
      </c>
      <c r="AK856" s="315">
        <v>1.7655000000000001</v>
      </c>
      <c r="AL856" s="315">
        <v>1.7637</v>
      </c>
      <c r="AM856" s="315">
        <v>1.9360999999999999</v>
      </c>
      <c r="AN856" s="315">
        <v>1.8596999999999999</v>
      </c>
      <c r="AO856" s="315">
        <v>1.8444</v>
      </c>
      <c r="AP856" s="315">
        <v>2.0560999999999998</v>
      </c>
      <c r="AQ856" s="315">
        <v>1.7585</v>
      </c>
      <c r="AR856" s="315">
        <v>1.8865000000000001</v>
      </c>
      <c r="AS856" s="315">
        <v>1.5158</v>
      </c>
      <c r="AT856" s="315">
        <v>1.9684999999999999</v>
      </c>
      <c r="AU856" s="315">
        <v>2.1505000000000001</v>
      </c>
      <c r="AV856" s="315">
        <v>2.0232999999999999</v>
      </c>
      <c r="AW856" s="315">
        <v>1.9277</v>
      </c>
      <c r="AX856" s="315">
        <v>1.694</v>
      </c>
      <c r="AY856" s="315">
        <v>1.9348000000000001</v>
      </c>
      <c r="AZ856" s="315">
        <v>1.8382000000000001</v>
      </c>
      <c r="BA856" s="315">
        <v>1.6946000000000001</v>
      </c>
      <c r="BB856" s="315">
        <v>1.5865</v>
      </c>
      <c r="BC856" s="315">
        <v>1.9876</v>
      </c>
      <c r="BD856" s="315">
        <v>2.0205000000000002</v>
      </c>
      <c r="BE856" s="315">
        <v>2.0743999999999998</v>
      </c>
      <c r="BF856" s="315">
        <v>1.8505</v>
      </c>
      <c r="BG856" s="315">
        <v>2.12</v>
      </c>
      <c r="BH856" s="315">
        <v>2.0026000000000002</v>
      </c>
      <c r="BI856" s="315">
        <v>2.1433</v>
      </c>
      <c r="BJ856" s="315">
        <v>2.0442999999999998</v>
      </c>
      <c r="BK856" s="315">
        <v>2.1091000000000002</v>
      </c>
    </row>
    <row r="857" spans="1:63" x14ac:dyDescent="0.25">
      <c r="A857" s="306">
        <v>230000</v>
      </c>
      <c r="B857" s="315" t="s">
        <v>426</v>
      </c>
      <c r="C857" s="315">
        <v>3.0920000000000001</v>
      </c>
      <c r="D857" s="315">
        <v>1.7879</v>
      </c>
      <c r="E857" s="315">
        <v>2.2650000000000001</v>
      </c>
      <c r="F857" s="315">
        <v>2.0337999999999998</v>
      </c>
      <c r="G857" s="315">
        <v>2.1347999999999998</v>
      </c>
      <c r="H857" s="315">
        <v>2.3420000000000001</v>
      </c>
      <c r="I857" s="315">
        <v>2.3233999999999999</v>
      </c>
      <c r="J857" s="315">
        <v>2.0068999999999999</v>
      </c>
      <c r="K857" s="315">
        <v>1.218</v>
      </c>
      <c r="L857" s="315">
        <v>1.8704000000000001</v>
      </c>
      <c r="M857" s="315">
        <v>2.1705999999999999</v>
      </c>
      <c r="N857" s="315">
        <v>2.4279000000000002</v>
      </c>
      <c r="O857" s="315">
        <v>1.9334</v>
      </c>
      <c r="P857" s="315">
        <v>1.8452999999999999</v>
      </c>
      <c r="Q857" s="315">
        <v>1.8645</v>
      </c>
      <c r="R857" s="315">
        <v>2.4268999999999998</v>
      </c>
      <c r="S857" s="315">
        <v>2.2648000000000001</v>
      </c>
      <c r="T857" s="315">
        <v>1.9356</v>
      </c>
      <c r="U857" s="315">
        <v>2.2103000000000002</v>
      </c>
      <c r="V857" s="315">
        <v>2.0844999999999998</v>
      </c>
      <c r="W857" s="315">
        <v>2.0920000000000001</v>
      </c>
      <c r="X857" s="315">
        <v>2.0244</v>
      </c>
      <c r="Y857" s="315">
        <v>2.0457000000000001</v>
      </c>
      <c r="Z857" s="315">
        <v>2.2770999999999999</v>
      </c>
      <c r="AA857" s="315">
        <v>2.1968000000000001</v>
      </c>
      <c r="AB857" s="315">
        <v>2.3033999999999999</v>
      </c>
      <c r="AC857" s="315">
        <v>2.0619000000000001</v>
      </c>
      <c r="AD857" s="315">
        <v>1.8932</v>
      </c>
      <c r="AE857" s="315">
        <v>2.1897000000000002</v>
      </c>
      <c r="AF857" s="315">
        <v>1.6928000000000001</v>
      </c>
      <c r="AG857" s="315">
        <v>1.7414000000000001</v>
      </c>
      <c r="AH857" s="315">
        <v>2.1105999999999998</v>
      </c>
      <c r="AI857" s="315">
        <v>2.2309000000000001</v>
      </c>
      <c r="AJ857" s="315">
        <v>1.8873</v>
      </c>
      <c r="AK857" s="315">
        <v>1.9544999999999999</v>
      </c>
      <c r="AL857" s="315">
        <v>1.8974</v>
      </c>
      <c r="AM857" s="315">
        <v>2.411</v>
      </c>
      <c r="AN857" s="315">
        <v>2.1631999999999998</v>
      </c>
      <c r="AO857" s="315">
        <v>2.1897000000000002</v>
      </c>
      <c r="AP857" s="315">
        <v>2.4754</v>
      </c>
      <c r="AQ857" s="315">
        <v>1.9311</v>
      </c>
      <c r="AR857" s="315">
        <v>2.3115000000000001</v>
      </c>
      <c r="AS857" s="315">
        <v>1.7235</v>
      </c>
      <c r="AT857" s="315">
        <v>2.3807</v>
      </c>
      <c r="AU857" s="315">
        <v>2.5228999999999999</v>
      </c>
      <c r="AV857" s="315">
        <v>2.3639000000000001</v>
      </c>
      <c r="AW857" s="315">
        <v>2.1783000000000001</v>
      </c>
      <c r="AX857" s="315">
        <v>1.9227000000000001</v>
      </c>
      <c r="AY857" s="315">
        <v>2.2461000000000002</v>
      </c>
      <c r="AZ857" s="315">
        <v>2.2101000000000002</v>
      </c>
      <c r="BA857" s="315">
        <v>1.9393</v>
      </c>
      <c r="BB857" s="315">
        <v>1.6924999999999999</v>
      </c>
      <c r="BC857" s="315">
        <v>2.2627999999999999</v>
      </c>
      <c r="BD857" s="315">
        <v>2.3355999999999999</v>
      </c>
      <c r="BE857" s="315">
        <v>2.5659999999999998</v>
      </c>
      <c r="BF857" s="315">
        <v>2.2437</v>
      </c>
      <c r="BG857" s="315">
        <v>2.4845000000000002</v>
      </c>
      <c r="BH857" s="315">
        <v>2.4590999999999998</v>
      </c>
      <c r="BI857" s="315">
        <v>2.5585</v>
      </c>
      <c r="BJ857" s="315">
        <v>2.3351000000000002</v>
      </c>
      <c r="BK857" s="315">
        <v>2.4253</v>
      </c>
    </row>
    <row r="858" spans="1:63" x14ac:dyDescent="0.25">
      <c r="A858" s="306">
        <v>311111</v>
      </c>
      <c r="B858" s="315" t="s">
        <v>25</v>
      </c>
      <c r="C858" s="315">
        <v>3.1825999999999999</v>
      </c>
      <c r="D858" s="315">
        <v>1.3048999999999999</v>
      </c>
      <c r="E858" s="315">
        <v>1.9593</v>
      </c>
      <c r="F858" s="315">
        <v>2.3290999999999999</v>
      </c>
      <c r="G858" s="315">
        <v>1.6747000000000001</v>
      </c>
      <c r="H858" s="315">
        <v>1.9177</v>
      </c>
      <c r="I858" s="315">
        <v>2.1818</v>
      </c>
      <c r="J858" s="315">
        <v>0</v>
      </c>
      <c r="K858" s="315">
        <v>0</v>
      </c>
      <c r="L858" s="315">
        <v>1.59</v>
      </c>
      <c r="M858" s="315">
        <v>1.6519999999999999</v>
      </c>
      <c r="N858" s="315">
        <v>2.2023999999999999</v>
      </c>
      <c r="O858" s="315">
        <v>1.5261</v>
      </c>
      <c r="P858" s="315">
        <v>2.1309</v>
      </c>
      <c r="Q858" s="315">
        <v>0</v>
      </c>
      <c r="R858" s="315">
        <v>2.6271</v>
      </c>
      <c r="S858" s="315">
        <v>2.407</v>
      </c>
      <c r="T858" s="315">
        <v>2.1143000000000001</v>
      </c>
      <c r="U858" s="315">
        <v>2.3771</v>
      </c>
      <c r="V858" s="315">
        <v>0</v>
      </c>
      <c r="W858" s="315">
        <v>1.7363999999999999</v>
      </c>
      <c r="X858" s="315">
        <v>1.6355</v>
      </c>
      <c r="Y858" s="315">
        <v>0</v>
      </c>
      <c r="Z858" s="315">
        <v>2.0061</v>
      </c>
      <c r="AA858" s="315">
        <v>2.5076000000000001</v>
      </c>
      <c r="AB858" s="315">
        <v>2.6004</v>
      </c>
      <c r="AC858" s="315">
        <v>2.1101000000000001</v>
      </c>
      <c r="AD858" s="315">
        <v>1.7597</v>
      </c>
      <c r="AE858" s="315">
        <v>2.0771000000000002</v>
      </c>
      <c r="AF858" s="315">
        <v>0</v>
      </c>
      <c r="AG858" s="315">
        <v>2.0078</v>
      </c>
      <c r="AH858" s="315">
        <v>1.5321</v>
      </c>
      <c r="AI858" s="315">
        <v>1.8953</v>
      </c>
      <c r="AJ858" s="315">
        <v>1.4986999999999999</v>
      </c>
      <c r="AK858" s="315">
        <v>1.5072000000000001</v>
      </c>
      <c r="AL858" s="315">
        <v>1.5998000000000001</v>
      </c>
      <c r="AM858" s="315">
        <v>2.4304000000000001</v>
      </c>
      <c r="AN858" s="315">
        <v>2.2458</v>
      </c>
      <c r="AO858" s="315">
        <v>1.9006000000000001</v>
      </c>
      <c r="AP858" s="315">
        <v>2.1181000000000001</v>
      </c>
      <c r="AQ858" s="315">
        <v>0</v>
      </c>
      <c r="AR858" s="315">
        <v>1.9631000000000001</v>
      </c>
      <c r="AS858" s="315">
        <v>1.8696999999999999</v>
      </c>
      <c r="AT858" s="315">
        <v>2.2252000000000001</v>
      </c>
      <c r="AU858" s="315">
        <v>2.2452000000000001</v>
      </c>
      <c r="AV858" s="315">
        <v>2.0531000000000001</v>
      </c>
      <c r="AW858" s="315">
        <v>1.9125000000000001</v>
      </c>
      <c r="AX858" s="315">
        <v>1.4093</v>
      </c>
      <c r="AY858" s="315">
        <v>2.0222000000000002</v>
      </c>
      <c r="AZ858" s="315">
        <v>2.2134</v>
      </c>
      <c r="BA858" s="315">
        <v>1.6015999999999999</v>
      </c>
      <c r="BB858" s="315">
        <v>0</v>
      </c>
      <c r="BC858" s="315">
        <v>1.7997000000000001</v>
      </c>
      <c r="BD858" s="315">
        <v>1.9527000000000001</v>
      </c>
      <c r="BE858" s="315">
        <v>2.6903000000000001</v>
      </c>
      <c r="BF858" s="315">
        <v>2.5630000000000002</v>
      </c>
      <c r="BG858" s="315">
        <v>2.0632000000000001</v>
      </c>
      <c r="BH858" s="315">
        <v>2.4416000000000002</v>
      </c>
      <c r="BI858" s="315">
        <v>2.4659</v>
      </c>
      <c r="BJ858" s="315">
        <v>2.0861000000000001</v>
      </c>
      <c r="BK858" s="315">
        <v>1.9716</v>
      </c>
    </row>
    <row r="859" spans="1:63" x14ac:dyDescent="0.25">
      <c r="A859" s="306">
        <v>311119</v>
      </c>
      <c r="B859" s="315" t="s">
        <v>26</v>
      </c>
      <c r="C859" s="315">
        <v>3.6949999999999998</v>
      </c>
      <c r="D859" s="315">
        <v>0</v>
      </c>
      <c r="E859" s="315">
        <v>2.0459999999999998</v>
      </c>
      <c r="F859" s="315">
        <v>2.6958000000000002</v>
      </c>
      <c r="G859" s="315">
        <v>1.704</v>
      </c>
      <c r="H859" s="315">
        <v>2.0076000000000001</v>
      </c>
      <c r="I859" s="315">
        <v>2.3639000000000001</v>
      </c>
      <c r="J859" s="315">
        <v>1.6402000000000001</v>
      </c>
      <c r="K859" s="315">
        <v>0</v>
      </c>
      <c r="L859" s="315">
        <v>1.7549999999999999</v>
      </c>
      <c r="M859" s="315">
        <v>1.6708000000000001</v>
      </c>
      <c r="N859" s="315">
        <v>2.3849</v>
      </c>
      <c r="O859" s="315">
        <v>0</v>
      </c>
      <c r="P859" s="315">
        <v>2.5110999999999999</v>
      </c>
      <c r="Q859" s="315">
        <v>2.2077</v>
      </c>
      <c r="R859" s="315">
        <v>3.0846</v>
      </c>
      <c r="S859" s="315">
        <v>2.8012000000000001</v>
      </c>
      <c r="T859" s="315">
        <v>2.4554</v>
      </c>
      <c r="U859" s="315">
        <v>2.8401000000000001</v>
      </c>
      <c r="V859" s="315">
        <v>2.2593999999999999</v>
      </c>
      <c r="W859" s="315">
        <v>1.7784</v>
      </c>
      <c r="X859" s="315">
        <v>1.7241</v>
      </c>
      <c r="Y859" s="315">
        <v>1.7057</v>
      </c>
      <c r="Z859" s="315">
        <v>2.1901000000000002</v>
      </c>
      <c r="AA859" s="315">
        <v>2.8601000000000001</v>
      </c>
      <c r="AB859" s="315">
        <v>3.0434999999999999</v>
      </c>
      <c r="AC859" s="315">
        <v>2.5249000000000001</v>
      </c>
      <c r="AD859" s="315">
        <v>2.2782</v>
      </c>
      <c r="AE859" s="315">
        <v>2.2427999999999999</v>
      </c>
      <c r="AF859" s="315">
        <v>2.3813</v>
      </c>
      <c r="AG859" s="315">
        <v>2.4316</v>
      </c>
      <c r="AH859" s="315">
        <v>1.5466</v>
      </c>
      <c r="AI859" s="315">
        <v>1.8777999999999999</v>
      </c>
      <c r="AJ859" s="315">
        <v>1.6979</v>
      </c>
      <c r="AK859" s="315">
        <v>1.5177</v>
      </c>
      <c r="AL859" s="315">
        <v>1.6035999999999999</v>
      </c>
      <c r="AM859" s="315">
        <v>2.7582</v>
      </c>
      <c r="AN859" s="315">
        <v>2.6787999999999998</v>
      </c>
      <c r="AO859" s="315">
        <v>2.0169000000000001</v>
      </c>
      <c r="AP859" s="315">
        <v>2.0811999999999999</v>
      </c>
      <c r="AQ859" s="315">
        <v>0</v>
      </c>
      <c r="AR859" s="315">
        <v>1.9926999999999999</v>
      </c>
      <c r="AS859" s="315">
        <v>2.2454000000000001</v>
      </c>
      <c r="AT859" s="315">
        <v>2.4196</v>
      </c>
      <c r="AU859" s="315">
        <v>2.4018000000000002</v>
      </c>
      <c r="AV859" s="315">
        <v>2.1495000000000002</v>
      </c>
      <c r="AW859" s="315">
        <v>1.8956999999999999</v>
      </c>
      <c r="AX859" s="315">
        <v>1.5170999999999999</v>
      </c>
      <c r="AY859" s="315">
        <v>2.3214000000000001</v>
      </c>
      <c r="AZ859" s="315">
        <v>2.3990999999999998</v>
      </c>
      <c r="BA859" s="315">
        <v>0</v>
      </c>
      <c r="BB859" s="315">
        <v>1.5792999999999999</v>
      </c>
      <c r="BC859" s="315">
        <v>1.8216000000000001</v>
      </c>
      <c r="BD859" s="315">
        <v>1.9906999999999999</v>
      </c>
      <c r="BE859" s="315">
        <v>3.1175999999999999</v>
      </c>
      <c r="BF859" s="315">
        <v>2.9693000000000001</v>
      </c>
      <c r="BG859" s="315">
        <v>2.1229</v>
      </c>
      <c r="BH859" s="315">
        <v>2.8014000000000001</v>
      </c>
      <c r="BI859" s="315">
        <v>2.8174000000000001</v>
      </c>
      <c r="BJ859" s="315">
        <v>2.3113999999999999</v>
      </c>
      <c r="BK859" s="315">
        <v>2.0874999999999999</v>
      </c>
    </row>
    <row r="860" spans="1:63" x14ac:dyDescent="0.25">
      <c r="A860" s="306">
        <v>311210</v>
      </c>
      <c r="B860" s="315" t="s">
        <v>27</v>
      </c>
      <c r="C860" s="315">
        <v>3.431</v>
      </c>
      <c r="D860" s="315">
        <v>0</v>
      </c>
      <c r="E860" s="315">
        <v>2.0461</v>
      </c>
      <c r="F860" s="315">
        <v>2.4597000000000002</v>
      </c>
      <c r="G860" s="315">
        <v>1.9400999999999999</v>
      </c>
      <c r="H860" s="315">
        <v>2.0884999999999998</v>
      </c>
      <c r="I860" s="315">
        <v>2.5625</v>
      </c>
      <c r="J860" s="315">
        <v>0</v>
      </c>
      <c r="K860" s="315">
        <v>0</v>
      </c>
      <c r="L860" s="315">
        <v>0</v>
      </c>
      <c r="M860" s="315">
        <v>1.9307000000000001</v>
      </c>
      <c r="N860" s="315">
        <v>2.2098</v>
      </c>
      <c r="O860" s="315">
        <v>1.7323999999999999</v>
      </c>
      <c r="P860" s="315">
        <v>2.2723</v>
      </c>
      <c r="Q860" s="315">
        <v>2.2645</v>
      </c>
      <c r="R860" s="315">
        <v>2.9333999999999998</v>
      </c>
      <c r="S860" s="315">
        <v>2.6604000000000001</v>
      </c>
      <c r="T860" s="315">
        <v>2.4058999999999999</v>
      </c>
      <c r="U860" s="315">
        <v>2.6463999999999999</v>
      </c>
      <c r="V860" s="315">
        <v>2.5234999999999999</v>
      </c>
      <c r="W860" s="315">
        <v>1.8726</v>
      </c>
      <c r="X860" s="315">
        <v>1.95</v>
      </c>
      <c r="Y860" s="315">
        <v>1.7745</v>
      </c>
      <c r="Z860" s="315">
        <v>2.4106999999999998</v>
      </c>
      <c r="AA860" s="315">
        <v>2.6692</v>
      </c>
      <c r="AB860" s="315">
        <v>2.7942999999999998</v>
      </c>
      <c r="AC860" s="315">
        <v>2.4398</v>
      </c>
      <c r="AD860" s="315">
        <v>2.3062</v>
      </c>
      <c r="AE860" s="315">
        <v>2.1328</v>
      </c>
      <c r="AF860" s="315">
        <v>2.2313999999999998</v>
      </c>
      <c r="AG860" s="315">
        <v>2.2448000000000001</v>
      </c>
      <c r="AH860" s="315">
        <v>0</v>
      </c>
      <c r="AI860" s="315">
        <v>2.0110000000000001</v>
      </c>
      <c r="AJ860" s="315">
        <v>0</v>
      </c>
      <c r="AK860" s="315">
        <v>0</v>
      </c>
      <c r="AL860" s="315">
        <v>1.8089999999999999</v>
      </c>
      <c r="AM860" s="315">
        <v>2.7597999999999998</v>
      </c>
      <c r="AN860" s="315">
        <v>2.4973999999999998</v>
      </c>
      <c r="AO860" s="315">
        <v>2.2968000000000002</v>
      </c>
      <c r="AP860" s="315">
        <v>2.2063999999999999</v>
      </c>
      <c r="AQ860" s="315">
        <v>1.7302</v>
      </c>
      <c r="AR860" s="315">
        <v>2.0695999999999999</v>
      </c>
      <c r="AS860" s="315">
        <v>0</v>
      </c>
      <c r="AT860" s="315">
        <v>2.4097</v>
      </c>
      <c r="AU860" s="315">
        <v>2.5394000000000001</v>
      </c>
      <c r="AV860" s="315">
        <v>2.1556000000000002</v>
      </c>
      <c r="AW860" s="315">
        <v>2.0634999999999999</v>
      </c>
      <c r="AX860" s="315">
        <v>0</v>
      </c>
      <c r="AY860" s="315">
        <v>2.4931999999999999</v>
      </c>
      <c r="AZ860" s="315">
        <v>2.5901000000000001</v>
      </c>
      <c r="BA860" s="315">
        <v>0</v>
      </c>
      <c r="BB860" s="315">
        <v>0</v>
      </c>
      <c r="BC860" s="315">
        <v>1.9472</v>
      </c>
      <c r="BD860" s="315">
        <v>2.1147999999999998</v>
      </c>
      <c r="BE860" s="315">
        <v>2.9224999999999999</v>
      </c>
      <c r="BF860" s="315">
        <v>2.6930000000000001</v>
      </c>
      <c r="BG860" s="315">
        <v>2.2614000000000001</v>
      </c>
      <c r="BH860" s="315">
        <v>2.6305999999999998</v>
      </c>
      <c r="BI860" s="315">
        <v>2.8637000000000001</v>
      </c>
      <c r="BJ860" s="315">
        <v>2.5030000000000001</v>
      </c>
      <c r="BK860" s="315">
        <v>2.2416999999999998</v>
      </c>
    </row>
    <row r="861" spans="1:63" x14ac:dyDescent="0.25">
      <c r="A861" s="306">
        <v>311221</v>
      </c>
      <c r="B861" s="315" t="s">
        <v>28</v>
      </c>
      <c r="C861" s="315">
        <v>3.5177</v>
      </c>
      <c r="D861" s="315">
        <v>0</v>
      </c>
      <c r="E861" s="315">
        <v>2.0346000000000002</v>
      </c>
      <c r="F861" s="315">
        <v>2.556</v>
      </c>
      <c r="G861" s="315">
        <v>0</v>
      </c>
      <c r="H861" s="315">
        <v>2.0807000000000002</v>
      </c>
      <c r="I861" s="315">
        <v>2.6084000000000001</v>
      </c>
      <c r="J861" s="315">
        <v>0</v>
      </c>
      <c r="K861" s="315">
        <v>0</v>
      </c>
      <c r="L861" s="315">
        <v>0</v>
      </c>
      <c r="M861" s="315">
        <v>1.7833000000000001</v>
      </c>
      <c r="N861" s="315">
        <v>0</v>
      </c>
      <c r="O861" s="315">
        <v>0</v>
      </c>
      <c r="P861" s="315">
        <v>2.3033999999999999</v>
      </c>
      <c r="Q861" s="315">
        <v>2.3083999999999998</v>
      </c>
      <c r="R861" s="315">
        <v>2.97</v>
      </c>
      <c r="S861" s="315">
        <v>2.6576</v>
      </c>
      <c r="T861" s="315">
        <v>2.5002</v>
      </c>
      <c r="U861" s="315">
        <v>0</v>
      </c>
      <c r="V861" s="315">
        <v>0</v>
      </c>
      <c r="W861" s="315">
        <v>0</v>
      </c>
      <c r="X861" s="315">
        <v>0</v>
      </c>
      <c r="Y861" s="315">
        <v>1.7444</v>
      </c>
      <c r="Z861" s="315">
        <v>0</v>
      </c>
      <c r="AA861" s="315">
        <v>2.6897000000000002</v>
      </c>
      <c r="AB861" s="315">
        <v>2.8363</v>
      </c>
      <c r="AC861" s="315">
        <v>0</v>
      </c>
      <c r="AD861" s="315">
        <v>0</v>
      </c>
      <c r="AE861" s="315">
        <v>2.1019000000000001</v>
      </c>
      <c r="AF861" s="315">
        <v>2.3140000000000001</v>
      </c>
      <c r="AG861" s="315">
        <v>0</v>
      </c>
      <c r="AH861" s="315">
        <v>0</v>
      </c>
      <c r="AI861" s="315">
        <v>1.9754</v>
      </c>
      <c r="AJ861" s="315">
        <v>0</v>
      </c>
      <c r="AK861" s="315">
        <v>0</v>
      </c>
      <c r="AL861" s="315">
        <v>0</v>
      </c>
      <c r="AM861" s="315">
        <v>2.8471000000000002</v>
      </c>
      <c r="AN861" s="315">
        <v>0</v>
      </c>
      <c r="AO861" s="315">
        <v>2.2422</v>
      </c>
      <c r="AP861" s="315">
        <v>2.2145999999999999</v>
      </c>
      <c r="AQ861" s="315">
        <v>0</v>
      </c>
      <c r="AR861" s="315">
        <v>2.0642999999999998</v>
      </c>
      <c r="AS861" s="315">
        <v>0</v>
      </c>
      <c r="AT861" s="315">
        <v>2.3031999999999999</v>
      </c>
      <c r="AU861" s="315">
        <v>2.5436999999999999</v>
      </c>
      <c r="AV861" s="315">
        <v>0</v>
      </c>
      <c r="AW861" s="315">
        <v>0</v>
      </c>
      <c r="AX861" s="315">
        <v>0</v>
      </c>
      <c r="AY861" s="315">
        <v>2.4384999999999999</v>
      </c>
      <c r="AZ861" s="315">
        <v>0</v>
      </c>
      <c r="BA861" s="315">
        <v>0</v>
      </c>
      <c r="BB861" s="315">
        <v>0</v>
      </c>
      <c r="BC861" s="315">
        <v>1.8913</v>
      </c>
      <c r="BD861" s="315">
        <v>2.0651999999999999</v>
      </c>
      <c r="BE861" s="315">
        <v>2.9750999999999999</v>
      </c>
      <c r="BF861" s="315">
        <v>2.7637</v>
      </c>
      <c r="BG861" s="315">
        <v>2.165</v>
      </c>
      <c r="BH861" s="315">
        <v>2.6120000000000001</v>
      </c>
      <c r="BI861" s="315">
        <v>2.9051999999999998</v>
      </c>
      <c r="BJ861" s="315">
        <v>2.5745</v>
      </c>
      <c r="BK861" s="315">
        <v>2.2002999999999999</v>
      </c>
    </row>
    <row r="862" spans="1:63" x14ac:dyDescent="0.25">
      <c r="A862" s="306">
        <v>311225</v>
      </c>
      <c r="B862" s="315" t="s">
        <v>30</v>
      </c>
      <c r="C862" s="315">
        <v>3.8788999999999998</v>
      </c>
      <c r="D862" s="315">
        <v>0</v>
      </c>
      <c r="E862" s="315">
        <v>2.2896000000000001</v>
      </c>
      <c r="F862" s="315">
        <v>2.9291999999999998</v>
      </c>
      <c r="G862" s="315">
        <v>1.7404999999999999</v>
      </c>
      <c r="H862" s="315">
        <v>2.0628000000000002</v>
      </c>
      <c r="I862" s="315">
        <v>1.8791</v>
      </c>
      <c r="J862" s="315">
        <v>1.5821000000000001</v>
      </c>
      <c r="K862" s="315">
        <v>0</v>
      </c>
      <c r="L862" s="315">
        <v>1.7827</v>
      </c>
      <c r="M862" s="315">
        <v>1.4970000000000001</v>
      </c>
      <c r="N862" s="315">
        <v>2.5977999999999999</v>
      </c>
      <c r="O862" s="315">
        <v>0</v>
      </c>
      <c r="P862" s="315">
        <v>2.3807</v>
      </c>
      <c r="Q862" s="315">
        <v>0</v>
      </c>
      <c r="R862" s="315">
        <v>3.3348</v>
      </c>
      <c r="S862" s="315">
        <v>3.0714999999999999</v>
      </c>
      <c r="T862" s="315">
        <v>2.4937999999999998</v>
      </c>
      <c r="U862" s="315">
        <v>3.0055999999999998</v>
      </c>
      <c r="V862" s="315">
        <v>2.2397999999999998</v>
      </c>
      <c r="W862" s="315">
        <v>1.8112999999999999</v>
      </c>
      <c r="X862" s="315">
        <v>1.6318999999999999</v>
      </c>
      <c r="Y862" s="315">
        <v>0</v>
      </c>
      <c r="Z862" s="315">
        <v>2.0590000000000002</v>
      </c>
      <c r="AA862" s="315">
        <v>3.1158000000000001</v>
      </c>
      <c r="AB862" s="315">
        <v>3.2429999999999999</v>
      </c>
      <c r="AC862" s="315">
        <v>0</v>
      </c>
      <c r="AD862" s="315">
        <v>2.0632000000000001</v>
      </c>
      <c r="AE862" s="315">
        <v>0</v>
      </c>
      <c r="AF862" s="315">
        <v>2.6331000000000002</v>
      </c>
      <c r="AG862" s="315">
        <v>2.2858000000000001</v>
      </c>
      <c r="AH862" s="315">
        <v>0</v>
      </c>
      <c r="AI862" s="315">
        <v>1.9067000000000001</v>
      </c>
      <c r="AJ862" s="315">
        <v>0</v>
      </c>
      <c r="AK862" s="315">
        <v>0</v>
      </c>
      <c r="AL862" s="315">
        <v>1.5127999999999999</v>
      </c>
      <c r="AM862" s="315">
        <v>2.6267999999999998</v>
      </c>
      <c r="AN862" s="315">
        <v>2.6539000000000001</v>
      </c>
      <c r="AO862" s="315">
        <v>1.9662999999999999</v>
      </c>
      <c r="AP862" s="315">
        <v>1.9479</v>
      </c>
      <c r="AQ862" s="315">
        <v>0</v>
      </c>
      <c r="AR862" s="315">
        <v>1.9626999999999999</v>
      </c>
      <c r="AS862" s="315">
        <v>2.1695000000000002</v>
      </c>
      <c r="AT862" s="315">
        <v>2.7896000000000001</v>
      </c>
      <c r="AU862" s="315">
        <v>2.2854000000000001</v>
      </c>
      <c r="AV862" s="315">
        <v>0</v>
      </c>
      <c r="AW862" s="315">
        <v>1.8264</v>
      </c>
      <c r="AX862" s="315">
        <v>0</v>
      </c>
      <c r="AY862" s="315">
        <v>2.1040999999999999</v>
      </c>
      <c r="AZ862" s="315">
        <v>0</v>
      </c>
      <c r="BA862" s="315">
        <v>0</v>
      </c>
      <c r="BB862" s="315">
        <v>0</v>
      </c>
      <c r="BC862" s="315">
        <v>1.7536</v>
      </c>
      <c r="BD862" s="315">
        <v>1.8832</v>
      </c>
      <c r="BE862" s="315">
        <v>3.3769999999999998</v>
      </c>
      <c r="BF862" s="315">
        <v>3.181</v>
      </c>
      <c r="BG862" s="315">
        <v>2.0078999999999998</v>
      </c>
      <c r="BH862" s="315">
        <v>3.0497000000000001</v>
      </c>
      <c r="BI862" s="315">
        <v>2.8368000000000002</v>
      </c>
      <c r="BJ862" s="315">
        <v>1.9117999999999999</v>
      </c>
      <c r="BK862" s="315">
        <v>2.0863999999999998</v>
      </c>
    </row>
    <row r="863" spans="1:63" x14ac:dyDescent="0.25">
      <c r="A863" s="306" t="s">
        <v>704</v>
      </c>
      <c r="B863" s="315" t="s">
        <v>29</v>
      </c>
      <c r="C863" s="315">
        <v>3.8361999999999998</v>
      </c>
      <c r="D863" s="315">
        <v>0</v>
      </c>
      <c r="E863" s="315">
        <v>1.8877999999999999</v>
      </c>
      <c r="F863" s="315">
        <v>2.9329999999999998</v>
      </c>
      <c r="G863" s="315">
        <v>1.6535</v>
      </c>
      <c r="H863" s="315">
        <v>1.8173999999999999</v>
      </c>
      <c r="I863" s="315">
        <v>2.5171999999999999</v>
      </c>
      <c r="J863" s="315">
        <v>0</v>
      </c>
      <c r="K863" s="315">
        <v>0</v>
      </c>
      <c r="L863" s="315">
        <v>0</v>
      </c>
      <c r="M863" s="315">
        <v>0</v>
      </c>
      <c r="N863" s="315">
        <v>2.0543999999999998</v>
      </c>
      <c r="O863" s="315">
        <v>1.504</v>
      </c>
      <c r="P863" s="315">
        <v>2.6991000000000001</v>
      </c>
      <c r="Q863" s="315">
        <v>2.5234999999999999</v>
      </c>
      <c r="R863" s="315">
        <v>3.2631999999999999</v>
      </c>
      <c r="S863" s="315">
        <v>2.9853999999999998</v>
      </c>
      <c r="T863" s="315">
        <v>2.7382</v>
      </c>
      <c r="U863" s="315">
        <v>3.0045000000000002</v>
      </c>
      <c r="V863" s="315">
        <v>2.6831999999999998</v>
      </c>
      <c r="W863" s="315">
        <v>1.504</v>
      </c>
      <c r="X863" s="315">
        <v>0</v>
      </c>
      <c r="Y863" s="315">
        <v>0</v>
      </c>
      <c r="Z863" s="315">
        <v>2.4163999999999999</v>
      </c>
      <c r="AA863" s="315">
        <v>3.0467</v>
      </c>
      <c r="AB863" s="315">
        <v>3.2061999999999999</v>
      </c>
      <c r="AC863" s="315">
        <v>2.8683999999999998</v>
      </c>
      <c r="AD863" s="315">
        <v>2.6701999999999999</v>
      </c>
      <c r="AE863" s="315">
        <v>2.0798000000000001</v>
      </c>
      <c r="AF863" s="315">
        <v>2.6488999999999998</v>
      </c>
      <c r="AG863" s="315">
        <v>2.6595</v>
      </c>
      <c r="AH863" s="315">
        <v>0</v>
      </c>
      <c r="AI863" s="315">
        <v>0</v>
      </c>
      <c r="AJ863" s="315">
        <v>0</v>
      </c>
      <c r="AK863" s="315">
        <v>1.4166000000000001</v>
      </c>
      <c r="AL863" s="315">
        <v>1.4661</v>
      </c>
      <c r="AM863" s="315">
        <v>3.0363000000000002</v>
      </c>
      <c r="AN863" s="315">
        <v>2.9567000000000001</v>
      </c>
      <c r="AO863" s="315">
        <v>0</v>
      </c>
      <c r="AP863" s="315">
        <v>1.8486</v>
      </c>
      <c r="AQ863" s="315">
        <v>0</v>
      </c>
      <c r="AR863" s="315">
        <v>1.9649000000000001</v>
      </c>
      <c r="AS863" s="315">
        <v>2.52</v>
      </c>
      <c r="AT863" s="315">
        <v>2.3805999999999998</v>
      </c>
      <c r="AU863" s="315">
        <v>2.3967000000000001</v>
      </c>
      <c r="AV863" s="315">
        <v>1.8035000000000001</v>
      </c>
      <c r="AW863" s="315">
        <v>0</v>
      </c>
      <c r="AX863" s="315">
        <v>1.4167000000000001</v>
      </c>
      <c r="AY863" s="315">
        <v>2.5461</v>
      </c>
      <c r="AZ863" s="315">
        <v>2.7642000000000002</v>
      </c>
      <c r="BA863" s="315">
        <v>0</v>
      </c>
      <c r="BB863" s="315">
        <v>0</v>
      </c>
      <c r="BC863" s="315">
        <v>1.534</v>
      </c>
      <c r="BD863" s="315">
        <v>1.6819</v>
      </c>
      <c r="BE863" s="315">
        <v>3.2948</v>
      </c>
      <c r="BF863" s="315">
        <v>3.1282000000000001</v>
      </c>
      <c r="BG863" s="315">
        <v>1.9182999999999999</v>
      </c>
      <c r="BH863" s="315">
        <v>2.8502000000000001</v>
      </c>
      <c r="BI863" s="315">
        <v>3.0484</v>
      </c>
      <c r="BJ863" s="315">
        <v>2.5045999999999999</v>
      </c>
      <c r="BK863" s="315">
        <v>1.9734</v>
      </c>
    </row>
    <row r="864" spans="1:63" x14ac:dyDescent="0.25">
      <c r="A864" s="306">
        <v>311230</v>
      </c>
      <c r="B864" s="315" t="s">
        <v>31</v>
      </c>
      <c r="C864" s="315">
        <v>2.6905000000000001</v>
      </c>
      <c r="D864" s="315">
        <v>0</v>
      </c>
      <c r="E864" s="315">
        <v>0</v>
      </c>
      <c r="F864" s="315">
        <v>1.9411</v>
      </c>
      <c r="G864" s="315">
        <v>0</v>
      </c>
      <c r="H864" s="315">
        <v>1.8431999999999999</v>
      </c>
      <c r="I864" s="315">
        <v>1.7970999999999999</v>
      </c>
      <c r="J864" s="315">
        <v>1.6173999999999999</v>
      </c>
      <c r="K864" s="315">
        <v>0</v>
      </c>
      <c r="L864" s="315">
        <v>0</v>
      </c>
      <c r="M864" s="315">
        <v>0</v>
      </c>
      <c r="N864" s="315">
        <v>2.0421999999999998</v>
      </c>
      <c r="O864" s="315">
        <v>0</v>
      </c>
      <c r="P864" s="315">
        <v>1.7091000000000001</v>
      </c>
      <c r="Q864" s="315">
        <v>0</v>
      </c>
      <c r="R864" s="315">
        <v>2.1760999999999999</v>
      </c>
      <c r="S864" s="315">
        <v>0</v>
      </c>
      <c r="T864" s="315">
        <v>1.7331000000000001</v>
      </c>
      <c r="U864" s="315">
        <v>0</v>
      </c>
      <c r="V864" s="315">
        <v>0</v>
      </c>
      <c r="W864" s="315">
        <v>1.7070000000000001</v>
      </c>
      <c r="X864" s="315">
        <v>1.5923</v>
      </c>
      <c r="Y864" s="315">
        <v>0</v>
      </c>
      <c r="Z864" s="315">
        <v>1.9280999999999999</v>
      </c>
      <c r="AA864" s="315">
        <v>2.0931999999999999</v>
      </c>
      <c r="AB864" s="315">
        <v>2.0617999999999999</v>
      </c>
      <c r="AC864" s="315">
        <v>0</v>
      </c>
      <c r="AD864" s="315">
        <v>1.5494000000000001</v>
      </c>
      <c r="AE864" s="315">
        <v>1.8626</v>
      </c>
      <c r="AF864" s="315">
        <v>0</v>
      </c>
      <c r="AG864" s="315">
        <v>1.7350000000000001</v>
      </c>
      <c r="AH864" s="315">
        <v>0</v>
      </c>
      <c r="AI864" s="315">
        <v>1.7459</v>
      </c>
      <c r="AJ864" s="315">
        <v>1.3997999999999999</v>
      </c>
      <c r="AK864" s="315">
        <v>1.4440999999999999</v>
      </c>
      <c r="AL864" s="315">
        <v>0</v>
      </c>
      <c r="AM864" s="315">
        <v>2.0939000000000001</v>
      </c>
      <c r="AN864" s="315">
        <v>0</v>
      </c>
      <c r="AO864" s="315">
        <v>1.7759</v>
      </c>
      <c r="AP864" s="315">
        <v>1.87</v>
      </c>
      <c r="AQ864" s="315">
        <v>0</v>
      </c>
      <c r="AR864" s="315">
        <v>0</v>
      </c>
      <c r="AS864" s="315">
        <v>0</v>
      </c>
      <c r="AT864" s="315">
        <v>1.9861</v>
      </c>
      <c r="AU864" s="315">
        <v>1.9229000000000001</v>
      </c>
      <c r="AV864" s="315">
        <v>1.7468999999999999</v>
      </c>
      <c r="AW864" s="315">
        <v>0</v>
      </c>
      <c r="AX864" s="315">
        <v>0</v>
      </c>
      <c r="AY864" s="315">
        <v>1.8265</v>
      </c>
      <c r="AZ864" s="315">
        <v>1.8862000000000001</v>
      </c>
      <c r="BA864" s="315">
        <v>0</v>
      </c>
      <c r="BB864" s="315">
        <v>1.3134999999999999</v>
      </c>
      <c r="BC864" s="315">
        <v>1.7353000000000001</v>
      </c>
      <c r="BD864" s="315">
        <v>1.8194999999999999</v>
      </c>
      <c r="BE864" s="315">
        <v>2.2725</v>
      </c>
      <c r="BF864" s="315">
        <v>2.08</v>
      </c>
      <c r="BG864" s="315">
        <v>1.9596</v>
      </c>
      <c r="BH864" s="315">
        <v>2.0482</v>
      </c>
      <c r="BI864" s="315">
        <v>2.0884</v>
      </c>
      <c r="BJ864" s="315">
        <v>1.7701</v>
      </c>
      <c r="BK864" s="315">
        <v>1.8891</v>
      </c>
    </row>
    <row r="865" spans="1:63" x14ac:dyDescent="0.25">
      <c r="A865" s="306">
        <v>311313</v>
      </c>
      <c r="B865" s="315" t="s">
        <v>33</v>
      </c>
      <c r="C865" s="315">
        <v>3.6164999999999998</v>
      </c>
      <c r="D865" s="315">
        <v>0</v>
      </c>
      <c r="E865" s="315">
        <v>0</v>
      </c>
      <c r="F865" s="315">
        <v>0</v>
      </c>
      <c r="G865" s="315">
        <v>0</v>
      </c>
      <c r="H865" s="315">
        <v>2.7603</v>
      </c>
      <c r="I865" s="315">
        <v>2.7193999999999998</v>
      </c>
      <c r="J865" s="315">
        <v>0</v>
      </c>
      <c r="K865" s="315">
        <v>0</v>
      </c>
      <c r="L865" s="315">
        <v>0</v>
      </c>
      <c r="M865" s="315">
        <v>0</v>
      </c>
      <c r="N865" s="315">
        <v>0</v>
      </c>
      <c r="O865" s="315">
        <v>0</v>
      </c>
      <c r="P865" s="315">
        <v>0</v>
      </c>
      <c r="Q865" s="315">
        <v>2.2812999999999999</v>
      </c>
      <c r="R865" s="315">
        <v>0</v>
      </c>
      <c r="S865" s="315">
        <v>0</v>
      </c>
      <c r="T865" s="315">
        <v>0</v>
      </c>
      <c r="U865" s="315">
        <v>2.6987999999999999</v>
      </c>
      <c r="V865" s="315">
        <v>2.6768000000000001</v>
      </c>
      <c r="W865" s="315">
        <v>0</v>
      </c>
      <c r="X865" s="315">
        <v>0</v>
      </c>
      <c r="Y865" s="315">
        <v>0</v>
      </c>
      <c r="Z865" s="315">
        <v>2.4428999999999998</v>
      </c>
      <c r="AA865" s="315">
        <v>2.7097000000000002</v>
      </c>
      <c r="AB865" s="315">
        <v>0</v>
      </c>
      <c r="AC865" s="315">
        <v>0</v>
      </c>
      <c r="AD865" s="315">
        <v>2.3372000000000002</v>
      </c>
      <c r="AE865" s="315">
        <v>0</v>
      </c>
      <c r="AF865" s="315">
        <v>2.2347999999999999</v>
      </c>
      <c r="AG865" s="315">
        <v>2.3420000000000001</v>
      </c>
      <c r="AH865" s="315">
        <v>0</v>
      </c>
      <c r="AI865" s="315">
        <v>1.9039999999999999</v>
      </c>
      <c r="AJ865" s="315">
        <v>0</v>
      </c>
      <c r="AK865" s="315">
        <v>0</v>
      </c>
      <c r="AL865" s="315">
        <v>1.7817000000000001</v>
      </c>
      <c r="AM865" s="315">
        <v>2.1776</v>
      </c>
      <c r="AN865" s="315">
        <v>0</v>
      </c>
      <c r="AO865" s="315">
        <v>2.6903999999999999</v>
      </c>
      <c r="AP865" s="315">
        <v>0</v>
      </c>
      <c r="AQ865" s="315">
        <v>0</v>
      </c>
      <c r="AR865" s="315">
        <v>0</v>
      </c>
      <c r="AS865" s="315">
        <v>2.1236999999999999</v>
      </c>
      <c r="AT865" s="315">
        <v>0</v>
      </c>
      <c r="AU865" s="315">
        <v>0</v>
      </c>
      <c r="AV865" s="315">
        <v>0</v>
      </c>
      <c r="AW865" s="315">
        <v>0</v>
      </c>
      <c r="AX865" s="315">
        <v>0</v>
      </c>
      <c r="AY865" s="315">
        <v>0</v>
      </c>
      <c r="AZ865" s="315">
        <v>0</v>
      </c>
      <c r="BA865" s="315">
        <v>0</v>
      </c>
      <c r="BB865" s="315">
        <v>2.1503000000000001</v>
      </c>
      <c r="BC865" s="315">
        <v>0</v>
      </c>
      <c r="BD865" s="315">
        <v>2.0903999999999998</v>
      </c>
      <c r="BE865" s="315">
        <v>2.3534000000000002</v>
      </c>
      <c r="BF865" s="315">
        <v>2.7806999999999999</v>
      </c>
      <c r="BG865" s="315">
        <v>0</v>
      </c>
      <c r="BH865" s="315">
        <v>2.6463999999999999</v>
      </c>
      <c r="BI865" s="315">
        <v>3.0476999999999999</v>
      </c>
      <c r="BJ865" s="315">
        <v>2.7795000000000001</v>
      </c>
      <c r="BK865" s="315">
        <v>2.8191000000000002</v>
      </c>
    </row>
    <row r="866" spans="1:63" x14ac:dyDescent="0.25">
      <c r="A866" s="306" t="s">
        <v>705</v>
      </c>
      <c r="B866" s="315" t="s">
        <v>32</v>
      </c>
      <c r="C866" s="315">
        <v>3.7381000000000002</v>
      </c>
      <c r="D866" s="315">
        <v>0</v>
      </c>
      <c r="E866" s="315">
        <v>2.0224000000000002</v>
      </c>
      <c r="F866" s="315">
        <v>0</v>
      </c>
      <c r="G866" s="315">
        <v>0</v>
      </c>
      <c r="H866" s="315">
        <v>2.6318999999999999</v>
      </c>
      <c r="I866" s="315">
        <v>0</v>
      </c>
      <c r="J866" s="315">
        <v>0</v>
      </c>
      <c r="K866" s="315">
        <v>0</v>
      </c>
      <c r="L866" s="315">
        <v>0</v>
      </c>
      <c r="M866" s="315">
        <v>2.4742999999999999</v>
      </c>
      <c r="N866" s="315">
        <v>2.7423000000000002</v>
      </c>
      <c r="O866" s="315">
        <v>2.2980999999999998</v>
      </c>
      <c r="P866" s="315">
        <v>0</v>
      </c>
      <c r="Q866" s="315">
        <v>0</v>
      </c>
      <c r="R866" s="315">
        <v>1.8661000000000001</v>
      </c>
      <c r="S866" s="315">
        <v>0</v>
      </c>
      <c r="T866" s="315">
        <v>0</v>
      </c>
      <c r="U866" s="315">
        <v>0</v>
      </c>
      <c r="V866" s="315">
        <v>2.5718000000000001</v>
      </c>
      <c r="W866" s="315">
        <v>0</v>
      </c>
      <c r="X866" s="315">
        <v>1.9690000000000001</v>
      </c>
      <c r="Y866" s="315">
        <v>0</v>
      </c>
      <c r="Z866" s="315">
        <v>2.2576000000000001</v>
      </c>
      <c r="AA866" s="315">
        <v>0</v>
      </c>
      <c r="AB866" s="315">
        <v>0</v>
      </c>
      <c r="AC866" s="315">
        <v>0</v>
      </c>
      <c r="AD866" s="315">
        <v>0</v>
      </c>
      <c r="AE866" s="315">
        <v>0</v>
      </c>
      <c r="AF866" s="315">
        <v>0</v>
      </c>
      <c r="AG866" s="315">
        <v>2.0154000000000001</v>
      </c>
      <c r="AH866" s="315">
        <v>2.0752000000000002</v>
      </c>
      <c r="AI866" s="315">
        <v>0</v>
      </c>
      <c r="AJ866" s="315">
        <v>0</v>
      </c>
      <c r="AK866" s="315">
        <v>0</v>
      </c>
      <c r="AL866" s="315">
        <v>1.8569</v>
      </c>
      <c r="AM866" s="315">
        <v>1.9615</v>
      </c>
      <c r="AN866" s="315">
        <v>0</v>
      </c>
      <c r="AO866" s="315">
        <v>0</v>
      </c>
      <c r="AP866" s="315">
        <v>0</v>
      </c>
      <c r="AQ866" s="315">
        <v>0</v>
      </c>
      <c r="AR866" s="315">
        <v>0</v>
      </c>
      <c r="AS866" s="315">
        <v>0</v>
      </c>
      <c r="AT866" s="315">
        <v>1.8285</v>
      </c>
      <c r="AU866" s="315">
        <v>2.8561000000000001</v>
      </c>
      <c r="AV866" s="315">
        <v>0</v>
      </c>
      <c r="AW866" s="315">
        <v>0</v>
      </c>
      <c r="AX866" s="315">
        <v>0</v>
      </c>
      <c r="AY866" s="315">
        <v>0</v>
      </c>
      <c r="AZ866" s="315">
        <v>0</v>
      </c>
      <c r="BA866" s="315">
        <v>0</v>
      </c>
      <c r="BB866" s="315">
        <v>0</v>
      </c>
      <c r="BC866" s="315">
        <v>1.7506999999999999</v>
      </c>
      <c r="BD866" s="315">
        <v>1.9591000000000001</v>
      </c>
      <c r="BE866" s="315">
        <v>2.2195</v>
      </c>
      <c r="BF866" s="315">
        <v>2.3553999999999999</v>
      </c>
      <c r="BG866" s="315">
        <v>2.6852999999999998</v>
      </c>
      <c r="BH866" s="315">
        <v>2.0829</v>
      </c>
      <c r="BI866" s="315">
        <v>2.8975</v>
      </c>
      <c r="BJ866" s="315">
        <v>0</v>
      </c>
      <c r="BK866" s="315">
        <v>2.6972999999999998</v>
      </c>
    </row>
    <row r="867" spans="1:63" x14ac:dyDescent="0.25">
      <c r="A867" s="306">
        <v>311320</v>
      </c>
      <c r="B867" s="315" t="s">
        <v>34</v>
      </c>
      <c r="C867" s="315">
        <v>3.3616000000000001</v>
      </c>
      <c r="D867" s="315">
        <v>0</v>
      </c>
      <c r="E867" s="315">
        <v>0</v>
      </c>
      <c r="F867" s="315">
        <v>1.9194</v>
      </c>
      <c r="G867" s="315">
        <v>0</v>
      </c>
      <c r="H867" s="315">
        <v>2.4658000000000002</v>
      </c>
      <c r="I867" s="315">
        <v>2.0697000000000001</v>
      </c>
      <c r="J867" s="315">
        <v>1.8012999999999999</v>
      </c>
      <c r="K867" s="315">
        <v>0</v>
      </c>
      <c r="L867" s="315">
        <v>0</v>
      </c>
      <c r="M867" s="315">
        <v>2.0045999999999999</v>
      </c>
      <c r="N867" s="315">
        <v>2.2936000000000001</v>
      </c>
      <c r="O867" s="315">
        <v>0</v>
      </c>
      <c r="P867" s="315">
        <v>0</v>
      </c>
      <c r="Q867" s="315">
        <v>0</v>
      </c>
      <c r="R867" s="315">
        <v>2.3559999999999999</v>
      </c>
      <c r="S867" s="315">
        <v>0</v>
      </c>
      <c r="T867" s="315">
        <v>0</v>
      </c>
      <c r="U867" s="315">
        <v>0</v>
      </c>
      <c r="V867" s="315">
        <v>0</v>
      </c>
      <c r="W867" s="315">
        <v>1.9529000000000001</v>
      </c>
      <c r="X867" s="315">
        <v>1.7809999999999999</v>
      </c>
      <c r="Y867" s="315">
        <v>0</v>
      </c>
      <c r="Z867" s="315">
        <v>2.1960999999999999</v>
      </c>
      <c r="AA867" s="315">
        <v>2.2117</v>
      </c>
      <c r="AB867" s="315">
        <v>2.1583000000000001</v>
      </c>
      <c r="AC867" s="315">
        <v>0</v>
      </c>
      <c r="AD867" s="315">
        <v>0</v>
      </c>
      <c r="AE867" s="315">
        <v>0</v>
      </c>
      <c r="AF867" s="315">
        <v>0</v>
      </c>
      <c r="AG867" s="315">
        <v>0</v>
      </c>
      <c r="AH867" s="315">
        <v>2.0049000000000001</v>
      </c>
      <c r="AI867" s="315">
        <v>2.0184000000000002</v>
      </c>
      <c r="AJ867" s="315">
        <v>1.6677999999999999</v>
      </c>
      <c r="AK867" s="315">
        <v>1.6972</v>
      </c>
      <c r="AL867" s="315">
        <v>1.8162</v>
      </c>
      <c r="AM867" s="315">
        <v>2.2052999999999998</v>
      </c>
      <c r="AN867" s="315">
        <v>1.8144</v>
      </c>
      <c r="AO867" s="315">
        <v>2.1349</v>
      </c>
      <c r="AP867" s="315">
        <v>2.3279000000000001</v>
      </c>
      <c r="AQ867" s="315">
        <v>0</v>
      </c>
      <c r="AR867" s="315">
        <v>0</v>
      </c>
      <c r="AS867" s="315">
        <v>0</v>
      </c>
      <c r="AT867" s="315">
        <v>2.1162000000000001</v>
      </c>
      <c r="AU867" s="315">
        <v>2.2519999999999998</v>
      </c>
      <c r="AV867" s="315">
        <v>2.1063000000000001</v>
      </c>
      <c r="AW867" s="315">
        <v>0</v>
      </c>
      <c r="AX867" s="315">
        <v>0</v>
      </c>
      <c r="AY867" s="315">
        <v>2.0775000000000001</v>
      </c>
      <c r="AZ867" s="315">
        <v>2.2711000000000001</v>
      </c>
      <c r="BA867" s="315">
        <v>0</v>
      </c>
      <c r="BB867" s="315">
        <v>0</v>
      </c>
      <c r="BC867" s="315">
        <v>2.1431</v>
      </c>
      <c r="BD867" s="315">
        <v>2.2806000000000002</v>
      </c>
      <c r="BE867" s="315">
        <v>2.5823</v>
      </c>
      <c r="BF867" s="315">
        <v>2.2357999999999998</v>
      </c>
      <c r="BG867" s="315">
        <v>2.3176999999999999</v>
      </c>
      <c r="BH867" s="315">
        <v>2.2025000000000001</v>
      </c>
      <c r="BI867" s="315">
        <v>2.3115999999999999</v>
      </c>
      <c r="BJ867" s="315">
        <v>2.0594000000000001</v>
      </c>
      <c r="BK867" s="315">
        <v>2.5034000000000001</v>
      </c>
    </row>
    <row r="868" spans="1:63" x14ac:dyDescent="0.25">
      <c r="A868" s="306">
        <v>311330</v>
      </c>
      <c r="B868" s="315" t="s">
        <v>35</v>
      </c>
      <c r="C868" s="315">
        <v>3.0383</v>
      </c>
      <c r="D868" s="315">
        <v>1.2899</v>
      </c>
      <c r="E868" s="315">
        <v>1.8746</v>
      </c>
      <c r="F868" s="315">
        <v>1.8573</v>
      </c>
      <c r="G868" s="315">
        <v>1.6781999999999999</v>
      </c>
      <c r="H868" s="315">
        <v>2.2389999999999999</v>
      </c>
      <c r="I868" s="315">
        <v>1.9587000000000001</v>
      </c>
      <c r="J868" s="315">
        <v>1.8501000000000001</v>
      </c>
      <c r="K868" s="315">
        <v>1.1091</v>
      </c>
      <c r="L868" s="315">
        <v>1.573</v>
      </c>
      <c r="M868" s="315">
        <v>1.8266</v>
      </c>
      <c r="N868" s="315">
        <v>2.1831999999999998</v>
      </c>
      <c r="O868" s="315">
        <v>1.7278</v>
      </c>
      <c r="P868" s="315">
        <v>1.6697</v>
      </c>
      <c r="Q868" s="315">
        <v>1.6402000000000001</v>
      </c>
      <c r="R868" s="315">
        <v>2.2829999999999999</v>
      </c>
      <c r="S868" s="315">
        <v>1.9912000000000001</v>
      </c>
      <c r="T868" s="315">
        <v>1.738</v>
      </c>
      <c r="U868" s="315">
        <v>1.9934000000000001</v>
      </c>
      <c r="V868" s="315">
        <v>1.9129</v>
      </c>
      <c r="W868" s="315">
        <v>1.9339999999999999</v>
      </c>
      <c r="X868" s="315">
        <v>1.7189000000000001</v>
      </c>
      <c r="Y868" s="315">
        <v>1.7528999999999999</v>
      </c>
      <c r="Z868" s="315">
        <v>2.1206</v>
      </c>
      <c r="AA868" s="315">
        <v>2.0891999999999999</v>
      </c>
      <c r="AB868" s="315">
        <v>2.0322</v>
      </c>
      <c r="AC868" s="315">
        <v>1.6919</v>
      </c>
      <c r="AD868" s="315">
        <v>1.4507000000000001</v>
      </c>
      <c r="AE868" s="315">
        <v>1.9652000000000001</v>
      </c>
      <c r="AF868" s="315">
        <v>1.5338000000000001</v>
      </c>
      <c r="AG868" s="315">
        <v>1.6296999999999999</v>
      </c>
      <c r="AH868" s="315">
        <v>1.8915</v>
      </c>
      <c r="AI868" s="315">
        <v>2.0070999999999999</v>
      </c>
      <c r="AJ868" s="315">
        <v>1.5119</v>
      </c>
      <c r="AK868" s="315">
        <v>1.6040000000000001</v>
      </c>
      <c r="AL868" s="315">
        <v>1.7627999999999999</v>
      </c>
      <c r="AM868" s="315">
        <v>2.2069000000000001</v>
      </c>
      <c r="AN868" s="315">
        <v>0</v>
      </c>
      <c r="AO868" s="315">
        <v>1.9668000000000001</v>
      </c>
      <c r="AP868" s="315">
        <v>2.2850999999999999</v>
      </c>
      <c r="AQ868" s="315">
        <v>1.7317</v>
      </c>
      <c r="AR868" s="315">
        <v>1.8597999999999999</v>
      </c>
      <c r="AS868" s="315">
        <v>1.4973000000000001</v>
      </c>
      <c r="AT868" s="315">
        <v>2.0958000000000001</v>
      </c>
      <c r="AU868" s="315">
        <v>2.0962000000000001</v>
      </c>
      <c r="AV868" s="315">
        <v>2.0059999999999998</v>
      </c>
      <c r="AW868" s="315">
        <v>1.9319</v>
      </c>
      <c r="AX868" s="315">
        <v>1.4854000000000001</v>
      </c>
      <c r="AY868" s="315">
        <v>1.9439</v>
      </c>
      <c r="AZ868" s="315">
        <v>2.1918000000000002</v>
      </c>
      <c r="BA868" s="315">
        <v>1.5056</v>
      </c>
      <c r="BB868" s="315">
        <v>1.3245</v>
      </c>
      <c r="BC868" s="315">
        <v>2.0886</v>
      </c>
      <c r="BD868" s="315">
        <v>2.2233000000000001</v>
      </c>
      <c r="BE868" s="315">
        <v>2.4660000000000002</v>
      </c>
      <c r="BF868" s="315">
        <v>2.1006</v>
      </c>
      <c r="BG868" s="315">
        <v>2.2136999999999998</v>
      </c>
      <c r="BH868" s="315">
        <v>2.1206999999999998</v>
      </c>
      <c r="BI868" s="315">
        <v>2.1634000000000002</v>
      </c>
      <c r="BJ868" s="315">
        <v>1.8966000000000001</v>
      </c>
      <c r="BK868" s="315">
        <v>2.2738999999999998</v>
      </c>
    </row>
    <row r="869" spans="1:63" x14ac:dyDescent="0.25">
      <c r="A869" s="306">
        <v>311340</v>
      </c>
      <c r="B869" s="315" t="s">
        <v>36</v>
      </c>
      <c r="C869" s="315">
        <v>3.3056999999999999</v>
      </c>
      <c r="D869" s="315">
        <v>1.3429</v>
      </c>
      <c r="E869" s="315">
        <v>2.0922999999999998</v>
      </c>
      <c r="F869" s="315">
        <v>2.1036999999999999</v>
      </c>
      <c r="G869" s="315">
        <v>1.724</v>
      </c>
      <c r="H869" s="315">
        <v>2.1898</v>
      </c>
      <c r="I869" s="315">
        <v>1.9961</v>
      </c>
      <c r="J869" s="315">
        <v>1.9529000000000001</v>
      </c>
      <c r="K869" s="315">
        <v>0</v>
      </c>
      <c r="L869" s="315">
        <v>1.7754000000000001</v>
      </c>
      <c r="M869" s="315">
        <v>1.8836999999999999</v>
      </c>
      <c r="N869" s="315">
        <v>2.4277000000000002</v>
      </c>
      <c r="O869" s="315">
        <v>1.7272000000000001</v>
      </c>
      <c r="P869" s="315">
        <v>1.9174</v>
      </c>
      <c r="Q869" s="315">
        <v>1.6657</v>
      </c>
      <c r="R869" s="315">
        <v>2.5615000000000001</v>
      </c>
      <c r="S869" s="315">
        <v>2.3136999999999999</v>
      </c>
      <c r="T869" s="315">
        <v>1.8986000000000001</v>
      </c>
      <c r="U869" s="315">
        <v>2.2450999999999999</v>
      </c>
      <c r="V869" s="315">
        <v>2.1023999999999998</v>
      </c>
      <c r="W869" s="315">
        <v>2.0125999999999999</v>
      </c>
      <c r="X869" s="315">
        <v>1.8179000000000001</v>
      </c>
      <c r="Y869" s="315">
        <v>1.8191999999999999</v>
      </c>
      <c r="Z869" s="315">
        <v>2.1396000000000002</v>
      </c>
      <c r="AA869" s="315">
        <v>2.3698000000000001</v>
      </c>
      <c r="AB869" s="315">
        <v>2.3963999999999999</v>
      </c>
      <c r="AC869" s="315">
        <v>1.9128000000000001</v>
      </c>
      <c r="AD869" s="315">
        <v>1.5727</v>
      </c>
      <c r="AE869" s="315">
        <v>2.1734</v>
      </c>
      <c r="AF869" s="315">
        <v>0</v>
      </c>
      <c r="AG869" s="315">
        <v>1.8075000000000001</v>
      </c>
      <c r="AH869" s="315">
        <v>1.8787</v>
      </c>
      <c r="AI869" s="315">
        <v>2.161</v>
      </c>
      <c r="AJ869" s="315">
        <v>1.5001</v>
      </c>
      <c r="AK869" s="315">
        <v>1.6536999999999999</v>
      </c>
      <c r="AL869" s="315">
        <v>1.8137000000000001</v>
      </c>
      <c r="AM869" s="315">
        <v>2.4849000000000001</v>
      </c>
      <c r="AN869" s="315">
        <v>1.891</v>
      </c>
      <c r="AO869" s="315">
        <v>1.9857</v>
      </c>
      <c r="AP869" s="315">
        <v>2.2757999999999998</v>
      </c>
      <c r="AQ869" s="315">
        <v>0</v>
      </c>
      <c r="AR869" s="315">
        <v>2.0531000000000001</v>
      </c>
      <c r="AS869" s="315">
        <v>1.6636</v>
      </c>
      <c r="AT869" s="315">
        <v>2.2887</v>
      </c>
      <c r="AU869" s="315">
        <v>2.2715999999999998</v>
      </c>
      <c r="AV869" s="315">
        <v>2.0156999999999998</v>
      </c>
      <c r="AW869" s="315">
        <v>2.0400999999999998</v>
      </c>
      <c r="AX869" s="315">
        <v>1.4859</v>
      </c>
      <c r="AY869" s="315">
        <v>2.0017</v>
      </c>
      <c r="AZ869" s="315">
        <v>2.1635</v>
      </c>
      <c r="BA869" s="315">
        <v>1.6538999999999999</v>
      </c>
      <c r="BB869" s="315">
        <v>1.3949</v>
      </c>
      <c r="BC869" s="315">
        <v>2.1160999999999999</v>
      </c>
      <c r="BD869" s="315">
        <v>2.2471000000000001</v>
      </c>
      <c r="BE869" s="315">
        <v>2.6884000000000001</v>
      </c>
      <c r="BF869" s="315">
        <v>2.4083000000000001</v>
      </c>
      <c r="BG869" s="315">
        <v>2.3675000000000002</v>
      </c>
      <c r="BH869" s="315">
        <v>2.4243000000000001</v>
      </c>
      <c r="BI869" s="315">
        <v>2.4081999999999999</v>
      </c>
      <c r="BJ869" s="315">
        <v>1.9320999999999999</v>
      </c>
      <c r="BK869" s="315">
        <v>2.2201</v>
      </c>
    </row>
    <row r="870" spans="1:63" x14ac:dyDescent="0.25">
      <c r="A870" s="306">
        <v>311410</v>
      </c>
      <c r="B870" s="315" t="s">
        <v>37</v>
      </c>
      <c r="C870" s="315">
        <v>3.4611999999999998</v>
      </c>
      <c r="D870" s="315">
        <v>0</v>
      </c>
      <c r="E870" s="315">
        <v>0</v>
      </c>
      <c r="F870" s="315">
        <v>2.3614999999999999</v>
      </c>
      <c r="G870" s="315">
        <v>1.823</v>
      </c>
      <c r="H870" s="315">
        <v>2.3605999999999998</v>
      </c>
      <c r="I870" s="315">
        <v>2.3738000000000001</v>
      </c>
      <c r="J870" s="315">
        <v>1.8143</v>
      </c>
      <c r="K870" s="315">
        <v>0</v>
      </c>
      <c r="L870" s="315">
        <v>1.9187000000000001</v>
      </c>
      <c r="M870" s="315">
        <v>1.9849000000000001</v>
      </c>
      <c r="N870" s="315">
        <v>2.4062999999999999</v>
      </c>
      <c r="O870" s="315">
        <v>1.752</v>
      </c>
      <c r="P870" s="315">
        <v>2.1328</v>
      </c>
      <c r="Q870" s="315">
        <v>2.1387</v>
      </c>
      <c r="R870" s="315">
        <v>2.5093999999999999</v>
      </c>
      <c r="S870" s="315">
        <v>2.2881</v>
      </c>
      <c r="T870" s="315">
        <v>2.0609999999999999</v>
      </c>
      <c r="U870" s="315">
        <v>2.456</v>
      </c>
      <c r="V870" s="315">
        <v>2.0752999999999999</v>
      </c>
      <c r="W870" s="315">
        <v>1.9037999999999999</v>
      </c>
      <c r="X870" s="315">
        <v>1.7771999999999999</v>
      </c>
      <c r="Y870" s="315">
        <v>2.0173000000000001</v>
      </c>
      <c r="Z870" s="315">
        <v>2.3426</v>
      </c>
      <c r="AA870" s="315">
        <v>2.6774</v>
      </c>
      <c r="AB870" s="315">
        <v>2.5935999999999999</v>
      </c>
      <c r="AC870" s="315">
        <v>2.1303999999999998</v>
      </c>
      <c r="AD870" s="315">
        <v>0</v>
      </c>
      <c r="AE870" s="315">
        <v>2.2778999999999998</v>
      </c>
      <c r="AF870" s="315">
        <v>1.8499000000000001</v>
      </c>
      <c r="AG870" s="315">
        <v>2.0121000000000002</v>
      </c>
      <c r="AH870" s="315">
        <v>1.7125999999999999</v>
      </c>
      <c r="AI870" s="315">
        <v>2.0794999999999999</v>
      </c>
      <c r="AJ870" s="315">
        <v>1.8348</v>
      </c>
      <c r="AK870" s="315">
        <v>1.6724000000000001</v>
      </c>
      <c r="AL870" s="315">
        <v>1.8556999999999999</v>
      </c>
      <c r="AM870" s="315">
        <v>2.4550999999999998</v>
      </c>
      <c r="AN870" s="315">
        <v>2.1383999999999999</v>
      </c>
      <c r="AO870" s="315">
        <v>2.3046000000000002</v>
      </c>
      <c r="AP870" s="315">
        <v>2.3963000000000001</v>
      </c>
      <c r="AQ870" s="315">
        <v>1.7503</v>
      </c>
      <c r="AR870" s="315">
        <v>2.2017000000000002</v>
      </c>
      <c r="AS870" s="315">
        <v>1.9702</v>
      </c>
      <c r="AT870" s="315">
        <v>2.3700999999999999</v>
      </c>
      <c r="AU870" s="315">
        <v>2.3733</v>
      </c>
      <c r="AV870" s="315">
        <v>2.3786</v>
      </c>
      <c r="AW870" s="315">
        <v>2.0525000000000002</v>
      </c>
      <c r="AX870" s="315">
        <v>1.6494</v>
      </c>
      <c r="AY870" s="315">
        <v>2.2416999999999998</v>
      </c>
      <c r="AZ870" s="315">
        <v>2.6023000000000001</v>
      </c>
      <c r="BA870" s="315">
        <v>1.6416999999999999</v>
      </c>
      <c r="BB870" s="315">
        <v>0</v>
      </c>
      <c r="BC870" s="315">
        <v>2.0074000000000001</v>
      </c>
      <c r="BD870" s="315">
        <v>2.1943000000000001</v>
      </c>
      <c r="BE870" s="315">
        <v>2.7168999999999999</v>
      </c>
      <c r="BF870" s="315">
        <v>2.6537999999999999</v>
      </c>
      <c r="BG870" s="315">
        <v>2.4215</v>
      </c>
      <c r="BH870" s="315">
        <v>2.4820000000000002</v>
      </c>
      <c r="BI870" s="315">
        <v>2.5798999999999999</v>
      </c>
      <c r="BJ870" s="315">
        <v>2.3818000000000001</v>
      </c>
      <c r="BK870" s="315">
        <v>2.4047999999999998</v>
      </c>
    </row>
    <row r="871" spans="1:63" x14ac:dyDescent="0.25">
      <c r="A871" s="306">
        <v>311420</v>
      </c>
      <c r="B871" s="315" t="s">
        <v>38</v>
      </c>
      <c r="C871" s="315">
        <v>3.1536</v>
      </c>
      <c r="D871" s="315">
        <v>0</v>
      </c>
      <c r="E871" s="315">
        <v>1.9517</v>
      </c>
      <c r="F871" s="315">
        <v>2.1269</v>
      </c>
      <c r="G871" s="315">
        <v>1.8176000000000001</v>
      </c>
      <c r="H871" s="315">
        <v>2.3260999999999998</v>
      </c>
      <c r="I871" s="315">
        <v>2.1438000000000001</v>
      </c>
      <c r="J871" s="315">
        <v>1.8608</v>
      </c>
      <c r="K871" s="315">
        <v>0</v>
      </c>
      <c r="L871" s="315">
        <v>1.6892</v>
      </c>
      <c r="M871" s="315">
        <v>2.0207999999999999</v>
      </c>
      <c r="N871" s="315">
        <v>2.3580999999999999</v>
      </c>
      <c r="O871" s="315">
        <v>1.8152999999999999</v>
      </c>
      <c r="P871" s="315">
        <v>1.8464</v>
      </c>
      <c r="Q871" s="315">
        <v>1.8079000000000001</v>
      </c>
      <c r="R871" s="315">
        <v>2.3561000000000001</v>
      </c>
      <c r="S871" s="315">
        <v>2.2242999999999999</v>
      </c>
      <c r="T871" s="315">
        <v>1.8186</v>
      </c>
      <c r="U871" s="315">
        <v>2.1604000000000001</v>
      </c>
      <c r="V871" s="315">
        <v>1.9265000000000001</v>
      </c>
      <c r="W871" s="315">
        <v>1.9406000000000001</v>
      </c>
      <c r="X871" s="315">
        <v>1.8046</v>
      </c>
      <c r="Y871" s="315">
        <v>1.8968</v>
      </c>
      <c r="Z871" s="315">
        <v>2.198</v>
      </c>
      <c r="AA871" s="315">
        <v>2.3260999999999998</v>
      </c>
      <c r="AB871" s="315">
        <v>2.3029000000000002</v>
      </c>
      <c r="AC871" s="315">
        <v>1.8831</v>
      </c>
      <c r="AD871" s="315">
        <v>1.4994000000000001</v>
      </c>
      <c r="AE871" s="315">
        <v>2.1743000000000001</v>
      </c>
      <c r="AF871" s="315">
        <v>1.5707</v>
      </c>
      <c r="AG871" s="315">
        <v>1.6577999999999999</v>
      </c>
      <c r="AH871" s="315">
        <v>1.6571</v>
      </c>
      <c r="AI871" s="315">
        <v>2.2339000000000002</v>
      </c>
      <c r="AJ871" s="315">
        <v>1.6659999999999999</v>
      </c>
      <c r="AK871" s="315">
        <v>1.6915</v>
      </c>
      <c r="AL871" s="315">
        <v>1.8257000000000001</v>
      </c>
      <c r="AM871" s="315">
        <v>2.4241000000000001</v>
      </c>
      <c r="AN871" s="315">
        <v>1.9115</v>
      </c>
      <c r="AO871" s="315">
        <v>2.1709999999999998</v>
      </c>
      <c r="AP871" s="315">
        <v>2.4009999999999998</v>
      </c>
      <c r="AQ871" s="315">
        <v>1.8113999999999999</v>
      </c>
      <c r="AR871" s="315">
        <v>2.0425</v>
      </c>
      <c r="AS871" s="315">
        <v>0</v>
      </c>
      <c r="AT871" s="315">
        <v>2.1800000000000002</v>
      </c>
      <c r="AU871" s="315">
        <v>2.1577999999999999</v>
      </c>
      <c r="AV871" s="315">
        <v>2.0516999999999999</v>
      </c>
      <c r="AW871" s="315">
        <v>2.0335000000000001</v>
      </c>
      <c r="AX871" s="315">
        <v>1.6008</v>
      </c>
      <c r="AY871" s="315">
        <v>2.1560999999999999</v>
      </c>
      <c r="AZ871" s="315">
        <v>2.3109999999999999</v>
      </c>
      <c r="BA871" s="315">
        <v>1.6536999999999999</v>
      </c>
      <c r="BB871" s="315">
        <v>0</v>
      </c>
      <c r="BC871" s="315">
        <v>2.0308000000000002</v>
      </c>
      <c r="BD871" s="315">
        <v>2.2656999999999998</v>
      </c>
      <c r="BE871" s="315">
        <v>2.5550999999999999</v>
      </c>
      <c r="BF871" s="315">
        <v>2.2900999999999998</v>
      </c>
      <c r="BG871" s="315">
        <v>2.4180000000000001</v>
      </c>
      <c r="BH871" s="315">
        <v>2.2938999999999998</v>
      </c>
      <c r="BI871" s="315">
        <v>2.2852999999999999</v>
      </c>
      <c r="BJ871" s="315">
        <v>2.1351</v>
      </c>
      <c r="BK871" s="315">
        <v>2.3456000000000001</v>
      </c>
    </row>
    <row r="872" spans="1:63" x14ac:dyDescent="0.25">
      <c r="A872" s="306">
        <v>311513</v>
      </c>
      <c r="B872" s="315" t="s">
        <v>40</v>
      </c>
      <c r="C872" s="315">
        <v>3.9049</v>
      </c>
      <c r="D872" s="315">
        <v>0</v>
      </c>
      <c r="E872" s="315">
        <v>1.6751</v>
      </c>
      <c r="F872" s="315">
        <v>1.7444</v>
      </c>
      <c r="G872" s="315">
        <v>0</v>
      </c>
      <c r="H872" s="315">
        <v>3.0951</v>
      </c>
      <c r="I872" s="315">
        <v>2.8662999999999998</v>
      </c>
      <c r="J872" s="315">
        <v>1.6727000000000001</v>
      </c>
      <c r="K872" s="315">
        <v>0</v>
      </c>
      <c r="L872" s="315">
        <v>0</v>
      </c>
      <c r="M872" s="315">
        <v>1.6909000000000001</v>
      </c>
      <c r="N872" s="315">
        <v>1.9816</v>
      </c>
      <c r="O872" s="315">
        <v>1.4665999999999999</v>
      </c>
      <c r="P872" s="315">
        <v>2.673</v>
      </c>
      <c r="Q872" s="315">
        <v>2.7564000000000002</v>
      </c>
      <c r="R872" s="315">
        <v>2.2437</v>
      </c>
      <c r="S872" s="315">
        <v>2.7094</v>
      </c>
      <c r="T872" s="315">
        <v>0</v>
      </c>
      <c r="U872" s="315">
        <v>2.4512999999999998</v>
      </c>
      <c r="V872" s="315">
        <v>1.7215</v>
      </c>
      <c r="W872" s="315">
        <v>1.6155999999999999</v>
      </c>
      <c r="X872" s="315">
        <v>1.7094</v>
      </c>
      <c r="Y872" s="315">
        <v>2.2475000000000001</v>
      </c>
      <c r="Z872" s="315">
        <v>2.6720999999999999</v>
      </c>
      <c r="AA872" s="315">
        <v>3.1758000000000002</v>
      </c>
      <c r="AB872" s="315">
        <v>2.6267</v>
      </c>
      <c r="AC872" s="315">
        <v>0</v>
      </c>
      <c r="AD872" s="315">
        <v>0</v>
      </c>
      <c r="AE872" s="315">
        <v>1.9207000000000001</v>
      </c>
      <c r="AF872" s="315">
        <v>2.0074999999999998</v>
      </c>
      <c r="AG872" s="315">
        <v>2.1637</v>
      </c>
      <c r="AH872" s="315">
        <v>0</v>
      </c>
      <c r="AI872" s="315">
        <v>1.84</v>
      </c>
      <c r="AJ872" s="315">
        <v>2.6223999999999998</v>
      </c>
      <c r="AK872" s="315">
        <v>0</v>
      </c>
      <c r="AL872" s="315">
        <v>2.2538999999999998</v>
      </c>
      <c r="AM872" s="315">
        <v>2.7517</v>
      </c>
      <c r="AN872" s="315">
        <v>1.9558</v>
      </c>
      <c r="AO872" s="315">
        <v>2.8500999999999999</v>
      </c>
      <c r="AP872" s="315">
        <v>3.0878000000000001</v>
      </c>
      <c r="AQ872" s="315">
        <v>1.5786</v>
      </c>
      <c r="AR872" s="315">
        <v>1.6934</v>
      </c>
      <c r="AS872" s="315">
        <v>2.6341999999999999</v>
      </c>
      <c r="AT872" s="315">
        <v>2.0146000000000002</v>
      </c>
      <c r="AU872" s="315">
        <v>2.2210000000000001</v>
      </c>
      <c r="AV872" s="315">
        <v>3.1747000000000001</v>
      </c>
      <c r="AW872" s="315">
        <v>0</v>
      </c>
      <c r="AX872" s="315">
        <v>2.6499000000000001</v>
      </c>
      <c r="AY872" s="315">
        <v>2.464</v>
      </c>
      <c r="AZ872" s="315">
        <v>3.0981000000000001</v>
      </c>
      <c r="BA872" s="315">
        <v>0</v>
      </c>
      <c r="BB872" s="315">
        <v>0</v>
      </c>
      <c r="BC872" s="315">
        <v>1.9988999999999999</v>
      </c>
      <c r="BD872" s="315">
        <v>2.6013999999999999</v>
      </c>
      <c r="BE872" s="315">
        <v>3.3972000000000002</v>
      </c>
      <c r="BF872" s="315">
        <v>3.2444999999999999</v>
      </c>
      <c r="BG872" s="315">
        <v>1.9553</v>
      </c>
      <c r="BH872" s="315">
        <v>2.1042000000000001</v>
      </c>
      <c r="BI872" s="315">
        <v>2.2101000000000002</v>
      </c>
      <c r="BJ872" s="315">
        <v>3.0973999999999999</v>
      </c>
      <c r="BK872" s="315">
        <v>3.1225999999999998</v>
      </c>
    </row>
    <row r="873" spans="1:63" x14ac:dyDescent="0.25">
      <c r="A873" s="306">
        <v>311514</v>
      </c>
      <c r="B873" s="315" t="s">
        <v>41</v>
      </c>
      <c r="C873" s="315">
        <v>3.5855999999999999</v>
      </c>
      <c r="D873" s="315">
        <v>0</v>
      </c>
      <c r="E873" s="315">
        <v>0</v>
      </c>
      <c r="F873" s="315">
        <v>1.8599000000000001</v>
      </c>
      <c r="G873" s="315">
        <v>2.2538</v>
      </c>
      <c r="H873" s="315">
        <v>2.6804999999999999</v>
      </c>
      <c r="I873" s="315">
        <v>2.3929999999999998</v>
      </c>
      <c r="J873" s="315">
        <v>0</v>
      </c>
      <c r="K873" s="315">
        <v>0</v>
      </c>
      <c r="L873" s="315">
        <v>0</v>
      </c>
      <c r="M873" s="315">
        <v>1.7518</v>
      </c>
      <c r="N873" s="315">
        <v>2.0825</v>
      </c>
      <c r="O873" s="315">
        <v>0</v>
      </c>
      <c r="P873" s="315">
        <v>2.4104000000000001</v>
      </c>
      <c r="Q873" s="315">
        <v>2.2988</v>
      </c>
      <c r="R873" s="315">
        <v>2.3197999999999999</v>
      </c>
      <c r="S873" s="315">
        <v>2.5851000000000002</v>
      </c>
      <c r="T873" s="315">
        <v>2.2454000000000001</v>
      </c>
      <c r="U873" s="315">
        <v>2.3673000000000002</v>
      </c>
      <c r="V873" s="315">
        <v>1.8564000000000001</v>
      </c>
      <c r="W873" s="315">
        <v>1.7554000000000001</v>
      </c>
      <c r="X873" s="315">
        <v>1.7751999999999999</v>
      </c>
      <c r="Y873" s="315">
        <v>0</v>
      </c>
      <c r="Z873" s="315">
        <v>2.5949</v>
      </c>
      <c r="AA873" s="315">
        <v>2.835</v>
      </c>
      <c r="AB873" s="315">
        <v>2.4733000000000001</v>
      </c>
      <c r="AC873" s="315">
        <v>0</v>
      </c>
      <c r="AD873" s="315">
        <v>0</v>
      </c>
      <c r="AE873" s="315">
        <v>0</v>
      </c>
      <c r="AF873" s="315">
        <v>0</v>
      </c>
      <c r="AG873" s="315">
        <v>1.9872000000000001</v>
      </c>
      <c r="AH873" s="315">
        <v>0</v>
      </c>
      <c r="AI873" s="315">
        <v>1.9449000000000001</v>
      </c>
      <c r="AJ873" s="315">
        <v>2.1107</v>
      </c>
      <c r="AK873" s="315">
        <v>0</v>
      </c>
      <c r="AL873" s="315">
        <v>2.0455999999999999</v>
      </c>
      <c r="AM873" s="315">
        <v>2.7345000000000002</v>
      </c>
      <c r="AN873" s="315">
        <v>2.0038999999999998</v>
      </c>
      <c r="AO873" s="315">
        <v>2.4106999999999998</v>
      </c>
      <c r="AP873" s="315">
        <v>2.6825999999999999</v>
      </c>
      <c r="AQ873" s="315">
        <v>0</v>
      </c>
      <c r="AR873" s="315">
        <v>0</v>
      </c>
      <c r="AS873" s="315">
        <v>2.2017000000000002</v>
      </c>
      <c r="AT873" s="315">
        <v>2.2153</v>
      </c>
      <c r="AU873" s="315">
        <v>2.3184999999999998</v>
      </c>
      <c r="AV873" s="315">
        <v>2.7473000000000001</v>
      </c>
      <c r="AW873" s="315">
        <v>2.1107999999999998</v>
      </c>
      <c r="AX873" s="315">
        <v>2.2164000000000001</v>
      </c>
      <c r="AY873" s="315">
        <v>2.5009000000000001</v>
      </c>
      <c r="AZ873" s="315">
        <v>2.7267000000000001</v>
      </c>
      <c r="BA873" s="315">
        <v>0</v>
      </c>
      <c r="BB873" s="315">
        <v>0</v>
      </c>
      <c r="BC873" s="315">
        <v>2.0718999999999999</v>
      </c>
      <c r="BD873" s="315">
        <v>2.4169999999999998</v>
      </c>
      <c r="BE873" s="315">
        <v>3.0950000000000002</v>
      </c>
      <c r="BF873" s="315">
        <v>2.8986999999999998</v>
      </c>
      <c r="BG873" s="315">
        <v>2.1204000000000001</v>
      </c>
      <c r="BH873" s="315">
        <v>2.3111000000000002</v>
      </c>
      <c r="BI873" s="315">
        <v>2.3372999999999999</v>
      </c>
      <c r="BJ873" s="315">
        <v>2.6190000000000002</v>
      </c>
      <c r="BK873" s="315">
        <v>2.7021999999999999</v>
      </c>
    </row>
    <row r="874" spans="1:63" x14ac:dyDescent="0.25">
      <c r="A874" s="306" t="s">
        <v>706</v>
      </c>
      <c r="B874" s="315" t="s">
        <v>39</v>
      </c>
      <c r="C874" s="315">
        <v>3.5118</v>
      </c>
      <c r="D874" s="315">
        <v>0</v>
      </c>
      <c r="E874" s="315">
        <v>1.8190999999999999</v>
      </c>
      <c r="F874" s="315">
        <v>1.8093999999999999</v>
      </c>
      <c r="G874" s="315">
        <v>2.2633999999999999</v>
      </c>
      <c r="H874" s="315">
        <v>2.7418999999999998</v>
      </c>
      <c r="I874" s="315">
        <v>2.5489000000000002</v>
      </c>
      <c r="J874" s="315">
        <v>1.7297</v>
      </c>
      <c r="K874" s="315">
        <v>0</v>
      </c>
      <c r="L874" s="315">
        <v>1.5805</v>
      </c>
      <c r="M874" s="315">
        <v>1.7813000000000001</v>
      </c>
      <c r="N874" s="315">
        <v>2.0082</v>
      </c>
      <c r="O874" s="315">
        <v>1.5896999999999999</v>
      </c>
      <c r="P874" s="315">
        <v>2.4660000000000002</v>
      </c>
      <c r="Q874" s="315">
        <v>2.4096000000000002</v>
      </c>
      <c r="R874" s="315">
        <v>2.1648000000000001</v>
      </c>
      <c r="S874" s="315">
        <v>2.6968000000000001</v>
      </c>
      <c r="T874" s="315">
        <v>2.3948999999999998</v>
      </c>
      <c r="U874" s="315">
        <v>2.3613</v>
      </c>
      <c r="V874" s="315">
        <v>1.8601000000000001</v>
      </c>
      <c r="W874" s="315">
        <v>1.7824</v>
      </c>
      <c r="X874" s="315">
        <v>1.7870999999999999</v>
      </c>
      <c r="Y874" s="315">
        <v>2.4171999999999998</v>
      </c>
      <c r="Z874" s="315">
        <v>2.6427999999999998</v>
      </c>
      <c r="AA874" s="315">
        <v>2.8012000000000001</v>
      </c>
      <c r="AB874" s="315">
        <v>2.2991999999999999</v>
      </c>
      <c r="AC874" s="315">
        <v>1.8202</v>
      </c>
      <c r="AD874" s="315">
        <v>1.8880999999999999</v>
      </c>
      <c r="AE874" s="315">
        <v>2.0160999999999998</v>
      </c>
      <c r="AF874" s="315">
        <v>2.0996000000000001</v>
      </c>
      <c r="AG874" s="315">
        <v>2.1038000000000001</v>
      </c>
      <c r="AH874" s="315">
        <v>1.9136</v>
      </c>
      <c r="AI874" s="315">
        <v>1.8163</v>
      </c>
      <c r="AJ874" s="315">
        <v>2.2563</v>
      </c>
      <c r="AK874" s="315">
        <v>1.7903</v>
      </c>
      <c r="AL874" s="315">
        <v>2.1372</v>
      </c>
      <c r="AM874" s="315">
        <v>2.6907000000000001</v>
      </c>
      <c r="AN874" s="315">
        <v>2.0476999999999999</v>
      </c>
      <c r="AO874" s="315">
        <v>2.5369999999999999</v>
      </c>
      <c r="AP874" s="315">
        <v>2.8014000000000001</v>
      </c>
      <c r="AQ874" s="315">
        <v>1.6279999999999999</v>
      </c>
      <c r="AR874" s="315">
        <v>1.8164</v>
      </c>
      <c r="AS874" s="315">
        <v>2.2755999999999998</v>
      </c>
      <c r="AT874" s="315">
        <v>2.0857000000000001</v>
      </c>
      <c r="AU874" s="315">
        <v>2.2692999999999999</v>
      </c>
      <c r="AV874" s="315">
        <v>2.7896000000000001</v>
      </c>
      <c r="AW874" s="315">
        <v>2.0413999999999999</v>
      </c>
      <c r="AX874" s="315">
        <v>2.3077999999999999</v>
      </c>
      <c r="AY874" s="315">
        <v>2.6095999999999999</v>
      </c>
      <c r="AZ874" s="315">
        <v>2.7341000000000002</v>
      </c>
      <c r="BA874" s="315">
        <v>1.6194</v>
      </c>
      <c r="BB874" s="315">
        <v>1.4621</v>
      </c>
      <c r="BC874" s="315">
        <v>2.1156000000000001</v>
      </c>
      <c r="BD874" s="315">
        <v>2.4815999999999998</v>
      </c>
      <c r="BE874" s="315">
        <v>3.0249000000000001</v>
      </c>
      <c r="BF874" s="315">
        <v>2.8544</v>
      </c>
      <c r="BG874" s="315">
        <v>2.0762</v>
      </c>
      <c r="BH874" s="315">
        <v>2.1880000000000002</v>
      </c>
      <c r="BI874" s="315">
        <v>2.2864</v>
      </c>
      <c r="BJ874" s="315">
        <v>2.7092000000000001</v>
      </c>
      <c r="BK874" s="315">
        <v>2.7744</v>
      </c>
    </row>
    <row r="875" spans="1:63" x14ac:dyDescent="0.25">
      <c r="A875" s="306">
        <v>311520</v>
      </c>
      <c r="B875" s="315" t="s">
        <v>42</v>
      </c>
      <c r="C875" s="315">
        <v>3.3957999999999999</v>
      </c>
      <c r="D875" s="315">
        <v>1.34</v>
      </c>
      <c r="E875" s="315">
        <v>2.0948000000000002</v>
      </c>
      <c r="F875" s="315">
        <v>2.0537999999999998</v>
      </c>
      <c r="G875" s="315">
        <v>1.8405</v>
      </c>
      <c r="H875" s="315">
        <v>2.4918999999999998</v>
      </c>
      <c r="I875" s="315">
        <v>2.2273000000000001</v>
      </c>
      <c r="J875" s="315">
        <v>1.9343999999999999</v>
      </c>
      <c r="K875" s="315">
        <v>0</v>
      </c>
      <c r="L875" s="315">
        <v>0</v>
      </c>
      <c r="M875" s="315">
        <v>1.891</v>
      </c>
      <c r="N875" s="315">
        <v>2.2334000000000001</v>
      </c>
      <c r="O875" s="315">
        <v>1.7982</v>
      </c>
      <c r="P875" s="315">
        <v>2.1280999999999999</v>
      </c>
      <c r="Q875" s="315">
        <v>0</v>
      </c>
      <c r="R875" s="315">
        <v>2.3938000000000001</v>
      </c>
      <c r="S875" s="315">
        <v>2.4148000000000001</v>
      </c>
      <c r="T875" s="315">
        <v>0</v>
      </c>
      <c r="U875" s="315">
        <v>2.3607999999999998</v>
      </c>
      <c r="V875" s="315">
        <v>0</v>
      </c>
      <c r="W875" s="315">
        <v>2.1046999999999998</v>
      </c>
      <c r="X875" s="315">
        <v>1.9678</v>
      </c>
      <c r="Y875" s="315">
        <v>2.0474000000000001</v>
      </c>
      <c r="Z875" s="315">
        <v>2.4155000000000002</v>
      </c>
      <c r="AA875" s="315">
        <v>2.5131999999999999</v>
      </c>
      <c r="AB875" s="315">
        <v>2.4300000000000002</v>
      </c>
      <c r="AC875" s="315">
        <v>1.8738999999999999</v>
      </c>
      <c r="AD875" s="315">
        <v>1.6392</v>
      </c>
      <c r="AE875" s="315">
        <v>2.0861999999999998</v>
      </c>
      <c r="AF875" s="315">
        <v>0</v>
      </c>
      <c r="AG875" s="315">
        <v>1.8648</v>
      </c>
      <c r="AH875" s="315">
        <v>1.9036</v>
      </c>
      <c r="AI875" s="315">
        <v>2.1303999999999998</v>
      </c>
      <c r="AJ875" s="315">
        <v>0</v>
      </c>
      <c r="AK875" s="315">
        <v>1.7717000000000001</v>
      </c>
      <c r="AL875" s="315">
        <v>1.9877</v>
      </c>
      <c r="AM875" s="315">
        <v>2.6556000000000002</v>
      </c>
      <c r="AN875" s="315">
        <v>1.9214</v>
      </c>
      <c r="AO875" s="315">
        <v>2.2829999999999999</v>
      </c>
      <c r="AP875" s="315">
        <v>2.5834999999999999</v>
      </c>
      <c r="AQ875" s="315">
        <v>1.8077000000000001</v>
      </c>
      <c r="AR875" s="315">
        <v>1.9999</v>
      </c>
      <c r="AS875" s="315">
        <v>1.8281000000000001</v>
      </c>
      <c r="AT875" s="315">
        <v>2.2991000000000001</v>
      </c>
      <c r="AU875" s="315">
        <v>2.2696999999999998</v>
      </c>
      <c r="AV875" s="315">
        <v>2.4693999999999998</v>
      </c>
      <c r="AW875" s="315">
        <v>2.1372</v>
      </c>
      <c r="AX875" s="315">
        <v>1.8943000000000001</v>
      </c>
      <c r="AY875" s="315">
        <v>2.2170000000000001</v>
      </c>
      <c r="AZ875" s="315">
        <v>2.5055000000000001</v>
      </c>
      <c r="BA875" s="315">
        <v>1.6125</v>
      </c>
      <c r="BB875" s="315">
        <v>0</v>
      </c>
      <c r="BC875" s="315">
        <v>2.2728999999999999</v>
      </c>
      <c r="BD875" s="315">
        <v>2.423</v>
      </c>
      <c r="BE875" s="315">
        <v>2.8380999999999998</v>
      </c>
      <c r="BF875" s="315">
        <v>2.5589</v>
      </c>
      <c r="BG875" s="315">
        <v>2.3685999999999998</v>
      </c>
      <c r="BH875" s="315">
        <v>2.4310999999999998</v>
      </c>
      <c r="BI875" s="315">
        <v>2.3542000000000001</v>
      </c>
      <c r="BJ875" s="315">
        <v>2.2517</v>
      </c>
      <c r="BK875" s="315">
        <v>2.5194000000000001</v>
      </c>
    </row>
    <row r="876" spans="1:63" x14ac:dyDescent="0.25">
      <c r="A876" s="306">
        <v>311615</v>
      </c>
      <c r="B876" s="315" t="s">
        <v>44</v>
      </c>
      <c r="C876" s="315">
        <v>4.0773999999999999</v>
      </c>
      <c r="D876" s="315">
        <v>1.3548</v>
      </c>
      <c r="E876" s="315">
        <v>2.8403999999999998</v>
      </c>
      <c r="F876" s="315">
        <v>3.0615999999999999</v>
      </c>
      <c r="G876" s="315">
        <v>1.6261000000000001</v>
      </c>
      <c r="H876" s="315">
        <v>2.0623</v>
      </c>
      <c r="I876" s="315">
        <v>2.0804</v>
      </c>
      <c r="J876" s="315">
        <v>1.7233000000000001</v>
      </c>
      <c r="K876" s="315">
        <v>0</v>
      </c>
      <c r="L876" s="315">
        <v>2.5219999999999998</v>
      </c>
      <c r="M876" s="315">
        <v>1.7482</v>
      </c>
      <c r="N876" s="315">
        <v>3.1838000000000002</v>
      </c>
      <c r="O876" s="315">
        <v>1.5587</v>
      </c>
      <c r="P876" s="315">
        <v>2.7867999999999999</v>
      </c>
      <c r="Q876" s="315">
        <v>1.5773999999999999</v>
      </c>
      <c r="R876" s="315">
        <v>2.0508000000000002</v>
      </c>
      <c r="S876" s="315">
        <v>3.0457999999999998</v>
      </c>
      <c r="T876" s="315">
        <v>1.7210000000000001</v>
      </c>
      <c r="U876" s="315">
        <v>3.19</v>
      </c>
      <c r="V876" s="315">
        <v>2.7976000000000001</v>
      </c>
      <c r="W876" s="315">
        <v>1.7363</v>
      </c>
      <c r="X876" s="315">
        <v>2.3584999999999998</v>
      </c>
      <c r="Y876" s="315">
        <v>2.2909000000000002</v>
      </c>
      <c r="Z876" s="315">
        <v>1.9851000000000001</v>
      </c>
      <c r="AA876" s="315">
        <v>3.2726999999999999</v>
      </c>
      <c r="AB876" s="315">
        <v>3.3612000000000002</v>
      </c>
      <c r="AC876" s="315">
        <v>2.8931</v>
      </c>
      <c r="AD876" s="315">
        <v>1.4437</v>
      </c>
      <c r="AE876" s="315">
        <v>3.0383</v>
      </c>
      <c r="AF876" s="315">
        <v>0</v>
      </c>
      <c r="AG876" s="315">
        <v>2.1131000000000002</v>
      </c>
      <c r="AH876" s="315">
        <v>0</v>
      </c>
      <c r="AI876" s="315">
        <v>1.8466</v>
      </c>
      <c r="AJ876" s="315">
        <v>1.4913000000000001</v>
      </c>
      <c r="AK876" s="315">
        <v>0</v>
      </c>
      <c r="AL876" s="315">
        <v>1.6505000000000001</v>
      </c>
      <c r="AM876" s="315">
        <v>2.7012999999999998</v>
      </c>
      <c r="AN876" s="315">
        <v>2.9984999999999999</v>
      </c>
      <c r="AO876" s="315">
        <v>1.9000999999999999</v>
      </c>
      <c r="AP876" s="315">
        <v>2.6061000000000001</v>
      </c>
      <c r="AQ876" s="315">
        <v>1.6738999999999999</v>
      </c>
      <c r="AR876" s="315">
        <v>2.6566000000000001</v>
      </c>
      <c r="AS876" s="315">
        <v>2.5062000000000002</v>
      </c>
      <c r="AT876" s="315">
        <v>2.6450999999999998</v>
      </c>
      <c r="AU876" s="315">
        <v>2.6494</v>
      </c>
      <c r="AV876" s="315">
        <v>2.3296999999999999</v>
      </c>
      <c r="AW876" s="315">
        <v>2.7092999999999998</v>
      </c>
      <c r="AX876" s="315">
        <v>0</v>
      </c>
      <c r="AY876" s="315">
        <v>1.9386000000000001</v>
      </c>
      <c r="AZ876" s="315">
        <v>2.4636999999999998</v>
      </c>
      <c r="BA876" s="315">
        <v>2.3075000000000001</v>
      </c>
      <c r="BB876" s="315">
        <v>0</v>
      </c>
      <c r="BC876" s="315">
        <v>1.8564000000000001</v>
      </c>
      <c r="BD876" s="315">
        <v>2.0308999999999999</v>
      </c>
      <c r="BE876" s="315">
        <v>2.5779999999999998</v>
      </c>
      <c r="BF876" s="315">
        <v>3.3037999999999998</v>
      </c>
      <c r="BG876" s="315">
        <v>3.0670999999999999</v>
      </c>
      <c r="BH876" s="315">
        <v>3.2517999999999998</v>
      </c>
      <c r="BI876" s="315">
        <v>3.3410000000000002</v>
      </c>
      <c r="BJ876" s="315">
        <v>1.9029</v>
      </c>
      <c r="BK876" s="315">
        <v>2.0636000000000001</v>
      </c>
    </row>
    <row r="877" spans="1:63" x14ac:dyDescent="0.25">
      <c r="A877" s="306" t="s">
        <v>707</v>
      </c>
      <c r="B877" s="315" t="s">
        <v>43</v>
      </c>
      <c r="C877" s="315">
        <v>3.9169</v>
      </c>
      <c r="D877" s="315">
        <v>1.3337000000000001</v>
      </c>
      <c r="E877" s="315">
        <v>2.1636000000000002</v>
      </c>
      <c r="F877" s="315">
        <v>3.0838000000000001</v>
      </c>
      <c r="G877" s="315">
        <v>1.9947999999999999</v>
      </c>
      <c r="H877" s="315">
        <v>1.9027000000000001</v>
      </c>
      <c r="I877" s="315">
        <v>3.2526999999999999</v>
      </c>
      <c r="J877" s="315">
        <v>1.4837</v>
      </c>
      <c r="K877" s="315">
        <v>0</v>
      </c>
      <c r="L877" s="315">
        <v>1.4686999999999999</v>
      </c>
      <c r="M877" s="315">
        <v>1.6147</v>
      </c>
      <c r="N877" s="315">
        <v>2.0331000000000001</v>
      </c>
      <c r="O877" s="315">
        <v>1.5988</v>
      </c>
      <c r="P877" s="315">
        <v>2.8942000000000001</v>
      </c>
      <c r="Q877" s="315">
        <v>2.899</v>
      </c>
      <c r="R877" s="315">
        <v>2.4344999999999999</v>
      </c>
      <c r="S877" s="315">
        <v>2.4138999999999999</v>
      </c>
      <c r="T877" s="315">
        <v>3.0226000000000002</v>
      </c>
      <c r="U877" s="315">
        <v>3.2635999999999998</v>
      </c>
      <c r="V877" s="315">
        <v>1.9132</v>
      </c>
      <c r="W877" s="315">
        <v>1.5853999999999999</v>
      </c>
      <c r="X877" s="315">
        <v>1.5188999999999999</v>
      </c>
      <c r="Y877" s="315">
        <v>1.6865000000000001</v>
      </c>
      <c r="Z877" s="315">
        <v>2.0522</v>
      </c>
      <c r="AA877" s="315">
        <v>3.3298999999999999</v>
      </c>
      <c r="AB877" s="315">
        <v>3.3593999999999999</v>
      </c>
      <c r="AC877" s="315">
        <v>2.4359999999999999</v>
      </c>
      <c r="AD877" s="315">
        <v>2.6257000000000001</v>
      </c>
      <c r="AE877" s="315">
        <v>2.4070999999999998</v>
      </c>
      <c r="AF877" s="315">
        <v>2.5764</v>
      </c>
      <c r="AG877" s="315">
        <v>2.895</v>
      </c>
      <c r="AH877" s="315">
        <v>1.4734</v>
      </c>
      <c r="AI877" s="315">
        <v>1.6857</v>
      </c>
      <c r="AJ877" s="315">
        <v>2.3292999999999999</v>
      </c>
      <c r="AK877" s="315">
        <v>1.629</v>
      </c>
      <c r="AL877" s="315">
        <v>1.5004</v>
      </c>
      <c r="AM877" s="315">
        <v>2.2322000000000002</v>
      </c>
      <c r="AN877" s="315">
        <v>3.1774</v>
      </c>
      <c r="AO877" s="315">
        <v>2.5388999999999999</v>
      </c>
      <c r="AP877" s="315">
        <v>2.1978</v>
      </c>
      <c r="AQ877" s="315">
        <v>1.5318000000000001</v>
      </c>
      <c r="AR877" s="315">
        <v>1.8467</v>
      </c>
      <c r="AS877" s="315">
        <v>2.7953999999999999</v>
      </c>
      <c r="AT877" s="315">
        <v>2.2403</v>
      </c>
      <c r="AU877" s="315">
        <v>3.2277999999999998</v>
      </c>
      <c r="AV877" s="315">
        <v>2.8151999999999999</v>
      </c>
      <c r="AW877" s="315">
        <v>1.96</v>
      </c>
      <c r="AX877" s="315">
        <v>1.6904999999999999</v>
      </c>
      <c r="AY877" s="315">
        <v>2.1049000000000002</v>
      </c>
      <c r="AZ877" s="315">
        <v>2.8018999999999998</v>
      </c>
      <c r="BA877" s="315">
        <v>1.7871999999999999</v>
      </c>
      <c r="BB877" s="315">
        <v>2.3224</v>
      </c>
      <c r="BC877" s="315">
        <v>1.6272</v>
      </c>
      <c r="BD877" s="315">
        <v>1.7919</v>
      </c>
      <c r="BE877" s="315">
        <v>2.5459000000000001</v>
      </c>
      <c r="BF877" s="315">
        <v>3.3443999999999998</v>
      </c>
      <c r="BG877" s="315">
        <v>2.1865000000000001</v>
      </c>
      <c r="BH877" s="315">
        <v>2.7665999999999999</v>
      </c>
      <c r="BI877" s="315">
        <v>3.3904999999999998</v>
      </c>
      <c r="BJ877" s="315">
        <v>3.0301</v>
      </c>
      <c r="BK877" s="315">
        <v>1.9910000000000001</v>
      </c>
    </row>
    <row r="878" spans="1:63" x14ac:dyDescent="0.25">
      <c r="A878" s="306">
        <v>311700</v>
      </c>
      <c r="B878" s="315" t="s">
        <v>45</v>
      </c>
      <c r="C878" s="315">
        <v>2.4502000000000002</v>
      </c>
      <c r="D878" s="315">
        <v>1.5212000000000001</v>
      </c>
      <c r="E878" s="315">
        <v>1.7743</v>
      </c>
      <c r="F878" s="315">
        <v>1.7136</v>
      </c>
      <c r="G878" s="315">
        <v>0</v>
      </c>
      <c r="H878" s="315">
        <v>1.8593999999999999</v>
      </c>
      <c r="I878" s="315">
        <v>1.897</v>
      </c>
      <c r="J878" s="315">
        <v>1.7071000000000001</v>
      </c>
      <c r="K878" s="315">
        <v>0</v>
      </c>
      <c r="L878" s="315">
        <v>1.6145</v>
      </c>
      <c r="M878" s="315">
        <v>1.7722</v>
      </c>
      <c r="N878" s="315">
        <v>1.9179999999999999</v>
      </c>
      <c r="O878" s="315">
        <v>1.6386000000000001</v>
      </c>
      <c r="P878" s="315">
        <v>1.5387999999999999</v>
      </c>
      <c r="Q878" s="315">
        <v>1.6335999999999999</v>
      </c>
      <c r="R878" s="315">
        <v>1.9885999999999999</v>
      </c>
      <c r="S878" s="315">
        <v>1.7572000000000001</v>
      </c>
      <c r="T878" s="315">
        <v>0</v>
      </c>
      <c r="U878" s="315">
        <v>1.7653000000000001</v>
      </c>
      <c r="V878" s="315">
        <v>1.8071999999999999</v>
      </c>
      <c r="W878" s="315">
        <v>1.8632</v>
      </c>
      <c r="X878" s="315">
        <v>1.7107000000000001</v>
      </c>
      <c r="Y878" s="315">
        <v>1.7847</v>
      </c>
      <c r="Z878" s="315">
        <v>1.833</v>
      </c>
      <c r="AA878" s="315">
        <v>1.879</v>
      </c>
      <c r="AB878" s="315">
        <v>0</v>
      </c>
      <c r="AC878" s="315">
        <v>1.714</v>
      </c>
      <c r="AD878" s="315">
        <v>1.5187999999999999</v>
      </c>
      <c r="AE878" s="315">
        <v>1.8029999999999999</v>
      </c>
      <c r="AF878" s="315">
        <v>1.4897</v>
      </c>
      <c r="AG878" s="315">
        <v>1.5634999999999999</v>
      </c>
      <c r="AH878" s="315">
        <v>1.6999</v>
      </c>
      <c r="AI878" s="315">
        <v>1.8745000000000001</v>
      </c>
      <c r="AJ878" s="315">
        <v>0</v>
      </c>
      <c r="AK878" s="315">
        <v>1.6292</v>
      </c>
      <c r="AL878" s="315">
        <v>1.6422000000000001</v>
      </c>
      <c r="AM878" s="315">
        <v>1.8936999999999999</v>
      </c>
      <c r="AN878" s="315">
        <v>0</v>
      </c>
      <c r="AO878" s="315">
        <v>1.8611</v>
      </c>
      <c r="AP878" s="315">
        <v>1.9039999999999999</v>
      </c>
      <c r="AQ878" s="315">
        <v>1.7545999999999999</v>
      </c>
      <c r="AR878" s="315">
        <v>1.6948000000000001</v>
      </c>
      <c r="AS878" s="315">
        <v>0</v>
      </c>
      <c r="AT878" s="315">
        <v>0</v>
      </c>
      <c r="AU878" s="315">
        <v>1.9232</v>
      </c>
      <c r="AV878" s="315">
        <v>0</v>
      </c>
      <c r="AW878" s="315">
        <v>1.8321000000000001</v>
      </c>
      <c r="AX878" s="315">
        <v>0</v>
      </c>
      <c r="AY878" s="315">
        <v>1.8724000000000001</v>
      </c>
      <c r="AZ878" s="315">
        <v>1.7804</v>
      </c>
      <c r="BA878" s="315">
        <v>0</v>
      </c>
      <c r="BB878" s="315">
        <v>0</v>
      </c>
      <c r="BC878" s="315">
        <v>1.9355</v>
      </c>
      <c r="BD878" s="315">
        <v>1.8845000000000001</v>
      </c>
      <c r="BE878" s="315">
        <v>1.9973000000000001</v>
      </c>
      <c r="BF878" s="315">
        <v>1.8468</v>
      </c>
      <c r="BG878" s="315">
        <v>2.0228999999999999</v>
      </c>
      <c r="BH878" s="315">
        <v>1.9332</v>
      </c>
      <c r="BI878" s="315">
        <v>1.9875</v>
      </c>
      <c r="BJ878" s="315">
        <v>1.8561000000000001</v>
      </c>
      <c r="BK878" s="315">
        <v>1.9867999999999999</v>
      </c>
    </row>
    <row r="879" spans="1:63" x14ac:dyDescent="0.25">
      <c r="A879" s="306">
        <v>311810</v>
      </c>
      <c r="B879" s="315" t="s">
        <v>46</v>
      </c>
      <c r="C879" s="315">
        <v>3.3262</v>
      </c>
      <c r="D879" s="315">
        <v>1.5515000000000001</v>
      </c>
      <c r="E879" s="315">
        <v>2.0398999999999998</v>
      </c>
      <c r="F879" s="315">
        <v>2.1652</v>
      </c>
      <c r="G879" s="315">
        <v>2.0135000000000001</v>
      </c>
      <c r="H879" s="315">
        <v>2.4298000000000002</v>
      </c>
      <c r="I879" s="315">
        <v>2.4051</v>
      </c>
      <c r="J879" s="315">
        <v>2.0343</v>
      </c>
      <c r="K879" s="315">
        <v>1.3031999999999999</v>
      </c>
      <c r="L879" s="315">
        <v>1.8888</v>
      </c>
      <c r="M879" s="315">
        <v>2.1585000000000001</v>
      </c>
      <c r="N879" s="315">
        <v>2.5215000000000001</v>
      </c>
      <c r="O879" s="315">
        <v>1.9562999999999999</v>
      </c>
      <c r="P879" s="315">
        <v>1.8911</v>
      </c>
      <c r="Q879" s="315">
        <v>1.9274</v>
      </c>
      <c r="R879" s="315">
        <v>2.7159</v>
      </c>
      <c r="S879" s="315">
        <v>2.3304999999999998</v>
      </c>
      <c r="T879" s="315">
        <v>2.0291000000000001</v>
      </c>
      <c r="U879" s="315">
        <v>2.2395999999999998</v>
      </c>
      <c r="V879" s="315">
        <v>2.1581000000000001</v>
      </c>
      <c r="W879" s="315">
        <v>2.1960000000000002</v>
      </c>
      <c r="X879" s="315">
        <v>2.0226999999999999</v>
      </c>
      <c r="Y879" s="315">
        <v>1.9712000000000001</v>
      </c>
      <c r="Z879" s="315">
        <v>2.3944999999999999</v>
      </c>
      <c r="AA879" s="315">
        <v>2.4937</v>
      </c>
      <c r="AB879" s="315">
        <v>2.5323000000000002</v>
      </c>
      <c r="AC879" s="315">
        <v>1.9697</v>
      </c>
      <c r="AD879" s="315">
        <v>1.7922</v>
      </c>
      <c r="AE879" s="315">
        <v>2.2612999999999999</v>
      </c>
      <c r="AF879" s="315">
        <v>1.8167</v>
      </c>
      <c r="AG879" s="315">
        <v>1.9000999999999999</v>
      </c>
      <c r="AH879" s="315">
        <v>1.9794</v>
      </c>
      <c r="AI879" s="315">
        <v>2.3388</v>
      </c>
      <c r="AJ879" s="315">
        <v>1.7458</v>
      </c>
      <c r="AK879" s="315">
        <v>1.9218999999999999</v>
      </c>
      <c r="AL879" s="315">
        <v>2.0924999999999998</v>
      </c>
      <c r="AM879" s="315">
        <v>2.5446</v>
      </c>
      <c r="AN879" s="315">
        <v>2.1261000000000001</v>
      </c>
      <c r="AO879" s="315">
        <v>2.3028</v>
      </c>
      <c r="AP879" s="315">
        <v>2.4502000000000002</v>
      </c>
      <c r="AQ879" s="315">
        <v>1.9921</v>
      </c>
      <c r="AR879" s="315">
        <v>2.1254</v>
      </c>
      <c r="AS879" s="315">
        <v>1.6356999999999999</v>
      </c>
      <c r="AT879" s="315">
        <v>2.4257</v>
      </c>
      <c r="AU879" s="315">
        <v>2.4312</v>
      </c>
      <c r="AV879" s="315">
        <v>2.407</v>
      </c>
      <c r="AW879" s="315">
        <v>2.2296</v>
      </c>
      <c r="AX879" s="315">
        <v>1.6697</v>
      </c>
      <c r="AY879" s="315">
        <v>2.2212000000000001</v>
      </c>
      <c r="AZ879" s="315">
        <v>2.3216999999999999</v>
      </c>
      <c r="BA879" s="315">
        <v>1.6833</v>
      </c>
      <c r="BB879" s="315">
        <v>1.5043</v>
      </c>
      <c r="BC879" s="315">
        <v>2.2677</v>
      </c>
      <c r="BD879" s="315">
        <v>2.4571000000000001</v>
      </c>
      <c r="BE879" s="315">
        <v>2.778</v>
      </c>
      <c r="BF879" s="315">
        <v>2.4830000000000001</v>
      </c>
      <c r="BG879" s="315">
        <v>2.5065</v>
      </c>
      <c r="BH879" s="315">
        <v>2.4601000000000002</v>
      </c>
      <c r="BI879" s="315">
        <v>2.5373999999999999</v>
      </c>
      <c r="BJ879" s="315">
        <v>2.3523000000000001</v>
      </c>
      <c r="BK879" s="315">
        <v>2.4685999999999999</v>
      </c>
    </row>
    <row r="880" spans="1:63" x14ac:dyDescent="0.25">
      <c r="A880" s="306">
        <v>311820</v>
      </c>
      <c r="B880" s="315" t="s">
        <v>47</v>
      </c>
      <c r="C880" s="315">
        <v>3.2702</v>
      </c>
      <c r="D880" s="315">
        <v>0</v>
      </c>
      <c r="E880" s="315">
        <v>1.9475</v>
      </c>
      <c r="F880" s="315">
        <v>2.1812</v>
      </c>
      <c r="G880" s="315">
        <v>1.7730999999999999</v>
      </c>
      <c r="H880" s="315">
        <v>2.2915999999999999</v>
      </c>
      <c r="I880" s="315">
        <v>2.1616</v>
      </c>
      <c r="J880" s="315">
        <v>1.8792</v>
      </c>
      <c r="K880" s="315">
        <v>1.1755</v>
      </c>
      <c r="L880" s="315">
        <v>0</v>
      </c>
      <c r="M880" s="315">
        <v>1.9923</v>
      </c>
      <c r="N880" s="315">
        <v>2.4419</v>
      </c>
      <c r="O880" s="315">
        <v>1.7399</v>
      </c>
      <c r="P880" s="315">
        <v>1.8668</v>
      </c>
      <c r="Q880" s="315">
        <v>1.8880999999999999</v>
      </c>
      <c r="R880" s="315">
        <v>2.5895999999999999</v>
      </c>
      <c r="S880" s="315">
        <v>2.3172000000000001</v>
      </c>
      <c r="T880" s="315">
        <v>1.9839</v>
      </c>
      <c r="U880" s="315">
        <v>2.2088999999999999</v>
      </c>
      <c r="V880" s="315">
        <v>2.1959</v>
      </c>
      <c r="W880" s="315">
        <v>2.0203000000000002</v>
      </c>
      <c r="X880" s="315">
        <v>1.8778999999999999</v>
      </c>
      <c r="Y880" s="315">
        <v>1.7884</v>
      </c>
      <c r="Z880" s="315">
        <v>2.3336999999999999</v>
      </c>
      <c r="AA880" s="315">
        <v>2.4754999999999998</v>
      </c>
      <c r="AB880" s="315">
        <v>2.4641999999999999</v>
      </c>
      <c r="AC880" s="315">
        <v>1.982</v>
      </c>
      <c r="AD880" s="315">
        <v>1.7202</v>
      </c>
      <c r="AE880" s="315">
        <v>2.2054999999999998</v>
      </c>
      <c r="AF880" s="315">
        <v>1.8006</v>
      </c>
      <c r="AG880" s="315">
        <v>1.8909</v>
      </c>
      <c r="AH880" s="315">
        <v>1.7936000000000001</v>
      </c>
      <c r="AI880" s="315">
        <v>2.1574</v>
      </c>
      <c r="AJ880" s="315">
        <v>1.5585</v>
      </c>
      <c r="AK880" s="315">
        <v>1.6535</v>
      </c>
      <c r="AL880" s="315">
        <v>1.9262999999999999</v>
      </c>
      <c r="AM880" s="315">
        <v>2.4026999999999998</v>
      </c>
      <c r="AN880" s="315">
        <v>2.0373999999999999</v>
      </c>
      <c r="AO880" s="315">
        <v>2.2277</v>
      </c>
      <c r="AP880" s="315">
        <v>2.3115999999999999</v>
      </c>
      <c r="AQ880" s="315">
        <v>1.7932999999999999</v>
      </c>
      <c r="AR880" s="315">
        <v>2.0375000000000001</v>
      </c>
      <c r="AS880" s="315">
        <v>1.5905</v>
      </c>
      <c r="AT880" s="315">
        <v>2.3557000000000001</v>
      </c>
      <c r="AU880" s="315">
        <v>2.3258000000000001</v>
      </c>
      <c r="AV880" s="315">
        <v>2.2193999999999998</v>
      </c>
      <c r="AW880" s="315">
        <v>2.0402</v>
      </c>
      <c r="AX880" s="315">
        <v>1.5009999999999999</v>
      </c>
      <c r="AY880" s="315">
        <v>2.0669</v>
      </c>
      <c r="AZ880" s="315">
        <v>2.3027000000000002</v>
      </c>
      <c r="BA880" s="315">
        <v>1.5328999999999999</v>
      </c>
      <c r="BB880" s="315">
        <v>0</v>
      </c>
      <c r="BC880" s="315">
        <v>2.0758000000000001</v>
      </c>
      <c r="BD880" s="315">
        <v>2.2795000000000001</v>
      </c>
      <c r="BE880" s="315">
        <v>2.7115999999999998</v>
      </c>
      <c r="BF880" s="315">
        <v>2.4584999999999999</v>
      </c>
      <c r="BG880" s="315">
        <v>2.3816999999999999</v>
      </c>
      <c r="BH880" s="315">
        <v>2.4195000000000002</v>
      </c>
      <c r="BI880" s="315">
        <v>2.4823</v>
      </c>
      <c r="BJ880" s="315">
        <v>2.1454</v>
      </c>
      <c r="BK880" s="315">
        <v>2.3317999999999999</v>
      </c>
    </row>
    <row r="881" spans="1:63" x14ac:dyDescent="0.25">
      <c r="A881" s="306">
        <v>311830</v>
      </c>
      <c r="B881" s="315" t="s">
        <v>48</v>
      </c>
      <c r="C881" s="315">
        <v>3.3422000000000001</v>
      </c>
      <c r="D881" s="315">
        <v>1.5642</v>
      </c>
      <c r="E881" s="315">
        <v>0</v>
      </c>
      <c r="F881" s="315">
        <v>2.3216999999999999</v>
      </c>
      <c r="G881" s="315">
        <v>1.9633</v>
      </c>
      <c r="H881" s="315">
        <v>2.3673000000000002</v>
      </c>
      <c r="I881" s="315">
        <v>2.4432999999999998</v>
      </c>
      <c r="J881" s="315">
        <v>0</v>
      </c>
      <c r="K881" s="315">
        <v>0</v>
      </c>
      <c r="L881" s="315">
        <v>0</v>
      </c>
      <c r="M881" s="315">
        <v>2.1589999999999998</v>
      </c>
      <c r="N881" s="315">
        <v>2.5320999999999998</v>
      </c>
      <c r="O881" s="315">
        <v>1.879</v>
      </c>
      <c r="P881" s="315">
        <v>0</v>
      </c>
      <c r="Q881" s="315">
        <v>2.0773000000000001</v>
      </c>
      <c r="R881" s="315">
        <v>2.8283</v>
      </c>
      <c r="S881" s="315">
        <v>2.4390999999999998</v>
      </c>
      <c r="T881" s="315">
        <v>2.2057000000000002</v>
      </c>
      <c r="U881" s="315">
        <v>0</v>
      </c>
      <c r="V881" s="315">
        <v>0</v>
      </c>
      <c r="W881" s="315">
        <v>2.1253000000000002</v>
      </c>
      <c r="X881" s="315">
        <v>1.9785999999999999</v>
      </c>
      <c r="Y881" s="315">
        <v>0</v>
      </c>
      <c r="Z881" s="315">
        <v>2.4611999999999998</v>
      </c>
      <c r="AA881" s="315">
        <v>2.5764</v>
      </c>
      <c r="AB881" s="315">
        <v>2.6381000000000001</v>
      </c>
      <c r="AC881" s="315">
        <v>0</v>
      </c>
      <c r="AD881" s="315">
        <v>2.0133000000000001</v>
      </c>
      <c r="AE881" s="315">
        <v>2.3088000000000002</v>
      </c>
      <c r="AF881" s="315">
        <v>0</v>
      </c>
      <c r="AG881" s="315">
        <v>2.0888</v>
      </c>
      <c r="AH881" s="315">
        <v>0</v>
      </c>
      <c r="AI881" s="315">
        <v>2.2357</v>
      </c>
      <c r="AJ881" s="315">
        <v>1.7007000000000001</v>
      </c>
      <c r="AK881" s="315">
        <v>1.8505</v>
      </c>
      <c r="AL881" s="315">
        <v>2.0678999999999998</v>
      </c>
      <c r="AM881" s="315">
        <v>2.5244</v>
      </c>
      <c r="AN881" s="315">
        <v>2.3083</v>
      </c>
      <c r="AO881" s="315">
        <v>2.3471000000000002</v>
      </c>
      <c r="AP881" s="315">
        <v>2.3849999999999998</v>
      </c>
      <c r="AQ881" s="315">
        <v>1.9078999999999999</v>
      </c>
      <c r="AR881" s="315">
        <v>0</v>
      </c>
      <c r="AS881" s="315">
        <v>1.6501999999999999</v>
      </c>
      <c r="AT881" s="315">
        <v>2.4586000000000001</v>
      </c>
      <c r="AU881" s="315">
        <v>2.5659000000000001</v>
      </c>
      <c r="AV881" s="315">
        <v>2.4392</v>
      </c>
      <c r="AW881" s="315">
        <v>2.1457999999999999</v>
      </c>
      <c r="AX881" s="315">
        <v>0</v>
      </c>
      <c r="AY881" s="315">
        <v>2.2395</v>
      </c>
      <c r="AZ881" s="315">
        <v>2.4336000000000002</v>
      </c>
      <c r="BA881" s="315">
        <v>0</v>
      </c>
      <c r="BB881" s="315">
        <v>0</v>
      </c>
      <c r="BC881" s="315">
        <v>2.1661000000000001</v>
      </c>
      <c r="BD881" s="315">
        <v>2.3795999999999999</v>
      </c>
      <c r="BE881" s="315">
        <v>2.8260000000000001</v>
      </c>
      <c r="BF881" s="315">
        <v>2.5705</v>
      </c>
      <c r="BG881" s="315">
        <v>2.4781</v>
      </c>
      <c r="BH881" s="315">
        <v>2.5211000000000001</v>
      </c>
      <c r="BI881" s="315">
        <v>2.7029999999999998</v>
      </c>
      <c r="BJ881" s="315">
        <v>2.4251999999999998</v>
      </c>
      <c r="BK881" s="315">
        <v>2.4203000000000001</v>
      </c>
    </row>
    <row r="882" spans="1:63" x14ac:dyDescent="0.25">
      <c r="A882" s="306">
        <v>311910</v>
      </c>
      <c r="B882" s="315" t="s">
        <v>49</v>
      </c>
      <c r="C882" s="315">
        <v>3.0752999999999999</v>
      </c>
      <c r="D882" s="315">
        <v>1.3408</v>
      </c>
      <c r="E882" s="315">
        <v>2.0562999999999998</v>
      </c>
      <c r="F882" s="315">
        <v>2.0630000000000002</v>
      </c>
      <c r="G882" s="315">
        <v>1.8903000000000001</v>
      </c>
      <c r="H882" s="315">
        <v>2.2176</v>
      </c>
      <c r="I882" s="315">
        <v>2.0709</v>
      </c>
      <c r="J882" s="315">
        <v>1.8019000000000001</v>
      </c>
      <c r="K882" s="315">
        <v>0</v>
      </c>
      <c r="L882" s="315">
        <v>0</v>
      </c>
      <c r="M882" s="315">
        <v>1.9489000000000001</v>
      </c>
      <c r="N882" s="315">
        <v>2.3832</v>
      </c>
      <c r="O882" s="315">
        <v>1.7693000000000001</v>
      </c>
      <c r="P882" s="315">
        <v>1.8172999999999999</v>
      </c>
      <c r="Q882" s="315">
        <v>1.7646999999999999</v>
      </c>
      <c r="R882" s="315">
        <v>2.3033000000000001</v>
      </c>
      <c r="S882" s="315">
        <v>2.1318000000000001</v>
      </c>
      <c r="T882" s="315">
        <v>1.9651000000000001</v>
      </c>
      <c r="U882" s="315">
        <v>2.2323</v>
      </c>
      <c r="V882" s="315">
        <v>2.0769000000000002</v>
      </c>
      <c r="W882" s="315">
        <v>1.8512999999999999</v>
      </c>
      <c r="X882" s="315">
        <v>1.7169000000000001</v>
      </c>
      <c r="Y882" s="315">
        <v>0</v>
      </c>
      <c r="Z882" s="315">
        <v>2.2254</v>
      </c>
      <c r="AA882" s="315">
        <v>2.2361</v>
      </c>
      <c r="AB882" s="315">
        <v>2.2885</v>
      </c>
      <c r="AC882" s="315">
        <v>1.9512</v>
      </c>
      <c r="AD882" s="315">
        <v>1.7016</v>
      </c>
      <c r="AE882" s="315">
        <v>2.0889000000000002</v>
      </c>
      <c r="AF882" s="315">
        <v>1.7735000000000001</v>
      </c>
      <c r="AG882" s="315">
        <v>1.7566999999999999</v>
      </c>
      <c r="AH882" s="315">
        <v>1.8082</v>
      </c>
      <c r="AI882" s="315">
        <v>2.0405000000000002</v>
      </c>
      <c r="AJ882" s="315">
        <v>1.6349</v>
      </c>
      <c r="AK882" s="315">
        <v>1.7174</v>
      </c>
      <c r="AL882" s="315">
        <v>1.6832</v>
      </c>
      <c r="AM882" s="315">
        <v>2.2324999999999999</v>
      </c>
      <c r="AN882" s="315">
        <v>1.9830000000000001</v>
      </c>
      <c r="AO882" s="315">
        <v>2.0745</v>
      </c>
      <c r="AP882" s="315">
        <v>2.1966000000000001</v>
      </c>
      <c r="AQ882" s="315">
        <v>1.7130000000000001</v>
      </c>
      <c r="AR882" s="315">
        <v>2.1093999999999999</v>
      </c>
      <c r="AS882" s="315">
        <v>1.6291</v>
      </c>
      <c r="AT882" s="315">
        <v>2.1722999999999999</v>
      </c>
      <c r="AU882" s="315">
        <v>2.2364000000000002</v>
      </c>
      <c r="AV882" s="315">
        <v>2.0556000000000001</v>
      </c>
      <c r="AW882" s="315">
        <v>1.9195</v>
      </c>
      <c r="AX882" s="315">
        <v>1.6383000000000001</v>
      </c>
      <c r="AY882" s="315">
        <v>2.0933000000000002</v>
      </c>
      <c r="AZ882" s="315">
        <v>2.1587999999999998</v>
      </c>
      <c r="BA882" s="315">
        <v>1.6792</v>
      </c>
      <c r="BB882" s="315">
        <v>0</v>
      </c>
      <c r="BC882" s="315">
        <v>1.9748000000000001</v>
      </c>
      <c r="BD882" s="315">
        <v>2.0819999999999999</v>
      </c>
      <c r="BE882" s="315">
        <v>2.4493999999999998</v>
      </c>
      <c r="BF882" s="315">
        <v>2.3090999999999999</v>
      </c>
      <c r="BG882" s="315">
        <v>2.3166000000000002</v>
      </c>
      <c r="BH882" s="315">
        <v>2.3327</v>
      </c>
      <c r="BI882" s="315">
        <v>2.3498000000000001</v>
      </c>
      <c r="BJ882" s="315">
        <v>2.0659000000000001</v>
      </c>
      <c r="BK882" s="315">
        <v>2.2366000000000001</v>
      </c>
    </row>
    <row r="883" spans="1:63" x14ac:dyDescent="0.25">
      <c r="A883" s="306">
        <v>311920</v>
      </c>
      <c r="B883" s="315" t="s">
        <v>50</v>
      </c>
      <c r="C883" s="315">
        <v>2.6861999999999999</v>
      </c>
      <c r="D883" s="315">
        <v>1.4029</v>
      </c>
      <c r="E883" s="315">
        <v>1.956</v>
      </c>
      <c r="F883" s="315">
        <v>1.9184000000000001</v>
      </c>
      <c r="G883" s="315">
        <v>1.7971999999999999</v>
      </c>
      <c r="H883" s="315">
        <v>2.0709</v>
      </c>
      <c r="I883" s="315">
        <v>2.0495000000000001</v>
      </c>
      <c r="J883" s="315">
        <v>1.877</v>
      </c>
      <c r="K883" s="315">
        <v>0</v>
      </c>
      <c r="L883" s="315">
        <v>0</v>
      </c>
      <c r="M883" s="315">
        <v>1.8326</v>
      </c>
      <c r="N883" s="315">
        <v>2.2229999999999999</v>
      </c>
      <c r="O883" s="315">
        <v>1.6296999999999999</v>
      </c>
      <c r="P883" s="315">
        <v>1.6911</v>
      </c>
      <c r="Q883" s="315">
        <v>1.5913999999999999</v>
      </c>
      <c r="R883" s="315">
        <v>2.2362000000000002</v>
      </c>
      <c r="S883" s="315">
        <v>2.0148999999999999</v>
      </c>
      <c r="T883" s="315">
        <v>1.7633000000000001</v>
      </c>
      <c r="U883" s="315">
        <v>1.9797</v>
      </c>
      <c r="V883" s="315">
        <v>1.8549</v>
      </c>
      <c r="W883" s="315">
        <v>1.9300999999999999</v>
      </c>
      <c r="X883" s="315">
        <v>1.7737000000000001</v>
      </c>
      <c r="Y883" s="315">
        <v>1.7739</v>
      </c>
      <c r="Z883" s="315">
        <v>2.0577000000000001</v>
      </c>
      <c r="AA883" s="315">
        <v>2.0724999999999998</v>
      </c>
      <c r="AB883" s="315">
        <v>2.1391</v>
      </c>
      <c r="AC883" s="315">
        <v>0</v>
      </c>
      <c r="AD883" s="315">
        <v>1.4971000000000001</v>
      </c>
      <c r="AE883" s="315">
        <v>2.0196999999999998</v>
      </c>
      <c r="AF883" s="315">
        <v>0</v>
      </c>
      <c r="AG883" s="315">
        <v>1.6536999999999999</v>
      </c>
      <c r="AH883" s="315">
        <v>1.7948999999999999</v>
      </c>
      <c r="AI883" s="315">
        <v>2.0773999999999999</v>
      </c>
      <c r="AJ883" s="315">
        <v>0</v>
      </c>
      <c r="AK883" s="315">
        <v>1.7034</v>
      </c>
      <c r="AL883" s="315">
        <v>1.7376</v>
      </c>
      <c r="AM883" s="315">
        <v>2.2037</v>
      </c>
      <c r="AN883" s="315">
        <v>1.8408</v>
      </c>
      <c r="AO883" s="315">
        <v>1.9914000000000001</v>
      </c>
      <c r="AP883" s="315">
        <v>2.2404999999999999</v>
      </c>
      <c r="AQ883" s="315">
        <v>1.8303</v>
      </c>
      <c r="AR883" s="315">
        <v>1.9886999999999999</v>
      </c>
      <c r="AS883" s="315">
        <v>0</v>
      </c>
      <c r="AT883" s="315">
        <v>2.0295999999999998</v>
      </c>
      <c r="AU883" s="315">
        <v>2.0962999999999998</v>
      </c>
      <c r="AV883" s="315">
        <v>2.0472999999999999</v>
      </c>
      <c r="AW883" s="315">
        <v>1.9773000000000001</v>
      </c>
      <c r="AX883" s="315">
        <v>1.5974999999999999</v>
      </c>
      <c r="AY883" s="315">
        <v>1.9646999999999999</v>
      </c>
      <c r="AZ883" s="315">
        <v>2.0653999999999999</v>
      </c>
      <c r="BA883" s="315">
        <v>0</v>
      </c>
      <c r="BB883" s="315">
        <v>1.4757</v>
      </c>
      <c r="BC883" s="315">
        <v>2.0194000000000001</v>
      </c>
      <c r="BD883" s="315">
        <v>2.1274999999999999</v>
      </c>
      <c r="BE883" s="315">
        <v>2.2902999999999998</v>
      </c>
      <c r="BF883" s="315">
        <v>2.0857999999999999</v>
      </c>
      <c r="BG883" s="315">
        <v>2.1848000000000001</v>
      </c>
      <c r="BH883" s="315">
        <v>2.0920000000000001</v>
      </c>
      <c r="BI883" s="315">
        <v>2.1537000000000002</v>
      </c>
      <c r="BJ883" s="315">
        <v>1.9683999999999999</v>
      </c>
      <c r="BK883" s="315">
        <v>2.0952000000000002</v>
      </c>
    </row>
    <row r="884" spans="1:63" x14ac:dyDescent="0.25">
      <c r="A884" s="306">
        <v>311930</v>
      </c>
      <c r="B884" s="315" t="s">
        <v>51</v>
      </c>
      <c r="C884" s="315">
        <v>1.7786999999999999</v>
      </c>
      <c r="D884" s="315">
        <v>0</v>
      </c>
      <c r="E884" s="315">
        <v>1.3504</v>
      </c>
      <c r="F884" s="315">
        <v>1.3492999999999999</v>
      </c>
      <c r="G884" s="315">
        <v>1.2956000000000001</v>
      </c>
      <c r="H884" s="315">
        <v>1.4518</v>
      </c>
      <c r="I884" s="315">
        <v>0</v>
      </c>
      <c r="J884" s="315">
        <v>1.3234999999999999</v>
      </c>
      <c r="K884" s="315">
        <v>0</v>
      </c>
      <c r="L884" s="315">
        <v>0</v>
      </c>
      <c r="M884" s="315">
        <v>1.3675999999999999</v>
      </c>
      <c r="N884" s="315">
        <v>1.5063</v>
      </c>
      <c r="O884" s="315">
        <v>1.3173999999999999</v>
      </c>
      <c r="P884" s="315">
        <v>0</v>
      </c>
      <c r="Q884" s="315">
        <v>0</v>
      </c>
      <c r="R884" s="315">
        <v>1.4853000000000001</v>
      </c>
      <c r="S884" s="315">
        <v>1.4268000000000001</v>
      </c>
      <c r="T884" s="315">
        <v>1.3056000000000001</v>
      </c>
      <c r="U884" s="315">
        <v>1.4410000000000001</v>
      </c>
      <c r="V884" s="315">
        <v>1.3738999999999999</v>
      </c>
      <c r="W884" s="315">
        <v>0</v>
      </c>
      <c r="X884" s="315">
        <v>1.3106</v>
      </c>
      <c r="Y884" s="315">
        <v>0</v>
      </c>
      <c r="Z884" s="315">
        <v>1.4153</v>
      </c>
      <c r="AA884" s="315">
        <v>0</v>
      </c>
      <c r="AB884" s="315">
        <v>1.4468000000000001</v>
      </c>
      <c r="AC884" s="315">
        <v>1.286</v>
      </c>
      <c r="AD884" s="315">
        <v>0</v>
      </c>
      <c r="AE884" s="315">
        <v>1.38</v>
      </c>
      <c r="AF884" s="315">
        <v>0</v>
      </c>
      <c r="AG884" s="315">
        <v>0</v>
      </c>
      <c r="AH884" s="315">
        <v>1.2836000000000001</v>
      </c>
      <c r="AI884" s="315">
        <v>1.4786999999999999</v>
      </c>
      <c r="AJ884" s="315">
        <v>0</v>
      </c>
      <c r="AK884" s="315">
        <v>1.2612000000000001</v>
      </c>
      <c r="AL884" s="315">
        <v>1.3159000000000001</v>
      </c>
      <c r="AM884" s="315">
        <v>1.5322</v>
      </c>
      <c r="AN884" s="315">
        <v>1.2833000000000001</v>
      </c>
      <c r="AO884" s="315">
        <v>1.4000999999999999</v>
      </c>
      <c r="AP884" s="315">
        <v>1.4591000000000001</v>
      </c>
      <c r="AQ884" s="315">
        <v>1.2988</v>
      </c>
      <c r="AR884" s="315">
        <v>0</v>
      </c>
      <c r="AS884" s="315">
        <v>0</v>
      </c>
      <c r="AT884" s="315">
        <v>1.3908</v>
      </c>
      <c r="AU884" s="315">
        <v>1.4558</v>
      </c>
      <c r="AV884" s="315">
        <v>0</v>
      </c>
      <c r="AW884" s="315">
        <v>0</v>
      </c>
      <c r="AX884" s="315">
        <v>0</v>
      </c>
      <c r="AY884" s="315">
        <v>1.3883000000000001</v>
      </c>
      <c r="AZ884" s="315">
        <v>1.4081999999999999</v>
      </c>
      <c r="BA884" s="315">
        <v>0</v>
      </c>
      <c r="BB884" s="315">
        <v>0</v>
      </c>
      <c r="BC884" s="315">
        <v>1.3858999999999999</v>
      </c>
      <c r="BD884" s="315">
        <v>1.4750000000000001</v>
      </c>
      <c r="BE884" s="315">
        <v>1.5381</v>
      </c>
      <c r="BF884" s="315">
        <v>1.4142999999999999</v>
      </c>
      <c r="BG884" s="315">
        <v>1.5434000000000001</v>
      </c>
      <c r="BH884" s="315">
        <v>1.4728000000000001</v>
      </c>
      <c r="BI884" s="315">
        <v>1.4710000000000001</v>
      </c>
      <c r="BJ884" s="315">
        <v>1.3705000000000001</v>
      </c>
      <c r="BK884" s="315">
        <v>1.4613</v>
      </c>
    </row>
    <row r="885" spans="1:63" x14ac:dyDescent="0.25">
      <c r="A885" s="306">
        <v>311940</v>
      </c>
      <c r="B885" s="315" t="s">
        <v>52</v>
      </c>
      <c r="C885" s="315">
        <v>3.4615999999999998</v>
      </c>
      <c r="D885" s="315">
        <v>0</v>
      </c>
      <c r="E885" s="315">
        <v>2.1438999999999999</v>
      </c>
      <c r="F885" s="315">
        <v>2.2183999999999999</v>
      </c>
      <c r="G885" s="315">
        <v>1.9155</v>
      </c>
      <c r="H885" s="315">
        <v>2.4251999999999998</v>
      </c>
      <c r="I885" s="315">
        <v>2.2082999999999999</v>
      </c>
      <c r="J885" s="315">
        <v>1.8792</v>
      </c>
      <c r="K885" s="315">
        <v>0</v>
      </c>
      <c r="L885" s="315">
        <v>1.7821</v>
      </c>
      <c r="M885" s="315">
        <v>2.0402</v>
      </c>
      <c r="N885" s="315">
        <v>2.6374</v>
      </c>
      <c r="O885" s="315">
        <v>1.8583000000000001</v>
      </c>
      <c r="P885" s="315">
        <v>1.9552</v>
      </c>
      <c r="Q885" s="315">
        <v>1.8711</v>
      </c>
      <c r="R885" s="315">
        <v>2.5564</v>
      </c>
      <c r="S885" s="315">
        <v>2.3797000000000001</v>
      </c>
      <c r="T885" s="315">
        <v>2.0838999999999999</v>
      </c>
      <c r="U885" s="315">
        <v>2.5135999999999998</v>
      </c>
      <c r="V885" s="315">
        <v>2.2639999999999998</v>
      </c>
      <c r="W885" s="315">
        <v>2.0247000000000002</v>
      </c>
      <c r="X885" s="315">
        <v>1.9461999999999999</v>
      </c>
      <c r="Y885" s="315">
        <v>1.9157</v>
      </c>
      <c r="Z885" s="315">
        <v>2.3296999999999999</v>
      </c>
      <c r="AA885" s="315">
        <v>2.4165000000000001</v>
      </c>
      <c r="AB885" s="315">
        <v>2.6173999999999999</v>
      </c>
      <c r="AC885" s="315">
        <v>1.9925999999999999</v>
      </c>
      <c r="AD885" s="315">
        <v>1.6633</v>
      </c>
      <c r="AE885" s="315">
        <v>2.1371000000000002</v>
      </c>
      <c r="AF885" s="315">
        <v>1.7636000000000001</v>
      </c>
      <c r="AG885" s="315">
        <v>1.8515999999999999</v>
      </c>
      <c r="AH885" s="315">
        <v>1.8434999999999999</v>
      </c>
      <c r="AI885" s="315">
        <v>2.3384999999999998</v>
      </c>
      <c r="AJ885" s="315">
        <v>1.7313000000000001</v>
      </c>
      <c r="AK885" s="315">
        <v>1.8623000000000001</v>
      </c>
      <c r="AL885" s="315">
        <v>1.8915</v>
      </c>
      <c r="AM885" s="315">
        <v>2.5552999999999999</v>
      </c>
      <c r="AN885" s="315">
        <v>2.0396000000000001</v>
      </c>
      <c r="AO885" s="315">
        <v>2.2281</v>
      </c>
      <c r="AP885" s="315">
        <v>2.4714999999999998</v>
      </c>
      <c r="AQ885" s="315">
        <v>1.7730999999999999</v>
      </c>
      <c r="AR885" s="315">
        <v>2.1093999999999999</v>
      </c>
      <c r="AS885" s="315">
        <v>1.6926000000000001</v>
      </c>
      <c r="AT885" s="315">
        <v>2.2717999999999998</v>
      </c>
      <c r="AU885" s="315">
        <v>2.4097</v>
      </c>
      <c r="AV885" s="315">
        <v>2.2648000000000001</v>
      </c>
      <c r="AW885" s="315">
        <v>2.0878000000000001</v>
      </c>
      <c r="AX885" s="315">
        <v>1.6962999999999999</v>
      </c>
      <c r="AY885" s="315">
        <v>2.1879</v>
      </c>
      <c r="AZ885" s="315">
        <v>2.2751999999999999</v>
      </c>
      <c r="BA885" s="315">
        <v>1.7179</v>
      </c>
      <c r="BB885" s="315">
        <v>1.5353000000000001</v>
      </c>
      <c r="BC885" s="315">
        <v>2.1044999999999998</v>
      </c>
      <c r="BD885" s="315">
        <v>2.3828</v>
      </c>
      <c r="BE885" s="315">
        <v>2.7197</v>
      </c>
      <c r="BF885" s="315">
        <v>2.5505</v>
      </c>
      <c r="BG885" s="315">
        <v>2.6101000000000001</v>
      </c>
      <c r="BH885" s="315">
        <v>2.5354000000000001</v>
      </c>
      <c r="BI885" s="315">
        <v>2.5465</v>
      </c>
      <c r="BJ885" s="315">
        <v>2.1808000000000001</v>
      </c>
      <c r="BK885" s="315">
        <v>2.431</v>
      </c>
    </row>
    <row r="886" spans="1:63" x14ac:dyDescent="0.25">
      <c r="A886" s="306">
        <v>311990</v>
      </c>
      <c r="B886" s="315" t="s">
        <v>53</v>
      </c>
      <c r="C886" s="315">
        <v>3.1021000000000001</v>
      </c>
      <c r="D886" s="315">
        <v>1.4625999999999999</v>
      </c>
      <c r="E886" s="315">
        <v>1.9622999999999999</v>
      </c>
      <c r="F886" s="315">
        <v>2.0185</v>
      </c>
      <c r="G886" s="315">
        <v>1.9063000000000001</v>
      </c>
      <c r="H886" s="315">
        <v>2.2669999999999999</v>
      </c>
      <c r="I886" s="315">
        <v>2.2446000000000002</v>
      </c>
      <c r="J886" s="315">
        <v>1.8708</v>
      </c>
      <c r="K886" s="315">
        <v>1.2020999999999999</v>
      </c>
      <c r="L886" s="315">
        <v>1.7616000000000001</v>
      </c>
      <c r="M886" s="315">
        <v>1.9971000000000001</v>
      </c>
      <c r="N886" s="315">
        <v>2.3687999999999998</v>
      </c>
      <c r="O886" s="315">
        <v>1.8271999999999999</v>
      </c>
      <c r="P886" s="315">
        <v>1.8537999999999999</v>
      </c>
      <c r="Q886" s="315">
        <v>1.8625</v>
      </c>
      <c r="R886" s="315">
        <v>2.4235000000000002</v>
      </c>
      <c r="S886" s="315">
        <v>2.2094</v>
      </c>
      <c r="T886" s="315">
        <v>1.9076</v>
      </c>
      <c r="U886" s="315">
        <v>2.1450999999999998</v>
      </c>
      <c r="V886" s="315">
        <v>1.9958</v>
      </c>
      <c r="W886" s="315">
        <v>1.9945999999999999</v>
      </c>
      <c r="X886" s="315">
        <v>1.8920999999999999</v>
      </c>
      <c r="Y886" s="315">
        <v>1.9426000000000001</v>
      </c>
      <c r="Z886" s="315">
        <v>2.2069999999999999</v>
      </c>
      <c r="AA886" s="315">
        <v>2.3582000000000001</v>
      </c>
      <c r="AB886" s="315">
        <v>2.3420000000000001</v>
      </c>
      <c r="AC886" s="315">
        <v>1.9024000000000001</v>
      </c>
      <c r="AD886" s="315">
        <v>1.6992</v>
      </c>
      <c r="AE886" s="315">
        <v>2.1686000000000001</v>
      </c>
      <c r="AF886" s="315">
        <v>1.7603</v>
      </c>
      <c r="AG886" s="315">
        <v>1.827</v>
      </c>
      <c r="AH886" s="315">
        <v>1.8307</v>
      </c>
      <c r="AI886" s="315">
        <v>2.1579999999999999</v>
      </c>
      <c r="AJ886" s="315">
        <v>1.7118</v>
      </c>
      <c r="AK886" s="315">
        <v>1.7456</v>
      </c>
      <c r="AL886" s="315">
        <v>1.8836999999999999</v>
      </c>
      <c r="AM886" s="315">
        <v>2.3433000000000002</v>
      </c>
      <c r="AN886" s="315">
        <v>2.0028000000000001</v>
      </c>
      <c r="AO886" s="315">
        <v>2.1648000000000001</v>
      </c>
      <c r="AP886" s="315">
        <v>2.2789000000000001</v>
      </c>
      <c r="AQ886" s="315">
        <v>1.8338000000000001</v>
      </c>
      <c r="AR886" s="315">
        <v>2.0070000000000001</v>
      </c>
      <c r="AS886" s="315">
        <v>1.6188</v>
      </c>
      <c r="AT886" s="315">
        <v>2.1958000000000002</v>
      </c>
      <c r="AU886" s="315">
        <v>2.2218</v>
      </c>
      <c r="AV886" s="315">
        <v>2.2098</v>
      </c>
      <c r="AW886" s="315">
        <v>2.0506000000000002</v>
      </c>
      <c r="AX886" s="315">
        <v>1.6465000000000001</v>
      </c>
      <c r="AY886" s="315">
        <v>2.1122999999999998</v>
      </c>
      <c r="AZ886" s="315">
        <v>2.2311000000000001</v>
      </c>
      <c r="BA886" s="315">
        <v>1.6054999999999999</v>
      </c>
      <c r="BB886" s="315">
        <v>0</v>
      </c>
      <c r="BC886" s="315">
        <v>2.0788000000000002</v>
      </c>
      <c r="BD886" s="315">
        <v>2.2332999999999998</v>
      </c>
      <c r="BE886" s="315">
        <v>2.5369999999999999</v>
      </c>
      <c r="BF886" s="315">
        <v>2.3292000000000002</v>
      </c>
      <c r="BG886" s="315">
        <v>2.3895</v>
      </c>
      <c r="BH886" s="315">
        <v>2.3052000000000001</v>
      </c>
      <c r="BI886" s="315">
        <v>2.3268</v>
      </c>
      <c r="BJ886" s="315">
        <v>2.1924000000000001</v>
      </c>
      <c r="BK886" s="315">
        <v>2.3001</v>
      </c>
    </row>
    <row r="887" spans="1:63" x14ac:dyDescent="0.25">
      <c r="A887" s="306">
        <v>312110</v>
      </c>
      <c r="B887" s="315" t="s">
        <v>54</v>
      </c>
      <c r="C887" s="315">
        <v>3.081</v>
      </c>
      <c r="D887" s="315">
        <v>1.2955000000000001</v>
      </c>
      <c r="E887" s="315">
        <v>2.0457000000000001</v>
      </c>
      <c r="F887" s="315">
        <v>1.9896</v>
      </c>
      <c r="G887" s="315">
        <v>1.8451</v>
      </c>
      <c r="H887" s="315">
        <v>2.1814</v>
      </c>
      <c r="I887" s="315">
        <v>1.8505</v>
      </c>
      <c r="J887" s="315">
        <v>1.9005000000000001</v>
      </c>
      <c r="K887" s="315">
        <v>0</v>
      </c>
      <c r="L887" s="315">
        <v>1.5741000000000001</v>
      </c>
      <c r="M887" s="315">
        <v>1.7865</v>
      </c>
      <c r="N887" s="315">
        <v>2.3462000000000001</v>
      </c>
      <c r="O887" s="315">
        <v>1.5624</v>
      </c>
      <c r="P887" s="315">
        <v>1.8721000000000001</v>
      </c>
      <c r="Q887" s="315">
        <v>1.4861</v>
      </c>
      <c r="R887" s="315">
        <v>2.3523999999999998</v>
      </c>
      <c r="S887" s="315">
        <v>2.3018999999999998</v>
      </c>
      <c r="T887" s="315">
        <v>1.7617</v>
      </c>
      <c r="U887" s="315">
        <v>2.2494999999999998</v>
      </c>
      <c r="V887" s="315">
        <v>1.9458</v>
      </c>
      <c r="W887" s="315">
        <v>1.8232999999999999</v>
      </c>
      <c r="X887" s="315">
        <v>1.8122</v>
      </c>
      <c r="Y887" s="315">
        <v>1.661</v>
      </c>
      <c r="Z887" s="315">
        <v>2.2172000000000001</v>
      </c>
      <c r="AA887" s="315">
        <v>1.9833000000000001</v>
      </c>
      <c r="AB887" s="315">
        <v>2.3637000000000001</v>
      </c>
      <c r="AC887" s="315">
        <v>1.9200999999999999</v>
      </c>
      <c r="AD887" s="315">
        <v>1.3624000000000001</v>
      </c>
      <c r="AE887" s="315">
        <v>2.0222000000000002</v>
      </c>
      <c r="AF887" s="315">
        <v>1.4738</v>
      </c>
      <c r="AG887" s="315">
        <v>1.4678</v>
      </c>
      <c r="AH887" s="315">
        <v>1.8878999999999999</v>
      </c>
      <c r="AI887" s="315">
        <v>2.1932</v>
      </c>
      <c r="AJ887" s="315">
        <v>1.3911</v>
      </c>
      <c r="AK887" s="315">
        <v>1.5564</v>
      </c>
      <c r="AL887" s="315">
        <v>1.7017</v>
      </c>
      <c r="AM887" s="315">
        <v>2.5653999999999999</v>
      </c>
      <c r="AN887" s="315">
        <v>1.7497</v>
      </c>
      <c r="AO887" s="315">
        <v>1.9504999999999999</v>
      </c>
      <c r="AP887" s="315">
        <v>2.3864000000000001</v>
      </c>
      <c r="AQ887" s="315">
        <v>1.6565000000000001</v>
      </c>
      <c r="AR887" s="315">
        <v>2.1149</v>
      </c>
      <c r="AS887" s="315">
        <v>1.5525</v>
      </c>
      <c r="AT887" s="315">
        <v>2.2837999999999998</v>
      </c>
      <c r="AU887" s="315">
        <v>2.1882000000000001</v>
      </c>
      <c r="AV887" s="315">
        <v>1.9452</v>
      </c>
      <c r="AW887" s="315">
        <v>2.0442999999999998</v>
      </c>
      <c r="AX887" s="315">
        <v>1.4373</v>
      </c>
      <c r="AY887" s="315">
        <v>2.0183</v>
      </c>
      <c r="AZ887" s="315">
        <v>2.0581</v>
      </c>
      <c r="BA887" s="315">
        <v>1.7909999999999999</v>
      </c>
      <c r="BB887" s="315">
        <v>1.3143</v>
      </c>
      <c r="BC887" s="315">
        <v>1.9742</v>
      </c>
      <c r="BD887" s="315">
        <v>2.2225000000000001</v>
      </c>
      <c r="BE887" s="315">
        <v>2.5861000000000001</v>
      </c>
      <c r="BF887" s="315">
        <v>2.2624</v>
      </c>
      <c r="BG887" s="315">
        <v>2.3778999999999999</v>
      </c>
      <c r="BH887" s="315">
        <v>2.4016000000000002</v>
      </c>
      <c r="BI887" s="315">
        <v>2.2837999999999998</v>
      </c>
      <c r="BJ887" s="315">
        <v>1.8481000000000001</v>
      </c>
      <c r="BK887" s="315">
        <v>2.1916000000000002</v>
      </c>
    </row>
    <row r="888" spans="1:63" x14ac:dyDescent="0.25">
      <c r="A888" s="306">
        <v>312120</v>
      </c>
      <c r="B888" s="315" t="s">
        <v>55</v>
      </c>
      <c r="C888" s="315">
        <v>2.7890000000000001</v>
      </c>
      <c r="D888" s="315">
        <v>1.2647999999999999</v>
      </c>
      <c r="E888" s="315">
        <v>0</v>
      </c>
      <c r="F888" s="315">
        <v>2.0842000000000001</v>
      </c>
      <c r="G888" s="315">
        <v>1.6847000000000001</v>
      </c>
      <c r="H888" s="315">
        <v>2.0886</v>
      </c>
      <c r="I888" s="315">
        <v>2.1225000000000001</v>
      </c>
      <c r="J888" s="315">
        <v>1.7303999999999999</v>
      </c>
      <c r="K888" s="315">
        <v>1.1046</v>
      </c>
      <c r="L888" s="315">
        <v>1.4023000000000001</v>
      </c>
      <c r="M888" s="315">
        <v>1.7359</v>
      </c>
      <c r="N888" s="315">
        <v>2.1993</v>
      </c>
      <c r="O888" s="315">
        <v>1.4536</v>
      </c>
      <c r="P888" s="315">
        <v>1.73</v>
      </c>
      <c r="Q888" s="315">
        <v>1.4958</v>
      </c>
      <c r="R888" s="315">
        <v>2.3359999999999999</v>
      </c>
      <c r="S888" s="315">
        <v>2.1516999999999999</v>
      </c>
      <c r="T888" s="315">
        <v>1.7294</v>
      </c>
      <c r="U888" s="315">
        <v>1.8209</v>
      </c>
      <c r="V888" s="315">
        <v>1.8521000000000001</v>
      </c>
      <c r="W888" s="315">
        <v>1.7322</v>
      </c>
      <c r="X888" s="315">
        <v>1.6365000000000001</v>
      </c>
      <c r="Y888" s="315">
        <v>1.502</v>
      </c>
      <c r="Z888" s="315">
        <v>1.9266000000000001</v>
      </c>
      <c r="AA888" s="315">
        <v>2.1360000000000001</v>
      </c>
      <c r="AB888" s="315">
        <v>2.2262</v>
      </c>
      <c r="AC888" s="315">
        <v>1.8313999999999999</v>
      </c>
      <c r="AD888" s="315">
        <v>1.4095</v>
      </c>
      <c r="AE888" s="315">
        <v>2.0004</v>
      </c>
      <c r="AF888" s="315">
        <v>0</v>
      </c>
      <c r="AG888" s="315">
        <v>1.6173999999999999</v>
      </c>
      <c r="AH888" s="315">
        <v>1.474</v>
      </c>
      <c r="AI888" s="315">
        <v>1.9883999999999999</v>
      </c>
      <c r="AJ888" s="315">
        <v>1.409</v>
      </c>
      <c r="AK888" s="315">
        <v>1.4626999999999999</v>
      </c>
      <c r="AL888" s="315">
        <v>1.6454</v>
      </c>
      <c r="AM888" s="315">
        <v>2.33</v>
      </c>
      <c r="AN888" s="315">
        <v>1.9901</v>
      </c>
      <c r="AO888" s="315">
        <v>1.9377</v>
      </c>
      <c r="AP888" s="315">
        <v>2.2528000000000001</v>
      </c>
      <c r="AQ888" s="315">
        <v>1.6820999999999999</v>
      </c>
      <c r="AR888" s="315">
        <v>1.9013</v>
      </c>
      <c r="AS888" s="315">
        <v>1.4807999999999999</v>
      </c>
      <c r="AT888" s="315">
        <v>1.8906000000000001</v>
      </c>
      <c r="AU888" s="315">
        <v>2.0419999999999998</v>
      </c>
      <c r="AV888" s="315">
        <v>1.897</v>
      </c>
      <c r="AW888" s="315">
        <v>1.9764999999999999</v>
      </c>
      <c r="AX888" s="315">
        <v>1.4035</v>
      </c>
      <c r="AY888" s="315">
        <v>1.9456</v>
      </c>
      <c r="AZ888" s="315">
        <v>2.1566000000000001</v>
      </c>
      <c r="BA888" s="315">
        <v>1.6012</v>
      </c>
      <c r="BB888" s="315">
        <v>0</v>
      </c>
      <c r="BC888" s="315">
        <v>1.7990999999999999</v>
      </c>
      <c r="BD888" s="315">
        <v>2.0592999999999999</v>
      </c>
      <c r="BE888" s="315">
        <v>2.4268000000000001</v>
      </c>
      <c r="BF888" s="315">
        <v>2.1425000000000001</v>
      </c>
      <c r="BG888" s="315">
        <v>2.1387999999999998</v>
      </c>
      <c r="BH888" s="315">
        <v>2.0139999999999998</v>
      </c>
      <c r="BI888" s="315">
        <v>2.2229999999999999</v>
      </c>
      <c r="BJ888" s="315">
        <v>1.9847999999999999</v>
      </c>
      <c r="BK888" s="315">
        <v>2.0991</v>
      </c>
    </row>
    <row r="889" spans="1:63" x14ac:dyDescent="0.25">
      <c r="A889" s="306">
        <v>312130</v>
      </c>
      <c r="B889" s="315" t="s">
        <v>56</v>
      </c>
      <c r="C889" s="315">
        <v>2.9876999999999998</v>
      </c>
      <c r="D889" s="315">
        <v>1.3765000000000001</v>
      </c>
      <c r="E889" s="315">
        <v>1.7023999999999999</v>
      </c>
      <c r="F889" s="315">
        <v>1.819</v>
      </c>
      <c r="G889" s="315">
        <v>1.7544</v>
      </c>
      <c r="H889" s="315">
        <v>2.4135</v>
      </c>
      <c r="I889" s="315">
        <v>2.0026999999999999</v>
      </c>
      <c r="J889" s="315">
        <v>1.8524</v>
      </c>
      <c r="K889" s="315">
        <v>0</v>
      </c>
      <c r="L889" s="315">
        <v>0</v>
      </c>
      <c r="M889" s="315">
        <v>1.9278999999999999</v>
      </c>
      <c r="N889" s="315">
        <v>2.1080000000000001</v>
      </c>
      <c r="O889" s="315">
        <v>1.6916</v>
      </c>
      <c r="P889" s="315">
        <v>1.5642</v>
      </c>
      <c r="Q889" s="315">
        <v>1.6109</v>
      </c>
      <c r="R889" s="315">
        <v>2.1717</v>
      </c>
      <c r="S889" s="315">
        <v>1.8451</v>
      </c>
      <c r="T889" s="315">
        <v>1.5922000000000001</v>
      </c>
      <c r="U889" s="315">
        <v>1.8117000000000001</v>
      </c>
      <c r="V889" s="315">
        <v>1.7688999999999999</v>
      </c>
      <c r="W889" s="315">
        <v>1.9823999999999999</v>
      </c>
      <c r="X889" s="315">
        <v>1.7001999999999999</v>
      </c>
      <c r="Y889" s="315">
        <v>1.8176000000000001</v>
      </c>
      <c r="Z889" s="315">
        <v>2.1025</v>
      </c>
      <c r="AA889" s="315">
        <v>1.9962</v>
      </c>
      <c r="AB889" s="315">
        <v>2.0280999999999998</v>
      </c>
      <c r="AC889" s="315">
        <v>0</v>
      </c>
      <c r="AD889" s="315">
        <v>1.4417</v>
      </c>
      <c r="AE889" s="315">
        <v>1.9887999999999999</v>
      </c>
      <c r="AF889" s="315">
        <v>1.4763999999999999</v>
      </c>
      <c r="AG889" s="315">
        <v>1.5664</v>
      </c>
      <c r="AH889" s="315">
        <v>1.7609999999999999</v>
      </c>
      <c r="AI889" s="315">
        <v>2.0781999999999998</v>
      </c>
      <c r="AJ889" s="315">
        <v>1.6631</v>
      </c>
      <c r="AK889" s="315">
        <v>0</v>
      </c>
      <c r="AL889" s="315">
        <v>1.8029999999999999</v>
      </c>
      <c r="AM889" s="315">
        <v>2.1272000000000002</v>
      </c>
      <c r="AN889" s="315">
        <v>1.7356</v>
      </c>
      <c r="AO889" s="315">
        <v>2.2258</v>
      </c>
      <c r="AP889" s="315">
        <v>2.1650999999999998</v>
      </c>
      <c r="AQ889" s="315">
        <v>1.6680999999999999</v>
      </c>
      <c r="AR889" s="315">
        <v>1.8091999999999999</v>
      </c>
      <c r="AS889" s="315">
        <v>1.4182999999999999</v>
      </c>
      <c r="AT889" s="315">
        <v>1.8270999999999999</v>
      </c>
      <c r="AU889" s="315">
        <v>1.9850000000000001</v>
      </c>
      <c r="AV889" s="315">
        <v>0</v>
      </c>
      <c r="AW889" s="315">
        <v>2.004</v>
      </c>
      <c r="AX889" s="315">
        <v>1.6006</v>
      </c>
      <c r="AY889" s="315">
        <v>2.2450000000000001</v>
      </c>
      <c r="AZ889" s="315">
        <v>2.0958999999999999</v>
      </c>
      <c r="BA889" s="315">
        <v>1.5066999999999999</v>
      </c>
      <c r="BB889" s="315">
        <v>0</v>
      </c>
      <c r="BC889" s="315">
        <v>2.0263</v>
      </c>
      <c r="BD889" s="315">
        <v>2.1436000000000002</v>
      </c>
      <c r="BE889" s="315">
        <v>2.2376</v>
      </c>
      <c r="BF889" s="315">
        <v>1.9643999999999999</v>
      </c>
      <c r="BG889" s="315">
        <v>2.2326000000000001</v>
      </c>
      <c r="BH889" s="315">
        <v>1.8956999999999999</v>
      </c>
      <c r="BI889" s="315">
        <v>2.0512000000000001</v>
      </c>
      <c r="BJ889" s="315">
        <v>1.9265000000000001</v>
      </c>
      <c r="BK889" s="315">
        <v>2.4293999999999998</v>
      </c>
    </row>
    <row r="890" spans="1:63" x14ac:dyDescent="0.25">
      <c r="A890" s="306">
        <v>312140</v>
      </c>
      <c r="B890" s="315" t="s">
        <v>57</v>
      </c>
      <c r="C890" s="315">
        <v>2.0122</v>
      </c>
      <c r="D890" s="315">
        <v>0</v>
      </c>
      <c r="E890" s="315">
        <v>0</v>
      </c>
      <c r="F890" s="315">
        <v>1.6046</v>
      </c>
      <c r="G890" s="315">
        <v>0</v>
      </c>
      <c r="H890" s="315">
        <v>1.5851999999999999</v>
      </c>
      <c r="I890" s="315">
        <v>1.5417000000000001</v>
      </c>
      <c r="J890" s="315">
        <v>1.526</v>
      </c>
      <c r="K890" s="315">
        <v>0</v>
      </c>
      <c r="L890" s="315">
        <v>0</v>
      </c>
      <c r="M890" s="315">
        <v>1.4901</v>
      </c>
      <c r="N890" s="315">
        <v>1.6036999999999999</v>
      </c>
      <c r="O890" s="315">
        <v>1.3109</v>
      </c>
      <c r="P890" s="315">
        <v>1.3452</v>
      </c>
      <c r="Q890" s="315">
        <v>1.3546</v>
      </c>
      <c r="R890" s="315">
        <v>1.7412000000000001</v>
      </c>
      <c r="S890" s="315">
        <v>1.6662999999999999</v>
      </c>
      <c r="T890" s="315">
        <v>0</v>
      </c>
      <c r="U890" s="315">
        <v>1.609</v>
      </c>
      <c r="V890" s="315">
        <v>0</v>
      </c>
      <c r="W890" s="315">
        <v>0</v>
      </c>
      <c r="X890" s="315">
        <v>1.5015000000000001</v>
      </c>
      <c r="Y890" s="315">
        <v>1.5002</v>
      </c>
      <c r="Z890" s="315">
        <v>1.5443</v>
      </c>
      <c r="AA890" s="315">
        <v>1.6351</v>
      </c>
      <c r="AB890" s="315">
        <v>1.7214</v>
      </c>
      <c r="AC890" s="315">
        <v>0</v>
      </c>
      <c r="AD890" s="315">
        <v>0</v>
      </c>
      <c r="AE890" s="315">
        <v>0</v>
      </c>
      <c r="AF890" s="315">
        <v>0</v>
      </c>
      <c r="AG890" s="315">
        <v>0</v>
      </c>
      <c r="AH890" s="315">
        <v>1.4137</v>
      </c>
      <c r="AI890" s="315">
        <v>1.5488</v>
      </c>
      <c r="AJ890" s="315">
        <v>0</v>
      </c>
      <c r="AK890" s="315">
        <v>0</v>
      </c>
      <c r="AL890" s="315">
        <v>1.4696</v>
      </c>
      <c r="AM890" s="315">
        <v>1.7153</v>
      </c>
      <c r="AN890" s="315">
        <v>0</v>
      </c>
      <c r="AO890" s="315">
        <v>1.5868</v>
      </c>
      <c r="AP890" s="315">
        <v>1.6240000000000001</v>
      </c>
      <c r="AQ890" s="315">
        <v>0</v>
      </c>
      <c r="AR890" s="315">
        <v>0</v>
      </c>
      <c r="AS890" s="315">
        <v>0</v>
      </c>
      <c r="AT890" s="315">
        <v>1.645</v>
      </c>
      <c r="AU890" s="315">
        <v>1.5608</v>
      </c>
      <c r="AV890" s="315">
        <v>1.4964999999999999</v>
      </c>
      <c r="AW890" s="315">
        <v>0</v>
      </c>
      <c r="AX890" s="315">
        <v>0</v>
      </c>
      <c r="AY890" s="315">
        <v>1.5118</v>
      </c>
      <c r="AZ890" s="315">
        <v>1.5505</v>
      </c>
      <c r="BA890" s="315">
        <v>0</v>
      </c>
      <c r="BB890" s="315">
        <v>1.2361</v>
      </c>
      <c r="BC890" s="315">
        <v>1.6121000000000001</v>
      </c>
      <c r="BD890" s="315">
        <v>1.6375</v>
      </c>
      <c r="BE890" s="315">
        <v>1.7402</v>
      </c>
      <c r="BF890" s="315">
        <v>1.6077999999999999</v>
      </c>
      <c r="BG890" s="315">
        <v>1.6395999999999999</v>
      </c>
      <c r="BH890" s="315">
        <v>1.663</v>
      </c>
      <c r="BI890" s="315">
        <v>1.6498999999999999</v>
      </c>
      <c r="BJ890" s="315">
        <v>1.4887999999999999</v>
      </c>
      <c r="BK890" s="315">
        <v>1.6</v>
      </c>
    </row>
    <row r="891" spans="1:63" x14ac:dyDescent="0.25">
      <c r="A891" s="306" t="s">
        <v>708</v>
      </c>
      <c r="B891" s="315" t="s">
        <v>58</v>
      </c>
      <c r="C891" s="315">
        <v>1.8432999999999999</v>
      </c>
      <c r="D891" s="315">
        <v>0</v>
      </c>
      <c r="E891" s="315">
        <v>1.4269000000000001</v>
      </c>
      <c r="F891" s="315">
        <v>0</v>
      </c>
      <c r="G891" s="315">
        <v>0</v>
      </c>
      <c r="H891" s="315">
        <v>1.3905000000000001</v>
      </c>
      <c r="I891" s="315">
        <v>0</v>
      </c>
      <c r="J891" s="315">
        <v>1.3918999999999999</v>
      </c>
      <c r="K891" s="315">
        <v>1.0447</v>
      </c>
      <c r="L891" s="315">
        <v>0</v>
      </c>
      <c r="M891" s="315">
        <v>1.375</v>
      </c>
      <c r="N891" s="315">
        <v>1.5468</v>
      </c>
      <c r="O891" s="315">
        <v>0</v>
      </c>
      <c r="P891" s="315">
        <v>0</v>
      </c>
      <c r="Q891" s="315">
        <v>0</v>
      </c>
      <c r="R891" s="315">
        <v>1.4556</v>
      </c>
      <c r="S891" s="315">
        <v>1.3796999999999999</v>
      </c>
      <c r="T891" s="315">
        <v>0</v>
      </c>
      <c r="U891" s="315">
        <v>1.4999</v>
      </c>
      <c r="V891" s="315">
        <v>0</v>
      </c>
      <c r="W891" s="315">
        <v>0</v>
      </c>
      <c r="X891" s="315">
        <v>0</v>
      </c>
      <c r="Y891" s="315">
        <v>0</v>
      </c>
      <c r="Z891" s="315">
        <v>0</v>
      </c>
      <c r="AA891" s="315">
        <v>0</v>
      </c>
      <c r="AB891" s="315">
        <v>1.4008</v>
      </c>
      <c r="AC891" s="315">
        <v>0</v>
      </c>
      <c r="AD891" s="315">
        <v>0</v>
      </c>
      <c r="AE891" s="315">
        <v>1.5470999999999999</v>
      </c>
      <c r="AF891" s="315">
        <v>0</v>
      </c>
      <c r="AG891" s="315">
        <v>0</v>
      </c>
      <c r="AH891" s="315">
        <v>0</v>
      </c>
      <c r="AI891" s="315">
        <v>1.3802000000000001</v>
      </c>
      <c r="AJ891" s="315">
        <v>1.2117</v>
      </c>
      <c r="AK891" s="315">
        <v>0</v>
      </c>
      <c r="AL891" s="315">
        <v>1.3219000000000001</v>
      </c>
      <c r="AM891" s="315">
        <v>0</v>
      </c>
      <c r="AN891" s="315">
        <v>1.3222</v>
      </c>
      <c r="AO891" s="315">
        <v>0</v>
      </c>
      <c r="AP891" s="315">
        <v>1.5468</v>
      </c>
      <c r="AQ891" s="315">
        <v>0</v>
      </c>
      <c r="AR891" s="315">
        <v>1.468</v>
      </c>
      <c r="AS891" s="315">
        <v>0</v>
      </c>
      <c r="AT891" s="315">
        <v>1.5660000000000001</v>
      </c>
      <c r="AU891" s="315">
        <v>1.3954</v>
      </c>
      <c r="AV891" s="315">
        <v>1.387</v>
      </c>
      <c r="AW891" s="315">
        <v>1.5121</v>
      </c>
      <c r="AX891" s="315">
        <v>0</v>
      </c>
      <c r="AY891" s="315">
        <v>1.3435999999999999</v>
      </c>
      <c r="AZ891" s="315">
        <v>1.3976999999999999</v>
      </c>
      <c r="BA891" s="315">
        <v>1.2898000000000001</v>
      </c>
      <c r="BB891" s="315">
        <v>1.1617</v>
      </c>
      <c r="BC891" s="315">
        <v>1.4493</v>
      </c>
      <c r="BD891" s="315">
        <v>1.4716</v>
      </c>
      <c r="BE891" s="315">
        <v>1.4896</v>
      </c>
      <c r="BF891" s="315">
        <v>1.3777999999999999</v>
      </c>
      <c r="BG891" s="315">
        <v>1.6227</v>
      </c>
      <c r="BH891" s="315">
        <v>1.5927</v>
      </c>
      <c r="BI891" s="315">
        <v>1.4258999999999999</v>
      </c>
      <c r="BJ891" s="315">
        <v>1.3542000000000001</v>
      </c>
      <c r="BK891" s="315">
        <v>1.4046000000000001</v>
      </c>
    </row>
    <row r="892" spans="1:63" x14ac:dyDescent="0.25">
      <c r="A892" s="306">
        <v>313100</v>
      </c>
      <c r="B892" s="315" t="s">
        <v>59</v>
      </c>
      <c r="C892" s="315">
        <v>3.5314000000000001</v>
      </c>
      <c r="D892" s="315">
        <v>0</v>
      </c>
      <c r="E892" s="315">
        <v>2.6337000000000002</v>
      </c>
      <c r="F892" s="315">
        <v>0</v>
      </c>
      <c r="G892" s="315">
        <v>1.9901</v>
      </c>
      <c r="H892" s="315">
        <v>1.9391</v>
      </c>
      <c r="I892" s="315">
        <v>0</v>
      </c>
      <c r="J892" s="315">
        <v>1.6677999999999999</v>
      </c>
      <c r="K892" s="315">
        <v>0</v>
      </c>
      <c r="L892" s="315">
        <v>0</v>
      </c>
      <c r="M892" s="315">
        <v>1.8611</v>
      </c>
      <c r="N892" s="315">
        <v>2.7210999999999999</v>
      </c>
      <c r="O892" s="315">
        <v>0</v>
      </c>
      <c r="P892" s="315">
        <v>0</v>
      </c>
      <c r="Q892" s="315">
        <v>1.4323999999999999</v>
      </c>
      <c r="R892" s="315">
        <v>1.8061</v>
      </c>
      <c r="S892" s="315">
        <v>1.6725000000000001</v>
      </c>
      <c r="T892" s="315">
        <v>1.7559</v>
      </c>
      <c r="U892" s="315">
        <v>0</v>
      </c>
      <c r="V892" s="315">
        <v>1.992</v>
      </c>
      <c r="W892" s="315">
        <v>1.7950999999999999</v>
      </c>
      <c r="X892" s="315">
        <v>1.6561999999999999</v>
      </c>
      <c r="Y892" s="315">
        <v>1.7391000000000001</v>
      </c>
      <c r="Z892" s="315">
        <v>1.6763999999999999</v>
      </c>
      <c r="AA892" s="315">
        <v>0</v>
      </c>
      <c r="AB892" s="315">
        <v>0</v>
      </c>
      <c r="AC892" s="315">
        <v>1.9674</v>
      </c>
      <c r="AD892" s="315">
        <v>0</v>
      </c>
      <c r="AE892" s="315">
        <v>2.6185</v>
      </c>
      <c r="AF892" s="315">
        <v>0</v>
      </c>
      <c r="AG892" s="315">
        <v>1.4642999999999999</v>
      </c>
      <c r="AH892" s="315">
        <v>1.6715</v>
      </c>
      <c r="AI892" s="315">
        <v>1.7112000000000001</v>
      </c>
      <c r="AJ892" s="315">
        <v>1.7289000000000001</v>
      </c>
      <c r="AK892" s="315">
        <v>0</v>
      </c>
      <c r="AL892" s="315">
        <v>1.5153000000000001</v>
      </c>
      <c r="AM892" s="315">
        <v>1.9263999999999999</v>
      </c>
      <c r="AN892" s="315">
        <v>1.7643</v>
      </c>
      <c r="AO892" s="315">
        <v>1.6077999999999999</v>
      </c>
      <c r="AP892" s="315">
        <v>1.8389</v>
      </c>
      <c r="AQ892" s="315">
        <v>1.7723</v>
      </c>
      <c r="AR892" s="315">
        <v>2.6676000000000002</v>
      </c>
      <c r="AS892" s="315">
        <v>0</v>
      </c>
      <c r="AT892" s="315">
        <v>2.6686000000000001</v>
      </c>
      <c r="AU892" s="315">
        <v>2.0767000000000002</v>
      </c>
      <c r="AV892" s="315">
        <v>1.6895</v>
      </c>
      <c r="AW892" s="315">
        <v>2.3694000000000002</v>
      </c>
      <c r="AX892" s="315">
        <v>1.7183999999999999</v>
      </c>
      <c r="AY892" s="315">
        <v>1.5964</v>
      </c>
      <c r="AZ892" s="315">
        <v>1.7125999999999999</v>
      </c>
      <c r="BA892" s="315">
        <v>1.4982</v>
      </c>
      <c r="BB892" s="315">
        <v>1.3764000000000001</v>
      </c>
      <c r="BC892" s="315">
        <v>1.9114</v>
      </c>
      <c r="BD892" s="315">
        <v>1.7733000000000001</v>
      </c>
      <c r="BE892" s="315">
        <v>1.8858999999999999</v>
      </c>
      <c r="BF892" s="315">
        <v>1.7955000000000001</v>
      </c>
      <c r="BG892" s="315">
        <v>2.8685</v>
      </c>
      <c r="BH892" s="315">
        <v>2.8389000000000002</v>
      </c>
      <c r="BI892" s="315">
        <v>2.1135999999999999</v>
      </c>
      <c r="BJ892" s="315">
        <v>1.8822000000000001</v>
      </c>
      <c r="BK892" s="315">
        <v>1.9323999999999999</v>
      </c>
    </row>
    <row r="893" spans="1:63" x14ac:dyDescent="0.25">
      <c r="A893" s="306">
        <v>313210</v>
      </c>
      <c r="B893" s="315" t="s">
        <v>60</v>
      </c>
      <c r="C893" s="315">
        <v>3.2991000000000001</v>
      </c>
      <c r="D893" s="315">
        <v>0</v>
      </c>
      <c r="E893" s="315">
        <v>2.3881999999999999</v>
      </c>
      <c r="F893" s="315">
        <v>1.7934000000000001</v>
      </c>
      <c r="G893" s="315">
        <v>1.905</v>
      </c>
      <c r="H893" s="315">
        <v>2.1484999999999999</v>
      </c>
      <c r="I893" s="315">
        <v>0</v>
      </c>
      <c r="J893" s="315">
        <v>1.8053999999999999</v>
      </c>
      <c r="K893" s="315">
        <v>1.1761999999999999</v>
      </c>
      <c r="L893" s="315">
        <v>1.7833000000000001</v>
      </c>
      <c r="M893" s="315">
        <v>1.9016</v>
      </c>
      <c r="N893" s="315">
        <v>2.5853999999999999</v>
      </c>
      <c r="O893" s="315">
        <v>0</v>
      </c>
      <c r="P893" s="315">
        <v>0</v>
      </c>
      <c r="Q893" s="315">
        <v>1.5148999999999999</v>
      </c>
      <c r="R893" s="315">
        <v>2.0125000000000002</v>
      </c>
      <c r="S893" s="315">
        <v>1.7726</v>
      </c>
      <c r="T893" s="315">
        <v>0</v>
      </c>
      <c r="U893" s="315">
        <v>1.8159000000000001</v>
      </c>
      <c r="V893" s="315">
        <v>1.9542999999999999</v>
      </c>
      <c r="W893" s="315">
        <v>2.0333000000000001</v>
      </c>
      <c r="X893" s="315">
        <v>1.7763</v>
      </c>
      <c r="Y893" s="315">
        <v>1.8526</v>
      </c>
      <c r="Z893" s="315">
        <v>1.8613999999999999</v>
      </c>
      <c r="AA893" s="315">
        <v>1.8170999999999999</v>
      </c>
      <c r="AB893" s="315">
        <v>1.952</v>
      </c>
      <c r="AC893" s="315">
        <v>1.9797</v>
      </c>
      <c r="AD893" s="315">
        <v>1.4913000000000001</v>
      </c>
      <c r="AE893" s="315">
        <v>2.4863</v>
      </c>
      <c r="AF893" s="315">
        <v>1.5226999999999999</v>
      </c>
      <c r="AG893" s="315">
        <v>0</v>
      </c>
      <c r="AH893" s="315">
        <v>1.8355999999999999</v>
      </c>
      <c r="AI893" s="315">
        <v>2.0467</v>
      </c>
      <c r="AJ893" s="315">
        <v>1.6718999999999999</v>
      </c>
      <c r="AK893" s="315">
        <v>1.5815999999999999</v>
      </c>
      <c r="AL893" s="315">
        <v>1.825</v>
      </c>
      <c r="AM893" s="315">
        <v>2.0851999999999999</v>
      </c>
      <c r="AN893" s="315">
        <v>1.7983</v>
      </c>
      <c r="AO893" s="315">
        <v>1.7898000000000001</v>
      </c>
      <c r="AP893" s="315">
        <v>2.1652</v>
      </c>
      <c r="AQ893" s="315">
        <v>1.9604999999999999</v>
      </c>
      <c r="AR893" s="315">
        <v>2.4639000000000002</v>
      </c>
      <c r="AS893" s="315">
        <v>0</v>
      </c>
      <c r="AT893" s="315">
        <v>2.4769999999999999</v>
      </c>
      <c r="AU893" s="315">
        <v>2.1036999999999999</v>
      </c>
      <c r="AV893" s="315">
        <v>1.9691000000000001</v>
      </c>
      <c r="AW893" s="315">
        <v>2.2833000000000001</v>
      </c>
      <c r="AX893" s="315">
        <v>1.7145999999999999</v>
      </c>
      <c r="AY893" s="315">
        <v>1.7644</v>
      </c>
      <c r="AZ893" s="315">
        <v>1.8601000000000001</v>
      </c>
      <c r="BA893" s="315">
        <v>0</v>
      </c>
      <c r="BB893" s="315">
        <v>0</v>
      </c>
      <c r="BC893" s="315">
        <v>2.1951000000000001</v>
      </c>
      <c r="BD893" s="315">
        <v>2.1598999999999999</v>
      </c>
      <c r="BE893" s="315">
        <v>2.0884</v>
      </c>
      <c r="BF893" s="315">
        <v>1.8809</v>
      </c>
      <c r="BG893" s="315">
        <v>2.7206999999999999</v>
      </c>
      <c r="BH893" s="315">
        <v>2.6217999999999999</v>
      </c>
      <c r="BI893" s="315">
        <v>2.1316000000000002</v>
      </c>
      <c r="BJ893" s="315">
        <v>1.9439</v>
      </c>
      <c r="BK893" s="315">
        <v>2.1616</v>
      </c>
    </row>
    <row r="894" spans="1:63" x14ac:dyDescent="0.25">
      <c r="A894" s="306">
        <v>313220</v>
      </c>
      <c r="B894" s="315" t="s">
        <v>61</v>
      </c>
      <c r="C894" s="315">
        <v>3.274</v>
      </c>
      <c r="D894" s="315">
        <v>0</v>
      </c>
      <c r="E894" s="315">
        <v>2.3658000000000001</v>
      </c>
      <c r="F894" s="315">
        <v>0</v>
      </c>
      <c r="G894" s="315">
        <v>1.8858999999999999</v>
      </c>
      <c r="H894" s="315">
        <v>1.9825999999999999</v>
      </c>
      <c r="I894" s="315">
        <v>1.9108000000000001</v>
      </c>
      <c r="J894" s="315">
        <v>1.8952</v>
      </c>
      <c r="K894" s="315">
        <v>0</v>
      </c>
      <c r="L894" s="315">
        <v>0</v>
      </c>
      <c r="M894" s="315">
        <v>1.923</v>
      </c>
      <c r="N894" s="315">
        <v>2.5482999999999998</v>
      </c>
      <c r="O894" s="315">
        <v>0</v>
      </c>
      <c r="P894" s="315">
        <v>0</v>
      </c>
      <c r="Q894" s="315">
        <v>1.5779000000000001</v>
      </c>
      <c r="R894" s="315">
        <v>2.0663999999999998</v>
      </c>
      <c r="S894" s="315">
        <v>0</v>
      </c>
      <c r="T894" s="315">
        <v>1.6627000000000001</v>
      </c>
      <c r="U894" s="315">
        <v>1.8443000000000001</v>
      </c>
      <c r="V894" s="315">
        <v>1.8996</v>
      </c>
      <c r="W894" s="315">
        <v>1.9774</v>
      </c>
      <c r="X894" s="315">
        <v>1.8915999999999999</v>
      </c>
      <c r="Y894" s="315">
        <v>1.9997</v>
      </c>
      <c r="Z894" s="315">
        <v>1.8916999999999999</v>
      </c>
      <c r="AA894" s="315">
        <v>1.8855</v>
      </c>
      <c r="AB894" s="315">
        <v>0</v>
      </c>
      <c r="AC894" s="315">
        <v>0</v>
      </c>
      <c r="AD894" s="315">
        <v>1.5274000000000001</v>
      </c>
      <c r="AE894" s="315">
        <v>2.4565000000000001</v>
      </c>
      <c r="AF894" s="315">
        <v>0</v>
      </c>
      <c r="AG894" s="315">
        <v>0</v>
      </c>
      <c r="AH894" s="315">
        <v>1.9573</v>
      </c>
      <c r="AI894" s="315">
        <v>2.0200999999999998</v>
      </c>
      <c r="AJ894" s="315">
        <v>1.6548</v>
      </c>
      <c r="AK894" s="315">
        <v>0</v>
      </c>
      <c r="AL894" s="315">
        <v>1.7388999999999999</v>
      </c>
      <c r="AM894" s="315">
        <v>2.0931999999999999</v>
      </c>
      <c r="AN894" s="315">
        <v>1.7337</v>
      </c>
      <c r="AO894" s="315">
        <v>0</v>
      </c>
      <c r="AP894" s="315">
        <v>2.1667999999999998</v>
      </c>
      <c r="AQ894" s="315">
        <v>2.0548000000000002</v>
      </c>
      <c r="AR894" s="315">
        <v>2.4367999999999999</v>
      </c>
      <c r="AS894" s="315">
        <v>0</v>
      </c>
      <c r="AT894" s="315">
        <v>2.4495</v>
      </c>
      <c r="AU894" s="315">
        <v>2.0232000000000001</v>
      </c>
      <c r="AV894" s="315">
        <v>1.9535</v>
      </c>
      <c r="AW894" s="315">
        <v>2.4171999999999998</v>
      </c>
      <c r="AX894" s="315">
        <v>0</v>
      </c>
      <c r="AY894" s="315">
        <v>0</v>
      </c>
      <c r="AZ894" s="315">
        <v>0</v>
      </c>
      <c r="BA894" s="315">
        <v>0</v>
      </c>
      <c r="BB894" s="315">
        <v>0</v>
      </c>
      <c r="BC894" s="315">
        <v>2.1635</v>
      </c>
      <c r="BD894" s="315">
        <v>2.0910000000000002</v>
      </c>
      <c r="BE894" s="315">
        <v>2.1078999999999999</v>
      </c>
      <c r="BF894" s="315">
        <v>1.8845000000000001</v>
      </c>
      <c r="BG894" s="315">
        <v>2.7006000000000001</v>
      </c>
      <c r="BH894" s="315">
        <v>2.5701000000000001</v>
      </c>
      <c r="BI894" s="315">
        <v>2.0455999999999999</v>
      </c>
      <c r="BJ894" s="315">
        <v>1.9301999999999999</v>
      </c>
      <c r="BK894" s="315">
        <v>1.9870000000000001</v>
      </c>
    </row>
    <row r="895" spans="1:63" x14ac:dyDescent="0.25">
      <c r="A895" s="306">
        <v>313230</v>
      </c>
      <c r="B895" s="315" t="s">
        <v>62</v>
      </c>
      <c r="C895" s="315">
        <v>3.1829999999999998</v>
      </c>
      <c r="D895" s="315">
        <v>0</v>
      </c>
      <c r="E895" s="315">
        <v>2.1478000000000002</v>
      </c>
      <c r="F895" s="315">
        <v>1.7494000000000001</v>
      </c>
      <c r="G895" s="315">
        <v>1.6975</v>
      </c>
      <c r="H895" s="315">
        <v>2.0402</v>
      </c>
      <c r="I895" s="315">
        <v>0</v>
      </c>
      <c r="J895" s="315">
        <v>1.8535999999999999</v>
      </c>
      <c r="K895" s="315">
        <v>0</v>
      </c>
      <c r="L895" s="315">
        <v>1.8426</v>
      </c>
      <c r="M895" s="315">
        <v>1.7536</v>
      </c>
      <c r="N895" s="315">
        <v>2.3700999999999999</v>
      </c>
      <c r="O895" s="315">
        <v>0</v>
      </c>
      <c r="P895" s="315">
        <v>0</v>
      </c>
      <c r="Q895" s="315">
        <v>1.4936</v>
      </c>
      <c r="R895" s="315">
        <v>2.2599</v>
      </c>
      <c r="S895" s="315">
        <v>2.0592999999999999</v>
      </c>
      <c r="T895" s="315">
        <v>1.7807999999999999</v>
      </c>
      <c r="U895" s="315">
        <v>2.0897999999999999</v>
      </c>
      <c r="V895" s="315">
        <v>0</v>
      </c>
      <c r="W895" s="315">
        <v>1.9875</v>
      </c>
      <c r="X895" s="315">
        <v>1.7573000000000001</v>
      </c>
      <c r="Y895" s="315">
        <v>1.7996000000000001</v>
      </c>
      <c r="Z895" s="315">
        <v>0</v>
      </c>
      <c r="AA895" s="315">
        <v>0</v>
      </c>
      <c r="AB895" s="315">
        <v>2.1185</v>
      </c>
      <c r="AC895" s="315">
        <v>1.9769000000000001</v>
      </c>
      <c r="AD895" s="315">
        <v>0</v>
      </c>
      <c r="AE895" s="315">
        <v>2.2968000000000002</v>
      </c>
      <c r="AF895" s="315">
        <v>0</v>
      </c>
      <c r="AG895" s="315">
        <v>1.5403</v>
      </c>
      <c r="AH895" s="315">
        <v>1.7349000000000001</v>
      </c>
      <c r="AI895" s="315">
        <v>2.1535000000000002</v>
      </c>
      <c r="AJ895" s="315">
        <v>0</v>
      </c>
      <c r="AK895" s="315">
        <v>1.4812000000000001</v>
      </c>
      <c r="AL895" s="315">
        <v>1.6814</v>
      </c>
      <c r="AM895" s="315">
        <v>2.3344</v>
      </c>
      <c r="AN895" s="315">
        <v>1.7141</v>
      </c>
      <c r="AO895" s="315">
        <v>0</v>
      </c>
      <c r="AP895" s="315">
        <v>2.2513999999999998</v>
      </c>
      <c r="AQ895" s="315">
        <v>2.004</v>
      </c>
      <c r="AR895" s="315">
        <v>2.3525</v>
      </c>
      <c r="AS895" s="315">
        <v>0</v>
      </c>
      <c r="AT895" s="315">
        <v>2.3285999999999998</v>
      </c>
      <c r="AU895" s="315">
        <v>2.2178</v>
      </c>
      <c r="AV895" s="315">
        <v>0</v>
      </c>
      <c r="AW895" s="315">
        <v>2.0209999999999999</v>
      </c>
      <c r="AX895" s="315">
        <v>0</v>
      </c>
      <c r="AY895" s="315">
        <v>1.7161</v>
      </c>
      <c r="AZ895" s="315">
        <v>1.9804999999999999</v>
      </c>
      <c r="BA895" s="315">
        <v>1.7742</v>
      </c>
      <c r="BB895" s="315">
        <v>0</v>
      </c>
      <c r="BC895" s="315">
        <v>2.1347</v>
      </c>
      <c r="BD895" s="315">
        <v>2.1581999999999999</v>
      </c>
      <c r="BE895" s="315">
        <v>2.3582999999999998</v>
      </c>
      <c r="BF895" s="315">
        <v>1.9783999999999999</v>
      </c>
      <c r="BG895" s="315">
        <v>2.4899</v>
      </c>
      <c r="BH895" s="315">
        <v>2.4643000000000002</v>
      </c>
      <c r="BI895" s="315">
        <v>2.2551000000000001</v>
      </c>
      <c r="BJ895" s="315">
        <v>1.8207</v>
      </c>
      <c r="BK895" s="315">
        <v>2.0215999999999998</v>
      </c>
    </row>
    <row r="896" spans="1:63" x14ac:dyDescent="0.25">
      <c r="A896" s="306">
        <v>313240</v>
      </c>
      <c r="B896" s="315" t="s">
        <v>63</v>
      </c>
      <c r="C896" s="315">
        <v>3.5091000000000001</v>
      </c>
      <c r="D896" s="315">
        <v>0</v>
      </c>
      <c r="E896" s="315">
        <v>2.5752000000000002</v>
      </c>
      <c r="F896" s="315">
        <v>0</v>
      </c>
      <c r="G896" s="315">
        <v>1.8811</v>
      </c>
      <c r="H896" s="315">
        <v>2.0297999999999998</v>
      </c>
      <c r="I896" s="315">
        <v>0</v>
      </c>
      <c r="J896" s="315">
        <v>0</v>
      </c>
      <c r="K896" s="315">
        <v>0</v>
      </c>
      <c r="L896" s="315">
        <v>0</v>
      </c>
      <c r="M896" s="315">
        <v>1.8514999999999999</v>
      </c>
      <c r="N896" s="315">
        <v>2.7704</v>
      </c>
      <c r="O896" s="315">
        <v>0</v>
      </c>
      <c r="P896" s="315">
        <v>1.5025999999999999</v>
      </c>
      <c r="Q896" s="315">
        <v>0</v>
      </c>
      <c r="R896" s="315">
        <v>1.9716</v>
      </c>
      <c r="S896" s="315">
        <v>1.7283999999999999</v>
      </c>
      <c r="T896" s="315">
        <v>1.6478999999999999</v>
      </c>
      <c r="U896" s="315">
        <v>1.7353000000000001</v>
      </c>
      <c r="V896" s="315">
        <v>0</v>
      </c>
      <c r="W896" s="315">
        <v>2.0245000000000002</v>
      </c>
      <c r="X896" s="315">
        <v>1.9217</v>
      </c>
      <c r="Y896" s="315">
        <v>2.0670000000000002</v>
      </c>
      <c r="Z896" s="315">
        <v>1.8138000000000001</v>
      </c>
      <c r="AA896" s="315">
        <v>1.7734000000000001</v>
      </c>
      <c r="AB896" s="315">
        <v>1.8027</v>
      </c>
      <c r="AC896" s="315">
        <v>1.8281000000000001</v>
      </c>
      <c r="AD896" s="315">
        <v>0</v>
      </c>
      <c r="AE896" s="315">
        <v>2.6579999999999999</v>
      </c>
      <c r="AF896" s="315">
        <v>0</v>
      </c>
      <c r="AG896" s="315">
        <v>0</v>
      </c>
      <c r="AH896" s="315">
        <v>1.9527000000000001</v>
      </c>
      <c r="AI896" s="315">
        <v>2.0238</v>
      </c>
      <c r="AJ896" s="315">
        <v>0</v>
      </c>
      <c r="AK896" s="315">
        <v>0</v>
      </c>
      <c r="AL896" s="315">
        <v>1.7767999999999999</v>
      </c>
      <c r="AM896" s="315">
        <v>0</v>
      </c>
      <c r="AN896" s="315">
        <v>0</v>
      </c>
      <c r="AO896" s="315">
        <v>0</v>
      </c>
      <c r="AP896" s="315">
        <v>2.1604999999999999</v>
      </c>
      <c r="AQ896" s="315">
        <v>2.2090999999999998</v>
      </c>
      <c r="AR896" s="315">
        <v>2.661</v>
      </c>
      <c r="AS896" s="315">
        <v>0</v>
      </c>
      <c r="AT896" s="315">
        <v>2.6928000000000001</v>
      </c>
      <c r="AU896" s="315">
        <v>0</v>
      </c>
      <c r="AV896" s="315">
        <v>0</v>
      </c>
      <c r="AW896" s="315">
        <v>0</v>
      </c>
      <c r="AX896" s="315">
        <v>0</v>
      </c>
      <c r="AY896" s="315">
        <v>0</v>
      </c>
      <c r="AZ896" s="315">
        <v>1.8671</v>
      </c>
      <c r="BA896" s="315">
        <v>0</v>
      </c>
      <c r="BB896" s="315">
        <v>0</v>
      </c>
      <c r="BC896" s="315">
        <v>2.2046000000000001</v>
      </c>
      <c r="BD896" s="315">
        <v>2.0981000000000001</v>
      </c>
      <c r="BE896" s="315">
        <v>2.0013999999999998</v>
      </c>
      <c r="BF896" s="315">
        <v>1.7869999999999999</v>
      </c>
      <c r="BG896" s="315">
        <v>2.9249000000000001</v>
      </c>
      <c r="BH896" s="315">
        <v>2.7850999999999999</v>
      </c>
      <c r="BI896" s="315">
        <v>0</v>
      </c>
      <c r="BJ896" s="315">
        <v>1.8924000000000001</v>
      </c>
      <c r="BK896" s="315">
        <v>2.0348000000000002</v>
      </c>
    </row>
    <row r="897" spans="1:63" x14ac:dyDescent="0.25">
      <c r="A897" s="306">
        <v>313310</v>
      </c>
      <c r="B897" s="315" t="s">
        <v>64</v>
      </c>
      <c r="C897" s="315">
        <v>2.9228000000000001</v>
      </c>
      <c r="D897" s="315">
        <v>1.4046000000000001</v>
      </c>
      <c r="E897" s="315">
        <v>2.0699000000000001</v>
      </c>
      <c r="F897" s="315">
        <v>1.6129</v>
      </c>
      <c r="G897" s="315">
        <v>1.6425000000000001</v>
      </c>
      <c r="H897" s="315">
        <v>1.9319999999999999</v>
      </c>
      <c r="I897" s="315">
        <v>1.7382</v>
      </c>
      <c r="J897" s="315">
        <v>1.6931</v>
      </c>
      <c r="K897" s="315">
        <v>1.1594</v>
      </c>
      <c r="L897" s="315">
        <v>1.5807</v>
      </c>
      <c r="M897" s="315">
        <v>1.6565000000000001</v>
      </c>
      <c r="N897" s="315">
        <v>2.2810999999999999</v>
      </c>
      <c r="O897" s="315">
        <v>1.5066999999999999</v>
      </c>
      <c r="P897" s="315">
        <v>1.5035000000000001</v>
      </c>
      <c r="Q897" s="315">
        <v>1.4450000000000001</v>
      </c>
      <c r="R897" s="315">
        <v>1.8917999999999999</v>
      </c>
      <c r="S897" s="315">
        <v>1.7425999999999999</v>
      </c>
      <c r="T897" s="315">
        <v>1.5817000000000001</v>
      </c>
      <c r="U897" s="315">
        <v>1.7658</v>
      </c>
      <c r="V897" s="315">
        <v>1.8081</v>
      </c>
      <c r="W897" s="315">
        <v>1.9399</v>
      </c>
      <c r="X897" s="315">
        <v>1.6722999999999999</v>
      </c>
      <c r="Y897" s="315">
        <v>1.8019000000000001</v>
      </c>
      <c r="Z897" s="315">
        <v>1.7905</v>
      </c>
      <c r="AA897" s="315">
        <v>1.728</v>
      </c>
      <c r="AB897" s="315">
        <v>1.7058</v>
      </c>
      <c r="AC897" s="315">
        <v>1.8520000000000001</v>
      </c>
      <c r="AD897" s="315">
        <v>1.4395</v>
      </c>
      <c r="AE897" s="315">
        <v>2.2486000000000002</v>
      </c>
      <c r="AF897" s="315">
        <v>1.5622</v>
      </c>
      <c r="AG897" s="315">
        <v>1.4412</v>
      </c>
      <c r="AH897" s="315">
        <v>1.8636999999999999</v>
      </c>
      <c r="AI897" s="315">
        <v>1.9593</v>
      </c>
      <c r="AJ897" s="315">
        <v>1.4754</v>
      </c>
      <c r="AK897" s="315">
        <v>0</v>
      </c>
      <c r="AL897" s="315">
        <v>1.762</v>
      </c>
      <c r="AM897" s="315">
        <v>1.8965000000000001</v>
      </c>
      <c r="AN897" s="315">
        <v>1.5992999999999999</v>
      </c>
      <c r="AO897" s="315">
        <v>1.744</v>
      </c>
      <c r="AP897" s="315">
        <v>2.2477</v>
      </c>
      <c r="AQ897" s="315">
        <v>1.8843000000000001</v>
      </c>
      <c r="AR897" s="315">
        <v>2.2284000000000002</v>
      </c>
      <c r="AS897" s="315">
        <v>1.3665</v>
      </c>
      <c r="AT897" s="315">
        <v>2.1505000000000001</v>
      </c>
      <c r="AU897" s="315">
        <v>1.9957</v>
      </c>
      <c r="AV897" s="315">
        <v>1.8535999999999999</v>
      </c>
      <c r="AW897" s="315">
        <v>2.0207999999999999</v>
      </c>
      <c r="AX897" s="315">
        <v>1.5194000000000001</v>
      </c>
      <c r="AY897" s="315">
        <v>1.6977</v>
      </c>
      <c r="AZ897" s="315">
        <v>1.8883000000000001</v>
      </c>
      <c r="BA897" s="315">
        <v>0</v>
      </c>
      <c r="BB897" s="315">
        <v>1.3913</v>
      </c>
      <c r="BC897" s="315">
        <v>2.1383000000000001</v>
      </c>
      <c r="BD897" s="315">
        <v>2.1120999999999999</v>
      </c>
      <c r="BE897" s="315">
        <v>1.9832000000000001</v>
      </c>
      <c r="BF897" s="315">
        <v>1.7284999999999999</v>
      </c>
      <c r="BG897" s="315">
        <v>2.4443000000000001</v>
      </c>
      <c r="BH897" s="315">
        <v>2.3197999999999999</v>
      </c>
      <c r="BI897" s="315">
        <v>1.9981</v>
      </c>
      <c r="BJ897" s="315">
        <v>1.7443</v>
      </c>
      <c r="BK897" s="315">
        <v>1.9492</v>
      </c>
    </row>
    <row r="898" spans="1:63" x14ac:dyDescent="0.25">
      <c r="A898" s="306">
        <v>313320</v>
      </c>
      <c r="B898" s="315" t="s">
        <v>65</v>
      </c>
      <c r="C898" s="315">
        <v>3.39</v>
      </c>
      <c r="D898" s="315">
        <v>0</v>
      </c>
      <c r="E898" s="315">
        <v>0</v>
      </c>
      <c r="F898" s="315">
        <v>2.0072999999999999</v>
      </c>
      <c r="G898" s="315">
        <v>1.7385999999999999</v>
      </c>
      <c r="H898" s="315">
        <v>2.0415999999999999</v>
      </c>
      <c r="I898" s="315">
        <v>1.8563000000000001</v>
      </c>
      <c r="J898" s="315">
        <v>1.9476</v>
      </c>
      <c r="K898" s="315">
        <v>0</v>
      </c>
      <c r="L898" s="315">
        <v>2.0413999999999999</v>
      </c>
      <c r="M898" s="315">
        <v>1.8297000000000001</v>
      </c>
      <c r="N898" s="315">
        <v>2.5674999999999999</v>
      </c>
      <c r="O898" s="315">
        <v>0</v>
      </c>
      <c r="P898" s="315">
        <v>0</v>
      </c>
      <c r="Q898" s="315">
        <v>0</v>
      </c>
      <c r="R898" s="315">
        <v>2.2313000000000001</v>
      </c>
      <c r="S898" s="315">
        <v>2.1760999999999999</v>
      </c>
      <c r="T898" s="315">
        <v>0</v>
      </c>
      <c r="U898" s="315">
        <v>0</v>
      </c>
      <c r="V898" s="315">
        <v>0</v>
      </c>
      <c r="W898" s="315">
        <v>2.2905000000000002</v>
      </c>
      <c r="X898" s="315">
        <v>1.7424999999999999</v>
      </c>
      <c r="Y898" s="315">
        <v>2.0042</v>
      </c>
      <c r="Z898" s="315">
        <v>1.9813000000000001</v>
      </c>
      <c r="AA898" s="315">
        <v>1.9575</v>
      </c>
      <c r="AB898" s="315">
        <v>2.1166999999999998</v>
      </c>
      <c r="AC898" s="315">
        <v>0</v>
      </c>
      <c r="AD898" s="315">
        <v>0</v>
      </c>
      <c r="AE898" s="315">
        <v>2.4380999999999999</v>
      </c>
      <c r="AF898" s="315">
        <v>0</v>
      </c>
      <c r="AG898" s="315">
        <v>0</v>
      </c>
      <c r="AH898" s="315">
        <v>2.0815999999999999</v>
      </c>
      <c r="AI898" s="315">
        <v>2.2473999999999998</v>
      </c>
      <c r="AJ898" s="315">
        <v>1.5097</v>
      </c>
      <c r="AK898" s="315">
        <v>1.5991</v>
      </c>
      <c r="AL898" s="315">
        <v>1.8080000000000001</v>
      </c>
      <c r="AM898" s="315">
        <v>2.5308999999999999</v>
      </c>
      <c r="AN898" s="315">
        <v>1.736</v>
      </c>
      <c r="AO898" s="315">
        <v>0</v>
      </c>
      <c r="AP898" s="315">
        <v>2.3833000000000002</v>
      </c>
      <c r="AQ898" s="315">
        <v>2.1962999999999999</v>
      </c>
      <c r="AR898" s="315">
        <v>2.5034000000000001</v>
      </c>
      <c r="AS898" s="315">
        <v>0</v>
      </c>
      <c r="AT898" s="315">
        <v>2.496</v>
      </c>
      <c r="AU898" s="315">
        <v>2.2706</v>
      </c>
      <c r="AV898" s="315">
        <v>1.8906000000000001</v>
      </c>
      <c r="AW898" s="315">
        <v>2.3001</v>
      </c>
      <c r="AX898" s="315">
        <v>0</v>
      </c>
      <c r="AY898" s="315">
        <v>1.84</v>
      </c>
      <c r="AZ898" s="315">
        <v>2.2351000000000001</v>
      </c>
      <c r="BA898" s="315">
        <v>0</v>
      </c>
      <c r="BB898" s="315">
        <v>0</v>
      </c>
      <c r="BC898" s="315">
        <v>2.4706999999999999</v>
      </c>
      <c r="BD898" s="315">
        <v>2.2867999999999999</v>
      </c>
      <c r="BE898" s="315">
        <v>2.5049999999999999</v>
      </c>
      <c r="BF898" s="315">
        <v>2.0139999999999998</v>
      </c>
      <c r="BG898" s="315">
        <v>2.6602999999999999</v>
      </c>
      <c r="BH898" s="315">
        <v>2.6646000000000001</v>
      </c>
      <c r="BI898" s="315">
        <v>2.3153999999999999</v>
      </c>
      <c r="BJ898" s="315">
        <v>1.8472</v>
      </c>
      <c r="BK898" s="315">
        <v>2.0583</v>
      </c>
    </row>
    <row r="899" spans="1:63" x14ac:dyDescent="0.25">
      <c r="A899" s="306">
        <v>314110</v>
      </c>
      <c r="B899" s="315" t="s">
        <v>66</v>
      </c>
      <c r="C899" s="315">
        <v>3.3121</v>
      </c>
      <c r="D899" s="315">
        <v>0</v>
      </c>
      <c r="E899" s="315">
        <v>2.5038999999999998</v>
      </c>
      <c r="F899" s="315">
        <v>1.5102</v>
      </c>
      <c r="G899" s="315">
        <v>1.6254</v>
      </c>
      <c r="H899" s="315">
        <v>1.5645</v>
      </c>
      <c r="I899" s="315">
        <v>1.4612000000000001</v>
      </c>
      <c r="J899" s="315">
        <v>1.4879</v>
      </c>
      <c r="K899" s="315">
        <v>1.0727</v>
      </c>
      <c r="L899" s="315">
        <v>0</v>
      </c>
      <c r="M899" s="315">
        <v>1.6013999999999999</v>
      </c>
      <c r="N899" s="315">
        <v>2.6133000000000002</v>
      </c>
      <c r="O899" s="315">
        <v>0</v>
      </c>
      <c r="P899" s="315">
        <v>1.3326</v>
      </c>
      <c r="Q899" s="315">
        <v>0</v>
      </c>
      <c r="R899" s="315">
        <v>1.5966</v>
      </c>
      <c r="S899" s="315">
        <v>1.5797000000000001</v>
      </c>
      <c r="T899" s="315">
        <v>1.5347</v>
      </c>
      <c r="U899" s="315">
        <v>1.6074999999999999</v>
      </c>
      <c r="V899" s="315">
        <v>0</v>
      </c>
      <c r="W899" s="315">
        <v>1.7199</v>
      </c>
      <c r="X899" s="315">
        <v>1.6079000000000001</v>
      </c>
      <c r="Y899" s="315">
        <v>1.8505</v>
      </c>
      <c r="Z899" s="315">
        <v>1.5164</v>
      </c>
      <c r="AA899" s="315">
        <v>1.4641</v>
      </c>
      <c r="AB899" s="315">
        <v>1.5256000000000001</v>
      </c>
      <c r="AC899" s="315">
        <v>0</v>
      </c>
      <c r="AD899" s="315">
        <v>0</v>
      </c>
      <c r="AE899" s="315">
        <v>2.5512000000000001</v>
      </c>
      <c r="AF899" s="315">
        <v>0</v>
      </c>
      <c r="AG899" s="315">
        <v>1.3685</v>
      </c>
      <c r="AH899" s="315">
        <v>1.7024999999999999</v>
      </c>
      <c r="AI899" s="315">
        <v>1.6028</v>
      </c>
      <c r="AJ899" s="315">
        <v>1.373</v>
      </c>
      <c r="AK899" s="315">
        <v>0</v>
      </c>
      <c r="AL899" s="315">
        <v>1.4140999999999999</v>
      </c>
      <c r="AM899" s="315">
        <v>1.8088</v>
      </c>
      <c r="AN899" s="315">
        <v>1.3978999999999999</v>
      </c>
      <c r="AO899" s="315">
        <v>0</v>
      </c>
      <c r="AP899" s="315">
        <v>1.7874000000000001</v>
      </c>
      <c r="AQ899" s="315">
        <v>1.9327000000000001</v>
      </c>
      <c r="AR899" s="315">
        <v>2.6008</v>
      </c>
      <c r="AS899" s="315">
        <v>0</v>
      </c>
      <c r="AT899" s="315">
        <v>2.5583</v>
      </c>
      <c r="AU899" s="315">
        <v>1.6467000000000001</v>
      </c>
      <c r="AV899" s="315">
        <v>0</v>
      </c>
      <c r="AW899" s="315">
        <v>2.3736000000000002</v>
      </c>
      <c r="AX899" s="315">
        <v>1.5582</v>
      </c>
      <c r="AY899" s="315">
        <v>1.4433</v>
      </c>
      <c r="AZ899" s="315">
        <v>1.6803999999999999</v>
      </c>
      <c r="BA899" s="315">
        <v>0</v>
      </c>
      <c r="BB899" s="315">
        <v>0</v>
      </c>
      <c r="BC899" s="315">
        <v>1.8818999999999999</v>
      </c>
      <c r="BD899" s="315">
        <v>1.6579999999999999</v>
      </c>
      <c r="BE899" s="315">
        <v>1.7539</v>
      </c>
      <c r="BF899" s="315">
        <v>1.5177</v>
      </c>
      <c r="BG899" s="315">
        <v>2.7250999999999999</v>
      </c>
      <c r="BH899" s="315">
        <v>2.7277999999999998</v>
      </c>
      <c r="BI899" s="315">
        <v>1.6937</v>
      </c>
      <c r="BJ899" s="315">
        <v>1.5383</v>
      </c>
      <c r="BK899" s="315">
        <v>1.5669</v>
      </c>
    </row>
    <row r="900" spans="1:63" x14ac:dyDescent="0.25">
      <c r="A900" s="306">
        <v>314120</v>
      </c>
      <c r="B900" s="315" t="s">
        <v>67</v>
      </c>
      <c r="C900" s="315">
        <v>2.7587999999999999</v>
      </c>
      <c r="D900" s="315">
        <v>0</v>
      </c>
      <c r="E900" s="315">
        <v>2.0987</v>
      </c>
      <c r="F900" s="315">
        <v>1.5159</v>
      </c>
      <c r="G900" s="315">
        <v>1.6023000000000001</v>
      </c>
      <c r="H900" s="315">
        <v>1.8063</v>
      </c>
      <c r="I900" s="315">
        <v>1.6387</v>
      </c>
      <c r="J900" s="315">
        <v>1.6993</v>
      </c>
      <c r="K900" s="315">
        <v>1.1278999999999999</v>
      </c>
      <c r="L900" s="315">
        <v>1.4173</v>
      </c>
      <c r="M900" s="315">
        <v>1.6283000000000001</v>
      </c>
      <c r="N900" s="315">
        <v>2.2464</v>
      </c>
      <c r="O900" s="315">
        <v>1.4387000000000001</v>
      </c>
      <c r="P900" s="315">
        <v>1.3944000000000001</v>
      </c>
      <c r="Q900" s="315">
        <v>1.4158999999999999</v>
      </c>
      <c r="R900" s="315">
        <v>1.7897000000000001</v>
      </c>
      <c r="S900" s="315">
        <v>1.6669</v>
      </c>
      <c r="T900" s="315">
        <v>1.4912000000000001</v>
      </c>
      <c r="U900" s="315">
        <v>1.6594</v>
      </c>
      <c r="V900" s="315">
        <v>1.6680999999999999</v>
      </c>
      <c r="W900" s="315">
        <v>1.8332999999999999</v>
      </c>
      <c r="X900" s="315">
        <v>1.5905</v>
      </c>
      <c r="Y900" s="315">
        <v>1.8773</v>
      </c>
      <c r="Z900" s="315">
        <v>1.6564000000000001</v>
      </c>
      <c r="AA900" s="315">
        <v>1.7067000000000001</v>
      </c>
      <c r="AB900" s="315">
        <v>1.6558999999999999</v>
      </c>
      <c r="AC900" s="315">
        <v>1.8228</v>
      </c>
      <c r="AD900" s="315">
        <v>1.4020999999999999</v>
      </c>
      <c r="AE900" s="315">
        <v>2.1774</v>
      </c>
      <c r="AF900" s="315">
        <v>1.5226</v>
      </c>
      <c r="AG900" s="315">
        <v>1.3646</v>
      </c>
      <c r="AH900" s="315">
        <v>1.8507</v>
      </c>
      <c r="AI900" s="315">
        <v>1.7707999999999999</v>
      </c>
      <c r="AJ900" s="315">
        <v>1.4112</v>
      </c>
      <c r="AK900" s="315">
        <v>1.4612000000000001</v>
      </c>
      <c r="AL900" s="315">
        <v>1.6695</v>
      </c>
      <c r="AM900" s="315">
        <v>1.8149999999999999</v>
      </c>
      <c r="AN900" s="315">
        <v>1.5530999999999999</v>
      </c>
      <c r="AO900" s="315">
        <v>1.6319999999999999</v>
      </c>
      <c r="AP900" s="315">
        <v>2.1099000000000001</v>
      </c>
      <c r="AQ900" s="315">
        <v>1.7125999999999999</v>
      </c>
      <c r="AR900" s="315">
        <v>2.1633</v>
      </c>
      <c r="AS900" s="315">
        <v>1.3520000000000001</v>
      </c>
      <c r="AT900" s="315">
        <v>1.9758</v>
      </c>
      <c r="AU900" s="315">
        <v>1.8897999999999999</v>
      </c>
      <c r="AV900" s="315">
        <v>1.7710999999999999</v>
      </c>
      <c r="AW900" s="315">
        <v>2.0427</v>
      </c>
      <c r="AX900" s="315">
        <v>1.4859</v>
      </c>
      <c r="AY900" s="315">
        <v>1.6755</v>
      </c>
      <c r="AZ900" s="315">
        <v>1.8767</v>
      </c>
      <c r="BA900" s="315">
        <v>1.4024000000000001</v>
      </c>
      <c r="BB900" s="315">
        <v>1.2428999999999999</v>
      </c>
      <c r="BC900" s="315">
        <v>2.0950000000000002</v>
      </c>
      <c r="BD900" s="315">
        <v>1.9637</v>
      </c>
      <c r="BE900" s="315">
        <v>1.89</v>
      </c>
      <c r="BF900" s="315">
        <v>1.6592</v>
      </c>
      <c r="BG900" s="315">
        <v>2.3163999999999998</v>
      </c>
      <c r="BH900" s="315">
        <v>2.2786</v>
      </c>
      <c r="BI900" s="315">
        <v>1.8747</v>
      </c>
      <c r="BJ900" s="315">
        <v>1.6815</v>
      </c>
      <c r="BK900" s="315">
        <v>1.8268</v>
      </c>
    </row>
    <row r="901" spans="1:63" x14ac:dyDescent="0.25">
      <c r="A901" s="306">
        <v>314910</v>
      </c>
      <c r="B901" s="315" t="s">
        <v>68</v>
      </c>
      <c r="C901" s="315">
        <v>3.0308999999999999</v>
      </c>
      <c r="D901" s="315">
        <v>1.5217000000000001</v>
      </c>
      <c r="E901" s="315">
        <v>2.0556999999999999</v>
      </c>
      <c r="F901" s="315">
        <v>1.7272000000000001</v>
      </c>
      <c r="G901" s="315">
        <v>1.9228000000000001</v>
      </c>
      <c r="H901" s="315">
        <v>2.1063999999999998</v>
      </c>
      <c r="I901" s="315">
        <v>1.9843999999999999</v>
      </c>
      <c r="J901" s="315">
        <v>1.9898</v>
      </c>
      <c r="K901" s="315">
        <v>0</v>
      </c>
      <c r="L901" s="315">
        <v>1.6593</v>
      </c>
      <c r="M901" s="315">
        <v>1.8903000000000001</v>
      </c>
      <c r="N901" s="315">
        <v>2.3982000000000001</v>
      </c>
      <c r="O901" s="315">
        <v>1.6597999999999999</v>
      </c>
      <c r="P901" s="315">
        <v>1.5832999999999999</v>
      </c>
      <c r="Q901" s="315">
        <v>1.5746</v>
      </c>
      <c r="R901" s="315">
        <v>2.1446000000000001</v>
      </c>
      <c r="S901" s="315">
        <v>2.0085999999999999</v>
      </c>
      <c r="T901" s="315">
        <v>1.6756</v>
      </c>
      <c r="U901" s="315">
        <v>1.8936999999999999</v>
      </c>
      <c r="V901" s="315">
        <v>1.8394999999999999</v>
      </c>
      <c r="W901" s="315">
        <v>2.1265000000000001</v>
      </c>
      <c r="X901" s="315">
        <v>1.8243</v>
      </c>
      <c r="Y901" s="315">
        <v>1.9512</v>
      </c>
      <c r="Z901" s="315">
        <v>2.0417999999999998</v>
      </c>
      <c r="AA901" s="315">
        <v>1.9705999999999999</v>
      </c>
      <c r="AB901" s="315">
        <v>2.0857000000000001</v>
      </c>
      <c r="AC901" s="315">
        <v>1.806</v>
      </c>
      <c r="AD901" s="315">
        <v>1.5475000000000001</v>
      </c>
      <c r="AE901" s="315">
        <v>2.2698</v>
      </c>
      <c r="AF901" s="315">
        <v>1.5470999999999999</v>
      </c>
      <c r="AG901" s="315">
        <v>1.5181</v>
      </c>
      <c r="AH901" s="315">
        <v>2.0388000000000002</v>
      </c>
      <c r="AI901" s="315">
        <v>2.1482000000000001</v>
      </c>
      <c r="AJ901" s="315">
        <v>1.6262000000000001</v>
      </c>
      <c r="AK901" s="315">
        <v>1.7799</v>
      </c>
      <c r="AL901" s="315">
        <v>1.8658999999999999</v>
      </c>
      <c r="AM901" s="315">
        <v>2.2284999999999999</v>
      </c>
      <c r="AN901" s="315">
        <v>1.8016000000000001</v>
      </c>
      <c r="AO901" s="315">
        <v>1.8521000000000001</v>
      </c>
      <c r="AP901" s="315">
        <v>2.3159000000000001</v>
      </c>
      <c r="AQ901" s="315">
        <v>1.9893000000000001</v>
      </c>
      <c r="AR901" s="315">
        <v>2.2930999999999999</v>
      </c>
      <c r="AS901" s="315">
        <v>1.5032000000000001</v>
      </c>
      <c r="AT901" s="315">
        <v>2.2486999999999999</v>
      </c>
      <c r="AU901" s="315">
        <v>2.2107000000000001</v>
      </c>
      <c r="AV901" s="315">
        <v>2.0150999999999999</v>
      </c>
      <c r="AW901" s="315">
        <v>2.1774</v>
      </c>
      <c r="AX901" s="315">
        <v>1.6520999999999999</v>
      </c>
      <c r="AY901" s="315">
        <v>1.9182999999999999</v>
      </c>
      <c r="AZ901" s="315">
        <v>2.0568</v>
      </c>
      <c r="BA901" s="315">
        <v>1.5896999999999999</v>
      </c>
      <c r="BB901" s="315">
        <v>1.3285</v>
      </c>
      <c r="BC901" s="315">
        <v>2.3288000000000002</v>
      </c>
      <c r="BD901" s="315">
        <v>2.2576999999999998</v>
      </c>
      <c r="BE901" s="315">
        <v>2.3068</v>
      </c>
      <c r="BF901" s="315">
        <v>2.0055999999999998</v>
      </c>
      <c r="BG901" s="315">
        <v>2.4925999999999999</v>
      </c>
      <c r="BH901" s="315">
        <v>2.4115000000000002</v>
      </c>
      <c r="BI901" s="315">
        <v>2.1943999999999999</v>
      </c>
      <c r="BJ901" s="315">
        <v>2.0223</v>
      </c>
      <c r="BK901" s="315">
        <v>2.1185</v>
      </c>
    </row>
    <row r="902" spans="1:63" x14ac:dyDescent="0.25">
      <c r="A902" s="306">
        <v>314990</v>
      </c>
      <c r="B902" s="315" t="s">
        <v>69</v>
      </c>
      <c r="C902" s="315">
        <v>3.0175000000000001</v>
      </c>
      <c r="D902" s="315">
        <v>1.4601999999999999</v>
      </c>
      <c r="E902" s="315">
        <v>2.2279</v>
      </c>
      <c r="F902" s="315">
        <v>1.6693</v>
      </c>
      <c r="G902" s="315">
        <v>1.7951999999999999</v>
      </c>
      <c r="H902" s="315">
        <v>1.9609000000000001</v>
      </c>
      <c r="I902" s="315">
        <v>1.849</v>
      </c>
      <c r="J902" s="315">
        <v>1.7629999999999999</v>
      </c>
      <c r="K902" s="315">
        <v>0</v>
      </c>
      <c r="L902" s="315">
        <v>1.7317</v>
      </c>
      <c r="M902" s="315">
        <v>1.861</v>
      </c>
      <c r="N902" s="315">
        <v>2.3574000000000002</v>
      </c>
      <c r="O902" s="315">
        <v>1.5918000000000001</v>
      </c>
      <c r="P902" s="315">
        <v>1.5439000000000001</v>
      </c>
      <c r="Q902" s="315">
        <v>1.5241</v>
      </c>
      <c r="R902" s="315">
        <v>2.0084</v>
      </c>
      <c r="S902" s="315">
        <v>1.8041</v>
      </c>
      <c r="T902" s="315">
        <v>1.6867000000000001</v>
      </c>
      <c r="U902" s="315">
        <v>1.835</v>
      </c>
      <c r="V902" s="315">
        <v>1.8227</v>
      </c>
      <c r="W902" s="315">
        <v>1.9259999999999999</v>
      </c>
      <c r="X902" s="315">
        <v>1.8099000000000001</v>
      </c>
      <c r="Y902" s="315">
        <v>1.8299000000000001</v>
      </c>
      <c r="Z902" s="315">
        <v>1.8393999999999999</v>
      </c>
      <c r="AA902" s="315">
        <v>1.7899</v>
      </c>
      <c r="AB902" s="315">
        <v>1.8655999999999999</v>
      </c>
      <c r="AC902" s="315">
        <v>1.8080000000000001</v>
      </c>
      <c r="AD902" s="315">
        <v>1.5203</v>
      </c>
      <c r="AE902" s="315">
        <v>2.2509000000000001</v>
      </c>
      <c r="AF902" s="315">
        <v>1.4588000000000001</v>
      </c>
      <c r="AG902" s="315">
        <v>1.5184</v>
      </c>
      <c r="AH902" s="315">
        <v>1.7759</v>
      </c>
      <c r="AI902" s="315">
        <v>1.9502999999999999</v>
      </c>
      <c r="AJ902" s="315">
        <v>1.5615000000000001</v>
      </c>
      <c r="AK902" s="315">
        <v>1.5621</v>
      </c>
      <c r="AL902" s="315">
        <v>1.7357</v>
      </c>
      <c r="AM902" s="315">
        <v>2.0369000000000002</v>
      </c>
      <c r="AN902" s="315">
        <v>1.7090000000000001</v>
      </c>
      <c r="AO902" s="315">
        <v>1.7374000000000001</v>
      </c>
      <c r="AP902" s="315">
        <v>2.0686</v>
      </c>
      <c r="AQ902" s="315">
        <v>1.8940999999999999</v>
      </c>
      <c r="AR902" s="315">
        <v>2.2875999999999999</v>
      </c>
      <c r="AS902" s="315">
        <v>1.4400999999999999</v>
      </c>
      <c r="AT902" s="315">
        <v>2.2988</v>
      </c>
      <c r="AU902" s="315">
        <v>1.9981</v>
      </c>
      <c r="AV902" s="315">
        <v>1.8960999999999999</v>
      </c>
      <c r="AW902" s="315">
        <v>2.1638000000000002</v>
      </c>
      <c r="AX902" s="315">
        <v>1.6840999999999999</v>
      </c>
      <c r="AY902" s="315">
        <v>1.7496</v>
      </c>
      <c r="AZ902" s="315">
        <v>1.8007</v>
      </c>
      <c r="BA902" s="315">
        <v>1.5815999999999999</v>
      </c>
      <c r="BB902" s="315">
        <v>1.3602000000000001</v>
      </c>
      <c r="BC902" s="315">
        <v>2.0743999999999998</v>
      </c>
      <c r="BD902" s="315">
        <v>2.0497000000000001</v>
      </c>
      <c r="BE902" s="315">
        <v>2.0565000000000002</v>
      </c>
      <c r="BF902" s="315">
        <v>1.8102</v>
      </c>
      <c r="BG902" s="315">
        <v>2.4735</v>
      </c>
      <c r="BH902" s="315">
        <v>2.4243000000000001</v>
      </c>
      <c r="BI902" s="315">
        <v>2.0230000000000001</v>
      </c>
      <c r="BJ902" s="315">
        <v>1.8478000000000001</v>
      </c>
      <c r="BK902" s="315">
        <v>1.9734</v>
      </c>
    </row>
    <row r="903" spans="1:63" x14ac:dyDescent="0.25">
      <c r="A903" s="306">
        <v>315100</v>
      </c>
      <c r="B903" s="315" t="s">
        <v>70</v>
      </c>
      <c r="C903" s="315">
        <v>3.2170000000000001</v>
      </c>
      <c r="D903" s="315">
        <v>0</v>
      </c>
      <c r="E903" s="315">
        <v>2.3612000000000002</v>
      </c>
      <c r="F903" s="315">
        <v>1.7853000000000001</v>
      </c>
      <c r="G903" s="315">
        <v>1.8412999999999999</v>
      </c>
      <c r="H903" s="315">
        <v>2.1324999999999998</v>
      </c>
      <c r="I903" s="315">
        <v>1.8992</v>
      </c>
      <c r="J903" s="315">
        <v>0</v>
      </c>
      <c r="K903" s="315">
        <v>0</v>
      </c>
      <c r="L903" s="315">
        <v>0</v>
      </c>
      <c r="M903" s="315">
        <v>1.7914000000000001</v>
      </c>
      <c r="N903" s="315">
        <v>2.4662000000000002</v>
      </c>
      <c r="O903" s="315">
        <v>0</v>
      </c>
      <c r="P903" s="315">
        <v>1.5871999999999999</v>
      </c>
      <c r="Q903" s="315">
        <v>0</v>
      </c>
      <c r="R903" s="315">
        <v>1.9875</v>
      </c>
      <c r="S903" s="315">
        <v>1.83</v>
      </c>
      <c r="T903" s="315">
        <v>1.6866000000000001</v>
      </c>
      <c r="U903" s="315">
        <v>1.9233</v>
      </c>
      <c r="V903" s="315">
        <v>1.8329</v>
      </c>
      <c r="W903" s="315">
        <v>1.9157</v>
      </c>
      <c r="X903" s="315">
        <v>0</v>
      </c>
      <c r="Y903" s="315">
        <v>0</v>
      </c>
      <c r="Z903" s="315">
        <v>1.8845000000000001</v>
      </c>
      <c r="AA903" s="315">
        <v>1.8465</v>
      </c>
      <c r="AB903" s="315">
        <v>1.9218999999999999</v>
      </c>
      <c r="AC903" s="315">
        <v>1.7529999999999999</v>
      </c>
      <c r="AD903" s="315">
        <v>0</v>
      </c>
      <c r="AE903" s="315">
        <v>2.4032</v>
      </c>
      <c r="AF903" s="315">
        <v>0</v>
      </c>
      <c r="AG903" s="315">
        <v>0</v>
      </c>
      <c r="AH903" s="315">
        <v>0</v>
      </c>
      <c r="AI903" s="315">
        <v>1.9937</v>
      </c>
      <c r="AJ903" s="315">
        <v>1.4079999999999999</v>
      </c>
      <c r="AK903" s="315">
        <v>0</v>
      </c>
      <c r="AL903" s="315">
        <v>1.7847999999999999</v>
      </c>
      <c r="AM903" s="315">
        <v>1.9742999999999999</v>
      </c>
      <c r="AN903" s="315">
        <v>0</v>
      </c>
      <c r="AO903" s="315">
        <v>1.7771999999999999</v>
      </c>
      <c r="AP903" s="315">
        <v>2.2320000000000002</v>
      </c>
      <c r="AQ903" s="315">
        <v>2.0901000000000001</v>
      </c>
      <c r="AR903" s="315">
        <v>2.3950999999999998</v>
      </c>
      <c r="AS903" s="315">
        <v>0</v>
      </c>
      <c r="AT903" s="315">
        <v>2.5371999999999999</v>
      </c>
      <c r="AU903" s="315">
        <v>1.9452</v>
      </c>
      <c r="AV903" s="315">
        <v>1.8937999999999999</v>
      </c>
      <c r="AW903" s="315">
        <v>2.1991999999999998</v>
      </c>
      <c r="AX903" s="315">
        <v>1.6760999999999999</v>
      </c>
      <c r="AY903" s="315">
        <v>0</v>
      </c>
      <c r="AZ903" s="315">
        <v>1.9598</v>
      </c>
      <c r="BA903" s="315">
        <v>0</v>
      </c>
      <c r="BB903" s="315">
        <v>0</v>
      </c>
      <c r="BC903" s="315">
        <v>2.0623999999999998</v>
      </c>
      <c r="BD903" s="315">
        <v>2.1358000000000001</v>
      </c>
      <c r="BE903" s="315">
        <v>2.0470999999999999</v>
      </c>
      <c r="BF903" s="315">
        <v>1.887</v>
      </c>
      <c r="BG903" s="315">
        <v>2.6185999999999998</v>
      </c>
      <c r="BH903" s="315">
        <v>2.5649000000000002</v>
      </c>
      <c r="BI903" s="315">
        <v>1.9983</v>
      </c>
      <c r="BJ903" s="315">
        <v>1.8756999999999999</v>
      </c>
      <c r="BK903" s="315">
        <v>2.1282999999999999</v>
      </c>
    </row>
    <row r="904" spans="1:63" x14ac:dyDescent="0.25">
      <c r="A904" s="306">
        <v>315210</v>
      </c>
      <c r="B904" s="315" t="s">
        <v>71</v>
      </c>
      <c r="C904" s="315">
        <v>3.0739999999999998</v>
      </c>
      <c r="D904" s="315">
        <v>0</v>
      </c>
      <c r="E904" s="315">
        <v>2.1042000000000001</v>
      </c>
      <c r="F904" s="315">
        <v>1.8984000000000001</v>
      </c>
      <c r="G904" s="315">
        <v>2.0485000000000002</v>
      </c>
      <c r="H904" s="315">
        <v>2.3917999999999999</v>
      </c>
      <c r="I904" s="315">
        <v>2.3325</v>
      </c>
      <c r="J904" s="315">
        <v>2.0367000000000002</v>
      </c>
      <c r="K904" s="315">
        <v>1.2406999999999999</v>
      </c>
      <c r="L904" s="315">
        <v>1.9377</v>
      </c>
      <c r="M904" s="315">
        <v>2.117</v>
      </c>
      <c r="N904" s="315">
        <v>2.3540000000000001</v>
      </c>
      <c r="O904" s="315">
        <v>1.9710000000000001</v>
      </c>
      <c r="P904" s="315">
        <v>1.6798</v>
      </c>
      <c r="Q904" s="315">
        <v>1.7867</v>
      </c>
      <c r="R904" s="315">
        <v>2.3517999999999999</v>
      </c>
      <c r="S904" s="315">
        <v>2.0287999999999999</v>
      </c>
      <c r="T904" s="315">
        <v>1.8112999999999999</v>
      </c>
      <c r="U904" s="315">
        <v>2.0482</v>
      </c>
      <c r="V904" s="315">
        <v>1.9542999999999999</v>
      </c>
      <c r="W904" s="315">
        <v>2.1905000000000001</v>
      </c>
      <c r="X904" s="315">
        <v>1.9881</v>
      </c>
      <c r="Y904" s="315">
        <v>2.0270000000000001</v>
      </c>
      <c r="Z904" s="315">
        <v>2.1823000000000001</v>
      </c>
      <c r="AA904" s="315">
        <v>2.1101999999999999</v>
      </c>
      <c r="AB904" s="315">
        <v>2.2648000000000001</v>
      </c>
      <c r="AC904" s="315">
        <v>1.877</v>
      </c>
      <c r="AD904" s="315">
        <v>0</v>
      </c>
      <c r="AE904" s="315">
        <v>2.2400000000000002</v>
      </c>
      <c r="AF904" s="315">
        <v>1.4172</v>
      </c>
      <c r="AG904" s="315">
        <v>1.6637999999999999</v>
      </c>
      <c r="AH904" s="315">
        <v>2.0291000000000001</v>
      </c>
      <c r="AI904" s="315">
        <v>2.2774999999999999</v>
      </c>
      <c r="AJ904" s="315">
        <v>1.5418000000000001</v>
      </c>
      <c r="AK904" s="315">
        <v>1.95</v>
      </c>
      <c r="AL904" s="315">
        <v>2.0466000000000002</v>
      </c>
      <c r="AM904" s="315">
        <v>2.2717000000000001</v>
      </c>
      <c r="AN904" s="315">
        <v>1.9967999999999999</v>
      </c>
      <c r="AO904" s="315">
        <v>2.0735999999999999</v>
      </c>
      <c r="AP904" s="315">
        <v>2.4169999999999998</v>
      </c>
      <c r="AQ904" s="315">
        <v>2.1145</v>
      </c>
      <c r="AR904" s="315">
        <v>2.1536</v>
      </c>
      <c r="AS904" s="315">
        <v>1.6107</v>
      </c>
      <c r="AT904" s="315">
        <v>2.3363999999999998</v>
      </c>
      <c r="AU904" s="315">
        <v>2.2923</v>
      </c>
      <c r="AV904" s="315">
        <v>2.266</v>
      </c>
      <c r="AW904" s="315">
        <v>2.2153</v>
      </c>
      <c r="AX904" s="315">
        <v>1.7178</v>
      </c>
      <c r="AY904" s="315">
        <v>2.1301999999999999</v>
      </c>
      <c r="AZ904" s="315">
        <v>2.1080999999999999</v>
      </c>
      <c r="BA904" s="315">
        <v>1.7245999999999999</v>
      </c>
      <c r="BB904" s="315">
        <v>0</v>
      </c>
      <c r="BC904" s="315">
        <v>2.3347000000000002</v>
      </c>
      <c r="BD904" s="315">
        <v>2.4477000000000002</v>
      </c>
      <c r="BE904" s="315">
        <v>2.3736000000000002</v>
      </c>
      <c r="BF904" s="315">
        <v>2.1574</v>
      </c>
      <c r="BG904" s="315">
        <v>2.5036</v>
      </c>
      <c r="BH904" s="315">
        <v>2.3266</v>
      </c>
      <c r="BI904" s="315">
        <v>2.3119000000000001</v>
      </c>
      <c r="BJ904" s="315">
        <v>2.2454000000000001</v>
      </c>
      <c r="BK904" s="315">
        <v>2.4117000000000002</v>
      </c>
    </row>
    <row r="905" spans="1:63" x14ac:dyDescent="0.25">
      <c r="A905" s="306">
        <v>315220</v>
      </c>
      <c r="B905" s="315" t="s">
        <v>72</v>
      </c>
      <c r="C905" s="315">
        <v>2.7629000000000001</v>
      </c>
      <c r="D905" s="315">
        <v>0</v>
      </c>
      <c r="E905" s="315">
        <v>2.0028000000000001</v>
      </c>
      <c r="F905" s="315">
        <v>1.5307999999999999</v>
      </c>
      <c r="G905" s="315">
        <v>1.5958000000000001</v>
      </c>
      <c r="H905" s="315">
        <v>2.0760000000000001</v>
      </c>
      <c r="I905" s="315">
        <v>1.7243999999999999</v>
      </c>
      <c r="J905" s="315">
        <v>1.6716</v>
      </c>
      <c r="K905" s="315">
        <v>1.1839</v>
      </c>
      <c r="L905" s="315">
        <v>0</v>
      </c>
      <c r="M905" s="315">
        <v>1.7623</v>
      </c>
      <c r="N905" s="315">
        <v>2.1503000000000001</v>
      </c>
      <c r="O905" s="315">
        <v>1.5336000000000001</v>
      </c>
      <c r="P905" s="315">
        <v>1.4434</v>
      </c>
      <c r="Q905" s="315">
        <v>1.4427000000000001</v>
      </c>
      <c r="R905" s="315">
        <v>1.8713</v>
      </c>
      <c r="S905" s="315">
        <v>1.6081000000000001</v>
      </c>
      <c r="T905" s="315">
        <v>1.5548</v>
      </c>
      <c r="U905" s="315">
        <v>1.6665000000000001</v>
      </c>
      <c r="V905" s="315">
        <v>1.5704</v>
      </c>
      <c r="W905" s="315">
        <v>1.9916</v>
      </c>
      <c r="X905" s="315">
        <v>1.6967000000000001</v>
      </c>
      <c r="Y905" s="315">
        <v>1.7018</v>
      </c>
      <c r="Z905" s="315">
        <v>1.7071000000000001</v>
      </c>
      <c r="AA905" s="315">
        <v>1.6556999999999999</v>
      </c>
      <c r="AB905" s="315">
        <v>1.7299</v>
      </c>
      <c r="AC905" s="315">
        <v>1.7256</v>
      </c>
      <c r="AD905" s="315">
        <v>0</v>
      </c>
      <c r="AE905" s="315">
        <v>2.1444999999999999</v>
      </c>
      <c r="AF905" s="315">
        <v>0</v>
      </c>
      <c r="AG905" s="315">
        <v>1.379</v>
      </c>
      <c r="AH905" s="315">
        <v>1.7685999999999999</v>
      </c>
      <c r="AI905" s="315">
        <v>2.0676999999999999</v>
      </c>
      <c r="AJ905" s="315">
        <v>1.3646</v>
      </c>
      <c r="AK905" s="315">
        <v>1.5062</v>
      </c>
      <c r="AL905" s="315">
        <v>1.8763000000000001</v>
      </c>
      <c r="AM905" s="315">
        <v>1.8734</v>
      </c>
      <c r="AN905" s="315">
        <v>1.6002000000000001</v>
      </c>
      <c r="AO905" s="315">
        <v>1.633</v>
      </c>
      <c r="AP905" s="315">
        <v>2.1032000000000002</v>
      </c>
      <c r="AQ905" s="315">
        <v>1.9252</v>
      </c>
      <c r="AR905" s="315">
        <v>2.1069</v>
      </c>
      <c r="AS905" s="315">
        <v>0</v>
      </c>
      <c r="AT905" s="315">
        <v>2.1509</v>
      </c>
      <c r="AU905" s="315">
        <v>1.7922</v>
      </c>
      <c r="AV905" s="315">
        <v>1.8338000000000001</v>
      </c>
      <c r="AW905" s="315">
        <v>1.909</v>
      </c>
      <c r="AX905" s="315">
        <v>1.5884</v>
      </c>
      <c r="AY905" s="315">
        <v>1.6365000000000001</v>
      </c>
      <c r="AZ905" s="315">
        <v>1.6854</v>
      </c>
      <c r="BA905" s="315">
        <v>1.3904000000000001</v>
      </c>
      <c r="BB905" s="315">
        <v>1.3621000000000001</v>
      </c>
      <c r="BC905" s="315">
        <v>2.13</v>
      </c>
      <c r="BD905" s="315">
        <v>2.1783000000000001</v>
      </c>
      <c r="BE905" s="315">
        <v>1.8773</v>
      </c>
      <c r="BF905" s="315">
        <v>1.6835</v>
      </c>
      <c r="BG905" s="315">
        <v>2.3195000000000001</v>
      </c>
      <c r="BH905" s="315">
        <v>2.2069999999999999</v>
      </c>
      <c r="BI905" s="315">
        <v>1.7950999999999999</v>
      </c>
      <c r="BJ905" s="315">
        <v>1.7097</v>
      </c>
      <c r="BK905" s="315">
        <v>2.0731999999999999</v>
      </c>
    </row>
    <row r="906" spans="1:63" x14ac:dyDescent="0.25">
      <c r="A906" s="306">
        <v>315230</v>
      </c>
      <c r="B906" s="315" t="s">
        <v>73</v>
      </c>
      <c r="C906" s="315">
        <v>3.0264000000000002</v>
      </c>
      <c r="D906" s="315">
        <v>0</v>
      </c>
      <c r="E906" s="315">
        <v>2.1126</v>
      </c>
      <c r="F906" s="315">
        <v>1.5766</v>
      </c>
      <c r="G906" s="315">
        <v>1.7370000000000001</v>
      </c>
      <c r="H906" s="315">
        <v>2.2341000000000002</v>
      </c>
      <c r="I906" s="315">
        <v>1.8933</v>
      </c>
      <c r="J906" s="315">
        <v>1.7658</v>
      </c>
      <c r="K906" s="315">
        <v>1.2629999999999999</v>
      </c>
      <c r="L906" s="315">
        <v>0</v>
      </c>
      <c r="M906" s="315">
        <v>1.8884000000000001</v>
      </c>
      <c r="N906" s="315">
        <v>2.3361000000000001</v>
      </c>
      <c r="O906" s="315">
        <v>1.6524000000000001</v>
      </c>
      <c r="P906" s="315">
        <v>1.4798</v>
      </c>
      <c r="Q906" s="315">
        <v>1.5041</v>
      </c>
      <c r="R906" s="315">
        <v>1.9954000000000001</v>
      </c>
      <c r="S906" s="315">
        <v>1.7030000000000001</v>
      </c>
      <c r="T906" s="315">
        <v>1.643</v>
      </c>
      <c r="U906" s="315">
        <v>1.7284999999999999</v>
      </c>
      <c r="V906" s="315">
        <v>1.6975</v>
      </c>
      <c r="W906" s="315">
        <v>2.1440000000000001</v>
      </c>
      <c r="X906" s="315">
        <v>1.8018000000000001</v>
      </c>
      <c r="Y906" s="315">
        <v>1.7899</v>
      </c>
      <c r="Z906" s="315">
        <v>1.8229</v>
      </c>
      <c r="AA906" s="315">
        <v>1.7650999999999999</v>
      </c>
      <c r="AB906" s="315">
        <v>1.8267</v>
      </c>
      <c r="AC906" s="315">
        <v>1.7945</v>
      </c>
      <c r="AD906" s="315">
        <v>0</v>
      </c>
      <c r="AE906" s="315">
        <v>2.2736999999999998</v>
      </c>
      <c r="AF906" s="315">
        <v>1.3695999999999999</v>
      </c>
      <c r="AG906" s="315">
        <v>1.4390000000000001</v>
      </c>
      <c r="AH906" s="315">
        <v>1.8967000000000001</v>
      </c>
      <c r="AI906" s="315">
        <v>2.2170000000000001</v>
      </c>
      <c r="AJ906" s="315">
        <v>1.4561999999999999</v>
      </c>
      <c r="AK906" s="315">
        <v>1.6294</v>
      </c>
      <c r="AL906" s="315">
        <v>1.9991000000000001</v>
      </c>
      <c r="AM906" s="315">
        <v>1.9622999999999999</v>
      </c>
      <c r="AN906" s="315">
        <v>1.6936</v>
      </c>
      <c r="AO906" s="315">
        <v>1.7598</v>
      </c>
      <c r="AP906" s="315">
        <v>2.2646000000000002</v>
      </c>
      <c r="AQ906" s="315">
        <v>0</v>
      </c>
      <c r="AR906" s="315">
        <v>2.2484999999999999</v>
      </c>
      <c r="AS906" s="315">
        <v>0</v>
      </c>
      <c r="AT906" s="315">
        <v>2.2945000000000002</v>
      </c>
      <c r="AU906" s="315">
        <v>1.9423999999999999</v>
      </c>
      <c r="AV906" s="315">
        <v>1.9591000000000001</v>
      </c>
      <c r="AW906" s="315">
        <v>2.0419</v>
      </c>
      <c r="AX906" s="315">
        <v>1.6326000000000001</v>
      </c>
      <c r="AY906" s="315">
        <v>1.7807999999999999</v>
      </c>
      <c r="AZ906" s="315">
        <v>1.8001</v>
      </c>
      <c r="BA906" s="315">
        <v>0</v>
      </c>
      <c r="BB906" s="315">
        <v>1.4213</v>
      </c>
      <c r="BC906" s="315">
        <v>2.2787999999999999</v>
      </c>
      <c r="BD906" s="315">
        <v>2.3249</v>
      </c>
      <c r="BE906" s="315">
        <v>2.0042</v>
      </c>
      <c r="BF906" s="315">
        <v>1.7675000000000001</v>
      </c>
      <c r="BG906" s="315">
        <v>2.5192000000000001</v>
      </c>
      <c r="BH906" s="315">
        <v>2.3208000000000002</v>
      </c>
      <c r="BI906" s="315">
        <v>1.9467000000000001</v>
      </c>
      <c r="BJ906" s="315">
        <v>1.8644000000000001</v>
      </c>
      <c r="BK906" s="315">
        <v>2.2307999999999999</v>
      </c>
    </row>
    <row r="907" spans="1:63" x14ac:dyDescent="0.25">
      <c r="A907" s="306">
        <v>315290</v>
      </c>
      <c r="B907" s="315" t="s">
        <v>74</v>
      </c>
      <c r="C907" s="315">
        <v>2.9832999999999998</v>
      </c>
      <c r="D907" s="315">
        <v>0</v>
      </c>
      <c r="E907" s="315">
        <v>2.0171000000000001</v>
      </c>
      <c r="F907" s="315">
        <v>0</v>
      </c>
      <c r="G907" s="315">
        <v>1.8609</v>
      </c>
      <c r="H907" s="315">
        <v>2.2176999999999998</v>
      </c>
      <c r="I907" s="315">
        <v>2.0642</v>
      </c>
      <c r="J907" s="315">
        <v>1.8654999999999999</v>
      </c>
      <c r="K907" s="315">
        <v>0</v>
      </c>
      <c r="L907" s="315">
        <v>0</v>
      </c>
      <c r="M907" s="315">
        <v>1.9298</v>
      </c>
      <c r="N907" s="315">
        <v>2.2482000000000002</v>
      </c>
      <c r="O907" s="315">
        <v>1.7370000000000001</v>
      </c>
      <c r="P907" s="315">
        <v>1.6127</v>
      </c>
      <c r="Q907" s="315">
        <v>1.6274</v>
      </c>
      <c r="R907" s="315">
        <v>2.1467999999999998</v>
      </c>
      <c r="S907" s="315">
        <v>1.8627</v>
      </c>
      <c r="T907" s="315">
        <v>1.6822999999999999</v>
      </c>
      <c r="U907" s="315">
        <v>1.8616999999999999</v>
      </c>
      <c r="V907" s="315">
        <v>1.7857000000000001</v>
      </c>
      <c r="W907" s="315">
        <v>2.1415000000000002</v>
      </c>
      <c r="X907" s="315">
        <v>1.8311999999999999</v>
      </c>
      <c r="Y907" s="315">
        <v>1.8927</v>
      </c>
      <c r="Z907" s="315">
        <v>1.9544999999999999</v>
      </c>
      <c r="AA907" s="315">
        <v>1.9352</v>
      </c>
      <c r="AB907" s="315">
        <v>2.0114000000000001</v>
      </c>
      <c r="AC907" s="315">
        <v>1.7989999999999999</v>
      </c>
      <c r="AD907" s="315">
        <v>0</v>
      </c>
      <c r="AE907" s="315">
        <v>2.2713999999999999</v>
      </c>
      <c r="AF907" s="315">
        <v>0</v>
      </c>
      <c r="AG907" s="315">
        <v>1.5295000000000001</v>
      </c>
      <c r="AH907" s="315">
        <v>2.0308999999999999</v>
      </c>
      <c r="AI907" s="315">
        <v>2.1844000000000001</v>
      </c>
      <c r="AJ907" s="315">
        <v>1.4673</v>
      </c>
      <c r="AK907" s="315">
        <v>1.7617</v>
      </c>
      <c r="AL907" s="315">
        <v>1.9437</v>
      </c>
      <c r="AM907" s="315">
        <v>2.0514999999999999</v>
      </c>
      <c r="AN907" s="315">
        <v>1.7986</v>
      </c>
      <c r="AO907" s="315">
        <v>1.8844000000000001</v>
      </c>
      <c r="AP907" s="315">
        <v>2.3209</v>
      </c>
      <c r="AQ907" s="315">
        <v>2.0661999999999998</v>
      </c>
      <c r="AR907" s="315">
        <v>2.1903999999999999</v>
      </c>
      <c r="AS907" s="315">
        <v>1.4661</v>
      </c>
      <c r="AT907" s="315">
        <v>2.2805</v>
      </c>
      <c r="AU907" s="315">
        <v>2.0823</v>
      </c>
      <c r="AV907" s="315">
        <v>2.0571999999999999</v>
      </c>
      <c r="AW907" s="315">
        <v>2.0232999999999999</v>
      </c>
      <c r="AX907" s="315">
        <v>1.6249</v>
      </c>
      <c r="AY907" s="315">
        <v>1.9186000000000001</v>
      </c>
      <c r="AZ907" s="315">
        <v>1.9870000000000001</v>
      </c>
      <c r="BA907" s="315">
        <v>0</v>
      </c>
      <c r="BB907" s="315">
        <v>0</v>
      </c>
      <c r="BC907" s="315">
        <v>2.2976999999999999</v>
      </c>
      <c r="BD907" s="315">
        <v>2.3010999999999999</v>
      </c>
      <c r="BE907" s="315">
        <v>2.16</v>
      </c>
      <c r="BF907" s="315">
        <v>1.9560999999999999</v>
      </c>
      <c r="BG907" s="315">
        <v>2.492</v>
      </c>
      <c r="BH907" s="315">
        <v>2.2637</v>
      </c>
      <c r="BI907" s="315">
        <v>2.0922000000000001</v>
      </c>
      <c r="BJ907" s="315">
        <v>2.0148000000000001</v>
      </c>
      <c r="BK907" s="315">
        <v>2.2149000000000001</v>
      </c>
    </row>
    <row r="908" spans="1:63" x14ac:dyDescent="0.25">
      <c r="A908" s="306">
        <v>315900</v>
      </c>
      <c r="B908" s="315" t="s">
        <v>75</v>
      </c>
      <c r="C908" s="315">
        <v>3.2170999999999998</v>
      </c>
      <c r="D908" s="315">
        <v>1.6041000000000001</v>
      </c>
      <c r="E908" s="315">
        <v>2.2454000000000001</v>
      </c>
      <c r="F908" s="315">
        <v>1.8489</v>
      </c>
      <c r="G908" s="315">
        <v>1.9238999999999999</v>
      </c>
      <c r="H908" s="315">
        <v>2.3752</v>
      </c>
      <c r="I908" s="315">
        <v>2.1690999999999998</v>
      </c>
      <c r="J908" s="315">
        <v>1.9881</v>
      </c>
      <c r="K908" s="315">
        <v>0</v>
      </c>
      <c r="L908" s="315">
        <v>1.8394999999999999</v>
      </c>
      <c r="M908" s="315">
        <v>2.0508000000000002</v>
      </c>
      <c r="N908" s="315">
        <v>2.4390999999999998</v>
      </c>
      <c r="O908" s="315">
        <v>1.7886</v>
      </c>
      <c r="P908" s="315">
        <v>1.6800999999999999</v>
      </c>
      <c r="Q908" s="315">
        <v>1.7333000000000001</v>
      </c>
      <c r="R908" s="315">
        <v>2.3041</v>
      </c>
      <c r="S908" s="315">
        <v>1.9157</v>
      </c>
      <c r="T908" s="315">
        <v>1.7361</v>
      </c>
      <c r="U908" s="315">
        <v>1.9855</v>
      </c>
      <c r="V908" s="315">
        <v>1.9112</v>
      </c>
      <c r="W908" s="315">
        <v>2.2323</v>
      </c>
      <c r="X908" s="315">
        <v>1.9481999999999999</v>
      </c>
      <c r="Y908" s="315">
        <v>2.0215999999999998</v>
      </c>
      <c r="Z908" s="315">
        <v>2.0701999999999998</v>
      </c>
      <c r="AA908" s="315">
        <v>2.0337000000000001</v>
      </c>
      <c r="AB908" s="315">
        <v>2.1720999999999999</v>
      </c>
      <c r="AC908" s="315">
        <v>1.9064000000000001</v>
      </c>
      <c r="AD908" s="315">
        <v>1.7257</v>
      </c>
      <c r="AE908" s="315">
        <v>2.3719999999999999</v>
      </c>
      <c r="AF908" s="315">
        <v>1.4481999999999999</v>
      </c>
      <c r="AG908" s="315">
        <v>1.6427</v>
      </c>
      <c r="AH908" s="315">
        <v>2.0165000000000002</v>
      </c>
      <c r="AI908" s="315">
        <v>2.3371</v>
      </c>
      <c r="AJ908" s="315">
        <v>1.5367</v>
      </c>
      <c r="AK908" s="315">
        <v>1.7884</v>
      </c>
      <c r="AL908" s="315">
        <v>2.0821000000000001</v>
      </c>
      <c r="AM908" s="315">
        <v>2.2606000000000002</v>
      </c>
      <c r="AN908" s="315">
        <v>1.9078999999999999</v>
      </c>
      <c r="AO908" s="315">
        <v>1.9525999999999999</v>
      </c>
      <c r="AP908" s="315">
        <v>2.4632000000000001</v>
      </c>
      <c r="AQ908" s="315">
        <v>2.1671</v>
      </c>
      <c r="AR908" s="315">
        <v>2.2610000000000001</v>
      </c>
      <c r="AS908" s="315">
        <v>1.496</v>
      </c>
      <c r="AT908" s="315">
        <v>2.3538999999999999</v>
      </c>
      <c r="AU908" s="315">
        <v>2.2746</v>
      </c>
      <c r="AV908" s="315">
        <v>2.2058</v>
      </c>
      <c r="AW908" s="315">
        <v>2.2252000000000001</v>
      </c>
      <c r="AX908" s="315">
        <v>1.7408999999999999</v>
      </c>
      <c r="AY908" s="315">
        <v>1.9916</v>
      </c>
      <c r="AZ908" s="315">
        <v>2.0424000000000002</v>
      </c>
      <c r="BA908" s="315">
        <v>1.6569</v>
      </c>
      <c r="BB908" s="315">
        <v>1.5663</v>
      </c>
      <c r="BC908" s="315">
        <v>2.4022000000000001</v>
      </c>
      <c r="BD908" s="315">
        <v>2.4782000000000002</v>
      </c>
      <c r="BE908" s="315">
        <v>2.3264999999999998</v>
      </c>
      <c r="BF908" s="315">
        <v>2.0979000000000001</v>
      </c>
      <c r="BG908" s="315">
        <v>2.5746000000000002</v>
      </c>
      <c r="BH908" s="315">
        <v>2.448</v>
      </c>
      <c r="BI908" s="315">
        <v>2.2818000000000001</v>
      </c>
      <c r="BJ908" s="315">
        <v>2.1131000000000002</v>
      </c>
      <c r="BK908" s="315">
        <v>2.3849</v>
      </c>
    </row>
    <row r="909" spans="1:63" x14ac:dyDescent="0.25">
      <c r="A909" s="306">
        <v>316100</v>
      </c>
      <c r="B909" s="315" t="s">
        <v>76</v>
      </c>
      <c r="C909" s="315">
        <v>3.8696999999999999</v>
      </c>
      <c r="D909" s="315">
        <v>1.4006000000000001</v>
      </c>
      <c r="E909" s="315">
        <v>2.0337000000000001</v>
      </c>
      <c r="F909" s="315">
        <v>0</v>
      </c>
      <c r="G909" s="315">
        <v>1.7721</v>
      </c>
      <c r="H909" s="315">
        <v>2.0127999999999999</v>
      </c>
      <c r="I909" s="315">
        <v>3.0583</v>
      </c>
      <c r="J909" s="315">
        <v>0</v>
      </c>
      <c r="K909" s="315">
        <v>0</v>
      </c>
      <c r="L909" s="315">
        <v>0</v>
      </c>
      <c r="M909" s="315">
        <v>1.7115</v>
      </c>
      <c r="N909" s="315">
        <v>2.3191999999999999</v>
      </c>
      <c r="O909" s="315">
        <v>0</v>
      </c>
      <c r="P909" s="315">
        <v>2.7711999999999999</v>
      </c>
      <c r="Q909" s="315">
        <v>2.7745000000000002</v>
      </c>
      <c r="R909" s="315">
        <v>2.8525</v>
      </c>
      <c r="S909" s="315">
        <v>2.6097000000000001</v>
      </c>
      <c r="T909" s="315">
        <v>0</v>
      </c>
      <c r="U909" s="315">
        <v>2.9912999999999998</v>
      </c>
      <c r="V909" s="315">
        <v>2.0024000000000002</v>
      </c>
      <c r="W909" s="315">
        <v>1.8255999999999999</v>
      </c>
      <c r="X909" s="315">
        <v>1.6042000000000001</v>
      </c>
      <c r="Y909" s="315">
        <v>1.5899000000000001</v>
      </c>
      <c r="Z909" s="315">
        <v>2.3279000000000001</v>
      </c>
      <c r="AA909" s="315">
        <v>3.1215999999999999</v>
      </c>
      <c r="AB909" s="315">
        <v>3.2553000000000001</v>
      </c>
      <c r="AC909" s="315">
        <v>2.1781000000000001</v>
      </c>
      <c r="AD909" s="315">
        <v>1.9616</v>
      </c>
      <c r="AE909" s="315">
        <v>2.6564999999999999</v>
      </c>
      <c r="AF909" s="315">
        <v>0</v>
      </c>
      <c r="AG909" s="315">
        <v>2.7155999999999998</v>
      </c>
      <c r="AH909" s="315">
        <v>1.5949</v>
      </c>
      <c r="AI909" s="315">
        <v>2.0066000000000002</v>
      </c>
      <c r="AJ909" s="315">
        <v>0</v>
      </c>
      <c r="AK909" s="315">
        <v>0</v>
      </c>
      <c r="AL909" s="315">
        <v>1.6739999999999999</v>
      </c>
      <c r="AM909" s="315">
        <v>2.4672000000000001</v>
      </c>
      <c r="AN909" s="315">
        <v>2.8349000000000002</v>
      </c>
      <c r="AO909" s="315">
        <v>1.9497</v>
      </c>
      <c r="AP909" s="315">
        <v>2.7524000000000002</v>
      </c>
      <c r="AQ909" s="315">
        <v>0</v>
      </c>
      <c r="AR909" s="315">
        <v>2.1193</v>
      </c>
      <c r="AS909" s="315">
        <v>0</v>
      </c>
      <c r="AT909" s="315">
        <v>2.5371000000000001</v>
      </c>
      <c r="AU909" s="315">
        <v>3.3123</v>
      </c>
      <c r="AV909" s="315">
        <v>2.8696000000000002</v>
      </c>
      <c r="AW909" s="315">
        <v>0</v>
      </c>
      <c r="AX909" s="315">
        <v>0</v>
      </c>
      <c r="AY909" s="315">
        <v>2.0548999999999999</v>
      </c>
      <c r="AZ909" s="315">
        <v>2.9054000000000002</v>
      </c>
      <c r="BA909" s="315">
        <v>1.5848</v>
      </c>
      <c r="BB909" s="315">
        <v>1.5548999999999999</v>
      </c>
      <c r="BC909" s="315">
        <v>1.8794999999999999</v>
      </c>
      <c r="BD909" s="315">
        <v>2.1427999999999998</v>
      </c>
      <c r="BE909" s="315">
        <v>2.9982000000000002</v>
      </c>
      <c r="BF909" s="315">
        <v>3.1686999999999999</v>
      </c>
      <c r="BG909" s="315">
        <v>2.2019000000000002</v>
      </c>
      <c r="BH909" s="315">
        <v>2.7339000000000002</v>
      </c>
      <c r="BI909" s="315">
        <v>3.3862000000000001</v>
      </c>
      <c r="BJ909" s="315">
        <v>2.5710000000000002</v>
      </c>
      <c r="BK909" s="315">
        <v>2.0438000000000001</v>
      </c>
    </row>
    <row r="910" spans="1:63" x14ac:dyDescent="0.25">
      <c r="A910" s="306">
        <v>316200</v>
      </c>
      <c r="B910" s="315" t="s">
        <v>77</v>
      </c>
      <c r="C910" s="315">
        <v>2.8536999999999999</v>
      </c>
      <c r="D910" s="315">
        <v>0</v>
      </c>
      <c r="E910" s="315">
        <v>0</v>
      </c>
      <c r="F910" s="315">
        <v>1.7544</v>
      </c>
      <c r="G910" s="315">
        <v>1.7596000000000001</v>
      </c>
      <c r="H910" s="315">
        <v>2.0516000000000001</v>
      </c>
      <c r="I910" s="315">
        <v>1.9572000000000001</v>
      </c>
      <c r="J910" s="315">
        <v>0</v>
      </c>
      <c r="K910" s="315">
        <v>0</v>
      </c>
      <c r="L910" s="315">
        <v>0</v>
      </c>
      <c r="M910" s="315">
        <v>1.8402000000000001</v>
      </c>
      <c r="N910" s="315">
        <v>2.1307</v>
      </c>
      <c r="O910" s="315">
        <v>1.6137999999999999</v>
      </c>
      <c r="P910" s="315">
        <v>0</v>
      </c>
      <c r="Q910" s="315">
        <v>1.7007000000000001</v>
      </c>
      <c r="R910" s="315">
        <v>2.2069999999999999</v>
      </c>
      <c r="S910" s="315">
        <v>1.8904000000000001</v>
      </c>
      <c r="T910" s="315">
        <v>0</v>
      </c>
      <c r="U910" s="315">
        <v>1.9488000000000001</v>
      </c>
      <c r="V910" s="315">
        <v>0</v>
      </c>
      <c r="W910" s="315">
        <v>2.0373999999999999</v>
      </c>
      <c r="X910" s="315">
        <v>1.7337</v>
      </c>
      <c r="Y910" s="315">
        <v>1.8848</v>
      </c>
      <c r="Z910" s="315">
        <v>2.0912999999999999</v>
      </c>
      <c r="AA910" s="315">
        <v>1.9756</v>
      </c>
      <c r="AB910" s="315">
        <v>2.1675</v>
      </c>
      <c r="AC910" s="315">
        <v>0</v>
      </c>
      <c r="AD910" s="315">
        <v>1.5906</v>
      </c>
      <c r="AE910" s="315">
        <v>2.0868000000000002</v>
      </c>
      <c r="AF910" s="315">
        <v>1.4771000000000001</v>
      </c>
      <c r="AG910" s="315">
        <v>1.6129</v>
      </c>
      <c r="AH910" s="315">
        <v>1.8907</v>
      </c>
      <c r="AI910" s="315">
        <v>2.0979999999999999</v>
      </c>
      <c r="AJ910" s="315">
        <v>0</v>
      </c>
      <c r="AK910" s="315">
        <v>0</v>
      </c>
      <c r="AL910" s="315">
        <v>1.8196000000000001</v>
      </c>
      <c r="AM910" s="315">
        <v>2.1484000000000001</v>
      </c>
      <c r="AN910" s="315">
        <v>1.7339</v>
      </c>
      <c r="AO910" s="315">
        <v>1.8337000000000001</v>
      </c>
      <c r="AP910" s="315">
        <v>2.2717000000000001</v>
      </c>
      <c r="AQ910" s="315">
        <v>0</v>
      </c>
      <c r="AR910" s="315">
        <v>2.0215999999999998</v>
      </c>
      <c r="AS910" s="315">
        <v>0</v>
      </c>
      <c r="AT910" s="315">
        <v>2.1612</v>
      </c>
      <c r="AU910" s="315">
        <v>2.2273999999999998</v>
      </c>
      <c r="AV910" s="315">
        <v>0</v>
      </c>
      <c r="AW910" s="315">
        <v>1.9615</v>
      </c>
      <c r="AX910" s="315">
        <v>0</v>
      </c>
      <c r="AY910" s="315">
        <v>1.8159000000000001</v>
      </c>
      <c r="AZ910" s="315">
        <v>2.0457000000000001</v>
      </c>
      <c r="BA910" s="315">
        <v>0</v>
      </c>
      <c r="BB910" s="315">
        <v>0</v>
      </c>
      <c r="BC910" s="315">
        <v>2.2059000000000002</v>
      </c>
      <c r="BD910" s="315">
        <v>2.2033</v>
      </c>
      <c r="BE910" s="315">
        <v>2.3235999999999999</v>
      </c>
      <c r="BF910" s="315">
        <v>2.0495000000000001</v>
      </c>
      <c r="BG910" s="315">
        <v>2.2161</v>
      </c>
      <c r="BH910" s="315">
        <v>2.1789000000000001</v>
      </c>
      <c r="BI910" s="315">
        <v>2.2423000000000002</v>
      </c>
      <c r="BJ910" s="315">
        <v>1.9172</v>
      </c>
      <c r="BK910" s="315">
        <v>2.0556000000000001</v>
      </c>
    </row>
    <row r="911" spans="1:63" x14ac:dyDescent="0.25">
      <c r="A911" s="306">
        <v>316900</v>
      </c>
      <c r="B911" s="315" t="s">
        <v>78</v>
      </c>
      <c r="C911" s="315">
        <v>2.9618000000000002</v>
      </c>
      <c r="D911" s="315">
        <v>0</v>
      </c>
      <c r="E911" s="315">
        <v>1.9312</v>
      </c>
      <c r="F911" s="315">
        <v>1.7586999999999999</v>
      </c>
      <c r="G911" s="315">
        <v>1.8151999999999999</v>
      </c>
      <c r="H911" s="315">
        <v>2.2029000000000001</v>
      </c>
      <c r="I911" s="315">
        <v>2.1261000000000001</v>
      </c>
      <c r="J911" s="315">
        <v>1.9048</v>
      </c>
      <c r="K911" s="315">
        <v>0</v>
      </c>
      <c r="L911" s="315">
        <v>1.7145999999999999</v>
      </c>
      <c r="M911" s="315">
        <v>1.9058999999999999</v>
      </c>
      <c r="N911" s="315">
        <v>2.1802999999999999</v>
      </c>
      <c r="O911" s="315">
        <v>0</v>
      </c>
      <c r="P911" s="315">
        <v>1.7638</v>
      </c>
      <c r="Q911" s="315">
        <v>1.7915000000000001</v>
      </c>
      <c r="R911" s="315">
        <v>2.2913000000000001</v>
      </c>
      <c r="S911" s="315">
        <v>1.9206000000000001</v>
      </c>
      <c r="T911" s="315">
        <v>1.6962999999999999</v>
      </c>
      <c r="U911" s="315">
        <v>1.9739</v>
      </c>
      <c r="V911" s="315">
        <v>1.8651</v>
      </c>
      <c r="W911" s="315">
        <v>2.0661999999999998</v>
      </c>
      <c r="X911" s="315">
        <v>1.7414000000000001</v>
      </c>
      <c r="Y911" s="315">
        <v>1.8512999999999999</v>
      </c>
      <c r="Z911" s="315">
        <v>2.1379999999999999</v>
      </c>
      <c r="AA911" s="315">
        <v>2.0579999999999998</v>
      </c>
      <c r="AB911" s="315">
        <v>2.2031999999999998</v>
      </c>
      <c r="AC911" s="315">
        <v>1.7815000000000001</v>
      </c>
      <c r="AD911" s="315">
        <v>1.6496999999999999</v>
      </c>
      <c r="AE911" s="315">
        <v>2.1406999999999998</v>
      </c>
      <c r="AF911" s="315">
        <v>1.4863999999999999</v>
      </c>
      <c r="AG911" s="315">
        <v>1.6503000000000001</v>
      </c>
      <c r="AH911" s="315">
        <v>1.86</v>
      </c>
      <c r="AI911" s="315">
        <v>2.1278000000000001</v>
      </c>
      <c r="AJ911" s="315">
        <v>1.569</v>
      </c>
      <c r="AK911" s="315">
        <v>1.7078</v>
      </c>
      <c r="AL911" s="315">
        <v>1.9129</v>
      </c>
      <c r="AM911" s="315">
        <v>2.1692999999999998</v>
      </c>
      <c r="AN911" s="315">
        <v>1.8476999999999999</v>
      </c>
      <c r="AO911" s="315">
        <v>1.837</v>
      </c>
      <c r="AP911" s="315">
        <v>2.3207</v>
      </c>
      <c r="AQ911" s="315">
        <v>1.9058999999999999</v>
      </c>
      <c r="AR911" s="315">
        <v>2.0217999999999998</v>
      </c>
      <c r="AS911" s="315">
        <v>1.4891000000000001</v>
      </c>
      <c r="AT911" s="315">
        <v>2.2044999999999999</v>
      </c>
      <c r="AU911" s="315">
        <v>2.2904</v>
      </c>
      <c r="AV911" s="315">
        <v>2.1194999999999999</v>
      </c>
      <c r="AW911" s="315">
        <v>1.9829000000000001</v>
      </c>
      <c r="AX911" s="315">
        <v>1.573</v>
      </c>
      <c r="AY911" s="315">
        <v>1.8469</v>
      </c>
      <c r="AZ911" s="315">
        <v>2.1015000000000001</v>
      </c>
      <c r="BA911" s="315">
        <v>0</v>
      </c>
      <c r="BB911" s="315">
        <v>1.4786999999999999</v>
      </c>
      <c r="BC911" s="315">
        <v>2.2593999999999999</v>
      </c>
      <c r="BD911" s="315">
        <v>2.2736999999999998</v>
      </c>
      <c r="BE911" s="315">
        <v>2.3826999999999998</v>
      </c>
      <c r="BF911" s="315">
        <v>2.1065</v>
      </c>
      <c r="BG911" s="315">
        <v>2.2665000000000002</v>
      </c>
      <c r="BH911" s="315">
        <v>2.2000999999999999</v>
      </c>
      <c r="BI911" s="315">
        <v>2.3037000000000001</v>
      </c>
      <c r="BJ911" s="315">
        <v>2.0421999999999998</v>
      </c>
      <c r="BK911" s="315">
        <v>2.1924999999999999</v>
      </c>
    </row>
    <row r="912" spans="1:63" x14ac:dyDescent="0.25">
      <c r="A912" s="306">
        <v>321100</v>
      </c>
      <c r="B912" s="315" t="s">
        <v>79</v>
      </c>
      <c r="C912" s="315">
        <v>3.5649999999999999</v>
      </c>
      <c r="D912" s="315">
        <v>2.0783</v>
      </c>
      <c r="E912" s="315">
        <v>2.8359999999999999</v>
      </c>
      <c r="F912" s="315">
        <v>2.7326000000000001</v>
      </c>
      <c r="G912" s="315">
        <v>1.6138999999999999</v>
      </c>
      <c r="H912" s="315">
        <v>2.0158999999999998</v>
      </c>
      <c r="I912" s="315">
        <v>1.7538</v>
      </c>
      <c r="J912" s="315">
        <v>1.4611000000000001</v>
      </c>
      <c r="K912" s="315">
        <v>0</v>
      </c>
      <c r="L912" s="315">
        <v>1.4365000000000001</v>
      </c>
      <c r="M912" s="315">
        <v>2.2757000000000001</v>
      </c>
      <c r="N912" s="315">
        <v>2.9870999999999999</v>
      </c>
      <c r="O912" s="315">
        <v>1.4759</v>
      </c>
      <c r="P912" s="315">
        <v>1.4416</v>
      </c>
      <c r="Q912" s="315">
        <v>2.6072000000000002</v>
      </c>
      <c r="R912" s="315">
        <v>1.6735</v>
      </c>
      <c r="S912" s="315">
        <v>1.7858000000000001</v>
      </c>
      <c r="T912" s="315">
        <v>1.4636</v>
      </c>
      <c r="U912" s="315">
        <v>1.9136</v>
      </c>
      <c r="V912" s="315">
        <v>2.7593000000000001</v>
      </c>
      <c r="W912" s="315">
        <v>1.5125999999999999</v>
      </c>
      <c r="X912" s="315">
        <v>1.5704</v>
      </c>
      <c r="Y912" s="315">
        <v>2.6806000000000001</v>
      </c>
      <c r="Z912" s="315">
        <v>2.2919</v>
      </c>
      <c r="AA912" s="315">
        <v>2.1476999999999999</v>
      </c>
      <c r="AB912" s="315">
        <v>1.8010999999999999</v>
      </c>
      <c r="AC912" s="315">
        <v>2.6703999999999999</v>
      </c>
      <c r="AD912" s="315">
        <v>2.6543000000000001</v>
      </c>
      <c r="AE912" s="315">
        <v>2.6638999999999999</v>
      </c>
      <c r="AF912" s="315">
        <v>1.4327000000000001</v>
      </c>
      <c r="AG912" s="315">
        <v>1.4142999999999999</v>
      </c>
      <c r="AH912" s="315">
        <v>2.4154</v>
      </c>
      <c r="AI912" s="315">
        <v>1.5481</v>
      </c>
      <c r="AJ912" s="315">
        <v>1.5094000000000001</v>
      </c>
      <c r="AK912" s="315">
        <v>1.4559</v>
      </c>
      <c r="AL912" s="315">
        <v>1.5223</v>
      </c>
      <c r="AM912" s="315">
        <v>1.7416</v>
      </c>
      <c r="AN912" s="315">
        <v>1.8786</v>
      </c>
      <c r="AO912" s="315">
        <v>2.8740999999999999</v>
      </c>
      <c r="AP912" s="315">
        <v>1.9135</v>
      </c>
      <c r="AQ912" s="315">
        <v>1.4611000000000001</v>
      </c>
      <c r="AR912" s="315">
        <v>2.8041999999999998</v>
      </c>
      <c r="AS912" s="315">
        <v>1.8782000000000001</v>
      </c>
      <c r="AT912" s="315">
        <v>2.0998000000000001</v>
      </c>
      <c r="AU912" s="315">
        <v>2.1793999999999998</v>
      </c>
      <c r="AV912" s="315">
        <v>1.7372000000000001</v>
      </c>
      <c r="AW912" s="315">
        <v>2.4428999999999998</v>
      </c>
      <c r="AX912" s="315">
        <v>2.4514999999999998</v>
      </c>
      <c r="AY912" s="315">
        <v>2.8915999999999999</v>
      </c>
      <c r="AZ912" s="315">
        <v>2.1615000000000002</v>
      </c>
      <c r="BA912" s="315">
        <v>2.3441000000000001</v>
      </c>
      <c r="BB912" s="315">
        <v>1.7421</v>
      </c>
      <c r="BC912" s="315">
        <v>2.4443999999999999</v>
      </c>
      <c r="BD912" s="315">
        <v>1.7221</v>
      </c>
      <c r="BE912" s="315">
        <v>1.9512</v>
      </c>
      <c r="BF912" s="315">
        <v>1.8108</v>
      </c>
      <c r="BG912" s="315">
        <v>3.0114000000000001</v>
      </c>
      <c r="BH912" s="315">
        <v>2.9746999999999999</v>
      </c>
      <c r="BI912" s="315">
        <v>3.0874000000000001</v>
      </c>
      <c r="BJ912" s="315">
        <v>2.3978999999999999</v>
      </c>
      <c r="BK912" s="315">
        <v>3.0261</v>
      </c>
    </row>
    <row r="913" spans="1:63" x14ac:dyDescent="0.25">
      <c r="A913" s="306">
        <v>321219</v>
      </c>
      <c r="B913" s="315" t="s">
        <v>82</v>
      </c>
      <c r="C913" s="315">
        <v>3.1554000000000002</v>
      </c>
      <c r="D913" s="315">
        <v>0</v>
      </c>
      <c r="E913" s="315">
        <v>2.4035000000000002</v>
      </c>
      <c r="F913" s="315">
        <v>2.2191999999999998</v>
      </c>
      <c r="G913" s="315">
        <v>1.6577999999999999</v>
      </c>
      <c r="H913" s="315">
        <v>1.9513</v>
      </c>
      <c r="I913" s="315">
        <v>1.8205</v>
      </c>
      <c r="J913" s="315">
        <v>0</v>
      </c>
      <c r="K913" s="315">
        <v>0</v>
      </c>
      <c r="L913" s="315">
        <v>1.6835</v>
      </c>
      <c r="M913" s="315">
        <v>1.8512999999999999</v>
      </c>
      <c r="N913" s="315">
        <v>2.4944999999999999</v>
      </c>
      <c r="O913" s="315">
        <v>0</v>
      </c>
      <c r="P913" s="315">
        <v>0</v>
      </c>
      <c r="Q913" s="315">
        <v>2.0063</v>
      </c>
      <c r="R913" s="315">
        <v>1.9350000000000001</v>
      </c>
      <c r="S913" s="315">
        <v>1.9376</v>
      </c>
      <c r="T913" s="315">
        <v>0</v>
      </c>
      <c r="U913" s="315">
        <v>2.0175999999999998</v>
      </c>
      <c r="V913" s="315">
        <v>2.3681999999999999</v>
      </c>
      <c r="W913" s="315">
        <v>1.7289000000000001</v>
      </c>
      <c r="X913" s="315">
        <v>1.6048</v>
      </c>
      <c r="Y913" s="315">
        <v>2.1295999999999999</v>
      </c>
      <c r="Z913" s="315">
        <v>2.1964000000000001</v>
      </c>
      <c r="AA913" s="315">
        <v>1.9706999999999999</v>
      </c>
      <c r="AB913" s="315">
        <v>1.9790000000000001</v>
      </c>
      <c r="AC913" s="315">
        <v>2.2431000000000001</v>
      </c>
      <c r="AD913" s="315">
        <v>2.0863</v>
      </c>
      <c r="AE913" s="315">
        <v>2.2942</v>
      </c>
      <c r="AF913" s="315">
        <v>1.4985999999999999</v>
      </c>
      <c r="AG913" s="315">
        <v>0</v>
      </c>
      <c r="AH913" s="315">
        <v>2.0878999999999999</v>
      </c>
      <c r="AI913" s="315">
        <v>1.8071999999999999</v>
      </c>
      <c r="AJ913" s="315">
        <v>1.5517000000000001</v>
      </c>
      <c r="AK913" s="315">
        <v>1.6076999999999999</v>
      </c>
      <c r="AL913" s="315">
        <v>1.59</v>
      </c>
      <c r="AM913" s="315">
        <v>2.0089000000000001</v>
      </c>
      <c r="AN913" s="315">
        <v>1.8909</v>
      </c>
      <c r="AO913" s="315">
        <v>2.3113000000000001</v>
      </c>
      <c r="AP913" s="315">
        <v>2.2147000000000001</v>
      </c>
      <c r="AQ913" s="315">
        <v>0</v>
      </c>
      <c r="AR913" s="315">
        <v>2.4087999999999998</v>
      </c>
      <c r="AS913" s="315">
        <v>1.7270000000000001</v>
      </c>
      <c r="AT913" s="315">
        <v>2.1480000000000001</v>
      </c>
      <c r="AU913" s="315">
        <v>2.3098999999999998</v>
      </c>
      <c r="AV913" s="315">
        <v>0</v>
      </c>
      <c r="AW913" s="315">
        <v>2.2016</v>
      </c>
      <c r="AX913" s="315">
        <v>0</v>
      </c>
      <c r="AY913" s="315">
        <v>2.2208999999999999</v>
      </c>
      <c r="AZ913" s="315">
        <v>2.0903999999999998</v>
      </c>
      <c r="BA913" s="315">
        <v>2.1652999999999998</v>
      </c>
      <c r="BB913" s="315">
        <v>0</v>
      </c>
      <c r="BC913" s="315">
        <v>2.1968000000000001</v>
      </c>
      <c r="BD913" s="315">
        <v>1.9415</v>
      </c>
      <c r="BE913" s="315">
        <v>2.1823000000000001</v>
      </c>
      <c r="BF913" s="315">
        <v>1.9376</v>
      </c>
      <c r="BG913" s="315">
        <v>2.5436000000000001</v>
      </c>
      <c r="BH913" s="315">
        <v>2.5760000000000001</v>
      </c>
      <c r="BI913" s="315">
        <v>2.6978</v>
      </c>
      <c r="BJ913" s="315">
        <v>2.1659999999999999</v>
      </c>
      <c r="BK913" s="315">
        <v>2.4264999999999999</v>
      </c>
    </row>
    <row r="914" spans="1:63" x14ac:dyDescent="0.25">
      <c r="A914" s="306" t="s">
        <v>709</v>
      </c>
      <c r="B914" s="315" t="s">
        <v>80</v>
      </c>
      <c r="C914" s="315">
        <v>3.3241999999999998</v>
      </c>
      <c r="D914" s="315">
        <v>1.8499000000000001</v>
      </c>
      <c r="E914" s="315">
        <v>2.6137999999999999</v>
      </c>
      <c r="F914" s="315">
        <v>2.5165000000000002</v>
      </c>
      <c r="G914" s="315">
        <v>1.5971</v>
      </c>
      <c r="H914" s="315">
        <v>1.9295</v>
      </c>
      <c r="I914" s="315">
        <v>1.7294</v>
      </c>
      <c r="J914" s="315">
        <v>0</v>
      </c>
      <c r="K914" s="315">
        <v>0</v>
      </c>
      <c r="L914" s="315">
        <v>1.4654</v>
      </c>
      <c r="M914" s="315">
        <v>2.1173000000000002</v>
      </c>
      <c r="N914" s="315">
        <v>2.7888000000000002</v>
      </c>
      <c r="O914" s="315">
        <v>1.4903</v>
      </c>
      <c r="P914" s="315">
        <v>1.4301999999999999</v>
      </c>
      <c r="Q914" s="315">
        <v>2.3919999999999999</v>
      </c>
      <c r="R914" s="315">
        <v>1.7048000000000001</v>
      </c>
      <c r="S914" s="315">
        <v>1.8601000000000001</v>
      </c>
      <c r="T914" s="315">
        <v>0</v>
      </c>
      <c r="U914" s="315">
        <v>1.9494</v>
      </c>
      <c r="V914" s="315">
        <v>2.5558000000000001</v>
      </c>
      <c r="W914" s="315">
        <v>1.5522</v>
      </c>
      <c r="X914" s="315">
        <v>1.5557000000000001</v>
      </c>
      <c r="Y914" s="315">
        <v>2.4876999999999998</v>
      </c>
      <c r="Z914" s="315">
        <v>2.2343999999999999</v>
      </c>
      <c r="AA914" s="315">
        <v>2.0154999999999998</v>
      </c>
      <c r="AB914" s="315">
        <v>1.7344999999999999</v>
      </c>
      <c r="AC914" s="315">
        <v>2.4708000000000001</v>
      </c>
      <c r="AD914" s="315">
        <v>2.4325999999999999</v>
      </c>
      <c r="AE914" s="315">
        <v>2.5112999999999999</v>
      </c>
      <c r="AF914" s="315">
        <v>0</v>
      </c>
      <c r="AG914" s="315">
        <v>1.4221999999999999</v>
      </c>
      <c r="AH914" s="315">
        <v>2.1255999999999999</v>
      </c>
      <c r="AI914" s="315">
        <v>1.5952</v>
      </c>
      <c r="AJ914" s="315">
        <v>0</v>
      </c>
      <c r="AK914" s="315">
        <v>0</v>
      </c>
      <c r="AL914" s="315">
        <v>1.5145</v>
      </c>
      <c r="AM914" s="315">
        <v>1.8147</v>
      </c>
      <c r="AN914" s="315">
        <v>1.7506999999999999</v>
      </c>
      <c r="AO914" s="315">
        <v>2.6715</v>
      </c>
      <c r="AP914" s="315">
        <v>1.9336</v>
      </c>
      <c r="AQ914" s="315">
        <v>1.4862</v>
      </c>
      <c r="AR914" s="315">
        <v>2.6086999999999998</v>
      </c>
      <c r="AS914" s="315">
        <v>0</v>
      </c>
      <c r="AT914" s="315">
        <v>1.9789000000000001</v>
      </c>
      <c r="AU914" s="315">
        <v>2.2221000000000002</v>
      </c>
      <c r="AV914" s="315">
        <v>1.8676999999999999</v>
      </c>
      <c r="AW914" s="315">
        <v>2.3502999999999998</v>
      </c>
      <c r="AX914" s="315">
        <v>2.2473000000000001</v>
      </c>
      <c r="AY914" s="315">
        <v>2.6198999999999999</v>
      </c>
      <c r="AZ914" s="315">
        <v>2.1701000000000001</v>
      </c>
      <c r="BA914" s="315">
        <v>2.2511999999999999</v>
      </c>
      <c r="BB914" s="315">
        <v>0</v>
      </c>
      <c r="BC914" s="315">
        <v>2.2427999999999999</v>
      </c>
      <c r="BD914" s="315">
        <v>1.748</v>
      </c>
      <c r="BE914" s="315">
        <v>2.0686</v>
      </c>
      <c r="BF914" s="315">
        <v>1.7874000000000001</v>
      </c>
      <c r="BG914" s="315">
        <v>2.8111000000000002</v>
      </c>
      <c r="BH914" s="315">
        <v>2.7766000000000002</v>
      </c>
      <c r="BI914" s="315">
        <v>2.8717999999999999</v>
      </c>
      <c r="BJ914" s="315">
        <v>2.2883</v>
      </c>
      <c r="BK914" s="315">
        <v>2.8043999999999998</v>
      </c>
    </row>
    <row r="915" spans="1:63" x14ac:dyDescent="0.25">
      <c r="A915" s="306" t="s">
        <v>710</v>
      </c>
      <c r="B915" s="315" t="s">
        <v>81</v>
      </c>
      <c r="C915" s="315">
        <v>3.117</v>
      </c>
      <c r="D915" s="315">
        <v>1.6724000000000001</v>
      </c>
      <c r="E915" s="315">
        <v>2.3956</v>
      </c>
      <c r="F915" s="315">
        <v>2.2835000000000001</v>
      </c>
      <c r="G915" s="315">
        <v>1.8240000000000001</v>
      </c>
      <c r="H915" s="315">
        <v>2.0941999999999998</v>
      </c>
      <c r="I915" s="315">
        <v>2.0468000000000002</v>
      </c>
      <c r="J915" s="315">
        <v>1.7406999999999999</v>
      </c>
      <c r="K915" s="315">
        <v>0</v>
      </c>
      <c r="L915" s="315">
        <v>1.6287</v>
      </c>
      <c r="M915" s="315">
        <v>1.9482999999999999</v>
      </c>
      <c r="N915" s="315">
        <v>2.5802</v>
      </c>
      <c r="O915" s="315">
        <v>1.6033999999999999</v>
      </c>
      <c r="P915" s="315">
        <v>1.6589</v>
      </c>
      <c r="Q915" s="315">
        <v>2.1465999999999998</v>
      </c>
      <c r="R915" s="315">
        <v>2.0196999999999998</v>
      </c>
      <c r="S915" s="315">
        <v>2.0865</v>
      </c>
      <c r="T915" s="315">
        <v>1.6265000000000001</v>
      </c>
      <c r="U915" s="315">
        <v>2.2098</v>
      </c>
      <c r="V915" s="315">
        <v>2.2886000000000002</v>
      </c>
      <c r="W915" s="315">
        <v>1.784</v>
      </c>
      <c r="X915" s="315">
        <v>1.7522</v>
      </c>
      <c r="Y915" s="315">
        <v>2.31</v>
      </c>
      <c r="Z915" s="315">
        <v>2.1827000000000001</v>
      </c>
      <c r="AA915" s="315">
        <v>1.95</v>
      </c>
      <c r="AB915" s="315">
        <v>2.1989999999999998</v>
      </c>
      <c r="AC915" s="315">
        <v>2.2353000000000001</v>
      </c>
      <c r="AD915" s="315">
        <v>2.1442999999999999</v>
      </c>
      <c r="AE915" s="315">
        <v>2.3885000000000001</v>
      </c>
      <c r="AF915" s="315">
        <v>1.5084</v>
      </c>
      <c r="AG915" s="315">
        <v>1.5669999999999999</v>
      </c>
      <c r="AH915" s="315">
        <v>2.2298</v>
      </c>
      <c r="AI915" s="315">
        <v>1.8201000000000001</v>
      </c>
      <c r="AJ915" s="315">
        <v>1.5821000000000001</v>
      </c>
      <c r="AK915" s="315">
        <v>1.6639999999999999</v>
      </c>
      <c r="AL915" s="315">
        <v>1.6956</v>
      </c>
      <c r="AM915" s="315">
        <v>2.1025999999999998</v>
      </c>
      <c r="AN915" s="315">
        <v>2.0981000000000001</v>
      </c>
      <c r="AO915" s="315">
        <v>2.4659</v>
      </c>
      <c r="AP915" s="315">
        <v>2.3953000000000002</v>
      </c>
      <c r="AQ915" s="315">
        <v>1.7734000000000001</v>
      </c>
      <c r="AR915" s="315">
        <v>2.4232999999999998</v>
      </c>
      <c r="AS915" s="315">
        <v>1.9012</v>
      </c>
      <c r="AT915" s="315">
        <v>2.3462999999999998</v>
      </c>
      <c r="AU915" s="315">
        <v>2.2437999999999998</v>
      </c>
      <c r="AV915" s="315">
        <v>2.0287999999999999</v>
      </c>
      <c r="AW915" s="315">
        <v>2.3567</v>
      </c>
      <c r="AX915" s="315">
        <v>2.0571000000000002</v>
      </c>
      <c r="AY915" s="315">
        <v>2.4137</v>
      </c>
      <c r="AZ915" s="315">
        <v>2.3062</v>
      </c>
      <c r="BA915" s="315">
        <v>2.1255999999999999</v>
      </c>
      <c r="BB915" s="315">
        <v>1.7544999999999999</v>
      </c>
      <c r="BC915" s="315">
        <v>2.2033999999999998</v>
      </c>
      <c r="BD915" s="315">
        <v>2.0543999999999998</v>
      </c>
      <c r="BE915" s="315">
        <v>2.2654000000000001</v>
      </c>
      <c r="BF915" s="315">
        <v>2.0148999999999999</v>
      </c>
      <c r="BG915" s="315">
        <v>2.6193</v>
      </c>
      <c r="BH915" s="315">
        <v>2.5579000000000001</v>
      </c>
      <c r="BI915" s="315">
        <v>2.6396999999999999</v>
      </c>
      <c r="BJ915" s="315">
        <v>2.3031999999999999</v>
      </c>
      <c r="BK915" s="315">
        <v>2.5783</v>
      </c>
    </row>
    <row r="916" spans="1:63" x14ac:dyDescent="0.25">
      <c r="A916" s="306">
        <v>321910</v>
      </c>
      <c r="B916" s="315" t="s">
        <v>711</v>
      </c>
      <c r="C916" s="315">
        <v>3.2054999999999998</v>
      </c>
      <c r="D916" s="315">
        <v>1.6326000000000001</v>
      </c>
      <c r="E916" s="315">
        <v>2.4113000000000002</v>
      </c>
      <c r="F916" s="315">
        <v>2.2900999999999998</v>
      </c>
      <c r="G916" s="315">
        <v>1.8409</v>
      </c>
      <c r="H916" s="315">
        <v>2.1454</v>
      </c>
      <c r="I916" s="315">
        <v>2.0806</v>
      </c>
      <c r="J916" s="315">
        <v>1.7937000000000001</v>
      </c>
      <c r="K916" s="315">
        <v>0</v>
      </c>
      <c r="L916" s="315">
        <v>1.6226</v>
      </c>
      <c r="M916" s="315">
        <v>1.9913000000000001</v>
      </c>
      <c r="N916" s="315">
        <v>2.6490999999999998</v>
      </c>
      <c r="O916" s="315">
        <v>1.603</v>
      </c>
      <c r="P916" s="315">
        <v>1.7090000000000001</v>
      </c>
      <c r="Q916" s="315">
        <v>2.13</v>
      </c>
      <c r="R916" s="315">
        <v>2.1006999999999998</v>
      </c>
      <c r="S916" s="315">
        <v>2.1423999999999999</v>
      </c>
      <c r="T916" s="315">
        <v>1.6702999999999999</v>
      </c>
      <c r="U916" s="315">
        <v>2.2690000000000001</v>
      </c>
      <c r="V916" s="315">
        <v>2.2262</v>
      </c>
      <c r="W916" s="315">
        <v>1.8352999999999999</v>
      </c>
      <c r="X916" s="315">
        <v>1.7539</v>
      </c>
      <c r="Y916" s="315">
        <v>2.2999000000000001</v>
      </c>
      <c r="Z916" s="315">
        <v>2.2058</v>
      </c>
      <c r="AA916" s="315">
        <v>2.0606</v>
      </c>
      <c r="AB916" s="315">
        <v>2.2008999999999999</v>
      </c>
      <c r="AC916" s="315">
        <v>2.2536999999999998</v>
      </c>
      <c r="AD916" s="315">
        <v>2.0985999999999998</v>
      </c>
      <c r="AE916" s="315">
        <v>2.4256000000000002</v>
      </c>
      <c r="AF916" s="315">
        <v>1.5367999999999999</v>
      </c>
      <c r="AG916" s="315">
        <v>1.5498000000000001</v>
      </c>
      <c r="AH916" s="315">
        <v>2.2018</v>
      </c>
      <c r="AI916" s="315">
        <v>1.9040999999999999</v>
      </c>
      <c r="AJ916" s="315">
        <v>1.5827</v>
      </c>
      <c r="AK916" s="315">
        <v>1.675</v>
      </c>
      <c r="AL916" s="315">
        <v>1.7250000000000001</v>
      </c>
      <c r="AM916" s="315">
        <v>2.2143000000000002</v>
      </c>
      <c r="AN916" s="315">
        <v>2.0676999999999999</v>
      </c>
      <c r="AO916" s="315">
        <v>2.4737</v>
      </c>
      <c r="AP916" s="315">
        <v>2.4131999999999998</v>
      </c>
      <c r="AQ916" s="315">
        <v>1.833</v>
      </c>
      <c r="AR916" s="315">
        <v>2.4401999999999999</v>
      </c>
      <c r="AS916" s="315">
        <v>1.8617999999999999</v>
      </c>
      <c r="AT916" s="315">
        <v>2.3812000000000002</v>
      </c>
      <c r="AU916" s="315">
        <v>2.2955000000000001</v>
      </c>
      <c r="AV916" s="315">
        <v>2.08</v>
      </c>
      <c r="AW916" s="315">
        <v>2.3491</v>
      </c>
      <c r="AX916" s="315">
        <v>2.0560999999999998</v>
      </c>
      <c r="AY916" s="315">
        <v>2.4178999999999999</v>
      </c>
      <c r="AZ916" s="315">
        <v>2.3435000000000001</v>
      </c>
      <c r="BA916" s="315">
        <v>2.1314000000000002</v>
      </c>
      <c r="BB916" s="315">
        <v>1.6476</v>
      </c>
      <c r="BC916" s="315">
        <v>2.2416</v>
      </c>
      <c r="BD916" s="315">
        <v>2.1128999999999998</v>
      </c>
      <c r="BE916" s="315">
        <v>2.3801000000000001</v>
      </c>
      <c r="BF916" s="315">
        <v>2.0876999999999999</v>
      </c>
      <c r="BG916" s="315">
        <v>2.6524000000000001</v>
      </c>
      <c r="BH916" s="315">
        <v>2.6248</v>
      </c>
      <c r="BI916" s="315">
        <v>2.6453000000000002</v>
      </c>
      <c r="BJ916" s="315">
        <v>2.2911999999999999</v>
      </c>
      <c r="BK916" s="315">
        <v>2.6063000000000001</v>
      </c>
    </row>
    <row r="917" spans="1:63" x14ac:dyDescent="0.25">
      <c r="A917" s="306">
        <v>321920</v>
      </c>
      <c r="B917" s="315" t="s">
        <v>83</v>
      </c>
      <c r="C917" s="315">
        <v>3.1423999999999999</v>
      </c>
      <c r="D917" s="315">
        <v>1.6387</v>
      </c>
      <c r="E917" s="315">
        <v>2.3130000000000002</v>
      </c>
      <c r="F917" s="315">
        <v>2.1480999999999999</v>
      </c>
      <c r="G917" s="315">
        <v>1.8021</v>
      </c>
      <c r="H917" s="315">
        <v>2.15</v>
      </c>
      <c r="I917" s="315">
        <v>2.0141</v>
      </c>
      <c r="J917" s="315">
        <v>1.7935000000000001</v>
      </c>
      <c r="K917" s="315">
        <v>0</v>
      </c>
      <c r="L917" s="315">
        <v>1.6593</v>
      </c>
      <c r="M917" s="315">
        <v>1.9610000000000001</v>
      </c>
      <c r="N917" s="315">
        <v>2.5407000000000002</v>
      </c>
      <c r="O917" s="315">
        <v>0</v>
      </c>
      <c r="P917" s="315">
        <v>1.6384000000000001</v>
      </c>
      <c r="Q917" s="315">
        <v>1.9595</v>
      </c>
      <c r="R917" s="315">
        <v>2.1156999999999999</v>
      </c>
      <c r="S917" s="315">
        <v>2.0882999999999998</v>
      </c>
      <c r="T917" s="315">
        <v>1.6932</v>
      </c>
      <c r="U917" s="315">
        <v>2.1661000000000001</v>
      </c>
      <c r="V917" s="315">
        <v>2.1524000000000001</v>
      </c>
      <c r="W917" s="315">
        <v>1.8907</v>
      </c>
      <c r="X917" s="315">
        <v>1.7991999999999999</v>
      </c>
      <c r="Y917" s="315">
        <v>2.1516000000000002</v>
      </c>
      <c r="Z917" s="315">
        <v>2.1669</v>
      </c>
      <c r="AA917" s="315">
        <v>1.9555</v>
      </c>
      <c r="AB917" s="315">
        <v>2.1255999999999999</v>
      </c>
      <c r="AC917" s="315">
        <v>2.1596000000000002</v>
      </c>
      <c r="AD917" s="315">
        <v>1.9577</v>
      </c>
      <c r="AE917" s="315">
        <v>2.3740000000000001</v>
      </c>
      <c r="AF917" s="315">
        <v>1.4786999999999999</v>
      </c>
      <c r="AG917" s="315">
        <v>1.5750999999999999</v>
      </c>
      <c r="AH917" s="315">
        <v>2.1030000000000002</v>
      </c>
      <c r="AI917" s="315">
        <v>1.9624999999999999</v>
      </c>
      <c r="AJ917" s="315">
        <v>1.5709</v>
      </c>
      <c r="AK917" s="315">
        <v>1.6277999999999999</v>
      </c>
      <c r="AL917" s="315">
        <v>1.7858000000000001</v>
      </c>
      <c r="AM917" s="315">
        <v>2.1839</v>
      </c>
      <c r="AN917" s="315">
        <v>1.9851000000000001</v>
      </c>
      <c r="AO917" s="315">
        <v>2.2759999999999998</v>
      </c>
      <c r="AP917" s="315">
        <v>2.3397000000000001</v>
      </c>
      <c r="AQ917" s="315">
        <v>1.8682000000000001</v>
      </c>
      <c r="AR917" s="315">
        <v>2.3914</v>
      </c>
      <c r="AS917" s="315">
        <v>1.7081</v>
      </c>
      <c r="AT917" s="315">
        <v>2.3279999999999998</v>
      </c>
      <c r="AU917" s="315">
        <v>2.2233999999999998</v>
      </c>
      <c r="AV917" s="315">
        <v>2.0926</v>
      </c>
      <c r="AW917" s="315">
        <v>2.2633000000000001</v>
      </c>
      <c r="AX917" s="315">
        <v>1.9970000000000001</v>
      </c>
      <c r="AY917" s="315">
        <v>2.2751999999999999</v>
      </c>
      <c r="AZ917" s="315">
        <v>2.2139000000000002</v>
      </c>
      <c r="BA917" s="315">
        <v>1.9750000000000001</v>
      </c>
      <c r="BB917" s="315">
        <v>1.6556</v>
      </c>
      <c r="BC917" s="315">
        <v>2.2418999999999998</v>
      </c>
      <c r="BD917" s="315">
        <v>2.1511</v>
      </c>
      <c r="BE917" s="315">
        <v>2.3129</v>
      </c>
      <c r="BF917" s="315">
        <v>1.9903999999999999</v>
      </c>
      <c r="BG917" s="315">
        <v>2.5920000000000001</v>
      </c>
      <c r="BH917" s="315">
        <v>2.5419</v>
      </c>
      <c r="BI917" s="315">
        <v>2.5177999999999998</v>
      </c>
      <c r="BJ917" s="315">
        <v>2.2000000000000002</v>
      </c>
      <c r="BK917" s="315">
        <v>2.5019</v>
      </c>
    </row>
    <row r="918" spans="1:63" x14ac:dyDescent="0.25">
      <c r="A918" s="306">
        <v>321991</v>
      </c>
      <c r="B918" s="315" t="s">
        <v>84</v>
      </c>
      <c r="C918" s="315">
        <v>3.2578999999999998</v>
      </c>
      <c r="D918" s="315">
        <v>0</v>
      </c>
      <c r="E918" s="315">
        <v>2.4239999999999999</v>
      </c>
      <c r="F918" s="315">
        <v>2.1572</v>
      </c>
      <c r="G918" s="315">
        <v>1.9946999999999999</v>
      </c>
      <c r="H918" s="315">
        <v>2.2347000000000001</v>
      </c>
      <c r="I918" s="315">
        <v>2.1284000000000001</v>
      </c>
      <c r="J918" s="315">
        <v>0</v>
      </c>
      <c r="K918" s="315">
        <v>0</v>
      </c>
      <c r="L918" s="315">
        <v>0</v>
      </c>
      <c r="M918" s="315">
        <v>2.0339</v>
      </c>
      <c r="N918" s="315">
        <v>2.5508000000000002</v>
      </c>
      <c r="O918" s="315">
        <v>0</v>
      </c>
      <c r="P918" s="315">
        <v>1.8494999999999999</v>
      </c>
      <c r="Q918" s="315">
        <v>1.8606</v>
      </c>
      <c r="R918" s="315">
        <v>2.3079000000000001</v>
      </c>
      <c r="S918" s="315">
        <v>2.2837000000000001</v>
      </c>
      <c r="T918" s="315">
        <v>1.8608</v>
      </c>
      <c r="U918" s="315">
        <v>2.2974000000000001</v>
      </c>
      <c r="V918" s="315">
        <v>1.9906999999999999</v>
      </c>
      <c r="W918" s="315">
        <v>0</v>
      </c>
      <c r="X918" s="315">
        <v>1.8692</v>
      </c>
      <c r="Y918" s="315">
        <v>2.0215000000000001</v>
      </c>
      <c r="Z918" s="315">
        <v>2.2871999999999999</v>
      </c>
      <c r="AA918" s="315">
        <v>2.1318000000000001</v>
      </c>
      <c r="AB918" s="315">
        <v>2.2755999999999998</v>
      </c>
      <c r="AC918" s="315">
        <v>2.0958000000000001</v>
      </c>
      <c r="AD918" s="315">
        <v>1.802</v>
      </c>
      <c r="AE918" s="315">
        <v>2.3241000000000001</v>
      </c>
      <c r="AF918" s="315">
        <v>1.5811999999999999</v>
      </c>
      <c r="AG918" s="315">
        <v>1.6447000000000001</v>
      </c>
      <c r="AH918" s="315">
        <v>0</v>
      </c>
      <c r="AI918" s="315">
        <v>2.0417000000000001</v>
      </c>
      <c r="AJ918" s="315">
        <v>1.69</v>
      </c>
      <c r="AK918" s="315">
        <v>0</v>
      </c>
      <c r="AL918" s="315">
        <v>1.8144</v>
      </c>
      <c r="AM918" s="315">
        <v>2.4426000000000001</v>
      </c>
      <c r="AN918" s="315">
        <v>2.0581999999999998</v>
      </c>
      <c r="AO918" s="315">
        <v>2.3018000000000001</v>
      </c>
      <c r="AP918" s="315">
        <v>2.4822000000000002</v>
      </c>
      <c r="AQ918" s="315">
        <v>0</v>
      </c>
      <c r="AR918" s="315">
        <v>2.4260000000000002</v>
      </c>
      <c r="AS918" s="315">
        <v>1.7303999999999999</v>
      </c>
      <c r="AT918" s="315">
        <v>2.4687999999999999</v>
      </c>
      <c r="AU918" s="315">
        <v>2.4436</v>
      </c>
      <c r="AV918" s="315">
        <v>2.2498999999999998</v>
      </c>
      <c r="AW918" s="315">
        <v>2.2564000000000002</v>
      </c>
      <c r="AX918" s="315">
        <v>1.8597999999999999</v>
      </c>
      <c r="AY918" s="315">
        <v>2.1819000000000002</v>
      </c>
      <c r="AZ918" s="315">
        <v>2.3172999999999999</v>
      </c>
      <c r="BA918" s="315">
        <v>2.0089000000000001</v>
      </c>
      <c r="BB918" s="315">
        <v>1.5895999999999999</v>
      </c>
      <c r="BC918" s="315">
        <v>2.2006999999999999</v>
      </c>
      <c r="BD918" s="315">
        <v>2.2484999999999999</v>
      </c>
      <c r="BE918" s="315">
        <v>2.6089000000000002</v>
      </c>
      <c r="BF918" s="315">
        <v>2.2317</v>
      </c>
      <c r="BG918" s="315">
        <v>2.6017000000000001</v>
      </c>
      <c r="BH918" s="315">
        <v>2.6446000000000001</v>
      </c>
      <c r="BI918" s="315">
        <v>2.5625</v>
      </c>
      <c r="BJ918" s="315">
        <v>2.2595000000000001</v>
      </c>
      <c r="BK918" s="315">
        <v>2.4266999999999999</v>
      </c>
    </row>
    <row r="919" spans="1:63" x14ac:dyDescent="0.25">
      <c r="A919" s="306">
        <v>321992</v>
      </c>
      <c r="B919" s="315" t="s">
        <v>85</v>
      </c>
      <c r="C919" s="315">
        <v>3.2078000000000002</v>
      </c>
      <c r="D919" s="315">
        <v>1.5770999999999999</v>
      </c>
      <c r="E919" s="315">
        <v>2.4222000000000001</v>
      </c>
      <c r="F919" s="315">
        <v>2.2646000000000002</v>
      </c>
      <c r="G919" s="315">
        <v>1.9472</v>
      </c>
      <c r="H919" s="315">
        <v>2.1772999999999998</v>
      </c>
      <c r="I919" s="315">
        <v>2.1345000000000001</v>
      </c>
      <c r="J919" s="315">
        <v>1.8736999999999999</v>
      </c>
      <c r="K919" s="315">
        <v>0</v>
      </c>
      <c r="L919" s="315">
        <v>1.6664000000000001</v>
      </c>
      <c r="M919" s="315">
        <v>2.0154000000000001</v>
      </c>
      <c r="N919" s="315">
        <v>2.6375000000000002</v>
      </c>
      <c r="O919" s="315">
        <v>1.6285000000000001</v>
      </c>
      <c r="P919" s="315">
        <v>1.7824</v>
      </c>
      <c r="Q919" s="315">
        <v>2.0851000000000002</v>
      </c>
      <c r="R919" s="315">
        <v>2.1747999999999998</v>
      </c>
      <c r="S919" s="315">
        <v>2.2157</v>
      </c>
      <c r="T919" s="315">
        <v>1.762</v>
      </c>
      <c r="U919" s="315">
        <v>2.2856000000000001</v>
      </c>
      <c r="V919" s="315">
        <v>2.1396000000000002</v>
      </c>
      <c r="W919" s="315">
        <v>1.8896999999999999</v>
      </c>
      <c r="X919" s="315">
        <v>1.7874000000000001</v>
      </c>
      <c r="Y919" s="315">
        <v>2.2440000000000002</v>
      </c>
      <c r="Z919" s="315">
        <v>2.2504</v>
      </c>
      <c r="AA919" s="315">
        <v>2.1274999999999999</v>
      </c>
      <c r="AB919" s="315">
        <v>2.2602000000000002</v>
      </c>
      <c r="AC919" s="315">
        <v>2.2094999999999998</v>
      </c>
      <c r="AD919" s="315">
        <v>2.0411999999999999</v>
      </c>
      <c r="AE919" s="315">
        <v>2.3813</v>
      </c>
      <c r="AF919" s="315">
        <v>1.5820000000000001</v>
      </c>
      <c r="AG919" s="315">
        <v>1.6140000000000001</v>
      </c>
      <c r="AH919" s="315">
        <v>2.2096</v>
      </c>
      <c r="AI919" s="315">
        <v>1.9548000000000001</v>
      </c>
      <c r="AJ919" s="315">
        <v>1.6282000000000001</v>
      </c>
      <c r="AK919" s="315">
        <v>1.7871999999999999</v>
      </c>
      <c r="AL919" s="315">
        <v>1.7695000000000001</v>
      </c>
      <c r="AM919" s="315">
        <v>2.3006000000000002</v>
      </c>
      <c r="AN919" s="315">
        <v>2.0687000000000002</v>
      </c>
      <c r="AO919" s="315">
        <v>2.4689000000000001</v>
      </c>
      <c r="AP919" s="315">
        <v>2.4853999999999998</v>
      </c>
      <c r="AQ919" s="315">
        <v>1.8855</v>
      </c>
      <c r="AR919" s="315">
        <v>2.44</v>
      </c>
      <c r="AS919" s="315">
        <v>1.8492999999999999</v>
      </c>
      <c r="AT919" s="315">
        <v>2.4110999999999998</v>
      </c>
      <c r="AU919" s="315">
        <v>2.3603000000000001</v>
      </c>
      <c r="AV919" s="315">
        <v>2.2033999999999998</v>
      </c>
      <c r="AW919" s="315">
        <v>2.3525</v>
      </c>
      <c r="AX919" s="315">
        <v>2.0200999999999998</v>
      </c>
      <c r="AY919" s="315">
        <v>2.3828999999999998</v>
      </c>
      <c r="AZ919" s="315">
        <v>2.3645999999999998</v>
      </c>
      <c r="BA919" s="315">
        <v>2.0966999999999998</v>
      </c>
      <c r="BB919" s="315">
        <v>1.6148</v>
      </c>
      <c r="BC919" s="315">
        <v>2.2458</v>
      </c>
      <c r="BD919" s="315">
        <v>2.1949999999999998</v>
      </c>
      <c r="BE919" s="315">
        <v>2.4723000000000002</v>
      </c>
      <c r="BF919" s="315">
        <v>2.17</v>
      </c>
      <c r="BG919" s="315">
        <v>2.6202000000000001</v>
      </c>
      <c r="BH919" s="315">
        <v>2.6120000000000001</v>
      </c>
      <c r="BI919" s="315">
        <v>2.5996000000000001</v>
      </c>
      <c r="BJ919" s="315">
        <v>2.3307000000000002</v>
      </c>
      <c r="BK919" s="315">
        <v>2.5537000000000001</v>
      </c>
    </row>
    <row r="920" spans="1:63" x14ac:dyDescent="0.25">
      <c r="A920" s="306">
        <v>321999</v>
      </c>
      <c r="B920" s="315" t="s">
        <v>86</v>
      </c>
      <c r="C920" s="315">
        <v>3.2321</v>
      </c>
      <c r="D920" s="315">
        <v>1.7904</v>
      </c>
      <c r="E920" s="315">
        <v>2.4220999999999999</v>
      </c>
      <c r="F920" s="315">
        <v>2.2791000000000001</v>
      </c>
      <c r="G920" s="315">
        <v>1.9196</v>
      </c>
      <c r="H920" s="315">
        <v>2.2263999999999999</v>
      </c>
      <c r="I920" s="315">
        <v>2.1356000000000002</v>
      </c>
      <c r="J920" s="315">
        <v>1.8734999999999999</v>
      </c>
      <c r="K920" s="315">
        <v>0</v>
      </c>
      <c r="L920" s="315">
        <v>0</v>
      </c>
      <c r="M920" s="315">
        <v>2.1133000000000002</v>
      </c>
      <c r="N920" s="315">
        <v>2.6617999999999999</v>
      </c>
      <c r="O920" s="315">
        <v>1.7341</v>
      </c>
      <c r="P920" s="315">
        <v>1.6677</v>
      </c>
      <c r="Q920" s="315">
        <v>2.1341000000000001</v>
      </c>
      <c r="R920" s="315">
        <v>2.1694</v>
      </c>
      <c r="S920" s="315">
        <v>2.1086</v>
      </c>
      <c r="T920" s="315">
        <v>1.7023999999999999</v>
      </c>
      <c r="U920" s="315">
        <v>2.2193000000000001</v>
      </c>
      <c r="V920" s="315">
        <v>2.3187000000000002</v>
      </c>
      <c r="W920" s="315">
        <v>1.9151</v>
      </c>
      <c r="X920" s="315">
        <v>1.8738999999999999</v>
      </c>
      <c r="Y920" s="315">
        <v>2.3180000000000001</v>
      </c>
      <c r="Z920" s="315">
        <v>2.2673000000000001</v>
      </c>
      <c r="AA920" s="315">
        <v>2.1002000000000001</v>
      </c>
      <c r="AB920" s="315">
        <v>2.2235999999999998</v>
      </c>
      <c r="AC920" s="315">
        <v>2.2448000000000001</v>
      </c>
      <c r="AD920" s="315">
        <v>2.1326000000000001</v>
      </c>
      <c r="AE920" s="315">
        <v>2.411</v>
      </c>
      <c r="AF920" s="315">
        <v>1.5241</v>
      </c>
      <c r="AG920" s="315">
        <v>1.6064000000000001</v>
      </c>
      <c r="AH920" s="315">
        <v>2.2338</v>
      </c>
      <c r="AI920" s="315">
        <v>1.9998</v>
      </c>
      <c r="AJ920" s="315">
        <v>1.6791</v>
      </c>
      <c r="AK920" s="315">
        <v>1.7579</v>
      </c>
      <c r="AL920" s="315">
        <v>1.8236000000000001</v>
      </c>
      <c r="AM920" s="315">
        <v>2.1939000000000002</v>
      </c>
      <c r="AN920" s="315">
        <v>2.0632000000000001</v>
      </c>
      <c r="AO920" s="315">
        <v>2.5051000000000001</v>
      </c>
      <c r="AP920" s="315">
        <v>2.3794</v>
      </c>
      <c r="AQ920" s="315">
        <v>1.8572</v>
      </c>
      <c r="AR920" s="315">
        <v>2.444</v>
      </c>
      <c r="AS920" s="315">
        <v>1.8142</v>
      </c>
      <c r="AT920" s="315">
        <v>2.3664999999999998</v>
      </c>
      <c r="AU920" s="315">
        <v>2.3645</v>
      </c>
      <c r="AV920" s="315">
        <v>2.1478000000000002</v>
      </c>
      <c r="AW920" s="315">
        <v>2.3936000000000002</v>
      </c>
      <c r="AX920" s="315">
        <v>2.1122999999999998</v>
      </c>
      <c r="AY920" s="315">
        <v>2.4681999999999999</v>
      </c>
      <c r="AZ920" s="315">
        <v>2.2850000000000001</v>
      </c>
      <c r="BA920" s="315">
        <v>2.1173999999999999</v>
      </c>
      <c r="BB920" s="315">
        <v>1.7143999999999999</v>
      </c>
      <c r="BC920" s="315">
        <v>2.3422000000000001</v>
      </c>
      <c r="BD920" s="315">
        <v>2.1939000000000002</v>
      </c>
      <c r="BE920" s="315">
        <v>2.3605</v>
      </c>
      <c r="BF920" s="315">
        <v>2.0655999999999999</v>
      </c>
      <c r="BG920" s="315">
        <v>2.7010999999999998</v>
      </c>
      <c r="BH920" s="315">
        <v>2.6040000000000001</v>
      </c>
      <c r="BI920" s="315">
        <v>2.7113999999999998</v>
      </c>
      <c r="BJ920" s="315">
        <v>2.3588</v>
      </c>
      <c r="BK920" s="315">
        <v>2.6553</v>
      </c>
    </row>
    <row r="921" spans="1:63" x14ac:dyDescent="0.25">
      <c r="A921" s="306">
        <v>322110</v>
      </c>
      <c r="B921" s="315" t="s">
        <v>87</v>
      </c>
      <c r="C921" s="315">
        <v>3.1236000000000002</v>
      </c>
      <c r="D921" s="315">
        <v>0</v>
      </c>
      <c r="E921" s="315">
        <v>2.3896999999999999</v>
      </c>
      <c r="F921" s="315">
        <v>0</v>
      </c>
      <c r="G921" s="315">
        <v>1.7212000000000001</v>
      </c>
      <c r="H921" s="315">
        <v>2.0354000000000001</v>
      </c>
      <c r="I921" s="315">
        <v>0</v>
      </c>
      <c r="J921" s="315">
        <v>0</v>
      </c>
      <c r="K921" s="315">
        <v>0</v>
      </c>
      <c r="L921" s="315">
        <v>0</v>
      </c>
      <c r="M921" s="315">
        <v>1.9320999999999999</v>
      </c>
      <c r="N921" s="315">
        <v>2.4853000000000001</v>
      </c>
      <c r="O921" s="315">
        <v>0</v>
      </c>
      <c r="P921" s="315">
        <v>1.5659000000000001</v>
      </c>
      <c r="Q921" s="315">
        <v>0</v>
      </c>
      <c r="R921" s="315">
        <v>0</v>
      </c>
      <c r="S921" s="315">
        <v>0</v>
      </c>
      <c r="T921" s="315">
        <v>0</v>
      </c>
      <c r="U921" s="315">
        <v>0</v>
      </c>
      <c r="V921" s="315">
        <v>0</v>
      </c>
      <c r="W921" s="315">
        <v>0</v>
      </c>
      <c r="X921" s="315">
        <v>1.6867000000000001</v>
      </c>
      <c r="Y921" s="315">
        <v>2.1453000000000002</v>
      </c>
      <c r="Z921" s="315">
        <v>2.1360999999999999</v>
      </c>
      <c r="AA921" s="315">
        <v>0</v>
      </c>
      <c r="AB921" s="315">
        <v>0</v>
      </c>
      <c r="AC921" s="315">
        <v>2.1478999999999999</v>
      </c>
      <c r="AD921" s="315">
        <v>0</v>
      </c>
      <c r="AE921" s="315">
        <v>2.2553999999999998</v>
      </c>
      <c r="AF921" s="315">
        <v>0</v>
      </c>
      <c r="AG921" s="315">
        <v>0</v>
      </c>
      <c r="AH921" s="315">
        <v>0</v>
      </c>
      <c r="AI921" s="315">
        <v>0</v>
      </c>
      <c r="AJ921" s="315">
        <v>0</v>
      </c>
      <c r="AK921" s="315">
        <v>0</v>
      </c>
      <c r="AL921" s="315">
        <v>1.6577999999999999</v>
      </c>
      <c r="AM921" s="315">
        <v>2.0621</v>
      </c>
      <c r="AN921" s="315">
        <v>1.9414</v>
      </c>
      <c r="AO921" s="315">
        <v>2.3292000000000002</v>
      </c>
      <c r="AP921" s="315">
        <v>0</v>
      </c>
      <c r="AQ921" s="315">
        <v>0</v>
      </c>
      <c r="AR921" s="315">
        <v>2.3237000000000001</v>
      </c>
      <c r="AS921" s="315">
        <v>0</v>
      </c>
      <c r="AT921" s="315">
        <v>2.1612</v>
      </c>
      <c r="AU921" s="315">
        <v>2.2418999999999998</v>
      </c>
      <c r="AV921" s="315">
        <v>0</v>
      </c>
      <c r="AW921" s="315">
        <v>0</v>
      </c>
      <c r="AX921" s="315">
        <v>0</v>
      </c>
      <c r="AY921" s="315">
        <v>2.3382999999999998</v>
      </c>
      <c r="AZ921" s="315">
        <v>2.0676999999999999</v>
      </c>
      <c r="BA921" s="315">
        <v>2.1459000000000001</v>
      </c>
      <c r="BB921" s="315">
        <v>0</v>
      </c>
      <c r="BC921" s="315">
        <v>2.1879</v>
      </c>
      <c r="BD921" s="315">
        <v>1.9789000000000001</v>
      </c>
      <c r="BE921" s="315">
        <v>2.1778</v>
      </c>
      <c r="BF921" s="315">
        <v>1.9247000000000001</v>
      </c>
      <c r="BG921" s="315">
        <v>2.5209000000000001</v>
      </c>
      <c r="BH921" s="315">
        <v>2.5219999999999998</v>
      </c>
      <c r="BI921" s="315">
        <v>2.649</v>
      </c>
      <c r="BJ921" s="315">
        <v>2.2363</v>
      </c>
      <c r="BK921" s="315">
        <v>2.4860000000000002</v>
      </c>
    </row>
    <row r="922" spans="1:63" x14ac:dyDescent="0.25">
      <c r="A922" s="306">
        <v>322120</v>
      </c>
      <c r="B922" s="315" t="s">
        <v>88</v>
      </c>
      <c r="C922" s="315">
        <v>2.7263999999999999</v>
      </c>
      <c r="D922" s="315">
        <v>0</v>
      </c>
      <c r="E922" s="315">
        <v>2.0407999999999999</v>
      </c>
      <c r="F922" s="315">
        <v>1.9051</v>
      </c>
      <c r="G922" s="315">
        <v>1.6496</v>
      </c>
      <c r="H922" s="315">
        <v>1.8759999999999999</v>
      </c>
      <c r="I922" s="315">
        <v>1.8190999999999999</v>
      </c>
      <c r="J922" s="315">
        <v>1.7142999999999999</v>
      </c>
      <c r="K922" s="315">
        <v>0</v>
      </c>
      <c r="L922" s="315">
        <v>0</v>
      </c>
      <c r="M922" s="315">
        <v>1.7527999999999999</v>
      </c>
      <c r="N922" s="315">
        <v>2.1642999999999999</v>
      </c>
      <c r="O922" s="315">
        <v>1.4956</v>
      </c>
      <c r="P922" s="315">
        <v>1.5379</v>
      </c>
      <c r="Q922" s="315">
        <v>1.6508</v>
      </c>
      <c r="R922" s="315">
        <v>1.9961</v>
      </c>
      <c r="S922" s="315">
        <v>1.8867</v>
      </c>
      <c r="T922" s="315">
        <v>1.631</v>
      </c>
      <c r="U922" s="315">
        <v>1.8774999999999999</v>
      </c>
      <c r="V922" s="315">
        <v>1.9386000000000001</v>
      </c>
      <c r="W922" s="315">
        <v>1.7541</v>
      </c>
      <c r="X922" s="315">
        <v>1.6073999999999999</v>
      </c>
      <c r="Y922" s="315">
        <v>1.8460000000000001</v>
      </c>
      <c r="Z922" s="315">
        <v>1.9765999999999999</v>
      </c>
      <c r="AA922" s="315">
        <v>1.8746</v>
      </c>
      <c r="AB922" s="315">
        <v>1.8784000000000001</v>
      </c>
      <c r="AC922" s="315">
        <v>1.8647</v>
      </c>
      <c r="AD922" s="315">
        <v>0</v>
      </c>
      <c r="AE922" s="315">
        <v>2.0065</v>
      </c>
      <c r="AF922" s="315">
        <v>0</v>
      </c>
      <c r="AG922" s="315">
        <v>1.5004999999999999</v>
      </c>
      <c r="AH922" s="315">
        <v>1.7991999999999999</v>
      </c>
      <c r="AI922" s="315">
        <v>1.8311999999999999</v>
      </c>
      <c r="AJ922" s="315">
        <v>1.5181</v>
      </c>
      <c r="AK922" s="315">
        <v>0</v>
      </c>
      <c r="AL922" s="315">
        <v>1.6226</v>
      </c>
      <c r="AM922" s="315">
        <v>2.0398000000000001</v>
      </c>
      <c r="AN922" s="315">
        <v>1.7448999999999999</v>
      </c>
      <c r="AO922" s="315">
        <v>1.9904999999999999</v>
      </c>
      <c r="AP922" s="315">
        <v>2.0219999999999998</v>
      </c>
      <c r="AQ922" s="315">
        <v>0</v>
      </c>
      <c r="AR922" s="315">
        <v>2.0356000000000001</v>
      </c>
      <c r="AS922" s="315">
        <v>0</v>
      </c>
      <c r="AT922" s="315">
        <v>2.0282</v>
      </c>
      <c r="AU922" s="315">
        <v>2.0358000000000001</v>
      </c>
      <c r="AV922" s="315">
        <v>1.8453999999999999</v>
      </c>
      <c r="AW922" s="315">
        <v>1.9093</v>
      </c>
      <c r="AX922" s="315">
        <v>1.5801000000000001</v>
      </c>
      <c r="AY922" s="315">
        <v>1.9733000000000001</v>
      </c>
      <c r="AZ922" s="315">
        <v>1.9157999999999999</v>
      </c>
      <c r="BA922" s="315">
        <v>0</v>
      </c>
      <c r="BB922" s="315">
        <v>0</v>
      </c>
      <c r="BC922" s="315">
        <v>1.9944</v>
      </c>
      <c r="BD922" s="315">
        <v>1.9258</v>
      </c>
      <c r="BE922" s="315">
        <v>2.121</v>
      </c>
      <c r="BF922" s="315">
        <v>1.8588</v>
      </c>
      <c r="BG922" s="315">
        <v>2.1877</v>
      </c>
      <c r="BH922" s="315">
        <v>2.2071999999999998</v>
      </c>
      <c r="BI922" s="315">
        <v>2.2092999999999998</v>
      </c>
      <c r="BJ922" s="315">
        <v>1.9056999999999999</v>
      </c>
      <c r="BK922" s="315">
        <v>2.0699000000000001</v>
      </c>
    </row>
    <row r="923" spans="1:63" x14ac:dyDescent="0.25">
      <c r="A923" s="306">
        <v>322130</v>
      </c>
      <c r="B923" s="315" t="s">
        <v>712</v>
      </c>
      <c r="C923" s="315">
        <v>2.8904999999999998</v>
      </c>
      <c r="D923" s="315">
        <v>0</v>
      </c>
      <c r="E923" s="315">
        <v>2.1941000000000002</v>
      </c>
      <c r="F923" s="315">
        <v>2.0687000000000002</v>
      </c>
      <c r="G923" s="315">
        <v>1.7230000000000001</v>
      </c>
      <c r="H923" s="315">
        <v>1.9821</v>
      </c>
      <c r="I923" s="315">
        <v>0</v>
      </c>
      <c r="J923" s="315">
        <v>1.7448999999999999</v>
      </c>
      <c r="K923" s="315">
        <v>0</v>
      </c>
      <c r="L923" s="315">
        <v>0</v>
      </c>
      <c r="M923" s="315">
        <v>1.8383</v>
      </c>
      <c r="N923" s="315">
        <v>2.2765</v>
      </c>
      <c r="O923" s="315">
        <v>0</v>
      </c>
      <c r="P923" s="315">
        <v>1.5795999999999999</v>
      </c>
      <c r="Q923" s="315">
        <v>1.8338000000000001</v>
      </c>
      <c r="R923" s="315">
        <v>2.0364</v>
      </c>
      <c r="S923" s="315">
        <v>1.9629000000000001</v>
      </c>
      <c r="T923" s="315">
        <v>1.6814</v>
      </c>
      <c r="U923" s="315">
        <v>1.9488000000000001</v>
      </c>
      <c r="V923" s="315">
        <v>2.1358000000000001</v>
      </c>
      <c r="W923" s="315">
        <v>1.7642</v>
      </c>
      <c r="X923" s="315">
        <v>1.6682999999999999</v>
      </c>
      <c r="Y923" s="315">
        <v>1.9592000000000001</v>
      </c>
      <c r="Z923" s="315">
        <v>2.0716000000000001</v>
      </c>
      <c r="AA923" s="315">
        <v>1.9372</v>
      </c>
      <c r="AB923" s="315">
        <v>1.9691000000000001</v>
      </c>
      <c r="AC923" s="315">
        <v>1.9962</v>
      </c>
      <c r="AD923" s="315">
        <v>1.9217</v>
      </c>
      <c r="AE923" s="315">
        <v>2.0893999999999999</v>
      </c>
      <c r="AF923" s="315">
        <v>0</v>
      </c>
      <c r="AG923" s="315">
        <v>0</v>
      </c>
      <c r="AH923" s="315">
        <v>0</v>
      </c>
      <c r="AI923" s="315">
        <v>1.8396999999999999</v>
      </c>
      <c r="AJ923" s="315">
        <v>0</v>
      </c>
      <c r="AK923" s="315">
        <v>0</v>
      </c>
      <c r="AL923" s="315">
        <v>1.6649</v>
      </c>
      <c r="AM923" s="315">
        <v>2.0609000000000002</v>
      </c>
      <c r="AN923" s="315">
        <v>1.8753</v>
      </c>
      <c r="AO923" s="315">
        <v>2.1526999999999998</v>
      </c>
      <c r="AP923" s="315">
        <v>2.1179999999999999</v>
      </c>
      <c r="AQ923" s="315">
        <v>1.6633</v>
      </c>
      <c r="AR923" s="315">
        <v>2.1497000000000002</v>
      </c>
      <c r="AS923" s="315">
        <v>0</v>
      </c>
      <c r="AT923" s="315">
        <v>2.0722999999999998</v>
      </c>
      <c r="AU923" s="315">
        <v>2.1766000000000001</v>
      </c>
      <c r="AV923" s="315">
        <v>0</v>
      </c>
      <c r="AW923" s="315">
        <v>2.0508000000000002</v>
      </c>
      <c r="AX923" s="315">
        <v>1.7758</v>
      </c>
      <c r="AY923" s="315">
        <v>2.1339000000000001</v>
      </c>
      <c r="AZ923" s="315">
        <v>1.9796</v>
      </c>
      <c r="BA923" s="315">
        <v>1.9795</v>
      </c>
      <c r="BB923" s="315">
        <v>0</v>
      </c>
      <c r="BC923" s="315">
        <v>2.0949</v>
      </c>
      <c r="BD923" s="315">
        <v>1.9666999999999999</v>
      </c>
      <c r="BE923" s="315">
        <v>2.1581000000000001</v>
      </c>
      <c r="BF923" s="315">
        <v>1.9193</v>
      </c>
      <c r="BG923" s="315">
        <v>2.3142</v>
      </c>
      <c r="BH923" s="315">
        <v>2.3285999999999998</v>
      </c>
      <c r="BI923" s="315">
        <v>2.444</v>
      </c>
      <c r="BJ923" s="315">
        <v>2.0977000000000001</v>
      </c>
      <c r="BK923" s="315">
        <v>2.2829999999999999</v>
      </c>
    </row>
    <row r="924" spans="1:63" x14ac:dyDescent="0.25">
      <c r="A924" s="306">
        <v>322210</v>
      </c>
      <c r="B924" s="315" t="s">
        <v>89</v>
      </c>
      <c r="C924" s="315">
        <v>3.2132000000000001</v>
      </c>
      <c r="D924" s="315">
        <v>0</v>
      </c>
      <c r="E924" s="315">
        <v>2.3765000000000001</v>
      </c>
      <c r="F924" s="315">
        <v>2.2864</v>
      </c>
      <c r="G924" s="315">
        <v>1.7669999999999999</v>
      </c>
      <c r="H924" s="315">
        <v>1.9368000000000001</v>
      </c>
      <c r="I924" s="315">
        <v>1.8307</v>
      </c>
      <c r="J924" s="315">
        <v>2.0310999999999999</v>
      </c>
      <c r="K924" s="315">
        <v>0</v>
      </c>
      <c r="L924" s="315">
        <v>1.6115999999999999</v>
      </c>
      <c r="M924" s="315">
        <v>1.9409000000000001</v>
      </c>
      <c r="N924" s="315">
        <v>2.6273</v>
      </c>
      <c r="O924" s="315">
        <v>1.5355000000000001</v>
      </c>
      <c r="P924" s="315">
        <v>1.54</v>
      </c>
      <c r="Q924" s="315">
        <v>2.0339</v>
      </c>
      <c r="R924" s="315">
        <v>2.0688</v>
      </c>
      <c r="S924" s="315">
        <v>2.0324</v>
      </c>
      <c r="T924" s="315">
        <v>1.6598999999999999</v>
      </c>
      <c r="U924" s="315">
        <v>2.2082000000000002</v>
      </c>
      <c r="V924" s="315">
        <v>2.3155999999999999</v>
      </c>
      <c r="W924" s="315">
        <v>2.1032000000000002</v>
      </c>
      <c r="X924" s="315">
        <v>1.7424999999999999</v>
      </c>
      <c r="Y924" s="315">
        <v>1.9568000000000001</v>
      </c>
      <c r="Z924" s="315">
        <v>2.4828000000000001</v>
      </c>
      <c r="AA924" s="315">
        <v>2.1375000000000002</v>
      </c>
      <c r="AB924" s="315">
        <v>1.8405</v>
      </c>
      <c r="AC924" s="315">
        <v>2.1669999999999998</v>
      </c>
      <c r="AD924" s="315">
        <v>1.8028999999999999</v>
      </c>
      <c r="AE924" s="315">
        <v>2.3690000000000002</v>
      </c>
      <c r="AF924" s="315">
        <v>1.4307000000000001</v>
      </c>
      <c r="AG924" s="315">
        <v>1.4743999999999999</v>
      </c>
      <c r="AH924" s="315">
        <v>1.9297</v>
      </c>
      <c r="AI924" s="315">
        <v>1.9178999999999999</v>
      </c>
      <c r="AJ924" s="315">
        <v>1.5377000000000001</v>
      </c>
      <c r="AK924" s="315">
        <v>1.5920000000000001</v>
      </c>
      <c r="AL924" s="315">
        <v>1.8355999999999999</v>
      </c>
      <c r="AM924" s="315">
        <v>2.5013999999999998</v>
      </c>
      <c r="AN924" s="315">
        <v>2.0865</v>
      </c>
      <c r="AO924" s="315">
        <v>2.4531000000000001</v>
      </c>
      <c r="AP924" s="315">
        <v>2.3279000000000001</v>
      </c>
      <c r="AQ924" s="315">
        <v>1.9063000000000001</v>
      </c>
      <c r="AR924" s="315">
        <v>2.3759999999999999</v>
      </c>
      <c r="AS924" s="315">
        <v>1.4114</v>
      </c>
      <c r="AT924" s="315">
        <v>2.5209000000000001</v>
      </c>
      <c r="AU924" s="315">
        <v>2.3075000000000001</v>
      </c>
      <c r="AV924" s="315">
        <v>1.8496999999999999</v>
      </c>
      <c r="AW924" s="315">
        <v>2.3862000000000001</v>
      </c>
      <c r="AX924" s="315">
        <v>1.8528</v>
      </c>
      <c r="AY924" s="315">
        <v>2.4272</v>
      </c>
      <c r="AZ924" s="315">
        <v>2.3216000000000001</v>
      </c>
      <c r="BA924" s="315">
        <v>1.6554</v>
      </c>
      <c r="BB924" s="315">
        <v>0</v>
      </c>
      <c r="BC924" s="315">
        <v>2.3613</v>
      </c>
      <c r="BD924" s="315">
        <v>2.1568000000000001</v>
      </c>
      <c r="BE924" s="315">
        <v>2.5703</v>
      </c>
      <c r="BF924" s="315">
        <v>1.9576</v>
      </c>
      <c r="BG924" s="315">
        <v>2.5642</v>
      </c>
      <c r="BH924" s="315">
        <v>2.6021000000000001</v>
      </c>
      <c r="BI924" s="315">
        <v>2.6604999999999999</v>
      </c>
      <c r="BJ924" s="315">
        <v>2.0127000000000002</v>
      </c>
      <c r="BK924" s="315">
        <v>2.2652000000000001</v>
      </c>
    </row>
    <row r="925" spans="1:63" x14ac:dyDescent="0.25">
      <c r="A925" s="306" t="s">
        <v>713</v>
      </c>
      <c r="B925" s="315" t="s">
        <v>90</v>
      </c>
      <c r="C925" s="315">
        <v>2.8816999999999999</v>
      </c>
      <c r="D925" s="315">
        <v>0</v>
      </c>
      <c r="E925" s="315">
        <v>2.0409000000000002</v>
      </c>
      <c r="F925" s="315">
        <v>1.9323999999999999</v>
      </c>
      <c r="G925" s="315">
        <v>1.6465000000000001</v>
      </c>
      <c r="H925" s="315">
        <v>1.8829</v>
      </c>
      <c r="I925" s="315">
        <v>1.7464999999999999</v>
      </c>
      <c r="J925" s="315">
        <v>1.9302999999999999</v>
      </c>
      <c r="K925" s="315">
        <v>0</v>
      </c>
      <c r="L925" s="315">
        <v>1.611</v>
      </c>
      <c r="M925" s="315">
        <v>1.7302</v>
      </c>
      <c r="N925" s="315">
        <v>2.3119000000000001</v>
      </c>
      <c r="O925" s="315">
        <v>0</v>
      </c>
      <c r="P925" s="315">
        <v>1.5087999999999999</v>
      </c>
      <c r="Q925" s="315">
        <v>0</v>
      </c>
      <c r="R925" s="315">
        <v>2.0708000000000002</v>
      </c>
      <c r="S925" s="315">
        <v>1.9798</v>
      </c>
      <c r="T925" s="315">
        <v>1.5794999999999999</v>
      </c>
      <c r="U925" s="315">
        <v>2.0463</v>
      </c>
      <c r="V925" s="315">
        <v>1.9826999999999999</v>
      </c>
      <c r="W925" s="315">
        <v>2.0091999999999999</v>
      </c>
      <c r="X925" s="315">
        <v>1.6711</v>
      </c>
      <c r="Y925" s="315">
        <v>0</v>
      </c>
      <c r="Z925" s="315">
        <v>2.1951999999999998</v>
      </c>
      <c r="AA925" s="315">
        <v>1.9919</v>
      </c>
      <c r="AB925" s="315">
        <v>1.9059999999999999</v>
      </c>
      <c r="AC925" s="315">
        <v>1.8929</v>
      </c>
      <c r="AD925" s="315">
        <v>0</v>
      </c>
      <c r="AE925" s="315">
        <v>2.1240999999999999</v>
      </c>
      <c r="AF925" s="315">
        <v>0</v>
      </c>
      <c r="AG925" s="315">
        <v>1.4536</v>
      </c>
      <c r="AH925" s="315">
        <v>1.8471</v>
      </c>
      <c r="AI925" s="315">
        <v>1.9573</v>
      </c>
      <c r="AJ925" s="315">
        <v>1.4402999999999999</v>
      </c>
      <c r="AK925" s="315">
        <v>1.5359</v>
      </c>
      <c r="AL925" s="315">
        <v>1.6847000000000001</v>
      </c>
      <c r="AM925" s="315">
        <v>2.3067000000000002</v>
      </c>
      <c r="AN925" s="315">
        <v>1.8519000000000001</v>
      </c>
      <c r="AO925" s="315">
        <v>2.0552999999999999</v>
      </c>
      <c r="AP925" s="315">
        <v>2.2204000000000002</v>
      </c>
      <c r="AQ925" s="315">
        <v>1.8103</v>
      </c>
      <c r="AR925" s="315">
        <v>2.1453000000000002</v>
      </c>
      <c r="AS925" s="315">
        <v>0</v>
      </c>
      <c r="AT925" s="315">
        <v>2.2349000000000001</v>
      </c>
      <c r="AU925" s="315">
        <v>2.1425999999999998</v>
      </c>
      <c r="AV925" s="315">
        <v>1.7519</v>
      </c>
      <c r="AW925" s="315">
        <v>2.0082</v>
      </c>
      <c r="AX925" s="315">
        <v>1.5636000000000001</v>
      </c>
      <c r="AY925" s="315">
        <v>2.0078</v>
      </c>
      <c r="AZ925" s="315">
        <v>2.0836999999999999</v>
      </c>
      <c r="BA925" s="315">
        <v>0</v>
      </c>
      <c r="BB925" s="315">
        <v>0</v>
      </c>
      <c r="BC925" s="315">
        <v>2.1751999999999998</v>
      </c>
      <c r="BD925" s="315">
        <v>2.0800999999999998</v>
      </c>
      <c r="BE925" s="315">
        <v>2.3708</v>
      </c>
      <c r="BF925" s="315">
        <v>1.9238999999999999</v>
      </c>
      <c r="BG925" s="315">
        <v>2.2763</v>
      </c>
      <c r="BH925" s="315">
        <v>2.3389000000000002</v>
      </c>
      <c r="BI925" s="315">
        <v>2.3243999999999998</v>
      </c>
      <c r="BJ925" s="315">
        <v>1.7971999999999999</v>
      </c>
      <c r="BK925" s="315">
        <v>2.0392000000000001</v>
      </c>
    </row>
    <row r="926" spans="1:63" x14ac:dyDescent="0.25">
      <c r="A926" s="306" t="s">
        <v>714</v>
      </c>
      <c r="B926" s="315" t="s">
        <v>91</v>
      </c>
      <c r="C926" s="315">
        <v>3.1667000000000001</v>
      </c>
      <c r="D926" s="315">
        <v>0</v>
      </c>
      <c r="E926" s="315">
        <v>2.2450999999999999</v>
      </c>
      <c r="F926" s="315">
        <v>2.1758000000000002</v>
      </c>
      <c r="G926" s="315">
        <v>1.7948</v>
      </c>
      <c r="H926" s="315">
        <v>1.992</v>
      </c>
      <c r="I926" s="315">
        <v>0</v>
      </c>
      <c r="J926" s="315">
        <v>2.0642</v>
      </c>
      <c r="K926" s="315">
        <v>0</v>
      </c>
      <c r="L926" s="315">
        <v>0</v>
      </c>
      <c r="M926" s="315">
        <v>1.857</v>
      </c>
      <c r="N926" s="315">
        <v>2.5259</v>
      </c>
      <c r="O926" s="315">
        <v>1.5267999999999999</v>
      </c>
      <c r="P926" s="315">
        <v>1.6293</v>
      </c>
      <c r="Q926" s="315">
        <v>0</v>
      </c>
      <c r="R926" s="315">
        <v>2.2286000000000001</v>
      </c>
      <c r="S926" s="315">
        <v>2.0971000000000002</v>
      </c>
      <c r="T926" s="315">
        <v>1.6808000000000001</v>
      </c>
      <c r="U926" s="315">
        <v>2.3153000000000001</v>
      </c>
      <c r="V926" s="315">
        <v>2.1837</v>
      </c>
      <c r="W926" s="315">
        <v>2.1705000000000001</v>
      </c>
      <c r="X926" s="315">
        <v>0</v>
      </c>
      <c r="Y926" s="315">
        <v>1.9990000000000001</v>
      </c>
      <c r="Z926" s="315">
        <v>2.3584999999999998</v>
      </c>
      <c r="AA926" s="315">
        <v>2.2408999999999999</v>
      </c>
      <c r="AB926" s="315">
        <v>2.0737999999999999</v>
      </c>
      <c r="AC926" s="315">
        <v>2.0678999999999998</v>
      </c>
      <c r="AD926" s="315">
        <v>0</v>
      </c>
      <c r="AE926" s="315">
        <v>2.2732999999999999</v>
      </c>
      <c r="AF926" s="315">
        <v>0</v>
      </c>
      <c r="AG926" s="315">
        <v>1.516</v>
      </c>
      <c r="AH926" s="315">
        <v>2.0558999999999998</v>
      </c>
      <c r="AI926" s="315">
        <v>2.1280000000000001</v>
      </c>
      <c r="AJ926" s="315">
        <v>0</v>
      </c>
      <c r="AK926" s="315">
        <v>1.6486000000000001</v>
      </c>
      <c r="AL926" s="315">
        <v>1.8468</v>
      </c>
      <c r="AM926" s="315">
        <v>2.5335999999999999</v>
      </c>
      <c r="AN926" s="315">
        <v>2.0592999999999999</v>
      </c>
      <c r="AO926" s="315">
        <v>2.2690999999999999</v>
      </c>
      <c r="AP926" s="315">
        <v>2.4872000000000001</v>
      </c>
      <c r="AQ926" s="315">
        <v>1.8294999999999999</v>
      </c>
      <c r="AR926" s="315">
        <v>2.3285</v>
      </c>
      <c r="AS926" s="315">
        <v>0</v>
      </c>
      <c r="AT926" s="315">
        <v>2.4569000000000001</v>
      </c>
      <c r="AU926" s="315">
        <v>2.2635999999999998</v>
      </c>
      <c r="AV926" s="315">
        <v>1.9172</v>
      </c>
      <c r="AW926" s="315">
        <v>2.2755999999999998</v>
      </c>
      <c r="AX926" s="315">
        <v>0</v>
      </c>
      <c r="AY926" s="315">
        <v>2.2275</v>
      </c>
      <c r="AZ926" s="315">
        <v>2.3037000000000001</v>
      </c>
      <c r="BA926" s="315">
        <v>1.7275</v>
      </c>
      <c r="BB926" s="315">
        <v>0</v>
      </c>
      <c r="BC926" s="315">
        <v>2.3512</v>
      </c>
      <c r="BD926" s="315">
        <v>2.3028</v>
      </c>
      <c r="BE926" s="315">
        <v>2.6383000000000001</v>
      </c>
      <c r="BF926" s="315">
        <v>2.1272000000000002</v>
      </c>
      <c r="BG926" s="315">
        <v>2.4691000000000001</v>
      </c>
      <c r="BH926" s="315">
        <v>2.5507</v>
      </c>
      <c r="BI926" s="315">
        <v>2.5911</v>
      </c>
      <c r="BJ926" s="315">
        <v>1.8986000000000001</v>
      </c>
      <c r="BK926" s="315">
        <v>2.2010999999999998</v>
      </c>
    </row>
    <row r="927" spans="1:63" x14ac:dyDescent="0.25">
      <c r="A927" s="306">
        <v>322230</v>
      </c>
      <c r="B927" s="315" t="s">
        <v>92</v>
      </c>
      <c r="C927" s="315">
        <v>3.0948000000000002</v>
      </c>
      <c r="D927" s="315">
        <v>0</v>
      </c>
      <c r="E927" s="315">
        <v>2.2677999999999998</v>
      </c>
      <c r="F927" s="315">
        <v>2.1827999999999999</v>
      </c>
      <c r="G927" s="315">
        <v>1.7776000000000001</v>
      </c>
      <c r="H927" s="315">
        <v>1.9862</v>
      </c>
      <c r="I927" s="315">
        <v>1.8856999999999999</v>
      </c>
      <c r="J927" s="315">
        <v>2.028</v>
      </c>
      <c r="K927" s="315">
        <v>0</v>
      </c>
      <c r="L927" s="315">
        <v>0</v>
      </c>
      <c r="M927" s="315">
        <v>1.925</v>
      </c>
      <c r="N927" s="315">
        <v>2.544</v>
      </c>
      <c r="O927" s="315">
        <v>1.5596000000000001</v>
      </c>
      <c r="P927" s="315">
        <v>1.5871</v>
      </c>
      <c r="Q927" s="315">
        <v>1.917</v>
      </c>
      <c r="R927" s="315">
        <v>2.1248999999999998</v>
      </c>
      <c r="S927" s="315">
        <v>2.0310000000000001</v>
      </c>
      <c r="T927" s="315">
        <v>1.6815</v>
      </c>
      <c r="U927" s="315">
        <v>2.1644999999999999</v>
      </c>
      <c r="V927" s="315">
        <v>2.2118000000000002</v>
      </c>
      <c r="W927" s="315">
        <v>2.1000999999999999</v>
      </c>
      <c r="X927" s="315">
        <v>1.7704</v>
      </c>
      <c r="Y927" s="315">
        <v>1.9363999999999999</v>
      </c>
      <c r="Z927" s="315">
        <v>2.3889</v>
      </c>
      <c r="AA927" s="315">
        <v>2.1387999999999998</v>
      </c>
      <c r="AB927" s="315">
        <v>1.9200999999999999</v>
      </c>
      <c r="AC927" s="315">
        <v>2.0867</v>
      </c>
      <c r="AD927" s="315">
        <v>0</v>
      </c>
      <c r="AE927" s="315">
        <v>2.2961999999999998</v>
      </c>
      <c r="AF927" s="315">
        <v>0</v>
      </c>
      <c r="AG927" s="315">
        <v>1.5125999999999999</v>
      </c>
      <c r="AH927" s="315">
        <v>1.9032</v>
      </c>
      <c r="AI927" s="315">
        <v>1.9726999999999999</v>
      </c>
      <c r="AJ927" s="315">
        <v>1.5347</v>
      </c>
      <c r="AK927" s="315">
        <v>1.6113</v>
      </c>
      <c r="AL927" s="315">
        <v>1.8401000000000001</v>
      </c>
      <c r="AM927" s="315">
        <v>2.4367000000000001</v>
      </c>
      <c r="AN927" s="315">
        <v>2.0068000000000001</v>
      </c>
      <c r="AO927" s="315">
        <v>2.3178999999999998</v>
      </c>
      <c r="AP927" s="315">
        <v>2.3166000000000002</v>
      </c>
      <c r="AQ927" s="315">
        <v>1.8959999999999999</v>
      </c>
      <c r="AR927" s="315">
        <v>2.3062</v>
      </c>
      <c r="AS927" s="315">
        <v>1.4714</v>
      </c>
      <c r="AT927" s="315">
        <v>2.4432999999999998</v>
      </c>
      <c r="AU927" s="315">
        <v>2.2643</v>
      </c>
      <c r="AV927" s="315">
        <v>1.9119999999999999</v>
      </c>
      <c r="AW927" s="315">
        <v>2.2963</v>
      </c>
      <c r="AX927" s="315">
        <v>0</v>
      </c>
      <c r="AY927" s="315">
        <v>2.3199000000000001</v>
      </c>
      <c r="AZ927" s="315">
        <v>2.2686000000000002</v>
      </c>
      <c r="BA927" s="315">
        <v>1.6454</v>
      </c>
      <c r="BB927" s="315">
        <v>0</v>
      </c>
      <c r="BC927" s="315">
        <v>2.3155000000000001</v>
      </c>
      <c r="BD927" s="315">
        <v>2.1713</v>
      </c>
      <c r="BE927" s="315">
        <v>2.5135000000000001</v>
      </c>
      <c r="BF927" s="315">
        <v>1.9944999999999999</v>
      </c>
      <c r="BG927" s="315">
        <v>2.5026999999999999</v>
      </c>
      <c r="BH927" s="315">
        <v>2.5024000000000002</v>
      </c>
      <c r="BI927" s="315">
        <v>2.5421999999999998</v>
      </c>
      <c r="BJ927" s="315">
        <v>1.9890000000000001</v>
      </c>
      <c r="BK927" s="315">
        <v>2.2364999999999999</v>
      </c>
    </row>
    <row r="928" spans="1:63" x14ac:dyDescent="0.25">
      <c r="A928" s="306">
        <v>322291</v>
      </c>
      <c r="B928" s="315" t="s">
        <v>93</v>
      </c>
      <c r="C928" s="315">
        <v>2.2031999999999998</v>
      </c>
      <c r="D928" s="315">
        <v>0</v>
      </c>
      <c r="E928" s="315">
        <v>0</v>
      </c>
      <c r="F928" s="315">
        <v>1.5687</v>
      </c>
      <c r="G928" s="315">
        <v>1.4275</v>
      </c>
      <c r="H928" s="315">
        <v>1.5458000000000001</v>
      </c>
      <c r="I928" s="315">
        <v>0</v>
      </c>
      <c r="J928" s="315">
        <v>0</v>
      </c>
      <c r="K928" s="315">
        <v>0</v>
      </c>
      <c r="L928" s="315">
        <v>1.4201999999999999</v>
      </c>
      <c r="M928" s="315">
        <v>1.4895</v>
      </c>
      <c r="N928" s="315">
        <v>1.8089</v>
      </c>
      <c r="O928" s="315">
        <v>0</v>
      </c>
      <c r="P928" s="315">
        <v>0</v>
      </c>
      <c r="Q928" s="315">
        <v>1.3811</v>
      </c>
      <c r="R928" s="315">
        <v>1.6633</v>
      </c>
      <c r="S928" s="315">
        <v>1.5885</v>
      </c>
      <c r="T928" s="315">
        <v>0</v>
      </c>
      <c r="U928" s="315">
        <v>1.6816</v>
      </c>
      <c r="V928" s="315">
        <v>0</v>
      </c>
      <c r="W928" s="315">
        <v>1.6435999999999999</v>
      </c>
      <c r="X928" s="315">
        <v>1.3945000000000001</v>
      </c>
      <c r="Y928" s="315">
        <v>1.6068</v>
      </c>
      <c r="Z928" s="315">
        <v>1.6926000000000001</v>
      </c>
      <c r="AA928" s="315">
        <v>1.6105</v>
      </c>
      <c r="AB928" s="315">
        <v>1.5645</v>
      </c>
      <c r="AC928" s="315">
        <v>1.6099000000000001</v>
      </c>
      <c r="AD928" s="315">
        <v>0</v>
      </c>
      <c r="AE928" s="315">
        <v>1.7242</v>
      </c>
      <c r="AF928" s="315">
        <v>0</v>
      </c>
      <c r="AG928" s="315">
        <v>1.319</v>
      </c>
      <c r="AH928" s="315">
        <v>0</v>
      </c>
      <c r="AI928" s="315">
        <v>1.5933999999999999</v>
      </c>
      <c r="AJ928" s="315">
        <v>1.2925</v>
      </c>
      <c r="AK928" s="315">
        <v>1.3360000000000001</v>
      </c>
      <c r="AL928" s="315">
        <v>1.4429000000000001</v>
      </c>
      <c r="AM928" s="315">
        <v>1.8047</v>
      </c>
      <c r="AN928" s="315">
        <v>0</v>
      </c>
      <c r="AO928" s="315">
        <v>1.6420999999999999</v>
      </c>
      <c r="AP928" s="315">
        <v>1.7786999999999999</v>
      </c>
      <c r="AQ928" s="315">
        <v>0</v>
      </c>
      <c r="AR928" s="315">
        <v>1.744</v>
      </c>
      <c r="AS928" s="315">
        <v>0</v>
      </c>
      <c r="AT928" s="315">
        <v>1.8007</v>
      </c>
      <c r="AU928" s="315">
        <v>1.6533</v>
      </c>
      <c r="AV928" s="315">
        <v>1.5085</v>
      </c>
      <c r="AW928" s="315">
        <v>0</v>
      </c>
      <c r="AX928" s="315">
        <v>0</v>
      </c>
      <c r="AY928" s="315">
        <v>1.6292</v>
      </c>
      <c r="AZ928" s="315">
        <v>1.7071000000000001</v>
      </c>
      <c r="BA928" s="315">
        <v>0</v>
      </c>
      <c r="BB928" s="315">
        <v>0</v>
      </c>
      <c r="BC928" s="315">
        <v>1.7493000000000001</v>
      </c>
      <c r="BD928" s="315">
        <v>1.6714</v>
      </c>
      <c r="BE928" s="315">
        <v>1.8452</v>
      </c>
      <c r="BF928" s="315">
        <v>1.5692999999999999</v>
      </c>
      <c r="BG928" s="315">
        <v>1.8109999999999999</v>
      </c>
      <c r="BH928" s="315">
        <v>1.8498000000000001</v>
      </c>
      <c r="BI928" s="315">
        <v>1.7726</v>
      </c>
      <c r="BJ928" s="315">
        <v>1.4797</v>
      </c>
      <c r="BK928" s="315">
        <v>1.6317999999999999</v>
      </c>
    </row>
    <row r="929" spans="1:63" x14ac:dyDescent="0.25">
      <c r="A929" s="306">
        <v>322299</v>
      </c>
      <c r="B929" s="315" t="s">
        <v>94</v>
      </c>
      <c r="C929" s="315">
        <v>2.9763999999999999</v>
      </c>
      <c r="D929" s="315">
        <v>1.4702999999999999</v>
      </c>
      <c r="E929" s="315">
        <v>2.2052</v>
      </c>
      <c r="F929" s="315">
        <v>2.0402</v>
      </c>
      <c r="G929" s="315">
        <v>1.7968999999999999</v>
      </c>
      <c r="H929" s="315">
        <v>1.9799</v>
      </c>
      <c r="I929" s="315">
        <v>1.8891</v>
      </c>
      <c r="J929" s="315">
        <v>1.9463999999999999</v>
      </c>
      <c r="K929" s="315">
        <v>0</v>
      </c>
      <c r="L929" s="315">
        <v>1.65</v>
      </c>
      <c r="M929" s="315">
        <v>1.9395</v>
      </c>
      <c r="N929" s="315">
        <v>2.4211999999999998</v>
      </c>
      <c r="O929" s="315">
        <v>1.6017999999999999</v>
      </c>
      <c r="P929" s="315">
        <v>1.5439000000000001</v>
      </c>
      <c r="Q929" s="315">
        <v>1.8038000000000001</v>
      </c>
      <c r="R929" s="315">
        <v>2.0853000000000002</v>
      </c>
      <c r="S929" s="315">
        <v>1.9426000000000001</v>
      </c>
      <c r="T929" s="315">
        <v>1.643</v>
      </c>
      <c r="U929" s="315">
        <v>2.0625</v>
      </c>
      <c r="V929" s="315">
        <v>2.0945999999999998</v>
      </c>
      <c r="W929" s="315">
        <v>1.9990000000000001</v>
      </c>
      <c r="X929" s="315">
        <v>1.7444999999999999</v>
      </c>
      <c r="Y929" s="315">
        <v>1.9329000000000001</v>
      </c>
      <c r="Z929" s="315">
        <v>2.2587000000000002</v>
      </c>
      <c r="AA929" s="315">
        <v>2.0261999999999998</v>
      </c>
      <c r="AB929" s="315">
        <v>1.881</v>
      </c>
      <c r="AC929" s="315">
        <v>2.0093000000000001</v>
      </c>
      <c r="AD929" s="315">
        <v>1.6713</v>
      </c>
      <c r="AE929" s="315">
        <v>2.2021999999999999</v>
      </c>
      <c r="AF929" s="315">
        <v>1.4483999999999999</v>
      </c>
      <c r="AG929" s="315">
        <v>1.5095000000000001</v>
      </c>
      <c r="AH929" s="315">
        <v>1.8559000000000001</v>
      </c>
      <c r="AI929" s="315">
        <v>1.9414</v>
      </c>
      <c r="AJ929" s="315">
        <v>0</v>
      </c>
      <c r="AK929" s="315">
        <v>1.6482000000000001</v>
      </c>
      <c r="AL929" s="315">
        <v>1.7979000000000001</v>
      </c>
      <c r="AM929" s="315">
        <v>2.3029999999999999</v>
      </c>
      <c r="AN929" s="315">
        <v>1.9552</v>
      </c>
      <c r="AO929" s="315">
        <v>2.2522000000000002</v>
      </c>
      <c r="AP929" s="315">
        <v>2.2019000000000002</v>
      </c>
      <c r="AQ929" s="315">
        <v>1.8168</v>
      </c>
      <c r="AR929" s="315">
        <v>2.2302</v>
      </c>
      <c r="AS929" s="315">
        <v>0</v>
      </c>
      <c r="AT929" s="315">
        <v>2.343</v>
      </c>
      <c r="AU929" s="315">
        <v>2.1911</v>
      </c>
      <c r="AV929" s="315">
        <v>1.9156</v>
      </c>
      <c r="AW929" s="315">
        <v>2.1703000000000001</v>
      </c>
      <c r="AX929" s="315">
        <v>0</v>
      </c>
      <c r="AY929" s="315">
        <v>2.2404999999999999</v>
      </c>
      <c r="AZ929" s="315">
        <v>2.1343000000000001</v>
      </c>
      <c r="BA929" s="315">
        <v>0</v>
      </c>
      <c r="BB929" s="315">
        <v>0</v>
      </c>
      <c r="BC929" s="315">
        <v>2.2033</v>
      </c>
      <c r="BD929" s="315">
        <v>2.1063000000000001</v>
      </c>
      <c r="BE929" s="315">
        <v>2.3797000000000001</v>
      </c>
      <c r="BF929" s="315">
        <v>1.9213</v>
      </c>
      <c r="BG929" s="315">
        <v>2.411</v>
      </c>
      <c r="BH929" s="315">
        <v>2.3973</v>
      </c>
      <c r="BI929" s="315">
        <v>2.4032</v>
      </c>
      <c r="BJ929" s="315">
        <v>1.9695</v>
      </c>
      <c r="BK929" s="315">
        <v>2.1890000000000001</v>
      </c>
    </row>
    <row r="930" spans="1:63" x14ac:dyDescent="0.25">
      <c r="A930" s="306">
        <v>323110</v>
      </c>
      <c r="B930" s="315" t="s">
        <v>95</v>
      </c>
      <c r="C930" s="315">
        <v>2.9068000000000001</v>
      </c>
      <c r="D930" s="315">
        <v>1.5412999999999999</v>
      </c>
      <c r="E930" s="315">
        <v>2.0272000000000001</v>
      </c>
      <c r="F930" s="315">
        <v>1.9128000000000001</v>
      </c>
      <c r="G930" s="315">
        <v>1.9151</v>
      </c>
      <c r="H930" s="315">
        <v>2.1133999999999999</v>
      </c>
      <c r="I930" s="315">
        <v>2.0411999999999999</v>
      </c>
      <c r="J930" s="315">
        <v>2.0270000000000001</v>
      </c>
      <c r="K930" s="315">
        <v>1.2310000000000001</v>
      </c>
      <c r="L930" s="315">
        <v>1.74</v>
      </c>
      <c r="M930" s="315">
        <v>1.9705999999999999</v>
      </c>
      <c r="N930" s="315">
        <v>2.3683000000000001</v>
      </c>
      <c r="O930" s="315">
        <v>1.7083999999999999</v>
      </c>
      <c r="P930" s="315">
        <v>1.6585000000000001</v>
      </c>
      <c r="Q930" s="315">
        <v>1.7323</v>
      </c>
      <c r="R930" s="315">
        <v>2.2608999999999999</v>
      </c>
      <c r="S930" s="315">
        <v>2.0019999999999998</v>
      </c>
      <c r="T930" s="315">
        <v>1.7342</v>
      </c>
      <c r="U930" s="315">
        <v>2.1179000000000001</v>
      </c>
      <c r="V930" s="315">
        <v>1.9681999999999999</v>
      </c>
      <c r="W930" s="315">
        <v>2.1322999999999999</v>
      </c>
      <c r="X930" s="315">
        <v>1.9178999999999999</v>
      </c>
      <c r="Y930" s="315">
        <v>1.9225000000000001</v>
      </c>
      <c r="Z930" s="315">
        <v>2.2223999999999999</v>
      </c>
      <c r="AA930" s="315">
        <v>2.1974</v>
      </c>
      <c r="AB930" s="315">
        <v>2.036</v>
      </c>
      <c r="AC930" s="315">
        <v>1.8689</v>
      </c>
      <c r="AD930" s="315">
        <v>1.5859000000000001</v>
      </c>
      <c r="AE930" s="315">
        <v>2.1158000000000001</v>
      </c>
      <c r="AF930" s="315">
        <v>1.4686999999999999</v>
      </c>
      <c r="AG930" s="315">
        <v>1.5851999999999999</v>
      </c>
      <c r="AH930" s="315">
        <v>2.0112000000000001</v>
      </c>
      <c r="AI930" s="315">
        <v>2.1541000000000001</v>
      </c>
      <c r="AJ930" s="315">
        <v>1.6585000000000001</v>
      </c>
      <c r="AK930" s="315">
        <v>1.7452000000000001</v>
      </c>
      <c r="AL930" s="315">
        <v>1.9086000000000001</v>
      </c>
      <c r="AM930" s="315">
        <v>2.3235999999999999</v>
      </c>
      <c r="AN930" s="315">
        <v>1.9682999999999999</v>
      </c>
      <c r="AO930" s="315">
        <v>2.1320000000000001</v>
      </c>
      <c r="AP930" s="315">
        <v>2.3246000000000002</v>
      </c>
      <c r="AQ930" s="315">
        <v>1.8391999999999999</v>
      </c>
      <c r="AR930" s="315">
        <v>2.1276000000000002</v>
      </c>
      <c r="AS930" s="315">
        <v>1.5037</v>
      </c>
      <c r="AT930" s="315">
        <v>2.2667999999999999</v>
      </c>
      <c r="AU930" s="315">
        <v>2.1619999999999999</v>
      </c>
      <c r="AV930" s="315">
        <v>2.0764</v>
      </c>
      <c r="AW930" s="315">
        <v>2.1254</v>
      </c>
      <c r="AX930" s="315">
        <v>1.7253000000000001</v>
      </c>
      <c r="AY930" s="315">
        <v>2.0968</v>
      </c>
      <c r="AZ930" s="315">
        <v>2.1536</v>
      </c>
      <c r="BA930" s="315">
        <v>1.6164000000000001</v>
      </c>
      <c r="BB930" s="315">
        <v>1.4529000000000001</v>
      </c>
      <c r="BC930" s="315">
        <v>2.2682000000000002</v>
      </c>
      <c r="BD930" s="315">
        <v>2.3033000000000001</v>
      </c>
      <c r="BE930" s="315">
        <v>2.4418000000000002</v>
      </c>
      <c r="BF930" s="315">
        <v>2.0911</v>
      </c>
      <c r="BG930" s="315">
        <v>2.3327</v>
      </c>
      <c r="BH930" s="315">
        <v>2.2841</v>
      </c>
      <c r="BI930" s="315">
        <v>2.3224999999999998</v>
      </c>
      <c r="BJ930" s="315">
        <v>2.0335999999999999</v>
      </c>
      <c r="BK930" s="315">
        <v>2.2161</v>
      </c>
    </row>
    <row r="931" spans="1:63" x14ac:dyDescent="0.25">
      <c r="A931" s="306">
        <v>323120</v>
      </c>
      <c r="B931" s="315" t="s">
        <v>96</v>
      </c>
      <c r="C931" s="315">
        <v>2.8809</v>
      </c>
      <c r="D931" s="315">
        <v>1.6358999999999999</v>
      </c>
      <c r="E931" s="315">
        <v>1.9918</v>
      </c>
      <c r="F931" s="315">
        <v>1.8718999999999999</v>
      </c>
      <c r="G931" s="315">
        <v>2.0417999999999998</v>
      </c>
      <c r="H931" s="315">
        <v>2.2642000000000002</v>
      </c>
      <c r="I931" s="315">
        <v>2.2227000000000001</v>
      </c>
      <c r="J931" s="315">
        <v>2.0428000000000002</v>
      </c>
      <c r="K931" s="315">
        <v>1.2642</v>
      </c>
      <c r="L931" s="315">
        <v>1.8119000000000001</v>
      </c>
      <c r="M931" s="315">
        <v>2.0777000000000001</v>
      </c>
      <c r="N931" s="315">
        <v>2.3197000000000001</v>
      </c>
      <c r="O931" s="315">
        <v>1.8612</v>
      </c>
      <c r="P931" s="315">
        <v>1.6924999999999999</v>
      </c>
      <c r="Q931" s="315">
        <v>1.7435</v>
      </c>
      <c r="R931" s="315">
        <v>2.3409</v>
      </c>
      <c r="S931" s="315">
        <v>2.0485000000000002</v>
      </c>
      <c r="T931" s="315">
        <v>1.7946</v>
      </c>
      <c r="U931" s="315">
        <v>2.0415000000000001</v>
      </c>
      <c r="V931" s="315">
        <v>1.9528000000000001</v>
      </c>
      <c r="W931" s="315">
        <v>2.1356000000000002</v>
      </c>
      <c r="X931" s="315">
        <v>1.9882</v>
      </c>
      <c r="Y931" s="315">
        <v>1.9153</v>
      </c>
      <c r="Z931" s="315">
        <v>2.2029000000000001</v>
      </c>
      <c r="AA931" s="315">
        <v>2.1655000000000002</v>
      </c>
      <c r="AB931" s="315">
        <v>2.1110000000000002</v>
      </c>
      <c r="AC931" s="315">
        <v>1.8130999999999999</v>
      </c>
      <c r="AD931" s="315">
        <v>1.6735</v>
      </c>
      <c r="AE931" s="315">
        <v>2.0882999999999998</v>
      </c>
      <c r="AF931" s="315">
        <v>1.5322</v>
      </c>
      <c r="AG931" s="315">
        <v>1.6640999999999999</v>
      </c>
      <c r="AH931" s="315">
        <v>2.0200999999999998</v>
      </c>
      <c r="AI931" s="315">
        <v>2.1877</v>
      </c>
      <c r="AJ931" s="315">
        <v>1.7404999999999999</v>
      </c>
      <c r="AK931" s="315">
        <v>1.857</v>
      </c>
      <c r="AL931" s="315">
        <v>1.9683999999999999</v>
      </c>
      <c r="AM931" s="315">
        <v>2.3001</v>
      </c>
      <c r="AN931" s="315">
        <v>1.9482999999999999</v>
      </c>
      <c r="AO931" s="315">
        <v>2.0823999999999998</v>
      </c>
      <c r="AP931" s="315">
        <v>2.3106</v>
      </c>
      <c r="AQ931" s="315">
        <v>1.9731000000000001</v>
      </c>
      <c r="AR931" s="315">
        <v>2.0749</v>
      </c>
      <c r="AS931" s="315">
        <v>0</v>
      </c>
      <c r="AT931" s="315">
        <v>2.2061000000000002</v>
      </c>
      <c r="AU931" s="315">
        <v>2.3039999999999998</v>
      </c>
      <c r="AV931" s="315">
        <v>2.2052</v>
      </c>
      <c r="AW931" s="315">
        <v>2.1280000000000001</v>
      </c>
      <c r="AX931" s="315">
        <v>1.7668999999999999</v>
      </c>
      <c r="AY931" s="315">
        <v>2.0966</v>
      </c>
      <c r="AZ931" s="315">
        <v>2.1038000000000001</v>
      </c>
      <c r="BA931" s="315">
        <v>0</v>
      </c>
      <c r="BB931" s="315">
        <v>0</v>
      </c>
      <c r="BC931" s="315">
        <v>2.2783000000000002</v>
      </c>
      <c r="BD931" s="315">
        <v>2.3340000000000001</v>
      </c>
      <c r="BE931" s="315">
        <v>2.4072</v>
      </c>
      <c r="BF931" s="315">
        <v>2.1133000000000002</v>
      </c>
      <c r="BG931" s="315">
        <v>2.3553000000000002</v>
      </c>
      <c r="BH931" s="315">
        <v>2.1909999999999998</v>
      </c>
      <c r="BI931" s="315">
        <v>2.3347000000000002</v>
      </c>
      <c r="BJ931" s="315">
        <v>2.1812</v>
      </c>
      <c r="BK931" s="315">
        <v>2.3022999999999998</v>
      </c>
    </row>
    <row r="932" spans="1:63" x14ac:dyDescent="0.25">
      <c r="A932" s="306">
        <v>324110</v>
      </c>
      <c r="B932" s="315" t="s">
        <v>97</v>
      </c>
      <c r="C932" s="315">
        <v>2.4916999999999998</v>
      </c>
      <c r="D932" s="315">
        <v>1.8281000000000001</v>
      </c>
      <c r="E932" s="315">
        <v>1.5390999999999999</v>
      </c>
      <c r="F932" s="315">
        <v>1.5549999999999999</v>
      </c>
      <c r="G932" s="315">
        <v>1.363</v>
      </c>
      <c r="H932" s="315">
        <v>1.8957999999999999</v>
      </c>
      <c r="I932" s="315">
        <v>2.0889000000000002</v>
      </c>
      <c r="J932" s="315">
        <v>0</v>
      </c>
      <c r="K932" s="315">
        <v>1.1002000000000001</v>
      </c>
      <c r="L932" s="315">
        <v>1.3896999999999999</v>
      </c>
      <c r="M932" s="315">
        <v>1.353</v>
      </c>
      <c r="N932" s="315">
        <v>1.4398</v>
      </c>
      <c r="O932" s="315">
        <v>1.3997999999999999</v>
      </c>
      <c r="P932" s="315">
        <v>1.2387999999999999</v>
      </c>
      <c r="Q932" s="315">
        <v>1.2809999999999999</v>
      </c>
      <c r="R932" s="315">
        <v>1.5862000000000001</v>
      </c>
      <c r="S932" s="315">
        <v>1.4767999999999999</v>
      </c>
      <c r="T932" s="315">
        <v>1.7387999999999999</v>
      </c>
      <c r="U932" s="315">
        <v>1.5698000000000001</v>
      </c>
      <c r="V932" s="315">
        <v>2.0047999999999999</v>
      </c>
      <c r="W932" s="315">
        <v>1.38</v>
      </c>
      <c r="X932" s="315">
        <v>1.3319000000000001</v>
      </c>
      <c r="Y932" s="315">
        <v>1.3262</v>
      </c>
      <c r="Z932" s="315">
        <v>1.4702</v>
      </c>
      <c r="AA932" s="315">
        <v>1.4671000000000001</v>
      </c>
      <c r="AB932" s="315">
        <v>1.4241999999999999</v>
      </c>
      <c r="AC932" s="315">
        <v>1.6665000000000001</v>
      </c>
      <c r="AD932" s="315">
        <v>1.7161999999999999</v>
      </c>
      <c r="AE932" s="315">
        <v>1.3579000000000001</v>
      </c>
      <c r="AF932" s="315">
        <v>1.6424000000000001</v>
      </c>
      <c r="AG932" s="315">
        <v>1.2781</v>
      </c>
      <c r="AH932" s="315">
        <v>1.3321000000000001</v>
      </c>
      <c r="AI932" s="315">
        <v>1.5202</v>
      </c>
      <c r="AJ932" s="315">
        <v>1.8348</v>
      </c>
      <c r="AK932" s="315">
        <v>1.3165</v>
      </c>
      <c r="AL932" s="315">
        <v>1.3211999999999999</v>
      </c>
      <c r="AM932" s="315">
        <v>1.6627000000000001</v>
      </c>
      <c r="AN932" s="315">
        <v>2.0005999999999999</v>
      </c>
      <c r="AO932" s="315">
        <v>1.3635999999999999</v>
      </c>
      <c r="AP932" s="315">
        <v>1.6613</v>
      </c>
      <c r="AQ932" s="315">
        <v>0</v>
      </c>
      <c r="AR932" s="315">
        <v>1.3642000000000001</v>
      </c>
      <c r="AS932" s="315">
        <v>1.2372000000000001</v>
      </c>
      <c r="AT932" s="315">
        <v>1.4312</v>
      </c>
      <c r="AU932" s="315">
        <v>2.2078000000000002</v>
      </c>
      <c r="AV932" s="315">
        <v>1.9630000000000001</v>
      </c>
      <c r="AW932" s="315">
        <v>1.3983000000000001</v>
      </c>
      <c r="AX932" s="315">
        <v>0</v>
      </c>
      <c r="AY932" s="315">
        <v>1.4764999999999999</v>
      </c>
      <c r="AZ932" s="315">
        <v>1.3701000000000001</v>
      </c>
      <c r="BA932" s="315">
        <v>1.7965</v>
      </c>
      <c r="BB932" s="315">
        <v>1.7737000000000001</v>
      </c>
      <c r="BC932" s="315">
        <v>1.4224000000000001</v>
      </c>
      <c r="BD932" s="315">
        <v>1.5270999999999999</v>
      </c>
      <c r="BE932" s="315">
        <v>1.6071</v>
      </c>
      <c r="BF932" s="315">
        <v>1.5148999999999999</v>
      </c>
      <c r="BG932" s="315">
        <v>1.4855</v>
      </c>
      <c r="BH932" s="315">
        <v>1.6366000000000001</v>
      </c>
      <c r="BI932" s="315">
        <v>2.2153</v>
      </c>
      <c r="BJ932" s="315">
        <v>2.0876000000000001</v>
      </c>
      <c r="BK932" s="315">
        <v>1.9171</v>
      </c>
    </row>
    <row r="933" spans="1:63" x14ac:dyDescent="0.25">
      <c r="A933" s="306">
        <v>324121</v>
      </c>
      <c r="B933" s="315" t="s">
        <v>98</v>
      </c>
      <c r="C933" s="315">
        <v>3.1509999999999998</v>
      </c>
      <c r="D933" s="315">
        <v>1.9138999999999999</v>
      </c>
      <c r="E933" s="315">
        <v>1.9039999999999999</v>
      </c>
      <c r="F933" s="315">
        <v>1.9056999999999999</v>
      </c>
      <c r="G933" s="315">
        <v>1.7033</v>
      </c>
      <c r="H933" s="315">
        <v>2.3957000000000002</v>
      </c>
      <c r="I933" s="315">
        <v>2.2481</v>
      </c>
      <c r="J933" s="315">
        <v>1.7625999999999999</v>
      </c>
      <c r="K933" s="315">
        <v>0</v>
      </c>
      <c r="L933" s="315">
        <v>1.9502999999999999</v>
      </c>
      <c r="M933" s="315">
        <v>1.7164999999999999</v>
      </c>
      <c r="N933" s="315">
        <v>1.9648000000000001</v>
      </c>
      <c r="O933" s="315">
        <v>1.9298</v>
      </c>
      <c r="P933" s="315">
        <v>1.5087999999999999</v>
      </c>
      <c r="Q933" s="315">
        <v>1.4911000000000001</v>
      </c>
      <c r="R933" s="315">
        <v>2.3565</v>
      </c>
      <c r="S933" s="315">
        <v>2.1863000000000001</v>
      </c>
      <c r="T933" s="315">
        <v>2.0966999999999998</v>
      </c>
      <c r="U933" s="315">
        <v>2.1217999999999999</v>
      </c>
      <c r="V933" s="315">
        <v>2.2341000000000002</v>
      </c>
      <c r="W933" s="315">
        <v>1.8105</v>
      </c>
      <c r="X933" s="315">
        <v>1.6818</v>
      </c>
      <c r="Y933" s="315">
        <v>1.6266</v>
      </c>
      <c r="Z933" s="315">
        <v>1.9644999999999999</v>
      </c>
      <c r="AA933" s="315">
        <v>2.1185</v>
      </c>
      <c r="AB933" s="315">
        <v>1.9287000000000001</v>
      </c>
      <c r="AC933" s="315">
        <v>2.0305</v>
      </c>
      <c r="AD933" s="315">
        <v>1.9372</v>
      </c>
      <c r="AE933" s="315">
        <v>1.8625</v>
      </c>
      <c r="AF933" s="315">
        <v>0</v>
      </c>
      <c r="AG933" s="315">
        <v>0</v>
      </c>
      <c r="AH933" s="315">
        <v>1.7296</v>
      </c>
      <c r="AI933" s="315">
        <v>2.2328000000000001</v>
      </c>
      <c r="AJ933" s="315">
        <v>1.9943</v>
      </c>
      <c r="AK933" s="315">
        <v>1.6309</v>
      </c>
      <c r="AL933" s="315">
        <v>1.6867000000000001</v>
      </c>
      <c r="AM933" s="315">
        <v>2.2835000000000001</v>
      </c>
      <c r="AN933" s="315">
        <v>2.254</v>
      </c>
      <c r="AO933" s="315">
        <v>1.776</v>
      </c>
      <c r="AP933" s="315">
        <v>2.2772999999999999</v>
      </c>
      <c r="AQ933" s="315">
        <v>1.7134</v>
      </c>
      <c r="AR933" s="315">
        <v>1.8424</v>
      </c>
      <c r="AS933" s="315">
        <v>1.4410000000000001</v>
      </c>
      <c r="AT933" s="315">
        <v>1.97</v>
      </c>
      <c r="AU933" s="315">
        <v>2.5655000000000001</v>
      </c>
      <c r="AV933" s="315">
        <v>2.4586999999999999</v>
      </c>
      <c r="AW933" s="315">
        <v>1.8107</v>
      </c>
      <c r="AX933" s="315">
        <v>1.5363</v>
      </c>
      <c r="AY933" s="315">
        <v>2.1122000000000001</v>
      </c>
      <c r="AZ933" s="315">
        <v>1.8539000000000001</v>
      </c>
      <c r="BA933" s="315">
        <v>1.8673999999999999</v>
      </c>
      <c r="BB933" s="315">
        <v>1.8633</v>
      </c>
      <c r="BC933" s="315">
        <v>1.9152</v>
      </c>
      <c r="BD933" s="315">
        <v>2.1334</v>
      </c>
      <c r="BE933" s="315">
        <v>2.3529</v>
      </c>
      <c r="BF933" s="315">
        <v>2.0482</v>
      </c>
      <c r="BG933" s="315">
        <v>2.0360999999999998</v>
      </c>
      <c r="BH933" s="315">
        <v>2.2791999999999999</v>
      </c>
      <c r="BI933" s="315">
        <v>2.5929000000000002</v>
      </c>
      <c r="BJ933" s="315">
        <v>2.3012000000000001</v>
      </c>
      <c r="BK933" s="315">
        <v>2.4247000000000001</v>
      </c>
    </row>
    <row r="934" spans="1:63" x14ac:dyDescent="0.25">
      <c r="A934" s="306">
        <v>324122</v>
      </c>
      <c r="B934" s="315" t="s">
        <v>99</v>
      </c>
      <c r="C934" s="315">
        <v>3.0261999999999998</v>
      </c>
      <c r="D934" s="315">
        <v>0</v>
      </c>
      <c r="E934" s="315">
        <v>1.9000999999999999</v>
      </c>
      <c r="F934" s="315">
        <v>1.8543000000000001</v>
      </c>
      <c r="G934" s="315">
        <v>1.7857000000000001</v>
      </c>
      <c r="H934" s="315">
        <v>2.2886000000000002</v>
      </c>
      <c r="I934" s="315">
        <v>2.1898</v>
      </c>
      <c r="J934" s="315">
        <v>1.7385999999999999</v>
      </c>
      <c r="K934" s="315">
        <v>0</v>
      </c>
      <c r="L934" s="315">
        <v>1.8727</v>
      </c>
      <c r="M934" s="315">
        <v>1.8065</v>
      </c>
      <c r="N934" s="315">
        <v>2.0872000000000002</v>
      </c>
      <c r="O934" s="315">
        <v>0</v>
      </c>
      <c r="P934" s="315">
        <v>1.4595</v>
      </c>
      <c r="Q934" s="315">
        <v>1.5105</v>
      </c>
      <c r="R934" s="315">
        <v>2.2204999999999999</v>
      </c>
      <c r="S934" s="315">
        <v>2.0882000000000001</v>
      </c>
      <c r="T934" s="315">
        <v>1.9046000000000001</v>
      </c>
      <c r="U934" s="315">
        <v>0</v>
      </c>
      <c r="V934" s="315">
        <v>2.1496</v>
      </c>
      <c r="W934" s="315">
        <v>1.8701000000000001</v>
      </c>
      <c r="X934" s="315">
        <v>1.7191000000000001</v>
      </c>
      <c r="Y934" s="315">
        <v>0</v>
      </c>
      <c r="Z934" s="315">
        <v>1.9541999999999999</v>
      </c>
      <c r="AA934" s="315">
        <v>2.1343000000000001</v>
      </c>
      <c r="AB934" s="315">
        <v>1.9484999999999999</v>
      </c>
      <c r="AC934" s="315">
        <v>1.8622000000000001</v>
      </c>
      <c r="AD934" s="315">
        <v>0</v>
      </c>
      <c r="AE934" s="315">
        <v>1.9457</v>
      </c>
      <c r="AF934" s="315">
        <v>0</v>
      </c>
      <c r="AG934" s="315">
        <v>1.54</v>
      </c>
      <c r="AH934" s="315">
        <v>1.8976</v>
      </c>
      <c r="AI934" s="315">
        <v>2.1741000000000001</v>
      </c>
      <c r="AJ934" s="315">
        <v>0</v>
      </c>
      <c r="AK934" s="315">
        <v>1.7222</v>
      </c>
      <c r="AL934" s="315">
        <v>1.7383</v>
      </c>
      <c r="AM934" s="315">
        <v>2.306</v>
      </c>
      <c r="AN934" s="315">
        <v>2.1640999999999999</v>
      </c>
      <c r="AO934" s="315">
        <v>1.9291</v>
      </c>
      <c r="AP934" s="315">
        <v>2.3296000000000001</v>
      </c>
      <c r="AQ934" s="315">
        <v>0</v>
      </c>
      <c r="AR934" s="315">
        <v>1.8937999999999999</v>
      </c>
      <c r="AS934" s="315">
        <v>0</v>
      </c>
      <c r="AT934" s="315">
        <v>2.0417999999999998</v>
      </c>
      <c r="AU934" s="315">
        <v>2.4554</v>
      </c>
      <c r="AV934" s="315">
        <v>2.3136999999999999</v>
      </c>
      <c r="AW934" s="315">
        <v>1.8413999999999999</v>
      </c>
      <c r="AX934" s="315">
        <v>0</v>
      </c>
      <c r="AY934" s="315">
        <v>2.1198000000000001</v>
      </c>
      <c r="AZ934" s="315">
        <v>1.8711</v>
      </c>
      <c r="BA934" s="315">
        <v>0</v>
      </c>
      <c r="BB934" s="315">
        <v>1.6456</v>
      </c>
      <c r="BC934" s="315">
        <v>2.0038999999999998</v>
      </c>
      <c r="BD934" s="315">
        <v>2.1806999999999999</v>
      </c>
      <c r="BE934" s="315">
        <v>2.4001000000000001</v>
      </c>
      <c r="BF934" s="315">
        <v>2.0329000000000002</v>
      </c>
      <c r="BG934" s="315">
        <v>2.1408</v>
      </c>
      <c r="BH934" s="315">
        <v>2.2321</v>
      </c>
      <c r="BI934" s="315">
        <v>2.508</v>
      </c>
      <c r="BJ934" s="315">
        <v>2.2145000000000001</v>
      </c>
      <c r="BK934" s="315">
        <v>2.3578999999999999</v>
      </c>
    </row>
    <row r="935" spans="1:63" x14ac:dyDescent="0.25">
      <c r="A935" s="306">
        <v>324191</v>
      </c>
      <c r="B935" s="315" t="s">
        <v>100</v>
      </c>
      <c r="C935" s="315">
        <v>3.2197</v>
      </c>
      <c r="D935" s="315">
        <v>0</v>
      </c>
      <c r="E935" s="315">
        <v>1.8917999999999999</v>
      </c>
      <c r="F935" s="315">
        <v>1.9212</v>
      </c>
      <c r="G935" s="315">
        <v>1.6460999999999999</v>
      </c>
      <c r="H935" s="315">
        <v>2.4733999999999998</v>
      </c>
      <c r="I935" s="315">
        <v>2.2924000000000002</v>
      </c>
      <c r="J935" s="315">
        <v>1.7143999999999999</v>
      </c>
      <c r="K935" s="315">
        <v>0</v>
      </c>
      <c r="L935" s="315">
        <v>2.0669</v>
      </c>
      <c r="M935" s="315">
        <v>1.6627000000000001</v>
      </c>
      <c r="N935" s="315">
        <v>1.9094</v>
      </c>
      <c r="O935" s="315">
        <v>0</v>
      </c>
      <c r="P935" s="315">
        <v>1.4601</v>
      </c>
      <c r="Q935" s="315">
        <v>0</v>
      </c>
      <c r="R935" s="315">
        <v>2.3561000000000001</v>
      </c>
      <c r="S935" s="315">
        <v>2.1852999999999998</v>
      </c>
      <c r="T935" s="315">
        <v>2.1753</v>
      </c>
      <c r="U935" s="315">
        <v>2.1223999999999998</v>
      </c>
      <c r="V935" s="315">
        <v>2.4073000000000002</v>
      </c>
      <c r="W935" s="315">
        <v>1.7635000000000001</v>
      </c>
      <c r="X935" s="315">
        <v>1.6716</v>
      </c>
      <c r="Y935" s="315">
        <v>0</v>
      </c>
      <c r="Z935" s="315">
        <v>1.9120999999999999</v>
      </c>
      <c r="AA935" s="315">
        <v>2.1313</v>
      </c>
      <c r="AB935" s="315">
        <v>1.8798999999999999</v>
      </c>
      <c r="AC935" s="315">
        <v>2.1038000000000001</v>
      </c>
      <c r="AD935" s="315">
        <v>0</v>
      </c>
      <c r="AE935" s="315">
        <v>1.7867999999999999</v>
      </c>
      <c r="AF935" s="315">
        <v>0</v>
      </c>
      <c r="AG935" s="315">
        <v>1.4994000000000001</v>
      </c>
      <c r="AH935" s="315">
        <v>1.6504000000000001</v>
      </c>
      <c r="AI935" s="315">
        <v>2.3237999999999999</v>
      </c>
      <c r="AJ935" s="315">
        <v>2.1229</v>
      </c>
      <c r="AK935" s="315">
        <v>1.6032</v>
      </c>
      <c r="AL935" s="315">
        <v>1.6163000000000001</v>
      </c>
      <c r="AM935" s="315">
        <v>2.2534000000000001</v>
      </c>
      <c r="AN935" s="315">
        <v>2.3138000000000001</v>
      </c>
      <c r="AO935" s="315">
        <v>1.7123999999999999</v>
      </c>
      <c r="AP935" s="315">
        <v>2.2608999999999999</v>
      </c>
      <c r="AQ935" s="315">
        <v>0</v>
      </c>
      <c r="AR935" s="315">
        <v>1.7648999999999999</v>
      </c>
      <c r="AS935" s="315">
        <v>0</v>
      </c>
      <c r="AT935" s="315">
        <v>1.899</v>
      </c>
      <c r="AU935" s="315">
        <v>2.7038000000000002</v>
      </c>
      <c r="AV935" s="315">
        <v>2.4990999999999999</v>
      </c>
      <c r="AW935" s="315">
        <v>0</v>
      </c>
      <c r="AX935" s="315">
        <v>0</v>
      </c>
      <c r="AY935" s="315">
        <v>2.1949999999999998</v>
      </c>
      <c r="AZ935" s="315">
        <v>1.7723</v>
      </c>
      <c r="BA935" s="315">
        <v>1.9169</v>
      </c>
      <c r="BB935" s="315">
        <v>0</v>
      </c>
      <c r="BC935" s="315">
        <v>1.8480000000000001</v>
      </c>
      <c r="BD935" s="315">
        <v>2.1084000000000001</v>
      </c>
      <c r="BE935" s="315">
        <v>2.3129</v>
      </c>
      <c r="BF935" s="315">
        <v>2.0165999999999999</v>
      </c>
      <c r="BG935" s="315">
        <v>1.97</v>
      </c>
      <c r="BH935" s="315">
        <v>2.2822</v>
      </c>
      <c r="BI935" s="315">
        <v>2.7246999999999999</v>
      </c>
      <c r="BJ935" s="315">
        <v>2.3578000000000001</v>
      </c>
      <c r="BK935" s="315">
        <v>2.5009999999999999</v>
      </c>
    </row>
    <row r="936" spans="1:63" x14ac:dyDescent="0.25">
      <c r="A936" s="306">
        <v>324199</v>
      </c>
      <c r="B936" s="315" t="s">
        <v>101</v>
      </c>
      <c r="C936" s="315">
        <v>3.0933000000000002</v>
      </c>
      <c r="D936" s="315">
        <v>0</v>
      </c>
      <c r="E936" s="315">
        <v>1.8001</v>
      </c>
      <c r="F936" s="315">
        <v>0</v>
      </c>
      <c r="G936" s="315">
        <v>0</v>
      </c>
      <c r="H936" s="315">
        <v>2.4411</v>
      </c>
      <c r="I936" s="315">
        <v>2.3277999999999999</v>
      </c>
      <c r="J936" s="315">
        <v>0</v>
      </c>
      <c r="K936" s="315">
        <v>0</v>
      </c>
      <c r="L936" s="315">
        <v>0</v>
      </c>
      <c r="M936" s="315">
        <v>1.6395</v>
      </c>
      <c r="N936" s="315">
        <v>1.7663</v>
      </c>
      <c r="O936" s="315">
        <v>0</v>
      </c>
      <c r="P936" s="315">
        <v>0</v>
      </c>
      <c r="Q936" s="315">
        <v>0</v>
      </c>
      <c r="R936" s="315">
        <v>2.1890999999999998</v>
      </c>
      <c r="S936" s="315">
        <v>2.0381</v>
      </c>
      <c r="T936" s="315">
        <v>0</v>
      </c>
      <c r="U936" s="315">
        <v>2.0017</v>
      </c>
      <c r="V936" s="315">
        <v>2.3738999999999999</v>
      </c>
      <c r="W936" s="315">
        <v>0</v>
      </c>
      <c r="X936" s="315">
        <v>0</v>
      </c>
      <c r="Y936" s="315">
        <v>0</v>
      </c>
      <c r="Z936" s="315">
        <v>1.8109999999999999</v>
      </c>
      <c r="AA936" s="315">
        <v>2.0259999999999998</v>
      </c>
      <c r="AB936" s="315">
        <v>0</v>
      </c>
      <c r="AC936" s="315">
        <v>2.0592000000000001</v>
      </c>
      <c r="AD936" s="315">
        <v>0</v>
      </c>
      <c r="AE936" s="315">
        <v>0</v>
      </c>
      <c r="AF936" s="315">
        <v>0</v>
      </c>
      <c r="AG936" s="315">
        <v>1.4549000000000001</v>
      </c>
      <c r="AH936" s="315">
        <v>0</v>
      </c>
      <c r="AI936" s="315">
        <v>2.1549</v>
      </c>
      <c r="AJ936" s="315">
        <v>0</v>
      </c>
      <c r="AK936" s="315">
        <v>0</v>
      </c>
      <c r="AL936" s="315">
        <v>1.5724</v>
      </c>
      <c r="AM936" s="315">
        <v>2.1055999999999999</v>
      </c>
      <c r="AN936" s="315">
        <v>2.3397999999999999</v>
      </c>
      <c r="AO936" s="315">
        <v>0</v>
      </c>
      <c r="AP936" s="315">
        <v>2.1396999999999999</v>
      </c>
      <c r="AQ936" s="315">
        <v>0</v>
      </c>
      <c r="AR936" s="315">
        <v>1.6438999999999999</v>
      </c>
      <c r="AS936" s="315">
        <v>0</v>
      </c>
      <c r="AT936" s="315">
        <v>1.784</v>
      </c>
      <c r="AU936" s="315">
        <v>2.6549</v>
      </c>
      <c r="AV936" s="315">
        <v>2.4738000000000002</v>
      </c>
      <c r="AW936" s="315">
        <v>1.7064999999999999</v>
      </c>
      <c r="AX936" s="315">
        <v>0</v>
      </c>
      <c r="AY936" s="315">
        <v>0</v>
      </c>
      <c r="AZ936" s="315">
        <v>1.6786000000000001</v>
      </c>
      <c r="BA936" s="315">
        <v>1.8989</v>
      </c>
      <c r="BB936" s="315">
        <v>2.0181</v>
      </c>
      <c r="BC936" s="315">
        <v>0</v>
      </c>
      <c r="BD936" s="315">
        <v>1.9674</v>
      </c>
      <c r="BE936" s="315">
        <v>2.1358000000000001</v>
      </c>
      <c r="BF936" s="315">
        <v>1.9037999999999999</v>
      </c>
      <c r="BG936" s="315">
        <v>1.8466</v>
      </c>
      <c r="BH936" s="315">
        <v>2.1398999999999999</v>
      </c>
      <c r="BI936" s="315">
        <v>2.67</v>
      </c>
      <c r="BJ936" s="315">
        <v>2.3879999999999999</v>
      </c>
      <c r="BK936" s="315">
        <v>2.4708999999999999</v>
      </c>
    </row>
    <row r="937" spans="1:63" x14ac:dyDescent="0.25">
      <c r="A937" s="306">
        <v>325110</v>
      </c>
      <c r="B937" s="315" t="s">
        <v>102</v>
      </c>
      <c r="C937" s="315">
        <v>3.3653</v>
      </c>
      <c r="D937" s="315">
        <v>0</v>
      </c>
      <c r="E937" s="315">
        <v>2.2953999999999999</v>
      </c>
      <c r="F937" s="315">
        <v>2.0306000000000002</v>
      </c>
      <c r="G937" s="315">
        <v>0</v>
      </c>
      <c r="H937" s="315">
        <v>2.1006999999999998</v>
      </c>
      <c r="I937" s="315">
        <v>0</v>
      </c>
      <c r="J937" s="315">
        <v>1.9165000000000001</v>
      </c>
      <c r="K937" s="315">
        <v>0</v>
      </c>
      <c r="L937" s="315">
        <v>2.1854</v>
      </c>
      <c r="M937" s="315">
        <v>1.6315</v>
      </c>
      <c r="N937" s="315">
        <v>1.9899</v>
      </c>
      <c r="O937" s="315">
        <v>0</v>
      </c>
      <c r="P937" s="315">
        <v>0</v>
      </c>
      <c r="Q937" s="315">
        <v>0</v>
      </c>
      <c r="R937" s="315">
        <v>2.4140000000000001</v>
      </c>
      <c r="S937" s="315">
        <v>0</v>
      </c>
      <c r="T937" s="315">
        <v>0</v>
      </c>
      <c r="U937" s="315">
        <v>0</v>
      </c>
      <c r="V937" s="315">
        <v>2.5263</v>
      </c>
      <c r="W937" s="315">
        <v>1.8080000000000001</v>
      </c>
      <c r="X937" s="315">
        <v>0</v>
      </c>
      <c r="Y937" s="315">
        <v>1.4778</v>
      </c>
      <c r="Z937" s="315">
        <v>1.8697999999999999</v>
      </c>
      <c r="AA937" s="315">
        <v>0</v>
      </c>
      <c r="AB937" s="315">
        <v>2.3170999999999999</v>
      </c>
      <c r="AC937" s="315">
        <v>1.9240999999999999</v>
      </c>
      <c r="AD937" s="315">
        <v>0</v>
      </c>
      <c r="AE937" s="315">
        <v>1.9351</v>
      </c>
      <c r="AF937" s="315">
        <v>0</v>
      </c>
      <c r="AG937" s="315">
        <v>0</v>
      </c>
      <c r="AH937" s="315">
        <v>0</v>
      </c>
      <c r="AI937" s="315">
        <v>2.4908000000000001</v>
      </c>
      <c r="AJ937" s="315">
        <v>0</v>
      </c>
      <c r="AK937" s="315">
        <v>0</v>
      </c>
      <c r="AL937" s="315">
        <v>1.5931999999999999</v>
      </c>
      <c r="AM937" s="315">
        <v>2.4152</v>
      </c>
      <c r="AN937" s="315">
        <v>0</v>
      </c>
      <c r="AO937" s="315">
        <v>0</v>
      </c>
      <c r="AP937" s="315">
        <v>2.2587999999999999</v>
      </c>
      <c r="AQ937" s="315">
        <v>0</v>
      </c>
      <c r="AR937" s="315">
        <v>2.1177000000000001</v>
      </c>
      <c r="AS937" s="315">
        <v>0</v>
      </c>
      <c r="AT937" s="315">
        <v>1.8863000000000001</v>
      </c>
      <c r="AU937" s="315">
        <v>2.8462000000000001</v>
      </c>
      <c r="AV937" s="315">
        <v>0</v>
      </c>
      <c r="AW937" s="315">
        <v>0</v>
      </c>
      <c r="AX937" s="315">
        <v>0</v>
      </c>
      <c r="AY937" s="315">
        <v>1.8943000000000001</v>
      </c>
      <c r="AZ937" s="315">
        <v>0</v>
      </c>
      <c r="BA937" s="315">
        <v>2.2084999999999999</v>
      </c>
      <c r="BB937" s="315">
        <v>0</v>
      </c>
      <c r="BC937" s="315">
        <v>1.895</v>
      </c>
      <c r="BD937" s="315">
        <v>2.2151000000000001</v>
      </c>
      <c r="BE937" s="315">
        <v>2.4380999999999999</v>
      </c>
      <c r="BF937" s="315">
        <v>2.1674000000000002</v>
      </c>
      <c r="BG937" s="315">
        <v>2.0956999999999999</v>
      </c>
      <c r="BH937" s="315">
        <v>2.4192</v>
      </c>
      <c r="BI937" s="315">
        <v>2.8570000000000002</v>
      </c>
      <c r="BJ937" s="315">
        <v>0</v>
      </c>
      <c r="BK937" s="315">
        <v>2.1229</v>
      </c>
    </row>
    <row r="938" spans="1:63" x14ac:dyDescent="0.25">
      <c r="A938" s="306">
        <v>325120</v>
      </c>
      <c r="B938" s="315" t="s">
        <v>103</v>
      </c>
      <c r="C938" s="315">
        <v>2.7324000000000002</v>
      </c>
      <c r="D938" s="315">
        <v>0</v>
      </c>
      <c r="E938" s="315">
        <v>1.9237</v>
      </c>
      <c r="F938" s="315">
        <v>1.8586</v>
      </c>
      <c r="G938" s="315">
        <v>1.7991999999999999</v>
      </c>
      <c r="H938" s="315">
        <v>2.0202</v>
      </c>
      <c r="I938" s="315">
        <v>2.1116000000000001</v>
      </c>
      <c r="J938" s="315">
        <v>1.8717999999999999</v>
      </c>
      <c r="K938" s="315">
        <v>0</v>
      </c>
      <c r="L938" s="315">
        <v>1.8375999999999999</v>
      </c>
      <c r="M938" s="315">
        <v>1.7621</v>
      </c>
      <c r="N938" s="315">
        <v>2.0057999999999998</v>
      </c>
      <c r="O938" s="315">
        <v>1.7605</v>
      </c>
      <c r="P938" s="315">
        <v>1.6037999999999999</v>
      </c>
      <c r="Q938" s="315">
        <v>1.5912999999999999</v>
      </c>
      <c r="R938" s="315">
        <v>2.2058</v>
      </c>
      <c r="S938" s="315">
        <v>1.9581999999999999</v>
      </c>
      <c r="T938" s="315">
        <v>1.8178000000000001</v>
      </c>
      <c r="U938" s="315">
        <v>1.9239999999999999</v>
      </c>
      <c r="V938" s="315">
        <v>1.9875</v>
      </c>
      <c r="W938" s="315">
        <v>1.8609</v>
      </c>
      <c r="X938" s="315">
        <v>1.7770999999999999</v>
      </c>
      <c r="Y938" s="315">
        <v>1.6920999999999999</v>
      </c>
      <c r="Z938" s="315">
        <v>2.0103</v>
      </c>
      <c r="AA938" s="315">
        <v>1.9705999999999999</v>
      </c>
      <c r="AB938" s="315">
        <v>2.0291000000000001</v>
      </c>
      <c r="AC938" s="315">
        <v>1.7562</v>
      </c>
      <c r="AD938" s="315">
        <v>1.732</v>
      </c>
      <c r="AE938" s="315">
        <v>1.8742000000000001</v>
      </c>
      <c r="AF938" s="315">
        <v>0</v>
      </c>
      <c r="AG938" s="315">
        <v>1.6662999999999999</v>
      </c>
      <c r="AH938" s="315">
        <v>0</v>
      </c>
      <c r="AI938" s="315">
        <v>1.9823999999999999</v>
      </c>
      <c r="AJ938" s="315">
        <v>1.772</v>
      </c>
      <c r="AK938" s="315">
        <v>1.7524999999999999</v>
      </c>
      <c r="AL938" s="315">
        <v>1.8009999999999999</v>
      </c>
      <c r="AM938" s="315">
        <v>2.1518000000000002</v>
      </c>
      <c r="AN938" s="315">
        <v>1.8677999999999999</v>
      </c>
      <c r="AO938" s="315">
        <v>1.8926000000000001</v>
      </c>
      <c r="AP938" s="315">
        <v>2.1772</v>
      </c>
      <c r="AQ938" s="315">
        <v>1.6298999999999999</v>
      </c>
      <c r="AR938" s="315">
        <v>1.8536999999999999</v>
      </c>
      <c r="AS938" s="315">
        <v>0</v>
      </c>
      <c r="AT938" s="315">
        <v>1.9709000000000001</v>
      </c>
      <c r="AU938" s="315">
        <v>2.2124000000000001</v>
      </c>
      <c r="AV938" s="315">
        <v>2.1004</v>
      </c>
      <c r="AW938" s="315">
        <v>1.9085000000000001</v>
      </c>
      <c r="AX938" s="315">
        <v>0</v>
      </c>
      <c r="AY938" s="315">
        <v>1.9504999999999999</v>
      </c>
      <c r="AZ938" s="315">
        <v>1.9113</v>
      </c>
      <c r="BA938" s="315">
        <v>1.7919</v>
      </c>
      <c r="BB938" s="315">
        <v>1.6254999999999999</v>
      </c>
      <c r="BC938" s="315">
        <v>1.9754</v>
      </c>
      <c r="BD938" s="315">
        <v>2.1187999999999998</v>
      </c>
      <c r="BE938" s="315">
        <v>2.2282000000000002</v>
      </c>
      <c r="BF938" s="315">
        <v>2.0053999999999998</v>
      </c>
      <c r="BG938" s="315">
        <v>2.1166999999999998</v>
      </c>
      <c r="BH938" s="315">
        <v>2.0686</v>
      </c>
      <c r="BI938" s="315">
        <v>2.2364000000000002</v>
      </c>
      <c r="BJ938" s="315">
        <v>2.1331000000000002</v>
      </c>
      <c r="BK938" s="315">
        <v>2.073</v>
      </c>
    </row>
    <row r="939" spans="1:63" x14ac:dyDescent="0.25">
      <c r="A939" s="306">
        <v>325130</v>
      </c>
      <c r="B939" s="315" t="s">
        <v>104</v>
      </c>
      <c r="C939" s="315">
        <v>3.1398000000000001</v>
      </c>
      <c r="D939" s="315">
        <v>0</v>
      </c>
      <c r="E939" s="315">
        <v>2.0807000000000002</v>
      </c>
      <c r="F939" s="315">
        <v>2.0005999999999999</v>
      </c>
      <c r="G939" s="315">
        <v>1.8411999999999999</v>
      </c>
      <c r="H939" s="315">
        <v>2.2536</v>
      </c>
      <c r="I939" s="315">
        <v>2.2612000000000001</v>
      </c>
      <c r="J939" s="315">
        <v>2.1122000000000001</v>
      </c>
      <c r="K939" s="315">
        <v>0</v>
      </c>
      <c r="L939" s="315">
        <v>1.9917</v>
      </c>
      <c r="M939" s="315">
        <v>1.8654999999999999</v>
      </c>
      <c r="N939" s="315">
        <v>2.2225999999999999</v>
      </c>
      <c r="O939" s="315">
        <v>0</v>
      </c>
      <c r="P939" s="315">
        <v>1.6894</v>
      </c>
      <c r="Q939" s="315">
        <v>1.7020999999999999</v>
      </c>
      <c r="R939" s="315">
        <v>2.5141</v>
      </c>
      <c r="S939" s="315">
        <v>2.1682000000000001</v>
      </c>
      <c r="T939" s="315">
        <v>1.9179999999999999</v>
      </c>
      <c r="U939" s="315">
        <v>2.1122999999999998</v>
      </c>
      <c r="V939" s="315">
        <v>2.1457000000000002</v>
      </c>
      <c r="W939" s="315">
        <v>2.1168</v>
      </c>
      <c r="X939" s="315">
        <v>1.8866000000000001</v>
      </c>
      <c r="Y939" s="315">
        <v>0</v>
      </c>
      <c r="Z939" s="315">
        <v>2.2181999999999999</v>
      </c>
      <c r="AA939" s="315">
        <v>2.1747999999999998</v>
      </c>
      <c r="AB939" s="315">
        <v>2.2603</v>
      </c>
      <c r="AC939" s="315">
        <v>1.8399000000000001</v>
      </c>
      <c r="AD939" s="315">
        <v>0</v>
      </c>
      <c r="AE939" s="315">
        <v>2.1278000000000001</v>
      </c>
      <c r="AF939" s="315">
        <v>0</v>
      </c>
      <c r="AG939" s="315">
        <v>0</v>
      </c>
      <c r="AH939" s="315">
        <v>1.8652</v>
      </c>
      <c r="AI939" s="315">
        <v>2.3546</v>
      </c>
      <c r="AJ939" s="315">
        <v>0</v>
      </c>
      <c r="AK939" s="315">
        <v>0</v>
      </c>
      <c r="AL939" s="315">
        <v>1.9186000000000001</v>
      </c>
      <c r="AM939" s="315">
        <v>2.4500000000000002</v>
      </c>
      <c r="AN939" s="315">
        <v>1.9192</v>
      </c>
      <c r="AO939" s="315">
        <v>2.0499000000000001</v>
      </c>
      <c r="AP939" s="315">
        <v>2.4373999999999998</v>
      </c>
      <c r="AQ939" s="315">
        <v>1.8729</v>
      </c>
      <c r="AR939" s="315">
        <v>2.0615999999999999</v>
      </c>
      <c r="AS939" s="315">
        <v>0</v>
      </c>
      <c r="AT939" s="315">
        <v>2.1566000000000001</v>
      </c>
      <c r="AU939" s="315">
        <v>2.4758</v>
      </c>
      <c r="AV939" s="315">
        <v>0</v>
      </c>
      <c r="AW939" s="315">
        <v>2.1227999999999998</v>
      </c>
      <c r="AX939" s="315">
        <v>0</v>
      </c>
      <c r="AY939" s="315">
        <v>2.0506000000000002</v>
      </c>
      <c r="AZ939" s="315">
        <v>2.0985</v>
      </c>
      <c r="BA939" s="315">
        <v>1.8894</v>
      </c>
      <c r="BB939" s="315">
        <v>0</v>
      </c>
      <c r="BC939" s="315">
        <v>2.2429000000000001</v>
      </c>
      <c r="BD939" s="315">
        <v>2.4174000000000002</v>
      </c>
      <c r="BE939" s="315">
        <v>2.5423</v>
      </c>
      <c r="BF939" s="315">
        <v>2.1958000000000002</v>
      </c>
      <c r="BG939" s="315">
        <v>2.3336000000000001</v>
      </c>
      <c r="BH939" s="315">
        <v>2.2934999999999999</v>
      </c>
      <c r="BI939" s="315">
        <v>2.5021</v>
      </c>
      <c r="BJ939" s="315">
        <v>2.2069999999999999</v>
      </c>
      <c r="BK939" s="315">
        <v>2.2824</v>
      </c>
    </row>
    <row r="940" spans="1:63" x14ac:dyDescent="0.25">
      <c r="A940" s="306">
        <v>325181</v>
      </c>
      <c r="B940" s="315" t="s">
        <v>105</v>
      </c>
      <c r="C940" s="315">
        <v>3.2658</v>
      </c>
      <c r="D940" s="315">
        <v>0</v>
      </c>
      <c r="E940" s="315">
        <v>2.1282999999999999</v>
      </c>
      <c r="F940" s="315">
        <v>0</v>
      </c>
      <c r="G940" s="315">
        <v>0</v>
      </c>
      <c r="H940" s="315">
        <v>2.4022000000000001</v>
      </c>
      <c r="I940" s="315">
        <v>2.5013000000000001</v>
      </c>
      <c r="J940" s="315">
        <v>0</v>
      </c>
      <c r="K940" s="315">
        <v>0</v>
      </c>
      <c r="L940" s="315">
        <v>1.9921</v>
      </c>
      <c r="M940" s="315">
        <v>1.9616</v>
      </c>
      <c r="N940" s="315">
        <v>2.3016000000000001</v>
      </c>
      <c r="O940" s="315">
        <v>0</v>
      </c>
      <c r="P940" s="315">
        <v>1.7659</v>
      </c>
      <c r="Q940" s="315">
        <v>0</v>
      </c>
      <c r="R940" s="315">
        <v>2.6168</v>
      </c>
      <c r="S940" s="315">
        <v>0</v>
      </c>
      <c r="T940" s="315">
        <v>2.0743999999999998</v>
      </c>
      <c r="U940" s="315">
        <v>0</v>
      </c>
      <c r="V940" s="315">
        <v>2.2509999999999999</v>
      </c>
      <c r="W940" s="315">
        <v>0</v>
      </c>
      <c r="X940" s="315">
        <v>1.9921</v>
      </c>
      <c r="Y940" s="315">
        <v>0</v>
      </c>
      <c r="Z940" s="315">
        <v>2.4032</v>
      </c>
      <c r="AA940" s="315">
        <v>0</v>
      </c>
      <c r="AB940" s="315">
        <v>0</v>
      </c>
      <c r="AC940" s="315">
        <v>2.0202</v>
      </c>
      <c r="AD940" s="315">
        <v>0</v>
      </c>
      <c r="AE940" s="315">
        <v>0</v>
      </c>
      <c r="AF940" s="315">
        <v>0</v>
      </c>
      <c r="AG940" s="315">
        <v>0</v>
      </c>
      <c r="AH940" s="315">
        <v>0</v>
      </c>
      <c r="AI940" s="315">
        <v>2.343</v>
      </c>
      <c r="AJ940" s="315">
        <v>0</v>
      </c>
      <c r="AK940" s="315">
        <v>1.9440999999999999</v>
      </c>
      <c r="AL940" s="315">
        <v>2.0996999999999999</v>
      </c>
      <c r="AM940" s="315">
        <v>2.5367000000000002</v>
      </c>
      <c r="AN940" s="315">
        <v>2.1549999999999998</v>
      </c>
      <c r="AO940" s="315">
        <v>0</v>
      </c>
      <c r="AP940" s="315">
        <v>2.6204000000000001</v>
      </c>
      <c r="AQ940" s="315">
        <v>0</v>
      </c>
      <c r="AR940" s="315">
        <v>0</v>
      </c>
      <c r="AS940" s="315">
        <v>0</v>
      </c>
      <c r="AT940" s="315">
        <v>2.2814000000000001</v>
      </c>
      <c r="AU940" s="315">
        <v>2.5867</v>
      </c>
      <c r="AV940" s="315">
        <v>2.4230999999999998</v>
      </c>
      <c r="AW940" s="315">
        <v>2.2248999999999999</v>
      </c>
      <c r="AX940" s="315">
        <v>0</v>
      </c>
      <c r="AY940" s="315">
        <v>2.2096</v>
      </c>
      <c r="AZ940" s="315">
        <v>2.1797</v>
      </c>
      <c r="BA940" s="315">
        <v>1.9854000000000001</v>
      </c>
      <c r="BB940" s="315">
        <v>1.8178000000000001</v>
      </c>
      <c r="BC940" s="315">
        <v>0</v>
      </c>
      <c r="BD940" s="315">
        <v>2.4971999999999999</v>
      </c>
      <c r="BE940" s="315">
        <v>2.6234000000000002</v>
      </c>
      <c r="BF940" s="315">
        <v>2.3231999999999999</v>
      </c>
      <c r="BG940" s="315">
        <v>2.4350999999999998</v>
      </c>
      <c r="BH940" s="315">
        <v>2.3643999999999998</v>
      </c>
      <c r="BI940" s="315">
        <v>2.6059000000000001</v>
      </c>
      <c r="BJ940" s="315">
        <v>2.4533999999999998</v>
      </c>
      <c r="BK940" s="315">
        <v>2.4550999999999998</v>
      </c>
    </row>
    <row r="941" spans="1:63" x14ac:dyDescent="0.25">
      <c r="A941" s="306">
        <v>325182</v>
      </c>
      <c r="B941" s="315" t="s">
        <v>106</v>
      </c>
      <c r="C941" s="315">
        <v>2.7905000000000002</v>
      </c>
      <c r="D941" s="315">
        <v>0</v>
      </c>
      <c r="E941" s="315">
        <v>1.78</v>
      </c>
      <c r="F941" s="315">
        <v>0</v>
      </c>
      <c r="G941" s="315">
        <v>0</v>
      </c>
      <c r="H941" s="315">
        <v>0</v>
      </c>
      <c r="I941" s="315">
        <v>0</v>
      </c>
      <c r="J941" s="315">
        <v>0</v>
      </c>
      <c r="K941" s="315">
        <v>0</v>
      </c>
      <c r="L941" s="315">
        <v>0</v>
      </c>
      <c r="M941" s="315">
        <v>0</v>
      </c>
      <c r="N941" s="315">
        <v>1.8004</v>
      </c>
      <c r="O941" s="315">
        <v>0</v>
      </c>
      <c r="P941" s="315">
        <v>0</v>
      </c>
      <c r="Q941" s="315">
        <v>0</v>
      </c>
      <c r="R941" s="315">
        <v>0</v>
      </c>
      <c r="S941" s="315">
        <v>0</v>
      </c>
      <c r="T941" s="315">
        <v>1.9322999999999999</v>
      </c>
      <c r="U941" s="315">
        <v>1.8709</v>
      </c>
      <c r="V941" s="315">
        <v>2.0924999999999998</v>
      </c>
      <c r="W941" s="315">
        <v>0</v>
      </c>
      <c r="X941" s="315">
        <v>0</v>
      </c>
      <c r="Y941" s="315">
        <v>0</v>
      </c>
      <c r="Z941" s="315">
        <v>0</v>
      </c>
      <c r="AA941" s="315">
        <v>0</v>
      </c>
      <c r="AB941" s="315">
        <v>0</v>
      </c>
      <c r="AC941" s="315">
        <v>0</v>
      </c>
      <c r="AD941" s="315">
        <v>0</v>
      </c>
      <c r="AE941" s="315">
        <v>1.7072000000000001</v>
      </c>
      <c r="AF941" s="315">
        <v>0</v>
      </c>
      <c r="AG941" s="315">
        <v>0</v>
      </c>
      <c r="AH941" s="315">
        <v>0</v>
      </c>
      <c r="AI941" s="315">
        <v>0</v>
      </c>
      <c r="AJ941" s="315">
        <v>0</v>
      </c>
      <c r="AK941" s="315">
        <v>0</v>
      </c>
      <c r="AL941" s="315">
        <v>0</v>
      </c>
      <c r="AM941" s="315">
        <v>2.0217000000000001</v>
      </c>
      <c r="AN941" s="315">
        <v>2.0939999999999999</v>
      </c>
      <c r="AO941" s="315">
        <v>0</v>
      </c>
      <c r="AP941" s="315">
        <v>0</v>
      </c>
      <c r="AQ941" s="315">
        <v>0</v>
      </c>
      <c r="AR941" s="315">
        <v>0</v>
      </c>
      <c r="AS941" s="315">
        <v>0</v>
      </c>
      <c r="AT941" s="315">
        <v>0</v>
      </c>
      <c r="AU941" s="315">
        <v>2.3517000000000001</v>
      </c>
      <c r="AV941" s="315">
        <v>0</v>
      </c>
      <c r="AW941" s="315">
        <v>0</v>
      </c>
      <c r="AX941" s="315">
        <v>0</v>
      </c>
      <c r="AY941" s="315">
        <v>0</v>
      </c>
      <c r="AZ941" s="315">
        <v>0</v>
      </c>
      <c r="BA941" s="315">
        <v>1.7688999999999999</v>
      </c>
      <c r="BB941" s="315">
        <v>0</v>
      </c>
      <c r="BC941" s="315">
        <v>0</v>
      </c>
      <c r="BD941" s="315">
        <v>0</v>
      </c>
      <c r="BE941" s="315">
        <v>2.0903</v>
      </c>
      <c r="BF941" s="315">
        <v>1.9167000000000001</v>
      </c>
      <c r="BG941" s="315">
        <v>1.8914</v>
      </c>
      <c r="BH941" s="315">
        <v>1.9885999999999999</v>
      </c>
      <c r="BI941" s="315">
        <v>2.3614000000000002</v>
      </c>
      <c r="BJ941" s="315">
        <v>0</v>
      </c>
      <c r="BK941" s="315">
        <v>0</v>
      </c>
    </row>
    <row r="942" spans="1:63" x14ac:dyDescent="0.25">
      <c r="A942" s="306">
        <v>325188</v>
      </c>
      <c r="B942" s="315" t="s">
        <v>107</v>
      </c>
      <c r="C942" s="315">
        <v>3.1568000000000001</v>
      </c>
      <c r="D942" s="315">
        <v>0</v>
      </c>
      <c r="E942" s="315">
        <v>2.1255999999999999</v>
      </c>
      <c r="F942" s="315">
        <v>1.9741</v>
      </c>
      <c r="G942" s="315">
        <v>2.0617000000000001</v>
      </c>
      <c r="H942" s="315">
        <v>2.2681</v>
      </c>
      <c r="I942" s="315">
        <v>2.3098999999999998</v>
      </c>
      <c r="J942" s="315">
        <v>2.0459000000000001</v>
      </c>
      <c r="K942" s="315">
        <v>0</v>
      </c>
      <c r="L942" s="315">
        <v>1.8197000000000001</v>
      </c>
      <c r="M942" s="315">
        <v>2.0036</v>
      </c>
      <c r="N942" s="315">
        <v>2.2764000000000002</v>
      </c>
      <c r="O942" s="315">
        <v>1.7861</v>
      </c>
      <c r="P942" s="315">
        <v>1.7784</v>
      </c>
      <c r="Q942" s="315">
        <v>1.7492000000000001</v>
      </c>
      <c r="R942" s="315">
        <v>2.4220999999999999</v>
      </c>
      <c r="S942" s="315">
        <v>2.2109999999999999</v>
      </c>
      <c r="T942" s="315">
        <v>1.9386000000000001</v>
      </c>
      <c r="U942" s="315">
        <v>2.1151</v>
      </c>
      <c r="V942" s="315">
        <v>2.2238000000000002</v>
      </c>
      <c r="W942" s="315">
        <v>2.0710999999999999</v>
      </c>
      <c r="X942" s="315">
        <v>1.986</v>
      </c>
      <c r="Y942" s="315">
        <v>1.8665</v>
      </c>
      <c r="Z942" s="315">
        <v>2.2669000000000001</v>
      </c>
      <c r="AA942" s="315">
        <v>0</v>
      </c>
      <c r="AB942" s="315">
        <v>2.2412000000000001</v>
      </c>
      <c r="AC942" s="315">
        <v>1.8994</v>
      </c>
      <c r="AD942" s="315">
        <v>1.8791</v>
      </c>
      <c r="AE942" s="315">
        <v>2.1139000000000001</v>
      </c>
      <c r="AF942" s="315">
        <v>0</v>
      </c>
      <c r="AG942" s="315">
        <v>1.7444</v>
      </c>
      <c r="AH942" s="315">
        <v>0</v>
      </c>
      <c r="AI942" s="315">
        <v>2.2183999999999999</v>
      </c>
      <c r="AJ942" s="315">
        <v>1.9137999999999999</v>
      </c>
      <c r="AK942" s="315">
        <v>1.9269000000000001</v>
      </c>
      <c r="AL942" s="315">
        <v>1.9098999999999999</v>
      </c>
      <c r="AM942" s="315">
        <v>2.4224999999999999</v>
      </c>
      <c r="AN942" s="315">
        <v>2.1347999999999998</v>
      </c>
      <c r="AO942" s="315">
        <v>2.0878000000000001</v>
      </c>
      <c r="AP942" s="315">
        <v>2.4376000000000002</v>
      </c>
      <c r="AQ942" s="315">
        <v>1.8756999999999999</v>
      </c>
      <c r="AR942" s="315">
        <v>2.1513</v>
      </c>
      <c r="AS942" s="315">
        <v>0</v>
      </c>
      <c r="AT942" s="315">
        <v>2.2938000000000001</v>
      </c>
      <c r="AU942" s="315">
        <v>2.5165999999999999</v>
      </c>
      <c r="AV942" s="315">
        <v>2.3485</v>
      </c>
      <c r="AW942" s="315">
        <v>2.0457000000000001</v>
      </c>
      <c r="AX942" s="315">
        <v>0</v>
      </c>
      <c r="AY942" s="315">
        <v>2.1339999999999999</v>
      </c>
      <c r="AZ942" s="315">
        <v>2.1324000000000001</v>
      </c>
      <c r="BA942" s="315">
        <v>1.9379</v>
      </c>
      <c r="BB942" s="315">
        <v>1.7335</v>
      </c>
      <c r="BC942" s="315">
        <v>2.2069999999999999</v>
      </c>
      <c r="BD942" s="315">
        <v>2.3488000000000002</v>
      </c>
      <c r="BE942" s="315">
        <v>2.5297000000000001</v>
      </c>
      <c r="BF942" s="315">
        <v>2.2490000000000001</v>
      </c>
      <c r="BG942" s="315">
        <v>2.3767</v>
      </c>
      <c r="BH942" s="315">
        <v>2.3450000000000002</v>
      </c>
      <c r="BI942" s="315">
        <v>2.5480999999999998</v>
      </c>
      <c r="BJ942" s="315">
        <v>2.363</v>
      </c>
      <c r="BK942" s="315">
        <v>2.3306</v>
      </c>
    </row>
    <row r="943" spans="1:63" x14ac:dyDescent="0.25">
      <c r="A943" s="306">
        <v>325190</v>
      </c>
      <c r="B943" s="315" t="s">
        <v>108</v>
      </c>
      <c r="C943" s="315">
        <v>3.4350000000000001</v>
      </c>
      <c r="D943" s="315">
        <v>0</v>
      </c>
      <c r="E943" s="315">
        <v>2.3130999999999999</v>
      </c>
      <c r="F943" s="315">
        <v>2.1116999999999999</v>
      </c>
      <c r="G943" s="315">
        <v>1.732</v>
      </c>
      <c r="H943" s="315">
        <v>2.2332999999999998</v>
      </c>
      <c r="I943" s="315">
        <v>2.1448</v>
      </c>
      <c r="J943" s="315">
        <v>2.0093000000000001</v>
      </c>
      <c r="K943" s="315">
        <v>0</v>
      </c>
      <c r="L943" s="315">
        <v>2.1193</v>
      </c>
      <c r="M943" s="315">
        <v>1.7698</v>
      </c>
      <c r="N943" s="315">
        <v>2.1642000000000001</v>
      </c>
      <c r="O943" s="315">
        <v>0</v>
      </c>
      <c r="P943" s="315">
        <v>1.7436</v>
      </c>
      <c r="Q943" s="315">
        <v>1.607</v>
      </c>
      <c r="R943" s="315">
        <v>2.5249999999999999</v>
      </c>
      <c r="S943" s="315">
        <v>2.3140999999999998</v>
      </c>
      <c r="T943" s="315">
        <v>2.1063000000000001</v>
      </c>
      <c r="U943" s="315">
        <v>2.2435</v>
      </c>
      <c r="V943" s="315">
        <v>2.4893999999999998</v>
      </c>
      <c r="W943" s="315">
        <v>1.9458</v>
      </c>
      <c r="X943" s="315">
        <v>1.7042999999999999</v>
      </c>
      <c r="Y943" s="315">
        <v>1.6482000000000001</v>
      </c>
      <c r="Z943" s="315">
        <v>2.0800999999999998</v>
      </c>
      <c r="AA943" s="315">
        <v>2.1779000000000002</v>
      </c>
      <c r="AB943" s="315">
        <v>2.3574999999999999</v>
      </c>
      <c r="AC943" s="315">
        <v>1.9883999999999999</v>
      </c>
      <c r="AD943" s="315">
        <v>1.9339</v>
      </c>
      <c r="AE943" s="315">
        <v>2.0716000000000001</v>
      </c>
      <c r="AF943" s="315">
        <v>1.8232999999999999</v>
      </c>
      <c r="AG943" s="315">
        <v>1.7472000000000001</v>
      </c>
      <c r="AH943" s="315">
        <v>0</v>
      </c>
      <c r="AI943" s="315">
        <v>2.4699</v>
      </c>
      <c r="AJ943" s="315">
        <v>1.7936000000000001</v>
      </c>
      <c r="AK943" s="315">
        <v>1.6682999999999999</v>
      </c>
      <c r="AL943" s="315">
        <v>1.7334000000000001</v>
      </c>
      <c r="AM943" s="315">
        <v>2.5209999999999999</v>
      </c>
      <c r="AN943" s="315">
        <v>2.0184000000000002</v>
      </c>
      <c r="AO943" s="315">
        <v>1.946</v>
      </c>
      <c r="AP943" s="315">
        <v>2.4144000000000001</v>
      </c>
      <c r="AQ943" s="315">
        <v>1.7463</v>
      </c>
      <c r="AR943" s="315">
        <v>2.1981000000000002</v>
      </c>
      <c r="AS943" s="315">
        <v>1.6046</v>
      </c>
      <c r="AT943" s="315">
        <v>2.0929000000000002</v>
      </c>
      <c r="AU943" s="315">
        <v>2.8226</v>
      </c>
      <c r="AV943" s="315">
        <v>0</v>
      </c>
      <c r="AW943" s="315">
        <v>2.0266000000000002</v>
      </c>
      <c r="AX943" s="315">
        <v>0</v>
      </c>
      <c r="AY943" s="315">
        <v>2.0219</v>
      </c>
      <c r="AZ943" s="315">
        <v>2.052</v>
      </c>
      <c r="BA943" s="315">
        <v>2.1636000000000002</v>
      </c>
      <c r="BB943" s="315">
        <v>1.7912999999999999</v>
      </c>
      <c r="BC943" s="315">
        <v>2.0655999999999999</v>
      </c>
      <c r="BD943" s="315">
        <v>2.331</v>
      </c>
      <c r="BE943" s="315">
        <v>2.581</v>
      </c>
      <c r="BF943" s="315">
        <v>2.2608000000000001</v>
      </c>
      <c r="BG943" s="315">
        <v>2.2559999999999998</v>
      </c>
      <c r="BH943" s="315">
        <v>2.5045000000000002</v>
      </c>
      <c r="BI943" s="315">
        <v>2.859</v>
      </c>
      <c r="BJ943" s="315">
        <v>2.1707000000000001</v>
      </c>
      <c r="BK943" s="315">
        <v>2.2629000000000001</v>
      </c>
    </row>
    <row r="944" spans="1:63" x14ac:dyDescent="0.25">
      <c r="A944" s="306">
        <v>325211</v>
      </c>
      <c r="B944" s="315" t="s">
        <v>2</v>
      </c>
      <c r="C944" s="315">
        <v>3.4196</v>
      </c>
      <c r="D944" s="315">
        <v>1.5185</v>
      </c>
      <c r="E944" s="315">
        <v>2.3348</v>
      </c>
      <c r="F944" s="315">
        <v>2.1181999999999999</v>
      </c>
      <c r="G944" s="315">
        <v>1.6258999999999999</v>
      </c>
      <c r="H944" s="315">
        <v>2.0831</v>
      </c>
      <c r="I944" s="315">
        <v>2.0152000000000001</v>
      </c>
      <c r="J944" s="315">
        <v>2.0842999999999998</v>
      </c>
      <c r="K944" s="315">
        <v>0</v>
      </c>
      <c r="L944" s="315">
        <v>2.2326999999999999</v>
      </c>
      <c r="M944" s="315">
        <v>1.7184999999999999</v>
      </c>
      <c r="N944" s="315">
        <v>2.1802999999999999</v>
      </c>
      <c r="O944" s="315">
        <v>0</v>
      </c>
      <c r="P944" s="315">
        <v>1.7984</v>
      </c>
      <c r="Q944" s="315">
        <v>1.5411999999999999</v>
      </c>
      <c r="R944" s="315">
        <v>2.5876999999999999</v>
      </c>
      <c r="S944" s="315">
        <v>2.3435999999999999</v>
      </c>
      <c r="T944" s="315">
        <v>2.0529000000000002</v>
      </c>
      <c r="U944" s="315">
        <v>2.2713000000000001</v>
      </c>
      <c r="V944" s="315">
        <v>2.4712999999999998</v>
      </c>
      <c r="W944" s="315">
        <v>1.9655</v>
      </c>
      <c r="X944" s="315">
        <v>1.6563000000000001</v>
      </c>
      <c r="Y944" s="315">
        <v>1.5908</v>
      </c>
      <c r="Z944" s="315">
        <v>2.0486</v>
      </c>
      <c r="AA944" s="315">
        <v>2.1673</v>
      </c>
      <c r="AB944" s="315">
        <v>2.4186999999999999</v>
      </c>
      <c r="AC944" s="315">
        <v>1.9325000000000001</v>
      </c>
      <c r="AD944" s="315">
        <v>1.8591</v>
      </c>
      <c r="AE944" s="315">
        <v>2.1143999999999998</v>
      </c>
      <c r="AF944" s="315">
        <v>0</v>
      </c>
      <c r="AG944" s="315">
        <v>1.7895000000000001</v>
      </c>
      <c r="AH944" s="315">
        <v>1.6505000000000001</v>
      </c>
      <c r="AI944" s="315">
        <v>2.5223</v>
      </c>
      <c r="AJ944" s="315">
        <v>1.6577999999999999</v>
      </c>
      <c r="AK944" s="315">
        <v>1.5933999999999999</v>
      </c>
      <c r="AL944" s="315">
        <v>1.7181</v>
      </c>
      <c r="AM944" s="315">
        <v>2.5937999999999999</v>
      </c>
      <c r="AN944" s="315">
        <v>1.8141</v>
      </c>
      <c r="AO944" s="315">
        <v>1.8967000000000001</v>
      </c>
      <c r="AP944" s="315">
        <v>2.367</v>
      </c>
      <c r="AQ944" s="315">
        <v>1.7609999999999999</v>
      </c>
      <c r="AR944" s="315">
        <v>2.2621000000000002</v>
      </c>
      <c r="AS944" s="315">
        <v>1.6285000000000001</v>
      </c>
      <c r="AT944" s="315">
        <v>2.0524</v>
      </c>
      <c r="AU944" s="315">
        <v>2.7801</v>
      </c>
      <c r="AV944" s="315">
        <v>1.9863999999999999</v>
      </c>
      <c r="AW944" s="315">
        <v>2.0760000000000001</v>
      </c>
      <c r="AX944" s="315">
        <v>1.4048</v>
      </c>
      <c r="AY944" s="315">
        <v>1.9169</v>
      </c>
      <c r="AZ944" s="315">
        <v>2.0973000000000002</v>
      </c>
      <c r="BA944" s="315">
        <v>2.1816</v>
      </c>
      <c r="BB944" s="315">
        <v>0</v>
      </c>
      <c r="BC944" s="315">
        <v>2.0905</v>
      </c>
      <c r="BD944" s="315">
        <v>2.3668</v>
      </c>
      <c r="BE944" s="315">
        <v>2.6472000000000002</v>
      </c>
      <c r="BF944" s="315">
        <v>2.2709999999999999</v>
      </c>
      <c r="BG944" s="315">
        <v>2.2844000000000002</v>
      </c>
      <c r="BH944" s="315">
        <v>2.5247999999999999</v>
      </c>
      <c r="BI944" s="315">
        <v>2.8060999999999998</v>
      </c>
      <c r="BJ944" s="315">
        <v>2.0007999999999999</v>
      </c>
      <c r="BK944" s="315">
        <v>2.1061000000000001</v>
      </c>
    </row>
    <row r="945" spans="1:63" x14ac:dyDescent="0.25">
      <c r="A945" s="306">
        <v>325212</v>
      </c>
      <c r="B945" s="315" t="s">
        <v>109</v>
      </c>
      <c r="C945" s="315">
        <v>3.2704</v>
      </c>
      <c r="D945" s="315">
        <v>0</v>
      </c>
      <c r="E945" s="315">
        <v>2.1791</v>
      </c>
      <c r="F945" s="315">
        <v>0</v>
      </c>
      <c r="G945" s="315">
        <v>1.6898</v>
      </c>
      <c r="H945" s="315">
        <v>2.1492</v>
      </c>
      <c r="I945" s="315">
        <v>0</v>
      </c>
      <c r="J945" s="315">
        <v>2.0019</v>
      </c>
      <c r="K945" s="315">
        <v>0</v>
      </c>
      <c r="L945" s="315">
        <v>2.1042999999999998</v>
      </c>
      <c r="M945" s="315">
        <v>1.7402</v>
      </c>
      <c r="N945" s="315">
        <v>2.1135000000000002</v>
      </c>
      <c r="O945" s="315">
        <v>0</v>
      </c>
      <c r="P945" s="315">
        <v>0</v>
      </c>
      <c r="Q945" s="315">
        <v>0</v>
      </c>
      <c r="R945" s="315">
        <v>2.4312</v>
      </c>
      <c r="S945" s="315">
        <v>2.1463999999999999</v>
      </c>
      <c r="T945" s="315">
        <v>0</v>
      </c>
      <c r="U945" s="315">
        <v>2.1053000000000002</v>
      </c>
      <c r="V945" s="315">
        <v>2.3834</v>
      </c>
      <c r="W945" s="315">
        <v>1.9623999999999999</v>
      </c>
      <c r="X945" s="315">
        <v>1.7007000000000001</v>
      </c>
      <c r="Y945" s="315">
        <v>1.6152</v>
      </c>
      <c r="Z945" s="315">
        <v>2.0445000000000002</v>
      </c>
      <c r="AA945" s="315">
        <v>2.0983999999999998</v>
      </c>
      <c r="AB945" s="315">
        <v>0</v>
      </c>
      <c r="AC945" s="315">
        <v>1.9096</v>
      </c>
      <c r="AD945" s="315">
        <v>0</v>
      </c>
      <c r="AE945" s="315">
        <v>2.0495000000000001</v>
      </c>
      <c r="AF945" s="315">
        <v>0</v>
      </c>
      <c r="AG945" s="315">
        <v>0</v>
      </c>
      <c r="AH945" s="315">
        <v>1.6798999999999999</v>
      </c>
      <c r="AI945" s="315">
        <v>2.4500999999999999</v>
      </c>
      <c r="AJ945" s="315">
        <v>1.6971000000000001</v>
      </c>
      <c r="AK945" s="315">
        <v>0</v>
      </c>
      <c r="AL945" s="315">
        <v>1.7616000000000001</v>
      </c>
      <c r="AM945" s="315">
        <v>2.4138999999999999</v>
      </c>
      <c r="AN945" s="315">
        <v>1.8629</v>
      </c>
      <c r="AO945" s="315">
        <v>1.8684000000000001</v>
      </c>
      <c r="AP945" s="315">
        <v>2.3635000000000002</v>
      </c>
      <c r="AQ945" s="315">
        <v>1.7539</v>
      </c>
      <c r="AR945" s="315">
        <v>2.1030000000000002</v>
      </c>
      <c r="AS945" s="315">
        <v>0</v>
      </c>
      <c r="AT945" s="315">
        <v>2.0306999999999999</v>
      </c>
      <c r="AU945" s="315">
        <v>2.6722999999999999</v>
      </c>
      <c r="AV945" s="315">
        <v>2.0705</v>
      </c>
      <c r="AW945" s="315">
        <v>2.0184000000000002</v>
      </c>
      <c r="AX945" s="315">
        <v>0</v>
      </c>
      <c r="AY945" s="315">
        <v>1.9650000000000001</v>
      </c>
      <c r="AZ945" s="315">
        <v>1.9698</v>
      </c>
      <c r="BA945" s="315">
        <v>0</v>
      </c>
      <c r="BB945" s="315">
        <v>0</v>
      </c>
      <c r="BC945" s="315">
        <v>2.0686</v>
      </c>
      <c r="BD945" s="315">
        <v>2.3029000000000002</v>
      </c>
      <c r="BE945" s="315">
        <v>2.4552</v>
      </c>
      <c r="BF945" s="315">
        <v>2.1408999999999998</v>
      </c>
      <c r="BG945" s="315">
        <v>2.2317999999999998</v>
      </c>
      <c r="BH945" s="315">
        <v>2.3523999999999998</v>
      </c>
      <c r="BI945" s="315">
        <v>2.6920000000000002</v>
      </c>
      <c r="BJ945" s="315">
        <v>2.0590000000000002</v>
      </c>
      <c r="BK945" s="315">
        <v>2.1711</v>
      </c>
    </row>
    <row r="946" spans="1:63" x14ac:dyDescent="0.25">
      <c r="A946" s="306">
        <v>325220</v>
      </c>
      <c r="B946" s="315" t="s">
        <v>110</v>
      </c>
      <c r="C946" s="315">
        <v>3.4049</v>
      </c>
      <c r="D946" s="315">
        <v>0</v>
      </c>
      <c r="E946" s="315">
        <v>2.3458999999999999</v>
      </c>
      <c r="F946" s="315">
        <v>2.0735000000000001</v>
      </c>
      <c r="G946" s="315">
        <v>1.7385999999999999</v>
      </c>
      <c r="H946" s="315">
        <v>2.1212</v>
      </c>
      <c r="I946" s="315">
        <v>2.0739999999999998</v>
      </c>
      <c r="J946" s="315">
        <v>2.2170999999999998</v>
      </c>
      <c r="K946" s="315">
        <v>0</v>
      </c>
      <c r="L946" s="315">
        <v>2.2238000000000002</v>
      </c>
      <c r="M946" s="315">
        <v>1.8063</v>
      </c>
      <c r="N946" s="315">
        <v>2.2808999999999999</v>
      </c>
      <c r="O946" s="315">
        <v>1.6525000000000001</v>
      </c>
      <c r="P946" s="315">
        <v>1.8156000000000001</v>
      </c>
      <c r="Q946" s="315">
        <v>0</v>
      </c>
      <c r="R946" s="315">
        <v>2.6404000000000001</v>
      </c>
      <c r="S946" s="315">
        <v>0</v>
      </c>
      <c r="T946" s="315">
        <v>1.9155</v>
      </c>
      <c r="U946" s="315">
        <v>0</v>
      </c>
      <c r="V946" s="315">
        <v>0</v>
      </c>
      <c r="W946" s="315">
        <v>2.2113</v>
      </c>
      <c r="X946" s="315">
        <v>1.7589999999999999</v>
      </c>
      <c r="Y946" s="315">
        <v>0</v>
      </c>
      <c r="Z946" s="315">
        <v>2.2805</v>
      </c>
      <c r="AA946" s="315">
        <v>0</v>
      </c>
      <c r="AB946" s="315">
        <v>0</v>
      </c>
      <c r="AC946" s="315">
        <v>1.9656</v>
      </c>
      <c r="AD946" s="315">
        <v>0</v>
      </c>
      <c r="AE946" s="315">
        <v>2.2189999999999999</v>
      </c>
      <c r="AF946" s="315">
        <v>0</v>
      </c>
      <c r="AG946" s="315">
        <v>0</v>
      </c>
      <c r="AH946" s="315">
        <v>1.7763</v>
      </c>
      <c r="AI946" s="315">
        <v>2.4516</v>
      </c>
      <c r="AJ946" s="315">
        <v>1.6061000000000001</v>
      </c>
      <c r="AK946" s="315">
        <v>0</v>
      </c>
      <c r="AL946" s="315">
        <v>1.847</v>
      </c>
      <c r="AM946" s="315">
        <v>2.6394000000000002</v>
      </c>
      <c r="AN946" s="315">
        <v>0</v>
      </c>
      <c r="AO946" s="315">
        <v>1.9995000000000001</v>
      </c>
      <c r="AP946" s="315">
        <v>2.5070999999999999</v>
      </c>
      <c r="AQ946" s="315">
        <v>0</v>
      </c>
      <c r="AR946" s="315">
        <v>2.3102999999999998</v>
      </c>
      <c r="AS946" s="315">
        <v>0</v>
      </c>
      <c r="AT946" s="315">
        <v>2.2282000000000002</v>
      </c>
      <c r="AU946" s="315">
        <v>2.6932999999999998</v>
      </c>
      <c r="AV946" s="315">
        <v>2.0335000000000001</v>
      </c>
      <c r="AW946" s="315">
        <v>2.1673</v>
      </c>
      <c r="AX946" s="315">
        <v>1.4535</v>
      </c>
      <c r="AY946" s="315">
        <v>0</v>
      </c>
      <c r="AZ946" s="315">
        <v>0</v>
      </c>
      <c r="BA946" s="315">
        <v>0</v>
      </c>
      <c r="BB946" s="315">
        <v>0</v>
      </c>
      <c r="BC946" s="315">
        <v>2.3279000000000001</v>
      </c>
      <c r="BD946" s="315">
        <v>2.4422999999999999</v>
      </c>
      <c r="BE946" s="315">
        <v>2.72</v>
      </c>
      <c r="BF946" s="315">
        <v>2.2564000000000002</v>
      </c>
      <c r="BG946" s="315">
        <v>2.4367999999999999</v>
      </c>
      <c r="BH946" s="315">
        <v>2.5087999999999999</v>
      </c>
      <c r="BI946" s="315">
        <v>2.7280000000000002</v>
      </c>
      <c r="BJ946" s="315">
        <v>2.0116999999999998</v>
      </c>
      <c r="BK946" s="315">
        <v>2.1475</v>
      </c>
    </row>
    <row r="947" spans="1:63" x14ac:dyDescent="0.25">
      <c r="A947" s="306">
        <v>325310</v>
      </c>
      <c r="B947" s="315" t="s">
        <v>111</v>
      </c>
      <c r="C947" s="315">
        <v>3.3872</v>
      </c>
      <c r="D947" s="315">
        <v>2.1760999999999999</v>
      </c>
      <c r="E947" s="315">
        <v>2.3512</v>
      </c>
      <c r="F947" s="315">
        <v>2.2847</v>
      </c>
      <c r="G947" s="315">
        <v>2.0731999999999999</v>
      </c>
      <c r="H947" s="315">
        <v>2.3875000000000002</v>
      </c>
      <c r="I947" s="315">
        <v>2.4176000000000002</v>
      </c>
      <c r="J947" s="315">
        <v>1.9039999999999999</v>
      </c>
      <c r="K947" s="315">
        <v>1.2145999999999999</v>
      </c>
      <c r="L947" s="315">
        <v>1.7842</v>
      </c>
      <c r="M947" s="315">
        <v>2.0802</v>
      </c>
      <c r="N947" s="315">
        <v>2.3172999999999999</v>
      </c>
      <c r="O947" s="315">
        <v>1.8599000000000001</v>
      </c>
      <c r="P947" s="315">
        <v>1.859</v>
      </c>
      <c r="Q947" s="315">
        <v>2.0573999999999999</v>
      </c>
      <c r="R947" s="315">
        <v>2.3633999999999999</v>
      </c>
      <c r="S947" s="315">
        <v>2.1859999999999999</v>
      </c>
      <c r="T947" s="315">
        <v>2.2389999999999999</v>
      </c>
      <c r="U947" s="315">
        <v>2.0560999999999998</v>
      </c>
      <c r="V947" s="315">
        <v>2.4756</v>
      </c>
      <c r="W947" s="315">
        <v>1.9512</v>
      </c>
      <c r="X947" s="315">
        <v>1.8236000000000001</v>
      </c>
      <c r="Y947" s="315">
        <v>1.9212</v>
      </c>
      <c r="Z947" s="315">
        <v>2.1492</v>
      </c>
      <c r="AA947" s="315">
        <v>2.0053999999999998</v>
      </c>
      <c r="AB947" s="315">
        <v>2.4155000000000002</v>
      </c>
      <c r="AC947" s="315">
        <v>2.0682</v>
      </c>
      <c r="AD947" s="315">
        <v>2.1362000000000001</v>
      </c>
      <c r="AE947" s="315">
        <v>2.2826</v>
      </c>
      <c r="AF947" s="315">
        <v>0</v>
      </c>
      <c r="AG947" s="315">
        <v>1.9859</v>
      </c>
      <c r="AH947" s="315">
        <v>0</v>
      </c>
      <c r="AI947" s="315">
        <v>2.3580000000000001</v>
      </c>
      <c r="AJ947" s="315">
        <v>2.0535999999999999</v>
      </c>
      <c r="AK947" s="315">
        <v>1.9914000000000001</v>
      </c>
      <c r="AL947" s="315">
        <v>1.8103</v>
      </c>
      <c r="AM947" s="315">
        <v>2.6177000000000001</v>
      </c>
      <c r="AN947" s="315">
        <v>2.5053000000000001</v>
      </c>
      <c r="AO947" s="315">
        <v>2.3115000000000001</v>
      </c>
      <c r="AP947" s="315">
        <v>2.4415</v>
      </c>
      <c r="AQ947" s="315">
        <v>0</v>
      </c>
      <c r="AR947" s="315">
        <v>2.1069</v>
      </c>
      <c r="AS947" s="315">
        <v>1.7951999999999999</v>
      </c>
      <c r="AT947" s="315">
        <v>2.0630000000000002</v>
      </c>
      <c r="AU947" s="315">
        <v>2.6890000000000001</v>
      </c>
      <c r="AV947" s="315">
        <v>2.4952999999999999</v>
      </c>
      <c r="AW947" s="315">
        <v>2.0001000000000002</v>
      </c>
      <c r="AX947" s="315">
        <v>1.7675000000000001</v>
      </c>
      <c r="AY947" s="315">
        <v>2.0945999999999998</v>
      </c>
      <c r="AZ947" s="315">
        <v>2.1960999999999999</v>
      </c>
      <c r="BA947" s="315">
        <v>2.0402</v>
      </c>
      <c r="BB947" s="315">
        <v>2.1008</v>
      </c>
      <c r="BC947" s="315">
        <v>2.0617000000000001</v>
      </c>
      <c r="BD947" s="315">
        <v>2.2585000000000002</v>
      </c>
      <c r="BE947" s="315">
        <v>2.6341000000000001</v>
      </c>
      <c r="BF947" s="315">
        <v>2.3803999999999998</v>
      </c>
      <c r="BG947" s="315">
        <v>2.4807000000000001</v>
      </c>
      <c r="BH947" s="315">
        <v>2.3862999999999999</v>
      </c>
      <c r="BI947" s="315">
        <v>2.8757999999999999</v>
      </c>
      <c r="BJ947" s="315">
        <v>2.6915</v>
      </c>
      <c r="BK947" s="315">
        <v>2.4550999999999998</v>
      </c>
    </row>
    <row r="948" spans="1:63" x14ac:dyDescent="0.25">
      <c r="A948" s="306">
        <v>325320</v>
      </c>
      <c r="B948" s="315" t="s">
        <v>112</v>
      </c>
      <c r="C948" s="315">
        <v>2.7374000000000001</v>
      </c>
      <c r="D948" s="315">
        <v>0</v>
      </c>
      <c r="E948" s="315">
        <v>1.9191</v>
      </c>
      <c r="F948" s="315">
        <v>1.8536999999999999</v>
      </c>
      <c r="G948" s="315">
        <v>1.5803</v>
      </c>
      <c r="H948" s="315">
        <v>1.8903000000000001</v>
      </c>
      <c r="I948" s="315">
        <v>1.8826000000000001</v>
      </c>
      <c r="J948" s="315">
        <v>1.9164000000000001</v>
      </c>
      <c r="K948" s="315">
        <v>0</v>
      </c>
      <c r="L948" s="315">
        <v>0</v>
      </c>
      <c r="M948" s="315">
        <v>1.6436999999999999</v>
      </c>
      <c r="N948" s="315">
        <v>2.0068000000000001</v>
      </c>
      <c r="O948" s="315">
        <v>0</v>
      </c>
      <c r="P948" s="315">
        <v>1.6265000000000001</v>
      </c>
      <c r="Q948" s="315">
        <v>1.5027999999999999</v>
      </c>
      <c r="R948" s="315">
        <v>2.2608999999999999</v>
      </c>
      <c r="S948" s="315">
        <v>1.9856</v>
      </c>
      <c r="T948" s="315">
        <v>1.7692000000000001</v>
      </c>
      <c r="U948" s="315">
        <v>1.9355</v>
      </c>
      <c r="V948" s="315">
        <v>1.9515</v>
      </c>
      <c r="W948" s="315">
        <v>1.85</v>
      </c>
      <c r="X948" s="315">
        <v>1.6282000000000001</v>
      </c>
      <c r="Y948" s="315">
        <v>1.5713999999999999</v>
      </c>
      <c r="Z948" s="315">
        <v>1.9054</v>
      </c>
      <c r="AA948" s="315">
        <v>1.9494</v>
      </c>
      <c r="AB948" s="315">
        <v>2.1234000000000002</v>
      </c>
      <c r="AC948" s="315">
        <v>1.6088</v>
      </c>
      <c r="AD948" s="315">
        <v>1.5807</v>
      </c>
      <c r="AE948" s="315">
        <v>1.9490000000000001</v>
      </c>
      <c r="AF948" s="315">
        <v>1.5509999999999999</v>
      </c>
      <c r="AG948" s="315">
        <v>1.6575</v>
      </c>
      <c r="AH948" s="315">
        <v>0</v>
      </c>
      <c r="AI948" s="315">
        <v>2.1507000000000001</v>
      </c>
      <c r="AJ948" s="315">
        <v>1.4617</v>
      </c>
      <c r="AK948" s="315">
        <v>0</v>
      </c>
      <c r="AL948" s="315">
        <v>1.6697</v>
      </c>
      <c r="AM948" s="315">
        <v>2.2107000000000001</v>
      </c>
      <c r="AN948" s="315">
        <v>1.569</v>
      </c>
      <c r="AO948" s="315">
        <v>1.7981</v>
      </c>
      <c r="AP948" s="315">
        <v>2.0407000000000002</v>
      </c>
      <c r="AQ948" s="315">
        <v>0</v>
      </c>
      <c r="AR948" s="315">
        <v>1.9029</v>
      </c>
      <c r="AS948" s="315">
        <v>0</v>
      </c>
      <c r="AT948" s="315">
        <v>1.8460000000000001</v>
      </c>
      <c r="AU948" s="315">
        <v>2.1757</v>
      </c>
      <c r="AV948" s="315">
        <v>1.8312999999999999</v>
      </c>
      <c r="AW948" s="315">
        <v>1.9391</v>
      </c>
      <c r="AX948" s="315">
        <v>0</v>
      </c>
      <c r="AY948" s="315">
        <v>1.7338</v>
      </c>
      <c r="AZ948" s="315">
        <v>1.9481999999999999</v>
      </c>
      <c r="BA948" s="315">
        <v>1.7642</v>
      </c>
      <c r="BB948" s="315">
        <v>0</v>
      </c>
      <c r="BC948" s="315">
        <v>1.9537</v>
      </c>
      <c r="BD948" s="315">
        <v>2.1278000000000001</v>
      </c>
      <c r="BE948" s="315">
        <v>2.3071999999999999</v>
      </c>
      <c r="BF948" s="315">
        <v>2.0335999999999999</v>
      </c>
      <c r="BG948" s="315">
        <v>2.0840999999999998</v>
      </c>
      <c r="BH948" s="315">
        <v>2.0853000000000002</v>
      </c>
      <c r="BI948" s="315">
        <v>2.1976</v>
      </c>
      <c r="BJ948" s="315">
        <v>1.8284</v>
      </c>
      <c r="BK948" s="315">
        <v>1.901</v>
      </c>
    </row>
    <row r="949" spans="1:63" x14ac:dyDescent="0.25">
      <c r="A949" s="306">
        <v>325411</v>
      </c>
      <c r="B949" s="315" t="s">
        <v>113</v>
      </c>
      <c r="C949" s="315">
        <v>2.5480999999999998</v>
      </c>
      <c r="D949" s="315">
        <v>0</v>
      </c>
      <c r="E949" s="315">
        <v>1.5972999999999999</v>
      </c>
      <c r="F949" s="315">
        <v>1.5223</v>
      </c>
      <c r="G949" s="315">
        <v>1.5378000000000001</v>
      </c>
      <c r="H949" s="315">
        <v>1.9597</v>
      </c>
      <c r="I949" s="315">
        <v>2.0236000000000001</v>
      </c>
      <c r="J949" s="315">
        <v>1.8848</v>
      </c>
      <c r="K949" s="315">
        <v>0</v>
      </c>
      <c r="L949" s="315">
        <v>0</v>
      </c>
      <c r="M949" s="315">
        <v>1.5588</v>
      </c>
      <c r="N949" s="315">
        <v>1.7809999999999999</v>
      </c>
      <c r="O949" s="315">
        <v>0</v>
      </c>
      <c r="P949" s="315">
        <v>1.6621999999999999</v>
      </c>
      <c r="Q949" s="315">
        <v>1.5347</v>
      </c>
      <c r="R949" s="315">
        <v>1.9650000000000001</v>
      </c>
      <c r="S949" s="315">
        <v>1.6112</v>
      </c>
      <c r="T949" s="315">
        <v>1.4964</v>
      </c>
      <c r="U949" s="315">
        <v>1.7591000000000001</v>
      </c>
      <c r="V949" s="315">
        <v>1.5102</v>
      </c>
      <c r="W949" s="315">
        <v>2.0282</v>
      </c>
      <c r="X949" s="315">
        <v>1.7163999999999999</v>
      </c>
      <c r="Y949" s="315">
        <v>1.8633</v>
      </c>
      <c r="Z949" s="315">
        <v>1.8575999999999999</v>
      </c>
      <c r="AA949" s="315">
        <v>1.679</v>
      </c>
      <c r="AB949" s="315">
        <v>2.0989</v>
      </c>
      <c r="AC949" s="315">
        <v>1.4132</v>
      </c>
      <c r="AD949" s="315">
        <v>1.5187999999999999</v>
      </c>
      <c r="AE949" s="315">
        <v>1.8895999999999999</v>
      </c>
      <c r="AF949" s="315">
        <v>0</v>
      </c>
      <c r="AG949" s="315">
        <v>1.5243</v>
      </c>
      <c r="AH949" s="315">
        <v>1.6612</v>
      </c>
      <c r="AI949" s="315">
        <v>2.165</v>
      </c>
      <c r="AJ949" s="315">
        <v>1.4322999999999999</v>
      </c>
      <c r="AK949" s="315">
        <v>1.5136000000000001</v>
      </c>
      <c r="AL949" s="315">
        <v>1.6095999999999999</v>
      </c>
      <c r="AM949" s="315">
        <v>1.7467999999999999</v>
      </c>
      <c r="AN949" s="315">
        <v>0</v>
      </c>
      <c r="AO949" s="315">
        <v>1.6358999999999999</v>
      </c>
      <c r="AP949" s="315">
        <v>1.9422999999999999</v>
      </c>
      <c r="AQ949" s="315">
        <v>0</v>
      </c>
      <c r="AR949" s="315">
        <v>1.5906</v>
      </c>
      <c r="AS949" s="315">
        <v>0</v>
      </c>
      <c r="AT949" s="315">
        <v>1.6216999999999999</v>
      </c>
      <c r="AU949" s="315">
        <v>1.7566999999999999</v>
      </c>
      <c r="AV949" s="315">
        <v>1.9595</v>
      </c>
      <c r="AW949" s="315">
        <v>1.9061999999999999</v>
      </c>
      <c r="AX949" s="315">
        <v>0</v>
      </c>
      <c r="AY949" s="315">
        <v>1.7444999999999999</v>
      </c>
      <c r="AZ949" s="315">
        <v>1.8194999999999999</v>
      </c>
      <c r="BA949" s="315">
        <v>1.6262000000000001</v>
      </c>
      <c r="BB949" s="315">
        <v>1.3432999999999999</v>
      </c>
      <c r="BC949" s="315">
        <v>2.1421000000000001</v>
      </c>
      <c r="BD949" s="315">
        <v>2.2081</v>
      </c>
      <c r="BE949" s="315">
        <v>1.9605999999999999</v>
      </c>
      <c r="BF949" s="315">
        <v>1.9515</v>
      </c>
      <c r="BG949" s="315">
        <v>2.0116999999999998</v>
      </c>
      <c r="BH949" s="315">
        <v>1.7577</v>
      </c>
      <c r="BI949" s="315">
        <v>1.7414000000000001</v>
      </c>
      <c r="BJ949" s="315">
        <v>1.8591</v>
      </c>
      <c r="BK949" s="315">
        <v>1.9408000000000001</v>
      </c>
    </row>
    <row r="950" spans="1:63" x14ac:dyDescent="0.25">
      <c r="A950" s="306">
        <v>325412</v>
      </c>
      <c r="B950" s="315" t="s">
        <v>114</v>
      </c>
      <c r="C950" s="315">
        <v>2.4468999999999999</v>
      </c>
      <c r="D950" s="315">
        <v>0</v>
      </c>
      <c r="E950" s="315">
        <v>1.5755999999999999</v>
      </c>
      <c r="F950" s="315">
        <v>1.5592999999999999</v>
      </c>
      <c r="G950" s="315">
        <v>1.5366</v>
      </c>
      <c r="H950" s="315">
        <v>1.9089</v>
      </c>
      <c r="I950" s="315">
        <v>1.9684999999999999</v>
      </c>
      <c r="J950" s="315">
        <v>1.8795999999999999</v>
      </c>
      <c r="K950" s="315">
        <v>1.1902999999999999</v>
      </c>
      <c r="L950" s="315">
        <v>1.623</v>
      </c>
      <c r="M950" s="315">
        <v>1.5887</v>
      </c>
      <c r="N950" s="315">
        <v>1.8169999999999999</v>
      </c>
      <c r="O950" s="315">
        <v>1.5142</v>
      </c>
      <c r="P950" s="315">
        <v>1.5391999999999999</v>
      </c>
      <c r="Q950" s="315">
        <v>1.5117</v>
      </c>
      <c r="R950" s="315">
        <v>1.9990000000000001</v>
      </c>
      <c r="S950" s="315">
        <v>1.6484000000000001</v>
      </c>
      <c r="T950" s="315">
        <v>1.5024</v>
      </c>
      <c r="U950" s="315">
        <v>1.7149000000000001</v>
      </c>
      <c r="V950" s="315">
        <v>1.5357000000000001</v>
      </c>
      <c r="W950" s="315">
        <v>1.9453</v>
      </c>
      <c r="X950" s="315">
        <v>1.6476999999999999</v>
      </c>
      <c r="Y950" s="315">
        <v>1.7443</v>
      </c>
      <c r="Z950" s="315">
        <v>1.8561000000000001</v>
      </c>
      <c r="AA950" s="315">
        <v>1.7263999999999999</v>
      </c>
      <c r="AB950" s="315">
        <v>1.9885999999999999</v>
      </c>
      <c r="AC950" s="315">
        <v>1.4189000000000001</v>
      </c>
      <c r="AD950" s="315">
        <v>1.4254</v>
      </c>
      <c r="AE950" s="315">
        <v>1.8456999999999999</v>
      </c>
      <c r="AF950" s="315">
        <v>0</v>
      </c>
      <c r="AG950" s="315">
        <v>1.5031000000000001</v>
      </c>
      <c r="AH950" s="315">
        <v>1.6112</v>
      </c>
      <c r="AI950" s="315">
        <v>2.0649000000000002</v>
      </c>
      <c r="AJ950" s="315">
        <v>1.4142999999999999</v>
      </c>
      <c r="AK950" s="315">
        <v>1.5521</v>
      </c>
      <c r="AL950" s="315">
        <v>1.6617</v>
      </c>
      <c r="AM950" s="315">
        <v>1.8126</v>
      </c>
      <c r="AN950" s="315">
        <v>1.4587000000000001</v>
      </c>
      <c r="AO950" s="315">
        <v>1.6488</v>
      </c>
      <c r="AP950" s="315">
        <v>1.9212</v>
      </c>
      <c r="AQ950" s="315">
        <v>1.6039000000000001</v>
      </c>
      <c r="AR950" s="315">
        <v>1.6116999999999999</v>
      </c>
      <c r="AS950" s="315">
        <v>1.3166</v>
      </c>
      <c r="AT950" s="315">
        <v>1.6674</v>
      </c>
      <c r="AU950" s="315">
        <v>1.7704</v>
      </c>
      <c r="AV950" s="315">
        <v>1.9288000000000001</v>
      </c>
      <c r="AW950" s="315">
        <v>1.887</v>
      </c>
      <c r="AX950" s="315">
        <v>1.3029999999999999</v>
      </c>
      <c r="AY950" s="315">
        <v>1.6926000000000001</v>
      </c>
      <c r="AZ950" s="315">
        <v>1.7557</v>
      </c>
      <c r="BA950" s="315">
        <v>1.5838000000000001</v>
      </c>
      <c r="BB950" s="315">
        <v>1.3010999999999999</v>
      </c>
      <c r="BC950" s="315">
        <v>2.0398999999999998</v>
      </c>
      <c r="BD950" s="315">
        <v>2.1107999999999998</v>
      </c>
      <c r="BE950" s="315">
        <v>1.9897</v>
      </c>
      <c r="BF950" s="315">
        <v>1.8612</v>
      </c>
      <c r="BG950" s="315">
        <v>1.9601</v>
      </c>
      <c r="BH950" s="315">
        <v>1.7393000000000001</v>
      </c>
      <c r="BI950" s="315">
        <v>1.7634000000000001</v>
      </c>
      <c r="BJ950" s="315">
        <v>1.8183</v>
      </c>
      <c r="BK950" s="315">
        <v>1.9032</v>
      </c>
    </row>
    <row r="951" spans="1:63" x14ac:dyDescent="0.25">
      <c r="A951" s="306">
        <v>325413</v>
      </c>
      <c r="B951" s="315" t="s">
        <v>115</v>
      </c>
      <c r="C951" s="315">
        <v>3.1880000000000002</v>
      </c>
      <c r="D951" s="315">
        <v>0</v>
      </c>
      <c r="E951" s="315">
        <v>0</v>
      </c>
      <c r="F951" s="315">
        <v>1.8678999999999999</v>
      </c>
      <c r="G951" s="315">
        <v>0</v>
      </c>
      <c r="H951" s="315">
        <v>2.5287000000000002</v>
      </c>
      <c r="I951" s="315">
        <v>2.4956999999999998</v>
      </c>
      <c r="J951" s="315">
        <v>2.2684000000000002</v>
      </c>
      <c r="K951" s="315">
        <v>0</v>
      </c>
      <c r="L951" s="315">
        <v>0</v>
      </c>
      <c r="M951" s="315">
        <v>2.0184000000000002</v>
      </c>
      <c r="N951" s="315">
        <v>2.302</v>
      </c>
      <c r="O951" s="315">
        <v>0</v>
      </c>
      <c r="P951" s="315">
        <v>1.6992</v>
      </c>
      <c r="Q951" s="315">
        <v>0</v>
      </c>
      <c r="R951" s="315">
        <v>2.5901000000000001</v>
      </c>
      <c r="S951" s="315">
        <v>2.0148000000000001</v>
      </c>
      <c r="T951" s="315">
        <v>1.8102</v>
      </c>
      <c r="U951" s="315">
        <v>1.9524999999999999</v>
      </c>
      <c r="V951" s="315">
        <v>1.8709</v>
      </c>
      <c r="W951" s="315">
        <v>2.4988000000000001</v>
      </c>
      <c r="X951" s="315">
        <v>2.149</v>
      </c>
      <c r="Y951" s="315">
        <v>2.1227999999999998</v>
      </c>
      <c r="Z951" s="315">
        <v>2.4014000000000002</v>
      </c>
      <c r="AA951" s="315">
        <v>2.2443</v>
      </c>
      <c r="AB951" s="315">
        <v>2.4384000000000001</v>
      </c>
      <c r="AC951" s="315">
        <v>0</v>
      </c>
      <c r="AD951" s="315">
        <v>0</v>
      </c>
      <c r="AE951" s="315">
        <v>2.3551000000000002</v>
      </c>
      <c r="AF951" s="315">
        <v>0</v>
      </c>
      <c r="AG951" s="315">
        <v>1.8766</v>
      </c>
      <c r="AH951" s="315">
        <v>0</v>
      </c>
      <c r="AI951" s="315">
        <v>2.5990000000000002</v>
      </c>
      <c r="AJ951" s="315">
        <v>1.7121</v>
      </c>
      <c r="AK951" s="315">
        <v>0</v>
      </c>
      <c r="AL951" s="315">
        <v>2.1585999999999999</v>
      </c>
      <c r="AM951" s="315">
        <v>2.2953000000000001</v>
      </c>
      <c r="AN951" s="315">
        <v>1.8424</v>
      </c>
      <c r="AO951" s="315">
        <v>2.1164000000000001</v>
      </c>
      <c r="AP951" s="315">
        <v>2.61</v>
      </c>
      <c r="AQ951" s="315">
        <v>2.0459000000000001</v>
      </c>
      <c r="AR951" s="315">
        <v>1.9176</v>
      </c>
      <c r="AS951" s="315">
        <v>0</v>
      </c>
      <c r="AT951" s="315">
        <v>2.1459999999999999</v>
      </c>
      <c r="AU951" s="315">
        <v>2.2574999999999998</v>
      </c>
      <c r="AV951" s="315">
        <v>2.3927</v>
      </c>
      <c r="AW951" s="315">
        <v>2.3031999999999999</v>
      </c>
      <c r="AX951" s="315">
        <v>1.5559000000000001</v>
      </c>
      <c r="AY951" s="315">
        <v>2.2139000000000002</v>
      </c>
      <c r="AZ951" s="315">
        <v>2.2263000000000002</v>
      </c>
      <c r="BA951" s="315">
        <v>0</v>
      </c>
      <c r="BB951" s="315">
        <v>0</v>
      </c>
      <c r="BC951" s="315">
        <v>2.6082000000000001</v>
      </c>
      <c r="BD951" s="315">
        <v>2.6978</v>
      </c>
      <c r="BE951" s="315">
        <v>2.5847000000000002</v>
      </c>
      <c r="BF951" s="315">
        <v>2.3045</v>
      </c>
      <c r="BG951" s="315">
        <v>2.5804999999999998</v>
      </c>
      <c r="BH951" s="315">
        <v>2.0716000000000001</v>
      </c>
      <c r="BI951" s="315">
        <v>2.2473000000000001</v>
      </c>
      <c r="BJ951" s="315">
        <v>2.3024</v>
      </c>
      <c r="BK951" s="315">
        <v>2.5375000000000001</v>
      </c>
    </row>
    <row r="952" spans="1:63" x14ac:dyDescent="0.25">
      <c r="A952" s="306">
        <v>325414</v>
      </c>
      <c r="B952" s="315" t="s">
        <v>116</v>
      </c>
      <c r="C952" s="315">
        <v>2.8494000000000002</v>
      </c>
      <c r="D952" s="315">
        <v>0</v>
      </c>
      <c r="E952" s="315">
        <v>1.7962</v>
      </c>
      <c r="F952" s="315">
        <v>1.7287999999999999</v>
      </c>
      <c r="G952" s="315">
        <v>1.8025</v>
      </c>
      <c r="H952" s="315">
        <v>2.2734999999999999</v>
      </c>
      <c r="I952" s="315">
        <v>2.2235</v>
      </c>
      <c r="J952" s="315">
        <v>2.0190000000000001</v>
      </c>
      <c r="K952" s="315">
        <v>0</v>
      </c>
      <c r="L952" s="315">
        <v>1.9419999999999999</v>
      </c>
      <c r="M952" s="315">
        <v>1.8268</v>
      </c>
      <c r="N952" s="315">
        <v>2.0486</v>
      </c>
      <c r="O952" s="315">
        <v>1.7637</v>
      </c>
      <c r="P952" s="315">
        <v>1.6624000000000001</v>
      </c>
      <c r="Q952" s="315">
        <v>0</v>
      </c>
      <c r="R952" s="315">
        <v>2.3174999999999999</v>
      </c>
      <c r="S952" s="315">
        <v>1.8337000000000001</v>
      </c>
      <c r="T952" s="315">
        <v>1.6926000000000001</v>
      </c>
      <c r="U952" s="315">
        <v>0</v>
      </c>
      <c r="V952" s="315">
        <v>1.7058</v>
      </c>
      <c r="W952" s="315">
        <v>2.2755000000000001</v>
      </c>
      <c r="X952" s="315">
        <v>1.9987999999999999</v>
      </c>
      <c r="Y952" s="315">
        <v>1.9964</v>
      </c>
      <c r="Z952" s="315">
        <v>2.1597</v>
      </c>
      <c r="AA952" s="315">
        <v>1.9986999999999999</v>
      </c>
      <c r="AB952" s="315">
        <v>2.2614000000000001</v>
      </c>
      <c r="AC952" s="315">
        <v>1.5829</v>
      </c>
      <c r="AD952" s="315">
        <v>1.5499000000000001</v>
      </c>
      <c r="AE952" s="315">
        <v>2.1987999999999999</v>
      </c>
      <c r="AF952" s="315">
        <v>0</v>
      </c>
      <c r="AG952" s="315">
        <v>1.7699</v>
      </c>
      <c r="AH952" s="315">
        <v>1.9944</v>
      </c>
      <c r="AI952" s="315">
        <v>2.359</v>
      </c>
      <c r="AJ952" s="315">
        <v>0</v>
      </c>
      <c r="AK952" s="315">
        <v>0</v>
      </c>
      <c r="AL952" s="315">
        <v>1.9196</v>
      </c>
      <c r="AM952" s="315">
        <v>2.0649000000000002</v>
      </c>
      <c r="AN952" s="315">
        <v>1.6857</v>
      </c>
      <c r="AO952" s="315">
        <v>1.9319</v>
      </c>
      <c r="AP952" s="315">
        <v>2.3773</v>
      </c>
      <c r="AQ952" s="315">
        <v>0</v>
      </c>
      <c r="AR952" s="315">
        <v>1.7723</v>
      </c>
      <c r="AS952" s="315">
        <v>0</v>
      </c>
      <c r="AT952" s="315">
        <v>1.9274</v>
      </c>
      <c r="AU952" s="315">
        <v>2.0434000000000001</v>
      </c>
      <c r="AV952" s="315">
        <v>0</v>
      </c>
      <c r="AW952" s="315">
        <v>2.0604</v>
      </c>
      <c r="AX952" s="315">
        <v>1.4883</v>
      </c>
      <c r="AY952" s="315">
        <v>2.0286</v>
      </c>
      <c r="AZ952" s="315">
        <v>2.0739999999999998</v>
      </c>
      <c r="BA952" s="315">
        <v>0</v>
      </c>
      <c r="BB952" s="315">
        <v>0</v>
      </c>
      <c r="BC952" s="315">
        <v>2.3714</v>
      </c>
      <c r="BD952" s="315">
        <v>2.4443000000000001</v>
      </c>
      <c r="BE952" s="315">
        <v>2.3283999999999998</v>
      </c>
      <c r="BF952" s="315">
        <v>2.1297000000000001</v>
      </c>
      <c r="BG952" s="315">
        <v>2.3519000000000001</v>
      </c>
      <c r="BH952" s="315">
        <v>1.8972</v>
      </c>
      <c r="BI952" s="315">
        <v>2.0303</v>
      </c>
      <c r="BJ952" s="315">
        <v>2.0550999999999999</v>
      </c>
      <c r="BK952" s="315">
        <v>2.2740999999999998</v>
      </c>
    </row>
    <row r="953" spans="1:63" x14ac:dyDescent="0.25">
      <c r="A953" s="306">
        <v>325510</v>
      </c>
      <c r="B953" s="315" t="s">
        <v>117</v>
      </c>
      <c r="C953" s="315">
        <v>3.2040999999999999</v>
      </c>
      <c r="D953" s="315">
        <v>0</v>
      </c>
      <c r="E953" s="315">
        <v>2.1297000000000001</v>
      </c>
      <c r="F953" s="315">
        <v>1.9661</v>
      </c>
      <c r="G953" s="315">
        <v>1.7259</v>
      </c>
      <c r="H953" s="315">
        <v>2.0133999999999999</v>
      </c>
      <c r="I953" s="315">
        <v>1.9859</v>
      </c>
      <c r="J953" s="315">
        <v>2.0244</v>
      </c>
      <c r="K953" s="315">
        <v>0</v>
      </c>
      <c r="L953" s="315">
        <v>2.0825</v>
      </c>
      <c r="M953" s="315">
        <v>1.7321</v>
      </c>
      <c r="N953" s="315">
        <v>2.2856000000000001</v>
      </c>
      <c r="O953" s="315">
        <v>0</v>
      </c>
      <c r="P953" s="315">
        <v>1.7571000000000001</v>
      </c>
      <c r="Q953" s="315">
        <v>1.5722</v>
      </c>
      <c r="R953" s="315">
        <v>2.5184000000000002</v>
      </c>
      <c r="S953" s="315">
        <v>2.2648999999999999</v>
      </c>
      <c r="T953" s="315">
        <v>1.8180000000000001</v>
      </c>
      <c r="U953" s="315">
        <v>2.2183000000000002</v>
      </c>
      <c r="V953" s="315">
        <v>2.2018</v>
      </c>
      <c r="W953" s="315">
        <v>2.0508000000000002</v>
      </c>
      <c r="X953" s="315">
        <v>1.8251999999999999</v>
      </c>
      <c r="Y953" s="315">
        <v>0</v>
      </c>
      <c r="Z953" s="315">
        <v>2.2734999999999999</v>
      </c>
      <c r="AA953" s="315">
        <v>2.0575999999999999</v>
      </c>
      <c r="AB953" s="315">
        <v>2.2866</v>
      </c>
      <c r="AC953" s="315">
        <v>1.9279999999999999</v>
      </c>
      <c r="AD953" s="315">
        <v>0</v>
      </c>
      <c r="AE953" s="315">
        <v>2.1776</v>
      </c>
      <c r="AF953" s="315">
        <v>1.5194000000000001</v>
      </c>
      <c r="AG953" s="315">
        <v>1.6565000000000001</v>
      </c>
      <c r="AH953" s="315">
        <v>1.7327999999999999</v>
      </c>
      <c r="AI953" s="315">
        <v>2.3813</v>
      </c>
      <c r="AJ953" s="315">
        <v>1.5498000000000001</v>
      </c>
      <c r="AK953" s="315">
        <v>1.6705000000000001</v>
      </c>
      <c r="AL953" s="315">
        <v>1.8231999999999999</v>
      </c>
      <c r="AM953" s="315">
        <v>2.5427</v>
      </c>
      <c r="AN953" s="315">
        <v>1.7305999999999999</v>
      </c>
      <c r="AO953" s="315">
        <v>2.0238999999999998</v>
      </c>
      <c r="AP953" s="315">
        <v>2.4859</v>
      </c>
      <c r="AQ953" s="315">
        <v>1.9266000000000001</v>
      </c>
      <c r="AR953" s="315">
        <v>2.1772</v>
      </c>
      <c r="AS953" s="315">
        <v>1.5024</v>
      </c>
      <c r="AT953" s="315">
        <v>2.2427000000000001</v>
      </c>
      <c r="AU953" s="315">
        <v>2.5436999999999999</v>
      </c>
      <c r="AV953" s="315">
        <v>1.9498</v>
      </c>
      <c r="AW953" s="315">
        <v>2.0467</v>
      </c>
      <c r="AX953" s="315">
        <v>1.4624999999999999</v>
      </c>
      <c r="AY953" s="315">
        <v>1.8819999999999999</v>
      </c>
      <c r="AZ953" s="315">
        <v>2.0764999999999998</v>
      </c>
      <c r="BA953" s="315">
        <v>1.9826999999999999</v>
      </c>
      <c r="BB953" s="315">
        <v>0</v>
      </c>
      <c r="BC953" s="315">
        <v>2.1802000000000001</v>
      </c>
      <c r="BD953" s="315">
        <v>2.4196</v>
      </c>
      <c r="BE953" s="315">
        <v>2.6414</v>
      </c>
      <c r="BF953" s="315">
        <v>2.1398999999999999</v>
      </c>
      <c r="BG953" s="315">
        <v>2.3582000000000001</v>
      </c>
      <c r="BH953" s="315">
        <v>2.4133</v>
      </c>
      <c r="BI953" s="315">
        <v>2.5640000000000001</v>
      </c>
      <c r="BJ953" s="315">
        <v>1.9509000000000001</v>
      </c>
      <c r="BK953" s="315">
        <v>2.0653999999999999</v>
      </c>
    </row>
    <row r="954" spans="1:63" x14ac:dyDescent="0.25">
      <c r="A954" s="306">
        <v>325520</v>
      </c>
      <c r="B954" s="315" t="s">
        <v>118</v>
      </c>
      <c r="C954" s="315">
        <v>3.2107999999999999</v>
      </c>
      <c r="D954" s="315">
        <v>0</v>
      </c>
      <c r="E954" s="315">
        <v>2.089</v>
      </c>
      <c r="F954" s="315">
        <v>1.9521999999999999</v>
      </c>
      <c r="G954" s="315">
        <v>1.8149</v>
      </c>
      <c r="H954" s="315">
        <v>2.2705000000000002</v>
      </c>
      <c r="I954" s="315">
        <v>2.1882999999999999</v>
      </c>
      <c r="J954" s="315">
        <v>2.0693999999999999</v>
      </c>
      <c r="K954" s="315">
        <v>1.2287999999999999</v>
      </c>
      <c r="L954" s="315">
        <v>2.0217000000000001</v>
      </c>
      <c r="M954" s="315">
        <v>1.8525</v>
      </c>
      <c r="N954" s="315">
        <v>2.2496</v>
      </c>
      <c r="O954" s="315">
        <v>0</v>
      </c>
      <c r="P954" s="315">
        <v>1.7090000000000001</v>
      </c>
      <c r="Q954" s="315">
        <v>0</v>
      </c>
      <c r="R954" s="315">
        <v>2.5653999999999999</v>
      </c>
      <c r="S954" s="315">
        <v>2.2263000000000002</v>
      </c>
      <c r="T954" s="315">
        <v>1.9161999999999999</v>
      </c>
      <c r="U954" s="315">
        <v>2.1688000000000001</v>
      </c>
      <c r="V954" s="315">
        <v>2.2197</v>
      </c>
      <c r="W954" s="315">
        <v>2.0863</v>
      </c>
      <c r="X954" s="315">
        <v>1.8742000000000001</v>
      </c>
      <c r="Y954" s="315">
        <v>0</v>
      </c>
      <c r="Z954" s="315">
        <v>2.2393999999999998</v>
      </c>
      <c r="AA954" s="315">
        <v>2.1223999999999998</v>
      </c>
      <c r="AB954" s="315">
        <v>2.2900999999999998</v>
      </c>
      <c r="AC954" s="315">
        <v>1.9449000000000001</v>
      </c>
      <c r="AD954" s="315">
        <v>0</v>
      </c>
      <c r="AE954" s="315">
        <v>2.165</v>
      </c>
      <c r="AF954" s="315">
        <v>1.6009</v>
      </c>
      <c r="AG954" s="315">
        <v>1.6732</v>
      </c>
      <c r="AH954" s="315">
        <v>1.8615999999999999</v>
      </c>
      <c r="AI954" s="315">
        <v>2.395</v>
      </c>
      <c r="AJ954" s="315">
        <v>0</v>
      </c>
      <c r="AK954" s="315">
        <v>1.7627999999999999</v>
      </c>
      <c r="AL954" s="315">
        <v>1.8662000000000001</v>
      </c>
      <c r="AM954" s="315">
        <v>2.4895999999999998</v>
      </c>
      <c r="AN954" s="315">
        <v>1.9136</v>
      </c>
      <c r="AO954" s="315">
        <v>1.9437</v>
      </c>
      <c r="AP954" s="315">
        <v>2.4611999999999998</v>
      </c>
      <c r="AQ954" s="315">
        <v>1.8601000000000001</v>
      </c>
      <c r="AR954" s="315">
        <v>2.0983999999999998</v>
      </c>
      <c r="AS954" s="315">
        <v>0</v>
      </c>
      <c r="AT954" s="315">
        <v>2.1953</v>
      </c>
      <c r="AU954" s="315">
        <v>2.4994000000000001</v>
      </c>
      <c r="AV954" s="315">
        <v>2.2101999999999999</v>
      </c>
      <c r="AW954" s="315">
        <v>2.1191</v>
      </c>
      <c r="AX954" s="315">
        <v>1.504</v>
      </c>
      <c r="AY954" s="315">
        <v>2.0474000000000001</v>
      </c>
      <c r="AZ954" s="315">
        <v>2.0895999999999999</v>
      </c>
      <c r="BA954" s="315">
        <v>1.9379999999999999</v>
      </c>
      <c r="BB954" s="315">
        <v>0</v>
      </c>
      <c r="BC954" s="315">
        <v>2.2227000000000001</v>
      </c>
      <c r="BD954" s="315">
        <v>2.4026000000000001</v>
      </c>
      <c r="BE954" s="315">
        <v>2.5935999999999999</v>
      </c>
      <c r="BF954" s="315">
        <v>2.1951999999999998</v>
      </c>
      <c r="BG954" s="315">
        <v>2.3572000000000002</v>
      </c>
      <c r="BH954" s="315">
        <v>2.3591000000000002</v>
      </c>
      <c r="BI954" s="315">
        <v>2.5259</v>
      </c>
      <c r="BJ954" s="315">
        <v>2.1427999999999998</v>
      </c>
      <c r="BK954" s="315">
        <v>2.2818000000000001</v>
      </c>
    </row>
    <row r="955" spans="1:63" x14ac:dyDescent="0.25">
      <c r="A955" s="306">
        <v>325610</v>
      </c>
      <c r="B955" s="315" t="s">
        <v>119</v>
      </c>
      <c r="C955" s="315">
        <v>2.6482000000000001</v>
      </c>
      <c r="D955" s="315">
        <v>1.304</v>
      </c>
      <c r="E955" s="315">
        <v>1.7297</v>
      </c>
      <c r="F955" s="315">
        <v>1.7171000000000001</v>
      </c>
      <c r="G955" s="315">
        <v>1.589</v>
      </c>
      <c r="H955" s="315">
        <v>2.0148000000000001</v>
      </c>
      <c r="I955" s="315">
        <v>1.8484</v>
      </c>
      <c r="J955" s="315">
        <v>1.8009999999999999</v>
      </c>
      <c r="K955" s="315">
        <v>1.1503000000000001</v>
      </c>
      <c r="L955" s="315">
        <v>1.6485000000000001</v>
      </c>
      <c r="M955" s="315">
        <v>1.6243000000000001</v>
      </c>
      <c r="N955" s="315">
        <v>2.0708000000000002</v>
      </c>
      <c r="O955" s="315">
        <v>1.5009999999999999</v>
      </c>
      <c r="P955" s="315">
        <v>1.5323</v>
      </c>
      <c r="Q955" s="315">
        <v>1.5042</v>
      </c>
      <c r="R955" s="315">
        <v>2.2376</v>
      </c>
      <c r="S955" s="315">
        <v>1.9739</v>
      </c>
      <c r="T955" s="315">
        <v>1.7681</v>
      </c>
      <c r="U955" s="315">
        <v>1.9603999999999999</v>
      </c>
      <c r="V955" s="315">
        <v>1.8496999999999999</v>
      </c>
      <c r="W955" s="315">
        <v>1.8105</v>
      </c>
      <c r="X955" s="315">
        <v>1.7728999999999999</v>
      </c>
      <c r="Y955" s="315">
        <v>1.6681999999999999</v>
      </c>
      <c r="Z955" s="315">
        <v>2.0367999999999999</v>
      </c>
      <c r="AA955" s="315">
        <v>1.8522000000000001</v>
      </c>
      <c r="AB955" s="315">
        <v>2.0758000000000001</v>
      </c>
      <c r="AC955" s="315">
        <v>1.7047000000000001</v>
      </c>
      <c r="AD955" s="315">
        <v>1.4239999999999999</v>
      </c>
      <c r="AE955" s="315">
        <v>2.0230000000000001</v>
      </c>
      <c r="AF955" s="315">
        <v>0</v>
      </c>
      <c r="AG955" s="315">
        <v>1.4845999999999999</v>
      </c>
      <c r="AH955" s="315">
        <v>1.6331</v>
      </c>
      <c r="AI955" s="315">
        <v>2.1248</v>
      </c>
      <c r="AJ955" s="315">
        <v>1.4418</v>
      </c>
      <c r="AK955" s="315">
        <v>1.5532999999999999</v>
      </c>
      <c r="AL955" s="315">
        <v>1.645</v>
      </c>
      <c r="AM955" s="315">
        <v>2.1962999999999999</v>
      </c>
      <c r="AN955" s="315">
        <v>1.6311</v>
      </c>
      <c r="AO955" s="315">
        <v>1.7233000000000001</v>
      </c>
      <c r="AP955" s="315">
        <v>2.1122000000000001</v>
      </c>
      <c r="AQ955" s="315">
        <v>1.7899</v>
      </c>
      <c r="AR955" s="315">
        <v>1.9136</v>
      </c>
      <c r="AS955" s="315">
        <v>1.3947000000000001</v>
      </c>
      <c r="AT955" s="315">
        <v>1.9921</v>
      </c>
      <c r="AU955" s="315">
        <v>2.0287999999999999</v>
      </c>
      <c r="AV955" s="315">
        <v>2.0196000000000001</v>
      </c>
      <c r="AW955" s="315">
        <v>1.8027</v>
      </c>
      <c r="AX955" s="315">
        <v>1.5127999999999999</v>
      </c>
      <c r="AY955" s="315">
        <v>1.7287999999999999</v>
      </c>
      <c r="AZ955" s="315">
        <v>1.9397</v>
      </c>
      <c r="BA955" s="315">
        <v>1.651</v>
      </c>
      <c r="BB955" s="315">
        <v>1.3489</v>
      </c>
      <c r="BC955" s="315">
        <v>1.9285000000000001</v>
      </c>
      <c r="BD955" s="315">
        <v>2.1070000000000002</v>
      </c>
      <c r="BE955" s="315">
        <v>2.2747999999999999</v>
      </c>
      <c r="BF955" s="315">
        <v>1.9790000000000001</v>
      </c>
      <c r="BG955" s="315">
        <v>2.1204000000000001</v>
      </c>
      <c r="BH955" s="315">
        <v>2.0219999999999998</v>
      </c>
      <c r="BI955" s="315">
        <v>2.0474000000000001</v>
      </c>
      <c r="BJ955" s="315">
        <v>1.84</v>
      </c>
      <c r="BK955" s="315">
        <v>1.9851000000000001</v>
      </c>
    </row>
    <row r="956" spans="1:63" x14ac:dyDescent="0.25">
      <c r="A956" s="306">
        <v>325620</v>
      </c>
      <c r="B956" s="315" t="s">
        <v>120</v>
      </c>
      <c r="C956" s="315">
        <v>2.5590999999999999</v>
      </c>
      <c r="D956" s="315">
        <v>0</v>
      </c>
      <c r="E956" s="315">
        <v>1.7527999999999999</v>
      </c>
      <c r="F956" s="315">
        <v>1.7654000000000001</v>
      </c>
      <c r="G956" s="315">
        <v>1.6308</v>
      </c>
      <c r="H956" s="315">
        <v>1.9630000000000001</v>
      </c>
      <c r="I956" s="315">
        <v>1.9269000000000001</v>
      </c>
      <c r="J956" s="315">
        <v>1.8683000000000001</v>
      </c>
      <c r="K956" s="315">
        <v>0</v>
      </c>
      <c r="L956" s="315">
        <v>1.6943999999999999</v>
      </c>
      <c r="M956" s="315">
        <v>1.6722999999999999</v>
      </c>
      <c r="N956" s="315">
        <v>1.972</v>
      </c>
      <c r="O956" s="315">
        <v>1.5787</v>
      </c>
      <c r="P956" s="315">
        <v>1.5621</v>
      </c>
      <c r="Q956" s="315">
        <v>1.5495000000000001</v>
      </c>
      <c r="R956" s="315">
        <v>2.1615000000000002</v>
      </c>
      <c r="S956" s="315">
        <v>1.8474999999999999</v>
      </c>
      <c r="T956" s="315">
        <v>1.6351</v>
      </c>
      <c r="U956" s="315">
        <v>1.8405</v>
      </c>
      <c r="V956" s="315">
        <v>1.7302999999999999</v>
      </c>
      <c r="W956" s="315">
        <v>1.8932</v>
      </c>
      <c r="X956" s="315">
        <v>1.7023999999999999</v>
      </c>
      <c r="Y956" s="315">
        <v>1.6446000000000001</v>
      </c>
      <c r="Z956" s="315">
        <v>1.9755</v>
      </c>
      <c r="AA956" s="315">
        <v>1.9331</v>
      </c>
      <c r="AB956" s="315">
        <v>2.0055999999999998</v>
      </c>
      <c r="AC956" s="315">
        <v>1.615</v>
      </c>
      <c r="AD956" s="315">
        <v>1.3959999999999999</v>
      </c>
      <c r="AE956" s="315">
        <v>1.9379999999999999</v>
      </c>
      <c r="AF956" s="315">
        <v>1.4241999999999999</v>
      </c>
      <c r="AG956" s="315">
        <v>1.5688</v>
      </c>
      <c r="AH956" s="315">
        <v>1.7229000000000001</v>
      </c>
      <c r="AI956" s="315">
        <v>2.0320999999999998</v>
      </c>
      <c r="AJ956" s="315">
        <v>1.4463999999999999</v>
      </c>
      <c r="AK956" s="315">
        <v>1.6374</v>
      </c>
      <c r="AL956" s="315">
        <v>1.7145999999999999</v>
      </c>
      <c r="AM956" s="315">
        <v>2.0989</v>
      </c>
      <c r="AN956" s="315">
        <v>1.6252</v>
      </c>
      <c r="AO956" s="315">
        <v>1.7906</v>
      </c>
      <c r="AP956" s="315">
        <v>2.0941999999999998</v>
      </c>
      <c r="AQ956" s="315">
        <v>1.7296</v>
      </c>
      <c r="AR956" s="315">
        <v>1.7803</v>
      </c>
      <c r="AS956" s="315">
        <v>1.4131</v>
      </c>
      <c r="AT956" s="315">
        <v>1.9024000000000001</v>
      </c>
      <c r="AU956" s="315">
        <v>1.9626999999999999</v>
      </c>
      <c r="AV956" s="315">
        <v>1.9341999999999999</v>
      </c>
      <c r="AW956" s="315">
        <v>1.8874</v>
      </c>
      <c r="AX956" s="315">
        <v>1.4296</v>
      </c>
      <c r="AY956" s="315">
        <v>1.7687999999999999</v>
      </c>
      <c r="AZ956" s="315">
        <v>1.8893</v>
      </c>
      <c r="BA956" s="315">
        <v>0</v>
      </c>
      <c r="BB956" s="315">
        <v>1.3327</v>
      </c>
      <c r="BC956" s="315">
        <v>1.9993000000000001</v>
      </c>
      <c r="BD956" s="315">
        <v>2.0718000000000001</v>
      </c>
      <c r="BE956" s="315">
        <v>2.1882000000000001</v>
      </c>
      <c r="BF956" s="315">
        <v>1.9468000000000001</v>
      </c>
      <c r="BG956" s="315">
        <v>2.0373000000000001</v>
      </c>
      <c r="BH956" s="315">
        <v>1.9320999999999999</v>
      </c>
      <c r="BI956" s="315">
        <v>1.9891000000000001</v>
      </c>
      <c r="BJ956" s="315">
        <v>1.8463000000000001</v>
      </c>
      <c r="BK956" s="315">
        <v>1.9663999999999999</v>
      </c>
    </row>
    <row r="957" spans="1:63" x14ac:dyDescent="0.25">
      <c r="A957" s="306">
        <v>325910</v>
      </c>
      <c r="B957" s="315" t="s">
        <v>121</v>
      </c>
      <c r="C957" s="315">
        <v>3.3540999999999999</v>
      </c>
      <c r="D957" s="315">
        <v>0</v>
      </c>
      <c r="E957" s="315">
        <v>2.0246</v>
      </c>
      <c r="F957" s="315">
        <v>1.8832</v>
      </c>
      <c r="G957" s="315">
        <v>1.7670999999999999</v>
      </c>
      <c r="H957" s="315">
        <v>2.1804999999999999</v>
      </c>
      <c r="I957" s="315">
        <v>2.1276999999999999</v>
      </c>
      <c r="J957" s="315">
        <v>1.9664999999999999</v>
      </c>
      <c r="K957" s="315">
        <v>0</v>
      </c>
      <c r="L957" s="315">
        <v>2.2081</v>
      </c>
      <c r="M957" s="315">
        <v>1.7877000000000001</v>
      </c>
      <c r="N957" s="315">
        <v>2.3881000000000001</v>
      </c>
      <c r="O957" s="315">
        <v>0</v>
      </c>
      <c r="P957" s="315">
        <v>1.7007000000000001</v>
      </c>
      <c r="Q957" s="315">
        <v>0</v>
      </c>
      <c r="R957" s="315">
        <v>2.5485000000000002</v>
      </c>
      <c r="S957" s="315">
        <v>2.2831999999999999</v>
      </c>
      <c r="T957" s="315">
        <v>1.9244000000000001</v>
      </c>
      <c r="U957" s="315">
        <v>2.2968999999999999</v>
      </c>
      <c r="V957" s="315">
        <v>2.2650999999999999</v>
      </c>
      <c r="W957" s="315">
        <v>2.0716000000000001</v>
      </c>
      <c r="X957" s="315">
        <v>2.008</v>
      </c>
      <c r="Y957" s="315">
        <v>1.6514</v>
      </c>
      <c r="Z957" s="315">
        <v>2.3868999999999998</v>
      </c>
      <c r="AA957" s="315">
        <v>2.1383000000000001</v>
      </c>
      <c r="AB957" s="315">
        <v>2.2042000000000002</v>
      </c>
      <c r="AC957" s="315">
        <v>0</v>
      </c>
      <c r="AD957" s="315">
        <v>0</v>
      </c>
      <c r="AE957" s="315">
        <v>2.2787999999999999</v>
      </c>
      <c r="AF957" s="315">
        <v>0</v>
      </c>
      <c r="AG957" s="315">
        <v>1.5723</v>
      </c>
      <c r="AH957" s="315">
        <v>1.7361</v>
      </c>
      <c r="AI957" s="315">
        <v>2.5053000000000001</v>
      </c>
      <c r="AJ957" s="315">
        <v>1.6611</v>
      </c>
      <c r="AK957" s="315">
        <v>1.7357</v>
      </c>
      <c r="AL957" s="315">
        <v>1.877</v>
      </c>
      <c r="AM957" s="315">
        <v>2.5991</v>
      </c>
      <c r="AN957" s="315">
        <v>1.9339999999999999</v>
      </c>
      <c r="AO957" s="315">
        <v>2.1537000000000002</v>
      </c>
      <c r="AP957" s="315">
        <v>2.6158000000000001</v>
      </c>
      <c r="AQ957" s="315">
        <v>1.9419999999999999</v>
      </c>
      <c r="AR957" s="315">
        <v>2.052</v>
      </c>
      <c r="AS957" s="315">
        <v>0</v>
      </c>
      <c r="AT957" s="315">
        <v>2.3079999999999998</v>
      </c>
      <c r="AU957" s="315">
        <v>2.6871999999999998</v>
      </c>
      <c r="AV957" s="315">
        <v>2.1254</v>
      </c>
      <c r="AW957" s="315">
        <v>2.0844</v>
      </c>
      <c r="AX957" s="315">
        <v>0</v>
      </c>
      <c r="AY957" s="315">
        <v>1.9799</v>
      </c>
      <c r="AZ957" s="315">
        <v>2.0548999999999999</v>
      </c>
      <c r="BA957" s="315">
        <v>0</v>
      </c>
      <c r="BB957" s="315">
        <v>0</v>
      </c>
      <c r="BC957" s="315">
        <v>2.1756000000000002</v>
      </c>
      <c r="BD957" s="315">
        <v>2.5253999999999999</v>
      </c>
      <c r="BE957" s="315">
        <v>2.6817000000000002</v>
      </c>
      <c r="BF957" s="315">
        <v>2.1395</v>
      </c>
      <c r="BG957" s="315">
        <v>2.4685999999999999</v>
      </c>
      <c r="BH957" s="315">
        <v>2.4563999999999999</v>
      </c>
      <c r="BI957" s="315">
        <v>2.7039</v>
      </c>
      <c r="BJ957" s="315">
        <v>2.0878000000000001</v>
      </c>
      <c r="BK957" s="315">
        <v>2.2303999999999999</v>
      </c>
    </row>
    <row r="958" spans="1:63" x14ac:dyDescent="0.25">
      <c r="A958" s="306" t="s">
        <v>715</v>
      </c>
      <c r="B958" s="315" t="s">
        <v>122</v>
      </c>
      <c r="C958" s="315">
        <v>3.2174999999999998</v>
      </c>
      <c r="D958" s="315">
        <v>1.4717</v>
      </c>
      <c r="E958" s="315">
        <v>2.1091000000000002</v>
      </c>
      <c r="F958" s="315">
        <v>2.0327000000000002</v>
      </c>
      <c r="G958" s="315">
        <v>1.7996000000000001</v>
      </c>
      <c r="H958" s="315">
        <v>2.2046000000000001</v>
      </c>
      <c r="I958" s="315">
        <v>2.1958000000000002</v>
      </c>
      <c r="J958" s="315">
        <v>2.1427</v>
      </c>
      <c r="K958" s="315">
        <v>0</v>
      </c>
      <c r="L958" s="315">
        <v>2.0346000000000002</v>
      </c>
      <c r="M958" s="315">
        <v>1.8344</v>
      </c>
      <c r="N958" s="315">
        <v>2.2978999999999998</v>
      </c>
      <c r="O958" s="315">
        <v>1.7309000000000001</v>
      </c>
      <c r="P958" s="315">
        <v>1.6903999999999999</v>
      </c>
      <c r="Q958" s="315">
        <v>1.7194</v>
      </c>
      <c r="R958" s="315">
        <v>2.5743</v>
      </c>
      <c r="S958" s="315">
        <v>2.2145000000000001</v>
      </c>
      <c r="T958" s="315">
        <v>1.8678999999999999</v>
      </c>
      <c r="U958" s="315">
        <v>2.1833</v>
      </c>
      <c r="V958" s="315">
        <v>2.2044000000000001</v>
      </c>
      <c r="W958" s="315">
        <v>2.1760999999999999</v>
      </c>
      <c r="X958" s="315">
        <v>1.8795999999999999</v>
      </c>
      <c r="Y958" s="315">
        <v>1.7797000000000001</v>
      </c>
      <c r="Z958" s="315">
        <v>2.3081999999999998</v>
      </c>
      <c r="AA958" s="315">
        <v>2.1648999999999998</v>
      </c>
      <c r="AB958" s="315">
        <v>2.3180000000000001</v>
      </c>
      <c r="AC958" s="315">
        <v>1.9164000000000001</v>
      </c>
      <c r="AD958" s="315">
        <v>1.6068</v>
      </c>
      <c r="AE958" s="315">
        <v>2.2326999999999999</v>
      </c>
      <c r="AF958" s="315">
        <v>1.5148999999999999</v>
      </c>
      <c r="AG958" s="315">
        <v>1.6742999999999999</v>
      </c>
      <c r="AH958" s="315">
        <v>1.8947000000000001</v>
      </c>
      <c r="AI958" s="315">
        <v>2.4253</v>
      </c>
      <c r="AJ958" s="315">
        <v>1.6702999999999999</v>
      </c>
      <c r="AK958" s="315">
        <v>1.7978000000000001</v>
      </c>
      <c r="AL958" s="315">
        <v>1.94</v>
      </c>
      <c r="AM958" s="315">
        <v>2.5225</v>
      </c>
      <c r="AN958" s="315">
        <v>1.8642000000000001</v>
      </c>
      <c r="AO958" s="315">
        <v>2.0112000000000001</v>
      </c>
      <c r="AP958" s="315">
        <v>2.5324</v>
      </c>
      <c r="AQ958" s="315">
        <v>1.9577</v>
      </c>
      <c r="AR958" s="315">
        <v>2.153</v>
      </c>
      <c r="AS958" s="315">
        <v>1.5461</v>
      </c>
      <c r="AT958" s="315">
        <v>2.2652999999999999</v>
      </c>
      <c r="AU958" s="315">
        <v>2.4986000000000002</v>
      </c>
      <c r="AV958" s="315">
        <v>2.1613000000000002</v>
      </c>
      <c r="AW958" s="315">
        <v>2.1499000000000001</v>
      </c>
      <c r="AX958" s="315">
        <v>1.4853000000000001</v>
      </c>
      <c r="AY958" s="315">
        <v>2.0358999999999998</v>
      </c>
      <c r="AZ958" s="315">
        <v>2.0941000000000001</v>
      </c>
      <c r="BA958" s="315">
        <v>1.9097999999999999</v>
      </c>
      <c r="BB958" s="315">
        <v>1.5291999999999999</v>
      </c>
      <c r="BC958" s="315">
        <v>2.3233000000000001</v>
      </c>
      <c r="BD958" s="315">
        <v>2.4744000000000002</v>
      </c>
      <c r="BE958" s="315">
        <v>2.6332</v>
      </c>
      <c r="BF958" s="315">
        <v>2.1970000000000001</v>
      </c>
      <c r="BG958" s="315">
        <v>2.4228999999999998</v>
      </c>
      <c r="BH958" s="315">
        <v>2.3685999999999998</v>
      </c>
      <c r="BI958" s="315">
        <v>2.5377999999999998</v>
      </c>
      <c r="BJ958" s="315">
        <v>2.1349</v>
      </c>
      <c r="BK958" s="315">
        <v>2.2313999999999998</v>
      </c>
    </row>
    <row r="959" spans="1:63" x14ac:dyDescent="0.25">
      <c r="A959" s="306">
        <v>326110</v>
      </c>
      <c r="B959" s="315" t="s">
        <v>123</v>
      </c>
      <c r="C959" s="315">
        <v>3.0589</v>
      </c>
      <c r="D959" s="315">
        <v>0</v>
      </c>
      <c r="E959" s="315">
        <v>2.2122999999999999</v>
      </c>
      <c r="F959" s="315">
        <v>1.8604000000000001</v>
      </c>
      <c r="G959" s="315">
        <v>1.6088</v>
      </c>
      <c r="H959" s="315">
        <v>1.8761000000000001</v>
      </c>
      <c r="I959" s="315">
        <v>1.7484</v>
      </c>
      <c r="J959" s="315">
        <v>1.9976</v>
      </c>
      <c r="K959" s="315">
        <v>0</v>
      </c>
      <c r="L959" s="315">
        <v>2.0369000000000002</v>
      </c>
      <c r="M959" s="315">
        <v>1.6685000000000001</v>
      </c>
      <c r="N959" s="315">
        <v>2.1074999999999999</v>
      </c>
      <c r="O959" s="315">
        <v>1.4492</v>
      </c>
      <c r="P959" s="315">
        <v>1.7156</v>
      </c>
      <c r="Q959" s="315">
        <v>1.4849000000000001</v>
      </c>
      <c r="R959" s="315">
        <v>2.3765999999999998</v>
      </c>
      <c r="S959" s="315">
        <v>2.1825999999999999</v>
      </c>
      <c r="T959" s="315">
        <v>1.7056</v>
      </c>
      <c r="U959" s="315">
        <v>2.1798999999999999</v>
      </c>
      <c r="V959" s="315">
        <v>2.2271999999999998</v>
      </c>
      <c r="W959" s="315">
        <v>2.0727000000000002</v>
      </c>
      <c r="X959" s="315">
        <v>1.5972</v>
      </c>
      <c r="Y959" s="315">
        <v>1.6141000000000001</v>
      </c>
      <c r="Z959" s="315">
        <v>2.1307999999999998</v>
      </c>
      <c r="AA959" s="315">
        <v>1.9015</v>
      </c>
      <c r="AB959" s="315">
        <v>2.2149999999999999</v>
      </c>
      <c r="AC959" s="315">
        <v>1.9732000000000001</v>
      </c>
      <c r="AD959" s="315">
        <v>0</v>
      </c>
      <c r="AE959" s="315">
        <v>2.0301999999999998</v>
      </c>
      <c r="AF959" s="315">
        <v>1.3935999999999999</v>
      </c>
      <c r="AG959" s="315">
        <v>1.5485</v>
      </c>
      <c r="AH959" s="315">
        <v>1.7252000000000001</v>
      </c>
      <c r="AI959" s="315">
        <v>2.1608000000000001</v>
      </c>
      <c r="AJ959" s="315">
        <v>1.4601</v>
      </c>
      <c r="AK959" s="315">
        <v>1.5269999999999999</v>
      </c>
      <c r="AL959" s="315">
        <v>1.6724000000000001</v>
      </c>
      <c r="AM959" s="315">
        <v>2.4308000000000001</v>
      </c>
      <c r="AN959" s="315">
        <v>1.7358</v>
      </c>
      <c r="AO959" s="315">
        <v>1.7761</v>
      </c>
      <c r="AP959" s="315">
        <v>2.3782999999999999</v>
      </c>
      <c r="AQ959" s="315">
        <v>1.9012</v>
      </c>
      <c r="AR959" s="315">
        <v>2.2694999999999999</v>
      </c>
      <c r="AS959" s="315">
        <v>1.4866999999999999</v>
      </c>
      <c r="AT959" s="315">
        <v>2.2052999999999998</v>
      </c>
      <c r="AU959" s="315">
        <v>2.5253000000000001</v>
      </c>
      <c r="AV959" s="315">
        <v>1.7908999999999999</v>
      </c>
      <c r="AW959" s="315">
        <v>1.8893</v>
      </c>
      <c r="AX959" s="315">
        <v>1.4634</v>
      </c>
      <c r="AY959" s="315">
        <v>1.794</v>
      </c>
      <c r="AZ959" s="315">
        <v>1.9103000000000001</v>
      </c>
      <c r="BA959" s="315">
        <v>1.9919</v>
      </c>
      <c r="BB959" s="315">
        <v>0</v>
      </c>
      <c r="BC959" s="315">
        <v>2.1741999999999999</v>
      </c>
      <c r="BD959" s="315">
        <v>2.1728000000000001</v>
      </c>
      <c r="BE959" s="315">
        <v>2.4689999999999999</v>
      </c>
      <c r="BF959" s="315">
        <v>1.9954000000000001</v>
      </c>
      <c r="BG959" s="315">
        <v>2.2446000000000002</v>
      </c>
      <c r="BH959" s="315">
        <v>2.3895</v>
      </c>
      <c r="BI959" s="315">
        <v>2.5640000000000001</v>
      </c>
      <c r="BJ959" s="315">
        <v>1.7342</v>
      </c>
      <c r="BK959" s="315">
        <v>1.8992</v>
      </c>
    </row>
    <row r="960" spans="1:63" x14ac:dyDescent="0.25">
      <c r="A960" s="306">
        <v>326121</v>
      </c>
      <c r="B960" s="315" t="s">
        <v>124</v>
      </c>
      <c r="C960" s="315">
        <v>2.9622999999999999</v>
      </c>
      <c r="D960" s="315">
        <v>0</v>
      </c>
      <c r="E960" s="315">
        <v>2.1537000000000002</v>
      </c>
      <c r="F960" s="315">
        <v>1.8186</v>
      </c>
      <c r="G960" s="315">
        <v>1.6607000000000001</v>
      </c>
      <c r="H960" s="315">
        <v>1.8938999999999999</v>
      </c>
      <c r="I960" s="315">
        <v>1.8164</v>
      </c>
      <c r="J960" s="315">
        <v>1.9805999999999999</v>
      </c>
      <c r="K960" s="315">
        <v>0</v>
      </c>
      <c r="L960" s="315">
        <v>1.9802</v>
      </c>
      <c r="M960" s="315">
        <v>1.7111000000000001</v>
      </c>
      <c r="N960" s="315">
        <v>2.0735999999999999</v>
      </c>
      <c r="O960" s="315">
        <v>1.5092000000000001</v>
      </c>
      <c r="P960" s="315">
        <v>1.6732</v>
      </c>
      <c r="Q960" s="315">
        <v>1.5168999999999999</v>
      </c>
      <c r="R960" s="315">
        <v>2.3275999999999999</v>
      </c>
      <c r="S960" s="315">
        <v>2.1153</v>
      </c>
      <c r="T960" s="315">
        <v>1.6768000000000001</v>
      </c>
      <c r="U960" s="315">
        <v>2.1070000000000002</v>
      </c>
      <c r="V960" s="315">
        <v>2.1713</v>
      </c>
      <c r="W960" s="315">
        <v>2.0480999999999998</v>
      </c>
      <c r="X960" s="315">
        <v>1.6213</v>
      </c>
      <c r="Y960" s="315">
        <v>0</v>
      </c>
      <c r="Z960" s="315">
        <v>2.1173000000000002</v>
      </c>
      <c r="AA960" s="315">
        <v>1.8765000000000001</v>
      </c>
      <c r="AB960" s="315">
        <v>2.1556000000000002</v>
      </c>
      <c r="AC960" s="315">
        <v>1.9419</v>
      </c>
      <c r="AD960" s="315">
        <v>1.4547000000000001</v>
      </c>
      <c r="AE960" s="315">
        <v>1.9945999999999999</v>
      </c>
      <c r="AF960" s="315">
        <v>1.3954</v>
      </c>
      <c r="AG960" s="315">
        <v>0</v>
      </c>
      <c r="AH960" s="315">
        <v>1.7487999999999999</v>
      </c>
      <c r="AI960" s="315">
        <v>2.1143999999999998</v>
      </c>
      <c r="AJ960" s="315">
        <v>0</v>
      </c>
      <c r="AK960" s="315">
        <v>1.5561</v>
      </c>
      <c r="AL960" s="315">
        <v>1.7124999999999999</v>
      </c>
      <c r="AM960" s="315">
        <v>2.3605</v>
      </c>
      <c r="AN960" s="315">
        <v>1.7286999999999999</v>
      </c>
      <c r="AO960" s="315">
        <v>1.7848999999999999</v>
      </c>
      <c r="AP960" s="315">
        <v>2.3492999999999999</v>
      </c>
      <c r="AQ960" s="315">
        <v>1.9037999999999999</v>
      </c>
      <c r="AR960" s="315">
        <v>2.2057000000000002</v>
      </c>
      <c r="AS960" s="315">
        <v>0</v>
      </c>
      <c r="AT960" s="315">
        <v>2.1772999999999998</v>
      </c>
      <c r="AU960" s="315">
        <v>2.4599000000000002</v>
      </c>
      <c r="AV960" s="315">
        <v>1.829</v>
      </c>
      <c r="AW960" s="315">
        <v>1.8645</v>
      </c>
      <c r="AX960" s="315">
        <v>0</v>
      </c>
      <c r="AY960" s="315">
        <v>1.8113999999999999</v>
      </c>
      <c r="AZ960" s="315">
        <v>1.8746</v>
      </c>
      <c r="BA960" s="315">
        <v>1.9382999999999999</v>
      </c>
      <c r="BB960" s="315">
        <v>0</v>
      </c>
      <c r="BC960" s="315">
        <v>2.1615000000000002</v>
      </c>
      <c r="BD960" s="315">
        <v>2.1558000000000002</v>
      </c>
      <c r="BE960" s="315">
        <v>2.4030999999999998</v>
      </c>
      <c r="BF960" s="315">
        <v>1.9494</v>
      </c>
      <c r="BG960" s="315">
        <v>2.2105999999999999</v>
      </c>
      <c r="BH960" s="315">
        <v>2.3090000000000002</v>
      </c>
      <c r="BI960" s="315">
        <v>2.4910999999999999</v>
      </c>
      <c r="BJ960" s="315">
        <v>1.7889999999999999</v>
      </c>
      <c r="BK960" s="315">
        <v>1.9189000000000001</v>
      </c>
    </row>
    <row r="961" spans="1:63" x14ac:dyDescent="0.25">
      <c r="A961" s="306">
        <v>326122</v>
      </c>
      <c r="B961" s="315" t="s">
        <v>125</v>
      </c>
      <c r="C961" s="315">
        <v>3.141</v>
      </c>
      <c r="D961" s="315">
        <v>0</v>
      </c>
      <c r="E961" s="315">
        <v>2.3203</v>
      </c>
      <c r="F961" s="315">
        <v>1.8025</v>
      </c>
      <c r="G961" s="315">
        <v>1.5369999999999999</v>
      </c>
      <c r="H961" s="315">
        <v>1.7466999999999999</v>
      </c>
      <c r="I961" s="315">
        <v>1.6448</v>
      </c>
      <c r="J961" s="315">
        <v>2.0038</v>
      </c>
      <c r="K961" s="315">
        <v>0</v>
      </c>
      <c r="L961" s="315">
        <v>0</v>
      </c>
      <c r="M961" s="315">
        <v>1.5860000000000001</v>
      </c>
      <c r="N961" s="315">
        <v>1.9894000000000001</v>
      </c>
      <c r="O961" s="315">
        <v>0</v>
      </c>
      <c r="P961" s="315">
        <v>1.6879</v>
      </c>
      <c r="Q961" s="315">
        <v>1.4167000000000001</v>
      </c>
      <c r="R961" s="315">
        <v>2.3841999999999999</v>
      </c>
      <c r="S961" s="315">
        <v>2.2042999999999999</v>
      </c>
      <c r="T961" s="315">
        <v>1.6265000000000001</v>
      </c>
      <c r="U961" s="315">
        <v>2.1873</v>
      </c>
      <c r="V961" s="315">
        <v>2.3652000000000002</v>
      </c>
      <c r="W961" s="315">
        <v>2.0674999999999999</v>
      </c>
      <c r="X961" s="315">
        <v>1.4770000000000001</v>
      </c>
      <c r="Y961" s="315">
        <v>1.4767999999999999</v>
      </c>
      <c r="Z961" s="315">
        <v>2.1396999999999999</v>
      </c>
      <c r="AA961" s="315">
        <v>1.7428999999999999</v>
      </c>
      <c r="AB961" s="315">
        <v>2.2250999999999999</v>
      </c>
      <c r="AC961" s="315">
        <v>2.0529000000000002</v>
      </c>
      <c r="AD961" s="315">
        <v>1.3762000000000001</v>
      </c>
      <c r="AE961" s="315">
        <v>1.9742</v>
      </c>
      <c r="AF961" s="315">
        <v>1.3345</v>
      </c>
      <c r="AG961" s="315">
        <v>1.5269999999999999</v>
      </c>
      <c r="AH961" s="315">
        <v>1.6355</v>
      </c>
      <c r="AI961" s="315">
        <v>2.1303000000000001</v>
      </c>
      <c r="AJ961" s="315">
        <v>1.4011</v>
      </c>
      <c r="AK961" s="315">
        <v>1.4091</v>
      </c>
      <c r="AL961" s="315">
        <v>1.61</v>
      </c>
      <c r="AM961" s="315">
        <v>2.4624999999999999</v>
      </c>
      <c r="AN961" s="315">
        <v>1.6267</v>
      </c>
      <c r="AO961" s="315">
        <v>1.6568000000000001</v>
      </c>
      <c r="AP961" s="315">
        <v>2.4340999999999999</v>
      </c>
      <c r="AQ961" s="315">
        <v>0</v>
      </c>
      <c r="AR961" s="315">
        <v>2.3399000000000001</v>
      </c>
      <c r="AS961" s="315">
        <v>0</v>
      </c>
      <c r="AT961" s="315">
        <v>2.2061000000000002</v>
      </c>
      <c r="AU961" s="315">
        <v>2.6589999999999998</v>
      </c>
      <c r="AV961" s="315">
        <v>1.6686000000000001</v>
      </c>
      <c r="AW961" s="315">
        <v>1.7843</v>
      </c>
      <c r="AX961" s="315">
        <v>1.4193</v>
      </c>
      <c r="AY961" s="315">
        <v>1.6939</v>
      </c>
      <c r="AZ961" s="315">
        <v>1.7706</v>
      </c>
      <c r="BA961" s="315">
        <v>2.153</v>
      </c>
      <c r="BB961" s="315">
        <v>1.3187</v>
      </c>
      <c r="BC961" s="315">
        <v>2.1747000000000001</v>
      </c>
      <c r="BD961" s="315">
        <v>2.1269</v>
      </c>
      <c r="BE961" s="315">
        <v>2.4725999999999999</v>
      </c>
      <c r="BF961" s="315">
        <v>1.8935999999999999</v>
      </c>
      <c r="BG961" s="315">
        <v>2.1909999999999998</v>
      </c>
      <c r="BH961" s="315">
        <v>2.4289999999999998</v>
      </c>
      <c r="BI961" s="315">
        <v>2.6764000000000001</v>
      </c>
      <c r="BJ961" s="315">
        <v>1.6296999999999999</v>
      </c>
      <c r="BK961" s="315">
        <v>1.7627999999999999</v>
      </c>
    </row>
    <row r="962" spans="1:63" x14ac:dyDescent="0.25">
      <c r="A962" s="306">
        <v>326130</v>
      </c>
      <c r="B962" s="315" t="s">
        <v>126</v>
      </c>
      <c r="C962" s="315">
        <v>3.0436999999999999</v>
      </c>
      <c r="D962" s="315">
        <v>0</v>
      </c>
      <c r="E962" s="315">
        <v>2.17</v>
      </c>
      <c r="F962" s="315">
        <v>2.0019</v>
      </c>
      <c r="G962" s="315">
        <v>1.7430000000000001</v>
      </c>
      <c r="H962" s="315">
        <v>2.0076999999999998</v>
      </c>
      <c r="I962" s="315">
        <v>1.911</v>
      </c>
      <c r="J962" s="315">
        <v>2.0516000000000001</v>
      </c>
      <c r="K962" s="315">
        <v>0</v>
      </c>
      <c r="L962" s="315">
        <v>1.9086000000000001</v>
      </c>
      <c r="M962" s="315">
        <v>1.8052999999999999</v>
      </c>
      <c r="N962" s="315">
        <v>2.3151999999999999</v>
      </c>
      <c r="O962" s="315">
        <v>0</v>
      </c>
      <c r="P962" s="315">
        <v>1.722</v>
      </c>
      <c r="Q962" s="315">
        <v>1.6694</v>
      </c>
      <c r="R962" s="315">
        <v>2.3445999999999998</v>
      </c>
      <c r="S962" s="315">
        <v>2.1408</v>
      </c>
      <c r="T962" s="315">
        <v>1.7879</v>
      </c>
      <c r="U962" s="315">
        <v>2.2262</v>
      </c>
      <c r="V962" s="315">
        <v>2.1446000000000001</v>
      </c>
      <c r="W962" s="315">
        <v>2.1391</v>
      </c>
      <c r="X962" s="315">
        <v>1.7563</v>
      </c>
      <c r="Y962" s="315">
        <v>1.8653</v>
      </c>
      <c r="Z962" s="315">
        <v>2.1812</v>
      </c>
      <c r="AA962" s="315">
        <v>2.1244999999999998</v>
      </c>
      <c r="AB962" s="315">
        <v>2.16</v>
      </c>
      <c r="AC962" s="315">
        <v>1.9809000000000001</v>
      </c>
      <c r="AD962" s="315">
        <v>0</v>
      </c>
      <c r="AE962" s="315">
        <v>2.1518999999999999</v>
      </c>
      <c r="AF962" s="315">
        <v>0</v>
      </c>
      <c r="AG962" s="315">
        <v>1.5503</v>
      </c>
      <c r="AH962" s="315">
        <v>1.9704999999999999</v>
      </c>
      <c r="AI962" s="315">
        <v>2.2265000000000001</v>
      </c>
      <c r="AJ962" s="315">
        <v>0</v>
      </c>
      <c r="AK962" s="315">
        <v>0</v>
      </c>
      <c r="AL962" s="315">
        <v>1.8153999999999999</v>
      </c>
      <c r="AM962" s="315">
        <v>2.4563999999999999</v>
      </c>
      <c r="AN962" s="315">
        <v>1.9654</v>
      </c>
      <c r="AO962" s="315">
        <v>1.9894000000000001</v>
      </c>
      <c r="AP962" s="315">
        <v>2.4394</v>
      </c>
      <c r="AQ962" s="315">
        <v>1.911</v>
      </c>
      <c r="AR962" s="315">
        <v>2.2536</v>
      </c>
      <c r="AS962" s="315">
        <v>1.579</v>
      </c>
      <c r="AT962" s="315">
        <v>2.3113999999999999</v>
      </c>
      <c r="AU962" s="315">
        <v>2.3788</v>
      </c>
      <c r="AV962" s="315">
        <v>1.9471000000000001</v>
      </c>
      <c r="AW962" s="315">
        <v>2.0640000000000001</v>
      </c>
      <c r="AX962" s="315">
        <v>1.5720000000000001</v>
      </c>
      <c r="AY962" s="315">
        <v>2.0257999999999998</v>
      </c>
      <c r="AZ962" s="315">
        <v>2.1208999999999998</v>
      </c>
      <c r="BA962" s="315">
        <v>0</v>
      </c>
      <c r="BB962" s="315">
        <v>1.4169</v>
      </c>
      <c r="BC962" s="315">
        <v>2.2852000000000001</v>
      </c>
      <c r="BD962" s="315">
        <v>2.2949999999999999</v>
      </c>
      <c r="BE962" s="315">
        <v>2.5365000000000002</v>
      </c>
      <c r="BF962" s="315">
        <v>2.1067</v>
      </c>
      <c r="BG962" s="315">
        <v>2.3542999999999998</v>
      </c>
      <c r="BH962" s="315">
        <v>2.4217</v>
      </c>
      <c r="BI962" s="315">
        <v>2.5183</v>
      </c>
      <c r="BJ962" s="315">
        <v>1.9092</v>
      </c>
      <c r="BK962" s="315">
        <v>2.0924999999999998</v>
      </c>
    </row>
    <row r="963" spans="1:63" x14ac:dyDescent="0.25">
      <c r="A963" s="306">
        <v>326140</v>
      </c>
      <c r="B963" s="315" t="s">
        <v>127</v>
      </c>
      <c r="C963" s="315">
        <v>2.9489999999999998</v>
      </c>
      <c r="D963" s="315">
        <v>1.3838999999999999</v>
      </c>
      <c r="E963" s="315">
        <v>2.0935999999999999</v>
      </c>
      <c r="F963" s="315">
        <v>1.7525999999999999</v>
      </c>
      <c r="G963" s="315">
        <v>1.6133999999999999</v>
      </c>
      <c r="H963" s="315">
        <v>1.9097999999999999</v>
      </c>
      <c r="I963" s="315">
        <v>1.7555000000000001</v>
      </c>
      <c r="J963" s="315">
        <v>1.8713</v>
      </c>
      <c r="K963" s="315">
        <v>0</v>
      </c>
      <c r="L963" s="315">
        <v>1.8425</v>
      </c>
      <c r="M963" s="315">
        <v>1.724</v>
      </c>
      <c r="N963" s="315">
        <v>2.1183999999999998</v>
      </c>
      <c r="O963" s="315">
        <v>1.4796</v>
      </c>
      <c r="P963" s="315">
        <v>1.605</v>
      </c>
      <c r="Q963" s="315">
        <v>1.4717</v>
      </c>
      <c r="R963" s="315">
        <v>2.2984</v>
      </c>
      <c r="S963" s="315">
        <v>2.0832000000000002</v>
      </c>
      <c r="T963" s="315">
        <v>1.6372</v>
      </c>
      <c r="U963" s="315">
        <v>2.1036999999999999</v>
      </c>
      <c r="V963" s="315">
        <v>2.1688999999999998</v>
      </c>
      <c r="W963" s="315">
        <v>1.9560999999999999</v>
      </c>
      <c r="X963" s="315">
        <v>1.6015999999999999</v>
      </c>
      <c r="Y963" s="315">
        <v>1.6221000000000001</v>
      </c>
      <c r="Z963" s="315">
        <v>2.0167000000000002</v>
      </c>
      <c r="AA963" s="315">
        <v>1.8194999999999999</v>
      </c>
      <c r="AB963" s="315">
        <v>2.0291000000000001</v>
      </c>
      <c r="AC963" s="315">
        <v>1.9419</v>
      </c>
      <c r="AD963" s="315">
        <v>1.4549000000000001</v>
      </c>
      <c r="AE963" s="315">
        <v>2.016</v>
      </c>
      <c r="AF963" s="315">
        <v>0</v>
      </c>
      <c r="AG963" s="315">
        <v>1.5232000000000001</v>
      </c>
      <c r="AH963" s="315">
        <v>1.6561999999999999</v>
      </c>
      <c r="AI963" s="315">
        <v>2.0209000000000001</v>
      </c>
      <c r="AJ963" s="315">
        <v>1.5107999999999999</v>
      </c>
      <c r="AK963" s="315">
        <v>1.5047999999999999</v>
      </c>
      <c r="AL963" s="315">
        <v>1.7451000000000001</v>
      </c>
      <c r="AM963" s="315">
        <v>2.3420000000000001</v>
      </c>
      <c r="AN963" s="315">
        <v>1.6883999999999999</v>
      </c>
      <c r="AO963" s="315">
        <v>1.7363</v>
      </c>
      <c r="AP963" s="315">
        <v>2.2334999999999998</v>
      </c>
      <c r="AQ963" s="315">
        <v>1.8188</v>
      </c>
      <c r="AR963" s="315">
        <v>2.0884</v>
      </c>
      <c r="AS963" s="315">
        <v>1.4442999999999999</v>
      </c>
      <c r="AT963" s="315">
        <v>2.0773000000000001</v>
      </c>
      <c r="AU963" s="315">
        <v>2.4268000000000001</v>
      </c>
      <c r="AV963" s="315">
        <v>1.7929999999999999</v>
      </c>
      <c r="AW963" s="315">
        <v>1.8279000000000001</v>
      </c>
      <c r="AX963" s="315">
        <v>0</v>
      </c>
      <c r="AY963" s="315">
        <v>1.7561</v>
      </c>
      <c r="AZ963" s="315">
        <v>1.8411999999999999</v>
      </c>
      <c r="BA963" s="315">
        <v>1.8073999999999999</v>
      </c>
      <c r="BB963" s="315">
        <v>0</v>
      </c>
      <c r="BC963" s="315">
        <v>2.0398999999999998</v>
      </c>
      <c r="BD963" s="315">
        <v>2.1694</v>
      </c>
      <c r="BE963" s="315">
        <v>2.3814000000000002</v>
      </c>
      <c r="BF963" s="315">
        <v>1.8740000000000001</v>
      </c>
      <c r="BG963" s="315">
        <v>2.1829999999999998</v>
      </c>
      <c r="BH963" s="315">
        <v>2.3119999999999998</v>
      </c>
      <c r="BI963" s="315">
        <v>2.4655</v>
      </c>
      <c r="BJ963" s="315">
        <v>1.7428999999999999</v>
      </c>
      <c r="BK963" s="315">
        <v>1.9219999999999999</v>
      </c>
    </row>
    <row r="964" spans="1:63" x14ac:dyDescent="0.25">
      <c r="A964" s="306">
        <v>326150</v>
      </c>
      <c r="B964" s="315" t="s">
        <v>128</v>
      </c>
      <c r="C964" s="315">
        <v>3.0219999999999998</v>
      </c>
      <c r="D964" s="315">
        <v>1.3574999999999999</v>
      </c>
      <c r="E964" s="315">
        <v>2.1251000000000002</v>
      </c>
      <c r="F964" s="315">
        <v>1.8956</v>
      </c>
      <c r="G964" s="315">
        <v>1.6335</v>
      </c>
      <c r="H964" s="315">
        <v>1.9300999999999999</v>
      </c>
      <c r="I964" s="315">
        <v>1.8371999999999999</v>
      </c>
      <c r="J964" s="315">
        <v>1.9756</v>
      </c>
      <c r="K964" s="315">
        <v>0</v>
      </c>
      <c r="L964" s="315">
        <v>1.8666</v>
      </c>
      <c r="M964" s="315">
        <v>1.7233000000000001</v>
      </c>
      <c r="N964" s="315">
        <v>2.2048000000000001</v>
      </c>
      <c r="O964" s="315">
        <v>0</v>
      </c>
      <c r="P964" s="315">
        <v>1.7386999999999999</v>
      </c>
      <c r="Q964" s="315">
        <v>0</v>
      </c>
      <c r="R964" s="315">
        <v>2.3931</v>
      </c>
      <c r="S964" s="315">
        <v>2.1993</v>
      </c>
      <c r="T964" s="315">
        <v>1.8093999999999999</v>
      </c>
      <c r="U964" s="315">
        <v>2.169</v>
      </c>
      <c r="V964" s="315">
        <v>2.0836000000000001</v>
      </c>
      <c r="W964" s="315">
        <v>1.9704999999999999</v>
      </c>
      <c r="X964" s="315">
        <v>1.6301000000000001</v>
      </c>
      <c r="Y964" s="315">
        <v>1.6093999999999999</v>
      </c>
      <c r="Z964" s="315">
        <v>2.0240999999999998</v>
      </c>
      <c r="AA964" s="315">
        <v>2.0680000000000001</v>
      </c>
      <c r="AB964" s="315">
        <v>2.1568999999999998</v>
      </c>
      <c r="AC964" s="315">
        <v>1.8529</v>
      </c>
      <c r="AD964" s="315">
        <v>0</v>
      </c>
      <c r="AE964" s="315">
        <v>2.0562999999999998</v>
      </c>
      <c r="AF964" s="315">
        <v>0</v>
      </c>
      <c r="AG964" s="315">
        <v>1.607</v>
      </c>
      <c r="AH964" s="315">
        <v>1.7668999999999999</v>
      </c>
      <c r="AI964" s="315">
        <v>2.2105000000000001</v>
      </c>
      <c r="AJ964" s="315">
        <v>1.5021</v>
      </c>
      <c r="AK964" s="315">
        <v>1.5447</v>
      </c>
      <c r="AL964" s="315">
        <v>1.7344999999999999</v>
      </c>
      <c r="AM964" s="315">
        <v>2.4367999999999999</v>
      </c>
      <c r="AN964" s="315">
        <v>1.7319</v>
      </c>
      <c r="AO964" s="315">
        <v>1.8517999999999999</v>
      </c>
      <c r="AP964" s="315">
        <v>2.2625999999999999</v>
      </c>
      <c r="AQ964" s="315">
        <v>1.8069</v>
      </c>
      <c r="AR964" s="315">
        <v>2.1785999999999999</v>
      </c>
      <c r="AS964" s="315">
        <v>0</v>
      </c>
      <c r="AT964" s="315">
        <v>2.1467999999999998</v>
      </c>
      <c r="AU964" s="315">
        <v>2.4148000000000001</v>
      </c>
      <c r="AV964" s="315">
        <v>1.8404</v>
      </c>
      <c r="AW964" s="315">
        <v>1.9319999999999999</v>
      </c>
      <c r="AX964" s="315">
        <v>0</v>
      </c>
      <c r="AY964" s="315">
        <v>1.7808999999999999</v>
      </c>
      <c r="AZ964" s="315">
        <v>2.0230999999999999</v>
      </c>
      <c r="BA964" s="315">
        <v>1.8438000000000001</v>
      </c>
      <c r="BB964" s="315">
        <v>0</v>
      </c>
      <c r="BC964" s="315">
        <v>2.1044999999999998</v>
      </c>
      <c r="BD964" s="315">
        <v>2.2496999999999998</v>
      </c>
      <c r="BE964" s="315">
        <v>2.4988000000000001</v>
      </c>
      <c r="BF964" s="315">
        <v>2.1101000000000001</v>
      </c>
      <c r="BG964" s="315">
        <v>2.2195999999999998</v>
      </c>
      <c r="BH964" s="315">
        <v>2.3908999999999998</v>
      </c>
      <c r="BI964" s="315">
        <v>2.4428999999999998</v>
      </c>
      <c r="BJ964" s="315">
        <v>1.8160000000000001</v>
      </c>
      <c r="BK964" s="315">
        <v>1.9467000000000001</v>
      </c>
    </row>
    <row r="965" spans="1:63" x14ac:dyDescent="0.25">
      <c r="A965" s="306">
        <v>326160</v>
      </c>
      <c r="B965" s="315" t="s">
        <v>129</v>
      </c>
      <c r="C965" s="315">
        <v>2.9275000000000002</v>
      </c>
      <c r="D965" s="315">
        <v>0</v>
      </c>
      <c r="E965" s="315">
        <v>2.1840000000000002</v>
      </c>
      <c r="F965" s="315">
        <v>1.8231999999999999</v>
      </c>
      <c r="G965" s="315">
        <v>1.5533999999999999</v>
      </c>
      <c r="H965" s="315">
        <v>1.7684</v>
      </c>
      <c r="I965" s="315">
        <v>1.6787000000000001</v>
      </c>
      <c r="J965" s="315">
        <v>1.9390000000000001</v>
      </c>
      <c r="K965" s="315">
        <v>0</v>
      </c>
      <c r="L965" s="315">
        <v>2.0114999999999998</v>
      </c>
      <c r="M965" s="315">
        <v>1.6048</v>
      </c>
      <c r="N965" s="315">
        <v>2.0253999999999999</v>
      </c>
      <c r="O965" s="315">
        <v>1.4228000000000001</v>
      </c>
      <c r="P965" s="315">
        <v>1.6961999999999999</v>
      </c>
      <c r="Q965" s="315">
        <v>0</v>
      </c>
      <c r="R965" s="315">
        <v>2.2948</v>
      </c>
      <c r="S965" s="315">
        <v>2.1299000000000001</v>
      </c>
      <c r="T965" s="315">
        <v>1.6721999999999999</v>
      </c>
      <c r="U965" s="315">
        <v>2.1194999999999999</v>
      </c>
      <c r="V965" s="315">
        <v>2.2052999999999998</v>
      </c>
      <c r="W965" s="315">
        <v>1.9738</v>
      </c>
      <c r="X965" s="315">
        <v>1.5401</v>
      </c>
      <c r="Y965" s="315">
        <v>1.5462</v>
      </c>
      <c r="Z965" s="315">
        <v>2.0587</v>
      </c>
      <c r="AA965" s="315">
        <v>1.8204</v>
      </c>
      <c r="AB965" s="315">
        <v>2.1415999999999999</v>
      </c>
      <c r="AC965" s="315">
        <v>1.9534</v>
      </c>
      <c r="AD965" s="315">
        <v>1.4283999999999999</v>
      </c>
      <c r="AE965" s="315">
        <v>1.9462999999999999</v>
      </c>
      <c r="AF965" s="315">
        <v>1.3915</v>
      </c>
      <c r="AG965" s="315">
        <v>0</v>
      </c>
      <c r="AH965" s="315">
        <v>1.6588000000000001</v>
      </c>
      <c r="AI965" s="315">
        <v>2.0682999999999998</v>
      </c>
      <c r="AJ965" s="315">
        <v>0</v>
      </c>
      <c r="AK965" s="315">
        <v>1.4662999999999999</v>
      </c>
      <c r="AL965" s="315">
        <v>1.6134999999999999</v>
      </c>
      <c r="AM965" s="315">
        <v>2.3512</v>
      </c>
      <c r="AN965" s="315">
        <v>1.6592</v>
      </c>
      <c r="AO965" s="315">
        <v>1.6981999999999999</v>
      </c>
      <c r="AP965" s="315">
        <v>2.2984</v>
      </c>
      <c r="AQ965" s="315">
        <v>1.8505</v>
      </c>
      <c r="AR965" s="315">
        <v>2.2259000000000002</v>
      </c>
      <c r="AS965" s="315">
        <v>1.4653</v>
      </c>
      <c r="AT965" s="315">
        <v>2.1345000000000001</v>
      </c>
      <c r="AU965" s="315">
        <v>2.4464999999999999</v>
      </c>
      <c r="AV965" s="315">
        <v>1.7069000000000001</v>
      </c>
      <c r="AW965" s="315">
        <v>1.8153999999999999</v>
      </c>
      <c r="AX965" s="315">
        <v>1.4213</v>
      </c>
      <c r="AY965" s="315">
        <v>1.7332000000000001</v>
      </c>
      <c r="AZ965" s="315">
        <v>1.8459000000000001</v>
      </c>
      <c r="BA965" s="315">
        <v>1.9751000000000001</v>
      </c>
      <c r="BB965" s="315">
        <v>1.3462000000000001</v>
      </c>
      <c r="BC965" s="315">
        <v>2.0768</v>
      </c>
      <c r="BD965" s="315">
        <v>2.0792999999999999</v>
      </c>
      <c r="BE965" s="315">
        <v>2.3826999999999998</v>
      </c>
      <c r="BF965" s="315">
        <v>1.9228000000000001</v>
      </c>
      <c r="BG965" s="315">
        <v>2.1543000000000001</v>
      </c>
      <c r="BH965" s="315">
        <v>2.3241000000000001</v>
      </c>
      <c r="BI965" s="315">
        <v>2.4828000000000001</v>
      </c>
      <c r="BJ965" s="315">
        <v>1.663</v>
      </c>
      <c r="BK965" s="315">
        <v>1.7939000000000001</v>
      </c>
    </row>
    <row r="966" spans="1:63" x14ac:dyDescent="0.25">
      <c r="A966" s="306" t="s">
        <v>716</v>
      </c>
      <c r="B966" s="315" t="s">
        <v>130</v>
      </c>
      <c r="C966" s="315">
        <v>3.0390999999999999</v>
      </c>
      <c r="D966" s="315">
        <v>1.4716</v>
      </c>
      <c r="E966" s="315">
        <v>2.1473</v>
      </c>
      <c r="F966" s="315">
        <v>1.9018999999999999</v>
      </c>
      <c r="G966" s="315">
        <v>1.7817000000000001</v>
      </c>
      <c r="H966" s="315">
        <v>2.0506000000000002</v>
      </c>
      <c r="I966" s="315">
        <v>1.9702</v>
      </c>
      <c r="J966" s="315">
        <v>2.0505</v>
      </c>
      <c r="K966" s="315">
        <v>0</v>
      </c>
      <c r="L966" s="315">
        <v>1.9532</v>
      </c>
      <c r="M966" s="315">
        <v>1.8372999999999999</v>
      </c>
      <c r="N966" s="315">
        <v>2.2200000000000002</v>
      </c>
      <c r="O966" s="315">
        <v>1.6023000000000001</v>
      </c>
      <c r="P966" s="315">
        <v>1.7394000000000001</v>
      </c>
      <c r="Q966" s="315">
        <v>1.6111</v>
      </c>
      <c r="R966" s="315">
        <v>2.4075000000000002</v>
      </c>
      <c r="S966" s="315">
        <v>2.1743000000000001</v>
      </c>
      <c r="T966" s="315">
        <v>1.77</v>
      </c>
      <c r="U966" s="315">
        <v>2.1709000000000001</v>
      </c>
      <c r="V966" s="315">
        <v>2.1137000000000001</v>
      </c>
      <c r="W966" s="315">
        <v>2.1240999999999999</v>
      </c>
      <c r="X966" s="315">
        <v>1.7445999999999999</v>
      </c>
      <c r="Y966" s="315">
        <v>1.7822</v>
      </c>
      <c r="Z966" s="315">
        <v>2.1846999999999999</v>
      </c>
      <c r="AA966" s="315">
        <v>2.0451000000000001</v>
      </c>
      <c r="AB966" s="315">
        <v>2.2162999999999999</v>
      </c>
      <c r="AC966" s="315">
        <v>1.9716</v>
      </c>
      <c r="AD966" s="315">
        <v>1.5365</v>
      </c>
      <c r="AE966" s="315">
        <v>2.0979000000000001</v>
      </c>
      <c r="AF966" s="315">
        <v>1.4797</v>
      </c>
      <c r="AG966" s="315">
        <v>1.6005</v>
      </c>
      <c r="AH966" s="315">
        <v>1.9182999999999999</v>
      </c>
      <c r="AI966" s="315">
        <v>2.2067000000000001</v>
      </c>
      <c r="AJ966" s="315">
        <v>1.5646</v>
      </c>
      <c r="AK966" s="315">
        <v>1.6876</v>
      </c>
      <c r="AL966" s="315">
        <v>1.8226</v>
      </c>
      <c r="AM966" s="315">
        <v>2.4127000000000001</v>
      </c>
      <c r="AN966" s="315">
        <v>1.8714999999999999</v>
      </c>
      <c r="AO966" s="315">
        <v>1.9273</v>
      </c>
      <c r="AP966" s="315">
        <v>2.4386000000000001</v>
      </c>
      <c r="AQ966" s="315">
        <v>1.9690000000000001</v>
      </c>
      <c r="AR966" s="315">
        <v>2.2364999999999999</v>
      </c>
      <c r="AS966" s="315">
        <v>1.5584</v>
      </c>
      <c r="AT966" s="315">
        <v>2.2612999999999999</v>
      </c>
      <c r="AU966" s="315">
        <v>2.4653</v>
      </c>
      <c r="AV966" s="315">
        <v>1.9806999999999999</v>
      </c>
      <c r="AW966" s="315">
        <v>2.0028999999999999</v>
      </c>
      <c r="AX966" s="315">
        <v>1.6020000000000001</v>
      </c>
      <c r="AY966" s="315">
        <v>1.9495</v>
      </c>
      <c r="AZ966" s="315">
        <v>2.0236000000000001</v>
      </c>
      <c r="BA966" s="315">
        <v>1.9196</v>
      </c>
      <c r="BB966" s="315">
        <v>1.4434</v>
      </c>
      <c r="BC966" s="315">
        <v>2.2605</v>
      </c>
      <c r="BD966" s="315">
        <v>2.2787000000000002</v>
      </c>
      <c r="BE966" s="315">
        <v>2.4927999999999999</v>
      </c>
      <c r="BF966" s="315">
        <v>2.0788000000000002</v>
      </c>
      <c r="BG966" s="315">
        <v>2.3250000000000002</v>
      </c>
      <c r="BH966" s="315">
        <v>2.3658000000000001</v>
      </c>
      <c r="BI966" s="315">
        <v>2.4996</v>
      </c>
      <c r="BJ966" s="315">
        <v>1.9398</v>
      </c>
      <c r="BK966" s="315">
        <v>2.0907</v>
      </c>
    </row>
    <row r="967" spans="1:63" x14ac:dyDescent="0.25">
      <c r="A967" s="306">
        <v>326210</v>
      </c>
      <c r="B967" s="315" t="s">
        <v>131</v>
      </c>
      <c r="C967" s="315">
        <v>2.9704000000000002</v>
      </c>
      <c r="D967" s="315">
        <v>0</v>
      </c>
      <c r="E967" s="315">
        <v>2.0966999999999998</v>
      </c>
      <c r="F967" s="315">
        <v>1.8454999999999999</v>
      </c>
      <c r="G967" s="315">
        <v>1.7954000000000001</v>
      </c>
      <c r="H967" s="315">
        <v>2.0068999999999999</v>
      </c>
      <c r="I967" s="315">
        <v>1.9483999999999999</v>
      </c>
      <c r="J967" s="315">
        <v>1.8213999999999999</v>
      </c>
      <c r="K967" s="315">
        <v>0</v>
      </c>
      <c r="L967" s="315">
        <v>1.7436</v>
      </c>
      <c r="M967" s="315">
        <v>1.8747</v>
      </c>
      <c r="N967" s="315">
        <v>2.3039000000000001</v>
      </c>
      <c r="O967" s="315">
        <v>1.5952999999999999</v>
      </c>
      <c r="P967" s="315">
        <v>1.6129</v>
      </c>
      <c r="Q967" s="315">
        <v>1.55</v>
      </c>
      <c r="R967" s="315">
        <v>2.2488999999999999</v>
      </c>
      <c r="S967" s="315">
        <v>2.0705</v>
      </c>
      <c r="T967" s="315">
        <v>1.8236000000000001</v>
      </c>
      <c r="U967" s="315">
        <v>2.1404000000000001</v>
      </c>
      <c r="V967" s="315">
        <v>2.0299999999999998</v>
      </c>
      <c r="W967" s="315">
        <v>1.9252</v>
      </c>
      <c r="X967" s="315">
        <v>1.7097</v>
      </c>
      <c r="Y967" s="315">
        <v>1.7919</v>
      </c>
      <c r="Z967" s="315">
        <v>1.9562999999999999</v>
      </c>
      <c r="AA967" s="315">
        <v>1.9394</v>
      </c>
      <c r="AB967" s="315">
        <v>2.0371999999999999</v>
      </c>
      <c r="AC967" s="315">
        <v>1.9041999999999999</v>
      </c>
      <c r="AD967" s="315">
        <v>1.5861000000000001</v>
      </c>
      <c r="AE967" s="315">
        <v>2.1122999999999998</v>
      </c>
      <c r="AF967" s="315">
        <v>1.4590000000000001</v>
      </c>
      <c r="AG967" s="315">
        <v>1.5681</v>
      </c>
      <c r="AH967" s="315">
        <v>1.7484</v>
      </c>
      <c r="AI967" s="315">
        <v>2.0339</v>
      </c>
      <c r="AJ967" s="315">
        <v>1.5710999999999999</v>
      </c>
      <c r="AK967" s="315">
        <v>1.6308</v>
      </c>
      <c r="AL967" s="315">
        <v>1.8424</v>
      </c>
      <c r="AM967" s="315">
        <v>2.3786</v>
      </c>
      <c r="AN967" s="315">
        <v>1.897</v>
      </c>
      <c r="AO967" s="315">
        <v>1.8936999999999999</v>
      </c>
      <c r="AP967" s="315">
        <v>2.1839</v>
      </c>
      <c r="AQ967" s="315">
        <v>0</v>
      </c>
      <c r="AR967" s="315">
        <v>2.0720000000000001</v>
      </c>
      <c r="AS967" s="315">
        <v>1.4863</v>
      </c>
      <c r="AT967" s="315">
        <v>2.1131000000000002</v>
      </c>
      <c r="AU967" s="315">
        <v>2.3473000000000002</v>
      </c>
      <c r="AV967" s="315">
        <v>1.9169</v>
      </c>
      <c r="AW967" s="315">
        <v>1.9849000000000001</v>
      </c>
      <c r="AX967" s="315">
        <v>0</v>
      </c>
      <c r="AY967" s="315">
        <v>1.8443000000000001</v>
      </c>
      <c r="AZ967" s="315">
        <v>1.9334</v>
      </c>
      <c r="BA967" s="315">
        <v>1.7190000000000001</v>
      </c>
      <c r="BB967" s="315">
        <v>0</v>
      </c>
      <c r="BC967" s="315">
        <v>2.0335000000000001</v>
      </c>
      <c r="BD967" s="315">
        <v>2.2162999999999999</v>
      </c>
      <c r="BE967" s="315">
        <v>2.3618000000000001</v>
      </c>
      <c r="BF967" s="315">
        <v>2.0223</v>
      </c>
      <c r="BG967" s="315">
        <v>2.3300999999999998</v>
      </c>
      <c r="BH967" s="315">
        <v>2.3683000000000001</v>
      </c>
      <c r="BI967" s="315">
        <v>2.4321000000000002</v>
      </c>
      <c r="BJ967" s="315">
        <v>1.9079999999999999</v>
      </c>
      <c r="BK967" s="315">
        <v>2.0297000000000001</v>
      </c>
    </row>
    <row r="968" spans="1:63" x14ac:dyDescent="0.25">
      <c r="A968" s="306">
        <v>326220</v>
      </c>
      <c r="B968" s="315" t="s">
        <v>132</v>
      </c>
      <c r="C968" s="315">
        <v>2.7233000000000001</v>
      </c>
      <c r="D968" s="315">
        <v>0</v>
      </c>
      <c r="E968" s="315">
        <v>1.9415</v>
      </c>
      <c r="F968" s="315">
        <v>1.7698</v>
      </c>
      <c r="G968" s="315">
        <v>1.6276999999999999</v>
      </c>
      <c r="H968" s="315">
        <v>1.9066000000000001</v>
      </c>
      <c r="I968" s="315">
        <v>1.7998000000000001</v>
      </c>
      <c r="J968" s="315">
        <v>1.8774999999999999</v>
      </c>
      <c r="K968" s="315">
        <v>0</v>
      </c>
      <c r="L968" s="315">
        <v>1.6729000000000001</v>
      </c>
      <c r="M968" s="315">
        <v>1.7384999999999999</v>
      </c>
      <c r="N968" s="315">
        <v>2.0379999999999998</v>
      </c>
      <c r="O968" s="315">
        <v>0</v>
      </c>
      <c r="P968" s="315">
        <v>1.6352</v>
      </c>
      <c r="Q968" s="315">
        <v>1.474</v>
      </c>
      <c r="R968" s="315">
        <v>2.2101999999999999</v>
      </c>
      <c r="S968" s="315">
        <v>2.0101</v>
      </c>
      <c r="T968" s="315">
        <v>1.5982000000000001</v>
      </c>
      <c r="U968" s="315">
        <v>2.0308000000000002</v>
      </c>
      <c r="V968" s="315">
        <v>1.8900999999999999</v>
      </c>
      <c r="W968" s="315">
        <v>1.8687</v>
      </c>
      <c r="X968" s="315">
        <v>1.6005</v>
      </c>
      <c r="Y968" s="315">
        <v>0</v>
      </c>
      <c r="Z968" s="315">
        <v>1.9927999999999999</v>
      </c>
      <c r="AA968" s="315">
        <v>1.9148000000000001</v>
      </c>
      <c r="AB968" s="315">
        <v>2.0015000000000001</v>
      </c>
      <c r="AC968" s="315">
        <v>1.8085</v>
      </c>
      <c r="AD968" s="315">
        <v>0</v>
      </c>
      <c r="AE968" s="315">
        <v>1.9573</v>
      </c>
      <c r="AF968" s="315">
        <v>1.4</v>
      </c>
      <c r="AG968" s="315">
        <v>1.6073</v>
      </c>
      <c r="AH968" s="315">
        <v>1.7525999999999999</v>
      </c>
      <c r="AI968" s="315">
        <v>1.9363999999999999</v>
      </c>
      <c r="AJ968" s="315">
        <v>0</v>
      </c>
      <c r="AK968" s="315">
        <v>1.5159</v>
      </c>
      <c r="AL968" s="315">
        <v>1.6711</v>
      </c>
      <c r="AM968" s="315">
        <v>2.2239</v>
      </c>
      <c r="AN968" s="315">
        <v>1.7896000000000001</v>
      </c>
      <c r="AO968" s="315">
        <v>1.7565</v>
      </c>
      <c r="AP968" s="315">
        <v>2.1356999999999999</v>
      </c>
      <c r="AQ968" s="315">
        <v>1.7194</v>
      </c>
      <c r="AR968" s="315">
        <v>1.9957</v>
      </c>
      <c r="AS968" s="315">
        <v>0</v>
      </c>
      <c r="AT968" s="315">
        <v>2.0101</v>
      </c>
      <c r="AU968" s="315">
        <v>2.2050000000000001</v>
      </c>
      <c r="AV968" s="315">
        <v>1.8386</v>
      </c>
      <c r="AW968" s="315">
        <v>1.8267</v>
      </c>
      <c r="AX968" s="315">
        <v>0</v>
      </c>
      <c r="AY968" s="315">
        <v>1.6857</v>
      </c>
      <c r="AZ968" s="315">
        <v>1.9104000000000001</v>
      </c>
      <c r="BA968" s="315">
        <v>1.7410000000000001</v>
      </c>
      <c r="BB968" s="315">
        <v>0</v>
      </c>
      <c r="BC968" s="315">
        <v>1.9976</v>
      </c>
      <c r="BD968" s="315">
        <v>2.0451000000000001</v>
      </c>
      <c r="BE968" s="315">
        <v>2.2757000000000001</v>
      </c>
      <c r="BF968" s="315">
        <v>1.9343999999999999</v>
      </c>
      <c r="BG968" s="315">
        <v>2.0952000000000002</v>
      </c>
      <c r="BH968" s="315">
        <v>2.1745999999999999</v>
      </c>
      <c r="BI968" s="315">
        <v>2.2477</v>
      </c>
      <c r="BJ968" s="315">
        <v>1.7664</v>
      </c>
      <c r="BK968" s="315">
        <v>1.9004000000000001</v>
      </c>
    </row>
    <row r="969" spans="1:63" x14ac:dyDescent="0.25">
      <c r="A969" s="306">
        <v>326290</v>
      </c>
      <c r="B969" s="315" t="s">
        <v>133</v>
      </c>
      <c r="C969" s="315">
        <v>3.0095000000000001</v>
      </c>
      <c r="D969" s="315">
        <v>0</v>
      </c>
      <c r="E969" s="315">
        <v>2.0859000000000001</v>
      </c>
      <c r="F969" s="315">
        <v>1.895</v>
      </c>
      <c r="G969" s="315">
        <v>1.7619</v>
      </c>
      <c r="H969" s="315">
        <v>2.0804</v>
      </c>
      <c r="I969" s="315">
        <v>1.919</v>
      </c>
      <c r="J969" s="315">
        <v>2.0095999999999998</v>
      </c>
      <c r="K969" s="315">
        <v>0</v>
      </c>
      <c r="L969" s="315">
        <v>1.7479</v>
      </c>
      <c r="M969" s="315">
        <v>1.8728</v>
      </c>
      <c r="N969" s="315">
        <v>2.2198000000000002</v>
      </c>
      <c r="O969" s="315">
        <v>0</v>
      </c>
      <c r="P969" s="315">
        <v>1.7444999999999999</v>
      </c>
      <c r="Q969" s="315">
        <v>1.5362</v>
      </c>
      <c r="R969" s="315">
        <v>2.4073000000000002</v>
      </c>
      <c r="S969" s="315">
        <v>2.1680000000000001</v>
      </c>
      <c r="T969" s="315">
        <v>1.7356</v>
      </c>
      <c r="U969" s="315">
        <v>2.1897000000000002</v>
      </c>
      <c r="V969" s="315">
        <v>2.0116999999999998</v>
      </c>
      <c r="W969" s="315">
        <v>2.0234000000000001</v>
      </c>
      <c r="X969" s="315">
        <v>1.7257</v>
      </c>
      <c r="Y969" s="315">
        <v>1.7287999999999999</v>
      </c>
      <c r="Z969" s="315">
        <v>2.1417000000000002</v>
      </c>
      <c r="AA969" s="315">
        <v>2.0853999999999999</v>
      </c>
      <c r="AB969" s="315">
        <v>2.1465999999999998</v>
      </c>
      <c r="AC969" s="315">
        <v>1.9016</v>
      </c>
      <c r="AD969" s="315">
        <v>1.5589999999999999</v>
      </c>
      <c r="AE969" s="315">
        <v>2.1070000000000002</v>
      </c>
      <c r="AF969" s="315">
        <v>0</v>
      </c>
      <c r="AG969" s="315">
        <v>1.6921999999999999</v>
      </c>
      <c r="AH969" s="315">
        <v>1.9029</v>
      </c>
      <c r="AI969" s="315">
        <v>2.0935000000000001</v>
      </c>
      <c r="AJ969" s="315">
        <v>1.6440999999999999</v>
      </c>
      <c r="AK969" s="315">
        <v>1.6169</v>
      </c>
      <c r="AL969" s="315">
        <v>1.8152999999999999</v>
      </c>
      <c r="AM969" s="315">
        <v>2.4291999999999998</v>
      </c>
      <c r="AN969" s="315">
        <v>1.925</v>
      </c>
      <c r="AO969" s="315">
        <v>1.9254</v>
      </c>
      <c r="AP969" s="315">
        <v>2.3163</v>
      </c>
      <c r="AQ969" s="315">
        <v>1.8386</v>
      </c>
      <c r="AR969" s="315">
        <v>2.1400999999999999</v>
      </c>
      <c r="AS969" s="315">
        <v>1.6061000000000001</v>
      </c>
      <c r="AT969" s="315">
        <v>2.1576</v>
      </c>
      <c r="AU969" s="315">
        <v>2.3824000000000001</v>
      </c>
      <c r="AV969" s="315">
        <v>1.9954000000000001</v>
      </c>
      <c r="AW969" s="315">
        <v>1.9652000000000001</v>
      </c>
      <c r="AX969" s="315">
        <v>1.627</v>
      </c>
      <c r="AY969" s="315">
        <v>1.8130999999999999</v>
      </c>
      <c r="AZ969" s="315">
        <v>2.0754000000000001</v>
      </c>
      <c r="BA969" s="315">
        <v>1.8493999999999999</v>
      </c>
      <c r="BB969" s="315">
        <v>1.4352</v>
      </c>
      <c r="BC969" s="315">
        <v>2.1558000000000002</v>
      </c>
      <c r="BD969" s="315">
        <v>2.2576999999999998</v>
      </c>
      <c r="BE969" s="315">
        <v>2.4857</v>
      </c>
      <c r="BF969" s="315">
        <v>2.1034999999999999</v>
      </c>
      <c r="BG969" s="315">
        <v>2.2719999999999998</v>
      </c>
      <c r="BH969" s="315">
        <v>2.3708</v>
      </c>
      <c r="BI969" s="315">
        <v>2.4287000000000001</v>
      </c>
      <c r="BJ969" s="315">
        <v>1.8991</v>
      </c>
      <c r="BK969" s="315">
        <v>2.0817000000000001</v>
      </c>
    </row>
    <row r="970" spans="1:63" x14ac:dyDescent="0.25">
      <c r="A970" s="306" t="s">
        <v>717</v>
      </c>
      <c r="B970" s="315" t="s">
        <v>134</v>
      </c>
      <c r="C970" s="315">
        <v>2.9790000000000001</v>
      </c>
      <c r="D970" s="315">
        <v>0</v>
      </c>
      <c r="E970" s="315">
        <v>2.0876999999999999</v>
      </c>
      <c r="F970" s="315">
        <v>1.9466000000000001</v>
      </c>
      <c r="G970" s="315">
        <v>1.9276</v>
      </c>
      <c r="H970" s="315">
        <v>2.2642000000000002</v>
      </c>
      <c r="I970" s="315">
        <v>2.1558999999999999</v>
      </c>
      <c r="J970" s="315">
        <v>2.0295999999999998</v>
      </c>
      <c r="K970" s="315">
        <v>1.2483</v>
      </c>
      <c r="L970" s="315">
        <v>1.7956000000000001</v>
      </c>
      <c r="M970" s="315">
        <v>1.9487000000000001</v>
      </c>
      <c r="N970" s="315">
        <v>2.2995999999999999</v>
      </c>
      <c r="O970" s="315">
        <v>1.7363</v>
      </c>
      <c r="P970" s="315">
        <v>1.7236</v>
      </c>
      <c r="Q970" s="315">
        <v>1.6879</v>
      </c>
      <c r="R970" s="315">
        <v>2.3708</v>
      </c>
      <c r="S970" s="315">
        <v>2.1648000000000001</v>
      </c>
      <c r="T970" s="315">
        <v>1.8255999999999999</v>
      </c>
      <c r="U970" s="315">
        <v>2.1587000000000001</v>
      </c>
      <c r="V970" s="315">
        <v>1.9622999999999999</v>
      </c>
      <c r="W970" s="315">
        <v>2.1166999999999998</v>
      </c>
      <c r="X970" s="315">
        <v>1.8947000000000001</v>
      </c>
      <c r="Y970" s="315">
        <v>1.8483000000000001</v>
      </c>
      <c r="Z970" s="315">
        <v>2.2757999999999998</v>
      </c>
      <c r="AA970" s="315">
        <v>2.1232000000000002</v>
      </c>
      <c r="AB970" s="315">
        <v>2.2559999999999998</v>
      </c>
      <c r="AC970" s="315">
        <v>1.8492</v>
      </c>
      <c r="AD970" s="315">
        <v>1.6242000000000001</v>
      </c>
      <c r="AE970" s="315">
        <v>2.1331000000000002</v>
      </c>
      <c r="AF970" s="315">
        <v>1.5668</v>
      </c>
      <c r="AG970" s="315">
        <v>1.6956</v>
      </c>
      <c r="AH970" s="315">
        <v>1.9073</v>
      </c>
      <c r="AI970" s="315">
        <v>2.2029999999999998</v>
      </c>
      <c r="AJ970" s="315">
        <v>1.7186999999999999</v>
      </c>
      <c r="AK970" s="315">
        <v>1.7897000000000001</v>
      </c>
      <c r="AL970" s="315">
        <v>1.9593</v>
      </c>
      <c r="AM970" s="315">
        <v>2.3896999999999999</v>
      </c>
      <c r="AN970" s="315">
        <v>1.9221999999999999</v>
      </c>
      <c r="AO970" s="315">
        <v>2.0796999999999999</v>
      </c>
      <c r="AP970" s="315">
        <v>2.4295</v>
      </c>
      <c r="AQ970" s="315">
        <v>1.8774</v>
      </c>
      <c r="AR970" s="315">
        <v>2.0739999999999998</v>
      </c>
      <c r="AS970" s="315">
        <v>1.6067</v>
      </c>
      <c r="AT970" s="315">
        <v>2.2595999999999998</v>
      </c>
      <c r="AU970" s="315">
        <v>2.2953999999999999</v>
      </c>
      <c r="AV970" s="315">
        <v>2.2029000000000001</v>
      </c>
      <c r="AW970" s="315">
        <v>2.0255000000000001</v>
      </c>
      <c r="AX970" s="315">
        <v>1.6919</v>
      </c>
      <c r="AY970" s="315">
        <v>2.0274000000000001</v>
      </c>
      <c r="AZ970" s="315">
        <v>2.1177000000000001</v>
      </c>
      <c r="BA970" s="315">
        <v>1.7827</v>
      </c>
      <c r="BB970" s="315">
        <v>1.5170999999999999</v>
      </c>
      <c r="BC970" s="315">
        <v>2.2639</v>
      </c>
      <c r="BD970" s="315">
        <v>2.3441000000000001</v>
      </c>
      <c r="BE970" s="315">
        <v>2.4900000000000002</v>
      </c>
      <c r="BF970" s="315">
        <v>2.1823999999999999</v>
      </c>
      <c r="BG970" s="315">
        <v>2.3332000000000002</v>
      </c>
      <c r="BH970" s="315">
        <v>2.2946</v>
      </c>
      <c r="BI970" s="315">
        <v>2.3313000000000001</v>
      </c>
      <c r="BJ970" s="315">
        <v>2.1190000000000002</v>
      </c>
      <c r="BK970" s="315">
        <v>2.2911999999999999</v>
      </c>
    </row>
    <row r="971" spans="1:63" x14ac:dyDescent="0.25">
      <c r="A971" s="306" t="s">
        <v>718</v>
      </c>
      <c r="B971" s="315" t="s">
        <v>135</v>
      </c>
      <c r="C971" s="315">
        <v>2.6212</v>
      </c>
      <c r="D971" s="315">
        <v>0</v>
      </c>
      <c r="E971" s="315">
        <v>1.9182999999999999</v>
      </c>
      <c r="F971" s="315">
        <v>1.7968</v>
      </c>
      <c r="G971" s="315">
        <v>1.77</v>
      </c>
      <c r="H971" s="315">
        <v>2.0066000000000002</v>
      </c>
      <c r="I971" s="315">
        <v>2.0036999999999998</v>
      </c>
      <c r="J971" s="315">
        <v>1.8211999999999999</v>
      </c>
      <c r="K971" s="315">
        <v>0</v>
      </c>
      <c r="L971" s="315">
        <v>0</v>
      </c>
      <c r="M971" s="315">
        <v>1.7891999999999999</v>
      </c>
      <c r="N971" s="315">
        <v>1.9869000000000001</v>
      </c>
      <c r="O971" s="315">
        <v>1.6420999999999999</v>
      </c>
      <c r="P971" s="315">
        <v>1.5714999999999999</v>
      </c>
      <c r="Q971" s="315">
        <v>1.6137999999999999</v>
      </c>
      <c r="R971" s="315">
        <v>2.1017000000000001</v>
      </c>
      <c r="S971" s="315">
        <v>1.9302999999999999</v>
      </c>
      <c r="T971" s="315">
        <v>1.6964999999999999</v>
      </c>
      <c r="U971" s="315">
        <v>1.9021999999999999</v>
      </c>
      <c r="V971" s="315">
        <v>1.8527</v>
      </c>
      <c r="W971" s="315">
        <v>1.8506</v>
      </c>
      <c r="X971" s="315">
        <v>1.7045999999999999</v>
      </c>
      <c r="Y971" s="315">
        <v>1.7383</v>
      </c>
      <c r="Z971" s="315">
        <v>1.9772000000000001</v>
      </c>
      <c r="AA971" s="315">
        <v>1.9065000000000001</v>
      </c>
      <c r="AB971" s="315">
        <v>2.0059</v>
      </c>
      <c r="AC971" s="315">
        <v>1.7136</v>
      </c>
      <c r="AD971" s="315">
        <v>1.6671</v>
      </c>
      <c r="AE971" s="315">
        <v>1.8788</v>
      </c>
      <c r="AF971" s="315">
        <v>1.554</v>
      </c>
      <c r="AG971" s="315">
        <v>1.6054999999999999</v>
      </c>
      <c r="AH971" s="315">
        <v>1.7245999999999999</v>
      </c>
      <c r="AI971" s="315">
        <v>1.9480999999999999</v>
      </c>
      <c r="AJ971" s="315">
        <v>1.6392</v>
      </c>
      <c r="AK971" s="315">
        <v>0</v>
      </c>
      <c r="AL971" s="315">
        <v>1.7229000000000001</v>
      </c>
      <c r="AM971" s="315">
        <v>2.0893999999999999</v>
      </c>
      <c r="AN971" s="315">
        <v>1.8455999999999999</v>
      </c>
      <c r="AO971" s="315">
        <v>1.9357</v>
      </c>
      <c r="AP971" s="315">
        <v>2.1276000000000002</v>
      </c>
      <c r="AQ971" s="315">
        <v>0</v>
      </c>
      <c r="AR971" s="315">
        <v>1.8665</v>
      </c>
      <c r="AS971" s="315">
        <v>0</v>
      </c>
      <c r="AT971" s="315">
        <v>1.9275</v>
      </c>
      <c r="AU971" s="315">
        <v>2.1393</v>
      </c>
      <c r="AV971" s="315">
        <v>2.0539000000000001</v>
      </c>
      <c r="AW971" s="315">
        <v>1.8761000000000001</v>
      </c>
      <c r="AX971" s="315">
        <v>1.5945</v>
      </c>
      <c r="AY971" s="315">
        <v>1.8694999999999999</v>
      </c>
      <c r="AZ971" s="315">
        <v>1.8897999999999999</v>
      </c>
      <c r="BA971" s="315">
        <v>1.7012</v>
      </c>
      <c r="BB971" s="315">
        <v>0</v>
      </c>
      <c r="BC971" s="315">
        <v>1.9658</v>
      </c>
      <c r="BD971" s="315">
        <v>2.0356999999999998</v>
      </c>
      <c r="BE971" s="315">
        <v>2.1627000000000001</v>
      </c>
      <c r="BF971" s="315">
        <v>1.9471000000000001</v>
      </c>
      <c r="BG971" s="315">
        <v>2.0548999999999999</v>
      </c>
      <c r="BH971" s="315">
        <v>2.0234999999999999</v>
      </c>
      <c r="BI971" s="315">
        <v>2.1722999999999999</v>
      </c>
      <c r="BJ971" s="315">
        <v>2.0022000000000002</v>
      </c>
      <c r="BK971" s="315">
        <v>2.0731000000000002</v>
      </c>
    </row>
    <row r="972" spans="1:63" x14ac:dyDescent="0.25">
      <c r="A972" s="306" t="s">
        <v>719</v>
      </c>
      <c r="B972" s="315" t="s">
        <v>136</v>
      </c>
      <c r="C972" s="315">
        <v>3.0758999999999999</v>
      </c>
      <c r="D972" s="315">
        <v>0</v>
      </c>
      <c r="E972" s="315">
        <v>2.2307000000000001</v>
      </c>
      <c r="F972" s="315">
        <v>0</v>
      </c>
      <c r="G972" s="315">
        <v>1.9004000000000001</v>
      </c>
      <c r="H972" s="315">
        <v>2.2694999999999999</v>
      </c>
      <c r="I972" s="315">
        <v>2.0470000000000002</v>
      </c>
      <c r="J972" s="315">
        <v>0</v>
      </c>
      <c r="K972" s="315">
        <v>0</v>
      </c>
      <c r="L972" s="315">
        <v>1.7124999999999999</v>
      </c>
      <c r="M972" s="315">
        <v>1.8977999999999999</v>
      </c>
      <c r="N972" s="315">
        <v>2.36</v>
      </c>
      <c r="O972" s="315">
        <v>0</v>
      </c>
      <c r="P972" s="315">
        <v>1.6319999999999999</v>
      </c>
      <c r="Q972" s="315">
        <v>1.6651</v>
      </c>
      <c r="R972" s="315">
        <v>2.3492999999999999</v>
      </c>
      <c r="S972" s="315">
        <v>2.2894000000000001</v>
      </c>
      <c r="T972" s="315">
        <v>1.8939999999999999</v>
      </c>
      <c r="U972" s="315">
        <v>2.2614999999999998</v>
      </c>
      <c r="V972" s="315">
        <v>1.9903999999999999</v>
      </c>
      <c r="W972" s="315">
        <v>2.16</v>
      </c>
      <c r="X972" s="315">
        <v>1.8606</v>
      </c>
      <c r="Y972" s="315">
        <v>0</v>
      </c>
      <c r="Z972" s="315">
        <v>2.3637000000000001</v>
      </c>
      <c r="AA972" s="315">
        <v>2.0125999999999999</v>
      </c>
      <c r="AB972" s="315">
        <v>2.3538000000000001</v>
      </c>
      <c r="AC972" s="315">
        <v>1.7585</v>
      </c>
      <c r="AD972" s="315">
        <v>0</v>
      </c>
      <c r="AE972" s="315">
        <v>2.1932999999999998</v>
      </c>
      <c r="AF972" s="315">
        <v>0</v>
      </c>
      <c r="AG972" s="315">
        <v>0</v>
      </c>
      <c r="AH972" s="315">
        <v>0</v>
      </c>
      <c r="AI972" s="315">
        <v>2.1730999999999998</v>
      </c>
      <c r="AJ972" s="315">
        <v>1.7335</v>
      </c>
      <c r="AK972" s="315">
        <v>1.7388999999999999</v>
      </c>
      <c r="AL972" s="315">
        <v>2.0285000000000002</v>
      </c>
      <c r="AM972" s="315">
        <v>2.4607000000000001</v>
      </c>
      <c r="AN972" s="315">
        <v>1.9710000000000001</v>
      </c>
      <c r="AO972" s="315">
        <v>2.1</v>
      </c>
      <c r="AP972" s="315">
        <v>2.5175000000000001</v>
      </c>
      <c r="AQ972" s="315">
        <v>0</v>
      </c>
      <c r="AR972" s="315">
        <v>2.0937999999999999</v>
      </c>
      <c r="AS972" s="315">
        <v>1.5522</v>
      </c>
      <c r="AT972" s="315">
        <v>2.2925</v>
      </c>
      <c r="AU972" s="315">
        <v>2.3504999999999998</v>
      </c>
      <c r="AV972" s="315">
        <v>2.1833</v>
      </c>
      <c r="AW972" s="315">
        <v>1.9311</v>
      </c>
      <c r="AX972" s="315">
        <v>1.7179</v>
      </c>
      <c r="AY972" s="315">
        <v>2.0213000000000001</v>
      </c>
      <c r="AZ972" s="315">
        <v>2.0663</v>
      </c>
      <c r="BA972" s="315">
        <v>1.8865000000000001</v>
      </c>
      <c r="BB972" s="315">
        <v>0</v>
      </c>
      <c r="BC972" s="315">
        <v>2.2904</v>
      </c>
      <c r="BD972" s="315">
        <v>2.4133</v>
      </c>
      <c r="BE972" s="315">
        <v>2.5905999999999998</v>
      </c>
      <c r="BF972" s="315">
        <v>2.1741999999999999</v>
      </c>
      <c r="BG972" s="315">
        <v>2.3371</v>
      </c>
      <c r="BH972" s="315">
        <v>2.3997999999999999</v>
      </c>
      <c r="BI972" s="315">
        <v>2.3664000000000001</v>
      </c>
      <c r="BJ972" s="315">
        <v>2.0819999999999999</v>
      </c>
      <c r="BK972" s="315">
        <v>2.3368000000000002</v>
      </c>
    </row>
    <row r="973" spans="1:63" x14ac:dyDescent="0.25">
      <c r="A973" s="306">
        <v>327211</v>
      </c>
      <c r="B973" s="315" t="s">
        <v>137</v>
      </c>
      <c r="C973" s="315">
        <v>2.718</v>
      </c>
      <c r="D973" s="315">
        <v>0</v>
      </c>
      <c r="E973" s="315">
        <v>0</v>
      </c>
      <c r="F973" s="315">
        <v>0</v>
      </c>
      <c r="G973" s="315">
        <v>1.8219000000000001</v>
      </c>
      <c r="H973" s="315">
        <v>2.0607000000000002</v>
      </c>
      <c r="I973" s="315">
        <v>2.0857000000000001</v>
      </c>
      <c r="J973" s="315">
        <v>1.8128</v>
      </c>
      <c r="K973" s="315">
        <v>0</v>
      </c>
      <c r="L973" s="315">
        <v>0</v>
      </c>
      <c r="M973" s="315">
        <v>1.7767999999999999</v>
      </c>
      <c r="N973" s="315">
        <v>2.0922000000000001</v>
      </c>
      <c r="O973" s="315">
        <v>0</v>
      </c>
      <c r="P973" s="315">
        <v>1.6177999999999999</v>
      </c>
      <c r="Q973" s="315">
        <v>0</v>
      </c>
      <c r="R973" s="315">
        <v>2.1524000000000001</v>
      </c>
      <c r="S973" s="315">
        <v>1.982</v>
      </c>
      <c r="T973" s="315">
        <v>1.8287</v>
      </c>
      <c r="U973" s="315">
        <v>1.9377</v>
      </c>
      <c r="V973" s="315">
        <v>0</v>
      </c>
      <c r="W973" s="315">
        <v>1.8661000000000001</v>
      </c>
      <c r="X973" s="315">
        <v>1.7282</v>
      </c>
      <c r="Y973" s="315">
        <v>1.7119</v>
      </c>
      <c r="Z973" s="315">
        <v>1.9966999999999999</v>
      </c>
      <c r="AA973" s="315">
        <v>1.9078999999999999</v>
      </c>
      <c r="AB973" s="315">
        <v>0</v>
      </c>
      <c r="AC973" s="315">
        <v>0</v>
      </c>
      <c r="AD973" s="315">
        <v>0</v>
      </c>
      <c r="AE973" s="315">
        <v>1.8729</v>
      </c>
      <c r="AF973" s="315">
        <v>0</v>
      </c>
      <c r="AG973" s="315">
        <v>0</v>
      </c>
      <c r="AH973" s="315">
        <v>1.7224999999999999</v>
      </c>
      <c r="AI973" s="315">
        <v>1.9477</v>
      </c>
      <c r="AJ973" s="315">
        <v>0</v>
      </c>
      <c r="AK973" s="315">
        <v>0</v>
      </c>
      <c r="AL973" s="315">
        <v>1.7666999999999999</v>
      </c>
      <c r="AM973" s="315">
        <v>2.1741000000000001</v>
      </c>
      <c r="AN973" s="315">
        <v>1.9224000000000001</v>
      </c>
      <c r="AO973" s="315">
        <v>1.9490000000000001</v>
      </c>
      <c r="AP973" s="315">
        <v>2.1836000000000002</v>
      </c>
      <c r="AQ973" s="315">
        <v>0</v>
      </c>
      <c r="AR973" s="315">
        <v>1.8734</v>
      </c>
      <c r="AS973" s="315">
        <v>0</v>
      </c>
      <c r="AT973" s="315">
        <v>2.0371999999999999</v>
      </c>
      <c r="AU973" s="315">
        <v>2.2616999999999998</v>
      </c>
      <c r="AV973" s="315">
        <v>0</v>
      </c>
      <c r="AW973" s="315">
        <v>1.8748</v>
      </c>
      <c r="AX973" s="315">
        <v>0</v>
      </c>
      <c r="AY973" s="315">
        <v>1.8976</v>
      </c>
      <c r="AZ973" s="315">
        <v>1.9077999999999999</v>
      </c>
      <c r="BA973" s="315">
        <v>1.8631</v>
      </c>
      <c r="BB973" s="315">
        <v>0</v>
      </c>
      <c r="BC973" s="315">
        <v>1.9766999999999999</v>
      </c>
      <c r="BD973" s="315">
        <v>2.0729000000000002</v>
      </c>
      <c r="BE973" s="315">
        <v>2.2198000000000002</v>
      </c>
      <c r="BF973" s="315">
        <v>2.0093000000000001</v>
      </c>
      <c r="BG973" s="315">
        <v>2.1166999999999998</v>
      </c>
      <c r="BH973" s="315">
        <v>2.125</v>
      </c>
      <c r="BI973" s="315">
        <v>2.2770000000000001</v>
      </c>
      <c r="BJ973" s="315">
        <v>2.1032000000000002</v>
      </c>
      <c r="BK973" s="315">
        <v>2.1004999999999998</v>
      </c>
    </row>
    <row r="974" spans="1:63" x14ac:dyDescent="0.25">
      <c r="A974" s="306">
        <v>327212</v>
      </c>
      <c r="B974" s="315" t="s">
        <v>138</v>
      </c>
      <c r="C974" s="315">
        <v>2.8363</v>
      </c>
      <c r="D974" s="315">
        <v>1.623</v>
      </c>
      <c r="E974" s="315">
        <v>2.0171000000000001</v>
      </c>
      <c r="F974" s="315">
        <v>1.9212</v>
      </c>
      <c r="G974" s="315">
        <v>1.8848</v>
      </c>
      <c r="H974" s="315">
        <v>2.1181000000000001</v>
      </c>
      <c r="I974" s="315">
        <v>2.1562000000000001</v>
      </c>
      <c r="J974" s="315">
        <v>1.9409000000000001</v>
      </c>
      <c r="K974" s="315">
        <v>0</v>
      </c>
      <c r="L974" s="315">
        <v>1.7461</v>
      </c>
      <c r="M974" s="315">
        <v>1.8651</v>
      </c>
      <c r="N974" s="315">
        <v>2.1957</v>
      </c>
      <c r="O974" s="315">
        <v>1.7363</v>
      </c>
      <c r="P974" s="315">
        <v>1.6771</v>
      </c>
      <c r="Q974" s="315">
        <v>1.6944999999999999</v>
      </c>
      <c r="R974" s="315">
        <v>2.2847</v>
      </c>
      <c r="S974" s="315">
        <v>2.0543999999999998</v>
      </c>
      <c r="T974" s="315">
        <v>1.8052999999999999</v>
      </c>
      <c r="U974" s="315">
        <v>2.0283000000000002</v>
      </c>
      <c r="V974" s="315">
        <v>2.0158999999999998</v>
      </c>
      <c r="W974" s="315">
        <v>1.9676</v>
      </c>
      <c r="X974" s="315">
        <v>0</v>
      </c>
      <c r="Y974" s="315">
        <v>0</v>
      </c>
      <c r="Z974" s="315">
        <v>2.1133000000000002</v>
      </c>
      <c r="AA974" s="315">
        <v>2.0335999999999999</v>
      </c>
      <c r="AB974" s="315">
        <v>2.1150000000000002</v>
      </c>
      <c r="AC974" s="315">
        <v>1.8355999999999999</v>
      </c>
      <c r="AD974" s="315">
        <v>0</v>
      </c>
      <c r="AE974" s="315">
        <v>1.984</v>
      </c>
      <c r="AF974" s="315">
        <v>1.6074999999999999</v>
      </c>
      <c r="AG974" s="315">
        <v>1.6867000000000001</v>
      </c>
      <c r="AH974" s="315">
        <v>1.8308</v>
      </c>
      <c r="AI974" s="315">
        <v>2.0939999999999999</v>
      </c>
      <c r="AJ974" s="315">
        <v>1.7604</v>
      </c>
      <c r="AK974" s="315">
        <v>1.7946</v>
      </c>
      <c r="AL974" s="315">
        <v>1.8565</v>
      </c>
      <c r="AM974" s="315">
        <v>2.2583000000000002</v>
      </c>
      <c r="AN974" s="315">
        <v>1.9232</v>
      </c>
      <c r="AO974" s="315">
        <v>2.0091999999999999</v>
      </c>
      <c r="AP974" s="315">
        <v>2.2801</v>
      </c>
      <c r="AQ974" s="315">
        <v>1.8032999999999999</v>
      </c>
      <c r="AR974" s="315">
        <v>1.9956</v>
      </c>
      <c r="AS974" s="315">
        <v>0</v>
      </c>
      <c r="AT974" s="315">
        <v>2.1456</v>
      </c>
      <c r="AU974" s="315">
        <v>2.3130000000000002</v>
      </c>
      <c r="AV974" s="315">
        <v>2.1621999999999999</v>
      </c>
      <c r="AW974" s="315">
        <v>1.9829000000000001</v>
      </c>
      <c r="AX974" s="315">
        <v>1.6369</v>
      </c>
      <c r="AY974" s="315">
        <v>2.0053000000000001</v>
      </c>
      <c r="AZ974" s="315">
        <v>2.0213999999999999</v>
      </c>
      <c r="BA974" s="315">
        <v>1.7843</v>
      </c>
      <c r="BB974" s="315">
        <v>0</v>
      </c>
      <c r="BC974" s="315">
        <v>2.0985999999999998</v>
      </c>
      <c r="BD974" s="315">
        <v>2.2042999999999999</v>
      </c>
      <c r="BE974" s="315">
        <v>2.3460999999999999</v>
      </c>
      <c r="BF974" s="315">
        <v>2.0709</v>
      </c>
      <c r="BG974" s="315">
        <v>2.23</v>
      </c>
      <c r="BH974" s="315">
        <v>2.1968000000000001</v>
      </c>
      <c r="BI974" s="315">
        <v>2.3414999999999999</v>
      </c>
      <c r="BJ974" s="315">
        <v>2.1364000000000001</v>
      </c>
      <c r="BK974" s="315">
        <v>2.1815000000000002</v>
      </c>
    </row>
    <row r="975" spans="1:63" x14ac:dyDescent="0.25">
      <c r="A975" s="306">
        <v>327213</v>
      </c>
      <c r="B975" s="315" t="s">
        <v>139</v>
      </c>
      <c r="C975" s="315">
        <v>2.7483</v>
      </c>
      <c r="D975" s="315">
        <v>0</v>
      </c>
      <c r="E975" s="315">
        <v>0</v>
      </c>
      <c r="F975" s="315">
        <v>1.8977999999999999</v>
      </c>
      <c r="G975" s="315">
        <v>1.7891999999999999</v>
      </c>
      <c r="H975" s="315">
        <v>2.0533999999999999</v>
      </c>
      <c r="I975" s="315">
        <v>2.0224000000000002</v>
      </c>
      <c r="J975" s="315">
        <v>0</v>
      </c>
      <c r="K975" s="315">
        <v>0</v>
      </c>
      <c r="L975" s="315">
        <v>0</v>
      </c>
      <c r="M975" s="315">
        <v>1.7815000000000001</v>
      </c>
      <c r="N975" s="315">
        <v>2.1421000000000001</v>
      </c>
      <c r="O975" s="315">
        <v>0</v>
      </c>
      <c r="P975" s="315">
        <v>0</v>
      </c>
      <c r="Q975" s="315">
        <v>0</v>
      </c>
      <c r="R975" s="315">
        <v>2.2010999999999998</v>
      </c>
      <c r="S975" s="315">
        <v>2.0316999999999998</v>
      </c>
      <c r="T975" s="315">
        <v>0</v>
      </c>
      <c r="U975" s="315">
        <v>0</v>
      </c>
      <c r="V975" s="315">
        <v>1.9826999999999999</v>
      </c>
      <c r="W975" s="315">
        <v>1.9071</v>
      </c>
      <c r="X975" s="315">
        <v>0</v>
      </c>
      <c r="Y975" s="315">
        <v>0</v>
      </c>
      <c r="Z975" s="315">
        <v>2.0829</v>
      </c>
      <c r="AA975" s="315">
        <v>1.9916</v>
      </c>
      <c r="AB975" s="315">
        <v>2.0871</v>
      </c>
      <c r="AC975" s="315">
        <v>0</v>
      </c>
      <c r="AD975" s="315">
        <v>0</v>
      </c>
      <c r="AE975" s="315">
        <v>1.9318</v>
      </c>
      <c r="AF975" s="315">
        <v>0</v>
      </c>
      <c r="AG975" s="315">
        <v>1.6506000000000001</v>
      </c>
      <c r="AH975" s="315">
        <v>0</v>
      </c>
      <c r="AI975" s="315">
        <v>1.982</v>
      </c>
      <c r="AJ975" s="315">
        <v>0</v>
      </c>
      <c r="AK975" s="315">
        <v>0</v>
      </c>
      <c r="AL975" s="315">
        <v>1.7748999999999999</v>
      </c>
      <c r="AM975" s="315">
        <v>2.2294</v>
      </c>
      <c r="AN975" s="315">
        <v>1.8502000000000001</v>
      </c>
      <c r="AO975" s="315">
        <v>1.921</v>
      </c>
      <c r="AP975" s="315">
        <v>2.2374000000000001</v>
      </c>
      <c r="AQ975" s="315">
        <v>0</v>
      </c>
      <c r="AR975" s="315">
        <v>0</v>
      </c>
      <c r="AS975" s="315">
        <v>0</v>
      </c>
      <c r="AT975" s="315">
        <v>2.1208999999999998</v>
      </c>
      <c r="AU975" s="315">
        <v>2.1880000000000002</v>
      </c>
      <c r="AV975" s="315">
        <v>0</v>
      </c>
      <c r="AW975" s="315">
        <v>1.9097</v>
      </c>
      <c r="AX975" s="315">
        <v>0</v>
      </c>
      <c r="AY975" s="315">
        <v>1.9384999999999999</v>
      </c>
      <c r="AZ975" s="315">
        <v>2.0034999999999998</v>
      </c>
      <c r="BA975" s="315">
        <v>0</v>
      </c>
      <c r="BB975" s="315">
        <v>0</v>
      </c>
      <c r="BC975" s="315">
        <v>2.0209000000000001</v>
      </c>
      <c r="BD975" s="315">
        <v>2.1055999999999999</v>
      </c>
      <c r="BE975" s="315">
        <v>2.2835999999999999</v>
      </c>
      <c r="BF975" s="315">
        <v>2.0547</v>
      </c>
      <c r="BG975" s="315">
        <v>2.1699000000000002</v>
      </c>
      <c r="BH975" s="315">
        <v>2.1777000000000002</v>
      </c>
      <c r="BI975" s="315">
        <v>2.2404999999999999</v>
      </c>
      <c r="BJ975" s="315">
        <v>2.0253000000000001</v>
      </c>
      <c r="BK975" s="315">
        <v>2.0958000000000001</v>
      </c>
    </row>
    <row r="976" spans="1:63" x14ac:dyDescent="0.25">
      <c r="A976" s="306">
        <v>327215</v>
      </c>
      <c r="B976" s="315" t="s">
        <v>140</v>
      </c>
      <c r="C976" s="315">
        <v>2.8614000000000002</v>
      </c>
      <c r="D976" s="315">
        <v>0</v>
      </c>
      <c r="E976" s="315">
        <v>1.8922000000000001</v>
      </c>
      <c r="F976" s="315">
        <v>1.6896</v>
      </c>
      <c r="G976" s="315">
        <v>1.8290999999999999</v>
      </c>
      <c r="H976" s="315">
        <v>2.1230000000000002</v>
      </c>
      <c r="I976" s="315">
        <v>2.0630000000000002</v>
      </c>
      <c r="J976" s="315">
        <v>1.8048999999999999</v>
      </c>
      <c r="K976" s="315">
        <v>0</v>
      </c>
      <c r="L976" s="315">
        <v>1.6272</v>
      </c>
      <c r="M976" s="315">
        <v>1.8283</v>
      </c>
      <c r="N976" s="315">
        <v>2.1863000000000001</v>
      </c>
      <c r="O976" s="315">
        <v>1.6062000000000001</v>
      </c>
      <c r="P976" s="315">
        <v>1.6825000000000001</v>
      </c>
      <c r="Q976" s="315">
        <v>1.5308999999999999</v>
      </c>
      <c r="R976" s="315">
        <v>2.1848999999999998</v>
      </c>
      <c r="S976" s="315">
        <v>1.9585999999999999</v>
      </c>
      <c r="T976" s="315">
        <v>1.7788999999999999</v>
      </c>
      <c r="U976" s="315">
        <v>2.1579999999999999</v>
      </c>
      <c r="V976" s="315">
        <v>1.8366</v>
      </c>
      <c r="W976" s="315">
        <v>2.008</v>
      </c>
      <c r="X976" s="315">
        <v>1.7149000000000001</v>
      </c>
      <c r="Y976" s="315">
        <v>1.7719</v>
      </c>
      <c r="Z976" s="315">
        <v>2.0749</v>
      </c>
      <c r="AA976" s="315">
        <v>1.9369000000000001</v>
      </c>
      <c r="AB976" s="315">
        <v>1.9964</v>
      </c>
      <c r="AC976" s="315">
        <v>1.6931</v>
      </c>
      <c r="AD976" s="315">
        <v>1.4951000000000001</v>
      </c>
      <c r="AE976" s="315">
        <v>2.1240999999999999</v>
      </c>
      <c r="AF976" s="315">
        <v>1.5284</v>
      </c>
      <c r="AG976" s="315">
        <v>1.5115000000000001</v>
      </c>
      <c r="AH976" s="315">
        <v>1.9083000000000001</v>
      </c>
      <c r="AI976" s="315">
        <v>2.1896</v>
      </c>
      <c r="AJ976" s="315">
        <v>1.6072</v>
      </c>
      <c r="AK976" s="315">
        <v>1.6597</v>
      </c>
      <c r="AL976" s="315">
        <v>1.8831</v>
      </c>
      <c r="AM976" s="315">
        <v>2.3483000000000001</v>
      </c>
      <c r="AN976" s="315">
        <v>1.9562999999999999</v>
      </c>
      <c r="AO976" s="315">
        <v>2.0945</v>
      </c>
      <c r="AP976" s="315">
        <v>2.3929999999999998</v>
      </c>
      <c r="AQ976" s="315">
        <v>1.7568999999999999</v>
      </c>
      <c r="AR976" s="315">
        <v>2</v>
      </c>
      <c r="AS976" s="315">
        <v>1.4626999999999999</v>
      </c>
      <c r="AT976" s="315">
        <v>2.2582</v>
      </c>
      <c r="AU976" s="315">
        <v>2.2519</v>
      </c>
      <c r="AV976" s="315">
        <v>2.0246</v>
      </c>
      <c r="AW976" s="315">
        <v>1.9020999999999999</v>
      </c>
      <c r="AX976" s="315">
        <v>1.6363000000000001</v>
      </c>
      <c r="AY976" s="315">
        <v>2.0204</v>
      </c>
      <c r="AZ976" s="315">
        <v>2.0251999999999999</v>
      </c>
      <c r="BA976" s="315">
        <v>1.8078000000000001</v>
      </c>
      <c r="BB976" s="315">
        <v>0</v>
      </c>
      <c r="BC976" s="315">
        <v>2.1372</v>
      </c>
      <c r="BD976" s="315">
        <v>2.3422000000000001</v>
      </c>
      <c r="BE976" s="315">
        <v>2.4384000000000001</v>
      </c>
      <c r="BF976" s="315">
        <v>2.0489000000000002</v>
      </c>
      <c r="BG976" s="315">
        <v>2.2446000000000002</v>
      </c>
      <c r="BH976" s="315">
        <v>2.2825000000000002</v>
      </c>
      <c r="BI976" s="315">
        <v>2.2704</v>
      </c>
      <c r="BJ976" s="315">
        <v>1.9743999999999999</v>
      </c>
      <c r="BK976" s="315">
        <v>2.1694</v>
      </c>
    </row>
    <row r="977" spans="1:63" x14ac:dyDescent="0.25">
      <c r="A977" s="306">
        <v>327310</v>
      </c>
      <c r="B977" s="315" t="s">
        <v>141</v>
      </c>
      <c r="C977" s="315">
        <v>2.5661</v>
      </c>
      <c r="D977" s="315">
        <v>0</v>
      </c>
      <c r="E977" s="315">
        <v>1.9412</v>
      </c>
      <c r="F977" s="315">
        <v>1.7952999999999999</v>
      </c>
      <c r="G977" s="315">
        <v>1.8062</v>
      </c>
      <c r="H977" s="315">
        <v>1.9536</v>
      </c>
      <c r="I977" s="315">
        <v>1.9895</v>
      </c>
      <c r="J977" s="315">
        <v>0</v>
      </c>
      <c r="K977" s="315">
        <v>0</v>
      </c>
      <c r="L977" s="315">
        <v>0</v>
      </c>
      <c r="M977" s="315">
        <v>1.7542</v>
      </c>
      <c r="N977" s="315">
        <v>1.9865999999999999</v>
      </c>
      <c r="O977" s="315">
        <v>1.5947</v>
      </c>
      <c r="P977" s="315">
        <v>1.5684</v>
      </c>
      <c r="Q977" s="315">
        <v>1.5671999999999999</v>
      </c>
      <c r="R977" s="315">
        <v>2.0649000000000002</v>
      </c>
      <c r="S977" s="315">
        <v>1.9496</v>
      </c>
      <c r="T977" s="315">
        <v>1.7426999999999999</v>
      </c>
      <c r="U977" s="315">
        <v>1.9031</v>
      </c>
      <c r="V977" s="315">
        <v>1.8605</v>
      </c>
      <c r="W977" s="315">
        <v>1.7887</v>
      </c>
      <c r="X977" s="315">
        <v>1.7002999999999999</v>
      </c>
      <c r="Y977" s="315">
        <v>1.6698</v>
      </c>
      <c r="Z977" s="315">
        <v>1.9602999999999999</v>
      </c>
      <c r="AA977" s="315">
        <v>0</v>
      </c>
      <c r="AB977" s="315">
        <v>1.974</v>
      </c>
      <c r="AC977" s="315">
        <v>1.694</v>
      </c>
      <c r="AD977" s="315">
        <v>1.6678999999999999</v>
      </c>
      <c r="AE977" s="315">
        <v>1.7458</v>
      </c>
      <c r="AF977" s="315">
        <v>1.5590999999999999</v>
      </c>
      <c r="AG977" s="315">
        <v>1.6052999999999999</v>
      </c>
      <c r="AH977" s="315">
        <v>1.6847000000000001</v>
      </c>
      <c r="AI977" s="315">
        <v>1.8334999999999999</v>
      </c>
      <c r="AJ977" s="315">
        <v>1.7477</v>
      </c>
      <c r="AK977" s="315">
        <v>1.7047000000000001</v>
      </c>
      <c r="AL977" s="315">
        <v>1.7402</v>
      </c>
      <c r="AM977" s="315">
        <v>2.0520999999999998</v>
      </c>
      <c r="AN977" s="315">
        <v>1.8611</v>
      </c>
      <c r="AO977" s="315">
        <v>1.8586</v>
      </c>
      <c r="AP977" s="315">
        <v>2.1383000000000001</v>
      </c>
      <c r="AQ977" s="315">
        <v>0</v>
      </c>
      <c r="AR977" s="315">
        <v>1.8287</v>
      </c>
      <c r="AS977" s="315">
        <v>1.5193000000000001</v>
      </c>
      <c r="AT977" s="315">
        <v>1.9519</v>
      </c>
      <c r="AU977" s="315">
        <v>2.1758999999999999</v>
      </c>
      <c r="AV977" s="315">
        <v>2.0211999999999999</v>
      </c>
      <c r="AW977" s="315">
        <v>1.8250999999999999</v>
      </c>
      <c r="AX977" s="315">
        <v>0</v>
      </c>
      <c r="AY977" s="315">
        <v>1.8461000000000001</v>
      </c>
      <c r="AZ977" s="315">
        <v>0</v>
      </c>
      <c r="BA977" s="315">
        <v>1.7672000000000001</v>
      </c>
      <c r="BB977" s="315">
        <v>1.6146</v>
      </c>
      <c r="BC977" s="315">
        <v>1.8696999999999999</v>
      </c>
      <c r="BD977" s="315">
        <v>2.0203000000000002</v>
      </c>
      <c r="BE977" s="315">
        <v>2.1505999999999998</v>
      </c>
      <c r="BF977" s="315">
        <v>1.9146000000000001</v>
      </c>
      <c r="BG977" s="315">
        <v>2.0217999999999998</v>
      </c>
      <c r="BH977" s="315">
        <v>2.0278999999999998</v>
      </c>
      <c r="BI977" s="315">
        <v>2.1819999999999999</v>
      </c>
      <c r="BJ977" s="315">
        <v>2.0243000000000002</v>
      </c>
      <c r="BK977" s="315">
        <v>2.0148000000000001</v>
      </c>
    </row>
    <row r="978" spans="1:63" x14ac:dyDescent="0.25">
      <c r="A978" s="306">
        <v>327320</v>
      </c>
      <c r="B978" s="315" t="s">
        <v>142</v>
      </c>
      <c r="C978" s="315">
        <v>3.0800999999999998</v>
      </c>
      <c r="D978" s="315">
        <v>1.6987000000000001</v>
      </c>
      <c r="E978" s="315">
        <v>2.3142</v>
      </c>
      <c r="F978" s="315">
        <v>2.1907000000000001</v>
      </c>
      <c r="G978" s="315">
        <v>2.2288999999999999</v>
      </c>
      <c r="H978" s="315">
        <v>2.2279</v>
      </c>
      <c r="I978" s="315">
        <v>2.4369000000000001</v>
      </c>
      <c r="J978" s="315">
        <v>1.8152999999999999</v>
      </c>
      <c r="K978" s="315">
        <v>1.1756</v>
      </c>
      <c r="L978" s="315">
        <v>1.6311</v>
      </c>
      <c r="M978" s="315">
        <v>2.0992000000000002</v>
      </c>
      <c r="N978" s="315">
        <v>2.3809999999999998</v>
      </c>
      <c r="O978" s="315">
        <v>1.8132999999999999</v>
      </c>
      <c r="P978" s="315">
        <v>1.9912000000000001</v>
      </c>
      <c r="Q978" s="315">
        <v>2.0137</v>
      </c>
      <c r="R978" s="315">
        <v>2.423</v>
      </c>
      <c r="S978" s="315">
        <v>2.3487</v>
      </c>
      <c r="T978" s="315">
        <v>2.0903999999999998</v>
      </c>
      <c r="U978" s="315">
        <v>2.2161</v>
      </c>
      <c r="V978" s="315">
        <v>2.1089000000000002</v>
      </c>
      <c r="W978" s="315">
        <v>1.9461999999999999</v>
      </c>
      <c r="X978" s="315">
        <v>2.0533999999999999</v>
      </c>
      <c r="Y978" s="315">
        <v>2.0106999999999999</v>
      </c>
      <c r="Z978" s="315">
        <v>2.3595999999999999</v>
      </c>
      <c r="AA978" s="315">
        <v>2.0116999999999998</v>
      </c>
      <c r="AB978" s="315">
        <v>2.4205999999999999</v>
      </c>
      <c r="AC978" s="315">
        <v>2.0282</v>
      </c>
      <c r="AD978" s="315">
        <v>2.0608</v>
      </c>
      <c r="AE978" s="315">
        <v>1.9538</v>
      </c>
      <c r="AF978" s="315">
        <v>1.7349000000000001</v>
      </c>
      <c r="AG978" s="315">
        <v>1.9874000000000001</v>
      </c>
      <c r="AH978" s="315">
        <v>1.903</v>
      </c>
      <c r="AI978" s="315">
        <v>2.0901999999999998</v>
      </c>
      <c r="AJ978" s="315">
        <v>2.0167000000000002</v>
      </c>
      <c r="AK978" s="315">
        <v>2.0430999999999999</v>
      </c>
      <c r="AL978" s="315">
        <v>1.8520000000000001</v>
      </c>
      <c r="AM978" s="315">
        <v>2.3523999999999998</v>
      </c>
      <c r="AN978" s="315">
        <v>2.2669999999999999</v>
      </c>
      <c r="AO978" s="315">
        <v>2.1884000000000001</v>
      </c>
      <c r="AP978" s="315">
        <v>2.4664999999999999</v>
      </c>
      <c r="AQ978" s="315">
        <v>1.7549999999999999</v>
      </c>
      <c r="AR978" s="315">
        <v>2.2985000000000002</v>
      </c>
      <c r="AS978" s="315">
        <v>1.9194</v>
      </c>
      <c r="AT978" s="315">
        <v>2.3919000000000001</v>
      </c>
      <c r="AU978" s="315">
        <v>2.5762999999999998</v>
      </c>
      <c r="AV978" s="315">
        <v>2.4500000000000002</v>
      </c>
      <c r="AW978" s="315">
        <v>2.1353</v>
      </c>
      <c r="AX978" s="315">
        <v>1.7507999999999999</v>
      </c>
      <c r="AY978" s="315">
        <v>2.1918000000000002</v>
      </c>
      <c r="AZ978" s="315">
        <v>2.0312000000000001</v>
      </c>
      <c r="BA978" s="315">
        <v>2.1070000000000002</v>
      </c>
      <c r="BB978" s="315">
        <v>1.9219999999999999</v>
      </c>
      <c r="BC978" s="315">
        <v>2.0608</v>
      </c>
      <c r="BD978" s="315">
        <v>2.3210000000000002</v>
      </c>
      <c r="BE978" s="315">
        <v>2.6183999999999998</v>
      </c>
      <c r="BF978" s="315">
        <v>2.3803000000000001</v>
      </c>
      <c r="BG978" s="315">
        <v>2.4451000000000001</v>
      </c>
      <c r="BH978" s="315">
        <v>2.4773999999999998</v>
      </c>
      <c r="BI978" s="315">
        <v>2.6021999999999998</v>
      </c>
      <c r="BJ978" s="315">
        <v>2.4662999999999999</v>
      </c>
      <c r="BK978" s="315">
        <v>2.3025000000000002</v>
      </c>
    </row>
    <row r="979" spans="1:63" x14ac:dyDescent="0.25">
      <c r="A979" s="306">
        <v>327330</v>
      </c>
      <c r="B979" s="315" t="s">
        <v>143</v>
      </c>
      <c r="C979" s="315">
        <v>2.8593000000000002</v>
      </c>
      <c r="D979" s="315">
        <v>1.5457000000000001</v>
      </c>
      <c r="E979" s="315">
        <v>2.0969000000000002</v>
      </c>
      <c r="F979" s="315">
        <v>1.9602999999999999</v>
      </c>
      <c r="G979" s="315">
        <v>2.0053000000000001</v>
      </c>
      <c r="H979" s="315">
        <v>2.1739000000000002</v>
      </c>
      <c r="I979" s="315">
        <v>2.1918000000000002</v>
      </c>
      <c r="J979" s="315">
        <v>1.8292999999999999</v>
      </c>
      <c r="K979" s="315">
        <v>0</v>
      </c>
      <c r="L979" s="315">
        <v>1.7019</v>
      </c>
      <c r="M979" s="315">
        <v>2.0335999999999999</v>
      </c>
      <c r="N979" s="315">
        <v>2.1696</v>
      </c>
      <c r="O979" s="315">
        <v>1.69</v>
      </c>
      <c r="P979" s="315">
        <v>1.7531000000000001</v>
      </c>
      <c r="Q979" s="315">
        <v>1.7395</v>
      </c>
      <c r="R979" s="315">
        <v>2.2797999999999998</v>
      </c>
      <c r="S979" s="315">
        <v>2.1271</v>
      </c>
      <c r="T979" s="315">
        <v>1.8358000000000001</v>
      </c>
      <c r="U979" s="315">
        <v>2.1267</v>
      </c>
      <c r="V979" s="315">
        <v>1.9390000000000001</v>
      </c>
      <c r="W979" s="315">
        <v>1.931</v>
      </c>
      <c r="X979" s="315">
        <v>1.9658</v>
      </c>
      <c r="Y979" s="315">
        <v>1.9148000000000001</v>
      </c>
      <c r="Z979" s="315">
        <v>2.2054999999999998</v>
      </c>
      <c r="AA979" s="315">
        <v>1.9419</v>
      </c>
      <c r="AB979" s="315">
        <v>2.2155999999999998</v>
      </c>
      <c r="AC979" s="315">
        <v>1.8957999999999999</v>
      </c>
      <c r="AD979" s="315">
        <v>1.726</v>
      </c>
      <c r="AE979" s="315">
        <v>1.9282999999999999</v>
      </c>
      <c r="AF979" s="315">
        <v>1.5397000000000001</v>
      </c>
      <c r="AG979" s="315">
        <v>1.7515000000000001</v>
      </c>
      <c r="AH979" s="315">
        <v>1.8099000000000001</v>
      </c>
      <c r="AI979" s="315">
        <v>2.0533000000000001</v>
      </c>
      <c r="AJ979" s="315">
        <v>1.8089999999999999</v>
      </c>
      <c r="AK979" s="315">
        <v>1.8794999999999999</v>
      </c>
      <c r="AL979" s="315">
        <v>1.8325</v>
      </c>
      <c r="AM979" s="315">
        <v>2.2330999999999999</v>
      </c>
      <c r="AN979" s="315">
        <v>2.0476999999999999</v>
      </c>
      <c r="AO979" s="315">
        <v>2.0669</v>
      </c>
      <c r="AP979" s="315">
        <v>2.3443000000000001</v>
      </c>
      <c r="AQ979" s="315">
        <v>1.7105999999999999</v>
      </c>
      <c r="AR979" s="315">
        <v>2.1274000000000002</v>
      </c>
      <c r="AS979" s="315">
        <v>1.6294</v>
      </c>
      <c r="AT979" s="315">
        <v>2.202</v>
      </c>
      <c r="AU979" s="315">
        <v>2.3643999999999998</v>
      </c>
      <c r="AV979" s="315">
        <v>2.2473999999999998</v>
      </c>
      <c r="AW979" s="315">
        <v>2.0247999999999999</v>
      </c>
      <c r="AX979" s="315">
        <v>1.615</v>
      </c>
      <c r="AY979" s="315">
        <v>2.0186999999999999</v>
      </c>
      <c r="AZ979" s="315">
        <v>1.9139999999999999</v>
      </c>
      <c r="BA979" s="315">
        <v>1.8261000000000001</v>
      </c>
      <c r="BB979" s="315">
        <v>1.6229</v>
      </c>
      <c r="BC979" s="315">
        <v>2.0291000000000001</v>
      </c>
      <c r="BD979" s="315">
        <v>2.2603</v>
      </c>
      <c r="BE979" s="315">
        <v>2.4159000000000002</v>
      </c>
      <c r="BF979" s="315">
        <v>2.1324000000000001</v>
      </c>
      <c r="BG979" s="315">
        <v>2.2671999999999999</v>
      </c>
      <c r="BH979" s="315">
        <v>2.2591000000000001</v>
      </c>
      <c r="BI979" s="315">
        <v>2.3862000000000001</v>
      </c>
      <c r="BJ979" s="315">
        <v>2.1711</v>
      </c>
      <c r="BK979" s="315">
        <v>2.2016</v>
      </c>
    </row>
    <row r="980" spans="1:63" x14ac:dyDescent="0.25">
      <c r="A980" s="306">
        <v>327390</v>
      </c>
      <c r="B980" s="315" t="s">
        <v>144</v>
      </c>
      <c r="C980" s="315">
        <v>2.9517000000000002</v>
      </c>
      <c r="D980" s="315">
        <v>1.5496000000000001</v>
      </c>
      <c r="E980" s="315">
        <v>2.1374</v>
      </c>
      <c r="F980" s="315">
        <v>1.9954000000000001</v>
      </c>
      <c r="G980" s="315">
        <v>1.9925999999999999</v>
      </c>
      <c r="H980" s="315">
        <v>2.1888999999999998</v>
      </c>
      <c r="I980" s="315">
        <v>2.2151000000000001</v>
      </c>
      <c r="J980" s="315">
        <v>1.9365000000000001</v>
      </c>
      <c r="K980" s="315">
        <v>0</v>
      </c>
      <c r="L980" s="315">
        <v>1.7529999999999999</v>
      </c>
      <c r="M980" s="315">
        <v>2.0312000000000001</v>
      </c>
      <c r="N980" s="315">
        <v>2.2141999999999999</v>
      </c>
      <c r="O980" s="315">
        <v>1.7262</v>
      </c>
      <c r="P980" s="315">
        <v>1.7944</v>
      </c>
      <c r="Q980" s="315">
        <v>1.7502</v>
      </c>
      <c r="R980" s="315">
        <v>2.4016999999999999</v>
      </c>
      <c r="S980" s="315">
        <v>2.1974</v>
      </c>
      <c r="T980" s="315">
        <v>1.839</v>
      </c>
      <c r="U980" s="315">
        <v>2.1768999999999998</v>
      </c>
      <c r="V980" s="315">
        <v>1.9495</v>
      </c>
      <c r="W980" s="315">
        <v>1.9923999999999999</v>
      </c>
      <c r="X980" s="315">
        <v>1.9833000000000001</v>
      </c>
      <c r="Y980" s="315">
        <v>1.9319999999999999</v>
      </c>
      <c r="Z980" s="315">
        <v>2.2784</v>
      </c>
      <c r="AA980" s="315">
        <v>2.0893000000000002</v>
      </c>
      <c r="AB980" s="315">
        <v>2.2753000000000001</v>
      </c>
      <c r="AC980" s="315">
        <v>1.9206000000000001</v>
      </c>
      <c r="AD980" s="315">
        <v>1.7024999999999999</v>
      </c>
      <c r="AE980" s="315">
        <v>2.0522</v>
      </c>
      <c r="AF980" s="315">
        <v>1.5684</v>
      </c>
      <c r="AG980" s="315">
        <v>1.7726999999999999</v>
      </c>
      <c r="AH980" s="315">
        <v>1.9188000000000001</v>
      </c>
      <c r="AI980" s="315">
        <v>2.1147999999999998</v>
      </c>
      <c r="AJ980" s="315">
        <v>1.7425999999999999</v>
      </c>
      <c r="AK980" s="315">
        <v>1.8693</v>
      </c>
      <c r="AL980" s="315">
        <v>1.8573999999999999</v>
      </c>
      <c r="AM980" s="315">
        <v>2.3433999999999999</v>
      </c>
      <c r="AN980" s="315">
        <v>2.0705</v>
      </c>
      <c r="AO980" s="315">
        <v>2.1442999999999999</v>
      </c>
      <c r="AP980" s="315">
        <v>2.4272999999999998</v>
      </c>
      <c r="AQ980" s="315">
        <v>1.8169999999999999</v>
      </c>
      <c r="AR980" s="315">
        <v>2.1774</v>
      </c>
      <c r="AS980" s="315">
        <v>1.6334</v>
      </c>
      <c r="AT980" s="315">
        <v>2.2513000000000001</v>
      </c>
      <c r="AU980" s="315">
        <v>2.37</v>
      </c>
      <c r="AV980" s="315">
        <v>2.2774999999999999</v>
      </c>
      <c r="AW980" s="315">
        <v>2.0419</v>
      </c>
      <c r="AX980" s="315">
        <v>1.6899</v>
      </c>
      <c r="AY980" s="315">
        <v>2.0505</v>
      </c>
      <c r="AZ980" s="315">
        <v>2.0800999999999998</v>
      </c>
      <c r="BA980" s="315">
        <v>1.8277000000000001</v>
      </c>
      <c r="BB980" s="315">
        <v>1.5926</v>
      </c>
      <c r="BC980" s="315">
        <v>2.1307</v>
      </c>
      <c r="BD980" s="315">
        <v>2.3069000000000002</v>
      </c>
      <c r="BE980" s="315">
        <v>2.5059</v>
      </c>
      <c r="BF980" s="315">
        <v>2.1949000000000001</v>
      </c>
      <c r="BG980" s="315">
        <v>2.3067000000000002</v>
      </c>
      <c r="BH980" s="315">
        <v>2.3102999999999998</v>
      </c>
      <c r="BI980" s="315">
        <v>2.4060999999999999</v>
      </c>
      <c r="BJ980" s="315">
        <v>2.173</v>
      </c>
      <c r="BK980" s="315">
        <v>2.2351999999999999</v>
      </c>
    </row>
    <row r="981" spans="1:63" x14ac:dyDescent="0.25">
      <c r="A981" s="306" t="s">
        <v>720</v>
      </c>
      <c r="B981" s="315" t="s">
        <v>145</v>
      </c>
      <c r="C981" s="315">
        <v>2.8384</v>
      </c>
      <c r="D981" s="315">
        <v>0</v>
      </c>
      <c r="E981" s="315">
        <v>2.0931999999999999</v>
      </c>
      <c r="F981" s="315">
        <v>1.9972000000000001</v>
      </c>
      <c r="G981" s="315">
        <v>1.7838000000000001</v>
      </c>
      <c r="H981" s="315">
        <v>1.9654</v>
      </c>
      <c r="I981" s="315">
        <v>2.0007000000000001</v>
      </c>
      <c r="J981" s="315">
        <v>1.6980999999999999</v>
      </c>
      <c r="K981" s="315">
        <v>0</v>
      </c>
      <c r="L981" s="315">
        <v>1.5653999999999999</v>
      </c>
      <c r="M981" s="315">
        <v>1.7845</v>
      </c>
      <c r="N981" s="315">
        <v>2.1705000000000001</v>
      </c>
      <c r="O981" s="315">
        <v>0</v>
      </c>
      <c r="P981" s="315">
        <v>1.5972</v>
      </c>
      <c r="Q981" s="315">
        <v>1.8097000000000001</v>
      </c>
      <c r="R981" s="315">
        <v>2.1128</v>
      </c>
      <c r="S981" s="315">
        <v>2.0706000000000002</v>
      </c>
      <c r="T981" s="315">
        <v>1.8015000000000001</v>
      </c>
      <c r="U981" s="315">
        <v>1.9266000000000001</v>
      </c>
      <c r="V981" s="315">
        <v>2.1015999999999999</v>
      </c>
      <c r="W981" s="315">
        <v>1.7434000000000001</v>
      </c>
      <c r="X981" s="315">
        <v>1.6233</v>
      </c>
      <c r="Y981" s="315">
        <v>0</v>
      </c>
      <c r="Z981" s="315">
        <v>2.0653000000000001</v>
      </c>
      <c r="AA981" s="315">
        <v>0</v>
      </c>
      <c r="AB981" s="315">
        <v>1.9449000000000001</v>
      </c>
      <c r="AC981" s="315">
        <v>1.8351</v>
      </c>
      <c r="AD981" s="315">
        <v>1.9075</v>
      </c>
      <c r="AE981" s="315">
        <v>1.9947999999999999</v>
      </c>
      <c r="AF981" s="315">
        <v>0</v>
      </c>
      <c r="AG981" s="315">
        <v>1.6015999999999999</v>
      </c>
      <c r="AH981" s="315">
        <v>1.5922000000000001</v>
      </c>
      <c r="AI981" s="315">
        <v>1.8714</v>
      </c>
      <c r="AJ981" s="315">
        <v>1.7895000000000001</v>
      </c>
      <c r="AK981" s="315">
        <v>1.7038</v>
      </c>
      <c r="AL981" s="315">
        <v>1.6846000000000001</v>
      </c>
      <c r="AM981" s="315">
        <v>2.2465000000000002</v>
      </c>
      <c r="AN981" s="315">
        <v>1.9870000000000001</v>
      </c>
      <c r="AO981" s="315">
        <v>2.0529000000000002</v>
      </c>
      <c r="AP981" s="315">
        <v>2.0962999999999998</v>
      </c>
      <c r="AQ981" s="315">
        <v>0</v>
      </c>
      <c r="AR981" s="315">
        <v>1.9990000000000001</v>
      </c>
      <c r="AS981" s="315">
        <v>1.4978</v>
      </c>
      <c r="AT981" s="315">
        <v>2.1011000000000002</v>
      </c>
      <c r="AU981" s="315">
        <v>2.3441999999999998</v>
      </c>
      <c r="AV981" s="315">
        <v>2.0577999999999999</v>
      </c>
      <c r="AW981" s="315">
        <v>1.9773000000000001</v>
      </c>
      <c r="AX981" s="315">
        <v>0</v>
      </c>
      <c r="AY981" s="315">
        <v>2.0034999999999998</v>
      </c>
      <c r="AZ981" s="315">
        <v>1.9371</v>
      </c>
      <c r="BA981" s="315">
        <v>1.8455999999999999</v>
      </c>
      <c r="BB981" s="315">
        <v>1.6573</v>
      </c>
      <c r="BC981" s="315">
        <v>1.9032</v>
      </c>
      <c r="BD981" s="315">
        <v>1.9643999999999999</v>
      </c>
      <c r="BE981" s="315">
        <v>2.2612000000000001</v>
      </c>
      <c r="BF981" s="315">
        <v>1.9197</v>
      </c>
      <c r="BG981" s="315">
        <v>2.2014999999999998</v>
      </c>
      <c r="BH981" s="315">
        <v>2.1867000000000001</v>
      </c>
      <c r="BI981" s="315">
        <v>2.3967000000000001</v>
      </c>
      <c r="BJ981" s="315">
        <v>2.1398000000000001</v>
      </c>
      <c r="BK981" s="315">
        <v>2.1013999999999999</v>
      </c>
    </row>
    <row r="982" spans="1:63" x14ac:dyDescent="0.25">
      <c r="A982" s="306">
        <v>327910</v>
      </c>
      <c r="B982" s="315" t="s">
        <v>146</v>
      </c>
      <c r="C982" s="315">
        <v>2.5034000000000001</v>
      </c>
      <c r="D982" s="315">
        <v>0</v>
      </c>
      <c r="E982" s="315">
        <v>1.8505</v>
      </c>
      <c r="F982" s="315">
        <v>1.73</v>
      </c>
      <c r="G982" s="315">
        <v>1.7536</v>
      </c>
      <c r="H982" s="315">
        <v>1.8878999999999999</v>
      </c>
      <c r="I982" s="315">
        <v>1.8819999999999999</v>
      </c>
      <c r="J982" s="315">
        <v>1.8475999999999999</v>
      </c>
      <c r="K982" s="315">
        <v>0</v>
      </c>
      <c r="L982" s="315">
        <v>0</v>
      </c>
      <c r="M982" s="315">
        <v>1.7237</v>
      </c>
      <c r="N982" s="315">
        <v>2.0032999999999999</v>
      </c>
      <c r="O982" s="315">
        <v>0</v>
      </c>
      <c r="P982" s="315">
        <v>1.4955000000000001</v>
      </c>
      <c r="Q982" s="315">
        <v>1.5335000000000001</v>
      </c>
      <c r="R982" s="315">
        <v>2.0895000000000001</v>
      </c>
      <c r="S982" s="315">
        <v>1.8277000000000001</v>
      </c>
      <c r="T982" s="315">
        <v>1.5805</v>
      </c>
      <c r="U982" s="315">
        <v>1.83</v>
      </c>
      <c r="V982" s="315">
        <v>1.7194</v>
      </c>
      <c r="W982" s="315">
        <v>1.8768</v>
      </c>
      <c r="X982" s="315">
        <v>1.6832</v>
      </c>
      <c r="Y982" s="315">
        <v>0</v>
      </c>
      <c r="Z982" s="315">
        <v>1.9685999999999999</v>
      </c>
      <c r="AA982" s="315">
        <v>1.8964000000000001</v>
      </c>
      <c r="AB982" s="315">
        <v>1.9652000000000001</v>
      </c>
      <c r="AC982" s="315">
        <v>1.702</v>
      </c>
      <c r="AD982" s="315">
        <v>0</v>
      </c>
      <c r="AE982" s="315">
        <v>1.9016</v>
      </c>
      <c r="AF982" s="315">
        <v>0</v>
      </c>
      <c r="AG982" s="315">
        <v>0</v>
      </c>
      <c r="AH982" s="315">
        <v>1.7883</v>
      </c>
      <c r="AI982" s="315">
        <v>1.9221999999999999</v>
      </c>
      <c r="AJ982" s="315">
        <v>0</v>
      </c>
      <c r="AK982" s="315">
        <v>0</v>
      </c>
      <c r="AL982" s="315">
        <v>1.7804</v>
      </c>
      <c r="AM982" s="315">
        <v>2.0644</v>
      </c>
      <c r="AN982" s="315">
        <v>0</v>
      </c>
      <c r="AO982" s="315">
        <v>1.8954</v>
      </c>
      <c r="AP982" s="315">
        <v>2.0209000000000001</v>
      </c>
      <c r="AQ982" s="315">
        <v>1.7533000000000001</v>
      </c>
      <c r="AR982" s="315">
        <v>1.8</v>
      </c>
      <c r="AS982" s="315">
        <v>0</v>
      </c>
      <c r="AT982" s="315">
        <v>1.8574999999999999</v>
      </c>
      <c r="AU982" s="315">
        <v>2.0722999999999998</v>
      </c>
      <c r="AV982" s="315">
        <v>1.8708</v>
      </c>
      <c r="AW982" s="315">
        <v>1.8992</v>
      </c>
      <c r="AX982" s="315">
        <v>1.6117999999999999</v>
      </c>
      <c r="AY982" s="315">
        <v>1.8011999999999999</v>
      </c>
      <c r="AZ982" s="315">
        <v>1.8836999999999999</v>
      </c>
      <c r="BA982" s="315">
        <v>0</v>
      </c>
      <c r="BB982" s="315">
        <v>0</v>
      </c>
      <c r="BC982" s="315">
        <v>1.9885999999999999</v>
      </c>
      <c r="BD982" s="315">
        <v>2.0409000000000002</v>
      </c>
      <c r="BE982" s="315">
        <v>2.1322999999999999</v>
      </c>
      <c r="BF982" s="315">
        <v>1.8627</v>
      </c>
      <c r="BG982" s="315">
        <v>2.0106999999999999</v>
      </c>
      <c r="BH982" s="315">
        <v>1.9624999999999999</v>
      </c>
      <c r="BI982" s="315">
        <v>2.0586000000000002</v>
      </c>
      <c r="BJ982" s="315">
        <v>1.8689</v>
      </c>
      <c r="BK982" s="315">
        <v>1.9335</v>
      </c>
    </row>
    <row r="983" spans="1:63" x14ac:dyDescent="0.25">
      <c r="A983" s="306">
        <v>327991</v>
      </c>
      <c r="B983" s="315" t="s">
        <v>147</v>
      </c>
      <c r="C983" s="315">
        <v>3.0771999999999999</v>
      </c>
      <c r="D983" s="315">
        <v>1.7178</v>
      </c>
      <c r="E983" s="315">
        <v>2.1111</v>
      </c>
      <c r="F983" s="315">
        <v>2.0255999999999998</v>
      </c>
      <c r="G983" s="315">
        <v>2.1052</v>
      </c>
      <c r="H983" s="315">
        <v>2.2982</v>
      </c>
      <c r="I983" s="315">
        <v>2.3748999999999998</v>
      </c>
      <c r="J983" s="315">
        <v>2.0754999999999999</v>
      </c>
      <c r="K983" s="315">
        <v>0</v>
      </c>
      <c r="L983" s="315">
        <v>1.845</v>
      </c>
      <c r="M983" s="315">
        <v>2.1185999999999998</v>
      </c>
      <c r="N983" s="315">
        <v>2.4171999999999998</v>
      </c>
      <c r="O983" s="315">
        <v>1.9194</v>
      </c>
      <c r="P983" s="315">
        <v>1.8184</v>
      </c>
      <c r="Q983" s="315">
        <v>1.8623000000000001</v>
      </c>
      <c r="R983" s="315">
        <v>2.5114000000000001</v>
      </c>
      <c r="S983" s="315">
        <v>2.2038000000000002</v>
      </c>
      <c r="T983" s="315">
        <v>1.9460999999999999</v>
      </c>
      <c r="U983" s="315">
        <v>2.1701000000000001</v>
      </c>
      <c r="V983" s="315">
        <v>2.0169000000000001</v>
      </c>
      <c r="W983" s="315">
        <v>2.1400999999999999</v>
      </c>
      <c r="X983" s="315">
        <v>1.9811000000000001</v>
      </c>
      <c r="Y983" s="315">
        <v>2.0026999999999999</v>
      </c>
      <c r="Z983" s="315">
        <v>2.2879</v>
      </c>
      <c r="AA983" s="315">
        <v>2.2185999999999999</v>
      </c>
      <c r="AB983" s="315">
        <v>2.3005</v>
      </c>
      <c r="AC983" s="315">
        <v>1.8516999999999999</v>
      </c>
      <c r="AD983" s="315">
        <v>1.8815999999999999</v>
      </c>
      <c r="AE983" s="315">
        <v>2.2416999999999998</v>
      </c>
      <c r="AF983" s="315">
        <v>1.6454</v>
      </c>
      <c r="AG983" s="315">
        <v>1.8</v>
      </c>
      <c r="AH983" s="315">
        <v>2.0026999999999999</v>
      </c>
      <c r="AI983" s="315">
        <v>2.2909999999999999</v>
      </c>
      <c r="AJ983" s="315">
        <v>1.8201000000000001</v>
      </c>
      <c r="AK983" s="315">
        <v>1.9439</v>
      </c>
      <c r="AL983" s="315">
        <v>2.0230999999999999</v>
      </c>
      <c r="AM983" s="315">
        <v>2.4561999999999999</v>
      </c>
      <c r="AN983" s="315">
        <v>2.0518999999999998</v>
      </c>
      <c r="AO983" s="315">
        <v>2.2277</v>
      </c>
      <c r="AP983" s="315">
        <v>2.4514</v>
      </c>
      <c r="AQ983" s="315">
        <v>1.9877</v>
      </c>
      <c r="AR983" s="315">
        <v>2.2096</v>
      </c>
      <c r="AS983" s="315">
        <v>1.6862999999999999</v>
      </c>
      <c r="AT983" s="315">
        <v>2.3307000000000002</v>
      </c>
      <c r="AU983" s="315">
        <v>2.4182999999999999</v>
      </c>
      <c r="AV983" s="315">
        <v>2.3290000000000002</v>
      </c>
      <c r="AW983" s="315">
        <v>2.2027999999999999</v>
      </c>
      <c r="AX983" s="315">
        <v>1.8925000000000001</v>
      </c>
      <c r="AY983" s="315">
        <v>2.1282000000000001</v>
      </c>
      <c r="AZ983" s="315">
        <v>2.2397</v>
      </c>
      <c r="BA983" s="315">
        <v>1.8297000000000001</v>
      </c>
      <c r="BB983" s="315">
        <v>1.6807000000000001</v>
      </c>
      <c r="BC983" s="315">
        <v>2.3006000000000002</v>
      </c>
      <c r="BD983" s="315">
        <v>2.4144999999999999</v>
      </c>
      <c r="BE983" s="315">
        <v>2.5621999999999998</v>
      </c>
      <c r="BF983" s="315">
        <v>2.2665999999999999</v>
      </c>
      <c r="BG983" s="315">
        <v>2.4807000000000001</v>
      </c>
      <c r="BH983" s="315">
        <v>2.323</v>
      </c>
      <c r="BI983" s="315">
        <v>2.456</v>
      </c>
      <c r="BJ983" s="315">
        <v>2.3418999999999999</v>
      </c>
      <c r="BK983" s="315">
        <v>2.3595999999999999</v>
      </c>
    </row>
    <row r="984" spans="1:63" x14ac:dyDescent="0.25">
      <c r="A984" s="306">
        <v>327992</v>
      </c>
      <c r="B984" s="315" t="s">
        <v>148</v>
      </c>
      <c r="C984" s="315">
        <v>2.4097</v>
      </c>
      <c r="D984" s="315">
        <v>0</v>
      </c>
      <c r="E984" s="315">
        <v>1.7917000000000001</v>
      </c>
      <c r="F984" s="315">
        <v>1.7311000000000001</v>
      </c>
      <c r="G984" s="315">
        <v>1.7602</v>
      </c>
      <c r="H984" s="315">
        <v>1.8398000000000001</v>
      </c>
      <c r="I984" s="315">
        <v>1.9146000000000001</v>
      </c>
      <c r="J984" s="315">
        <v>0</v>
      </c>
      <c r="K984" s="315">
        <v>0</v>
      </c>
      <c r="L984" s="315">
        <v>0</v>
      </c>
      <c r="M984" s="315">
        <v>1.6872</v>
      </c>
      <c r="N984" s="315">
        <v>1.9157999999999999</v>
      </c>
      <c r="O984" s="315">
        <v>0</v>
      </c>
      <c r="P984" s="315">
        <v>0</v>
      </c>
      <c r="Q984" s="315">
        <v>0</v>
      </c>
      <c r="R984" s="315">
        <v>1.9882</v>
      </c>
      <c r="S984" s="315">
        <v>1.8395999999999999</v>
      </c>
      <c r="T984" s="315">
        <v>0</v>
      </c>
      <c r="U984" s="315">
        <v>1.7885</v>
      </c>
      <c r="V984" s="315">
        <v>1.7805</v>
      </c>
      <c r="W984" s="315">
        <v>1.6701999999999999</v>
      </c>
      <c r="X984" s="315">
        <v>0</v>
      </c>
      <c r="Y984" s="315">
        <v>1.6131</v>
      </c>
      <c r="Z984" s="315">
        <v>1.8466</v>
      </c>
      <c r="AA984" s="315">
        <v>1.7343</v>
      </c>
      <c r="AB984" s="315">
        <v>1.8533999999999999</v>
      </c>
      <c r="AC984" s="315">
        <v>0</v>
      </c>
      <c r="AD984" s="315">
        <v>0</v>
      </c>
      <c r="AE984" s="315">
        <v>1.7553000000000001</v>
      </c>
      <c r="AF984" s="315">
        <v>0</v>
      </c>
      <c r="AG984" s="315">
        <v>0</v>
      </c>
      <c r="AH984" s="315">
        <v>0</v>
      </c>
      <c r="AI984" s="315">
        <v>1.8081</v>
      </c>
      <c r="AJ984" s="315">
        <v>1.6899</v>
      </c>
      <c r="AK984" s="315">
        <v>1.6535</v>
      </c>
      <c r="AL984" s="315">
        <v>1.6355</v>
      </c>
      <c r="AM984" s="315">
        <v>1.964</v>
      </c>
      <c r="AN984" s="315">
        <v>1.7984</v>
      </c>
      <c r="AO984" s="315">
        <v>1.8051999999999999</v>
      </c>
      <c r="AP984" s="315">
        <v>1.9643999999999999</v>
      </c>
      <c r="AQ984" s="315">
        <v>0</v>
      </c>
      <c r="AR984" s="315">
        <v>1.7661</v>
      </c>
      <c r="AS984" s="315">
        <v>0</v>
      </c>
      <c r="AT984" s="315">
        <v>1.8615999999999999</v>
      </c>
      <c r="AU984" s="315">
        <v>2.0329000000000002</v>
      </c>
      <c r="AV984" s="315">
        <v>0</v>
      </c>
      <c r="AW984" s="315">
        <v>1.7582</v>
      </c>
      <c r="AX984" s="315">
        <v>0</v>
      </c>
      <c r="AY984" s="315">
        <v>1.776</v>
      </c>
      <c r="AZ984" s="315">
        <v>1.794</v>
      </c>
      <c r="BA984" s="315">
        <v>0</v>
      </c>
      <c r="BB984" s="315">
        <v>1.5663</v>
      </c>
      <c r="BC984" s="315">
        <v>1.7559</v>
      </c>
      <c r="BD984" s="315">
        <v>1.9028</v>
      </c>
      <c r="BE984" s="315">
        <v>2.0234999999999999</v>
      </c>
      <c r="BF984" s="315">
        <v>1.8012999999999999</v>
      </c>
      <c r="BG984" s="315">
        <v>1.944</v>
      </c>
      <c r="BH984" s="315">
        <v>1.8846000000000001</v>
      </c>
      <c r="BI984" s="315">
        <v>2.0628000000000002</v>
      </c>
      <c r="BJ984" s="315">
        <v>1.9617</v>
      </c>
      <c r="BK984" s="315">
        <v>1.9083000000000001</v>
      </c>
    </row>
    <row r="985" spans="1:63" x14ac:dyDescent="0.25">
      <c r="A985" s="306">
        <v>327993</v>
      </c>
      <c r="B985" s="315" t="s">
        <v>149</v>
      </c>
      <c r="C985" s="315">
        <v>2.7233000000000001</v>
      </c>
      <c r="D985" s="315">
        <v>0</v>
      </c>
      <c r="E985" s="315">
        <v>1.9561999999999999</v>
      </c>
      <c r="F985" s="315">
        <v>1.8141</v>
      </c>
      <c r="G985" s="315">
        <v>1.8030999999999999</v>
      </c>
      <c r="H985" s="315">
        <v>1.9988999999999999</v>
      </c>
      <c r="I985" s="315">
        <v>1.9791000000000001</v>
      </c>
      <c r="J985" s="315">
        <v>1.8324</v>
      </c>
      <c r="K985" s="315">
        <v>0</v>
      </c>
      <c r="L985" s="315">
        <v>0</v>
      </c>
      <c r="M985" s="315">
        <v>1.7932999999999999</v>
      </c>
      <c r="N985" s="315">
        <v>2.0788000000000002</v>
      </c>
      <c r="O985" s="315">
        <v>1.6135999999999999</v>
      </c>
      <c r="P985" s="315">
        <v>1.6153</v>
      </c>
      <c r="Q985" s="315">
        <v>1.6016999999999999</v>
      </c>
      <c r="R985" s="315">
        <v>2.1675</v>
      </c>
      <c r="S985" s="315">
        <v>1.9829000000000001</v>
      </c>
      <c r="T985" s="315">
        <v>1.7162999999999999</v>
      </c>
      <c r="U985" s="315">
        <v>1.9971000000000001</v>
      </c>
      <c r="V985" s="315">
        <v>1.9108000000000001</v>
      </c>
      <c r="W985" s="315">
        <v>1.885</v>
      </c>
      <c r="X985" s="315">
        <v>0</v>
      </c>
      <c r="Y985" s="315">
        <v>1.7372000000000001</v>
      </c>
      <c r="Z985" s="315">
        <v>2.0163000000000002</v>
      </c>
      <c r="AA985" s="315">
        <v>1.9447000000000001</v>
      </c>
      <c r="AB985" s="315">
        <v>2.0327999999999999</v>
      </c>
      <c r="AC985" s="315">
        <v>1.7818000000000001</v>
      </c>
      <c r="AD985" s="315">
        <v>0</v>
      </c>
      <c r="AE985" s="315">
        <v>1.962</v>
      </c>
      <c r="AF985" s="315">
        <v>1.5399</v>
      </c>
      <c r="AG985" s="315">
        <v>1.6066</v>
      </c>
      <c r="AH985" s="315">
        <v>0</v>
      </c>
      <c r="AI985" s="315">
        <v>2.0413000000000001</v>
      </c>
      <c r="AJ985" s="315">
        <v>1.6669</v>
      </c>
      <c r="AK985" s="315">
        <v>1.6769000000000001</v>
      </c>
      <c r="AL985" s="315">
        <v>1.7608999999999999</v>
      </c>
      <c r="AM985" s="315">
        <v>2.2081</v>
      </c>
      <c r="AN985" s="315">
        <v>1.8743000000000001</v>
      </c>
      <c r="AO985" s="315">
        <v>1.9723999999999999</v>
      </c>
      <c r="AP985" s="315">
        <v>2.2018</v>
      </c>
      <c r="AQ985" s="315">
        <v>1.7653000000000001</v>
      </c>
      <c r="AR985" s="315">
        <v>1.9913000000000001</v>
      </c>
      <c r="AS985" s="315">
        <v>1.5098</v>
      </c>
      <c r="AT985" s="315">
        <v>2.0520999999999998</v>
      </c>
      <c r="AU985" s="315">
        <v>2.2324999999999999</v>
      </c>
      <c r="AV985" s="315">
        <v>2.0430000000000001</v>
      </c>
      <c r="AW985" s="315">
        <v>1.9325000000000001</v>
      </c>
      <c r="AX985" s="315">
        <v>0</v>
      </c>
      <c r="AY985" s="315">
        <v>1.8911</v>
      </c>
      <c r="AZ985" s="315">
        <v>1.9383999999999999</v>
      </c>
      <c r="BA985" s="315">
        <v>1.77</v>
      </c>
      <c r="BB985" s="315">
        <v>0</v>
      </c>
      <c r="BC985" s="315">
        <v>2.0114999999999998</v>
      </c>
      <c r="BD985" s="315">
        <v>2.1168999999999998</v>
      </c>
      <c r="BE985" s="315">
        <v>2.2669000000000001</v>
      </c>
      <c r="BF985" s="315">
        <v>1.9789000000000001</v>
      </c>
      <c r="BG985" s="315">
        <v>2.1459000000000001</v>
      </c>
      <c r="BH985" s="315">
        <v>2.1341000000000001</v>
      </c>
      <c r="BI985" s="315">
        <v>2.2484999999999999</v>
      </c>
      <c r="BJ985" s="315">
        <v>1.9908999999999999</v>
      </c>
      <c r="BK985" s="315">
        <v>2.0455999999999999</v>
      </c>
    </row>
    <row r="986" spans="1:63" x14ac:dyDescent="0.25">
      <c r="A986" s="306">
        <v>327999</v>
      </c>
      <c r="B986" s="315" t="s">
        <v>721</v>
      </c>
      <c r="C986" s="315">
        <v>2.9577</v>
      </c>
      <c r="D986" s="315">
        <v>0</v>
      </c>
      <c r="E986" s="315">
        <v>2.129</v>
      </c>
      <c r="F986" s="315">
        <v>1.9897</v>
      </c>
      <c r="G986" s="315">
        <v>2.0131000000000001</v>
      </c>
      <c r="H986" s="315">
        <v>2.1897000000000002</v>
      </c>
      <c r="I986" s="315">
        <v>2.2061000000000002</v>
      </c>
      <c r="J986" s="315">
        <v>1.8093999999999999</v>
      </c>
      <c r="K986" s="315">
        <v>1.2058</v>
      </c>
      <c r="L986" s="315">
        <v>1.7128000000000001</v>
      </c>
      <c r="M986" s="315">
        <v>2.0347</v>
      </c>
      <c r="N986" s="315">
        <v>2.2932000000000001</v>
      </c>
      <c r="O986" s="315">
        <v>1.6323000000000001</v>
      </c>
      <c r="P986" s="315">
        <v>1.7957000000000001</v>
      </c>
      <c r="Q986" s="315">
        <v>1.7366999999999999</v>
      </c>
      <c r="R986" s="315">
        <v>2.3491</v>
      </c>
      <c r="S986" s="315">
        <v>2.23</v>
      </c>
      <c r="T986" s="315">
        <v>1.8829</v>
      </c>
      <c r="U986" s="315">
        <v>2.1648999999999998</v>
      </c>
      <c r="V986" s="315">
        <v>1.9902</v>
      </c>
      <c r="W986" s="315">
        <v>1.9331</v>
      </c>
      <c r="X986" s="315">
        <v>1.9476</v>
      </c>
      <c r="Y986" s="315">
        <v>1.9356</v>
      </c>
      <c r="Z986" s="315">
        <v>2.2016</v>
      </c>
      <c r="AA986" s="315">
        <v>2.0253000000000001</v>
      </c>
      <c r="AB986" s="315">
        <v>2.2808999999999999</v>
      </c>
      <c r="AC986" s="315">
        <v>0</v>
      </c>
      <c r="AD986" s="315">
        <v>1.7398</v>
      </c>
      <c r="AE986" s="315">
        <v>1.9933000000000001</v>
      </c>
      <c r="AF986" s="315">
        <v>0</v>
      </c>
      <c r="AG986" s="315">
        <v>1.8055000000000001</v>
      </c>
      <c r="AH986" s="315">
        <v>1.8545</v>
      </c>
      <c r="AI986" s="315">
        <v>2.1009000000000002</v>
      </c>
      <c r="AJ986" s="315">
        <v>1.83</v>
      </c>
      <c r="AK986" s="315">
        <v>1.8866000000000001</v>
      </c>
      <c r="AL986" s="315">
        <v>1.8178000000000001</v>
      </c>
      <c r="AM986" s="315">
        <v>2.3260999999999998</v>
      </c>
      <c r="AN986" s="315">
        <v>2.0638000000000001</v>
      </c>
      <c r="AO986" s="315">
        <v>2.1160000000000001</v>
      </c>
      <c r="AP986" s="315">
        <v>2.4401000000000002</v>
      </c>
      <c r="AQ986" s="315">
        <v>1.7548999999999999</v>
      </c>
      <c r="AR986" s="315">
        <v>2.1701999999999999</v>
      </c>
      <c r="AS986" s="315">
        <v>1.7008000000000001</v>
      </c>
      <c r="AT986" s="315">
        <v>2.2696000000000001</v>
      </c>
      <c r="AU986" s="315">
        <v>2.4295</v>
      </c>
      <c r="AV986" s="315">
        <v>2.3079999999999998</v>
      </c>
      <c r="AW986" s="315">
        <v>2.0634999999999999</v>
      </c>
      <c r="AX986" s="315">
        <v>1.6359999999999999</v>
      </c>
      <c r="AY986" s="315">
        <v>2.0390000000000001</v>
      </c>
      <c r="AZ986" s="315">
        <v>2.0005999999999999</v>
      </c>
      <c r="BA986" s="315">
        <v>1.9189000000000001</v>
      </c>
      <c r="BB986" s="315">
        <v>0</v>
      </c>
      <c r="BC986" s="315">
        <v>2.0484</v>
      </c>
      <c r="BD986" s="315">
        <v>2.2736999999999998</v>
      </c>
      <c r="BE986" s="315">
        <v>2.5038</v>
      </c>
      <c r="BF986" s="315">
        <v>2.2298</v>
      </c>
      <c r="BG986" s="315">
        <v>2.3466999999999998</v>
      </c>
      <c r="BH986" s="315">
        <v>2.3285999999999998</v>
      </c>
      <c r="BI986" s="315">
        <v>2.4487999999999999</v>
      </c>
      <c r="BJ986" s="315">
        <v>2.2317</v>
      </c>
      <c r="BK986" s="315">
        <v>2.2292000000000001</v>
      </c>
    </row>
    <row r="987" spans="1:63" x14ac:dyDescent="0.25">
      <c r="A987" s="306">
        <v>331110</v>
      </c>
      <c r="B987" s="315" t="s">
        <v>150</v>
      </c>
      <c r="C987" s="315">
        <v>2.9777999999999998</v>
      </c>
      <c r="D987" s="315">
        <v>1.5330999999999999</v>
      </c>
      <c r="E987" s="315">
        <v>2.1909999999999998</v>
      </c>
      <c r="F987" s="315">
        <v>1.9581999999999999</v>
      </c>
      <c r="G987" s="315">
        <v>1.8460000000000001</v>
      </c>
      <c r="H987" s="315">
        <v>2.0106999999999999</v>
      </c>
      <c r="I987" s="315">
        <v>2.1269</v>
      </c>
      <c r="J987" s="315">
        <v>1.861</v>
      </c>
      <c r="K987" s="315">
        <v>1.2298</v>
      </c>
      <c r="L987" s="315">
        <v>1.7542</v>
      </c>
      <c r="M987" s="315">
        <v>1.8066</v>
      </c>
      <c r="N987" s="315">
        <v>2.0215999999999998</v>
      </c>
      <c r="O987" s="315">
        <v>1.5143</v>
      </c>
      <c r="P987" s="315">
        <v>1.7009000000000001</v>
      </c>
      <c r="Q987" s="315">
        <v>1.5696000000000001</v>
      </c>
      <c r="R987" s="315">
        <v>2.3755000000000002</v>
      </c>
      <c r="S987" s="315">
        <v>2.2031000000000001</v>
      </c>
      <c r="T987" s="315">
        <v>1.7755000000000001</v>
      </c>
      <c r="U987" s="315">
        <v>2.1549999999999998</v>
      </c>
      <c r="V987" s="315">
        <v>1.9429000000000001</v>
      </c>
      <c r="W987" s="315">
        <v>1.8456999999999999</v>
      </c>
      <c r="X987" s="315">
        <v>1.8804000000000001</v>
      </c>
      <c r="Y987" s="315">
        <v>0</v>
      </c>
      <c r="Z987" s="315">
        <v>2.2461000000000002</v>
      </c>
      <c r="AA987" s="315">
        <v>2.0072000000000001</v>
      </c>
      <c r="AB987" s="315">
        <v>2.0697999999999999</v>
      </c>
      <c r="AC987" s="315">
        <v>1.9014</v>
      </c>
      <c r="AD987" s="315">
        <v>1.6485000000000001</v>
      </c>
      <c r="AE987" s="315">
        <v>1.9036</v>
      </c>
      <c r="AF987" s="315">
        <v>1.5797000000000001</v>
      </c>
      <c r="AG987" s="315">
        <v>1.6633</v>
      </c>
      <c r="AH987" s="315">
        <v>1.7969999999999999</v>
      </c>
      <c r="AI987" s="315">
        <v>1.962</v>
      </c>
      <c r="AJ987" s="315">
        <v>1.6626000000000001</v>
      </c>
      <c r="AK987" s="315">
        <v>0</v>
      </c>
      <c r="AL987" s="315">
        <v>1.7513000000000001</v>
      </c>
      <c r="AM987" s="315">
        <v>2.3635999999999999</v>
      </c>
      <c r="AN987" s="315">
        <v>2.0364</v>
      </c>
      <c r="AO987" s="315">
        <v>2.0461999999999998</v>
      </c>
      <c r="AP987" s="315">
        <v>2.4056999999999999</v>
      </c>
      <c r="AQ987" s="315">
        <v>1.7108000000000001</v>
      </c>
      <c r="AR987" s="315">
        <v>2.0964</v>
      </c>
      <c r="AS987" s="315">
        <v>0</v>
      </c>
      <c r="AT987" s="315">
        <v>2.1755</v>
      </c>
      <c r="AU987" s="315">
        <v>2.3134999999999999</v>
      </c>
      <c r="AV987" s="315">
        <v>2.2479</v>
      </c>
      <c r="AW987" s="315">
        <v>1.9488000000000001</v>
      </c>
      <c r="AX987" s="315">
        <v>1.5868</v>
      </c>
      <c r="AY987" s="315">
        <v>1.8982000000000001</v>
      </c>
      <c r="AZ987" s="315">
        <v>1.9509000000000001</v>
      </c>
      <c r="BA987" s="315">
        <v>1.954</v>
      </c>
      <c r="BB987" s="315">
        <v>0</v>
      </c>
      <c r="BC987" s="315">
        <v>1.9713000000000001</v>
      </c>
      <c r="BD987" s="315">
        <v>2.2584</v>
      </c>
      <c r="BE987" s="315">
        <v>2.5223</v>
      </c>
      <c r="BF987" s="315">
        <v>2.0775000000000001</v>
      </c>
      <c r="BG987" s="315">
        <v>2.1728999999999998</v>
      </c>
      <c r="BH987" s="315">
        <v>2.3224999999999998</v>
      </c>
      <c r="BI987" s="315">
        <v>2.3761000000000001</v>
      </c>
      <c r="BJ987" s="315">
        <v>2.0909</v>
      </c>
      <c r="BK987" s="315">
        <v>2.0669</v>
      </c>
    </row>
    <row r="988" spans="1:63" x14ac:dyDescent="0.25">
      <c r="A988" s="306">
        <v>331200</v>
      </c>
      <c r="B988" s="315" t="s">
        <v>151</v>
      </c>
      <c r="C988" s="315">
        <v>3.1204000000000001</v>
      </c>
      <c r="D988" s="315">
        <v>1.4301999999999999</v>
      </c>
      <c r="E988" s="315">
        <v>2.3321000000000001</v>
      </c>
      <c r="F988" s="315">
        <v>2.1360000000000001</v>
      </c>
      <c r="G988" s="315">
        <v>1.7486999999999999</v>
      </c>
      <c r="H988" s="315">
        <v>2.0144000000000002</v>
      </c>
      <c r="I988" s="315">
        <v>2.0924</v>
      </c>
      <c r="J988" s="315">
        <v>1.9222999999999999</v>
      </c>
      <c r="K988" s="315">
        <v>0</v>
      </c>
      <c r="L988" s="315">
        <v>1.9375</v>
      </c>
      <c r="M988" s="315">
        <v>1.78</v>
      </c>
      <c r="N988" s="315">
        <v>1.9534</v>
      </c>
      <c r="O988" s="315">
        <v>1.4312</v>
      </c>
      <c r="P988" s="315">
        <v>1.7906</v>
      </c>
      <c r="Q988" s="315">
        <v>1.5075000000000001</v>
      </c>
      <c r="R988" s="315">
        <v>2.6196000000000002</v>
      </c>
      <c r="S988" s="315">
        <v>2.3841000000000001</v>
      </c>
      <c r="T988" s="315">
        <v>1.7083999999999999</v>
      </c>
      <c r="U988" s="315">
        <v>2.3435999999999999</v>
      </c>
      <c r="V988" s="315">
        <v>1.9926999999999999</v>
      </c>
      <c r="W988" s="315">
        <v>1.8464</v>
      </c>
      <c r="X988" s="315">
        <v>2.0781000000000001</v>
      </c>
      <c r="Y988" s="315">
        <v>1.6509</v>
      </c>
      <c r="Z988" s="315">
        <v>2.4457</v>
      </c>
      <c r="AA988" s="315">
        <v>1.966</v>
      </c>
      <c r="AB988" s="315">
        <v>1.9943</v>
      </c>
      <c r="AC988" s="315">
        <v>2.0952000000000002</v>
      </c>
      <c r="AD988" s="315">
        <v>1.4845999999999999</v>
      </c>
      <c r="AE988" s="315">
        <v>1.9823999999999999</v>
      </c>
      <c r="AF988" s="315">
        <v>0</v>
      </c>
      <c r="AG988" s="315">
        <v>1.6988000000000001</v>
      </c>
      <c r="AH988" s="315">
        <v>1.8364</v>
      </c>
      <c r="AI988" s="315">
        <v>1.9838</v>
      </c>
      <c r="AJ988" s="315">
        <v>0</v>
      </c>
      <c r="AK988" s="315">
        <v>1.5642</v>
      </c>
      <c r="AL988" s="315">
        <v>1.7222</v>
      </c>
      <c r="AM988" s="315">
        <v>2.5714999999999999</v>
      </c>
      <c r="AN988" s="315">
        <v>2.2522000000000002</v>
      </c>
      <c r="AO988" s="315">
        <v>2.1999</v>
      </c>
      <c r="AP988" s="315">
        <v>2.6107999999999998</v>
      </c>
      <c r="AQ988" s="315">
        <v>1.7326999999999999</v>
      </c>
      <c r="AR988" s="315">
        <v>2.3428</v>
      </c>
      <c r="AS988" s="315">
        <v>1.4111</v>
      </c>
      <c r="AT988" s="315">
        <v>2.2917999999999998</v>
      </c>
      <c r="AU988" s="315">
        <v>2.4131</v>
      </c>
      <c r="AV988" s="315">
        <v>2.3176999999999999</v>
      </c>
      <c r="AW988" s="315">
        <v>1.8717999999999999</v>
      </c>
      <c r="AX988" s="315">
        <v>1.5334000000000001</v>
      </c>
      <c r="AY988" s="315">
        <v>1.8396999999999999</v>
      </c>
      <c r="AZ988" s="315">
        <v>1.9672000000000001</v>
      </c>
      <c r="BA988" s="315">
        <v>1.9724999999999999</v>
      </c>
      <c r="BB988" s="315">
        <v>0</v>
      </c>
      <c r="BC988" s="315">
        <v>2.0007000000000001</v>
      </c>
      <c r="BD988" s="315">
        <v>2.5036</v>
      </c>
      <c r="BE988" s="315">
        <v>2.6802000000000001</v>
      </c>
      <c r="BF988" s="315">
        <v>1.9917</v>
      </c>
      <c r="BG988" s="315">
        <v>2.1806999999999999</v>
      </c>
      <c r="BH988" s="315">
        <v>2.4914000000000001</v>
      </c>
      <c r="BI988" s="315">
        <v>2.5727000000000002</v>
      </c>
      <c r="BJ988" s="315">
        <v>1.9608000000000001</v>
      </c>
      <c r="BK988" s="315">
        <v>2.0581</v>
      </c>
    </row>
    <row r="989" spans="1:63" x14ac:dyDescent="0.25">
      <c r="A989" s="306">
        <v>331314</v>
      </c>
      <c r="B989" s="315" t="s">
        <v>153</v>
      </c>
      <c r="C989" s="315">
        <v>2.8698999999999999</v>
      </c>
      <c r="D989" s="315">
        <v>0</v>
      </c>
      <c r="E989" s="315">
        <v>2.0215999999999998</v>
      </c>
      <c r="F989" s="315">
        <v>2.0609999999999999</v>
      </c>
      <c r="G989" s="315">
        <v>0</v>
      </c>
      <c r="H989" s="315">
        <v>2.0567000000000002</v>
      </c>
      <c r="I989" s="315">
        <v>0</v>
      </c>
      <c r="J989" s="315">
        <v>0</v>
      </c>
      <c r="K989" s="315">
        <v>0</v>
      </c>
      <c r="L989" s="315">
        <v>0</v>
      </c>
      <c r="M989" s="315">
        <v>1.8308</v>
      </c>
      <c r="N989" s="315">
        <v>2.0379</v>
      </c>
      <c r="O989" s="315">
        <v>0</v>
      </c>
      <c r="P989" s="315">
        <v>1.6535</v>
      </c>
      <c r="Q989" s="315">
        <v>1.62</v>
      </c>
      <c r="R989" s="315">
        <v>2.2025999999999999</v>
      </c>
      <c r="S989" s="315">
        <v>2.2517999999999998</v>
      </c>
      <c r="T989" s="315">
        <v>1.7130000000000001</v>
      </c>
      <c r="U989" s="315">
        <v>2.2050999999999998</v>
      </c>
      <c r="V989" s="315">
        <v>2.0226000000000002</v>
      </c>
      <c r="W989" s="315">
        <v>1.8325</v>
      </c>
      <c r="X989" s="315">
        <v>1.8129</v>
      </c>
      <c r="Y989" s="315">
        <v>0</v>
      </c>
      <c r="Z989" s="315">
        <v>2.0861000000000001</v>
      </c>
      <c r="AA989" s="315">
        <v>1.9950000000000001</v>
      </c>
      <c r="AB989" s="315">
        <v>2.2281</v>
      </c>
      <c r="AC989" s="315">
        <v>0</v>
      </c>
      <c r="AD989" s="315">
        <v>0</v>
      </c>
      <c r="AE989" s="315">
        <v>1.8969</v>
      </c>
      <c r="AF989" s="315">
        <v>0</v>
      </c>
      <c r="AG989" s="315">
        <v>0</v>
      </c>
      <c r="AH989" s="315">
        <v>0</v>
      </c>
      <c r="AI989" s="315">
        <v>1.9845999999999999</v>
      </c>
      <c r="AJ989" s="315">
        <v>0</v>
      </c>
      <c r="AK989" s="315">
        <v>0</v>
      </c>
      <c r="AL989" s="315">
        <v>1.8875</v>
      </c>
      <c r="AM989" s="315">
        <v>2.4096000000000002</v>
      </c>
      <c r="AN989" s="315">
        <v>1.8662000000000001</v>
      </c>
      <c r="AO989" s="315">
        <v>2.0022000000000002</v>
      </c>
      <c r="AP989" s="315">
        <v>2.2509000000000001</v>
      </c>
      <c r="AQ989" s="315">
        <v>0</v>
      </c>
      <c r="AR989" s="315">
        <v>2.0903999999999998</v>
      </c>
      <c r="AS989" s="315">
        <v>0</v>
      </c>
      <c r="AT989" s="315">
        <v>2.3285</v>
      </c>
      <c r="AU989" s="315">
        <v>2.2980999999999998</v>
      </c>
      <c r="AV989" s="315">
        <v>0</v>
      </c>
      <c r="AW989" s="315">
        <v>0</v>
      </c>
      <c r="AX989" s="315">
        <v>0</v>
      </c>
      <c r="AY989" s="315">
        <v>2.0072000000000001</v>
      </c>
      <c r="AZ989" s="315">
        <v>1.9569000000000001</v>
      </c>
      <c r="BA989" s="315">
        <v>0</v>
      </c>
      <c r="BB989" s="315">
        <v>0</v>
      </c>
      <c r="BC989" s="315">
        <v>1.9313</v>
      </c>
      <c r="BD989" s="315">
        <v>2.2185999999999999</v>
      </c>
      <c r="BE989" s="315">
        <v>2.4830999999999999</v>
      </c>
      <c r="BF989" s="315">
        <v>2.1379000000000001</v>
      </c>
      <c r="BG989" s="315">
        <v>2.1375999999999999</v>
      </c>
      <c r="BH989" s="315">
        <v>2.3595999999999999</v>
      </c>
      <c r="BI989" s="315">
        <v>2.4125999999999999</v>
      </c>
      <c r="BJ989" s="315">
        <v>1.9733000000000001</v>
      </c>
      <c r="BK989" s="315">
        <v>2.1509999999999998</v>
      </c>
    </row>
    <row r="990" spans="1:63" x14ac:dyDescent="0.25">
      <c r="A990" s="306" t="s">
        <v>722</v>
      </c>
      <c r="B990" s="315" t="s">
        <v>152</v>
      </c>
      <c r="C990" s="315">
        <v>2.9039000000000001</v>
      </c>
      <c r="D990" s="315">
        <v>0</v>
      </c>
      <c r="E990" s="315">
        <v>2.0476999999999999</v>
      </c>
      <c r="F990" s="315">
        <v>2.1112000000000002</v>
      </c>
      <c r="G990" s="315">
        <v>1.8673999999999999</v>
      </c>
      <c r="H990" s="315">
        <v>1.9811000000000001</v>
      </c>
      <c r="I990" s="315">
        <v>0</v>
      </c>
      <c r="J990" s="315">
        <v>0</v>
      </c>
      <c r="K990" s="315">
        <v>0</v>
      </c>
      <c r="L990" s="315">
        <v>0</v>
      </c>
      <c r="M990" s="315">
        <v>1.7833000000000001</v>
      </c>
      <c r="N990" s="315">
        <v>1.9454</v>
      </c>
      <c r="O990" s="315">
        <v>0</v>
      </c>
      <c r="P990" s="315">
        <v>0</v>
      </c>
      <c r="Q990" s="315">
        <v>1.5922000000000001</v>
      </c>
      <c r="R990" s="315">
        <v>2.1299000000000001</v>
      </c>
      <c r="S990" s="315">
        <v>2.1823000000000001</v>
      </c>
      <c r="T990" s="315">
        <v>0</v>
      </c>
      <c r="U990" s="315">
        <v>2.2134999999999998</v>
      </c>
      <c r="V990" s="315">
        <v>2.0975000000000001</v>
      </c>
      <c r="W990" s="315">
        <v>1.7422</v>
      </c>
      <c r="X990" s="315">
        <v>1.7946</v>
      </c>
      <c r="Y990" s="315">
        <v>0</v>
      </c>
      <c r="Z990" s="315">
        <v>0</v>
      </c>
      <c r="AA990" s="315">
        <v>1.9341999999999999</v>
      </c>
      <c r="AB990" s="315">
        <v>2.1814</v>
      </c>
      <c r="AC990" s="315">
        <v>0</v>
      </c>
      <c r="AD990" s="315">
        <v>1.8169999999999999</v>
      </c>
      <c r="AE990" s="315">
        <v>1.8473999999999999</v>
      </c>
      <c r="AF990" s="315">
        <v>0</v>
      </c>
      <c r="AG990" s="315">
        <v>0</v>
      </c>
      <c r="AH990" s="315">
        <v>1.7747999999999999</v>
      </c>
      <c r="AI990" s="315">
        <v>1.8712</v>
      </c>
      <c r="AJ990" s="315">
        <v>0</v>
      </c>
      <c r="AK990" s="315">
        <v>0</v>
      </c>
      <c r="AL990" s="315">
        <v>1.9336</v>
      </c>
      <c r="AM990" s="315">
        <v>2.4155000000000002</v>
      </c>
      <c r="AN990" s="315">
        <v>1.9216</v>
      </c>
      <c r="AO990" s="315">
        <v>2.0051000000000001</v>
      </c>
      <c r="AP990" s="315">
        <v>2.2654999999999998</v>
      </c>
      <c r="AQ990" s="315">
        <v>0</v>
      </c>
      <c r="AR990" s="315">
        <v>2.0594000000000001</v>
      </c>
      <c r="AS990" s="315">
        <v>0</v>
      </c>
      <c r="AT990" s="315">
        <v>2.2856000000000001</v>
      </c>
      <c r="AU990" s="315">
        <v>2.3723999999999998</v>
      </c>
      <c r="AV990" s="315">
        <v>0</v>
      </c>
      <c r="AW990" s="315">
        <v>0</v>
      </c>
      <c r="AX990" s="315">
        <v>0</v>
      </c>
      <c r="AY990" s="315">
        <v>1.9735</v>
      </c>
      <c r="AZ990" s="315">
        <v>0</v>
      </c>
      <c r="BA990" s="315">
        <v>1.9416</v>
      </c>
      <c r="BB990" s="315">
        <v>0</v>
      </c>
      <c r="BC990" s="315">
        <v>1.8379000000000001</v>
      </c>
      <c r="BD990" s="315">
        <v>2.2202000000000002</v>
      </c>
      <c r="BE990" s="315">
        <v>2.4746999999999999</v>
      </c>
      <c r="BF990" s="315">
        <v>2.1175999999999999</v>
      </c>
      <c r="BG990" s="315">
        <v>2.1387999999999998</v>
      </c>
      <c r="BH990" s="315">
        <v>2.3589000000000002</v>
      </c>
      <c r="BI990" s="315">
        <v>2.4777</v>
      </c>
      <c r="BJ990" s="315">
        <v>2.1095999999999999</v>
      </c>
      <c r="BK990" s="315">
        <v>2.1101999999999999</v>
      </c>
    </row>
    <row r="991" spans="1:63" x14ac:dyDescent="0.25">
      <c r="A991" s="306" t="s">
        <v>723</v>
      </c>
      <c r="B991" s="315" t="s">
        <v>154</v>
      </c>
      <c r="C991" s="315">
        <v>2.9095</v>
      </c>
      <c r="D991" s="315">
        <v>0</v>
      </c>
      <c r="E991" s="315">
        <v>1.9834000000000001</v>
      </c>
      <c r="F991" s="315">
        <v>2.0901999999999998</v>
      </c>
      <c r="G991" s="315">
        <v>1.9041999999999999</v>
      </c>
      <c r="H991" s="315">
        <v>2.0741000000000001</v>
      </c>
      <c r="I991" s="315">
        <v>1.7294</v>
      </c>
      <c r="J991" s="315">
        <v>1.7490000000000001</v>
      </c>
      <c r="K991" s="315">
        <v>0</v>
      </c>
      <c r="L991" s="315">
        <v>0</v>
      </c>
      <c r="M991" s="315">
        <v>1.7179</v>
      </c>
      <c r="N991" s="315">
        <v>1.9305000000000001</v>
      </c>
      <c r="O991" s="315">
        <v>0</v>
      </c>
      <c r="P991" s="315">
        <v>1.6337999999999999</v>
      </c>
      <c r="Q991" s="315">
        <v>0</v>
      </c>
      <c r="R991" s="315">
        <v>2.0007999999999999</v>
      </c>
      <c r="S991" s="315">
        <v>2.2591999999999999</v>
      </c>
      <c r="T991" s="315">
        <v>1.5428999999999999</v>
      </c>
      <c r="U991" s="315">
        <v>2.2222</v>
      </c>
      <c r="V991" s="315">
        <v>1.9335</v>
      </c>
      <c r="W991" s="315">
        <v>1.7058</v>
      </c>
      <c r="X991" s="315">
        <v>1.6382000000000001</v>
      </c>
      <c r="Y991" s="315">
        <v>0</v>
      </c>
      <c r="Z991" s="315">
        <v>2.0562</v>
      </c>
      <c r="AA991" s="315">
        <v>1.8496999999999999</v>
      </c>
      <c r="AB991" s="315">
        <v>2.2339000000000002</v>
      </c>
      <c r="AC991" s="315">
        <v>1.6859</v>
      </c>
      <c r="AD991" s="315">
        <v>0</v>
      </c>
      <c r="AE991" s="315">
        <v>1.7549999999999999</v>
      </c>
      <c r="AF991" s="315">
        <v>0</v>
      </c>
      <c r="AG991" s="315">
        <v>0</v>
      </c>
      <c r="AH991" s="315">
        <v>1.7968</v>
      </c>
      <c r="AI991" s="315">
        <v>1.8435999999999999</v>
      </c>
      <c r="AJ991" s="315">
        <v>0</v>
      </c>
      <c r="AK991" s="315">
        <v>1.4219999999999999</v>
      </c>
      <c r="AL991" s="315">
        <v>1.8444</v>
      </c>
      <c r="AM991" s="315">
        <v>2.4367999999999999</v>
      </c>
      <c r="AN991" s="315">
        <v>1.722</v>
      </c>
      <c r="AO991" s="315">
        <v>2.0213999999999999</v>
      </c>
      <c r="AP991" s="315">
        <v>2.2200000000000002</v>
      </c>
      <c r="AQ991" s="315">
        <v>0</v>
      </c>
      <c r="AR991" s="315">
        <v>2.0716000000000001</v>
      </c>
      <c r="AS991" s="315">
        <v>1.5379</v>
      </c>
      <c r="AT991" s="315">
        <v>2.3048999999999999</v>
      </c>
      <c r="AU991" s="315">
        <v>2.3106</v>
      </c>
      <c r="AV991" s="315">
        <v>1.8404</v>
      </c>
      <c r="AW991" s="315">
        <v>1.8154999999999999</v>
      </c>
      <c r="AX991" s="315">
        <v>0</v>
      </c>
      <c r="AY991" s="315">
        <v>2.0261</v>
      </c>
      <c r="AZ991" s="315">
        <v>1.804</v>
      </c>
      <c r="BA991" s="315">
        <v>1.8604000000000001</v>
      </c>
      <c r="BB991" s="315">
        <v>0</v>
      </c>
      <c r="BC991" s="315">
        <v>1.8140000000000001</v>
      </c>
      <c r="BD991" s="315">
        <v>2.1680000000000001</v>
      </c>
      <c r="BE991" s="315">
        <v>2.4906999999999999</v>
      </c>
      <c r="BF991" s="315">
        <v>2.1674000000000002</v>
      </c>
      <c r="BG991" s="315">
        <v>2.0558999999999998</v>
      </c>
      <c r="BH991" s="315">
        <v>2.3472</v>
      </c>
      <c r="BI991" s="315">
        <v>2.4718</v>
      </c>
      <c r="BJ991" s="315">
        <v>1.8504</v>
      </c>
      <c r="BK991" s="315">
        <v>2.1821000000000002</v>
      </c>
    </row>
    <row r="992" spans="1:63" x14ac:dyDescent="0.25">
      <c r="A992" s="306">
        <v>331411</v>
      </c>
      <c r="B992" s="315" t="s">
        <v>155</v>
      </c>
      <c r="C992" s="315">
        <v>2.6086</v>
      </c>
      <c r="D992" s="315">
        <v>0</v>
      </c>
      <c r="E992" s="315">
        <v>0</v>
      </c>
      <c r="F992" s="315">
        <v>0</v>
      </c>
      <c r="G992" s="315">
        <v>2.0110000000000001</v>
      </c>
      <c r="H992" s="315">
        <v>0</v>
      </c>
      <c r="I992" s="315">
        <v>0</v>
      </c>
      <c r="J992" s="315">
        <v>0</v>
      </c>
      <c r="K992" s="315">
        <v>0</v>
      </c>
      <c r="L992" s="315">
        <v>0</v>
      </c>
      <c r="M992" s="315">
        <v>0</v>
      </c>
      <c r="N992" s="315">
        <v>0</v>
      </c>
      <c r="O992" s="315">
        <v>0</v>
      </c>
      <c r="P992" s="315">
        <v>0</v>
      </c>
      <c r="Q992" s="315">
        <v>0</v>
      </c>
      <c r="R992" s="315">
        <v>0</v>
      </c>
      <c r="S992" s="315">
        <v>0</v>
      </c>
      <c r="T992" s="315">
        <v>0</v>
      </c>
      <c r="U992" s="315">
        <v>0</v>
      </c>
      <c r="V992" s="315">
        <v>0</v>
      </c>
      <c r="W992" s="315">
        <v>0</v>
      </c>
      <c r="X992" s="315">
        <v>0</v>
      </c>
      <c r="Y992" s="315">
        <v>0</v>
      </c>
      <c r="Z992" s="315">
        <v>1.7864</v>
      </c>
      <c r="AA992" s="315">
        <v>0</v>
      </c>
      <c r="AB992" s="315">
        <v>0</v>
      </c>
      <c r="AC992" s="315">
        <v>0</v>
      </c>
      <c r="AD992" s="315">
        <v>0</v>
      </c>
      <c r="AE992" s="315">
        <v>0</v>
      </c>
      <c r="AF992" s="315">
        <v>0</v>
      </c>
      <c r="AG992" s="315">
        <v>0</v>
      </c>
      <c r="AH992" s="315">
        <v>0</v>
      </c>
      <c r="AI992" s="315">
        <v>0</v>
      </c>
      <c r="AJ992" s="315">
        <v>0</v>
      </c>
      <c r="AK992" s="315">
        <v>0</v>
      </c>
      <c r="AL992" s="315">
        <v>0</v>
      </c>
      <c r="AM992" s="315">
        <v>0</v>
      </c>
      <c r="AN992" s="315">
        <v>0</v>
      </c>
      <c r="AO992" s="315">
        <v>0</v>
      </c>
      <c r="AP992" s="315">
        <v>0</v>
      </c>
      <c r="AQ992" s="315">
        <v>1.6447000000000001</v>
      </c>
      <c r="AR992" s="315">
        <v>0</v>
      </c>
      <c r="AS992" s="315">
        <v>0</v>
      </c>
      <c r="AT992" s="315">
        <v>0</v>
      </c>
      <c r="AU992" s="315">
        <v>1.9427000000000001</v>
      </c>
      <c r="AV992" s="315">
        <v>2.1880999999999999</v>
      </c>
      <c r="AW992" s="315">
        <v>0</v>
      </c>
      <c r="AX992" s="315">
        <v>0</v>
      </c>
      <c r="AY992" s="315">
        <v>0</v>
      </c>
      <c r="AZ992" s="315">
        <v>0</v>
      </c>
      <c r="BA992" s="315">
        <v>0</v>
      </c>
      <c r="BB992" s="315">
        <v>0</v>
      </c>
      <c r="BC992" s="315">
        <v>1.5519000000000001</v>
      </c>
      <c r="BD992" s="315">
        <v>0</v>
      </c>
      <c r="BE992" s="315">
        <v>1.6854</v>
      </c>
      <c r="BF992" s="315">
        <v>0</v>
      </c>
      <c r="BG992" s="315">
        <v>0</v>
      </c>
      <c r="BH992" s="315">
        <v>0</v>
      </c>
      <c r="BI992" s="315">
        <v>2.0015999999999998</v>
      </c>
      <c r="BJ992" s="315">
        <v>2.1234000000000002</v>
      </c>
      <c r="BK992" s="315">
        <v>0</v>
      </c>
    </row>
    <row r="993" spans="1:63" x14ac:dyDescent="0.25">
      <c r="A993" s="306">
        <v>331419</v>
      </c>
      <c r="B993" s="315" t="s">
        <v>156</v>
      </c>
      <c r="C993" s="315">
        <v>2.9157000000000002</v>
      </c>
      <c r="D993" s="315">
        <v>0</v>
      </c>
      <c r="E993" s="315">
        <v>1.8672</v>
      </c>
      <c r="F993" s="315">
        <v>1.8226</v>
      </c>
      <c r="G993" s="315">
        <v>1.8341000000000001</v>
      </c>
      <c r="H993" s="315">
        <v>1.8734</v>
      </c>
      <c r="I993" s="315">
        <v>2.1964000000000001</v>
      </c>
      <c r="J993" s="315">
        <v>1.7414000000000001</v>
      </c>
      <c r="K993" s="315">
        <v>0</v>
      </c>
      <c r="L993" s="315">
        <v>0</v>
      </c>
      <c r="M993" s="315">
        <v>1.7652000000000001</v>
      </c>
      <c r="N993" s="315">
        <v>0</v>
      </c>
      <c r="O993" s="315">
        <v>0</v>
      </c>
      <c r="P993" s="315">
        <v>0</v>
      </c>
      <c r="Q993" s="315">
        <v>1.7875000000000001</v>
      </c>
      <c r="R993" s="315">
        <v>1.9287000000000001</v>
      </c>
      <c r="S993" s="315">
        <v>0</v>
      </c>
      <c r="T993" s="315">
        <v>1.5696000000000001</v>
      </c>
      <c r="U993" s="315">
        <v>0</v>
      </c>
      <c r="V993" s="315">
        <v>0</v>
      </c>
      <c r="W993" s="315">
        <v>1.7565999999999999</v>
      </c>
      <c r="X993" s="315">
        <v>0</v>
      </c>
      <c r="Y993" s="315">
        <v>0</v>
      </c>
      <c r="Z993" s="315">
        <v>1.8604000000000001</v>
      </c>
      <c r="AA993" s="315">
        <v>1.7962</v>
      </c>
      <c r="AB993" s="315">
        <v>1.9797</v>
      </c>
      <c r="AC993" s="315">
        <v>0</v>
      </c>
      <c r="AD993" s="315">
        <v>1.8785000000000001</v>
      </c>
      <c r="AE993" s="315">
        <v>1.7599</v>
      </c>
      <c r="AF993" s="315">
        <v>1.4913000000000001</v>
      </c>
      <c r="AG993" s="315">
        <v>0</v>
      </c>
      <c r="AH993" s="315">
        <v>0</v>
      </c>
      <c r="AI993" s="315">
        <v>1.853</v>
      </c>
      <c r="AJ993" s="315">
        <v>1.8867</v>
      </c>
      <c r="AK993" s="315">
        <v>2.028</v>
      </c>
      <c r="AL993" s="315">
        <v>1.7225999999999999</v>
      </c>
      <c r="AM993" s="315">
        <v>1.9677</v>
      </c>
      <c r="AN993" s="315">
        <v>0</v>
      </c>
      <c r="AO993" s="315">
        <v>1.7990999999999999</v>
      </c>
      <c r="AP993" s="315">
        <v>2.0255999999999998</v>
      </c>
      <c r="AQ993" s="315">
        <v>1.7256</v>
      </c>
      <c r="AR993" s="315">
        <v>1.7929999999999999</v>
      </c>
      <c r="AS993" s="315">
        <v>1.716</v>
      </c>
      <c r="AT993" s="315">
        <v>1.9661999999999999</v>
      </c>
      <c r="AU993" s="315">
        <v>2.0482</v>
      </c>
      <c r="AV993" s="315">
        <v>2.4117999999999999</v>
      </c>
      <c r="AW993" s="315">
        <v>0</v>
      </c>
      <c r="AX993" s="315">
        <v>0</v>
      </c>
      <c r="AY993" s="315">
        <v>1.8794999999999999</v>
      </c>
      <c r="AZ993" s="315">
        <v>0</v>
      </c>
      <c r="BA993" s="315">
        <v>0</v>
      </c>
      <c r="BB993" s="315">
        <v>0</v>
      </c>
      <c r="BC993" s="315">
        <v>1.8842000000000001</v>
      </c>
      <c r="BD993" s="315">
        <v>1.9937</v>
      </c>
      <c r="BE993" s="315">
        <v>2.0314000000000001</v>
      </c>
      <c r="BF993" s="315">
        <v>1.8913</v>
      </c>
      <c r="BG993" s="315">
        <v>1.9453</v>
      </c>
      <c r="BH993" s="315">
        <v>2.0089999999999999</v>
      </c>
      <c r="BI993" s="315">
        <v>2.0632000000000001</v>
      </c>
      <c r="BJ993" s="315">
        <v>2.3761999999999999</v>
      </c>
      <c r="BK993" s="315">
        <v>2.1575000000000002</v>
      </c>
    </row>
    <row r="994" spans="1:63" x14ac:dyDescent="0.25">
      <c r="A994" s="306">
        <v>331420</v>
      </c>
      <c r="B994" s="315" t="s">
        <v>157</v>
      </c>
      <c r="C994" s="315">
        <v>2.9262000000000001</v>
      </c>
      <c r="D994" s="315">
        <v>0</v>
      </c>
      <c r="E994" s="315">
        <v>2.0259999999999998</v>
      </c>
      <c r="F994" s="315">
        <v>1.9254</v>
      </c>
      <c r="G994" s="315">
        <v>1.9544999999999999</v>
      </c>
      <c r="H994" s="315">
        <v>1.8352999999999999</v>
      </c>
      <c r="I994" s="315">
        <v>1.7339</v>
      </c>
      <c r="J994" s="315">
        <v>2.0383</v>
      </c>
      <c r="K994" s="315">
        <v>0</v>
      </c>
      <c r="L994" s="315">
        <v>1.4981</v>
      </c>
      <c r="M994" s="315">
        <v>1.6354</v>
      </c>
      <c r="N994" s="315">
        <v>2.1530999999999998</v>
      </c>
      <c r="O994" s="315">
        <v>0</v>
      </c>
      <c r="P994" s="315">
        <v>1.7370000000000001</v>
      </c>
      <c r="Q994" s="315">
        <v>0</v>
      </c>
      <c r="R994" s="315">
        <v>2.2570999999999999</v>
      </c>
      <c r="S994" s="315">
        <v>2.0701999999999998</v>
      </c>
      <c r="T994" s="315">
        <v>1.8232999999999999</v>
      </c>
      <c r="U994" s="315">
        <v>2.0594000000000001</v>
      </c>
      <c r="V994" s="315">
        <v>1.611</v>
      </c>
      <c r="W994" s="315">
        <v>2.0594999999999999</v>
      </c>
      <c r="X994" s="315">
        <v>1.5765</v>
      </c>
      <c r="Y994" s="315">
        <v>1.546</v>
      </c>
      <c r="Z994" s="315">
        <v>2.0787</v>
      </c>
      <c r="AA994" s="315">
        <v>1.6961999999999999</v>
      </c>
      <c r="AB994" s="315">
        <v>2.0082</v>
      </c>
      <c r="AC994" s="315">
        <v>1.8389</v>
      </c>
      <c r="AD994" s="315">
        <v>0</v>
      </c>
      <c r="AE994" s="315">
        <v>2.0430999999999999</v>
      </c>
      <c r="AF994" s="315">
        <v>0</v>
      </c>
      <c r="AG994" s="315">
        <v>1.609</v>
      </c>
      <c r="AH994" s="315">
        <v>1.9743999999999999</v>
      </c>
      <c r="AI994" s="315">
        <v>1.9987999999999999</v>
      </c>
      <c r="AJ994" s="315">
        <v>1.4513</v>
      </c>
      <c r="AK994" s="315">
        <v>0</v>
      </c>
      <c r="AL994" s="315">
        <v>1.9083000000000001</v>
      </c>
      <c r="AM994" s="315">
        <v>2.1939000000000002</v>
      </c>
      <c r="AN994" s="315">
        <v>1.9101999999999999</v>
      </c>
      <c r="AO994" s="315">
        <v>1.6353</v>
      </c>
      <c r="AP994" s="315">
        <v>2.2465999999999999</v>
      </c>
      <c r="AQ994" s="315">
        <v>2.0505</v>
      </c>
      <c r="AR994" s="315">
        <v>2.0693999999999999</v>
      </c>
      <c r="AS994" s="315">
        <v>0</v>
      </c>
      <c r="AT994" s="315">
        <v>1.992</v>
      </c>
      <c r="AU994" s="315">
        <v>2.2191000000000001</v>
      </c>
      <c r="AV994" s="315">
        <v>2.1225000000000001</v>
      </c>
      <c r="AW994" s="315">
        <v>1.7743</v>
      </c>
      <c r="AX994" s="315">
        <v>1.794</v>
      </c>
      <c r="AY994" s="315">
        <v>0</v>
      </c>
      <c r="AZ994" s="315">
        <v>1.7871999999999999</v>
      </c>
      <c r="BA994" s="315">
        <v>1.6116999999999999</v>
      </c>
      <c r="BB994" s="315">
        <v>0</v>
      </c>
      <c r="BC994" s="315">
        <v>2.1629</v>
      </c>
      <c r="BD994" s="315">
        <v>2.1911</v>
      </c>
      <c r="BE994" s="315">
        <v>2.3108</v>
      </c>
      <c r="BF994" s="315">
        <v>1.8955</v>
      </c>
      <c r="BG994" s="315">
        <v>2.032</v>
      </c>
      <c r="BH994" s="315">
        <v>2.1549999999999998</v>
      </c>
      <c r="BI994" s="315">
        <v>2.2625000000000002</v>
      </c>
      <c r="BJ994" s="315">
        <v>1.9573</v>
      </c>
      <c r="BK994" s="315">
        <v>1.8238000000000001</v>
      </c>
    </row>
    <row r="995" spans="1:63" x14ac:dyDescent="0.25">
      <c r="A995" s="306">
        <v>331490</v>
      </c>
      <c r="B995" s="315" t="s">
        <v>158</v>
      </c>
      <c r="C995" s="315">
        <v>2.7627000000000002</v>
      </c>
      <c r="D995" s="315">
        <v>0</v>
      </c>
      <c r="E995" s="315">
        <v>1.9815</v>
      </c>
      <c r="F995" s="315">
        <v>1.8295999999999999</v>
      </c>
      <c r="G995" s="315">
        <v>1.7848999999999999</v>
      </c>
      <c r="H995" s="315">
        <v>1.9581</v>
      </c>
      <c r="I995" s="315">
        <v>1.9513</v>
      </c>
      <c r="J995" s="315">
        <v>1.9001999999999999</v>
      </c>
      <c r="K995" s="315">
        <v>0</v>
      </c>
      <c r="L995" s="315">
        <v>0</v>
      </c>
      <c r="M995" s="315">
        <v>1.7658</v>
      </c>
      <c r="N995" s="315">
        <v>1.9789000000000001</v>
      </c>
      <c r="O995" s="315">
        <v>0</v>
      </c>
      <c r="P995" s="315">
        <v>0</v>
      </c>
      <c r="Q995" s="315">
        <v>1.5982000000000001</v>
      </c>
      <c r="R995" s="315">
        <v>2.1345999999999998</v>
      </c>
      <c r="S995" s="315">
        <v>1.9874000000000001</v>
      </c>
      <c r="T995" s="315">
        <v>0</v>
      </c>
      <c r="U995" s="315">
        <v>1.9713000000000001</v>
      </c>
      <c r="V995" s="315">
        <v>1.7801</v>
      </c>
      <c r="W995" s="315">
        <v>1.9084000000000001</v>
      </c>
      <c r="X995" s="315">
        <v>1.7214</v>
      </c>
      <c r="Y995" s="315">
        <v>1.7278</v>
      </c>
      <c r="Z995" s="315">
        <v>1.9903999999999999</v>
      </c>
      <c r="AA995" s="315">
        <v>1.8872</v>
      </c>
      <c r="AB995" s="315">
        <v>2.0253999999999999</v>
      </c>
      <c r="AC995" s="315">
        <v>0</v>
      </c>
      <c r="AD995" s="315">
        <v>1.5846</v>
      </c>
      <c r="AE995" s="315">
        <v>1.9381999999999999</v>
      </c>
      <c r="AF995" s="315">
        <v>0</v>
      </c>
      <c r="AG995" s="315">
        <v>0</v>
      </c>
      <c r="AH995" s="315">
        <v>1.8366</v>
      </c>
      <c r="AI995" s="315">
        <v>1.9353</v>
      </c>
      <c r="AJ995" s="315">
        <v>1.5701000000000001</v>
      </c>
      <c r="AK995" s="315">
        <v>1.7075</v>
      </c>
      <c r="AL995" s="315">
        <v>1.7816000000000001</v>
      </c>
      <c r="AM995" s="315">
        <v>2.1583999999999999</v>
      </c>
      <c r="AN995" s="315">
        <v>1.766</v>
      </c>
      <c r="AO995" s="315">
        <v>1.8724000000000001</v>
      </c>
      <c r="AP995" s="315">
        <v>2.2233999999999998</v>
      </c>
      <c r="AQ995" s="315">
        <v>1.8384</v>
      </c>
      <c r="AR995" s="315">
        <v>1.9806999999999999</v>
      </c>
      <c r="AS995" s="315">
        <v>0</v>
      </c>
      <c r="AT995" s="315">
        <v>2.0528</v>
      </c>
      <c r="AU995" s="315">
        <v>2.1213000000000002</v>
      </c>
      <c r="AV995" s="315">
        <v>2.1227999999999998</v>
      </c>
      <c r="AW995" s="315">
        <v>1.8279000000000001</v>
      </c>
      <c r="AX995" s="315">
        <v>0</v>
      </c>
      <c r="AY995" s="315">
        <v>1.8140000000000001</v>
      </c>
      <c r="AZ995" s="315">
        <v>1.8621000000000001</v>
      </c>
      <c r="BA995" s="315">
        <v>1.665</v>
      </c>
      <c r="BB995" s="315">
        <v>0</v>
      </c>
      <c r="BC995" s="315">
        <v>2.0585</v>
      </c>
      <c r="BD995" s="315">
        <v>2.1562999999999999</v>
      </c>
      <c r="BE995" s="315">
        <v>2.2448999999999999</v>
      </c>
      <c r="BF995" s="315">
        <v>1.9218</v>
      </c>
      <c r="BG995" s="315">
        <v>2.0653000000000001</v>
      </c>
      <c r="BH995" s="315">
        <v>2.1328999999999998</v>
      </c>
      <c r="BI995" s="315">
        <v>2.1505999999999998</v>
      </c>
      <c r="BJ995" s="315">
        <v>2.0251000000000001</v>
      </c>
      <c r="BK995" s="315">
        <v>2.0369000000000002</v>
      </c>
    </row>
    <row r="996" spans="1:63" x14ac:dyDescent="0.25">
      <c r="A996" s="306">
        <v>331510</v>
      </c>
      <c r="B996" s="315" t="s">
        <v>159</v>
      </c>
      <c r="C996" s="315">
        <v>2.7911000000000001</v>
      </c>
      <c r="D996" s="315">
        <v>0</v>
      </c>
      <c r="E996" s="315">
        <v>2.0299999999999998</v>
      </c>
      <c r="F996" s="315">
        <v>1.8643000000000001</v>
      </c>
      <c r="G996" s="315">
        <v>1.9172</v>
      </c>
      <c r="H996" s="315">
        <v>2.1368999999999998</v>
      </c>
      <c r="I996" s="315">
        <v>2.1528999999999998</v>
      </c>
      <c r="J996" s="315">
        <v>1.9648000000000001</v>
      </c>
      <c r="K996" s="315">
        <v>0</v>
      </c>
      <c r="L996" s="315">
        <v>0</v>
      </c>
      <c r="M996" s="315">
        <v>1.9387000000000001</v>
      </c>
      <c r="N996" s="315">
        <v>2.1025999999999998</v>
      </c>
      <c r="O996" s="315">
        <v>0</v>
      </c>
      <c r="P996" s="315">
        <v>1.6544000000000001</v>
      </c>
      <c r="Q996" s="315">
        <v>1.6355999999999999</v>
      </c>
      <c r="R996" s="315">
        <v>2.2814000000000001</v>
      </c>
      <c r="S996" s="315">
        <v>2.0634000000000001</v>
      </c>
      <c r="T996" s="315">
        <v>1.7535000000000001</v>
      </c>
      <c r="U996" s="315">
        <v>2.0276000000000001</v>
      </c>
      <c r="V996" s="315">
        <v>1.913</v>
      </c>
      <c r="W996" s="315">
        <v>1.9905999999999999</v>
      </c>
      <c r="X996" s="315">
        <v>1.8934</v>
      </c>
      <c r="Y996" s="315">
        <v>1.8340000000000001</v>
      </c>
      <c r="Z996" s="315">
        <v>2.1553</v>
      </c>
      <c r="AA996" s="315">
        <v>2.0402</v>
      </c>
      <c r="AB996" s="315">
        <v>2.1059000000000001</v>
      </c>
      <c r="AC996" s="315">
        <v>1.8168</v>
      </c>
      <c r="AD996" s="315">
        <v>1.65</v>
      </c>
      <c r="AE996" s="315">
        <v>1.9769000000000001</v>
      </c>
      <c r="AF996" s="315">
        <v>0</v>
      </c>
      <c r="AG996" s="315">
        <v>1.6735</v>
      </c>
      <c r="AH996" s="315">
        <v>1.9111</v>
      </c>
      <c r="AI996" s="315">
        <v>2.0476000000000001</v>
      </c>
      <c r="AJ996" s="315">
        <v>1.6255999999999999</v>
      </c>
      <c r="AK996" s="315">
        <v>1.7776000000000001</v>
      </c>
      <c r="AL996" s="315">
        <v>1.8952</v>
      </c>
      <c r="AM996" s="315">
        <v>2.2570999999999999</v>
      </c>
      <c r="AN996" s="315">
        <v>1.9503999999999999</v>
      </c>
      <c r="AO996" s="315">
        <v>2.0183</v>
      </c>
      <c r="AP996" s="315">
        <v>2.2957000000000001</v>
      </c>
      <c r="AQ996" s="315">
        <v>1.8613999999999999</v>
      </c>
      <c r="AR996" s="315">
        <v>2.0388000000000002</v>
      </c>
      <c r="AS996" s="315">
        <v>1.5633999999999999</v>
      </c>
      <c r="AT996" s="315">
        <v>2.1402999999999999</v>
      </c>
      <c r="AU996" s="315">
        <v>2.2462</v>
      </c>
      <c r="AV996" s="315">
        <v>2.1898</v>
      </c>
      <c r="AW996" s="315">
        <v>1.9858</v>
      </c>
      <c r="AX996" s="315">
        <v>1.6917</v>
      </c>
      <c r="AY996" s="315">
        <v>1.9639</v>
      </c>
      <c r="AZ996" s="315">
        <v>2.0066000000000002</v>
      </c>
      <c r="BA996" s="315">
        <v>1.7213000000000001</v>
      </c>
      <c r="BB996" s="315">
        <v>0</v>
      </c>
      <c r="BC996" s="315">
        <v>2.1288999999999998</v>
      </c>
      <c r="BD996" s="315">
        <v>2.2465999999999999</v>
      </c>
      <c r="BE996" s="315">
        <v>2.3595999999999999</v>
      </c>
      <c r="BF996" s="315">
        <v>2.0390000000000001</v>
      </c>
      <c r="BG996" s="315">
        <v>2.1808999999999998</v>
      </c>
      <c r="BH996" s="315">
        <v>2.1827999999999999</v>
      </c>
      <c r="BI996" s="315">
        <v>2.2709000000000001</v>
      </c>
      <c r="BJ996" s="315">
        <v>2.1065</v>
      </c>
      <c r="BK996" s="315">
        <v>2.1753</v>
      </c>
    </row>
    <row r="997" spans="1:63" x14ac:dyDescent="0.25">
      <c r="A997" s="306">
        <v>331520</v>
      </c>
      <c r="B997" s="315" t="s">
        <v>160</v>
      </c>
      <c r="C997" s="315">
        <v>3.0188000000000001</v>
      </c>
      <c r="D997" s="315">
        <v>0</v>
      </c>
      <c r="E997" s="315">
        <v>2.0377000000000001</v>
      </c>
      <c r="F997" s="315">
        <v>1.9847999999999999</v>
      </c>
      <c r="G997" s="315">
        <v>1.9393</v>
      </c>
      <c r="H997" s="315">
        <v>2.1827999999999999</v>
      </c>
      <c r="I997" s="315">
        <v>2.0712999999999999</v>
      </c>
      <c r="J997" s="315">
        <v>2.0192000000000001</v>
      </c>
      <c r="K997" s="315">
        <v>0</v>
      </c>
      <c r="L997" s="315">
        <v>0</v>
      </c>
      <c r="M997" s="315">
        <v>1.9289000000000001</v>
      </c>
      <c r="N997" s="315">
        <v>2.1187999999999998</v>
      </c>
      <c r="O997" s="315">
        <v>0</v>
      </c>
      <c r="P997" s="315">
        <v>1.6681999999999999</v>
      </c>
      <c r="Q997" s="315">
        <v>1.6577</v>
      </c>
      <c r="R997" s="315">
        <v>2.3521999999999998</v>
      </c>
      <c r="S997" s="315">
        <v>2.2246000000000001</v>
      </c>
      <c r="T997" s="315">
        <v>1.7536</v>
      </c>
      <c r="U997" s="315">
        <v>2.2012</v>
      </c>
      <c r="V997" s="315">
        <v>2.0045999999999999</v>
      </c>
      <c r="W997" s="315">
        <v>2.0182000000000002</v>
      </c>
      <c r="X997" s="315">
        <v>1.8641000000000001</v>
      </c>
      <c r="Y997" s="315">
        <v>1.8183</v>
      </c>
      <c r="Z997" s="315">
        <v>2.2088999999999999</v>
      </c>
      <c r="AA997" s="315">
        <v>2.0987</v>
      </c>
      <c r="AB997" s="315">
        <v>2.2925</v>
      </c>
      <c r="AC997" s="315">
        <v>1.7615000000000001</v>
      </c>
      <c r="AD997" s="315">
        <v>1.6780999999999999</v>
      </c>
      <c r="AE997" s="315">
        <v>2.0276999999999998</v>
      </c>
      <c r="AF997" s="315">
        <v>0</v>
      </c>
      <c r="AG997" s="315">
        <v>1.6362000000000001</v>
      </c>
      <c r="AH997" s="315">
        <v>1.9375</v>
      </c>
      <c r="AI997" s="315">
        <v>2.1273</v>
      </c>
      <c r="AJ997" s="315">
        <v>1.5994999999999999</v>
      </c>
      <c r="AK997" s="315">
        <v>1.7402</v>
      </c>
      <c r="AL997" s="315">
        <v>2.0394000000000001</v>
      </c>
      <c r="AM997" s="315">
        <v>2.4462000000000002</v>
      </c>
      <c r="AN997" s="315">
        <v>1.9482999999999999</v>
      </c>
      <c r="AO997" s="315">
        <v>2.0064000000000002</v>
      </c>
      <c r="AP997" s="315">
        <v>2.3856999999999999</v>
      </c>
      <c r="AQ997" s="315">
        <v>1.9191</v>
      </c>
      <c r="AR997" s="315">
        <v>2.1326999999999998</v>
      </c>
      <c r="AS997" s="315">
        <v>1.5245</v>
      </c>
      <c r="AT997" s="315">
        <v>2.3119999999999998</v>
      </c>
      <c r="AU997" s="315">
        <v>2.3149999999999999</v>
      </c>
      <c r="AV997" s="315">
        <v>2.1242999999999999</v>
      </c>
      <c r="AW997" s="315">
        <v>1.9508000000000001</v>
      </c>
      <c r="AX997" s="315">
        <v>0</v>
      </c>
      <c r="AY997" s="315">
        <v>2.0339999999999998</v>
      </c>
      <c r="AZ997" s="315">
        <v>2.0369999999999999</v>
      </c>
      <c r="BA997" s="315">
        <v>1.7426999999999999</v>
      </c>
      <c r="BB997" s="315">
        <v>1.4777</v>
      </c>
      <c r="BC997" s="315">
        <v>2.1714000000000002</v>
      </c>
      <c r="BD997" s="315">
        <v>2.3664999999999998</v>
      </c>
      <c r="BE997" s="315">
        <v>2.5522</v>
      </c>
      <c r="BF997" s="315">
        <v>2.1776</v>
      </c>
      <c r="BG997" s="315">
        <v>2.2183999999999999</v>
      </c>
      <c r="BH997" s="315">
        <v>2.3517999999999999</v>
      </c>
      <c r="BI997" s="315">
        <v>2.3847</v>
      </c>
      <c r="BJ997" s="315">
        <v>2.0935000000000001</v>
      </c>
      <c r="BK997" s="315">
        <v>2.2515000000000001</v>
      </c>
    </row>
    <row r="998" spans="1:63" x14ac:dyDescent="0.25">
      <c r="A998" s="306">
        <v>332114</v>
      </c>
      <c r="B998" s="315" t="s">
        <v>162</v>
      </c>
      <c r="C998" s="315">
        <v>3.1337999999999999</v>
      </c>
      <c r="D998" s="315">
        <v>1.4347000000000001</v>
      </c>
      <c r="E998" s="315">
        <v>2.2991000000000001</v>
      </c>
      <c r="F998" s="315">
        <v>2.1303999999999998</v>
      </c>
      <c r="G998" s="315">
        <v>0</v>
      </c>
      <c r="H998" s="315">
        <v>2.0665</v>
      </c>
      <c r="I998" s="315">
        <v>2.0840000000000001</v>
      </c>
      <c r="J998" s="315">
        <v>1.9014</v>
      </c>
      <c r="K998" s="315">
        <v>0</v>
      </c>
      <c r="L998" s="315">
        <v>0</v>
      </c>
      <c r="M998" s="315">
        <v>1.7897000000000001</v>
      </c>
      <c r="N998" s="315">
        <v>1.9897</v>
      </c>
      <c r="O998" s="315">
        <v>0</v>
      </c>
      <c r="P998" s="315">
        <v>0</v>
      </c>
      <c r="Q998" s="315">
        <v>1.5175000000000001</v>
      </c>
      <c r="R998" s="315">
        <v>2.5758999999999999</v>
      </c>
      <c r="S998" s="315">
        <v>2.3755999999999999</v>
      </c>
      <c r="T998" s="315">
        <v>1.6541999999999999</v>
      </c>
      <c r="U998" s="315">
        <v>2.3544999999999998</v>
      </c>
      <c r="V998" s="315">
        <v>1.9903999999999999</v>
      </c>
      <c r="W998" s="315">
        <v>1.8422000000000001</v>
      </c>
      <c r="X998" s="315">
        <v>2.0364</v>
      </c>
      <c r="Y998" s="315">
        <v>0</v>
      </c>
      <c r="Z998" s="315">
        <v>2.4380000000000002</v>
      </c>
      <c r="AA998" s="315">
        <v>1.9378</v>
      </c>
      <c r="AB998" s="315">
        <v>1.9811000000000001</v>
      </c>
      <c r="AC998" s="315">
        <v>2.0447000000000002</v>
      </c>
      <c r="AD998" s="315">
        <v>0</v>
      </c>
      <c r="AE998" s="315">
        <v>1.9289000000000001</v>
      </c>
      <c r="AF998" s="315">
        <v>0</v>
      </c>
      <c r="AG998" s="315">
        <v>1.6686000000000001</v>
      </c>
      <c r="AH998" s="315">
        <v>1.833</v>
      </c>
      <c r="AI998" s="315">
        <v>1.9396</v>
      </c>
      <c r="AJ998" s="315">
        <v>1.5086999999999999</v>
      </c>
      <c r="AK998" s="315">
        <v>1.5744</v>
      </c>
      <c r="AL998" s="315">
        <v>1.7512000000000001</v>
      </c>
      <c r="AM998" s="315">
        <v>2.5731000000000002</v>
      </c>
      <c r="AN998" s="315">
        <v>2.1840000000000002</v>
      </c>
      <c r="AO998" s="315">
        <v>2.2212000000000001</v>
      </c>
      <c r="AP998" s="315">
        <v>2.5889000000000002</v>
      </c>
      <c r="AQ998" s="315">
        <v>0</v>
      </c>
      <c r="AR998" s="315">
        <v>2.3094000000000001</v>
      </c>
      <c r="AS998" s="315">
        <v>0</v>
      </c>
      <c r="AT998" s="315">
        <v>2.3155000000000001</v>
      </c>
      <c r="AU998" s="315">
        <v>2.4192</v>
      </c>
      <c r="AV998" s="315">
        <v>0</v>
      </c>
      <c r="AW998" s="315">
        <v>0</v>
      </c>
      <c r="AX998" s="315">
        <v>0</v>
      </c>
      <c r="AY998" s="315">
        <v>1.8717999999999999</v>
      </c>
      <c r="AZ998" s="315">
        <v>1.9268000000000001</v>
      </c>
      <c r="BA998" s="315">
        <v>2.0112000000000001</v>
      </c>
      <c r="BB998" s="315">
        <v>0</v>
      </c>
      <c r="BC998" s="315">
        <v>1.9553</v>
      </c>
      <c r="BD998" s="315">
        <v>2.5181</v>
      </c>
      <c r="BE998" s="315">
        <v>2.6890999999999998</v>
      </c>
      <c r="BF998" s="315">
        <v>1.9910000000000001</v>
      </c>
      <c r="BG998" s="315">
        <v>2.1991000000000001</v>
      </c>
      <c r="BH998" s="315">
        <v>2.5004</v>
      </c>
      <c r="BI998" s="315">
        <v>2.5897000000000001</v>
      </c>
      <c r="BJ998" s="315">
        <v>1.9621</v>
      </c>
      <c r="BK998" s="315">
        <v>2.1150000000000002</v>
      </c>
    </row>
    <row r="999" spans="1:63" x14ac:dyDescent="0.25">
      <c r="A999" s="306" t="s">
        <v>724</v>
      </c>
      <c r="B999" s="315" t="s">
        <v>161</v>
      </c>
      <c r="C999" s="315">
        <v>3.15</v>
      </c>
      <c r="D999" s="315">
        <v>1.5436000000000001</v>
      </c>
      <c r="E999" s="315">
        <v>2.2473999999999998</v>
      </c>
      <c r="F999" s="315">
        <v>2.0211000000000001</v>
      </c>
      <c r="G999" s="315">
        <v>1.8937999999999999</v>
      </c>
      <c r="H999" s="315">
        <v>2.1827000000000001</v>
      </c>
      <c r="I999" s="315">
        <v>2.1642000000000001</v>
      </c>
      <c r="J999" s="315">
        <v>2.0678000000000001</v>
      </c>
      <c r="K999" s="315">
        <v>0</v>
      </c>
      <c r="L999" s="315">
        <v>0</v>
      </c>
      <c r="M999" s="315">
        <v>1.8967000000000001</v>
      </c>
      <c r="N999" s="315">
        <v>2.0895000000000001</v>
      </c>
      <c r="O999" s="315">
        <v>0</v>
      </c>
      <c r="P999" s="315">
        <v>1.7513000000000001</v>
      </c>
      <c r="Q999" s="315">
        <v>1.5931</v>
      </c>
      <c r="R999" s="315">
        <v>2.5464000000000002</v>
      </c>
      <c r="S999" s="315">
        <v>2.3492999999999999</v>
      </c>
      <c r="T999" s="315">
        <v>1.7013</v>
      </c>
      <c r="U999" s="315">
        <v>2.3007</v>
      </c>
      <c r="V999" s="315">
        <v>2.0575000000000001</v>
      </c>
      <c r="W999" s="315">
        <v>2.0369999999999999</v>
      </c>
      <c r="X999" s="315">
        <v>1.9818</v>
      </c>
      <c r="Y999" s="315">
        <v>0</v>
      </c>
      <c r="Z999" s="315">
        <v>2.4355000000000002</v>
      </c>
      <c r="AA999" s="315">
        <v>1.9952000000000001</v>
      </c>
      <c r="AB999" s="315">
        <v>2.1172</v>
      </c>
      <c r="AC999" s="315">
        <v>1.9552</v>
      </c>
      <c r="AD999" s="315">
        <v>1.5958000000000001</v>
      </c>
      <c r="AE999" s="315">
        <v>2.0428000000000002</v>
      </c>
      <c r="AF999" s="315">
        <v>0</v>
      </c>
      <c r="AG999" s="315">
        <v>1.6712</v>
      </c>
      <c r="AH999" s="315">
        <v>0</v>
      </c>
      <c r="AI999" s="315">
        <v>2.0642999999999998</v>
      </c>
      <c r="AJ999" s="315">
        <v>1.7000999999999999</v>
      </c>
      <c r="AK999" s="315">
        <v>1.7972999999999999</v>
      </c>
      <c r="AL999" s="315">
        <v>1.9153</v>
      </c>
      <c r="AM999" s="315">
        <v>2.5575000000000001</v>
      </c>
      <c r="AN999" s="315">
        <v>2.0869</v>
      </c>
      <c r="AO999" s="315">
        <v>2.1318000000000001</v>
      </c>
      <c r="AP999" s="315">
        <v>2.5901000000000001</v>
      </c>
      <c r="AQ999" s="315">
        <v>1.8452</v>
      </c>
      <c r="AR999" s="315">
        <v>2.3022999999999998</v>
      </c>
      <c r="AS999" s="315">
        <v>1.4927999999999999</v>
      </c>
      <c r="AT999" s="315">
        <v>2.3698000000000001</v>
      </c>
      <c r="AU999" s="315">
        <v>2.4338000000000002</v>
      </c>
      <c r="AV999" s="315">
        <v>2.3405999999999998</v>
      </c>
      <c r="AW999" s="315">
        <v>1.9812000000000001</v>
      </c>
      <c r="AX999" s="315">
        <v>1.6240000000000001</v>
      </c>
      <c r="AY999" s="315">
        <v>1.9613</v>
      </c>
      <c r="AZ999" s="315">
        <v>2.0162</v>
      </c>
      <c r="BA999" s="315">
        <v>1.9541999999999999</v>
      </c>
      <c r="BB999" s="315">
        <v>1.5222</v>
      </c>
      <c r="BC999" s="315">
        <v>2.1743999999999999</v>
      </c>
      <c r="BD999" s="315">
        <v>2.5419</v>
      </c>
      <c r="BE999" s="315">
        <v>2.6718999999999999</v>
      </c>
      <c r="BF999" s="315">
        <v>2.0331000000000001</v>
      </c>
      <c r="BG999" s="315">
        <v>2.2803</v>
      </c>
      <c r="BH999" s="315">
        <v>2.4809999999999999</v>
      </c>
      <c r="BI999" s="315">
        <v>2.5331000000000001</v>
      </c>
      <c r="BJ999" s="315">
        <v>2.1345999999999998</v>
      </c>
      <c r="BK999" s="315">
        <v>2.2126999999999999</v>
      </c>
    </row>
    <row r="1000" spans="1:63" x14ac:dyDescent="0.25">
      <c r="A1000" s="306" t="s">
        <v>725</v>
      </c>
      <c r="B1000" s="315" t="s">
        <v>163</v>
      </c>
      <c r="C1000" s="315">
        <v>3.1985999999999999</v>
      </c>
      <c r="D1000" s="315">
        <v>0</v>
      </c>
      <c r="E1000" s="315">
        <v>2.3094000000000001</v>
      </c>
      <c r="F1000" s="315">
        <v>2.1015999999999999</v>
      </c>
      <c r="G1000" s="315">
        <v>1.9343999999999999</v>
      </c>
      <c r="H1000" s="315">
        <v>2.1913999999999998</v>
      </c>
      <c r="I1000" s="315">
        <v>2.1465000000000001</v>
      </c>
      <c r="J1000" s="315">
        <v>2.0720000000000001</v>
      </c>
      <c r="K1000" s="315">
        <v>1.2241</v>
      </c>
      <c r="L1000" s="315">
        <v>1.9032</v>
      </c>
      <c r="M1000" s="315">
        <v>1.9028</v>
      </c>
      <c r="N1000" s="315">
        <v>2.1455000000000002</v>
      </c>
      <c r="O1000" s="315">
        <v>0</v>
      </c>
      <c r="P1000" s="315">
        <v>1.8913</v>
      </c>
      <c r="Q1000" s="315">
        <v>0</v>
      </c>
      <c r="R1000" s="315">
        <v>2.6299000000000001</v>
      </c>
      <c r="S1000" s="315">
        <v>2.3736999999999999</v>
      </c>
      <c r="T1000" s="315">
        <v>1.7630999999999999</v>
      </c>
      <c r="U1000" s="315">
        <v>2.3271999999999999</v>
      </c>
      <c r="V1000" s="315">
        <v>0</v>
      </c>
      <c r="W1000" s="315">
        <v>2.0192000000000001</v>
      </c>
      <c r="X1000" s="315">
        <v>1.9996</v>
      </c>
      <c r="Y1000" s="315">
        <v>1.7296</v>
      </c>
      <c r="Z1000" s="315">
        <v>2.4521999999999999</v>
      </c>
      <c r="AA1000" s="315">
        <v>2.0699999999999998</v>
      </c>
      <c r="AB1000" s="315">
        <v>2.1798000000000002</v>
      </c>
      <c r="AC1000" s="315">
        <v>2.0364</v>
      </c>
      <c r="AD1000" s="315">
        <v>1.5965</v>
      </c>
      <c r="AE1000" s="315">
        <v>2.0882999999999998</v>
      </c>
      <c r="AF1000" s="315">
        <v>1.4992000000000001</v>
      </c>
      <c r="AG1000" s="315">
        <v>1.7217</v>
      </c>
      <c r="AH1000" s="315">
        <v>1.9677</v>
      </c>
      <c r="AI1000" s="315">
        <v>2.1040999999999999</v>
      </c>
      <c r="AJ1000" s="315">
        <v>1.6259999999999999</v>
      </c>
      <c r="AK1000" s="315">
        <v>1.6948000000000001</v>
      </c>
      <c r="AL1000" s="315">
        <v>1.9000999999999999</v>
      </c>
      <c r="AM1000" s="315">
        <v>2.5710999999999999</v>
      </c>
      <c r="AN1000" s="315">
        <v>2.153</v>
      </c>
      <c r="AO1000" s="315">
        <v>2.1585999999999999</v>
      </c>
      <c r="AP1000" s="315">
        <v>2.5688</v>
      </c>
      <c r="AQ1000" s="315">
        <v>1.8671</v>
      </c>
      <c r="AR1000" s="315">
        <v>2.3186</v>
      </c>
      <c r="AS1000" s="315">
        <v>1.5374000000000001</v>
      </c>
      <c r="AT1000" s="315">
        <v>2.3982000000000001</v>
      </c>
      <c r="AU1000" s="315">
        <v>2.4376000000000002</v>
      </c>
      <c r="AV1000" s="315">
        <v>2.3174000000000001</v>
      </c>
      <c r="AW1000" s="315">
        <v>2.0251999999999999</v>
      </c>
      <c r="AX1000" s="315">
        <v>1.7335</v>
      </c>
      <c r="AY1000" s="315">
        <v>1.9743999999999999</v>
      </c>
      <c r="AZ1000" s="315">
        <v>2.121</v>
      </c>
      <c r="BA1000" s="315">
        <v>1.9804999999999999</v>
      </c>
      <c r="BB1000" s="315">
        <v>0</v>
      </c>
      <c r="BC1000" s="315">
        <v>2.1751</v>
      </c>
      <c r="BD1000" s="315">
        <v>2.4986000000000002</v>
      </c>
      <c r="BE1000" s="315">
        <v>2.7012</v>
      </c>
      <c r="BF1000" s="315">
        <v>2.1341000000000001</v>
      </c>
      <c r="BG1000" s="315">
        <v>2.3048000000000002</v>
      </c>
      <c r="BH1000" s="315">
        <v>2.5026000000000002</v>
      </c>
      <c r="BI1000" s="315">
        <v>2.5291999999999999</v>
      </c>
      <c r="BJ1000" s="315">
        <v>2.0872000000000002</v>
      </c>
      <c r="BK1000" s="315">
        <v>2.2240000000000002</v>
      </c>
    </row>
    <row r="1001" spans="1:63" x14ac:dyDescent="0.25">
      <c r="A1001" s="306" t="s">
        <v>726</v>
      </c>
      <c r="B1001" s="315" t="s">
        <v>164</v>
      </c>
      <c r="C1001" s="315">
        <v>2.4331999999999998</v>
      </c>
      <c r="D1001" s="315">
        <v>1.3177000000000001</v>
      </c>
      <c r="E1001" s="315">
        <v>1.8113999999999999</v>
      </c>
      <c r="F1001" s="315">
        <v>1.7367999999999999</v>
      </c>
      <c r="G1001" s="315">
        <v>1.5927</v>
      </c>
      <c r="H1001" s="315">
        <v>1.7966</v>
      </c>
      <c r="I1001" s="315">
        <v>1.7020999999999999</v>
      </c>
      <c r="J1001" s="315">
        <v>1.6890000000000001</v>
      </c>
      <c r="K1001" s="315">
        <v>0</v>
      </c>
      <c r="L1001" s="315">
        <v>0</v>
      </c>
      <c r="M1001" s="315">
        <v>1.6073</v>
      </c>
      <c r="N1001" s="315">
        <v>1.7705</v>
      </c>
      <c r="O1001" s="315">
        <v>0</v>
      </c>
      <c r="P1001" s="315">
        <v>1.5411999999999999</v>
      </c>
      <c r="Q1001" s="315">
        <v>1.4204000000000001</v>
      </c>
      <c r="R1001" s="315">
        <v>1.9970000000000001</v>
      </c>
      <c r="S1001" s="315">
        <v>1.8963000000000001</v>
      </c>
      <c r="T1001" s="315">
        <v>1.5091000000000001</v>
      </c>
      <c r="U1001" s="315">
        <v>1.8718999999999999</v>
      </c>
      <c r="V1001" s="315">
        <v>0</v>
      </c>
      <c r="W1001" s="315">
        <v>1.6817</v>
      </c>
      <c r="X1001" s="315">
        <v>1.6344000000000001</v>
      </c>
      <c r="Y1001" s="315">
        <v>0</v>
      </c>
      <c r="Z1001" s="315">
        <v>1.9139999999999999</v>
      </c>
      <c r="AA1001" s="315">
        <v>1.7532000000000001</v>
      </c>
      <c r="AB1001" s="315">
        <v>1.8447</v>
      </c>
      <c r="AC1001" s="315">
        <v>0</v>
      </c>
      <c r="AD1001" s="315">
        <v>1.3924000000000001</v>
      </c>
      <c r="AE1001" s="315">
        <v>1.7146999999999999</v>
      </c>
      <c r="AF1001" s="315">
        <v>1.302</v>
      </c>
      <c r="AG1001" s="315">
        <v>1.4432</v>
      </c>
      <c r="AH1001" s="315">
        <v>1.6002000000000001</v>
      </c>
      <c r="AI1001" s="315">
        <v>1.7681</v>
      </c>
      <c r="AJ1001" s="315">
        <v>1.3936999999999999</v>
      </c>
      <c r="AK1001" s="315">
        <v>0</v>
      </c>
      <c r="AL1001" s="315">
        <v>1.5974999999999999</v>
      </c>
      <c r="AM1001" s="315">
        <v>2.0455000000000001</v>
      </c>
      <c r="AN1001" s="315">
        <v>1.6851</v>
      </c>
      <c r="AO1001" s="315">
        <v>1.7714000000000001</v>
      </c>
      <c r="AP1001" s="315">
        <v>2.0209000000000001</v>
      </c>
      <c r="AQ1001" s="315">
        <v>0</v>
      </c>
      <c r="AR1001" s="315">
        <v>1.8648</v>
      </c>
      <c r="AS1001" s="315">
        <v>0</v>
      </c>
      <c r="AT1001" s="315">
        <v>1.9100999999999999</v>
      </c>
      <c r="AU1001" s="315">
        <v>1.9475</v>
      </c>
      <c r="AV1001" s="315">
        <v>0</v>
      </c>
      <c r="AW1001" s="315">
        <v>1.6604000000000001</v>
      </c>
      <c r="AX1001" s="315">
        <v>1.4103000000000001</v>
      </c>
      <c r="AY1001" s="315">
        <v>1.6986000000000001</v>
      </c>
      <c r="AZ1001" s="315">
        <v>1.7484</v>
      </c>
      <c r="BA1001" s="315">
        <v>1.5694999999999999</v>
      </c>
      <c r="BB1001" s="315">
        <v>0</v>
      </c>
      <c r="BC1001" s="315">
        <v>1.7716000000000001</v>
      </c>
      <c r="BD1001" s="315">
        <v>1.9403999999999999</v>
      </c>
      <c r="BE1001" s="315">
        <v>2.1137000000000001</v>
      </c>
      <c r="BF1001" s="315">
        <v>1.8058000000000001</v>
      </c>
      <c r="BG1001" s="315">
        <v>1.8709</v>
      </c>
      <c r="BH1001" s="315">
        <v>1.9699</v>
      </c>
      <c r="BI1001" s="315">
        <v>2.0202</v>
      </c>
      <c r="BJ1001" s="315">
        <v>1.6819</v>
      </c>
      <c r="BK1001" s="315">
        <v>1.8392999999999999</v>
      </c>
    </row>
    <row r="1002" spans="1:63" x14ac:dyDescent="0.25">
      <c r="A1002" s="306" t="s">
        <v>727</v>
      </c>
      <c r="B1002" s="315" t="s">
        <v>165</v>
      </c>
      <c r="C1002" s="315">
        <v>2.8336000000000001</v>
      </c>
      <c r="D1002" s="315">
        <v>1.4819</v>
      </c>
      <c r="E1002" s="315">
        <v>2.0529000000000002</v>
      </c>
      <c r="F1002" s="315">
        <v>1.8893</v>
      </c>
      <c r="G1002" s="315">
        <v>1.8050999999999999</v>
      </c>
      <c r="H1002" s="315">
        <v>2.0545</v>
      </c>
      <c r="I1002" s="315">
        <v>2.0272000000000001</v>
      </c>
      <c r="J1002" s="315">
        <v>1.9351</v>
      </c>
      <c r="K1002" s="315">
        <v>0</v>
      </c>
      <c r="L1002" s="315">
        <v>1.756</v>
      </c>
      <c r="M1002" s="315">
        <v>1.8257000000000001</v>
      </c>
      <c r="N1002" s="315">
        <v>2.0245000000000002</v>
      </c>
      <c r="O1002" s="315">
        <v>0</v>
      </c>
      <c r="P1002" s="315">
        <v>1.6921999999999999</v>
      </c>
      <c r="Q1002" s="315">
        <v>1.5757000000000001</v>
      </c>
      <c r="R1002" s="315">
        <v>2.3340000000000001</v>
      </c>
      <c r="S1002" s="315">
        <v>2.1055000000000001</v>
      </c>
      <c r="T1002" s="315">
        <v>1.671</v>
      </c>
      <c r="U1002" s="315">
        <v>2.0600999999999998</v>
      </c>
      <c r="V1002" s="315">
        <v>1.8746</v>
      </c>
      <c r="W1002" s="315">
        <v>1.9426000000000001</v>
      </c>
      <c r="X1002" s="315">
        <v>1.8626</v>
      </c>
      <c r="Y1002" s="315">
        <v>1.7170000000000001</v>
      </c>
      <c r="Z1002" s="315">
        <v>2.1888999999999998</v>
      </c>
      <c r="AA1002" s="315">
        <v>1.9738</v>
      </c>
      <c r="AB1002" s="315">
        <v>2.0135999999999998</v>
      </c>
      <c r="AC1002" s="315">
        <v>1.8147</v>
      </c>
      <c r="AD1002" s="315">
        <v>1.5412999999999999</v>
      </c>
      <c r="AE1002" s="315">
        <v>1.9564999999999999</v>
      </c>
      <c r="AF1002" s="315">
        <v>1.4330000000000001</v>
      </c>
      <c r="AG1002" s="315">
        <v>1.6191</v>
      </c>
      <c r="AH1002" s="315">
        <v>1.8616999999999999</v>
      </c>
      <c r="AI1002" s="315">
        <v>1.9926999999999999</v>
      </c>
      <c r="AJ1002" s="315">
        <v>1.5766</v>
      </c>
      <c r="AK1002" s="315">
        <v>1.6776</v>
      </c>
      <c r="AL1002" s="315">
        <v>1.8147</v>
      </c>
      <c r="AM1002" s="315">
        <v>2.2881999999999998</v>
      </c>
      <c r="AN1002" s="315">
        <v>1.9234</v>
      </c>
      <c r="AO1002" s="315">
        <v>2.0024999999999999</v>
      </c>
      <c r="AP1002" s="315">
        <v>2.3212999999999999</v>
      </c>
      <c r="AQ1002" s="315">
        <v>1.8162</v>
      </c>
      <c r="AR1002" s="315">
        <v>2.0714999999999999</v>
      </c>
      <c r="AS1002" s="315">
        <v>1.4785999999999999</v>
      </c>
      <c r="AT1002" s="315">
        <v>2.1574</v>
      </c>
      <c r="AU1002" s="315">
        <v>2.2092999999999998</v>
      </c>
      <c r="AV1002" s="315">
        <v>2.1379999999999999</v>
      </c>
      <c r="AW1002" s="315">
        <v>1.9056999999999999</v>
      </c>
      <c r="AX1002" s="315">
        <v>1.6026</v>
      </c>
      <c r="AY1002" s="315">
        <v>1.879</v>
      </c>
      <c r="AZ1002" s="315">
        <v>1.9695</v>
      </c>
      <c r="BA1002" s="315">
        <v>1.7617</v>
      </c>
      <c r="BB1002" s="315">
        <v>1.4319999999999999</v>
      </c>
      <c r="BC1002" s="315">
        <v>2.0756999999999999</v>
      </c>
      <c r="BD1002" s="315">
        <v>2.2810000000000001</v>
      </c>
      <c r="BE1002" s="315">
        <v>2.4041999999999999</v>
      </c>
      <c r="BF1002" s="315">
        <v>1.9742999999999999</v>
      </c>
      <c r="BG1002" s="315">
        <v>2.1560999999999999</v>
      </c>
      <c r="BH1002" s="315">
        <v>2.2200000000000002</v>
      </c>
      <c r="BI1002" s="315">
        <v>2.2749000000000001</v>
      </c>
      <c r="BJ1002" s="315">
        <v>1.9741</v>
      </c>
      <c r="BK1002" s="315">
        <v>2.0937000000000001</v>
      </c>
    </row>
    <row r="1003" spans="1:63" x14ac:dyDescent="0.25">
      <c r="A1003" s="306">
        <v>332310</v>
      </c>
      <c r="B1003" s="315" t="s">
        <v>166</v>
      </c>
      <c r="C1003" s="315">
        <v>3.0411999999999999</v>
      </c>
      <c r="D1003" s="315">
        <v>1.5044</v>
      </c>
      <c r="E1003" s="315">
        <v>2.2010000000000001</v>
      </c>
      <c r="F1003" s="315">
        <v>2.0074000000000001</v>
      </c>
      <c r="G1003" s="315">
        <v>1.9020999999999999</v>
      </c>
      <c r="H1003" s="315">
        <v>2.1450999999999998</v>
      </c>
      <c r="I1003" s="315">
        <v>2.1516999999999999</v>
      </c>
      <c r="J1003" s="315">
        <v>1.9923</v>
      </c>
      <c r="K1003" s="315">
        <v>1.2297</v>
      </c>
      <c r="L1003" s="315">
        <v>1.9017999999999999</v>
      </c>
      <c r="M1003" s="315">
        <v>1.8991</v>
      </c>
      <c r="N1003" s="315">
        <v>2.0888</v>
      </c>
      <c r="O1003" s="315">
        <v>1.6224000000000001</v>
      </c>
      <c r="P1003" s="315">
        <v>1.7894000000000001</v>
      </c>
      <c r="Q1003" s="315">
        <v>1.5918000000000001</v>
      </c>
      <c r="R1003" s="315">
        <v>2.5446</v>
      </c>
      <c r="S1003" s="315">
        <v>2.2675999999999998</v>
      </c>
      <c r="T1003" s="315">
        <v>1.7390000000000001</v>
      </c>
      <c r="U1003" s="315">
        <v>2.2081</v>
      </c>
      <c r="V1003" s="315">
        <v>1.976</v>
      </c>
      <c r="W1003" s="315">
        <v>1.9641</v>
      </c>
      <c r="X1003" s="315">
        <v>1.9903</v>
      </c>
      <c r="Y1003" s="315">
        <v>1.7198</v>
      </c>
      <c r="Z1003" s="315">
        <v>2.3757000000000001</v>
      </c>
      <c r="AA1003" s="315">
        <v>2.0331000000000001</v>
      </c>
      <c r="AB1003" s="315">
        <v>2.0760999999999998</v>
      </c>
      <c r="AC1003" s="315">
        <v>1.9605999999999999</v>
      </c>
      <c r="AD1003" s="315">
        <v>1.5591999999999999</v>
      </c>
      <c r="AE1003" s="315">
        <v>2.0028000000000001</v>
      </c>
      <c r="AF1003" s="315">
        <v>1.4488000000000001</v>
      </c>
      <c r="AG1003" s="315">
        <v>1.6728000000000001</v>
      </c>
      <c r="AH1003" s="315">
        <v>1.9379999999999999</v>
      </c>
      <c r="AI1003" s="315">
        <v>2.0560999999999998</v>
      </c>
      <c r="AJ1003" s="315">
        <v>1.5935999999999999</v>
      </c>
      <c r="AK1003" s="315">
        <v>1.6957</v>
      </c>
      <c r="AL1003" s="315">
        <v>1.8323</v>
      </c>
      <c r="AM1003" s="315">
        <v>2.4826999999999999</v>
      </c>
      <c r="AN1003" s="315">
        <v>2.1455000000000002</v>
      </c>
      <c r="AO1003" s="315">
        <v>2.1718000000000002</v>
      </c>
      <c r="AP1003" s="315">
        <v>2.516</v>
      </c>
      <c r="AQ1003" s="315">
        <v>1.8112999999999999</v>
      </c>
      <c r="AR1003" s="315">
        <v>2.2357</v>
      </c>
      <c r="AS1003" s="315">
        <v>1.4927999999999999</v>
      </c>
      <c r="AT1003" s="315">
        <v>2.2812000000000001</v>
      </c>
      <c r="AU1003" s="315">
        <v>2.4077999999999999</v>
      </c>
      <c r="AV1003" s="315">
        <v>2.2671999999999999</v>
      </c>
      <c r="AW1003" s="315">
        <v>1.9918</v>
      </c>
      <c r="AX1003" s="315">
        <v>1.6424000000000001</v>
      </c>
      <c r="AY1003" s="315">
        <v>1.9347000000000001</v>
      </c>
      <c r="AZ1003" s="315">
        <v>2.0375999999999999</v>
      </c>
      <c r="BA1003" s="315">
        <v>1.8972</v>
      </c>
      <c r="BB1003" s="315">
        <v>1.4689000000000001</v>
      </c>
      <c r="BC1003" s="315">
        <v>2.0988000000000002</v>
      </c>
      <c r="BD1003" s="315">
        <v>2.4342999999999999</v>
      </c>
      <c r="BE1003" s="315">
        <v>2.6000999999999999</v>
      </c>
      <c r="BF1003" s="315">
        <v>2.0537999999999998</v>
      </c>
      <c r="BG1003" s="315">
        <v>2.2353000000000001</v>
      </c>
      <c r="BH1003" s="315">
        <v>2.3851</v>
      </c>
      <c r="BI1003" s="315">
        <v>2.4977</v>
      </c>
      <c r="BJ1003" s="315">
        <v>2.0596999999999999</v>
      </c>
      <c r="BK1003" s="315">
        <v>2.1766999999999999</v>
      </c>
    </row>
    <row r="1004" spans="1:63" x14ac:dyDescent="0.25">
      <c r="A1004" s="306">
        <v>332320</v>
      </c>
      <c r="B1004" s="315" t="s">
        <v>167</v>
      </c>
      <c r="C1004" s="315">
        <v>3.1347999999999998</v>
      </c>
      <c r="D1004" s="315">
        <v>1.5113000000000001</v>
      </c>
      <c r="E1004" s="315">
        <v>2.2216999999999998</v>
      </c>
      <c r="F1004" s="315">
        <v>2.0482999999999998</v>
      </c>
      <c r="G1004" s="315">
        <v>1.9669000000000001</v>
      </c>
      <c r="H1004" s="315">
        <v>2.2683</v>
      </c>
      <c r="I1004" s="315">
        <v>2.1703000000000001</v>
      </c>
      <c r="J1004" s="315">
        <v>2.0790000000000002</v>
      </c>
      <c r="K1004" s="315">
        <v>1.2164999999999999</v>
      </c>
      <c r="L1004" s="315">
        <v>1.8557999999999999</v>
      </c>
      <c r="M1004" s="315">
        <v>1.9543999999999999</v>
      </c>
      <c r="N1004" s="315">
        <v>2.2305000000000001</v>
      </c>
      <c r="O1004" s="315">
        <v>1.6489</v>
      </c>
      <c r="P1004" s="315">
        <v>1.8421000000000001</v>
      </c>
      <c r="Q1004" s="315">
        <v>1.6297999999999999</v>
      </c>
      <c r="R1004" s="315">
        <v>2.5417999999999998</v>
      </c>
      <c r="S1004" s="315">
        <v>2.3121</v>
      </c>
      <c r="T1004" s="315">
        <v>1.7788999999999999</v>
      </c>
      <c r="U1004" s="315">
        <v>2.2987000000000002</v>
      </c>
      <c r="V1004" s="315">
        <v>1.9541999999999999</v>
      </c>
      <c r="W1004" s="315">
        <v>2.04</v>
      </c>
      <c r="X1004" s="315">
        <v>1.9787999999999999</v>
      </c>
      <c r="Y1004" s="315">
        <v>1.7522</v>
      </c>
      <c r="Z1004" s="315">
        <v>2.4060999999999999</v>
      </c>
      <c r="AA1004" s="315">
        <v>2.1162000000000001</v>
      </c>
      <c r="AB1004" s="315">
        <v>2.1857000000000002</v>
      </c>
      <c r="AC1004" s="315">
        <v>1.9666999999999999</v>
      </c>
      <c r="AD1004" s="315">
        <v>1.5569</v>
      </c>
      <c r="AE1004" s="315">
        <v>2.0528</v>
      </c>
      <c r="AF1004" s="315">
        <v>1.4635</v>
      </c>
      <c r="AG1004" s="315">
        <v>1.6366000000000001</v>
      </c>
      <c r="AH1004" s="315">
        <v>2.0407999999999999</v>
      </c>
      <c r="AI1004" s="315">
        <v>2.1419999999999999</v>
      </c>
      <c r="AJ1004" s="315">
        <v>1.6104000000000001</v>
      </c>
      <c r="AK1004" s="315">
        <v>1.7388999999999999</v>
      </c>
      <c r="AL1004" s="315">
        <v>1.9101999999999999</v>
      </c>
      <c r="AM1004" s="315">
        <v>2.5510999999999999</v>
      </c>
      <c r="AN1004" s="315">
        <v>2.1133999999999999</v>
      </c>
      <c r="AO1004" s="315">
        <v>2.2012</v>
      </c>
      <c r="AP1004" s="315">
        <v>2.5651000000000002</v>
      </c>
      <c r="AQ1004" s="315">
        <v>1.8791</v>
      </c>
      <c r="AR1004" s="315">
        <v>2.2652999999999999</v>
      </c>
      <c r="AS1004" s="315">
        <v>1.5739000000000001</v>
      </c>
      <c r="AT1004" s="315">
        <v>2.3784000000000001</v>
      </c>
      <c r="AU1004" s="315">
        <v>2.4611000000000001</v>
      </c>
      <c r="AV1004" s="315">
        <v>2.2477999999999998</v>
      </c>
      <c r="AW1004" s="315">
        <v>2.0518000000000001</v>
      </c>
      <c r="AX1004" s="315">
        <v>1.6600999999999999</v>
      </c>
      <c r="AY1004" s="315">
        <v>2.0373000000000001</v>
      </c>
      <c r="AZ1004" s="315">
        <v>2.093</v>
      </c>
      <c r="BA1004" s="315">
        <v>1.9178999999999999</v>
      </c>
      <c r="BB1004" s="315">
        <v>1.4736</v>
      </c>
      <c r="BC1004" s="315">
        <v>2.1960999999999999</v>
      </c>
      <c r="BD1004" s="315">
        <v>2.4842</v>
      </c>
      <c r="BE1004" s="315">
        <v>2.6667999999999998</v>
      </c>
      <c r="BF1004" s="315">
        <v>2.1581000000000001</v>
      </c>
      <c r="BG1004" s="315">
        <v>2.3195000000000001</v>
      </c>
      <c r="BH1004" s="315">
        <v>2.4664000000000001</v>
      </c>
      <c r="BI1004" s="315">
        <v>2.5423</v>
      </c>
      <c r="BJ1004" s="315">
        <v>2.0943000000000001</v>
      </c>
      <c r="BK1004" s="315">
        <v>2.3024</v>
      </c>
    </row>
    <row r="1005" spans="1:63" x14ac:dyDescent="0.25">
      <c r="A1005" s="306">
        <v>332410</v>
      </c>
      <c r="B1005" s="315" t="s">
        <v>168</v>
      </c>
      <c r="C1005" s="315">
        <v>3.0145</v>
      </c>
      <c r="D1005" s="315">
        <v>0</v>
      </c>
      <c r="E1005" s="315">
        <v>2.1663999999999999</v>
      </c>
      <c r="F1005" s="315">
        <v>0</v>
      </c>
      <c r="G1005" s="315">
        <v>0</v>
      </c>
      <c r="H1005" s="315">
        <v>2.1215999999999999</v>
      </c>
      <c r="I1005" s="315">
        <v>2.0634999999999999</v>
      </c>
      <c r="J1005" s="315">
        <v>2.0299</v>
      </c>
      <c r="K1005" s="315">
        <v>0</v>
      </c>
      <c r="L1005" s="315">
        <v>1.7769999999999999</v>
      </c>
      <c r="M1005" s="315">
        <v>1.8473999999999999</v>
      </c>
      <c r="N1005" s="315">
        <v>2.0941999999999998</v>
      </c>
      <c r="O1005" s="315">
        <v>0</v>
      </c>
      <c r="P1005" s="315">
        <v>1.7563</v>
      </c>
      <c r="Q1005" s="315">
        <v>0</v>
      </c>
      <c r="R1005" s="315">
        <v>2.4367000000000001</v>
      </c>
      <c r="S1005" s="315">
        <v>2.2361</v>
      </c>
      <c r="T1005" s="315">
        <v>1.7413000000000001</v>
      </c>
      <c r="U1005" s="315">
        <v>2.1589</v>
      </c>
      <c r="V1005" s="315">
        <v>1.9576</v>
      </c>
      <c r="W1005" s="315">
        <v>1.9916</v>
      </c>
      <c r="X1005" s="315">
        <v>0</v>
      </c>
      <c r="Y1005" s="315">
        <v>0</v>
      </c>
      <c r="Z1005" s="315">
        <v>2.3108</v>
      </c>
      <c r="AA1005" s="315">
        <v>2.0626000000000002</v>
      </c>
      <c r="AB1005" s="315">
        <v>2.0964</v>
      </c>
      <c r="AC1005" s="315">
        <v>1.9166000000000001</v>
      </c>
      <c r="AD1005" s="315">
        <v>0</v>
      </c>
      <c r="AE1005" s="315">
        <v>1.9910000000000001</v>
      </c>
      <c r="AF1005" s="315">
        <v>0</v>
      </c>
      <c r="AG1005" s="315">
        <v>0</v>
      </c>
      <c r="AH1005" s="315">
        <v>1.9569000000000001</v>
      </c>
      <c r="AI1005" s="315">
        <v>2.0495999999999999</v>
      </c>
      <c r="AJ1005" s="315">
        <v>1.5744</v>
      </c>
      <c r="AK1005" s="315">
        <v>1.6687000000000001</v>
      </c>
      <c r="AL1005" s="315">
        <v>1.8481000000000001</v>
      </c>
      <c r="AM1005" s="315">
        <v>2.4668999999999999</v>
      </c>
      <c r="AN1005" s="315">
        <v>2.0817000000000001</v>
      </c>
      <c r="AO1005" s="315">
        <v>2.0945999999999998</v>
      </c>
      <c r="AP1005" s="315">
        <v>2.4897999999999998</v>
      </c>
      <c r="AQ1005" s="315">
        <v>1.8295999999999999</v>
      </c>
      <c r="AR1005" s="315">
        <v>2.2035999999999998</v>
      </c>
      <c r="AS1005" s="315">
        <v>1.5245</v>
      </c>
      <c r="AT1005" s="315">
        <v>2.2860999999999998</v>
      </c>
      <c r="AU1005" s="315">
        <v>2.3906999999999998</v>
      </c>
      <c r="AV1005" s="315">
        <v>0</v>
      </c>
      <c r="AW1005" s="315">
        <v>1.9706999999999999</v>
      </c>
      <c r="AX1005" s="315">
        <v>0</v>
      </c>
      <c r="AY1005" s="315">
        <v>1.9066000000000001</v>
      </c>
      <c r="AZ1005" s="315">
        <v>2.0825999999999998</v>
      </c>
      <c r="BA1005" s="315">
        <v>1.7906</v>
      </c>
      <c r="BB1005" s="315">
        <v>0</v>
      </c>
      <c r="BC1005" s="315">
        <v>2.141</v>
      </c>
      <c r="BD1005" s="315">
        <v>2.3773</v>
      </c>
      <c r="BE1005" s="315">
        <v>2.5743999999999998</v>
      </c>
      <c r="BF1005" s="315">
        <v>2.0687000000000002</v>
      </c>
      <c r="BG1005" s="315">
        <v>2.1772999999999998</v>
      </c>
      <c r="BH1005" s="315">
        <v>2.3698000000000001</v>
      </c>
      <c r="BI1005" s="315">
        <v>2.4556</v>
      </c>
      <c r="BJ1005" s="315">
        <v>2.0047999999999999</v>
      </c>
      <c r="BK1005" s="315">
        <v>2.1494</v>
      </c>
    </row>
    <row r="1006" spans="1:63" x14ac:dyDescent="0.25">
      <c r="A1006" s="306">
        <v>332420</v>
      </c>
      <c r="B1006" s="315" t="s">
        <v>169</v>
      </c>
      <c r="C1006" s="315">
        <v>3.0722</v>
      </c>
      <c r="D1006" s="315">
        <v>0</v>
      </c>
      <c r="E1006" s="315">
        <v>2.2252000000000001</v>
      </c>
      <c r="F1006" s="315">
        <v>2.0424000000000002</v>
      </c>
      <c r="G1006" s="315">
        <v>1.8803000000000001</v>
      </c>
      <c r="H1006" s="315">
        <v>2.1353</v>
      </c>
      <c r="I1006" s="315">
        <v>2.1581000000000001</v>
      </c>
      <c r="J1006" s="315">
        <v>1.9950000000000001</v>
      </c>
      <c r="K1006" s="315">
        <v>0</v>
      </c>
      <c r="L1006" s="315">
        <v>1.9462999999999999</v>
      </c>
      <c r="M1006" s="315">
        <v>1.8927</v>
      </c>
      <c r="N1006" s="315">
        <v>2.0785999999999998</v>
      </c>
      <c r="O1006" s="315">
        <v>0</v>
      </c>
      <c r="P1006" s="315">
        <v>1.7524999999999999</v>
      </c>
      <c r="Q1006" s="315">
        <v>1.5883</v>
      </c>
      <c r="R1006" s="315">
        <v>2.5065</v>
      </c>
      <c r="S1006" s="315">
        <v>2.2890999999999999</v>
      </c>
      <c r="T1006" s="315">
        <v>1.7209000000000001</v>
      </c>
      <c r="U1006" s="315">
        <v>2.1768999999999998</v>
      </c>
      <c r="V1006" s="315">
        <v>2.0318999999999998</v>
      </c>
      <c r="W1006" s="315">
        <v>1.9521999999999999</v>
      </c>
      <c r="X1006" s="315">
        <v>1.9703999999999999</v>
      </c>
      <c r="Y1006" s="315">
        <v>1.7069000000000001</v>
      </c>
      <c r="Z1006" s="315">
        <v>2.391</v>
      </c>
      <c r="AA1006" s="315">
        <v>2.0714999999999999</v>
      </c>
      <c r="AB1006" s="315">
        <v>2.0903999999999998</v>
      </c>
      <c r="AC1006" s="315">
        <v>1.9554</v>
      </c>
      <c r="AD1006" s="315">
        <v>0</v>
      </c>
      <c r="AE1006" s="315">
        <v>2.0002</v>
      </c>
      <c r="AF1006" s="315">
        <v>1.4492</v>
      </c>
      <c r="AG1006" s="315">
        <v>1.6697</v>
      </c>
      <c r="AH1006" s="315">
        <v>0</v>
      </c>
      <c r="AI1006" s="315">
        <v>2.0590000000000002</v>
      </c>
      <c r="AJ1006" s="315">
        <v>1.6077999999999999</v>
      </c>
      <c r="AK1006" s="315">
        <v>1.6915</v>
      </c>
      <c r="AL1006" s="315">
        <v>1.819</v>
      </c>
      <c r="AM1006" s="315">
        <v>2.5044</v>
      </c>
      <c r="AN1006" s="315">
        <v>2.1591</v>
      </c>
      <c r="AO1006" s="315">
        <v>2.1907000000000001</v>
      </c>
      <c r="AP1006" s="315">
        <v>2.5413000000000001</v>
      </c>
      <c r="AQ1006" s="315">
        <v>1.7948</v>
      </c>
      <c r="AR1006" s="315">
        <v>2.2584</v>
      </c>
      <c r="AS1006" s="315">
        <v>1.5015000000000001</v>
      </c>
      <c r="AT1006" s="315">
        <v>2.3205</v>
      </c>
      <c r="AU1006" s="315">
        <v>2.4481000000000002</v>
      </c>
      <c r="AV1006" s="315">
        <v>2.2875999999999999</v>
      </c>
      <c r="AW1006" s="315">
        <v>1.9853000000000001</v>
      </c>
      <c r="AX1006" s="315">
        <v>0</v>
      </c>
      <c r="AY1006" s="315">
        <v>1.9307000000000001</v>
      </c>
      <c r="AZ1006" s="315">
        <v>2.0750999999999999</v>
      </c>
      <c r="BA1006" s="315">
        <v>1.8292999999999999</v>
      </c>
      <c r="BB1006" s="315">
        <v>1.4691000000000001</v>
      </c>
      <c r="BC1006" s="315">
        <v>2.0884999999999998</v>
      </c>
      <c r="BD1006" s="315">
        <v>2.4371999999999998</v>
      </c>
      <c r="BE1006" s="315">
        <v>2.6229</v>
      </c>
      <c r="BF1006" s="315">
        <v>2.0499000000000001</v>
      </c>
      <c r="BG1006" s="315">
        <v>2.2309999999999999</v>
      </c>
      <c r="BH1006" s="315">
        <v>2.4186000000000001</v>
      </c>
      <c r="BI1006" s="315">
        <v>2.5387</v>
      </c>
      <c r="BJ1006" s="315">
        <v>2.0564</v>
      </c>
      <c r="BK1006" s="315">
        <v>2.1692999999999998</v>
      </c>
    </row>
    <row r="1007" spans="1:63" x14ac:dyDescent="0.25">
      <c r="A1007" s="306">
        <v>332430</v>
      </c>
      <c r="B1007" s="315" t="s">
        <v>170</v>
      </c>
      <c r="C1007" s="315">
        <v>3.1211000000000002</v>
      </c>
      <c r="D1007" s="315">
        <v>0</v>
      </c>
      <c r="E1007" s="315">
        <v>2.3287</v>
      </c>
      <c r="F1007" s="315">
        <v>2.2315999999999998</v>
      </c>
      <c r="G1007" s="315">
        <v>1.9766999999999999</v>
      </c>
      <c r="H1007" s="315">
        <v>2.2086999999999999</v>
      </c>
      <c r="I1007" s="315">
        <v>2.0019</v>
      </c>
      <c r="J1007" s="315">
        <v>1.996</v>
      </c>
      <c r="K1007" s="315">
        <v>0</v>
      </c>
      <c r="L1007" s="315">
        <v>1.6045</v>
      </c>
      <c r="M1007" s="315">
        <v>1.8406</v>
      </c>
      <c r="N1007" s="315">
        <v>2.2305999999999999</v>
      </c>
      <c r="O1007" s="315">
        <v>1.4402999999999999</v>
      </c>
      <c r="P1007" s="315">
        <v>1.9651000000000001</v>
      </c>
      <c r="Q1007" s="315">
        <v>1.4144000000000001</v>
      </c>
      <c r="R1007" s="315">
        <v>2.4285000000000001</v>
      </c>
      <c r="S1007" s="315">
        <v>2.4578000000000002</v>
      </c>
      <c r="T1007" s="315">
        <v>1.7330000000000001</v>
      </c>
      <c r="U1007" s="315">
        <v>2.3092000000000001</v>
      </c>
      <c r="V1007" s="315">
        <v>1.7876000000000001</v>
      </c>
      <c r="W1007" s="315">
        <v>1.7701</v>
      </c>
      <c r="X1007" s="315">
        <v>1.8487</v>
      </c>
      <c r="Y1007" s="315">
        <v>1.4977</v>
      </c>
      <c r="Z1007" s="315">
        <v>2.2658</v>
      </c>
      <c r="AA1007" s="315">
        <v>2.0691000000000002</v>
      </c>
      <c r="AB1007" s="315">
        <v>2.2964000000000002</v>
      </c>
      <c r="AC1007" s="315">
        <v>2.0771000000000002</v>
      </c>
      <c r="AD1007" s="315">
        <v>0</v>
      </c>
      <c r="AE1007" s="315">
        <v>1.9128000000000001</v>
      </c>
      <c r="AF1007" s="315">
        <v>1.3452</v>
      </c>
      <c r="AG1007" s="315">
        <v>1.4958</v>
      </c>
      <c r="AH1007" s="315">
        <v>1.8212999999999999</v>
      </c>
      <c r="AI1007" s="315">
        <v>2.0089999999999999</v>
      </c>
      <c r="AJ1007" s="315">
        <v>1.4319</v>
      </c>
      <c r="AK1007" s="315">
        <v>1.5350999999999999</v>
      </c>
      <c r="AL1007" s="315">
        <v>1.7499</v>
      </c>
      <c r="AM1007" s="315">
        <v>2.6299000000000001</v>
      </c>
      <c r="AN1007" s="315">
        <v>2.0661999999999998</v>
      </c>
      <c r="AO1007" s="315">
        <v>2.1594000000000002</v>
      </c>
      <c r="AP1007" s="315">
        <v>2.5901000000000001</v>
      </c>
      <c r="AQ1007" s="315">
        <v>1.728</v>
      </c>
      <c r="AR1007" s="315">
        <v>2.3397000000000001</v>
      </c>
      <c r="AS1007" s="315">
        <v>1.5998000000000001</v>
      </c>
      <c r="AT1007" s="315">
        <v>2.3342000000000001</v>
      </c>
      <c r="AU1007" s="315">
        <v>2.3834</v>
      </c>
      <c r="AV1007" s="315">
        <v>2.1356999999999999</v>
      </c>
      <c r="AW1007" s="315">
        <v>2.0402</v>
      </c>
      <c r="AX1007" s="315">
        <v>1.5238</v>
      </c>
      <c r="AY1007" s="315">
        <v>2.0398999999999998</v>
      </c>
      <c r="AZ1007" s="315">
        <v>2.0779000000000001</v>
      </c>
      <c r="BA1007" s="315">
        <v>2.0627</v>
      </c>
      <c r="BB1007" s="315">
        <v>1.4423999999999999</v>
      </c>
      <c r="BC1007" s="315">
        <v>1.9347000000000001</v>
      </c>
      <c r="BD1007" s="315">
        <v>2.3643000000000001</v>
      </c>
      <c r="BE1007" s="315">
        <v>2.7229000000000001</v>
      </c>
      <c r="BF1007" s="315">
        <v>2.2721</v>
      </c>
      <c r="BG1007" s="315">
        <v>2.2536999999999998</v>
      </c>
      <c r="BH1007" s="315">
        <v>2.5145</v>
      </c>
      <c r="BI1007" s="315">
        <v>2.5228999999999999</v>
      </c>
      <c r="BJ1007" s="315">
        <v>1.9952000000000001</v>
      </c>
      <c r="BK1007" s="315">
        <v>2.2391999999999999</v>
      </c>
    </row>
    <row r="1008" spans="1:63" x14ac:dyDescent="0.25">
      <c r="A1008" s="306">
        <v>332500</v>
      </c>
      <c r="B1008" s="315" t="s">
        <v>173</v>
      </c>
      <c r="C1008" s="315">
        <v>2.8197000000000001</v>
      </c>
      <c r="D1008" s="315">
        <v>0</v>
      </c>
      <c r="E1008" s="315">
        <v>2.0415000000000001</v>
      </c>
      <c r="F1008" s="315">
        <v>1.8996</v>
      </c>
      <c r="G1008" s="315">
        <v>1.7854000000000001</v>
      </c>
      <c r="H1008" s="315">
        <v>2.0667</v>
      </c>
      <c r="I1008" s="315">
        <v>1.9634</v>
      </c>
      <c r="J1008" s="315">
        <v>1.9856</v>
      </c>
      <c r="K1008" s="315">
        <v>0</v>
      </c>
      <c r="L1008" s="315">
        <v>1.7131000000000001</v>
      </c>
      <c r="M1008" s="315">
        <v>1.7537</v>
      </c>
      <c r="N1008" s="315">
        <v>1.9935</v>
      </c>
      <c r="O1008" s="315">
        <v>1.5532999999999999</v>
      </c>
      <c r="P1008" s="315">
        <v>1.75</v>
      </c>
      <c r="Q1008" s="315">
        <v>1.5511999999999999</v>
      </c>
      <c r="R1008" s="315">
        <v>2.3671000000000002</v>
      </c>
      <c r="S1008" s="315">
        <v>2.1305000000000001</v>
      </c>
      <c r="T1008" s="315">
        <v>1.6246</v>
      </c>
      <c r="U1008" s="315">
        <v>2.0964999999999998</v>
      </c>
      <c r="V1008" s="315">
        <v>1.7337</v>
      </c>
      <c r="W1008" s="315">
        <v>1.9349000000000001</v>
      </c>
      <c r="X1008" s="315">
        <v>1.7476</v>
      </c>
      <c r="Y1008" s="315">
        <v>1.6229</v>
      </c>
      <c r="Z1008" s="315">
        <v>2.2000999999999999</v>
      </c>
      <c r="AA1008" s="315">
        <v>2.0344000000000002</v>
      </c>
      <c r="AB1008" s="315">
        <v>1.9957</v>
      </c>
      <c r="AC1008" s="315">
        <v>1.8043</v>
      </c>
      <c r="AD1008" s="315">
        <v>1.4783999999999999</v>
      </c>
      <c r="AE1008" s="315">
        <v>1.9252</v>
      </c>
      <c r="AF1008" s="315">
        <v>0</v>
      </c>
      <c r="AG1008" s="315">
        <v>1.5445</v>
      </c>
      <c r="AH1008" s="315">
        <v>1.919</v>
      </c>
      <c r="AI1008" s="315">
        <v>1.9664999999999999</v>
      </c>
      <c r="AJ1008" s="315">
        <v>0</v>
      </c>
      <c r="AK1008" s="315">
        <v>1.6133</v>
      </c>
      <c r="AL1008" s="315">
        <v>1.7733000000000001</v>
      </c>
      <c r="AM1008" s="315">
        <v>2.3105000000000002</v>
      </c>
      <c r="AN1008" s="315">
        <v>1.8817999999999999</v>
      </c>
      <c r="AO1008" s="315">
        <v>1.9104000000000001</v>
      </c>
      <c r="AP1008" s="315">
        <v>2.327</v>
      </c>
      <c r="AQ1008" s="315">
        <v>1.8717999999999999</v>
      </c>
      <c r="AR1008" s="315">
        <v>2.0375000000000001</v>
      </c>
      <c r="AS1008" s="315">
        <v>1.4947999999999999</v>
      </c>
      <c r="AT1008" s="315">
        <v>2.1821000000000002</v>
      </c>
      <c r="AU1008" s="315">
        <v>2.1335999999999999</v>
      </c>
      <c r="AV1008" s="315">
        <v>1.978</v>
      </c>
      <c r="AW1008" s="315">
        <v>1.8569</v>
      </c>
      <c r="AX1008" s="315">
        <v>0</v>
      </c>
      <c r="AY1008" s="315">
        <v>1.7997000000000001</v>
      </c>
      <c r="AZ1008" s="315">
        <v>2.0331999999999999</v>
      </c>
      <c r="BA1008" s="315">
        <v>1.7101</v>
      </c>
      <c r="BB1008" s="315">
        <v>0</v>
      </c>
      <c r="BC1008" s="315">
        <v>2.1141000000000001</v>
      </c>
      <c r="BD1008" s="315">
        <v>2.2151999999999998</v>
      </c>
      <c r="BE1008" s="315">
        <v>2.4148000000000001</v>
      </c>
      <c r="BF1008" s="315">
        <v>2.0154000000000001</v>
      </c>
      <c r="BG1008" s="315">
        <v>2.0754999999999999</v>
      </c>
      <c r="BH1008" s="315">
        <v>2.2242999999999999</v>
      </c>
      <c r="BI1008" s="315">
        <v>2.1876000000000002</v>
      </c>
      <c r="BJ1008" s="315">
        <v>1.8920999999999999</v>
      </c>
      <c r="BK1008" s="315">
        <v>2.0792999999999999</v>
      </c>
    </row>
    <row r="1009" spans="1:63" x14ac:dyDescent="0.25">
      <c r="A1009" s="306">
        <v>332600</v>
      </c>
      <c r="B1009" s="315" t="s">
        <v>174</v>
      </c>
      <c r="C1009" s="315">
        <v>2.8875999999999999</v>
      </c>
      <c r="D1009" s="315">
        <v>0</v>
      </c>
      <c r="E1009" s="315">
        <v>2.1206999999999998</v>
      </c>
      <c r="F1009" s="315">
        <v>1.9636</v>
      </c>
      <c r="G1009" s="315">
        <v>1.7998000000000001</v>
      </c>
      <c r="H1009" s="315">
        <v>2.0337000000000001</v>
      </c>
      <c r="I1009" s="315">
        <v>2.0173999999999999</v>
      </c>
      <c r="J1009" s="315">
        <v>1.974</v>
      </c>
      <c r="K1009" s="315">
        <v>0</v>
      </c>
      <c r="L1009" s="315">
        <v>1.7747999999999999</v>
      </c>
      <c r="M1009" s="315">
        <v>1.7961</v>
      </c>
      <c r="N1009" s="315">
        <v>1.9633</v>
      </c>
      <c r="O1009" s="315">
        <v>0</v>
      </c>
      <c r="P1009" s="315">
        <v>1.718</v>
      </c>
      <c r="Q1009" s="315">
        <v>1.5247999999999999</v>
      </c>
      <c r="R1009" s="315">
        <v>2.4304000000000001</v>
      </c>
      <c r="S1009" s="315">
        <v>2.1745999999999999</v>
      </c>
      <c r="T1009" s="315">
        <v>1.6726000000000001</v>
      </c>
      <c r="U1009" s="315">
        <v>2.1505000000000001</v>
      </c>
      <c r="V1009" s="315">
        <v>1.8540000000000001</v>
      </c>
      <c r="W1009" s="315">
        <v>1.8997999999999999</v>
      </c>
      <c r="X1009" s="315">
        <v>1.9568000000000001</v>
      </c>
      <c r="Y1009" s="315">
        <v>1.696</v>
      </c>
      <c r="Z1009" s="315">
        <v>2.2509000000000001</v>
      </c>
      <c r="AA1009" s="315">
        <v>1.9944</v>
      </c>
      <c r="AB1009" s="315">
        <v>2.0305</v>
      </c>
      <c r="AC1009" s="315">
        <v>1.9121999999999999</v>
      </c>
      <c r="AD1009" s="315">
        <v>0</v>
      </c>
      <c r="AE1009" s="315">
        <v>1.9356</v>
      </c>
      <c r="AF1009" s="315">
        <v>1.4029</v>
      </c>
      <c r="AG1009" s="315">
        <v>1.5825</v>
      </c>
      <c r="AH1009" s="315">
        <v>1.8823000000000001</v>
      </c>
      <c r="AI1009" s="315">
        <v>2.0366</v>
      </c>
      <c r="AJ1009" s="315">
        <v>1.53</v>
      </c>
      <c r="AK1009" s="315">
        <v>1.6196999999999999</v>
      </c>
      <c r="AL1009" s="315">
        <v>1.7548999999999999</v>
      </c>
      <c r="AM1009" s="315">
        <v>2.3576999999999999</v>
      </c>
      <c r="AN1009" s="315">
        <v>2.0733999999999999</v>
      </c>
      <c r="AO1009" s="315">
        <v>2.0318000000000001</v>
      </c>
      <c r="AP1009" s="315">
        <v>2.3999000000000001</v>
      </c>
      <c r="AQ1009" s="315">
        <v>1.8306</v>
      </c>
      <c r="AR1009" s="315">
        <v>2.1615000000000002</v>
      </c>
      <c r="AS1009" s="315">
        <v>1.4432</v>
      </c>
      <c r="AT1009" s="315">
        <v>2.1997</v>
      </c>
      <c r="AU1009" s="315">
        <v>2.3046000000000002</v>
      </c>
      <c r="AV1009" s="315">
        <v>2.0846</v>
      </c>
      <c r="AW1009" s="315">
        <v>1.8298000000000001</v>
      </c>
      <c r="AX1009" s="315">
        <v>1.5550999999999999</v>
      </c>
      <c r="AY1009" s="315">
        <v>1.8413999999999999</v>
      </c>
      <c r="AZ1009" s="315">
        <v>1.9911000000000001</v>
      </c>
      <c r="BA1009" s="315">
        <v>1.7867999999999999</v>
      </c>
      <c r="BB1009" s="315">
        <v>0</v>
      </c>
      <c r="BC1009" s="315">
        <v>2.0861999999999998</v>
      </c>
      <c r="BD1009" s="315">
        <v>2.3243</v>
      </c>
      <c r="BE1009" s="315">
        <v>2.4636</v>
      </c>
      <c r="BF1009" s="315">
        <v>1.9972000000000001</v>
      </c>
      <c r="BG1009" s="315">
        <v>2.1162999999999998</v>
      </c>
      <c r="BH1009" s="315">
        <v>2.2909000000000002</v>
      </c>
      <c r="BI1009" s="315">
        <v>2.3896999999999999</v>
      </c>
      <c r="BJ1009" s="315">
        <v>1.9301999999999999</v>
      </c>
      <c r="BK1009" s="315">
        <v>2.0586000000000002</v>
      </c>
    </row>
    <row r="1010" spans="1:63" x14ac:dyDescent="0.25">
      <c r="A1010" s="306">
        <v>332710</v>
      </c>
      <c r="B1010" s="315" t="s">
        <v>175</v>
      </c>
      <c r="C1010" s="315">
        <v>3.0615999999999999</v>
      </c>
      <c r="D1010" s="315">
        <v>1.6328</v>
      </c>
      <c r="E1010" s="315">
        <v>2.1467000000000001</v>
      </c>
      <c r="F1010" s="315">
        <v>1.9639</v>
      </c>
      <c r="G1010" s="315">
        <v>2.0627</v>
      </c>
      <c r="H1010" s="315">
        <v>2.3144</v>
      </c>
      <c r="I1010" s="315">
        <v>2.2440000000000002</v>
      </c>
      <c r="J1010" s="315">
        <v>2.1160000000000001</v>
      </c>
      <c r="K1010" s="315">
        <v>0</v>
      </c>
      <c r="L1010" s="315">
        <v>1.8207</v>
      </c>
      <c r="M1010" s="315">
        <v>2.0257000000000001</v>
      </c>
      <c r="N1010" s="315">
        <v>2.2151000000000001</v>
      </c>
      <c r="O1010" s="315">
        <v>1.7779</v>
      </c>
      <c r="P1010" s="315">
        <v>1.8338000000000001</v>
      </c>
      <c r="Q1010" s="315">
        <v>1.7162999999999999</v>
      </c>
      <c r="R1010" s="315">
        <v>2.5240999999999998</v>
      </c>
      <c r="S1010" s="315">
        <v>2.2239</v>
      </c>
      <c r="T1010" s="315">
        <v>1.8185</v>
      </c>
      <c r="U1010" s="315">
        <v>2.1635</v>
      </c>
      <c r="V1010" s="315">
        <v>1.9786999999999999</v>
      </c>
      <c r="W1010" s="315">
        <v>2.1261000000000001</v>
      </c>
      <c r="X1010" s="315">
        <v>1.9462999999999999</v>
      </c>
      <c r="Y1010" s="315">
        <v>1.8985000000000001</v>
      </c>
      <c r="Z1010" s="315">
        <v>2.3405999999999998</v>
      </c>
      <c r="AA1010" s="315">
        <v>2.1848999999999998</v>
      </c>
      <c r="AB1010" s="315">
        <v>2.2385999999999999</v>
      </c>
      <c r="AC1010" s="315">
        <v>1.8741000000000001</v>
      </c>
      <c r="AD1010" s="315">
        <v>1.6935</v>
      </c>
      <c r="AE1010" s="315">
        <v>2.0973000000000002</v>
      </c>
      <c r="AF1010" s="315">
        <v>1.5349999999999999</v>
      </c>
      <c r="AG1010" s="315">
        <v>1.7050000000000001</v>
      </c>
      <c r="AH1010" s="315">
        <v>2.1109</v>
      </c>
      <c r="AI1010" s="315">
        <v>2.1787999999999998</v>
      </c>
      <c r="AJ1010" s="315">
        <v>1.7174</v>
      </c>
      <c r="AK1010" s="315">
        <v>1.8448</v>
      </c>
      <c r="AL1010" s="315">
        <v>1.9744999999999999</v>
      </c>
      <c r="AM1010" s="315">
        <v>2.4497</v>
      </c>
      <c r="AN1010" s="315">
        <v>2.0869</v>
      </c>
      <c r="AO1010" s="315">
        <v>2.1678000000000002</v>
      </c>
      <c r="AP1010" s="315">
        <v>2.4904999999999999</v>
      </c>
      <c r="AQ1010" s="315">
        <v>1.9834000000000001</v>
      </c>
      <c r="AR1010" s="315">
        <v>2.1888999999999998</v>
      </c>
      <c r="AS1010" s="315">
        <v>1.6276999999999999</v>
      </c>
      <c r="AT1010" s="315">
        <v>2.3207</v>
      </c>
      <c r="AU1010" s="315">
        <v>2.4184000000000001</v>
      </c>
      <c r="AV1010" s="315">
        <v>2.3008999999999999</v>
      </c>
      <c r="AW1010" s="315">
        <v>2.1273</v>
      </c>
      <c r="AX1010" s="315">
        <v>1.7695000000000001</v>
      </c>
      <c r="AY1010" s="315">
        <v>2.0905</v>
      </c>
      <c r="AZ1010" s="315">
        <v>2.1846999999999999</v>
      </c>
      <c r="BA1010" s="315">
        <v>1.8354999999999999</v>
      </c>
      <c r="BB1010" s="315">
        <v>1.5989</v>
      </c>
      <c r="BC1010" s="315">
        <v>2.2888999999999999</v>
      </c>
      <c r="BD1010" s="315">
        <v>2.4102000000000001</v>
      </c>
      <c r="BE1010" s="315">
        <v>2.5748000000000002</v>
      </c>
      <c r="BF1010" s="315">
        <v>2.2090999999999998</v>
      </c>
      <c r="BG1010" s="315">
        <v>2.3212000000000002</v>
      </c>
      <c r="BH1010" s="315">
        <v>2.3500999999999999</v>
      </c>
      <c r="BI1010" s="315">
        <v>2.4495</v>
      </c>
      <c r="BJ1010" s="315">
        <v>2.2109000000000001</v>
      </c>
      <c r="BK1010" s="315">
        <v>2.3490000000000002</v>
      </c>
    </row>
    <row r="1011" spans="1:63" x14ac:dyDescent="0.25">
      <c r="A1011" s="306">
        <v>332720</v>
      </c>
      <c r="B1011" s="315" t="s">
        <v>176</v>
      </c>
      <c r="C1011" s="315">
        <v>2.9218000000000002</v>
      </c>
      <c r="D1011" s="315">
        <v>0</v>
      </c>
      <c r="E1011" s="315">
        <v>2.0937999999999999</v>
      </c>
      <c r="F1011" s="315">
        <v>1.929</v>
      </c>
      <c r="G1011" s="315">
        <v>1.8801000000000001</v>
      </c>
      <c r="H1011" s="315">
        <v>2.1381999999999999</v>
      </c>
      <c r="I1011" s="315">
        <v>2.0874000000000001</v>
      </c>
      <c r="J1011" s="315">
        <v>2.0451999999999999</v>
      </c>
      <c r="K1011" s="315">
        <v>0</v>
      </c>
      <c r="L1011" s="315">
        <v>1.7323</v>
      </c>
      <c r="M1011" s="315">
        <v>1.8546</v>
      </c>
      <c r="N1011" s="315">
        <v>2.0333000000000001</v>
      </c>
      <c r="O1011" s="315">
        <v>0</v>
      </c>
      <c r="P1011" s="315">
        <v>1.7763</v>
      </c>
      <c r="Q1011" s="315">
        <v>1.5976999999999999</v>
      </c>
      <c r="R1011" s="315">
        <v>2.4439000000000002</v>
      </c>
      <c r="S1011" s="315">
        <v>2.1888999999999998</v>
      </c>
      <c r="T1011" s="315">
        <v>1.6961999999999999</v>
      </c>
      <c r="U1011" s="315">
        <v>2.1490999999999998</v>
      </c>
      <c r="V1011" s="315">
        <v>1.8319000000000001</v>
      </c>
      <c r="W1011" s="315">
        <v>1.9937</v>
      </c>
      <c r="X1011" s="315">
        <v>1.8702000000000001</v>
      </c>
      <c r="Y1011" s="315">
        <v>1.7417</v>
      </c>
      <c r="Z1011" s="315">
        <v>2.2783000000000002</v>
      </c>
      <c r="AA1011" s="315">
        <v>2.0619999999999998</v>
      </c>
      <c r="AB1011" s="315">
        <v>2.0726</v>
      </c>
      <c r="AC1011" s="315">
        <v>1.8503000000000001</v>
      </c>
      <c r="AD1011" s="315">
        <v>1.5564</v>
      </c>
      <c r="AE1011" s="315">
        <v>1.9897</v>
      </c>
      <c r="AF1011" s="315">
        <v>0</v>
      </c>
      <c r="AG1011" s="315">
        <v>1.6276999999999999</v>
      </c>
      <c r="AH1011" s="315">
        <v>1.9668000000000001</v>
      </c>
      <c r="AI1011" s="315">
        <v>2.0270999999999999</v>
      </c>
      <c r="AJ1011" s="315">
        <v>1.5892999999999999</v>
      </c>
      <c r="AK1011" s="315">
        <v>1.6975</v>
      </c>
      <c r="AL1011" s="315">
        <v>1.8429</v>
      </c>
      <c r="AM1011" s="315">
        <v>2.3788</v>
      </c>
      <c r="AN1011" s="315">
        <v>2.0223</v>
      </c>
      <c r="AO1011" s="315">
        <v>2.0306000000000002</v>
      </c>
      <c r="AP1011" s="315">
        <v>2.4155000000000002</v>
      </c>
      <c r="AQ1011" s="315">
        <v>1.9057999999999999</v>
      </c>
      <c r="AR1011" s="315">
        <v>2.1324999999999998</v>
      </c>
      <c r="AS1011" s="315">
        <v>1.5170999999999999</v>
      </c>
      <c r="AT1011" s="315">
        <v>2.2248000000000001</v>
      </c>
      <c r="AU1011" s="315">
        <v>2.2513999999999998</v>
      </c>
      <c r="AV1011" s="315">
        <v>2.1515</v>
      </c>
      <c r="AW1011" s="315">
        <v>1.9135</v>
      </c>
      <c r="AX1011" s="315">
        <v>1.6505000000000001</v>
      </c>
      <c r="AY1011" s="315">
        <v>1.9089</v>
      </c>
      <c r="AZ1011" s="315">
        <v>2.0651000000000002</v>
      </c>
      <c r="BA1011" s="315">
        <v>1.7443</v>
      </c>
      <c r="BB1011" s="315">
        <v>0</v>
      </c>
      <c r="BC1011" s="315">
        <v>2.1745999999999999</v>
      </c>
      <c r="BD1011" s="315">
        <v>2.33</v>
      </c>
      <c r="BE1011" s="315">
        <v>2.4901</v>
      </c>
      <c r="BF1011" s="315">
        <v>2.0569000000000002</v>
      </c>
      <c r="BG1011" s="315">
        <v>2.1516999999999999</v>
      </c>
      <c r="BH1011" s="315">
        <v>2.2915000000000001</v>
      </c>
      <c r="BI1011" s="315">
        <v>2.3119999999999998</v>
      </c>
      <c r="BJ1011" s="315">
        <v>2.0139999999999998</v>
      </c>
      <c r="BK1011" s="315">
        <v>2.1608000000000001</v>
      </c>
    </row>
    <row r="1012" spans="1:63" x14ac:dyDescent="0.25">
      <c r="A1012" s="306">
        <v>332800</v>
      </c>
      <c r="B1012" s="315" t="s">
        <v>177</v>
      </c>
      <c r="C1012" s="315">
        <v>2.9973000000000001</v>
      </c>
      <c r="D1012" s="315">
        <v>1.5512999999999999</v>
      </c>
      <c r="E1012" s="315">
        <v>2.1219999999999999</v>
      </c>
      <c r="F1012" s="315">
        <v>1.9319999999999999</v>
      </c>
      <c r="G1012" s="315">
        <v>1.8540000000000001</v>
      </c>
      <c r="H1012" s="315">
        <v>2.1427</v>
      </c>
      <c r="I1012" s="315">
        <v>2.1234999999999999</v>
      </c>
      <c r="J1012" s="315">
        <v>2.0291000000000001</v>
      </c>
      <c r="K1012" s="315">
        <v>0</v>
      </c>
      <c r="L1012" s="315">
        <v>1.871</v>
      </c>
      <c r="M1012" s="315">
        <v>1.8620000000000001</v>
      </c>
      <c r="N1012" s="315">
        <v>2.1162000000000001</v>
      </c>
      <c r="O1012" s="315">
        <v>1.6618999999999999</v>
      </c>
      <c r="P1012" s="315">
        <v>1.7186999999999999</v>
      </c>
      <c r="Q1012" s="315">
        <v>1.6047</v>
      </c>
      <c r="R1012" s="315">
        <v>2.4750999999999999</v>
      </c>
      <c r="S1012" s="315">
        <v>2.2121</v>
      </c>
      <c r="T1012" s="315">
        <v>1.7658</v>
      </c>
      <c r="U1012" s="315">
        <v>2.1768999999999998</v>
      </c>
      <c r="V1012" s="315">
        <v>2.0297000000000001</v>
      </c>
      <c r="W1012" s="315">
        <v>1.9942</v>
      </c>
      <c r="X1012" s="315">
        <v>1.9139999999999999</v>
      </c>
      <c r="Y1012" s="315">
        <v>1.6928000000000001</v>
      </c>
      <c r="Z1012" s="315">
        <v>2.2816999999999998</v>
      </c>
      <c r="AA1012" s="315">
        <v>2.0874000000000001</v>
      </c>
      <c r="AB1012" s="315">
        <v>2.1088</v>
      </c>
      <c r="AC1012" s="315">
        <v>1.9418</v>
      </c>
      <c r="AD1012" s="315">
        <v>1.5831</v>
      </c>
      <c r="AE1012" s="315">
        <v>2.0234999999999999</v>
      </c>
      <c r="AF1012" s="315">
        <v>1.4830000000000001</v>
      </c>
      <c r="AG1012" s="315">
        <v>1.6287</v>
      </c>
      <c r="AH1012" s="315">
        <v>1.889</v>
      </c>
      <c r="AI1012" s="315">
        <v>2.1333000000000002</v>
      </c>
      <c r="AJ1012" s="315">
        <v>1.6379999999999999</v>
      </c>
      <c r="AK1012" s="315">
        <v>1.7049000000000001</v>
      </c>
      <c r="AL1012" s="315">
        <v>1.8584000000000001</v>
      </c>
      <c r="AM1012" s="315">
        <v>2.4121999999999999</v>
      </c>
      <c r="AN1012" s="315">
        <v>2.0516999999999999</v>
      </c>
      <c r="AO1012" s="315">
        <v>2.0697000000000001</v>
      </c>
      <c r="AP1012" s="315">
        <v>2.4441999999999999</v>
      </c>
      <c r="AQ1012" s="315">
        <v>1.8602000000000001</v>
      </c>
      <c r="AR1012" s="315">
        <v>2.1474000000000002</v>
      </c>
      <c r="AS1012" s="315">
        <v>1.5085999999999999</v>
      </c>
      <c r="AT1012" s="315">
        <v>2.2305999999999999</v>
      </c>
      <c r="AU1012" s="315">
        <v>2.4249999999999998</v>
      </c>
      <c r="AV1012" s="315">
        <v>2.1678999999999999</v>
      </c>
      <c r="AW1012" s="315">
        <v>1.9802999999999999</v>
      </c>
      <c r="AX1012" s="315">
        <v>1.6445000000000001</v>
      </c>
      <c r="AY1012" s="315">
        <v>1.8968</v>
      </c>
      <c r="AZ1012" s="315">
        <v>2.0179</v>
      </c>
      <c r="BA1012" s="315">
        <v>1.8766</v>
      </c>
      <c r="BB1012" s="315">
        <v>1.5383</v>
      </c>
      <c r="BC1012" s="315">
        <v>2.1463000000000001</v>
      </c>
      <c r="BD1012" s="315">
        <v>2.3734000000000002</v>
      </c>
      <c r="BE1012" s="315">
        <v>2.5139999999999998</v>
      </c>
      <c r="BF1012" s="315">
        <v>2.0596999999999999</v>
      </c>
      <c r="BG1012" s="315">
        <v>2.2183000000000002</v>
      </c>
      <c r="BH1012" s="315">
        <v>2.3334999999999999</v>
      </c>
      <c r="BI1012" s="315">
        <v>2.4847999999999999</v>
      </c>
      <c r="BJ1012" s="315">
        <v>2.0453999999999999</v>
      </c>
      <c r="BK1012" s="315">
        <v>2.1606999999999998</v>
      </c>
    </row>
    <row r="1013" spans="1:63" x14ac:dyDescent="0.25">
      <c r="A1013" s="306">
        <v>332913</v>
      </c>
      <c r="B1013" s="315" t="s">
        <v>8</v>
      </c>
      <c r="C1013" s="315">
        <v>2.7944</v>
      </c>
      <c r="D1013" s="315">
        <v>0</v>
      </c>
      <c r="E1013" s="315">
        <v>0</v>
      </c>
      <c r="F1013" s="315">
        <v>1.8967000000000001</v>
      </c>
      <c r="G1013" s="315">
        <v>1.7884</v>
      </c>
      <c r="H1013" s="315">
        <v>2.0253000000000001</v>
      </c>
      <c r="I1013" s="315">
        <v>1.8203</v>
      </c>
      <c r="J1013" s="315">
        <v>2.0154999999999998</v>
      </c>
      <c r="K1013" s="315">
        <v>0</v>
      </c>
      <c r="L1013" s="315">
        <v>1.6180000000000001</v>
      </c>
      <c r="M1013" s="315">
        <v>1.71</v>
      </c>
      <c r="N1013" s="315">
        <v>2.0436000000000001</v>
      </c>
      <c r="O1013" s="315">
        <v>0</v>
      </c>
      <c r="P1013" s="315">
        <v>0</v>
      </c>
      <c r="Q1013" s="315">
        <v>1.5275000000000001</v>
      </c>
      <c r="R1013" s="315">
        <v>2.2884000000000002</v>
      </c>
      <c r="S1013" s="315">
        <v>2.0459000000000001</v>
      </c>
      <c r="T1013" s="315">
        <v>1.6004</v>
      </c>
      <c r="U1013" s="315">
        <v>2.0413999999999999</v>
      </c>
      <c r="V1013" s="315">
        <v>0</v>
      </c>
      <c r="W1013" s="315">
        <v>2.0272000000000001</v>
      </c>
      <c r="X1013" s="315">
        <v>0</v>
      </c>
      <c r="Y1013" s="315">
        <v>0</v>
      </c>
      <c r="Z1013" s="315">
        <v>2.0428999999999999</v>
      </c>
      <c r="AA1013" s="315">
        <v>1.9228000000000001</v>
      </c>
      <c r="AB1013" s="315">
        <v>2.0011000000000001</v>
      </c>
      <c r="AC1013" s="315">
        <v>0</v>
      </c>
      <c r="AD1013" s="315">
        <v>0</v>
      </c>
      <c r="AE1013" s="315">
        <v>1.9716</v>
      </c>
      <c r="AF1013" s="315">
        <v>0</v>
      </c>
      <c r="AG1013" s="315">
        <v>0</v>
      </c>
      <c r="AH1013" s="315">
        <v>1.984</v>
      </c>
      <c r="AI1013" s="315">
        <v>1.9146000000000001</v>
      </c>
      <c r="AJ1013" s="315">
        <v>0</v>
      </c>
      <c r="AK1013" s="315">
        <v>1.56</v>
      </c>
      <c r="AL1013" s="315">
        <v>1.7503</v>
      </c>
      <c r="AM1013" s="315">
        <v>2.1734</v>
      </c>
      <c r="AN1013" s="315">
        <v>1.6956</v>
      </c>
      <c r="AO1013" s="315">
        <v>1.8421000000000001</v>
      </c>
      <c r="AP1013" s="315">
        <v>2.2991999999999999</v>
      </c>
      <c r="AQ1013" s="315">
        <v>1.9382999999999999</v>
      </c>
      <c r="AR1013" s="315">
        <v>2.0499999999999998</v>
      </c>
      <c r="AS1013" s="315">
        <v>0</v>
      </c>
      <c r="AT1013" s="315">
        <v>2.0632999999999999</v>
      </c>
      <c r="AU1013" s="315">
        <v>2.1534</v>
      </c>
      <c r="AV1013" s="315">
        <v>0</v>
      </c>
      <c r="AW1013" s="315">
        <v>1.9056</v>
      </c>
      <c r="AX1013" s="315">
        <v>0</v>
      </c>
      <c r="AY1013" s="315">
        <v>1.7302</v>
      </c>
      <c r="AZ1013" s="315">
        <v>1.9838</v>
      </c>
      <c r="BA1013" s="315">
        <v>0</v>
      </c>
      <c r="BB1013" s="315">
        <v>0</v>
      </c>
      <c r="BC1013" s="315">
        <v>2.1614</v>
      </c>
      <c r="BD1013" s="315">
        <v>2.1166</v>
      </c>
      <c r="BE1013" s="315">
        <v>2.302</v>
      </c>
      <c r="BF1013" s="315">
        <v>1.9441999999999999</v>
      </c>
      <c r="BG1013" s="315">
        <v>2.0747</v>
      </c>
      <c r="BH1013" s="315">
        <v>2.125</v>
      </c>
      <c r="BI1013" s="315">
        <v>2.1715</v>
      </c>
      <c r="BJ1013" s="315">
        <v>1.8362000000000001</v>
      </c>
      <c r="BK1013" s="315">
        <v>2.0259</v>
      </c>
    </row>
    <row r="1014" spans="1:63" x14ac:dyDescent="0.25">
      <c r="A1014" s="306" t="s">
        <v>601</v>
      </c>
      <c r="B1014" s="315" t="s">
        <v>612</v>
      </c>
      <c r="C1014" s="315">
        <v>2.7942</v>
      </c>
      <c r="D1014" s="315">
        <v>0</v>
      </c>
      <c r="E1014" s="315">
        <v>2.0402999999999998</v>
      </c>
      <c r="F1014" s="315">
        <v>1.8574999999999999</v>
      </c>
      <c r="G1014" s="315">
        <v>1.8454999999999999</v>
      </c>
      <c r="H1014" s="315">
        <v>2.0270000000000001</v>
      </c>
      <c r="I1014" s="315">
        <v>1.9020999999999999</v>
      </c>
      <c r="J1014" s="315">
        <v>1.9394</v>
      </c>
      <c r="K1014" s="315">
        <v>1.1521999999999999</v>
      </c>
      <c r="L1014" s="315">
        <v>0</v>
      </c>
      <c r="M1014" s="315">
        <v>1.7451000000000001</v>
      </c>
      <c r="N1014" s="315">
        <v>1.9127000000000001</v>
      </c>
      <c r="O1014" s="315">
        <v>0</v>
      </c>
      <c r="P1014" s="315">
        <v>1.7338</v>
      </c>
      <c r="Q1014" s="315">
        <v>1.5378000000000001</v>
      </c>
      <c r="R1014" s="315">
        <v>2.3323999999999998</v>
      </c>
      <c r="S1014" s="315">
        <v>2.1017999999999999</v>
      </c>
      <c r="T1014" s="315">
        <v>1.7</v>
      </c>
      <c r="U1014" s="315">
        <v>1.9784999999999999</v>
      </c>
      <c r="V1014" s="315">
        <v>1.7658</v>
      </c>
      <c r="W1014" s="315">
        <v>1.9238999999999999</v>
      </c>
      <c r="X1014" s="315">
        <v>1.7053</v>
      </c>
      <c r="Y1014" s="315">
        <v>1.6341000000000001</v>
      </c>
      <c r="Z1014" s="315">
        <v>2.1779000000000002</v>
      </c>
      <c r="AA1014" s="315">
        <v>2.0017</v>
      </c>
      <c r="AB1014" s="315">
        <v>2.0103</v>
      </c>
      <c r="AC1014" s="315">
        <v>1.714</v>
      </c>
      <c r="AD1014" s="315">
        <v>1.4815</v>
      </c>
      <c r="AE1014" s="315">
        <v>1.9072</v>
      </c>
      <c r="AF1014" s="315">
        <v>1.3962000000000001</v>
      </c>
      <c r="AG1014" s="315">
        <v>1.5846</v>
      </c>
      <c r="AH1014" s="315">
        <v>1.9726999999999999</v>
      </c>
      <c r="AI1014" s="315">
        <v>1.9260999999999999</v>
      </c>
      <c r="AJ1014" s="315">
        <v>1.4966999999999999</v>
      </c>
      <c r="AK1014" s="315">
        <v>1.6456999999999999</v>
      </c>
      <c r="AL1014" s="315">
        <v>1.7531000000000001</v>
      </c>
      <c r="AM1014" s="315">
        <v>2.2898000000000001</v>
      </c>
      <c r="AN1014" s="315">
        <v>1.913</v>
      </c>
      <c r="AO1014" s="315">
        <v>1.9559</v>
      </c>
      <c r="AP1014" s="315">
        <v>2.3209</v>
      </c>
      <c r="AQ1014" s="315">
        <v>1.8641000000000001</v>
      </c>
      <c r="AR1014" s="315">
        <v>2.0175000000000001</v>
      </c>
      <c r="AS1014" s="315">
        <v>1.4549000000000001</v>
      </c>
      <c r="AT1014" s="315">
        <v>2.1549</v>
      </c>
      <c r="AU1014" s="315">
        <v>2.1692999999999998</v>
      </c>
      <c r="AV1014" s="315">
        <v>2.0526</v>
      </c>
      <c r="AW1014" s="315">
        <v>1.8468</v>
      </c>
      <c r="AX1014" s="315">
        <v>1.6214</v>
      </c>
      <c r="AY1014" s="315">
        <v>1.8069999999999999</v>
      </c>
      <c r="AZ1014" s="315">
        <v>2.0419999999999998</v>
      </c>
      <c r="BA1014" s="315">
        <v>1.6534</v>
      </c>
      <c r="BB1014" s="315">
        <v>1.4184000000000001</v>
      </c>
      <c r="BC1014" s="315">
        <v>2.0802</v>
      </c>
      <c r="BD1014" s="315">
        <v>2.1764000000000001</v>
      </c>
      <c r="BE1014" s="315">
        <v>2.3917000000000002</v>
      </c>
      <c r="BF1014" s="315">
        <v>2.0164</v>
      </c>
      <c r="BG1014" s="315">
        <v>2.0106999999999999</v>
      </c>
      <c r="BH1014" s="315">
        <v>2.206</v>
      </c>
      <c r="BI1014" s="315">
        <v>2.2075999999999998</v>
      </c>
      <c r="BJ1014" s="315">
        <v>1.9282999999999999</v>
      </c>
      <c r="BK1014" s="315">
        <v>2.077</v>
      </c>
    </row>
    <row r="1015" spans="1:63" x14ac:dyDescent="0.25">
      <c r="A1015" s="306">
        <v>332991</v>
      </c>
      <c r="B1015" s="315" t="s">
        <v>178</v>
      </c>
      <c r="C1015" s="315">
        <v>2.7343000000000002</v>
      </c>
      <c r="D1015" s="315">
        <v>0</v>
      </c>
      <c r="E1015" s="315">
        <v>1.9173</v>
      </c>
      <c r="F1015" s="315">
        <v>0</v>
      </c>
      <c r="G1015" s="315">
        <v>0</v>
      </c>
      <c r="H1015" s="315">
        <v>1.9236</v>
      </c>
      <c r="I1015" s="315">
        <v>0</v>
      </c>
      <c r="J1015" s="315">
        <v>1.978</v>
      </c>
      <c r="K1015" s="315">
        <v>0</v>
      </c>
      <c r="L1015" s="315">
        <v>1.6205000000000001</v>
      </c>
      <c r="M1015" s="315">
        <v>1.6718</v>
      </c>
      <c r="N1015" s="315">
        <v>1.9895</v>
      </c>
      <c r="O1015" s="315">
        <v>0</v>
      </c>
      <c r="P1015" s="315">
        <v>1.7299</v>
      </c>
      <c r="Q1015" s="315">
        <v>0</v>
      </c>
      <c r="R1015" s="315">
        <v>2.3397000000000001</v>
      </c>
      <c r="S1015" s="315">
        <v>2.1145999999999998</v>
      </c>
      <c r="T1015" s="315">
        <v>1.5662</v>
      </c>
      <c r="U1015" s="315">
        <v>2.0505</v>
      </c>
      <c r="V1015" s="315">
        <v>0</v>
      </c>
      <c r="W1015" s="315">
        <v>1.8221000000000001</v>
      </c>
      <c r="X1015" s="315">
        <v>1.6891</v>
      </c>
      <c r="Y1015" s="315">
        <v>0</v>
      </c>
      <c r="Z1015" s="315">
        <v>2.1724999999999999</v>
      </c>
      <c r="AA1015" s="315">
        <v>0</v>
      </c>
      <c r="AB1015" s="315">
        <v>1.86</v>
      </c>
      <c r="AC1015" s="315">
        <v>1.6923999999999999</v>
      </c>
      <c r="AD1015" s="315">
        <v>0</v>
      </c>
      <c r="AE1015" s="315">
        <v>1.9291</v>
      </c>
      <c r="AF1015" s="315">
        <v>0</v>
      </c>
      <c r="AG1015" s="315">
        <v>0</v>
      </c>
      <c r="AH1015" s="315">
        <v>1.8631</v>
      </c>
      <c r="AI1015" s="315">
        <v>1.8081</v>
      </c>
      <c r="AJ1015" s="315">
        <v>0</v>
      </c>
      <c r="AK1015" s="315">
        <v>1.5904</v>
      </c>
      <c r="AL1015" s="315">
        <v>1.7216</v>
      </c>
      <c r="AM1015" s="315">
        <v>2.2751000000000001</v>
      </c>
      <c r="AN1015" s="315">
        <v>1.7726999999999999</v>
      </c>
      <c r="AO1015" s="315">
        <v>0</v>
      </c>
      <c r="AP1015" s="315">
        <v>2.2421000000000002</v>
      </c>
      <c r="AQ1015" s="315">
        <v>1.6665000000000001</v>
      </c>
      <c r="AR1015" s="315">
        <v>2.06</v>
      </c>
      <c r="AS1015" s="315">
        <v>0</v>
      </c>
      <c r="AT1015" s="315">
        <v>2.1469</v>
      </c>
      <c r="AU1015" s="315">
        <v>2.0478000000000001</v>
      </c>
      <c r="AV1015" s="315">
        <v>0</v>
      </c>
      <c r="AW1015" s="315">
        <v>1.8567</v>
      </c>
      <c r="AX1015" s="315">
        <v>0</v>
      </c>
      <c r="AY1015" s="315">
        <v>0</v>
      </c>
      <c r="AZ1015" s="315">
        <v>1.8976</v>
      </c>
      <c r="BA1015" s="315">
        <v>0</v>
      </c>
      <c r="BB1015" s="315">
        <v>1.4549000000000001</v>
      </c>
      <c r="BC1015" s="315">
        <v>2.0910000000000002</v>
      </c>
      <c r="BD1015" s="315">
        <v>2.1442000000000001</v>
      </c>
      <c r="BE1015" s="315">
        <v>2.3693</v>
      </c>
      <c r="BF1015" s="315">
        <v>1.8305</v>
      </c>
      <c r="BG1015" s="315">
        <v>2.0783999999999998</v>
      </c>
      <c r="BH1015" s="315">
        <v>2.1800999999999999</v>
      </c>
      <c r="BI1015" s="315">
        <v>2.0840999999999998</v>
      </c>
      <c r="BJ1015" s="315">
        <v>1.8096000000000001</v>
      </c>
      <c r="BK1015" s="315">
        <v>1.9353</v>
      </c>
    </row>
    <row r="1016" spans="1:63" x14ac:dyDescent="0.25">
      <c r="A1016" s="306">
        <v>332996</v>
      </c>
      <c r="B1016" s="315" t="s">
        <v>179</v>
      </c>
      <c r="C1016" s="315">
        <v>2.9904000000000002</v>
      </c>
      <c r="D1016" s="315">
        <v>1.4787999999999999</v>
      </c>
      <c r="E1016" s="315">
        <v>2.1926999999999999</v>
      </c>
      <c r="F1016" s="315">
        <v>2.0059999999999998</v>
      </c>
      <c r="G1016" s="315">
        <v>1.8401000000000001</v>
      </c>
      <c r="H1016" s="315">
        <v>2.0722</v>
      </c>
      <c r="I1016" s="315">
        <v>2.0592999999999999</v>
      </c>
      <c r="J1016" s="315">
        <v>1.9735</v>
      </c>
      <c r="K1016" s="315">
        <v>0</v>
      </c>
      <c r="L1016" s="315">
        <v>1.8572</v>
      </c>
      <c r="M1016" s="315">
        <v>1.7992999999999999</v>
      </c>
      <c r="N1016" s="315">
        <v>1.9577</v>
      </c>
      <c r="O1016" s="315">
        <v>0</v>
      </c>
      <c r="P1016" s="315">
        <v>1.7350000000000001</v>
      </c>
      <c r="Q1016" s="315">
        <v>1.5315000000000001</v>
      </c>
      <c r="R1016" s="315">
        <v>2.4533999999999998</v>
      </c>
      <c r="S1016" s="315">
        <v>2.2538999999999998</v>
      </c>
      <c r="T1016" s="315">
        <v>1.7001999999999999</v>
      </c>
      <c r="U1016" s="315">
        <v>2.0931999999999999</v>
      </c>
      <c r="V1016" s="315">
        <v>1.98</v>
      </c>
      <c r="W1016" s="315">
        <v>1.9164000000000001</v>
      </c>
      <c r="X1016" s="315">
        <v>1.8548</v>
      </c>
      <c r="Y1016" s="315">
        <v>1.6680999999999999</v>
      </c>
      <c r="Z1016" s="315">
        <v>2.3475000000000001</v>
      </c>
      <c r="AA1016" s="315">
        <v>2.0337000000000001</v>
      </c>
      <c r="AB1016" s="315">
        <v>2.0043000000000002</v>
      </c>
      <c r="AC1016" s="315">
        <v>1.8974</v>
      </c>
      <c r="AD1016" s="315">
        <v>1.4951000000000001</v>
      </c>
      <c r="AE1016" s="315">
        <v>1.9361999999999999</v>
      </c>
      <c r="AF1016" s="315">
        <v>0</v>
      </c>
      <c r="AG1016" s="315">
        <v>1.6454</v>
      </c>
      <c r="AH1016" s="315">
        <v>1.9034</v>
      </c>
      <c r="AI1016" s="315">
        <v>1.9633</v>
      </c>
      <c r="AJ1016" s="315">
        <v>1.5427</v>
      </c>
      <c r="AK1016" s="315">
        <v>1.6337999999999999</v>
      </c>
      <c r="AL1016" s="315">
        <v>1.7532000000000001</v>
      </c>
      <c r="AM1016" s="315">
        <v>2.4529999999999998</v>
      </c>
      <c r="AN1016" s="315">
        <v>2.1307</v>
      </c>
      <c r="AO1016" s="315">
        <v>2.1295999999999999</v>
      </c>
      <c r="AP1016" s="315">
        <v>2.4946999999999999</v>
      </c>
      <c r="AQ1016" s="315">
        <v>1.7641</v>
      </c>
      <c r="AR1016" s="315">
        <v>2.2170999999999998</v>
      </c>
      <c r="AS1016" s="315">
        <v>1.4495</v>
      </c>
      <c r="AT1016" s="315">
        <v>2.2637</v>
      </c>
      <c r="AU1016" s="315">
        <v>2.3757999999999999</v>
      </c>
      <c r="AV1016" s="315">
        <v>2.2418999999999998</v>
      </c>
      <c r="AW1016" s="315">
        <v>1.9065000000000001</v>
      </c>
      <c r="AX1016" s="315">
        <v>0</v>
      </c>
      <c r="AY1016" s="315">
        <v>1.8516999999999999</v>
      </c>
      <c r="AZ1016" s="315">
        <v>2.0590000000000002</v>
      </c>
      <c r="BA1016" s="315">
        <v>1.7761</v>
      </c>
      <c r="BB1016" s="315">
        <v>1.4378</v>
      </c>
      <c r="BC1016" s="315">
        <v>2.0581999999999998</v>
      </c>
      <c r="BD1016" s="315">
        <v>2.3563999999999998</v>
      </c>
      <c r="BE1016" s="315">
        <v>2.5647000000000002</v>
      </c>
      <c r="BF1016" s="315">
        <v>1.9994000000000001</v>
      </c>
      <c r="BG1016" s="315">
        <v>2.1215999999999999</v>
      </c>
      <c r="BH1016" s="315">
        <v>2.3700999999999999</v>
      </c>
      <c r="BI1016" s="315">
        <v>2.4592000000000001</v>
      </c>
      <c r="BJ1016" s="315">
        <v>1.9821</v>
      </c>
      <c r="BK1016" s="315">
        <v>2.1093000000000002</v>
      </c>
    </row>
    <row r="1017" spans="1:63" x14ac:dyDescent="0.25">
      <c r="A1017" s="306" t="s">
        <v>728</v>
      </c>
      <c r="B1017" s="315" t="s">
        <v>171</v>
      </c>
      <c r="C1017" s="315">
        <v>2.5777000000000001</v>
      </c>
      <c r="D1017" s="315">
        <v>0</v>
      </c>
      <c r="E1017" s="315">
        <v>1.8666</v>
      </c>
      <c r="F1017" s="315">
        <v>1.7739</v>
      </c>
      <c r="G1017" s="315">
        <v>0</v>
      </c>
      <c r="H1017" s="315">
        <v>1.9432</v>
      </c>
      <c r="I1017" s="315">
        <v>0</v>
      </c>
      <c r="J1017" s="315">
        <v>1.8806</v>
      </c>
      <c r="K1017" s="315">
        <v>0</v>
      </c>
      <c r="L1017" s="315">
        <v>0</v>
      </c>
      <c r="M1017" s="315">
        <v>1.7019</v>
      </c>
      <c r="N1017" s="315">
        <v>1.9297</v>
      </c>
      <c r="O1017" s="315">
        <v>0</v>
      </c>
      <c r="P1017" s="315">
        <v>1.6198999999999999</v>
      </c>
      <c r="Q1017" s="315">
        <v>1.5421</v>
      </c>
      <c r="R1017" s="315">
        <v>2.1606000000000001</v>
      </c>
      <c r="S1017" s="315">
        <v>1.9483999999999999</v>
      </c>
      <c r="T1017" s="315">
        <v>1.6385000000000001</v>
      </c>
      <c r="U1017" s="315">
        <v>1.9149</v>
      </c>
      <c r="V1017" s="315">
        <v>0</v>
      </c>
      <c r="W1017" s="315">
        <v>1.8824000000000001</v>
      </c>
      <c r="X1017" s="315">
        <v>1.6492</v>
      </c>
      <c r="Y1017" s="315">
        <v>0</v>
      </c>
      <c r="Z1017" s="315">
        <v>2.0087999999999999</v>
      </c>
      <c r="AA1017" s="315">
        <v>1.8895999999999999</v>
      </c>
      <c r="AB1017" s="315">
        <v>1.9414</v>
      </c>
      <c r="AC1017" s="315">
        <v>1.6841999999999999</v>
      </c>
      <c r="AD1017" s="315">
        <v>1.4674</v>
      </c>
      <c r="AE1017" s="315">
        <v>1.8636999999999999</v>
      </c>
      <c r="AF1017" s="315">
        <v>0</v>
      </c>
      <c r="AG1017" s="315">
        <v>1.5112000000000001</v>
      </c>
      <c r="AH1017" s="315">
        <v>0</v>
      </c>
      <c r="AI1017" s="315">
        <v>0</v>
      </c>
      <c r="AJ1017" s="315">
        <v>1.5012000000000001</v>
      </c>
      <c r="AK1017" s="315">
        <v>1.5838000000000001</v>
      </c>
      <c r="AL1017" s="315">
        <v>0</v>
      </c>
      <c r="AM1017" s="315">
        <v>2.1324000000000001</v>
      </c>
      <c r="AN1017" s="315">
        <v>0</v>
      </c>
      <c r="AO1017" s="315">
        <v>1.804</v>
      </c>
      <c r="AP1017" s="315">
        <v>2.1400999999999999</v>
      </c>
      <c r="AQ1017" s="315">
        <v>0</v>
      </c>
      <c r="AR1017" s="315">
        <v>1.9132</v>
      </c>
      <c r="AS1017" s="315">
        <v>1.4674</v>
      </c>
      <c r="AT1017" s="315">
        <v>2.0061</v>
      </c>
      <c r="AU1017" s="315">
        <v>2.0455000000000001</v>
      </c>
      <c r="AV1017" s="315">
        <v>1.8815999999999999</v>
      </c>
      <c r="AW1017" s="315">
        <v>1.8124</v>
      </c>
      <c r="AX1017" s="315">
        <v>0</v>
      </c>
      <c r="AY1017" s="315">
        <v>1.7374000000000001</v>
      </c>
      <c r="AZ1017" s="315">
        <v>1.8880999999999999</v>
      </c>
      <c r="BA1017" s="315">
        <v>1.6269</v>
      </c>
      <c r="BB1017" s="315">
        <v>0</v>
      </c>
      <c r="BC1017" s="315">
        <v>2.0249000000000001</v>
      </c>
      <c r="BD1017" s="315">
        <v>2.0598999999999998</v>
      </c>
      <c r="BE1017" s="315">
        <v>2.2124999999999999</v>
      </c>
      <c r="BF1017" s="315">
        <v>1.9059999999999999</v>
      </c>
      <c r="BG1017" s="315">
        <v>1.9815</v>
      </c>
      <c r="BH1017" s="315">
        <v>2.0520999999999998</v>
      </c>
      <c r="BI1017" s="315">
        <v>2.0743999999999998</v>
      </c>
      <c r="BJ1017" s="315">
        <v>1.8442000000000001</v>
      </c>
      <c r="BK1017" s="315">
        <v>1.9588000000000001</v>
      </c>
    </row>
    <row r="1018" spans="1:63" x14ac:dyDescent="0.25">
      <c r="A1018" s="306" t="s">
        <v>729</v>
      </c>
      <c r="B1018" s="315" t="s">
        <v>172</v>
      </c>
      <c r="C1018" s="315">
        <v>2.5764</v>
      </c>
      <c r="D1018" s="315">
        <v>0</v>
      </c>
      <c r="E1018" s="315">
        <v>1.8539000000000001</v>
      </c>
      <c r="F1018" s="315">
        <v>1.7370000000000001</v>
      </c>
      <c r="G1018" s="315">
        <v>1.7481</v>
      </c>
      <c r="H1018" s="315">
        <v>1.9693000000000001</v>
      </c>
      <c r="I1018" s="315">
        <v>1.8857999999999999</v>
      </c>
      <c r="J1018" s="315">
        <v>1.8532999999999999</v>
      </c>
      <c r="K1018" s="315">
        <v>0</v>
      </c>
      <c r="L1018" s="315">
        <v>0</v>
      </c>
      <c r="M1018" s="315">
        <v>1.7259</v>
      </c>
      <c r="N1018" s="315">
        <v>1.9205000000000001</v>
      </c>
      <c r="O1018" s="315">
        <v>0</v>
      </c>
      <c r="P1018" s="315">
        <v>1.5888</v>
      </c>
      <c r="Q1018" s="315">
        <v>1.5301</v>
      </c>
      <c r="R1018" s="315">
        <v>2.145</v>
      </c>
      <c r="S1018" s="315">
        <v>1.9209000000000001</v>
      </c>
      <c r="T1018" s="315">
        <v>1.6085</v>
      </c>
      <c r="U1018" s="315">
        <v>1.8919999999999999</v>
      </c>
      <c r="V1018" s="315">
        <v>0</v>
      </c>
      <c r="W1018" s="315">
        <v>1.8722000000000001</v>
      </c>
      <c r="X1018" s="315">
        <v>1.6854</v>
      </c>
      <c r="Y1018" s="315">
        <v>1.6463000000000001</v>
      </c>
      <c r="Z1018" s="315">
        <v>2.0024999999999999</v>
      </c>
      <c r="AA1018" s="315">
        <v>1.8832</v>
      </c>
      <c r="AB1018" s="315">
        <v>1.901</v>
      </c>
      <c r="AC1018" s="315">
        <v>1.6624000000000001</v>
      </c>
      <c r="AD1018" s="315">
        <v>1.4928999999999999</v>
      </c>
      <c r="AE1018" s="315">
        <v>1.8355999999999999</v>
      </c>
      <c r="AF1018" s="315">
        <v>0</v>
      </c>
      <c r="AG1018" s="315">
        <v>1.504</v>
      </c>
      <c r="AH1018" s="315">
        <v>1.8201000000000001</v>
      </c>
      <c r="AI1018" s="315">
        <v>1.8653</v>
      </c>
      <c r="AJ1018" s="315">
        <v>0</v>
      </c>
      <c r="AK1018" s="315">
        <v>1.5985</v>
      </c>
      <c r="AL1018" s="315">
        <v>1.7299</v>
      </c>
      <c r="AM1018" s="315">
        <v>2.1053000000000002</v>
      </c>
      <c r="AN1018" s="315">
        <v>1.7685999999999999</v>
      </c>
      <c r="AO1018" s="315">
        <v>1.8351999999999999</v>
      </c>
      <c r="AP1018" s="315">
        <v>2.1272000000000002</v>
      </c>
      <c r="AQ1018" s="315">
        <v>0</v>
      </c>
      <c r="AR1018" s="315">
        <v>1.8993</v>
      </c>
      <c r="AS1018" s="315">
        <v>1.4433</v>
      </c>
      <c r="AT1018" s="315">
        <v>2.0011000000000001</v>
      </c>
      <c r="AU1018" s="315">
        <v>2.0426000000000002</v>
      </c>
      <c r="AV1018" s="315">
        <v>1.9019999999999999</v>
      </c>
      <c r="AW1018" s="315">
        <v>1.8046</v>
      </c>
      <c r="AX1018" s="315">
        <v>1.5971</v>
      </c>
      <c r="AY1018" s="315">
        <v>1.7796000000000001</v>
      </c>
      <c r="AZ1018" s="315">
        <v>1.8918999999999999</v>
      </c>
      <c r="BA1018" s="315">
        <v>1.6093999999999999</v>
      </c>
      <c r="BB1018" s="315">
        <v>1.4244000000000001</v>
      </c>
      <c r="BC1018" s="315">
        <v>2.0099999999999998</v>
      </c>
      <c r="BD1018" s="315">
        <v>2.0663</v>
      </c>
      <c r="BE1018" s="315">
        <v>2.2010999999999998</v>
      </c>
      <c r="BF1018" s="315">
        <v>1.8835</v>
      </c>
      <c r="BG1018" s="315">
        <v>1.9818</v>
      </c>
      <c r="BH1018" s="315">
        <v>2.0413999999999999</v>
      </c>
      <c r="BI1018" s="315">
        <v>2.0830000000000002</v>
      </c>
      <c r="BJ1018" s="315">
        <v>1.8666</v>
      </c>
      <c r="BK1018" s="315">
        <v>2.008</v>
      </c>
    </row>
    <row r="1019" spans="1:63" x14ac:dyDescent="0.25">
      <c r="A1019" s="306" t="s">
        <v>600</v>
      </c>
      <c r="B1019" s="315" t="s">
        <v>7</v>
      </c>
      <c r="C1019" s="315">
        <v>2.9070999999999998</v>
      </c>
      <c r="D1019" s="315">
        <v>1.4418</v>
      </c>
      <c r="E1019" s="315">
        <v>2.1084000000000001</v>
      </c>
      <c r="F1019" s="315">
        <v>1.9589000000000001</v>
      </c>
      <c r="G1019" s="315">
        <v>1.8633</v>
      </c>
      <c r="H1019" s="315">
        <v>2.0922999999999998</v>
      </c>
      <c r="I1019" s="315">
        <v>1.9731000000000001</v>
      </c>
      <c r="J1019" s="315">
        <v>1.9662999999999999</v>
      </c>
      <c r="K1019" s="315">
        <v>0</v>
      </c>
      <c r="L1019" s="315">
        <v>0</v>
      </c>
      <c r="M1019" s="315">
        <v>1.8188</v>
      </c>
      <c r="N1019" s="315">
        <v>2.0525000000000002</v>
      </c>
      <c r="O1019" s="315">
        <v>0</v>
      </c>
      <c r="P1019" s="315">
        <v>1.7770999999999999</v>
      </c>
      <c r="Q1019" s="315">
        <v>1.5443</v>
      </c>
      <c r="R1019" s="315">
        <v>2.3662000000000001</v>
      </c>
      <c r="S1019" s="315">
        <v>2.1886000000000001</v>
      </c>
      <c r="T1019" s="315">
        <v>1.6920999999999999</v>
      </c>
      <c r="U1019" s="315">
        <v>2.145</v>
      </c>
      <c r="V1019" s="315">
        <v>1.8374999999999999</v>
      </c>
      <c r="W1019" s="315">
        <v>1.92</v>
      </c>
      <c r="X1019" s="315">
        <v>1.8093999999999999</v>
      </c>
      <c r="Y1019" s="315">
        <v>1.6516999999999999</v>
      </c>
      <c r="Z1019" s="315">
        <v>2.2431000000000001</v>
      </c>
      <c r="AA1019" s="315">
        <v>2.0207999999999999</v>
      </c>
      <c r="AB1019" s="315">
        <v>2.0941000000000001</v>
      </c>
      <c r="AC1019" s="315">
        <v>1.8644000000000001</v>
      </c>
      <c r="AD1019" s="315">
        <v>1.5015000000000001</v>
      </c>
      <c r="AE1019" s="315">
        <v>1.9513</v>
      </c>
      <c r="AF1019" s="315">
        <v>1.4320999999999999</v>
      </c>
      <c r="AG1019" s="315">
        <v>1.5782</v>
      </c>
      <c r="AH1019" s="315">
        <v>1.9244000000000001</v>
      </c>
      <c r="AI1019" s="315">
        <v>2.0125999999999999</v>
      </c>
      <c r="AJ1019" s="315">
        <v>1.5326</v>
      </c>
      <c r="AK1019" s="315">
        <v>1.6354</v>
      </c>
      <c r="AL1019" s="315">
        <v>1.7754000000000001</v>
      </c>
      <c r="AM1019" s="315">
        <v>2.3778000000000001</v>
      </c>
      <c r="AN1019" s="315">
        <v>1.9601999999999999</v>
      </c>
      <c r="AO1019" s="315">
        <v>2.0623</v>
      </c>
      <c r="AP1019" s="315">
        <v>2.395</v>
      </c>
      <c r="AQ1019" s="315">
        <v>1.806</v>
      </c>
      <c r="AR1019" s="315">
        <v>2.1162000000000001</v>
      </c>
      <c r="AS1019" s="315">
        <v>1.5266</v>
      </c>
      <c r="AT1019" s="315">
        <v>2.2168000000000001</v>
      </c>
      <c r="AU1019" s="315">
        <v>2.2856000000000001</v>
      </c>
      <c r="AV1019" s="315">
        <v>2.0985</v>
      </c>
      <c r="AW1019" s="315">
        <v>1.9286000000000001</v>
      </c>
      <c r="AX1019" s="315">
        <v>1.5989</v>
      </c>
      <c r="AY1019" s="315">
        <v>1.923</v>
      </c>
      <c r="AZ1019" s="315">
        <v>2.0339</v>
      </c>
      <c r="BA1019" s="315">
        <v>1.7862</v>
      </c>
      <c r="BB1019" s="315">
        <v>1.4274</v>
      </c>
      <c r="BC1019" s="315">
        <v>2.0684</v>
      </c>
      <c r="BD1019" s="315">
        <v>2.2722000000000002</v>
      </c>
      <c r="BE1019" s="315">
        <v>2.4756</v>
      </c>
      <c r="BF1019" s="315">
        <v>2.0798000000000001</v>
      </c>
      <c r="BG1019" s="315">
        <v>2.1423999999999999</v>
      </c>
      <c r="BH1019" s="315">
        <v>2.2919</v>
      </c>
      <c r="BI1019" s="315">
        <v>2.3559000000000001</v>
      </c>
      <c r="BJ1019" s="315">
        <v>1.9523999999999999</v>
      </c>
      <c r="BK1019" s="315">
        <v>2.1316000000000002</v>
      </c>
    </row>
    <row r="1020" spans="1:63" x14ac:dyDescent="0.25">
      <c r="A1020" s="306">
        <v>333111</v>
      </c>
      <c r="B1020" s="315" t="s">
        <v>180</v>
      </c>
      <c r="C1020" s="315">
        <v>2.8767999999999998</v>
      </c>
      <c r="D1020" s="315">
        <v>0</v>
      </c>
      <c r="E1020" s="315">
        <v>2.0609999999999999</v>
      </c>
      <c r="F1020" s="315">
        <v>1.9089</v>
      </c>
      <c r="G1020" s="315">
        <v>1.7269000000000001</v>
      </c>
      <c r="H1020" s="315">
        <v>1.9621</v>
      </c>
      <c r="I1020" s="315">
        <v>1.8924000000000001</v>
      </c>
      <c r="J1020" s="315">
        <v>0</v>
      </c>
      <c r="K1020" s="315">
        <v>0</v>
      </c>
      <c r="L1020" s="315">
        <v>0</v>
      </c>
      <c r="M1020" s="315">
        <v>1.7159</v>
      </c>
      <c r="N1020" s="315">
        <v>1.9976</v>
      </c>
      <c r="O1020" s="315">
        <v>1.4238999999999999</v>
      </c>
      <c r="P1020" s="315">
        <v>1.8395999999999999</v>
      </c>
      <c r="Q1020" s="315">
        <v>1.4681</v>
      </c>
      <c r="R1020" s="315">
        <v>2.4241999999999999</v>
      </c>
      <c r="S1020" s="315">
        <v>2.2067000000000001</v>
      </c>
      <c r="T1020" s="315">
        <v>1.6697</v>
      </c>
      <c r="U1020" s="315">
        <v>2.1286</v>
      </c>
      <c r="V1020" s="315">
        <v>1.6879</v>
      </c>
      <c r="W1020" s="315">
        <v>1.8754</v>
      </c>
      <c r="X1020" s="315">
        <v>1.73</v>
      </c>
      <c r="Y1020" s="315">
        <v>1.6257999999999999</v>
      </c>
      <c r="Z1020" s="315">
        <v>2.2526999999999999</v>
      </c>
      <c r="AA1020" s="315">
        <v>2.0044</v>
      </c>
      <c r="AB1020" s="315">
        <v>2.0718999999999999</v>
      </c>
      <c r="AC1020" s="315">
        <v>1.8580000000000001</v>
      </c>
      <c r="AD1020" s="315">
        <v>1.4063000000000001</v>
      </c>
      <c r="AE1020" s="315">
        <v>2.0137999999999998</v>
      </c>
      <c r="AF1020" s="315">
        <v>1.4382999999999999</v>
      </c>
      <c r="AG1020" s="315">
        <v>1.6445000000000001</v>
      </c>
      <c r="AH1020" s="315">
        <v>1.8689</v>
      </c>
      <c r="AI1020" s="315">
        <v>1.9128000000000001</v>
      </c>
      <c r="AJ1020" s="315">
        <v>1.4678</v>
      </c>
      <c r="AK1020" s="315">
        <v>1.5730999999999999</v>
      </c>
      <c r="AL1020" s="315">
        <v>1.7228000000000001</v>
      </c>
      <c r="AM1020" s="315">
        <v>2.3755999999999999</v>
      </c>
      <c r="AN1020" s="315">
        <v>1.9271</v>
      </c>
      <c r="AO1020" s="315">
        <v>1.9053</v>
      </c>
      <c r="AP1020" s="315">
        <v>2.3252999999999999</v>
      </c>
      <c r="AQ1020" s="315">
        <v>0</v>
      </c>
      <c r="AR1020" s="315">
        <v>2.1105</v>
      </c>
      <c r="AS1020" s="315">
        <v>1.4902</v>
      </c>
      <c r="AT1020" s="315">
        <v>2.2309000000000001</v>
      </c>
      <c r="AU1020" s="315">
        <v>2.0792000000000002</v>
      </c>
      <c r="AV1020" s="315">
        <v>2.0676000000000001</v>
      </c>
      <c r="AW1020" s="315">
        <v>1.8102</v>
      </c>
      <c r="AX1020" s="315">
        <v>0</v>
      </c>
      <c r="AY1020" s="315">
        <v>1.7191000000000001</v>
      </c>
      <c r="AZ1020" s="315">
        <v>2.1160000000000001</v>
      </c>
      <c r="BA1020" s="315">
        <v>0</v>
      </c>
      <c r="BB1020" s="315">
        <v>1.3484</v>
      </c>
      <c r="BC1020" s="315">
        <v>2.0259</v>
      </c>
      <c r="BD1020" s="315">
        <v>2.1576</v>
      </c>
      <c r="BE1020" s="315">
        <v>2.4891999999999999</v>
      </c>
      <c r="BF1020" s="315">
        <v>2.1006</v>
      </c>
      <c r="BG1020" s="315">
        <v>2.0678000000000001</v>
      </c>
      <c r="BH1020" s="315">
        <v>2.2863000000000002</v>
      </c>
      <c r="BI1020" s="315">
        <v>2.1535000000000002</v>
      </c>
      <c r="BJ1020" s="315">
        <v>1.8537999999999999</v>
      </c>
      <c r="BK1020" s="315">
        <v>1.9763999999999999</v>
      </c>
    </row>
    <row r="1021" spans="1:63" x14ac:dyDescent="0.25">
      <c r="A1021" s="306">
        <v>333112</v>
      </c>
      <c r="B1021" s="315" t="s">
        <v>181</v>
      </c>
      <c r="C1021" s="315">
        <v>2.9580000000000002</v>
      </c>
      <c r="D1021" s="315">
        <v>0</v>
      </c>
      <c r="E1021" s="315">
        <v>2.2014</v>
      </c>
      <c r="F1021" s="315">
        <v>1.8917999999999999</v>
      </c>
      <c r="G1021" s="315">
        <v>1.6539999999999999</v>
      </c>
      <c r="H1021" s="315">
        <v>1.8516999999999999</v>
      </c>
      <c r="I1021" s="315">
        <v>1.8856999999999999</v>
      </c>
      <c r="J1021" s="315">
        <v>1.8519000000000001</v>
      </c>
      <c r="K1021" s="315">
        <v>0</v>
      </c>
      <c r="L1021" s="315">
        <v>0</v>
      </c>
      <c r="M1021" s="315">
        <v>1.6326000000000001</v>
      </c>
      <c r="N1021" s="315">
        <v>1.9336</v>
      </c>
      <c r="O1021" s="315">
        <v>0</v>
      </c>
      <c r="P1021" s="315">
        <v>1.9370000000000001</v>
      </c>
      <c r="Q1021" s="315">
        <v>1.4266000000000001</v>
      </c>
      <c r="R1021" s="315">
        <v>2.4931999999999999</v>
      </c>
      <c r="S1021" s="315">
        <v>2.3031999999999999</v>
      </c>
      <c r="T1021" s="315">
        <v>1.6440999999999999</v>
      </c>
      <c r="U1021" s="315">
        <v>2.2225000000000001</v>
      </c>
      <c r="V1021" s="315">
        <v>1.6131</v>
      </c>
      <c r="W1021" s="315">
        <v>1.7604</v>
      </c>
      <c r="X1021" s="315">
        <v>1.7433000000000001</v>
      </c>
      <c r="Y1021" s="315">
        <v>1.5596000000000001</v>
      </c>
      <c r="Z1021" s="315">
        <v>2.3673000000000002</v>
      </c>
      <c r="AA1021" s="315">
        <v>1.8705000000000001</v>
      </c>
      <c r="AB1021" s="315">
        <v>2.1855000000000002</v>
      </c>
      <c r="AC1021" s="315">
        <v>1.9063000000000001</v>
      </c>
      <c r="AD1021" s="315">
        <v>0</v>
      </c>
      <c r="AE1021" s="315">
        <v>2.1036000000000001</v>
      </c>
      <c r="AF1021" s="315">
        <v>0</v>
      </c>
      <c r="AG1021" s="315">
        <v>1.6144000000000001</v>
      </c>
      <c r="AH1021" s="315">
        <v>0</v>
      </c>
      <c r="AI1021" s="315">
        <v>1.7805</v>
      </c>
      <c r="AJ1021" s="315">
        <v>0</v>
      </c>
      <c r="AK1021" s="315">
        <v>0</v>
      </c>
      <c r="AL1021" s="315">
        <v>1.7199</v>
      </c>
      <c r="AM1021" s="315">
        <v>2.4542999999999999</v>
      </c>
      <c r="AN1021" s="315">
        <v>1.9497</v>
      </c>
      <c r="AO1021" s="315">
        <v>1.8218000000000001</v>
      </c>
      <c r="AP1021" s="315">
        <v>2.2292000000000001</v>
      </c>
      <c r="AQ1021" s="315">
        <v>0</v>
      </c>
      <c r="AR1021" s="315">
        <v>2.2191999999999998</v>
      </c>
      <c r="AS1021" s="315">
        <v>1.4625999999999999</v>
      </c>
      <c r="AT1021" s="315">
        <v>2.3306</v>
      </c>
      <c r="AU1021" s="315">
        <v>1.9853000000000001</v>
      </c>
      <c r="AV1021" s="315">
        <v>2.1219999999999999</v>
      </c>
      <c r="AW1021" s="315">
        <v>1.7298</v>
      </c>
      <c r="AX1021" s="315">
        <v>0</v>
      </c>
      <c r="AY1021" s="315">
        <v>1.6448</v>
      </c>
      <c r="AZ1021" s="315">
        <v>2.2334000000000001</v>
      </c>
      <c r="BA1021" s="315">
        <v>1.6995</v>
      </c>
      <c r="BB1021" s="315">
        <v>0</v>
      </c>
      <c r="BC1021" s="315">
        <v>1.9009</v>
      </c>
      <c r="BD1021" s="315">
        <v>2.0642</v>
      </c>
      <c r="BE1021" s="315">
        <v>2.5849000000000002</v>
      </c>
      <c r="BF1021" s="315">
        <v>2.1089000000000002</v>
      </c>
      <c r="BG1021" s="315">
        <v>2.0287999999999999</v>
      </c>
      <c r="BH1021" s="315">
        <v>2.3748</v>
      </c>
      <c r="BI1021" s="315">
        <v>2.0615999999999999</v>
      </c>
      <c r="BJ1021" s="315">
        <v>1.8219000000000001</v>
      </c>
      <c r="BK1021" s="315">
        <v>1.8680000000000001</v>
      </c>
    </row>
    <row r="1022" spans="1:63" x14ac:dyDescent="0.25">
      <c r="A1022" s="306">
        <v>333120</v>
      </c>
      <c r="B1022" s="315" t="s">
        <v>182</v>
      </c>
      <c r="C1022" s="315">
        <v>2.9601999999999999</v>
      </c>
      <c r="D1022" s="315">
        <v>0</v>
      </c>
      <c r="E1022" s="315">
        <v>2.1393</v>
      </c>
      <c r="F1022" s="315">
        <v>1.9355</v>
      </c>
      <c r="G1022" s="315">
        <v>1.7605999999999999</v>
      </c>
      <c r="H1022" s="315">
        <v>1.9882</v>
      </c>
      <c r="I1022" s="315">
        <v>1.9728000000000001</v>
      </c>
      <c r="J1022" s="315">
        <v>1.9031</v>
      </c>
      <c r="K1022" s="315">
        <v>0</v>
      </c>
      <c r="L1022" s="315">
        <v>0</v>
      </c>
      <c r="M1022" s="315">
        <v>1.7435</v>
      </c>
      <c r="N1022" s="315">
        <v>2.0409999999999999</v>
      </c>
      <c r="O1022" s="315">
        <v>0</v>
      </c>
      <c r="P1022" s="315">
        <v>1.8952</v>
      </c>
      <c r="Q1022" s="315">
        <v>1.502</v>
      </c>
      <c r="R1022" s="315">
        <v>2.4830999999999999</v>
      </c>
      <c r="S1022" s="315">
        <v>2.2639999999999998</v>
      </c>
      <c r="T1022" s="315">
        <v>1.7692000000000001</v>
      </c>
      <c r="U1022" s="315">
        <v>2.1394000000000002</v>
      </c>
      <c r="V1022" s="315">
        <v>1.7461</v>
      </c>
      <c r="W1022" s="315">
        <v>1.8333999999999999</v>
      </c>
      <c r="X1022" s="315">
        <v>1.7312000000000001</v>
      </c>
      <c r="Y1022" s="315">
        <v>1.6568000000000001</v>
      </c>
      <c r="Z1022" s="315">
        <v>2.2934999999999999</v>
      </c>
      <c r="AA1022" s="315">
        <v>2.0145</v>
      </c>
      <c r="AB1022" s="315">
        <v>2.1349999999999998</v>
      </c>
      <c r="AC1022" s="315">
        <v>1.9257</v>
      </c>
      <c r="AD1022" s="315">
        <v>1.4298</v>
      </c>
      <c r="AE1022" s="315">
        <v>2.0996999999999999</v>
      </c>
      <c r="AF1022" s="315">
        <v>1.4592000000000001</v>
      </c>
      <c r="AG1022" s="315">
        <v>1.6608000000000001</v>
      </c>
      <c r="AH1022" s="315">
        <v>1.8680000000000001</v>
      </c>
      <c r="AI1022" s="315">
        <v>1.8873</v>
      </c>
      <c r="AJ1022" s="315">
        <v>1.4724999999999999</v>
      </c>
      <c r="AK1022" s="315">
        <v>0</v>
      </c>
      <c r="AL1022" s="315">
        <v>1.7402</v>
      </c>
      <c r="AM1022" s="315">
        <v>2.4521000000000002</v>
      </c>
      <c r="AN1022" s="315">
        <v>2.0472999999999999</v>
      </c>
      <c r="AO1022" s="315">
        <v>1.9498</v>
      </c>
      <c r="AP1022" s="315">
        <v>2.3544</v>
      </c>
      <c r="AQ1022" s="315">
        <v>1.6977</v>
      </c>
      <c r="AR1022" s="315">
        <v>2.1789000000000001</v>
      </c>
      <c r="AS1022" s="315">
        <v>1.5343</v>
      </c>
      <c r="AT1022" s="315">
        <v>2.2766999999999999</v>
      </c>
      <c r="AU1022" s="315">
        <v>2.1343000000000001</v>
      </c>
      <c r="AV1022" s="315">
        <v>2.1617999999999999</v>
      </c>
      <c r="AW1022" s="315">
        <v>1.8779999999999999</v>
      </c>
      <c r="AX1022" s="315">
        <v>1.5765</v>
      </c>
      <c r="AY1022" s="315">
        <v>1.7885</v>
      </c>
      <c r="AZ1022" s="315">
        <v>2.2090999999999998</v>
      </c>
      <c r="BA1022" s="315">
        <v>1.7392000000000001</v>
      </c>
      <c r="BB1022" s="315">
        <v>1.3684000000000001</v>
      </c>
      <c r="BC1022" s="315">
        <v>1.9882</v>
      </c>
      <c r="BD1022" s="315">
        <v>2.1516999999999999</v>
      </c>
      <c r="BE1022" s="315">
        <v>2.5691999999999999</v>
      </c>
      <c r="BF1022" s="315">
        <v>2.1667999999999998</v>
      </c>
      <c r="BG1022" s="315">
        <v>2.1299000000000001</v>
      </c>
      <c r="BH1022" s="315">
        <v>2.347</v>
      </c>
      <c r="BI1022" s="315">
        <v>2.2265000000000001</v>
      </c>
      <c r="BJ1022" s="315">
        <v>1.9390000000000001</v>
      </c>
      <c r="BK1022" s="315">
        <v>2.0228000000000002</v>
      </c>
    </row>
    <row r="1023" spans="1:63" x14ac:dyDescent="0.25">
      <c r="A1023" s="306">
        <v>333130</v>
      </c>
      <c r="B1023" s="315" t="s">
        <v>183</v>
      </c>
      <c r="C1023" s="315">
        <v>3.1638999999999999</v>
      </c>
      <c r="D1023" s="315">
        <v>1.4826999999999999</v>
      </c>
      <c r="E1023" s="315">
        <v>2.1966999999999999</v>
      </c>
      <c r="F1023" s="315">
        <v>1.9461999999999999</v>
      </c>
      <c r="G1023" s="315">
        <v>1.9495</v>
      </c>
      <c r="H1023" s="315">
        <v>2.2162000000000002</v>
      </c>
      <c r="I1023" s="315">
        <v>2.1823000000000001</v>
      </c>
      <c r="J1023" s="315">
        <v>2.0712999999999999</v>
      </c>
      <c r="K1023" s="315">
        <v>0</v>
      </c>
      <c r="L1023" s="315">
        <v>0</v>
      </c>
      <c r="M1023" s="315">
        <v>1.9072</v>
      </c>
      <c r="N1023" s="315">
        <v>2.1139000000000001</v>
      </c>
      <c r="O1023" s="315">
        <v>0</v>
      </c>
      <c r="P1023" s="315">
        <v>1.8559000000000001</v>
      </c>
      <c r="Q1023" s="315">
        <v>1.607</v>
      </c>
      <c r="R1023" s="315">
        <v>2.6107999999999998</v>
      </c>
      <c r="S1023" s="315">
        <v>2.3113999999999999</v>
      </c>
      <c r="T1023" s="315">
        <v>1.8072999999999999</v>
      </c>
      <c r="U1023" s="315">
        <v>2.1964999999999999</v>
      </c>
      <c r="V1023" s="315">
        <v>1.9773000000000001</v>
      </c>
      <c r="W1023" s="315">
        <v>2.0739000000000001</v>
      </c>
      <c r="X1023" s="315">
        <v>1.8849</v>
      </c>
      <c r="Y1023" s="315">
        <v>0</v>
      </c>
      <c r="Z1023" s="315">
        <v>2.4260999999999999</v>
      </c>
      <c r="AA1023" s="315">
        <v>2.1724000000000001</v>
      </c>
      <c r="AB1023" s="315">
        <v>2.1739000000000002</v>
      </c>
      <c r="AC1023" s="315">
        <v>1.9216</v>
      </c>
      <c r="AD1023" s="315">
        <v>0</v>
      </c>
      <c r="AE1023" s="315">
        <v>2.1139999999999999</v>
      </c>
      <c r="AF1023" s="315">
        <v>1.4927999999999999</v>
      </c>
      <c r="AG1023" s="315">
        <v>1.6859</v>
      </c>
      <c r="AH1023" s="315">
        <v>2.0261</v>
      </c>
      <c r="AI1023" s="315">
        <v>2.0522999999999998</v>
      </c>
      <c r="AJ1023" s="315">
        <v>1.5964</v>
      </c>
      <c r="AK1023" s="315">
        <v>1.7673000000000001</v>
      </c>
      <c r="AL1023" s="315">
        <v>1.8929</v>
      </c>
      <c r="AM1023" s="315">
        <v>2.5457000000000001</v>
      </c>
      <c r="AN1023" s="315">
        <v>2.1554000000000002</v>
      </c>
      <c r="AO1023" s="315">
        <v>2.1278000000000001</v>
      </c>
      <c r="AP1023" s="315">
        <v>2.5623999999999998</v>
      </c>
      <c r="AQ1023" s="315">
        <v>0</v>
      </c>
      <c r="AR1023" s="315">
        <v>2.2572000000000001</v>
      </c>
      <c r="AS1023" s="315">
        <v>0</v>
      </c>
      <c r="AT1023" s="315">
        <v>2.347</v>
      </c>
      <c r="AU1023" s="315">
        <v>2.4148999999999998</v>
      </c>
      <c r="AV1023" s="315">
        <v>2.3504999999999998</v>
      </c>
      <c r="AW1023" s="315">
        <v>1.9961</v>
      </c>
      <c r="AX1023" s="315">
        <v>1.6919999999999999</v>
      </c>
      <c r="AY1023" s="315">
        <v>1.9631000000000001</v>
      </c>
      <c r="AZ1023" s="315">
        <v>2.2382</v>
      </c>
      <c r="BA1023" s="315">
        <v>1.8165</v>
      </c>
      <c r="BB1023" s="315">
        <v>1.4871000000000001</v>
      </c>
      <c r="BC1023" s="315">
        <v>2.2374000000000001</v>
      </c>
      <c r="BD1023" s="315">
        <v>2.4024000000000001</v>
      </c>
      <c r="BE1023" s="315">
        <v>2.6703000000000001</v>
      </c>
      <c r="BF1023" s="315">
        <v>2.1977000000000002</v>
      </c>
      <c r="BG1023" s="315">
        <v>2.2486999999999999</v>
      </c>
      <c r="BH1023" s="315">
        <v>2.4203999999999999</v>
      </c>
      <c r="BI1023" s="315">
        <v>2.4729000000000001</v>
      </c>
      <c r="BJ1023" s="315">
        <v>2.1368</v>
      </c>
      <c r="BK1023" s="315">
        <v>2.2528000000000001</v>
      </c>
    </row>
    <row r="1024" spans="1:63" x14ac:dyDescent="0.25">
      <c r="A1024" s="306">
        <v>333220</v>
      </c>
      <c r="B1024" s="315" t="s">
        <v>185</v>
      </c>
      <c r="C1024" s="315">
        <v>3.1101000000000001</v>
      </c>
      <c r="D1024" s="315">
        <v>0</v>
      </c>
      <c r="E1024" s="315">
        <v>2.1133000000000002</v>
      </c>
      <c r="F1024" s="315">
        <v>1.9449000000000001</v>
      </c>
      <c r="G1024" s="315">
        <v>1.9888999999999999</v>
      </c>
      <c r="H1024" s="315">
        <v>2.2544</v>
      </c>
      <c r="I1024" s="315">
        <v>2.1554000000000002</v>
      </c>
      <c r="J1024" s="315">
        <v>2.1372</v>
      </c>
      <c r="K1024" s="315">
        <v>0</v>
      </c>
      <c r="L1024" s="315">
        <v>0</v>
      </c>
      <c r="M1024" s="315">
        <v>1.9536</v>
      </c>
      <c r="N1024" s="315">
        <v>2.121</v>
      </c>
      <c r="O1024" s="315">
        <v>0</v>
      </c>
      <c r="P1024" s="315">
        <v>1.8483000000000001</v>
      </c>
      <c r="Q1024" s="315">
        <v>0</v>
      </c>
      <c r="R1024" s="315">
        <v>2.5971000000000002</v>
      </c>
      <c r="S1024" s="315">
        <v>2.2323</v>
      </c>
      <c r="T1024" s="315">
        <v>1.8565</v>
      </c>
      <c r="U1024" s="315">
        <v>2.1215999999999999</v>
      </c>
      <c r="V1024" s="315">
        <v>1.9079999999999999</v>
      </c>
      <c r="W1024" s="315">
        <v>2.1373000000000002</v>
      </c>
      <c r="X1024" s="315">
        <v>1.8573</v>
      </c>
      <c r="Y1024" s="315">
        <v>0</v>
      </c>
      <c r="Z1024" s="315">
        <v>2.4045000000000001</v>
      </c>
      <c r="AA1024" s="315">
        <v>2.2334000000000001</v>
      </c>
      <c r="AB1024" s="315">
        <v>2.1472000000000002</v>
      </c>
      <c r="AC1024" s="315">
        <v>1.8635999999999999</v>
      </c>
      <c r="AD1024" s="315">
        <v>0</v>
      </c>
      <c r="AE1024" s="315">
        <v>2.1139000000000001</v>
      </c>
      <c r="AF1024" s="315">
        <v>1.4951000000000001</v>
      </c>
      <c r="AG1024" s="315">
        <v>1.7084999999999999</v>
      </c>
      <c r="AH1024" s="315">
        <v>2.0989</v>
      </c>
      <c r="AI1024" s="315">
        <v>2.1337000000000002</v>
      </c>
      <c r="AJ1024" s="315">
        <v>1.5929</v>
      </c>
      <c r="AK1024" s="315">
        <v>0</v>
      </c>
      <c r="AL1024" s="315">
        <v>1.9501999999999999</v>
      </c>
      <c r="AM1024" s="315">
        <v>2.5280999999999998</v>
      </c>
      <c r="AN1024" s="315">
        <v>2.0918999999999999</v>
      </c>
      <c r="AO1024" s="315">
        <v>2.14</v>
      </c>
      <c r="AP1024" s="315">
        <v>2.5354999999999999</v>
      </c>
      <c r="AQ1024" s="315">
        <v>1.9033</v>
      </c>
      <c r="AR1024" s="315">
        <v>2.1678999999999999</v>
      </c>
      <c r="AS1024" s="315">
        <v>0</v>
      </c>
      <c r="AT1024" s="315">
        <v>2.2919999999999998</v>
      </c>
      <c r="AU1024" s="315">
        <v>2.4001000000000001</v>
      </c>
      <c r="AV1024" s="315">
        <v>2.2846000000000002</v>
      </c>
      <c r="AW1024" s="315">
        <v>2.0794000000000001</v>
      </c>
      <c r="AX1024" s="315">
        <v>1.7236</v>
      </c>
      <c r="AY1024" s="315">
        <v>2.0299</v>
      </c>
      <c r="AZ1024" s="315">
        <v>2.2587000000000002</v>
      </c>
      <c r="BA1024" s="315">
        <v>1.7622</v>
      </c>
      <c r="BB1024" s="315">
        <v>0</v>
      </c>
      <c r="BC1024" s="315">
        <v>2.3094999999999999</v>
      </c>
      <c r="BD1024" s="315">
        <v>2.4278</v>
      </c>
      <c r="BE1024" s="315">
        <v>2.6493000000000002</v>
      </c>
      <c r="BF1024" s="315">
        <v>2.2157</v>
      </c>
      <c r="BG1024" s="315">
        <v>2.2787999999999999</v>
      </c>
      <c r="BH1024" s="315">
        <v>2.3361999999999998</v>
      </c>
      <c r="BI1024" s="315">
        <v>2.4401999999999999</v>
      </c>
      <c r="BJ1024" s="315">
        <v>2.1240000000000001</v>
      </c>
      <c r="BK1024" s="315">
        <v>2.2974999999999999</v>
      </c>
    </row>
    <row r="1025" spans="1:63" x14ac:dyDescent="0.25">
      <c r="A1025" s="306">
        <v>333295</v>
      </c>
      <c r="B1025" s="315" t="s">
        <v>186</v>
      </c>
      <c r="C1025" s="315">
        <v>2.9693000000000001</v>
      </c>
      <c r="D1025" s="315">
        <v>0</v>
      </c>
      <c r="E1025" s="315">
        <v>1.9277</v>
      </c>
      <c r="F1025" s="315">
        <v>1.8289</v>
      </c>
      <c r="G1025" s="315">
        <v>2.0114000000000001</v>
      </c>
      <c r="H1025" s="315">
        <v>2.2999000000000001</v>
      </c>
      <c r="I1025" s="315">
        <v>2.1091000000000002</v>
      </c>
      <c r="J1025" s="315">
        <v>2.1189</v>
      </c>
      <c r="K1025" s="315">
        <v>0</v>
      </c>
      <c r="L1025" s="315">
        <v>0</v>
      </c>
      <c r="M1025" s="315">
        <v>1.9393</v>
      </c>
      <c r="N1025" s="315">
        <v>2.0943999999999998</v>
      </c>
      <c r="O1025" s="315">
        <v>0</v>
      </c>
      <c r="P1025" s="315">
        <v>1.7065999999999999</v>
      </c>
      <c r="Q1025" s="315">
        <v>1.6386000000000001</v>
      </c>
      <c r="R1025" s="315">
        <v>2.3513000000000002</v>
      </c>
      <c r="S1025" s="315">
        <v>0</v>
      </c>
      <c r="T1025" s="315">
        <v>0</v>
      </c>
      <c r="U1025" s="315">
        <v>1.9888999999999999</v>
      </c>
      <c r="V1025" s="315">
        <v>0</v>
      </c>
      <c r="W1025" s="315">
        <v>2.1867999999999999</v>
      </c>
      <c r="X1025" s="315">
        <v>1.8168</v>
      </c>
      <c r="Y1025" s="315">
        <v>0</v>
      </c>
      <c r="Z1025" s="315">
        <v>2.1732</v>
      </c>
      <c r="AA1025" s="315">
        <v>2.1722000000000001</v>
      </c>
      <c r="AB1025" s="315">
        <v>0</v>
      </c>
      <c r="AC1025" s="315">
        <v>0</v>
      </c>
      <c r="AD1025" s="315">
        <v>1.6254</v>
      </c>
      <c r="AE1025" s="315">
        <v>2.0114000000000001</v>
      </c>
      <c r="AF1025" s="315">
        <v>0</v>
      </c>
      <c r="AG1025" s="315">
        <v>0</v>
      </c>
      <c r="AH1025" s="315">
        <v>2.0518000000000001</v>
      </c>
      <c r="AI1025" s="315">
        <v>2.0880999999999998</v>
      </c>
      <c r="AJ1025" s="315">
        <v>0</v>
      </c>
      <c r="AK1025" s="315">
        <v>0</v>
      </c>
      <c r="AL1025" s="315">
        <v>1.9160999999999999</v>
      </c>
      <c r="AM1025" s="315">
        <v>2.2843</v>
      </c>
      <c r="AN1025" s="315">
        <v>0</v>
      </c>
      <c r="AO1025" s="315">
        <v>2.1137999999999999</v>
      </c>
      <c r="AP1025" s="315">
        <v>2.3921000000000001</v>
      </c>
      <c r="AQ1025" s="315">
        <v>0</v>
      </c>
      <c r="AR1025" s="315">
        <v>0</v>
      </c>
      <c r="AS1025" s="315">
        <v>0</v>
      </c>
      <c r="AT1025" s="315">
        <v>2.1328</v>
      </c>
      <c r="AU1025" s="315">
        <v>2.2728000000000002</v>
      </c>
      <c r="AV1025" s="315">
        <v>2.1421999999999999</v>
      </c>
      <c r="AW1025" s="315">
        <v>2.0228000000000002</v>
      </c>
      <c r="AX1025" s="315">
        <v>1.7778</v>
      </c>
      <c r="AY1025" s="315">
        <v>0</v>
      </c>
      <c r="AZ1025" s="315">
        <v>2.0785</v>
      </c>
      <c r="BA1025" s="315">
        <v>0</v>
      </c>
      <c r="BB1025" s="315">
        <v>0</v>
      </c>
      <c r="BC1025" s="315">
        <v>2.3288000000000002</v>
      </c>
      <c r="BD1025" s="315">
        <v>2.2826</v>
      </c>
      <c r="BE1025" s="315">
        <v>2.3921999999999999</v>
      </c>
      <c r="BF1025" s="315">
        <v>2.1051000000000002</v>
      </c>
      <c r="BG1025" s="315">
        <v>2.2008999999999999</v>
      </c>
      <c r="BH1025" s="315">
        <v>2.1257999999999999</v>
      </c>
      <c r="BI1025" s="315">
        <v>2.2850000000000001</v>
      </c>
      <c r="BJ1025" s="315">
        <v>2.1379000000000001</v>
      </c>
      <c r="BK1025" s="315">
        <v>2.3220999999999998</v>
      </c>
    </row>
    <row r="1026" spans="1:63" x14ac:dyDescent="0.25">
      <c r="A1026" s="306" t="s">
        <v>730</v>
      </c>
      <c r="B1026" s="315" t="s">
        <v>184</v>
      </c>
      <c r="C1026" s="315">
        <v>3.1419000000000001</v>
      </c>
      <c r="D1026" s="315">
        <v>0</v>
      </c>
      <c r="E1026" s="315">
        <v>2.1484000000000001</v>
      </c>
      <c r="F1026" s="315">
        <v>2.0084</v>
      </c>
      <c r="G1026" s="315">
        <v>1.9790000000000001</v>
      </c>
      <c r="H1026" s="315">
        <v>2.2831999999999999</v>
      </c>
      <c r="I1026" s="315">
        <v>2.1999</v>
      </c>
      <c r="J1026" s="315">
        <v>2.1631999999999998</v>
      </c>
      <c r="K1026" s="315">
        <v>0</v>
      </c>
      <c r="L1026" s="315">
        <v>1.7851999999999999</v>
      </c>
      <c r="M1026" s="315">
        <v>1.9664999999999999</v>
      </c>
      <c r="N1026" s="315">
        <v>2.2029999999999998</v>
      </c>
      <c r="O1026" s="315">
        <v>0</v>
      </c>
      <c r="P1026" s="315">
        <v>1.8585</v>
      </c>
      <c r="Q1026" s="315">
        <v>1.6757</v>
      </c>
      <c r="R1026" s="315">
        <v>2.6110000000000002</v>
      </c>
      <c r="S1026" s="315">
        <v>2.2995000000000001</v>
      </c>
      <c r="T1026" s="315">
        <v>1.8499000000000001</v>
      </c>
      <c r="U1026" s="315">
        <v>2.2077</v>
      </c>
      <c r="V1026" s="315">
        <v>1.9581999999999999</v>
      </c>
      <c r="W1026" s="315">
        <v>2.1722999999999999</v>
      </c>
      <c r="X1026" s="315">
        <v>1.9021999999999999</v>
      </c>
      <c r="Y1026" s="315">
        <v>1.8819999999999999</v>
      </c>
      <c r="Z1026" s="315">
        <v>2.4237000000000002</v>
      </c>
      <c r="AA1026" s="315">
        <v>2.2766999999999999</v>
      </c>
      <c r="AB1026" s="315">
        <v>2.2355999999999998</v>
      </c>
      <c r="AC1026" s="315">
        <v>1.8817999999999999</v>
      </c>
      <c r="AD1026" s="315">
        <v>1.5820000000000001</v>
      </c>
      <c r="AE1026" s="315">
        <v>2.1518999999999999</v>
      </c>
      <c r="AF1026" s="315">
        <v>1.5146999999999999</v>
      </c>
      <c r="AG1026" s="315">
        <v>1.7067000000000001</v>
      </c>
      <c r="AH1026" s="315">
        <v>2.1286999999999998</v>
      </c>
      <c r="AI1026" s="315">
        <v>2.1663999999999999</v>
      </c>
      <c r="AJ1026" s="315">
        <v>1.6180000000000001</v>
      </c>
      <c r="AK1026" s="315">
        <v>1.7665999999999999</v>
      </c>
      <c r="AL1026" s="315">
        <v>1.984</v>
      </c>
      <c r="AM1026" s="315">
        <v>2.5518999999999998</v>
      </c>
      <c r="AN1026" s="315">
        <v>2.0947</v>
      </c>
      <c r="AO1026" s="315">
        <v>2.1928999999999998</v>
      </c>
      <c r="AP1026" s="315">
        <v>2.5642999999999998</v>
      </c>
      <c r="AQ1026" s="315">
        <v>1.9677</v>
      </c>
      <c r="AR1026" s="315">
        <v>2.2400000000000002</v>
      </c>
      <c r="AS1026" s="315">
        <v>1.5811999999999999</v>
      </c>
      <c r="AT1026" s="315">
        <v>2.3321999999999998</v>
      </c>
      <c r="AU1026" s="315">
        <v>2.4058999999999999</v>
      </c>
      <c r="AV1026" s="315">
        <v>2.2887</v>
      </c>
      <c r="AW1026" s="315">
        <v>2.0796000000000001</v>
      </c>
      <c r="AX1026" s="315">
        <v>1.746</v>
      </c>
      <c r="AY1026" s="315">
        <v>2.0568</v>
      </c>
      <c r="AZ1026" s="315">
        <v>2.2602000000000002</v>
      </c>
      <c r="BA1026" s="315">
        <v>1.8023</v>
      </c>
      <c r="BB1026" s="315">
        <v>1.4938</v>
      </c>
      <c r="BC1026" s="315">
        <v>2.3435999999999999</v>
      </c>
      <c r="BD1026" s="315">
        <v>2.4569999999999999</v>
      </c>
      <c r="BE1026" s="315">
        <v>2.6711</v>
      </c>
      <c r="BF1026" s="315">
        <v>2.2582</v>
      </c>
      <c r="BG1026" s="315">
        <v>2.3191999999999999</v>
      </c>
      <c r="BH1026" s="315">
        <v>2.3797999999999999</v>
      </c>
      <c r="BI1026" s="315">
        <v>2.4548999999999999</v>
      </c>
      <c r="BJ1026" s="315">
        <v>2.1335999999999999</v>
      </c>
      <c r="BK1026" s="315">
        <v>2.3243</v>
      </c>
    </row>
    <row r="1027" spans="1:63" x14ac:dyDescent="0.25">
      <c r="A1027" s="306">
        <v>333314</v>
      </c>
      <c r="B1027" s="315" t="s">
        <v>188</v>
      </c>
      <c r="C1027" s="315">
        <v>3.0649000000000002</v>
      </c>
      <c r="D1027" s="315">
        <v>0</v>
      </c>
      <c r="E1027" s="315">
        <v>2.0642</v>
      </c>
      <c r="F1027" s="315">
        <v>1.9138999999999999</v>
      </c>
      <c r="G1027" s="315">
        <v>2.0562999999999998</v>
      </c>
      <c r="H1027" s="315">
        <v>2.3561999999999999</v>
      </c>
      <c r="I1027" s="315">
        <v>2.2801999999999998</v>
      </c>
      <c r="J1027" s="315">
        <v>2.1366000000000001</v>
      </c>
      <c r="K1027" s="315">
        <v>0</v>
      </c>
      <c r="L1027" s="315">
        <v>1.8121</v>
      </c>
      <c r="M1027" s="315">
        <v>2.0851999999999999</v>
      </c>
      <c r="N1027" s="315">
        <v>2.2976999999999999</v>
      </c>
      <c r="O1027" s="315">
        <v>1.7236</v>
      </c>
      <c r="P1027" s="315">
        <v>1.7641</v>
      </c>
      <c r="Q1027" s="315">
        <v>1.7039</v>
      </c>
      <c r="R1027" s="315">
        <v>2.4653</v>
      </c>
      <c r="S1027" s="315">
        <v>2.1528</v>
      </c>
      <c r="T1027" s="315">
        <v>1.8197000000000001</v>
      </c>
      <c r="U1027" s="315">
        <v>2.1444000000000001</v>
      </c>
      <c r="V1027" s="315">
        <v>1.9274</v>
      </c>
      <c r="W1027" s="315">
        <v>2.2464</v>
      </c>
      <c r="X1027" s="315">
        <v>1.9433</v>
      </c>
      <c r="Y1027" s="315">
        <v>1.9227000000000001</v>
      </c>
      <c r="Z1027" s="315">
        <v>2.2829000000000002</v>
      </c>
      <c r="AA1027" s="315">
        <v>2.2557</v>
      </c>
      <c r="AB1027" s="315">
        <v>2.2134999999999998</v>
      </c>
      <c r="AC1027" s="315">
        <v>1.8297000000000001</v>
      </c>
      <c r="AD1027" s="315">
        <v>1.6337999999999999</v>
      </c>
      <c r="AE1027" s="315">
        <v>2.1514000000000002</v>
      </c>
      <c r="AF1027" s="315">
        <v>1.6197999999999999</v>
      </c>
      <c r="AG1027" s="315">
        <v>1.68</v>
      </c>
      <c r="AH1027" s="315">
        <v>2.1456</v>
      </c>
      <c r="AI1027" s="315">
        <v>2.3119000000000001</v>
      </c>
      <c r="AJ1027" s="315">
        <v>1.7132000000000001</v>
      </c>
      <c r="AK1027" s="315">
        <v>1.8708</v>
      </c>
      <c r="AL1027" s="315">
        <v>2.0522</v>
      </c>
      <c r="AM1027" s="315">
        <v>2.4150999999999998</v>
      </c>
      <c r="AN1027" s="315">
        <v>2.0013999999999998</v>
      </c>
      <c r="AO1027" s="315">
        <v>2.1976</v>
      </c>
      <c r="AP1027" s="315">
        <v>2.4803999999999999</v>
      </c>
      <c r="AQ1027" s="315">
        <v>1.9865999999999999</v>
      </c>
      <c r="AR1027" s="315">
        <v>0</v>
      </c>
      <c r="AS1027" s="315">
        <v>0</v>
      </c>
      <c r="AT1027" s="315">
        <v>2.2947000000000002</v>
      </c>
      <c r="AU1027" s="315">
        <v>2.4001000000000001</v>
      </c>
      <c r="AV1027" s="315">
        <v>2.2715000000000001</v>
      </c>
      <c r="AW1027" s="315">
        <v>2.1070000000000002</v>
      </c>
      <c r="AX1027" s="315">
        <v>1.7843</v>
      </c>
      <c r="AY1027" s="315">
        <v>2.1334</v>
      </c>
      <c r="AZ1027" s="315">
        <v>2.1859000000000002</v>
      </c>
      <c r="BA1027" s="315">
        <v>1.7964</v>
      </c>
      <c r="BB1027" s="315">
        <v>0</v>
      </c>
      <c r="BC1027" s="315">
        <v>2.3944999999999999</v>
      </c>
      <c r="BD1027" s="315">
        <v>2.4674</v>
      </c>
      <c r="BE1027" s="315">
        <v>2.5444</v>
      </c>
      <c r="BF1027" s="315">
        <v>2.2115</v>
      </c>
      <c r="BG1027" s="315">
        <v>2.3837999999999999</v>
      </c>
      <c r="BH1027" s="315">
        <v>2.2955000000000001</v>
      </c>
      <c r="BI1027" s="315">
        <v>2.4097</v>
      </c>
      <c r="BJ1027" s="315">
        <v>2.2200000000000002</v>
      </c>
      <c r="BK1027" s="315">
        <v>2.3900999999999999</v>
      </c>
    </row>
    <row r="1028" spans="1:63" x14ac:dyDescent="0.25">
      <c r="A1028" s="306">
        <v>333315</v>
      </c>
      <c r="B1028" s="315" t="s">
        <v>189</v>
      </c>
      <c r="C1028" s="315">
        <v>2.6486000000000001</v>
      </c>
      <c r="D1028" s="315">
        <v>0</v>
      </c>
      <c r="E1028" s="315">
        <v>1.8526</v>
      </c>
      <c r="F1028" s="315">
        <v>0</v>
      </c>
      <c r="G1028" s="315">
        <v>1.7204999999999999</v>
      </c>
      <c r="H1028" s="315">
        <v>1.9650000000000001</v>
      </c>
      <c r="I1028" s="315">
        <v>1.8927</v>
      </c>
      <c r="J1028" s="315">
        <v>1.8892</v>
      </c>
      <c r="K1028" s="315">
        <v>0</v>
      </c>
      <c r="L1028" s="315">
        <v>0</v>
      </c>
      <c r="M1028" s="315">
        <v>1.7245999999999999</v>
      </c>
      <c r="N1028" s="315">
        <v>1.9678</v>
      </c>
      <c r="O1028" s="315">
        <v>0</v>
      </c>
      <c r="P1028" s="315">
        <v>0</v>
      </c>
      <c r="Q1028" s="315">
        <v>1.5512999999999999</v>
      </c>
      <c r="R1028" s="315">
        <v>2.1356000000000002</v>
      </c>
      <c r="S1028" s="315">
        <v>1.9560999999999999</v>
      </c>
      <c r="T1028" s="315">
        <v>1.6109</v>
      </c>
      <c r="U1028" s="315">
        <v>1.9181999999999999</v>
      </c>
      <c r="V1028" s="315">
        <v>0</v>
      </c>
      <c r="W1028" s="315">
        <v>1.9612000000000001</v>
      </c>
      <c r="X1028" s="315">
        <v>1.6146</v>
      </c>
      <c r="Y1028" s="315">
        <v>1.6719999999999999</v>
      </c>
      <c r="Z1028" s="315">
        <v>2.0024999999999999</v>
      </c>
      <c r="AA1028" s="315">
        <v>1.9532</v>
      </c>
      <c r="AB1028" s="315">
        <v>1.9238</v>
      </c>
      <c r="AC1028" s="315">
        <v>0</v>
      </c>
      <c r="AD1028" s="315">
        <v>1.4339999999999999</v>
      </c>
      <c r="AE1028" s="315">
        <v>1.9256</v>
      </c>
      <c r="AF1028" s="315">
        <v>1.4126000000000001</v>
      </c>
      <c r="AG1028" s="315">
        <v>1.5046999999999999</v>
      </c>
      <c r="AH1028" s="315">
        <v>1.7912999999999999</v>
      </c>
      <c r="AI1028" s="315">
        <v>1.9422999999999999</v>
      </c>
      <c r="AJ1028" s="315">
        <v>1.5002</v>
      </c>
      <c r="AK1028" s="315">
        <v>0</v>
      </c>
      <c r="AL1028" s="315">
        <v>1.7366999999999999</v>
      </c>
      <c r="AM1028" s="315">
        <v>2.1560000000000001</v>
      </c>
      <c r="AN1028" s="315">
        <v>1.6695</v>
      </c>
      <c r="AO1028" s="315">
        <v>1.8791</v>
      </c>
      <c r="AP1028" s="315">
        <v>2.1303000000000001</v>
      </c>
      <c r="AQ1028" s="315">
        <v>0</v>
      </c>
      <c r="AR1028" s="315">
        <v>1.9331</v>
      </c>
      <c r="AS1028" s="315">
        <v>0</v>
      </c>
      <c r="AT1028" s="315">
        <v>1.9998</v>
      </c>
      <c r="AU1028" s="315">
        <v>2.1116000000000001</v>
      </c>
      <c r="AV1028" s="315">
        <v>1.9295</v>
      </c>
      <c r="AW1028" s="315">
        <v>1.8310999999999999</v>
      </c>
      <c r="AX1028" s="315">
        <v>0</v>
      </c>
      <c r="AY1028" s="315">
        <v>1.7708999999999999</v>
      </c>
      <c r="AZ1028" s="315">
        <v>1.9244000000000001</v>
      </c>
      <c r="BA1028" s="315">
        <v>0</v>
      </c>
      <c r="BB1028" s="315">
        <v>0</v>
      </c>
      <c r="BC1028" s="315">
        <v>2.0869</v>
      </c>
      <c r="BD1028" s="315">
        <v>2.0886999999999998</v>
      </c>
      <c r="BE1028" s="315">
        <v>2.2126000000000001</v>
      </c>
      <c r="BF1028" s="315">
        <v>1.9160999999999999</v>
      </c>
      <c r="BG1028" s="315">
        <v>2.0242</v>
      </c>
      <c r="BH1028" s="315">
        <v>2.0493000000000001</v>
      </c>
      <c r="BI1028" s="315">
        <v>2.1448999999999998</v>
      </c>
      <c r="BJ1028" s="315">
        <v>1.8601000000000001</v>
      </c>
      <c r="BK1028" s="315">
        <v>1.9859</v>
      </c>
    </row>
    <row r="1029" spans="1:63" x14ac:dyDescent="0.25">
      <c r="A1029" s="306">
        <v>333319</v>
      </c>
      <c r="B1029" s="315" t="s">
        <v>190</v>
      </c>
      <c r="C1029" s="315">
        <v>2.8919999999999999</v>
      </c>
      <c r="D1029" s="315">
        <v>0</v>
      </c>
      <c r="E1029" s="315">
        <v>1.9995000000000001</v>
      </c>
      <c r="F1029" s="315">
        <v>1.8958999999999999</v>
      </c>
      <c r="G1029" s="315">
        <v>1.8275999999999999</v>
      </c>
      <c r="H1029" s="315">
        <v>2.1536</v>
      </c>
      <c r="I1029" s="315">
        <v>2.0003000000000002</v>
      </c>
      <c r="J1029" s="315">
        <v>2.0104000000000002</v>
      </c>
      <c r="K1029" s="315">
        <v>0</v>
      </c>
      <c r="L1029" s="315">
        <v>0</v>
      </c>
      <c r="M1029" s="315">
        <v>1.8644000000000001</v>
      </c>
      <c r="N1029" s="315">
        <v>2.0785999999999998</v>
      </c>
      <c r="O1029" s="315">
        <v>1.5228999999999999</v>
      </c>
      <c r="P1029" s="315">
        <v>1.6972</v>
      </c>
      <c r="Q1029" s="315">
        <v>1.5581</v>
      </c>
      <c r="R1029" s="315">
        <v>2.3837999999999999</v>
      </c>
      <c r="S1029" s="315">
        <v>2.1118000000000001</v>
      </c>
      <c r="T1029" s="315">
        <v>1.7235</v>
      </c>
      <c r="U1029" s="315">
        <v>2.0720999999999998</v>
      </c>
      <c r="V1029" s="315">
        <v>1.8134999999999999</v>
      </c>
      <c r="W1029" s="315">
        <v>2.0421999999999998</v>
      </c>
      <c r="X1029" s="315">
        <v>1.7559</v>
      </c>
      <c r="Y1029" s="315">
        <v>1.7618</v>
      </c>
      <c r="Z1029" s="315">
        <v>2.1412</v>
      </c>
      <c r="AA1029" s="315">
        <v>2.0945999999999998</v>
      </c>
      <c r="AB1029" s="315">
        <v>2.0649000000000002</v>
      </c>
      <c r="AC1029" s="315">
        <v>1.7817000000000001</v>
      </c>
      <c r="AD1029" s="315">
        <v>1.4957</v>
      </c>
      <c r="AE1029" s="315">
        <v>2.0152999999999999</v>
      </c>
      <c r="AF1029" s="315">
        <v>1.4651000000000001</v>
      </c>
      <c r="AG1029" s="315">
        <v>1.6073999999999999</v>
      </c>
      <c r="AH1029" s="315">
        <v>1.9762999999999999</v>
      </c>
      <c r="AI1029" s="315">
        <v>2.0451999999999999</v>
      </c>
      <c r="AJ1029" s="315">
        <v>1.5403</v>
      </c>
      <c r="AK1029" s="315">
        <v>1.6834</v>
      </c>
      <c r="AL1029" s="315">
        <v>1.8446</v>
      </c>
      <c r="AM1029" s="315">
        <v>2.3176000000000001</v>
      </c>
      <c r="AN1029" s="315">
        <v>1.9258</v>
      </c>
      <c r="AO1029" s="315">
        <v>1.9597</v>
      </c>
      <c r="AP1029" s="315">
        <v>2.3469000000000002</v>
      </c>
      <c r="AQ1029" s="315">
        <v>1.8556999999999999</v>
      </c>
      <c r="AR1029" s="315">
        <v>2.0535999999999999</v>
      </c>
      <c r="AS1029" s="315">
        <v>1.4963</v>
      </c>
      <c r="AT1029" s="315">
        <v>2.1480000000000001</v>
      </c>
      <c r="AU1029" s="315">
        <v>2.2618999999999998</v>
      </c>
      <c r="AV1029" s="315">
        <v>2.0918999999999999</v>
      </c>
      <c r="AW1029" s="315">
        <v>1.9132</v>
      </c>
      <c r="AX1029" s="315">
        <v>1.6556999999999999</v>
      </c>
      <c r="AY1029" s="315">
        <v>1.8738999999999999</v>
      </c>
      <c r="AZ1029" s="315">
        <v>2.0849000000000002</v>
      </c>
      <c r="BA1029" s="315">
        <v>0</v>
      </c>
      <c r="BB1029" s="315">
        <v>1.4294</v>
      </c>
      <c r="BC1029" s="315">
        <v>2.1808999999999998</v>
      </c>
      <c r="BD1029" s="315">
        <v>2.2538</v>
      </c>
      <c r="BE1029" s="315">
        <v>2.4262999999999999</v>
      </c>
      <c r="BF1029" s="315">
        <v>2.0739000000000001</v>
      </c>
      <c r="BG1029" s="315">
        <v>2.1694</v>
      </c>
      <c r="BH1029" s="315">
        <v>2.206</v>
      </c>
      <c r="BI1029" s="315">
        <v>2.3018000000000001</v>
      </c>
      <c r="BJ1029" s="315">
        <v>1.9793000000000001</v>
      </c>
      <c r="BK1029" s="315">
        <v>2.1606999999999998</v>
      </c>
    </row>
    <row r="1030" spans="1:63" x14ac:dyDescent="0.25">
      <c r="A1030" s="306" t="s">
        <v>731</v>
      </c>
      <c r="B1030" s="315" t="s">
        <v>187</v>
      </c>
      <c r="C1030" s="315">
        <v>3.2158000000000002</v>
      </c>
      <c r="D1030" s="315">
        <v>0</v>
      </c>
      <c r="E1030" s="315">
        <v>2.1448</v>
      </c>
      <c r="F1030" s="315">
        <v>1.9993000000000001</v>
      </c>
      <c r="G1030" s="315">
        <v>1.9961</v>
      </c>
      <c r="H1030" s="315">
        <v>2.3401999999999998</v>
      </c>
      <c r="I1030" s="315">
        <v>2.2077</v>
      </c>
      <c r="J1030" s="315">
        <v>2.2273999999999998</v>
      </c>
      <c r="K1030" s="315">
        <v>0</v>
      </c>
      <c r="L1030" s="315">
        <v>0</v>
      </c>
      <c r="M1030" s="315">
        <v>2.0402999999999998</v>
      </c>
      <c r="N1030" s="315">
        <v>2.2847</v>
      </c>
      <c r="O1030" s="315">
        <v>0</v>
      </c>
      <c r="P1030" s="315">
        <v>1.8236000000000001</v>
      </c>
      <c r="Q1030" s="315">
        <v>1.6323000000000001</v>
      </c>
      <c r="R1030" s="315">
        <v>2.6467999999999998</v>
      </c>
      <c r="S1030" s="315">
        <v>2.2717000000000001</v>
      </c>
      <c r="T1030" s="315">
        <v>1.7956000000000001</v>
      </c>
      <c r="U1030" s="315">
        <v>2.2063000000000001</v>
      </c>
      <c r="V1030" s="315">
        <v>1.9819</v>
      </c>
      <c r="W1030" s="315">
        <v>2.2572000000000001</v>
      </c>
      <c r="X1030" s="315">
        <v>1.94</v>
      </c>
      <c r="Y1030" s="315">
        <v>0</v>
      </c>
      <c r="Z1030" s="315">
        <v>2.3567999999999998</v>
      </c>
      <c r="AA1030" s="315">
        <v>2.3271000000000002</v>
      </c>
      <c r="AB1030" s="315">
        <v>2.2867999999999999</v>
      </c>
      <c r="AC1030" s="315">
        <v>0</v>
      </c>
      <c r="AD1030" s="315">
        <v>1.5607</v>
      </c>
      <c r="AE1030" s="315">
        <v>2.2425999999999999</v>
      </c>
      <c r="AF1030" s="315">
        <v>0</v>
      </c>
      <c r="AG1030" s="315">
        <v>1.6775</v>
      </c>
      <c r="AH1030" s="315">
        <v>2.157</v>
      </c>
      <c r="AI1030" s="315">
        <v>2.2989999999999999</v>
      </c>
      <c r="AJ1030" s="315">
        <v>0</v>
      </c>
      <c r="AK1030" s="315">
        <v>0</v>
      </c>
      <c r="AL1030" s="315">
        <v>2.0184000000000002</v>
      </c>
      <c r="AM1030" s="315">
        <v>2.5236000000000001</v>
      </c>
      <c r="AN1030" s="315">
        <v>2.0533999999999999</v>
      </c>
      <c r="AO1030" s="315">
        <v>2.0636000000000001</v>
      </c>
      <c r="AP1030" s="315">
        <v>2.6164999999999998</v>
      </c>
      <c r="AQ1030" s="315">
        <v>0</v>
      </c>
      <c r="AR1030" s="315">
        <v>2.2808000000000002</v>
      </c>
      <c r="AS1030" s="315">
        <v>0</v>
      </c>
      <c r="AT1030" s="315">
        <v>2.3813</v>
      </c>
      <c r="AU1030" s="315">
        <v>2.5171999999999999</v>
      </c>
      <c r="AV1030" s="315">
        <v>2.2322000000000002</v>
      </c>
      <c r="AW1030" s="315">
        <v>2.1139999999999999</v>
      </c>
      <c r="AX1030" s="315">
        <v>0</v>
      </c>
      <c r="AY1030" s="315">
        <v>1.9833000000000001</v>
      </c>
      <c r="AZ1030" s="315">
        <v>2.2557999999999998</v>
      </c>
      <c r="BA1030" s="315">
        <v>1.7686999999999999</v>
      </c>
      <c r="BB1030" s="315">
        <v>1.4874000000000001</v>
      </c>
      <c r="BC1030" s="315">
        <v>2.4127000000000001</v>
      </c>
      <c r="BD1030" s="315">
        <v>2.5186000000000002</v>
      </c>
      <c r="BE1030" s="315">
        <v>2.6966999999999999</v>
      </c>
      <c r="BF1030" s="315">
        <v>2.262</v>
      </c>
      <c r="BG1030" s="315">
        <v>2.4213</v>
      </c>
      <c r="BH1030" s="315">
        <v>2.4036</v>
      </c>
      <c r="BI1030" s="315">
        <v>2.5491000000000001</v>
      </c>
      <c r="BJ1030" s="315">
        <v>2.1520000000000001</v>
      </c>
      <c r="BK1030" s="315">
        <v>2.3267000000000002</v>
      </c>
    </row>
    <row r="1031" spans="1:63" x14ac:dyDescent="0.25">
      <c r="A1031" s="306">
        <v>333414</v>
      </c>
      <c r="B1031" s="315" t="s">
        <v>5</v>
      </c>
      <c r="C1031" s="315">
        <v>3.04</v>
      </c>
      <c r="D1031" s="315">
        <v>1.5075000000000001</v>
      </c>
      <c r="E1031" s="315">
        <v>2.1137999999999999</v>
      </c>
      <c r="F1031" s="315">
        <v>0</v>
      </c>
      <c r="G1031" s="315">
        <v>1.8912</v>
      </c>
      <c r="H1031" s="315">
        <v>2.1602000000000001</v>
      </c>
      <c r="I1031" s="315">
        <v>2.0459999999999998</v>
      </c>
      <c r="J1031" s="315">
        <v>2.0392999999999999</v>
      </c>
      <c r="K1031" s="315">
        <v>0</v>
      </c>
      <c r="L1031" s="315">
        <v>1.7982</v>
      </c>
      <c r="M1031" s="315">
        <v>1.8641000000000001</v>
      </c>
      <c r="N1031" s="315">
        <v>2.1617000000000002</v>
      </c>
      <c r="O1031" s="315">
        <v>1.5580000000000001</v>
      </c>
      <c r="P1031" s="315">
        <v>1.7712000000000001</v>
      </c>
      <c r="Q1031" s="315">
        <v>1.5833999999999999</v>
      </c>
      <c r="R1031" s="315">
        <v>2.5314000000000001</v>
      </c>
      <c r="S1031" s="315">
        <v>2.2374000000000001</v>
      </c>
      <c r="T1031" s="315">
        <v>1.7646999999999999</v>
      </c>
      <c r="U1031" s="315">
        <v>2.113</v>
      </c>
      <c r="V1031" s="315">
        <v>1.8947000000000001</v>
      </c>
      <c r="W1031" s="315">
        <v>2.0747</v>
      </c>
      <c r="X1031" s="315">
        <v>1.8863000000000001</v>
      </c>
      <c r="Y1031" s="315">
        <v>1.7662</v>
      </c>
      <c r="Z1031" s="315">
        <v>2.3422999999999998</v>
      </c>
      <c r="AA1031" s="315">
        <v>2.2113</v>
      </c>
      <c r="AB1031" s="315">
        <v>2.1777000000000002</v>
      </c>
      <c r="AC1031" s="315">
        <v>1.8588</v>
      </c>
      <c r="AD1031" s="315">
        <v>0</v>
      </c>
      <c r="AE1031" s="315">
        <v>2.0646</v>
      </c>
      <c r="AF1031" s="315">
        <v>1.4576</v>
      </c>
      <c r="AG1031" s="315">
        <v>1.6405000000000001</v>
      </c>
      <c r="AH1031" s="315">
        <v>1.9934000000000001</v>
      </c>
      <c r="AI1031" s="315">
        <v>2.1143999999999998</v>
      </c>
      <c r="AJ1031" s="315">
        <v>1.5774999999999999</v>
      </c>
      <c r="AK1031" s="315">
        <v>1.71</v>
      </c>
      <c r="AL1031" s="315">
        <v>1.8453999999999999</v>
      </c>
      <c r="AM1031" s="315">
        <v>2.4649999999999999</v>
      </c>
      <c r="AN1031" s="315">
        <v>2.0283000000000002</v>
      </c>
      <c r="AO1031" s="315">
        <v>2.0989</v>
      </c>
      <c r="AP1031" s="315">
        <v>2.4552999999999998</v>
      </c>
      <c r="AQ1031" s="315">
        <v>1.8774</v>
      </c>
      <c r="AR1031" s="315">
        <v>2.0952000000000002</v>
      </c>
      <c r="AS1031" s="315">
        <v>1.4734</v>
      </c>
      <c r="AT1031" s="315">
        <v>2.3026</v>
      </c>
      <c r="AU1031" s="315">
        <v>2.3325999999999998</v>
      </c>
      <c r="AV1031" s="315">
        <v>2.2155</v>
      </c>
      <c r="AW1031" s="315">
        <v>1.9914000000000001</v>
      </c>
      <c r="AX1031" s="315">
        <v>1.6451</v>
      </c>
      <c r="AY1031" s="315">
        <v>1.9402999999999999</v>
      </c>
      <c r="AZ1031" s="315">
        <v>2.1522000000000001</v>
      </c>
      <c r="BA1031" s="315">
        <v>0</v>
      </c>
      <c r="BB1031" s="315">
        <v>0</v>
      </c>
      <c r="BC1031" s="315">
        <v>2.2197</v>
      </c>
      <c r="BD1031" s="315">
        <v>2.3595000000000002</v>
      </c>
      <c r="BE1031" s="315">
        <v>2.5823999999999998</v>
      </c>
      <c r="BF1031" s="315">
        <v>2.1652</v>
      </c>
      <c r="BG1031" s="315">
        <v>2.2086999999999999</v>
      </c>
      <c r="BH1031" s="315">
        <v>2.3247</v>
      </c>
      <c r="BI1031" s="315">
        <v>2.3835000000000002</v>
      </c>
      <c r="BJ1031" s="315">
        <v>2.0390999999999999</v>
      </c>
      <c r="BK1031" s="315">
        <v>2.2029000000000001</v>
      </c>
    </row>
    <row r="1032" spans="1:63" x14ac:dyDescent="0.25">
      <c r="A1032" s="306">
        <v>333415</v>
      </c>
      <c r="B1032" s="315" t="s">
        <v>192</v>
      </c>
      <c r="C1032" s="315">
        <v>2.8673000000000002</v>
      </c>
      <c r="D1032" s="315">
        <v>0</v>
      </c>
      <c r="E1032" s="315">
        <v>2.0577000000000001</v>
      </c>
      <c r="F1032" s="315">
        <v>1.9659</v>
      </c>
      <c r="G1032" s="315">
        <v>1.8117000000000001</v>
      </c>
      <c r="H1032" s="315">
        <v>1.9669000000000001</v>
      </c>
      <c r="I1032" s="315">
        <v>1.9500999999999999</v>
      </c>
      <c r="J1032" s="315">
        <v>1.9057999999999999</v>
      </c>
      <c r="K1032" s="315">
        <v>0</v>
      </c>
      <c r="L1032" s="315">
        <v>1.6341000000000001</v>
      </c>
      <c r="M1032" s="315">
        <v>1.7552000000000001</v>
      </c>
      <c r="N1032" s="315">
        <v>2.1067999999999998</v>
      </c>
      <c r="O1032" s="315">
        <v>0</v>
      </c>
      <c r="P1032" s="315">
        <v>1.7929999999999999</v>
      </c>
      <c r="Q1032" s="315">
        <v>1.5025999999999999</v>
      </c>
      <c r="R1032" s="315">
        <v>2.343</v>
      </c>
      <c r="S1032" s="315">
        <v>2.1907999999999999</v>
      </c>
      <c r="T1032" s="315">
        <v>1.7828999999999999</v>
      </c>
      <c r="U1032" s="315">
        <v>2.1240999999999999</v>
      </c>
      <c r="V1032" s="315">
        <v>1.7558</v>
      </c>
      <c r="W1032" s="315">
        <v>1.9011</v>
      </c>
      <c r="X1032" s="315">
        <v>1.7314000000000001</v>
      </c>
      <c r="Y1032" s="315">
        <v>1.6278999999999999</v>
      </c>
      <c r="Z1032" s="315">
        <v>2.2118000000000002</v>
      </c>
      <c r="AA1032" s="315">
        <v>2.0981999999999998</v>
      </c>
      <c r="AB1032" s="315">
        <v>2.1271</v>
      </c>
      <c r="AC1032" s="315">
        <v>1.8614999999999999</v>
      </c>
      <c r="AD1032" s="315">
        <v>0</v>
      </c>
      <c r="AE1032" s="315">
        <v>1.9926999999999999</v>
      </c>
      <c r="AF1032" s="315">
        <v>1.4521999999999999</v>
      </c>
      <c r="AG1032" s="315">
        <v>1.5634999999999999</v>
      </c>
      <c r="AH1032" s="315">
        <v>1.9398</v>
      </c>
      <c r="AI1032" s="315">
        <v>1.9363999999999999</v>
      </c>
      <c r="AJ1032" s="315">
        <v>1.4512</v>
      </c>
      <c r="AK1032" s="315">
        <v>1.5843</v>
      </c>
      <c r="AL1032" s="315">
        <v>1.7766</v>
      </c>
      <c r="AM1032" s="315">
        <v>2.3894000000000002</v>
      </c>
      <c r="AN1032" s="315">
        <v>1.9825999999999999</v>
      </c>
      <c r="AO1032" s="315">
        <v>1.8979999999999999</v>
      </c>
      <c r="AP1032" s="315">
        <v>2.3685</v>
      </c>
      <c r="AQ1032" s="315">
        <v>1.7372000000000001</v>
      </c>
      <c r="AR1032" s="315">
        <v>2.1349</v>
      </c>
      <c r="AS1032" s="315">
        <v>1.4458</v>
      </c>
      <c r="AT1032" s="315">
        <v>2.2286999999999999</v>
      </c>
      <c r="AU1032" s="315">
        <v>2.2262</v>
      </c>
      <c r="AV1032" s="315">
        <v>1.9918</v>
      </c>
      <c r="AW1032" s="315">
        <v>1.9651000000000001</v>
      </c>
      <c r="AX1032" s="315">
        <v>1.5434000000000001</v>
      </c>
      <c r="AY1032" s="315">
        <v>1.7892999999999999</v>
      </c>
      <c r="AZ1032" s="315">
        <v>2.0994000000000002</v>
      </c>
      <c r="BA1032" s="315">
        <v>0</v>
      </c>
      <c r="BB1032" s="315">
        <v>0</v>
      </c>
      <c r="BC1032" s="315">
        <v>2.0333999999999999</v>
      </c>
      <c r="BD1032" s="315">
        <v>2.1998000000000002</v>
      </c>
      <c r="BE1032" s="315">
        <v>2.4845000000000002</v>
      </c>
      <c r="BF1032" s="315">
        <v>2.1295999999999999</v>
      </c>
      <c r="BG1032" s="315">
        <v>2.1438999999999999</v>
      </c>
      <c r="BH1032" s="315">
        <v>2.2776999999999998</v>
      </c>
      <c r="BI1032" s="315">
        <v>2.2881999999999998</v>
      </c>
      <c r="BJ1032" s="315">
        <v>1.8869</v>
      </c>
      <c r="BK1032" s="315">
        <v>1.9930000000000001</v>
      </c>
    </row>
    <row r="1033" spans="1:63" x14ac:dyDescent="0.25">
      <c r="A1033" s="306" t="s">
        <v>599</v>
      </c>
      <c r="B1033" s="315" t="s">
        <v>191</v>
      </c>
      <c r="C1033" s="315">
        <v>3.0646</v>
      </c>
      <c r="D1033" s="315">
        <v>0</v>
      </c>
      <c r="E1033" s="315">
        <v>2.1629999999999998</v>
      </c>
      <c r="F1033" s="315">
        <v>2.0659000000000001</v>
      </c>
      <c r="G1033" s="315">
        <v>1.8908</v>
      </c>
      <c r="H1033" s="315">
        <v>2.1044</v>
      </c>
      <c r="I1033" s="315">
        <v>2.0446</v>
      </c>
      <c r="J1033" s="315">
        <v>2.0733999999999999</v>
      </c>
      <c r="K1033" s="315">
        <v>0</v>
      </c>
      <c r="L1033" s="315">
        <v>0</v>
      </c>
      <c r="M1033" s="315">
        <v>1.8802000000000001</v>
      </c>
      <c r="N1033" s="315">
        <v>2.2197</v>
      </c>
      <c r="O1033" s="315">
        <v>1.5419</v>
      </c>
      <c r="P1033" s="315">
        <v>1.7989999999999999</v>
      </c>
      <c r="Q1033" s="315">
        <v>1.5770999999999999</v>
      </c>
      <c r="R1033" s="315">
        <v>2.4832999999999998</v>
      </c>
      <c r="S1033" s="315">
        <v>2.2486000000000002</v>
      </c>
      <c r="T1033" s="315">
        <v>1.7814000000000001</v>
      </c>
      <c r="U1033" s="315">
        <v>2.1989999999999998</v>
      </c>
      <c r="V1033" s="315">
        <v>1.8392999999999999</v>
      </c>
      <c r="W1033" s="315">
        <v>2.0663</v>
      </c>
      <c r="X1033" s="315">
        <v>1.7892999999999999</v>
      </c>
      <c r="Y1033" s="315">
        <v>0</v>
      </c>
      <c r="Z1033" s="315">
        <v>2.2652000000000001</v>
      </c>
      <c r="AA1033" s="315">
        <v>2.109</v>
      </c>
      <c r="AB1033" s="315">
        <v>2.2031000000000001</v>
      </c>
      <c r="AC1033" s="315">
        <v>1.9212</v>
      </c>
      <c r="AD1033" s="315">
        <v>0</v>
      </c>
      <c r="AE1033" s="315">
        <v>2.1772999999999998</v>
      </c>
      <c r="AF1033" s="315">
        <v>0</v>
      </c>
      <c r="AG1033" s="315">
        <v>1.6609</v>
      </c>
      <c r="AH1033" s="315">
        <v>2.0301999999999998</v>
      </c>
      <c r="AI1033" s="315">
        <v>2.0950000000000002</v>
      </c>
      <c r="AJ1033" s="315">
        <v>1.5259</v>
      </c>
      <c r="AK1033" s="315">
        <v>1.7020999999999999</v>
      </c>
      <c r="AL1033" s="315">
        <v>1.8859999999999999</v>
      </c>
      <c r="AM1033" s="315">
        <v>2.4958</v>
      </c>
      <c r="AN1033" s="315">
        <v>2.0413999999999999</v>
      </c>
      <c r="AO1033" s="315">
        <v>2.0085999999999999</v>
      </c>
      <c r="AP1033" s="315">
        <v>2.4765000000000001</v>
      </c>
      <c r="AQ1033" s="315">
        <v>0</v>
      </c>
      <c r="AR1033" s="315">
        <v>2.2357</v>
      </c>
      <c r="AS1033" s="315">
        <v>1.5048999999999999</v>
      </c>
      <c r="AT1033" s="315">
        <v>2.3136000000000001</v>
      </c>
      <c r="AU1033" s="315">
        <v>2.3166000000000002</v>
      </c>
      <c r="AV1033" s="315">
        <v>2.1503000000000001</v>
      </c>
      <c r="AW1033" s="315">
        <v>2.048</v>
      </c>
      <c r="AX1033" s="315">
        <v>1.6498999999999999</v>
      </c>
      <c r="AY1033" s="315">
        <v>1.8911</v>
      </c>
      <c r="AZ1033" s="315">
        <v>2.1779999999999999</v>
      </c>
      <c r="BA1033" s="315">
        <v>0</v>
      </c>
      <c r="BB1033" s="315">
        <v>1.4439</v>
      </c>
      <c r="BC1033" s="315">
        <v>2.2339000000000002</v>
      </c>
      <c r="BD1033" s="315">
        <v>2.3464</v>
      </c>
      <c r="BE1033" s="315">
        <v>2.5910000000000002</v>
      </c>
      <c r="BF1033" s="315">
        <v>2.1703000000000001</v>
      </c>
      <c r="BG1033" s="315">
        <v>2.3056000000000001</v>
      </c>
      <c r="BH1033" s="315">
        <v>2.3847</v>
      </c>
      <c r="BI1033" s="315">
        <v>2.3919000000000001</v>
      </c>
      <c r="BJ1033" s="315">
        <v>2.0158999999999998</v>
      </c>
      <c r="BK1033" s="315">
        <v>2.1255000000000002</v>
      </c>
    </row>
    <row r="1034" spans="1:63" x14ac:dyDescent="0.25">
      <c r="A1034" s="306">
        <v>333511</v>
      </c>
      <c r="B1034" s="315" t="s">
        <v>193</v>
      </c>
      <c r="C1034" s="315">
        <v>3.1391</v>
      </c>
      <c r="D1034" s="315">
        <v>0</v>
      </c>
      <c r="E1034" s="315">
        <v>2.1894999999999998</v>
      </c>
      <c r="F1034" s="315">
        <v>2.0297999999999998</v>
      </c>
      <c r="G1034" s="315">
        <v>2.0627</v>
      </c>
      <c r="H1034" s="315">
        <v>2.3371</v>
      </c>
      <c r="I1034" s="315">
        <v>2.2843</v>
      </c>
      <c r="J1034" s="315">
        <v>2.1398000000000001</v>
      </c>
      <c r="K1034" s="315">
        <v>0</v>
      </c>
      <c r="L1034" s="315">
        <v>0</v>
      </c>
      <c r="M1034" s="315">
        <v>2.0541</v>
      </c>
      <c r="N1034" s="315">
        <v>2.2625000000000002</v>
      </c>
      <c r="O1034" s="315">
        <v>0</v>
      </c>
      <c r="P1034" s="315">
        <v>1.8559000000000001</v>
      </c>
      <c r="Q1034" s="315">
        <v>1.7442</v>
      </c>
      <c r="R1034" s="315">
        <v>2.5815999999999999</v>
      </c>
      <c r="S1034" s="315">
        <v>2.2879999999999998</v>
      </c>
      <c r="T1034" s="315">
        <v>1.8222</v>
      </c>
      <c r="U1034" s="315">
        <v>2.2290000000000001</v>
      </c>
      <c r="V1034" s="315">
        <v>1.9734</v>
      </c>
      <c r="W1034" s="315">
        <v>2.1686999999999999</v>
      </c>
      <c r="X1034" s="315">
        <v>2.0081000000000002</v>
      </c>
      <c r="Y1034" s="315">
        <v>1.9497</v>
      </c>
      <c r="Z1034" s="315">
        <v>2.3963000000000001</v>
      </c>
      <c r="AA1034" s="315">
        <v>2.2581000000000002</v>
      </c>
      <c r="AB1034" s="315">
        <v>2.2742</v>
      </c>
      <c r="AC1034" s="315">
        <v>1.9251</v>
      </c>
      <c r="AD1034" s="315">
        <v>0</v>
      </c>
      <c r="AE1034" s="315">
        <v>2.1257999999999999</v>
      </c>
      <c r="AF1034" s="315">
        <v>0</v>
      </c>
      <c r="AG1034" s="315">
        <v>1.7702</v>
      </c>
      <c r="AH1034" s="315">
        <v>2.1175000000000002</v>
      </c>
      <c r="AI1034" s="315">
        <v>2.2046999999999999</v>
      </c>
      <c r="AJ1034" s="315">
        <v>1.71</v>
      </c>
      <c r="AK1034" s="315">
        <v>1.8709</v>
      </c>
      <c r="AL1034" s="315">
        <v>2.0078</v>
      </c>
      <c r="AM1034" s="315">
        <v>2.5150999999999999</v>
      </c>
      <c r="AN1034" s="315">
        <v>2.0943000000000001</v>
      </c>
      <c r="AO1034" s="315">
        <v>2.2063000000000001</v>
      </c>
      <c r="AP1034" s="315">
        <v>2.5520999999999998</v>
      </c>
      <c r="AQ1034" s="315">
        <v>1.9952000000000001</v>
      </c>
      <c r="AR1034" s="315">
        <v>2.2330999999999999</v>
      </c>
      <c r="AS1034" s="315">
        <v>1.6225000000000001</v>
      </c>
      <c r="AT1034" s="315">
        <v>2.3591000000000002</v>
      </c>
      <c r="AU1034" s="315">
        <v>2.4247999999999998</v>
      </c>
      <c r="AV1034" s="315">
        <v>2.3574000000000002</v>
      </c>
      <c r="AW1034" s="315">
        <v>2.1351</v>
      </c>
      <c r="AX1034" s="315">
        <v>1.7937000000000001</v>
      </c>
      <c r="AY1034" s="315">
        <v>2.1183000000000001</v>
      </c>
      <c r="AZ1034" s="315">
        <v>2.2147000000000001</v>
      </c>
      <c r="BA1034" s="315">
        <v>1.8678999999999999</v>
      </c>
      <c r="BB1034" s="315">
        <v>0</v>
      </c>
      <c r="BC1034" s="315">
        <v>2.3399000000000001</v>
      </c>
      <c r="BD1034" s="315">
        <v>2.4912999999999998</v>
      </c>
      <c r="BE1034" s="315">
        <v>2.6387</v>
      </c>
      <c r="BF1034" s="315">
        <v>2.2483</v>
      </c>
      <c r="BG1034" s="315">
        <v>2.3671000000000002</v>
      </c>
      <c r="BH1034" s="315">
        <v>2.4039999999999999</v>
      </c>
      <c r="BI1034" s="315">
        <v>2.4643000000000002</v>
      </c>
      <c r="BJ1034" s="315">
        <v>2.2235999999999998</v>
      </c>
      <c r="BK1034" s="315">
        <v>2.3761000000000001</v>
      </c>
    </row>
    <row r="1035" spans="1:63" x14ac:dyDescent="0.25">
      <c r="A1035" s="306">
        <v>333514</v>
      </c>
      <c r="B1035" s="315" t="s">
        <v>195</v>
      </c>
      <c r="C1035" s="315">
        <v>3.1494</v>
      </c>
      <c r="D1035" s="315">
        <v>0</v>
      </c>
      <c r="E1035" s="315">
        <v>2.1619000000000002</v>
      </c>
      <c r="F1035" s="315">
        <v>1.9976</v>
      </c>
      <c r="G1035" s="315">
        <v>2.0421</v>
      </c>
      <c r="H1035" s="315">
        <v>2.3077999999999999</v>
      </c>
      <c r="I1035" s="315">
        <v>2.2831999999999999</v>
      </c>
      <c r="J1035" s="315">
        <v>2.1539000000000001</v>
      </c>
      <c r="K1035" s="315">
        <v>0</v>
      </c>
      <c r="L1035" s="315">
        <v>0</v>
      </c>
      <c r="M1035" s="315">
        <v>2.0264000000000002</v>
      </c>
      <c r="N1035" s="315">
        <v>2.1892999999999998</v>
      </c>
      <c r="O1035" s="315">
        <v>0</v>
      </c>
      <c r="P1035" s="315">
        <v>1.8409</v>
      </c>
      <c r="Q1035" s="315">
        <v>1.7087000000000001</v>
      </c>
      <c r="R1035" s="315">
        <v>2.6002000000000001</v>
      </c>
      <c r="S1035" s="315">
        <v>2.2921</v>
      </c>
      <c r="T1035" s="315">
        <v>1.8127</v>
      </c>
      <c r="U1035" s="315">
        <v>2.2021999999999999</v>
      </c>
      <c r="V1035" s="315">
        <v>1.9562999999999999</v>
      </c>
      <c r="W1035" s="315">
        <v>2.1528</v>
      </c>
      <c r="X1035" s="315">
        <v>1.9619</v>
      </c>
      <c r="Y1035" s="315">
        <v>1.9515</v>
      </c>
      <c r="Z1035" s="315">
        <v>2.4182000000000001</v>
      </c>
      <c r="AA1035" s="315">
        <v>2.2349000000000001</v>
      </c>
      <c r="AB1035" s="315">
        <v>2.2456999999999998</v>
      </c>
      <c r="AC1035" s="315">
        <v>1.9000999999999999</v>
      </c>
      <c r="AD1035" s="315">
        <v>0</v>
      </c>
      <c r="AE1035" s="315">
        <v>2.0855000000000001</v>
      </c>
      <c r="AF1035" s="315">
        <v>1.5537000000000001</v>
      </c>
      <c r="AG1035" s="315">
        <v>1.7578</v>
      </c>
      <c r="AH1035" s="315">
        <v>2.0691000000000002</v>
      </c>
      <c r="AI1035" s="315">
        <v>2.1602000000000001</v>
      </c>
      <c r="AJ1035" s="315">
        <v>1.6933</v>
      </c>
      <c r="AK1035" s="315">
        <v>1.8384</v>
      </c>
      <c r="AL1035" s="315">
        <v>2.0042</v>
      </c>
      <c r="AM1035" s="315">
        <v>2.5236000000000001</v>
      </c>
      <c r="AN1035" s="315">
        <v>2.1095999999999999</v>
      </c>
      <c r="AO1035" s="315">
        <v>2.1579999999999999</v>
      </c>
      <c r="AP1035" s="315">
        <v>2.5640000000000001</v>
      </c>
      <c r="AQ1035" s="315">
        <v>1.9916</v>
      </c>
      <c r="AR1035" s="315">
        <v>2.1863000000000001</v>
      </c>
      <c r="AS1035" s="315">
        <v>1.6061000000000001</v>
      </c>
      <c r="AT1035" s="315">
        <v>2.3593000000000002</v>
      </c>
      <c r="AU1035" s="315">
        <v>2.395</v>
      </c>
      <c r="AV1035" s="315">
        <v>2.3285</v>
      </c>
      <c r="AW1035" s="315">
        <v>2.0731000000000002</v>
      </c>
      <c r="AX1035" s="315">
        <v>1.7517</v>
      </c>
      <c r="AY1035" s="315">
        <v>2.0973999999999999</v>
      </c>
      <c r="AZ1035" s="315">
        <v>2.2153</v>
      </c>
      <c r="BA1035" s="315">
        <v>1.8288</v>
      </c>
      <c r="BB1035" s="315">
        <v>0</v>
      </c>
      <c r="BC1035" s="315">
        <v>2.3330000000000002</v>
      </c>
      <c r="BD1035" s="315">
        <v>2.5146000000000002</v>
      </c>
      <c r="BE1035" s="315">
        <v>2.6507999999999998</v>
      </c>
      <c r="BF1035" s="315">
        <v>2.2284000000000002</v>
      </c>
      <c r="BG1035" s="315">
        <v>2.3159999999999998</v>
      </c>
      <c r="BH1035" s="315">
        <v>2.3948</v>
      </c>
      <c r="BI1035" s="315">
        <v>2.4409000000000001</v>
      </c>
      <c r="BJ1035" s="315">
        <v>2.2006999999999999</v>
      </c>
      <c r="BK1035" s="315">
        <v>2.3448000000000002</v>
      </c>
    </row>
    <row r="1036" spans="1:63" x14ac:dyDescent="0.25">
      <c r="A1036" s="306">
        <v>333515</v>
      </c>
      <c r="B1036" s="315" t="s">
        <v>196</v>
      </c>
      <c r="C1036" s="315">
        <v>2.9291999999999998</v>
      </c>
      <c r="D1036" s="315">
        <v>0</v>
      </c>
      <c r="E1036" s="315">
        <v>2.0245000000000002</v>
      </c>
      <c r="F1036" s="315">
        <v>1.9137999999999999</v>
      </c>
      <c r="G1036" s="315">
        <v>1.9330000000000001</v>
      </c>
      <c r="H1036" s="315">
        <v>2.1987000000000001</v>
      </c>
      <c r="I1036" s="315">
        <v>2.1757</v>
      </c>
      <c r="J1036" s="315">
        <v>2.0545</v>
      </c>
      <c r="K1036" s="315">
        <v>0</v>
      </c>
      <c r="L1036" s="315">
        <v>0</v>
      </c>
      <c r="M1036" s="315">
        <v>1.9547000000000001</v>
      </c>
      <c r="N1036" s="315">
        <v>2.1240000000000001</v>
      </c>
      <c r="O1036" s="315">
        <v>0</v>
      </c>
      <c r="P1036" s="315">
        <v>1.7010000000000001</v>
      </c>
      <c r="Q1036" s="315">
        <v>1.6677</v>
      </c>
      <c r="R1036" s="315">
        <v>2.3822000000000001</v>
      </c>
      <c r="S1036" s="315">
        <v>2.1442000000000001</v>
      </c>
      <c r="T1036" s="315">
        <v>1.7098</v>
      </c>
      <c r="U1036" s="315">
        <v>2.1025</v>
      </c>
      <c r="V1036" s="315">
        <v>1.9057999999999999</v>
      </c>
      <c r="W1036" s="315">
        <v>2.0792000000000002</v>
      </c>
      <c r="X1036" s="315">
        <v>1.8511</v>
      </c>
      <c r="Y1036" s="315">
        <v>1.9137999999999999</v>
      </c>
      <c r="Z1036" s="315">
        <v>2.2559999999999998</v>
      </c>
      <c r="AA1036" s="315">
        <v>2.0829</v>
      </c>
      <c r="AB1036" s="315">
        <v>2.1505999999999998</v>
      </c>
      <c r="AC1036" s="315">
        <v>1.776</v>
      </c>
      <c r="AD1036" s="315">
        <v>1.6365000000000001</v>
      </c>
      <c r="AE1036" s="315">
        <v>2.0834999999999999</v>
      </c>
      <c r="AF1036" s="315">
        <v>0</v>
      </c>
      <c r="AG1036" s="315">
        <v>1.6934</v>
      </c>
      <c r="AH1036" s="315">
        <v>1.9823</v>
      </c>
      <c r="AI1036" s="315">
        <v>2.1076000000000001</v>
      </c>
      <c r="AJ1036" s="315">
        <v>1.7047000000000001</v>
      </c>
      <c r="AK1036" s="315">
        <v>1.8517999999999999</v>
      </c>
      <c r="AL1036" s="315">
        <v>1.9709000000000001</v>
      </c>
      <c r="AM1036" s="315">
        <v>2.3656000000000001</v>
      </c>
      <c r="AN1036" s="315">
        <v>1.9454</v>
      </c>
      <c r="AO1036" s="315">
        <v>2.0384000000000002</v>
      </c>
      <c r="AP1036" s="315">
        <v>2.3993000000000002</v>
      </c>
      <c r="AQ1036" s="315">
        <v>1.9343999999999999</v>
      </c>
      <c r="AR1036" s="315">
        <v>2.1122000000000001</v>
      </c>
      <c r="AS1036" s="315">
        <v>1.5328999999999999</v>
      </c>
      <c r="AT1036" s="315">
        <v>2.21</v>
      </c>
      <c r="AU1036" s="315">
        <v>2.2521</v>
      </c>
      <c r="AV1036" s="315">
        <v>2.2947000000000002</v>
      </c>
      <c r="AW1036" s="315">
        <v>1.9997</v>
      </c>
      <c r="AX1036" s="315">
        <v>1.6778999999999999</v>
      </c>
      <c r="AY1036" s="315">
        <v>1.9601</v>
      </c>
      <c r="AZ1036" s="315">
        <v>2.0571000000000002</v>
      </c>
      <c r="BA1036" s="315">
        <v>0</v>
      </c>
      <c r="BB1036" s="315">
        <v>0</v>
      </c>
      <c r="BC1036" s="315">
        <v>2.2363</v>
      </c>
      <c r="BD1036" s="315">
        <v>2.3639000000000001</v>
      </c>
      <c r="BE1036" s="315">
        <v>2.4756</v>
      </c>
      <c r="BF1036" s="315">
        <v>2.0754999999999999</v>
      </c>
      <c r="BG1036" s="315">
        <v>2.2734999999999999</v>
      </c>
      <c r="BH1036" s="315">
        <v>2.2357999999999998</v>
      </c>
      <c r="BI1036" s="315">
        <v>2.2925</v>
      </c>
      <c r="BJ1036" s="315">
        <v>2.1617000000000002</v>
      </c>
      <c r="BK1036" s="315">
        <v>2.2168000000000001</v>
      </c>
    </row>
    <row r="1037" spans="1:63" x14ac:dyDescent="0.25">
      <c r="A1037" s="306" t="s">
        <v>732</v>
      </c>
      <c r="B1037" s="315" t="s">
        <v>194</v>
      </c>
      <c r="C1037" s="315">
        <v>3.1613000000000002</v>
      </c>
      <c r="D1037" s="315">
        <v>0</v>
      </c>
      <c r="E1037" s="315">
        <v>2.1093999999999999</v>
      </c>
      <c r="F1037" s="315">
        <v>1.9397</v>
      </c>
      <c r="G1037" s="315">
        <v>2.0103</v>
      </c>
      <c r="H1037" s="315">
        <v>2.3275000000000001</v>
      </c>
      <c r="I1037" s="315">
        <v>2.2351000000000001</v>
      </c>
      <c r="J1037" s="315">
        <v>2.1924000000000001</v>
      </c>
      <c r="K1037" s="315">
        <v>0</v>
      </c>
      <c r="L1037" s="315">
        <v>1.8389</v>
      </c>
      <c r="M1037" s="315">
        <v>2.0061</v>
      </c>
      <c r="N1037" s="315">
        <v>2.2258</v>
      </c>
      <c r="O1037" s="315">
        <v>0</v>
      </c>
      <c r="P1037" s="315">
        <v>1.8493999999999999</v>
      </c>
      <c r="Q1037" s="315">
        <v>1.6765000000000001</v>
      </c>
      <c r="R1037" s="315">
        <v>2.6383999999999999</v>
      </c>
      <c r="S1037" s="315">
        <v>2.242</v>
      </c>
      <c r="T1037" s="315">
        <v>1.8451</v>
      </c>
      <c r="U1037" s="315">
        <v>2.1777000000000002</v>
      </c>
      <c r="V1037" s="315">
        <v>1.9419999999999999</v>
      </c>
      <c r="W1037" s="315">
        <v>2.1818</v>
      </c>
      <c r="X1037" s="315">
        <v>1.9325000000000001</v>
      </c>
      <c r="Y1037" s="315">
        <v>0</v>
      </c>
      <c r="Z1037" s="315">
        <v>2.4249000000000001</v>
      </c>
      <c r="AA1037" s="315">
        <v>2.3106</v>
      </c>
      <c r="AB1037" s="315">
        <v>2.2391000000000001</v>
      </c>
      <c r="AC1037" s="315">
        <v>1.8918999999999999</v>
      </c>
      <c r="AD1037" s="315">
        <v>1.6023000000000001</v>
      </c>
      <c r="AE1037" s="315">
        <v>2.1812999999999998</v>
      </c>
      <c r="AF1037" s="315">
        <v>0</v>
      </c>
      <c r="AG1037" s="315">
        <v>1.7251000000000001</v>
      </c>
      <c r="AH1037" s="315">
        <v>2.1436000000000002</v>
      </c>
      <c r="AI1037" s="315">
        <v>2.1890999999999998</v>
      </c>
      <c r="AJ1037" s="315">
        <v>1.6388</v>
      </c>
      <c r="AK1037" s="315">
        <v>1.8193999999999999</v>
      </c>
      <c r="AL1037" s="315">
        <v>2.0099</v>
      </c>
      <c r="AM1037" s="315">
        <v>2.5446</v>
      </c>
      <c r="AN1037" s="315">
        <v>2.1012</v>
      </c>
      <c r="AO1037" s="315">
        <v>2.1734</v>
      </c>
      <c r="AP1037" s="315">
        <v>2.5629</v>
      </c>
      <c r="AQ1037" s="315">
        <v>1.9696</v>
      </c>
      <c r="AR1037" s="315">
        <v>2.2164999999999999</v>
      </c>
      <c r="AS1037" s="315">
        <v>1.5983000000000001</v>
      </c>
      <c r="AT1037" s="315">
        <v>2.3071000000000002</v>
      </c>
      <c r="AU1037" s="315">
        <v>2.3992</v>
      </c>
      <c r="AV1037" s="315">
        <v>2.2894999999999999</v>
      </c>
      <c r="AW1037" s="315">
        <v>2.1295999999999999</v>
      </c>
      <c r="AX1037" s="315">
        <v>1.7633000000000001</v>
      </c>
      <c r="AY1037" s="315">
        <v>2.093</v>
      </c>
      <c r="AZ1037" s="315">
        <v>2.2778</v>
      </c>
      <c r="BA1037" s="315">
        <v>0</v>
      </c>
      <c r="BB1037" s="315">
        <v>1.498</v>
      </c>
      <c r="BC1037" s="315">
        <v>2.3746</v>
      </c>
      <c r="BD1037" s="315">
        <v>2.4824999999999999</v>
      </c>
      <c r="BE1037" s="315">
        <v>2.6726999999999999</v>
      </c>
      <c r="BF1037" s="315">
        <v>2.2544</v>
      </c>
      <c r="BG1037" s="315">
        <v>2.3605999999999998</v>
      </c>
      <c r="BH1037" s="315">
        <v>2.3494999999999999</v>
      </c>
      <c r="BI1037" s="315">
        <v>2.4302999999999999</v>
      </c>
      <c r="BJ1037" s="315">
        <v>2.1589</v>
      </c>
      <c r="BK1037" s="315">
        <v>2.3605</v>
      </c>
    </row>
    <row r="1038" spans="1:63" x14ac:dyDescent="0.25">
      <c r="A1038" s="306" t="s">
        <v>733</v>
      </c>
      <c r="B1038" s="315" t="s">
        <v>197</v>
      </c>
      <c r="C1038" s="315">
        <v>3.0657000000000001</v>
      </c>
      <c r="D1038" s="315">
        <v>0</v>
      </c>
      <c r="E1038" s="315">
        <v>2.0278</v>
      </c>
      <c r="F1038" s="315">
        <v>1.8834</v>
      </c>
      <c r="G1038" s="315">
        <v>1.9743999999999999</v>
      </c>
      <c r="H1038" s="315">
        <v>2.2503000000000002</v>
      </c>
      <c r="I1038" s="315">
        <v>2.2040999999999999</v>
      </c>
      <c r="J1038" s="315">
        <v>2.1631999999999998</v>
      </c>
      <c r="K1038" s="315">
        <v>0</v>
      </c>
      <c r="L1038" s="315">
        <v>0</v>
      </c>
      <c r="M1038" s="315">
        <v>1.9557</v>
      </c>
      <c r="N1038" s="315">
        <v>2.1555</v>
      </c>
      <c r="O1038" s="315">
        <v>0</v>
      </c>
      <c r="P1038" s="315">
        <v>1.7805</v>
      </c>
      <c r="Q1038" s="315">
        <v>1.6415</v>
      </c>
      <c r="R1038" s="315">
        <v>2.5750000000000002</v>
      </c>
      <c r="S1038" s="315">
        <v>2.1981000000000002</v>
      </c>
      <c r="T1038" s="315">
        <v>1.8416999999999999</v>
      </c>
      <c r="U1038" s="315">
        <v>2.0712000000000002</v>
      </c>
      <c r="V1038" s="315">
        <v>0</v>
      </c>
      <c r="W1038" s="315">
        <v>2.1631</v>
      </c>
      <c r="X1038" s="315">
        <v>1.8624000000000001</v>
      </c>
      <c r="Y1038" s="315">
        <v>1.8835999999999999</v>
      </c>
      <c r="Z1038" s="315">
        <v>2.3610000000000002</v>
      </c>
      <c r="AA1038" s="315">
        <v>2.2168999999999999</v>
      </c>
      <c r="AB1038" s="315">
        <v>2.1880999999999999</v>
      </c>
      <c r="AC1038" s="315">
        <v>1.8149</v>
      </c>
      <c r="AD1038" s="315">
        <v>0</v>
      </c>
      <c r="AE1038" s="315">
        <v>2.1150000000000002</v>
      </c>
      <c r="AF1038" s="315">
        <v>0</v>
      </c>
      <c r="AG1038" s="315">
        <v>1.7030000000000001</v>
      </c>
      <c r="AH1038" s="315">
        <v>2.1067</v>
      </c>
      <c r="AI1038" s="315">
        <v>2.1116000000000001</v>
      </c>
      <c r="AJ1038" s="315">
        <v>0</v>
      </c>
      <c r="AK1038" s="315">
        <v>0</v>
      </c>
      <c r="AL1038" s="315">
        <v>1.9842</v>
      </c>
      <c r="AM1038" s="315">
        <v>2.4771000000000001</v>
      </c>
      <c r="AN1038" s="315">
        <v>2.0461</v>
      </c>
      <c r="AO1038" s="315">
        <v>0</v>
      </c>
      <c r="AP1038" s="315">
        <v>2.4870000000000001</v>
      </c>
      <c r="AQ1038" s="315">
        <v>1.958</v>
      </c>
      <c r="AR1038" s="315">
        <v>2.1392000000000002</v>
      </c>
      <c r="AS1038" s="315">
        <v>1.5878000000000001</v>
      </c>
      <c r="AT1038" s="315">
        <v>2.2648999999999999</v>
      </c>
      <c r="AU1038" s="315">
        <v>2.3134000000000001</v>
      </c>
      <c r="AV1038" s="315">
        <v>2.2098</v>
      </c>
      <c r="AW1038" s="315">
        <v>2.0607000000000002</v>
      </c>
      <c r="AX1038" s="315">
        <v>0</v>
      </c>
      <c r="AY1038" s="315">
        <v>2.0657000000000001</v>
      </c>
      <c r="AZ1038" s="315">
        <v>2.2345999999999999</v>
      </c>
      <c r="BA1038" s="315">
        <v>1.7282999999999999</v>
      </c>
      <c r="BB1038" s="315">
        <v>0</v>
      </c>
      <c r="BC1038" s="315">
        <v>2.3481999999999998</v>
      </c>
      <c r="BD1038" s="315">
        <v>2.4226000000000001</v>
      </c>
      <c r="BE1038" s="315">
        <v>2.6038000000000001</v>
      </c>
      <c r="BF1038" s="315">
        <v>2.1998000000000002</v>
      </c>
      <c r="BG1038" s="315">
        <v>2.2852000000000001</v>
      </c>
      <c r="BH1038" s="315">
        <v>2.2734999999999999</v>
      </c>
      <c r="BI1038" s="315">
        <v>2.3391999999999999</v>
      </c>
      <c r="BJ1038" s="315">
        <v>2.1067</v>
      </c>
      <c r="BK1038" s="315">
        <v>2.2841999999999998</v>
      </c>
    </row>
    <row r="1039" spans="1:63" x14ac:dyDescent="0.25">
      <c r="A1039" s="306">
        <v>333611</v>
      </c>
      <c r="B1039" s="315" t="s">
        <v>198</v>
      </c>
      <c r="C1039" s="315">
        <v>2.2578999999999998</v>
      </c>
      <c r="D1039" s="315">
        <v>0</v>
      </c>
      <c r="E1039" s="315">
        <v>1.6742999999999999</v>
      </c>
      <c r="F1039" s="315">
        <v>1.4895</v>
      </c>
      <c r="G1039" s="315">
        <v>1.5478000000000001</v>
      </c>
      <c r="H1039" s="315">
        <v>1.7134</v>
      </c>
      <c r="I1039" s="315">
        <v>1.6374</v>
      </c>
      <c r="J1039" s="315">
        <v>1.6361000000000001</v>
      </c>
      <c r="K1039" s="315">
        <v>1.1476999999999999</v>
      </c>
      <c r="L1039" s="315">
        <v>0</v>
      </c>
      <c r="M1039" s="315">
        <v>1.5083</v>
      </c>
      <c r="N1039" s="315">
        <v>1.6369</v>
      </c>
      <c r="O1039" s="315">
        <v>0</v>
      </c>
      <c r="P1039" s="315">
        <v>1.4755</v>
      </c>
      <c r="Q1039" s="315">
        <v>1.3384</v>
      </c>
      <c r="R1039" s="315">
        <v>1.9567000000000001</v>
      </c>
      <c r="S1039" s="315">
        <v>1.7855000000000001</v>
      </c>
      <c r="T1039" s="315">
        <v>1.4522999999999999</v>
      </c>
      <c r="U1039" s="315">
        <v>1.6668000000000001</v>
      </c>
      <c r="V1039" s="315">
        <v>1.5748</v>
      </c>
      <c r="W1039" s="315">
        <v>1.6379999999999999</v>
      </c>
      <c r="X1039" s="315">
        <v>0</v>
      </c>
      <c r="Y1039" s="315">
        <v>1.4097</v>
      </c>
      <c r="Z1039" s="315">
        <v>1.869</v>
      </c>
      <c r="AA1039" s="315">
        <v>1.6636</v>
      </c>
      <c r="AB1039" s="315">
        <v>1.6315</v>
      </c>
      <c r="AC1039" s="315">
        <v>1.5384</v>
      </c>
      <c r="AD1039" s="315">
        <v>0</v>
      </c>
      <c r="AE1039" s="315">
        <v>1.6053999999999999</v>
      </c>
      <c r="AF1039" s="315">
        <v>1.234</v>
      </c>
      <c r="AG1039" s="315">
        <v>0</v>
      </c>
      <c r="AH1039" s="315">
        <v>1.5616000000000001</v>
      </c>
      <c r="AI1039" s="315">
        <v>1.5885</v>
      </c>
      <c r="AJ1039" s="315">
        <v>0</v>
      </c>
      <c r="AK1039" s="315">
        <v>1.4867999999999999</v>
      </c>
      <c r="AL1039" s="315">
        <v>1.4998</v>
      </c>
      <c r="AM1039" s="315">
        <v>1.9347000000000001</v>
      </c>
      <c r="AN1039" s="315">
        <v>1.6053999999999999</v>
      </c>
      <c r="AO1039" s="315">
        <v>0</v>
      </c>
      <c r="AP1039" s="315">
        <v>1.915</v>
      </c>
      <c r="AQ1039" s="315">
        <v>0</v>
      </c>
      <c r="AR1039" s="315">
        <v>1.7376</v>
      </c>
      <c r="AS1039" s="315">
        <v>1.2689999999999999</v>
      </c>
      <c r="AT1039" s="315">
        <v>1.8280000000000001</v>
      </c>
      <c r="AU1039" s="315">
        <v>1.8494999999999999</v>
      </c>
      <c r="AV1039" s="315">
        <v>1.7134</v>
      </c>
      <c r="AW1039" s="315">
        <v>1.5693999999999999</v>
      </c>
      <c r="AX1039" s="315">
        <v>1.3540000000000001</v>
      </c>
      <c r="AY1039" s="315">
        <v>1.5645</v>
      </c>
      <c r="AZ1039" s="315">
        <v>1.7408999999999999</v>
      </c>
      <c r="BA1039" s="315">
        <v>0</v>
      </c>
      <c r="BB1039" s="315">
        <v>1.3043</v>
      </c>
      <c r="BC1039" s="315">
        <v>1.7298</v>
      </c>
      <c r="BD1039" s="315">
        <v>1.8412999999999999</v>
      </c>
      <c r="BE1039" s="315">
        <v>1.9987999999999999</v>
      </c>
      <c r="BF1039" s="315">
        <v>1.6464000000000001</v>
      </c>
      <c r="BG1039" s="315">
        <v>1.6806000000000001</v>
      </c>
      <c r="BH1039" s="315">
        <v>1.8592</v>
      </c>
      <c r="BI1039" s="315">
        <v>1.8697999999999999</v>
      </c>
      <c r="BJ1039" s="315">
        <v>1.6355</v>
      </c>
      <c r="BK1039" s="315">
        <v>1.7450000000000001</v>
      </c>
    </row>
    <row r="1040" spans="1:63" x14ac:dyDescent="0.25">
      <c r="A1040" s="306">
        <v>333612</v>
      </c>
      <c r="B1040" s="315" t="s">
        <v>199</v>
      </c>
      <c r="C1040" s="315">
        <v>2.9287000000000001</v>
      </c>
      <c r="D1040" s="315">
        <v>0</v>
      </c>
      <c r="E1040" s="315">
        <v>2.0499000000000001</v>
      </c>
      <c r="F1040" s="315">
        <v>0</v>
      </c>
      <c r="G1040" s="315">
        <v>1.8767</v>
      </c>
      <c r="H1040" s="315">
        <v>2.1341000000000001</v>
      </c>
      <c r="I1040" s="315">
        <v>0</v>
      </c>
      <c r="J1040" s="315">
        <v>2.0528</v>
      </c>
      <c r="K1040" s="315">
        <v>0</v>
      </c>
      <c r="L1040" s="315">
        <v>0</v>
      </c>
      <c r="M1040" s="315">
        <v>1.8716999999999999</v>
      </c>
      <c r="N1040" s="315">
        <v>2.1335999999999999</v>
      </c>
      <c r="O1040" s="315">
        <v>0</v>
      </c>
      <c r="P1040" s="315">
        <v>1.7305999999999999</v>
      </c>
      <c r="Q1040" s="315">
        <v>1.6123000000000001</v>
      </c>
      <c r="R1040" s="315">
        <v>2.4634999999999998</v>
      </c>
      <c r="S1040" s="315">
        <v>2.1808000000000001</v>
      </c>
      <c r="T1040" s="315">
        <v>1.7512000000000001</v>
      </c>
      <c r="U1040" s="315">
        <v>2.089</v>
      </c>
      <c r="V1040" s="315">
        <v>1.8480000000000001</v>
      </c>
      <c r="W1040" s="315">
        <v>2.0363000000000002</v>
      </c>
      <c r="X1040" s="315">
        <v>1.8399000000000001</v>
      </c>
      <c r="Y1040" s="315">
        <v>1.7382</v>
      </c>
      <c r="Z1040" s="315">
        <v>2.2949999999999999</v>
      </c>
      <c r="AA1040" s="315">
        <v>2.0769000000000002</v>
      </c>
      <c r="AB1040" s="315">
        <v>2.0514000000000001</v>
      </c>
      <c r="AC1040" s="315">
        <v>1.8002</v>
      </c>
      <c r="AD1040" s="315">
        <v>0</v>
      </c>
      <c r="AE1040" s="315">
        <v>2.0390999999999999</v>
      </c>
      <c r="AF1040" s="315">
        <v>0</v>
      </c>
      <c r="AG1040" s="315">
        <v>1.6637</v>
      </c>
      <c r="AH1040" s="315">
        <v>1.9778</v>
      </c>
      <c r="AI1040" s="315">
        <v>2.0451000000000001</v>
      </c>
      <c r="AJ1040" s="315">
        <v>1.5881000000000001</v>
      </c>
      <c r="AK1040" s="315">
        <v>0</v>
      </c>
      <c r="AL1040" s="315">
        <v>1.9068000000000001</v>
      </c>
      <c r="AM1040" s="315">
        <v>2.3910999999999998</v>
      </c>
      <c r="AN1040" s="315">
        <v>1.9283999999999999</v>
      </c>
      <c r="AO1040" s="315">
        <v>2.0354999999999999</v>
      </c>
      <c r="AP1040" s="315">
        <v>2.3932000000000002</v>
      </c>
      <c r="AQ1040" s="315">
        <v>0</v>
      </c>
      <c r="AR1040" s="315">
        <v>2.0968</v>
      </c>
      <c r="AS1040" s="315">
        <v>1.4895</v>
      </c>
      <c r="AT1040" s="315">
        <v>2.2404000000000002</v>
      </c>
      <c r="AU1040" s="315">
        <v>2.2696999999999998</v>
      </c>
      <c r="AV1040" s="315">
        <v>2.1231</v>
      </c>
      <c r="AW1040" s="315">
        <v>1.9821</v>
      </c>
      <c r="AX1040" s="315">
        <v>0</v>
      </c>
      <c r="AY1040" s="315">
        <v>1.92</v>
      </c>
      <c r="AZ1040" s="315">
        <v>2.1225000000000001</v>
      </c>
      <c r="BA1040" s="315">
        <v>0</v>
      </c>
      <c r="BB1040" s="315">
        <v>0</v>
      </c>
      <c r="BC1040" s="315">
        <v>2.2132000000000001</v>
      </c>
      <c r="BD1040" s="315">
        <v>2.3271999999999999</v>
      </c>
      <c r="BE1040" s="315">
        <v>2.5026999999999999</v>
      </c>
      <c r="BF1040" s="315">
        <v>2.0701999999999998</v>
      </c>
      <c r="BG1040" s="315">
        <v>2.1930000000000001</v>
      </c>
      <c r="BH1040" s="315">
        <v>2.2774000000000001</v>
      </c>
      <c r="BI1040" s="315">
        <v>2.3056000000000001</v>
      </c>
      <c r="BJ1040" s="315">
        <v>2.0238</v>
      </c>
      <c r="BK1040" s="315">
        <v>2.1722000000000001</v>
      </c>
    </row>
    <row r="1041" spans="1:63" x14ac:dyDescent="0.25">
      <c r="A1041" s="306">
        <v>333613</v>
      </c>
      <c r="B1041" s="315" t="s">
        <v>200</v>
      </c>
      <c r="C1041" s="315">
        <v>3.0116000000000001</v>
      </c>
      <c r="D1041" s="315">
        <v>0</v>
      </c>
      <c r="E1041" s="315">
        <v>2.1093999999999999</v>
      </c>
      <c r="F1041" s="315">
        <v>1.8905000000000001</v>
      </c>
      <c r="G1041" s="315">
        <v>0</v>
      </c>
      <c r="H1041" s="315">
        <v>2.1532</v>
      </c>
      <c r="I1041" s="315">
        <v>0</v>
      </c>
      <c r="J1041" s="315">
        <v>2.0661</v>
      </c>
      <c r="K1041" s="315">
        <v>0</v>
      </c>
      <c r="L1041" s="315">
        <v>0</v>
      </c>
      <c r="M1041" s="315">
        <v>1.8697999999999999</v>
      </c>
      <c r="N1041" s="315">
        <v>2.1198999999999999</v>
      </c>
      <c r="O1041" s="315">
        <v>0</v>
      </c>
      <c r="P1041" s="315">
        <v>0</v>
      </c>
      <c r="Q1041" s="315">
        <v>0</v>
      </c>
      <c r="R1041" s="315">
        <v>2.5303</v>
      </c>
      <c r="S1041" s="315">
        <v>2.2469999999999999</v>
      </c>
      <c r="T1041" s="315">
        <v>1.766</v>
      </c>
      <c r="U1041" s="315">
        <v>2.1343999999999999</v>
      </c>
      <c r="V1041" s="315">
        <v>1.8744000000000001</v>
      </c>
      <c r="W1041" s="315">
        <v>2.0421999999999998</v>
      </c>
      <c r="X1041" s="315">
        <v>1.8689</v>
      </c>
      <c r="Y1041" s="315">
        <v>0</v>
      </c>
      <c r="Z1041" s="315">
        <v>2.3521000000000001</v>
      </c>
      <c r="AA1041" s="315">
        <v>2.0924</v>
      </c>
      <c r="AB1041" s="315">
        <v>2.0764</v>
      </c>
      <c r="AC1041" s="315">
        <v>1.8485</v>
      </c>
      <c r="AD1041" s="315">
        <v>0</v>
      </c>
      <c r="AE1041" s="315">
        <v>2.0587</v>
      </c>
      <c r="AF1041" s="315">
        <v>0</v>
      </c>
      <c r="AG1041" s="315">
        <v>1.677</v>
      </c>
      <c r="AH1041" s="315">
        <v>2.0051999999999999</v>
      </c>
      <c r="AI1041" s="315">
        <v>2.0432000000000001</v>
      </c>
      <c r="AJ1041" s="315">
        <v>0</v>
      </c>
      <c r="AK1041" s="315">
        <v>0</v>
      </c>
      <c r="AL1041" s="315">
        <v>1.9023000000000001</v>
      </c>
      <c r="AM1041" s="315">
        <v>2.4491000000000001</v>
      </c>
      <c r="AN1041" s="315">
        <v>2.0106000000000002</v>
      </c>
      <c r="AO1041" s="315">
        <v>2.0792999999999999</v>
      </c>
      <c r="AP1041" s="315">
        <v>2.4578000000000002</v>
      </c>
      <c r="AQ1041" s="315">
        <v>1.8385</v>
      </c>
      <c r="AR1041" s="315">
        <v>2.1522999999999999</v>
      </c>
      <c r="AS1041" s="315">
        <v>0</v>
      </c>
      <c r="AT1041" s="315">
        <v>2.2677</v>
      </c>
      <c r="AU1041" s="315">
        <v>2.3128000000000002</v>
      </c>
      <c r="AV1041" s="315">
        <v>0</v>
      </c>
      <c r="AW1041" s="315">
        <v>0</v>
      </c>
      <c r="AX1041" s="315">
        <v>0</v>
      </c>
      <c r="AY1041" s="315">
        <v>1.9336</v>
      </c>
      <c r="AZ1041" s="315">
        <v>2.1417000000000002</v>
      </c>
      <c r="BA1041" s="315">
        <v>1.7204999999999999</v>
      </c>
      <c r="BB1041" s="315">
        <v>0</v>
      </c>
      <c r="BC1041" s="315">
        <v>2.2263999999999999</v>
      </c>
      <c r="BD1041" s="315">
        <v>2.3662000000000001</v>
      </c>
      <c r="BE1041" s="315">
        <v>2.5691000000000002</v>
      </c>
      <c r="BF1041" s="315">
        <v>2.1044</v>
      </c>
      <c r="BG1041" s="315">
        <v>2.2170000000000001</v>
      </c>
      <c r="BH1041" s="315">
        <v>2.3271000000000002</v>
      </c>
      <c r="BI1041" s="315">
        <v>2.3530000000000002</v>
      </c>
      <c r="BJ1041" s="315">
        <v>0</v>
      </c>
      <c r="BK1041" s="315">
        <v>2.1924999999999999</v>
      </c>
    </row>
    <row r="1042" spans="1:63" x14ac:dyDescent="0.25">
      <c r="A1042" s="306">
        <v>333618</v>
      </c>
      <c r="B1042" s="315" t="s">
        <v>201</v>
      </c>
      <c r="C1042" s="315">
        <v>3.0148999999999999</v>
      </c>
      <c r="D1042" s="315">
        <v>0</v>
      </c>
      <c r="E1042" s="315">
        <v>2.1989999999999998</v>
      </c>
      <c r="F1042" s="315">
        <v>1.9306000000000001</v>
      </c>
      <c r="G1042" s="315">
        <v>1.7663</v>
      </c>
      <c r="H1042" s="315">
        <v>1.9766999999999999</v>
      </c>
      <c r="I1042" s="315">
        <v>1.9323999999999999</v>
      </c>
      <c r="J1042" s="315">
        <v>1.9632000000000001</v>
      </c>
      <c r="K1042" s="315">
        <v>0</v>
      </c>
      <c r="L1042" s="315">
        <v>0</v>
      </c>
      <c r="M1042" s="315">
        <v>1.7195</v>
      </c>
      <c r="N1042" s="315">
        <v>2.0547</v>
      </c>
      <c r="O1042" s="315">
        <v>1.4036</v>
      </c>
      <c r="P1042" s="315">
        <v>1.8734999999999999</v>
      </c>
      <c r="Q1042" s="315">
        <v>0</v>
      </c>
      <c r="R1042" s="315">
        <v>2.4952999999999999</v>
      </c>
      <c r="S1042" s="315">
        <v>2.3317999999999999</v>
      </c>
      <c r="T1042" s="315">
        <v>1.7465999999999999</v>
      </c>
      <c r="U1042" s="315">
        <v>2.2098</v>
      </c>
      <c r="V1042" s="315">
        <v>1.7139</v>
      </c>
      <c r="W1042" s="315">
        <v>1.8918999999999999</v>
      </c>
      <c r="X1042" s="315">
        <v>1.7270000000000001</v>
      </c>
      <c r="Y1042" s="315">
        <v>0</v>
      </c>
      <c r="Z1042" s="315">
        <v>2.3405999999999998</v>
      </c>
      <c r="AA1042" s="315">
        <v>2.0150999999999999</v>
      </c>
      <c r="AB1042" s="315">
        <v>2.1606000000000001</v>
      </c>
      <c r="AC1042" s="315">
        <v>1.8952</v>
      </c>
      <c r="AD1042" s="315">
        <v>0</v>
      </c>
      <c r="AE1042" s="315">
        <v>2.1208999999999998</v>
      </c>
      <c r="AF1042" s="315">
        <v>1.4267000000000001</v>
      </c>
      <c r="AG1042" s="315">
        <v>0</v>
      </c>
      <c r="AH1042" s="315">
        <v>0</v>
      </c>
      <c r="AI1042" s="315">
        <v>1.8716999999999999</v>
      </c>
      <c r="AJ1042" s="315">
        <v>1.4499</v>
      </c>
      <c r="AK1042" s="315">
        <v>1.6214</v>
      </c>
      <c r="AL1042" s="315">
        <v>1.7398</v>
      </c>
      <c r="AM1042" s="315">
        <v>2.4727000000000001</v>
      </c>
      <c r="AN1042" s="315">
        <v>1.9574</v>
      </c>
      <c r="AO1042" s="315">
        <v>1.9722</v>
      </c>
      <c r="AP1042" s="315">
        <v>2.4020999999999999</v>
      </c>
      <c r="AQ1042" s="315">
        <v>0</v>
      </c>
      <c r="AR1042" s="315">
        <v>2.2231000000000001</v>
      </c>
      <c r="AS1042" s="315">
        <v>1.5177</v>
      </c>
      <c r="AT1042" s="315">
        <v>2.3458999999999999</v>
      </c>
      <c r="AU1042" s="315">
        <v>2.1996000000000002</v>
      </c>
      <c r="AV1042" s="315">
        <v>2.1122999999999998</v>
      </c>
      <c r="AW1042" s="315">
        <v>1.853</v>
      </c>
      <c r="AX1042" s="315">
        <v>0</v>
      </c>
      <c r="AY1042" s="315">
        <v>1.8052999999999999</v>
      </c>
      <c r="AZ1042" s="315">
        <v>2.2888999999999999</v>
      </c>
      <c r="BA1042" s="315">
        <v>0</v>
      </c>
      <c r="BB1042" s="315">
        <v>0</v>
      </c>
      <c r="BC1042" s="315">
        <v>2.0722</v>
      </c>
      <c r="BD1042" s="315">
        <v>2.1711999999999998</v>
      </c>
      <c r="BE1042" s="315">
        <v>2.6023000000000001</v>
      </c>
      <c r="BF1042" s="315">
        <v>2.1532</v>
      </c>
      <c r="BG1042" s="315">
        <v>2.1067999999999998</v>
      </c>
      <c r="BH1042" s="315">
        <v>2.4270999999999998</v>
      </c>
      <c r="BI1042" s="315">
        <v>2.2610999999999999</v>
      </c>
      <c r="BJ1042" s="315">
        <v>1.9331</v>
      </c>
      <c r="BK1042" s="315">
        <v>2.0461999999999998</v>
      </c>
    </row>
    <row r="1043" spans="1:63" x14ac:dyDescent="0.25">
      <c r="A1043" s="306">
        <v>333911</v>
      </c>
      <c r="B1043" s="315" t="s">
        <v>202</v>
      </c>
      <c r="C1043" s="315">
        <v>2.9834999999999998</v>
      </c>
      <c r="D1043" s="315">
        <v>0</v>
      </c>
      <c r="E1043" s="315">
        <v>2.1133000000000002</v>
      </c>
      <c r="F1043" s="315">
        <v>1.9164000000000001</v>
      </c>
      <c r="G1043" s="315">
        <v>1.8725000000000001</v>
      </c>
      <c r="H1043" s="315">
        <v>2.1124000000000001</v>
      </c>
      <c r="I1043" s="315">
        <v>2.0076000000000001</v>
      </c>
      <c r="J1043" s="315">
        <v>2.0323000000000002</v>
      </c>
      <c r="K1043" s="315">
        <v>0</v>
      </c>
      <c r="L1043" s="315">
        <v>1.6711</v>
      </c>
      <c r="M1043" s="315">
        <v>1.8125</v>
      </c>
      <c r="N1043" s="315">
        <v>2.0901999999999998</v>
      </c>
      <c r="O1043" s="315">
        <v>0</v>
      </c>
      <c r="P1043" s="315">
        <v>1.8322000000000001</v>
      </c>
      <c r="Q1043" s="315">
        <v>0</v>
      </c>
      <c r="R1043" s="315">
        <v>2.5112000000000001</v>
      </c>
      <c r="S1043" s="315">
        <v>2.2437999999999998</v>
      </c>
      <c r="T1043" s="315">
        <v>1.8182</v>
      </c>
      <c r="U1043" s="315">
        <v>2.1029</v>
      </c>
      <c r="V1043" s="315">
        <v>1.8315999999999999</v>
      </c>
      <c r="W1043" s="315">
        <v>2.0137999999999998</v>
      </c>
      <c r="X1043" s="315">
        <v>1.7513000000000001</v>
      </c>
      <c r="Y1043" s="315">
        <v>1.7454000000000001</v>
      </c>
      <c r="Z1043" s="315">
        <v>2.3153000000000001</v>
      </c>
      <c r="AA1043" s="315">
        <v>2.1892</v>
      </c>
      <c r="AB1043" s="315">
        <v>2.1514000000000002</v>
      </c>
      <c r="AC1043" s="315">
        <v>1.8424</v>
      </c>
      <c r="AD1043" s="315">
        <v>1.4951000000000001</v>
      </c>
      <c r="AE1043" s="315">
        <v>2.0684</v>
      </c>
      <c r="AF1043" s="315">
        <v>0</v>
      </c>
      <c r="AG1043" s="315">
        <v>1.6397999999999999</v>
      </c>
      <c r="AH1043" s="315">
        <v>2.0438000000000001</v>
      </c>
      <c r="AI1043" s="315">
        <v>2.0108000000000001</v>
      </c>
      <c r="AJ1043" s="315">
        <v>1.5248999999999999</v>
      </c>
      <c r="AK1043" s="315">
        <v>1.7003999999999999</v>
      </c>
      <c r="AL1043" s="315">
        <v>1.8172999999999999</v>
      </c>
      <c r="AM1043" s="315">
        <v>2.4581</v>
      </c>
      <c r="AN1043" s="315">
        <v>2.0411000000000001</v>
      </c>
      <c r="AO1043" s="315">
        <v>2.0827</v>
      </c>
      <c r="AP1043" s="315">
        <v>2.4409999999999998</v>
      </c>
      <c r="AQ1043" s="315">
        <v>1.8396999999999999</v>
      </c>
      <c r="AR1043" s="315">
        <v>2.1211000000000002</v>
      </c>
      <c r="AS1043" s="315">
        <v>1.504</v>
      </c>
      <c r="AT1043" s="315">
        <v>2.2744</v>
      </c>
      <c r="AU1043" s="315">
        <v>2.2877000000000001</v>
      </c>
      <c r="AV1043" s="315">
        <v>2.1964999999999999</v>
      </c>
      <c r="AW1043" s="315">
        <v>2.0175999999999998</v>
      </c>
      <c r="AX1043" s="315">
        <v>1.6373</v>
      </c>
      <c r="AY1043" s="315">
        <v>1.9226000000000001</v>
      </c>
      <c r="AZ1043" s="315">
        <v>2.2248000000000001</v>
      </c>
      <c r="BA1043" s="315">
        <v>1.7786</v>
      </c>
      <c r="BB1043" s="315">
        <v>1.4702</v>
      </c>
      <c r="BC1043" s="315">
        <v>2.1829999999999998</v>
      </c>
      <c r="BD1043" s="315">
        <v>2.27</v>
      </c>
      <c r="BE1043" s="315">
        <v>2.5667</v>
      </c>
      <c r="BF1043" s="315">
        <v>2.1898</v>
      </c>
      <c r="BG1043" s="315">
        <v>2.1688999999999998</v>
      </c>
      <c r="BH1043" s="315">
        <v>2.3243</v>
      </c>
      <c r="BI1043" s="315">
        <v>2.3389000000000002</v>
      </c>
      <c r="BJ1043" s="315">
        <v>1.9952000000000001</v>
      </c>
      <c r="BK1043" s="315">
        <v>2.1705999999999999</v>
      </c>
    </row>
    <row r="1044" spans="1:63" x14ac:dyDescent="0.25">
      <c r="A1044" s="306">
        <v>333912</v>
      </c>
      <c r="B1044" s="315" t="s">
        <v>203</v>
      </c>
      <c r="C1044" s="315">
        <v>3.2065999999999999</v>
      </c>
      <c r="D1044" s="315">
        <v>0</v>
      </c>
      <c r="E1044" s="315">
        <v>2.2242999999999999</v>
      </c>
      <c r="F1044" s="315">
        <v>1.9490000000000001</v>
      </c>
      <c r="G1044" s="315">
        <v>0</v>
      </c>
      <c r="H1044" s="315">
        <v>2.2498</v>
      </c>
      <c r="I1044" s="315">
        <v>2.1615000000000002</v>
      </c>
      <c r="J1044" s="315">
        <v>2.1745000000000001</v>
      </c>
      <c r="K1044" s="315">
        <v>0</v>
      </c>
      <c r="L1044" s="315">
        <v>0</v>
      </c>
      <c r="M1044" s="315">
        <v>1.9322999999999999</v>
      </c>
      <c r="N1044" s="315">
        <v>2.1865999999999999</v>
      </c>
      <c r="O1044" s="315">
        <v>0</v>
      </c>
      <c r="P1044" s="315">
        <v>1.8915999999999999</v>
      </c>
      <c r="Q1044" s="315">
        <v>0</v>
      </c>
      <c r="R1044" s="315">
        <v>2.6956000000000002</v>
      </c>
      <c r="S1044" s="315">
        <v>2.3544</v>
      </c>
      <c r="T1044" s="315">
        <v>1.8977999999999999</v>
      </c>
      <c r="U1044" s="315">
        <v>2.2050999999999998</v>
      </c>
      <c r="V1044" s="315">
        <v>1.9619</v>
      </c>
      <c r="W1044" s="315">
        <v>2.1775000000000002</v>
      </c>
      <c r="X1044" s="315">
        <v>1.8779999999999999</v>
      </c>
      <c r="Y1044" s="315">
        <v>0</v>
      </c>
      <c r="Z1044" s="315">
        <v>2.4603000000000002</v>
      </c>
      <c r="AA1044" s="315">
        <v>2.2953999999999999</v>
      </c>
      <c r="AB1044" s="315">
        <v>2.3010000000000002</v>
      </c>
      <c r="AC1044" s="315">
        <v>1.8865000000000001</v>
      </c>
      <c r="AD1044" s="315">
        <v>0</v>
      </c>
      <c r="AE1044" s="315">
        <v>2.2008000000000001</v>
      </c>
      <c r="AF1044" s="315">
        <v>0</v>
      </c>
      <c r="AG1044" s="315">
        <v>1.6768000000000001</v>
      </c>
      <c r="AH1044" s="315">
        <v>2.1524000000000001</v>
      </c>
      <c r="AI1044" s="315">
        <v>2.1608999999999998</v>
      </c>
      <c r="AJ1044" s="315">
        <v>1.6107</v>
      </c>
      <c r="AK1044" s="315">
        <v>1.7707999999999999</v>
      </c>
      <c r="AL1044" s="315">
        <v>1.9643999999999999</v>
      </c>
      <c r="AM1044" s="315">
        <v>2.605</v>
      </c>
      <c r="AN1044" s="315">
        <v>2.1698</v>
      </c>
      <c r="AO1044" s="315">
        <v>2.1341000000000001</v>
      </c>
      <c r="AP1044" s="315">
        <v>2.6107</v>
      </c>
      <c r="AQ1044" s="315">
        <v>1.9391</v>
      </c>
      <c r="AR1044" s="315">
        <v>2.2349999999999999</v>
      </c>
      <c r="AS1044" s="315">
        <v>1.6011</v>
      </c>
      <c r="AT1044" s="315">
        <v>2.4182999999999999</v>
      </c>
      <c r="AU1044" s="315">
        <v>2.4476</v>
      </c>
      <c r="AV1044" s="315">
        <v>2.2888999999999999</v>
      </c>
      <c r="AW1044" s="315">
        <v>2.0758999999999999</v>
      </c>
      <c r="AX1044" s="315">
        <v>0</v>
      </c>
      <c r="AY1044" s="315">
        <v>1.9956</v>
      </c>
      <c r="AZ1044" s="315">
        <v>2.3586</v>
      </c>
      <c r="BA1044" s="315">
        <v>1.7957000000000001</v>
      </c>
      <c r="BB1044" s="315">
        <v>0</v>
      </c>
      <c r="BC1044" s="315">
        <v>2.3479999999999999</v>
      </c>
      <c r="BD1044" s="315">
        <v>2.4443999999999999</v>
      </c>
      <c r="BE1044" s="315">
        <v>2.7372000000000001</v>
      </c>
      <c r="BF1044" s="315">
        <v>2.2999999999999998</v>
      </c>
      <c r="BG1044" s="315">
        <v>2.3096000000000001</v>
      </c>
      <c r="BH1044" s="315">
        <v>2.4582000000000002</v>
      </c>
      <c r="BI1044" s="315">
        <v>2.4836999999999998</v>
      </c>
      <c r="BJ1044" s="315">
        <v>2.1326000000000001</v>
      </c>
      <c r="BK1044" s="315">
        <v>2.2869999999999999</v>
      </c>
    </row>
    <row r="1045" spans="1:63" x14ac:dyDescent="0.25">
      <c r="A1045" s="306">
        <v>333920</v>
      </c>
      <c r="B1045" s="315" t="s">
        <v>204</v>
      </c>
      <c r="C1045" s="315">
        <v>3.1665000000000001</v>
      </c>
      <c r="D1045" s="315">
        <v>1.4359999999999999</v>
      </c>
      <c r="E1045" s="315">
        <v>2.2118000000000002</v>
      </c>
      <c r="F1045" s="315">
        <v>2.0329000000000002</v>
      </c>
      <c r="G1045" s="315">
        <v>1.8797999999999999</v>
      </c>
      <c r="H1045" s="315">
        <v>2.1796000000000002</v>
      </c>
      <c r="I1045" s="315">
        <v>2.1213000000000002</v>
      </c>
      <c r="J1045" s="315">
        <v>2.0948000000000002</v>
      </c>
      <c r="K1045" s="315">
        <v>1.1632</v>
      </c>
      <c r="L1045" s="315">
        <v>1.7645</v>
      </c>
      <c r="M1045" s="315">
        <v>1.8893</v>
      </c>
      <c r="N1045" s="315">
        <v>2.137</v>
      </c>
      <c r="O1045" s="315">
        <v>0</v>
      </c>
      <c r="P1045" s="315">
        <v>1.9024000000000001</v>
      </c>
      <c r="Q1045" s="315">
        <v>1.5848</v>
      </c>
      <c r="R1045" s="315">
        <v>2.6528</v>
      </c>
      <c r="S1045" s="315">
        <v>2.3573</v>
      </c>
      <c r="T1045" s="315">
        <v>1.8495999999999999</v>
      </c>
      <c r="U1045" s="315">
        <v>2.2441</v>
      </c>
      <c r="V1045" s="315">
        <v>1.9075</v>
      </c>
      <c r="W1045" s="315">
        <v>2.0335999999999999</v>
      </c>
      <c r="X1045" s="315">
        <v>1.8435999999999999</v>
      </c>
      <c r="Y1045" s="315">
        <v>1.7790999999999999</v>
      </c>
      <c r="Z1045" s="315">
        <v>2.4539</v>
      </c>
      <c r="AA1045" s="315">
        <v>2.1970999999999998</v>
      </c>
      <c r="AB1045" s="315">
        <v>2.1554000000000002</v>
      </c>
      <c r="AC1045" s="315">
        <v>1.9355</v>
      </c>
      <c r="AD1045" s="315">
        <v>0</v>
      </c>
      <c r="AE1045" s="315">
        <v>2.1421000000000001</v>
      </c>
      <c r="AF1045" s="315">
        <v>1.4962</v>
      </c>
      <c r="AG1045" s="315">
        <v>1.7394000000000001</v>
      </c>
      <c r="AH1045" s="315">
        <v>2.0329000000000002</v>
      </c>
      <c r="AI1045" s="315">
        <v>2.0800999999999998</v>
      </c>
      <c r="AJ1045" s="315">
        <v>1.5283</v>
      </c>
      <c r="AK1045" s="315">
        <v>1.6967000000000001</v>
      </c>
      <c r="AL1045" s="315">
        <v>1.9006000000000001</v>
      </c>
      <c r="AM1045" s="315">
        <v>2.6019999999999999</v>
      </c>
      <c r="AN1045" s="315">
        <v>2.1181999999999999</v>
      </c>
      <c r="AO1045" s="315">
        <v>2.1463999999999999</v>
      </c>
      <c r="AP1045" s="315">
        <v>2.5625</v>
      </c>
      <c r="AQ1045" s="315">
        <v>1.8272999999999999</v>
      </c>
      <c r="AR1045" s="315">
        <v>2.2890999999999999</v>
      </c>
      <c r="AS1045" s="315">
        <v>1.5484</v>
      </c>
      <c r="AT1045" s="315">
        <v>2.3618000000000001</v>
      </c>
      <c r="AU1045" s="315">
        <v>2.3706</v>
      </c>
      <c r="AV1045" s="315">
        <v>2.2927</v>
      </c>
      <c r="AW1045" s="315">
        <v>2.0211999999999999</v>
      </c>
      <c r="AX1045" s="315">
        <v>0</v>
      </c>
      <c r="AY1045" s="315">
        <v>1.9644999999999999</v>
      </c>
      <c r="AZ1045" s="315">
        <v>2.2534999999999998</v>
      </c>
      <c r="BA1045" s="315">
        <v>1.8027</v>
      </c>
      <c r="BB1045" s="315">
        <v>0</v>
      </c>
      <c r="BC1045" s="315">
        <v>2.2193999999999998</v>
      </c>
      <c r="BD1045" s="315">
        <v>2.4217</v>
      </c>
      <c r="BE1045" s="315">
        <v>2.718</v>
      </c>
      <c r="BF1045" s="315">
        <v>2.2299000000000002</v>
      </c>
      <c r="BG1045" s="315">
        <v>2.2744</v>
      </c>
      <c r="BH1045" s="315">
        <v>2.4466999999999999</v>
      </c>
      <c r="BI1045" s="315">
        <v>2.4611000000000001</v>
      </c>
      <c r="BJ1045" s="315">
        <v>2.0556999999999999</v>
      </c>
      <c r="BK1045" s="315">
        <v>2.2307000000000001</v>
      </c>
    </row>
    <row r="1046" spans="1:63" x14ac:dyDescent="0.25">
      <c r="A1046" s="306">
        <v>333991</v>
      </c>
      <c r="B1046" s="315" t="s">
        <v>205</v>
      </c>
      <c r="C1046" s="315">
        <v>2.6909000000000001</v>
      </c>
      <c r="D1046" s="315">
        <v>0</v>
      </c>
      <c r="E1046" s="315">
        <v>1.9168000000000001</v>
      </c>
      <c r="F1046" s="315">
        <v>1.8395999999999999</v>
      </c>
      <c r="G1046" s="315">
        <v>1.6614</v>
      </c>
      <c r="H1046" s="315">
        <v>1.8801000000000001</v>
      </c>
      <c r="I1046" s="315">
        <v>1.7426999999999999</v>
      </c>
      <c r="J1046" s="315">
        <v>1.8913</v>
      </c>
      <c r="K1046" s="315">
        <v>0</v>
      </c>
      <c r="L1046" s="315">
        <v>0</v>
      </c>
      <c r="M1046" s="315">
        <v>1.5992999999999999</v>
      </c>
      <c r="N1046" s="315">
        <v>1.9346000000000001</v>
      </c>
      <c r="O1046" s="315">
        <v>0</v>
      </c>
      <c r="P1046" s="315">
        <v>1.7524</v>
      </c>
      <c r="Q1046" s="315">
        <v>1.4739</v>
      </c>
      <c r="R1046" s="315">
        <v>2.2848000000000002</v>
      </c>
      <c r="S1046" s="315">
        <v>2.1012</v>
      </c>
      <c r="T1046" s="315">
        <v>1.6442000000000001</v>
      </c>
      <c r="U1046" s="315">
        <v>0</v>
      </c>
      <c r="V1046" s="315">
        <v>1.6196999999999999</v>
      </c>
      <c r="W1046" s="315">
        <v>1.8589</v>
      </c>
      <c r="X1046" s="315">
        <v>1.5567</v>
      </c>
      <c r="Y1046" s="315">
        <v>0</v>
      </c>
      <c r="Z1046" s="315">
        <v>2.0907</v>
      </c>
      <c r="AA1046" s="315">
        <v>1.9637</v>
      </c>
      <c r="AB1046" s="315">
        <v>2.0024999999999999</v>
      </c>
      <c r="AC1046" s="315">
        <v>1.6991000000000001</v>
      </c>
      <c r="AD1046" s="315">
        <v>0</v>
      </c>
      <c r="AE1046" s="315">
        <v>1.9401999999999999</v>
      </c>
      <c r="AF1046" s="315">
        <v>0</v>
      </c>
      <c r="AG1046" s="315">
        <v>1.4833000000000001</v>
      </c>
      <c r="AH1046" s="315">
        <v>0</v>
      </c>
      <c r="AI1046" s="315">
        <v>1.8223</v>
      </c>
      <c r="AJ1046" s="315">
        <v>0</v>
      </c>
      <c r="AK1046" s="315">
        <v>1.5318000000000001</v>
      </c>
      <c r="AL1046" s="315">
        <v>1.623</v>
      </c>
      <c r="AM1046" s="315">
        <v>2.2743000000000002</v>
      </c>
      <c r="AN1046" s="315">
        <v>1.7538</v>
      </c>
      <c r="AO1046" s="315">
        <v>1.8687</v>
      </c>
      <c r="AP1046" s="315">
        <v>2.2382</v>
      </c>
      <c r="AQ1046" s="315">
        <v>1.7551000000000001</v>
      </c>
      <c r="AR1046" s="315">
        <v>2.0276000000000001</v>
      </c>
      <c r="AS1046" s="315">
        <v>0</v>
      </c>
      <c r="AT1046" s="315">
        <v>2.1196999999999999</v>
      </c>
      <c r="AU1046" s="315">
        <v>2.0142000000000002</v>
      </c>
      <c r="AV1046" s="315">
        <v>0</v>
      </c>
      <c r="AW1046" s="315">
        <v>1.8183</v>
      </c>
      <c r="AX1046" s="315">
        <v>1.4964</v>
      </c>
      <c r="AY1046" s="315">
        <v>1.7156</v>
      </c>
      <c r="AZ1046" s="315">
        <v>2.0367000000000002</v>
      </c>
      <c r="BA1046" s="315">
        <v>0</v>
      </c>
      <c r="BB1046" s="315">
        <v>0</v>
      </c>
      <c r="BC1046" s="315">
        <v>2.0183</v>
      </c>
      <c r="BD1046" s="315">
        <v>2.0333999999999999</v>
      </c>
      <c r="BE1046" s="315">
        <v>2.3488000000000002</v>
      </c>
      <c r="BF1046" s="315">
        <v>2.0009999999999999</v>
      </c>
      <c r="BG1046" s="315">
        <v>1.9890000000000001</v>
      </c>
      <c r="BH1046" s="315">
        <v>2.1688999999999998</v>
      </c>
      <c r="BI1046" s="315">
        <v>2.0613999999999999</v>
      </c>
      <c r="BJ1046" s="315">
        <v>1.728</v>
      </c>
      <c r="BK1046" s="315">
        <v>1.9212</v>
      </c>
    </row>
    <row r="1047" spans="1:63" x14ac:dyDescent="0.25">
      <c r="A1047" s="306">
        <v>333993</v>
      </c>
      <c r="B1047" s="315" t="s">
        <v>207</v>
      </c>
      <c r="C1047" s="315">
        <v>3.1787999999999998</v>
      </c>
      <c r="D1047" s="315">
        <v>0</v>
      </c>
      <c r="E1047" s="315">
        <v>2.0667</v>
      </c>
      <c r="F1047" s="315">
        <v>1.9676</v>
      </c>
      <c r="G1047" s="315">
        <v>1.9669000000000001</v>
      </c>
      <c r="H1047" s="315">
        <v>2.3452999999999999</v>
      </c>
      <c r="I1047" s="315">
        <v>2.1871</v>
      </c>
      <c r="J1047" s="315">
        <v>2.1869999999999998</v>
      </c>
      <c r="K1047" s="315">
        <v>0</v>
      </c>
      <c r="L1047" s="315">
        <v>0</v>
      </c>
      <c r="M1047" s="315">
        <v>2.0287000000000002</v>
      </c>
      <c r="N1047" s="315">
        <v>2.2787000000000002</v>
      </c>
      <c r="O1047" s="315">
        <v>0</v>
      </c>
      <c r="P1047" s="315">
        <v>1.8379000000000001</v>
      </c>
      <c r="Q1047" s="315">
        <v>0</v>
      </c>
      <c r="R1047" s="315">
        <v>2.6265999999999998</v>
      </c>
      <c r="S1047" s="315">
        <v>2.1976</v>
      </c>
      <c r="T1047" s="315">
        <v>1.8548</v>
      </c>
      <c r="U1047" s="315">
        <v>2.2027000000000001</v>
      </c>
      <c r="V1047" s="315">
        <v>1.9119999999999999</v>
      </c>
      <c r="W1047" s="315">
        <v>2.2623000000000002</v>
      </c>
      <c r="X1047" s="315">
        <v>1.8868</v>
      </c>
      <c r="Y1047" s="315">
        <v>1.9219999999999999</v>
      </c>
      <c r="Z1047" s="315">
        <v>2.3816999999999999</v>
      </c>
      <c r="AA1047" s="315">
        <v>2.3075000000000001</v>
      </c>
      <c r="AB1047" s="315">
        <v>2.2197</v>
      </c>
      <c r="AC1047" s="315">
        <v>1.8505</v>
      </c>
      <c r="AD1047" s="315">
        <v>1.6015999999999999</v>
      </c>
      <c r="AE1047" s="315">
        <v>2.2077</v>
      </c>
      <c r="AF1047" s="315">
        <v>1.5376000000000001</v>
      </c>
      <c r="AG1047" s="315">
        <v>1.7209000000000001</v>
      </c>
      <c r="AH1047" s="315">
        <v>2.1547999999999998</v>
      </c>
      <c r="AI1047" s="315">
        <v>2.2315999999999998</v>
      </c>
      <c r="AJ1047" s="315">
        <v>1.6082000000000001</v>
      </c>
      <c r="AK1047" s="315">
        <v>1.7723</v>
      </c>
      <c r="AL1047" s="315">
        <v>2.0164</v>
      </c>
      <c r="AM1047" s="315">
        <v>2.5562999999999998</v>
      </c>
      <c r="AN1047" s="315">
        <v>1.9917</v>
      </c>
      <c r="AO1047" s="315">
        <v>2.1082999999999998</v>
      </c>
      <c r="AP1047" s="315">
        <v>2.5204</v>
      </c>
      <c r="AQ1047" s="315">
        <v>0</v>
      </c>
      <c r="AR1047" s="315">
        <v>2.2353000000000001</v>
      </c>
      <c r="AS1047" s="315">
        <v>0</v>
      </c>
      <c r="AT1047" s="315">
        <v>2.3115000000000001</v>
      </c>
      <c r="AU1047" s="315">
        <v>2.3382000000000001</v>
      </c>
      <c r="AV1047" s="315">
        <v>2.2604000000000002</v>
      </c>
      <c r="AW1047" s="315">
        <v>2.1616</v>
      </c>
      <c r="AX1047" s="315">
        <v>0</v>
      </c>
      <c r="AY1047" s="315">
        <v>2.0680000000000001</v>
      </c>
      <c r="AZ1047" s="315">
        <v>2.3168000000000002</v>
      </c>
      <c r="BA1047" s="315">
        <v>0</v>
      </c>
      <c r="BB1047" s="315">
        <v>0</v>
      </c>
      <c r="BC1047" s="315">
        <v>2.4297</v>
      </c>
      <c r="BD1047" s="315">
        <v>2.4420000000000002</v>
      </c>
      <c r="BE1047" s="315">
        <v>2.6755</v>
      </c>
      <c r="BF1047" s="315">
        <v>2.2907000000000002</v>
      </c>
      <c r="BG1047" s="315">
        <v>2.4037000000000002</v>
      </c>
      <c r="BH1047" s="315">
        <v>2.3845999999999998</v>
      </c>
      <c r="BI1047" s="315">
        <v>2.3740999999999999</v>
      </c>
      <c r="BJ1047" s="315">
        <v>2.1219999999999999</v>
      </c>
      <c r="BK1047" s="315">
        <v>2.3690000000000002</v>
      </c>
    </row>
    <row r="1048" spans="1:63" x14ac:dyDescent="0.25">
      <c r="A1048" s="306">
        <v>333994</v>
      </c>
      <c r="B1048" s="315" t="s">
        <v>208</v>
      </c>
      <c r="C1048" s="315">
        <v>2.8986000000000001</v>
      </c>
      <c r="D1048" s="315">
        <v>0</v>
      </c>
      <c r="E1048" s="315">
        <v>2.0186000000000002</v>
      </c>
      <c r="F1048" s="315">
        <v>0</v>
      </c>
      <c r="G1048" s="315">
        <v>1.9351</v>
      </c>
      <c r="H1048" s="315">
        <v>2.2275999999999998</v>
      </c>
      <c r="I1048" s="315">
        <v>2.1328</v>
      </c>
      <c r="J1048" s="315">
        <v>2.0327999999999999</v>
      </c>
      <c r="K1048" s="315">
        <v>0</v>
      </c>
      <c r="L1048" s="315">
        <v>0</v>
      </c>
      <c r="M1048" s="315">
        <v>1.93</v>
      </c>
      <c r="N1048" s="315">
        <v>2.1031</v>
      </c>
      <c r="O1048" s="315">
        <v>0</v>
      </c>
      <c r="P1048" s="315">
        <v>1.7503</v>
      </c>
      <c r="Q1048" s="315">
        <v>1.6839999999999999</v>
      </c>
      <c r="R1048" s="315">
        <v>2.4135</v>
      </c>
      <c r="S1048" s="315">
        <v>2.0783999999999998</v>
      </c>
      <c r="T1048" s="315">
        <v>1.7936000000000001</v>
      </c>
      <c r="U1048" s="315">
        <v>2.0076000000000001</v>
      </c>
      <c r="V1048" s="315">
        <v>1.8452</v>
      </c>
      <c r="W1048" s="315">
        <v>2.1097999999999999</v>
      </c>
      <c r="X1048" s="315">
        <v>1.8422000000000001</v>
      </c>
      <c r="Y1048" s="315">
        <v>0</v>
      </c>
      <c r="Z1048" s="315">
        <v>2.2410999999999999</v>
      </c>
      <c r="AA1048" s="315">
        <v>2.1760999999999999</v>
      </c>
      <c r="AB1048" s="315">
        <v>2.1545000000000001</v>
      </c>
      <c r="AC1048" s="315">
        <v>0</v>
      </c>
      <c r="AD1048" s="315">
        <v>0</v>
      </c>
      <c r="AE1048" s="315">
        <v>1.9769000000000001</v>
      </c>
      <c r="AF1048" s="315">
        <v>0</v>
      </c>
      <c r="AG1048" s="315">
        <v>0</v>
      </c>
      <c r="AH1048" s="315">
        <v>2.0230999999999999</v>
      </c>
      <c r="AI1048" s="315">
        <v>2.1469999999999998</v>
      </c>
      <c r="AJ1048" s="315">
        <v>0</v>
      </c>
      <c r="AK1048" s="315">
        <v>1.7645999999999999</v>
      </c>
      <c r="AL1048" s="315">
        <v>1.9488000000000001</v>
      </c>
      <c r="AM1048" s="315">
        <v>2.3313999999999999</v>
      </c>
      <c r="AN1048" s="315">
        <v>2.0049999999999999</v>
      </c>
      <c r="AO1048" s="315">
        <v>2.0966999999999998</v>
      </c>
      <c r="AP1048" s="315">
        <v>2.3820000000000001</v>
      </c>
      <c r="AQ1048" s="315">
        <v>1.9208000000000001</v>
      </c>
      <c r="AR1048" s="315">
        <v>2.0329999999999999</v>
      </c>
      <c r="AS1048" s="315">
        <v>0</v>
      </c>
      <c r="AT1048" s="315">
        <v>2.1183999999999998</v>
      </c>
      <c r="AU1048" s="315">
        <v>2.2216</v>
      </c>
      <c r="AV1048" s="315">
        <v>0</v>
      </c>
      <c r="AW1048" s="315">
        <v>0</v>
      </c>
      <c r="AX1048" s="315">
        <v>0</v>
      </c>
      <c r="AY1048" s="315">
        <v>1.9624999999999999</v>
      </c>
      <c r="AZ1048" s="315">
        <v>2.1179000000000001</v>
      </c>
      <c r="BA1048" s="315">
        <v>1.7568999999999999</v>
      </c>
      <c r="BB1048" s="315">
        <v>0</v>
      </c>
      <c r="BC1048" s="315">
        <v>2.2467000000000001</v>
      </c>
      <c r="BD1048" s="315">
        <v>2.3616000000000001</v>
      </c>
      <c r="BE1048" s="315">
        <v>2.4563000000000001</v>
      </c>
      <c r="BF1048" s="315">
        <v>2.1471</v>
      </c>
      <c r="BG1048" s="315">
        <v>2.1890000000000001</v>
      </c>
      <c r="BH1048" s="315">
        <v>2.1505000000000001</v>
      </c>
      <c r="BI1048" s="315">
        <v>2.3012999999999999</v>
      </c>
      <c r="BJ1048" s="315">
        <v>2.0682</v>
      </c>
      <c r="BK1048" s="315">
        <v>2.2458999999999998</v>
      </c>
    </row>
    <row r="1049" spans="1:63" x14ac:dyDescent="0.25">
      <c r="A1049" s="306" t="s">
        <v>734</v>
      </c>
      <c r="B1049" s="315" t="s">
        <v>206</v>
      </c>
      <c r="C1049" s="315">
        <v>3.0421999999999998</v>
      </c>
      <c r="D1049" s="315">
        <v>1.4772000000000001</v>
      </c>
      <c r="E1049" s="315">
        <v>2.0941000000000001</v>
      </c>
      <c r="F1049" s="315">
        <v>1.9543999999999999</v>
      </c>
      <c r="G1049" s="315">
        <v>1.9117999999999999</v>
      </c>
      <c r="H1049" s="315">
        <v>2.2193000000000001</v>
      </c>
      <c r="I1049" s="315">
        <v>2.0989</v>
      </c>
      <c r="J1049" s="315">
        <v>2.0857000000000001</v>
      </c>
      <c r="K1049" s="315">
        <v>0</v>
      </c>
      <c r="L1049" s="315">
        <v>1.7616000000000001</v>
      </c>
      <c r="M1049" s="315">
        <v>1.93</v>
      </c>
      <c r="N1049" s="315">
        <v>2.1732</v>
      </c>
      <c r="O1049" s="315">
        <v>0</v>
      </c>
      <c r="P1049" s="315">
        <v>1.7902</v>
      </c>
      <c r="Q1049" s="315">
        <v>1.6463000000000001</v>
      </c>
      <c r="R1049" s="315">
        <v>2.4954000000000001</v>
      </c>
      <c r="S1049" s="315">
        <v>2.2126999999999999</v>
      </c>
      <c r="T1049" s="315">
        <v>1.7815000000000001</v>
      </c>
      <c r="U1049" s="315">
        <v>2.1617999999999999</v>
      </c>
      <c r="V1049" s="315">
        <v>1.8888</v>
      </c>
      <c r="W1049" s="315">
        <v>2.1286999999999998</v>
      </c>
      <c r="X1049" s="315">
        <v>1.8734999999999999</v>
      </c>
      <c r="Y1049" s="315">
        <v>1.851</v>
      </c>
      <c r="Z1049" s="315">
        <v>2.3161</v>
      </c>
      <c r="AA1049" s="315">
        <v>2.2071999999999998</v>
      </c>
      <c r="AB1049" s="315">
        <v>2.1720999999999999</v>
      </c>
      <c r="AC1049" s="315">
        <v>1.855</v>
      </c>
      <c r="AD1049" s="315">
        <v>1.5376000000000001</v>
      </c>
      <c r="AE1049" s="315">
        <v>2.1065</v>
      </c>
      <c r="AF1049" s="315">
        <v>0</v>
      </c>
      <c r="AG1049" s="315">
        <v>1.6879</v>
      </c>
      <c r="AH1049" s="315">
        <v>2.0609999999999999</v>
      </c>
      <c r="AI1049" s="315">
        <v>2.1248999999999998</v>
      </c>
      <c r="AJ1049" s="315">
        <v>1.5769</v>
      </c>
      <c r="AK1049" s="315">
        <v>1.7676000000000001</v>
      </c>
      <c r="AL1049" s="315">
        <v>1.9399</v>
      </c>
      <c r="AM1049" s="315">
        <v>2.4657</v>
      </c>
      <c r="AN1049" s="315">
        <v>2.0005999999999999</v>
      </c>
      <c r="AO1049" s="315">
        <v>2.1082000000000001</v>
      </c>
      <c r="AP1049" s="315">
        <v>2.4662000000000002</v>
      </c>
      <c r="AQ1049" s="315">
        <v>1.9406000000000001</v>
      </c>
      <c r="AR1049" s="315">
        <v>2.1577000000000002</v>
      </c>
      <c r="AS1049" s="315">
        <v>1.5466</v>
      </c>
      <c r="AT1049" s="315">
        <v>2.2793000000000001</v>
      </c>
      <c r="AU1049" s="315">
        <v>2.3268</v>
      </c>
      <c r="AV1049" s="315">
        <v>2.1915</v>
      </c>
      <c r="AW1049" s="315">
        <v>2.0135999999999998</v>
      </c>
      <c r="AX1049" s="315">
        <v>1.7033</v>
      </c>
      <c r="AY1049" s="315">
        <v>1.9802</v>
      </c>
      <c r="AZ1049" s="315">
        <v>2.1882999999999999</v>
      </c>
      <c r="BA1049" s="315">
        <v>1.7571000000000001</v>
      </c>
      <c r="BB1049" s="315">
        <v>1.4550000000000001</v>
      </c>
      <c r="BC1049" s="315">
        <v>2.2831000000000001</v>
      </c>
      <c r="BD1049" s="315">
        <v>2.3843000000000001</v>
      </c>
      <c r="BE1049" s="315">
        <v>2.5750999999999999</v>
      </c>
      <c r="BF1049" s="315">
        <v>2.1844000000000001</v>
      </c>
      <c r="BG1049" s="315">
        <v>2.2585000000000002</v>
      </c>
      <c r="BH1049" s="315">
        <v>2.3262</v>
      </c>
      <c r="BI1049" s="315">
        <v>2.3727999999999998</v>
      </c>
      <c r="BJ1049" s="315">
        <v>2.0575999999999999</v>
      </c>
      <c r="BK1049" s="315">
        <v>2.2547000000000001</v>
      </c>
    </row>
    <row r="1050" spans="1:63" x14ac:dyDescent="0.25">
      <c r="A1050" s="306" t="s">
        <v>735</v>
      </c>
      <c r="B1050" s="315" t="s">
        <v>736</v>
      </c>
      <c r="C1050" s="315">
        <v>3.0177999999999998</v>
      </c>
      <c r="D1050" s="315">
        <v>0</v>
      </c>
      <c r="E1050" s="315">
        <v>2.1147999999999998</v>
      </c>
      <c r="F1050" s="315">
        <v>1.9168000000000001</v>
      </c>
      <c r="G1050" s="315">
        <v>1.8887</v>
      </c>
      <c r="H1050" s="315">
        <v>2.2027999999999999</v>
      </c>
      <c r="I1050" s="315">
        <v>2.1002000000000001</v>
      </c>
      <c r="J1050" s="315">
        <v>2.0712000000000002</v>
      </c>
      <c r="K1050" s="315">
        <v>0</v>
      </c>
      <c r="L1050" s="315">
        <v>1.7144999999999999</v>
      </c>
      <c r="M1050" s="315">
        <v>1.8557999999999999</v>
      </c>
      <c r="N1050" s="315">
        <v>2.0609999999999999</v>
      </c>
      <c r="O1050" s="315">
        <v>0</v>
      </c>
      <c r="P1050" s="315">
        <v>1.8055000000000001</v>
      </c>
      <c r="Q1050" s="315">
        <v>1.6133999999999999</v>
      </c>
      <c r="R1050" s="315">
        <v>2.5230999999999999</v>
      </c>
      <c r="S1050" s="315">
        <v>2.2505000000000002</v>
      </c>
      <c r="T1050" s="315">
        <v>1.7624</v>
      </c>
      <c r="U1050" s="315">
        <v>2.1593</v>
      </c>
      <c r="V1050" s="315">
        <v>1.8884000000000001</v>
      </c>
      <c r="W1050" s="315">
        <v>2.0678000000000001</v>
      </c>
      <c r="X1050" s="315">
        <v>0</v>
      </c>
      <c r="Y1050" s="315">
        <v>1.7997000000000001</v>
      </c>
      <c r="Z1050" s="315">
        <v>2.3685999999999998</v>
      </c>
      <c r="AA1050" s="315">
        <v>2.1663999999999999</v>
      </c>
      <c r="AB1050" s="315">
        <v>2.1017000000000001</v>
      </c>
      <c r="AC1050" s="315">
        <v>1.8245</v>
      </c>
      <c r="AD1050" s="315">
        <v>1.5339</v>
      </c>
      <c r="AE1050" s="315">
        <v>2.0320999999999998</v>
      </c>
      <c r="AF1050" s="315">
        <v>0</v>
      </c>
      <c r="AG1050" s="315">
        <v>1.667</v>
      </c>
      <c r="AH1050" s="315">
        <v>2.0535999999999999</v>
      </c>
      <c r="AI1050" s="315">
        <v>2.0240999999999998</v>
      </c>
      <c r="AJ1050" s="315">
        <v>1.5599000000000001</v>
      </c>
      <c r="AK1050" s="315">
        <v>1.7345999999999999</v>
      </c>
      <c r="AL1050" s="315">
        <v>1.8862000000000001</v>
      </c>
      <c r="AM1050" s="315">
        <v>2.4742000000000002</v>
      </c>
      <c r="AN1050" s="315">
        <v>2.0190000000000001</v>
      </c>
      <c r="AO1050" s="315">
        <v>2.1116999999999999</v>
      </c>
      <c r="AP1050" s="315">
        <v>2.4788999999999999</v>
      </c>
      <c r="AQ1050" s="315">
        <v>0</v>
      </c>
      <c r="AR1050" s="315">
        <v>2.1473</v>
      </c>
      <c r="AS1050" s="315">
        <v>1.5170999999999999</v>
      </c>
      <c r="AT1050" s="315">
        <v>2.2667000000000002</v>
      </c>
      <c r="AU1050" s="315">
        <v>2.319</v>
      </c>
      <c r="AV1050" s="315">
        <v>2.2103999999999999</v>
      </c>
      <c r="AW1050" s="315">
        <v>1.9864999999999999</v>
      </c>
      <c r="AX1050" s="315">
        <v>1.6637999999999999</v>
      </c>
      <c r="AY1050" s="315">
        <v>1.9340999999999999</v>
      </c>
      <c r="AZ1050" s="315">
        <v>2.1760000000000002</v>
      </c>
      <c r="BA1050" s="315">
        <v>1.7785</v>
      </c>
      <c r="BB1050" s="315">
        <v>1.4666999999999999</v>
      </c>
      <c r="BC1050" s="315">
        <v>2.2435</v>
      </c>
      <c r="BD1050" s="315">
        <v>2.3633000000000002</v>
      </c>
      <c r="BE1050" s="315">
        <v>2.5823999999999998</v>
      </c>
      <c r="BF1050" s="315">
        <v>2.1410999999999998</v>
      </c>
      <c r="BG1050" s="315">
        <v>2.1766000000000001</v>
      </c>
      <c r="BH1050" s="315">
        <v>2.3288000000000002</v>
      </c>
      <c r="BI1050" s="315">
        <v>2.3679000000000001</v>
      </c>
      <c r="BJ1050" s="315">
        <v>2.0428999999999999</v>
      </c>
      <c r="BK1050" s="315">
        <v>2.2400000000000002</v>
      </c>
    </row>
    <row r="1051" spans="1:63" x14ac:dyDescent="0.25">
      <c r="A1051" s="306">
        <v>334111</v>
      </c>
      <c r="B1051" s="315" t="s">
        <v>209</v>
      </c>
      <c r="C1051" s="315">
        <v>2.5539000000000001</v>
      </c>
      <c r="D1051" s="315">
        <v>0</v>
      </c>
      <c r="E1051" s="315">
        <v>1.6024</v>
      </c>
      <c r="F1051" s="315">
        <v>0</v>
      </c>
      <c r="G1051" s="315">
        <v>1.748</v>
      </c>
      <c r="H1051" s="315">
        <v>2.1724999999999999</v>
      </c>
      <c r="I1051" s="315">
        <v>2.1204000000000001</v>
      </c>
      <c r="J1051" s="315">
        <v>1.7215</v>
      </c>
      <c r="K1051" s="315">
        <v>1.1546000000000001</v>
      </c>
      <c r="L1051" s="315">
        <v>0</v>
      </c>
      <c r="M1051" s="315">
        <v>1.7223999999999999</v>
      </c>
      <c r="N1051" s="315">
        <v>1.8423</v>
      </c>
      <c r="O1051" s="315">
        <v>1.399</v>
      </c>
      <c r="P1051" s="315">
        <v>1.3728</v>
      </c>
      <c r="Q1051" s="315">
        <v>1.5920000000000001</v>
      </c>
      <c r="R1051" s="315">
        <v>1.8534999999999999</v>
      </c>
      <c r="S1051" s="315">
        <v>1.6145</v>
      </c>
      <c r="T1051" s="315">
        <v>1.4615</v>
      </c>
      <c r="U1051" s="315">
        <v>1.5704</v>
      </c>
      <c r="V1051" s="315">
        <v>1.4404999999999999</v>
      </c>
      <c r="W1051" s="315">
        <v>2.0931999999999999</v>
      </c>
      <c r="X1051" s="315">
        <v>1.5714999999999999</v>
      </c>
      <c r="Y1051" s="315">
        <v>0</v>
      </c>
      <c r="Z1051" s="315">
        <v>1.8203</v>
      </c>
      <c r="AA1051" s="315">
        <v>1.9934000000000001</v>
      </c>
      <c r="AB1051" s="315">
        <v>1.7122999999999999</v>
      </c>
      <c r="AC1051" s="315">
        <v>1.3912</v>
      </c>
      <c r="AD1051" s="315">
        <v>1.3129</v>
      </c>
      <c r="AE1051" s="315">
        <v>1.8335999999999999</v>
      </c>
      <c r="AF1051" s="315">
        <v>1.5002</v>
      </c>
      <c r="AG1051" s="315">
        <v>0</v>
      </c>
      <c r="AH1051" s="315">
        <v>1.9204000000000001</v>
      </c>
      <c r="AI1051" s="315">
        <v>1.8018000000000001</v>
      </c>
      <c r="AJ1051" s="315">
        <v>1.4629000000000001</v>
      </c>
      <c r="AK1051" s="315">
        <v>1.5274000000000001</v>
      </c>
      <c r="AL1051" s="315">
        <v>1.6732</v>
      </c>
      <c r="AM1051" s="315">
        <v>1.8295999999999999</v>
      </c>
      <c r="AN1051" s="315">
        <v>1.5396000000000001</v>
      </c>
      <c r="AO1051" s="315">
        <v>1.9127000000000001</v>
      </c>
      <c r="AP1051" s="315">
        <v>1.8612</v>
      </c>
      <c r="AQ1051" s="315">
        <v>0</v>
      </c>
      <c r="AR1051" s="315">
        <v>1.5382</v>
      </c>
      <c r="AS1051" s="315">
        <v>0</v>
      </c>
      <c r="AT1051" s="315">
        <v>1.6912</v>
      </c>
      <c r="AU1051" s="315">
        <v>2.0049000000000001</v>
      </c>
      <c r="AV1051" s="315">
        <v>1.9295</v>
      </c>
      <c r="AW1051" s="315">
        <v>1.7333000000000001</v>
      </c>
      <c r="AX1051" s="315">
        <v>0</v>
      </c>
      <c r="AY1051" s="315">
        <v>1.8376999999999999</v>
      </c>
      <c r="AZ1051" s="315">
        <v>1.8469</v>
      </c>
      <c r="BA1051" s="315">
        <v>0</v>
      </c>
      <c r="BB1051" s="315">
        <v>0</v>
      </c>
      <c r="BC1051" s="315">
        <v>2.1610999999999998</v>
      </c>
      <c r="BD1051" s="315">
        <v>1.8937999999999999</v>
      </c>
      <c r="BE1051" s="315">
        <v>1.9056999999999999</v>
      </c>
      <c r="BF1051" s="315">
        <v>1.8445</v>
      </c>
      <c r="BG1051" s="315">
        <v>1.8963000000000001</v>
      </c>
      <c r="BH1051" s="315">
        <v>1.6843999999999999</v>
      </c>
      <c r="BI1051" s="315">
        <v>1.9722999999999999</v>
      </c>
      <c r="BJ1051" s="315">
        <v>2.0596999999999999</v>
      </c>
      <c r="BK1051" s="315">
        <v>2.1869000000000001</v>
      </c>
    </row>
    <row r="1052" spans="1:63" x14ac:dyDescent="0.25">
      <c r="A1052" s="306">
        <v>334112</v>
      </c>
      <c r="B1052" s="315" t="s">
        <v>210</v>
      </c>
      <c r="C1052" s="315">
        <v>2.9950000000000001</v>
      </c>
      <c r="D1052" s="315">
        <v>0</v>
      </c>
      <c r="E1052" s="315">
        <v>1.8210999999999999</v>
      </c>
      <c r="F1052" s="315">
        <v>0</v>
      </c>
      <c r="G1052" s="315">
        <v>1.9129</v>
      </c>
      <c r="H1052" s="315">
        <v>2.4508999999999999</v>
      </c>
      <c r="I1052" s="315">
        <v>2.4104000000000001</v>
      </c>
      <c r="J1052" s="315">
        <v>1.9784999999999999</v>
      </c>
      <c r="K1052" s="315">
        <v>0</v>
      </c>
      <c r="L1052" s="315">
        <v>0</v>
      </c>
      <c r="M1052" s="315">
        <v>1.9161999999999999</v>
      </c>
      <c r="N1052" s="315">
        <v>2.2212999999999998</v>
      </c>
      <c r="O1052" s="315">
        <v>0</v>
      </c>
      <c r="P1052" s="315">
        <v>1.5481</v>
      </c>
      <c r="Q1052" s="315">
        <v>1.7629999999999999</v>
      </c>
      <c r="R1052" s="315">
        <v>2.1823999999999999</v>
      </c>
      <c r="S1052" s="315">
        <v>0</v>
      </c>
      <c r="T1052" s="315">
        <v>1.6676</v>
      </c>
      <c r="U1052" s="315">
        <v>0</v>
      </c>
      <c r="V1052" s="315">
        <v>0</v>
      </c>
      <c r="W1052" s="315">
        <v>2.3313000000000001</v>
      </c>
      <c r="X1052" s="315">
        <v>1.8283</v>
      </c>
      <c r="Y1052" s="315">
        <v>0</v>
      </c>
      <c r="Z1052" s="315">
        <v>2.1309</v>
      </c>
      <c r="AA1052" s="315">
        <v>2.2742</v>
      </c>
      <c r="AB1052" s="315">
        <v>0</v>
      </c>
      <c r="AC1052" s="315">
        <v>0</v>
      </c>
      <c r="AD1052" s="315">
        <v>0</v>
      </c>
      <c r="AE1052" s="315">
        <v>0</v>
      </c>
      <c r="AF1052" s="315">
        <v>0</v>
      </c>
      <c r="AG1052" s="315">
        <v>0</v>
      </c>
      <c r="AH1052" s="315">
        <v>2.1627999999999998</v>
      </c>
      <c r="AI1052" s="315">
        <v>2.109</v>
      </c>
      <c r="AJ1052" s="315">
        <v>0</v>
      </c>
      <c r="AK1052" s="315">
        <v>0</v>
      </c>
      <c r="AL1052" s="315">
        <v>1.8445</v>
      </c>
      <c r="AM1052" s="315">
        <v>0</v>
      </c>
      <c r="AN1052" s="315">
        <v>1.7790999999999999</v>
      </c>
      <c r="AO1052" s="315">
        <v>0</v>
      </c>
      <c r="AP1052" s="315">
        <v>2.1791999999999998</v>
      </c>
      <c r="AQ1052" s="315">
        <v>0</v>
      </c>
      <c r="AR1052" s="315">
        <v>0</v>
      </c>
      <c r="AS1052" s="315">
        <v>1.5018</v>
      </c>
      <c r="AT1052" s="315">
        <v>1.9817</v>
      </c>
      <c r="AU1052" s="315">
        <v>2.2206999999999999</v>
      </c>
      <c r="AV1052" s="315">
        <v>2.2208999999999999</v>
      </c>
      <c r="AW1052" s="315">
        <v>2.0244</v>
      </c>
      <c r="AX1052" s="315">
        <v>0</v>
      </c>
      <c r="AY1052" s="315">
        <v>2.1092</v>
      </c>
      <c r="AZ1052" s="315">
        <v>2.1625999999999999</v>
      </c>
      <c r="BA1052" s="315">
        <v>0</v>
      </c>
      <c r="BB1052" s="315">
        <v>0</v>
      </c>
      <c r="BC1052" s="315">
        <v>2.4510000000000001</v>
      </c>
      <c r="BD1052" s="315">
        <v>2.1760000000000002</v>
      </c>
      <c r="BE1052" s="315">
        <v>2.2549000000000001</v>
      </c>
      <c r="BF1052" s="315">
        <v>2.1404999999999998</v>
      </c>
      <c r="BG1052" s="315">
        <v>2.2256999999999998</v>
      </c>
      <c r="BH1052" s="315">
        <v>1.9584999999999999</v>
      </c>
      <c r="BI1052" s="315">
        <v>2.1850999999999998</v>
      </c>
      <c r="BJ1052" s="315">
        <v>2.3348</v>
      </c>
      <c r="BK1052" s="315">
        <v>2.4725000000000001</v>
      </c>
    </row>
    <row r="1053" spans="1:63" x14ac:dyDescent="0.25">
      <c r="A1053" s="306" t="s">
        <v>737</v>
      </c>
      <c r="B1053" s="315" t="s">
        <v>211</v>
      </c>
      <c r="C1053" s="315">
        <v>3.1166999999999998</v>
      </c>
      <c r="D1053" s="315">
        <v>0</v>
      </c>
      <c r="E1053" s="315">
        <v>1.9713000000000001</v>
      </c>
      <c r="F1053" s="315">
        <v>1.8898999999999999</v>
      </c>
      <c r="G1053" s="315">
        <v>1.9906999999999999</v>
      </c>
      <c r="H1053" s="315">
        <v>2.4319999999999999</v>
      </c>
      <c r="I1053" s="315">
        <v>2.3609</v>
      </c>
      <c r="J1053" s="315">
        <v>2.1610999999999998</v>
      </c>
      <c r="K1053" s="315">
        <v>1.2522</v>
      </c>
      <c r="L1053" s="315">
        <v>1.7305999999999999</v>
      </c>
      <c r="M1053" s="315">
        <v>2.0175000000000001</v>
      </c>
      <c r="N1053" s="315">
        <v>2.3079999999999998</v>
      </c>
      <c r="O1053" s="315">
        <v>0</v>
      </c>
      <c r="P1053" s="315">
        <v>1.6759999999999999</v>
      </c>
      <c r="Q1053" s="315">
        <v>1.7277</v>
      </c>
      <c r="R1053" s="315">
        <v>2.4411999999999998</v>
      </c>
      <c r="S1053" s="315">
        <v>2.1092</v>
      </c>
      <c r="T1053" s="315">
        <v>1.7639</v>
      </c>
      <c r="U1053" s="315">
        <v>2.0699000000000001</v>
      </c>
      <c r="V1053" s="315">
        <v>1.8686</v>
      </c>
      <c r="W1053" s="315">
        <v>2.3433000000000002</v>
      </c>
      <c r="X1053" s="315">
        <v>1.9117999999999999</v>
      </c>
      <c r="Y1053" s="315">
        <v>0</v>
      </c>
      <c r="Z1053" s="315">
        <v>2.2974000000000001</v>
      </c>
      <c r="AA1053" s="315">
        <v>2.2793999999999999</v>
      </c>
      <c r="AB1053" s="315">
        <v>2.1703999999999999</v>
      </c>
      <c r="AC1053" s="315">
        <v>1.7790999999999999</v>
      </c>
      <c r="AD1053" s="315">
        <v>1.5469999999999999</v>
      </c>
      <c r="AE1053" s="315">
        <v>2.2017000000000002</v>
      </c>
      <c r="AF1053" s="315">
        <v>1.637</v>
      </c>
      <c r="AG1053" s="315">
        <v>1.659</v>
      </c>
      <c r="AH1053" s="315">
        <v>2.1074999999999999</v>
      </c>
      <c r="AI1053" s="315">
        <v>2.2101999999999999</v>
      </c>
      <c r="AJ1053" s="315">
        <v>1.6579999999999999</v>
      </c>
      <c r="AK1053" s="315">
        <v>1.8453999999999999</v>
      </c>
      <c r="AL1053" s="315">
        <v>1.9715</v>
      </c>
      <c r="AM1053" s="315">
        <v>2.3811</v>
      </c>
      <c r="AN1053" s="315">
        <v>1.8717999999999999</v>
      </c>
      <c r="AO1053" s="315">
        <v>2.1913</v>
      </c>
      <c r="AP1053" s="315">
        <v>2.4476</v>
      </c>
      <c r="AQ1053" s="315">
        <v>1.9410000000000001</v>
      </c>
      <c r="AR1053" s="315">
        <v>2.0680999999999998</v>
      </c>
      <c r="AS1053" s="315">
        <v>1.4764999999999999</v>
      </c>
      <c r="AT1053" s="315">
        <v>2.2391999999999999</v>
      </c>
      <c r="AU1053" s="315">
        <v>2.4293999999999998</v>
      </c>
      <c r="AV1053" s="315">
        <v>2.2873999999999999</v>
      </c>
      <c r="AW1053" s="315">
        <v>2.1307999999999998</v>
      </c>
      <c r="AX1053" s="315">
        <v>1.6969000000000001</v>
      </c>
      <c r="AY1053" s="315">
        <v>2.1612</v>
      </c>
      <c r="AZ1053" s="315">
        <v>2.1993999999999998</v>
      </c>
      <c r="BA1053" s="315">
        <v>0</v>
      </c>
      <c r="BB1053" s="315">
        <v>1.4997</v>
      </c>
      <c r="BC1053" s="315">
        <v>2.4809999999999999</v>
      </c>
      <c r="BD1053" s="315">
        <v>2.4155000000000002</v>
      </c>
      <c r="BE1053" s="315">
        <v>2.4969999999999999</v>
      </c>
      <c r="BF1053" s="315">
        <v>2.1635</v>
      </c>
      <c r="BG1053" s="315">
        <v>2.3673000000000002</v>
      </c>
      <c r="BH1053" s="315">
        <v>2.2212000000000001</v>
      </c>
      <c r="BI1053" s="315">
        <v>2.4241000000000001</v>
      </c>
      <c r="BJ1053" s="315">
        <v>2.2806999999999999</v>
      </c>
      <c r="BK1053" s="315">
        <v>2.4592000000000001</v>
      </c>
    </row>
    <row r="1054" spans="1:63" x14ac:dyDescent="0.25">
      <c r="A1054" s="306">
        <v>334210</v>
      </c>
      <c r="B1054" s="315" t="s">
        <v>212</v>
      </c>
      <c r="C1054" s="315">
        <v>2.6945000000000001</v>
      </c>
      <c r="D1054" s="315">
        <v>0</v>
      </c>
      <c r="E1054" s="315">
        <v>1.6681999999999999</v>
      </c>
      <c r="F1054" s="315">
        <v>1.6045</v>
      </c>
      <c r="G1054" s="315">
        <v>1.8554999999999999</v>
      </c>
      <c r="H1054" s="315">
        <v>2.2227000000000001</v>
      </c>
      <c r="I1054" s="315">
        <v>2.0213999999999999</v>
      </c>
      <c r="J1054" s="315">
        <v>1.8788</v>
      </c>
      <c r="K1054" s="315">
        <v>1.1695</v>
      </c>
      <c r="L1054" s="315">
        <v>1.5465</v>
      </c>
      <c r="M1054" s="315">
        <v>1.8944000000000001</v>
      </c>
      <c r="N1054" s="315">
        <v>1.9686999999999999</v>
      </c>
      <c r="O1054" s="315">
        <v>0</v>
      </c>
      <c r="P1054" s="315">
        <v>0</v>
      </c>
      <c r="Q1054" s="315">
        <v>1.5916999999999999</v>
      </c>
      <c r="R1054" s="315">
        <v>2.1604000000000001</v>
      </c>
      <c r="S1054" s="315">
        <v>0</v>
      </c>
      <c r="T1054" s="315">
        <v>1.6373</v>
      </c>
      <c r="U1054" s="315">
        <v>1.6728000000000001</v>
      </c>
      <c r="V1054" s="315">
        <v>1.5395000000000001</v>
      </c>
      <c r="W1054" s="315">
        <v>2.0684</v>
      </c>
      <c r="X1054" s="315">
        <v>1.7934000000000001</v>
      </c>
      <c r="Y1054" s="315">
        <v>0</v>
      </c>
      <c r="Z1054" s="315">
        <v>1.8582000000000001</v>
      </c>
      <c r="AA1054" s="315">
        <v>1.9369000000000001</v>
      </c>
      <c r="AB1054" s="315">
        <v>1.8212999999999999</v>
      </c>
      <c r="AC1054" s="315">
        <v>1.4894000000000001</v>
      </c>
      <c r="AD1054" s="315">
        <v>0</v>
      </c>
      <c r="AE1054" s="315">
        <v>1.9766999999999999</v>
      </c>
      <c r="AF1054" s="315">
        <v>0</v>
      </c>
      <c r="AG1054" s="315">
        <v>1.4628000000000001</v>
      </c>
      <c r="AH1054" s="315">
        <v>1.9550000000000001</v>
      </c>
      <c r="AI1054" s="315">
        <v>2.0407000000000002</v>
      </c>
      <c r="AJ1054" s="315">
        <v>1.5671999999999999</v>
      </c>
      <c r="AK1054" s="315">
        <v>1.5961000000000001</v>
      </c>
      <c r="AL1054" s="315">
        <v>1.8068</v>
      </c>
      <c r="AM1054" s="315">
        <v>1.984</v>
      </c>
      <c r="AN1054" s="315">
        <v>1.6013999999999999</v>
      </c>
      <c r="AO1054" s="315">
        <v>1.9060999999999999</v>
      </c>
      <c r="AP1054" s="315">
        <v>2.0373999999999999</v>
      </c>
      <c r="AQ1054" s="315">
        <v>1.7571000000000001</v>
      </c>
      <c r="AR1054" s="315">
        <v>1.6716</v>
      </c>
      <c r="AS1054" s="315">
        <v>0</v>
      </c>
      <c r="AT1054" s="315">
        <v>1.772</v>
      </c>
      <c r="AU1054" s="315">
        <v>2.1957</v>
      </c>
      <c r="AV1054" s="315">
        <v>2.0994000000000002</v>
      </c>
      <c r="AW1054" s="315">
        <v>1.9410000000000001</v>
      </c>
      <c r="AX1054" s="315">
        <v>0</v>
      </c>
      <c r="AY1054" s="315">
        <v>1.8277000000000001</v>
      </c>
      <c r="AZ1054" s="315">
        <v>1.8193999999999999</v>
      </c>
      <c r="BA1054" s="315">
        <v>0</v>
      </c>
      <c r="BB1054" s="315">
        <v>0</v>
      </c>
      <c r="BC1054" s="315">
        <v>2.1989000000000001</v>
      </c>
      <c r="BD1054" s="315">
        <v>2.0990000000000002</v>
      </c>
      <c r="BE1054" s="315">
        <v>2.1254</v>
      </c>
      <c r="BF1054" s="315">
        <v>1.8913</v>
      </c>
      <c r="BG1054" s="315">
        <v>2.0943999999999998</v>
      </c>
      <c r="BH1054" s="315">
        <v>1.7677</v>
      </c>
      <c r="BI1054" s="315">
        <v>2.1652999999999998</v>
      </c>
      <c r="BJ1054" s="315">
        <v>2.0105</v>
      </c>
      <c r="BK1054" s="315">
        <v>2.2355</v>
      </c>
    </row>
    <row r="1055" spans="1:63" x14ac:dyDescent="0.25">
      <c r="A1055" s="306">
        <v>334220</v>
      </c>
      <c r="B1055" s="315" t="s">
        <v>738</v>
      </c>
      <c r="C1055" s="315">
        <v>3.0630000000000002</v>
      </c>
      <c r="D1055" s="315">
        <v>0</v>
      </c>
      <c r="E1055" s="315">
        <v>1.7930999999999999</v>
      </c>
      <c r="F1055" s="315">
        <v>1.7053</v>
      </c>
      <c r="G1055" s="315">
        <v>2.0939999999999999</v>
      </c>
      <c r="H1055" s="315">
        <v>2.528</v>
      </c>
      <c r="I1055" s="315">
        <v>2.2911000000000001</v>
      </c>
      <c r="J1055" s="315">
        <v>2.0623</v>
      </c>
      <c r="K1055" s="315">
        <v>1.2725</v>
      </c>
      <c r="L1055" s="315">
        <v>0</v>
      </c>
      <c r="M1055" s="315">
        <v>2.1494</v>
      </c>
      <c r="N1055" s="315">
        <v>2.2505999999999999</v>
      </c>
      <c r="O1055" s="315">
        <v>0</v>
      </c>
      <c r="P1055" s="315">
        <v>1.554</v>
      </c>
      <c r="Q1055" s="315">
        <v>1.7118</v>
      </c>
      <c r="R1055" s="315">
        <v>2.3847999999999998</v>
      </c>
      <c r="S1055" s="315">
        <v>2.0015000000000001</v>
      </c>
      <c r="T1055" s="315">
        <v>1.8107</v>
      </c>
      <c r="U1055" s="315">
        <v>0</v>
      </c>
      <c r="V1055" s="315">
        <v>1.6600999999999999</v>
      </c>
      <c r="W1055" s="315">
        <v>2.2932999999999999</v>
      </c>
      <c r="X1055" s="315">
        <v>2.0101</v>
      </c>
      <c r="Y1055" s="315">
        <v>1.9648000000000001</v>
      </c>
      <c r="Z1055" s="315">
        <v>2.0491999999999999</v>
      </c>
      <c r="AA1055" s="315">
        <v>2.1335999999999999</v>
      </c>
      <c r="AB1055" s="315">
        <v>2.0266000000000002</v>
      </c>
      <c r="AC1055" s="315">
        <v>1.5880000000000001</v>
      </c>
      <c r="AD1055" s="315">
        <v>1.4837</v>
      </c>
      <c r="AE1055" s="315">
        <v>2.1800000000000002</v>
      </c>
      <c r="AF1055" s="315">
        <v>1.5296000000000001</v>
      </c>
      <c r="AG1055" s="315">
        <v>1.5670999999999999</v>
      </c>
      <c r="AH1055" s="315">
        <v>2.1842999999999999</v>
      </c>
      <c r="AI1055" s="315">
        <v>2.3022999999999998</v>
      </c>
      <c r="AJ1055" s="315">
        <v>1.696</v>
      </c>
      <c r="AK1055" s="315">
        <v>1.738</v>
      </c>
      <c r="AL1055" s="315">
        <v>2.0152999999999999</v>
      </c>
      <c r="AM1055" s="315">
        <v>2.1646000000000001</v>
      </c>
      <c r="AN1055" s="315">
        <v>1.7599</v>
      </c>
      <c r="AO1055" s="315">
        <v>2.1206999999999998</v>
      </c>
      <c r="AP1055" s="315">
        <v>2.2299000000000002</v>
      </c>
      <c r="AQ1055" s="315">
        <v>1.9683999999999999</v>
      </c>
      <c r="AR1055" s="315">
        <v>1.7962</v>
      </c>
      <c r="AS1055" s="315">
        <v>1.5407999999999999</v>
      </c>
      <c r="AT1055" s="315">
        <v>1.9346000000000001</v>
      </c>
      <c r="AU1055" s="315">
        <v>2.4415</v>
      </c>
      <c r="AV1055" s="315">
        <v>2.4011</v>
      </c>
      <c r="AW1055" s="315">
        <v>2.1941000000000002</v>
      </c>
      <c r="AX1055" s="315">
        <v>1.6653</v>
      </c>
      <c r="AY1055" s="315">
        <v>2.0571000000000002</v>
      </c>
      <c r="AZ1055" s="315">
        <v>1.9754</v>
      </c>
      <c r="BA1055" s="315">
        <v>0</v>
      </c>
      <c r="BB1055" s="315">
        <v>0</v>
      </c>
      <c r="BC1055" s="315">
        <v>2.4496000000000002</v>
      </c>
      <c r="BD1055" s="315">
        <v>2.3471000000000002</v>
      </c>
      <c r="BE1055" s="315">
        <v>2.3588</v>
      </c>
      <c r="BF1055" s="315">
        <v>2.0994999999999999</v>
      </c>
      <c r="BG1055" s="315">
        <v>2.3746999999999998</v>
      </c>
      <c r="BH1055" s="315">
        <v>1.9049</v>
      </c>
      <c r="BI1055" s="315">
        <v>2.3954</v>
      </c>
      <c r="BJ1055" s="315">
        <v>2.2816999999999998</v>
      </c>
      <c r="BK1055" s="315">
        <v>2.5484</v>
      </c>
    </row>
    <row r="1056" spans="1:63" x14ac:dyDescent="0.25">
      <c r="A1056" s="306">
        <v>334290</v>
      </c>
      <c r="B1056" s="315" t="s">
        <v>213</v>
      </c>
      <c r="C1056" s="315">
        <v>3.0634000000000001</v>
      </c>
      <c r="D1056" s="315">
        <v>1.4047000000000001</v>
      </c>
      <c r="E1056" s="315">
        <v>1.8822000000000001</v>
      </c>
      <c r="F1056" s="315">
        <v>0</v>
      </c>
      <c r="G1056" s="315">
        <v>1.9954000000000001</v>
      </c>
      <c r="H1056" s="315">
        <v>2.4666000000000001</v>
      </c>
      <c r="I1056" s="315">
        <v>2.3847</v>
      </c>
      <c r="J1056" s="315">
        <v>2.1328999999999998</v>
      </c>
      <c r="K1056" s="315">
        <v>0</v>
      </c>
      <c r="L1056" s="315">
        <v>0</v>
      </c>
      <c r="M1056" s="315">
        <v>2.0266999999999999</v>
      </c>
      <c r="N1056" s="315">
        <v>2.3313999999999999</v>
      </c>
      <c r="O1056" s="315">
        <v>0</v>
      </c>
      <c r="P1056" s="315">
        <v>1.6261000000000001</v>
      </c>
      <c r="Q1056" s="315">
        <v>1.6888000000000001</v>
      </c>
      <c r="R1056" s="315">
        <v>2.3784000000000001</v>
      </c>
      <c r="S1056" s="315">
        <v>1.9984999999999999</v>
      </c>
      <c r="T1056" s="315">
        <v>1.7581</v>
      </c>
      <c r="U1056" s="315">
        <v>1.8953</v>
      </c>
      <c r="V1056" s="315">
        <v>1.7226999999999999</v>
      </c>
      <c r="W1056" s="315">
        <v>2.3449</v>
      </c>
      <c r="X1056" s="315">
        <v>1.9309000000000001</v>
      </c>
      <c r="Y1056" s="315">
        <v>1.8302</v>
      </c>
      <c r="Z1056" s="315">
        <v>2.2662</v>
      </c>
      <c r="AA1056" s="315">
        <v>2.2986</v>
      </c>
      <c r="AB1056" s="315">
        <v>2.1309999999999998</v>
      </c>
      <c r="AC1056" s="315">
        <v>1.6433</v>
      </c>
      <c r="AD1056" s="315">
        <v>1.4907999999999999</v>
      </c>
      <c r="AE1056" s="315">
        <v>2.1808999999999998</v>
      </c>
      <c r="AF1056" s="315">
        <v>0</v>
      </c>
      <c r="AG1056" s="315">
        <v>1.6344000000000001</v>
      </c>
      <c r="AH1056" s="315">
        <v>2.1863999999999999</v>
      </c>
      <c r="AI1056" s="315">
        <v>2.2494000000000001</v>
      </c>
      <c r="AJ1056" s="315">
        <v>1.6156999999999999</v>
      </c>
      <c r="AK1056" s="315">
        <v>1.8027</v>
      </c>
      <c r="AL1056" s="315">
        <v>1.9368000000000001</v>
      </c>
      <c r="AM1056" s="315">
        <v>2.2423999999999999</v>
      </c>
      <c r="AN1056" s="315">
        <v>1.784</v>
      </c>
      <c r="AO1056" s="315">
        <v>2.2286000000000001</v>
      </c>
      <c r="AP1056" s="315">
        <v>2.3448000000000002</v>
      </c>
      <c r="AQ1056" s="315">
        <v>2.0251999999999999</v>
      </c>
      <c r="AR1056" s="315">
        <v>1.9071</v>
      </c>
      <c r="AS1056" s="315">
        <v>1.4794</v>
      </c>
      <c r="AT1056" s="315">
        <v>2.1124999999999998</v>
      </c>
      <c r="AU1056" s="315">
        <v>2.3694000000000002</v>
      </c>
      <c r="AV1056" s="315">
        <v>2.3824999999999998</v>
      </c>
      <c r="AW1056" s="315">
        <v>2.1619999999999999</v>
      </c>
      <c r="AX1056" s="315">
        <v>0</v>
      </c>
      <c r="AY1056" s="315">
        <v>2.1776</v>
      </c>
      <c r="AZ1056" s="315">
        <v>2.1947000000000001</v>
      </c>
      <c r="BA1056" s="315">
        <v>0</v>
      </c>
      <c r="BB1056" s="315">
        <v>0</v>
      </c>
      <c r="BC1056" s="315">
        <v>2.4811999999999999</v>
      </c>
      <c r="BD1056" s="315">
        <v>2.3191999999999999</v>
      </c>
      <c r="BE1056" s="315">
        <v>2.4108000000000001</v>
      </c>
      <c r="BF1056" s="315">
        <v>2.1625000000000001</v>
      </c>
      <c r="BG1056" s="315">
        <v>2.3576999999999999</v>
      </c>
      <c r="BH1056" s="315">
        <v>2.0455999999999999</v>
      </c>
      <c r="BI1056" s="315">
        <v>2.3136999999999999</v>
      </c>
      <c r="BJ1056" s="315">
        <v>2.3201999999999998</v>
      </c>
      <c r="BK1056" s="315">
        <v>2.4925000000000002</v>
      </c>
    </row>
    <row r="1057" spans="1:63" x14ac:dyDescent="0.25">
      <c r="A1057" s="306">
        <v>334300</v>
      </c>
      <c r="B1057" s="315" t="s">
        <v>214</v>
      </c>
      <c r="C1057" s="315">
        <v>2.9657</v>
      </c>
      <c r="D1057" s="315">
        <v>0</v>
      </c>
      <c r="E1057" s="315">
        <v>1.8096000000000001</v>
      </c>
      <c r="F1057" s="315">
        <v>1.7883</v>
      </c>
      <c r="G1057" s="315">
        <v>1.8351999999999999</v>
      </c>
      <c r="H1057" s="315">
        <v>2.3494999999999999</v>
      </c>
      <c r="I1057" s="315">
        <v>1.9881</v>
      </c>
      <c r="J1057" s="315">
        <v>1.9160999999999999</v>
      </c>
      <c r="K1057" s="315">
        <v>1.1895</v>
      </c>
      <c r="L1057" s="315">
        <v>1.6144000000000001</v>
      </c>
      <c r="M1057" s="315">
        <v>1.8493999999999999</v>
      </c>
      <c r="N1057" s="315">
        <v>2.0914999999999999</v>
      </c>
      <c r="O1057" s="315">
        <v>0</v>
      </c>
      <c r="P1057" s="315">
        <v>1.5541</v>
      </c>
      <c r="Q1057" s="315">
        <v>1.5731999999999999</v>
      </c>
      <c r="R1057" s="315">
        <v>2.2606000000000002</v>
      </c>
      <c r="S1057" s="315">
        <v>1.9635</v>
      </c>
      <c r="T1057" s="315">
        <v>1.6091</v>
      </c>
      <c r="U1057" s="315">
        <v>1.9972000000000001</v>
      </c>
      <c r="V1057" s="315">
        <v>1.59</v>
      </c>
      <c r="W1057" s="315">
        <v>2.2764000000000002</v>
      </c>
      <c r="X1057" s="315">
        <v>1.7463</v>
      </c>
      <c r="Y1057" s="315">
        <v>1.7125999999999999</v>
      </c>
      <c r="Z1057" s="315">
        <v>2.1732999999999998</v>
      </c>
      <c r="AA1057" s="315">
        <v>2.0438999999999998</v>
      </c>
      <c r="AB1057" s="315">
        <v>1.998</v>
      </c>
      <c r="AC1057" s="315">
        <v>1.6393</v>
      </c>
      <c r="AD1057" s="315">
        <v>0</v>
      </c>
      <c r="AE1057" s="315">
        <v>1.9956</v>
      </c>
      <c r="AF1057" s="315">
        <v>1.4852000000000001</v>
      </c>
      <c r="AG1057" s="315">
        <v>1.5067999999999999</v>
      </c>
      <c r="AH1057" s="315">
        <v>1.9749000000000001</v>
      </c>
      <c r="AI1057" s="315">
        <v>2.1922000000000001</v>
      </c>
      <c r="AJ1057" s="315">
        <v>1.5665</v>
      </c>
      <c r="AK1057" s="315">
        <v>1.6160000000000001</v>
      </c>
      <c r="AL1057" s="315">
        <v>1.8389</v>
      </c>
      <c r="AM1057" s="315">
        <v>2.2052</v>
      </c>
      <c r="AN1057" s="315">
        <v>1.6772</v>
      </c>
      <c r="AO1057" s="315">
        <v>1.9814000000000001</v>
      </c>
      <c r="AP1057" s="315">
        <v>2.2825000000000002</v>
      </c>
      <c r="AQ1057" s="315">
        <v>1.7447999999999999</v>
      </c>
      <c r="AR1057" s="315">
        <v>1.9142999999999999</v>
      </c>
      <c r="AS1057" s="315">
        <v>0</v>
      </c>
      <c r="AT1057" s="315">
        <v>2.0308999999999999</v>
      </c>
      <c r="AU1057" s="315">
        <v>2.1688999999999998</v>
      </c>
      <c r="AV1057" s="315">
        <v>2.0916999999999999</v>
      </c>
      <c r="AW1057" s="315">
        <v>1.84</v>
      </c>
      <c r="AX1057" s="315">
        <v>1.5922000000000001</v>
      </c>
      <c r="AY1057" s="315">
        <v>1.8922000000000001</v>
      </c>
      <c r="AZ1057" s="315">
        <v>2.0152000000000001</v>
      </c>
      <c r="BA1057" s="315">
        <v>1.5193000000000001</v>
      </c>
      <c r="BB1057" s="315">
        <v>1.3016000000000001</v>
      </c>
      <c r="BC1057" s="315">
        <v>2.3662000000000001</v>
      </c>
      <c r="BD1057" s="315">
        <v>2.2298</v>
      </c>
      <c r="BE1057" s="315">
        <v>2.3271999999999999</v>
      </c>
      <c r="BF1057" s="315">
        <v>1.9696</v>
      </c>
      <c r="BG1057" s="315">
        <v>2.1432000000000002</v>
      </c>
      <c r="BH1057" s="315">
        <v>2.1013000000000002</v>
      </c>
      <c r="BI1057" s="315">
        <v>2.1637</v>
      </c>
      <c r="BJ1057" s="315">
        <v>2.0238999999999998</v>
      </c>
      <c r="BK1057" s="315">
        <v>2.3776000000000002</v>
      </c>
    </row>
    <row r="1058" spans="1:63" x14ac:dyDescent="0.25">
      <c r="A1058" s="306">
        <v>334411</v>
      </c>
      <c r="B1058" s="315" t="s">
        <v>215</v>
      </c>
      <c r="C1058" s="315">
        <v>3.0118</v>
      </c>
      <c r="D1058" s="315">
        <v>0</v>
      </c>
      <c r="E1058" s="315">
        <v>0</v>
      </c>
      <c r="F1058" s="315">
        <v>0</v>
      </c>
      <c r="G1058" s="315">
        <v>0</v>
      </c>
      <c r="H1058" s="315">
        <v>2.2086999999999999</v>
      </c>
      <c r="I1058" s="315">
        <v>2.0379999999999998</v>
      </c>
      <c r="J1058" s="315">
        <v>0</v>
      </c>
      <c r="K1058" s="315">
        <v>0</v>
      </c>
      <c r="L1058" s="315">
        <v>0</v>
      </c>
      <c r="M1058" s="315">
        <v>1.8283</v>
      </c>
      <c r="N1058" s="315">
        <v>0</v>
      </c>
      <c r="O1058" s="315">
        <v>0</v>
      </c>
      <c r="P1058" s="315">
        <v>0</v>
      </c>
      <c r="Q1058" s="315">
        <v>0</v>
      </c>
      <c r="R1058" s="315">
        <v>2.3033000000000001</v>
      </c>
      <c r="S1058" s="315">
        <v>0</v>
      </c>
      <c r="T1058" s="315">
        <v>0</v>
      </c>
      <c r="U1058" s="315">
        <v>2.1894999999999998</v>
      </c>
      <c r="V1058" s="315">
        <v>1.7419</v>
      </c>
      <c r="W1058" s="315">
        <v>2.0295999999999998</v>
      </c>
      <c r="X1058" s="315">
        <v>1.736</v>
      </c>
      <c r="Y1058" s="315">
        <v>0</v>
      </c>
      <c r="Z1058" s="315">
        <v>2.2042999999999999</v>
      </c>
      <c r="AA1058" s="315">
        <v>0</v>
      </c>
      <c r="AB1058" s="315">
        <v>1.9683999999999999</v>
      </c>
      <c r="AC1058" s="315">
        <v>1.7524999999999999</v>
      </c>
      <c r="AD1058" s="315">
        <v>0</v>
      </c>
      <c r="AE1058" s="315">
        <v>0</v>
      </c>
      <c r="AF1058" s="315">
        <v>0</v>
      </c>
      <c r="AG1058" s="315">
        <v>0</v>
      </c>
      <c r="AH1058" s="315">
        <v>0</v>
      </c>
      <c r="AI1058" s="315">
        <v>2.2621000000000002</v>
      </c>
      <c r="AJ1058" s="315">
        <v>0</v>
      </c>
      <c r="AK1058" s="315">
        <v>0</v>
      </c>
      <c r="AL1058" s="315">
        <v>1.8542000000000001</v>
      </c>
      <c r="AM1058" s="315">
        <v>2.44</v>
      </c>
      <c r="AN1058" s="315">
        <v>0</v>
      </c>
      <c r="AO1058" s="315">
        <v>0</v>
      </c>
      <c r="AP1058" s="315">
        <v>2.5055000000000001</v>
      </c>
      <c r="AQ1058" s="315">
        <v>0</v>
      </c>
      <c r="AR1058" s="315">
        <v>2.0790999999999999</v>
      </c>
      <c r="AS1058" s="315">
        <v>0</v>
      </c>
      <c r="AT1058" s="315">
        <v>0</v>
      </c>
      <c r="AU1058" s="315">
        <v>2.2299000000000002</v>
      </c>
      <c r="AV1058" s="315">
        <v>0</v>
      </c>
      <c r="AW1058" s="315">
        <v>0</v>
      </c>
      <c r="AX1058" s="315">
        <v>0</v>
      </c>
      <c r="AY1058" s="315">
        <v>0</v>
      </c>
      <c r="AZ1058" s="315">
        <v>2.1435</v>
      </c>
      <c r="BA1058" s="315">
        <v>0</v>
      </c>
      <c r="BB1058" s="315">
        <v>0</v>
      </c>
      <c r="BC1058" s="315">
        <v>2.2128000000000001</v>
      </c>
      <c r="BD1058" s="315">
        <v>2.4222999999999999</v>
      </c>
      <c r="BE1058" s="315">
        <v>2.5442999999999998</v>
      </c>
      <c r="BF1058" s="315">
        <v>2.1273</v>
      </c>
      <c r="BG1058" s="315">
        <v>2.1939000000000002</v>
      </c>
      <c r="BH1058" s="315">
        <v>2.3424999999999998</v>
      </c>
      <c r="BI1058" s="315">
        <v>2.2414000000000001</v>
      </c>
      <c r="BJ1058" s="315">
        <v>2.0223</v>
      </c>
      <c r="BK1058" s="315">
        <v>2.2745000000000002</v>
      </c>
    </row>
    <row r="1059" spans="1:63" x14ac:dyDescent="0.25">
      <c r="A1059" s="306">
        <v>334412</v>
      </c>
      <c r="B1059" s="315" t="s">
        <v>216</v>
      </c>
      <c r="C1059" s="315">
        <v>3.0345</v>
      </c>
      <c r="D1059" s="315">
        <v>0</v>
      </c>
      <c r="E1059" s="315">
        <v>2.0226999999999999</v>
      </c>
      <c r="F1059" s="315">
        <v>1.8469</v>
      </c>
      <c r="G1059" s="315">
        <v>2.1078999999999999</v>
      </c>
      <c r="H1059" s="315">
        <v>2.3805000000000001</v>
      </c>
      <c r="I1059" s="315">
        <v>2.3079000000000001</v>
      </c>
      <c r="J1059" s="315">
        <v>2.1349</v>
      </c>
      <c r="K1059" s="315">
        <v>0</v>
      </c>
      <c r="L1059" s="315">
        <v>0</v>
      </c>
      <c r="M1059" s="315">
        <v>2.0855000000000001</v>
      </c>
      <c r="N1059" s="315">
        <v>2.1962000000000002</v>
      </c>
      <c r="O1059" s="315">
        <v>0</v>
      </c>
      <c r="P1059" s="315">
        <v>1.6725000000000001</v>
      </c>
      <c r="Q1059" s="315">
        <v>1.7408999999999999</v>
      </c>
      <c r="R1059" s="315">
        <v>2.4148999999999998</v>
      </c>
      <c r="S1059" s="315">
        <v>2.0531999999999999</v>
      </c>
      <c r="T1059" s="315">
        <v>1.7601</v>
      </c>
      <c r="U1059" s="315">
        <v>1.9982</v>
      </c>
      <c r="V1059" s="315">
        <v>1.8657999999999999</v>
      </c>
      <c r="W1059" s="315">
        <v>2.2587000000000002</v>
      </c>
      <c r="X1059" s="315">
        <v>1.9051</v>
      </c>
      <c r="Y1059" s="315">
        <v>1.8914</v>
      </c>
      <c r="Z1059" s="315">
        <v>2.2204000000000002</v>
      </c>
      <c r="AA1059" s="315">
        <v>2.2134</v>
      </c>
      <c r="AB1059" s="315">
        <v>2.1251000000000002</v>
      </c>
      <c r="AC1059" s="315">
        <v>1.7471000000000001</v>
      </c>
      <c r="AD1059" s="315">
        <v>0</v>
      </c>
      <c r="AE1059" s="315">
        <v>2.1619000000000002</v>
      </c>
      <c r="AF1059" s="315">
        <v>1.6052</v>
      </c>
      <c r="AG1059" s="315">
        <v>1.6279999999999999</v>
      </c>
      <c r="AH1059" s="315">
        <v>2.0848</v>
      </c>
      <c r="AI1059" s="315">
        <v>2.2503000000000002</v>
      </c>
      <c r="AJ1059" s="315">
        <v>1.7407999999999999</v>
      </c>
      <c r="AK1059" s="315">
        <v>1.8028999999999999</v>
      </c>
      <c r="AL1059" s="315">
        <v>2.0175000000000001</v>
      </c>
      <c r="AM1059" s="315">
        <v>2.2972000000000001</v>
      </c>
      <c r="AN1059" s="315">
        <v>1.8982000000000001</v>
      </c>
      <c r="AO1059" s="315">
        <v>2.1360999999999999</v>
      </c>
      <c r="AP1059" s="315">
        <v>2.3851</v>
      </c>
      <c r="AQ1059" s="315">
        <v>1.8925000000000001</v>
      </c>
      <c r="AR1059" s="315">
        <v>2.0164</v>
      </c>
      <c r="AS1059" s="315">
        <v>1.5488</v>
      </c>
      <c r="AT1059" s="315">
        <v>2.1941999999999999</v>
      </c>
      <c r="AU1059" s="315">
        <v>2.4319000000000002</v>
      </c>
      <c r="AV1059" s="315">
        <v>2.3001</v>
      </c>
      <c r="AW1059" s="315">
        <v>2.0747</v>
      </c>
      <c r="AX1059" s="315">
        <v>1.7988999999999999</v>
      </c>
      <c r="AY1059" s="315">
        <v>2.0749</v>
      </c>
      <c r="AZ1059" s="315">
        <v>2.1044</v>
      </c>
      <c r="BA1059" s="315">
        <v>0</v>
      </c>
      <c r="BB1059" s="315">
        <v>0</v>
      </c>
      <c r="BC1059" s="315">
        <v>2.4098000000000002</v>
      </c>
      <c r="BD1059" s="315">
        <v>2.3868</v>
      </c>
      <c r="BE1059" s="315">
        <v>2.4367000000000001</v>
      </c>
      <c r="BF1059" s="315">
        <v>2.1787999999999998</v>
      </c>
      <c r="BG1059" s="315">
        <v>2.3584999999999998</v>
      </c>
      <c r="BH1059" s="315">
        <v>2.1924999999999999</v>
      </c>
      <c r="BI1059" s="315">
        <v>2.4339</v>
      </c>
      <c r="BJ1059" s="315">
        <v>2.2955000000000001</v>
      </c>
      <c r="BK1059" s="315">
        <v>2.4137</v>
      </c>
    </row>
    <row r="1060" spans="1:63" x14ac:dyDescent="0.25">
      <c r="A1060" s="306">
        <v>334413</v>
      </c>
      <c r="B1060" s="315" t="s">
        <v>217</v>
      </c>
      <c r="C1060" s="315">
        <v>2.5718999999999999</v>
      </c>
      <c r="D1060" s="315">
        <v>0</v>
      </c>
      <c r="E1060" s="315">
        <v>1.7732000000000001</v>
      </c>
      <c r="F1060" s="315">
        <v>1.7149000000000001</v>
      </c>
      <c r="G1060" s="315">
        <v>1.7948999999999999</v>
      </c>
      <c r="H1060" s="315">
        <v>2.0284</v>
      </c>
      <c r="I1060" s="315">
        <v>2.0222000000000002</v>
      </c>
      <c r="J1060" s="315">
        <v>1.841</v>
      </c>
      <c r="K1060" s="315">
        <v>1.2045999999999999</v>
      </c>
      <c r="L1060" s="315">
        <v>1.6741999999999999</v>
      </c>
      <c r="M1060" s="315">
        <v>1.7870999999999999</v>
      </c>
      <c r="N1060" s="315">
        <v>1.9741</v>
      </c>
      <c r="O1060" s="315">
        <v>1.6073999999999999</v>
      </c>
      <c r="P1060" s="315">
        <v>1.5043</v>
      </c>
      <c r="Q1060" s="315">
        <v>1.6</v>
      </c>
      <c r="R1060" s="315">
        <v>2.1164000000000001</v>
      </c>
      <c r="S1060" s="315">
        <v>1.8264</v>
      </c>
      <c r="T1060" s="315">
        <v>1.6303000000000001</v>
      </c>
      <c r="U1060" s="315">
        <v>1.8031999999999999</v>
      </c>
      <c r="V1060" s="315">
        <v>0</v>
      </c>
      <c r="W1060" s="315">
        <v>1.9359999999999999</v>
      </c>
      <c r="X1060" s="315">
        <v>1.7584</v>
      </c>
      <c r="Y1060" s="315">
        <v>1.7250000000000001</v>
      </c>
      <c r="Z1060" s="315">
        <v>1.9458</v>
      </c>
      <c r="AA1060" s="315">
        <v>1.8766</v>
      </c>
      <c r="AB1060" s="315">
        <v>1.9482999999999999</v>
      </c>
      <c r="AC1060" s="315">
        <v>1.5952</v>
      </c>
      <c r="AD1060" s="315">
        <v>1.4964999999999999</v>
      </c>
      <c r="AE1060" s="315">
        <v>1.9091</v>
      </c>
      <c r="AF1060" s="315">
        <v>0</v>
      </c>
      <c r="AG1060" s="315">
        <v>1.5164</v>
      </c>
      <c r="AH1060" s="315">
        <v>1.7685999999999999</v>
      </c>
      <c r="AI1060" s="315">
        <v>2.0167000000000002</v>
      </c>
      <c r="AJ1060" s="315">
        <v>1.6173</v>
      </c>
      <c r="AK1060" s="315">
        <v>1.7007000000000001</v>
      </c>
      <c r="AL1060" s="315">
        <v>1.7768999999999999</v>
      </c>
      <c r="AM1060" s="315">
        <v>2.0724999999999998</v>
      </c>
      <c r="AN1060" s="315">
        <v>1.6938</v>
      </c>
      <c r="AO1060" s="315">
        <v>1.8844000000000001</v>
      </c>
      <c r="AP1060" s="315">
        <v>2.1048</v>
      </c>
      <c r="AQ1060" s="315">
        <v>1.7131000000000001</v>
      </c>
      <c r="AR1060" s="315">
        <v>1.7961</v>
      </c>
      <c r="AS1060" s="315">
        <v>1.3642000000000001</v>
      </c>
      <c r="AT1060" s="315">
        <v>1.923</v>
      </c>
      <c r="AU1060" s="315">
        <v>2.0756999999999999</v>
      </c>
      <c r="AV1060" s="315">
        <v>2.0653000000000001</v>
      </c>
      <c r="AW1060" s="315">
        <v>1.8665</v>
      </c>
      <c r="AX1060" s="315">
        <v>1.5125</v>
      </c>
      <c r="AY1060" s="315">
        <v>1.8747</v>
      </c>
      <c r="AZ1060" s="315">
        <v>1.8065</v>
      </c>
      <c r="BA1060" s="315">
        <v>1.5668</v>
      </c>
      <c r="BB1060" s="315">
        <v>0</v>
      </c>
      <c r="BC1060" s="315">
        <v>2.0474999999999999</v>
      </c>
      <c r="BD1060" s="315">
        <v>2.1107</v>
      </c>
      <c r="BE1060" s="315">
        <v>2.1406999999999998</v>
      </c>
      <c r="BF1060" s="315">
        <v>1.8782000000000001</v>
      </c>
      <c r="BG1060" s="315">
        <v>2.0758000000000001</v>
      </c>
      <c r="BH1060" s="315">
        <v>1.9179999999999999</v>
      </c>
      <c r="BI1060" s="315">
        <v>2.0819999999999999</v>
      </c>
      <c r="BJ1060" s="315">
        <v>2.0124</v>
      </c>
      <c r="BK1060" s="315">
        <v>2.0644</v>
      </c>
    </row>
    <row r="1061" spans="1:63" x14ac:dyDescent="0.25">
      <c r="A1061" s="306">
        <v>334417</v>
      </c>
      <c r="B1061" s="315" t="s">
        <v>219</v>
      </c>
      <c r="C1061" s="315">
        <v>3.1583999999999999</v>
      </c>
      <c r="D1061" s="315">
        <v>0</v>
      </c>
      <c r="E1061" s="315">
        <v>2.0724</v>
      </c>
      <c r="F1061" s="315">
        <v>2.0041000000000002</v>
      </c>
      <c r="G1061" s="315">
        <v>1.9993000000000001</v>
      </c>
      <c r="H1061" s="315">
        <v>2.3858999999999999</v>
      </c>
      <c r="I1061" s="315">
        <v>2.2873000000000001</v>
      </c>
      <c r="J1061" s="315">
        <v>2.2469999999999999</v>
      </c>
      <c r="K1061" s="315">
        <v>0</v>
      </c>
      <c r="L1061" s="315">
        <v>1.8727</v>
      </c>
      <c r="M1061" s="315">
        <v>2.0011000000000001</v>
      </c>
      <c r="N1061" s="315">
        <v>2.2658</v>
      </c>
      <c r="O1061" s="315">
        <v>0</v>
      </c>
      <c r="P1061" s="315">
        <v>1.7283999999999999</v>
      </c>
      <c r="Q1061" s="315">
        <v>0</v>
      </c>
      <c r="R1061" s="315">
        <v>2.6049000000000002</v>
      </c>
      <c r="S1061" s="315">
        <v>2.1932999999999998</v>
      </c>
      <c r="T1061" s="315">
        <v>1.81</v>
      </c>
      <c r="U1061" s="315">
        <v>0</v>
      </c>
      <c r="V1061" s="315">
        <v>0</v>
      </c>
      <c r="W1061" s="315">
        <v>2.3075000000000001</v>
      </c>
      <c r="X1061" s="315">
        <v>1.9642999999999999</v>
      </c>
      <c r="Y1061" s="315">
        <v>1.8916999999999999</v>
      </c>
      <c r="Z1061" s="315">
        <v>2.3418000000000001</v>
      </c>
      <c r="AA1061" s="315">
        <v>2.2755000000000001</v>
      </c>
      <c r="AB1061" s="315">
        <v>2.2987000000000002</v>
      </c>
      <c r="AC1061" s="315">
        <v>1.8080000000000001</v>
      </c>
      <c r="AD1061" s="315">
        <v>0</v>
      </c>
      <c r="AE1061" s="315">
        <v>2.2021000000000002</v>
      </c>
      <c r="AF1061" s="315">
        <v>0</v>
      </c>
      <c r="AG1061" s="315">
        <v>1.7185999999999999</v>
      </c>
      <c r="AH1061" s="315">
        <v>2.13</v>
      </c>
      <c r="AI1061" s="315">
        <v>2.3738999999999999</v>
      </c>
      <c r="AJ1061" s="315">
        <v>0</v>
      </c>
      <c r="AK1061" s="315">
        <v>1.9104000000000001</v>
      </c>
      <c r="AL1061" s="315">
        <v>2.0933999999999999</v>
      </c>
      <c r="AM1061" s="315">
        <v>2.4702000000000002</v>
      </c>
      <c r="AN1061" s="315">
        <v>1.9431</v>
      </c>
      <c r="AO1061" s="315">
        <v>2.1486999999999998</v>
      </c>
      <c r="AP1061" s="315">
        <v>2.5821999999999998</v>
      </c>
      <c r="AQ1061" s="315">
        <v>2.0750000000000002</v>
      </c>
      <c r="AR1061" s="315">
        <v>2.0878000000000001</v>
      </c>
      <c r="AS1061" s="315">
        <v>0</v>
      </c>
      <c r="AT1061" s="315">
        <v>2.2744</v>
      </c>
      <c r="AU1061" s="315">
        <v>2.3864000000000001</v>
      </c>
      <c r="AV1061" s="315">
        <v>2.2820999999999998</v>
      </c>
      <c r="AW1061" s="315">
        <v>2.1276000000000002</v>
      </c>
      <c r="AX1061" s="315">
        <v>0</v>
      </c>
      <c r="AY1061" s="315">
        <v>2.0990000000000002</v>
      </c>
      <c r="AZ1061" s="315">
        <v>0</v>
      </c>
      <c r="BA1061" s="315">
        <v>0</v>
      </c>
      <c r="BB1061" s="315">
        <v>0</v>
      </c>
      <c r="BC1061" s="315">
        <v>2.4809999999999999</v>
      </c>
      <c r="BD1061" s="315">
        <v>2.5476000000000001</v>
      </c>
      <c r="BE1061" s="315">
        <v>2.6238000000000001</v>
      </c>
      <c r="BF1061" s="315">
        <v>2.2444000000000002</v>
      </c>
      <c r="BG1061" s="315">
        <v>2.3932000000000002</v>
      </c>
      <c r="BH1061" s="315">
        <v>2.2780999999999998</v>
      </c>
      <c r="BI1061" s="315">
        <v>2.4079999999999999</v>
      </c>
      <c r="BJ1061" s="315">
        <v>2.2313000000000001</v>
      </c>
      <c r="BK1061" s="315">
        <v>2.4104999999999999</v>
      </c>
    </row>
    <row r="1062" spans="1:63" x14ac:dyDescent="0.25">
      <c r="A1062" s="306">
        <v>334418</v>
      </c>
      <c r="B1062" s="315" t="s">
        <v>220</v>
      </c>
      <c r="C1062" s="315">
        <v>2.7913000000000001</v>
      </c>
      <c r="D1062" s="315">
        <v>0</v>
      </c>
      <c r="E1062" s="315">
        <v>1.7199</v>
      </c>
      <c r="F1062" s="315">
        <v>1.7406999999999999</v>
      </c>
      <c r="G1062" s="315">
        <v>2.0404</v>
      </c>
      <c r="H1062" s="315">
        <v>2.3029999999999999</v>
      </c>
      <c r="I1062" s="315">
        <v>2.1905000000000001</v>
      </c>
      <c r="J1062" s="315">
        <v>1.9247000000000001</v>
      </c>
      <c r="K1062" s="315">
        <v>0</v>
      </c>
      <c r="L1062" s="315">
        <v>0</v>
      </c>
      <c r="M1062" s="315">
        <v>1.9737</v>
      </c>
      <c r="N1062" s="315">
        <v>1.8520000000000001</v>
      </c>
      <c r="O1062" s="315">
        <v>0</v>
      </c>
      <c r="P1062" s="315">
        <v>1.5059</v>
      </c>
      <c r="Q1062" s="315">
        <v>1.7159</v>
      </c>
      <c r="R1062" s="315">
        <v>2.1244999999999998</v>
      </c>
      <c r="S1062" s="315">
        <v>1.8304</v>
      </c>
      <c r="T1062" s="315">
        <v>1.5934999999999999</v>
      </c>
      <c r="U1062" s="315">
        <v>1.7694000000000001</v>
      </c>
      <c r="V1062" s="315">
        <v>1.5669</v>
      </c>
      <c r="W1062" s="315">
        <v>2.2197</v>
      </c>
      <c r="X1062" s="315">
        <v>1.6775</v>
      </c>
      <c r="Y1062" s="315">
        <v>1.9413</v>
      </c>
      <c r="Z1062" s="315">
        <v>1.9839</v>
      </c>
      <c r="AA1062" s="315">
        <v>2.0289000000000001</v>
      </c>
      <c r="AB1062" s="315">
        <v>1.9165000000000001</v>
      </c>
      <c r="AC1062" s="315">
        <v>1.5414000000000001</v>
      </c>
      <c r="AD1062" s="315">
        <v>1.4379</v>
      </c>
      <c r="AE1062" s="315">
        <v>2.0105</v>
      </c>
      <c r="AF1062" s="315">
        <v>1.5091000000000001</v>
      </c>
      <c r="AG1062" s="315">
        <v>1.4693000000000001</v>
      </c>
      <c r="AH1062" s="315">
        <v>1.9712000000000001</v>
      </c>
      <c r="AI1062" s="315">
        <v>2.0179</v>
      </c>
      <c r="AJ1062" s="315">
        <v>1.7363</v>
      </c>
      <c r="AK1062" s="315">
        <v>1.6917</v>
      </c>
      <c r="AL1062" s="315">
        <v>1.8738999999999999</v>
      </c>
      <c r="AM1062" s="315">
        <v>2.1448999999999998</v>
      </c>
      <c r="AN1062" s="315">
        <v>1.6565000000000001</v>
      </c>
      <c r="AO1062" s="315">
        <v>2.1566999999999998</v>
      </c>
      <c r="AP1062" s="315">
        <v>2.1341999999999999</v>
      </c>
      <c r="AQ1062" s="315">
        <v>1.6519999999999999</v>
      </c>
      <c r="AR1062" s="315">
        <v>1.6846000000000001</v>
      </c>
      <c r="AS1062" s="315">
        <v>1.4776</v>
      </c>
      <c r="AT1062" s="315">
        <v>1.8657999999999999</v>
      </c>
      <c r="AU1062" s="315">
        <v>2.2894000000000001</v>
      </c>
      <c r="AV1062" s="315">
        <v>2.1501000000000001</v>
      </c>
      <c r="AW1062" s="315">
        <v>1.89</v>
      </c>
      <c r="AX1062" s="315">
        <v>1.7692000000000001</v>
      </c>
      <c r="AY1062" s="315">
        <v>1.9068000000000001</v>
      </c>
      <c r="AZ1062" s="315">
        <v>1.9087000000000001</v>
      </c>
      <c r="BA1062" s="315">
        <v>1.5036</v>
      </c>
      <c r="BB1062" s="315">
        <v>0</v>
      </c>
      <c r="BC1062" s="315">
        <v>2.3331</v>
      </c>
      <c r="BD1062" s="315">
        <v>2.1497999999999999</v>
      </c>
      <c r="BE1062" s="315">
        <v>2.1589999999999998</v>
      </c>
      <c r="BF1062" s="315">
        <v>1.9365000000000001</v>
      </c>
      <c r="BG1062" s="315">
        <v>2.0731000000000002</v>
      </c>
      <c r="BH1062" s="315">
        <v>1.8448</v>
      </c>
      <c r="BI1062" s="315">
        <v>2.2919</v>
      </c>
      <c r="BJ1062" s="315">
        <v>2.2086000000000001</v>
      </c>
      <c r="BK1062" s="315">
        <v>2.3258999999999999</v>
      </c>
    </row>
    <row r="1063" spans="1:63" x14ac:dyDescent="0.25">
      <c r="A1063" s="306">
        <v>334419</v>
      </c>
      <c r="B1063" s="315" t="s">
        <v>221</v>
      </c>
      <c r="C1063" s="315">
        <v>3.0994999999999999</v>
      </c>
      <c r="D1063" s="315">
        <v>0</v>
      </c>
      <c r="E1063" s="315">
        <v>2.0390999999999999</v>
      </c>
      <c r="F1063" s="315">
        <v>1.9754</v>
      </c>
      <c r="G1063" s="315">
        <v>2.0760000000000001</v>
      </c>
      <c r="H1063" s="315">
        <v>2.4272</v>
      </c>
      <c r="I1063" s="315">
        <v>2.3489</v>
      </c>
      <c r="J1063" s="315">
        <v>2.2082000000000002</v>
      </c>
      <c r="K1063" s="315">
        <v>0</v>
      </c>
      <c r="L1063" s="315">
        <v>1.8425</v>
      </c>
      <c r="M1063" s="315">
        <v>2.0834999999999999</v>
      </c>
      <c r="N1063" s="315">
        <v>2.2656999999999998</v>
      </c>
      <c r="O1063" s="315">
        <v>0</v>
      </c>
      <c r="P1063" s="315">
        <v>1.7235</v>
      </c>
      <c r="Q1063" s="315">
        <v>1.7816000000000001</v>
      </c>
      <c r="R1063" s="315">
        <v>2.5636000000000001</v>
      </c>
      <c r="S1063" s="315">
        <v>2.1579999999999999</v>
      </c>
      <c r="T1063" s="315">
        <v>1.8171999999999999</v>
      </c>
      <c r="U1063" s="315">
        <v>2.1046</v>
      </c>
      <c r="V1063" s="315">
        <v>1.8872</v>
      </c>
      <c r="W1063" s="315">
        <v>2.3008999999999999</v>
      </c>
      <c r="X1063" s="315">
        <v>1.9921</v>
      </c>
      <c r="Y1063" s="315">
        <v>1.9477</v>
      </c>
      <c r="Z1063" s="315">
        <v>2.3138000000000001</v>
      </c>
      <c r="AA1063" s="315">
        <v>2.2805</v>
      </c>
      <c r="AB1063" s="315">
        <v>2.2524000000000002</v>
      </c>
      <c r="AC1063" s="315">
        <v>1.7878000000000001</v>
      </c>
      <c r="AD1063" s="315">
        <v>1.6146</v>
      </c>
      <c r="AE1063" s="315">
        <v>2.2067000000000001</v>
      </c>
      <c r="AF1063" s="315">
        <v>1.6052999999999999</v>
      </c>
      <c r="AG1063" s="315">
        <v>1.7102999999999999</v>
      </c>
      <c r="AH1063" s="315">
        <v>2.1373000000000002</v>
      </c>
      <c r="AI1063" s="315">
        <v>2.3458999999999999</v>
      </c>
      <c r="AJ1063" s="315">
        <v>1.7553000000000001</v>
      </c>
      <c r="AK1063" s="315">
        <v>1.9043000000000001</v>
      </c>
      <c r="AL1063" s="315">
        <v>2.0745</v>
      </c>
      <c r="AM1063" s="315">
        <v>2.4175</v>
      </c>
      <c r="AN1063" s="315">
        <v>1.9442999999999999</v>
      </c>
      <c r="AO1063" s="315">
        <v>2.1979000000000002</v>
      </c>
      <c r="AP1063" s="315">
        <v>2.5066999999999999</v>
      </c>
      <c r="AQ1063" s="315">
        <v>2.0019999999999998</v>
      </c>
      <c r="AR1063" s="315">
        <v>2.0568</v>
      </c>
      <c r="AS1063" s="315">
        <v>1.5375000000000001</v>
      </c>
      <c r="AT1063" s="315">
        <v>2.2353999999999998</v>
      </c>
      <c r="AU1063" s="315">
        <v>2.4074</v>
      </c>
      <c r="AV1063" s="315">
        <v>2.3344999999999998</v>
      </c>
      <c r="AW1063" s="315">
        <v>2.1314000000000002</v>
      </c>
      <c r="AX1063" s="315">
        <v>1.748</v>
      </c>
      <c r="AY1063" s="315">
        <v>2.1320000000000001</v>
      </c>
      <c r="AZ1063" s="315">
        <v>2.1953999999999998</v>
      </c>
      <c r="BA1063" s="315">
        <v>1.7244999999999999</v>
      </c>
      <c r="BB1063" s="315">
        <v>0</v>
      </c>
      <c r="BC1063" s="315">
        <v>2.4624000000000001</v>
      </c>
      <c r="BD1063" s="315">
        <v>2.4958</v>
      </c>
      <c r="BE1063" s="315">
        <v>2.5678000000000001</v>
      </c>
      <c r="BF1063" s="315">
        <v>2.2324999999999999</v>
      </c>
      <c r="BG1063" s="315">
        <v>2.403</v>
      </c>
      <c r="BH1063" s="315">
        <v>2.2244999999999999</v>
      </c>
      <c r="BI1063" s="315">
        <v>2.419</v>
      </c>
      <c r="BJ1063" s="315">
        <v>2.2854999999999999</v>
      </c>
      <c r="BK1063" s="315">
        <v>2.4481000000000002</v>
      </c>
    </row>
    <row r="1064" spans="1:63" x14ac:dyDescent="0.25">
      <c r="A1064" s="306" t="s">
        <v>739</v>
      </c>
      <c r="B1064" s="315" t="s">
        <v>218</v>
      </c>
      <c r="C1064" s="315">
        <v>3.0276999999999998</v>
      </c>
      <c r="D1064" s="315">
        <v>0</v>
      </c>
      <c r="E1064" s="315">
        <v>2.0638999999999998</v>
      </c>
      <c r="F1064" s="315">
        <v>1.9787999999999999</v>
      </c>
      <c r="G1064" s="315">
        <v>2.0139</v>
      </c>
      <c r="H1064" s="315">
        <v>2.3092999999999999</v>
      </c>
      <c r="I1064" s="315">
        <v>2.2799999999999998</v>
      </c>
      <c r="J1064" s="315">
        <v>2.1625000000000001</v>
      </c>
      <c r="K1064" s="315">
        <v>0</v>
      </c>
      <c r="L1064" s="315">
        <v>0</v>
      </c>
      <c r="M1064" s="315">
        <v>2.0211000000000001</v>
      </c>
      <c r="N1064" s="315">
        <v>2.2561</v>
      </c>
      <c r="O1064" s="315">
        <v>0</v>
      </c>
      <c r="P1064" s="315">
        <v>1.7210000000000001</v>
      </c>
      <c r="Q1064" s="315">
        <v>0</v>
      </c>
      <c r="R1064" s="315">
        <v>2.4923999999999999</v>
      </c>
      <c r="S1064" s="315">
        <v>2.1568999999999998</v>
      </c>
      <c r="T1064" s="315">
        <v>1.7908999999999999</v>
      </c>
      <c r="U1064" s="315">
        <v>2.1351</v>
      </c>
      <c r="V1064" s="315">
        <v>1.9379999999999999</v>
      </c>
      <c r="W1064" s="315">
        <v>2.2069000000000001</v>
      </c>
      <c r="X1064" s="315">
        <v>1.9752000000000001</v>
      </c>
      <c r="Y1064" s="315">
        <v>1.9074</v>
      </c>
      <c r="Z1064" s="315">
        <v>2.2964000000000002</v>
      </c>
      <c r="AA1064" s="315">
        <v>2.1898</v>
      </c>
      <c r="AB1064" s="315">
        <v>2.2427000000000001</v>
      </c>
      <c r="AC1064" s="315">
        <v>1.8113999999999999</v>
      </c>
      <c r="AD1064" s="315">
        <v>0</v>
      </c>
      <c r="AE1064" s="315">
        <v>2.1673</v>
      </c>
      <c r="AF1064" s="315">
        <v>0</v>
      </c>
      <c r="AG1064" s="315">
        <v>1.7310000000000001</v>
      </c>
      <c r="AH1064" s="315">
        <v>2.0459999999999998</v>
      </c>
      <c r="AI1064" s="315">
        <v>2.2909000000000002</v>
      </c>
      <c r="AJ1064" s="315">
        <v>1.7242</v>
      </c>
      <c r="AK1064" s="315">
        <v>1.8755999999999999</v>
      </c>
      <c r="AL1064" s="315">
        <v>2.0491000000000001</v>
      </c>
      <c r="AM1064" s="315">
        <v>2.4049</v>
      </c>
      <c r="AN1064" s="315">
        <v>0</v>
      </c>
      <c r="AO1064" s="315">
        <v>2.1236000000000002</v>
      </c>
      <c r="AP1064" s="315">
        <v>2.4866999999999999</v>
      </c>
      <c r="AQ1064" s="315">
        <v>2.0078</v>
      </c>
      <c r="AR1064" s="315">
        <v>2.1009000000000002</v>
      </c>
      <c r="AS1064" s="315">
        <v>1.4863</v>
      </c>
      <c r="AT1064" s="315">
        <v>2.2576999999999998</v>
      </c>
      <c r="AU1064" s="315">
        <v>2.3266</v>
      </c>
      <c r="AV1064" s="315">
        <v>2.2995999999999999</v>
      </c>
      <c r="AW1064" s="315">
        <v>2.0969000000000002</v>
      </c>
      <c r="AX1064" s="315">
        <v>1.7069000000000001</v>
      </c>
      <c r="AY1064" s="315">
        <v>2.0722999999999998</v>
      </c>
      <c r="AZ1064" s="315">
        <v>2.1173000000000002</v>
      </c>
      <c r="BA1064" s="315">
        <v>1.7494000000000001</v>
      </c>
      <c r="BB1064" s="315">
        <v>0</v>
      </c>
      <c r="BC1064" s="315">
        <v>2.3643999999999998</v>
      </c>
      <c r="BD1064" s="315">
        <v>2.4788000000000001</v>
      </c>
      <c r="BE1064" s="315">
        <v>2.5356000000000001</v>
      </c>
      <c r="BF1064" s="315">
        <v>2.1865000000000001</v>
      </c>
      <c r="BG1064" s="315">
        <v>2.3837999999999999</v>
      </c>
      <c r="BH1064" s="315">
        <v>2.2601</v>
      </c>
      <c r="BI1064" s="315">
        <v>2.3544</v>
      </c>
      <c r="BJ1064" s="315">
        <v>2.2256999999999998</v>
      </c>
      <c r="BK1064" s="315">
        <v>2.3359999999999999</v>
      </c>
    </row>
    <row r="1065" spans="1:63" x14ac:dyDescent="0.25">
      <c r="A1065" s="306">
        <v>334510</v>
      </c>
      <c r="B1065" s="315" t="s">
        <v>222</v>
      </c>
      <c r="C1065" s="315">
        <v>2.9237000000000002</v>
      </c>
      <c r="D1065" s="315">
        <v>0</v>
      </c>
      <c r="E1065" s="315">
        <v>0</v>
      </c>
      <c r="F1065" s="315">
        <v>0</v>
      </c>
      <c r="G1065" s="315">
        <v>1.8836999999999999</v>
      </c>
      <c r="H1065" s="315">
        <v>2.2856000000000001</v>
      </c>
      <c r="I1065" s="315">
        <v>2.1770999999999998</v>
      </c>
      <c r="J1065" s="315">
        <v>2.0667</v>
      </c>
      <c r="K1065" s="315">
        <v>0</v>
      </c>
      <c r="L1065" s="315">
        <v>1.7163999999999999</v>
      </c>
      <c r="M1065" s="315">
        <v>1.9340999999999999</v>
      </c>
      <c r="N1065" s="315">
        <v>2.1692</v>
      </c>
      <c r="O1065" s="315">
        <v>1.6142000000000001</v>
      </c>
      <c r="P1065" s="315">
        <v>1.5979000000000001</v>
      </c>
      <c r="Q1065" s="315">
        <v>1.6382000000000001</v>
      </c>
      <c r="R1065" s="315">
        <v>2.3610000000000002</v>
      </c>
      <c r="S1065" s="315">
        <v>1.9937</v>
      </c>
      <c r="T1065" s="315">
        <v>1.6902999999999999</v>
      </c>
      <c r="U1065" s="315">
        <v>1.9567000000000001</v>
      </c>
      <c r="V1065" s="315">
        <v>1.7646999999999999</v>
      </c>
      <c r="W1065" s="315">
        <v>2.1890999999999998</v>
      </c>
      <c r="X1065" s="315">
        <v>1.8255999999999999</v>
      </c>
      <c r="Y1065" s="315">
        <v>1.7625999999999999</v>
      </c>
      <c r="Z1065" s="315">
        <v>2.1766999999999999</v>
      </c>
      <c r="AA1065" s="315">
        <v>2.1722999999999999</v>
      </c>
      <c r="AB1065" s="315">
        <v>2.1082000000000001</v>
      </c>
      <c r="AC1065" s="315">
        <v>0</v>
      </c>
      <c r="AD1065" s="315">
        <v>1.4601</v>
      </c>
      <c r="AE1065" s="315">
        <v>2.0905999999999998</v>
      </c>
      <c r="AF1065" s="315">
        <v>0</v>
      </c>
      <c r="AG1065" s="315">
        <v>0</v>
      </c>
      <c r="AH1065" s="315">
        <v>2.0148999999999999</v>
      </c>
      <c r="AI1065" s="315">
        <v>2.1909999999999998</v>
      </c>
      <c r="AJ1065" s="315">
        <v>1.5958000000000001</v>
      </c>
      <c r="AK1065" s="315">
        <v>0</v>
      </c>
      <c r="AL1065" s="315">
        <v>1.9077999999999999</v>
      </c>
      <c r="AM1065" s="315">
        <v>2.2686000000000002</v>
      </c>
      <c r="AN1065" s="315">
        <v>1.7943</v>
      </c>
      <c r="AO1065" s="315">
        <v>2.052</v>
      </c>
      <c r="AP1065" s="315">
        <v>2.3189000000000002</v>
      </c>
      <c r="AQ1065" s="315">
        <v>1.8836999999999999</v>
      </c>
      <c r="AR1065" s="315">
        <v>1.9257</v>
      </c>
      <c r="AS1065" s="315">
        <v>1.4375</v>
      </c>
      <c r="AT1065" s="315">
        <v>2.1011000000000002</v>
      </c>
      <c r="AU1065" s="315">
        <v>2.2429000000000001</v>
      </c>
      <c r="AV1065" s="315">
        <v>2.1213000000000002</v>
      </c>
      <c r="AW1065" s="315">
        <v>2.0165000000000002</v>
      </c>
      <c r="AX1065" s="315">
        <v>1.6014999999999999</v>
      </c>
      <c r="AY1065" s="315">
        <v>1.9941</v>
      </c>
      <c r="AZ1065" s="315">
        <v>2.1053999999999999</v>
      </c>
      <c r="BA1065" s="315">
        <v>0</v>
      </c>
      <c r="BB1065" s="315">
        <v>0</v>
      </c>
      <c r="BC1065" s="315">
        <v>2.3247</v>
      </c>
      <c r="BD1065" s="315">
        <v>2.2955999999999999</v>
      </c>
      <c r="BE1065" s="315">
        <v>2.4003999999999999</v>
      </c>
      <c r="BF1065" s="315">
        <v>2.1073</v>
      </c>
      <c r="BG1065" s="315">
        <v>2.2581000000000002</v>
      </c>
      <c r="BH1065" s="315">
        <v>2.0806</v>
      </c>
      <c r="BI1065" s="315">
        <v>2.2383999999999999</v>
      </c>
      <c r="BJ1065" s="315">
        <v>2.1114000000000002</v>
      </c>
      <c r="BK1065" s="315">
        <v>2.2949999999999999</v>
      </c>
    </row>
    <row r="1066" spans="1:63" x14ac:dyDescent="0.25">
      <c r="A1066" s="306">
        <v>334511</v>
      </c>
      <c r="B1066" s="315" t="s">
        <v>223</v>
      </c>
      <c r="C1066" s="315">
        <v>3.0619999999999998</v>
      </c>
      <c r="D1066" s="315">
        <v>0</v>
      </c>
      <c r="E1066" s="315">
        <v>1.9301999999999999</v>
      </c>
      <c r="F1066" s="315">
        <v>1.8706</v>
      </c>
      <c r="G1066" s="315">
        <v>2.0720000000000001</v>
      </c>
      <c r="H1066" s="315">
        <v>2.4567999999999999</v>
      </c>
      <c r="I1066" s="315">
        <v>2.4001000000000001</v>
      </c>
      <c r="J1066" s="315">
        <v>2.1690999999999998</v>
      </c>
      <c r="K1066" s="315">
        <v>1.2864</v>
      </c>
      <c r="L1066" s="315">
        <v>0</v>
      </c>
      <c r="M1066" s="315">
        <v>2.1011000000000002</v>
      </c>
      <c r="N1066" s="315">
        <v>2.2707999999999999</v>
      </c>
      <c r="O1066" s="315">
        <v>1.8086</v>
      </c>
      <c r="P1066" s="315">
        <v>1.6427</v>
      </c>
      <c r="Q1066" s="315">
        <v>1.7696000000000001</v>
      </c>
      <c r="R1066" s="315">
        <v>2.4685000000000001</v>
      </c>
      <c r="S1066" s="315">
        <v>2.0341</v>
      </c>
      <c r="T1066" s="315">
        <v>1.7717000000000001</v>
      </c>
      <c r="U1066" s="315">
        <v>1.9795</v>
      </c>
      <c r="V1066" s="315">
        <v>1.831</v>
      </c>
      <c r="W1066" s="315">
        <v>2.3210000000000002</v>
      </c>
      <c r="X1066" s="315">
        <v>2.0034000000000001</v>
      </c>
      <c r="Y1066" s="315">
        <v>1.9340999999999999</v>
      </c>
      <c r="Z1066" s="315">
        <v>2.2513999999999998</v>
      </c>
      <c r="AA1066" s="315">
        <v>2.2595000000000001</v>
      </c>
      <c r="AB1066" s="315">
        <v>2.2143000000000002</v>
      </c>
      <c r="AC1066" s="315">
        <v>1.7158</v>
      </c>
      <c r="AD1066" s="315">
        <v>1.5865</v>
      </c>
      <c r="AE1066" s="315">
        <v>2.1798999999999999</v>
      </c>
      <c r="AF1066" s="315">
        <v>0</v>
      </c>
      <c r="AG1066" s="315">
        <v>1.7082999999999999</v>
      </c>
      <c r="AH1066" s="315">
        <v>2.1152000000000002</v>
      </c>
      <c r="AI1066" s="315">
        <v>2.3258000000000001</v>
      </c>
      <c r="AJ1066" s="315">
        <v>1.7557</v>
      </c>
      <c r="AK1066" s="315">
        <v>1.8987000000000001</v>
      </c>
      <c r="AL1066" s="315">
        <v>2.0634000000000001</v>
      </c>
      <c r="AM1066" s="315">
        <v>2.3252000000000002</v>
      </c>
      <c r="AN1066" s="315">
        <v>1.8875</v>
      </c>
      <c r="AO1066" s="315">
        <v>2.1943999999999999</v>
      </c>
      <c r="AP1066" s="315">
        <v>2.4266999999999999</v>
      </c>
      <c r="AQ1066" s="315">
        <v>1.9955000000000001</v>
      </c>
      <c r="AR1066" s="315">
        <v>1.9569000000000001</v>
      </c>
      <c r="AS1066" s="315">
        <v>1.4714</v>
      </c>
      <c r="AT1066" s="315">
        <v>2.1389</v>
      </c>
      <c r="AU1066" s="315">
        <v>2.3744999999999998</v>
      </c>
      <c r="AV1066" s="315">
        <v>2.3517000000000001</v>
      </c>
      <c r="AW1066" s="315">
        <v>2.1857000000000002</v>
      </c>
      <c r="AX1066" s="315">
        <v>1.7198</v>
      </c>
      <c r="AY1066" s="315">
        <v>2.1635</v>
      </c>
      <c r="AZ1066" s="315">
        <v>2.1465999999999998</v>
      </c>
      <c r="BA1066" s="315">
        <v>0</v>
      </c>
      <c r="BB1066" s="315">
        <v>1.4682999999999999</v>
      </c>
      <c r="BC1066" s="315">
        <v>2.4683999999999999</v>
      </c>
      <c r="BD1066" s="315">
        <v>2.4481000000000002</v>
      </c>
      <c r="BE1066" s="315">
        <v>2.4693000000000001</v>
      </c>
      <c r="BF1066" s="315">
        <v>2.1896</v>
      </c>
      <c r="BG1066" s="315">
        <v>2.4114</v>
      </c>
      <c r="BH1066" s="315">
        <v>2.1032000000000002</v>
      </c>
      <c r="BI1066" s="315">
        <v>2.3624000000000001</v>
      </c>
      <c r="BJ1066" s="315">
        <v>2.3296999999999999</v>
      </c>
      <c r="BK1066" s="315">
        <v>2.4779</v>
      </c>
    </row>
    <row r="1067" spans="1:63" x14ac:dyDescent="0.25">
      <c r="A1067" s="306">
        <v>334512</v>
      </c>
      <c r="B1067" s="315" t="s">
        <v>224</v>
      </c>
      <c r="C1067" s="315">
        <v>2.9502999999999999</v>
      </c>
      <c r="D1067" s="315">
        <v>1.3960999999999999</v>
      </c>
      <c r="E1067" s="315">
        <v>1.9187000000000001</v>
      </c>
      <c r="F1067" s="315">
        <v>1.8617999999999999</v>
      </c>
      <c r="G1067" s="315">
        <v>1.9362999999999999</v>
      </c>
      <c r="H1067" s="315">
        <v>2.2881</v>
      </c>
      <c r="I1067" s="315">
        <v>2.2044000000000001</v>
      </c>
      <c r="J1067" s="315">
        <v>2.1021000000000001</v>
      </c>
      <c r="K1067" s="315">
        <v>0</v>
      </c>
      <c r="L1067" s="315">
        <v>0</v>
      </c>
      <c r="M1067" s="315">
        <v>1.9221999999999999</v>
      </c>
      <c r="N1067" s="315">
        <v>2.1711</v>
      </c>
      <c r="O1067" s="315">
        <v>0</v>
      </c>
      <c r="P1067" s="315">
        <v>1.6484000000000001</v>
      </c>
      <c r="Q1067" s="315">
        <v>0</v>
      </c>
      <c r="R1067" s="315">
        <v>2.3906999999999998</v>
      </c>
      <c r="S1067" s="315">
        <v>2.0207000000000002</v>
      </c>
      <c r="T1067" s="315">
        <v>1.7161</v>
      </c>
      <c r="U1067" s="315">
        <v>1.9783999999999999</v>
      </c>
      <c r="V1067" s="315">
        <v>1.74</v>
      </c>
      <c r="W1067" s="315">
        <v>2.2307000000000001</v>
      </c>
      <c r="X1067" s="315">
        <v>1.8511</v>
      </c>
      <c r="Y1067" s="315">
        <v>1.8159000000000001</v>
      </c>
      <c r="Z1067" s="315">
        <v>2.2189000000000001</v>
      </c>
      <c r="AA1067" s="315">
        <v>2.1541999999999999</v>
      </c>
      <c r="AB1067" s="315">
        <v>2.1187</v>
      </c>
      <c r="AC1067" s="315">
        <v>0</v>
      </c>
      <c r="AD1067" s="315">
        <v>0</v>
      </c>
      <c r="AE1067" s="315">
        <v>2.1118999999999999</v>
      </c>
      <c r="AF1067" s="315">
        <v>0</v>
      </c>
      <c r="AG1067" s="315">
        <v>1.6318999999999999</v>
      </c>
      <c r="AH1067" s="315">
        <v>2.0535999999999999</v>
      </c>
      <c r="AI1067" s="315">
        <v>2.1882000000000001</v>
      </c>
      <c r="AJ1067" s="315">
        <v>1.6111</v>
      </c>
      <c r="AK1067" s="315">
        <v>1.7786999999999999</v>
      </c>
      <c r="AL1067" s="315">
        <v>1.9354</v>
      </c>
      <c r="AM1067" s="315">
        <v>2.2881</v>
      </c>
      <c r="AN1067" s="315">
        <v>1.7797000000000001</v>
      </c>
      <c r="AO1067" s="315">
        <v>2.0712999999999999</v>
      </c>
      <c r="AP1067" s="315">
        <v>2.3542999999999998</v>
      </c>
      <c r="AQ1067" s="315">
        <v>1.9337</v>
      </c>
      <c r="AR1067" s="315">
        <v>1.9406000000000001</v>
      </c>
      <c r="AS1067" s="315">
        <v>1.4410000000000001</v>
      </c>
      <c r="AT1067" s="315">
        <v>2.1124999999999998</v>
      </c>
      <c r="AU1067" s="315">
        <v>2.2542</v>
      </c>
      <c r="AV1067" s="315">
        <v>2.2151000000000001</v>
      </c>
      <c r="AW1067" s="315">
        <v>2.0428000000000002</v>
      </c>
      <c r="AX1067" s="315">
        <v>0</v>
      </c>
      <c r="AY1067" s="315">
        <v>2.0133000000000001</v>
      </c>
      <c r="AZ1067" s="315">
        <v>2.0861999999999998</v>
      </c>
      <c r="BA1067" s="315">
        <v>1.617</v>
      </c>
      <c r="BB1067" s="315">
        <v>1.3963000000000001</v>
      </c>
      <c r="BC1067" s="315">
        <v>2.3685999999999998</v>
      </c>
      <c r="BD1067" s="315">
        <v>2.33</v>
      </c>
      <c r="BE1067" s="315">
        <v>2.4146999999999998</v>
      </c>
      <c r="BF1067" s="315">
        <v>2.1086</v>
      </c>
      <c r="BG1067" s="315">
        <v>2.2593000000000001</v>
      </c>
      <c r="BH1067" s="315">
        <v>2.0939000000000001</v>
      </c>
      <c r="BI1067" s="315">
        <v>2.2515999999999998</v>
      </c>
      <c r="BJ1067" s="315">
        <v>2.1547000000000001</v>
      </c>
      <c r="BK1067" s="315">
        <v>2.3029999999999999</v>
      </c>
    </row>
    <row r="1068" spans="1:63" x14ac:dyDescent="0.25">
      <c r="A1068" s="306">
        <v>334513</v>
      </c>
      <c r="B1068" s="315" t="s">
        <v>6</v>
      </c>
      <c r="C1068" s="315">
        <v>3.1315</v>
      </c>
      <c r="D1068" s="315">
        <v>1.5215000000000001</v>
      </c>
      <c r="E1068" s="315">
        <v>2.0280999999999998</v>
      </c>
      <c r="F1068" s="315">
        <v>1.8996999999999999</v>
      </c>
      <c r="G1068" s="315">
        <v>2.0790000000000002</v>
      </c>
      <c r="H1068" s="315">
        <v>2.4567999999999999</v>
      </c>
      <c r="I1068" s="315">
        <v>2.3896999999999999</v>
      </c>
      <c r="J1068" s="315">
        <v>2.1983999999999999</v>
      </c>
      <c r="K1068" s="315">
        <v>0</v>
      </c>
      <c r="L1068" s="315">
        <v>1.78</v>
      </c>
      <c r="M1068" s="315">
        <v>2.0573999999999999</v>
      </c>
      <c r="N1068" s="315">
        <v>2.278</v>
      </c>
      <c r="O1068" s="315">
        <v>1.7399</v>
      </c>
      <c r="P1068" s="315">
        <v>1.7137</v>
      </c>
      <c r="Q1068" s="315">
        <v>1.7212000000000001</v>
      </c>
      <c r="R1068" s="315">
        <v>2.5188000000000001</v>
      </c>
      <c r="S1068" s="315">
        <v>2.1193</v>
      </c>
      <c r="T1068" s="315">
        <v>1.7938000000000001</v>
      </c>
      <c r="U1068" s="315">
        <v>2.0501</v>
      </c>
      <c r="V1068" s="315">
        <v>1.8837999999999999</v>
      </c>
      <c r="W1068" s="315">
        <v>2.3172000000000001</v>
      </c>
      <c r="X1068" s="315">
        <v>1.9934000000000001</v>
      </c>
      <c r="Y1068" s="315">
        <v>1.8794</v>
      </c>
      <c r="Z1068" s="315">
        <v>2.3338999999999999</v>
      </c>
      <c r="AA1068" s="315">
        <v>2.3060999999999998</v>
      </c>
      <c r="AB1068" s="315">
        <v>2.1987999999999999</v>
      </c>
      <c r="AC1068" s="315">
        <v>1.7578</v>
      </c>
      <c r="AD1068" s="315">
        <v>1.6071</v>
      </c>
      <c r="AE1068" s="315">
        <v>2.1711</v>
      </c>
      <c r="AF1068" s="315">
        <v>0</v>
      </c>
      <c r="AG1068" s="315">
        <v>1.6976</v>
      </c>
      <c r="AH1068" s="315">
        <v>2.1436000000000002</v>
      </c>
      <c r="AI1068" s="315">
        <v>2.3157999999999999</v>
      </c>
      <c r="AJ1068" s="315">
        <v>1.6978</v>
      </c>
      <c r="AK1068" s="315">
        <v>1.8654999999999999</v>
      </c>
      <c r="AL1068" s="315">
        <v>2.0417999999999998</v>
      </c>
      <c r="AM1068" s="315">
        <v>2.3864999999999998</v>
      </c>
      <c r="AN1068" s="315">
        <v>1.9639</v>
      </c>
      <c r="AO1068" s="315">
        <v>2.2195999999999998</v>
      </c>
      <c r="AP1068" s="315">
        <v>2.4903</v>
      </c>
      <c r="AQ1068" s="315">
        <v>2.0084</v>
      </c>
      <c r="AR1068" s="315">
        <v>2.0224000000000002</v>
      </c>
      <c r="AS1068" s="315">
        <v>1.5094000000000001</v>
      </c>
      <c r="AT1068" s="315">
        <v>2.2362000000000002</v>
      </c>
      <c r="AU1068" s="315">
        <v>2.4190999999999998</v>
      </c>
      <c r="AV1068" s="315">
        <v>2.3534999999999999</v>
      </c>
      <c r="AW1068" s="315">
        <v>2.1347</v>
      </c>
      <c r="AX1068" s="315">
        <v>1.738</v>
      </c>
      <c r="AY1068" s="315">
        <v>2.1646000000000001</v>
      </c>
      <c r="AZ1068" s="315">
        <v>2.1966000000000001</v>
      </c>
      <c r="BA1068" s="315">
        <v>1.6961999999999999</v>
      </c>
      <c r="BB1068" s="315">
        <v>0</v>
      </c>
      <c r="BC1068" s="315">
        <v>2.4710999999999999</v>
      </c>
      <c r="BD1068" s="315">
        <v>2.4731999999999998</v>
      </c>
      <c r="BE1068" s="315">
        <v>2.5402</v>
      </c>
      <c r="BF1068" s="315">
        <v>2.2299000000000002</v>
      </c>
      <c r="BG1068" s="315">
        <v>2.3946999999999998</v>
      </c>
      <c r="BH1068" s="315">
        <v>2.2048000000000001</v>
      </c>
      <c r="BI1068" s="315">
        <v>2.4154</v>
      </c>
      <c r="BJ1068" s="315">
        <v>2.3142</v>
      </c>
      <c r="BK1068" s="315">
        <v>2.4841000000000002</v>
      </c>
    </row>
    <row r="1069" spans="1:63" x14ac:dyDescent="0.25">
      <c r="A1069" s="306">
        <v>334514</v>
      </c>
      <c r="B1069" s="315" t="s">
        <v>225</v>
      </c>
      <c r="C1069" s="315">
        <v>3.1368</v>
      </c>
      <c r="D1069" s="315">
        <v>0</v>
      </c>
      <c r="E1069" s="315">
        <v>1.9402999999999999</v>
      </c>
      <c r="F1069" s="315">
        <v>1.7726</v>
      </c>
      <c r="G1069" s="315">
        <v>2.0024999999999999</v>
      </c>
      <c r="H1069" s="315">
        <v>2.4580000000000002</v>
      </c>
      <c r="I1069" s="315">
        <v>2.3327</v>
      </c>
      <c r="J1069" s="315">
        <v>2.1139999999999999</v>
      </c>
      <c r="K1069" s="315">
        <v>0</v>
      </c>
      <c r="L1069" s="315">
        <v>0</v>
      </c>
      <c r="M1069" s="315">
        <v>1.9579</v>
      </c>
      <c r="N1069" s="315">
        <v>2.2303000000000002</v>
      </c>
      <c r="O1069" s="315">
        <v>0</v>
      </c>
      <c r="P1069" s="315">
        <v>1.6313</v>
      </c>
      <c r="Q1069" s="315">
        <v>1.6469</v>
      </c>
      <c r="R1069" s="315">
        <v>2.3563999999999998</v>
      </c>
      <c r="S1069" s="315">
        <v>2.0173000000000001</v>
      </c>
      <c r="T1069" s="315">
        <v>0</v>
      </c>
      <c r="U1069" s="315">
        <v>1.8822000000000001</v>
      </c>
      <c r="V1069" s="315">
        <v>1.6438999999999999</v>
      </c>
      <c r="W1069" s="315">
        <v>2.3856000000000002</v>
      </c>
      <c r="X1069" s="315">
        <v>1.8456999999999999</v>
      </c>
      <c r="Y1069" s="315">
        <v>0</v>
      </c>
      <c r="Z1069" s="315">
        <v>2.2923</v>
      </c>
      <c r="AA1069" s="315">
        <v>2.3125</v>
      </c>
      <c r="AB1069" s="315">
        <v>2.0724</v>
      </c>
      <c r="AC1069" s="315">
        <v>0</v>
      </c>
      <c r="AD1069" s="315">
        <v>0</v>
      </c>
      <c r="AE1069" s="315">
        <v>2.1745999999999999</v>
      </c>
      <c r="AF1069" s="315">
        <v>0</v>
      </c>
      <c r="AG1069" s="315">
        <v>1.5794999999999999</v>
      </c>
      <c r="AH1069" s="315">
        <v>0</v>
      </c>
      <c r="AI1069" s="315">
        <v>2.1717</v>
      </c>
      <c r="AJ1069" s="315">
        <v>1.5750999999999999</v>
      </c>
      <c r="AK1069" s="315">
        <v>1.7184999999999999</v>
      </c>
      <c r="AL1069" s="315">
        <v>1.8452999999999999</v>
      </c>
      <c r="AM1069" s="315">
        <v>2.2715999999999998</v>
      </c>
      <c r="AN1069" s="315">
        <v>1.7444999999999999</v>
      </c>
      <c r="AO1069" s="315">
        <v>2.2902999999999998</v>
      </c>
      <c r="AP1069" s="315">
        <v>2.359</v>
      </c>
      <c r="AQ1069" s="315">
        <v>0</v>
      </c>
      <c r="AR1069" s="315">
        <v>1.9138999999999999</v>
      </c>
      <c r="AS1069" s="315">
        <v>0</v>
      </c>
      <c r="AT1069" s="315">
        <v>0</v>
      </c>
      <c r="AU1069" s="315">
        <v>2.4066000000000001</v>
      </c>
      <c r="AV1069" s="315">
        <v>0</v>
      </c>
      <c r="AW1069" s="315">
        <v>2.0802</v>
      </c>
      <c r="AX1069" s="315">
        <v>1.7126999999999999</v>
      </c>
      <c r="AY1069" s="315">
        <v>2.1617000000000002</v>
      </c>
      <c r="AZ1069" s="315">
        <v>2.2294999999999998</v>
      </c>
      <c r="BA1069" s="315">
        <v>1.5932999999999999</v>
      </c>
      <c r="BB1069" s="315">
        <v>0</v>
      </c>
      <c r="BC1069" s="315">
        <v>2.5244</v>
      </c>
      <c r="BD1069" s="315">
        <v>2.2608000000000001</v>
      </c>
      <c r="BE1069" s="315">
        <v>2.4165000000000001</v>
      </c>
      <c r="BF1069" s="315">
        <v>2.1594000000000002</v>
      </c>
      <c r="BG1069" s="315">
        <v>2.2799</v>
      </c>
      <c r="BH1069" s="315">
        <v>2.0750999999999999</v>
      </c>
      <c r="BI1069" s="315">
        <v>2.3472</v>
      </c>
      <c r="BJ1069" s="315">
        <v>2.319</v>
      </c>
      <c r="BK1069" s="315">
        <v>2.4961000000000002</v>
      </c>
    </row>
    <row r="1070" spans="1:63" x14ac:dyDescent="0.25">
      <c r="A1070" s="306">
        <v>334515</v>
      </c>
      <c r="B1070" s="315" t="s">
        <v>4</v>
      </c>
      <c r="C1070" s="315">
        <v>2.9396</v>
      </c>
      <c r="D1070" s="315">
        <v>0</v>
      </c>
      <c r="E1070" s="315">
        <v>1.9387000000000001</v>
      </c>
      <c r="F1070" s="315">
        <v>1.7030000000000001</v>
      </c>
      <c r="G1070" s="315">
        <v>2.0790999999999999</v>
      </c>
      <c r="H1070" s="315">
        <v>2.4125999999999999</v>
      </c>
      <c r="I1070" s="315">
        <v>2.3212000000000002</v>
      </c>
      <c r="J1070" s="315">
        <v>2.0105</v>
      </c>
      <c r="K1070" s="315">
        <v>1.2173</v>
      </c>
      <c r="L1070" s="315">
        <v>1.5772999999999999</v>
      </c>
      <c r="M1070" s="315">
        <v>2.0358999999999998</v>
      </c>
      <c r="N1070" s="315">
        <v>2.1505000000000001</v>
      </c>
      <c r="O1070" s="315">
        <v>0</v>
      </c>
      <c r="P1070" s="315">
        <v>1.6127</v>
      </c>
      <c r="Q1070" s="315">
        <v>1.6402000000000001</v>
      </c>
      <c r="R1070" s="315">
        <v>2.258</v>
      </c>
      <c r="S1070" s="315">
        <v>1.9657</v>
      </c>
      <c r="T1070" s="315">
        <v>1.7324999999999999</v>
      </c>
      <c r="U1070" s="315">
        <v>1.8653</v>
      </c>
      <c r="V1070" s="315">
        <v>1.7448999999999999</v>
      </c>
      <c r="W1070" s="315">
        <v>2.2242999999999999</v>
      </c>
      <c r="X1070" s="315">
        <v>1.9473</v>
      </c>
      <c r="Y1070" s="315">
        <v>0</v>
      </c>
      <c r="Z1070" s="315">
        <v>2.1004999999999998</v>
      </c>
      <c r="AA1070" s="315">
        <v>2.173</v>
      </c>
      <c r="AB1070" s="315">
        <v>1.972</v>
      </c>
      <c r="AC1070" s="315">
        <v>1.6520999999999999</v>
      </c>
      <c r="AD1070" s="315">
        <v>1.6189</v>
      </c>
      <c r="AE1070" s="315">
        <v>2.0577000000000001</v>
      </c>
      <c r="AF1070" s="315">
        <v>0</v>
      </c>
      <c r="AG1070" s="315">
        <v>1.5835999999999999</v>
      </c>
      <c r="AH1070" s="315">
        <v>2.0767000000000002</v>
      </c>
      <c r="AI1070" s="315">
        <v>2.1572</v>
      </c>
      <c r="AJ1070" s="315">
        <v>1.7043999999999999</v>
      </c>
      <c r="AK1070" s="315">
        <v>1.7027000000000001</v>
      </c>
      <c r="AL1070" s="315">
        <v>1.8889</v>
      </c>
      <c r="AM1070" s="315">
        <v>2.1442000000000001</v>
      </c>
      <c r="AN1070" s="315">
        <v>1.8325</v>
      </c>
      <c r="AO1070" s="315">
        <v>2.1520000000000001</v>
      </c>
      <c r="AP1070" s="315">
        <v>2.2170000000000001</v>
      </c>
      <c r="AQ1070" s="315">
        <v>1.8354999999999999</v>
      </c>
      <c r="AR1070" s="315">
        <v>1.8915</v>
      </c>
      <c r="AS1070" s="315">
        <v>1.5264</v>
      </c>
      <c r="AT1070" s="315">
        <v>2.0581</v>
      </c>
      <c r="AU1070" s="315">
        <v>2.3534999999999999</v>
      </c>
      <c r="AV1070" s="315">
        <v>2.2753000000000001</v>
      </c>
      <c r="AW1070" s="315">
        <v>1.9731000000000001</v>
      </c>
      <c r="AX1070" s="315">
        <v>1.8069</v>
      </c>
      <c r="AY1070" s="315">
        <v>2.1352000000000002</v>
      </c>
      <c r="AZ1070" s="315">
        <v>2.0501999999999998</v>
      </c>
      <c r="BA1070" s="315">
        <v>1.581</v>
      </c>
      <c r="BB1070" s="315">
        <v>0</v>
      </c>
      <c r="BC1070" s="315">
        <v>2.375</v>
      </c>
      <c r="BD1070" s="315">
        <v>2.2281</v>
      </c>
      <c r="BE1070" s="315">
        <v>2.2780999999999998</v>
      </c>
      <c r="BF1070" s="315">
        <v>2.0566</v>
      </c>
      <c r="BG1070" s="315">
        <v>2.2469000000000001</v>
      </c>
      <c r="BH1070" s="315">
        <v>2.0394999999999999</v>
      </c>
      <c r="BI1070" s="315">
        <v>2.3083999999999998</v>
      </c>
      <c r="BJ1070" s="315">
        <v>2.2955999999999999</v>
      </c>
      <c r="BK1070" s="315">
        <v>2.4329999999999998</v>
      </c>
    </row>
    <row r="1071" spans="1:63" x14ac:dyDescent="0.25">
      <c r="A1071" s="306">
        <v>334516</v>
      </c>
      <c r="B1071" s="315" t="s">
        <v>226</v>
      </c>
      <c r="C1071" s="315">
        <v>3.1625000000000001</v>
      </c>
      <c r="D1071" s="315">
        <v>0</v>
      </c>
      <c r="E1071" s="315">
        <v>1.9414</v>
      </c>
      <c r="F1071" s="315">
        <v>0</v>
      </c>
      <c r="G1071" s="315">
        <v>2.0358999999999998</v>
      </c>
      <c r="H1071" s="315">
        <v>2.5036999999999998</v>
      </c>
      <c r="I1071" s="315">
        <v>2.4636</v>
      </c>
      <c r="J1071" s="315">
        <v>2.2145999999999999</v>
      </c>
      <c r="K1071" s="315">
        <v>1.3148</v>
      </c>
      <c r="L1071" s="315">
        <v>1.7756000000000001</v>
      </c>
      <c r="M1071" s="315">
        <v>2.0590999999999999</v>
      </c>
      <c r="N1071" s="315">
        <v>2.4</v>
      </c>
      <c r="O1071" s="315">
        <v>0</v>
      </c>
      <c r="P1071" s="315">
        <v>0</v>
      </c>
      <c r="Q1071" s="315">
        <v>1.7327999999999999</v>
      </c>
      <c r="R1071" s="315">
        <v>2.4765000000000001</v>
      </c>
      <c r="S1071" s="315">
        <v>2.0484</v>
      </c>
      <c r="T1071" s="315">
        <v>0</v>
      </c>
      <c r="U1071" s="315">
        <v>2.0042</v>
      </c>
      <c r="V1071" s="315">
        <v>1.8201000000000001</v>
      </c>
      <c r="W1071" s="315">
        <v>2.4047000000000001</v>
      </c>
      <c r="X1071" s="315">
        <v>1.9943</v>
      </c>
      <c r="Y1071" s="315">
        <v>1.8781000000000001</v>
      </c>
      <c r="Z1071" s="315">
        <v>2.3477999999999999</v>
      </c>
      <c r="AA1071" s="315">
        <v>2.3643000000000001</v>
      </c>
      <c r="AB1071" s="315">
        <v>2.2389999999999999</v>
      </c>
      <c r="AC1071" s="315">
        <v>1.7182999999999999</v>
      </c>
      <c r="AD1071" s="315">
        <v>1.5448999999999999</v>
      </c>
      <c r="AE1071" s="315">
        <v>2.2467000000000001</v>
      </c>
      <c r="AF1071" s="315">
        <v>0</v>
      </c>
      <c r="AG1071" s="315">
        <v>1.6874</v>
      </c>
      <c r="AH1071" s="315">
        <v>2.2198000000000002</v>
      </c>
      <c r="AI1071" s="315">
        <v>2.3633000000000002</v>
      </c>
      <c r="AJ1071" s="315">
        <v>1.6561999999999999</v>
      </c>
      <c r="AK1071" s="315">
        <v>1.8809</v>
      </c>
      <c r="AL1071" s="315">
        <v>2.0301999999999998</v>
      </c>
      <c r="AM1071" s="315">
        <v>2.3483999999999998</v>
      </c>
      <c r="AN1071" s="315">
        <v>1.8632</v>
      </c>
      <c r="AO1071" s="315">
        <v>2.2841999999999998</v>
      </c>
      <c r="AP1071" s="315">
        <v>2.4632000000000001</v>
      </c>
      <c r="AQ1071" s="315">
        <v>2.0838999999999999</v>
      </c>
      <c r="AR1071" s="315">
        <v>1.9973000000000001</v>
      </c>
      <c r="AS1071" s="315">
        <v>0</v>
      </c>
      <c r="AT1071" s="315">
        <v>2.2092999999999998</v>
      </c>
      <c r="AU1071" s="315">
        <v>2.4247000000000001</v>
      </c>
      <c r="AV1071" s="315">
        <v>2.4117000000000002</v>
      </c>
      <c r="AW1071" s="315">
        <v>2.2259000000000002</v>
      </c>
      <c r="AX1071" s="315">
        <v>1.698</v>
      </c>
      <c r="AY1071" s="315">
        <v>2.2383000000000002</v>
      </c>
      <c r="AZ1071" s="315">
        <v>2.2463000000000002</v>
      </c>
      <c r="BA1071" s="315">
        <v>0</v>
      </c>
      <c r="BB1071" s="315">
        <v>1.4534</v>
      </c>
      <c r="BC1071" s="315">
        <v>2.5531999999999999</v>
      </c>
      <c r="BD1071" s="315">
        <v>2.4418000000000002</v>
      </c>
      <c r="BE1071" s="315">
        <v>2.5131999999999999</v>
      </c>
      <c r="BF1071" s="315">
        <v>2.2307999999999999</v>
      </c>
      <c r="BG1071" s="315">
        <v>2.4447000000000001</v>
      </c>
      <c r="BH1071" s="315">
        <v>2.1387</v>
      </c>
      <c r="BI1071" s="315">
        <v>2.3793000000000002</v>
      </c>
      <c r="BJ1071" s="315">
        <v>2.3725999999999998</v>
      </c>
      <c r="BK1071" s="315">
        <v>2.5246</v>
      </c>
    </row>
    <row r="1072" spans="1:63" x14ac:dyDescent="0.25">
      <c r="A1072" s="306">
        <v>334517</v>
      </c>
      <c r="B1072" s="315" t="s">
        <v>227</v>
      </c>
      <c r="C1072" s="315">
        <v>2.7311999999999999</v>
      </c>
      <c r="D1072" s="315">
        <v>1.3089</v>
      </c>
      <c r="E1072" s="315">
        <v>1.7501</v>
      </c>
      <c r="F1072" s="315">
        <v>0</v>
      </c>
      <c r="G1072" s="315">
        <v>1.7730999999999999</v>
      </c>
      <c r="H1072" s="315">
        <v>2.1823000000000001</v>
      </c>
      <c r="I1072" s="315">
        <v>2.0642999999999998</v>
      </c>
      <c r="J1072" s="315">
        <v>1.9542999999999999</v>
      </c>
      <c r="K1072" s="315">
        <v>0</v>
      </c>
      <c r="L1072" s="315">
        <v>0</v>
      </c>
      <c r="M1072" s="315">
        <v>1.7707999999999999</v>
      </c>
      <c r="N1072" s="315">
        <v>1.9786999999999999</v>
      </c>
      <c r="O1072" s="315">
        <v>0</v>
      </c>
      <c r="P1072" s="315">
        <v>1.5386</v>
      </c>
      <c r="Q1072" s="315">
        <v>0</v>
      </c>
      <c r="R1072" s="315">
        <v>2.1886000000000001</v>
      </c>
      <c r="S1072" s="315">
        <v>1.8915</v>
      </c>
      <c r="T1072" s="315">
        <v>1.5798000000000001</v>
      </c>
      <c r="U1072" s="315">
        <v>1.8813</v>
      </c>
      <c r="V1072" s="315">
        <v>1.6520999999999999</v>
      </c>
      <c r="W1072" s="315">
        <v>2.1122999999999998</v>
      </c>
      <c r="X1072" s="315">
        <v>1.6812</v>
      </c>
      <c r="Y1072" s="315">
        <v>0</v>
      </c>
      <c r="Z1072" s="315">
        <v>2.1076000000000001</v>
      </c>
      <c r="AA1072" s="315">
        <v>2.0293000000000001</v>
      </c>
      <c r="AB1072" s="315">
        <v>1.9237</v>
      </c>
      <c r="AC1072" s="315">
        <v>0</v>
      </c>
      <c r="AD1072" s="315">
        <v>0</v>
      </c>
      <c r="AE1072" s="315">
        <v>1.9236</v>
      </c>
      <c r="AF1072" s="315">
        <v>0</v>
      </c>
      <c r="AG1072" s="315">
        <v>0</v>
      </c>
      <c r="AH1072" s="315">
        <v>0</v>
      </c>
      <c r="AI1072" s="315">
        <v>1.9802999999999999</v>
      </c>
      <c r="AJ1072" s="315">
        <v>1.4941</v>
      </c>
      <c r="AK1072" s="315">
        <v>0</v>
      </c>
      <c r="AL1072" s="315">
        <v>1.7844</v>
      </c>
      <c r="AM1072" s="315">
        <v>2.1267</v>
      </c>
      <c r="AN1072" s="315">
        <v>1.6652</v>
      </c>
      <c r="AO1072" s="315">
        <v>1.9409000000000001</v>
      </c>
      <c r="AP1072" s="315">
        <v>2.1916000000000002</v>
      </c>
      <c r="AQ1072" s="315">
        <v>1.7708999999999999</v>
      </c>
      <c r="AR1072" s="315">
        <v>0</v>
      </c>
      <c r="AS1072" s="315">
        <v>0</v>
      </c>
      <c r="AT1072" s="315">
        <v>1.9749000000000001</v>
      </c>
      <c r="AU1072" s="315">
        <v>2.1093000000000002</v>
      </c>
      <c r="AV1072" s="315">
        <v>2.0059999999999998</v>
      </c>
      <c r="AW1072" s="315">
        <v>0</v>
      </c>
      <c r="AX1072" s="315">
        <v>1.5385</v>
      </c>
      <c r="AY1072" s="315">
        <v>1.8765000000000001</v>
      </c>
      <c r="AZ1072" s="315">
        <v>1.9825999999999999</v>
      </c>
      <c r="BA1072" s="315">
        <v>1.4951000000000001</v>
      </c>
      <c r="BB1072" s="315">
        <v>0</v>
      </c>
      <c r="BC1072" s="315">
        <v>2.2281</v>
      </c>
      <c r="BD1072" s="315">
        <v>2.1587000000000001</v>
      </c>
      <c r="BE1072" s="315">
        <v>2.2305000000000001</v>
      </c>
      <c r="BF1072" s="315">
        <v>1.9300999999999999</v>
      </c>
      <c r="BG1072" s="315">
        <v>2.0356999999999998</v>
      </c>
      <c r="BH1072" s="315">
        <v>1.9730000000000001</v>
      </c>
      <c r="BI1072" s="315">
        <v>2.0948000000000002</v>
      </c>
      <c r="BJ1072" s="315">
        <v>1.9911000000000001</v>
      </c>
      <c r="BK1072" s="315">
        <v>2.1882000000000001</v>
      </c>
    </row>
    <row r="1073" spans="1:63" x14ac:dyDescent="0.25">
      <c r="A1073" s="306" t="s">
        <v>740</v>
      </c>
      <c r="B1073" s="315" t="s">
        <v>228</v>
      </c>
      <c r="C1073" s="315">
        <v>3.1267</v>
      </c>
      <c r="D1073" s="315">
        <v>0</v>
      </c>
      <c r="E1073" s="315">
        <v>1.9603999999999999</v>
      </c>
      <c r="F1073" s="315">
        <v>1.8661000000000001</v>
      </c>
      <c r="G1073" s="315">
        <v>2.0598000000000001</v>
      </c>
      <c r="H1073" s="315">
        <v>2.4895999999999998</v>
      </c>
      <c r="I1073" s="315">
        <v>2.4506999999999999</v>
      </c>
      <c r="J1073" s="315">
        <v>2.1865999999999999</v>
      </c>
      <c r="K1073" s="315">
        <v>0</v>
      </c>
      <c r="L1073" s="315">
        <v>0</v>
      </c>
      <c r="M1073" s="315">
        <v>2.0706000000000002</v>
      </c>
      <c r="N1073" s="315">
        <v>2.3443999999999998</v>
      </c>
      <c r="O1073" s="315">
        <v>0</v>
      </c>
      <c r="P1073" s="315">
        <v>1.67</v>
      </c>
      <c r="Q1073" s="315">
        <v>1.7325999999999999</v>
      </c>
      <c r="R1073" s="315">
        <v>2.4708999999999999</v>
      </c>
      <c r="S1073" s="315">
        <v>2.0625</v>
      </c>
      <c r="T1073" s="315">
        <v>1.7845</v>
      </c>
      <c r="U1073" s="315">
        <v>2.0024000000000002</v>
      </c>
      <c r="V1073" s="315">
        <v>1.8466</v>
      </c>
      <c r="W1073" s="315">
        <v>2.3599000000000001</v>
      </c>
      <c r="X1073" s="315">
        <v>1.992</v>
      </c>
      <c r="Y1073" s="315">
        <v>1.8743000000000001</v>
      </c>
      <c r="Z1073" s="315">
        <v>2.3264</v>
      </c>
      <c r="AA1073" s="315">
        <v>2.3256999999999999</v>
      </c>
      <c r="AB1073" s="315">
        <v>2.2052</v>
      </c>
      <c r="AC1073" s="315">
        <v>1.7222</v>
      </c>
      <c r="AD1073" s="315">
        <v>1.5819000000000001</v>
      </c>
      <c r="AE1073" s="315">
        <v>2.1947000000000001</v>
      </c>
      <c r="AF1073" s="315">
        <v>1.6392</v>
      </c>
      <c r="AG1073" s="315">
        <v>1.6930000000000001</v>
      </c>
      <c r="AH1073" s="315">
        <v>2.1686999999999999</v>
      </c>
      <c r="AI1073" s="315">
        <v>2.3218000000000001</v>
      </c>
      <c r="AJ1073" s="315">
        <v>1.6851</v>
      </c>
      <c r="AK1073" s="315">
        <v>1.8742000000000001</v>
      </c>
      <c r="AL1073" s="315">
        <v>2.0335999999999999</v>
      </c>
      <c r="AM1073" s="315">
        <v>2.3399000000000001</v>
      </c>
      <c r="AN1073" s="315">
        <v>1.9009</v>
      </c>
      <c r="AO1073" s="315">
        <v>2.2606999999999999</v>
      </c>
      <c r="AP1073" s="315">
        <v>2.4457</v>
      </c>
      <c r="AQ1073" s="315">
        <v>2.0411999999999999</v>
      </c>
      <c r="AR1073" s="315">
        <v>1.9895</v>
      </c>
      <c r="AS1073" s="315">
        <v>0</v>
      </c>
      <c r="AT1073" s="315">
        <v>2.2075</v>
      </c>
      <c r="AU1073" s="315">
        <v>2.4177</v>
      </c>
      <c r="AV1073" s="315">
        <v>2.3946000000000001</v>
      </c>
      <c r="AW1073" s="315">
        <v>2.1837</v>
      </c>
      <c r="AX1073" s="315">
        <v>1.7186999999999999</v>
      </c>
      <c r="AY1073" s="315">
        <v>2.2149999999999999</v>
      </c>
      <c r="AZ1073" s="315">
        <v>2.2031999999999998</v>
      </c>
      <c r="BA1073" s="315">
        <v>1.6467000000000001</v>
      </c>
      <c r="BB1073" s="315">
        <v>1.4761</v>
      </c>
      <c r="BC1073" s="315">
        <v>2.504</v>
      </c>
      <c r="BD1073" s="315">
        <v>2.4346999999999999</v>
      </c>
      <c r="BE1073" s="315">
        <v>2.4927000000000001</v>
      </c>
      <c r="BF1073" s="315">
        <v>2.2067999999999999</v>
      </c>
      <c r="BG1073" s="315">
        <v>2.4091999999999998</v>
      </c>
      <c r="BH1073" s="315">
        <v>2.1473</v>
      </c>
      <c r="BI1073" s="315">
        <v>2.3835000000000002</v>
      </c>
      <c r="BJ1073" s="315">
        <v>2.363</v>
      </c>
      <c r="BK1073" s="315">
        <v>2.5135000000000001</v>
      </c>
    </row>
    <row r="1074" spans="1:63" x14ac:dyDescent="0.25">
      <c r="A1074" s="306">
        <v>334613</v>
      </c>
      <c r="B1074" s="315" t="s">
        <v>229</v>
      </c>
      <c r="C1074" s="315">
        <v>2.8325</v>
      </c>
      <c r="D1074" s="315">
        <v>0</v>
      </c>
      <c r="E1074" s="315">
        <v>1.8611</v>
      </c>
      <c r="F1074" s="315">
        <v>0</v>
      </c>
      <c r="G1074" s="315">
        <v>1.7148000000000001</v>
      </c>
      <c r="H1074" s="315">
        <v>2.1259000000000001</v>
      </c>
      <c r="I1074" s="315">
        <v>2.004</v>
      </c>
      <c r="J1074" s="315">
        <v>1.9790000000000001</v>
      </c>
      <c r="K1074" s="315">
        <v>1.2003999999999999</v>
      </c>
      <c r="L1074" s="315">
        <v>0</v>
      </c>
      <c r="M1074" s="315">
        <v>1.7232000000000001</v>
      </c>
      <c r="N1074" s="315">
        <v>2.1890999999999998</v>
      </c>
      <c r="O1074" s="315">
        <v>0</v>
      </c>
      <c r="P1074" s="315">
        <v>0</v>
      </c>
      <c r="Q1074" s="315">
        <v>0</v>
      </c>
      <c r="R1074" s="315">
        <v>2.1913</v>
      </c>
      <c r="S1074" s="315">
        <v>0</v>
      </c>
      <c r="T1074" s="315">
        <v>1.6457999999999999</v>
      </c>
      <c r="U1074" s="315">
        <v>0</v>
      </c>
      <c r="V1074" s="315">
        <v>0</v>
      </c>
      <c r="W1074" s="315">
        <v>2.1139999999999999</v>
      </c>
      <c r="X1074" s="315">
        <v>1.7093</v>
      </c>
      <c r="Y1074" s="315">
        <v>1.6676</v>
      </c>
      <c r="Z1074" s="315">
        <v>0</v>
      </c>
      <c r="AA1074" s="315">
        <v>2.1137000000000001</v>
      </c>
      <c r="AB1074" s="315">
        <v>0</v>
      </c>
      <c r="AC1074" s="315">
        <v>0</v>
      </c>
      <c r="AD1074" s="315">
        <v>0</v>
      </c>
      <c r="AE1074" s="315">
        <v>2.0390000000000001</v>
      </c>
      <c r="AF1074" s="315">
        <v>1.5234000000000001</v>
      </c>
      <c r="AG1074" s="315">
        <v>0</v>
      </c>
      <c r="AH1074" s="315">
        <v>0</v>
      </c>
      <c r="AI1074" s="315">
        <v>2.0579000000000001</v>
      </c>
      <c r="AJ1074" s="315">
        <v>0</v>
      </c>
      <c r="AK1074" s="315">
        <v>1.6326000000000001</v>
      </c>
      <c r="AL1074" s="315">
        <v>1.71</v>
      </c>
      <c r="AM1074" s="315">
        <v>0</v>
      </c>
      <c r="AN1074" s="315">
        <v>1.6883999999999999</v>
      </c>
      <c r="AO1074" s="315">
        <v>0</v>
      </c>
      <c r="AP1074" s="315">
        <v>0</v>
      </c>
      <c r="AQ1074" s="315">
        <v>0</v>
      </c>
      <c r="AR1074" s="315">
        <v>0</v>
      </c>
      <c r="AS1074" s="315">
        <v>0</v>
      </c>
      <c r="AT1074" s="315">
        <v>0</v>
      </c>
      <c r="AU1074" s="315">
        <v>2.2105999999999999</v>
      </c>
      <c r="AV1074" s="315">
        <v>2.0282</v>
      </c>
      <c r="AW1074" s="315">
        <v>0</v>
      </c>
      <c r="AX1074" s="315">
        <v>0</v>
      </c>
      <c r="AY1074" s="315">
        <v>1.9401999999999999</v>
      </c>
      <c r="AZ1074" s="315">
        <v>0</v>
      </c>
      <c r="BA1074" s="315">
        <v>0</v>
      </c>
      <c r="BB1074" s="315">
        <v>0</v>
      </c>
      <c r="BC1074" s="315">
        <v>2.2490000000000001</v>
      </c>
      <c r="BD1074" s="315">
        <v>2.1086</v>
      </c>
      <c r="BE1074" s="315">
        <v>2.2881</v>
      </c>
      <c r="BF1074" s="315">
        <v>2.0314000000000001</v>
      </c>
      <c r="BG1074" s="315">
        <v>2.1549999999999998</v>
      </c>
      <c r="BH1074" s="315">
        <v>2.0884999999999998</v>
      </c>
      <c r="BI1074" s="315">
        <v>2.19</v>
      </c>
      <c r="BJ1074" s="315">
        <v>1.9557</v>
      </c>
      <c r="BK1074" s="315">
        <v>2.1467000000000001</v>
      </c>
    </row>
    <row r="1075" spans="1:63" x14ac:dyDescent="0.25">
      <c r="A1075" s="306" t="s">
        <v>741</v>
      </c>
      <c r="B1075" s="315" t="s">
        <v>742</v>
      </c>
      <c r="C1075" s="315">
        <v>3.1263999999999998</v>
      </c>
      <c r="D1075" s="315">
        <v>0</v>
      </c>
      <c r="E1075" s="315">
        <v>2.0937999999999999</v>
      </c>
      <c r="F1075" s="315">
        <v>1.9106000000000001</v>
      </c>
      <c r="G1075" s="315">
        <v>1.9138999999999999</v>
      </c>
      <c r="H1075" s="315">
        <v>2.3279000000000001</v>
      </c>
      <c r="I1075" s="315">
        <v>2.2376</v>
      </c>
      <c r="J1075" s="315">
        <v>2.1435</v>
      </c>
      <c r="K1075" s="315">
        <v>1.2695000000000001</v>
      </c>
      <c r="L1075" s="315">
        <v>1.8257000000000001</v>
      </c>
      <c r="M1075" s="315">
        <v>1.9538</v>
      </c>
      <c r="N1075" s="315">
        <v>2.3704000000000001</v>
      </c>
      <c r="O1075" s="315">
        <v>0</v>
      </c>
      <c r="P1075" s="315">
        <v>1.6539999999999999</v>
      </c>
      <c r="Q1075" s="315">
        <v>1.7406999999999999</v>
      </c>
      <c r="R1075" s="315">
        <v>2.4005000000000001</v>
      </c>
      <c r="S1075" s="315">
        <v>2.0579999999999998</v>
      </c>
      <c r="T1075" s="315">
        <v>1.7457</v>
      </c>
      <c r="U1075" s="315">
        <v>2.0026000000000002</v>
      </c>
      <c r="V1075" s="315">
        <v>1.9527000000000001</v>
      </c>
      <c r="W1075" s="315">
        <v>2.2930000000000001</v>
      </c>
      <c r="X1075" s="315">
        <v>1.9091</v>
      </c>
      <c r="Y1075" s="315">
        <v>1.8469</v>
      </c>
      <c r="Z1075" s="315">
        <v>2.2812000000000001</v>
      </c>
      <c r="AA1075" s="315">
        <v>2.2423999999999999</v>
      </c>
      <c r="AB1075" s="315">
        <v>2.1854</v>
      </c>
      <c r="AC1075" s="315">
        <v>0</v>
      </c>
      <c r="AD1075" s="315">
        <v>1.5991</v>
      </c>
      <c r="AE1075" s="315">
        <v>2.2357</v>
      </c>
      <c r="AF1075" s="315">
        <v>0</v>
      </c>
      <c r="AG1075" s="315">
        <v>1.6517999999999999</v>
      </c>
      <c r="AH1075" s="315">
        <v>1.9699</v>
      </c>
      <c r="AI1075" s="315">
        <v>2.2612000000000001</v>
      </c>
      <c r="AJ1075" s="315">
        <v>1.5925</v>
      </c>
      <c r="AK1075" s="315">
        <v>1.8088</v>
      </c>
      <c r="AL1075" s="315">
        <v>1.9454</v>
      </c>
      <c r="AM1075" s="315">
        <v>2.3256999999999999</v>
      </c>
      <c r="AN1075" s="315">
        <v>1.9182999999999999</v>
      </c>
      <c r="AO1075" s="315">
        <v>2.1265999999999998</v>
      </c>
      <c r="AP1075" s="315">
        <v>2.3889</v>
      </c>
      <c r="AQ1075" s="315">
        <v>2.0358000000000001</v>
      </c>
      <c r="AR1075" s="315">
        <v>2.0508000000000002</v>
      </c>
      <c r="AS1075" s="315">
        <v>0</v>
      </c>
      <c r="AT1075" s="315">
        <v>2.2338</v>
      </c>
      <c r="AU1075" s="315">
        <v>2.4056999999999999</v>
      </c>
      <c r="AV1075" s="315">
        <v>2.2463000000000002</v>
      </c>
      <c r="AW1075" s="315">
        <v>2.1789999999999998</v>
      </c>
      <c r="AX1075" s="315">
        <v>1.6975</v>
      </c>
      <c r="AY1075" s="315">
        <v>2.1259999999999999</v>
      </c>
      <c r="AZ1075" s="315">
        <v>2.1164000000000001</v>
      </c>
      <c r="BA1075" s="315">
        <v>1.7274</v>
      </c>
      <c r="BB1075" s="315">
        <v>0</v>
      </c>
      <c r="BC1075" s="315">
        <v>2.4213</v>
      </c>
      <c r="BD1075" s="315">
        <v>2.3334000000000001</v>
      </c>
      <c r="BE1075" s="315">
        <v>2.4510999999999998</v>
      </c>
      <c r="BF1075" s="315">
        <v>2.1564000000000001</v>
      </c>
      <c r="BG1075" s="315">
        <v>2.4257</v>
      </c>
      <c r="BH1075" s="315">
        <v>2.2810999999999999</v>
      </c>
      <c r="BI1075" s="315">
        <v>2.4133</v>
      </c>
      <c r="BJ1075" s="315">
        <v>2.2029000000000001</v>
      </c>
      <c r="BK1075" s="315">
        <v>2.3828</v>
      </c>
    </row>
    <row r="1076" spans="1:63" x14ac:dyDescent="0.25">
      <c r="A1076" s="306">
        <v>335110</v>
      </c>
      <c r="B1076" s="315" t="s">
        <v>230</v>
      </c>
      <c r="C1076" s="315">
        <v>2.4986999999999999</v>
      </c>
      <c r="D1076" s="315">
        <v>0</v>
      </c>
      <c r="E1076" s="315">
        <v>1.7811999999999999</v>
      </c>
      <c r="F1076" s="315">
        <v>1.6552</v>
      </c>
      <c r="G1076" s="315">
        <v>1.6732</v>
      </c>
      <c r="H1076" s="315">
        <v>1.9024000000000001</v>
      </c>
      <c r="I1076" s="315">
        <v>1.8513999999999999</v>
      </c>
      <c r="J1076" s="315">
        <v>1.8024</v>
      </c>
      <c r="K1076" s="315">
        <v>0</v>
      </c>
      <c r="L1076" s="315">
        <v>0</v>
      </c>
      <c r="M1076" s="315">
        <v>1.6908000000000001</v>
      </c>
      <c r="N1076" s="315">
        <v>0</v>
      </c>
      <c r="O1076" s="315">
        <v>0</v>
      </c>
      <c r="P1076" s="315">
        <v>1.5481</v>
      </c>
      <c r="Q1076" s="315">
        <v>0</v>
      </c>
      <c r="R1076" s="315">
        <v>1.9961</v>
      </c>
      <c r="S1076" s="315">
        <v>1.8681000000000001</v>
      </c>
      <c r="T1076" s="315">
        <v>0</v>
      </c>
      <c r="U1076" s="315">
        <v>1.9216</v>
      </c>
      <c r="V1076" s="315">
        <v>1.6982999999999999</v>
      </c>
      <c r="W1076" s="315">
        <v>1.8358000000000001</v>
      </c>
      <c r="X1076" s="315">
        <v>1.6448</v>
      </c>
      <c r="Y1076" s="315">
        <v>1.6685000000000001</v>
      </c>
      <c r="Z1076" s="315">
        <v>0</v>
      </c>
      <c r="AA1076" s="315">
        <v>0</v>
      </c>
      <c r="AB1076" s="315">
        <v>1.8508</v>
      </c>
      <c r="AC1076" s="315">
        <v>0</v>
      </c>
      <c r="AD1076" s="315">
        <v>0</v>
      </c>
      <c r="AE1076" s="315">
        <v>1.8943000000000001</v>
      </c>
      <c r="AF1076" s="315">
        <v>0</v>
      </c>
      <c r="AG1076" s="315">
        <v>0</v>
      </c>
      <c r="AH1076" s="315">
        <v>1.7790999999999999</v>
      </c>
      <c r="AI1076" s="315">
        <v>1.9684999999999999</v>
      </c>
      <c r="AJ1076" s="315">
        <v>0</v>
      </c>
      <c r="AK1076" s="315">
        <v>0</v>
      </c>
      <c r="AL1076" s="315">
        <v>1.7345999999999999</v>
      </c>
      <c r="AM1076" s="315">
        <v>2.1002000000000001</v>
      </c>
      <c r="AN1076" s="315">
        <v>0</v>
      </c>
      <c r="AO1076" s="315">
        <v>1.8123</v>
      </c>
      <c r="AP1076" s="315">
        <v>2.1221999999999999</v>
      </c>
      <c r="AQ1076" s="315">
        <v>0</v>
      </c>
      <c r="AR1076" s="315">
        <v>1.8358000000000001</v>
      </c>
      <c r="AS1076" s="315">
        <v>0</v>
      </c>
      <c r="AT1076" s="315">
        <v>1.9843999999999999</v>
      </c>
      <c r="AU1076" s="315">
        <v>1.9289000000000001</v>
      </c>
      <c r="AV1076" s="315">
        <v>0</v>
      </c>
      <c r="AW1076" s="315">
        <v>1.7618</v>
      </c>
      <c r="AX1076" s="315">
        <v>1.4942</v>
      </c>
      <c r="AY1076" s="315">
        <v>0</v>
      </c>
      <c r="AZ1076" s="315">
        <v>0</v>
      </c>
      <c r="BA1076" s="315">
        <v>1.6125</v>
      </c>
      <c r="BB1076" s="315">
        <v>0</v>
      </c>
      <c r="BC1076" s="315">
        <v>1.9659</v>
      </c>
      <c r="BD1076" s="315">
        <v>2.0855999999999999</v>
      </c>
      <c r="BE1076" s="315">
        <v>2.1699000000000002</v>
      </c>
      <c r="BF1076" s="315">
        <v>1.8552999999999999</v>
      </c>
      <c r="BG1076" s="315">
        <v>1.9964</v>
      </c>
      <c r="BH1076" s="315">
        <v>2.0286</v>
      </c>
      <c r="BI1076" s="315">
        <v>1.9595</v>
      </c>
      <c r="BJ1076" s="315">
        <v>1.8188</v>
      </c>
      <c r="BK1076" s="315">
        <v>1.9348000000000001</v>
      </c>
    </row>
    <row r="1077" spans="1:63" x14ac:dyDescent="0.25">
      <c r="A1077" s="306">
        <v>335120</v>
      </c>
      <c r="B1077" s="315" t="s">
        <v>231</v>
      </c>
      <c r="C1077" s="315">
        <v>2.7801999999999998</v>
      </c>
      <c r="D1077" s="315">
        <v>0</v>
      </c>
      <c r="E1077" s="315">
        <v>1.9597</v>
      </c>
      <c r="F1077" s="315">
        <v>1.8782000000000001</v>
      </c>
      <c r="G1077" s="315">
        <v>1.7925</v>
      </c>
      <c r="H1077" s="315">
        <v>2.0788000000000002</v>
      </c>
      <c r="I1077" s="315">
        <v>1.9406000000000001</v>
      </c>
      <c r="J1077" s="315">
        <v>1.9287000000000001</v>
      </c>
      <c r="K1077" s="315">
        <v>0</v>
      </c>
      <c r="L1077" s="315">
        <v>1.6608000000000001</v>
      </c>
      <c r="M1077" s="315">
        <v>1.8098000000000001</v>
      </c>
      <c r="N1077" s="315">
        <v>2.0676000000000001</v>
      </c>
      <c r="O1077" s="315">
        <v>1.5485</v>
      </c>
      <c r="P1077" s="315">
        <v>1.6698</v>
      </c>
      <c r="Q1077" s="315">
        <v>1.5639000000000001</v>
      </c>
      <c r="R1077" s="315">
        <v>2.3016000000000001</v>
      </c>
      <c r="S1077" s="315">
        <v>2.0358000000000001</v>
      </c>
      <c r="T1077" s="315">
        <v>1.6902999999999999</v>
      </c>
      <c r="U1077" s="315">
        <v>2.0567000000000002</v>
      </c>
      <c r="V1077" s="315">
        <v>1.798</v>
      </c>
      <c r="W1077" s="315">
        <v>1.9871000000000001</v>
      </c>
      <c r="X1077" s="315">
        <v>1.7554000000000001</v>
      </c>
      <c r="Y1077" s="315">
        <v>1.6943999999999999</v>
      </c>
      <c r="Z1077" s="315">
        <v>2.1101999999999999</v>
      </c>
      <c r="AA1077" s="315">
        <v>2.0116999999999998</v>
      </c>
      <c r="AB1077" s="315">
        <v>2.0859000000000001</v>
      </c>
      <c r="AC1077" s="315">
        <v>1.782</v>
      </c>
      <c r="AD1077" s="315">
        <v>1.4475</v>
      </c>
      <c r="AE1077" s="315">
        <v>1.9741</v>
      </c>
      <c r="AF1077" s="315">
        <v>0</v>
      </c>
      <c r="AG1077" s="315">
        <v>1.5412999999999999</v>
      </c>
      <c r="AH1077" s="315">
        <v>1.9296</v>
      </c>
      <c r="AI1077" s="315">
        <v>2.0573999999999999</v>
      </c>
      <c r="AJ1077" s="315">
        <v>1.4898</v>
      </c>
      <c r="AK1077" s="315">
        <v>1.633</v>
      </c>
      <c r="AL1077" s="315">
        <v>1.7806999999999999</v>
      </c>
      <c r="AM1077" s="315">
        <v>2.2959999999999998</v>
      </c>
      <c r="AN1077" s="315">
        <v>1.7937000000000001</v>
      </c>
      <c r="AO1077" s="315">
        <v>1.9551000000000001</v>
      </c>
      <c r="AP1077" s="315">
        <v>2.2907999999999999</v>
      </c>
      <c r="AQ1077" s="315">
        <v>1.7910999999999999</v>
      </c>
      <c r="AR1077" s="315">
        <v>1.9793000000000001</v>
      </c>
      <c r="AS1077" s="315">
        <v>1.4973000000000001</v>
      </c>
      <c r="AT1077" s="315">
        <v>2.1547000000000001</v>
      </c>
      <c r="AU1077" s="315">
        <v>2.1415999999999999</v>
      </c>
      <c r="AV1077" s="315">
        <v>1.9681999999999999</v>
      </c>
      <c r="AW1077" s="315">
        <v>1.9444999999999999</v>
      </c>
      <c r="AX1077" s="315">
        <v>1.5864</v>
      </c>
      <c r="AY1077" s="315">
        <v>1.8681000000000001</v>
      </c>
      <c r="AZ1077" s="315">
        <v>2.0215999999999998</v>
      </c>
      <c r="BA1077" s="315">
        <v>1.6729000000000001</v>
      </c>
      <c r="BB1077" s="315">
        <v>1.3616999999999999</v>
      </c>
      <c r="BC1077" s="315">
        <v>2.1217000000000001</v>
      </c>
      <c r="BD1077" s="315">
        <v>2.2094999999999998</v>
      </c>
      <c r="BE1077" s="315">
        <v>2.3858000000000001</v>
      </c>
      <c r="BF1077" s="315">
        <v>2.0457000000000001</v>
      </c>
      <c r="BG1077" s="315">
        <v>2.1347999999999998</v>
      </c>
      <c r="BH1077" s="315">
        <v>2.1890999999999998</v>
      </c>
      <c r="BI1077" s="315">
        <v>2.1974</v>
      </c>
      <c r="BJ1077" s="315">
        <v>1.8873</v>
      </c>
      <c r="BK1077" s="315">
        <v>2.1027</v>
      </c>
    </row>
    <row r="1078" spans="1:63" x14ac:dyDescent="0.25">
      <c r="A1078" s="306">
        <v>335210</v>
      </c>
      <c r="B1078" s="315" t="s">
        <v>232</v>
      </c>
      <c r="C1078" s="315">
        <v>2.7157</v>
      </c>
      <c r="D1078" s="315">
        <v>0</v>
      </c>
      <c r="E1078" s="315">
        <v>1.9841</v>
      </c>
      <c r="F1078" s="315">
        <v>1.8807</v>
      </c>
      <c r="G1078" s="315">
        <v>1.6500999999999999</v>
      </c>
      <c r="H1078" s="315">
        <v>1.8996999999999999</v>
      </c>
      <c r="I1078" s="315">
        <v>1.8098000000000001</v>
      </c>
      <c r="J1078" s="315">
        <v>1.9201999999999999</v>
      </c>
      <c r="K1078" s="315">
        <v>0</v>
      </c>
      <c r="L1078" s="315">
        <v>0</v>
      </c>
      <c r="M1078" s="315">
        <v>1.6606000000000001</v>
      </c>
      <c r="N1078" s="315">
        <v>0</v>
      </c>
      <c r="O1078" s="315">
        <v>0</v>
      </c>
      <c r="P1078" s="315">
        <v>1.7043999999999999</v>
      </c>
      <c r="Q1078" s="315">
        <v>1.474</v>
      </c>
      <c r="R1078" s="315">
        <v>2.2669999999999999</v>
      </c>
      <c r="S1078" s="315">
        <v>2.0644</v>
      </c>
      <c r="T1078" s="315">
        <v>1.6786000000000001</v>
      </c>
      <c r="U1078" s="315">
        <v>2.0411000000000001</v>
      </c>
      <c r="V1078" s="315">
        <v>0</v>
      </c>
      <c r="W1078" s="315">
        <v>1.9357</v>
      </c>
      <c r="X1078" s="315">
        <v>1.6661999999999999</v>
      </c>
      <c r="Y1078" s="315">
        <v>0</v>
      </c>
      <c r="Z1078" s="315">
        <v>2.0756999999999999</v>
      </c>
      <c r="AA1078" s="315">
        <v>1.9955000000000001</v>
      </c>
      <c r="AB1078" s="315">
        <v>2.0840999999999998</v>
      </c>
      <c r="AC1078" s="315">
        <v>1.7766999999999999</v>
      </c>
      <c r="AD1078" s="315">
        <v>0</v>
      </c>
      <c r="AE1078" s="315">
        <v>2.0004</v>
      </c>
      <c r="AF1078" s="315">
        <v>0</v>
      </c>
      <c r="AG1078" s="315">
        <v>0</v>
      </c>
      <c r="AH1078" s="315">
        <v>0</v>
      </c>
      <c r="AI1078" s="315">
        <v>1.9878</v>
      </c>
      <c r="AJ1078" s="315">
        <v>0</v>
      </c>
      <c r="AK1078" s="315">
        <v>0</v>
      </c>
      <c r="AL1078" s="315">
        <v>1.6848000000000001</v>
      </c>
      <c r="AM1078" s="315">
        <v>2.2610999999999999</v>
      </c>
      <c r="AN1078" s="315">
        <v>0</v>
      </c>
      <c r="AO1078" s="315">
        <v>0</v>
      </c>
      <c r="AP1078" s="315">
        <v>2.2143999999999999</v>
      </c>
      <c r="AQ1078" s="315">
        <v>0</v>
      </c>
      <c r="AR1078" s="315">
        <v>2.0381</v>
      </c>
      <c r="AS1078" s="315">
        <v>1.4325000000000001</v>
      </c>
      <c r="AT1078" s="315">
        <v>2.1364999999999998</v>
      </c>
      <c r="AU1078" s="315">
        <v>2.0766</v>
      </c>
      <c r="AV1078" s="315">
        <v>1.8995</v>
      </c>
      <c r="AW1078" s="315">
        <v>1.8562000000000001</v>
      </c>
      <c r="AX1078" s="315">
        <v>0</v>
      </c>
      <c r="AY1078" s="315">
        <v>1.7577</v>
      </c>
      <c r="AZ1078" s="315">
        <v>1.9904999999999999</v>
      </c>
      <c r="BA1078" s="315">
        <v>0</v>
      </c>
      <c r="BB1078" s="315">
        <v>0</v>
      </c>
      <c r="BC1078" s="315">
        <v>2.0737000000000001</v>
      </c>
      <c r="BD1078" s="315">
        <v>2.0817000000000001</v>
      </c>
      <c r="BE1078" s="315">
        <v>2.3313000000000001</v>
      </c>
      <c r="BF1078" s="315">
        <v>2.0213999999999999</v>
      </c>
      <c r="BG1078" s="315">
        <v>2.0926999999999998</v>
      </c>
      <c r="BH1078" s="315">
        <v>2.1648999999999998</v>
      </c>
      <c r="BI1078" s="315">
        <v>2.1400999999999999</v>
      </c>
      <c r="BJ1078" s="315">
        <v>1.7739</v>
      </c>
      <c r="BK1078" s="315">
        <v>1.9173</v>
      </c>
    </row>
    <row r="1079" spans="1:63" x14ac:dyDescent="0.25">
      <c r="A1079" s="306">
        <v>335221</v>
      </c>
      <c r="B1079" s="315" t="s">
        <v>233</v>
      </c>
      <c r="C1079" s="315">
        <v>3.0743</v>
      </c>
      <c r="D1079" s="315">
        <v>0</v>
      </c>
      <c r="E1079" s="315">
        <v>0</v>
      </c>
      <c r="F1079" s="315">
        <v>0</v>
      </c>
      <c r="G1079" s="315">
        <v>1.7801</v>
      </c>
      <c r="H1079" s="315">
        <v>2.1006999999999998</v>
      </c>
      <c r="I1079" s="315">
        <v>0</v>
      </c>
      <c r="J1079" s="315">
        <v>2.0398000000000001</v>
      </c>
      <c r="K1079" s="315">
        <v>0</v>
      </c>
      <c r="L1079" s="315">
        <v>0</v>
      </c>
      <c r="M1079" s="315">
        <v>1.7215</v>
      </c>
      <c r="N1079" s="315">
        <v>2.0971000000000002</v>
      </c>
      <c r="O1079" s="315">
        <v>0</v>
      </c>
      <c r="P1079" s="315">
        <v>1.8233999999999999</v>
      </c>
      <c r="Q1079" s="315">
        <v>1.5087999999999999</v>
      </c>
      <c r="R1079" s="315">
        <v>2.5105</v>
      </c>
      <c r="S1079" s="315">
        <v>2.3218000000000001</v>
      </c>
      <c r="T1079" s="315">
        <v>1.7403999999999999</v>
      </c>
      <c r="U1079" s="315">
        <v>2.2469000000000001</v>
      </c>
      <c r="V1079" s="315">
        <v>1.716</v>
      </c>
      <c r="W1079" s="315">
        <v>0</v>
      </c>
      <c r="X1079" s="315">
        <v>1.7542</v>
      </c>
      <c r="Y1079" s="315">
        <v>0</v>
      </c>
      <c r="Z1079" s="315">
        <v>0</v>
      </c>
      <c r="AA1079" s="315">
        <v>0</v>
      </c>
      <c r="AB1079" s="315">
        <v>2.1633</v>
      </c>
      <c r="AC1079" s="315">
        <v>1.8888</v>
      </c>
      <c r="AD1079" s="315">
        <v>1.3620000000000001</v>
      </c>
      <c r="AE1079" s="315">
        <v>2.048</v>
      </c>
      <c r="AF1079" s="315">
        <v>0</v>
      </c>
      <c r="AG1079" s="315">
        <v>0</v>
      </c>
      <c r="AH1079" s="315">
        <v>0</v>
      </c>
      <c r="AI1079" s="315">
        <v>2.1164999999999998</v>
      </c>
      <c r="AJ1079" s="315">
        <v>0</v>
      </c>
      <c r="AK1079" s="315">
        <v>1.5893999999999999</v>
      </c>
      <c r="AL1079" s="315">
        <v>1.7668999999999999</v>
      </c>
      <c r="AM1079" s="315">
        <v>2.5558999999999998</v>
      </c>
      <c r="AN1079" s="315">
        <v>1.8080000000000001</v>
      </c>
      <c r="AO1079" s="315">
        <v>2.0531999999999999</v>
      </c>
      <c r="AP1079" s="315">
        <v>2.5266000000000002</v>
      </c>
      <c r="AQ1079" s="315">
        <v>0</v>
      </c>
      <c r="AR1079" s="315">
        <v>2.1522000000000001</v>
      </c>
      <c r="AS1079" s="315">
        <v>0</v>
      </c>
      <c r="AT1079" s="315">
        <v>2.3176999999999999</v>
      </c>
      <c r="AU1079" s="315">
        <v>2.2092999999999998</v>
      </c>
      <c r="AV1079" s="315">
        <v>2.0649999999999999</v>
      </c>
      <c r="AW1079" s="315">
        <v>0</v>
      </c>
      <c r="AX1079" s="315">
        <v>0</v>
      </c>
      <c r="AY1079" s="315">
        <v>0</v>
      </c>
      <c r="AZ1079" s="315">
        <v>2.19</v>
      </c>
      <c r="BA1079" s="315">
        <v>0</v>
      </c>
      <c r="BB1079" s="315">
        <v>0</v>
      </c>
      <c r="BC1079" s="315">
        <v>2.2387999999999999</v>
      </c>
      <c r="BD1079" s="315">
        <v>2.3571</v>
      </c>
      <c r="BE1079" s="315">
        <v>2.6379999999999999</v>
      </c>
      <c r="BF1079" s="315">
        <v>2.2282000000000002</v>
      </c>
      <c r="BG1079" s="315">
        <v>2.1448</v>
      </c>
      <c r="BH1079" s="315">
        <v>2.3822000000000001</v>
      </c>
      <c r="BI1079" s="315">
        <v>2.2572000000000001</v>
      </c>
      <c r="BJ1079" s="315">
        <v>1.8648</v>
      </c>
      <c r="BK1079" s="315">
        <v>2.121</v>
      </c>
    </row>
    <row r="1080" spans="1:63" x14ac:dyDescent="0.25">
      <c r="A1080" s="306">
        <v>335222</v>
      </c>
      <c r="B1080" s="315" t="s">
        <v>234</v>
      </c>
      <c r="C1080" s="315">
        <v>3.0533999999999999</v>
      </c>
      <c r="D1080" s="315">
        <v>0</v>
      </c>
      <c r="E1080" s="315">
        <v>2.157</v>
      </c>
      <c r="F1080" s="315">
        <v>2.0745</v>
      </c>
      <c r="G1080" s="315">
        <v>1.7231000000000001</v>
      </c>
      <c r="H1080" s="315">
        <v>1.9928999999999999</v>
      </c>
      <c r="I1080" s="315">
        <v>0</v>
      </c>
      <c r="J1080" s="315">
        <v>0</v>
      </c>
      <c r="K1080" s="315">
        <v>0</v>
      </c>
      <c r="L1080" s="315">
        <v>0</v>
      </c>
      <c r="M1080" s="315">
        <v>1.7444</v>
      </c>
      <c r="N1080" s="315">
        <v>0</v>
      </c>
      <c r="O1080" s="315">
        <v>0</v>
      </c>
      <c r="P1080" s="315">
        <v>1.8608</v>
      </c>
      <c r="Q1080" s="315">
        <v>0</v>
      </c>
      <c r="R1080" s="315">
        <v>2.4784999999999999</v>
      </c>
      <c r="S1080" s="315">
        <v>2.3146</v>
      </c>
      <c r="T1080" s="315">
        <v>0</v>
      </c>
      <c r="U1080" s="315">
        <v>2.2806000000000002</v>
      </c>
      <c r="V1080" s="315">
        <v>0</v>
      </c>
      <c r="W1080" s="315">
        <v>0</v>
      </c>
      <c r="X1080" s="315">
        <v>0</v>
      </c>
      <c r="Y1080" s="315">
        <v>0</v>
      </c>
      <c r="Z1080" s="315">
        <v>2.3016999999999999</v>
      </c>
      <c r="AA1080" s="315">
        <v>2.1749999999999998</v>
      </c>
      <c r="AB1080" s="315">
        <v>0</v>
      </c>
      <c r="AC1080" s="315">
        <v>2</v>
      </c>
      <c r="AD1080" s="315">
        <v>0</v>
      </c>
      <c r="AE1080" s="315">
        <v>0</v>
      </c>
      <c r="AF1080" s="315">
        <v>0</v>
      </c>
      <c r="AG1080" s="315">
        <v>0</v>
      </c>
      <c r="AH1080" s="315">
        <v>0</v>
      </c>
      <c r="AI1080" s="315">
        <v>0</v>
      </c>
      <c r="AJ1080" s="315">
        <v>0</v>
      </c>
      <c r="AK1080" s="315">
        <v>0</v>
      </c>
      <c r="AL1080" s="315">
        <v>0</v>
      </c>
      <c r="AM1080" s="315">
        <v>2.5446</v>
      </c>
      <c r="AN1080" s="315">
        <v>0</v>
      </c>
      <c r="AO1080" s="315">
        <v>0</v>
      </c>
      <c r="AP1080" s="315">
        <v>0</v>
      </c>
      <c r="AQ1080" s="315">
        <v>0</v>
      </c>
      <c r="AR1080" s="315">
        <v>2.2745000000000002</v>
      </c>
      <c r="AS1080" s="315">
        <v>0</v>
      </c>
      <c r="AT1080" s="315">
        <v>0</v>
      </c>
      <c r="AU1080" s="315">
        <v>2.3378999999999999</v>
      </c>
      <c r="AV1080" s="315">
        <v>0</v>
      </c>
      <c r="AW1080" s="315">
        <v>0</v>
      </c>
      <c r="AX1080" s="315">
        <v>0</v>
      </c>
      <c r="AY1080" s="315">
        <v>1.8277000000000001</v>
      </c>
      <c r="AZ1080" s="315">
        <v>2.1654</v>
      </c>
      <c r="BA1080" s="315">
        <v>0</v>
      </c>
      <c r="BB1080" s="315">
        <v>0</v>
      </c>
      <c r="BC1080" s="315">
        <v>0</v>
      </c>
      <c r="BD1080" s="315">
        <v>0</v>
      </c>
      <c r="BE1080" s="315">
        <v>2.6215999999999999</v>
      </c>
      <c r="BF1080" s="315">
        <v>2.1934999999999998</v>
      </c>
      <c r="BG1080" s="315">
        <v>2.2858000000000001</v>
      </c>
      <c r="BH1080" s="315">
        <v>2.4236</v>
      </c>
      <c r="BI1080" s="315">
        <v>2.4224000000000001</v>
      </c>
      <c r="BJ1080" s="315">
        <v>1.8432999999999999</v>
      </c>
      <c r="BK1080" s="315">
        <v>2.0072000000000001</v>
      </c>
    </row>
    <row r="1081" spans="1:63" x14ac:dyDescent="0.25">
      <c r="A1081" s="306">
        <v>335224</v>
      </c>
      <c r="B1081" s="315" t="s">
        <v>235</v>
      </c>
      <c r="C1081" s="315">
        <v>2.8277000000000001</v>
      </c>
      <c r="D1081" s="315">
        <v>0</v>
      </c>
      <c r="E1081" s="315">
        <v>0</v>
      </c>
      <c r="F1081" s="315">
        <v>0</v>
      </c>
      <c r="G1081" s="315">
        <v>0</v>
      </c>
      <c r="H1081" s="315">
        <v>1.9422999999999999</v>
      </c>
      <c r="I1081" s="315">
        <v>0</v>
      </c>
      <c r="J1081" s="315">
        <v>0</v>
      </c>
      <c r="K1081" s="315">
        <v>0</v>
      </c>
      <c r="L1081" s="315">
        <v>0</v>
      </c>
      <c r="M1081" s="315">
        <v>1.6814</v>
      </c>
      <c r="N1081" s="315">
        <v>0</v>
      </c>
      <c r="O1081" s="315">
        <v>0</v>
      </c>
      <c r="P1081" s="315">
        <v>1.7053</v>
      </c>
      <c r="Q1081" s="315">
        <v>0</v>
      </c>
      <c r="R1081" s="315">
        <v>2.3519999999999999</v>
      </c>
      <c r="S1081" s="315">
        <v>0</v>
      </c>
      <c r="T1081" s="315">
        <v>0</v>
      </c>
      <c r="U1081" s="315">
        <v>0</v>
      </c>
      <c r="V1081" s="315">
        <v>0</v>
      </c>
      <c r="W1081" s="315">
        <v>0</v>
      </c>
      <c r="X1081" s="315">
        <v>0</v>
      </c>
      <c r="Y1081" s="315">
        <v>0</v>
      </c>
      <c r="Z1081" s="315">
        <v>2.1608999999999998</v>
      </c>
      <c r="AA1081" s="315">
        <v>0</v>
      </c>
      <c r="AB1081" s="315">
        <v>0</v>
      </c>
      <c r="AC1081" s="315">
        <v>0</v>
      </c>
      <c r="AD1081" s="315">
        <v>0</v>
      </c>
      <c r="AE1081" s="315">
        <v>0</v>
      </c>
      <c r="AF1081" s="315">
        <v>0</v>
      </c>
      <c r="AG1081" s="315">
        <v>0</v>
      </c>
      <c r="AH1081" s="315">
        <v>0</v>
      </c>
      <c r="AI1081" s="315">
        <v>1.9289000000000001</v>
      </c>
      <c r="AJ1081" s="315">
        <v>0</v>
      </c>
      <c r="AK1081" s="315">
        <v>0</v>
      </c>
      <c r="AL1081" s="315">
        <v>1.6756</v>
      </c>
      <c r="AM1081" s="315">
        <v>2.3650000000000002</v>
      </c>
      <c r="AN1081" s="315">
        <v>0</v>
      </c>
      <c r="AO1081" s="315">
        <v>0</v>
      </c>
      <c r="AP1081" s="315">
        <v>0</v>
      </c>
      <c r="AQ1081" s="315">
        <v>0</v>
      </c>
      <c r="AR1081" s="315">
        <v>0</v>
      </c>
      <c r="AS1081" s="315">
        <v>0</v>
      </c>
      <c r="AT1081" s="315">
        <v>0</v>
      </c>
      <c r="AU1081" s="315">
        <v>0</v>
      </c>
      <c r="AV1081" s="315">
        <v>0</v>
      </c>
      <c r="AW1081" s="315">
        <v>1.8633</v>
      </c>
      <c r="AX1081" s="315">
        <v>0</v>
      </c>
      <c r="AY1081" s="315">
        <v>0</v>
      </c>
      <c r="AZ1081" s="315">
        <v>0</v>
      </c>
      <c r="BA1081" s="315">
        <v>0</v>
      </c>
      <c r="BB1081" s="315">
        <v>0</v>
      </c>
      <c r="BC1081" s="315">
        <v>0</v>
      </c>
      <c r="BD1081" s="315">
        <v>2.1440000000000001</v>
      </c>
      <c r="BE1081" s="315">
        <v>2.4361999999999999</v>
      </c>
      <c r="BF1081" s="315">
        <v>2.0537000000000001</v>
      </c>
      <c r="BG1081" s="315">
        <v>2.0922999999999998</v>
      </c>
      <c r="BH1081" s="315">
        <v>0</v>
      </c>
      <c r="BI1081" s="315">
        <v>0</v>
      </c>
      <c r="BJ1081" s="315">
        <v>0</v>
      </c>
      <c r="BK1081" s="315">
        <v>1.9723999999999999</v>
      </c>
    </row>
    <row r="1082" spans="1:63" x14ac:dyDescent="0.25">
      <c r="A1082" s="306">
        <v>335228</v>
      </c>
      <c r="B1082" s="315" t="s">
        <v>236</v>
      </c>
      <c r="C1082" s="315">
        <v>2.8176000000000001</v>
      </c>
      <c r="D1082" s="315">
        <v>0</v>
      </c>
      <c r="E1082" s="315">
        <v>1.9854000000000001</v>
      </c>
      <c r="F1082" s="315">
        <v>0</v>
      </c>
      <c r="G1082" s="315">
        <v>0</v>
      </c>
      <c r="H1082" s="315">
        <v>1.9843999999999999</v>
      </c>
      <c r="I1082" s="315">
        <v>0</v>
      </c>
      <c r="J1082" s="315">
        <v>1.9285000000000001</v>
      </c>
      <c r="K1082" s="315">
        <v>0</v>
      </c>
      <c r="L1082" s="315">
        <v>0</v>
      </c>
      <c r="M1082" s="315">
        <v>1.7011000000000001</v>
      </c>
      <c r="N1082" s="315">
        <v>0</v>
      </c>
      <c r="O1082" s="315">
        <v>0</v>
      </c>
      <c r="P1082" s="315">
        <v>0</v>
      </c>
      <c r="Q1082" s="315">
        <v>0</v>
      </c>
      <c r="R1082" s="315">
        <v>0</v>
      </c>
      <c r="S1082" s="315">
        <v>0</v>
      </c>
      <c r="T1082" s="315">
        <v>0</v>
      </c>
      <c r="U1082" s="315">
        <v>2.0467</v>
      </c>
      <c r="V1082" s="315">
        <v>1.7403</v>
      </c>
      <c r="W1082" s="315">
        <v>1.9759</v>
      </c>
      <c r="X1082" s="315">
        <v>1.748</v>
      </c>
      <c r="Y1082" s="315">
        <v>0</v>
      </c>
      <c r="Z1082" s="315">
        <v>2.1659999999999999</v>
      </c>
      <c r="AA1082" s="315">
        <v>2.0470999999999999</v>
      </c>
      <c r="AB1082" s="315">
        <v>0</v>
      </c>
      <c r="AC1082" s="315">
        <v>1.7697000000000001</v>
      </c>
      <c r="AD1082" s="315">
        <v>0</v>
      </c>
      <c r="AE1082" s="315">
        <v>1.9725999999999999</v>
      </c>
      <c r="AF1082" s="315">
        <v>0</v>
      </c>
      <c r="AG1082" s="315">
        <v>0</v>
      </c>
      <c r="AH1082" s="315">
        <v>1.8979999999999999</v>
      </c>
      <c r="AI1082" s="315">
        <v>2.0192999999999999</v>
      </c>
      <c r="AJ1082" s="315">
        <v>0</v>
      </c>
      <c r="AK1082" s="315">
        <v>0</v>
      </c>
      <c r="AL1082" s="315">
        <v>1.7114</v>
      </c>
      <c r="AM1082" s="315">
        <v>2.3216000000000001</v>
      </c>
      <c r="AN1082" s="315">
        <v>0</v>
      </c>
      <c r="AO1082" s="315">
        <v>0</v>
      </c>
      <c r="AP1082" s="315">
        <v>2.2747999999999999</v>
      </c>
      <c r="AQ1082" s="315">
        <v>0</v>
      </c>
      <c r="AR1082" s="315">
        <v>2.0198</v>
      </c>
      <c r="AS1082" s="315">
        <v>0</v>
      </c>
      <c r="AT1082" s="315">
        <v>2.1602999999999999</v>
      </c>
      <c r="AU1082" s="315">
        <v>2.1196999999999999</v>
      </c>
      <c r="AV1082" s="315">
        <v>0</v>
      </c>
      <c r="AW1082" s="315">
        <v>0</v>
      </c>
      <c r="AX1082" s="315">
        <v>0</v>
      </c>
      <c r="AY1082" s="315">
        <v>1.7779</v>
      </c>
      <c r="AZ1082" s="315">
        <v>1.9893000000000001</v>
      </c>
      <c r="BA1082" s="315">
        <v>0</v>
      </c>
      <c r="BB1082" s="315">
        <v>0</v>
      </c>
      <c r="BC1082" s="315">
        <v>2.1259000000000001</v>
      </c>
      <c r="BD1082" s="315">
        <v>2.1661000000000001</v>
      </c>
      <c r="BE1082" s="315">
        <v>2.4026999999999998</v>
      </c>
      <c r="BF1082" s="315">
        <v>2.0447000000000002</v>
      </c>
      <c r="BG1082" s="315">
        <v>2.0798000000000001</v>
      </c>
      <c r="BH1082" s="315">
        <v>2.1760999999999999</v>
      </c>
      <c r="BI1082" s="315">
        <v>2.1734</v>
      </c>
      <c r="BJ1082" s="315">
        <v>0</v>
      </c>
      <c r="BK1082" s="315">
        <v>1.9944</v>
      </c>
    </row>
    <row r="1083" spans="1:63" x14ac:dyDescent="0.25">
      <c r="A1083" s="306">
        <v>335311</v>
      </c>
      <c r="B1083" s="315" t="s">
        <v>237</v>
      </c>
      <c r="C1083" s="315">
        <v>2.8725999999999998</v>
      </c>
      <c r="D1083" s="315">
        <v>1.4066000000000001</v>
      </c>
      <c r="E1083" s="315">
        <v>2.0659999999999998</v>
      </c>
      <c r="F1083" s="315">
        <v>1.9888999999999999</v>
      </c>
      <c r="G1083" s="315">
        <v>1.7831999999999999</v>
      </c>
      <c r="H1083" s="315">
        <v>2.0004</v>
      </c>
      <c r="I1083" s="315">
        <v>1.9784999999999999</v>
      </c>
      <c r="J1083" s="315">
        <v>1.931</v>
      </c>
      <c r="K1083" s="315">
        <v>0</v>
      </c>
      <c r="L1083" s="315">
        <v>0</v>
      </c>
      <c r="M1083" s="315">
        <v>1.7616000000000001</v>
      </c>
      <c r="N1083" s="315">
        <v>2.0844999999999998</v>
      </c>
      <c r="O1083" s="315">
        <v>0</v>
      </c>
      <c r="P1083" s="315">
        <v>1.7317</v>
      </c>
      <c r="Q1083" s="315">
        <v>1.4962</v>
      </c>
      <c r="R1083" s="315">
        <v>2.3847999999999998</v>
      </c>
      <c r="S1083" s="315">
        <v>2.1457000000000002</v>
      </c>
      <c r="T1083" s="315">
        <v>1.7324999999999999</v>
      </c>
      <c r="U1083" s="315">
        <v>2.1206999999999998</v>
      </c>
      <c r="V1083" s="315">
        <v>1.8342000000000001</v>
      </c>
      <c r="W1083" s="315">
        <v>1.9585999999999999</v>
      </c>
      <c r="X1083" s="315">
        <v>1.8244</v>
      </c>
      <c r="Y1083" s="315">
        <v>0</v>
      </c>
      <c r="Z1083" s="315">
        <v>2.1741000000000001</v>
      </c>
      <c r="AA1083" s="315">
        <v>1.9077</v>
      </c>
      <c r="AB1083" s="315">
        <v>2.0226000000000002</v>
      </c>
      <c r="AC1083" s="315">
        <v>1.9107000000000001</v>
      </c>
      <c r="AD1083" s="315">
        <v>0</v>
      </c>
      <c r="AE1083" s="315">
        <v>2.0133999999999999</v>
      </c>
      <c r="AF1083" s="315">
        <v>0</v>
      </c>
      <c r="AG1083" s="315">
        <v>0</v>
      </c>
      <c r="AH1083" s="315">
        <v>1.9166000000000001</v>
      </c>
      <c r="AI1083" s="315">
        <v>2.0438000000000001</v>
      </c>
      <c r="AJ1083" s="315">
        <v>1.5087999999999999</v>
      </c>
      <c r="AK1083" s="315">
        <v>0</v>
      </c>
      <c r="AL1083" s="315">
        <v>1.8360000000000001</v>
      </c>
      <c r="AM1083" s="315">
        <v>2.3540000000000001</v>
      </c>
      <c r="AN1083" s="315">
        <v>1.9928999999999999</v>
      </c>
      <c r="AO1083" s="315">
        <v>1.9617</v>
      </c>
      <c r="AP1083" s="315">
        <v>2.3980000000000001</v>
      </c>
      <c r="AQ1083" s="315">
        <v>0</v>
      </c>
      <c r="AR1083" s="315">
        <v>2.1141999999999999</v>
      </c>
      <c r="AS1083" s="315">
        <v>1.4026000000000001</v>
      </c>
      <c r="AT1083" s="315">
        <v>2.1358000000000001</v>
      </c>
      <c r="AU1083" s="315">
        <v>2.2046999999999999</v>
      </c>
      <c r="AV1083" s="315">
        <v>2.1009000000000002</v>
      </c>
      <c r="AW1083" s="315">
        <v>1.8622000000000001</v>
      </c>
      <c r="AX1083" s="315">
        <v>1.6222000000000001</v>
      </c>
      <c r="AY1083" s="315">
        <v>1.8001</v>
      </c>
      <c r="AZ1083" s="315">
        <v>1.9129</v>
      </c>
      <c r="BA1083" s="315">
        <v>1.7701</v>
      </c>
      <c r="BB1083" s="315">
        <v>0</v>
      </c>
      <c r="BC1083" s="315">
        <v>2.0785999999999998</v>
      </c>
      <c r="BD1083" s="315">
        <v>2.3433000000000002</v>
      </c>
      <c r="BE1083" s="315">
        <v>2.4523000000000001</v>
      </c>
      <c r="BF1083" s="315">
        <v>1.9862</v>
      </c>
      <c r="BG1083" s="315">
        <v>2.1448</v>
      </c>
      <c r="BH1083" s="315">
        <v>2.2416999999999998</v>
      </c>
      <c r="BI1083" s="315">
        <v>2.3064</v>
      </c>
      <c r="BJ1083" s="315">
        <v>1.9121999999999999</v>
      </c>
      <c r="BK1083" s="315">
        <v>2.0219999999999998</v>
      </c>
    </row>
    <row r="1084" spans="1:63" x14ac:dyDescent="0.25">
      <c r="A1084" s="306">
        <v>335312</v>
      </c>
      <c r="B1084" s="315" t="s">
        <v>238</v>
      </c>
      <c r="C1084" s="315">
        <v>2.7927</v>
      </c>
      <c r="D1084" s="315">
        <v>0</v>
      </c>
      <c r="E1084" s="315">
        <v>2.0204</v>
      </c>
      <c r="F1084" s="315">
        <v>1.8811</v>
      </c>
      <c r="G1084" s="315">
        <v>1.7190000000000001</v>
      </c>
      <c r="H1084" s="315">
        <v>1.9332</v>
      </c>
      <c r="I1084" s="315">
        <v>1.8908</v>
      </c>
      <c r="J1084" s="315">
        <v>1.9036</v>
      </c>
      <c r="K1084" s="315">
        <v>0</v>
      </c>
      <c r="L1084" s="315">
        <v>1.6684000000000001</v>
      </c>
      <c r="M1084" s="315">
        <v>1.6916</v>
      </c>
      <c r="N1084" s="315">
        <v>1.9862</v>
      </c>
      <c r="O1084" s="315">
        <v>0</v>
      </c>
      <c r="P1084" s="315">
        <v>1.7405999999999999</v>
      </c>
      <c r="Q1084" s="315">
        <v>1.4749000000000001</v>
      </c>
      <c r="R1084" s="315">
        <v>2.3456999999999999</v>
      </c>
      <c r="S1084" s="315">
        <v>2.1242000000000001</v>
      </c>
      <c r="T1084" s="315">
        <v>1.665</v>
      </c>
      <c r="U1084" s="315">
        <v>2.0943000000000001</v>
      </c>
      <c r="V1084" s="315">
        <v>1.6901999999999999</v>
      </c>
      <c r="W1084" s="315">
        <v>1.8792</v>
      </c>
      <c r="X1084" s="315">
        <v>1.7071000000000001</v>
      </c>
      <c r="Y1084" s="315">
        <v>1.613</v>
      </c>
      <c r="Z1084" s="315">
        <v>2.1564000000000001</v>
      </c>
      <c r="AA1084" s="315">
        <v>1.9229000000000001</v>
      </c>
      <c r="AB1084" s="315">
        <v>2.0284</v>
      </c>
      <c r="AC1084" s="315">
        <v>1.8162</v>
      </c>
      <c r="AD1084" s="315">
        <v>1.4014</v>
      </c>
      <c r="AE1084" s="315">
        <v>1.9883</v>
      </c>
      <c r="AF1084" s="315">
        <v>0</v>
      </c>
      <c r="AG1084" s="315">
        <v>1.5638000000000001</v>
      </c>
      <c r="AH1084" s="315">
        <v>1.8889</v>
      </c>
      <c r="AI1084" s="315">
        <v>1.9117999999999999</v>
      </c>
      <c r="AJ1084" s="315">
        <v>1.4615</v>
      </c>
      <c r="AK1084" s="315">
        <v>1.5679000000000001</v>
      </c>
      <c r="AL1084" s="315">
        <v>1.7532000000000001</v>
      </c>
      <c r="AM1084" s="315">
        <v>2.3102999999999998</v>
      </c>
      <c r="AN1084" s="315">
        <v>1.8839999999999999</v>
      </c>
      <c r="AO1084" s="315">
        <v>1.849</v>
      </c>
      <c r="AP1084" s="315">
        <v>2.2789999999999999</v>
      </c>
      <c r="AQ1084" s="315">
        <v>0</v>
      </c>
      <c r="AR1084" s="315">
        <v>2.0464000000000002</v>
      </c>
      <c r="AS1084" s="315">
        <v>0</v>
      </c>
      <c r="AT1084" s="315">
        <v>2.1440999999999999</v>
      </c>
      <c r="AU1084" s="315">
        <v>2.0750000000000002</v>
      </c>
      <c r="AV1084" s="315">
        <v>1.9990000000000001</v>
      </c>
      <c r="AW1084" s="315">
        <v>1.8266</v>
      </c>
      <c r="AX1084" s="315">
        <v>0</v>
      </c>
      <c r="AY1084" s="315">
        <v>1.7354000000000001</v>
      </c>
      <c r="AZ1084" s="315">
        <v>2.0184000000000002</v>
      </c>
      <c r="BA1084" s="315">
        <v>1.7061999999999999</v>
      </c>
      <c r="BB1084" s="315">
        <v>1.3369</v>
      </c>
      <c r="BC1084" s="315">
        <v>2.0384000000000002</v>
      </c>
      <c r="BD1084" s="315">
        <v>2.1714000000000002</v>
      </c>
      <c r="BE1084" s="315">
        <v>2.4091999999999998</v>
      </c>
      <c r="BF1084" s="315">
        <v>1.9964999999999999</v>
      </c>
      <c r="BG1084" s="315">
        <v>2.0623</v>
      </c>
      <c r="BH1084" s="315">
        <v>2.2065000000000001</v>
      </c>
      <c r="BI1084" s="315">
        <v>2.1434000000000002</v>
      </c>
      <c r="BJ1084" s="315">
        <v>1.8413999999999999</v>
      </c>
      <c r="BK1084" s="315">
        <v>1.9562999999999999</v>
      </c>
    </row>
    <row r="1085" spans="1:63" x14ac:dyDescent="0.25">
      <c r="A1085" s="306">
        <v>335313</v>
      </c>
      <c r="B1085" s="315" t="s">
        <v>239</v>
      </c>
      <c r="C1085" s="315">
        <v>2.5785999999999998</v>
      </c>
      <c r="D1085" s="315">
        <v>1.3559000000000001</v>
      </c>
      <c r="E1085" s="315">
        <v>1.8013999999999999</v>
      </c>
      <c r="F1085" s="315">
        <v>1.6504000000000001</v>
      </c>
      <c r="G1085" s="315">
        <v>1.6993</v>
      </c>
      <c r="H1085" s="315">
        <v>1.9166000000000001</v>
      </c>
      <c r="I1085" s="315">
        <v>1.8264</v>
      </c>
      <c r="J1085" s="315">
        <v>1.8957999999999999</v>
      </c>
      <c r="K1085" s="315">
        <v>0</v>
      </c>
      <c r="L1085" s="315">
        <v>1.5754999999999999</v>
      </c>
      <c r="M1085" s="315">
        <v>1.7314000000000001</v>
      </c>
      <c r="N1085" s="315">
        <v>1.891</v>
      </c>
      <c r="O1085" s="315">
        <v>0</v>
      </c>
      <c r="P1085" s="315">
        <v>1.589</v>
      </c>
      <c r="Q1085" s="315">
        <v>0</v>
      </c>
      <c r="R1085" s="315">
        <v>2.16</v>
      </c>
      <c r="S1085" s="315">
        <v>1.8948</v>
      </c>
      <c r="T1085" s="315">
        <v>1.627</v>
      </c>
      <c r="U1085" s="315">
        <v>1.8712</v>
      </c>
      <c r="V1085" s="315">
        <v>1.6654</v>
      </c>
      <c r="W1085" s="315">
        <v>1.9037999999999999</v>
      </c>
      <c r="X1085" s="315">
        <v>1.657</v>
      </c>
      <c r="Y1085" s="315">
        <v>1.6729000000000001</v>
      </c>
      <c r="Z1085" s="315">
        <v>1.9825999999999999</v>
      </c>
      <c r="AA1085" s="315">
        <v>1.9297</v>
      </c>
      <c r="AB1085" s="315">
        <v>1.9079999999999999</v>
      </c>
      <c r="AC1085" s="315">
        <v>1.6653</v>
      </c>
      <c r="AD1085" s="315">
        <v>0</v>
      </c>
      <c r="AE1085" s="315">
        <v>1.9020999999999999</v>
      </c>
      <c r="AF1085" s="315">
        <v>0</v>
      </c>
      <c r="AG1085" s="315">
        <v>1.4986999999999999</v>
      </c>
      <c r="AH1085" s="315">
        <v>1.8158000000000001</v>
      </c>
      <c r="AI1085" s="315">
        <v>1.8525</v>
      </c>
      <c r="AJ1085" s="315">
        <v>1.4374</v>
      </c>
      <c r="AK1085" s="315">
        <v>1.5703</v>
      </c>
      <c r="AL1085" s="315">
        <v>1.6927000000000001</v>
      </c>
      <c r="AM1085" s="315">
        <v>2.1375999999999999</v>
      </c>
      <c r="AN1085" s="315">
        <v>1.7216</v>
      </c>
      <c r="AO1085" s="315">
        <v>1.8083</v>
      </c>
      <c r="AP1085" s="315">
        <v>2.1621999999999999</v>
      </c>
      <c r="AQ1085" s="315">
        <v>0</v>
      </c>
      <c r="AR1085" s="315">
        <v>1.9037999999999999</v>
      </c>
      <c r="AS1085" s="315">
        <v>1.4114</v>
      </c>
      <c r="AT1085" s="315">
        <v>1.9558</v>
      </c>
      <c r="AU1085" s="315">
        <v>2.0405000000000002</v>
      </c>
      <c r="AV1085" s="315">
        <v>1.8651</v>
      </c>
      <c r="AW1085" s="315">
        <v>1.8156000000000001</v>
      </c>
      <c r="AX1085" s="315">
        <v>0</v>
      </c>
      <c r="AY1085" s="315">
        <v>1.7918000000000001</v>
      </c>
      <c r="AZ1085" s="315">
        <v>1.9407000000000001</v>
      </c>
      <c r="BA1085" s="315">
        <v>1.6282000000000001</v>
      </c>
      <c r="BB1085" s="315">
        <v>1.3205</v>
      </c>
      <c r="BC1085" s="315">
        <v>2.0365000000000002</v>
      </c>
      <c r="BD1085" s="315">
        <v>2.0636999999999999</v>
      </c>
      <c r="BE1085" s="315">
        <v>2.2216</v>
      </c>
      <c r="BF1085" s="315">
        <v>1.903</v>
      </c>
      <c r="BG1085" s="315">
        <v>2.0268999999999999</v>
      </c>
      <c r="BH1085" s="315">
        <v>1.9730000000000001</v>
      </c>
      <c r="BI1085" s="315">
        <v>2.0638999999999998</v>
      </c>
      <c r="BJ1085" s="315">
        <v>1.8028</v>
      </c>
      <c r="BK1085" s="315">
        <v>1.9417</v>
      </c>
    </row>
    <row r="1086" spans="1:63" x14ac:dyDescent="0.25">
      <c r="A1086" s="306">
        <v>335314</v>
      </c>
      <c r="B1086" s="315" t="s">
        <v>9</v>
      </c>
      <c r="C1086" s="315">
        <v>2.6735000000000002</v>
      </c>
      <c r="D1086" s="315">
        <v>1.3944000000000001</v>
      </c>
      <c r="E1086" s="315">
        <v>1.8117000000000001</v>
      </c>
      <c r="F1086" s="315">
        <v>1.6814</v>
      </c>
      <c r="G1086" s="315">
        <v>1.7865</v>
      </c>
      <c r="H1086" s="315">
        <v>2.0371000000000001</v>
      </c>
      <c r="I1086" s="315">
        <v>1.9706999999999999</v>
      </c>
      <c r="J1086" s="315">
        <v>2.0135999999999998</v>
      </c>
      <c r="K1086" s="315">
        <v>0</v>
      </c>
      <c r="L1086" s="315">
        <v>1.5884</v>
      </c>
      <c r="M1086" s="315">
        <v>1.855</v>
      </c>
      <c r="N1086" s="315">
        <v>1.9309000000000001</v>
      </c>
      <c r="O1086" s="315">
        <v>0</v>
      </c>
      <c r="P1086" s="315">
        <v>1.5766</v>
      </c>
      <c r="Q1086" s="315">
        <v>1.4942</v>
      </c>
      <c r="R1086" s="315">
        <v>2.2635999999999998</v>
      </c>
      <c r="S1086" s="315">
        <v>1.9088000000000001</v>
      </c>
      <c r="T1086" s="315">
        <v>1.6698</v>
      </c>
      <c r="U1086" s="315">
        <v>1.8689</v>
      </c>
      <c r="V1086" s="315">
        <v>1.7058</v>
      </c>
      <c r="W1086" s="315">
        <v>2.0463</v>
      </c>
      <c r="X1086" s="315">
        <v>1.6956</v>
      </c>
      <c r="Y1086" s="315">
        <v>1.7687999999999999</v>
      </c>
      <c r="Z1086" s="315">
        <v>2.0531000000000001</v>
      </c>
      <c r="AA1086" s="315">
        <v>2.0710999999999999</v>
      </c>
      <c r="AB1086" s="315">
        <v>1.9365000000000001</v>
      </c>
      <c r="AC1086" s="315">
        <v>1.669</v>
      </c>
      <c r="AD1086" s="315">
        <v>0</v>
      </c>
      <c r="AE1086" s="315">
        <v>2.0284</v>
      </c>
      <c r="AF1086" s="315">
        <v>1.3833</v>
      </c>
      <c r="AG1086" s="315">
        <v>1.5305</v>
      </c>
      <c r="AH1086" s="315">
        <v>1.9590000000000001</v>
      </c>
      <c r="AI1086" s="315">
        <v>1.9356</v>
      </c>
      <c r="AJ1086" s="315">
        <v>1.5081</v>
      </c>
      <c r="AK1086" s="315">
        <v>1.6485000000000001</v>
      </c>
      <c r="AL1086" s="315">
        <v>1.8068</v>
      </c>
      <c r="AM1086" s="315">
        <v>2.2017000000000002</v>
      </c>
      <c r="AN1086" s="315">
        <v>1.7431000000000001</v>
      </c>
      <c r="AO1086" s="315">
        <v>1.8918999999999999</v>
      </c>
      <c r="AP1086" s="315">
        <v>2.2374999999999998</v>
      </c>
      <c r="AQ1086" s="315">
        <v>1.7290000000000001</v>
      </c>
      <c r="AR1086" s="315">
        <v>1.9520999999999999</v>
      </c>
      <c r="AS1086" s="315">
        <v>1.4901</v>
      </c>
      <c r="AT1086" s="315">
        <v>1.9724999999999999</v>
      </c>
      <c r="AU1086" s="315">
        <v>2.0908000000000002</v>
      </c>
      <c r="AV1086" s="315">
        <v>1.9459</v>
      </c>
      <c r="AW1086" s="315">
        <v>1.9209000000000001</v>
      </c>
      <c r="AX1086" s="315">
        <v>1.6091</v>
      </c>
      <c r="AY1086" s="315">
        <v>1.921</v>
      </c>
      <c r="AZ1086" s="315">
        <v>2.0575999999999999</v>
      </c>
      <c r="BA1086" s="315">
        <v>1.6575</v>
      </c>
      <c r="BB1086" s="315">
        <v>1.3416999999999999</v>
      </c>
      <c r="BC1086" s="315">
        <v>2.1875</v>
      </c>
      <c r="BD1086" s="315">
        <v>2.1665000000000001</v>
      </c>
      <c r="BE1086" s="315">
        <v>2.3003999999999998</v>
      </c>
      <c r="BF1086" s="315">
        <v>1.9742</v>
      </c>
      <c r="BG1086" s="315">
        <v>2.1501999999999999</v>
      </c>
      <c r="BH1086" s="315">
        <v>1.9781</v>
      </c>
      <c r="BI1086" s="315">
        <v>2.1042000000000001</v>
      </c>
      <c r="BJ1086" s="315">
        <v>1.9077999999999999</v>
      </c>
      <c r="BK1086" s="315">
        <v>2.0676999999999999</v>
      </c>
    </row>
    <row r="1087" spans="1:63" x14ac:dyDescent="0.25">
      <c r="A1087" s="306">
        <v>335911</v>
      </c>
      <c r="B1087" s="315" t="s">
        <v>240</v>
      </c>
      <c r="C1087" s="315">
        <v>2.8043999999999998</v>
      </c>
      <c r="D1087" s="315">
        <v>0</v>
      </c>
      <c r="E1087" s="315">
        <v>0</v>
      </c>
      <c r="F1087" s="315">
        <v>1.7963</v>
      </c>
      <c r="G1087" s="315">
        <v>1.8260000000000001</v>
      </c>
      <c r="H1087" s="315">
        <v>2.0396999999999998</v>
      </c>
      <c r="I1087" s="315">
        <v>2.0044</v>
      </c>
      <c r="J1087" s="315">
        <v>1.9521999999999999</v>
      </c>
      <c r="K1087" s="315">
        <v>0</v>
      </c>
      <c r="L1087" s="315">
        <v>1.726</v>
      </c>
      <c r="M1087" s="315">
        <v>1.8268</v>
      </c>
      <c r="N1087" s="315">
        <v>2.0908000000000002</v>
      </c>
      <c r="O1087" s="315">
        <v>0</v>
      </c>
      <c r="P1087" s="315">
        <v>1.6345000000000001</v>
      </c>
      <c r="Q1087" s="315">
        <v>0</v>
      </c>
      <c r="R1087" s="315">
        <v>2.2147000000000001</v>
      </c>
      <c r="S1087" s="315">
        <v>2.0089000000000001</v>
      </c>
      <c r="T1087" s="315">
        <v>1.6912</v>
      </c>
      <c r="U1087" s="315">
        <v>2.0009999999999999</v>
      </c>
      <c r="V1087" s="315">
        <v>0</v>
      </c>
      <c r="W1087" s="315">
        <v>0</v>
      </c>
      <c r="X1087" s="315">
        <v>0</v>
      </c>
      <c r="Y1087" s="315">
        <v>0</v>
      </c>
      <c r="Z1087" s="315">
        <v>2.0838999999999999</v>
      </c>
      <c r="AA1087" s="315">
        <v>2.0291000000000001</v>
      </c>
      <c r="AB1087" s="315">
        <v>2.1568999999999998</v>
      </c>
      <c r="AC1087" s="315">
        <v>1.7343</v>
      </c>
      <c r="AD1087" s="315">
        <v>0</v>
      </c>
      <c r="AE1087" s="315">
        <v>2.0103</v>
      </c>
      <c r="AF1087" s="315">
        <v>0</v>
      </c>
      <c r="AG1087" s="315">
        <v>0</v>
      </c>
      <c r="AH1087" s="315">
        <v>0</v>
      </c>
      <c r="AI1087" s="315">
        <v>2.1303000000000001</v>
      </c>
      <c r="AJ1087" s="315">
        <v>0</v>
      </c>
      <c r="AK1087" s="315">
        <v>0</v>
      </c>
      <c r="AL1087" s="315">
        <v>0</v>
      </c>
      <c r="AM1087" s="315">
        <v>2.2652999999999999</v>
      </c>
      <c r="AN1087" s="315">
        <v>1.7874000000000001</v>
      </c>
      <c r="AO1087" s="315">
        <v>1.9538</v>
      </c>
      <c r="AP1087" s="315">
        <v>2.3151999999999999</v>
      </c>
      <c r="AQ1087" s="315">
        <v>1.9507000000000001</v>
      </c>
      <c r="AR1087" s="315">
        <v>2.0034000000000001</v>
      </c>
      <c r="AS1087" s="315">
        <v>0</v>
      </c>
      <c r="AT1087" s="315">
        <v>2.1442999999999999</v>
      </c>
      <c r="AU1087" s="315">
        <v>2.1804000000000001</v>
      </c>
      <c r="AV1087" s="315">
        <v>2.1730999999999998</v>
      </c>
      <c r="AW1087" s="315">
        <v>0</v>
      </c>
      <c r="AX1087" s="315">
        <v>0</v>
      </c>
      <c r="AY1087" s="315">
        <v>1.9599</v>
      </c>
      <c r="AZ1087" s="315">
        <v>1.9424999999999999</v>
      </c>
      <c r="BA1087" s="315">
        <v>1.7442</v>
      </c>
      <c r="BB1087" s="315">
        <v>0</v>
      </c>
      <c r="BC1087" s="315">
        <v>2.1642999999999999</v>
      </c>
      <c r="BD1087" s="315">
        <v>2.2578</v>
      </c>
      <c r="BE1087" s="315">
        <v>2.3367</v>
      </c>
      <c r="BF1087" s="315">
        <v>2.0453000000000001</v>
      </c>
      <c r="BG1087" s="315">
        <v>2.1655000000000002</v>
      </c>
      <c r="BH1087" s="315">
        <v>2.1892999999999998</v>
      </c>
      <c r="BI1087" s="315">
        <v>2.1855000000000002</v>
      </c>
      <c r="BJ1087" s="315">
        <v>2.0817999999999999</v>
      </c>
      <c r="BK1087" s="315">
        <v>2.1324000000000001</v>
      </c>
    </row>
    <row r="1088" spans="1:63" x14ac:dyDescent="0.25">
      <c r="A1088" s="306">
        <v>335912</v>
      </c>
      <c r="B1088" s="315" t="s">
        <v>241</v>
      </c>
      <c r="C1088" s="315">
        <v>2.3357000000000001</v>
      </c>
      <c r="D1088" s="315">
        <v>0</v>
      </c>
      <c r="E1088" s="315">
        <v>1.7609999999999999</v>
      </c>
      <c r="F1088" s="315">
        <v>0</v>
      </c>
      <c r="G1088" s="315">
        <v>1.5251999999999999</v>
      </c>
      <c r="H1088" s="315">
        <v>1.7154</v>
      </c>
      <c r="I1088" s="315">
        <v>1.5921000000000001</v>
      </c>
      <c r="J1088" s="315">
        <v>1.7150000000000001</v>
      </c>
      <c r="K1088" s="315">
        <v>0</v>
      </c>
      <c r="L1088" s="315">
        <v>0</v>
      </c>
      <c r="M1088" s="315">
        <v>1.4819</v>
      </c>
      <c r="N1088" s="315">
        <v>1.681</v>
      </c>
      <c r="O1088" s="315">
        <v>0</v>
      </c>
      <c r="P1088" s="315">
        <v>1.5339</v>
      </c>
      <c r="Q1088" s="315">
        <v>0</v>
      </c>
      <c r="R1088" s="315">
        <v>1.9258</v>
      </c>
      <c r="S1088" s="315">
        <v>1.82</v>
      </c>
      <c r="T1088" s="315">
        <v>0</v>
      </c>
      <c r="U1088" s="315">
        <v>1.8240000000000001</v>
      </c>
      <c r="V1088" s="315">
        <v>0</v>
      </c>
      <c r="W1088" s="315">
        <v>1.7170000000000001</v>
      </c>
      <c r="X1088" s="315">
        <v>0</v>
      </c>
      <c r="Y1088" s="315">
        <v>0</v>
      </c>
      <c r="Z1088" s="315">
        <v>0</v>
      </c>
      <c r="AA1088" s="315">
        <v>1.7215</v>
      </c>
      <c r="AB1088" s="315">
        <v>1.7450000000000001</v>
      </c>
      <c r="AC1088" s="315">
        <v>0</v>
      </c>
      <c r="AD1088" s="315">
        <v>0</v>
      </c>
      <c r="AE1088" s="315">
        <v>1.7223999999999999</v>
      </c>
      <c r="AF1088" s="315">
        <v>0</v>
      </c>
      <c r="AG1088" s="315">
        <v>0</v>
      </c>
      <c r="AH1088" s="315">
        <v>0</v>
      </c>
      <c r="AI1088" s="315">
        <v>1.7403</v>
      </c>
      <c r="AJ1088" s="315">
        <v>0</v>
      </c>
      <c r="AK1088" s="315">
        <v>1.4238999999999999</v>
      </c>
      <c r="AL1088" s="315">
        <v>1.5508</v>
      </c>
      <c r="AM1088" s="315">
        <v>0</v>
      </c>
      <c r="AN1088" s="315">
        <v>0</v>
      </c>
      <c r="AO1088" s="315">
        <v>0</v>
      </c>
      <c r="AP1088" s="315">
        <v>2.0028000000000001</v>
      </c>
      <c r="AQ1088" s="315">
        <v>0</v>
      </c>
      <c r="AR1088" s="315">
        <v>1.7662</v>
      </c>
      <c r="AS1088" s="315">
        <v>0</v>
      </c>
      <c r="AT1088" s="315">
        <v>1.8896999999999999</v>
      </c>
      <c r="AU1088" s="315">
        <v>1.7756000000000001</v>
      </c>
      <c r="AV1088" s="315">
        <v>0</v>
      </c>
      <c r="AW1088" s="315">
        <v>0</v>
      </c>
      <c r="AX1088" s="315">
        <v>1.4631000000000001</v>
      </c>
      <c r="AY1088" s="315">
        <v>0</v>
      </c>
      <c r="AZ1088" s="315">
        <v>1.7683</v>
      </c>
      <c r="BA1088" s="315">
        <v>0</v>
      </c>
      <c r="BB1088" s="315">
        <v>0</v>
      </c>
      <c r="BC1088" s="315">
        <v>1.8389</v>
      </c>
      <c r="BD1088" s="315">
        <v>1.9117</v>
      </c>
      <c r="BE1088" s="315">
        <v>2.0476000000000001</v>
      </c>
      <c r="BF1088" s="315">
        <v>1.7391000000000001</v>
      </c>
      <c r="BG1088" s="315">
        <v>1.7801</v>
      </c>
      <c r="BH1088" s="315">
        <v>1.9198999999999999</v>
      </c>
      <c r="BI1088" s="315">
        <v>1.8161</v>
      </c>
      <c r="BJ1088" s="315">
        <v>1.6322000000000001</v>
      </c>
      <c r="BK1088" s="315">
        <v>1.7213000000000001</v>
      </c>
    </row>
    <row r="1089" spans="1:63" x14ac:dyDescent="0.25">
      <c r="A1089" s="306">
        <v>335920</v>
      </c>
      <c r="B1089" s="315" t="s">
        <v>242</v>
      </c>
      <c r="C1089" s="315">
        <v>3.0457000000000001</v>
      </c>
      <c r="D1089" s="315">
        <v>0</v>
      </c>
      <c r="E1089" s="315">
        <v>2.1566000000000001</v>
      </c>
      <c r="F1089" s="315">
        <v>2.0213999999999999</v>
      </c>
      <c r="G1089" s="315">
        <v>1.8575999999999999</v>
      </c>
      <c r="H1089" s="315">
        <v>1.9770000000000001</v>
      </c>
      <c r="I1089" s="315">
        <v>1.7859</v>
      </c>
      <c r="J1089" s="315">
        <v>2.1320999999999999</v>
      </c>
      <c r="K1089" s="315">
        <v>0</v>
      </c>
      <c r="L1089" s="315">
        <v>1.6880999999999999</v>
      </c>
      <c r="M1089" s="315">
        <v>1.7256</v>
      </c>
      <c r="N1089" s="315">
        <v>2.3006000000000002</v>
      </c>
      <c r="O1089" s="315">
        <v>0</v>
      </c>
      <c r="P1089" s="315">
        <v>1.7741</v>
      </c>
      <c r="Q1089" s="315">
        <v>1.4632000000000001</v>
      </c>
      <c r="R1089" s="315">
        <v>2.3923999999999999</v>
      </c>
      <c r="S1089" s="315">
        <v>2.2046000000000001</v>
      </c>
      <c r="T1089" s="315">
        <v>0</v>
      </c>
      <c r="U1089" s="315">
        <v>2.2383999999999999</v>
      </c>
      <c r="V1089" s="315">
        <v>0</v>
      </c>
      <c r="W1089" s="315">
        <v>2.1438000000000001</v>
      </c>
      <c r="X1089" s="315">
        <v>1.6488</v>
      </c>
      <c r="Y1089" s="315">
        <v>1.6257999999999999</v>
      </c>
      <c r="Z1089" s="315">
        <v>2.1031</v>
      </c>
      <c r="AA1089" s="315">
        <v>1.8481000000000001</v>
      </c>
      <c r="AB1089" s="315">
        <v>2.1414</v>
      </c>
      <c r="AC1089" s="315">
        <v>1.9407000000000001</v>
      </c>
      <c r="AD1089" s="315">
        <v>1.4237</v>
      </c>
      <c r="AE1089" s="315">
        <v>2.1804999999999999</v>
      </c>
      <c r="AF1089" s="315">
        <v>1.3735999999999999</v>
      </c>
      <c r="AG1089" s="315">
        <v>1.6253</v>
      </c>
      <c r="AH1089" s="315">
        <v>2.0979999999999999</v>
      </c>
      <c r="AI1089" s="315">
        <v>2.1280999999999999</v>
      </c>
      <c r="AJ1089" s="315">
        <v>1.4751000000000001</v>
      </c>
      <c r="AK1089" s="315">
        <v>1.5379</v>
      </c>
      <c r="AL1089" s="315">
        <v>1.9101999999999999</v>
      </c>
      <c r="AM1089" s="315">
        <v>2.3651</v>
      </c>
      <c r="AN1089" s="315">
        <v>0</v>
      </c>
      <c r="AO1089" s="315">
        <v>1.7859</v>
      </c>
      <c r="AP1089" s="315">
        <v>2.4702999999999999</v>
      </c>
      <c r="AQ1089" s="315">
        <v>2.0564</v>
      </c>
      <c r="AR1089" s="315">
        <v>2.2372999999999998</v>
      </c>
      <c r="AS1089" s="315">
        <v>0</v>
      </c>
      <c r="AT1089" s="315">
        <v>2.1587000000000001</v>
      </c>
      <c r="AU1089" s="315">
        <v>2.3052999999999999</v>
      </c>
      <c r="AV1089" s="315">
        <v>2.0123000000000002</v>
      </c>
      <c r="AW1089" s="315">
        <v>1.9136</v>
      </c>
      <c r="AX1089" s="315">
        <v>1.7844</v>
      </c>
      <c r="AY1089" s="315">
        <v>1.7548999999999999</v>
      </c>
      <c r="AZ1089" s="315">
        <v>1.9564999999999999</v>
      </c>
      <c r="BA1089" s="315">
        <v>0</v>
      </c>
      <c r="BB1089" s="315">
        <v>1.347</v>
      </c>
      <c r="BC1089" s="315">
        <v>2.2927</v>
      </c>
      <c r="BD1089" s="315">
        <v>2.3273000000000001</v>
      </c>
      <c r="BE1089" s="315">
        <v>2.4802</v>
      </c>
      <c r="BF1089" s="315">
        <v>2.0337000000000001</v>
      </c>
      <c r="BG1089" s="315">
        <v>2.2309999999999999</v>
      </c>
      <c r="BH1089" s="315">
        <v>2.3193999999999999</v>
      </c>
      <c r="BI1089" s="315">
        <v>2.3448000000000002</v>
      </c>
      <c r="BJ1089" s="315">
        <v>1.8623000000000001</v>
      </c>
      <c r="BK1089" s="315">
        <v>1.9750000000000001</v>
      </c>
    </row>
    <row r="1090" spans="1:63" x14ac:dyDescent="0.25">
      <c r="A1090" s="306">
        <v>335930</v>
      </c>
      <c r="B1090" s="315" t="s">
        <v>243</v>
      </c>
      <c r="C1090" s="315">
        <v>2.6537000000000002</v>
      </c>
      <c r="D1090" s="315">
        <v>1.3873</v>
      </c>
      <c r="E1090" s="315">
        <v>1.9176</v>
      </c>
      <c r="F1090" s="315">
        <v>1.7694000000000001</v>
      </c>
      <c r="G1090" s="315">
        <v>1.7156</v>
      </c>
      <c r="H1090" s="315">
        <v>1.9267000000000001</v>
      </c>
      <c r="I1090" s="315">
        <v>1.8463000000000001</v>
      </c>
      <c r="J1090" s="315">
        <v>1.8668</v>
      </c>
      <c r="K1090" s="315">
        <v>0</v>
      </c>
      <c r="L1090" s="315">
        <v>1.6827000000000001</v>
      </c>
      <c r="M1090" s="315">
        <v>1.7044999999999999</v>
      </c>
      <c r="N1090" s="315">
        <v>1.8919999999999999</v>
      </c>
      <c r="O1090" s="315">
        <v>0</v>
      </c>
      <c r="P1090" s="315">
        <v>1.6243000000000001</v>
      </c>
      <c r="Q1090" s="315">
        <v>1.4841</v>
      </c>
      <c r="R1090" s="315">
        <v>2.1970000000000001</v>
      </c>
      <c r="S1090" s="315">
        <v>1.9732000000000001</v>
      </c>
      <c r="T1090" s="315">
        <v>1.6044</v>
      </c>
      <c r="U1090" s="315">
        <v>1.9498</v>
      </c>
      <c r="V1090" s="315">
        <v>0</v>
      </c>
      <c r="W1090" s="315">
        <v>1.8915</v>
      </c>
      <c r="X1090" s="315">
        <v>1.6478999999999999</v>
      </c>
      <c r="Y1090" s="315">
        <v>1.6349</v>
      </c>
      <c r="Z1090" s="315">
        <v>2.0211999999999999</v>
      </c>
      <c r="AA1090" s="315">
        <v>1.893</v>
      </c>
      <c r="AB1090" s="315">
        <v>1.9535</v>
      </c>
      <c r="AC1090" s="315">
        <v>1.7139</v>
      </c>
      <c r="AD1090" s="315">
        <v>1.4300999999999999</v>
      </c>
      <c r="AE1090" s="315">
        <v>1.8614999999999999</v>
      </c>
      <c r="AF1090" s="315">
        <v>1.3143</v>
      </c>
      <c r="AG1090" s="315">
        <v>1.524</v>
      </c>
      <c r="AH1090" s="315">
        <v>1.8087</v>
      </c>
      <c r="AI1090" s="315">
        <v>1.9341999999999999</v>
      </c>
      <c r="AJ1090" s="315">
        <v>1.4713000000000001</v>
      </c>
      <c r="AK1090" s="315">
        <v>1.5865</v>
      </c>
      <c r="AL1090" s="315">
        <v>1.73</v>
      </c>
      <c r="AM1090" s="315">
        <v>2.1751999999999998</v>
      </c>
      <c r="AN1090" s="315">
        <v>1.7529999999999999</v>
      </c>
      <c r="AO1090" s="315">
        <v>1.8080000000000001</v>
      </c>
      <c r="AP1090" s="315">
        <v>2.1922999999999999</v>
      </c>
      <c r="AQ1090" s="315">
        <v>1.7887999999999999</v>
      </c>
      <c r="AR1090" s="315">
        <v>1.9256</v>
      </c>
      <c r="AS1090" s="315">
        <v>0</v>
      </c>
      <c r="AT1090" s="315">
        <v>2.0232999999999999</v>
      </c>
      <c r="AU1090" s="315">
        <v>2.0899000000000001</v>
      </c>
      <c r="AV1090" s="315">
        <v>1.913</v>
      </c>
      <c r="AW1090" s="315">
        <v>1.7775000000000001</v>
      </c>
      <c r="AX1090" s="315">
        <v>0</v>
      </c>
      <c r="AY1090" s="315">
        <v>1.744</v>
      </c>
      <c r="AZ1090" s="315">
        <v>1.8689</v>
      </c>
      <c r="BA1090" s="315">
        <v>0</v>
      </c>
      <c r="BB1090" s="315">
        <v>0</v>
      </c>
      <c r="BC1090" s="315">
        <v>2.0251999999999999</v>
      </c>
      <c r="BD1090" s="315">
        <v>2.1183999999999998</v>
      </c>
      <c r="BE1090" s="315">
        <v>2.2498</v>
      </c>
      <c r="BF1090" s="315">
        <v>1.9043000000000001</v>
      </c>
      <c r="BG1090" s="315">
        <v>2.0005000000000002</v>
      </c>
      <c r="BH1090" s="315">
        <v>2.073</v>
      </c>
      <c r="BI1090" s="315">
        <v>2.1297000000000001</v>
      </c>
      <c r="BJ1090" s="315">
        <v>1.8189</v>
      </c>
      <c r="BK1090" s="315">
        <v>1.9547000000000001</v>
      </c>
    </row>
    <row r="1091" spans="1:63" x14ac:dyDescent="0.25">
      <c r="A1091" s="306">
        <v>335991</v>
      </c>
      <c r="B1091" s="315" t="s">
        <v>0</v>
      </c>
      <c r="C1091" s="315">
        <v>2.8828</v>
      </c>
      <c r="D1091" s="315">
        <v>0</v>
      </c>
      <c r="E1091" s="315">
        <v>2.0167000000000002</v>
      </c>
      <c r="F1091" s="315">
        <v>1.8596999999999999</v>
      </c>
      <c r="G1091" s="315">
        <v>1.7746999999999999</v>
      </c>
      <c r="H1091" s="315">
        <v>2.0657999999999999</v>
      </c>
      <c r="I1091" s="315">
        <v>2.0316999999999998</v>
      </c>
      <c r="J1091" s="315">
        <v>1.8011999999999999</v>
      </c>
      <c r="K1091" s="315">
        <v>0</v>
      </c>
      <c r="L1091" s="315">
        <v>0</v>
      </c>
      <c r="M1091" s="315">
        <v>1.7808999999999999</v>
      </c>
      <c r="N1091" s="315">
        <v>0</v>
      </c>
      <c r="O1091" s="315">
        <v>0</v>
      </c>
      <c r="P1091" s="315">
        <v>1.6337999999999999</v>
      </c>
      <c r="Q1091" s="315">
        <v>0</v>
      </c>
      <c r="R1091" s="315">
        <v>2.3108</v>
      </c>
      <c r="S1091" s="315">
        <v>0</v>
      </c>
      <c r="T1091" s="315">
        <v>0</v>
      </c>
      <c r="U1091" s="315">
        <v>2.1029</v>
      </c>
      <c r="V1091" s="315">
        <v>0</v>
      </c>
      <c r="W1091" s="315">
        <v>1.8345</v>
      </c>
      <c r="X1091" s="315">
        <v>0</v>
      </c>
      <c r="Y1091" s="315">
        <v>1.7234</v>
      </c>
      <c r="Z1091" s="315">
        <v>1.9955000000000001</v>
      </c>
      <c r="AA1091" s="315">
        <v>2.0076000000000001</v>
      </c>
      <c r="AB1091" s="315">
        <v>2.0478999999999998</v>
      </c>
      <c r="AC1091" s="315">
        <v>0</v>
      </c>
      <c r="AD1091" s="315">
        <v>0</v>
      </c>
      <c r="AE1091" s="315">
        <v>1.9147000000000001</v>
      </c>
      <c r="AF1091" s="315">
        <v>0</v>
      </c>
      <c r="AG1091" s="315">
        <v>0</v>
      </c>
      <c r="AH1091" s="315">
        <v>1.7659</v>
      </c>
      <c r="AI1091" s="315">
        <v>2.0337999999999998</v>
      </c>
      <c r="AJ1091" s="315">
        <v>0</v>
      </c>
      <c r="AK1091" s="315">
        <v>0</v>
      </c>
      <c r="AL1091" s="315">
        <v>1.7661</v>
      </c>
      <c r="AM1091" s="315">
        <v>2.3071999999999999</v>
      </c>
      <c r="AN1091" s="315">
        <v>0</v>
      </c>
      <c r="AO1091" s="315">
        <v>1.8764000000000001</v>
      </c>
      <c r="AP1091" s="315">
        <v>2.2942</v>
      </c>
      <c r="AQ1091" s="315">
        <v>0</v>
      </c>
      <c r="AR1091" s="315">
        <v>1.9532</v>
      </c>
      <c r="AS1091" s="315">
        <v>0</v>
      </c>
      <c r="AT1091" s="315">
        <v>2.0339999999999998</v>
      </c>
      <c r="AU1091" s="315">
        <v>2.3433000000000002</v>
      </c>
      <c r="AV1091" s="315">
        <v>2.0457000000000001</v>
      </c>
      <c r="AW1091" s="315">
        <v>1.93</v>
      </c>
      <c r="AX1091" s="315">
        <v>1.5812999999999999</v>
      </c>
      <c r="AY1091" s="315">
        <v>0</v>
      </c>
      <c r="AZ1091" s="315">
        <v>1.9721</v>
      </c>
      <c r="BA1091" s="315">
        <v>1.8649</v>
      </c>
      <c r="BB1091" s="315">
        <v>1.6605000000000001</v>
      </c>
      <c r="BC1091" s="315">
        <v>1.9728000000000001</v>
      </c>
      <c r="BD1091" s="315">
        <v>2.2010000000000001</v>
      </c>
      <c r="BE1091" s="315">
        <v>2.3714</v>
      </c>
      <c r="BF1091" s="315">
        <v>2.0026000000000002</v>
      </c>
      <c r="BG1091" s="315">
        <v>2.1503999999999999</v>
      </c>
      <c r="BH1091" s="315">
        <v>2.2193000000000001</v>
      </c>
      <c r="BI1091" s="315">
        <v>2.4243999999999999</v>
      </c>
      <c r="BJ1091" s="315">
        <v>2.0684</v>
      </c>
      <c r="BK1091" s="315">
        <v>2.1067999999999998</v>
      </c>
    </row>
    <row r="1092" spans="1:63" x14ac:dyDescent="0.25">
      <c r="A1092" s="306">
        <v>335999</v>
      </c>
      <c r="B1092" s="315" t="s">
        <v>3</v>
      </c>
      <c r="C1092" s="315">
        <v>2.7820999999999998</v>
      </c>
      <c r="D1092" s="315">
        <v>0</v>
      </c>
      <c r="E1092" s="315">
        <v>1.8673999999999999</v>
      </c>
      <c r="F1092" s="315">
        <v>1.7858000000000001</v>
      </c>
      <c r="G1092" s="315">
        <v>1.9370000000000001</v>
      </c>
      <c r="H1092" s="315">
        <v>2.2162000000000002</v>
      </c>
      <c r="I1092" s="315">
        <v>2.1179000000000001</v>
      </c>
      <c r="J1092" s="315">
        <v>2.0329000000000002</v>
      </c>
      <c r="K1092" s="315">
        <v>0</v>
      </c>
      <c r="L1092" s="315">
        <v>0</v>
      </c>
      <c r="M1092" s="315">
        <v>1.9675</v>
      </c>
      <c r="N1092" s="315">
        <v>2.0688</v>
      </c>
      <c r="O1092" s="315">
        <v>0</v>
      </c>
      <c r="P1092" s="315">
        <v>1.6107</v>
      </c>
      <c r="Q1092" s="315">
        <v>1.5983000000000001</v>
      </c>
      <c r="R1092" s="315">
        <v>2.3115999999999999</v>
      </c>
      <c r="S1092" s="315">
        <v>1.9715</v>
      </c>
      <c r="T1092" s="315">
        <v>1.6915</v>
      </c>
      <c r="U1092" s="315">
        <v>1.9242999999999999</v>
      </c>
      <c r="V1092" s="315">
        <v>1.7461</v>
      </c>
      <c r="W1092" s="315">
        <v>2.1015000000000001</v>
      </c>
      <c r="X1092" s="315">
        <v>1.8268</v>
      </c>
      <c r="Y1092" s="315">
        <v>1.8153999999999999</v>
      </c>
      <c r="Z1092" s="315">
        <v>2.0781999999999998</v>
      </c>
      <c r="AA1092" s="315">
        <v>2.1040999999999999</v>
      </c>
      <c r="AB1092" s="315">
        <v>2.0564</v>
      </c>
      <c r="AC1092" s="315">
        <v>1.6779999999999999</v>
      </c>
      <c r="AD1092" s="315">
        <v>1.5524</v>
      </c>
      <c r="AE1092" s="315">
        <v>1.9814000000000001</v>
      </c>
      <c r="AF1092" s="315">
        <v>0</v>
      </c>
      <c r="AG1092" s="315">
        <v>1.6161000000000001</v>
      </c>
      <c r="AH1092" s="315">
        <v>1.998</v>
      </c>
      <c r="AI1092" s="315">
        <v>2.1309</v>
      </c>
      <c r="AJ1092" s="315">
        <v>1.6204000000000001</v>
      </c>
      <c r="AK1092" s="315">
        <v>1.778</v>
      </c>
      <c r="AL1092" s="315">
        <v>1.9475</v>
      </c>
      <c r="AM1092" s="315">
        <v>2.1907999999999999</v>
      </c>
      <c r="AN1092" s="315">
        <v>1.8275999999999999</v>
      </c>
      <c r="AO1092" s="315">
        <v>1.9652000000000001</v>
      </c>
      <c r="AP1092" s="315">
        <v>2.2785000000000002</v>
      </c>
      <c r="AQ1092" s="315">
        <v>1.8868</v>
      </c>
      <c r="AR1092" s="315">
        <v>1.9154</v>
      </c>
      <c r="AS1092" s="315">
        <v>0</v>
      </c>
      <c r="AT1092" s="315">
        <v>2.0558999999999998</v>
      </c>
      <c r="AU1092" s="315">
        <v>2.1837</v>
      </c>
      <c r="AV1092" s="315">
        <v>2.0853999999999999</v>
      </c>
      <c r="AW1092" s="315">
        <v>1.9424999999999999</v>
      </c>
      <c r="AX1092" s="315">
        <v>1.6692</v>
      </c>
      <c r="AY1092" s="315">
        <v>1.9550000000000001</v>
      </c>
      <c r="AZ1092" s="315">
        <v>2.0217999999999998</v>
      </c>
      <c r="BA1092" s="315">
        <v>1.6175999999999999</v>
      </c>
      <c r="BB1092" s="315">
        <v>0</v>
      </c>
      <c r="BC1092" s="315">
        <v>2.2431999999999999</v>
      </c>
      <c r="BD1092" s="315">
        <v>2.2780999999999998</v>
      </c>
      <c r="BE1092" s="315">
        <v>2.3250999999999999</v>
      </c>
      <c r="BF1092" s="315">
        <v>2.0463</v>
      </c>
      <c r="BG1092" s="315">
        <v>2.1802000000000001</v>
      </c>
      <c r="BH1092" s="315">
        <v>2.0366</v>
      </c>
      <c r="BI1092" s="315">
        <v>2.1991000000000001</v>
      </c>
      <c r="BJ1092" s="315">
        <v>2.0672000000000001</v>
      </c>
      <c r="BK1092" s="315">
        <v>2.2353999999999998</v>
      </c>
    </row>
    <row r="1093" spans="1:63" x14ac:dyDescent="0.25">
      <c r="A1093" s="306">
        <v>336111</v>
      </c>
      <c r="B1093" s="315" t="s">
        <v>244</v>
      </c>
      <c r="C1093" s="315">
        <v>3.0127999999999999</v>
      </c>
      <c r="D1093" s="315">
        <v>0</v>
      </c>
      <c r="E1093" s="315">
        <v>2.2875000000000001</v>
      </c>
      <c r="F1093" s="315">
        <v>0</v>
      </c>
      <c r="G1093" s="315">
        <v>1.6095999999999999</v>
      </c>
      <c r="H1093" s="315">
        <v>1.7057</v>
      </c>
      <c r="I1093" s="315">
        <v>1.5993999999999999</v>
      </c>
      <c r="J1093" s="315">
        <v>0</v>
      </c>
      <c r="K1093" s="315">
        <v>0</v>
      </c>
      <c r="L1093" s="315">
        <v>1.359</v>
      </c>
      <c r="M1093" s="315">
        <v>1.5008999999999999</v>
      </c>
      <c r="N1093" s="315">
        <v>1.9629000000000001</v>
      </c>
      <c r="O1093" s="315">
        <v>0</v>
      </c>
      <c r="P1093" s="315">
        <v>2.0225</v>
      </c>
      <c r="Q1093" s="315">
        <v>0</v>
      </c>
      <c r="R1093" s="315">
        <v>2.3845000000000001</v>
      </c>
      <c r="S1093" s="315">
        <v>2.3523000000000001</v>
      </c>
      <c r="T1093" s="315">
        <v>1.5851999999999999</v>
      </c>
      <c r="U1093" s="315">
        <v>2.3161</v>
      </c>
      <c r="V1093" s="315">
        <v>1.4204000000000001</v>
      </c>
      <c r="W1093" s="315">
        <v>1.5401</v>
      </c>
      <c r="X1093" s="315">
        <v>1.4484999999999999</v>
      </c>
      <c r="Y1093" s="315">
        <v>0</v>
      </c>
      <c r="Z1093" s="315">
        <v>2.4209000000000001</v>
      </c>
      <c r="AA1093" s="315">
        <v>1.6533</v>
      </c>
      <c r="AB1093" s="315">
        <v>2.2256</v>
      </c>
      <c r="AC1093" s="315">
        <v>0</v>
      </c>
      <c r="AD1093" s="315">
        <v>0</v>
      </c>
      <c r="AE1093" s="315">
        <v>2.2665000000000002</v>
      </c>
      <c r="AF1093" s="315">
        <v>1.4447000000000001</v>
      </c>
      <c r="AG1093" s="315">
        <v>0</v>
      </c>
      <c r="AH1093" s="315">
        <v>0</v>
      </c>
      <c r="AI1093" s="315">
        <v>1.5552999999999999</v>
      </c>
      <c r="AJ1093" s="315">
        <v>0</v>
      </c>
      <c r="AK1093" s="315">
        <v>1.3997999999999999</v>
      </c>
      <c r="AL1093" s="315">
        <v>1.7095</v>
      </c>
      <c r="AM1093" s="315">
        <v>2.5405000000000002</v>
      </c>
      <c r="AN1093" s="315">
        <v>1.792</v>
      </c>
      <c r="AO1093" s="315">
        <v>1.7016</v>
      </c>
      <c r="AP1093" s="315">
        <v>1.9298999999999999</v>
      </c>
      <c r="AQ1093" s="315">
        <v>0</v>
      </c>
      <c r="AR1093" s="315">
        <v>2.3129</v>
      </c>
      <c r="AS1093" s="315">
        <v>1.3805000000000001</v>
      </c>
      <c r="AT1093" s="315">
        <v>2.4275000000000002</v>
      </c>
      <c r="AU1093" s="315">
        <v>1.8163</v>
      </c>
      <c r="AV1093" s="315">
        <v>0</v>
      </c>
      <c r="AW1093" s="315">
        <v>1.7089000000000001</v>
      </c>
      <c r="AX1093" s="315">
        <v>0</v>
      </c>
      <c r="AY1093" s="315">
        <v>1.5451999999999999</v>
      </c>
      <c r="AZ1093" s="315">
        <v>2.3311000000000002</v>
      </c>
      <c r="BA1093" s="315">
        <v>0</v>
      </c>
      <c r="BB1093" s="315">
        <v>0</v>
      </c>
      <c r="BC1093" s="315">
        <v>1.7235</v>
      </c>
      <c r="BD1093" s="315">
        <v>1.8815999999999999</v>
      </c>
      <c r="BE1093" s="315">
        <v>2.6284999999999998</v>
      </c>
      <c r="BF1093" s="315">
        <v>2.0072000000000001</v>
      </c>
      <c r="BG1093" s="315">
        <v>1.9938</v>
      </c>
      <c r="BH1093" s="315">
        <v>2.472</v>
      </c>
      <c r="BI1093" s="315">
        <v>1.883</v>
      </c>
      <c r="BJ1093" s="315">
        <v>1.659</v>
      </c>
      <c r="BK1093" s="315">
        <v>1.712</v>
      </c>
    </row>
    <row r="1094" spans="1:63" x14ac:dyDescent="0.25">
      <c r="A1094" s="306">
        <v>336112</v>
      </c>
      <c r="B1094" s="315" t="s">
        <v>245</v>
      </c>
      <c r="C1094" s="315">
        <v>3.1263999999999998</v>
      </c>
      <c r="D1094" s="315">
        <v>0</v>
      </c>
      <c r="E1094" s="315">
        <v>2.3527</v>
      </c>
      <c r="F1094" s="315">
        <v>0</v>
      </c>
      <c r="G1094" s="315">
        <v>1.6369</v>
      </c>
      <c r="H1094" s="315">
        <v>1.7399</v>
      </c>
      <c r="I1094" s="315">
        <v>0</v>
      </c>
      <c r="J1094" s="315">
        <v>0</v>
      </c>
      <c r="K1094" s="315">
        <v>0</v>
      </c>
      <c r="L1094" s="315">
        <v>0</v>
      </c>
      <c r="M1094" s="315">
        <v>0</v>
      </c>
      <c r="N1094" s="315">
        <v>2.0017</v>
      </c>
      <c r="O1094" s="315">
        <v>0</v>
      </c>
      <c r="P1094" s="315">
        <v>0</v>
      </c>
      <c r="Q1094" s="315">
        <v>1.3731</v>
      </c>
      <c r="R1094" s="315">
        <v>2.4691000000000001</v>
      </c>
      <c r="S1094" s="315">
        <v>2.4308000000000001</v>
      </c>
      <c r="T1094" s="315">
        <v>1.6074999999999999</v>
      </c>
      <c r="U1094" s="315">
        <v>2.3822999999999999</v>
      </c>
      <c r="V1094" s="315">
        <v>1.4349000000000001</v>
      </c>
      <c r="W1094" s="315">
        <v>1.5622</v>
      </c>
      <c r="X1094" s="315">
        <v>1.4799</v>
      </c>
      <c r="Y1094" s="315">
        <v>0</v>
      </c>
      <c r="Z1094" s="315">
        <v>2.4940000000000002</v>
      </c>
      <c r="AA1094" s="315">
        <v>1.6758</v>
      </c>
      <c r="AB1094" s="315">
        <v>2.2858000000000001</v>
      </c>
      <c r="AC1094" s="315">
        <v>2.0992000000000002</v>
      </c>
      <c r="AD1094" s="315">
        <v>0</v>
      </c>
      <c r="AE1094" s="315">
        <v>2.3302999999999998</v>
      </c>
      <c r="AF1094" s="315">
        <v>0</v>
      </c>
      <c r="AG1094" s="315">
        <v>0</v>
      </c>
      <c r="AH1094" s="315">
        <v>0</v>
      </c>
      <c r="AI1094" s="315">
        <v>1.575</v>
      </c>
      <c r="AJ1094" s="315">
        <v>0</v>
      </c>
      <c r="AK1094" s="315">
        <v>0</v>
      </c>
      <c r="AL1094" s="315">
        <v>1.7298</v>
      </c>
      <c r="AM1094" s="315">
        <v>2.6263999999999998</v>
      </c>
      <c r="AN1094" s="315">
        <v>1.8365</v>
      </c>
      <c r="AO1094" s="315">
        <v>1.7408999999999999</v>
      </c>
      <c r="AP1094" s="315">
        <v>1.9869000000000001</v>
      </c>
      <c r="AQ1094" s="315">
        <v>0</v>
      </c>
      <c r="AR1094" s="315">
        <v>2.3854000000000002</v>
      </c>
      <c r="AS1094" s="315">
        <v>0</v>
      </c>
      <c r="AT1094" s="315">
        <v>0</v>
      </c>
      <c r="AU1094" s="315">
        <v>1.8665</v>
      </c>
      <c r="AV1094" s="315">
        <v>2.2565</v>
      </c>
      <c r="AW1094" s="315">
        <v>1.7339</v>
      </c>
      <c r="AX1094" s="315">
        <v>0</v>
      </c>
      <c r="AY1094" s="315">
        <v>1.5533999999999999</v>
      </c>
      <c r="AZ1094" s="315">
        <v>2.3948</v>
      </c>
      <c r="BA1094" s="315">
        <v>0</v>
      </c>
      <c r="BB1094" s="315">
        <v>0</v>
      </c>
      <c r="BC1094" s="315">
        <v>1.7579</v>
      </c>
      <c r="BD1094" s="315">
        <v>1.9252</v>
      </c>
      <c r="BE1094" s="315">
        <v>2.7212999999999998</v>
      </c>
      <c r="BF1094" s="315">
        <v>2.0625</v>
      </c>
      <c r="BG1094" s="315">
        <v>2.0417999999999998</v>
      </c>
      <c r="BH1094" s="315">
        <v>2.5526</v>
      </c>
      <c r="BI1094" s="315">
        <v>1.9417</v>
      </c>
      <c r="BJ1094" s="315">
        <v>1.6947000000000001</v>
      </c>
      <c r="BK1094" s="315">
        <v>1.7433000000000001</v>
      </c>
    </row>
    <row r="1095" spans="1:63" x14ac:dyDescent="0.25">
      <c r="A1095" s="306">
        <v>336120</v>
      </c>
      <c r="B1095" s="315" t="s">
        <v>246</v>
      </c>
      <c r="C1095" s="315">
        <v>3.3083</v>
      </c>
      <c r="D1095" s="315">
        <v>0</v>
      </c>
      <c r="E1095" s="315">
        <v>2.4638</v>
      </c>
      <c r="F1095" s="315">
        <v>2.0596999999999999</v>
      </c>
      <c r="G1095" s="315">
        <v>1.6146</v>
      </c>
      <c r="H1095" s="315">
        <v>1.7847999999999999</v>
      </c>
      <c r="I1095" s="315">
        <v>1.9418</v>
      </c>
      <c r="J1095" s="315">
        <v>1.8867</v>
      </c>
      <c r="K1095" s="315">
        <v>0</v>
      </c>
      <c r="L1095" s="315">
        <v>0</v>
      </c>
      <c r="M1095" s="315">
        <v>1.5820000000000001</v>
      </c>
      <c r="N1095" s="315">
        <v>2.1019000000000001</v>
      </c>
      <c r="O1095" s="315">
        <v>0</v>
      </c>
      <c r="P1095" s="315">
        <v>2.1364000000000001</v>
      </c>
      <c r="Q1095" s="315">
        <v>1.3872</v>
      </c>
      <c r="R1095" s="315">
        <v>2.677</v>
      </c>
      <c r="S1095" s="315">
        <v>2.5792000000000002</v>
      </c>
      <c r="T1095" s="315">
        <v>1.7033</v>
      </c>
      <c r="U1095" s="315">
        <v>2.5015999999999998</v>
      </c>
      <c r="V1095" s="315">
        <v>1.5178</v>
      </c>
      <c r="W1095" s="315">
        <v>0</v>
      </c>
      <c r="X1095" s="315">
        <v>1.7703</v>
      </c>
      <c r="Y1095" s="315">
        <v>0</v>
      </c>
      <c r="Z1095" s="315">
        <v>2.6316000000000002</v>
      </c>
      <c r="AA1095" s="315">
        <v>1.7811999999999999</v>
      </c>
      <c r="AB1095" s="315">
        <v>2.4133</v>
      </c>
      <c r="AC1095" s="315">
        <v>2.1739999999999999</v>
      </c>
      <c r="AD1095" s="315">
        <v>1.3085</v>
      </c>
      <c r="AE1095" s="315">
        <v>2.4138000000000002</v>
      </c>
      <c r="AF1095" s="315">
        <v>1.4542999999999999</v>
      </c>
      <c r="AG1095" s="315">
        <v>1.7253000000000001</v>
      </c>
      <c r="AH1095" s="315">
        <v>0</v>
      </c>
      <c r="AI1095" s="315">
        <v>1.6940999999999999</v>
      </c>
      <c r="AJ1095" s="315">
        <v>1.3672</v>
      </c>
      <c r="AK1095" s="315">
        <v>0</v>
      </c>
      <c r="AL1095" s="315">
        <v>1.7853000000000001</v>
      </c>
      <c r="AM1095" s="315">
        <v>2.7162000000000002</v>
      </c>
      <c r="AN1095" s="315">
        <v>2.0516999999999999</v>
      </c>
      <c r="AO1095" s="315">
        <v>1.7710999999999999</v>
      </c>
      <c r="AP1095" s="315">
        <v>2.2345000000000002</v>
      </c>
      <c r="AQ1095" s="315">
        <v>0</v>
      </c>
      <c r="AR1095" s="315">
        <v>2.4864000000000002</v>
      </c>
      <c r="AS1095" s="315">
        <v>1.5068999999999999</v>
      </c>
      <c r="AT1095" s="315">
        <v>2.6204999999999998</v>
      </c>
      <c r="AU1095" s="315">
        <v>2.0034999999999998</v>
      </c>
      <c r="AV1095" s="315">
        <v>0</v>
      </c>
      <c r="AW1095" s="315">
        <v>1.7544999999999999</v>
      </c>
      <c r="AX1095" s="315">
        <v>0</v>
      </c>
      <c r="AY1095" s="315">
        <v>1.5896999999999999</v>
      </c>
      <c r="AZ1095" s="315">
        <v>2.5476000000000001</v>
      </c>
      <c r="BA1095" s="315">
        <v>1.7927</v>
      </c>
      <c r="BB1095" s="315">
        <v>0</v>
      </c>
      <c r="BC1095" s="315">
        <v>1.8592</v>
      </c>
      <c r="BD1095" s="315">
        <v>2.0407000000000002</v>
      </c>
      <c r="BE1095" s="315">
        <v>2.8773</v>
      </c>
      <c r="BF1095" s="315">
        <v>2.2427000000000001</v>
      </c>
      <c r="BG1095" s="315">
        <v>2.1545999999999998</v>
      </c>
      <c r="BH1095" s="315">
        <v>2.6783999999999999</v>
      </c>
      <c r="BI1095" s="315">
        <v>2.0943999999999998</v>
      </c>
      <c r="BJ1095" s="315">
        <v>1.8402000000000001</v>
      </c>
      <c r="BK1095" s="315">
        <v>1.7916000000000001</v>
      </c>
    </row>
    <row r="1096" spans="1:63" x14ac:dyDescent="0.25">
      <c r="A1096" s="306">
        <v>336211</v>
      </c>
      <c r="B1096" s="315" t="s">
        <v>247</v>
      </c>
      <c r="C1096" s="315">
        <v>2.9420999999999999</v>
      </c>
      <c r="D1096" s="315">
        <v>1.3289</v>
      </c>
      <c r="E1096" s="315">
        <v>2.1295999999999999</v>
      </c>
      <c r="F1096" s="315">
        <v>1.9378</v>
      </c>
      <c r="G1096" s="315">
        <v>1.7838000000000001</v>
      </c>
      <c r="H1096" s="315">
        <v>2.0640999999999998</v>
      </c>
      <c r="I1096" s="315">
        <v>1.9147000000000001</v>
      </c>
      <c r="J1096" s="315">
        <v>1.8925000000000001</v>
      </c>
      <c r="K1096" s="315">
        <v>0</v>
      </c>
      <c r="L1096" s="315">
        <v>1.5932999999999999</v>
      </c>
      <c r="M1096" s="315">
        <v>1.7775000000000001</v>
      </c>
      <c r="N1096" s="315">
        <v>2.0543999999999998</v>
      </c>
      <c r="O1096" s="315">
        <v>1.4865999999999999</v>
      </c>
      <c r="P1096" s="315">
        <v>1.7497</v>
      </c>
      <c r="Q1096" s="315">
        <v>1.5032000000000001</v>
      </c>
      <c r="R1096" s="315">
        <v>2.2959999999999998</v>
      </c>
      <c r="S1096" s="315">
        <v>2.2149999999999999</v>
      </c>
      <c r="T1096" s="315">
        <v>1.6839999999999999</v>
      </c>
      <c r="U1096" s="315">
        <v>2.2094</v>
      </c>
      <c r="V1096" s="315">
        <v>1.7639</v>
      </c>
      <c r="W1096" s="315">
        <v>1.8559000000000001</v>
      </c>
      <c r="X1096" s="315">
        <v>1.6633</v>
      </c>
      <c r="Y1096" s="315">
        <v>0</v>
      </c>
      <c r="Z1096" s="315">
        <v>2.2751999999999999</v>
      </c>
      <c r="AA1096" s="315">
        <v>2.0173999999999999</v>
      </c>
      <c r="AB1096" s="315">
        <v>2.0914000000000001</v>
      </c>
      <c r="AC1096" s="315">
        <v>1.8314999999999999</v>
      </c>
      <c r="AD1096" s="315">
        <v>1.4058999999999999</v>
      </c>
      <c r="AE1096" s="315">
        <v>2.1044</v>
      </c>
      <c r="AF1096" s="315">
        <v>1.4664999999999999</v>
      </c>
      <c r="AG1096" s="315">
        <v>1.6214999999999999</v>
      </c>
      <c r="AH1096" s="315">
        <v>1.8499000000000001</v>
      </c>
      <c r="AI1096" s="315">
        <v>1.8969</v>
      </c>
      <c r="AJ1096" s="315">
        <v>1.4375</v>
      </c>
      <c r="AK1096" s="315">
        <v>1.6128</v>
      </c>
      <c r="AL1096" s="315">
        <v>1.7546999999999999</v>
      </c>
      <c r="AM1096" s="315">
        <v>2.4376000000000002</v>
      </c>
      <c r="AN1096" s="315">
        <v>1.9019999999999999</v>
      </c>
      <c r="AO1096" s="315">
        <v>1.9915</v>
      </c>
      <c r="AP1096" s="315">
        <v>2.3306</v>
      </c>
      <c r="AQ1096" s="315">
        <v>1.6772</v>
      </c>
      <c r="AR1096" s="315">
        <v>2.0960000000000001</v>
      </c>
      <c r="AS1096" s="315">
        <v>1.5519000000000001</v>
      </c>
      <c r="AT1096" s="315">
        <v>2.2761</v>
      </c>
      <c r="AU1096" s="315">
        <v>2.0922999999999998</v>
      </c>
      <c r="AV1096" s="315">
        <v>2.0375999999999999</v>
      </c>
      <c r="AW1096" s="315">
        <v>1.9231</v>
      </c>
      <c r="AX1096" s="315">
        <v>1.5454000000000001</v>
      </c>
      <c r="AY1096" s="315">
        <v>1.8728</v>
      </c>
      <c r="AZ1096" s="315">
        <v>2.1819000000000002</v>
      </c>
      <c r="BA1096" s="315">
        <v>1.7121</v>
      </c>
      <c r="BB1096" s="315">
        <v>1.3539000000000001</v>
      </c>
      <c r="BC1096" s="315">
        <v>1.9944</v>
      </c>
      <c r="BD1096" s="315">
        <v>2.1728000000000001</v>
      </c>
      <c r="BE1096" s="315">
        <v>2.5366</v>
      </c>
      <c r="BF1096" s="315">
        <v>2.1055999999999999</v>
      </c>
      <c r="BG1096" s="315">
        <v>2.1777000000000002</v>
      </c>
      <c r="BH1096" s="315">
        <v>2.3315999999999999</v>
      </c>
      <c r="BI1096" s="315">
        <v>2.2397999999999998</v>
      </c>
      <c r="BJ1096" s="315">
        <v>1.887</v>
      </c>
      <c r="BK1096" s="315">
        <v>2.1206999999999998</v>
      </c>
    </row>
    <row r="1097" spans="1:63" x14ac:dyDescent="0.25">
      <c r="A1097" s="306">
        <v>336212</v>
      </c>
      <c r="B1097" s="315" t="s">
        <v>248</v>
      </c>
      <c r="C1097" s="315">
        <v>3.2694999999999999</v>
      </c>
      <c r="D1097" s="315">
        <v>1.3987000000000001</v>
      </c>
      <c r="E1097" s="315">
        <v>2.3054000000000001</v>
      </c>
      <c r="F1097" s="315">
        <v>2.2513000000000001</v>
      </c>
      <c r="G1097" s="315">
        <v>1.9192</v>
      </c>
      <c r="H1097" s="315">
        <v>2.1787999999999998</v>
      </c>
      <c r="I1097" s="315">
        <v>2.0507</v>
      </c>
      <c r="J1097" s="315">
        <v>0</v>
      </c>
      <c r="K1097" s="315">
        <v>0</v>
      </c>
      <c r="L1097" s="315">
        <v>1.6586000000000001</v>
      </c>
      <c r="M1097" s="315">
        <v>1.8601000000000001</v>
      </c>
      <c r="N1097" s="315">
        <v>2.3468</v>
      </c>
      <c r="O1097" s="315">
        <v>0</v>
      </c>
      <c r="P1097" s="315">
        <v>2.0131000000000001</v>
      </c>
      <c r="Q1097" s="315">
        <v>1.6294</v>
      </c>
      <c r="R1097" s="315">
        <v>2.4594999999999998</v>
      </c>
      <c r="S1097" s="315">
        <v>2.4540000000000002</v>
      </c>
      <c r="T1097" s="315">
        <v>1.8066</v>
      </c>
      <c r="U1097" s="315">
        <v>2.3302999999999998</v>
      </c>
      <c r="V1097" s="315">
        <v>1.8162</v>
      </c>
      <c r="W1097" s="315">
        <v>1.8929</v>
      </c>
      <c r="X1097" s="315">
        <v>0</v>
      </c>
      <c r="Y1097" s="315">
        <v>1.7698</v>
      </c>
      <c r="Z1097" s="315">
        <v>2.4679000000000002</v>
      </c>
      <c r="AA1097" s="315">
        <v>2.0802</v>
      </c>
      <c r="AB1097" s="315">
        <v>2.3435999999999999</v>
      </c>
      <c r="AC1097" s="315">
        <v>2.0985</v>
      </c>
      <c r="AD1097" s="315">
        <v>1.5037</v>
      </c>
      <c r="AE1097" s="315">
        <v>2.1949000000000001</v>
      </c>
      <c r="AF1097" s="315">
        <v>1.4902</v>
      </c>
      <c r="AG1097" s="315">
        <v>1.6993</v>
      </c>
      <c r="AH1097" s="315">
        <v>0</v>
      </c>
      <c r="AI1097" s="315">
        <v>1.9729000000000001</v>
      </c>
      <c r="AJ1097" s="315">
        <v>1.5039</v>
      </c>
      <c r="AK1097" s="315">
        <v>0</v>
      </c>
      <c r="AL1097" s="315">
        <v>1.8611</v>
      </c>
      <c r="AM1097" s="315">
        <v>2.6701999999999999</v>
      </c>
      <c r="AN1097" s="315">
        <v>2.0775999999999999</v>
      </c>
      <c r="AO1097" s="315">
        <v>2.19</v>
      </c>
      <c r="AP1097" s="315">
        <v>2.4855</v>
      </c>
      <c r="AQ1097" s="315">
        <v>1.6983999999999999</v>
      </c>
      <c r="AR1097" s="315">
        <v>2.387</v>
      </c>
      <c r="AS1097" s="315">
        <v>1.63</v>
      </c>
      <c r="AT1097" s="315">
        <v>2.5154999999999998</v>
      </c>
      <c r="AU1097" s="315">
        <v>2.3241999999999998</v>
      </c>
      <c r="AV1097" s="315">
        <v>2.2766000000000002</v>
      </c>
      <c r="AW1097" s="315">
        <v>2.1267</v>
      </c>
      <c r="AX1097" s="315">
        <v>0</v>
      </c>
      <c r="AY1097" s="315">
        <v>2.0179</v>
      </c>
      <c r="AZ1097" s="315">
        <v>2.2501000000000002</v>
      </c>
      <c r="BA1097" s="315">
        <v>1.917</v>
      </c>
      <c r="BB1097" s="315">
        <v>0</v>
      </c>
      <c r="BC1097" s="315">
        <v>2.0796999999999999</v>
      </c>
      <c r="BD1097" s="315">
        <v>2.3071000000000002</v>
      </c>
      <c r="BE1097" s="315">
        <v>2.7913000000000001</v>
      </c>
      <c r="BF1097" s="315">
        <v>2.3346</v>
      </c>
      <c r="BG1097" s="315">
        <v>2.3788</v>
      </c>
      <c r="BH1097" s="315">
        <v>2.5461999999999998</v>
      </c>
      <c r="BI1097" s="315">
        <v>2.4782000000000002</v>
      </c>
      <c r="BJ1097" s="315">
        <v>2.0474000000000001</v>
      </c>
      <c r="BK1097" s="315">
        <v>2.2595000000000001</v>
      </c>
    </row>
    <row r="1098" spans="1:63" x14ac:dyDescent="0.25">
      <c r="A1098" s="306">
        <v>336213</v>
      </c>
      <c r="B1098" s="315" t="s">
        <v>249</v>
      </c>
      <c r="C1098" s="315">
        <v>3.2033999999999998</v>
      </c>
      <c r="D1098" s="315">
        <v>0</v>
      </c>
      <c r="E1098" s="315">
        <v>2.3483999999999998</v>
      </c>
      <c r="F1098" s="315">
        <v>0</v>
      </c>
      <c r="G1098" s="315">
        <v>1.7983</v>
      </c>
      <c r="H1098" s="315">
        <v>2.0173999999999999</v>
      </c>
      <c r="I1098" s="315">
        <v>0</v>
      </c>
      <c r="J1098" s="315">
        <v>0</v>
      </c>
      <c r="K1098" s="315">
        <v>0</v>
      </c>
      <c r="L1098" s="315">
        <v>0</v>
      </c>
      <c r="M1098" s="315">
        <v>1.8169999999999999</v>
      </c>
      <c r="N1098" s="315">
        <v>0</v>
      </c>
      <c r="O1098" s="315">
        <v>0</v>
      </c>
      <c r="P1098" s="315">
        <v>1.758</v>
      </c>
      <c r="Q1098" s="315">
        <v>0</v>
      </c>
      <c r="R1098" s="315">
        <v>0</v>
      </c>
      <c r="S1098" s="315">
        <v>2.3769</v>
      </c>
      <c r="T1098" s="315">
        <v>0</v>
      </c>
      <c r="U1098" s="315">
        <v>0</v>
      </c>
      <c r="V1098" s="315">
        <v>0</v>
      </c>
      <c r="W1098" s="315">
        <v>0</v>
      </c>
      <c r="X1098" s="315">
        <v>0</v>
      </c>
      <c r="Y1098" s="315">
        <v>0</v>
      </c>
      <c r="Z1098" s="315">
        <v>2.2414999999999998</v>
      </c>
      <c r="AA1098" s="315">
        <v>2.1880999999999999</v>
      </c>
      <c r="AB1098" s="315">
        <v>2.1501000000000001</v>
      </c>
      <c r="AC1098" s="315">
        <v>1.9355</v>
      </c>
      <c r="AD1098" s="315">
        <v>0</v>
      </c>
      <c r="AE1098" s="315">
        <v>0</v>
      </c>
      <c r="AF1098" s="315">
        <v>0</v>
      </c>
      <c r="AG1098" s="315">
        <v>0</v>
      </c>
      <c r="AH1098" s="315">
        <v>0</v>
      </c>
      <c r="AI1098" s="315">
        <v>0</v>
      </c>
      <c r="AJ1098" s="315">
        <v>0</v>
      </c>
      <c r="AK1098" s="315">
        <v>0</v>
      </c>
      <c r="AL1098" s="315">
        <v>1.7150000000000001</v>
      </c>
      <c r="AM1098" s="315">
        <v>2.5939999999999999</v>
      </c>
      <c r="AN1098" s="315">
        <v>2.0019</v>
      </c>
      <c r="AO1098" s="315">
        <v>2.1305000000000001</v>
      </c>
      <c r="AP1098" s="315">
        <v>2.4403000000000001</v>
      </c>
      <c r="AQ1098" s="315">
        <v>0</v>
      </c>
      <c r="AR1098" s="315">
        <v>2.2088999999999999</v>
      </c>
      <c r="AS1098" s="315">
        <v>0</v>
      </c>
      <c r="AT1098" s="315">
        <v>0</v>
      </c>
      <c r="AU1098" s="315">
        <v>2.0848</v>
      </c>
      <c r="AV1098" s="315">
        <v>1.9695</v>
      </c>
      <c r="AW1098" s="315">
        <v>2.1112000000000002</v>
      </c>
      <c r="AX1098" s="315">
        <v>0</v>
      </c>
      <c r="AY1098" s="315">
        <v>0</v>
      </c>
      <c r="AZ1098" s="315">
        <v>2.4053</v>
      </c>
      <c r="BA1098" s="315">
        <v>0</v>
      </c>
      <c r="BB1098" s="315">
        <v>0</v>
      </c>
      <c r="BC1098" s="315">
        <v>0</v>
      </c>
      <c r="BD1098" s="315">
        <v>2.1393</v>
      </c>
      <c r="BE1098" s="315">
        <v>2.7292999999999998</v>
      </c>
      <c r="BF1098" s="315">
        <v>2.2031999999999998</v>
      </c>
      <c r="BG1098" s="315">
        <v>2.3826999999999998</v>
      </c>
      <c r="BH1098" s="315">
        <v>2.5815999999999999</v>
      </c>
      <c r="BI1098" s="315">
        <v>2.3378999999999999</v>
      </c>
      <c r="BJ1098" s="315">
        <v>1.9016</v>
      </c>
      <c r="BK1098" s="315">
        <v>2.2317</v>
      </c>
    </row>
    <row r="1099" spans="1:63" x14ac:dyDescent="0.25">
      <c r="A1099" s="306">
        <v>336214</v>
      </c>
      <c r="B1099" s="315" t="s">
        <v>250</v>
      </c>
      <c r="C1099" s="315">
        <v>3.3376000000000001</v>
      </c>
      <c r="D1099" s="315">
        <v>1.4395</v>
      </c>
      <c r="E1099" s="315">
        <v>2.2869999999999999</v>
      </c>
      <c r="F1099" s="315">
        <v>2.2139000000000002</v>
      </c>
      <c r="G1099" s="315">
        <v>1.8983000000000001</v>
      </c>
      <c r="H1099" s="315">
        <v>2.1671</v>
      </c>
      <c r="I1099" s="315">
        <v>2.0444</v>
      </c>
      <c r="J1099" s="315">
        <v>1.9689000000000001</v>
      </c>
      <c r="K1099" s="315">
        <v>0</v>
      </c>
      <c r="L1099" s="315">
        <v>0</v>
      </c>
      <c r="M1099" s="315">
        <v>1.9176</v>
      </c>
      <c r="N1099" s="315">
        <v>2.3607999999999998</v>
      </c>
      <c r="O1099" s="315">
        <v>0</v>
      </c>
      <c r="P1099" s="315">
        <v>1.9360999999999999</v>
      </c>
      <c r="Q1099" s="315">
        <v>1.7126999999999999</v>
      </c>
      <c r="R1099" s="315">
        <v>2.3957999999999999</v>
      </c>
      <c r="S1099" s="315">
        <v>2.4399000000000002</v>
      </c>
      <c r="T1099" s="315">
        <v>1.8262</v>
      </c>
      <c r="U1099" s="315">
        <v>2.3258999999999999</v>
      </c>
      <c r="V1099" s="315">
        <v>1.9085000000000001</v>
      </c>
      <c r="W1099" s="315">
        <v>1.9733000000000001</v>
      </c>
      <c r="X1099" s="315">
        <v>1.7837000000000001</v>
      </c>
      <c r="Y1099" s="315">
        <v>1.8541000000000001</v>
      </c>
      <c r="Z1099" s="315">
        <v>2.3780000000000001</v>
      </c>
      <c r="AA1099" s="315">
        <v>2.1747999999999998</v>
      </c>
      <c r="AB1099" s="315">
        <v>2.3182</v>
      </c>
      <c r="AC1099" s="315">
        <v>2.0066000000000002</v>
      </c>
      <c r="AD1099" s="315">
        <v>1.6113</v>
      </c>
      <c r="AE1099" s="315">
        <v>2.2543000000000002</v>
      </c>
      <c r="AF1099" s="315">
        <v>1.5345</v>
      </c>
      <c r="AG1099" s="315">
        <v>1.6877</v>
      </c>
      <c r="AH1099" s="315">
        <v>1.9831000000000001</v>
      </c>
      <c r="AI1099" s="315">
        <v>2.0733999999999999</v>
      </c>
      <c r="AJ1099" s="315">
        <v>1.5815999999999999</v>
      </c>
      <c r="AK1099" s="315">
        <v>1.6953</v>
      </c>
      <c r="AL1099" s="315">
        <v>1.8715999999999999</v>
      </c>
      <c r="AM1099" s="315">
        <v>2.6267</v>
      </c>
      <c r="AN1099" s="315">
        <v>2.0960000000000001</v>
      </c>
      <c r="AO1099" s="315">
        <v>2.1779000000000002</v>
      </c>
      <c r="AP1099" s="315">
        <v>2.4834000000000001</v>
      </c>
      <c r="AQ1099" s="315">
        <v>0</v>
      </c>
      <c r="AR1099" s="315">
        <v>2.4266999999999999</v>
      </c>
      <c r="AS1099" s="315">
        <v>1.5680000000000001</v>
      </c>
      <c r="AT1099" s="315">
        <v>2.4881000000000002</v>
      </c>
      <c r="AU1099" s="315">
        <v>2.3782000000000001</v>
      </c>
      <c r="AV1099" s="315">
        <v>2.2696000000000001</v>
      </c>
      <c r="AW1099" s="315">
        <v>2.0667</v>
      </c>
      <c r="AX1099" s="315">
        <v>1.7318</v>
      </c>
      <c r="AY1099" s="315">
        <v>2.0457999999999998</v>
      </c>
      <c r="AZ1099" s="315">
        <v>2.2999000000000001</v>
      </c>
      <c r="BA1099" s="315">
        <v>0</v>
      </c>
      <c r="BB1099" s="315">
        <v>1.4480999999999999</v>
      </c>
      <c r="BC1099" s="315">
        <v>2.1589</v>
      </c>
      <c r="BD1099" s="315">
        <v>2.3245</v>
      </c>
      <c r="BE1099" s="315">
        <v>2.7886000000000002</v>
      </c>
      <c r="BF1099" s="315">
        <v>2.3119000000000001</v>
      </c>
      <c r="BG1099" s="315">
        <v>2.4539</v>
      </c>
      <c r="BH1099" s="315">
        <v>2.5743999999999998</v>
      </c>
      <c r="BI1099" s="315">
        <v>2.5112000000000001</v>
      </c>
      <c r="BJ1099" s="315">
        <v>2.0954999999999999</v>
      </c>
      <c r="BK1099" s="315">
        <v>2.2991000000000001</v>
      </c>
    </row>
    <row r="1100" spans="1:63" x14ac:dyDescent="0.25">
      <c r="A1100" s="306">
        <v>336300</v>
      </c>
      <c r="B1100" s="315" t="s">
        <v>251</v>
      </c>
      <c r="C1100" s="315">
        <v>3.1513</v>
      </c>
      <c r="D1100" s="315">
        <v>1.3943000000000001</v>
      </c>
      <c r="E1100" s="315">
        <v>2.2404000000000002</v>
      </c>
      <c r="F1100" s="315">
        <v>2.0680999999999998</v>
      </c>
      <c r="G1100" s="315">
        <v>1.8514999999999999</v>
      </c>
      <c r="H1100" s="315">
        <v>2.1122999999999998</v>
      </c>
      <c r="I1100" s="315">
        <v>1.9863</v>
      </c>
      <c r="J1100" s="315">
        <v>2.0434000000000001</v>
      </c>
      <c r="K1100" s="315">
        <v>0</v>
      </c>
      <c r="L1100" s="315">
        <v>1.6962999999999999</v>
      </c>
      <c r="M1100" s="315">
        <v>1.7857000000000001</v>
      </c>
      <c r="N1100" s="315">
        <v>2.1089000000000002</v>
      </c>
      <c r="O1100" s="315">
        <v>1.5242</v>
      </c>
      <c r="P1100" s="315">
        <v>1.9079999999999999</v>
      </c>
      <c r="Q1100" s="315">
        <v>1.6077999999999999</v>
      </c>
      <c r="R1100" s="315">
        <v>2.5518999999999998</v>
      </c>
      <c r="S1100" s="315">
        <v>2.3368000000000002</v>
      </c>
      <c r="T1100" s="315">
        <v>1.7622</v>
      </c>
      <c r="U1100" s="315">
        <v>2.2652999999999999</v>
      </c>
      <c r="V1100" s="315">
        <v>1.8007</v>
      </c>
      <c r="W1100" s="315">
        <v>1.978</v>
      </c>
      <c r="X1100" s="315">
        <v>1.7536</v>
      </c>
      <c r="Y1100" s="315">
        <v>1.7398</v>
      </c>
      <c r="Z1100" s="315">
        <v>2.4500999999999999</v>
      </c>
      <c r="AA1100" s="315">
        <v>2.1099000000000001</v>
      </c>
      <c r="AB1100" s="315">
        <v>2.2416</v>
      </c>
      <c r="AC1100" s="315">
        <v>1.9418</v>
      </c>
      <c r="AD1100" s="315">
        <v>1.4962</v>
      </c>
      <c r="AE1100" s="315">
        <v>2.1671</v>
      </c>
      <c r="AF1100" s="315">
        <v>1.478</v>
      </c>
      <c r="AG1100" s="315">
        <v>1.7385999999999999</v>
      </c>
      <c r="AH1100" s="315">
        <v>2.0122</v>
      </c>
      <c r="AI1100" s="315">
        <v>1.9911000000000001</v>
      </c>
      <c r="AJ1100" s="315">
        <v>1.5089999999999999</v>
      </c>
      <c r="AK1100" s="315">
        <v>1.6916</v>
      </c>
      <c r="AL1100" s="315">
        <v>1.8455999999999999</v>
      </c>
      <c r="AM1100" s="315">
        <v>2.5749</v>
      </c>
      <c r="AN1100" s="315">
        <v>1.9923999999999999</v>
      </c>
      <c r="AO1100" s="315">
        <v>2.0859000000000001</v>
      </c>
      <c r="AP1100" s="315">
        <v>2.4588999999999999</v>
      </c>
      <c r="AQ1100" s="315">
        <v>1.8354999999999999</v>
      </c>
      <c r="AR1100" s="315">
        <v>2.2559</v>
      </c>
      <c r="AS1100" s="315">
        <v>1.5222</v>
      </c>
      <c r="AT1100" s="315">
        <v>2.3950999999999998</v>
      </c>
      <c r="AU1100" s="315">
        <v>2.2519</v>
      </c>
      <c r="AV1100" s="315">
        <v>2.2566000000000002</v>
      </c>
      <c r="AW1100" s="315">
        <v>1.9882</v>
      </c>
      <c r="AX1100" s="315">
        <v>1.6617</v>
      </c>
      <c r="AY1100" s="315">
        <v>1.9035</v>
      </c>
      <c r="AZ1100" s="315">
        <v>2.2698999999999998</v>
      </c>
      <c r="BA1100" s="315">
        <v>1.8868</v>
      </c>
      <c r="BB1100" s="315">
        <v>1.4172</v>
      </c>
      <c r="BC1100" s="315">
        <v>2.1753</v>
      </c>
      <c r="BD1100" s="315">
        <v>2.3113999999999999</v>
      </c>
      <c r="BE1100" s="315">
        <v>2.6909999999999998</v>
      </c>
      <c r="BF1100" s="315">
        <v>2.1981000000000002</v>
      </c>
      <c r="BG1100" s="315">
        <v>2.2103999999999999</v>
      </c>
      <c r="BH1100" s="315">
        <v>2.4645000000000001</v>
      </c>
      <c r="BI1100" s="315">
        <v>2.3096999999999999</v>
      </c>
      <c r="BJ1100" s="315">
        <v>1.9884999999999999</v>
      </c>
      <c r="BK1100" s="315">
        <v>2.1667000000000001</v>
      </c>
    </row>
    <row r="1101" spans="1:63" x14ac:dyDescent="0.25">
      <c r="A1101" s="306">
        <v>336411</v>
      </c>
      <c r="B1101" s="315" t="s">
        <v>252</v>
      </c>
      <c r="C1101" s="315">
        <v>2.7968000000000002</v>
      </c>
      <c r="D1101" s="315">
        <v>1.2984</v>
      </c>
      <c r="E1101" s="315">
        <v>1.833</v>
      </c>
      <c r="F1101" s="315">
        <v>1.7224999999999999</v>
      </c>
      <c r="G1101" s="315">
        <v>2.0055000000000001</v>
      </c>
      <c r="H1101" s="315">
        <v>2.1547999999999998</v>
      </c>
      <c r="I1101" s="315">
        <v>1.9092</v>
      </c>
      <c r="J1101" s="315">
        <v>2.0118999999999998</v>
      </c>
      <c r="K1101" s="315">
        <v>0</v>
      </c>
      <c r="L1101" s="315">
        <v>1.5661</v>
      </c>
      <c r="M1101" s="315">
        <v>1.9138999999999999</v>
      </c>
      <c r="N1101" s="315">
        <v>1.8812</v>
      </c>
      <c r="O1101" s="315">
        <v>0</v>
      </c>
      <c r="P1101" s="315">
        <v>1.5840000000000001</v>
      </c>
      <c r="Q1101" s="315">
        <v>1.4197</v>
      </c>
      <c r="R1101" s="315">
        <v>1.9731000000000001</v>
      </c>
      <c r="S1101" s="315">
        <v>1.9107000000000001</v>
      </c>
      <c r="T1101" s="315">
        <v>1.7886</v>
      </c>
      <c r="U1101" s="315">
        <v>1.7563</v>
      </c>
      <c r="V1101" s="315">
        <v>1.5396000000000001</v>
      </c>
      <c r="W1101" s="315">
        <v>1.9509000000000001</v>
      </c>
      <c r="X1101" s="315">
        <v>1.7878000000000001</v>
      </c>
      <c r="Y1101" s="315">
        <v>1.6319999999999999</v>
      </c>
      <c r="Z1101" s="315">
        <v>1.9189000000000001</v>
      </c>
      <c r="AA1101" s="315">
        <v>1.7952999999999999</v>
      </c>
      <c r="AB1101" s="315">
        <v>1.8818999999999999</v>
      </c>
      <c r="AC1101" s="315">
        <v>1.5277000000000001</v>
      </c>
      <c r="AD1101" s="315">
        <v>1.3514999999999999</v>
      </c>
      <c r="AE1101" s="315">
        <v>1.8591</v>
      </c>
      <c r="AF1101" s="315">
        <v>0</v>
      </c>
      <c r="AG1101" s="315">
        <v>0</v>
      </c>
      <c r="AH1101" s="315">
        <v>1.8821000000000001</v>
      </c>
      <c r="AI1101" s="315">
        <v>1.8762000000000001</v>
      </c>
      <c r="AJ1101" s="315">
        <v>1.6067</v>
      </c>
      <c r="AK1101" s="315">
        <v>1.5538000000000001</v>
      </c>
      <c r="AL1101" s="315">
        <v>1.7678</v>
      </c>
      <c r="AM1101" s="315">
        <v>2.1516999999999999</v>
      </c>
      <c r="AN1101" s="315">
        <v>1.7850999999999999</v>
      </c>
      <c r="AO1101" s="315">
        <v>1.8715999999999999</v>
      </c>
      <c r="AP1101" s="315">
        <v>1.9303999999999999</v>
      </c>
      <c r="AQ1101" s="315">
        <v>0</v>
      </c>
      <c r="AR1101" s="315">
        <v>1.7393000000000001</v>
      </c>
      <c r="AS1101" s="315">
        <v>1.3444</v>
      </c>
      <c r="AT1101" s="315">
        <v>1.9033</v>
      </c>
      <c r="AU1101" s="315">
        <v>2.1307999999999998</v>
      </c>
      <c r="AV1101" s="315">
        <v>2.1023000000000001</v>
      </c>
      <c r="AW1101" s="315">
        <v>1.7876000000000001</v>
      </c>
      <c r="AX1101" s="315">
        <v>0</v>
      </c>
      <c r="AY1101" s="315">
        <v>1.8536999999999999</v>
      </c>
      <c r="AZ1101" s="315">
        <v>1.6918</v>
      </c>
      <c r="BA1101" s="315">
        <v>1.6417999999999999</v>
      </c>
      <c r="BB1101" s="315">
        <v>1.2726999999999999</v>
      </c>
      <c r="BC1101" s="315">
        <v>2.2534999999999998</v>
      </c>
      <c r="BD1101" s="315">
        <v>2.0091999999999999</v>
      </c>
      <c r="BE1101" s="315">
        <v>2.1671</v>
      </c>
      <c r="BF1101" s="315">
        <v>2.0358999999999998</v>
      </c>
      <c r="BG1101" s="315">
        <v>2.0653999999999999</v>
      </c>
      <c r="BH1101" s="315">
        <v>1.9114</v>
      </c>
      <c r="BI1101" s="315">
        <v>2.1133999999999999</v>
      </c>
      <c r="BJ1101" s="315">
        <v>2.1435</v>
      </c>
      <c r="BK1101" s="315">
        <v>2.1604000000000001</v>
      </c>
    </row>
    <row r="1102" spans="1:63" x14ac:dyDescent="0.25">
      <c r="A1102" s="306">
        <v>336412</v>
      </c>
      <c r="B1102" s="315" t="s">
        <v>253</v>
      </c>
      <c r="C1102" s="315">
        <v>2.8492000000000002</v>
      </c>
      <c r="D1102" s="315">
        <v>1.3774</v>
      </c>
      <c r="E1102" s="315">
        <v>1.823</v>
      </c>
      <c r="F1102" s="315">
        <v>1.6702999999999999</v>
      </c>
      <c r="G1102" s="315">
        <v>2.0495000000000001</v>
      </c>
      <c r="H1102" s="315">
        <v>2.0428000000000002</v>
      </c>
      <c r="I1102" s="315">
        <v>1.8861000000000001</v>
      </c>
      <c r="J1102" s="315">
        <v>2.1389999999999998</v>
      </c>
      <c r="K1102" s="315">
        <v>0</v>
      </c>
      <c r="L1102" s="315">
        <v>0</v>
      </c>
      <c r="M1102" s="315">
        <v>2.0259999999999998</v>
      </c>
      <c r="N1102" s="315">
        <v>2.0295999999999998</v>
      </c>
      <c r="O1102" s="315">
        <v>0</v>
      </c>
      <c r="P1102" s="315">
        <v>1.5914999999999999</v>
      </c>
      <c r="Q1102" s="315">
        <v>1.4819</v>
      </c>
      <c r="R1102" s="315">
        <v>2.1231</v>
      </c>
      <c r="S1102" s="315">
        <v>2.0859999999999999</v>
      </c>
      <c r="T1102" s="315">
        <v>1.849</v>
      </c>
      <c r="U1102" s="315">
        <v>1.9912000000000001</v>
      </c>
      <c r="V1102" s="315">
        <v>1.6960999999999999</v>
      </c>
      <c r="W1102" s="315">
        <v>2.1392000000000002</v>
      </c>
      <c r="X1102" s="315">
        <v>1.6429</v>
      </c>
      <c r="Y1102" s="315">
        <v>1.871</v>
      </c>
      <c r="Z1102" s="315">
        <v>2.08</v>
      </c>
      <c r="AA1102" s="315">
        <v>1.8205</v>
      </c>
      <c r="AB1102" s="315">
        <v>1.8221000000000001</v>
      </c>
      <c r="AC1102" s="315">
        <v>1.5341</v>
      </c>
      <c r="AD1102" s="315">
        <v>0</v>
      </c>
      <c r="AE1102" s="315">
        <v>2.0926999999999998</v>
      </c>
      <c r="AF1102" s="315">
        <v>0</v>
      </c>
      <c r="AG1102" s="315">
        <v>1.4962</v>
      </c>
      <c r="AH1102" s="315">
        <v>2.0487000000000002</v>
      </c>
      <c r="AI1102" s="315">
        <v>1.8753</v>
      </c>
      <c r="AJ1102" s="315">
        <v>1.7644</v>
      </c>
      <c r="AK1102" s="315">
        <v>1.7642</v>
      </c>
      <c r="AL1102" s="315">
        <v>1.7498</v>
      </c>
      <c r="AM1102" s="315">
        <v>2.3249</v>
      </c>
      <c r="AN1102" s="315">
        <v>1.8172999999999999</v>
      </c>
      <c r="AO1102" s="315">
        <v>1.7206999999999999</v>
      </c>
      <c r="AP1102" s="315">
        <v>2.0525000000000002</v>
      </c>
      <c r="AQ1102" s="315">
        <v>0</v>
      </c>
      <c r="AR1102" s="315">
        <v>1.7978000000000001</v>
      </c>
      <c r="AS1102" s="315">
        <v>1.3774999999999999</v>
      </c>
      <c r="AT1102" s="315">
        <v>1.9706999999999999</v>
      </c>
      <c r="AU1102" s="315">
        <v>2.1</v>
      </c>
      <c r="AV1102" s="315">
        <v>2.1509</v>
      </c>
      <c r="AW1102" s="315">
        <v>1.7627999999999999</v>
      </c>
      <c r="AX1102" s="315">
        <v>1.7419</v>
      </c>
      <c r="AY1102" s="315">
        <v>1.7476</v>
      </c>
      <c r="AZ1102" s="315">
        <v>1.7685</v>
      </c>
      <c r="BA1102" s="315">
        <v>1.7487999999999999</v>
      </c>
      <c r="BB1102" s="315">
        <v>1.3269</v>
      </c>
      <c r="BC1102" s="315">
        <v>2.3233000000000001</v>
      </c>
      <c r="BD1102" s="315">
        <v>2.0196999999999998</v>
      </c>
      <c r="BE1102" s="315">
        <v>2.4262000000000001</v>
      </c>
      <c r="BF1102" s="315">
        <v>1.9016</v>
      </c>
      <c r="BG1102" s="315">
        <v>2.1196000000000002</v>
      </c>
      <c r="BH1102" s="315">
        <v>1.9774</v>
      </c>
      <c r="BI1102" s="315">
        <v>2.0882000000000001</v>
      </c>
      <c r="BJ1102" s="315">
        <v>2.2176999999999998</v>
      </c>
      <c r="BK1102" s="315">
        <v>2.0287999999999999</v>
      </c>
    </row>
    <row r="1103" spans="1:63" x14ac:dyDescent="0.25">
      <c r="A1103" s="306">
        <v>336413</v>
      </c>
      <c r="B1103" s="315" t="s">
        <v>254</v>
      </c>
      <c r="C1103" s="315">
        <v>3.0943999999999998</v>
      </c>
      <c r="D1103" s="315">
        <v>1.5771999999999999</v>
      </c>
      <c r="E1103" s="315">
        <v>2.1347999999999998</v>
      </c>
      <c r="F1103" s="315">
        <v>2.0528</v>
      </c>
      <c r="G1103" s="315">
        <v>2.0505</v>
      </c>
      <c r="H1103" s="315">
        <v>2.3336000000000001</v>
      </c>
      <c r="I1103" s="315">
        <v>2.2591999999999999</v>
      </c>
      <c r="J1103" s="315">
        <v>2.1526999999999998</v>
      </c>
      <c r="K1103" s="315">
        <v>0</v>
      </c>
      <c r="L1103" s="315">
        <v>1.8095000000000001</v>
      </c>
      <c r="M1103" s="315">
        <v>2.0047000000000001</v>
      </c>
      <c r="N1103" s="315">
        <v>2.2884000000000002</v>
      </c>
      <c r="O1103" s="315">
        <v>1.7946</v>
      </c>
      <c r="P1103" s="315">
        <v>1.7922</v>
      </c>
      <c r="Q1103" s="315">
        <v>1.7258</v>
      </c>
      <c r="R1103" s="315">
        <v>2.4512</v>
      </c>
      <c r="S1103" s="315">
        <v>2.1909000000000001</v>
      </c>
      <c r="T1103" s="315">
        <v>1.8577999999999999</v>
      </c>
      <c r="U1103" s="315">
        <v>2.1372</v>
      </c>
      <c r="V1103" s="315">
        <v>1.9302999999999999</v>
      </c>
      <c r="W1103" s="315">
        <v>2.1358999999999999</v>
      </c>
      <c r="X1103" s="315">
        <v>1.9336</v>
      </c>
      <c r="Y1103" s="315">
        <v>0</v>
      </c>
      <c r="Z1103" s="315">
        <v>2.3496999999999999</v>
      </c>
      <c r="AA1103" s="315">
        <v>2.1855000000000002</v>
      </c>
      <c r="AB1103" s="315">
        <v>2.2888999999999999</v>
      </c>
      <c r="AC1103" s="315">
        <v>1.8677999999999999</v>
      </c>
      <c r="AD1103" s="315">
        <v>1.6433</v>
      </c>
      <c r="AE1103" s="315">
        <v>2.1469</v>
      </c>
      <c r="AF1103" s="315">
        <v>1.5968</v>
      </c>
      <c r="AG1103" s="315">
        <v>1.7638</v>
      </c>
      <c r="AH1103" s="315">
        <v>2.0767000000000002</v>
      </c>
      <c r="AI1103" s="315">
        <v>2.1789000000000001</v>
      </c>
      <c r="AJ1103" s="315">
        <v>1.6886000000000001</v>
      </c>
      <c r="AK1103" s="315">
        <v>1.9048</v>
      </c>
      <c r="AL1103" s="315">
        <v>1.9736</v>
      </c>
      <c r="AM1103" s="315">
        <v>2.4807000000000001</v>
      </c>
      <c r="AN1103" s="315">
        <v>2.0144000000000002</v>
      </c>
      <c r="AO1103" s="315">
        <v>2.1817000000000002</v>
      </c>
      <c r="AP1103" s="315">
        <v>2.4575</v>
      </c>
      <c r="AQ1103" s="315">
        <v>0</v>
      </c>
      <c r="AR1103" s="315">
        <v>2.1595</v>
      </c>
      <c r="AS1103" s="315">
        <v>1.6142000000000001</v>
      </c>
      <c r="AT1103" s="315">
        <v>2.3504999999999998</v>
      </c>
      <c r="AU1103" s="315">
        <v>2.4045000000000001</v>
      </c>
      <c r="AV1103" s="315">
        <v>2.3319999999999999</v>
      </c>
      <c r="AW1103" s="315">
        <v>2.1381000000000001</v>
      </c>
      <c r="AX1103" s="315">
        <v>1.7239</v>
      </c>
      <c r="AY1103" s="315">
        <v>2.1301999999999999</v>
      </c>
      <c r="AZ1103" s="315">
        <v>2.1890000000000001</v>
      </c>
      <c r="BA1103" s="315">
        <v>1.8405</v>
      </c>
      <c r="BB1103" s="315">
        <v>1.5586</v>
      </c>
      <c r="BC1103" s="315">
        <v>2.3576999999999999</v>
      </c>
      <c r="BD1103" s="315">
        <v>2.3862999999999999</v>
      </c>
      <c r="BE1103" s="315">
        <v>2.5855000000000001</v>
      </c>
      <c r="BF1103" s="315">
        <v>2.2641</v>
      </c>
      <c r="BG1103" s="315">
        <v>2.3650000000000002</v>
      </c>
      <c r="BH1103" s="315">
        <v>2.3338000000000001</v>
      </c>
      <c r="BI1103" s="315">
        <v>2.4276</v>
      </c>
      <c r="BJ1103" s="315">
        <v>2.2721</v>
      </c>
      <c r="BK1103" s="315">
        <v>2.3689</v>
      </c>
    </row>
    <row r="1104" spans="1:63" x14ac:dyDescent="0.25">
      <c r="A1104" s="306">
        <v>336414</v>
      </c>
      <c r="B1104" s="315" t="s">
        <v>255</v>
      </c>
      <c r="C1104" s="315">
        <v>3.2395999999999998</v>
      </c>
      <c r="D1104" s="315">
        <v>0</v>
      </c>
      <c r="E1104" s="315">
        <v>2.1602999999999999</v>
      </c>
      <c r="F1104" s="315">
        <v>1.8007</v>
      </c>
      <c r="G1104" s="315">
        <v>2.2675999999999998</v>
      </c>
      <c r="H1104" s="315">
        <v>2.5889000000000002</v>
      </c>
      <c r="I1104" s="315">
        <v>2.4373</v>
      </c>
      <c r="J1104" s="315">
        <v>0</v>
      </c>
      <c r="K1104" s="315">
        <v>0</v>
      </c>
      <c r="L1104" s="315">
        <v>0</v>
      </c>
      <c r="M1104" s="315">
        <v>2.3433999999999999</v>
      </c>
      <c r="N1104" s="315">
        <v>2.2031000000000001</v>
      </c>
      <c r="O1104" s="315">
        <v>0</v>
      </c>
      <c r="P1104" s="315">
        <v>0</v>
      </c>
      <c r="Q1104" s="315">
        <v>0</v>
      </c>
      <c r="R1104" s="315">
        <v>0</v>
      </c>
      <c r="S1104" s="315">
        <v>1.9582999999999999</v>
      </c>
      <c r="T1104" s="315">
        <v>0</v>
      </c>
      <c r="U1104" s="315">
        <v>0</v>
      </c>
      <c r="V1104" s="315">
        <v>0</v>
      </c>
      <c r="W1104" s="315">
        <v>2.4312999999999998</v>
      </c>
      <c r="X1104" s="315">
        <v>0</v>
      </c>
      <c r="Y1104" s="315">
        <v>0</v>
      </c>
      <c r="Z1104" s="315">
        <v>0</v>
      </c>
      <c r="AA1104" s="315">
        <v>0</v>
      </c>
      <c r="AB1104" s="315">
        <v>0</v>
      </c>
      <c r="AC1104" s="315">
        <v>0</v>
      </c>
      <c r="AD1104" s="315">
        <v>0</v>
      </c>
      <c r="AE1104" s="315">
        <v>0</v>
      </c>
      <c r="AF1104" s="315">
        <v>0</v>
      </c>
      <c r="AG1104" s="315">
        <v>0</v>
      </c>
      <c r="AH1104" s="315">
        <v>0</v>
      </c>
      <c r="AI1104" s="315">
        <v>0</v>
      </c>
      <c r="AJ1104" s="315">
        <v>1.7888999999999999</v>
      </c>
      <c r="AK1104" s="315">
        <v>1.8903000000000001</v>
      </c>
      <c r="AL1104" s="315">
        <v>0</v>
      </c>
      <c r="AM1104" s="315">
        <v>0</v>
      </c>
      <c r="AN1104" s="315">
        <v>1.9164000000000001</v>
      </c>
      <c r="AO1104" s="315">
        <v>0</v>
      </c>
      <c r="AP1104" s="315">
        <v>0</v>
      </c>
      <c r="AQ1104" s="315">
        <v>0</v>
      </c>
      <c r="AR1104" s="315">
        <v>0</v>
      </c>
      <c r="AS1104" s="315">
        <v>0</v>
      </c>
      <c r="AT1104" s="315">
        <v>0</v>
      </c>
      <c r="AU1104" s="315">
        <v>2.3651</v>
      </c>
      <c r="AV1104" s="315">
        <v>2.3580000000000001</v>
      </c>
      <c r="AW1104" s="315">
        <v>2.0813999999999999</v>
      </c>
      <c r="AX1104" s="315">
        <v>0</v>
      </c>
      <c r="AY1104" s="315">
        <v>0</v>
      </c>
      <c r="AZ1104" s="315">
        <v>0</v>
      </c>
      <c r="BA1104" s="315">
        <v>0</v>
      </c>
      <c r="BB1104" s="315">
        <v>0</v>
      </c>
      <c r="BC1104" s="315">
        <v>2.5539999999999998</v>
      </c>
      <c r="BD1104" s="315">
        <v>0</v>
      </c>
      <c r="BE1104" s="315">
        <v>2.3742000000000001</v>
      </c>
      <c r="BF1104" s="315">
        <v>0</v>
      </c>
      <c r="BG1104" s="315">
        <v>2.5051000000000001</v>
      </c>
      <c r="BH1104" s="315">
        <v>2.3797000000000001</v>
      </c>
      <c r="BI1104" s="315">
        <v>2.4432</v>
      </c>
      <c r="BJ1104" s="315">
        <v>2.5009999999999999</v>
      </c>
      <c r="BK1104" s="315">
        <v>2.6036000000000001</v>
      </c>
    </row>
    <row r="1105" spans="1:63" x14ac:dyDescent="0.25">
      <c r="A1105" s="306" t="s">
        <v>743</v>
      </c>
      <c r="B1105" s="315" t="s">
        <v>744</v>
      </c>
      <c r="C1105" s="315">
        <v>3.1381999999999999</v>
      </c>
      <c r="D1105" s="315">
        <v>0</v>
      </c>
      <c r="E1105" s="315">
        <v>2.1448</v>
      </c>
      <c r="F1105" s="315">
        <v>0</v>
      </c>
      <c r="G1105" s="315">
        <v>2.1585999999999999</v>
      </c>
      <c r="H1105" s="315">
        <v>2.5026999999999999</v>
      </c>
      <c r="I1105" s="315">
        <v>2.3437999999999999</v>
      </c>
      <c r="J1105" s="315">
        <v>0</v>
      </c>
      <c r="K1105" s="315">
        <v>0</v>
      </c>
      <c r="L1105" s="315">
        <v>0</v>
      </c>
      <c r="M1105" s="315">
        <v>2.234</v>
      </c>
      <c r="N1105" s="315">
        <v>2.1657000000000002</v>
      </c>
      <c r="O1105" s="315">
        <v>0</v>
      </c>
      <c r="P1105" s="315">
        <v>0</v>
      </c>
      <c r="Q1105" s="315">
        <v>0</v>
      </c>
      <c r="R1105" s="315">
        <v>0</v>
      </c>
      <c r="S1105" s="315">
        <v>0</v>
      </c>
      <c r="T1105" s="315">
        <v>0</v>
      </c>
      <c r="U1105" s="315">
        <v>0</v>
      </c>
      <c r="V1105" s="315">
        <v>1.9173</v>
      </c>
      <c r="W1105" s="315">
        <v>2.3170999999999999</v>
      </c>
      <c r="X1105" s="315">
        <v>1.9419</v>
      </c>
      <c r="Y1105" s="315">
        <v>1.8759999999999999</v>
      </c>
      <c r="Z1105" s="315">
        <v>2.2071999999999998</v>
      </c>
      <c r="AA1105" s="315">
        <v>0</v>
      </c>
      <c r="AB1105" s="315">
        <v>0</v>
      </c>
      <c r="AC1105" s="315">
        <v>1.7963</v>
      </c>
      <c r="AD1105" s="315">
        <v>0</v>
      </c>
      <c r="AE1105" s="315">
        <v>0</v>
      </c>
      <c r="AF1105" s="315">
        <v>0</v>
      </c>
      <c r="AG1105" s="315">
        <v>0</v>
      </c>
      <c r="AH1105" s="315">
        <v>0</v>
      </c>
      <c r="AI1105" s="315">
        <v>0</v>
      </c>
      <c r="AJ1105" s="315">
        <v>0</v>
      </c>
      <c r="AK1105" s="315">
        <v>0</v>
      </c>
      <c r="AL1105" s="315">
        <v>1.8922000000000001</v>
      </c>
      <c r="AM1105" s="315">
        <v>2.1537000000000002</v>
      </c>
      <c r="AN1105" s="315">
        <v>1.8740000000000001</v>
      </c>
      <c r="AO1105" s="315">
        <v>0</v>
      </c>
      <c r="AP1105" s="315">
        <v>2.3012999999999999</v>
      </c>
      <c r="AQ1105" s="315">
        <v>0</v>
      </c>
      <c r="AR1105" s="315">
        <v>0</v>
      </c>
      <c r="AS1105" s="315">
        <v>1.5367999999999999</v>
      </c>
      <c r="AT1105" s="315">
        <v>0</v>
      </c>
      <c r="AU1105" s="315">
        <v>2.2980999999999998</v>
      </c>
      <c r="AV1105" s="315">
        <v>2.3014999999999999</v>
      </c>
      <c r="AW1105" s="315">
        <v>2.0409000000000002</v>
      </c>
      <c r="AX1105" s="315">
        <v>0</v>
      </c>
      <c r="AY1105" s="315">
        <v>2.13</v>
      </c>
      <c r="AZ1105" s="315">
        <v>2.0062000000000002</v>
      </c>
      <c r="BA1105" s="315">
        <v>1.7175</v>
      </c>
      <c r="BB1105" s="315">
        <v>0</v>
      </c>
      <c r="BC1105" s="315">
        <v>2.472</v>
      </c>
      <c r="BD1105" s="315">
        <v>2.2692999999999999</v>
      </c>
      <c r="BE1105" s="315">
        <v>2.3024</v>
      </c>
      <c r="BF1105" s="315">
        <v>2.0205000000000002</v>
      </c>
      <c r="BG1105" s="315">
        <v>2.4422000000000001</v>
      </c>
      <c r="BH1105" s="315">
        <v>2.3483999999999998</v>
      </c>
      <c r="BI1105" s="315">
        <v>2.3854000000000002</v>
      </c>
      <c r="BJ1105" s="315">
        <v>2.4298000000000002</v>
      </c>
      <c r="BK1105" s="315">
        <v>2.5289999999999999</v>
      </c>
    </row>
    <row r="1106" spans="1:63" x14ac:dyDescent="0.25">
      <c r="A1106" s="306">
        <v>336500</v>
      </c>
      <c r="B1106" s="315" t="s">
        <v>256</v>
      </c>
      <c r="C1106" s="315">
        <v>2.7783000000000002</v>
      </c>
      <c r="D1106" s="315">
        <v>0</v>
      </c>
      <c r="E1106" s="315">
        <v>1.9279999999999999</v>
      </c>
      <c r="F1106" s="315">
        <v>1.8620000000000001</v>
      </c>
      <c r="G1106" s="315">
        <v>1.6842999999999999</v>
      </c>
      <c r="H1106" s="315">
        <v>1.9072</v>
      </c>
      <c r="I1106" s="315">
        <v>1.9073</v>
      </c>
      <c r="J1106" s="315">
        <v>1.8185</v>
      </c>
      <c r="K1106" s="315">
        <v>0</v>
      </c>
      <c r="L1106" s="315">
        <v>1.5782</v>
      </c>
      <c r="M1106" s="315">
        <v>1.6868000000000001</v>
      </c>
      <c r="N1106" s="315">
        <v>2.0306999999999999</v>
      </c>
      <c r="O1106" s="315">
        <v>0</v>
      </c>
      <c r="P1106" s="315">
        <v>1.7385999999999999</v>
      </c>
      <c r="Q1106" s="315">
        <v>1.5947</v>
      </c>
      <c r="R1106" s="315">
        <v>2.33</v>
      </c>
      <c r="S1106" s="315">
        <v>2.0649000000000002</v>
      </c>
      <c r="T1106" s="315">
        <v>1.6791</v>
      </c>
      <c r="U1106" s="315">
        <v>1.9305000000000001</v>
      </c>
      <c r="V1106" s="315">
        <v>1.8399000000000001</v>
      </c>
      <c r="W1106" s="315">
        <v>0</v>
      </c>
      <c r="X1106" s="315">
        <v>1.6462000000000001</v>
      </c>
      <c r="Y1106" s="315">
        <v>1.629</v>
      </c>
      <c r="Z1106" s="315">
        <v>2.0455999999999999</v>
      </c>
      <c r="AA1106" s="315">
        <v>1.9121999999999999</v>
      </c>
      <c r="AB1106" s="315">
        <v>2.0325000000000002</v>
      </c>
      <c r="AC1106" s="315">
        <v>0</v>
      </c>
      <c r="AD1106" s="315">
        <v>0</v>
      </c>
      <c r="AE1106" s="315">
        <v>1.9401999999999999</v>
      </c>
      <c r="AF1106" s="315">
        <v>0</v>
      </c>
      <c r="AG1106" s="315">
        <v>1.6335999999999999</v>
      </c>
      <c r="AH1106" s="315">
        <v>0</v>
      </c>
      <c r="AI1106" s="315">
        <v>1.7971999999999999</v>
      </c>
      <c r="AJ1106" s="315">
        <v>0</v>
      </c>
      <c r="AK1106" s="315">
        <v>1.5893999999999999</v>
      </c>
      <c r="AL1106" s="315">
        <v>1.8032999999999999</v>
      </c>
      <c r="AM1106" s="315">
        <v>2.1615000000000002</v>
      </c>
      <c r="AN1106" s="315">
        <v>1.8491</v>
      </c>
      <c r="AO1106" s="315">
        <v>1.9791000000000001</v>
      </c>
      <c r="AP1106" s="315">
        <v>2.2951999999999999</v>
      </c>
      <c r="AQ1106" s="315">
        <v>0</v>
      </c>
      <c r="AR1106" s="315">
        <v>2.0548000000000002</v>
      </c>
      <c r="AS1106" s="315">
        <v>0</v>
      </c>
      <c r="AT1106" s="315">
        <v>1.9666999999999999</v>
      </c>
      <c r="AU1106" s="315">
        <v>2.1855000000000002</v>
      </c>
      <c r="AV1106" s="315">
        <v>1.9460999999999999</v>
      </c>
      <c r="AW1106" s="315">
        <v>1.9948999999999999</v>
      </c>
      <c r="AX1106" s="315">
        <v>1.4790000000000001</v>
      </c>
      <c r="AY1106" s="315">
        <v>1.8319000000000001</v>
      </c>
      <c r="AZ1106" s="315">
        <v>2.0053000000000001</v>
      </c>
      <c r="BA1106" s="315">
        <v>1.7232000000000001</v>
      </c>
      <c r="BB1106" s="315">
        <v>0</v>
      </c>
      <c r="BC1106" s="315">
        <v>1.9417</v>
      </c>
      <c r="BD1106" s="315">
        <v>2.1897000000000002</v>
      </c>
      <c r="BE1106" s="315">
        <v>2.3199000000000001</v>
      </c>
      <c r="BF1106" s="315">
        <v>1.9819</v>
      </c>
      <c r="BG1106" s="315">
        <v>2.0937999999999999</v>
      </c>
      <c r="BH1106" s="315">
        <v>2.0264000000000002</v>
      </c>
      <c r="BI1106" s="315">
        <v>2.2235999999999998</v>
      </c>
      <c r="BJ1106" s="315">
        <v>1.8976999999999999</v>
      </c>
      <c r="BK1106" s="315">
        <v>1.966</v>
      </c>
    </row>
    <row r="1107" spans="1:63" x14ac:dyDescent="0.25">
      <c r="A1107" s="306">
        <v>336611</v>
      </c>
      <c r="B1107" s="315" t="s">
        <v>257</v>
      </c>
      <c r="C1107" s="315">
        <v>3.08</v>
      </c>
      <c r="D1107" s="315">
        <v>1.5781000000000001</v>
      </c>
      <c r="E1107" s="315">
        <v>2.0979999999999999</v>
      </c>
      <c r="F1107" s="315">
        <v>1.8683000000000001</v>
      </c>
      <c r="G1107" s="315">
        <v>0</v>
      </c>
      <c r="H1107" s="315">
        <v>2.2873000000000001</v>
      </c>
      <c r="I1107" s="315">
        <v>0</v>
      </c>
      <c r="J1107" s="315">
        <v>2.0909</v>
      </c>
      <c r="K1107" s="315">
        <v>1.2653000000000001</v>
      </c>
      <c r="L1107" s="315">
        <v>1.7519</v>
      </c>
      <c r="M1107" s="315">
        <v>2.0253999999999999</v>
      </c>
      <c r="N1107" s="315">
        <v>2.2223999999999999</v>
      </c>
      <c r="O1107" s="315">
        <v>1.7374000000000001</v>
      </c>
      <c r="P1107" s="315">
        <v>0</v>
      </c>
      <c r="Q1107" s="315">
        <v>0</v>
      </c>
      <c r="R1107" s="315">
        <v>2.4900000000000002</v>
      </c>
      <c r="S1107" s="315">
        <v>2.1644999999999999</v>
      </c>
      <c r="T1107" s="315">
        <v>0</v>
      </c>
      <c r="U1107" s="315">
        <v>2.1086999999999998</v>
      </c>
      <c r="V1107" s="315">
        <v>1.9019999999999999</v>
      </c>
      <c r="W1107" s="315">
        <v>2.1648999999999998</v>
      </c>
      <c r="X1107" s="315">
        <v>2.0108999999999999</v>
      </c>
      <c r="Y1107" s="315">
        <v>1.8261000000000001</v>
      </c>
      <c r="Z1107" s="315">
        <v>2.3273000000000001</v>
      </c>
      <c r="AA1107" s="315">
        <v>0</v>
      </c>
      <c r="AB1107" s="315">
        <v>2.1764999999999999</v>
      </c>
      <c r="AC1107" s="315">
        <v>1.8460000000000001</v>
      </c>
      <c r="AD1107" s="315">
        <v>0</v>
      </c>
      <c r="AE1107" s="315">
        <v>2.1526000000000001</v>
      </c>
      <c r="AF1107" s="315">
        <v>0</v>
      </c>
      <c r="AG1107" s="315">
        <v>0</v>
      </c>
      <c r="AH1107" s="315">
        <v>2.0076999999999998</v>
      </c>
      <c r="AI1107" s="315">
        <v>2.1896</v>
      </c>
      <c r="AJ1107" s="315">
        <v>0</v>
      </c>
      <c r="AK1107" s="315">
        <v>0</v>
      </c>
      <c r="AL1107" s="315">
        <v>2.0064000000000002</v>
      </c>
      <c r="AM1107" s="315">
        <v>2.3900999999999999</v>
      </c>
      <c r="AN1107" s="315">
        <v>0</v>
      </c>
      <c r="AO1107" s="315">
        <v>2.0142000000000002</v>
      </c>
      <c r="AP1107" s="315">
        <v>2.4275000000000002</v>
      </c>
      <c r="AQ1107" s="315">
        <v>1.8636999999999999</v>
      </c>
      <c r="AR1107" s="315">
        <v>2.1852</v>
      </c>
      <c r="AS1107" s="315">
        <v>0</v>
      </c>
      <c r="AT1107" s="315">
        <v>2.3395999999999999</v>
      </c>
      <c r="AU1107" s="315">
        <v>2.3812000000000002</v>
      </c>
      <c r="AV1107" s="315">
        <v>2.2406000000000001</v>
      </c>
      <c r="AW1107" s="315">
        <v>2.0579999999999998</v>
      </c>
      <c r="AX1107" s="315">
        <v>0</v>
      </c>
      <c r="AY1107" s="315">
        <v>2.0480999999999998</v>
      </c>
      <c r="AZ1107" s="315">
        <v>2.1764000000000001</v>
      </c>
      <c r="BA1107" s="315">
        <v>0</v>
      </c>
      <c r="BB1107" s="315">
        <v>0</v>
      </c>
      <c r="BC1107" s="315">
        <v>2.3125</v>
      </c>
      <c r="BD1107" s="315">
        <v>2.4127000000000001</v>
      </c>
      <c r="BE1107" s="315">
        <v>2.5575000000000001</v>
      </c>
      <c r="BF1107" s="315">
        <v>2.1677</v>
      </c>
      <c r="BG1107" s="315">
        <v>2.3633000000000002</v>
      </c>
      <c r="BH1107" s="315">
        <v>2.3199999999999998</v>
      </c>
      <c r="BI1107" s="315">
        <v>2.4011</v>
      </c>
      <c r="BJ1107" s="315">
        <v>2.1976</v>
      </c>
      <c r="BK1107" s="315">
        <v>2.3094999999999999</v>
      </c>
    </row>
    <row r="1108" spans="1:63" x14ac:dyDescent="0.25">
      <c r="A1108" s="306">
        <v>336612</v>
      </c>
      <c r="B1108" s="315" t="s">
        <v>258</v>
      </c>
      <c r="C1108" s="315">
        <v>3.1432000000000002</v>
      </c>
      <c r="D1108" s="315">
        <v>1.4961</v>
      </c>
      <c r="E1108" s="315">
        <v>2.2113</v>
      </c>
      <c r="F1108" s="315">
        <v>2.0064000000000002</v>
      </c>
      <c r="G1108" s="315">
        <v>1.8839999999999999</v>
      </c>
      <c r="H1108" s="315">
        <v>2.1631999999999998</v>
      </c>
      <c r="I1108" s="315">
        <v>2.1339999999999999</v>
      </c>
      <c r="J1108" s="315">
        <v>2.0649000000000002</v>
      </c>
      <c r="K1108" s="315">
        <v>0</v>
      </c>
      <c r="L1108" s="315">
        <v>1.7182999999999999</v>
      </c>
      <c r="M1108" s="315">
        <v>1.9157999999999999</v>
      </c>
      <c r="N1108" s="315">
        <v>2.2945000000000002</v>
      </c>
      <c r="O1108" s="315">
        <v>1.6478999999999999</v>
      </c>
      <c r="P1108" s="315">
        <v>1.8702000000000001</v>
      </c>
      <c r="Q1108" s="315">
        <v>1.6331</v>
      </c>
      <c r="R1108" s="315">
        <v>2.4335</v>
      </c>
      <c r="S1108" s="315">
        <v>2.2766999999999999</v>
      </c>
      <c r="T1108" s="315">
        <v>1.7426999999999999</v>
      </c>
      <c r="U1108" s="315">
        <v>2.2536999999999998</v>
      </c>
      <c r="V1108" s="315">
        <v>1.8673999999999999</v>
      </c>
      <c r="W1108" s="315">
        <v>2.0184000000000002</v>
      </c>
      <c r="X1108" s="315">
        <v>1.8337000000000001</v>
      </c>
      <c r="Y1108" s="315">
        <v>1.7829999999999999</v>
      </c>
      <c r="Z1108" s="315">
        <v>2.4026000000000001</v>
      </c>
      <c r="AA1108" s="315">
        <v>2.0407999999999999</v>
      </c>
      <c r="AB1108" s="315">
        <v>2.3041</v>
      </c>
      <c r="AC1108" s="315">
        <v>1.9799</v>
      </c>
      <c r="AD1108" s="315">
        <v>1.5588</v>
      </c>
      <c r="AE1108" s="315">
        <v>2.2501000000000002</v>
      </c>
      <c r="AF1108" s="315">
        <v>1.5431999999999999</v>
      </c>
      <c r="AG1108" s="315">
        <v>1.6749000000000001</v>
      </c>
      <c r="AH1108" s="315">
        <v>1.9649000000000001</v>
      </c>
      <c r="AI1108" s="315">
        <v>2.0720999999999998</v>
      </c>
      <c r="AJ1108" s="315">
        <v>0</v>
      </c>
      <c r="AK1108" s="315">
        <v>1.7338</v>
      </c>
      <c r="AL1108" s="315">
        <v>1.9141999999999999</v>
      </c>
      <c r="AM1108" s="315">
        <v>2.476</v>
      </c>
      <c r="AN1108" s="315">
        <v>1.9474</v>
      </c>
      <c r="AO1108" s="315">
        <v>2.0503</v>
      </c>
      <c r="AP1108" s="315">
        <v>2.3468</v>
      </c>
      <c r="AQ1108" s="315">
        <v>1.8567</v>
      </c>
      <c r="AR1108" s="315">
        <v>2.2664</v>
      </c>
      <c r="AS1108" s="315">
        <v>0</v>
      </c>
      <c r="AT1108" s="315">
        <v>2.4009999999999998</v>
      </c>
      <c r="AU1108" s="315">
        <v>2.2654999999999998</v>
      </c>
      <c r="AV1108" s="315">
        <v>2.2566000000000002</v>
      </c>
      <c r="AW1108" s="315">
        <v>2.1027</v>
      </c>
      <c r="AX1108" s="315">
        <v>1.6948000000000001</v>
      </c>
      <c r="AY1108" s="315">
        <v>2.0209999999999999</v>
      </c>
      <c r="AZ1108" s="315">
        <v>2.2759</v>
      </c>
      <c r="BA1108" s="315">
        <v>1.8420000000000001</v>
      </c>
      <c r="BB1108" s="315">
        <v>0</v>
      </c>
      <c r="BC1108" s="315">
        <v>2.2141000000000002</v>
      </c>
      <c r="BD1108" s="315">
        <v>2.2610999999999999</v>
      </c>
      <c r="BE1108" s="315">
        <v>2.6192000000000002</v>
      </c>
      <c r="BF1108" s="315">
        <v>2.1941000000000002</v>
      </c>
      <c r="BG1108" s="315">
        <v>2.3666999999999998</v>
      </c>
      <c r="BH1108" s="315">
        <v>2.4264000000000001</v>
      </c>
      <c r="BI1108" s="315">
        <v>2.3121</v>
      </c>
      <c r="BJ1108" s="315">
        <v>2.0849000000000002</v>
      </c>
      <c r="BK1108" s="315">
        <v>2.2206000000000001</v>
      </c>
    </row>
    <row r="1109" spans="1:63" x14ac:dyDescent="0.25">
      <c r="A1109" s="306">
        <v>336991</v>
      </c>
      <c r="B1109" s="315" t="s">
        <v>259</v>
      </c>
      <c r="C1109" s="315">
        <v>2.8683999999999998</v>
      </c>
      <c r="D1109" s="315">
        <v>0</v>
      </c>
      <c r="E1109" s="315">
        <v>1.9803999999999999</v>
      </c>
      <c r="F1109" s="315">
        <v>1.871</v>
      </c>
      <c r="G1109" s="315">
        <v>1.8340000000000001</v>
      </c>
      <c r="H1109" s="315">
        <v>2.1141000000000001</v>
      </c>
      <c r="I1109" s="315">
        <v>1.9604999999999999</v>
      </c>
      <c r="J1109" s="315">
        <v>1.9528000000000001</v>
      </c>
      <c r="K1109" s="315">
        <v>0</v>
      </c>
      <c r="L1109" s="315">
        <v>0</v>
      </c>
      <c r="M1109" s="315">
        <v>1.7424999999999999</v>
      </c>
      <c r="N1109" s="315">
        <v>2.0478999999999998</v>
      </c>
      <c r="O1109" s="315">
        <v>0</v>
      </c>
      <c r="P1109" s="315">
        <v>1.6672</v>
      </c>
      <c r="Q1109" s="315">
        <v>1.5362</v>
      </c>
      <c r="R1109" s="315">
        <v>2.2273000000000001</v>
      </c>
      <c r="S1109" s="315">
        <v>2.0672000000000001</v>
      </c>
      <c r="T1109" s="315">
        <v>1.6797</v>
      </c>
      <c r="U1109" s="315">
        <v>2.0108000000000001</v>
      </c>
      <c r="V1109" s="315">
        <v>1.7598</v>
      </c>
      <c r="W1109" s="315">
        <v>1.8776999999999999</v>
      </c>
      <c r="X1109" s="315">
        <v>1.704</v>
      </c>
      <c r="Y1109" s="315">
        <v>1.5954999999999999</v>
      </c>
      <c r="Z1109" s="315">
        <v>2.1608999999999998</v>
      </c>
      <c r="AA1109" s="315">
        <v>1.9498</v>
      </c>
      <c r="AB1109" s="315">
        <v>2.0461999999999998</v>
      </c>
      <c r="AC1109" s="315">
        <v>0</v>
      </c>
      <c r="AD1109" s="315">
        <v>1.4500999999999999</v>
      </c>
      <c r="AE1109" s="315">
        <v>1.8793</v>
      </c>
      <c r="AF1109" s="315">
        <v>0</v>
      </c>
      <c r="AG1109" s="315">
        <v>1.5553999999999999</v>
      </c>
      <c r="AH1109" s="315">
        <v>1.8749</v>
      </c>
      <c r="AI1109" s="315">
        <v>1.8698999999999999</v>
      </c>
      <c r="AJ1109" s="315">
        <v>1.4322999999999999</v>
      </c>
      <c r="AK1109" s="315">
        <v>1.5855999999999999</v>
      </c>
      <c r="AL1109" s="315">
        <v>1.7250000000000001</v>
      </c>
      <c r="AM1109" s="315">
        <v>2.3334999999999999</v>
      </c>
      <c r="AN1109" s="315">
        <v>1.8363</v>
      </c>
      <c r="AO1109" s="315">
        <v>2.1080999999999999</v>
      </c>
      <c r="AP1109" s="315">
        <v>2.3235999999999999</v>
      </c>
      <c r="AQ1109" s="315">
        <v>1.7174</v>
      </c>
      <c r="AR1109" s="315">
        <v>1.9954000000000001</v>
      </c>
      <c r="AS1109" s="315">
        <v>1.5082</v>
      </c>
      <c r="AT1109" s="315">
        <v>2.1425999999999998</v>
      </c>
      <c r="AU1109" s="315">
        <v>2.1638000000000002</v>
      </c>
      <c r="AV1109" s="315">
        <v>2.0371000000000001</v>
      </c>
      <c r="AW1109" s="315">
        <v>1.9136</v>
      </c>
      <c r="AX1109" s="315">
        <v>0</v>
      </c>
      <c r="AY1109" s="315">
        <v>1.9193</v>
      </c>
      <c r="AZ1109" s="315">
        <v>2.0118</v>
      </c>
      <c r="BA1109" s="315">
        <v>0</v>
      </c>
      <c r="BB1109" s="315">
        <v>0</v>
      </c>
      <c r="BC1109" s="315">
        <v>2.0310999999999999</v>
      </c>
      <c r="BD1109" s="315">
        <v>2.2233999999999998</v>
      </c>
      <c r="BE1109" s="315">
        <v>2.4348000000000001</v>
      </c>
      <c r="BF1109" s="315">
        <v>2.0666000000000002</v>
      </c>
      <c r="BG1109" s="315">
        <v>2.0806</v>
      </c>
      <c r="BH1109" s="315">
        <v>2.1640999999999999</v>
      </c>
      <c r="BI1109" s="315">
        <v>2.2322000000000002</v>
      </c>
      <c r="BJ1109" s="315">
        <v>1.9334</v>
      </c>
      <c r="BK1109" s="315">
        <v>2.1562000000000001</v>
      </c>
    </row>
    <row r="1110" spans="1:63" x14ac:dyDescent="0.25">
      <c r="A1110" s="306">
        <v>336992</v>
      </c>
      <c r="B1110" s="315" t="s">
        <v>260</v>
      </c>
      <c r="C1110" s="315">
        <v>2.9809999999999999</v>
      </c>
      <c r="D1110" s="315">
        <v>0</v>
      </c>
      <c r="E1110" s="315">
        <v>2.1436000000000002</v>
      </c>
      <c r="F1110" s="315">
        <v>0</v>
      </c>
      <c r="G1110" s="315">
        <v>2.0005999999999999</v>
      </c>
      <c r="H1110" s="315">
        <v>2.2522000000000002</v>
      </c>
      <c r="I1110" s="315">
        <v>0</v>
      </c>
      <c r="J1110" s="315">
        <v>0</v>
      </c>
      <c r="K1110" s="315">
        <v>0</v>
      </c>
      <c r="L1110" s="315">
        <v>0</v>
      </c>
      <c r="M1110" s="315">
        <v>1.9245000000000001</v>
      </c>
      <c r="N1110" s="315">
        <v>2.1829999999999998</v>
      </c>
      <c r="O1110" s="315">
        <v>0</v>
      </c>
      <c r="P1110" s="315">
        <v>0</v>
      </c>
      <c r="Q1110" s="315">
        <v>0</v>
      </c>
      <c r="R1110" s="315">
        <v>2.4296000000000002</v>
      </c>
      <c r="S1110" s="315">
        <v>0</v>
      </c>
      <c r="T1110" s="315">
        <v>0</v>
      </c>
      <c r="U1110" s="315">
        <v>0</v>
      </c>
      <c r="V1110" s="315">
        <v>1.8353999999999999</v>
      </c>
      <c r="W1110" s="315">
        <v>0</v>
      </c>
      <c r="X1110" s="315">
        <v>1.7919</v>
      </c>
      <c r="Y1110" s="315">
        <v>0</v>
      </c>
      <c r="Z1110" s="315">
        <v>2.2866</v>
      </c>
      <c r="AA1110" s="315">
        <v>2.1532</v>
      </c>
      <c r="AB1110" s="315">
        <v>0</v>
      </c>
      <c r="AC1110" s="315">
        <v>0</v>
      </c>
      <c r="AD1110" s="315">
        <v>0</v>
      </c>
      <c r="AE1110" s="315">
        <v>2.0164</v>
      </c>
      <c r="AF1110" s="315">
        <v>0</v>
      </c>
      <c r="AG1110" s="315">
        <v>0</v>
      </c>
      <c r="AH1110" s="315">
        <v>0</v>
      </c>
      <c r="AI1110" s="315">
        <v>2.1404999999999998</v>
      </c>
      <c r="AJ1110" s="315">
        <v>0</v>
      </c>
      <c r="AK1110" s="315">
        <v>0</v>
      </c>
      <c r="AL1110" s="315">
        <v>1.9159999999999999</v>
      </c>
      <c r="AM1110" s="315">
        <v>2.4506999999999999</v>
      </c>
      <c r="AN1110" s="315">
        <v>2.0105</v>
      </c>
      <c r="AO1110" s="315">
        <v>0</v>
      </c>
      <c r="AP1110" s="315">
        <v>2.4706000000000001</v>
      </c>
      <c r="AQ1110" s="315">
        <v>0</v>
      </c>
      <c r="AR1110" s="315">
        <v>2.0669</v>
      </c>
      <c r="AS1110" s="315">
        <v>0</v>
      </c>
      <c r="AT1110" s="315">
        <v>2.2675999999999998</v>
      </c>
      <c r="AU1110" s="315">
        <v>2.2844000000000002</v>
      </c>
      <c r="AV1110" s="315">
        <v>0</v>
      </c>
      <c r="AW1110" s="315">
        <v>1.9446000000000001</v>
      </c>
      <c r="AX1110" s="315">
        <v>0</v>
      </c>
      <c r="AY1110" s="315">
        <v>0</v>
      </c>
      <c r="AZ1110" s="315">
        <v>2.1393</v>
      </c>
      <c r="BA1110" s="315">
        <v>0</v>
      </c>
      <c r="BB1110" s="315">
        <v>0</v>
      </c>
      <c r="BC1110" s="315">
        <v>0</v>
      </c>
      <c r="BD1110" s="315">
        <v>2.4161000000000001</v>
      </c>
      <c r="BE1110" s="315">
        <v>2.5642999999999998</v>
      </c>
      <c r="BF1110" s="315">
        <v>2.1610999999999998</v>
      </c>
      <c r="BG1110" s="315">
        <v>2.1886000000000001</v>
      </c>
      <c r="BH1110" s="315">
        <v>2.3353000000000002</v>
      </c>
      <c r="BI1110" s="315">
        <v>2.3643999999999998</v>
      </c>
      <c r="BJ1110" s="315">
        <v>2.0968</v>
      </c>
      <c r="BK1110" s="315">
        <v>2.2904</v>
      </c>
    </row>
    <row r="1111" spans="1:63" x14ac:dyDescent="0.25">
      <c r="A1111" s="306">
        <v>336999</v>
      </c>
      <c r="B1111" s="315" t="s">
        <v>261</v>
      </c>
      <c r="C1111" s="315">
        <v>3.0118999999999998</v>
      </c>
      <c r="D1111" s="315">
        <v>0</v>
      </c>
      <c r="E1111" s="315">
        <v>2.1381000000000001</v>
      </c>
      <c r="F1111" s="315">
        <v>2.0531000000000001</v>
      </c>
      <c r="G1111" s="315">
        <v>1.6744000000000001</v>
      </c>
      <c r="H1111" s="315">
        <v>1.9417</v>
      </c>
      <c r="I1111" s="315">
        <v>1.7970999999999999</v>
      </c>
      <c r="J1111" s="315">
        <v>1.9265000000000001</v>
      </c>
      <c r="K1111" s="315">
        <v>0</v>
      </c>
      <c r="L1111" s="315">
        <v>1.5874999999999999</v>
      </c>
      <c r="M1111" s="315">
        <v>1.7087000000000001</v>
      </c>
      <c r="N1111" s="315">
        <v>2.0872000000000002</v>
      </c>
      <c r="O1111" s="315">
        <v>0</v>
      </c>
      <c r="P1111" s="315">
        <v>1.9127000000000001</v>
      </c>
      <c r="Q1111" s="315">
        <v>1.4823999999999999</v>
      </c>
      <c r="R1111" s="315">
        <v>2.4022999999999999</v>
      </c>
      <c r="S1111" s="315">
        <v>2.3401999999999998</v>
      </c>
      <c r="T1111" s="315">
        <v>1.6774</v>
      </c>
      <c r="U1111" s="315">
        <v>2.2176999999999998</v>
      </c>
      <c r="V1111" s="315">
        <v>1.776</v>
      </c>
      <c r="W1111" s="315">
        <v>0</v>
      </c>
      <c r="X1111" s="315">
        <v>1.6894</v>
      </c>
      <c r="Y1111" s="315">
        <v>0</v>
      </c>
      <c r="Z1111" s="315">
        <v>2.3412999999999999</v>
      </c>
      <c r="AA1111" s="315">
        <v>2.0811999999999999</v>
      </c>
      <c r="AB1111" s="315">
        <v>2.2084000000000001</v>
      </c>
      <c r="AC1111" s="315">
        <v>1.9072</v>
      </c>
      <c r="AD1111" s="315">
        <v>0</v>
      </c>
      <c r="AE1111" s="315">
        <v>2.1791999999999998</v>
      </c>
      <c r="AF1111" s="315">
        <v>0</v>
      </c>
      <c r="AG1111" s="315">
        <v>1.7237</v>
      </c>
      <c r="AH1111" s="315">
        <v>1.8648</v>
      </c>
      <c r="AI1111" s="315">
        <v>1.9146000000000001</v>
      </c>
      <c r="AJ1111" s="315">
        <v>0</v>
      </c>
      <c r="AK1111" s="315">
        <v>1.5668</v>
      </c>
      <c r="AL1111" s="315">
        <v>1.679</v>
      </c>
      <c r="AM1111" s="315">
        <v>2.4287999999999998</v>
      </c>
      <c r="AN1111" s="315">
        <v>1.9454</v>
      </c>
      <c r="AO1111" s="315">
        <v>1.9567000000000001</v>
      </c>
      <c r="AP1111" s="315">
        <v>2.2856000000000001</v>
      </c>
      <c r="AQ1111" s="315">
        <v>0</v>
      </c>
      <c r="AR1111" s="315">
        <v>2.2749999999999999</v>
      </c>
      <c r="AS1111" s="315">
        <v>1.5043</v>
      </c>
      <c r="AT1111" s="315">
        <v>2.2498</v>
      </c>
      <c r="AU1111" s="315">
        <v>2.1084999999999998</v>
      </c>
      <c r="AV1111" s="315">
        <v>2.1829000000000001</v>
      </c>
      <c r="AW1111" s="315">
        <v>1.8821000000000001</v>
      </c>
      <c r="AX1111" s="315">
        <v>1.5992999999999999</v>
      </c>
      <c r="AY1111" s="315">
        <v>1.7678</v>
      </c>
      <c r="AZ1111" s="315">
        <v>2.2608999999999999</v>
      </c>
      <c r="BA1111" s="315">
        <v>0</v>
      </c>
      <c r="BB1111" s="315">
        <v>1.3358000000000001</v>
      </c>
      <c r="BC1111" s="315">
        <v>2.0272999999999999</v>
      </c>
      <c r="BD1111" s="315">
        <v>2.1032999999999999</v>
      </c>
      <c r="BE1111" s="315">
        <v>2.5912000000000002</v>
      </c>
      <c r="BF1111" s="315">
        <v>2.1776</v>
      </c>
      <c r="BG1111" s="315">
        <v>2.1821000000000002</v>
      </c>
      <c r="BH1111" s="315">
        <v>2.3359000000000001</v>
      </c>
      <c r="BI1111" s="315">
        <v>2.1991999999999998</v>
      </c>
      <c r="BJ1111" s="315">
        <v>1.8007</v>
      </c>
      <c r="BK1111" s="315">
        <v>1.9650000000000001</v>
      </c>
    </row>
    <row r="1112" spans="1:63" x14ac:dyDescent="0.25">
      <c r="A1112" s="306">
        <v>337110</v>
      </c>
      <c r="B1112" s="315" t="s">
        <v>262</v>
      </c>
      <c r="C1112" s="315">
        <v>3.1936</v>
      </c>
      <c r="D1112" s="315">
        <v>1.7203999999999999</v>
      </c>
      <c r="E1112" s="315">
        <v>2.2757000000000001</v>
      </c>
      <c r="F1112" s="315">
        <v>2.0951</v>
      </c>
      <c r="G1112" s="315">
        <v>2.0015999999999998</v>
      </c>
      <c r="H1112" s="315">
        <v>2.3287</v>
      </c>
      <c r="I1112" s="315">
        <v>2.2791000000000001</v>
      </c>
      <c r="J1112" s="315">
        <v>2.0352000000000001</v>
      </c>
      <c r="K1112" s="315">
        <v>1.3315999999999999</v>
      </c>
      <c r="L1112" s="315">
        <v>1.8219000000000001</v>
      </c>
      <c r="M1112" s="315">
        <v>2.1116999999999999</v>
      </c>
      <c r="N1112" s="315">
        <v>2.5527000000000002</v>
      </c>
      <c r="O1112" s="315">
        <v>1.8367</v>
      </c>
      <c r="P1112" s="315">
        <v>1.7141</v>
      </c>
      <c r="Q1112" s="315">
        <v>1.9917</v>
      </c>
      <c r="R1112" s="315">
        <v>2.3509000000000002</v>
      </c>
      <c r="S1112" s="315">
        <v>2.1501999999999999</v>
      </c>
      <c r="T1112" s="315">
        <v>1.7766</v>
      </c>
      <c r="U1112" s="315">
        <v>2.2185000000000001</v>
      </c>
      <c r="V1112" s="315">
        <v>2.1554000000000002</v>
      </c>
      <c r="W1112" s="315">
        <v>2.1092</v>
      </c>
      <c r="X1112" s="315">
        <v>2.0188000000000001</v>
      </c>
      <c r="Y1112" s="315">
        <v>2.1840000000000002</v>
      </c>
      <c r="Z1112" s="315">
        <v>2.3018999999999998</v>
      </c>
      <c r="AA1112" s="315">
        <v>2.2164000000000001</v>
      </c>
      <c r="AB1112" s="315">
        <v>2.2875999999999999</v>
      </c>
      <c r="AC1112" s="315">
        <v>2.0949</v>
      </c>
      <c r="AD1112" s="315">
        <v>1.9549000000000001</v>
      </c>
      <c r="AE1112" s="315">
        <v>2.3323999999999998</v>
      </c>
      <c r="AF1112" s="315">
        <v>1.6162000000000001</v>
      </c>
      <c r="AG1112" s="315">
        <v>1.6432</v>
      </c>
      <c r="AH1112" s="315">
        <v>2.1570999999999998</v>
      </c>
      <c r="AI1112" s="315">
        <v>2.2307000000000001</v>
      </c>
      <c r="AJ1112" s="315">
        <v>1.7450000000000001</v>
      </c>
      <c r="AK1112" s="315">
        <v>1.8751</v>
      </c>
      <c r="AL1112" s="315">
        <v>1.9444999999999999</v>
      </c>
      <c r="AM1112" s="315">
        <v>2.2835999999999999</v>
      </c>
      <c r="AN1112" s="315">
        <v>2.0573000000000001</v>
      </c>
      <c r="AO1112" s="315">
        <v>2.3584999999999998</v>
      </c>
      <c r="AP1112" s="315">
        <v>2.4937</v>
      </c>
      <c r="AQ1112" s="315">
        <v>1.9671000000000001</v>
      </c>
      <c r="AR1112" s="315">
        <v>2.3269000000000002</v>
      </c>
      <c r="AS1112" s="315">
        <v>1.7521</v>
      </c>
      <c r="AT1112" s="315">
        <v>2.3488000000000002</v>
      </c>
      <c r="AU1112" s="315">
        <v>2.4889999999999999</v>
      </c>
      <c r="AV1112" s="315">
        <v>2.2635000000000001</v>
      </c>
      <c r="AW1112" s="315">
        <v>2.3696999999999999</v>
      </c>
      <c r="AX1112" s="315">
        <v>1.954</v>
      </c>
      <c r="AY1112" s="315">
        <v>2.2921999999999998</v>
      </c>
      <c r="AZ1112" s="315">
        <v>2.2707999999999999</v>
      </c>
      <c r="BA1112" s="315">
        <v>1.9825999999999999</v>
      </c>
      <c r="BB1112" s="315">
        <v>1.6475</v>
      </c>
      <c r="BC1112" s="315">
        <v>2.3675000000000002</v>
      </c>
      <c r="BD1112" s="315">
        <v>2.3715999999999999</v>
      </c>
      <c r="BE1112" s="315">
        <v>2.4883999999999999</v>
      </c>
      <c r="BF1112" s="315">
        <v>2.1920000000000002</v>
      </c>
      <c r="BG1112" s="315">
        <v>2.6331000000000002</v>
      </c>
      <c r="BH1112" s="315">
        <v>2.4811000000000001</v>
      </c>
      <c r="BI1112" s="315">
        <v>2.6173000000000002</v>
      </c>
      <c r="BJ1112" s="315">
        <v>2.3677999999999999</v>
      </c>
      <c r="BK1112" s="315">
        <v>2.5674000000000001</v>
      </c>
    </row>
    <row r="1113" spans="1:63" x14ac:dyDescent="0.25">
      <c r="A1113" s="306">
        <v>337121</v>
      </c>
      <c r="B1113" s="315" t="s">
        <v>263</v>
      </c>
      <c r="C1113" s="315">
        <v>2.9384000000000001</v>
      </c>
      <c r="D1113" s="315">
        <v>0</v>
      </c>
      <c r="E1113" s="315">
        <v>2.0632999999999999</v>
      </c>
      <c r="F1113" s="315">
        <v>1.9095</v>
      </c>
      <c r="G1113" s="315">
        <v>1.7486999999999999</v>
      </c>
      <c r="H1113" s="315">
        <v>2.0670000000000002</v>
      </c>
      <c r="I1113" s="315">
        <v>1.9576</v>
      </c>
      <c r="J1113" s="315">
        <v>1.9507000000000001</v>
      </c>
      <c r="K1113" s="315">
        <v>1.1398999999999999</v>
      </c>
      <c r="L1113" s="315">
        <v>0</v>
      </c>
      <c r="M1113" s="315">
        <v>1.8033999999999999</v>
      </c>
      <c r="N1113" s="315">
        <v>2.3227000000000002</v>
      </c>
      <c r="O1113" s="315">
        <v>0</v>
      </c>
      <c r="P1113" s="315">
        <v>1.6807000000000001</v>
      </c>
      <c r="Q1113" s="315">
        <v>1.5834999999999999</v>
      </c>
      <c r="R1113" s="315">
        <v>2.1604000000000001</v>
      </c>
      <c r="S1113" s="315">
        <v>2.0659999999999998</v>
      </c>
      <c r="T1113" s="315">
        <v>1.6368</v>
      </c>
      <c r="U1113" s="315">
        <v>2.0632999999999999</v>
      </c>
      <c r="V1113" s="315">
        <v>0</v>
      </c>
      <c r="W1113" s="315">
        <v>2.0089999999999999</v>
      </c>
      <c r="X1113" s="315">
        <v>1.7556</v>
      </c>
      <c r="Y1113" s="315">
        <v>0</v>
      </c>
      <c r="Z1113" s="315">
        <v>2.0882999999999998</v>
      </c>
      <c r="AA1113" s="315">
        <v>1.9486000000000001</v>
      </c>
      <c r="AB1113" s="315">
        <v>2.0272999999999999</v>
      </c>
      <c r="AC1113" s="315">
        <v>2.0099999999999998</v>
      </c>
      <c r="AD1113" s="315">
        <v>1.5569</v>
      </c>
      <c r="AE1113" s="315">
        <v>2.2400000000000002</v>
      </c>
      <c r="AF1113" s="315">
        <v>0</v>
      </c>
      <c r="AG1113" s="315">
        <v>0</v>
      </c>
      <c r="AH1113" s="315">
        <v>0</v>
      </c>
      <c r="AI1113" s="315">
        <v>1.9968999999999999</v>
      </c>
      <c r="AJ1113" s="315">
        <v>1.5880000000000001</v>
      </c>
      <c r="AK1113" s="315">
        <v>1.6332</v>
      </c>
      <c r="AL1113" s="315">
        <v>1.7487999999999999</v>
      </c>
      <c r="AM1113" s="315">
        <v>2.2054</v>
      </c>
      <c r="AN1113" s="315">
        <v>1.7719</v>
      </c>
      <c r="AO1113" s="315">
        <v>1.9644999999999999</v>
      </c>
      <c r="AP1113" s="315">
        <v>2.3338000000000001</v>
      </c>
      <c r="AQ1113" s="315">
        <v>1.9140999999999999</v>
      </c>
      <c r="AR1113" s="315">
        <v>2.2648000000000001</v>
      </c>
      <c r="AS1113" s="315">
        <v>1.4823</v>
      </c>
      <c r="AT1113" s="315">
        <v>2.2014999999999998</v>
      </c>
      <c r="AU1113" s="315">
        <v>2.2222</v>
      </c>
      <c r="AV1113" s="315">
        <v>1.9433</v>
      </c>
      <c r="AW1113" s="315">
        <v>2.1103000000000001</v>
      </c>
      <c r="AX1113" s="315">
        <v>0</v>
      </c>
      <c r="AY1113" s="315">
        <v>2.0051000000000001</v>
      </c>
      <c r="AZ1113" s="315">
        <v>2.1482999999999999</v>
      </c>
      <c r="BA1113" s="315">
        <v>0</v>
      </c>
      <c r="BB1113" s="315">
        <v>1.4175</v>
      </c>
      <c r="BC1113" s="315">
        <v>2.2469999999999999</v>
      </c>
      <c r="BD1113" s="315">
        <v>2.2008000000000001</v>
      </c>
      <c r="BE1113" s="315">
        <v>2.3144</v>
      </c>
      <c r="BF1113" s="315">
        <v>1.9528000000000001</v>
      </c>
      <c r="BG1113" s="315">
        <v>2.3935</v>
      </c>
      <c r="BH1113" s="315">
        <v>2.4047000000000001</v>
      </c>
      <c r="BI1113" s="315">
        <v>2.2791999999999999</v>
      </c>
      <c r="BJ1113" s="315">
        <v>1.9261999999999999</v>
      </c>
      <c r="BK1113" s="315">
        <v>2.1587999999999998</v>
      </c>
    </row>
    <row r="1114" spans="1:63" x14ac:dyDescent="0.25">
      <c r="A1114" s="306">
        <v>337122</v>
      </c>
      <c r="B1114" s="315" t="s">
        <v>264</v>
      </c>
      <c r="C1114" s="315">
        <v>2.7825000000000002</v>
      </c>
      <c r="D1114" s="315">
        <v>1.5183</v>
      </c>
      <c r="E1114" s="315">
        <v>2.0857999999999999</v>
      </c>
      <c r="F1114" s="315">
        <v>1.9554</v>
      </c>
      <c r="G1114" s="315">
        <v>1.7375</v>
      </c>
      <c r="H1114" s="315">
        <v>1.9996</v>
      </c>
      <c r="I1114" s="315">
        <v>1.9383999999999999</v>
      </c>
      <c r="J1114" s="315">
        <v>1.7796000000000001</v>
      </c>
      <c r="K1114" s="315">
        <v>0</v>
      </c>
      <c r="L1114" s="315">
        <v>1.6174999999999999</v>
      </c>
      <c r="M1114" s="315">
        <v>1.8323</v>
      </c>
      <c r="N1114" s="315">
        <v>2.2967</v>
      </c>
      <c r="O1114" s="315">
        <v>1.599</v>
      </c>
      <c r="P1114" s="315">
        <v>1.6025</v>
      </c>
      <c r="Q1114" s="315">
        <v>1.8018000000000001</v>
      </c>
      <c r="R1114" s="315">
        <v>2.0398999999999998</v>
      </c>
      <c r="S1114" s="315">
        <v>1.9494</v>
      </c>
      <c r="T1114" s="315">
        <v>1.6001000000000001</v>
      </c>
      <c r="U1114" s="315">
        <v>2.0211999999999999</v>
      </c>
      <c r="V1114" s="315">
        <v>1.9656</v>
      </c>
      <c r="W1114" s="315">
        <v>1.8289</v>
      </c>
      <c r="X1114" s="315">
        <v>1.7512000000000001</v>
      </c>
      <c r="Y1114" s="315">
        <v>1.9649000000000001</v>
      </c>
      <c r="Z1114" s="315">
        <v>2.0931999999999999</v>
      </c>
      <c r="AA1114" s="315">
        <v>1.9776</v>
      </c>
      <c r="AB1114" s="315">
        <v>1.9882</v>
      </c>
      <c r="AC1114" s="315">
        <v>1.96</v>
      </c>
      <c r="AD1114" s="315">
        <v>1.7782</v>
      </c>
      <c r="AE1114" s="315">
        <v>2.1292</v>
      </c>
      <c r="AF1114" s="315">
        <v>1.5152000000000001</v>
      </c>
      <c r="AG1114" s="315">
        <v>1.5036</v>
      </c>
      <c r="AH1114" s="315">
        <v>1.9106000000000001</v>
      </c>
      <c r="AI1114" s="315">
        <v>1.9188000000000001</v>
      </c>
      <c r="AJ1114" s="315">
        <v>1.5338000000000001</v>
      </c>
      <c r="AK1114" s="315">
        <v>1.6637</v>
      </c>
      <c r="AL1114" s="315">
        <v>1.6988000000000001</v>
      </c>
      <c r="AM1114" s="315">
        <v>2.0461999999999998</v>
      </c>
      <c r="AN1114" s="315">
        <v>1.8338000000000001</v>
      </c>
      <c r="AO1114" s="315">
        <v>2.1116000000000001</v>
      </c>
      <c r="AP1114" s="315">
        <v>2.2121</v>
      </c>
      <c r="AQ1114" s="315">
        <v>1.7369000000000001</v>
      </c>
      <c r="AR1114" s="315">
        <v>2.1238000000000001</v>
      </c>
      <c r="AS1114" s="315">
        <v>1.6471</v>
      </c>
      <c r="AT1114" s="315">
        <v>2.1111</v>
      </c>
      <c r="AU1114" s="315">
        <v>2.1594000000000002</v>
      </c>
      <c r="AV1114" s="315">
        <v>1.9545999999999999</v>
      </c>
      <c r="AW1114" s="315">
        <v>2.0844999999999998</v>
      </c>
      <c r="AX1114" s="315">
        <v>1.7154</v>
      </c>
      <c r="AY1114" s="315">
        <v>2.0156999999999998</v>
      </c>
      <c r="AZ1114" s="315">
        <v>2.0941999999999998</v>
      </c>
      <c r="BA1114" s="315">
        <v>1.8229</v>
      </c>
      <c r="BB1114" s="315">
        <v>1.4955000000000001</v>
      </c>
      <c r="BC1114" s="315">
        <v>2.0581</v>
      </c>
      <c r="BD1114" s="315">
        <v>2.0529000000000002</v>
      </c>
      <c r="BE1114" s="315">
        <v>2.2222</v>
      </c>
      <c r="BF1114" s="315">
        <v>1.9719</v>
      </c>
      <c r="BG1114" s="315">
        <v>2.3174999999999999</v>
      </c>
      <c r="BH1114" s="315">
        <v>2.2700999999999998</v>
      </c>
      <c r="BI1114" s="315">
        <v>2.3041999999999998</v>
      </c>
      <c r="BJ1114" s="315">
        <v>2.0409000000000002</v>
      </c>
      <c r="BK1114" s="315">
        <v>2.2320000000000002</v>
      </c>
    </row>
    <row r="1115" spans="1:63" x14ac:dyDescent="0.25">
      <c r="A1115" s="306">
        <v>337127</v>
      </c>
      <c r="B1115" s="315" t="s">
        <v>266</v>
      </c>
      <c r="C1115" s="315">
        <v>2.9375</v>
      </c>
      <c r="D1115" s="315">
        <v>0</v>
      </c>
      <c r="E1115" s="315">
        <v>2.1288999999999998</v>
      </c>
      <c r="F1115" s="315">
        <v>1.9830000000000001</v>
      </c>
      <c r="G1115" s="315">
        <v>1.8608</v>
      </c>
      <c r="H1115" s="315">
        <v>2.1278000000000001</v>
      </c>
      <c r="I1115" s="315">
        <v>2.0789</v>
      </c>
      <c r="J1115" s="315">
        <v>1.9200999999999999</v>
      </c>
      <c r="K1115" s="315">
        <v>0</v>
      </c>
      <c r="L1115" s="315">
        <v>1.7295</v>
      </c>
      <c r="M1115" s="315">
        <v>1.9008</v>
      </c>
      <c r="N1115" s="315">
        <v>2.2545999999999999</v>
      </c>
      <c r="O1115" s="315">
        <v>0</v>
      </c>
      <c r="P1115" s="315">
        <v>1.6823999999999999</v>
      </c>
      <c r="Q1115" s="315">
        <v>1.6893</v>
      </c>
      <c r="R1115" s="315">
        <v>2.3176999999999999</v>
      </c>
      <c r="S1115" s="315">
        <v>2.1343000000000001</v>
      </c>
      <c r="T1115" s="315">
        <v>1.7052</v>
      </c>
      <c r="U1115" s="315">
        <v>2.1356999999999999</v>
      </c>
      <c r="V1115" s="315">
        <v>1.865</v>
      </c>
      <c r="W1115" s="315">
        <v>1.9712000000000001</v>
      </c>
      <c r="X1115" s="315">
        <v>1.8833</v>
      </c>
      <c r="Y1115" s="315">
        <v>1.9048</v>
      </c>
      <c r="Z1115" s="315">
        <v>2.2252999999999998</v>
      </c>
      <c r="AA1115" s="315">
        <v>2.0754000000000001</v>
      </c>
      <c r="AB1115" s="315">
        <v>2.121</v>
      </c>
      <c r="AC1115" s="315">
        <v>1.9722999999999999</v>
      </c>
      <c r="AD1115" s="315">
        <v>1.6355</v>
      </c>
      <c r="AE1115" s="315">
        <v>2.1000999999999999</v>
      </c>
      <c r="AF1115" s="315">
        <v>1.5092000000000001</v>
      </c>
      <c r="AG1115" s="315">
        <v>1.5874999999999999</v>
      </c>
      <c r="AH1115" s="315">
        <v>1.9482999999999999</v>
      </c>
      <c r="AI1115" s="315">
        <v>2.0590999999999999</v>
      </c>
      <c r="AJ1115" s="315">
        <v>1.5802</v>
      </c>
      <c r="AK1115" s="315">
        <v>1.7017</v>
      </c>
      <c r="AL1115" s="315">
        <v>1.8088</v>
      </c>
      <c r="AM1115" s="315">
        <v>2.2848999999999999</v>
      </c>
      <c r="AN1115" s="315">
        <v>1.9263999999999999</v>
      </c>
      <c r="AO1115" s="315">
        <v>2.1524000000000001</v>
      </c>
      <c r="AP1115" s="315">
        <v>2.3683000000000001</v>
      </c>
      <c r="AQ1115" s="315">
        <v>0</v>
      </c>
      <c r="AR1115" s="315">
        <v>2.1522999999999999</v>
      </c>
      <c r="AS1115" s="315">
        <v>0</v>
      </c>
      <c r="AT1115" s="315">
        <v>2.2294</v>
      </c>
      <c r="AU1115" s="315">
        <v>2.3046000000000002</v>
      </c>
      <c r="AV1115" s="315">
        <v>2.1560000000000001</v>
      </c>
      <c r="AW1115" s="315">
        <v>2.0714000000000001</v>
      </c>
      <c r="AX1115" s="315">
        <v>1.716</v>
      </c>
      <c r="AY1115" s="315">
        <v>2.0257000000000001</v>
      </c>
      <c r="AZ1115" s="315">
        <v>2.0905999999999998</v>
      </c>
      <c r="BA1115" s="315">
        <v>0</v>
      </c>
      <c r="BB1115" s="315">
        <v>0</v>
      </c>
      <c r="BC1115" s="315">
        <v>2.1482000000000001</v>
      </c>
      <c r="BD1115" s="315">
        <v>2.2629999999999999</v>
      </c>
      <c r="BE1115" s="315">
        <v>2.4291</v>
      </c>
      <c r="BF1115" s="315">
        <v>2.0718999999999999</v>
      </c>
      <c r="BG1115" s="315">
        <v>2.3001</v>
      </c>
      <c r="BH1115" s="315">
        <v>2.3313000000000001</v>
      </c>
      <c r="BI1115" s="315">
        <v>2.3942000000000001</v>
      </c>
      <c r="BJ1115" s="315">
        <v>2.0710999999999999</v>
      </c>
      <c r="BK1115" s="315">
        <v>2.2349000000000001</v>
      </c>
    </row>
    <row r="1116" spans="1:63" x14ac:dyDescent="0.25">
      <c r="A1116" s="306" t="s">
        <v>745</v>
      </c>
      <c r="B1116" s="315" t="s">
        <v>265</v>
      </c>
      <c r="C1116" s="315">
        <v>2.9903</v>
      </c>
      <c r="D1116" s="315">
        <v>1.4542999999999999</v>
      </c>
      <c r="E1116" s="315">
        <v>2.1524000000000001</v>
      </c>
      <c r="F1116" s="315">
        <v>1.9331</v>
      </c>
      <c r="G1116" s="315">
        <v>1.821</v>
      </c>
      <c r="H1116" s="315">
        <v>2.097</v>
      </c>
      <c r="I1116" s="315">
        <v>1.9750000000000001</v>
      </c>
      <c r="J1116" s="315">
        <v>1.9905999999999999</v>
      </c>
      <c r="K1116" s="315">
        <v>1.1923999999999999</v>
      </c>
      <c r="L1116" s="315">
        <v>1.8015000000000001</v>
      </c>
      <c r="M1116" s="315">
        <v>1.8317000000000001</v>
      </c>
      <c r="N1116" s="315">
        <v>2.1699000000000002</v>
      </c>
      <c r="O1116" s="315">
        <v>1.5468999999999999</v>
      </c>
      <c r="P1116" s="315">
        <v>1.7516</v>
      </c>
      <c r="Q1116" s="315">
        <v>1.5945</v>
      </c>
      <c r="R1116" s="315">
        <v>2.3092999999999999</v>
      </c>
      <c r="S1116" s="315">
        <v>2.1720000000000002</v>
      </c>
      <c r="T1116" s="315">
        <v>1.6997</v>
      </c>
      <c r="U1116" s="315">
        <v>2.1438999999999999</v>
      </c>
      <c r="V1116" s="315">
        <v>0</v>
      </c>
      <c r="W1116" s="315">
        <v>1.9970000000000001</v>
      </c>
      <c r="X1116" s="315">
        <v>1.7807999999999999</v>
      </c>
      <c r="Y1116" s="315">
        <v>0</v>
      </c>
      <c r="Z1116" s="315">
        <v>2.218</v>
      </c>
      <c r="AA1116" s="315">
        <v>2.0057</v>
      </c>
      <c r="AB1116" s="315">
        <v>2.1412</v>
      </c>
      <c r="AC1116" s="315">
        <v>1.9534</v>
      </c>
      <c r="AD1116" s="315">
        <v>1.5290999999999999</v>
      </c>
      <c r="AE1116" s="315">
        <v>2.0684</v>
      </c>
      <c r="AF1116" s="315">
        <v>0</v>
      </c>
      <c r="AG1116" s="315">
        <v>1.5327</v>
      </c>
      <c r="AH1116" s="315">
        <v>1.9208000000000001</v>
      </c>
      <c r="AI1116" s="315">
        <v>2.0823</v>
      </c>
      <c r="AJ1116" s="315">
        <v>1.5269999999999999</v>
      </c>
      <c r="AK1116" s="315">
        <v>1.6067</v>
      </c>
      <c r="AL1116" s="315">
        <v>1.7723</v>
      </c>
      <c r="AM1116" s="315">
        <v>2.3613</v>
      </c>
      <c r="AN1116" s="315">
        <v>1.875</v>
      </c>
      <c r="AO1116" s="315">
        <v>2.0283000000000002</v>
      </c>
      <c r="AP1116" s="315">
        <v>2.4102999999999999</v>
      </c>
      <c r="AQ1116" s="315">
        <v>0</v>
      </c>
      <c r="AR1116" s="315">
        <v>2.2019000000000002</v>
      </c>
      <c r="AS1116" s="315">
        <v>0</v>
      </c>
      <c r="AT1116" s="315">
        <v>2.2584</v>
      </c>
      <c r="AU1116" s="315">
        <v>2.3643000000000001</v>
      </c>
      <c r="AV1116" s="315">
        <v>2.0398000000000001</v>
      </c>
      <c r="AW1116" s="315">
        <v>2.0028999999999999</v>
      </c>
      <c r="AX1116" s="315">
        <v>1.6293</v>
      </c>
      <c r="AY1116" s="315">
        <v>1.9460999999999999</v>
      </c>
      <c r="AZ1116" s="315">
        <v>2.0243000000000002</v>
      </c>
      <c r="BA1116" s="315">
        <v>0</v>
      </c>
      <c r="BB1116" s="315">
        <v>1.429</v>
      </c>
      <c r="BC1116" s="315">
        <v>2.1680000000000001</v>
      </c>
      <c r="BD1116" s="315">
        <v>2.2675999999999998</v>
      </c>
      <c r="BE1116" s="315">
        <v>2.4632000000000001</v>
      </c>
      <c r="BF1116" s="315">
        <v>2.0556999999999999</v>
      </c>
      <c r="BG1116" s="315">
        <v>2.2759999999999998</v>
      </c>
      <c r="BH1116" s="315">
        <v>2.3651</v>
      </c>
      <c r="BI1116" s="315">
        <v>2.4272</v>
      </c>
      <c r="BJ1116" s="315">
        <v>1.9442999999999999</v>
      </c>
      <c r="BK1116" s="315">
        <v>2.1534</v>
      </c>
    </row>
    <row r="1117" spans="1:63" x14ac:dyDescent="0.25">
      <c r="A1117" s="306">
        <v>337212</v>
      </c>
      <c r="B1117" s="315" t="s">
        <v>268</v>
      </c>
      <c r="C1117" s="315">
        <v>2.7791999999999999</v>
      </c>
      <c r="D1117" s="315">
        <v>0</v>
      </c>
      <c r="E1117" s="315">
        <v>2.0430000000000001</v>
      </c>
      <c r="F1117" s="315">
        <v>1.8968</v>
      </c>
      <c r="G1117" s="315">
        <v>1.7694000000000001</v>
      </c>
      <c r="H1117" s="315">
        <v>2.0198</v>
      </c>
      <c r="I1117" s="315">
        <v>1.9641999999999999</v>
      </c>
      <c r="J1117" s="315">
        <v>1.8727</v>
      </c>
      <c r="K1117" s="315">
        <v>1.1788000000000001</v>
      </c>
      <c r="L1117" s="315">
        <v>1.7137</v>
      </c>
      <c r="M1117" s="315">
        <v>1.8185</v>
      </c>
      <c r="N1117" s="315">
        <v>2.1833</v>
      </c>
      <c r="O1117" s="315">
        <v>1.5968</v>
      </c>
      <c r="P1117" s="315">
        <v>1.6636</v>
      </c>
      <c r="Q1117" s="315">
        <v>1.6746000000000001</v>
      </c>
      <c r="R1117" s="315">
        <v>2.1646000000000001</v>
      </c>
      <c r="S1117" s="315">
        <v>2.0234999999999999</v>
      </c>
      <c r="T1117" s="315">
        <v>1.6375999999999999</v>
      </c>
      <c r="U1117" s="315">
        <v>2.0409000000000002</v>
      </c>
      <c r="V1117" s="315">
        <v>1.8406</v>
      </c>
      <c r="W1117" s="315">
        <v>1.9017999999999999</v>
      </c>
      <c r="X1117" s="315">
        <v>1.792</v>
      </c>
      <c r="Y1117" s="315">
        <v>1.8486</v>
      </c>
      <c r="Z1117" s="315">
        <v>2.1214</v>
      </c>
      <c r="AA1117" s="315">
        <v>1.9881</v>
      </c>
      <c r="AB1117" s="315">
        <v>1.9984999999999999</v>
      </c>
      <c r="AC1117" s="315">
        <v>1.9051</v>
      </c>
      <c r="AD1117" s="315">
        <v>1.6209</v>
      </c>
      <c r="AE1117" s="315">
        <v>2.0630999999999999</v>
      </c>
      <c r="AF1117" s="315">
        <v>1.4927999999999999</v>
      </c>
      <c r="AG1117" s="315">
        <v>1.5262</v>
      </c>
      <c r="AH1117" s="315">
        <v>1.8816999999999999</v>
      </c>
      <c r="AI1117" s="315">
        <v>1.9850000000000001</v>
      </c>
      <c r="AJ1117" s="315">
        <v>1.5341</v>
      </c>
      <c r="AK1117" s="315">
        <v>1.6733</v>
      </c>
      <c r="AL1117" s="315">
        <v>1.7289000000000001</v>
      </c>
      <c r="AM1117" s="315">
        <v>2.1570999999999998</v>
      </c>
      <c r="AN1117" s="315">
        <v>1.8325</v>
      </c>
      <c r="AO1117" s="315">
        <v>2.0270999999999999</v>
      </c>
      <c r="AP1117" s="315">
        <v>2.2555999999999998</v>
      </c>
      <c r="AQ1117" s="315">
        <v>1.8048999999999999</v>
      </c>
      <c r="AR1117" s="315">
        <v>2.0952999999999999</v>
      </c>
      <c r="AS1117" s="315">
        <v>1.5498000000000001</v>
      </c>
      <c r="AT1117" s="315">
        <v>2.1229</v>
      </c>
      <c r="AU1117" s="315">
        <v>2.1855000000000002</v>
      </c>
      <c r="AV1117" s="315">
        <v>2.0188999999999999</v>
      </c>
      <c r="AW1117" s="315">
        <v>2.0055000000000001</v>
      </c>
      <c r="AX1117" s="315">
        <v>1.6644000000000001</v>
      </c>
      <c r="AY1117" s="315">
        <v>1.9153</v>
      </c>
      <c r="AZ1117" s="315">
        <v>2.0270999999999999</v>
      </c>
      <c r="BA1117" s="315">
        <v>1.7676000000000001</v>
      </c>
      <c r="BB1117" s="315">
        <v>0</v>
      </c>
      <c r="BC1117" s="315">
        <v>2.081</v>
      </c>
      <c r="BD1117" s="315">
        <v>2.1494</v>
      </c>
      <c r="BE1117" s="315">
        <v>2.3018999999999998</v>
      </c>
      <c r="BF1117" s="315">
        <v>1.9847999999999999</v>
      </c>
      <c r="BG1117" s="315">
        <v>2.2290999999999999</v>
      </c>
      <c r="BH1117" s="315">
        <v>2.2418999999999998</v>
      </c>
      <c r="BI1117" s="315">
        <v>2.2551000000000001</v>
      </c>
      <c r="BJ1117" s="315">
        <v>1.9765999999999999</v>
      </c>
      <c r="BK1117" s="315">
        <v>2.1320000000000001</v>
      </c>
    </row>
    <row r="1118" spans="1:63" x14ac:dyDescent="0.25">
      <c r="A1118" s="306">
        <v>337215</v>
      </c>
      <c r="B1118" s="315" t="s">
        <v>269</v>
      </c>
      <c r="C1118" s="315">
        <v>3.1347999999999998</v>
      </c>
      <c r="D1118" s="315">
        <v>1.5354000000000001</v>
      </c>
      <c r="E1118" s="315">
        <v>2.2923</v>
      </c>
      <c r="F1118" s="315">
        <v>2.0859000000000001</v>
      </c>
      <c r="G1118" s="315">
        <v>1.8573</v>
      </c>
      <c r="H1118" s="315">
        <v>2.153</v>
      </c>
      <c r="I1118" s="315">
        <v>2.1107</v>
      </c>
      <c r="J1118" s="315">
        <v>1.9487000000000001</v>
      </c>
      <c r="K1118" s="315">
        <v>0</v>
      </c>
      <c r="L1118" s="315">
        <v>0</v>
      </c>
      <c r="M1118" s="315">
        <v>1.9209000000000001</v>
      </c>
      <c r="N1118" s="315">
        <v>2.3027000000000002</v>
      </c>
      <c r="O1118" s="315">
        <v>1.6467000000000001</v>
      </c>
      <c r="P1118" s="315">
        <v>1.7583</v>
      </c>
      <c r="Q1118" s="315">
        <v>1.7044999999999999</v>
      </c>
      <c r="R1118" s="315">
        <v>2.4344000000000001</v>
      </c>
      <c r="S1118" s="315">
        <v>2.2311999999999999</v>
      </c>
      <c r="T1118" s="315">
        <v>1.7181</v>
      </c>
      <c r="U1118" s="315">
        <v>2.2639999999999998</v>
      </c>
      <c r="V1118" s="315">
        <v>2.0308999999999999</v>
      </c>
      <c r="W1118" s="315">
        <v>1.9830000000000001</v>
      </c>
      <c r="X1118" s="315">
        <v>1.9543999999999999</v>
      </c>
      <c r="Y1118" s="315">
        <v>1.8908</v>
      </c>
      <c r="Z1118" s="315">
        <v>2.3534999999999999</v>
      </c>
      <c r="AA1118" s="315">
        <v>2.0962000000000001</v>
      </c>
      <c r="AB1118" s="315">
        <v>2.1236000000000002</v>
      </c>
      <c r="AC1118" s="315">
        <v>2.1103000000000001</v>
      </c>
      <c r="AD1118" s="315">
        <v>1.6691</v>
      </c>
      <c r="AE1118" s="315">
        <v>2.1808999999999998</v>
      </c>
      <c r="AF1118" s="315">
        <v>1.5417000000000001</v>
      </c>
      <c r="AG1118" s="315">
        <v>1.6355</v>
      </c>
      <c r="AH1118" s="315">
        <v>1.9417</v>
      </c>
      <c r="AI1118" s="315">
        <v>2.1105</v>
      </c>
      <c r="AJ1118" s="315">
        <v>1.5874999999999999</v>
      </c>
      <c r="AK1118" s="315">
        <v>1.7083999999999999</v>
      </c>
      <c r="AL1118" s="315">
        <v>1.8234999999999999</v>
      </c>
      <c r="AM1118" s="315">
        <v>2.4037000000000002</v>
      </c>
      <c r="AN1118" s="315">
        <v>2.0522</v>
      </c>
      <c r="AO1118" s="315">
        <v>2.2292999999999998</v>
      </c>
      <c r="AP1118" s="315">
        <v>2.5171999999999999</v>
      </c>
      <c r="AQ1118" s="315">
        <v>1.853</v>
      </c>
      <c r="AR1118" s="315">
        <v>2.3153000000000001</v>
      </c>
      <c r="AS1118" s="315">
        <v>1.5981000000000001</v>
      </c>
      <c r="AT1118" s="315">
        <v>2.3262999999999998</v>
      </c>
      <c r="AU1118" s="315">
        <v>2.4253999999999998</v>
      </c>
      <c r="AV1118" s="315">
        <v>2.2284999999999999</v>
      </c>
      <c r="AW1118" s="315">
        <v>2.1320000000000001</v>
      </c>
      <c r="AX1118" s="315">
        <v>1.7146999999999999</v>
      </c>
      <c r="AY1118" s="315">
        <v>2.0247000000000002</v>
      </c>
      <c r="AZ1118" s="315">
        <v>2.1200999999999999</v>
      </c>
      <c r="BA1118" s="315">
        <v>1.9419</v>
      </c>
      <c r="BB1118" s="315">
        <v>1.4806999999999999</v>
      </c>
      <c r="BC1118" s="315">
        <v>2.1682000000000001</v>
      </c>
      <c r="BD1118" s="315">
        <v>2.4015</v>
      </c>
      <c r="BE1118" s="315">
        <v>2.5642</v>
      </c>
      <c r="BF1118" s="315">
        <v>2.1084000000000001</v>
      </c>
      <c r="BG1118" s="315">
        <v>2.4108000000000001</v>
      </c>
      <c r="BH1118" s="315">
        <v>2.4939</v>
      </c>
      <c r="BI1118" s="315">
        <v>2.5512999999999999</v>
      </c>
      <c r="BJ1118" s="315">
        <v>2.0966</v>
      </c>
      <c r="BK1118" s="315">
        <v>2.2772999999999999</v>
      </c>
    </row>
    <row r="1119" spans="1:63" x14ac:dyDescent="0.25">
      <c r="A1119" s="306" t="s">
        <v>746</v>
      </c>
      <c r="B1119" s="315" t="s">
        <v>267</v>
      </c>
      <c r="C1119" s="315">
        <v>2.5087999999999999</v>
      </c>
      <c r="D1119" s="315">
        <v>0</v>
      </c>
      <c r="E1119" s="315">
        <v>0</v>
      </c>
      <c r="F1119" s="315">
        <v>1.8387</v>
      </c>
      <c r="G1119" s="315">
        <v>1.5829</v>
      </c>
      <c r="H1119" s="315">
        <v>1.7695000000000001</v>
      </c>
      <c r="I1119" s="315">
        <v>0</v>
      </c>
      <c r="J1119" s="315">
        <v>1.5722</v>
      </c>
      <c r="K1119" s="315">
        <v>0</v>
      </c>
      <c r="L1119" s="315">
        <v>0</v>
      </c>
      <c r="M1119" s="315">
        <v>1.6594</v>
      </c>
      <c r="N1119" s="315">
        <v>2.1076999999999999</v>
      </c>
      <c r="O1119" s="315">
        <v>1.4694</v>
      </c>
      <c r="P1119" s="315">
        <v>1.4388000000000001</v>
      </c>
      <c r="Q1119" s="315">
        <v>1.7298</v>
      </c>
      <c r="R1119" s="315">
        <v>1.7965</v>
      </c>
      <c r="S1119" s="315">
        <v>1.7198</v>
      </c>
      <c r="T1119" s="315">
        <v>1.4538</v>
      </c>
      <c r="U1119" s="315">
        <v>0</v>
      </c>
      <c r="V1119" s="315">
        <v>1.8821000000000001</v>
      </c>
      <c r="W1119" s="315">
        <v>1.6378999999999999</v>
      </c>
      <c r="X1119" s="315">
        <v>1.5690999999999999</v>
      </c>
      <c r="Y1119" s="315">
        <v>1.8523000000000001</v>
      </c>
      <c r="Z1119" s="315">
        <v>1.9563999999999999</v>
      </c>
      <c r="AA1119" s="315">
        <v>1.8532999999999999</v>
      </c>
      <c r="AB1119" s="315">
        <v>1.7261</v>
      </c>
      <c r="AC1119" s="315">
        <v>0</v>
      </c>
      <c r="AD1119" s="315">
        <v>1.7193000000000001</v>
      </c>
      <c r="AE1119" s="315">
        <v>1.9717</v>
      </c>
      <c r="AF1119" s="315">
        <v>0</v>
      </c>
      <c r="AG1119" s="315">
        <v>1.3818999999999999</v>
      </c>
      <c r="AH1119" s="315">
        <v>0</v>
      </c>
      <c r="AI1119" s="315">
        <v>1.7221</v>
      </c>
      <c r="AJ1119" s="315">
        <v>1.4301999999999999</v>
      </c>
      <c r="AK1119" s="315">
        <v>1.6287</v>
      </c>
      <c r="AL1119" s="315">
        <v>1.5285</v>
      </c>
      <c r="AM1119" s="315">
        <v>1.802</v>
      </c>
      <c r="AN1119" s="315">
        <v>1.6664000000000001</v>
      </c>
      <c r="AO1119" s="315">
        <v>1.9839</v>
      </c>
      <c r="AP1119" s="315">
        <v>2.0125000000000002</v>
      </c>
      <c r="AQ1119" s="315">
        <v>0</v>
      </c>
      <c r="AR1119" s="315">
        <v>1.9858</v>
      </c>
      <c r="AS1119" s="315">
        <v>0</v>
      </c>
      <c r="AT1119" s="315">
        <v>1.8633999999999999</v>
      </c>
      <c r="AU1119" s="315">
        <v>2.0474999999999999</v>
      </c>
      <c r="AV1119" s="315">
        <v>1.7573000000000001</v>
      </c>
      <c r="AW1119" s="315">
        <v>1.9431</v>
      </c>
      <c r="AX1119" s="315">
        <v>0</v>
      </c>
      <c r="AY1119" s="315">
        <v>1.7743</v>
      </c>
      <c r="AZ1119" s="315">
        <v>1.9396</v>
      </c>
      <c r="BA1119" s="315">
        <v>0</v>
      </c>
      <c r="BB1119" s="315">
        <v>1.3549</v>
      </c>
      <c r="BC1119" s="315">
        <v>1.8322000000000001</v>
      </c>
      <c r="BD1119" s="315">
        <v>1.8277000000000001</v>
      </c>
      <c r="BE1119" s="315">
        <v>2.0217999999999998</v>
      </c>
      <c r="BF1119" s="315">
        <v>1.8277000000000001</v>
      </c>
      <c r="BG1119" s="315">
        <v>2.1227</v>
      </c>
      <c r="BH1119" s="315">
        <v>2.0903</v>
      </c>
      <c r="BI1119" s="315">
        <v>2.1551999999999998</v>
      </c>
      <c r="BJ1119" s="315">
        <v>1.9005000000000001</v>
      </c>
      <c r="BK1119" s="315">
        <v>2.0225</v>
      </c>
    </row>
    <row r="1120" spans="1:63" x14ac:dyDescent="0.25">
      <c r="A1120" s="306">
        <v>337910</v>
      </c>
      <c r="B1120" s="315" t="s">
        <v>270</v>
      </c>
      <c r="C1120" s="315">
        <v>3.0552000000000001</v>
      </c>
      <c r="D1120" s="315">
        <v>0</v>
      </c>
      <c r="E1120" s="315">
        <v>2.0710999999999999</v>
      </c>
      <c r="F1120" s="315">
        <v>1.9827999999999999</v>
      </c>
      <c r="G1120" s="315">
        <v>1.8167</v>
      </c>
      <c r="H1120" s="315">
        <v>2.1625999999999999</v>
      </c>
      <c r="I1120" s="315">
        <v>2.0185</v>
      </c>
      <c r="J1120" s="315">
        <v>2.1499000000000001</v>
      </c>
      <c r="K1120" s="315">
        <v>0</v>
      </c>
      <c r="L1120" s="315">
        <v>0</v>
      </c>
      <c r="M1120" s="315">
        <v>1.8493999999999999</v>
      </c>
      <c r="N1120" s="315">
        <v>2.2383999999999999</v>
      </c>
      <c r="O1120" s="315">
        <v>1.5461</v>
      </c>
      <c r="P1120" s="315">
        <v>1.7915000000000001</v>
      </c>
      <c r="Q1120" s="315">
        <v>1.4849000000000001</v>
      </c>
      <c r="R1120" s="315">
        <v>2.4216000000000002</v>
      </c>
      <c r="S1120" s="315">
        <v>2.2168999999999999</v>
      </c>
      <c r="T1120" s="315">
        <v>1.708</v>
      </c>
      <c r="U1120" s="315">
        <v>2.2523</v>
      </c>
      <c r="V1120" s="315">
        <v>1.7396</v>
      </c>
      <c r="W1120" s="315">
        <v>2.0754000000000001</v>
      </c>
      <c r="X1120" s="315">
        <v>1.9630000000000001</v>
      </c>
      <c r="Y1120" s="315">
        <v>1.9669000000000001</v>
      </c>
      <c r="Z1120" s="315">
        <v>2.2221000000000002</v>
      </c>
      <c r="AA1120" s="315">
        <v>2.0924999999999998</v>
      </c>
      <c r="AB1120" s="315">
        <v>2.2164000000000001</v>
      </c>
      <c r="AC1120" s="315">
        <v>2.0409000000000002</v>
      </c>
      <c r="AD1120" s="315">
        <v>1.4581</v>
      </c>
      <c r="AE1120" s="315">
        <v>2.2004000000000001</v>
      </c>
      <c r="AF1120" s="315">
        <v>1.4375</v>
      </c>
      <c r="AG1120" s="315">
        <v>1.5087999999999999</v>
      </c>
      <c r="AH1120" s="315">
        <v>2.0594000000000001</v>
      </c>
      <c r="AI1120" s="315">
        <v>2.1953999999999998</v>
      </c>
      <c r="AJ1120" s="315">
        <v>1.657</v>
      </c>
      <c r="AK1120" s="315">
        <v>1.6629</v>
      </c>
      <c r="AL1120" s="315">
        <v>1.7644</v>
      </c>
      <c r="AM1120" s="315">
        <v>2.4016999999999999</v>
      </c>
      <c r="AN1120" s="315">
        <v>1.9643999999999999</v>
      </c>
      <c r="AO1120" s="315">
        <v>2.0613000000000001</v>
      </c>
      <c r="AP1120" s="315">
        <v>2.4462999999999999</v>
      </c>
      <c r="AQ1120" s="315">
        <v>0</v>
      </c>
      <c r="AR1120" s="315">
        <v>2.3319999999999999</v>
      </c>
      <c r="AS1120" s="315">
        <v>0</v>
      </c>
      <c r="AT1120" s="315">
        <v>2.3479999999999999</v>
      </c>
      <c r="AU1120" s="315">
        <v>2.4380000000000002</v>
      </c>
      <c r="AV1120" s="315">
        <v>1.9473</v>
      </c>
      <c r="AW1120" s="315">
        <v>2.0419999999999998</v>
      </c>
      <c r="AX1120" s="315">
        <v>0</v>
      </c>
      <c r="AY1120" s="315">
        <v>2.0301999999999998</v>
      </c>
      <c r="AZ1120" s="315">
        <v>2.2315999999999998</v>
      </c>
      <c r="BA1120" s="315">
        <v>1.8327</v>
      </c>
      <c r="BB1120" s="315">
        <v>0</v>
      </c>
      <c r="BC1120" s="315">
        <v>2.3483999999999998</v>
      </c>
      <c r="BD1120" s="315">
        <v>2.3460999999999999</v>
      </c>
      <c r="BE1120" s="315">
        <v>2.5142000000000002</v>
      </c>
      <c r="BF1120" s="315">
        <v>2.0954999999999999</v>
      </c>
      <c r="BG1120" s="315">
        <v>2.3551000000000002</v>
      </c>
      <c r="BH1120" s="315">
        <v>2.4598</v>
      </c>
      <c r="BI1120" s="315">
        <v>2.4418000000000002</v>
      </c>
      <c r="BJ1120" s="315">
        <v>1.9224000000000001</v>
      </c>
      <c r="BK1120" s="315">
        <v>2.1936</v>
      </c>
    </row>
    <row r="1121" spans="1:63" x14ac:dyDescent="0.25">
      <c r="A1121" s="306">
        <v>337920</v>
      </c>
      <c r="B1121" s="315" t="s">
        <v>271</v>
      </c>
      <c r="C1121" s="315">
        <v>3.1400999999999999</v>
      </c>
      <c r="D1121" s="315">
        <v>1.4650000000000001</v>
      </c>
      <c r="E1121" s="315">
        <v>2.0825</v>
      </c>
      <c r="F1121" s="315">
        <v>0</v>
      </c>
      <c r="G1121" s="315">
        <v>1.9923</v>
      </c>
      <c r="H1121" s="315">
        <v>2.2219000000000002</v>
      </c>
      <c r="I1121" s="315">
        <v>2.0167999999999999</v>
      </c>
      <c r="J1121" s="315">
        <v>2.1395</v>
      </c>
      <c r="K1121" s="315">
        <v>0</v>
      </c>
      <c r="L1121" s="315">
        <v>1.758</v>
      </c>
      <c r="M1121" s="315">
        <v>1.9120999999999999</v>
      </c>
      <c r="N1121" s="315">
        <v>2.4180000000000001</v>
      </c>
      <c r="O1121" s="315">
        <v>1.607</v>
      </c>
      <c r="P1121" s="315">
        <v>1.7774000000000001</v>
      </c>
      <c r="Q1121" s="315">
        <v>0</v>
      </c>
      <c r="R1121" s="315">
        <v>2.3733</v>
      </c>
      <c r="S1121" s="315">
        <v>2.3247</v>
      </c>
      <c r="T1121" s="315">
        <v>1.7093</v>
      </c>
      <c r="U1121" s="315">
        <v>2.1818</v>
      </c>
      <c r="V1121" s="315">
        <v>1.8814</v>
      </c>
      <c r="W1121" s="315">
        <v>2.1827000000000001</v>
      </c>
      <c r="X1121" s="315">
        <v>1.8444</v>
      </c>
      <c r="Y1121" s="315">
        <v>0</v>
      </c>
      <c r="Z1121" s="315">
        <v>2.2884000000000002</v>
      </c>
      <c r="AA1121" s="315">
        <v>2.1476000000000002</v>
      </c>
      <c r="AB1121" s="315">
        <v>2.3473000000000002</v>
      </c>
      <c r="AC1121" s="315">
        <v>1.9381999999999999</v>
      </c>
      <c r="AD1121" s="315">
        <v>0</v>
      </c>
      <c r="AE1121" s="315">
        <v>2.2244999999999999</v>
      </c>
      <c r="AF1121" s="315">
        <v>1.4536</v>
      </c>
      <c r="AG1121" s="315">
        <v>1.5450999999999999</v>
      </c>
      <c r="AH1121" s="315">
        <v>2.1408</v>
      </c>
      <c r="AI1121" s="315">
        <v>2.2839999999999998</v>
      </c>
      <c r="AJ1121" s="315">
        <v>1.5761000000000001</v>
      </c>
      <c r="AK1121" s="315">
        <v>1.7843</v>
      </c>
      <c r="AL1121" s="315">
        <v>1.8932</v>
      </c>
      <c r="AM1121" s="315">
        <v>2.5225</v>
      </c>
      <c r="AN1121" s="315">
        <v>1.9140999999999999</v>
      </c>
      <c r="AO1121" s="315">
        <v>2.0346000000000002</v>
      </c>
      <c r="AP1121" s="315">
        <v>2.5146000000000002</v>
      </c>
      <c r="AQ1121" s="315">
        <v>2.0179</v>
      </c>
      <c r="AR1121" s="315">
        <v>2.3382000000000001</v>
      </c>
      <c r="AS1121" s="315">
        <v>1.6675</v>
      </c>
      <c r="AT1121" s="315">
        <v>2.4556</v>
      </c>
      <c r="AU1121" s="315">
        <v>2.4045999999999998</v>
      </c>
      <c r="AV1121" s="315">
        <v>2.0863999999999998</v>
      </c>
      <c r="AW1121" s="315">
        <v>2.1629999999999998</v>
      </c>
      <c r="AX1121" s="315">
        <v>1.6111</v>
      </c>
      <c r="AY1121" s="315">
        <v>2.0665</v>
      </c>
      <c r="AZ1121" s="315">
        <v>2.1766000000000001</v>
      </c>
      <c r="BA1121" s="315">
        <v>0</v>
      </c>
      <c r="BB1121" s="315">
        <v>0</v>
      </c>
      <c r="BC1121" s="315">
        <v>2.3393999999999999</v>
      </c>
      <c r="BD1121" s="315">
        <v>2.4152</v>
      </c>
      <c r="BE1121" s="315">
        <v>2.6393</v>
      </c>
      <c r="BF1121" s="315">
        <v>2.2565</v>
      </c>
      <c r="BG1121" s="315">
        <v>2.4906999999999999</v>
      </c>
      <c r="BH1121" s="315">
        <v>2.5042</v>
      </c>
      <c r="BI1121" s="315">
        <v>2.4426999999999999</v>
      </c>
      <c r="BJ1121" s="315">
        <v>2.0489999999999999</v>
      </c>
      <c r="BK1121" s="315">
        <v>2.2471000000000001</v>
      </c>
    </row>
    <row r="1122" spans="1:63" x14ac:dyDescent="0.25">
      <c r="A1122" s="306">
        <v>339112</v>
      </c>
      <c r="B1122" s="315" t="s">
        <v>747</v>
      </c>
      <c r="C1122" s="315">
        <v>2.6981000000000002</v>
      </c>
      <c r="D1122" s="315">
        <v>1.4624999999999999</v>
      </c>
      <c r="E1122" s="315">
        <v>1.8769</v>
      </c>
      <c r="F1122" s="315">
        <v>1.7558</v>
      </c>
      <c r="G1122" s="315">
        <v>1.8131999999999999</v>
      </c>
      <c r="H1122" s="315">
        <v>2.1254</v>
      </c>
      <c r="I1122" s="315">
        <v>2.0373999999999999</v>
      </c>
      <c r="J1122" s="315">
        <v>1.9294</v>
      </c>
      <c r="K1122" s="315">
        <v>0</v>
      </c>
      <c r="L1122" s="315">
        <v>0</v>
      </c>
      <c r="M1122" s="315">
        <v>1.9234</v>
      </c>
      <c r="N1122" s="315">
        <v>2.0916000000000001</v>
      </c>
      <c r="O1122" s="315">
        <v>0</v>
      </c>
      <c r="P1122" s="315">
        <v>1.5983000000000001</v>
      </c>
      <c r="Q1122" s="315">
        <v>1.5607</v>
      </c>
      <c r="R1122" s="315">
        <v>2.2336</v>
      </c>
      <c r="S1122" s="315">
        <v>1.9883999999999999</v>
      </c>
      <c r="T1122" s="315">
        <v>1.6357999999999999</v>
      </c>
      <c r="U1122" s="315">
        <v>1.9021999999999999</v>
      </c>
      <c r="V1122" s="315">
        <v>1.7484999999999999</v>
      </c>
      <c r="W1122" s="315">
        <v>2.0413000000000001</v>
      </c>
      <c r="X1122" s="315">
        <v>1.7786</v>
      </c>
      <c r="Y1122" s="315">
        <v>1.7858000000000001</v>
      </c>
      <c r="Z1122" s="315">
        <v>2.0232000000000001</v>
      </c>
      <c r="AA1122" s="315">
        <v>2.0369999999999999</v>
      </c>
      <c r="AB1122" s="315">
        <v>2.0091999999999999</v>
      </c>
      <c r="AC1122" s="315">
        <v>1.6962999999999999</v>
      </c>
      <c r="AD1122" s="315">
        <v>1.5308999999999999</v>
      </c>
      <c r="AE1122" s="315">
        <v>1.9772000000000001</v>
      </c>
      <c r="AF1122" s="315">
        <v>1.4498</v>
      </c>
      <c r="AG1122" s="315">
        <v>1.6214999999999999</v>
      </c>
      <c r="AH1122" s="315">
        <v>1.9056999999999999</v>
      </c>
      <c r="AI1122" s="315">
        <v>2.0960999999999999</v>
      </c>
      <c r="AJ1122" s="315">
        <v>0</v>
      </c>
      <c r="AK1122" s="315">
        <v>1.6689000000000001</v>
      </c>
      <c r="AL1122" s="315">
        <v>1.8098000000000001</v>
      </c>
      <c r="AM1122" s="315">
        <v>2.1238000000000001</v>
      </c>
      <c r="AN1122" s="315">
        <v>1.7705</v>
      </c>
      <c r="AO1122" s="315">
        <v>1.8743000000000001</v>
      </c>
      <c r="AP1122" s="315">
        <v>2.2094</v>
      </c>
      <c r="AQ1122" s="315">
        <v>1.9145000000000001</v>
      </c>
      <c r="AR1122" s="315">
        <v>1.9938</v>
      </c>
      <c r="AS1122" s="315">
        <v>1.5182</v>
      </c>
      <c r="AT1122" s="315">
        <v>2.0528</v>
      </c>
      <c r="AU1122" s="315">
        <v>2.0992999999999999</v>
      </c>
      <c r="AV1122" s="315">
        <v>2.0501999999999998</v>
      </c>
      <c r="AW1122" s="315">
        <v>1.8805000000000001</v>
      </c>
      <c r="AX1122" s="315">
        <v>1.6847000000000001</v>
      </c>
      <c r="AY1122" s="315">
        <v>1.8599000000000001</v>
      </c>
      <c r="AZ1122" s="315">
        <v>1.9241999999999999</v>
      </c>
      <c r="BA1122" s="315">
        <v>0</v>
      </c>
      <c r="BB1122" s="315">
        <v>0</v>
      </c>
      <c r="BC1122" s="315">
        <v>2.1597</v>
      </c>
      <c r="BD1122" s="315">
        <v>2.1976</v>
      </c>
      <c r="BE1122" s="315">
        <v>2.2728000000000002</v>
      </c>
      <c r="BF1122" s="315">
        <v>2.0066999999999999</v>
      </c>
      <c r="BG1122" s="315">
        <v>2.1448999999999998</v>
      </c>
      <c r="BH1122" s="315">
        <v>2.0638999999999998</v>
      </c>
      <c r="BI1122" s="315">
        <v>2.1011000000000002</v>
      </c>
      <c r="BJ1122" s="315">
        <v>1.992</v>
      </c>
      <c r="BK1122" s="315">
        <v>2.1448999999999998</v>
      </c>
    </row>
    <row r="1123" spans="1:63" x14ac:dyDescent="0.25">
      <c r="A1123" s="306">
        <v>339114</v>
      </c>
      <c r="B1123" s="315" t="s">
        <v>272</v>
      </c>
      <c r="C1123" s="315">
        <v>2.7456999999999998</v>
      </c>
      <c r="D1123" s="315">
        <v>0</v>
      </c>
      <c r="E1123" s="315">
        <v>1.9581</v>
      </c>
      <c r="F1123" s="315">
        <v>1.7905</v>
      </c>
      <c r="G1123" s="315">
        <v>1.8814</v>
      </c>
      <c r="H1123" s="315">
        <v>2.1252</v>
      </c>
      <c r="I1123" s="315">
        <v>2.0665</v>
      </c>
      <c r="J1123" s="315">
        <v>1.9188000000000001</v>
      </c>
      <c r="K1123" s="315">
        <v>0</v>
      </c>
      <c r="L1123" s="315">
        <v>1.6744000000000001</v>
      </c>
      <c r="M1123" s="315">
        <v>1.9392</v>
      </c>
      <c r="N1123" s="315">
        <v>2.1059000000000001</v>
      </c>
      <c r="O1123" s="315">
        <v>0</v>
      </c>
      <c r="P1123" s="315">
        <v>0</v>
      </c>
      <c r="Q1123" s="315">
        <v>1.6160000000000001</v>
      </c>
      <c r="R1123" s="315">
        <v>2.2179000000000002</v>
      </c>
      <c r="S1123" s="315">
        <v>1.9738</v>
      </c>
      <c r="T1123" s="315">
        <v>1.6995</v>
      </c>
      <c r="U1123" s="315">
        <v>1.9581</v>
      </c>
      <c r="V1123" s="315">
        <v>0</v>
      </c>
      <c r="W1123" s="315">
        <v>1.9636</v>
      </c>
      <c r="X1123" s="315">
        <v>1.8346</v>
      </c>
      <c r="Y1123" s="315">
        <v>0</v>
      </c>
      <c r="Z1123" s="315">
        <v>2.0444</v>
      </c>
      <c r="AA1123" s="315">
        <v>2.0005000000000002</v>
      </c>
      <c r="AB1123" s="315">
        <v>2.0737000000000001</v>
      </c>
      <c r="AC1123" s="315">
        <v>1.6628000000000001</v>
      </c>
      <c r="AD1123" s="315">
        <v>1.5958000000000001</v>
      </c>
      <c r="AE1123" s="315">
        <v>1.9245000000000001</v>
      </c>
      <c r="AF1123" s="315">
        <v>1.4999</v>
      </c>
      <c r="AG1123" s="315">
        <v>0</v>
      </c>
      <c r="AH1123" s="315">
        <v>0</v>
      </c>
      <c r="AI1123" s="315">
        <v>2.0629</v>
      </c>
      <c r="AJ1123" s="315">
        <v>1.6704000000000001</v>
      </c>
      <c r="AK1123" s="315">
        <v>1.7826</v>
      </c>
      <c r="AL1123" s="315">
        <v>1.8412999999999999</v>
      </c>
      <c r="AM1123" s="315">
        <v>2.1766000000000001</v>
      </c>
      <c r="AN1123" s="315">
        <v>1.8360000000000001</v>
      </c>
      <c r="AO1123" s="315">
        <v>1.9854000000000001</v>
      </c>
      <c r="AP1123" s="315">
        <v>2.2206999999999999</v>
      </c>
      <c r="AQ1123" s="315">
        <v>1.8448</v>
      </c>
      <c r="AR1123" s="315">
        <v>1.9459</v>
      </c>
      <c r="AS1123" s="315">
        <v>1.5666</v>
      </c>
      <c r="AT1123" s="315">
        <v>2.1040000000000001</v>
      </c>
      <c r="AU1123" s="315">
        <v>2.1886000000000001</v>
      </c>
      <c r="AV1123" s="315">
        <v>2.1412</v>
      </c>
      <c r="AW1123" s="315">
        <v>0</v>
      </c>
      <c r="AX1123" s="315">
        <v>0</v>
      </c>
      <c r="AY1123" s="315">
        <v>1.9629000000000001</v>
      </c>
      <c r="AZ1123" s="315">
        <v>1.9473</v>
      </c>
      <c r="BA1123" s="315">
        <v>0</v>
      </c>
      <c r="BB1123" s="315">
        <v>0</v>
      </c>
      <c r="BC1123" s="315">
        <v>2.1059999999999999</v>
      </c>
      <c r="BD1123" s="315">
        <v>2.2025000000000001</v>
      </c>
      <c r="BE1123" s="315">
        <v>2.2890999999999999</v>
      </c>
      <c r="BF1123" s="315">
        <v>2.0253999999999999</v>
      </c>
      <c r="BG1123" s="315">
        <v>2.1756000000000002</v>
      </c>
      <c r="BH1123" s="315">
        <v>2.1248999999999998</v>
      </c>
      <c r="BI1123" s="315">
        <v>2.1926000000000001</v>
      </c>
      <c r="BJ1123" s="315">
        <v>2.0987</v>
      </c>
      <c r="BK1123" s="315">
        <v>2.1842000000000001</v>
      </c>
    </row>
    <row r="1124" spans="1:63" x14ac:dyDescent="0.25">
      <c r="A1124" s="306">
        <v>339115</v>
      </c>
      <c r="B1124" s="315" t="s">
        <v>273</v>
      </c>
      <c r="C1124" s="315">
        <v>2.5558000000000001</v>
      </c>
      <c r="D1124" s="315">
        <v>0</v>
      </c>
      <c r="E1124" s="315">
        <v>1.7987</v>
      </c>
      <c r="F1124" s="315">
        <v>1.72</v>
      </c>
      <c r="G1124" s="315">
        <v>1.7383999999999999</v>
      </c>
      <c r="H1124" s="315">
        <v>2.0291000000000001</v>
      </c>
      <c r="I1124" s="315">
        <v>1.9644999999999999</v>
      </c>
      <c r="J1124" s="315">
        <v>1.857</v>
      </c>
      <c r="K1124" s="315">
        <v>0</v>
      </c>
      <c r="L1124" s="315">
        <v>0</v>
      </c>
      <c r="M1124" s="315">
        <v>1.8594999999999999</v>
      </c>
      <c r="N1124" s="315">
        <v>1.9891000000000001</v>
      </c>
      <c r="O1124" s="315">
        <v>1.5778000000000001</v>
      </c>
      <c r="P1124" s="315">
        <v>1.5510999999999999</v>
      </c>
      <c r="Q1124" s="315">
        <v>1.5241</v>
      </c>
      <c r="R1124" s="315">
        <v>2.1248999999999998</v>
      </c>
      <c r="S1124" s="315">
        <v>1.9371</v>
      </c>
      <c r="T1124" s="315">
        <v>1.5826</v>
      </c>
      <c r="U1124" s="315">
        <v>1.8311999999999999</v>
      </c>
      <c r="V1124" s="315">
        <v>1.6931</v>
      </c>
      <c r="W1124" s="315">
        <v>1.9502999999999999</v>
      </c>
      <c r="X1124" s="315">
        <v>1.6915</v>
      </c>
      <c r="Y1124" s="315">
        <v>1.7181999999999999</v>
      </c>
      <c r="Z1124" s="315">
        <v>1.9374</v>
      </c>
      <c r="AA1124" s="315">
        <v>1.9579</v>
      </c>
      <c r="AB1124" s="315">
        <v>1.9419</v>
      </c>
      <c r="AC1124" s="315">
        <v>1.6425000000000001</v>
      </c>
      <c r="AD1124" s="315">
        <v>1.4976</v>
      </c>
      <c r="AE1124" s="315">
        <v>1.8938999999999999</v>
      </c>
      <c r="AF1124" s="315">
        <v>0</v>
      </c>
      <c r="AG1124" s="315">
        <v>1.6033999999999999</v>
      </c>
      <c r="AH1124" s="315">
        <v>1.8307</v>
      </c>
      <c r="AI1124" s="315">
        <v>1.9895</v>
      </c>
      <c r="AJ1124" s="315">
        <v>1.5192000000000001</v>
      </c>
      <c r="AK1124" s="315">
        <v>1.6047</v>
      </c>
      <c r="AL1124" s="315">
        <v>1.726</v>
      </c>
      <c r="AM1124" s="315">
        <v>2.0320999999999998</v>
      </c>
      <c r="AN1124" s="315">
        <v>1.6907000000000001</v>
      </c>
      <c r="AO1124" s="315">
        <v>1.8004</v>
      </c>
      <c r="AP1124" s="315">
        <v>2.109</v>
      </c>
      <c r="AQ1124" s="315">
        <v>1.841</v>
      </c>
      <c r="AR1124" s="315">
        <v>1.9224000000000001</v>
      </c>
      <c r="AS1124" s="315">
        <v>1.484</v>
      </c>
      <c r="AT1124" s="315">
        <v>1.9588000000000001</v>
      </c>
      <c r="AU1124" s="315">
        <v>1.9952000000000001</v>
      </c>
      <c r="AV1124" s="315">
        <v>1.9778</v>
      </c>
      <c r="AW1124" s="315">
        <v>1.7918000000000001</v>
      </c>
      <c r="AX1124" s="315">
        <v>1.6462000000000001</v>
      </c>
      <c r="AY1124" s="315">
        <v>1.7890999999999999</v>
      </c>
      <c r="AZ1124" s="315">
        <v>1.8585</v>
      </c>
      <c r="BA1124" s="315">
        <v>1.6042000000000001</v>
      </c>
      <c r="BB1124" s="315">
        <v>1.3906000000000001</v>
      </c>
      <c r="BC1124" s="315">
        <v>2.0629</v>
      </c>
      <c r="BD1124" s="315">
        <v>2.0853999999999999</v>
      </c>
      <c r="BE1124" s="315">
        <v>2.1762999999999999</v>
      </c>
      <c r="BF1124" s="315">
        <v>1.9441999999999999</v>
      </c>
      <c r="BG1124" s="315">
        <v>2.0442</v>
      </c>
      <c r="BH1124" s="315">
        <v>1.9617</v>
      </c>
      <c r="BI1124" s="315">
        <v>1.9998</v>
      </c>
      <c r="BJ1124" s="315">
        <v>1.9265000000000001</v>
      </c>
      <c r="BK1124" s="315">
        <v>2.0499999999999998</v>
      </c>
    </row>
    <row r="1125" spans="1:63" x14ac:dyDescent="0.25">
      <c r="A1125" s="306">
        <v>339116</v>
      </c>
      <c r="B1125" s="315" t="s">
        <v>748</v>
      </c>
      <c r="C1125" s="315">
        <v>2.9855</v>
      </c>
      <c r="D1125" s="315">
        <v>1.6586000000000001</v>
      </c>
      <c r="E1125" s="315">
        <v>2.0099999999999998</v>
      </c>
      <c r="F1125" s="315">
        <v>1.9218999999999999</v>
      </c>
      <c r="G1125" s="315">
        <v>2.0411000000000001</v>
      </c>
      <c r="H1125" s="315">
        <v>2.3902000000000001</v>
      </c>
      <c r="I1125" s="315">
        <v>2.3662000000000001</v>
      </c>
      <c r="J1125" s="315">
        <v>2.1171000000000002</v>
      </c>
      <c r="K1125" s="315">
        <v>1.2471000000000001</v>
      </c>
      <c r="L1125" s="315">
        <v>1.9155</v>
      </c>
      <c r="M1125" s="315">
        <v>2.1903000000000001</v>
      </c>
      <c r="N1125" s="315">
        <v>2.2562000000000002</v>
      </c>
      <c r="O1125" s="315">
        <v>1.9206000000000001</v>
      </c>
      <c r="P1125" s="315">
        <v>1.6939</v>
      </c>
      <c r="Q1125" s="315">
        <v>1.7437</v>
      </c>
      <c r="R1125" s="315">
        <v>2.4561000000000002</v>
      </c>
      <c r="S1125" s="315">
        <v>2.0950000000000002</v>
      </c>
      <c r="T1125" s="315">
        <v>1.7786</v>
      </c>
      <c r="U1125" s="315">
        <v>2.1343999999999999</v>
      </c>
      <c r="V1125" s="315">
        <v>1.9448000000000001</v>
      </c>
      <c r="W1125" s="315">
        <v>2.1920999999999999</v>
      </c>
      <c r="X1125" s="315">
        <v>1.966</v>
      </c>
      <c r="Y1125" s="315">
        <v>1.9478</v>
      </c>
      <c r="Z1125" s="315">
        <v>2.2635000000000001</v>
      </c>
      <c r="AA1125" s="315">
        <v>2.2477999999999998</v>
      </c>
      <c r="AB1125" s="315">
        <v>2.2198000000000002</v>
      </c>
      <c r="AC1125" s="315">
        <v>1.8017000000000001</v>
      </c>
      <c r="AD1125" s="315">
        <v>1.823</v>
      </c>
      <c r="AE1125" s="315">
        <v>2.1179999999999999</v>
      </c>
      <c r="AF1125" s="315">
        <v>1.6357999999999999</v>
      </c>
      <c r="AG1125" s="315">
        <v>1.7151000000000001</v>
      </c>
      <c r="AH1125" s="315">
        <v>1.952</v>
      </c>
      <c r="AI1125" s="315">
        <v>2.2970000000000002</v>
      </c>
      <c r="AJ1125" s="315">
        <v>1.7884</v>
      </c>
      <c r="AK1125" s="315">
        <v>1.9097999999999999</v>
      </c>
      <c r="AL1125" s="315">
        <v>2.0554999999999999</v>
      </c>
      <c r="AM1125" s="315">
        <v>2.2806000000000002</v>
      </c>
      <c r="AN1125" s="315">
        <v>1.9995000000000001</v>
      </c>
      <c r="AO1125" s="315">
        <v>2.1743000000000001</v>
      </c>
      <c r="AP1125" s="315">
        <v>2.4024999999999999</v>
      </c>
      <c r="AQ1125" s="315">
        <v>1.9904999999999999</v>
      </c>
      <c r="AR1125" s="315">
        <v>2.0350999999999999</v>
      </c>
      <c r="AS1125" s="315">
        <v>1.6552</v>
      </c>
      <c r="AT1125" s="315">
        <v>2.2545000000000002</v>
      </c>
      <c r="AU1125" s="315">
        <v>2.3018000000000001</v>
      </c>
      <c r="AV1125" s="315">
        <v>2.371</v>
      </c>
      <c r="AW1125" s="315">
        <v>2.0897999999999999</v>
      </c>
      <c r="AX1125" s="315">
        <v>1.7462</v>
      </c>
      <c r="AY1125" s="315">
        <v>2.1179999999999999</v>
      </c>
      <c r="AZ1125" s="315">
        <v>2.1631999999999998</v>
      </c>
      <c r="BA1125" s="315">
        <v>1.7217</v>
      </c>
      <c r="BB1125" s="315">
        <v>1.5798000000000001</v>
      </c>
      <c r="BC1125" s="315">
        <v>2.3315999999999999</v>
      </c>
      <c r="BD1125" s="315">
        <v>2.4491999999999998</v>
      </c>
      <c r="BE1125" s="315">
        <v>2.4901</v>
      </c>
      <c r="BF1125" s="315">
        <v>2.169</v>
      </c>
      <c r="BG1125" s="315">
        <v>2.3786999999999998</v>
      </c>
      <c r="BH1125" s="315">
        <v>2.2378</v>
      </c>
      <c r="BI1125" s="315">
        <v>2.3140999999999998</v>
      </c>
      <c r="BJ1125" s="315">
        <v>2.3239999999999998</v>
      </c>
      <c r="BK1125" s="315">
        <v>2.4241000000000001</v>
      </c>
    </row>
    <row r="1126" spans="1:63" x14ac:dyDescent="0.25">
      <c r="A1126" s="306" t="s">
        <v>749</v>
      </c>
      <c r="B1126" s="315" t="s">
        <v>750</v>
      </c>
      <c r="C1126" s="315">
        <v>2.7404999999999999</v>
      </c>
      <c r="D1126" s="315">
        <v>1.4581</v>
      </c>
      <c r="E1126" s="315">
        <v>1.9198999999999999</v>
      </c>
      <c r="F1126" s="315">
        <v>1.7519</v>
      </c>
      <c r="G1126" s="315">
        <v>1.8243</v>
      </c>
      <c r="H1126" s="315">
        <v>2.1229</v>
      </c>
      <c r="I1126" s="315">
        <v>2.0081000000000002</v>
      </c>
      <c r="J1126" s="315">
        <v>1.9048</v>
      </c>
      <c r="K1126" s="315">
        <v>0</v>
      </c>
      <c r="L1126" s="315">
        <v>1.6860999999999999</v>
      </c>
      <c r="M1126" s="315">
        <v>1.9103000000000001</v>
      </c>
      <c r="N1126" s="315">
        <v>2.1151</v>
      </c>
      <c r="O1126" s="315">
        <v>1.6101000000000001</v>
      </c>
      <c r="P1126" s="315">
        <v>1.6017999999999999</v>
      </c>
      <c r="Q1126" s="315">
        <v>1.5557000000000001</v>
      </c>
      <c r="R1126" s="315">
        <v>2.2151000000000001</v>
      </c>
      <c r="S1126" s="315">
        <v>1.9811000000000001</v>
      </c>
      <c r="T1126" s="315">
        <v>1.6425000000000001</v>
      </c>
      <c r="U1126" s="315">
        <v>1.9239999999999999</v>
      </c>
      <c r="V1126" s="315">
        <v>1.7747999999999999</v>
      </c>
      <c r="W1126" s="315">
        <v>2.0165000000000002</v>
      </c>
      <c r="X1126" s="315">
        <v>1.776</v>
      </c>
      <c r="Y1126" s="315">
        <v>1.7855000000000001</v>
      </c>
      <c r="Z1126" s="315">
        <v>2.0310999999999999</v>
      </c>
      <c r="AA1126" s="315">
        <v>2.0045000000000002</v>
      </c>
      <c r="AB1126" s="315">
        <v>1.9783999999999999</v>
      </c>
      <c r="AC1126" s="315">
        <v>1.7231000000000001</v>
      </c>
      <c r="AD1126" s="315">
        <v>1.5327</v>
      </c>
      <c r="AE1126" s="315">
        <v>1.9773000000000001</v>
      </c>
      <c r="AF1126" s="315">
        <v>1.4415</v>
      </c>
      <c r="AG1126" s="315">
        <v>1.5872999999999999</v>
      </c>
      <c r="AH1126" s="315">
        <v>1.8935</v>
      </c>
      <c r="AI1126" s="315">
        <v>2.0621999999999998</v>
      </c>
      <c r="AJ1126" s="315">
        <v>1.5744</v>
      </c>
      <c r="AK1126" s="315">
        <v>1.6632</v>
      </c>
      <c r="AL1126" s="315">
        <v>1.8146</v>
      </c>
      <c r="AM1126" s="315">
        <v>2.1472000000000002</v>
      </c>
      <c r="AN1126" s="315">
        <v>1.7842</v>
      </c>
      <c r="AO1126" s="315">
        <v>1.901</v>
      </c>
      <c r="AP1126" s="315">
        <v>2.2088999999999999</v>
      </c>
      <c r="AQ1126" s="315">
        <v>1.8707</v>
      </c>
      <c r="AR1126" s="315">
        <v>2.0074999999999998</v>
      </c>
      <c r="AS1126" s="315">
        <v>1.5099</v>
      </c>
      <c r="AT1126" s="315">
        <v>2.0954000000000002</v>
      </c>
      <c r="AU1126" s="315">
        <v>2.1231</v>
      </c>
      <c r="AV1126" s="315">
        <v>2.0442</v>
      </c>
      <c r="AW1126" s="315">
        <v>1.9097999999999999</v>
      </c>
      <c r="AX1126" s="315">
        <v>1.6526000000000001</v>
      </c>
      <c r="AY1126" s="315">
        <v>1.8774999999999999</v>
      </c>
      <c r="AZ1126" s="315">
        <v>1.9442999999999999</v>
      </c>
      <c r="BA1126" s="315">
        <v>1.6607000000000001</v>
      </c>
      <c r="BB1126" s="315">
        <v>1.4338</v>
      </c>
      <c r="BC1126" s="315">
        <v>2.1440000000000001</v>
      </c>
      <c r="BD1126" s="315">
        <v>2.1949000000000001</v>
      </c>
      <c r="BE1126" s="315">
        <v>2.2757999999999998</v>
      </c>
      <c r="BF1126" s="315">
        <v>1.9826999999999999</v>
      </c>
      <c r="BG1126" s="315">
        <v>2.1791999999999998</v>
      </c>
      <c r="BH1126" s="315">
        <v>2.125</v>
      </c>
      <c r="BI1126" s="315">
        <v>2.1341999999999999</v>
      </c>
      <c r="BJ1126" s="315">
        <v>1.9782</v>
      </c>
      <c r="BK1126" s="315">
        <v>2.1549999999999998</v>
      </c>
    </row>
    <row r="1127" spans="1:63" x14ac:dyDescent="0.25">
      <c r="A1127" s="306">
        <v>339910</v>
      </c>
      <c r="B1127" s="315" t="s">
        <v>274</v>
      </c>
      <c r="C1127" s="315">
        <v>2.6358999999999999</v>
      </c>
      <c r="D1127" s="315">
        <v>1.4570000000000001</v>
      </c>
      <c r="E1127" s="315">
        <v>1.8449</v>
      </c>
      <c r="F1127" s="315">
        <v>1.6386000000000001</v>
      </c>
      <c r="G1127" s="315">
        <v>1.8011999999999999</v>
      </c>
      <c r="H1127" s="315">
        <v>2.0156999999999998</v>
      </c>
      <c r="I1127" s="315">
        <v>2.0139</v>
      </c>
      <c r="J1127" s="315">
        <v>1.8448</v>
      </c>
      <c r="K1127" s="315">
        <v>0</v>
      </c>
      <c r="L1127" s="315">
        <v>1.5726</v>
      </c>
      <c r="M1127" s="315">
        <v>1.8050999999999999</v>
      </c>
      <c r="N1127" s="315">
        <v>1.9173</v>
      </c>
      <c r="O1127" s="315">
        <v>1.671</v>
      </c>
      <c r="P1127" s="315">
        <v>1.5193000000000001</v>
      </c>
      <c r="Q1127" s="315">
        <v>1.5833999999999999</v>
      </c>
      <c r="R1127" s="315">
        <v>2.0707</v>
      </c>
      <c r="S1127" s="315">
        <v>1.853</v>
      </c>
      <c r="T1127" s="315">
        <v>1.5774999999999999</v>
      </c>
      <c r="U1127" s="315">
        <v>1.8265</v>
      </c>
      <c r="V1127" s="315">
        <v>1.8039000000000001</v>
      </c>
      <c r="W1127" s="315">
        <v>1.9376</v>
      </c>
      <c r="X1127" s="315">
        <v>1.6872</v>
      </c>
      <c r="Y1127" s="315">
        <v>1.7377</v>
      </c>
      <c r="Z1127" s="315">
        <v>1.9794</v>
      </c>
      <c r="AA1127" s="315">
        <v>1.9832000000000001</v>
      </c>
      <c r="AB1127" s="315">
        <v>1.9590000000000001</v>
      </c>
      <c r="AC1127" s="315">
        <v>1.5851999999999999</v>
      </c>
      <c r="AD1127" s="315">
        <v>1.623</v>
      </c>
      <c r="AE1127" s="315">
        <v>1.8409</v>
      </c>
      <c r="AF1127" s="315">
        <v>1.5059</v>
      </c>
      <c r="AG1127" s="315">
        <v>1.4945999999999999</v>
      </c>
      <c r="AH1127" s="315">
        <v>1.7882</v>
      </c>
      <c r="AI1127" s="315">
        <v>2.0337999999999998</v>
      </c>
      <c r="AJ1127" s="315">
        <v>1.669</v>
      </c>
      <c r="AK1127" s="315">
        <v>1.7226999999999999</v>
      </c>
      <c r="AL1127" s="315">
        <v>1.8381000000000001</v>
      </c>
      <c r="AM1127" s="315">
        <v>2.0594999999999999</v>
      </c>
      <c r="AN1127" s="315">
        <v>1.7972999999999999</v>
      </c>
      <c r="AO1127" s="315">
        <v>1.8754999999999999</v>
      </c>
      <c r="AP1127" s="315">
        <v>2.1722000000000001</v>
      </c>
      <c r="AQ1127" s="315">
        <v>1.8779999999999999</v>
      </c>
      <c r="AR1127" s="315">
        <v>1.8427</v>
      </c>
      <c r="AS1127" s="315">
        <v>1.5314000000000001</v>
      </c>
      <c r="AT1127" s="315">
        <v>1.9578</v>
      </c>
      <c r="AU1127" s="315">
        <v>2.1002999999999998</v>
      </c>
      <c r="AV1127" s="315">
        <v>2.1301000000000001</v>
      </c>
      <c r="AW1127" s="315">
        <v>1.7848999999999999</v>
      </c>
      <c r="AX1127" s="315">
        <v>1.6463000000000001</v>
      </c>
      <c r="AY1127" s="315">
        <v>1.8534999999999999</v>
      </c>
      <c r="AZ1127" s="315">
        <v>1.8242</v>
      </c>
      <c r="BA1127" s="315">
        <v>1.5789</v>
      </c>
      <c r="BB1127" s="315">
        <v>1.4205000000000001</v>
      </c>
      <c r="BC1127" s="315">
        <v>2.0781000000000001</v>
      </c>
      <c r="BD1127" s="315">
        <v>2.1678000000000002</v>
      </c>
      <c r="BE1127" s="315">
        <v>2.1514000000000002</v>
      </c>
      <c r="BF1127" s="315">
        <v>1.9282999999999999</v>
      </c>
      <c r="BG1127" s="315">
        <v>1.9925999999999999</v>
      </c>
      <c r="BH1127" s="315">
        <v>1.9815</v>
      </c>
      <c r="BI1127" s="315">
        <v>2.1101000000000001</v>
      </c>
      <c r="BJ1127" s="315">
        <v>2.0886</v>
      </c>
      <c r="BK1127" s="315">
        <v>2.0758000000000001</v>
      </c>
    </row>
    <row r="1128" spans="1:63" x14ac:dyDescent="0.25">
      <c r="A1128" s="306">
        <v>339920</v>
      </c>
      <c r="B1128" s="315" t="s">
        <v>275</v>
      </c>
      <c r="C1128" s="315">
        <v>3.036</v>
      </c>
      <c r="D1128" s="315">
        <v>0</v>
      </c>
      <c r="E1128" s="315">
        <v>2.1374</v>
      </c>
      <c r="F1128" s="315">
        <v>1.9397</v>
      </c>
      <c r="G1128" s="315">
        <v>1.9177999999999999</v>
      </c>
      <c r="H1128" s="315">
        <v>2.2326999999999999</v>
      </c>
      <c r="I1128" s="315">
        <v>2.0966</v>
      </c>
      <c r="J1128" s="315">
        <v>1.9795</v>
      </c>
      <c r="K1128" s="315">
        <v>0</v>
      </c>
      <c r="L1128" s="315">
        <v>1.7252000000000001</v>
      </c>
      <c r="M1128" s="315">
        <v>1.9236</v>
      </c>
      <c r="N1128" s="315">
        <v>2.2002999999999999</v>
      </c>
      <c r="O1128" s="315">
        <v>1.6519999999999999</v>
      </c>
      <c r="P1128" s="315">
        <v>1.7761</v>
      </c>
      <c r="Q1128" s="315">
        <v>1.6504000000000001</v>
      </c>
      <c r="R1128" s="315">
        <v>2.4508000000000001</v>
      </c>
      <c r="S1128" s="315">
        <v>2.1496</v>
      </c>
      <c r="T1128" s="315">
        <v>1.7504999999999999</v>
      </c>
      <c r="U1128" s="315">
        <v>2.1741000000000001</v>
      </c>
      <c r="V1128" s="315">
        <v>1.9588000000000001</v>
      </c>
      <c r="W1128" s="315">
        <v>2.0924999999999998</v>
      </c>
      <c r="X1128" s="315">
        <v>1.8262</v>
      </c>
      <c r="Y1128" s="315">
        <v>1.8046</v>
      </c>
      <c r="Z1128" s="315">
        <v>2.2132000000000001</v>
      </c>
      <c r="AA1128" s="315">
        <v>2.1261000000000001</v>
      </c>
      <c r="AB1128" s="315">
        <v>2.1852</v>
      </c>
      <c r="AC1128" s="315">
        <v>1.9131</v>
      </c>
      <c r="AD1128" s="315">
        <v>1.6486000000000001</v>
      </c>
      <c r="AE1128" s="315">
        <v>2.0377000000000001</v>
      </c>
      <c r="AF1128" s="315">
        <v>1.4622999999999999</v>
      </c>
      <c r="AG1128" s="315">
        <v>1.6197999999999999</v>
      </c>
      <c r="AH1128" s="315">
        <v>1.9162999999999999</v>
      </c>
      <c r="AI1128" s="315">
        <v>2.0981999999999998</v>
      </c>
      <c r="AJ1128" s="315">
        <v>1.5729</v>
      </c>
      <c r="AK1128" s="315">
        <v>1.6933</v>
      </c>
      <c r="AL1128" s="315">
        <v>1.8787</v>
      </c>
      <c r="AM1128" s="315">
        <v>2.3283</v>
      </c>
      <c r="AN1128" s="315">
        <v>1.9374</v>
      </c>
      <c r="AO1128" s="315">
        <v>2.0874000000000001</v>
      </c>
      <c r="AP1128" s="315">
        <v>2.3748999999999998</v>
      </c>
      <c r="AQ1128" s="315">
        <v>1.8967000000000001</v>
      </c>
      <c r="AR1128" s="315">
        <v>2.1194999999999999</v>
      </c>
      <c r="AS1128" s="315">
        <v>0</v>
      </c>
      <c r="AT1128" s="315">
        <v>2.2978999999999998</v>
      </c>
      <c r="AU1128" s="315">
        <v>2.3254000000000001</v>
      </c>
      <c r="AV1128" s="315">
        <v>2.1455000000000002</v>
      </c>
      <c r="AW1128" s="315">
        <v>2.0605000000000002</v>
      </c>
      <c r="AX1128" s="315">
        <v>1.7195</v>
      </c>
      <c r="AY1128" s="315">
        <v>2.0183</v>
      </c>
      <c r="AZ1128" s="315">
        <v>2.0960999999999999</v>
      </c>
      <c r="BA1128" s="315">
        <v>1.7362</v>
      </c>
      <c r="BB1128" s="315">
        <v>1.4726999999999999</v>
      </c>
      <c r="BC1128" s="315">
        <v>2.2422</v>
      </c>
      <c r="BD1128" s="315">
        <v>2.3176999999999999</v>
      </c>
      <c r="BE1128" s="315">
        <v>2.4965999999999999</v>
      </c>
      <c r="BF1128" s="315">
        <v>2.1150000000000002</v>
      </c>
      <c r="BG1128" s="315">
        <v>2.2688999999999999</v>
      </c>
      <c r="BH1128" s="315">
        <v>2.3593999999999999</v>
      </c>
      <c r="BI1128" s="315">
        <v>2.3769</v>
      </c>
      <c r="BJ1128" s="315">
        <v>2.0638999999999998</v>
      </c>
      <c r="BK1128" s="315">
        <v>2.2806000000000002</v>
      </c>
    </row>
    <row r="1129" spans="1:63" x14ac:dyDescent="0.25">
      <c r="A1129" s="306">
        <v>339930</v>
      </c>
      <c r="B1129" s="315" t="s">
        <v>276</v>
      </c>
      <c r="C1129" s="315">
        <v>2.7431999999999999</v>
      </c>
      <c r="D1129" s="315">
        <v>1.3649</v>
      </c>
      <c r="E1129" s="315">
        <v>0</v>
      </c>
      <c r="F1129" s="315">
        <v>1.8062</v>
      </c>
      <c r="G1129" s="315">
        <v>1.6446000000000001</v>
      </c>
      <c r="H1129" s="315">
        <v>1.9524999999999999</v>
      </c>
      <c r="I1129" s="315">
        <v>1.8070999999999999</v>
      </c>
      <c r="J1129" s="315">
        <v>1.897</v>
      </c>
      <c r="K1129" s="315">
        <v>0</v>
      </c>
      <c r="L1129" s="315">
        <v>1.6836</v>
      </c>
      <c r="M1129" s="315">
        <v>1.7335</v>
      </c>
      <c r="N1129" s="315">
        <v>2.1030000000000002</v>
      </c>
      <c r="O1129" s="315">
        <v>0</v>
      </c>
      <c r="P1129" s="315">
        <v>1.6269</v>
      </c>
      <c r="Q1129" s="315">
        <v>1.5399</v>
      </c>
      <c r="R1129" s="315">
        <v>2.1656</v>
      </c>
      <c r="S1129" s="315">
        <v>1.9786999999999999</v>
      </c>
      <c r="T1129" s="315">
        <v>1.6323000000000001</v>
      </c>
      <c r="U1129" s="315">
        <v>1.9582999999999999</v>
      </c>
      <c r="V1129" s="315">
        <v>1.9160999999999999</v>
      </c>
      <c r="W1129" s="315">
        <v>1.9798</v>
      </c>
      <c r="X1129" s="315">
        <v>1.6585000000000001</v>
      </c>
      <c r="Y1129" s="315">
        <v>1.7183999999999999</v>
      </c>
      <c r="Z1129" s="315">
        <v>2.0339</v>
      </c>
      <c r="AA1129" s="315">
        <v>1.9107000000000001</v>
      </c>
      <c r="AB1129" s="315">
        <v>1.9714</v>
      </c>
      <c r="AC1129" s="315">
        <v>1.8264</v>
      </c>
      <c r="AD1129" s="315">
        <v>1.4638</v>
      </c>
      <c r="AE1129" s="315">
        <v>1.9952000000000001</v>
      </c>
      <c r="AF1129" s="315">
        <v>0</v>
      </c>
      <c r="AG1129" s="315">
        <v>1.4821</v>
      </c>
      <c r="AH1129" s="315">
        <v>1.7632000000000001</v>
      </c>
      <c r="AI1129" s="315">
        <v>1.9910000000000001</v>
      </c>
      <c r="AJ1129" s="315">
        <v>1.4513</v>
      </c>
      <c r="AK1129" s="315">
        <v>1.5591999999999999</v>
      </c>
      <c r="AL1129" s="315">
        <v>1.6983999999999999</v>
      </c>
      <c r="AM1129" s="315">
        <v>2.1766999999999999</v>
      </c>
      <c r="AN1129" s="315">
        <v>1.7351000000000001</v>
      </c>
      <c r="AO1129" s="315">
        <v>1.8214999999999999</v>
      </c>
      <c r="AP1129" s="315">
        <v>2.1791999999999998</v>
      </c>
      <c r="AQ1129" s="315">
        <v>1.8560000000000001</v>
      </c>
      <c r="AR1129" s="315">
        <v>0</v>
      </c>
      <c r="AS1129" s="315">
        <v>1.4984999999999999</v>
      </c>
      <c r="AT1129" s="315">
        <v>2.1158000000000001</v>
      </c>
      <c r="AU1129" s="315">
        <v>2.1661999999999999</v>
      </c>
      <c r="AV1129" s="315">
        <v>1.8502000000000001</v>
      </c>
      <c r="AW1129" s="315">
        <v>1.9036</v>
      </c>
      <c r="AX1129" s="315">
        <v>1.5658000000000001</v>
      </c>
      <c r="AY1129" s="315">
        <v>1.8663000000000001</v>
      </c>
      <c r="AZ1129" s="315">
        <v>1.9320999999999999</v>
      </c>
      <c r="BA1129" s="315">
        <v>1.6556</v>
      </c>
      <c r="BB1129" s="315">
        <v>1.3474999999999999</v>
      </c>
      <c r="BC1129" s="315">
        <v>2.1074999999999999</v>
      </c>
      <c r="BD1129" s="315">
        <v>2.0701999999999998</v>
      </c>
      <c r="BE1129" s="315">
        <v>2.2458999999999998</v>
      </c>
      <c r="BF1129" s="315">
        <v>1.9036999999999999</v>
      </c>
      <c r="BG1129" s="315">
        <v>2.1738</v>
      </c>
      <c r="BH1129" s="315">
        <v>2.1726999999999999</v>
      </c>
      <c r="BI1129" s="315">
        <v>2.2183999999999999</v>
      </c>
      <c r="BJ1129" s="315">
        <v>1.7927</v>
      </c>
      <c r="BK1129" s="315">
        <v>2.0019</v>
      </c>
    </row>
    <row r="1130" spans="1:63" x14ac:dyDescent="0.25">
      <c r="A1130" s="306">
        <v>339940</v>
      </c>
      <c r="B1130" s="315" t="s">
        <v>277</v>
      </c>
      <c r="C1130" s="315">
        <v>2.6545000000000001</v>
      </c>
      <c r="D1130" s="315">
        <v>1.4296</v>
      </c>
      <c r="E1130" s="315">
        <v>1.8633</v>
      </c>
      <c r="F1130" s="315">
        <v>1.8231999999999999</v>
      </c>
      <c r="G1130" s="315">
        <v>1.7000999999999999</v>
      </c>
      <c r="H1130" s="315">
        <v>1.9318</v>
      </c>
      <c r="I1130" s="315">
        <v>1.8907</v>
      </c>
      <c r="J1130" s="315">
        <v>1.8030999999999999</v>
      </c>
      <c r="K1130" s="315">
        <v>1.1516999999999999</v>
      </c>
      <c r="L1130" s="315">
        <v>1.6902999999999999</v>
      </c>
      <c r="M1130" s="315">
        <v>1.7805</v>
      </c>
      <c r="N1130" s="315">
        <v>2.0859000000000001</v>
      </c>
      <c r="O1130" s="315">
        <v>1.5403</v>
      </c>
      <c r="P1130" s="315">
        <v>1.6295999999999999</v>
      </c>
      <c r="Q1130" s="315">
        <v>1.5956999999999999</v>
      </c>
      <c r="R1130" s="315">
        <v>2.1221999999999999</v>
      </c>
      <c r="S1130" s="315">
        <v>1.9675</v>
      </c>
      <c r="T1130" s="315">
        <v>1.6417999999999999</v>
      </c>
      <c r="U1130" s="315">
        <v>1.9156</v>
      </c>
      <c r="V1130" s="315">
        <v>1.8244</v>
      </c>
      <c r="W1130" s="315">
        <v>1.8524</v>
      </c>
      <c r="X1130" s="315">
        <v>1.6880999999999999</v>
      </c>
      <c r="Y1130" s="315">
        <v>1.7384999999999999</v>
      </c>
      <c r="Z1130" s="315">
        <v>1.9684999999999999</v>
      </c>
      <c r="AA1130" s="315">
        <v>1.8913</v>
      </c>
      <c r="AB1130" s="315">
        <v>1.9604999999999999</v>
      </c>
      <c r="AC1130" s="315">
        <v>1.7384999999999999</v>
      </c>
      <c r="AD1130" s="315">
        <v>1.5523</v>
      </c>
      <c r="AE1130" s="315">
        <v>1.9458</v>
      </c>
      <c r="AF1130" s="315">
        <v>1.4673</v>
      </c>
      <c r="AG1130" s="315">
        <v>1.5295000000000001</v>
      </c>
      <c r="AH1130" s="315">
        <v>1.7455000000000001</v>
      </c>
      <c r="AI1130" s="315">
        <v>1.9938</v>
      </c>
      <c r="AJ1130" s="315">
        <v>1.5497000000000001</v>
      </c>
      <c r="AK1130" s="315">
        <v>1.6129</v>
      </c>
      <c r="AL1130" s="315">
        <v>1.7253000000000001</v>
      </c>
      <c r="AM1130" s="315">
        <v>2.1187</v>
      </c>
      <c r="AN1130" s="315">
        <v>1.7447999999999999</v>
      </c>
      <c r="AO1130" s="315">
        <v>1.8774999999999999</v>
      </c>
      <c r="AP1130" s="315">
        <v>2.1198999999999999</v>
      </c>
      <c r="AQ1130" s="315">
        <v>1.7841</v>
      </c>
      <c r="AR1130" s="315">
        <v>1.9912000000000001</v>
      </c>
      <c r="AS1130" s="315">
        <v>1.5066999999999999</v>
      </c>
      <c r="AT1130" s="315">
        <v>2.0606</v>
      </c>
      <c r="AU1130" s="315">
        <v>2.1154999999999999</v>
      </c>
      <c r="AV1130" s="315">
        <v>1.9175</v>
      </c>
      <c r="AW1130" s="315">
        <v>1.8648</v>
      </c>
      <c r="AX1130" s="315">
        <v>0</v>
      </c>
      <c r="AY1130" s="315">
        <v>1.8345</v>
      </c>
      <c r="AZ1130" s="315">
        <v>1.9389000000000001</v>
      </c>
      <c r="BA1130" s="315">
        <v>1.7085999999999999</v>
      </c>
      <c r="BB1130" s="315">
        <v>1.4373</v>
      </c>
      <c r="BC1130" s="315">
        <v>2.0209000000000001</v>
      </c>
      <c r="BD1130" s="315">
        <v>2.0783999999999998</v>
      </c>
      <c r="BE1130" s="315">
        <v>2.2130999999999998</v>
      </c>
      <c r="BF1130" s="315">
        <v>1.9027000000000001</v>
      </c>
      <c r="BG1130" s="315">
        <v>2.13</v>
      </c>
      <c r="BH1130" s="315">
        <v>2.1164000000000001</v>
      </c>
      <c r="BI1130" s="315">
        <v>2.1627999999999998</v>
      </c>
      <c r="BJ1130" s="315">
        <v>1.8797999999999999</v>
      </c>
      <c r="BK1130" s="315">
        <v>1.9827999999999999</v>
      </c>
    </row>
    <row r="1131" spans="1:63" x14ac:dyDescent="0.25">
      <c r="A1131" s="306">
        <v>339950</v>
      </c>
      <c r="B1131" s="315" t="s">
        <v>278</v>
      </c>
      <c r="C1131" s="315">
        <v>3.2713999999999999</v>
      </c>
      <c r="D1131" s="315">
        <v>1.5895999999999999</v>
      </c>
      <c r="E1131" s="315">
        <v>2.2782</v>
      </c>
      <c r="F1131" s="315">
        <v>2.0684</v>
      </c>
      <c r="G1131" s="315">
        <v>1.9861</v>
      </c>
      <c r="H1131" s="315">
        <v>2.3605999999999998</v>
      </c>
      <c r="I1131" s="315">
        <v>2.2359</v>
      </c>
      <c r="J1131" s="315">
        <v>2.1831</v>
      </c>
      <c r="K1131" s="315">
        <v>1.2533000000000001</v>
      </c>
      <c r="L1131" s="315">
        <v>1.8914</v>
      </c>
      <c r="M1131" s="315">
        <v>2.0550999999999999</v>
      </c>
      <c r="N1131" s="315">
        <v>2.5057</v>
      </c>
      <c r="O1131" s="315">
        <v>1.7583</v>
      </c>
      <c r="P1131" s="315">
        <v>1.8429</v>
      </c>
      <c r="Q1131" s="315">
        <v>1.7716000000000001</v>
      </c>
      <c r="R1131" s="315">
        <v>2.6057999999999999</v>
      </c>
      <c r="S1131" s="315">
        <v>2.3155999999999999</v>
      </c>
      <c r="T1131" s="315">
        <v>1.8637999999999999</v>
      </c>
      <c r="U1131" s="315">
        <v>2.3289</v>
      </c>
      <c r="V1131" s="315">
        <v>2.0194000000000001</v>
      </c>
      <c r="W1131" s="315">
        <v>2.2875000000000001</v>
      </c>
      <c r="X1131" s="315">
        <v>2.0346000000000002</v>
      </c>
      <c r="Y1131" s="315">
        <v>2.0428999999999999</v>
      </c>
      <c r="Z1131" s="315">
        <v>2.4075000000000002</v>
      </c>
      <c r="AA1131" s="315">
        <v>2.3222</v>
      </c>
      <c r="AB1131" s="315">
        <v>2.3668</v>
      </c>
      <c r="AC1131" s="315">
        <v>2.0287999999999999</v>
      </c>
      <c r="AD1131" s="315">
        <v>1.6880999999999999</v>
      </c>
      <c r="AE1131" s="315">
        <v>2.31</v>
      </c>
      <c r="AF1131" s="315">
        <v>1.5767</v>
      </c>
      <c r="AG1131" s="315">
        <v>1.7224999999999999</v>
      </c>
      <c r="AH1131" s="315">
        <v>2.1465000000000001</v>
      </c>
      <c r="AI1131" s="315">
        <v>2.3488000000000002</v>
      </c>
      <c r="AJ1131" s="315">
        <v>1.6613</v>
      </c>
      <c r="AK1131" s="315">
        <v>1.9000999999999999</v>
      </c>
      <c r="AL1131" s="315">
        <v>2.0011000000000001</v>
      </c>
      <c r="AM1131" s="315">
        <v>2.5676999999999999</v>
      </c>
      <c r="AN1131" s="315">
        <v>2.0600999999999998</v>
      </c>
      <c r="AO1131" s="315">
        <v>2.2288000000000001</v>
      </c>
      <c r="AP1131" s="315">
        <v>2.5819999999999999</v>
      </c>
      <c r="AQ1131" s="315">
        <v>2.1629999999999998</v>
      </c>
      <c r="AR1131" s="315">
        <v>2.3813</v>
      </c>
      <c r="AS1131" s="315">
        <v>1.6716</v>
      </c>
      <c r="AT1131" s="315">
        <v>2.4754999999999998</v>
      </c>
      <c r="AU1131" s="315">
        <v>2.492</v>
      </c>
      <c r="AV1131" s="315">
        <v>2.2837000000000001</v>
      </c>
      <c r="AW1131" s="315">
        <v>2.2477999999999998</v>
      </c>
      <c r="AX1131" s="315">
        <v>1.8526</v>
      </c>
      <c r="AY1131" s="315">
        <v>2.1695000000000002</v>
      </c>
      <c r="AZ1131" s="315">
        <v>2.2887</v>
      </c>
      <c r="BA1131" s="315">
        <v>1.8861000000000001</v>
      </c>
      <c r="BB1131" s="315">
        <v>1.5461</v>
      </c>
      <c r="BC1131" s="315">
        <v>2.4691000000000001</v>
      </c>
      <c r="BD1131" s="315">
        <v>2.4893999999999998</v>
      </c>
      <c r="BE1131" s="315">
        <v>2.6863999999999999</v>
      </c>
      <c r="BF1131" s="315">
        <v>2.2925</v>
      </c>
      <c r="BG1131" s="315">
        <v>2.5341999999999998</v>
      </c>
      <c r="BH1131" s="315">
        <v>2.5375999999999999</v>
      </c>
      <c r="BI1131" s="315">
        <v>2.5257000000000001</v>
      </c>
      <c r="BJ1131" s="315">
        <v>2.1947000000000001</v>
      </c>
      <c r="BK1131" s="315">
        <v>2.4188999999999998</v>
      </c>
    </row>
    <row r="1132" spans="1:63" x14ac:dyDescent="0.25">
      <c r="A1132" s="306">
        <v>339991</v>
      </c>
      <c r="B1132" s="315" t="s">
        <v>1</v>
      </c>
      <c r="C1132" s="315">
        <v>3.081</v>
      </c>
      <c r="D1132" s="315">
        <v>0</v>
      </c>
      <c r="E1132" s="315">
        <v>2.1621000000000001</v>
      </c>
      <c r="F1132" s="315">
        <v>1.8771</v>
      </c>
      <c r="G1132" s="315">
        <v>1.8573</v>
      </c>
      <c r="H1132" s="315">
        <v>2.1711</v>
      </c>
      <c r="I1132" s="315">
        <v>2.0964999999999998</v>
      </c>
      <c r="J1132" s="315">
        <v>2.0562</v>
      </c>
      <c r="K1132" s="315">
        <v>0</v>
      </c>
      <c r="L1132" s="315">
        <v>1.7468999999999999</v>
      </c>
      <c r="M1132" s="315">
        <v>1.923</v>
      </c>
      <c r="N1132" s="315">
        <v>2.1795</v>
      </c>
      <c r="O1132" s="315">
        <v>0</v>
      </c>
      <c r="P1132" s="315">
        <v>1.6976</v>
      </c>
      <c r="Q1132" s="315">
        <v>0</v>
      </c>
      <c r="R1132" s="315">
        <v>2.5190999999999999</v>
      </c>
      <c r="S1132" s="315">
        <v>2.2528000000000001</v>
      </c>
      <c r="T1132" s="315">
        <v>1.7689999999999999</v>
      </c>
      <c r="U1132" s="315">
        <v>2.2450000000000001</v>
      </c>
      <c r="V1132" s="315">
        <v>2.1394000000000002</v>
      </c>
      <c r="W1132" s="315">
        <v>2.1433</v>
      </c>
      <c r="X1132" s="315">
        <v>1.8245</v>
      </c>
      <c r="Y1132" s="315">
        <v>1.8837999999999999</v>
      </c>
      <c r="Z1132" s="315">
        <v>2.2947000000000002</v>
      </c>
      <c r="AA1132" s="315">
        <v>2.1124000000000001</v>
      </c>
      <c r="AB1132" s="315">
        <v>2.1846000000000001</v>
      </c>
      <c r="AC1132" s="315">
        <v>1.8542000000000001</v>
      </c>
      <c r="AD1132" s="315">
        <v>1.6496999999999999</v>
      </c>
      <c r="AE1132" s="315">
        <v>2.1377999999999999</v>
      </c>
      <c r="AF1132" s="315">
        <v>0</v>
      </c>
      <c r="AG1132" s="315">
        <v>1.6275999999999999</v>
      </c>
      <c r="AH1132" s="315">
        <v>1.9899</v>
      </c>
      <c r="AI1132" s="315">
        <v>2.1076000000000001</v>
      </c>
      <c r="AJ1132" s="315">
        <v>1.6547000000000001</v>
      </c>
      <c r="AK1132" s="315">
        <v>1.7509999999999999</v>
      </c>
      <c r="AL1132" s="315">
        <v>1.9507000000000001</v>
      </c>
      <c r="AM1132" s="315">
        <v>2.4617</v>
      </c>
      <c r="AN1132" s="315">
        <v>2.0659000000000001</v>
      </c>
      <c r="AO1132" s="315">
        <v>2.1019999999999999</v>
      </c>
      <c r="AP1132" s="315">
        <v>2.4424999999999999</v>
      </c>
      <c r="AQ1132" s="315">
        <v>2.0289999999999999</v>
      </c>
      <c r="AR1132" s="315">
        <v>2.2058</v>
      </c>
      <c r="AS1132" s="315">
        <v>0</v>
      </c>
      <c r="AT1132" s="315">
        <v>2.2342</v>
      </c>
      <c r="AU1132" s="315">
        <v>2.5335999999999999</v>
      </c>
      <c r="AV1132" s="315">
        <v>2.2084999999999999</v>
      </c>
      <c r="AW1132" s="315">
        <v>2.0179</v>
      </c>
      <c r="AX1132" s="315">
        <v>1.7853000000000001</v>
      </c>
      <c r="AY1132" s="315">
        <v>1.9813000000000001</v>
      </c>
      <c r="AZ1132" s="315">
        <v>2.1554000000000002</v>
      </c>
      <c r="BA1132" s="315">
        <v>1.8784000000000001</v>
      </c>
      <c r="BB1132" s="315">
        <v>0</v>
      </c>
      <c r="BC1132" s="315">
        <v>2.2911999999999999</v>
      </c>
      <c r="BD1132" s="315">
        <v>2.3767999999999998</v>
      </c>
      <c r="BE1132" s="315">
        <v>2.5747</v>
      </c>
      <c r="BF1132" s="315">
        <v>2.0749</v>
      </c>
      <c r="BG1132" s="315">
        <v>2.2803</v>
      </c>
      <c r="BH1132" s="315">
        <v>2.3839000000000001</v>
      </c>
      <c r="BI1132" s="315">
        <v>2.5589</v>
      </c>
      <c r="BJ1132" s="315">
        <v>2.0575999999999999</v>
      </c>
      <c r="BK1132" s="315">
        <v>2.2016</v>
      </c>
    </row>
    <row r="1133" spans="1:63" x14ac:dyDescent="0.25">
      <c r="A1133" s="306">
        <v>339992</v>
      </c>
      <c r="B1133" s="315" t="s">
        <v>279</v>
      </c>
      <c r="C1133" s="315">
        <v>2.8933</v>
      </c>
      <c r="D1133" s="315">
        <v>0</v>
      </c>
      <c r="E1133" s="315">
        <v>0</v>
      </c>
      <c r="F1133" s="315">
        <v>1.9020999999999999</v>
      </c>
      <c r="G1133" s="315">
        <v>1.9408000000000001</v>
      </c>
      <c r="H1133" s="315">
        <v>2.2734000000000001</v>
      </c>
      <c r="I1133" s="315">
        <v>2.0922000000000001</v>
      </c>
      <c r="J1133" s="315">
        <v>1.9483999999999999</v>
      </c>
      <c r="K1133" s="315">
        <v>0</v>
      </c>
      <c r="L1133" s="315">
        <v>0</v>
      </c>
      <c r="M1133" s="315">
        <v>1.9746999999999999</v>
      </c>
      <c r="N1133" s="315">
        <v>2.1804000000000001</v>
      </c>
      <c r="O1133" s="315">
        <v>1.8163</v>
      </c>
      <c r="P1133" s="315">
        <v>1.6276999999999999</v>
      </c>
      <c r="Q1133" s="315">
        <v>1.7201</v>
      </c>
      <c r="R1133" s="315">
        <v>2.3159000000000001</v>
      </c>
      <c r="S1133" s="315">
        <v>2.0735999999999999</v>
      </c>
      <c r="T1133" s="315">
        <v>1.6927000000000001</v>
      </c>
      <c r="U1133" s="315">
        <v>1.9604999999999999</v>
      </c>
      <c r="V1133" s="315">
        <v>1.8875</v>
      </c>
      <c r="W1133" s="315">
        <v>2.0897999999999999</v>
      </c>
      <c r="X1133" s="315">
        <v>1.9281999999999999</v>
      </c>
      <c r="Y1133" s="315">
        <v>1.9216</v>
      </c>
      <c r="Z1133" s="315">
        <v>2.113</v>
      </c>
      <c r="AA1133" s="315">
        <v>2.0316000000000001</v>
      </c>
      <c r="AB1133" s="315">
        <v>2.0600999999999998</v>
      </c>
      <c r="AC1133" s="315">
        <v>1.7827</v>
      </c>
      <c r="AD1133" s="315">
        <v>1.7879</v>
      </c>
      <c r="AE1133" s="315">
        <v>2.0432999999999999</v>
      </c>
      <c r="AF1133" s="315">
        <v>1.5173000000000001</v>
      </c>
      <c r="AG1133" s="315">
        <v>1.5931999999999999</v>
      </c>
      <c r="AH1133" s="315">
        <v>1.9153</v>
      </c>
      <c r="AI1133" s="315">
        <v>2.0306999999999999</v>
      </c>
      <c r="AJ1133" s="315">
        <v>1.6697</v>
      </c>
      <c r="AK1133" s="315">
        <v>1.724</v>
      </c>
      <c r="AL1133" s="315">
        <v>1.9303999999999999</v>
      </c>
      <c r="AM1133" s="315">
        <v>2.2265999999999999</v>
      </c>
      <c r="AN1133" s="315">
        <v>1.8745000000000001</v>
      </c>
      <c r="AO1133" s="315">
        <v>2.1516999999999999</v>
      </c>
      <c r="AP1133" s="315">
        <v>2.3109999999999999</v>
      </c>
      <c r="AQ1133" s="315">
        <v>1.8089999999999999</v>
      </c>
      <c r="AR1133" s="315">
        <v>1.9778</v>
      </c>
      <c r="AS1133" s="315">
        <v>1.5928</v>
      </c>
      <c r="AT1133" s="315">
        <v>2.2323</v>
      </c>
      <c r="AU1133" s="315">
        <v>2.2433000000000001</v>
      </c>
      <c r="AV1133" s="315">
        <v>2.0987</v>
      </c>
      <c r="AW1133" s="315">
        <v>1.9974000000000001</v>
      </c>
      <c r="AX1133" s="315">
        <v>1.8280000000000001</v>
      </c>
      <c r="AY1133" s="315">
        <v>2.0975999999999999</v>
      </c>
      <c r="AZ1133" s="315">
        <v>2.0851000000000002</v>
      </c>
      <c r="BA1133" s="315">
        <v>1.6773</v>
      </c>
      <c r="BB1133" s="315">
        <v>0</v>
      </c>
      <c r="BC1133" s="315">
        <v>2.2498999999999998</v>
      </c>
      <c r="BD1133" s="315">
        <v>2.2675999999999998</v>
      </c>
      <c r="BE1133" s="315">
        <v>2.3609</v>
      </c>
      <c r="BF1133" s="315">
        <v>2.0001000000000002</v>
      </c>
      <c r="BG1133" s="315">
        <v>2.2568999999999999</v>
      </c>
      <c r="BH1133" s="315">
        <v>2.2244000000000002</v>
      </c>
      <c r="BI1133" s="315">
        <v>2.3039000000000001</v>
      </c>
      <c r="BJ1133" s="315">
        <v>2.1385999999999998</v>
      </c>
      <c r="BK1133" s="315">
        <v>2.3645999999999998</v>
      </c>
    </row>
    <row r="1134" spans="1:63" x14ac:dyDescent="0.25">
      <c r="A1134" s="306">
        <v>339994</v>
      </c>
      <c r="B1134" s="315" t="s">
        <v>281</v>
      </c>
      <c r="C1134" s="315">
        <v>2.8271999999999999</v>
      </c>
      <c r="D1134" s="315">
        <v>0</v>
      </c>
      <c r="E1134" s="315">
        <v>2.1012</v>
      </c>
      <c r="F1134" s="315">
        <v>1.89</v>
      </c>
      <c r="G1134" s="315">
        <v>0</v>
      </c>
      <c r="H1134" s="315">
        <v>2.0019</v>
      </c>
      <c r="I1134" s="315">
        <v>1.974</v>
      </c>
      <c r="J1134" s="315">
        <v>1.7884</v>
      </c>
      <c r="K1134" s="315">
        <v>0</v>
      </c>
      <c r="L1134" s="315">
        <v>1.6736</v>
      </c>
      <c r="M1134" s="315">
        <v>1.8068</v>
      </c>
      <c r="N1134" s="315">
        <v>2.2698</v>
      </c>
      <c r="O1134" s="315">
        <v>0</v>
      </c>
      <c r="P1134" s="315">
        <v>1.7201</v>
      </c>
      <c r="Q1134" s="315">
        <v>0</v>
      </c>
      <c r="R1134" s="315">
        <v>2.2256</v>
      </c>
      <c r="S1134" s="315">
        <v>2.0305</v>
      </c>
      <c r="T1134" s="315">
        <v>1.7695000000000001</v>
      </c>
      <c r="U1134" s="315">
        <v>2.0213999999999999</v>
      </c>
      <c r="V1134" s="315">
        <v>1.9609000000000001</v>
      </c>
      <c r="W1134" s="315">
        <v>1.8566</v>
      </c>
      <c r="X1134" s="315">
        <v>1.8001</v>
      </c>
      <c r="Y1134" s="315">
        <v>0</v>
      </c>
      <c r="Z1134" s="315">
        <v>2.0762</v>
      </c>
      <c r="AA1134" s="315">
        <v>1.9806999999999999</v>
      </c>
      <c r="AB1134" s="315">
        <v>2.0739999999999998</v>
      </c>
      <c r="AC1134" s="315">
        <v>1.8984000000000001</v>
      </c>
      <c r="AD1134" s="315">
        <v>0</v>
      </c>
      <c r="AE1134" s="315">
        <v>2.1314000000000002</v>
      </c>
      <c r="AF1134" s="315">
        <v>0</v>
      </c>
      <c r="AG1134" s="315">
        <v>1.647</v>
      </c>
      <c r="AH1134" s="315">
        <v>1.8331999999999999</v>
      </c>
      <c r="AI1134" s="315">
        <v>2.0718000000000001</v>
      </c>
      <c r="AJ1134" s="315">
        <v>0</v>
      </c>
      <c r="AK1134" s="315">
        <v>1.677</v>
      </c>
      <c r="AL1134" s="315">
        <v>1.6937</v>
      </c>
      <c r="AM1134" s="315">
        <v>2.1959</v>
      </c>
      <c r="AN1134" s="315">
        <v>1.887</v>
      </c>
      <c r="AO1134" s="315">
        <v>1.9729000000000001</v>
      </c>
      <c r="AP1134" s="315">
        <v>2.2320000000000002</v>
      </c>
      <c r="AQ1134" s="315">
        <v>1.8493999999999999</v>
      </c>
      <c r="AR1134" s="315">
        <v>2.1680000000000001</v>
      </c>
      <c r="AS1134" s="315">
        <v>1.6202000000000001</v>
      </c>
      <c r="AT1134" s="315">
        <v>2.2557</v>
      </c>
      <c r="AU1134" s="315">
        <v>2.1901999999999999</v>
      </c>
      <c r="AV1134" s="315">
        <v>0</v>
      </c>
      <c r="AW1134" s="315">
        <v>2.0209999999999999</v>
      </c>
      <c r="AX1134" s="315">
        <v>1.7021999999999999</v>
      </c>
      <c r="AY1134" s="315">
        <v>1.9149</v>
      </c>
      <c r="AZ1134" s="315">
        <v>2.0310000000000001</v>
      </c>
      <c r="BA1134" s="315">
        <v>0</v>
      </c>
      <c r="BB1134" s="315">
        <v>0</v>
      </c>
      <c r="BC1134" s="315">
        <v>2.0125000000000002</v>
      </c>
      <c r="BD1134" s="315">
        <v>2.1025</v>
      </c>
      <c r="BE1134" s="315">
        <v>2.2896000000000001</v>
      </c>
      <c r="BF1134" s="315">
        <v>2.0270000000000001</v>
      </c>
      <c r="BG1134" s="315">
        <v>2.2841999999999998</v>
      </c>
      <c r="BH1134" s="315">
        <v>2.2927</v>
      </c>
      <c r="BI1134" s="315">
        <v>2.2244999999999999</v>
      </c>
      <c r="BJ1134" s="315">
        <v>2.0026000000000002</v>
      </c>
      <c r="BK1134" s="315">
        <v>2.0482999999999998</v>
      </c>
    </row>
    <row r="1135" spans="1:63" x14ac:dyDescent="0.25">
      <c r="A1135" s="306" t="s">
        <v>751</v>
      </c>
      <c r="B1135" s="315" t="s">
        <v>280</v>
      </c>
      <c r="C1135" s="315">
        <v>3.0072999999999999</v>
      </c>
      <c r="D1135" s="315">
        <v>1.4890000000000001</v>
      </c>
      <c r="E1135" s="315">
        <v>2.1427999999999998</v>
      </c>
      <c r="F1135" s="315">
        <v>1.9293</v>
      </c>
      <c r="G1135" s="315">
        <v>1.8873</v>
      </c>
      <c r="H1135" s="315">
        <v>2.1890000000000001</v>
      </c>
      <c r="I1135" s="315">
        <v>2.0447000000000002</v>
      </c>
      <c r="J1135" s="315">
        <v>2.0049000000000001</v>
      </c>
      <c r="K1135" s="315">
        <v>0</v>
      </c>
      <c r="L1135" s="315">
        <v>0</v>
      </c>
      <c r="M1135" s="315">
        <v>1.9218</v>
      </c>
      <c r="N1135" s="315">
        <v>2.2427999999999999</v>
      </c>
      <c r="O1135" s="315">
        <v>1.6443000000000001</v>
      </c>
      <c r="P1135" s="315">
        <v>1.7198</v>
      </c>
      <c r="Q1135" s="315">
        <v>1.6612</v>
      </c>
      <c r="R1135" s="315">
        <v>2.4056999999999999</v>
      </c>
      <c r="S1135" s="315">
        <v>2.1789999999999998</v>
      </c>
      <c r="T1135" s="315">
        <v>1.7270000000000001</v>
      </c>
      <c r="U1135" s="315">
        <v>2.1715</v>
      </c>
      <c r="V1135" s="315">
        <v>2.0026000000000002</v>
      </c>
      <c r="W1135" s="315">
        <v>2.0114000000000001</v>
      </c>
      <c r="X1135" s="315">
        <v>1.8567</v>
      </c>
      <c r="Y1135" s="315">
        <v>1.8809</v>
      </c>
      <c r="Z1135" s="315">
        <v>2.2117</v>
      </c>
      <c r="AA1135" s="315">
        <v>2.1246</v>
      </c>
      <c r="AB1135" s="315">
        <v>2.1137000000000001</v>
      </c>
      <c r="AC1135" s="315">
        <v>1.9470000000000001</v>
      </c>
      <c r="AD1135" s="315">
        <v>1.6386000000000001</v>
      </c>
      <c r="AE1135" s="315">
        <v>2.1166999999999998</v>
      </c>
      <c r="AF1135" s="315">
        <v>1.4754</v>
      </c>
      <c r="AG1135" s="315">
        <v>1.5809</v>
      </c>
      <c r="AH1135" s="315">
        <v>1.9424999999999999</v>
      </c>
      <c r="AI1135" s="315">
        <v>2.0855999999999999</v>
      </c>
      <c r="AJ1135" s="315">
        <v>1.5987</v>
      </c>
      <c r="AK1135" s="315">
        <v>1.7338</v>
      </c>
      <c r="AL1135" s="315">
        <v>1.861</v>
      </c>
      <c r="AM1135" s="315">
        <v>2.3691</v>
      </c>
      <c r="AN1135" s="315">
        <v>1.9954000000000001</v>
      </c>
      <c r="AO1135" s="315">
        <v>2.0712000000000002</v>
      </c>
      <c r="AP1135" s="315">
        <v>2.4058999999999999</v>
      </c>
      <c r="AQ1135" s="315">
        <v>1.9</v>
      </c>
      <c r="AR1135" s="315">
        <v>2.1591</v>
      </c>
      <c r="AS1135" s="315">
        <v>1.5938000000000001</v>
      </c>
      <c r="AT1135" s="315">
        <v>2.2353999999999998</v>
      </c>
      <c r="AU1135" s="315">
        <v>2.3681000000000001</v>
      </c>
      <c r="AV1135" s="315">
        <v>2.0916000000000001</v>
      </c>
      <c r="AW1135" s="315">
        <v>1.9995000000000001</v>
      </c>
      <c r="AX1135" s="315">
        <v>1.6928000000000001</v>
      </c>
      <c r="AY1135" s="315">
        <v>1.9844999999999999</v>
      </c>
      <c r="AZ1135" s="315">
        <v>2.1084000000000001</v>
      </c>
      <c r="BA1135" s="315">
        <v>1.7856000000000001</v>
      </c>
      <c r="BB1135" s="315">
        <v>1.4827999999999999</v>
      </c>
      <c r="BC1135" s="315">
        <v>2.1976</v>
      </c>
      <c r="BD1135" s="315">
        <v>2.3184</v>
      </c>
      <c r="BE1135" s="315">
        <v>2.4986000000000002</v>
      </c>
      <c r="BF1135" s="315">
        <v>2.0903999999999998</v>
      </c>
      <c r="BG1135" s="315">
        <v>2.2858999999999998</v>
      </c>
      <c r="BH1135" s="315">
        <v>2.3614999999999999</v>
      </c>
      <c r="BI1135" s="315">
        <v>2.4333999999999998</v>
      </c>
      <c r="BJ1135" s="315">
        <v>2.0594000000000001</v>
      </c>
      <c r="BK1135" s="315">
        <v>2.2427999999999999</v>
      </c>
    </row>
    <row r="1136" spans="1:63" x14ac:dyDescent="0.25">
      <c r="A1136" s="306">
        <v>420000</v>
      </c>
      <c r="B1136" s="315" t="s">
        <v>425</v>
      </c>
      <c r="C1136" s="315">
        <v>2.4459</v>
      </c>
      <c r="D1136" s="315">
        <v>1.5430999999999999</v>
      </c>
      <c r="E1136" s="315">
        <v>1.7726</v>
      </c>
      <c r="F1136" s="315">
        <v>1.6798999999999999</v>
      </c>
      <c r="G1136" s="315">
        <v>1.82</v>
      </c>
      <c r="H1136" s="315">
        <v>2.0131999999999999</v>
      </c>
      <c r="I1136" s="315">
        <v>2.0093999999999999</v>
      </c>
      <c r="J1136" s="315">
        <v>1.8056000000000001</v>
      </c>
      <c r="K1136" s="315">
        <v>1.2412000000000001</v>
      </c>
      <c r="L1136" s="315">
        <v>1.6614</v>
      </c>
      <c r="M1136" s="315">
        <v>1.8808</v>
      </c>
      <c r="N1136" s="315">
        <v>2.0207999999999999</v>
      </c>
      <c r="O1136" s="315">
        <v>1.7211000000000001</v>
      </c>
      <c r="P1136" s="315">
        <v>1.5668</v>
      </c>
      <c r="Q1136" s="315">
        <v>1.577</v>
      </c>
      <c r="R1136" s="315">
        <v>2.0644</v>
      </c>
      <c r="S1136" s="315">
        <v>1.8223</v>
      </c>
      <c r="T1136" s="315">
        <v>1.6307</v>
      </c>
      <c r="U1136" s="315">
        <v>1.8082</v>
      </c>
      <c r="V1136" s="315">
        <v>1.7242999999999999</v>
      </c>
      <c r="W1136" s="315">
        <v>1.8653999999999999</v>
      </c>
      <c r="X1136" s="315">
        <v>1.8110999999999999</v>
      </c>
      <c r="Y1136" s="315">
        <v>1.7596000000000001</v>
      </c>
      <c r="Z1136" s="315">
        <v>1.9003000000000001</v>
      </c>
      <c r="AA1136" s="315">
        <v>1.8889</v>
      </c>
      <c r="AB1136" s="315">
        <v>1.9146000000000001</v>
      </c>
      <c r="AC1136" s="315">
        <v>1.6393</v>
      </c>
      <c r="AD1136" s="315">
        <v>1.5673999999999999</v>
      </c>
      <c r="AE1136" s="315">
        <v>1.8355999999999999</v>
      </c>
      <c r="AF1136" s="315">
        <v>1.4694</v>
      </c>
      <c r="AG1136" s="315">
        <v>1.5599000000000001</v>
      </c>
      <c r="AH1136" s="315">
        <v>1.774</v>
      </c>
      <c r="AI1136" s="315">
        <v>1.9562999999999999</v>
      </c>
      <c r="AJ1136" s="315">
        <v>1.6075999999999999</v>
      </c>
      <c r="AK1136" s="315">
        <v>1.7042999999999999</v>
      </c>
      <c r="AL1136" s="315">
        <v>1.7702</v>
      </c>
      <c r="AM1136" s="315">
        <v>1.9790000000000001</v>
      </c>
      <c r="AN1136" s="315">
        <v>1.7630999999999999</v>
      </c>
      <c r="AO1136" s="315">
        <v>1.8249</v>
      </c>
      <c r="AP1136" s="315">
        <v>2.0041000000000002</v>
      </c>
      <c r="AQ1136" s="315">
        <v>1.7384999999999999</v>
      </c>
      <c r="AR1136" s="315">
        <v>1.827</v>
      </c>
      <c r="AS1136" s="315">
        <v>1.4726999999999999</v>
      </c>
      <c r="AT1136" s="315">
        <v>1.9535</v>
      </c>
      <c r="AU1136" s="315">
        <v>2.0371000000000001</v>
      </c>
      <c r="AV1136" s="315">
        <v>1.9817</v>
      </c>
      <c r="AW1136" s="315">
        <v>1.8797999999999999</v>
      </c>
      <c r="AX1136" s="315">
        <v>1.5931</v>
      </c>
      <c r="AY1136" s="315">
        <v>1.8594999999999999</v>
      </c>
      <c r="AZ1136" s="315">
        <v>1.8320000000000001</v>
      </c>
      <c r="BA1136" s="315">
        <v>1.5763</v>
      </c>
      <c r="BB1136" s="315">
        <v>1.4272</v>
      </c>
      <c r="BC1136" s="315">
        <v>1.9644999999999999</v>
      </c>
      <c r="BD1136" s="315">
        <v>2.0482999999999998</v>
      </c>
      <c r="BE1136" s="315">
        <v>2.0773999999999999</v>
      </c>
      <c r="BF1136" s="315">
        <v>1.8737999999999999</v>
      </c>
      <c r="BG1136" s="315">
        <v>2.0611999999999999</v>
      </c>
      <c r="BH1136" s="315">
        <v>1.9300999999999999</v>
      </c>
      <c r="BI1136" s="315">
        <v>2.0396999999999998</v>
      </c>
      <c r="BJ1136" s="315">
        <v>1.9533</v>
      </c>
      <c r="BK1136" s="315">
        <v>2.0308999999999999</v>
      </c>
    </row>
    <row r="1137" spans="1:63" x14ac:dyDescent="0.25">
      <c r="A1137" s="306">
        <v>481000</v>
      </c>
      <c r="B1137" s="315" t="s">
        <v>752</v>
      </c>
      <c r="C1137" s="315">
        <v>2.9205999999999999</v>
      </c>
      <c r="D1137" s="315">
        <v>1.9602999999999999</v>
      </c>
      <c r="E1137" s="315">
        <v>1.9696</v>
      </c>
      <c r="F1137" s="315">
        <v>1.8508</v>
      </c>
      <c r="G1137" s="315">
        <v>1.9939</v>
      </c>
      <c r="H1137" s="315">
        <v>2.4001999999999999</v>
      </c>
      <c r="I1137" s="315">
        <v>2.2395999999999998</v>
      </c>
      <c r="J1137" s="315">
        <v>1.8908</v>
      </c>
      <c r="K1137" s="315">
        <v>1.2498</v>
      </c>
      <c r="L1137" s="315">
        <v>1.9302999999999999</v>
      </c>
      <c r="M1137" s="315">
        <v>2.0773000000000001</v>
      </c>
      <c r="N1137" s="315">
        <v>2.1366000000000001</v>
      </c>
      <c r="O1137" s="315">
        <v>2.0407999999999999</v>
      </c>
      <c r="P1137" s="315">
        <v>1.5590999999999999</v>
      </c>
      <c r="Q1137" s="315">
        <v>1.6375</v>
      </c>
      <c r="R1137" s="315">
        <v>2.2302</v>
      </c>
      <c r="S1137" s="315">
        <v>2.0329000000000002</v>
      </c>
      <c r="T1137" s="315">
        <v>1.8067</v>
      </c>
      <c r="U1137" s="315">
        <v>1.92</v>
      </c>
      <c r="V1137" s="315">
        <v>2.0613999999999999</v>
      </c>
      <c r="W1137" s="315">
        <v>1.8628</v>
      </c>
      <c r="X1137" s="315">
        <v>1.929</v>
      </c>
      <c r="Y1137" s="315">
        <v>1.8555999999999999</v>
      </c>
      <c r="Z1137" s="315">
        <v>1.8502000000000001</v>
      </c>
      <c r="AA1137" s="315">
        <v>1.9782</v>
      </c>
      <c r="AB1137" s="315">
        <v>1.9766999999999999</v>
      </c>
      <c r="AC1137" s="315">
        <v>1.9132</v>
      </c>
      <c r="AD1137" s="315">
        <v>1.8641000000000001</v>
      </c>
      <c r="AE1137" s="315">
        <v>1.8292999999999999</v>
      </c>
      <c r="AF1137" s="315">
        <v>1.6758</v>
      </c>
      <c r="AG1137" s="315">
        <v>1.5721000000000001</v>
      </c>
      <c r="AH1137" s="315">
        <v>1.8496999999999999</v>
      </c>
      <c r="AI1137" s="315">
        <v>2.1074999999999999</v>
      </c>
      <c r="AJ1137" s="315">
        <v>2.0049000000000001</v>
      </c>
      <c r="AK1137" s="315">
        <v>1.8742000000000001</v>
      </c>
      <c r="AL1137" s="315">
        <v>1.7941</v>
      </c>
      <c r="AM1137" s="315">
        <v>2.0773000000000001</v>
      </c>
      <c r="AN1137" s="315">
        <v>2.2040000000000002</v>
      </c>
      <c r="AO1137" s="315">
        <v>1.8371</v>
      </c>
      <c r="AP1137" s="315">
        <v>2.0484</v>
      </c>
      <c r="AQ1137" s="315">
        <v>1.8124</v>
      </c>
      <c r="AR1137" s="315">
        <v>2.0213999999999999</v>
      </c>
      <c r="AS1137" s="315">
        <v>1.5159</v>
      </c>
      <c r="AT1137" s="315">
        <v>2.0647000000000002</v>
      </c>
      <c r="AU1137" s="315">
        <v>2.4803000000000002</v>
      </c>
      <c r="AV1137" s="315">
        <v>2.2936000000000001</v>
      </c>
      <c r="AW1137" s="315">
        <v>1.9733000000000001</v>
      </c>
      <c r="AX1137" s="315">
        <v>1.7343</v>
      </c>
      <c r="AY1137" s="315">
        <v>2.2357999999999998</v>
      </c>
      <c r="AZ1137" s="315">
        <v>1.8164</v>
      </c>
      <c r="BA1137" s="315">
        <v>1.8352999999999999</v>
      </c>
      <c r="BB1137" s="315">
        <v>1.7094</v>
      </c>
      <c r="BC1137" s="315">
        <v>2.0495000000000001</v>
      </c>
      <c r="BD1137" s="315">
        <v>2.1181999999999999</v>
      </c>
      <c r="BE1137" s="315">
        <v>2.1825999999999999</v>
      </c>
      <c r="BF1137" s="315">
        <v>1.9577</v>
      </c>
      <c r="BG1137" s="315">
        <v>2.2330000000000001</v>
      </c>
      <c r="BH1137" s="315">
        <v>2.1139000000000001</v>
      </c>
      <c r="BI1137" s="315">
        <v>2.4790999999999999</v>
      </c>
      <c r="BJ1137" s="315">
        <v>2.2740999999999998</v>
      </c>
      <c r="BK1137" s="315">
        <v>2.4388999999999998</v>
      </c>
    </row>
    <row r="1138" spans="1:63" x14ac:dyDescent="0.25">
      <c r="A1138" s="306">
        <v>482000</v>
      </c>
      <c r="B1138" s="315" t="s">
        <v>753</v>
      </c>
      <c r="C1138" s="315">
        <v>2.7242999999999999</v>
      </c>
      <c r="D1138" s="315">
        <v>0</v>
      </c>
      <c r="E1138" s="315">
        <v>1.9149</v>
      </c>
      <c r="F1138" s="315">
        <v>1.7374000000000001</v>
      </c>
      <c r="G1138" s="315">
        <v>1.919</v>
      </c>
      <c r="H1138" s="315">
        <v>2.1669</v>
      </c>
      <c r="I1138" s="315">
        <v>2.1393</v>
      </c>
      <c r="J1138" s="315">
        <v>1.8634999999999999</v>
      </c>
      <c r="K1138" s="315">
        <v>1.3506</v>
      </c>
      <c r="L1138" s="315">
        <v>1.8269</v>
      </c>
      <c r="M1138" s="315">
        <v>1.9901</v>
      </c>
      <c r="N1138" s="315">
        <v>2.1095999999999999</v>
      </c>
      <c r="O1138" s="315">
        <v>0</v>
      </c>
      <c r="P1138" s="315">
        <v>1.6052</v>
      </c>
      <c r="Q1138" s="315">
        <v>1.649</v>
      </c>
      <c r="R1138" s="315">
        <v>2.2452999999999999</v>
      </c>
      <c r="S1138" s="315">
        <v>1.8938999999999999</v>
      </c>
      <c r="T1138" s="315">
        <v>1.6655</v>
      </c>
      <c r="U1138" s="315">
        <v>1.8855999999999999</v>
      </c>
      <c r="V1138" s="315">
        <v>1.8778999999999999</v>
      </c>
      <c r="W1138" s="315">
        <v>1.8685</v>
      </c>
      <c r="X1138" s="315">
        <v>1.9001999999999999</v>
      </c>
      <c r="Y1138" s="315">
        <v>1.7877000000000001</v>
      </c>
      <c r="Z1138" s="315">
        <v>1.8932</v>
      </c>
      <c r="AA1138" s="315">
        <v>1.907</v>
      </c>
      <c r="AB1138" s="315">
        <v>1.9789000000000001</v>
      </c>
      <c r="AC1138" s="315">
        <v>1.7674000000000001</v>
      </c>
      <c r="AD1138" s="315">
        <v>1.7016</v>
      </c>
      <c r="AE1138" s="315">
        <v>1.8365</v>
      </c>
      <c r="AF1138" s="315">
        <v>1.5634999999999999</v>
      </c>
      <c r="AG1138" s="315">
        <v>1.5703</v>
      </c>
      <c r="AH1138" s="315">
        <v>1.8992</v>
      </c>
      <c r="AI1138" s="315">
        <v>2.0508999999999999</v>
      </c>
      <c r="AJ1138" s="315">
        <v>1.6994</v>
      </c>
      <c r="AK1138" s="315">
        <v>1.79</v>
      </c>
      <c r="AL1138" s="315">
        <v>1.8528</v>
      </c>
      <c r="AM1138" s="315">
        <v>1.9823</v>
      </c>
      <c r="AN1138" s="315">
        <v>1.8809</v>
      </c>
      <c r="AO1138" s="315">
        <v>1.9176</v>
      </c>
      <c r="AP1138" s="315">
        <v>2.1192000000000002</v>
      </c>
      <c r="AQ1138" s="315">
        <v>1.7588999999999999</v>
      </c>
      <c r="AR1138" s="315">
        <v>1.9836</v>
      </c>
      <c r="AS1138" s="315">
        <v>1.5206</v>
      </c>
      <c r="AT1138" s="315">
        <v>2.0066999999999999</v>
      </c>
      <c r="AU1138" s="315">
        <v>2.2709000000000001</v>
      </c>
      <c r="AV1138" s="315">
        <v>2.1259999999999999</v>
      </c>
      <c r="AW1138" s="315">
        <v>2.0274000000000001</v>
      </c>
      <c r="AX1138" s="315">
        <v>1.651</v>
      </c>
      <c r="AY1138" s="315">
        <v>2.02</v>
      </c>
      <c r="AZ1138" s="315">
        <v>1.8085</v>
      </c>
      <c r="BA1138" s="315">
        <v>1.6781999999999999</v>
      </c>
      <c r="BB1138" s="315">
        <v>1.5524</v>
      </c>
      <c r="BC1138" s="315">
        <v>2.0204</v>
      </c>
      <c r="BD1138" s="315">
        <v>2.1591999999999998</v>
      </c>
      <c r="BE1138" s="315">
        <v>2.1448</v>
      </c>
      <c r="BF1138" s="315">
        <v>1.897</v>
      </c>
      <c r="BG1138" s="315">
        <v>2.1831</v>
      </c>
      <c r="BH1138" s="315">
        <v>2.0623999999999998</v>
      </c>
      <c r="BI1138" s="315">
        <v>2.2810999999999999</v>
      </c>
      <c r="BJ1138" s="315">
        <v>2.1211000000000002</v>
      </c>
      <c r="BK1138" s="315">
        <v>2.226</v>
      </c>
    </row>
    <row r="1139" spans="1:63" x14ac:dyDescent="0.25">
      <c r="A1139" s="306">
        <v>483000</v>
      </c>
      <c r="B1139" s="315" t="s">
        <v>754</v>
      </c>
      <c r="C1139" s="315">
        <v>2.7343999999999999</v>
      </c>
      <c r="D1139" s="315">
        <v>1.7236</v>
      </c>
      <c r="E1139" s="315">
        <v>1.9723999999999999</v>
      </c>
      <c r="F1139" s="315">
        <v>1.7698</v>
      </c>
      <c r="G1139" s="315">
        <v>1.9268000000000001</v>
      </c>
      <c r="H1139" s="315">
        <v>2.1705999999999999</v>
      </c>
      <c r="I1139" s="315">
        <v>0</v>
      </c>
      <c r="J1139" s="315">
        <v>1.9717</v>
      </c>
      <c r="K1139" s="315">
        <v>1.2612000000000001</v>
      </c>
      <c r="L1139" s="315">
        <v>1.82</v>
      </c>
      <c r="M1139" s="315">
        <v>2.0304000000000002</v>
      </c>
      <c r="N1139" s="315">
        <v>2.125</v>
      </c>
      <c r="O1139" s="315">
        <v>1.8631</v>
      </c>
      <c r="P1139" s="315">
        <v>1.5564</v>
      </c>
      <c r="Q1139" s="315">
        <v>0</v>
      </c>
      <c r="R1139" s="315">
        <v>2.2002000000000002</v>
      </c>
      <c r="S1139" s="315">
        <v>1.8806</v>
      </c>
      <c r="T1139" s="315">
        <v>0</v>
      </c>
      <c r="U1139" s="315">
        <v>1.9581</v>
      </c>
      <c r="V1139" s="315">
        <v>1.9479</v>
      </c>
      <c r="W1139" s="315">
        <v>1.8789</v>
      </c>
      <c r="X1139" s="315">
        <v>1.9117999999999999</v>
      </c>
      <c r="Y1139" s="315">
        <v>1.9208000000000001</v>
      </c>
      <c r="Z1139" s="315">
        <v>1.9469000000000001</v>
      </c>
      <c r="AA1139" s="315">
        <v>1.8460000000000001</v>
      </c>
      <c r="AB1139" s="315">
        <v>1.9752000000000001</v>
      </c>
      <c r="AC1139" s="315">
        <v>1.7732000000000001</v>
      </c>
      <c r="AD1139" s="315">
        <v>0</v>
      </c>
      <c r="AE1139" s="315">
        <v>1.8817999999999999</v>
      </c>
      <c r="AF1139" s="315">
        <v>0</v>
      </c>
      <c r="AG1139" s="315">
        <v>0</v>
      </c>
      <c r="AH1139" s="315">
        <v>0</v>
      </c>
      <c r="AI1139" s="315">
        <v>2.0853999999999999</v>
      </c>
      <c r="AJ1139" s="315">
        <v>1.7148000000000001</v>
      </c>
      <c r="AK1139" s="315">
        <v>1.8431</v>
      </c>
      <c r="AL1139" s="315">
        <v>1.8261000000000001</v>
      </c>
      <c r="AM1139" s="315">
        <v>2.0605000000000002</v>
      </c>
      <c r="AN1139" s="315">
        <v>0</v>
      </c>
      <c r="AO1139" s="315">
        <v>2.0457999999999998</v>
      </c>
      <c r="AP1139" s="315">
        <v>2.0590000000000002</v>
      </c>
      <c r="AQ1139" s="315">
        <v>1.8499000000000001</v>
      </c>
      <c r="AR1139" s="315">
        <v>2.0884</v>
      </c>
      <c r="AS1139" s="315">
        <v>0</v>
      </c>
      <c r="AT1139" s="315">
        <v>2.1055000000000001</v>
      </c>
      <c r="AU1139" s="315">
        <v>2.2715000000000001</v>
      </c>
      <c r="AV1139" s="315">
        <v>2.1358999999999999</v>
      </c>
      <c r="AW1139" s="315">
        <v>2.0893999999999999</v>
      </c>
      <c r="AX1139" s="315">
        <v>1.6886000000000001</v>
      </c>
      <c r="AY1139" s="315">
        <v>2.0781000000000001</v>
      </c>
      <c r="AZ1139" s="315">
        <v>1.8539000000000001</v>
      </c>
      <c r="BA1139" s="315">
        <v>1.6623000000000001</v>
      </c>
      <c r="BB1139" s="315">
        <v>1.4950000000000001</v>
      </c>
      <c r="BC1139" s="315">
        <v>2.0680999999999998</v>
      </c>
      <c r="BD1139" s="315">
        <v>2.1533000000000002</v>
      </c>
      <c r="BE1139" s="315">
        <v>2.1650999999999998</v>
      </c>
      <c r="BF1139" s="315">
        <v>1.8638999999999999</v>
      </c>
      <c r="BG1139" s="315">
        <v>2.2570000000000001</v>
      </c>
      <c r="BH1139" s="315">
        <v>2.1326000000000001</v>
      </c>
      <c r="BI1139" s="315">
        <v>2.2900999999999998</v>
      </c>
      <c r="BJ1139" s="315">
        <v>2.0508000000000002</v>
      </c>
      <c r="BK1139" s="315">
        <v>2.2385000000000002</v>
      </c>
    </row>
    <row r="1140" spans="1:63" x14ac:dyDescent="0.25">
      <c r="A1140" s="306">
        <v>484000</v>
      </c>
      <c r="B1140" s="315" t="s">
        <v>755</v>
      </c>
      <c r="C1140" s="315">
        <v>3.0032000000000001</v>
      </c>
      <c r="D1140" s="315">
        <v>1.8813</v>
      </c>
      <c r="E1140" s="315">
        <v>2.0983999999999998</v>
      </c>
      <c r="F1140" s="315">
        <v>1.9151</v>
      </c>
      <c r="G1140" s="315">
        <v>2.0508000000000002</v>
      </c>
      <c r="H1140" s="315">
        <v>2.3603000000000001</v>
      </c>
      <c r="I1140" s="315">
        <v>2.3096000000000001</v>
      </c>
      <c r="J1140" s="315">
        <v>1.9995000000000001</v>
      </c>
      <c r="K1140" s="315">
        <v>1.2992999999999999</v>
      </c>
      <c r="L1140" s="315">
        <v>1.9369000000000001</v>
      </c>
      <c r="M1140" s="315">
        <v>2.1187999999999998</v>
      </c>
      <c r="N1140" s="315">
        <v>2.3332000000000002</v>
      </c>
      <c r="O1140" s="315">
        <v>2.0078</v>
      </c>
      <c r="P1140" s="315">
        <v>1.7723</v>
      </c>
      <c r="Q1140" s="315">
        <v>1.7603</v>
      </c>
      <c r="R1140" s="315">
        <v>2.4314</v>
      </c>
      <c r="S1140" s="315">
        <v>2.2088000000000001</v>
      </c>
      <c r="T1140" s="315">
        <v>1.9412</v>
      </c>
      <c r="U1140" s="315">
        <v>2.2054999999999998</v>
      </c>
      <c r="V1140" s="315">
        <v>2.0973999999999999</v>
      </c>
      <c r="W1140" s="315">
        <v>2.0266000000000002</v>
      </c>
      <c r="X1140" s="315">
        <v>2.0621999999999998</v>
      </c>
      <c r="Y1140" s="315">
        <v>2.0013999999999998</v>
      </c>
      <c r="Z1140" s="315">
        <v>2.1939000000000002</v>
      </c>
      <c r="AA1140" s="315">
        <v>2.1265999999999998</v>
      </c>
      <c r="AB1140" s="315">
        <v>2.1741000000000001</v>
      </c>
      <c r="AC1140" s="315">
        <v>1.9910000000000001</v>
      </c>
      <c r="AD1140" s="315">
        <v>1.8725000000000001</v>
      </c>
      <c r="AE1140" s="315">
        <v>2.1011000000000002</v>
      </c>
      <c r="AF1140" s="315">
        <v>1.7025999999999999</v>
      </c>
      <c r="AG1140" s="315">
        <v>1.7141999999999999</v>
      </c>
      <c r="AH1140" s="315">
        <v>1.974</v>
      </c>
      <c r="AI1140" s="315">
        <v>2.3119999999999998</v>
      </c>
      <c r="AJ1140" s="315">
        <v>1.9510000000000001</v>
      </c>
      <c r="AK1140" s="315">
        <v>1.8615999999999999</v>
      </c>
      <c r="AL1140" s="315">
        <v>1.9474</v>
      </c>
      <c r="AM1140" s="315">
        <v>2.3689</v>
      </c>
      <c r="AN1140" s="315">
        <v>2.1520999999999999</v>
      </c>
      <c r="AO1140" s="315">
        <v>2.0689000000000002</v>
      </c>
      <c r="AP1140" s="315">
        <v>2.3323</v>
      </c>
      <c r="AQ1140" s="315">
        <v>1.9467000000000001</v>
      </c>
      <c r="AR1140" s="315">
        <v>2.1856</v>
      </c>
      <c r="AS1140" s="315">
        <v>1.6012999999999999</v>
      </c>
      <c r="AT1140" s="315">
        <v>2.2871000000000001</v>
      </c>
      <c r="AU1140" s="315">
        <v>2.4839000000000002</v>
      </c>
      <c r="AV1140" s="315">
        <v>2.3412000000000002</v>
      </c>
      <c r="AW1140" s="315">
        <v>2.1158999999999999</v>
      </c>
      <c r="AX1140" s="315">
        <v>1.8161</v>
      </c>
      <c r="AY1140" s="315">
        <v>2.1585000000000001</v>
      </c>
      <c r="AZ1140" s="315">
        <v>2.0781000000000001</v>
      </c>
      <c r="BA1140" s="315">
        <v>1.8894</v>
      </c>
      <c r="BB1140" s="315">
        <v>1.7012</v>
      </c>
      <c r="BC1140" s="315">
        <v>2.1551999999999998</v>
      </c>
      <c r="BD1140" s="315">
        <v>2.3144</v>
      </c>
      <c r="BE1140" s="315">
        <v>2.4689000000000001</v>
      </c>
      <c r="BF1140" s="315">
        <v>2.1360999999999999</v>
      </c>
      <c r="BG1140" s="315">
        <v>2.3614000000000002</v>
      </c>
      <c r="BH1140" s="315">
        <v>2.3441999999999998</v>
      </c>
      <c r="BI1140" s="315">
        <v>2.4780000000000002</v>
      </c>
      <c r="BJ1140" s="315">
        <v>2.2987000000000002</v>
      </c>
      <c r="BK1140" s="315">
        <v>2.39</v>
      </c>
    </row>
    <row r="1141" spans="1:63" x14ac:dyDescent="0.25">
      <c r="A1141" s="306" t="s">
        <v>756</v>
      </c>
      <c r="B1141" s="315" t="s">
        <v>282</v>
      </c>
      <c r="C1141" s="315">
        <v>3.3119999999999998</v>
      </c>
      <c r="D1141" s="315">
        <v>1.8968</v>
      </c>
      <c r="E1141" s="315">
        <v>2.2282999999999999</v>
      </c>
      <c r="F1141" s="315">
        <v>2.0135999999999998</v>
      </c>
      <c r="G1141" s="315">
        <v>2.0695000000000001</v>
      </c>
      <c r="H1141" s="315">
        <v>2.4988999999999999</v>
      </c>
      <c r="I1141" s="315">
        <v>2.4</v>
      </c>
      <c r="J1141" s="315">
        <v>2.1267</v>
      </c>
      <c r="K1141" s="315">
        <v>1.3359000000000001</v>
      </c>
      <c r="L1141" s="315">
        <v>2.0621</v>
      </c>
      <c r="M1141" s="315">
        <v>2.1038999999999999</v>
      </c>
      <c r="N1141" s="315">
        <v>2.3656000000000001</v>
      </c>
      <c r="O1141" s="315">
        <v>2.0367000000000002</v>
      </c>
      <c r="P1141" s="315">
        <v>1.8482000000000001</v>
      </c>
      <c r="Q1141" s="315">
        <v>1.722</v>
      </c>
      <c r="R1141" s="315">
        <v>2.6372</v>
      </c>
      <c r="S1141" s="315">
        <v>2.3553000000000002</v>
      </c>
      <c r="T1141" s="315">
        <v>2.0341</v>
      </c>
      <c r="U1141" s="315">
        <v>2.2923</v>
      </c>
      <c r="V1141" s="315">
        <v>2.1671</v>
      </c>
      <c r="W1141" s="315">
        <v>2.1613000000000002</v>
      </c>
      <c r="X1141" s="315">
        <v>2.0733999999999999</v>
      </c>
      <c r="Y1141" s="315">
        <v>1.9577</v>
      </c>
      <c r="Z1141" s="315">
        <v>2.327</v>
      </c>
      <c r="AA1141" s="315">
        <v>2.2602000000000002</v>
      </c>
      <c r="AB1141" s="315">
        <v>2.2913000000000001</v>
      </c>
      <c r="AC1141" s="315">
        <v>2.1143000000000001</v>
      </c>
      <c r="AD1141" s="315">
        <v>1.9088000000000001</v>
      </c>
      <c r="AE1141" s="315">
        <v>2.1722999999999999</v>
      </c>
      <c r="AF1141" s="315">
        <v>1.778</v>
      </c>
      <c r="AG1141" s="315">
        <v>1.7662</v>
      </c>
      <c r="AH1141" s="315">
        <v>2.0762</v>
      </c>
      <c r="AI1141" s="315">
        <v>2.3774000000000002</v>
      </c>
      <c r="AJ1141" s="315">
        <v>1.9937</v>
      </c>
      <c r="AK1141" s="315">
        <v>1.8707</v>
      </c>
      <c r="AL1141" s="315">
        <v>2.0228000000000002</v>
      </c>
      <c r="AM1141" s="315">
        <v>2.5171000000000001</v>
      </c>
      <c r="AN1141" s="315">
        <v>2.238</v>
      </c>
      <c r="AO1141" s="315">
        <v>2.0905</v>
      </c>
      <c r="AP1141" s="315">
        <v>2.4872999999999998</v>
      </c>
      <c r="AQ1141" s="315">
        <v>1.95</v>
      </c>
      <c r="AR1141" s="315">
        <v>2.2715999999999998</v>
      </c>
      <c r="AS1141" s="315">
        <v>1.6195999999999999</v>
      </c>
      <c r="AT1141" s="315">
        <v>2.3929</v>
      </c>
      <c r="AU1141" s="315">
        <v>2.6333000000000002</v>
      </c>
      <c r="AV1141" s="315">
        <v>2.5347</v>
      </c>
      <c r="AW1141" s="315">
        <v>2.0979999999999999</v>
      </c>
      <c r="AX1141" s="315">
        <v>1.8812</v>
      </c>
      <c r="AY1141" s="315">
        <v>2.2543000000000002</v>
      </c>
      <c r="AZ1141" s="315">
        <v>2.2330000000000001</v>
      </c>
      <c r="BA1141" s="315">
        <v>1.9978</v>
      </c>
      <c r="BB1141" s="315">
        <v>1.7565</v>
      </c>
      <c r="BC1141" s="315">
        <v>2.2803</v>
      </c>
      <c r="BD1141" s="315">
        <v>2.4209000000000001</v>
      </c>
      <c r="BE1141" s="315">
        <v>2.6644000000000001</v>
      </c>
      <c r="BF1141" s="315">
        <v>2.2517999999999998</v>
      </c>
      <c r="BG1141" s="315">
        <v>2.4335</v>
      </c>
      <c r="BH1141" s="315">
        <v>2.4994999999999998</v>
      </c>
      <c r="BI1141" s="315">
        <v>2.6364999999999998</v>
      </c>
      <c r="BJ1141" s="315">
        <v>2.3818999999999999</v>
      </c>
      <c r="BK1141" s="315">
        <v>2.5165000000000002</v>
      </c>
    </row>
    <row r="1142" spans="1:63" x14ac:dyDescent="0.25">
      <c r="A1142" s="306">
        <v>486000</v>
      </c>
      <c r="B1142" s="315" t="s">
        <v>757</v>
      </c>
      <c r="C1142" s="315">
        <v>3.2197</v>
      </c>
      <c r="D1142" s="315">
        <v>2.0192000000000001</v>
      </c>
      <c r="E1142" s="315">
        <v>2.1474000000000002</v>
      </c>
      <c r="F1142" s="315">
        <v>1.9389000000000001</v>
      </c>
      <c r="G1142" s="315">
        <v>2.0848</v>
      </c>
      <c r="H1142" s="315">
        <v>2.5165000000000002</v>
      </c>
      <c r="I1142" s="315">
        <v>2.4805999999999999</v>
      </c>
      <c r="J1142" s="315">
        <v>1.9950000000000001</v>
      </c>
      <c r="K1142" s="315">
        <v>1.4101999999999999</v>
      </c>
      <c r="L1142" s="315">
        <v>2.0556000000000001</v>
      </c>
      <c r="M1142" s="315">
        <v>2.1396999999999999</v>
      </c>
      <c r="N1142" s="315">
        <v>2.2879</v>
      </c>
      <c r="O1142" s="315">
        <v>0</v>
      </c>
      <c r="P1142" s="315">
        <v>1.7381</v>
      </c>
      <c r="Q1142" s="315">
        <v>1.7750999999999999</v>
      </c>
      <c r="R1142" s="315">
        <v>2.4828999999999999</v>
      </c>
      <c r="S1142" s="315">
        <v>2.2887</v>
      </c>
      <c r="T1142" s="315">
        <v>2.1156000000000001</v>
      </c>
      <c r="U1142" s="315">
        <v>2.2427000000000001</v>
      </c>
      <c r="V1142" s="315">
        <v>2.3113000000000001</v>
      </c>
      <c r="W1142" s="315">
        <v>2.1238000000000001</v>
      </c>
      <c r="X1142" s="315">
        <v>2.1154999999999999</v>
      </c>
      <c r="Y1142" s="315">
        <v>1.9008</v>
      </c>
      <c r="Z1142" s="315">
        <v>2.2067000000000001</v>
      </c>
      <c r="AA1142" s="315">
        <v>2.1840999999999999</v>
      </c>
      <c r="AB1142" s="315">
        <v>2.2067000000000001</v>
      </c>
      <c r="AC1142" s="315">
        <v>2.101</v>
      </c>
      <c r="AD1142" s="315">
        <v>2.0133999999999999</v>
      </c>
      <c r="AE1142" s="315">
        <v>2.0514000000000001</v>
      </c>
      <c r="AF1142" s="315">
        <v>1.8339000000000001</v>
      </c>
      <c r="AG1142" s="315">
        <v>1.7141</v>
      </c>
      <c r="AH1142" s="315">
        <v>1.921</v>
      </c>
      <c r="AI1142" s="315">
        <v>2.3654000000000002</v>
      </c>
      <c r="AJ1142" s="315">
        <v>2.1031</v>
      </c>
      <c r="AK1142" s="315">
        <v>1.8814</v>
      </c>
      <c r="AL1142" s="315">
        <v>1.9459</v>
      </c>
      <c r="AM1142" s="315">
        <v>2.38</v>
      </c>
      <c r="AN1142" s="315">
        <v>2.3412000000000002</v>
      </c>
      <c r="AO1142" s="315">
        <v>2.1074000000000002</v>
      </c>
      <c r="AP1142" s="315">
        <v>2.4821</v>
      </c>
      <c r="AQ1142" s="315">
        <v>1.9498</v>
      </c>
      <c r="AR1142" s="315">
        <v>2.1869999999999998</v>
      </c>
      <c r="AS1142" s="315">
        <v>1.5769</v>
      </c>
      <c r="AT1142" s="315">
        <v>2.2765</v>
      </c>
      <c r="AU1142" s="315">
        <v>2.7589000000000001</v>
      </c>
      <c r="AV1142" s="315">
        <v>2.4824999999999999</v>
      </c>
      <c r="AW1142" s="315">
        <v>2.1818</v>
      </c>
      <c r="AX1142" s="315">
        <v>0</v>
      </c>
      <c r="AY1142" s="315">
        <v>2.2328999999999999</v>
      </c>
      <c r="AZ1142" s="315">
        <v>2.0665</v>
      </c>
      <c r="BA1142" s="315">
        <v>1.96</v>
      </c>
      <c r="BB1142" s="315">
        <v>1.8894</v>
      </c>
      <c r="BC1142" s="315">
        <v>2.1920999999999999</v>
      </c>
      <c r="BD1142" s="315">
        <v>2.3355000000000001</v>
      </c>
      <c r="BE1142" s="315">
        <v>2.5042</v>
      </c>
      <c r="BF1142" s="315">
        <v>2.1745999999999999</v>
      </c>
      <c r="BG1142" s="315">
        <v>2.4079999999999999</v>
      </c>
      <c r="BH1142" s="315">
        <v>2.4178000000000002</v>
      </c>
      <c r="BI1142" s="315">
        <v>2.7503000000000002</v>
      </c>
      <c r="BJ1142" s="315">
        <v>2.4664999999999999</v>
      </c>
      <c r="BK1142" s="315">
        <v>2.5548999999999999</v>
      </c>
    </row>
    <row r="1143" spans="1:63" x14ac:dyDescent="0.25">
      <c r="A1143" s="306" t="s">
        <v>758</v>
      </c>
      <c r="B1143" s="315" t="s">
        <v>283</v>
      </c>
      <c r="C1143" s="315">
        <v>3.0274000000000001</v>
      </c>
      <c r="D1143" s="315">
        <v>1.8985000000000001</v>
      </c>
      <c r="E1143" s="315">
        <v>2.1278999999999999</v>
      </c>
      <c r="F1143" s="315">
        <v>1.9648000000000001</v>
      </c>
      <c r="G1143" s="315">
        <v>2.1827000000000001</v>
      </c>
      <c r="H1143" s="315">
        <v>2.4474999999999998</v>
      </c>
      <c r="I1143" s="315">
        <v>2.3915000000000002</v>
      </c>
      <c r="J1143" s="315">
        <v>2.0724999999999998</v>
      </c>
      <c r="K1143" s="315">
        <v>1.3052999999999999</v>
      </c>
      <c r="L1143" s="315">
        <v>1.9939</v>
      </c>
      <c r="M1143" s="315">
        <v>2.2730000000000001</v>
      </c>
      <c r="N1143" s="315">
        <v>2.4211</v>
      </c>
      <c r="O1143" s="315">
        <v>2.1061999999999999</v>
      </c>
      <c r="P1143" s="315">
        <v>1.7407999999999999</v>
      </c>
      <c r="Q1143" s="315">
        <v>1.8216000000000001</v>
      </c>
      <c r="R1143" s="315">
        <v>2.4430000000000001</v>
      </c>
      <c r="S1143" s="315">
        <v>2.1808000000000001</v>
      </c>
      <c r="T1143" s="315">
        <v>1.9219999999999999</v>
      </c>
      <c r="U1143" s="315">
        <v>2.1305999999999998</v>
      </c>
      <c r="V1143" s="315">
        <v>2.0977000000000001</v>
      </c>
      <c r="W1143" s="315">
        <v>2.1360000000000001</v>
      </c>
      <c r="X1143" s="315">
        <v>2.1901000000000002</v>
      </c>
      <c r="Y1143" s="315">
        <v>2.0731999999999999</v>
      </c>
      <c r="Z1143" s="315">
        <v>2.2239</v>
      </c>
      <c r="AA1143" s="315">
        <v>2.1678999999999999</v>
      </c>
      <c r="AB1143" s="315">
        <v>2.2118000000000002</v>
      </c>
      <c r="AC1143" s="315">
        <v>1.9500999999999999</v>
      </c>
      <c r="AD1143" s="315">
        <v>1.8920999999999999</v>
      </c>
      <c r="AE1143" s="315">
        <v>2.1456</v>
      </c>
      <c r="AF1143" s="315">
        <v>1.6568000000000001</v>
      </c>
      <c r="AG1143" s="315">
        <v>1.7559</v>
      </c>
      <c r="AH1143" s="315">
        <v>2.0771000000000002</v>
      </c>
      <c r="AI1143" s="315">
        <v>2.3723000000000001</v>
      </c>
      <c r="AJ1143" s="315">
        <v>1.9857</v>
      </c>
      <c r="AK1143" s="315">
        <v>2.0145</v>
      </c>
      <c r="AL1143" s="315">
        <v>2.0607000000000002</v>
      </c>
      <c r="AM1143" s="315">
        <v>2.3875000000000002</v>
      </c>
      <c r="AN1143" s="315">
        <v>2.1480000000000001</v>
      </c>
      <c r="AO1143" s="315">
        <v>2.1263999999999998</v>
      </c>
      <c r="AP1143" s="315">
        <v>2.343</v>
      </c>
      <c r="AQ1143" s="315">
        <v>2.0415000000000001</v>
      </c>
      <c r="AR1143" s="315">
        <v>2.2441</v>
      </c>
      <c r="AS1143" s="315">
        <v>1.633</v>
      </c>
      <c r="AT1143" s="315">
        <v>2.3207</v>
      </c>
      <c r="AU1143" s="315">
        <v>2.5070000000000001</v>
      </c>
      <c r="AV1143" s="315">
        <v>2.3976999999999999</v>
      </c>
      <c r="AW1143" s="315">
        <v>2.2132000000000001</v>
      </c>
      <c r="AX1143" s="315">
        <v>1.9208000000000001</v>
      </c>
      <c r="AY1143" s="315">
        <v>2.2381000000000002</v>
      </c>
      <c r="AZ1143" s="315">
        <v>2.1038999999999999</v>
      </c>
      <c r="BA1143" s="315">
        <v>1.871</v>
      </c>
      <c r="BB1143" s="315">
        <v>1.6485000000000001</v>
      </c>
      <c r="BC1143" s="315">
        <v>2.2816999999999998</v>
      </c>
      <c r="BD1143" s="315">
        <v>2.4367999999999999</v>
      </c>
      <c r="BE1143" s="315">
        <v>2.4921000000000002</v>
      </c>
      <c r="BF1143" s="315">
        <v>2.1554000000000002</v>
      </c>
      <c r="BG1143" s="315">
        <v>2.4887000000000001</v>
      </c>
      <c r="BH1143" s="315">
        <v>2.3441999999999998</v>
      </c>
      <c r="BI1143" s="315">
        <v>2.4982000000000002</v>
      </c>
      <c r="BJ1143" s="315">
        <v>2.3601999999999999</v>
      </c>
      <c r="BK1143" s="315">
        <v>2.4784000000000002</v>
      </c>
    </row>
    <row r="1144" spans="1:63" x14ac:dyDescent="0.25">
      <c r="A1144" s="306">
        <v>491000</v>
      </c>
      <c r="B1144" s="315" t="s">
        <v>759</v>
      </c>
      <c r="C1144" s="315">
        <v>2.7513999999999998</v>
      </c>
      <c r="D1144" s="315">
        <v>1.7793000000000001</v>
      </c>
      <c r="E1144" s="315">
        <v>1.9944999999999999</v>
      </c>
      <c r="F1144" s="315">
        <v>1.82</v>
      </c>
      <c r="G1144" s="315">
        <v>2.0259</v>
      </c>
      <c r="H1144" s="315">
        <v>2.2120000000000002</v>
      </c>
      <c r="I1144" s="315">
        <v>2.1882999999999999</v>
      </c>
      <c r="J1144" s="315">
        <v>1.9401999999999999</v>
      </c>
      <c r="K1144" s="315">
        <v>1.1919</v>
      </c>
      <c r="L1144" s="315">
        <v>1.8620000000000001</v>
      </c>
      <c r="M1144" s="315">
        <v>2.0781000000000001</v>
      </c>
      <c r="N1144" s="315">
        <v>2.1854</v>
      </c>
      <c r="O1144" s="315">
        <v>1.9321999999999999</v>
      </c>
      <c r="P1144" s="315">
        <v>1.7196</v>
      </c>
      <c r="Q1144" s="315">
        <v>1.7225999999999999</v>
      </c>
      <c r="R1144" s="315">
        <v>2.2618</v>
      </c>
      <c r="S1144" s="315">
        <v>2.0366</v>
      </c>
      <c r="T1144" s="315">
        <v>1.7522</v>
      </c>
      <c r="U1144" s="315">
        <v>2.0215999999999998</v>
      </c>
      <c r="V1144" s="315">
        <v>1.9205000000000001</v>
      </c>
      <c r="W1144" s="315">
        <v>2.0005000000000002</v>
      </c>
      <c r="X1144" s="315">
        <v>1.9644999999999999</v>
      </c>
      <c r="Y1144" s="315">
        <v>1.9196</v>
      </c>
      <c r="Z1144" s="315">
        <v>2.0865</v>
      </c>
      <c r="AA1144" s="315">
        <v>2.0402999999999998</v>
      </c>
      <c r="AB1144" s="315">
        <v>2.0878000000000001</v>
      </c>
      <c r="AC1144" s="315">
        <v>1.8635999999999999</v>
      </c>
      <c r="AD1144" s="315">
        <v>1.7776000000000001</v>
      </c>
      <c r="AE1144" s="315">
        <v>2.0038</v>
      </c>
      <c r="AF1144" s="315">
        <v>1.6373</v>
      </c>
      <c r="AG1144" s="315">
        <v>1.665</v>
      </c>
      <c r="AH1144" s="315">
        <v>1.9085000000000001</v>
      </c>
      <c r="AI1144" s="315">
        <v>2.1307999999999998</v>
      </c>
      <c r="AJ1144" s="315">
        <v>1.8265</v>
      </c>
      <c r="AK1144" s="315">
        <v>1.8525</v>
      </c>
      <c r="AL1144" s="315">
        <v>1.9308000000000001</v>
      </c>
      <c r="AM1144" s="315">
        <v>2.1631</v>
      </c>
      <c r="AN1144" s="315">
        <v>1.9921</v>
      </c>
      <c r="AO1144" s="315">
        <v>1.9661999999999999</v>
      </c>
      <c r="AP1144" s="315">
        <v>2.1766999999999999</v>
      </c>
      <c r="AQ1144" s="315">
        <v>1.8891</v>
      </c>
      <c r="AR1144" s="315">
        <v>2.0516000000000001</v>
      </c>
      <c r="AS1144" s="315">
        <v>1.6335999999999999</v>
      </c>
      <c r="AT1144" s="315">
        <v>2.1705000000000001</v>
      </c>
      <c r="AU1144" s="315">
        <v>2.2966000000000002</v>
      </c>
      <c r="AV1144" s="315">
        <v>2.2073999999999998</v>
      </c>
      <c r="AW1144" s="315">
        <v>1.9922</v>
      </c>
      <c r="AX1144" s="315">
        <v>1.7794000000000001</v>
      </c>
      <c r="AY1144" s="315">
        <v>2.0621999999999998</v>
      </c>
      <c r="AZ1144" s="315">
        <v>2.0127999999999999</v>
      </c>
      <c r="BA1144" s="315">
        <v>1.7881</v>
      </c>
      <c r="BB1144" s="315">
        <v>1.5996999999999999</v>
      </c>
      <c r="BC1144" s="315">
        <v>2.1181999999999999</v>
      </c>
      <c r="BD1144" s="315">
        <v>2.2143999999999999</v>
      </c>
      <c r="BE1144" s="315">
        <v>2.2932000000000001</v>
      </c>
      <c r="BF1144" s="315">
        <v>2.0402</v>
      </c>
      <c r="BG1144" s="315">
        <v>2.2627000000000002</v>
      </c>
      <c r="BH1144" s="315">
        <v>2.1684000000000001</v>
      </c>
      <c r="BI1144" s="315">
        <v>2.2938999999999998</v>
      </c>
      <c r="BJ1144" s="315">
        <v>2.1705999999999999</v>
      </c>
      <c r="BK1144" s="315">
        <v>2.2393999999999998</v>
      </c>
    </row>
    <row r="1145" spans="1:63" x14ac:dyDescent="0.25">
      <c r="A1145" s="306">
        <v>492000</v>
      </c>
      <c r="B1145" s="315" t="s">
        <v>284</v>
      </c>
      <c r="C1145" s="315">
        <v>2.6482999999999999</v>
      </c>
      <c r="D1145" s="315">
        <v>1.7370000000000001</v>
      </c>
      <c r="E1145" s="315">
        <v>1.8671</v>
      </c>
      <c r="F1145" s="315">
        <v>1.7768999999999999</v>
      </c>
      <c r="G1145" s="315">
        <v>1.8808</v>
      </c>
      <c r="H1145" s="315">
        <v>2.1783999999999999</v>
      </c>
      <c r="I1145" s="315">
        <v>2.1139999999999999</v>
      </c>
      <c r="J1145" s="315">
        <v>1.8424</v>
      </c>
      <c r="K1145" s="315">
        <v>1.2493000000000001</v>
      </c>
      <c r="L1145" s="315">
        <v>1.8091999999999999</v>
      </c>
      <c r="M1145" s="315">
        <v>1.9487000000000001</v>
      </c>
      <c r="N1145" s="315">
        <v>2.0823999999999998</v>
      </c>
      <c r="O1145" s="315">
        <v>1.9021999999999999</v>
      </c>
      <c r="P1145" s="315">
        <v>1.5795999999999999</v>
      </c>
      <c r="Q1145" s="315">
        <v>1.6013999999999999</v>
      </c>
      <c r="R1145" s="315">
        <v>2.1697000000000002</v>
      </c>
      <c r="S1145" s="315">
        <v>1.9691000000000001</v>
      </c>
      <c r="T1145" s="315">
        <v>1.7417</v>
      </c>
      <c r="U1145" s="315">
        <v>1.9148000000000001</v>
      </c>
      <c r="V1145" s="315">
        <v>1.9462999999999999</v>
      </c>
      <c r="W1145" s="315">
        <v>1.8731</v>
      </c>
      <c r="X1145" s="315">
        <v>1.8834</v>
      </c>
      <c r="Y1145" s="315">
        <v>1.7919</v>
      </c>
      <c r="Z1145" s="315">
        <v>1.9373</v>
      </c>
      <c r="AA1145" s="315">
        <v>1.9493</v>
      </c>
      <c r="AB1145" s="315">
        <v>1.9603999999999999</v>
      </c>
      <c r="AC1145" s="315">
        <v>1.8116000000000001</v>
      </c>
      <c r="AD1145" s="315">
        <v>1.7181</v>
      </c>
      <c r="AE1145" s="315">
        <v>1.8887</v>
      </c>
      <c r="AF1145" s="315">
        <v>1.5651999999999999</v>
      </c>
      <c r="AG1145" s="315">
        <v>1.5550999999999999</v>
      </c>
      <c r="AH1145" s="315">
        <v>1.8324</v>
      </c>
      <c r="AI1145" s="315">
        <v>2.0903999999999998</v>
      </c>
      <c r="AJ1145" s="315">
        <v>1.7911999999999999</v>
      </c>
      <c r="AK1145" s="315">
        <v>1.7694000000000001</v>
      </c>
      <c r="AL1145" s="315">
        <v>1.7977000000000001</v>
      </c>
      <c r="AM1145" s="315">
        <v>2.0781999999999998</v>
      </c>
      <c r="AN1145" s="315">
        <v>1.9682999999999999</v>
      </c>
      <c r="AO1145" s="315">
        <v>1.8509</v>
      </c>
      <c r="AP1145" s="315">
        <v>2.0728</v>
      </c>
      <c r="AQ1145" s="315">
        <v>1.7828999999999999</v>
      </c>
      <c r="AR1145" s="315">
        <v>1.9316</v>
      </c>
      <c r="AS1145" s="315">
        <v>1.4741</v>
      </c>
      <c r="AT1145" s="315">
        <v>1.9819</v>
      </c>
      <c r="AU1145" s="315">
        <v>2.2378999999999998</v>
      </c>
      <c r="AV1145" s="315">
        <v>2.1518000000000002</v>
      </c>
      <c r="AW1145" s="315">
        <v>1.93</v>
      </c>
      <c r="AX1145" s="315">
        <v>1.6534</v>
      </c>
      <c r="AY1145" s="315">
        <v>2.0009000000000001</v>
      </c>
      <c r="AZ1145" s="315">
        <v>1.8535999999999999</v>
      </c>
      <c r="BA1145" s="315">
        <v>1.7027000000000001</v>
      </c>
      <c r="BB1145" s="315">
        <v>1.5888</v>
      </c>
      <c r="BC1145" s="315">
        <v>1.9715</v>
      </c>
      <c r="BD1145" s="315">
        <v>2.0991</v>
      </c>
      <c r="BE1145" s="315">
        <v>2.1667000000000001</v>
      </c>
      <c r="BF1145" s="315">
        <v>1.925</v>
      </c>
      <c r="BG1145" s="315">
        <v>2.1269</v>
      </c>
      <c r="BH1145" s="315">
        <v>2.0327999999999999</v>
      </c>
      <c r="BI1145" s="315">
        <v>2.2443</v>
      </c>
      <c r="BJ1145" s="315">
        <v>2.1021999999999998</v>
      </c>
      <c r="BK1145" s="315">
        <v>2.2010999999999998</v>
      </c>
    </row>
    <row r="1146" spans="1:63" x14ac:dyDescent="0.25">
      <c r="A1146" s="306">
        <v>493000</v>
      </c>
      <c r="B1146" s="315" t="s">
        <v>285</v>
      </c>
      <c r="C1146" s="315">
        <v>2.8127</v>
      </c>
      <c r="D1146" s="315">
        <v>1.7473000000000001</v>
      </c>
      <c r="E1146" s="315">
        <v>2.0249000000000001</v>
      </c>
      <c r="F1146" s="315">
        <v>1.8793</v>
      </c>
      <c r="G1146" s="315">
        <v>2.0506000000000002</v>
      </c>
      <c r="H1146" s="315">
        <v>2.2805</v>
      </c>
      <c r="I1146" s="315">
        <v>2.2423999999999999</v>
      </c>
      <c r="J1146" s="315">
        <v>1.9875</v>
      </c>
      <c r="K1146" s="315">
        <v>1.2866</v>
      </c>
      <c r="L1146" s="315">
        <v>1.8745000000000001</v>
      </c>
      <c r="M1146" s="315">
        <v>2.12</v>
      </c>
      <c r="N1146" s="315">
        <v>2.2959000000000001</v>
      </c>
      <c r="O1146" s="315">
        <v>1.9318</v>
      </c>
      <c r="P1146" s="315">
        <v>1.7535000000000001</v>
      </c>
      <c r="Q1146" s="315">
        <v>1.7081999999999999</v>
      </c>
      <c r="R1146" s="315">
        <v>2.3384999999999998</v>
      </c>
      <c r="S1146" s="315">
        <v>2.0922999999999998</v>
      </c>
      <c r="T1146" s="315">
        <v>1.8411</v>
      </c>
      <c r="U1146" s="315">
        <v>2.0489999999999999</v>
      </c>
      <c r="V1146" s="315">
        <v>1.9824999999999999</v>
      </c>
      <c r="W1146" s="315">
        <v>2.0062000000000002</v>
      </c>
      <c r="X1146" s="315">
        <v>2.0644999999999998</v>
      </c>
      <c r="Y1146" s="315">
        <v>1.9578</v>
      </c>
      <c r="Z1146" s="315">
        <v>2.1263000000000001</v>
      </c>
      <c r="AA1146" s="315">
        <v>2.0813000000000001</v>
      </c>
      <c r="AB1146" s="315">
        <v>2.1366000000000001</v>
      </c>
      <c r="AC1146" s="315">
        <v>1.8640000000000001</v>
      </c>
      <c r="AD1146" s="315">
        <v>1.7186999999999999</v>
      </c>
      <c r="AE1146" s="315">
        <v>2.0402999999999998</v>
      </c>
      <c r="AF1146" s="315">
        <v>1.6013999999999999</v>
      </c>
      <c r="AG1146" s="315">
        <v>1.6948000000000001</v>
      </c>
      <c r="AH1146" s="315">
        <v>2.0337000000000001</v>
      </c>
      <c r="AI1146" s="315">
        <v>2.2042999999999999</v>
      </c>
      <c r="AJ1146" s="315">
        <v>1.7737000000000001</v>
      </c>
      <c r="AK1146" s="315">
        <v>1.9274</v>
      </c>
      <c r="AL1146" s="315">
        <v>1.9423999999999999</v>
      </c>
      <c r="AM1146" s="315">
        <v>2.2614999999999998</v>
      </c>
      <c r="AN1146" s="315">
        <v>1.9724999999999999</v>
      </c>
      <c r="AO1146" s="315">
        <v>2.0286</v>
      </c>
      <c r="AP1146" s="315">
        <v>2.2608000000000001</v>
      </c>
      <c r="AQ1146" s="315">
        <v>1.9635</v>
      </c>
      <c r="AR1146" s="315">
        <v>2.1315</v>
      </c>
      <c r="AS1146" s="315">
        <v>1.5851</v>
      </c>
      <c r="AT1146" s="315">
        <v>2.2149999999999999</v>
      </c>
      <c r="AU1146" s="315">
        <v>2.3597999999999999</v>
      </c>
      <c r="AV1146" s="315">
        <v>2.2448000000000001</v>
      </c>
      <c r="AW1146" s="315">
        <v>2.117</v>
      </c>
      <c r="AX1146" s="315">
        <v>1.7204999999999999</v>
      </c>
      <c r="AY1146" s="315">
        <v>2.1055000000000001</v>
      </c>
      <c r="AZ1146" s="315">
        <v>2.0687000000000002</v>
      </c>
      <c r="BA1146" s="315">
        <v>1.7896000000000001</v>
      </c>
      <c r="BB1146" s="315">
        <v>1.6079000000000001</v>
      </c>
      <c r="BC1146" s="315">
        <v>2.1842000000000001</v>
      </c>
      <c r="BD1146" s="315">
        <v>2.3064</v>
      </c>
      <c r="BE1146" s="315">
        <v>2.3603000000000001</v>
      </c>
      <c r="BF1146" s="315">
        <v>2.0796000000000001</v>
      </c>
      <c r="BG1146" s="315">
        <v>2.3448000000000002</v>
      </c>
      <c r="BH1146" s="315">
        <v>2.2120000000000002</v>
      </c>
      <c r="BI1146" s="315">
        <v>2.3580999999999999</v>
      </c>
      <c r="BJ1146" s="315">
        <v>2.2122999999999999</v>
      </c>
      <c r="BK1146" s="315">
        <v>2.3025000000000002</v>
      </c>
    </row>
    <row r="1147" spans="1:63" x14ac:dyDescent="0.25">
      <c r="A1147" s="306" t="s">
        <v>760</v>
      </c>
      <c r="B1147" s="315" t="s">
        <v>761</v>
      </c>
      <c r="C1147" s="315">
        <v>2.5341999999999998</v>
      </c>
      <c r="D1147" s="315">
        <v>1.6088</v>
      </c>
      <c r="E1147" s="315">
        <v>1.8438000000000001</v>
      </c>
      <c r="F1147" s="315">
        <v>1.7170000000000001</v>
      </c>
      <c r="G1147" s="315">
        <v>1.8720000000000001</v>
      </c>
      <c r="H1147" s="315">
        <v>2.0630999999999999</v>
      </c>
      <c r="I1147" s="315">
        <v>2.0467</v>
      </c>
      <c r="J1147" s="315">
        <v>1.8428</v>
      </c>
      <c r="K1147" s="315">
        <v>1.2965</v>
      </c>
      <c r="L1147" s="315">
        <v>1.7061999999999999</v>
      </c>
      <c r="M1147" s="315">
        <v>1.9347000000000001</v>
      </c>
      <c r="N1147" s="315">
        <v>2.0853000000000002</v>
      </c>
      <c r="O1147" s="315">
        <v>1.7766</v>
      </c>
      <c r="P1147" s="315">
        <v>1.6313</v>
      </c>
      <c r="Q1147" s="315">
        <v>1.6027</v>
      </c>
      <c r="R1147" s="315">
        <v>2.1274999999999999</v>
      </c>
      <c r="S1147" s="315">
        <v>1.8868</v>
      </c>
      <c r="T1147" s="315">
        <v>1.6698</v>
      </c>
      <c r="U1147" s="315">
        <v>1.8747</v>
      </c>
      <c r="V1147" s="315">
        <v>1.7630999999999999</v>
      </c>
      <c r="W1147" s="315">
        <v>1.8973</v>
      </c>
      <c r="X1147" s="315">
        <v>1.8656999999999999</v>
      </c>
      <c r="Y1147" s="315">
        <v>1.7999000000000001</v>
      </c>
      <c r="Z1147" s="315">
        <v>1.9455</v>
      </c>
      <c r="AA1147" s="315">
        <v>1.9336</v>
      </c>
      <c r="AB1147" s="315">
        <v>1.9762999999999999</v>
      </c>
      <c r="AC1147" s="315">
        <v>1.6942999999999999</v>
      </c>
      <c r="AD1147" s="315">
        <v>1.6212</v>
      </c>
      <c r="AE1147" s="315">
        <v>1.8775999999999999</v>
      </c>
      <c r="AF1147" s="315">
        <v>1.5101</v>
      </c>
      <c r="AG1147" s="315">
        <v>1.6008</v>
      </c>
      <c r="AH1147" s="315">
        <v>1.8010999999999999</v>
      </c>
      <c r="AI1147" s="315">
        <v>1.9959</v>
      </c>
      <c r="AJ1147" s="315">
        <v>1.6535</v>
      </c>
      <c r="AK1147" s="315">
        <v>1.7416</v>
      </c>
      <c r="AL1147" s="315">
        <v>1.8319000000000001</v>
      </c>
      <c r="AM1147" s="315">
        <v>2.0316999999999998</v>
      </c>
      <c r="AN1147" s="315">
        <v>1.8151999999999999</v>
      </c>
      <c r="AO1147" s="315">
        <v>1.875</v>
      </c>
      <c r="AP1147" s="315">
        <v>2.0461999999999998</v>
      </c>
      <c r="AQ1147" s="315">
        <v>1.7652000000000001</v>
      </c>
      <c r="AR1147" s="315">
        <v>1.9179999999999999</v>
      </c>
      <c r="AS1147" s="315">
        <v>1.5122</v>
      </c>
      <c r="AT1147" s="315">
        <v>2.0356999999999998</v>
      </c>
      <c r="AU1147" s="315">
        <v>2.1065999999999998</v>
      </c>
      <c r="AV1147" s="315">
        <v>2.0402999999999998</v>
      </c>
      <c r="AW1147" s="315">
        <v>1.9160999999999999</v>
      </c>
      <c r="AX1147" s="315">
        <v>1.6866000000000001</v>
      </c>
      <c r="AY1147" s="315">
        <v>1.9101999999999999</v>
      </c>
      <c r="AZ1147" s="315">
        <v>1.8867</v>
      </c>
      <c r="BA1147" s="315">
        <v>1.6357999999999999</v>
      </c>
      <c r="BB1147" s="315">
        <v>1.4776</v>
      </c>
      <c r="BC1147" s="315">
        <v>1.9967999999999999</v>
      </c>
      <c r="BD1147" s="315">
        <v>2.0981999999999998</v>
      </c>
      <c r="BE1147" s="315">
        <v>2.1356000000000002</v>
      </c>
      <c r="BF1147" s="315">
        <v>1.9198999999999999</v>
      </c>
      <c r="BG1147" s="315">
        <v>2.1206</v>
      </c>
      <c r="BH1147" s="315">
        <v>2.0062000000000002</v>
      </c>
      <c r="BI1147" s="315">
        <v>2.1063000000000001</v>
      </c>
      <c r="BJ1147" s="315">
        <v>2.0065</v>
      </c>
      <c r="BK1147" s="315">
        <v>2.0834999999999999</v>
      </c>
    </row>
    <row r="1148" spans="1:63" x14ac:dyDescent="0.25">
      <c r="A1148" s="306">
        <v>511110</v>
      </c>
      <c r="B1148" s="315" t="s">
        <v>286</v>
      </c>
      <c r="C1148" s="315">
        <v>2.6341000000000001</v>
      </c>
      <c r="D1148" s="315">
        <v>1.5918000000000001</v>
      </c>
      <c r="E1148" s="315">
        <v>1.8567</v>
      </c>
      <c r="F1148" s="315">
        <v>1.7818000000000001</v>
      </c>
      <c r="G1148" s="315">
        <v>1.8792</v>
      </c>
      <c r="H1148" s="315">
        <v>2.1038999999999999</v>
      </c>
      <c r="I1148" s="315">
        <v>2.0743999999999998</v>
      </c>
      <c r="J1148" s="315">
        <v>1.9104000000000001</v>
      </c>
      <c r="K1148" s="315">
        <v>1.3426</v>
      </c>
      <c r="L1148" s="315">
        <v>1.7173</v>
      </c>
      <c r="M1148" s="315">
        <v>1.9597</v>
      </c>
      <c r="N1148" s="315">
        <v>2.1778</v>
      </c>
      <c r="O1148" s="315">
        <v>1.7582</v>
      </c>
      <c r="P1148" s="315">
        <v>1.6291</v>
      </c>
      <c r="Q1148" s="315">
        <v>1.6402000000000001</v>
      </c>
      <c r="R1148" s="315">
        <v>2.1707999999999998</v>
      </c>
      <c r="S1148" s="315">
        <v>1.8923000000000001</v>
      </c>
      <c r="T1148" s="315">
        <v>1.7096</v>
      </c>
      <c r="U1148" s="315">
        <v>1.9424999999999999</v>
      </c>
      <c r="V1148" s="315">
        <v>1.8109</v>
      </c>
      <c r="W1148" s="315">
        <v>2.0265</v>
      </c>
      <c r="X1148" s="315">
        <v>1.9111</v>
      </c>
      <c r="Y1148" s="315">
        <v>1.8794</v>
      </c>
      <c r="Z1148" s="315">
        <v>2.0198</v>
      </c>
      <c r="AA1148" s="315">
        <v>2.0312999999999999</v>
      </c>
      <c r="AB1148" s="315">
        <v>1.9859</v>
      </c>
      <c r="AC1148" s="315">
        <v>1.6999</v>
      </c>
      <c r="AD1148" s="315">
        <v>1.6204000000000001</v>
      </c>
      <c r="AE1148" s="315">
        <v>1.9496</v>
      </c>
      <c r="AF1148" s="315">
        <v>1.4927999999999999</v>
      </c>
      <c r="AG1148" s="315">
        <v>1.6337999999999999</v>
      </c>
      <c r="AH1148" s="315">
        <v>1.8948</v>
      </c>
      <c r="AI1148" s="315">
        <v>2.0541999999999998</v>
      </c>
      <c r="AJ1148" s="315">
        <v>1.6500999999999999</v>
      </c>
      <c r="AK1148" s="315">
        <v>1.7166999999999999</v>
      </c>
      <c r="AL1148" s="315">
        <v>1.8472</v>
      </c>
      <c r="AM1148" s="315">
        <v>2.1173000000000002</v>
      </c>
      <c r="AN1148" s="315">
        <v>1.8513999999999999</v>
      </c>
      <c r="AO1148" s="315">
        <v>1.9857</v>
      </c>
      <c r="AP1148" s="315">
        <v>2.1360000000000001</v>
      </c>
      <c r="AQ1148" s="315">
        <v>1.8567</v>
      </c>
      <c r="AR1148" s="315">
        <v>1.9261999999999999</v>
      </c>
      <c r="AS1148" s="315">
        <v>1.5015000000000001</v>
      </c>
      <c r="AT1148" s="315">
        <v>2.0771000000000002</v>
      </c>
      <c r="AU1148" s="315">
        <v>2.1303999999999998</v>
      </c>
      <c r="AV1148" s="315">
        <v>2.0748000000000002</v>
      </c>
      <c r="AW1148" s="315">
        <v>1.9794</v>
      </c>
      <c r="AX1148" s="315">
        <v>1.7262</v>
      </c>
      <c r="AY1148" s="315">
        <v>1.9902</v>
      </c>
      <c r="AZ1148" s="315">
        <v>1.9676</v>
      </c>
      <c r="BA1148" s="315">
        <v>1.6223000000000001</v>
      </c>
      <c r="BB1148" s="315">
        <v>1.4674</v>
      </c>
      <c r="BC1148" s="315">
        <v>2.1194000000000002</v>
      </c>
      <c r="BD1148" s="315">
        <v>2.1739999999999999</v>
      </c>
      <c r="BE1148" s="315">
        <v>2.2187999999999999</v>
      </c>
      <c r="BF1148" s="315">
        <v>1.9890000000000001</v>
      </c>
      <c r="BG1148" s="315">
        <v>2.2025000000000001</v>
      </c>
      <c r="BH1148" s="315">
        <v>2.0476999999999999</v>
      </c>
      <c r="BI1148" s="315">
        <v>2.1642999999999999</v>
      </c>
      <c r="BJ1148" s="315">
        <v>2.0244</v>
      </c>
      <c r="BK1148" s="315">
        <v>2.1493000000000002</v>
      </c>
    </row>
    <row r="1149" spans="1:63" x14ac:dyDescent="0.25">
      <c r="A1149" s="306">
        <v>511120</v>
      </c>
      <c r="B1149" s="315" t="s">
        <v>287</v>
      </c>
      <c r="C1149" s="315">
        <v>2.9045999999999998</v>
      </c>
      <c r="D1149" s="315">
        <v>1.6729000000000001</v>
      </c>
      <c r="E1149" s="315">
        <v>1.9192</v>
      </c>
      <c r="F1149" s="315">
        <v>1.8726</v>
      </c>
      <c r="G1149" s="315">
        <v>2</v>
      </c>
      <c r="H1149" s="315">
        <v>2.2999000000000001</v>
      </c>
      <c r="I1149" s="315">
        <v>2.2452000000000001</v>
      </c>
      <c r="J1149" s="315">
        <v>2.1225000000000001</v>
      </c>
      <c r="K1149" s="315">
        <v>1.5128999999999999</v>
      </c>
      <c r="L1149" s="315">
        <v>1.7555000000000001</v>
      </c>
      <c r="M1149" s="315">
        <v>2.1177000000000001</v>
      </c>
      <c r="N1149" s="315">
        <v>2.4224999999999999</v>
      </c>
      <c r="O1149" s="315">
        <v>1.8076000000000001</v>
      </c>
      <c r="P1149" s="315">
        <v>1.7498</v>
      </c>
      <c r="Q1149" s="315">
        <v>1.6767000000000001</v>
      </c>
      <c r="R1149" s="315">
        <v>2.4192999999999998</v>
      </c>
      <c r="S1149" s="315">
        <v>2.0853999999999999</v>
      </c>
      <c r="T1149" s="315">
        <v>1.8861000000000001</v>
      </c>
      <c r="U1149" s="315">
        <v>2.1042000000000001</v>
      </c>
      <c r="V1149" s="315">
        <v>1.8656999999999999</v>
      </c>
      <c r="W1149" s="315">
        <v>2.2418999999999998</v>
      </c>
      <c r="X1149" s="315">
        <v>2.1337000000000002</v>
      </c>
      <c r="Y1149" s="315">
        <v>1.9973000000000001</v>
      </c>
      <c r="Z1149" s="315">
        <v>2.2195999999999998</v>
      </c>
      <c r="AA1149" s="315">
        <v>2.2477999999999998</v>
      </c>
      <c r="AB1149" s="315">
        <v>2.1962999999999999</v>
      </c>
      <c r="AC1149" s="315">
        <v>1.7286999999999999</v>
      </c>
      <c r="AD1149" s="315">
        <v>1.7192000000000001</v>
      </c>
      <c r="AE1149" s="315">
        <v>2.0747</v>
      </c>
      <c r="AF1149" s="315">
        <v>1.5202</v>
      </c>
      <c r="AG1149" s="315">
        <v>1.7390000000000001</v>
      </c>
      <c r="AH1149" s="315">
        <v>2.0626000000000002</v>
      </c>
      <c r="AI1149" s="315">
        <v>2.3315999999999999</v>
      </c>
      <c r="AJ1149" s="315">
        <v>1.6698999999999999</v>
      </c>
      <c r="AK1149" s="315">
        <v>1.8696999999999999</v>
      </c>
      <c r="AL1149" s="315">
        <v>2.0206</v>
      </c>
      <c r="AM1149" s="315">
        <v>2.3031999999999999</v>
      </c>
      <c r="AN1149" s="315">
        <v>1.9470000000000001</v>
      </c>
      <c r="AO1149" s="315">
        <v>2.1579999999999999</v>
      </c>
      <c r="AP1149" s="315">
        <v>2.3521999999999998</v>
      </c>
      <c r="AQ1149" s="315">
        <v>2.0019999999999998</v>
      </c>
      <c r="AR1149" s="315">
        <v>2.0184000000000002</v>
      </c>
      <c r="AS1149" s="315">
        <v>1.5766</v>
      </c>
      <c r="AT1149" s="315">
        <v>2.29</v>
      </c>
      <c r="AU1149" s="315">
        <v>2.3020999999999998</v>
      </c>
      <c r="AV1149" s="315">
        <v>2.2894000000000001</v>
      </c>
      <c r="AW1149" s="315">
        <v>2.1616</v>
      </c>
      <c r="AX1149" s="315">
        <v>1.8731</v>
      </c>
      <c r="AY1149" s="315">
        <v>2.0747</v>
      </c>
      <c r="AZ1149" s="315">
        <v>2.1303999999999998</v>
      </c>
      <c r="BA1149" s="315">
        <v>1.6686000000000001</v>
      </c>
      <c r="BB1149" s="315">
        <v>1.5077</v>
      </c>
      <c r="BC1149" s="315">
        <v>2.33</v>
      </c>
      <c r="BD1149" s="315">
        <v>2.4390999999999998</v>
      </c>
      <c r="BE1149" s="315">
        <v>2.4337</v>
      </c>
      <c r="BF1149" s="315">
        <v>2.1774</v>
      </c>
      <c r="BG1149" s="315">
        <v>2.4098000000000002</v>
      </c>
      <c r="BH1149" s="315">
        <v>2.2345000000000002</v>
      </c>
      <c r="BI1149" s="315">
        <v>2.2989999999999999</v>
      </c>
      <c r="BJ1149" s="315">
        <v>2.1737000000000002</v>
      </c>
      <c r="BK1149" s="315">
        <v>2.3250999999999999</v>
      </c>
    </row>
    <row r="1150" spans="1:63" x14ac:dyDescent="0.25">
      <c r="A1150" s="306">
        <v>511130</v>
      </c>
      <c r="B1150" s="315" t="s">
        <v>288</v>
      </c>
      <c r="C1150" s="315">
        <v>2.5874000000000001</v>
      </c>
      <c r="D1150" s="315">
        <v>1.5427999999999999</v>
      </c>
      <c r="E1150" s="315">
        <v>1.7566999999999999</v>
      </c>
      <c r="F1150" s="315">
        <v>1.6747000000000001</v>
      </c>
      <c r="G1150" s="315">
        <v>1.8626</v>
      </c>
      <c r="H1150" s="315">
        <v>2.0994000000000002</v>
      </c>
      <c r="I1150" s="315">
        <v>2.0265</v>
      </c>
      <c r="J1150" s="315">
        <v>1.9392</v>
      </c>
      <c r="K1150" s="315">
        <v>1.4058999999999999</v>
      </c>
      <c r="L1150" s="315">
        <v>1.6228</v>
      </c>
      <c r="M1150" s="315">
        <v>1.9278999999999999</v>
      </c>
      <c r="N1150" s="315">
        <v>2.1627999999999998</v>
      </c>
      <c r="O1150" s="315">
        <v>1.6681999999999999</v>
      </c>
      <c r="P1150" s="315">
        <v>1.6027</v>
      </c>
      <c r="Q1150" s="315">
        <v>1.5588</v>
      </c>
      <c r="R1150" s="315">
        <v>2.1831999999999998</v>
      </c>
      <c r="S1150" s="315">
        <v>1.8792</v>
      </c>
      <c r="T1150" s="315">
        <v>1.7185999999999999</v>
      </c>
      <c r="U1150" s="315">
        <v>1.9029</v>
      </c>
      <c r="V1150" s="315">
        <v>1.7172000000000001</v>
      </c>
      <c r="W1150" s="315">
        <v>2.0341</v>
      </c>
      <c r="X1150" s="315">
        <v>1.9186000000000001</v>
      </c>
      <c r="Y1150" s="315">
        <v>1.7948</v>
      </c>
      <c r="Z1150" s="315">
        <v>2.0013000000000001</v>
      </c>
      <c r="AA1150" s="315">
        <v>2.0278</v>
      </c>
      <c r="AB1150" s="315">
        <v>1.9926999999999999</v>
      </c>
      <c r="AC1150" s="315">
        <v>1.5974999999999999</v>
      </c>
      <c r="AD1150" s="315">
        <v>1.5619000000000001</v>
      </c>
      <c r="AE1150" s="315">
        <v>1.893</v>
      </c>
      <c r="AF1150" s="315">
        <v>1.4571000000000001</v>
      </c>
      <c r="AG1150" s="315">
        <v>1.5983000000000001</v>
      </c>
      <c r="AH1150" s="315">
        <v>1.8893</v>
      </c>
      <c r="AI1150" s="315">
        <v>2.0842999999999998</v>
      </c>
      <c r="AJ1150" s="315">
        <v>1.5617000000000001</v>
      </c>
      <c r="AK1150" s="315">
        <v>1.6887000000000001</v>
      </c>
      <c r="AL1150" s="315">
        <v>1.8599000000000001</v>
      </c>
      <c r="AM1150" s="315">
        <v>2.0785</v>
      </c>
      <c r="AN1150" s="315">
        <v>1.7599</v>
      </c>
      <c r="AO1150" s="315">
        <v>1.9556</v>
      </c>
      <c r="AP1150" s="315">
        <v>2.1248</v>
      </c>
      <c r="AQ1150" s="315">
        <v>1.8401000000000001</v>
      </c>
      <c r="AR1150" s="315">
        <v>1.8179000000000001</v>
      </c>
      <c r="AS1150" s="315">
        <v>1.4537</v>
      </c>
      <c r="AT1150" s="315">
        <v>2.0347</v>
      </c>
      <c r="AU1150" s="315">
        <v>2.0716999999999999</v>
      </c>
      <c r="AV1150" s="315">
        <v>2.0588000000000002</v>
      </c>
      <c r="AW1150" s="315">
        <v>1.9371</v>
      </c>
      <c r="AX1150" s="315">
        <v>1.7275</v>
      </c>
      <c r="AY1150" s="315">
        <v>1.8891</v>
      </c>
      <c r="AZ1150" s="315">
        <v>1.9285000000000001</v>
      </c>
      <c r="BA1150" s="315">
        <v>1.5474000000000001</v>
      </c>
      <c r="BB1150" s="315">
        <v>1.4136</v>
      </c>
      <c r="BC1150" s="315">
        <v>2.1150000000000002</v>
      </c>
      <c r="BD1150" s="315">
        <v>2.1894</v>
      </c>
      <c r="BE1150" s="315">
        <v>2.1894999999999998</v>
      </c>
      <c r="BF1150" s="315">
        <v>1.9659</v>
      </c>
      <c r="BG1150" s="315">
        <v>2.1513</v>
      </c>
      <c r="BH1150" s="315">
        <v>1.9863999999999999</v>
      </c>
      <c r="BI1150" s="315">
        <v>2.0661999999999998</v>
      </c>
      <c r="BJ1150" s="315">
        <v>1.9755</v>
      </c>
      <c r="BK1150" s="315">
        <v>2.1172</v>
      </c>
    </row>
    <row r="1151" spans="1:63" x14ac:dyDescent="0.25">
      <c r="A1151" s="306" t="s">
        <v>762</v>
      </c>
      <c r="B1151" s="315" t="s">
        <v>289</v>
      </c>
      <c r="C1151" s="315">
        <v>2.6507000000000001</v>
      </c>
      <c r="D1151" s="315">
        <v>1.5472999999999999</v>
      </c>
      <c r="E1151" s="315">
        <v>1.7918000000000001</v>
      </c>
      <c r="F1151" s="315">
        <v>1.7573000000000001</v>
      </c>
      <c r="G1151" s="315">
        <v>1.8569</v>
      </c>
      <c r="H1151" s="315">
        <v>2.1114000000000002</v>
      </c>
      <c r="I1151" s="315">
        <v>2.0815999999999999</v>
      </c>
      <c r="J1151" s="315">
        <v>1.9859</v>
      </c>
      <c r="K1151" s="315">
        <v>1.4904999999999999</v>
      </c>
      <c r="L1151" s="315">
        <v>1.6374</v>
      </c>
      <c r="M1151" s="315">
        <v>1.9708000000000001</v>
      </c>
      <c r="N1151" s="315">
        <v>2.2242999999999999</v>
      </c>
      <c r="O1151" s="315">
        <v>1.6879</v>
      </c>
      <c r="P1151" s="315">
        <v>1.6614</v>
      </c>
      <c r="Q1151" s="315">
        <v>1.5851999999999999</v>
      </c>
      <c r="R1151" s="315">
        <v>2.2530000000000001</v>
      </c>
      <c r="S1151" s="315">
        <v>1.9440999999999999</v>
      </c>
      <c r="T1151" s="315">
        <v>1.7692000000000001</v>
      </c>
      <c r="U1151" s="315">
        <v>1.9594</v>
      </c>
      <c r="V1151" s="315">
        <v>1.7166999999999999</v>
      </c>
      <c r="W1151" s="315">
        <v>2.0973999999999999</v>
      </c>
      <c r="X1151" s="315">
        <v>1.9883999999999999</v>
      </c>
      <c r="Y1151" s="315">
        <v>1.8708</v>
      </c>
      <c r="Z1151" s="315">
        <v>2.052</v>
      </c>
      <c r="AA1151" s="315">
        <v>2.0844</v>
      </c>
      <c r="AB1151" s="315">
        <v>2.0581</v>
      </c>
      <c r="AC1151" s="315">
        <v>1.6223000000000001</v>
      </c>
      <c r="AD1151" s="315">
        <v>1.5941000000000001</v>
      </c>
      <c r="AE1151" s="315">
        <v>1.9418</v>
      </c>
      <c r="AF1151" s="315">
        <v>1.4339999999999999</v>
      </c>
      <c r="AG1151" s="315">
        <v>1.6556</v>
      </c>
      <c r="AH1151" s="315">
        <v>1.9577</v>
      </c>
      <c r="AI1151" s="315">
        <v>2.1587999999999998</v>
      </c>
      <c r="AJ1151" s="315">
        <v>1.5769</v>
      </c>
      <c r="AK1151" s="315">
        <v>1.7430000000000001</v>
      </c>
      <c r="AL1151" s="315">
        <v>1.8827</v>
      </c>
      <c r="AM1151" s="315">
        <v>2.1404999999999998</v>
      </c>
      <c r="AN1151" s="315">
        <v>1.7898000000000001</v>
      </c>
      <c r="AO1151" s="315">
        <v>2.0059</v>
      </c>
      <c r="AP1151" s="315">
        <v>2.1945000000000001</v>
      </c>
      <c r="AQ1151" s="315">
        <v>1.8772</v>
      </c>
      <c r="AR1151" s="315">
        <v>1.883</v>
      </c>
      <c r="AS1151" s="315">
        <v>1.4919</v>
      </c>
      <c r="AT1151" s="315">
        <v>2.097</v>
      </c>
      <c r="AU1151" s="315">
        <v>2.1343999999999999</v>
      </c>
      <c r="AV1151" s="315">
        <v>2.1337999999999999</v>
      </c>
      <c r="AW1151" s="315">
        <v>2.0105</v>
      </c>
      <c r="AX1151" s="315">
        <v>1.7844</v>
      </c>
      <c r="AY1151" s="315">
        <v>1.9224000000000001</v>
      </c>
      <c r="AZ1151" s="315">
        <v>1.9665999999999999</v>
      </c>
      <c r="BA1151" s="315">
        <v>1.5952</v>
      </c>
      <c r="BB1151" s="315">
        <v>1.4212</v>
      </c>
      <c r="BC1151" s="315">
        <v>2.1749000000000001</v>
      </c>
      <c r="BD1151" s="315">
        <v>2.2448999999999999</v>
      </c>
      <c r="BE1151" s="315">
        <v>2.2538</v>
      </c>
      <c r="BF1151" s="315">
        <v>2.0274999999999999</v>
      </c>
      <c r="BG1151" s="315">
        <v>2.2242999999999999</v>
      </c>
      <c r="BH1151" s="315">
        <v>2.0585</v>
      </c>
      <c r="BI1151" s="315">
        <v>2.1236000000000002</v>
      </c>
      <c r="BJ1151" s="315">
        <v>2.0196000000000001</v>
      </c>
      <c r="BK1151" s="315">
        <v>2.1328</v>
      </c>
    </row>
    <row r="1152" spans="1:63" x14ac:dyDescent="0.25">
      <c r="A1152" s="306">
        <v>511200</v>
      </c>
      <c r="B1152" s="315" t="s">
        <v>290</v>
      </c>
      <c r="C1152" s="315">
        <v>2.5888</v>
      </c>
      <c r="D1152" s="315">
        <v>1.6144000000000001</v>
      </c>
      <c r="E1152" s="315">
        <v>1.8169</v>
      </c>
      <c r="F1152" s="315">
        <v>1.6921999999999999</v>
      </c>
      <c r="G1152" s="315">
        <v>1.9372</v>
      </c>
      <c r="H1152" s="315">
        <v>2.17</v>
      </c>
      <c r="I1152" s="315">
        <v>2.1419999999999999</v>
      </c>
      <c r="J1152" s="315">
        <v>1.8824000000000001</v>
      </c>
      <c r="K1152" s="315">
        <v>1.3725000000000001</v>
      </c>
      <c r="L1152" s="315">
        <v>1.7412000000000001</v>
      </c>
      <c r="M1152" s="315">
        <v>2.0228999999999999</v>
      </c>
      <c r="N1152" s="315">
        <v>2.1450999999999998</v>
      </c>
      <c r="O1152" s="315">
        <v>1.8274999999999999</v>
      </c>
      <c r="P1152" s="315">
        <v>1.5692999999999999</v>
      </c>
      <c r="Q1152" s="315">
        <v>1.6167</v>
      </c>
      <c r="R1152" s="315">
        <v>2.1715</v>
      </c>
      <c r="S1152" s="315">
        <v>1.8580000000000001</v>
      </c>
      <c r="T1152" s="315">
        <v>1.6696</v>
      </c>
      <c r="U1152" s="315">
        <v>1.8149</v>
      </c>
      <c r="V1152" s="315">
        <v>1.8073999999999999</v>
      </c>
      <c r="W1152" s="315">
        <v>2.0207999999999999</v>
      </c>
      <c r="X1152" s="315">
        <v>1.9121999999999999</v>
      </c>
      <c r="Y1152" s="315">
        <v>1.8125</v>
      </c>
      <c r="Z1152" s="315">
        <v>1.986</v>
      </c>
      <c r="AA1152" s="315">
        <v>1.9831000000000001</v>
      </c>
      <c r="AB1152" s="315">
        <v>1.9497</v>
      </c>
      <c r="AC1152" s="315">
        <v>1.6433</v>
      </c>
      <c r="AD1152" s="315">
        <v>1.6262000000000001</v>
      </c>
      <c r="AE1152" s="315">
        <v>1.9213</v>
      </c>
      <c r="AF1152" s="315">
        <v>1.4971000000000001</v>
      </c>
      <c r="AG1152" s="315">
        <v>1.5752999999999999</v>
      </c>
      <c r="AH1152" s="315">
        <v>1.875</v>
      </c>
      <c r="AI1152" s="315">
        <v>2.0562</v>
      </c>
      <c r="AJ1152" s="315">
        <v>1.6889000000000001</v>
      </c>
      <c r="AK1152" s="315">
        <v>1.7643</v>
      </c>
      <c r="AL1152" s="315">
        <v>1.863</v>
      </c>
      <c r="AM1152" s="315">
        <v>2.0333999999999999</v>
      </c>
      <c r="AN1152" s="315">
        <v>1.8492999999999999</v>
      </c>
      <c r="AO1152" s="315">
        <v>1.9156</v>
      </c>
      <c r="AP1152" s="315">
        <v>2.0632999999999999</v>
      </c>
      <c r="AQ1152" s="315">
        <v>1.8472999999999999</v>
      </c>
      <c r="AR1152" s="315">
        <v>1.8946000000000001</v>
      </c>
      <c r="AS1152" s="315">
        <v>1.4874000000000001</v>
      </c>
      <c r="AT1152" s="315">
        <v>2.0407000000000002</v>
      </c>
      <c r="AU1152" s="315">
        <v>2.1579999999999999</v>
      </c>
      <c r="AV1152" s="315">
        <v>2.0773000000000001</v>
      </c>
      <c r="AW1152" s="315">
        <v>1.9414</v>
      </c>
      <c r="AX1152" s="315">
        <v>1.6604000000000001</v>
      </c>
      <c r="AY1152" s="315">
        <v>1.9702999999999999</v>
      </c>
      <c r="AZ1152" s="315">
        <v>1.8839999999999999</v>
      </c>
      <c r="BA1152" s="315">
        <v>1.6126</v>
      </c>
      <c r="BB1152" s="315">
        <v>1.4679</v>
      </c>
      <c r="BC1152" s="315">
        <v>2.0878999999999999</v>
      </c>
      <c r="BD1152" s="315">
        <v>2.1518999999999999</v>
      </c>
      <c r="BE1152" s="315">
        <v>2.1562999999999999</v>
      </c>
      <c r="BF1152" s="315">
        <v>1.9265000000000001</v>
      </c>
      <c r="BG1152" s="315">
        <v>2.1945000000000001</v>
      </c>
      <c r="BH1152" s="315">
        <v>1.9774</v>
      </c>
      <c r="BI1152" s="315">
        <v>2.1536</v>
      </c>
      <c r="BJ1152" s="315">
        <v>2.0853000000000002</v>
      </c>
      <c r="BK1152" s="315">
        <v>2.1869999999999998</v>
      </c>
    </row>
    <row r="1153" spans="1:63" x14ac:dyDescent="0.25">
      <c r="A1153" s="306">
        <v>512100</v>
      </c>
      <c r="B1153" s="315" t="s">
        <v>291</v>
      </c>
      <c r="C1153" s="315">
        <v>2.3277000000000001</v>
      </c>
      <c r="D1153" s="315">
        <v>1.399</v>
      </c>
      <c r="E1153" s="315">
        <v>1.5543</v>
      </c>
      <c r="F1153" s="315">
        <v>1.4534</v>
      </c>
      <c r="G1153" s="315">
        <v>1.6500999999999999</v>
      </c>
      <c r="H1153" s="315">
        <v>2.0004</v>
      </c>
      <c r="I1153" s="315">
        <v>1.8012999999999999</v>
      </c>
      <c r="J1153" s="315">
        <v>1.6052</v>
      </c>
      <c r="K1153" s="315">
        <v>1.3536999999999999</v>
      </c>
      <c r="L1153" s="315">
        <v>1.4641999999999999</v>
      </c>
      <c r="M1153" s="315">
        <v>1.7265999999999999</v>
      </c>
      <c r="N1153" s="315">
        <v>1.8260000000000001</v>
      </c>
      <c r="O1153" s="315">
        <v>1.5915999999999999</v>
      </c>
      <c r="P1153" s="315">
        <v>1.3892</v>
      </c>
      <c r="Q1153" s="315">
        <v>1.3918999999999999</v>
      </c>
      <c r="R1153" s="315">
        <v>1.8411</v>
      </c>
      <c r="S1153" s="315">
        <v>1.6011</v>
      </c>
      <c r="T1153" s="315">
        <v>1.4164000000000001</v>
      </c>
      <c r="U1153" s="315">
        <v>1.5308999999999999</v>
      </c>
      <c r="V1153" s="315">
        <v>1.5701000000000001</v>
      </c>
      <c r="W1153" s="315">
        <v>1.7</v>
      </c>
      <c r="X1153" s="315">
        <v>1.6672</v>
      </c>
      <c r="Y1153" s="315">
        <v>1.5499000000000001</v>
      </c>
      <c r="Z1153" s="315">
        <v>1.681</v>
      </c>
      <c r="AA1153" s="315">
        <v>1.6596</v>
      </c>
      <c r="AB1153" s="315">
        <v>1.6456999999999999</v>
      </c>
      <c r="AC1153" s="315">
        <v>1.4145000000000001</v>
      </c>
      <c r="AD1153" s="315">
        <v>1.4296</v>
      </c>
      <c r="AE1153" s="315">
        <v>1.6177999999999999</v>
      </c>
      <c r="AF1153" s="315">
        <v>1.2890999999999999</v>
      </c>
      <c r="AG1153" s="315">
        <v>1.3877999999999999</v>
      </c>
      <c r="AH1153" s="315">
        <v>1.4876</v>
      </c>
      <c r="AI1153" s="315">
        <v>1.7763</v>
      </c>
      <c r="AJ1153" s="315">
        <v>1.6143000000000001</v>
      </c>
      <c r="AK1153" s="315">
        <v>1.5365</v>
      </c>
      <c r="AL1153" s="315">
        <v>1.776</v>
      </c>
      <c r="AM1153" s="315">
        <v>1.6826000000000001</v>
      </c>
      <c r="AN1153" s="315">
        <v>1.5468999999999999</v>
      </c>
      <c r="AO1153" s="315">
        <v>1.661</v>
      </c>
      <c r="AP1153" s="315">
        <v>1.7571000000000001</v>
      </c>
      <c r="AQ1153" s="315">
        <v>1.5589</v>
      </c>
      <c r="AR1153" s="315">
        <v>1.5893999999999999</v>
      </c>
      <c r="AS1153" s="315">
        <v>1.2853000000000001</v>
      </c>
      <c r="AT1153" s="315">
        <v>1.861</v>
      </c>
      <c r="AU1153" s="315">
        <v>1.8049999999999999</v>
      </c>
      <c r="AV1153" s="315">
        <v>1.7927</v>
      </c>
      <c r="AW1153" s="315">
        <v>1.6375999999999999</v>
      </c>
      <c r="AX1153" s="315">
        <v>1.5368999999999999</v>
      </c>
      <c r="AY1153" s="315">
        <v>1.6323000000000001</v>
      </c>
      <c r="AZ1153" s="315">
        <v>1.5767</v>
      </c>
      <c r="BA1153" s="315">
        <v>1.4396</v>
      </c>
      <c r="BB1153" s="315">
        <v>1.3241000000000001</v>
      </c>
      <c r="BC1153" s="315">
        <v>1.7322</v>
      </c>
      <c r="BD1153" s="315">
        <v>2.0024999999999999</v>
      </c>
      <c r="BE1153" s="315">
        <v>1.8080000000000001</v>
      </c>
      <c r="BF1153" s="315">
        <v>1.6069</v>
      </c>
      <c r="BG1153" s="315">
        <v>1.8426</v>
      </c>
      <c r="BH1153" s="315">
        <v>1.7251000000000001</v>
      </c>
      <c r="BI1153" s="315">
        <v>1.7897000000000001</v>
      </c>
      <c r="BJ1153" s="315">
        <v>1.7591000000000001</v>
      </c>
      <c r="BK1153" s="315">
        <v>2.0131000000000001</v>
      </c>
    </row>
    <row r="1154" spans="1:63" x14ac:dyDescent="0.25">
      <c r="A1154" s="306">
        <v>512200</v>
      </c>
      <c r="B1154" s="315" t="s">
        <v>292</v>
      </c>
      <c r="C1154" s="315">
        <v>3.0790999999999999</v>
      </c>
      <c r="D1154" s="315">
        <v>1.5194000000000001</v>
      </c>
      <c r="E1154" s="315">
        <v>1.734</v>
      </c>
      <c r="F1154" s="315">
        <v>1.5941000000000001</v>
      </c>
      <c r="G1154" s="315">
        <v>1.8631</v>
      </c>
      <c r="H1154" s="315">
        <v>2.5785999999999998</v>
      </c>
      <c r="I1154" s="315">
        <v>2.1175999999999999</v>
      </c>
      <c r="J1154" s="315">
        <v>1.7861</v>
      </c>
      <c r="K1154" s="315">
        <v>1.4996</v>
      </c>
      <c r="L1154" s="315">
        <v>1.5815999999999999</v>
      </c>
      <c r="M1154" s="315">
        <v>2.1454</v>
      </c>
      <c r="N1154" s="315">
        <v>2.2709999999999999</v>
      </c>
      <c r="O1154" s="315">
        <v>1.7031000000000001</v>
      </c>
      <c r="P1154" s="315">
        <v>1.4993000000000001</v>
      </c>
      <c r="Q1154" s="315">
        <v>1.5086999999999999</v>
      </c>
      <c r="R1154" s="315">
        <v>2.2942999999999998</v>
      </c>
      <c r="S1154" s="315">
        <v>1.8121</v>
      </c>
      <c r="T1154" s="315">
        <v>1.5311999999999999</v>
      </c>
      <c r="U1154" s="315">
        <v>1.7270000000000001</v>
      </c>
      <c r="V1154" s="315">
        <v>1.6677</v>
      </c>
      <c r="W1154" s="315">
        <v>1.9511000000000001</v>
      </c>
      <c r="X1154" s="315">
        <v>2.069</v>
      </c>
      <c r="Y1154" s="315">
        <v>1.7501</v>
      </c>
      <c r="Z1154" s="315">
        <v>1.9888999999999999</v>
      </c>
      <c r="AA1154" s="315">
        <v>1.9971000000000001</v>
      </c>
      <c r="AB1154" s="315">
        <v>1.9097</v>
      </c>
      <c r="AC1154" s="315">
        <v>1.5996999999999999</v>
      </c>
      <c r="AD1154" s="315">
        <v>1.5471999999999999</v>
      </c>
      <c r="AE1154" s="315">
        <v>1.8669</v>
      </c>
      <c r="AF1154" s="315">
        <v>1.3769</v>
      </c>
      <c r="AG1154" s="315">
        <v>1.5150999999999999</v>
      </c>
      <c r="AH1154" s="315">
        <v>1.6262000000000001</v>
      </c>
      <c r="AI1154" s="315">
        <v>2.0594999999999999</v>
      </c>
      <c r="AJ1154" s="315">
        <v>1.8242</v>
      </c>
      <c r="AK1154" s="315">
        <v>2.0232999999999999</v>
      </c>
      <c r="AL1154" s="315">
        <v>2.2679</v>
      </c>
      <c r="AM1154" s="315">
        <v>1.9583999999999999</v>
      </c>
      <c r="AN1154" s="315">
        <v>1.7445999999999999</v>
      </c>
      <c r="AO1154" s="315">
        <v>1.8327</v>
      </c>
      <c r="AP1154" s="315">
        <v>2.1072000000000002</v>
      </c>
      <c r="AQ1154" s="315">
        <v>1.7082999999999999</v>
      </c>
      <c r="AR1154" s="315">
        <v>1.7919</v>
      </c>
      <c r="AS1154" s="315">
        <v>1.3839999999999999</v>
      </c>
      <c r="AT1154" s="315">
        <v>2.4184999999999999</v>
      </c>
      <c r="AU1154" s="315">
        <v>2.4786999999999999</v>
      </c>
      <c r="AV1154" s="315">
        <v>2.1667000000000001</v>
      </c>
      <c r="AW1154" s="315">
        <v>1.8833</v>
      </c>
      <c r="AX1154" s="315">
        <v>1.7921</v>
      </c>
      <c r="AY1154" s="315">
        <v>1.9296</v>
      </c>
      <c r="AZ1154" s="315">
        <v>1.9462999999999999</v>
      </c>
      <c r="BA1154" s="315">
        <v>1.5588</v>
      </c>
      <c r="BB1154" s="315">
        <v>1.4275</v>
      </c>
      <c r="BC1154" s="315">
        <v>1.9792000000000001</v>
      </c>
      <c r="BD1154" s="315">
        <v>2.6069</v>
      </c>
      <c r="BE1154" s="315">
        <v>2.194</v>
      </c>
      <c r="BF1154" s="315">
        <v>1.8374999999999999</v>
      </c>
      <c r="BG1154" s="315">
        <v>2.2524999999999999</v>
      </c>
      <c r="BH1154" s="315">
        <v>2.3409</v>
      </c>
      <c r="BI1154" s="315">
        <v>2.4392</v>
      </c>
      <c r="BJ1154" s="315">
        <v>2.0756999999999999</v>
      </c>
      <c r="BK1154" s="315">
        <v>2.6013000000000002</v>
      </c>
    </row>
    <row r="1155" spans="1:63" x14ac:dyDescent="0.25">
      <c r="A1155" s="306">
        <v>515100</v>
      </c>
      <c r="B1155" s="315" t="s">
        <v>293</v>
      </c>
      <c r="C1155" s="315">
        <v>3.3035999999999999</v>
      </c>
      <c r="D1155" s="315">
        <v>1.7171000000000001</v>
      </c>
      <c r="E1155" s="315">
        <v>1.8653</v>
      </c>
      <c r="F1155" s="315">
        <v>1.6957</v>
      </c>
      <c r="G1155" s="315">
        <v>2.1154999999999999</v>
      </c>
      <c r="H1155" s="315">
        <v>2.7949000000000002</v>
      </c>
      <c r="I1155" s="315">
        <v>2.4493999999999998</v>
      </c>
      <c r="J1155" s="315">
        <v>1.9898</v>
      </c>
      <c r="K1155" s="315">
        <v>1.6763999999999999</v>
      </c>
      <c r="L1155" s="315">
        <v>1.6198999999999999</v>
      </c>
      <c r="M1155" s="315">
        <v>2.2924000000000002</v>
      </c>
      <c r="N1155" s="315">
        <v>2.4272999999999998</v>
      </c>
      <c r="O1155" s="315">
        <v>1.9661</v>
      </c>
      <c r="P1155" s="315">
        <v>1.5707</v>
      </c>
      <c r="Q1155" s="315">
        <v>1.6648000000000001</v>
      </c>
      <c r="R1155" s="315">
        <v>2.4053</v>
      </c>
      <c r="S1155" s="315">
        <v>2.0041000000000002</v>
      </c>
      <c r="T1155" s="315">
        <v>1.6442000000000001</v>
      </c>
      <c r="U1155" s="315">
        <v>1.9035</v>
      </c>
      <c r="V1155" s="315">
        <v>2.1846999999999999</v>
      </c>
      <c r="W1155" s="315">
        <v>2.1857000000000002</v>
      </c>
      <c r="X1155" s="315">
        <v>2.1480000000000001</v>
      </c>
      <c r="Y1155" s="315">
        <v>1.97</v>
      </c>
      <c r="Z1155" s="315">
        <v>2.1518000000000002</v>
      </c>
      <c r="AA1155" s="315">
        <v>2.145</v>
      </c>
      <c r="AB1155" s="315">
        <v>2.1566000000000001</v>
      </c>
      <c r="AC1155" s="315">
        <v>1.6598999999999999</v>
      </c>
      <c r="AD1155" s="315">
        <v>1.7410000000000001</v>
      </c>
      <c r="AE1155" s="315">
        <v>2.1193</v>
      </c>
      <c r="AF1155" s="315">
        <v>1.5407</v>
      </c>
      <c r="AG1155" s="315">
        <v>1.6666000000000001</v>
      </c>
      <c r="AH1155" s="315">
        <v>1.7941</v>
      </c>
      <c r="AI1155" s="315">
        <v>2.1905000000000001</v>
      </c>
      <c r="AJ1155" s="315">
        <v>1.9671000000000001</v>
      </c>
      <c r="AK1155" s="315">
        <v>1.8707</v>
      </c>
      <c r="AL1155" s="315">
        <v>2.3927</v>
      </c>
      <c r="AM1155" s="315">
        <v>2.1354000000000002</v>
      </c>
      <c r="AN1155" s="315">
        <v>1.9649000000000001</v>
      </c>
      <c r="AO1155" s="315">
        <v>2.1164000000000001</v>
      </c>
      <c r="AP1155" s="315">
        <v>2.2595000000000001</v>
      </c>
      <c r="AQ1155" s="315">
        <v>1.8694999999999999</v>
      </c>
      <c r="AR1155" s="315">
        <v>1.8543000000000001</v>
      </c>
      <c r="AS1155" s="315">
        <v>1.5516000000000001</v>
      </c>
      <c r="AT1155" s="315">
        <v>2.5859000000000001</v>
      </c>
      <c r="AU1155" s="315">
        <v>2.4016000000000002</v>
      </c>
      <c r="AV1155" s="315">
        <v>2.4866000000000001</v>
      </c>
      <c r="AW1155" s="315">
        <v>2.1360999999999999</v>
      </c>
      <c r="AX1155" s="315">
        <v>1.7365999999999999</v>
      </c>
      <c r="AY1155" s="315">
        <v>2.1135000000000002</v>
      </c>
      <c r="AZ1155" s="315">
        <v>2.0427</v>
      </c>
      <c r="BA1155" s="315">
        <v>1.6634</v>
      </c>
      <c r="BB1155" s="315">
        <v>1.4877</v>
      </c>
      <c r="BC1155" s="315">
        <v>2.3062999999999998</v>
      </c>
      <c r="BD1155" s="315">
        <v>2.7852999999999999</v>
      </c>
      <c r="BE1155" s="315">
        <v>2.3182</v>
      </c>
      <c r="BF1155" s="315">
        <v>2.0726</v>
      </c>
      <c r="BG1155" s="315">
        <v>2.5268000000000002</v>
      </c>
      <c r="BH1155" s="315">
        <v>2.1886999999999999</v>
      </c>
      <c r="BI1155" s="315">
        <v>2.3820000000000001</v>
      </c>
      <c r="BJ1155" s="315">
        <v>2.3586</v>
      </c>
      <c r="BK1155" s="315">
        <v>2.8147000000000002</v>
      </c>
    </row>
    <row r="1156" spans="1:63" x14ac:dyDescent="0.25">
      <c r="A1156" s="306">
        <v>515200</v>
      </c>
      <c r="B1156" s="315" t="s">
        <v>294</v>
      </c>
      <c r="C1156" s="315">
        <v>3.1806000000000001</v>
      </c>
      <c r="D1156" s="315">
        <v>1.59</v>
      </c>
      <c r="E1156" s="315">
        <v>1.8239000000000001</v>
      </c>
      <c r="F1156" s="315">
        <v>1.6506000000000001</v>
      </c>
      <c r="G1156" s="315">
        <v>2.0070999999999999</v>
      </c>
      <c r="H1156" s="315">
        <v>2.6457000000000002</v>
      </c>
      <c r="I1156" s="315">
        <v>2.3815</v>
      </c>
      <c r="J1156" s="315">
        <v>2.1309999999999998</v>
      </c>
      <c r="K1156" s="315">
        <v>1.5648</v>
      </c>
      <c r="L1156" s="315">
        <v>1.6326000000000001</v>
      </c>
      <c r="M1156" s="315">
        <v>2.0960999999999999</v>
      </c>
      <c r="N1156" s="315">
        <v>2.3666</v>
      </c>
      <c r="O1156" s="315">
        <v>1.8108</v>
      </c>
      <c r="P1156" s="315">
        <v>1.5528</v>
      </c>
      <c r="Q1156" s="315">
        <v>1.6233</v>
      </c>
      <c r="R1156" s="315">
        <v>2.2785000000000002</v>
      </c>
      <c r="S1156" s="315">
        <v>1.8665</v>
      </c>
      <c r="T1156" s="315">
        <v>1.6598999999999999</v>
      </c>
      <c r="U1156" s="315">
        <v>1.7957000000000001</v>
      </c>
      <c r="V1156" s="315">
        <v>2.0427</v>
      </c>
      <c r="W1156" s="315">
        <v>2.0617000000000001</v>
      </c>
      <c r="X1156" s="315">
        <v>2.0964</v>
      </c>
      <c r="Y1156" s="315">
        <v>1.9691000000000001</v>
      </c>
      <c r="Z1156" s="315">
        <v>2.0428000000000002</v>
      </c>
      <c r="AA1156" s="315">
        <v>2.0535999999999999</v>
      </c>
      <c r="AB1156" s="315">
        <v>2.0385</v>
      </c>
      <c r="AC1156" s="315">
        <v>1.6204000000000001</v>
      </c>
      <c r="AD1156" s="315">
        <v>1.6603000000000001</v>
      </c>
      <c r="AE1156" s="315">
        <v>2.1196000000000002</v>
      </c>
      <c r="AF1156" s="315">
        <v>0</v>
      </c>
      <c r="AG1156" s="315">
        <v>1.7437</v>
      </c>
      <c r="AH1156" s="315">
        <v>1.8028999999999999</v>
      </c>
      <c r="AI1156" s="315">
        <v>2.2174999999999998</v>
      </c>
      <c r="AJ1156" s="315">
        <v>1.7811999999999999</v>
      </c>
      <c r="AK1156" s="315">
        <v>1.7587999999999999</v>
      </c>
      <c r="AL1156" s="315">
        <v>2.2776000000000001</v>
      </c>
      <c r="AM1156" s="315">
        <v>2.0065</v>
      </c>
      <c r="AN1156" s="315">
        <v>1.9709000000000001</v>
      </c>
      <c r="AO1156" s="315">
        <v>1.9459</v>
      </c>
      <c r="AP1156" s="315">
        <v>2.1621999999999999</v>
      </c>
      <c r="AQ1156" s="315">
        <v>1.7816000000000001</v>
      </c>
      <c r="AR1156" s="315">
        <v>1.8085</v>
      </c>
      <c r="AS1156" s="315">
        <v>1.4704999999999999</v>
      </c>
      <c r="AT1156" s="315">
        <v>2.4298000000000002</v>
      </c>
      <c r="AU1156" s="315">
        <v>2.3222999999999998</v>
      </c>
      <c r="AV1156" s="315">
        <v>2.3725000000000001</v>
      </c>
      <c r="AW1156" s="315">
        <v>2.0897999999999999</v>
      </c>
      <c r="AX1156" s="315">
        <v>1.7033</v>
      </c>
      <c r="AY1156" s="315">
        <v>1.9438</v>
      </c>
      <c r="AZ1156" s="315">
        <v>1.9125000000000001</v>
      </c>
      <c r="BA1156" s="315">
        <v>1.58</v>
      </c>
      <c r="BB1156" s="315">
        <v>1.4652000000000001</v>
      </c>
      <c r="BC1156" s="315">
        <v>2.3449</v>
      </c>
      <c r="BD1156" s="315">
        <v>2.6528999999999998</v>
      </c>
      <c r="BE1156" s="315">
        <v>2.1953</v>
      </c>
      <c r="BF1156" s="315">
        <v>1.9984999999999999</v>
      </c>
      <c r="BG1156" s="315">
        <v>2.4373999999999998</v>
      </c>
      <c r="BH1156" s="315">
        <v>2.0941999999999998</v>
      </c>
      <c r="BI1156" s="315">
        <v>2.2985000000000002</v>
      </c>
      <c r="BJ1156" s="315">
        <v>2.2559</v>
      </c>
      <c r="BK1156" s="315">
        <v>2.6612</v>
      </c>
    </row>
    <row r="1157" spans="1:63" x14ac:dyDescent="0.25">
      <c r="A1157" s="306">
        <v>517000</v>
      </c>
      <c r="B1157" s="315" t="s">
        <v>295</v>
      </c>
      <c r="C1157" s="315">
        <v>2.4081000000000001</v>
      </c>
      <c r="D1157" s="315">
        <v>1.6325000000000001</v>
      </c>
      <c r="E1157" s="315">
        <v>1.7133</v>
      </c>
      <c r="F1157" s="315">
        <v>1.6206</v>
      </c>
      <c r="G1157" s="315">
        <v>1.7662</v>
      </c>
      <c r="H1157" s="315">
        <v>2.0857000000000001</v>
      </c>
      <c r="I1157" s="315">
        <v>2.0124</v>
      </c>
      <c r="J1157" s="315">
        <v>1.8056000000000001</v>
      </c>
      <c r="K1157" s="315">
        <v>1.4158999999999999</v>
      </c>
      <c r="L1157" s="315">
        <v>1.6073</v>
      </c>
      <c r="M1157" s="315">
        <v>1.8652</v>
      </c>
      <c r="N1157" s="315">
        <v>2.0013999999999998</v>
      </c>
      <c r="O1157" s="315">
        <v>1.7647999999999999</v>
      </c>
      <c r="P1157" s="315">
        <v>1.4535</v>
      </c>
      <c r="Q1157" s="315">
        <v>1.5177</v>
      </c>
      <c r="R1157" s="315">
        <v>1.9681</v>
      </c>
      <c r="S1157" s="315">
        <v>1.679</v>
      </c>
      <c r="T1157" s="315">
        <v>1.6292</v>
      </c>
      <c r="U1157" s="315">
        <v>1.6694</v>
      </c>
      <c r="V1157" s="315">
        <v>1.6856</v>
      </c>
      <c r="W1157" s="315">
        <v>1.8572</v>
      </c>
      <c r="X1157" s="315">
        <v>1.8645</v>
      </c>
      <c r="Y1157" s="315">
        <v>1.6222000000000001</v>
      </c>
      <c r="Z1157" s="315">
        <v>1.7496</v>
      </c>
      <c r="AA1157" s="315">
        <v>1.7430000000000001</v>
      </c>
      <c r="AB1157" s="315">
        <v>1.8496999999999999</v>
      </c>
      <c r="AC1157" s="315">
        <v>1.5517000000000001</v>
      </c>
      <c r="AD1157" s="315">
        <v>1.5564</v>
      </c>
      <c r="AE1157" s="315">
        <v>1.7292000000000001</v>
      </c>
      <c r="AF1157" s="315">
        <v>1.4007000000000001</v>
      </c>
      <c r="AG1157" s="315">
        <v>1.4527000000000001</v>
      </c>
      <c r="AH1157" s="315">
        <v>1.7285999999999999</v>
      </c>
      <c r="AI1157" s="315">
        <v>1.9538</v>
      </c>
      <c r="AJ1157" s="315">
        <v>1.6716</v>
      </c>
      <c r="AK1157" s="315">
        <v>1.6052999999999999</v>
      </c>
      <c r="AL1157" s="315">
        <v>1.7775000000000001</v>
      </c>
      <c r="AM1157" s="315">
        <v>1.8186</v>
      </c>
      <c r="AN1157" s="315">
        <v>1.7902</v>
      </c>
      <c r="AO1157" s="315">
        <v>1.6966000000000001</v>
      </c>
      <c r="AP1157" s="315">
        <v>1.9227000000000001</v>
      </c>
      <c r="AQ1157" s="315">
        <v>1.6962999999999999</v>
      </c>
      <c r="AR1157" s="315">
        <v>1.7773000000000001</v>
      </c>
      <c r="AS1157" s="315">
        <v>1.4342999999999999</v>
      </c>
      <c r="AT1157" s="315">
        <v>1.8756999999999999</v>
      </c>
      <c r="AU1157" s="315">
        <v>2.0499000000000001</v>
      </c>
      <c r="AV1157" s="315">
        <v>1.8393999999999999</v>
      </c>
      <c r="AW1157" s="315">
        <v>1.8774999999999999</v>
      </c>
      <c r="AX1157" s="315">
        <v>1.6137999999999999</v>
      </c>
      <c r="AY1157" s="315">
        <v>1.8526</v>
      </c>
      <c r="AZ1157" s="315">
        <v>1.6665000000000001</v>
      </c>
      <c r="BA1157" s="315">
        <v>1.5616000000000001</v>
      </c>
      <c r="BB1157" s="315">
        <v>1.4220999999999999</v>
      </c>
      <c r="BC1157" s="315">
        <v>1.9358</v>
      </c>
      <c r="BD1157" s="315">
        <v>2.0495000000000001</v>
      </c>
      <c r="BE1157" s="315">
        <v>1.9038999999999999</v>
      </c>
      <c r="BF1157" s="315">
        <v>1.7986</v>
      </c>
      <c r="BG1157" s="315">
        <v>2.0522</v>
      </c>
      <c r="BH1157" s="315">
        <v>1.8127</v>
      </c>
      <c r="BI1157" s="315">
        <v>2.0360999999999998</v>
      </c>
      <c r="BJ1157" s="315">
        <v>1.9670000000000001</v>
      </c>
      <c r="BK1157" s="315">
        <v>2.1011000000000002</v>
      </c>
    </row>
    <row r="1158" spans="1:63" x14ac:dyDescent="0.25">
      <c r="A1158" s="306" t="s">
        <v>763</v>
      </c>
      <c r="B1158" s="315" t="s">
        <v>764</v>
      </c>
      <c r="C1158" s="315">
        <v>2.5228999999999999</v>
      </c>
      <c r="D1158" s="315">
        <v>1.6334</v>
      </c>
      <c r="E1158" s="315">
        <v>1.7917000000000001</v>
      </c>
      <c r="F1158" s="315">
        <v>1.6789000000000001</v>
      </c>
      <c r="G1158" s="315">
        <v>1.8973</v>
      </c>
      <c r="H1158" s="315">
        <v>2.1124000000000001</v>
      </c>
      <c r="I1158" s="315">
        <v>2.0836000000000001</v>
      </c>
      <c r="J1158" s="315">
        <v>1.8307</v>
      </c>
      <c r="K1158" s="315">
        <v>1.3479000000000001</v>
      </c>
      <c r="L1158" s="315">
        <v>1.6853</v>
      </c>
      <c r="M1158" s="315">
        <v>1.9598</v>
      </c>
      <c r="N1158" s="315">
        <v>2.0815000000000001</v>
      </c>
      <c r="O1158" s="315">
        <v>1.7687999999999999</v>
      </c>
      <c r="P1158" s="315">
        <v>1.5636000000000001</v>
      </c>
      <c r="Q1158" s="315">
        <v>1.5699000000000001</v>
      </c>
      <c r="R1158" s="315">
        <v>2.1034999999999999</v>
      </c>
      <c r="S1158" s="315">
        <v>1.8253999999999999</v>
      </c>
      <c r="T1158" s="315">
        <v>1.6318999999999999</v>
      </c>
      <c r="U1158" s="315">
        <v>1.8008999999999999</v>
      </c>
      <c r="V1158" s="315">
        <v>1.7579</v>
      </c>
      <c r="W1158" s="315">
        <v>1.9293</v>
      </c>
      <c r="X1158" s="315">
        <v>1.8714</v>
      </c>
      <c r="Y1158" s="315">
        <v>1.7450000000000001</v>
      </c>
      <c r="Z1158" s="315">
        <v>1.9115</v>
      </c>
      <c r="AA1158" s="315">
        <v>1.9133</v>
      </c>
      <c r="AB1158" s="315">
        <v>1.9219999999999999</v>
      </c>
      <c r="AC1158" s="315">
        <v>1.6154999999999999</v>
      </c>
      <c r="AD1158" s="315">
        <v>1.6244000000000001</v>
      </c>
      <c r="AE1158" s="315">
        <v>1.8434999999999999</v>
      </c>
      <c r="AF1158" s="315">
        <v>1.4745999999999999</v>
      </c>
      <c r="AG1158" s="315">
        <v>1.5395000000000001</v>
      </c>
      <c r="AH1158" s="315">
        <v>1.8081</v>
      </c>
      <c r="AI1158" s="315">
        <v>2.0211999999999999</v>
      </c>
      <c r="AJ1158" s="315">
        <v>1.6738</v>
      </c>
      <c r="AK1158" s="315">
        <v>1.6850000000000001</v>
      </c>
      <c r="AL1158" s="315">
        <v>1.7864</v>
      </c>
      <c r="AM1158" s="315">
        <v>1.9855</v>
      </c>
      <c r="AN1158" s="315">
        <v>1.8138000000000001</v>
      </c>
      <c r="AO1158" s="315">
        <v>1.8596999999999999</v>
      </c>
      <c r="AP1158" s="315">
        <v>2.0299</v>
      </c>
      <c r="AQ1158" s="315">
        <v>1.7474000000000001</v>
      </c>
      <c r="AR1158" s="315">
        <v>1.8431999999999999</v>
      </c>
      <c r="AS1158" s="315">
        <v>1.4616</v>
      </c>
      <c r="AT1158" s="315">
        <v>1.9795</v>
      </c>
      <c r="AU1158" s="315">
        <v>2.1305999999999998</v>
      </c>
      <c r="AV1158" s="315">
        <v>2.0167000000000002</v>
      </c>
      <c r="AW1158" s="315">
        <v>1.9118999999999999</v>
      </c>
      <c r="AX1158" s="315">
        <v>1.6449</v>
      </c>
      <c r="AY1158" s="315">
        <v>1.9285000000000001</v>
      </c>
      <c r="AZ1158" s="315">
        <v>1.8161</v>
      </c>
      <c r="BA1158" s="315">
        <v>1.5804</v>
      </c>
      <c r="BB1158" s="315">
        <v>1.4736</v>
      </c>
      <c r="BC1158" s="315">
        <v>2.0083000000000002</v>
      </c>
      <c r="BD1158" s="315">
        <v>2.0901999999999998</v>
      </c>
      <c r="BE1158" s="315">
        <v>2.0869</v>
      </c>
      <c r="BF1158" s="315">
        <v>1.8915999999999999</v>
      </c>
      <c r="BG1158" s="315">
        <v>2.1383999999999999</v>
      </c>
      <c r="BH1158" s="315">
        <v>1.9341999999999999</v>
      </c>
      <c r="BI1158" s="315">
        <v>2.1175000000000002</v>
      </c>
      <c r="BJ1158" s="315">
        <v>2.0398000000000001</v>
      </c>
      <c r="BK1158" s="315">
        <v>2.1364000000000001</v>
      </c>
    </row>
    <row r="1159" spans="1:63" x14ac:dyDescent="0.25">
      <c r="A1159" s="306" t="s">
        <v>765</v>
      </c>
      <c r="B1159" s="315" t="s">
        <v>296</v>
      </c>
      <c r="C1159" s="315">
        <v>2.4045999999999998</v>
      </c>
      <c r="D1159" s="315">
        <v>1.5492999999999999</v>
      </c>
      <c r="E1159" s="315">
        <v>1.7313000000000001</v>
      </c>
      <c r="F1159" s="315">
        <v>1.5991</v>
      </c>
      <c r="G1159" s="315">
        <v>1.8472999999999999</v>
      </c>
      <c r="H1159" s="315">
        <v>2.0253000000000001</v>
      </c>
      <c r="I1159" s="315">
        <v>2.0244</v>
      </c>
      <c r="J1159" s="315">
        <v>1.8401000000000001</v>
      </c>
      <c r="K1159" s="315">
        <v>1.3289</v>
      </c>
      <c r="L1159" s="315">
        <v>1.7444</v>
      </c>
      <c r="M1159" s="315">
        <v>1.9277</v>
      </c>
      <c r="N1159" s="315">
        <v>2.0101</v>
      </c>
      <c r="O1159" s="315">
        <v>1.7206999999999999</v>
      </c>
      <c r="P1159" s="315">
        <v>1.5983000000000001</v>
      </c>
      <c r="Q1159" s="315">
        <v>1.5488</v>
      </c>
      <c r="R1159" s="315">
        <v>2.0903</v>
      </c>
      <c r="S1159" s="315">
        <v>1.7210000000000001</v>
      </c>
      <c r="T1159" s="315">
        <v>1.6237999999999999</v>
      </c>
      <c r="U1159" s="315">
        <v>1.7692000000000001</v>
      </c>
      <c r="V1159" s="315">
        <v>1.7067000000000001</v>
      </c>
      <c r="W1159" s="315">
        <v>1.9147000000000001</v>
      </c>
      <c r="X1159" s="315">
        <v>1.8434999999999999</v>
      </c>
      <c r="Y1159" s="315">
        <v>1.7695000000000001</v>
      </c>
      <c r="Z1159" s="315">
        <v>1.8188</v>
      </c>
      <c r="AA1159" s="315">
        <v>1.8944000000000001</v>
      </c>
      <c r="AB1159" s="315">
        <v>1.9003000000000001</v>
      </c>
      <c r="AC1159" s="315">
        <v>1.6095999999999999</v>
      </c>
      <c r="AD1159" s="315">
        <v>1.6129</v>
      </c>
      <c r="AE1159" s="315">
        <v>1.7767999999999999</v>
      </c>
      <c r="AF1159" s="315">
        <v>1.4673</v>
      </c>
      <c r="AG1159" s="315">
        <v>1.5725</v>
      </c>
      <c r="AH1159" s="315">
        <v>1.7795000000000001</v>
      </c>
      <c r="AI1159" s="315">
        <v>1.9950000000000001</v>
      </c>
      <c r="AJ1159" s="315">
        <v>1.5810999999999999</v>
      </c>
      <c r="AK1159" s="315">
        <v>1.7104999999999999</v>
      </c>
      <c r="AL1159" s="315">
        <v>1.8506</v>
      </c>
      <c r="AM1159" s="315">
        <v>1.9011</v>
      </c>
      <c r="AN1159" s="315">
        <v>1.7282999999999999</v>
      </c>
      <c r="AO1159" s="315">
        <v>1.7884</v>
      </c>
      <c r="AP1159" s="315">
        <v>1.9621</v>
      </c>
      <c r="AQ1159" s="315">
        <v>1.788</v>
      </c>
      <c r="AR1159" s="315">
        <v>1.8144</v>
      </c>
      <c r="AS1159" s="315">
        <v>1.5468</v>
      </c>
      <c r="AT1159" s="315">
        <v>1.9444999999999999</v>
      </c>
      <c r="AU1159" s="315">
        <v>2.0425</v>
      </c>
      <c r="AV1159" s="315">
        <v>1.9855</v>
      </c>
      <c r="AW1159" s="315">
        <v>1.8492</v>
      </c>
      <c r="AX1159" s="315">
        <v>1.6308</v>
      </c>
      <c r="AY1159" s="315">
        <v>1.8479000000000001</v>
      </c>
      <c r="AZ1159" s="315">
        <v>1.7781</v>
      </c>
      <c r="BA1159" s="315">
        <v>1.5553999999999999</v>
      </c>
      <c r="BB1159" s="315">
        <v>1.4307000000000001</v>
      </c>
      <c r="BC1159" s="315">
        <v>1.9903</v>
      </c>
      <c r="BD1159" s="315">
        <v>2.0834999999999999</v>
      </c>
      <c r="BE1159" s="315">
        <v>2.0148000000000001</v>
      </c>
      <c r="BF1159" s="315">
        <v>1.8573999999999999</v>
      </c>
      <c r="BG1159" s="315">
        <v>2.0545</v>
      </c>
      <c r="BH1159" s="315">
        <v>1.8868</v>
      </c>
      <c r="BI1159" s="315">
        <v>2.0283000000000002</v>
      </c>
      <c r="BJ1159" s="315">
        <v>1.9452</v>
      </c>
      <c r="BK1159" s="315">
        <v>2.0234000000000001</v>
      </c>
    </row>
    <row r="1160" spans="1:63" x14ac:dyDescent="0.25">
      <c r="A1160" s="306">
        <v>523000</v>
      </c>
      <c r="B1160" s="315" t="s">
        <v>297</v>
      </c>
      <c r="C1160" s="315">
        <v>3.0238</v>
      </c>
      <c r="D1160" s="315">
        <v>1.7698</v>
      </c>
      <c r="E1160" s="315">
        <v>1.9792000000000001</v>
      </c>
      <c r="F1160" s="315">
        <v>1.8140000000000001</v>
      </c>
      <c r="G1160" s="315">
        <v>2.1236999999999999</v>
      </c>
      <c r="H1160" s="315">
        <v>2.4558</v>
      </c>
      <c r="I1160" s="315">
        <v>2.4214000000000002</v>
      </c>
      <c r="J1160" s="315">
        <v>2.1251000000000002</v>
      </c>
      <c r="K1160" s="315">
        <v>1.4582999999999999</v>
      </c>
      <c r="L1160" s="315">
        <v>1.909</v>
      </c>
      <c r="M1160" s="315">
        <v>2.2486000000000002</v>
      </c>
      <c r="N1160" s="315">
        <v>2.3632</v>
      </c>
      <c r="O1160" s="315">
        <v>1.9717</v>
      </c>
      <c r="P1160" s="315">
        <v>1.7237</v>
      </c>
      <c r="Q1160" s="315">
        <v>1.7183999999999999</v>
      </c>
      <c r="R1160" s="315">
        <v>2.5356000000000001</v>
      </c>
      <c r="S1160" s="315">
        <v>2.0019999999999998</v>
      </c>
      <c r="T1160" s="315">
        <v>1.7998000000000001</v>
      </c>
      <c r="U1160" s="315">
        <v>1.9476</v>
      </c>
      <c r="V1160" s="315">
        <v>1.9075</v>
      </c>
      <c r="W1160" s="315">
        <v>2.3062</v>
      </c>
      <c r="X1160" s="315">
        <v>2.2179000000000002</v>
      </c>
      <c r="Y1160" s="315">
        <v>1.9785999999999999</v>
      </c>
      <c r="Z1160" s="315">
        <v>2.1030000000000002</v>
      </c>
      <c r="AA1160" s="315">
        <v>2.2113</v>
      </c>
      <c r="AB1160" s="315">
        <v>2.1183999999999998</v>
      </c>
      <c r="AC1160" s="315">
        <v>1.7829999999999999</v>
      </c>
      <c r="AD1160" s="315">
        <v>1.7814000000000001</v>
      </c>
      <c r="AE1160" s="315">
        <v>2.0695999999999999</v>
      </c>
      <c r="AF1160" s="315">
        <v>1.5924</v>
      </c>
      <c r="AG1160" s="315">
        <v>1.7191000000000001</v>
      </c>
      <c r="AH1160" s="315">
        <v>2.0785999999999998</v>
      </c>
      <c r="AI1160" s="315">
        <v>2.3313000000000001</v>
      </c>
      <c r="AJ1160" s="315">
        <v>1.8290999999999999</v>
      </c>
      <c r="AK1160" s="315">
        <v>1.9005000000000001</v>
      </c>
      <c r="AL1160" s="315">
        <v>2.0891000000000002</v>
      </c>
      <c r="AM1160" s="315">
        <v>2.2012</v>
      </c>
      <c r="AN1160" s="315">
        <v>1.9779</v>
      </c>
      <c r="AO1160" s="315">
        <v>2.0426000000000002</v>
      </c>
      <c r="AP1160" s="315">
        <v>2.2839</v>
      </c>
      <c r="AQ1160" s="315">
        <v>2.0347</v>
      </c>
      <c r="AR1160" s="315">
        <v>2.0836000000000001</v>
      </c>
      <c r="AS1160" s="315">
        <v>1.6423000000000001</v>
      </c>
      <c r="AT1160" s="315">
        <v>2.2681</v>
      </c>
      <c r="AU1160" s="315">
        <v>2.4552</v>
      </c>
      <c r="AV1160" s="315">
        <v>2.2801</v>
      </c>
      <c r="AW1160" s="315">
        <v>2.1579999999999999</v>
      </c>
      <c r="AX1160" s="315">
        <v>1.8935999999999999</v>
      </c>
      <c r="AY1160" s="315">
        <v>2.1593</v>
      </c>
      <c r="AZ1160" s="315">
        <v>2.0001000000000002</v>
      </c>
      <c r="BA1160" s="315">
        <v>1.7093</v>
      </c>
      <c r="BB1160" s="315">
        <v>1.5721000000000001</v>
      </c>
      <c r="BC1160" s="315">
        <v>2.3843000000000001</v>
      </c>
      <c r="BD1160" s="315">
        <v>2.4975999999999998</v>
      </c>
      <c r="BE1160" s="315">
        <v>2.3986000000000001</v>
      </c>
      <c r="BF1160" s="315">
        <v>2.1164000000000001</v>
      </c>
      <c r="BG1160" s="315">
        <v>2.4331</v>
      </c>
      <c r="BH1160" s="315">
        <v>2.1518000000000002</v>
      </c>
      <c r="BI1160" s="315">
        <v>2.4134000000000002</v>
      </c>
      <c r="BJ1160" s="315">
        <v>2.2814999999999999</v>
      </c>
      <c r="BK1160" s="315">
        <v>2.4438</v>
      </c>
    </row>
    <row r="1161" spans="1:63" x14ac:dyDescent="0.25">
      <c r="A1161" s="306">
        <v>524100</v>
      </c>
      <c r="B1161" s="315" t="s">
        <v>298</v>
      </c>
      <c r="C1161" s="315">
        <v>2.7532000000000001</v>
      </c>
      <c r="D1161" s="315">
        <v>1.595</v>
      </c>
      <c r="E1161" s="315">
        <v>1.9847999999999999</v>
      </c>
      <c r="F1161" s="315">
        <v>1.7355</v>
      </c>
      <c r="G1161" s="315">
        <v>2.12</v>
      </c>
      <c r="H1161" s="315">
        <v>2.3191000000000002</v>
      </c>
      <c r="I1161" s="315">
        <v>2.2555000000000001</v>
      </c>
      <c r="J1161" s="315">
        <v>2.1505000000000001</v>
      </c>
      <c r="K1161" s="315">
        <v>1.3048</v>
      </c>
      <c r="L1161" s="315">
        <v>1.9550000000000001</v>
      </c>
      <c r="M1161" s="315">
        <v>2.2130000000000001</v>
      </c>
      <c r="N1161" s="315">
        <v>2.3170999999999999</v>
      </c>
      <c r="O1161" s="315">
        <v>1.8669</v>
      </c>
      <c r="P1161" s="315">
        <v>1.8663000000000001</v>
      </c>
      <c r="Q1161" s="315">
        <v>1.6456</v>
      </c>
      <c r="R1161" s="315">
        <v>2.3999000000000001</v>
      </c>
      <c r="S1161" s="315">
        <v>1.9862</v>
      </c>
      <c r="T1161" s="315">
        <v>1.8919999999999999</v>
      </c>
      <c r="U1161" s="315">
        <v>2.0457000000000001</v>
      </c>
      <c r="V1161" s="315">
        <v>1.9926999999999999</v>
      </c>
      <c r="W1161" s="315">
        <v>2.2381000000000002</v>
      </c>
      <c r="X1161" s="315">
        <v>2.1482999999999999</v>
      </c>
      <c r="Y1161" s="315">
        <v>2.0651999999999999</v>
      </c>
      <c r="Z1161" s="315">
        <v>2.0173999999999999</v>
      </c>
      <c r="AA1161" s="315">
        <v>2.1911999999999998</v>
      </c>
      <c r="AB1161" s="315">
        <v>2.1734</v>
      </c>
      <c r="AC1161" s="315">
        <v>1.786</v>
      </c>
      <c r="AD1161" s="315">
        <v>1.8835999999999999</v>
      </c>
      <c r="AE1161" s="315">
        <v>1.8947000000000001</v>
      </c>
      <c r="AF1161" s="315">
        <v>1.5620000000000001</v>
      </c>
      <c r="AG1161" s="315">
        <v>1.7866</v>
      </c>
      <c r="AH1161" s="315">
        <v>2.1187999999999998</v>
      </c>
      <c r="AI1161" s="315">
        <v>2.2795000000000001</v>
      </c>
      <c r="AJ1161" s="315">
        <v>1.6668000000000001</v>
      </c>
      <c r="AK1161" s="315">
        <v>1.8533999999999999</v>
      </c>
      <c r="AL1161" s="315">
        <v>2.1021000000000001</v>
      </c>
      <c r="AM1161" s="315">
        <v>2.1816</v>
      </c>
      <c r="AN1161" s="315">
        <v>1.921</v>
      </c>
      <c r="AO1161" s="315">
        <v>2.0072000000000001</v>
      </c>
      <c r="AP1161" s="315">
        <v>2.2812000000000001</v>
      </c>
      <c r="AQ1161" s="315">
        <v>2.0666000000000002</v>
      </c>
      <c r="AR1161" s="315">
        <v>2.0977000000000001</v>
      </c>
      <c r="AS1161" s="315">
        <v>1.7244999999999999</v>
      </c>
      <c r="AT1161" s="315">
        <v>2.2343000000000002</v>
      </c>
      <c r="AU1161" s="315">
        <v>2.3643999999999998</v>
      </c>
      <c r="AV1161" s="315">
        <v>2.2587000000000002</v>
      </c>
      <c r="AW1161" s="315">
        <v>1.9802999999999999</v>
      </c>
      <c r="AX1161" s="315">
        <v>1.8817999999999999</v>
      </c>
      <c r="AY1161" s="315">
        <v>2.0499999999999998</v>
      </c>
      <c r="AZ1161" s="315">
        <v>2.0486</v>
      </c>
      <c r="BA1161" s="315">
        <v>1.7662</v>
      </c>
      <c r="BB1161" s="315">
        <v>1.4763999999999999</v>
      </c>
      <c r="BC1161" s="315">
        <v>2.3189000000000002</v>
      </c>
      <c r="BD1161" s="315">
        <v>2.3839999999999999</v>
      </c>
      <c r="BE1161" s="315">
        <v>2.3178000000000001</v>
      </c>
      <c r="BF1161" s="315">
        <v>2.1513</v>
      </c>
      <c r="BG1161" s="315">
        <v>2.3311999999999999</v>
      </c>
      <c r="BH1161" s="315">
        <v>2.1785999999999999</v>
      </c>
      <c r="BI1161" s="315">
        <v>2.3369</v>
      </c>
      <c r="BJ1161" s="315">
        <v>2.1537999999999999</v>
      </c>
      <c r="BK1161" s="315">
        <v>2.2972000000000001</v>
      </c>
    </row>
    <row r="1162" spans="1:63" x14ac:dyDescent="0.25">
      <c r="A1162" s="306">
        <v>524200</v>
      </c>
      <c r="B1162" s="315" t="s">
        <v>299</v>
      </c>
      <c r="C1162" s="315">
        <v>2.7887</v>
      </c>
      <c r="D1162" s="315">
        <v>1.7043999999999999</v>
      </c>
      <c r="E1162" s="315">
        <v>2.0019</v>
      </c>
      <c r="F1162" s="315">
        <v>1.7712000000000001</v>
      </c>
      <c r="G1162" s="315">
        <v>2.1617000000000002</v>
      </c>
      <c r="H1162" s="315">
        <v>2.3532999999999999</v>
      </c>
      <c r="I1162" s="315">
        <v>2.2968000000000002</v>
      </c>
      <c r="J1162" s="315">
        <v>2.0949</v>
      </c>
      <c r="K1162" s="315">
        <v>1.377</v>
      </c>
      <c r="L1162" s="315">
        <v>1.9096</v>
      </c>
      <c r="M1162" s="315">
        <v>2.2374000000000001</v>
      </c>
      <c r="N1162" s="315">
        <v>2.3416000000000001</v>
      </c>
      <c r="O1162" s="315">
        <v>1.9555</v>
      </c>
      <c r="P1162" s="315">
        <v>1.7831999999999999</v>
      </c>
      <c r="Q1162" s="315">
        <v>1.7022999999999999</v>
      </c>
      <c r="R1162" s="315">
        <v>2.3862999999999999</v>
      </c>
      <c r="S1162" s="315">
        <v>2.0175000000000001</v>
      </c>
      <c r="T1162" s="315">
        <v>1.8628</v>
      </c>
      <c r="U1162" s="315">
        <v>2.0209999999999999</v>
      </c>
      <c r="V1162" s="315">
        <v>2.0030000000000001</v>
      </c>
      <c r="W1162" s="315">
        <v>2.1962000000000002</v>
      </c>
      <c r="X1162" s="315">
        <v>2.1617999999999999</v>
      </c>
      <c r="Y1162" s="315">
        <v>2.0125999999999999</v>
      </c>
      <c r="Z1162" s="315">
        <v>2.0716000000000001</v>
      </c>
      <c r="AA1162" s="315">
        <v>2.1379000000000001</v>
      </c>
      <c r="AB1162" s="315">
        <v>2.1383000000000001</v>
      </c>
      <c r="AC1162" s="315">
        <v>1.8057000000000001</v>
      </c>
      <c r="AD1162" s="315">
        <v>1.8489</v>
      </c>
      <c r="AE1162" s="315">
        <v>1.9864999999999999</v>
      </c>
      <c r="AF1162" s="315">
        <v>1.5470999999999999</v>
      </c>
      <c r="AG1162" s="315">
        <v>1.7111000000000001</v>
      </c>
      <c r="AH1162" s="315">
        <v>2.0920000000000001</v>
      </c>
      <c r="AI1162" s="315">
        <v>2.274</v>
      </c>
      <c r="AJ1162" s="315">
        <v>1.7921</v>
      </c>
      <c r="AK1162" s="315">
        <v>1.8885000000000001</v>
      </c>
      <c r="AL1162" s="315">
        <v>2.0489999999999999</v>
      </c>
      <c r="AM1162" s="315">
        <v>2.2033</v>
      </c>
      <c r="AN1162" s="315">
        <v>1.9887999999999999</v>
      </c>
      <c r="AO1162" s="315">
        <v>2.0160999999999998</v>
      </c>
      <c r="AP1162" s="315">
        <v>2.2572000000000001</v>
      </c>
      <c r="AQ1162" s="315">
        <v>2.0007000000000001</v>
      </c>
      <c r="AR1162" s="315">
        <v>2.1377999999999999</v>
      </c>
      <c r="AS1162" s="315">
        <v>1.6512</v>
      </c>
      <c r="AT1162" s="315">
        <v>2.2494999999999998</v>
      </c>
      <c r="AU1162" s="315">
        <v>2.4083000000000001</v>
      </c>
      <c r="AV1162" s="315">
        <v>2.2555000000000001</v>
      </c>
      <c r="AW1162" s="315">
        <v>2.0756000000000001</v>
      </c>
      <c r="AX1162" s="315">
        <v>1.8568</v>
      </c>
      <c r="AY1162" s="315">
        <v>2.1019999999999999</v>
      </c>
      <c r="AZ1162" s="315">
        <v>2.0207999999999999</v>
      </c>
      <c r="BA1162" s="315">
        <v>1.7759</v>
      </c>
      <c r="BB1162" s="315">
        <v>1.5274000000000001</v>
      </c>
      <c r="BC1162" s="315">
        <v>2.2765</v>
      </c>
      <c r="BD1162" s="315">
        <v>2.3557000000000001</v>
      </c>
      <c r="BE1162" s="315">
        <v>2.3309000000000002</v>
      </c>
      <c r="BF1162" s="315">
        <v>2.0979999999999999</v>
      </c>
      <c r="BG1162" s="315">
        <v>2.3803000000000001</v>
      </c>
      <c r="BH1162" s="315">
        <v>2.1848000000000001</v>
      </c>
      <c r="BI1162" s="315">
        <v>2.3925000000000001</v>
      </c>
      <c r="BJ1162" s="315">
        <v>2.2389999999999999</v>
      </c>
      <c r="BK1162" s="315">
        <v>2.3490000000000002</v>
      </c>
    </row>
    <row r="1163" spans="1:63" x14ac:dyDescent="0.25">
      <c r="A1163" s="306">
        <v>525000</v>
      </c>
      <c r="B1163" s="315" t="s">
        <v>300</v>
      </c>
      <c r="C1163" s="315">
        <v>3.6204000000000001</v>
      </c>
      <c r="D1163" s="315">
        <v>1.5175000000000001</v>
      </c>
      <c r="E1163" s="315">
        <v>1.6941999999999999</v>
      </c>
      <c r="F1163" s="315">
        <v>1.6065</v>
      </c>
      <c r="G1163" s="315">
        <v>1.9177</v>
      </c>
      <c r="H1163" s="315">
        <v>2.7505000000000002</v>
      </c>
      <c r="I1163" s="315">
        <v>2.6046999999999998</v>
      </c>
      <c r="J1163" s="315">
        <v>2.7429999999999999</v>
      </c>
      <c r="K1163" s="315">
        <v>1.5951</v>
      </c>
      <c r="L1163" s="315">
        <v>2.2715000000000001</v>
      </c>
      <c r="M1163" s="315">
        <v>2.2090000000000001</v>
      </c>
      <c r="N1163" s="315">
        <v>2.2252999999999998</v>
      </c>
      <c r="O1163" s="315">
        <v>1.657</v>
      </c>
      <c r="P1163" s="315">
        <v>1.5248999999999999</v>
      </c>
      <c r="Q1163" s="315">
        <v>1.5043</v>
      </c>
      <c r="R1163" s="315">
        <v>3.1644999999999999</v>
      </c>
      <c r="S1163" s="315">
        <v>1.7112000000000001</v>
      </c>
      <c r="T1163" s="315">
        <v>1.7159</v>
      </c>
      <c r="U1163" s="315">
        <v>1.7583</v>
      </c>
      <c r="V1163" s="315">
        <v>1.6292</v>
      </c>
      <c r="W1163" s="315">
        <v>2.9460999999999999</v>
      </c>
      <c r="X1163" s="315">
        <v>2.5091999999999999</v>
      </c>
      <c r="Y1163" s="315">
        <v>1.7499</v>
      </c>
      <c r="Z1163" s="315">
        <v>1.8032999999999999</v>
      </c>
      <c r="AA1163" s="315">
        <v>2.4386000000000001</v>
      </c>
      <c r="AB1163" s="315">
        <v>2.0434999999999999</v>
      </c>
      <c r="AC1163" s="315">
        <v>1.4983</v>
      </c>
      <c r="AD1163" s="315">
        <v>1.6382000000000001</v>
      </c>
      <c r="AE1163" s="315">
        <v>1.954</v>
      </c>
      <c r="AF1163" s="315">
        <v>1.4146000000000001</v>
      </c>
      <c r="AG1163" s="315">
        <v>1.5575000000000001</v>
      </c>
      <c r="AH1163" s="315">
        <v>2.5874000000000001</v>
      </c>
      <c r="AI1163" s="315">
        <v>2.9613</v>
      </c>
      <c r="AJ1163" s="315">
        <v>1.5562</v>
      </c>
      <c r="AK1163" s="315">
        <v>1.5671999999999999</v>
      </c>
      <c r="AL1163" s="315">
        <v>2.7467999999999999</v>
      </c>
      <c r="AM1163" s="315">
        <v>1.9238999999999999</v>
      </c>
      <c r="AN1163" s="315">
        <v>1.7101</v>
      </c>
      <c r="AO1163" s="315">
        <v>1.7687999999999999</v>
      </c>
      <c r="AP1163" s="315">
        <v>2.3220000000000001</v>
      </c>
      <c r="AQ1163" s="315">
        <v>2.6251000000000002</v>
      </c>
      <c r="AR1163" s="315">
        <v>1.7208000000000001</v>
      </c>
      <c r="AS1163" s="315">
        <v>1.4552</v>
      </c>
      <c r="AT1163" s="315">
        <v>2.1968000000000001</v>
      </c>
      <c r="AU1163" s="315">
        <v>2.4348999999999998</v>
      </c>
      <c r="AV1163" s="315">
        <v>2.0585</v>
      </c>
      <c r="AW1163" s="315">
        <v>1.9679</v>
      </c>
      <c r="AX1163" s="315">
        <v>1.8442000000000001</v>
      </c>
      <c r="AY1163" s="315">
        <v>1.9871000000000001</v>
      </c>
      <c r="AZ1163" s="315">
        <v>1.9046000000000001</v>
      </c>
      <c r="BA1163" s="315">
        <v>1.4611000000000001</v>
      </c>
      <c r="BB1163" s="315">
        <v>1.4157999999999999</v>
      </c>
      <c r="BC1163" s="315">
        <v>3.0190000000000001</v>
      </c>
      <c r="BD1163" s="315">
        <v>3.1248999999999998</v>
      </c>
      <c r="BE1163" s="315">
        <v>2.4708000000000001</v>
      </c>
      <c r="BF1163" s="315">
        <v>1.9895</v>
      </c>
      <c r="BG1163" s="315">
        <v>2.2816000000000001</v>
      </c>
      <c r="BH1163" s="315">
        <v>1.9165000000000001</v>
      </c>
      <c r="BI1163" s="315">
        <v>2.2621000000000002</v>
      </c>
      <c r="BJ1163" s="315">
        <v>2.0425</v>
      </c>
      <c r="BK1163" s="315">
        <v>2.5728</v>
      </c>
    </row>
    <row r="1164" spans="1:63" x14ac:dyDescent="0.25">
      <c r="A1164" s="306" t="s">
        <v>766</v>
      </c>
      <c r="B1164" s="315" t="s">
        <v>767</v>
      </c>
      <c r="C1164" s="315">
        <v>2.2841999999999998</v>
      </c>
      <c r="D1164" s="315">
        <v>1.4912000000000001</v>
      </c>
      <c r="E1164" s="315">
        <v>1.6271</v>
      </c>
      <c r="F1164" s="315">
        <v>1.5087999999999999</v>
      </c>
      <c r="G1164" s="315">
        <v>1.6983999999999999</v>
      </c>
      <c r="H1164" s="315">
        <v>1.9144000000000001</v>
      </c>
      <c r="I1164" s="315">
        <v>1.8962000000000001</v>
      </c>
      <c r="J1164" s="315">
        <v>1.7546999999999999</v>
      </c>
      <c r="K1164" s="315">
        <v>1.2767999999999999</v>
      </c>
      <c r="L1164" s="315">
        <v>1.6532</v>
      </c>
      <c r="M1164" s="315">
        <v>1.7910999999999999</v>
      </c>
      <c r="N1164" s="315">
        <v>1.8475999999999999</v>
      </c>
      <c r="O1164" s="315">
        <v>1.6128</v>
      </c>
      <c r="P1164" s="315">
        <v>1.5</v>
      </c>
      <c r="Q1164" s="315">
        <v>1.4762999999999999</v>
      </c>
      <c r="R1164" s="315">
        <v>1.9962</v>
      </c>
      <c r="S1164" s="315">
        <v>1.6229</v>
      </c>
      <c r="T1164" s="315">
        <v>1.5177</v>
      </c>
      <c r="U1164" s="315">
        <v>1.6453</v>
      </c>
      <c r="V1164" s="315">
        <v>1.5799000000000001</v>
      </c>
      <c r="W1164" s="315">
        <v>1.8353999999999999</v>
      </c>
      <c r="X1164" s="315">
        <v>1.7545999999999999</v>
      </c>
      <c r="Y1164" s="315">
        <v>1.6407</v>
      </c>
      <c r="Z1164" s="315">
        <v>1.7044999999999999</v>
      </c>
      <c r="AA1164" s="315">
        <v>1.7809999999999999</v>
      </c>
      <c r="AB1164" s="315">
        <v>1.7521</v>
      </c>
      <c r="AC1164" s="315">
        <v>1.5302</v>
      </c>
      <c r="AD1164" s="315">
        <v>1.5245</v>
      </c>
      <c r="AE1164" s="315">
        <v>1.6915</v>
      </c>
      <c r="AF1164" s="315">
        <v>1.4075</v>
      </c>
      <c r="AG1164" s="315">
        <v>1.4592000000000001</v>
      </c>
      <c r="AH1164" s="315">
        <v>1.6990000000000001</v>
      </c>
      <c r="AI1164" s="315">
        <v>1.8909</v>
      </c>
      <c r="AJ1164" s="315">
        <v>1.5142</v>
      </c>
      <c r="AK1164" s="315">
        <v>1.5688</v>
      </c>
      <c r="AL1164" s="315">
        <v>1.7511000000000001</v>
      </c>
      <c r="AM1164" s="315">
        <v>1.7553000000000001</v>
      </c>
      <c r="AN1164" s="315">
        <v>1.6246</v>
      </c>
      <c r="AO1164" s="315">
        <v>1.6482000000000001</v>
      </c>
      <c r="AP1164" s="315">
        <v>1.8216000000000001</v>
      </c>
      <c r="AQ1164" s="315">
        <v>1.7225999999999999</v>
      </c>
      <c r="AR1164" s="315">
        <v>1.6766000000000001</v>
      </c>
      <c r="AS1164" s="315">
        <v>1.4539</v>
      </c>
      <c r="AT1164" s="315">
        <v>1.8153999999999999</v>
      </c>
      <c r="AU1164" s="315">
        <v>1.9025000000000001</v>
      </c>
      <c r="AV1164" s="315">
        <v>1.8209</v>
      </c>
      <c r="AW1164" s="315">
        <v>1.7122999999999999</v>
      </c>
      <c r="AX1164" s="315">
        <v>1.5717000000000001</v>
      </c>
      <c r="AY1164" s="315">
        <v>1.7274</v>
      </c>
      <c r="AZ1164" s="315">
        <v>1.6732</v>
      </c>
      <c r="BA1164" s="315">
        <v>1.4621</v>
      </c>
      <c r="BB1164" s="315">
        <v>1.3978999999999999</v>
      </c>
      <c r="BC1164" s="315">
        <v>1.9055</v>
      </c>
      <c r="BD1164" s="315">
        <v>1.9737</v>
      </c>
      <c r="BE1164" s="315">
        <v>1.8951</v>
      </c>
      <c r="BF1164" s="315">
        <v>1.7166999999999999</v>
      </c>
      <c r="BG1164" s="315">
        <v>1.8937999999999999</v>
      </c>
      <c r="BH1164" s="315">
        <v>1.7594000000000001</v>
      </c>
      <c r="BI1164" s="315">
        <v>1.8751</v>
      </c>
      <c r="BJ1164" s="315">
        <v>1.7947</v>
      </c>
      <c r="BK1164" s="315">
        <v>1.9025000000000001</v>
      </c>
    </row>
    <row r="1165" spans="1:63" x14ac:dyDescent="0.25">
      <c r="A1165" s="306">
        <v>531000</v>
      </c>
      <c r="B1165" s="315" t="s">
        <v>416</v>
      </c>
      <c r="C1165" s="315">
        <v>1.77</v>
      </c>
      <c r="D1165" s="315">
        <v>1.3455999999999999</v>
      </c>
      <c r="E1165" s="315">
        <v>1.4408000000000001</v>
      </c>
      <c r="F1165" s="315">
        <v>1.3426</v>
      </c>
      <c r="G1165" s="315">
        <v>1.5024999999999999</v>
      </c>
      <c r="H1165" s="315">
        <v>1.5638000000000001</v>
      </c>
      <c r="I1165" s="315">
        <v>1.5795999999999999</v>
      </c>
      <c r="J1165" s="315">
        <v>1.4434</v>
      </c>
      <c r="K1165" s="315">
        <v>1.2096</v>
      </c>
      <c r="L1165" s="315">
        <v>1.4369000000000001</v>
      </c>
      <c r="M1165" s="315">
        <v>1.5229999999999999</v>
      </c>
      <c r="N1165" s="315">
        <v>1.5650999999999999</v>
      </c>
      <c r="O1165" s="315">
        <v>1.4538</v>
      </c>
      <c r="P1165" s="315">
        <v>1.3099000000000001</v>
      </c>
      <c r="Q1165" s="315">
        <v>1.3244</v>
      </c>
      <c r="R1165" s="315">
        <v>1.5862000000000001</v>
      </c>
      <c r="S1165" s="315">
        <v>1.4408000000000001</v>
      </c>
      <c r="T1165" s="315">
        <v>1.3342000000000001</v>
      </c>
      <c r="U1165" s="315">
        <v>1.4341999999999999</v>
      </c>
      <c r="V1165" s="315">
        <v>1.4105000000000001</v>
      </c>
      <c r="W1165" s="315">
        <v>1.4895</v>
      </c>
      <c r="X1165" s="315">
        <v>1.4885999999999999</v>
      </c>
      <c r="Y1165" s="315">
        <v>1.4238999999999999</v>
      </c>
      <c r="Z1165" s="315">
        <v>1.4659</v>
      </c>
      <c r="AA1165" s="315">
        <v>1.4807999999999999</v>
      </c>
      <c r="AB1165" s="315">
        <v>1.4953000000000001</v>
      </c>
      <c r="AC1165" s="315">
        <v>1.3606</v>
      </c>
      <c r="AD1165" s="315">
        <v>1.3413999999999999</v>
      </c>
      <c r="AE1165" s="315">
        <v>1.4372</v>
      </c>
      <c r="AF1165" s="315">
        <v>1.2646999999999999</v>
      </c>
      <c r="AG1165" s="315">
        <v>1.3026</v>
      </c>
      <c r="AH1165" s="315">
        <v>1.4556</v>
      </c>
      <c r="AI1165" s="315">
        <v>1.5325</v>
      </c>
      <c r="AJ1165" s="315">
        <v>1.3722000000000001</v>
      </c>
      <c r="AK1165" s="315">
        <v>1.4296</v>
      </c>
      <c r="AL1165" s="315">
        <v>1.4622999999999999</v>
      </c>
      <c r="AM1165" s="315">
        <v>1.5088999999999999</v>
      </c>
      <c r="AN1165" s="315">
        <v>1.4152</v>
      </c>
      <c r="AO1165" s="315">
        <v>1.4686999999999999</v>
      </c>
      <c r="AP1165" s="315">
        <v>1.5361</v>
      </c>
      <c r="AQ1165" s="315">
        <v>1.4294</v>
      </c>
      <c r="AR1165" s="315">
        <v>1.5039</v>
      </c>
      <c r="AS1165" s="315">
        <v>1.2714000000000001</v>
      </c>
      <c r="AT1165" s="315">
        <v>1.5311999999999999</v>
      </c>
      <c r="AU1165" s="315">
        <v>1.605</v>
      </c>
      <c r="AV1165" s="315">
        <v>1.5483</v>
      </c>
      <c r="AW1165" s="315">
        <v>1.4965999999999999</v>
      </c>
      <c r="AX1165" s="315">
        <v>1.3766</v>
      </c>
      <c r="AY1165" s="315">
        <v>1.5031000000000001</v>
      </c>
      <c r="AZ1165" s="315">
        <v>1.4241999999999999</v>
      </c>
      <c r="BA1165" s="315">
        <v>1.3299000000000001</v>
      </c>
      <c r="BB1165" s="315">
        <v>1.2699</v>
      </c>
      <c r="BC1165" s="315">
        <v>1.5234000000000001</v>
      </c>
      <c r="BD1165" s="315">
        <v>1.573</v>
      </c>
      <c r="BE1165" s="315">
        <v>1.5590999999999999</v>
      </c>
      <c r="BF1165" s="315">
        <v>1.4531000000000001</v>
      </c>
      <c r="BG1165" s="315">
        <v>1.599</v>
      </c>
      <c r="BH1165" s="315">
        <v>1.5082</v>
      </c>
      <c r="BI1165" s="315">
        <v>1.5986</v>
      </c>
      <c r="BJ1165" s="315">
        <v>1.5617000000000001</v>
      </c>
      <c r="BK1165" s="315">
        <v>1.5792999999999999</v>
      </c>
    </row>
    <row r="1166" spans="1:63" x14ac:dyDescent="0.25">
      <c r="A1166" s="306">
        <v>532100</v>
      </c>
      <c r="B1166" s="315" t="s">
        <v>301</v>
      </c>
      <c r="C1166" s="315">
        <v>2.5036999999999998</v>
      </c>
      <c r="D1166" s="315">
        <v>1.5674999999999999</v>
      </c>
      <c r="E1166" s="315">
        <v>1.7979000000000001</v>
      </c>
      <c r="F1166" s="315">
        <v>1.7105999999999999</v>
      </c>
      <c r="G1166" s="315">
        <v>1.8714</v>
      </c>
      <c r="H1166" s="315">
        <v>2.0586000000000002</v>
      </c>
      <c r="I1166" s="315">
        <v>2.0859999999999999</v>
      </c>
      <c r="J1166" s="315">
        <v>1.8807</v>
      </c>
      <c r="K1166" s="315">
        <v>1.2857000000000001</v>
      </c>
      <c r="L1166" s="315">
        <v>1.7606999999999999</v>
      </c>
      <c r="M1166" s="315">
        <v>1.9258</v>
      </c>
      <c r="N1166" s="315">
        <v>2.0739999999999998</v>
      </c>
      <c r="O1166" s="315">
        <v>1.7942</v>
      </c>
      <c r="P1166" s="315">
        <v>1.6024</v>
      </c>
      <c r="Q1166" s="315">
        <v>1.6085</v>
      </c>
      <c r="R1166" s="315">
        <v>2.149</v>
      </c>
      <c r="S1166" s="315">
        <v>1.8307</v>
      </c>
      <c r="T1166" s="315">
        <v>1.649</v>
      </c>
      <c r="U1166" s="315">
        <v>1.8511</v>
      </c>
      <c r="V1166" s="315">
        <v>1.7401</v>
      </c>
      <c r="W1166" s="315">
        <v>1.9488000000000001</v>
      </c>
      <c r="X1166" s="315">
        <v>1.8416999999999999</v>
      </c>
      <c r="Y1166" s="315">
        <v>1.8168</v>
      </c>
      <c r="Z1166" s="315">
        <v>1.9358</v>
      </c>
      <c r="AA1166" s="315">
        <v>1.9426000000000001</v>
      </c>
      <c r="AB1166" s="315">
        <v>1.9885999999999999</v>
      </c>
      <c r="AC1166" s="315">
        <v>1.6556</v>
      </c>
      <c r="AD1166" s="315">
        <v>1.5741000000000001</v>
      </c>
      <c r="AE1166" s="315">
        <v>1.8838999999999999</v>
      </c>
      <c r="AF1166" s="315">
        <v>1.5178</v>
      </c>
      <c r="AG1166" s="315">
        <v>1.6071</v>
      </c>
      <c r="AH1166" s="315">
        <v>1.8573</v>
      </c>
      <c r="AI1166" s="315">
        <v>2.0274999999999999</v>
      </c>
      <c r="AJ1166" s="315">
        <v>1.6033999999999999</v>
      </c>
      <c r="AK1166" s="315">
        <v>1.7793000000000001</v>
      </c>
      <c r="AL1166" s="315">
        <v>1.8647</v>
      </c>
      <c r="AM1166" s="315">
        <v>2.0345</v>
      </c>
      <c r="AN1166" s="315">
        <v>1.7822</v>
      </c>
      <c r="AO1166" s="315">
        <v>1.8772</v>
      </c>
      <c r="AP1166" s="315">
        <v>2.0680999999999998</v>
      </c>
      <c r="AQ1166" s="315">
        <v>1.8486</v>
      </c>
      <c r="AR1166" s="315">
        <v>1.8741000000000001</v>
      </c>
      <c r="AS1166" s="315">
        <v>1.504</v>
      </c>
      <c r="AT1166" s="315">
        <v>1.9905999999999999</v>
      </c>
      <c r="AU1166" s="315">
        <v>2.0565000000000002</v>
      </c>
      <c r="AV1166" s="315">
        <v>2.0478000000000001</v>
      </c>
      <c r="AW1166" s="315">
        <v>1.9459</v>
      </c>
      <c r="AX1166" s="315">
        <v>1.6111</v>
      </c>
      <c r="AY1166" s="315">
        <v>1.9055</v>
      </c>
      <c r="AZ1166" s="315">
        <v>1.8855</v>
      </c>
      <c r="BA1166" s="315">
        <v>1.6</v>
      </c>
      <c r="BB1166" s="315">
        <v>1.4314</v>
      </c>
      <c r="BC1166" s="315">
        <v>2.0356000000000001</v>
      </c>
      <c r="BD1166" s="315">
        <v>2.1133000000000002</v>
      </c>
      <c r="BE1166" s="315">
        <v>2.1267</v>
      </c>
      <c r="BF1166" s="315">
        <v>1.9247000000000001</v>
      </c>
      <c r="BG1166" s="315">
        <v>2.1143000000000001</v>
      </c>
      <c r="BH1166" s="315">
        <v>1.948</v>
      </c>
      <c r="BI1166" s="315">
        <v>2.0571000000000002</v>
      </c>
      <c r="BJ1166" s="315">
        <v>2.0005999999999999</v>
      </c>
      <c r="BK1166" s="315">
        <v>2.0750000000000002</v>
      </c>
    </row>
    <row r="1167" spans="1:63" x14ac:dyDescent="0.25">
      <c r="A1167" s="306">
        <v>532230</v>
      </c>
      <c r="B1167" s="315" t="s">
        <v>303</v>
      </c>
      <c r="C1167" s="315">
        <v>2.9169999999999998</v>
      </c>
      <c r="D1167" s="315">
        <v>1.6815</v>
      </c>
      <c r="E1167" s="315">
        <v>2.0381999999999998</v>
      </c>
      <c r="F1167" s="315">
        <v>1.9819</v>
      </c>
      <c r="G1167" s="315">
        <v>2.1663999999999999</v>
      </c>
      <c r="H1167" s="315">
        <v>2.3544999999999998</v>
      </c>
      <c r="I1167" s="315">
        <v>2.4230999999999998</v>
      </c>
      <c r="J1167" s="315">
        <v>2.1341999999999999</v>
      </c>
      <c r="K1167" s="315">
        <v>1.2770999999999999</v>
      </c>
      <c r="L1167" s="315">
        <v>1.9360999999999999</v>
      </c>
      <c r="M1167" s="315">
        <v>2.1913</v>
      </c>
      <c r="N1167" s="315">
        <v>2.4094000000000002</v>
      </c>
      <c r="O1167" s="315">
        <v>1.9695</v>
      </c>
      <c r="P1167" s="315">
        <v>1.7476</v>
      </c>
      <c r="Q1167" s="315">
        <v>1.8203</v>
      </c>
      <c r="R1167" s="315">
        <v>2.4405000000000001</v>
      </c>
      <c r="S1167" s="315">
        <v>2.1118999999999999</v>
      </c>
      <c r="T1167" s="315">
        <v>1.8629</v>
      </c>
      <c r="U1167" s="315">
        <v>2.1052</v>
      </c>
      <c r="V1167" s="315">
        <v>2.0083000000000002</v>
      </c>
      <c r="W1167" s="315">
        <v>2.2389000000000001</v>
      </c>
      <c r="X1167" s="315">
        <v>2.0714000000000001</v>
      </c>
      <c r="Y1167" s="315">
        <v>2.0223</v>
      </c>
      <c r="Z1167" s="315">
        <v>2.2490999999999999</v>
      </c>
      <c r="AA1167" s="315">
        <v>2.2948</v>
      </c>
      <c r="AB1167" s="315">
        <v>2.2847</v>
      </c>
      <c r="AC1167" s="315">
        <v>1.8361000000000001</v>
      </c>
      <c r="AD1167" s="315">
        <v>1.7833000000000001</v>
      </c>
      <c r="AE1167" s="315">
        <v>2.1701000000000001</v>
      </c>
      <c r="AF1167" s="315">
        <v>1.73</v>
      </c>
      <c r="AG1167" s="315">
        <v>1.7705</v>
      </c>
      <c r="AH1167" s="315">
        <v>2.1360000000000001</v>
      </c>
      <c r="AI1167" s="315">
        <v>2.2974999999999999</v>
      </c>
      <c r="AJ1167" s="315">
        <v>1.7502</v>
      </c>
      <c r="AK1167" s="315">
        <v>1.9968999999999999</v>
      </c>
      <c r="AL1167" s="315">
        <v>2.0895999999999999</v>
      </c>
      <c r="AM1167" s="315">
        <v>2.3397000000000001</v>
      </c>
      <c r="AN1167" s="315">
        <v>2.0133000000000001</v>
      </c>
      <c r="AO1167" s="315">
        <v>2.1945000000000001</v>
      </c>
      <c r="AP1167" s="315">
        <v>2.3972000000000002</v>
      </c>
      <c r="AQ1167" s="315">
        <v>2.0686</v>
      </c>
      <c r="AR1167" s="315">
        <v>2.1088</v>
      </c>
      <c r="AS1167" s="315">
        <v>1.6736</v>
      </c>
      <c r="AT1167" s="315">
        <v>2.2955000000000001</v>
      </c>
      <c r="AU1167" s="315">
        <v>2.3624000000000001</v>
      </c>
      <c r="AV1167" s="315">
        <v>2.3795999999999999</v>
      </c>
      <c r="AW1167" s="315">
        <v>2.2078000000000002</v>
      </c>
      <c r="AX1167" s="315">
        <v>1.7549999999999999</v>
      </c>
      <c r="AY1167" s="315">
        <v>2.2214999999999998</v>
      </c>
      <c r="AZ1167" s="315">
        <v>2.1985000000000001</v>
      </c>
      <c r="BA1167" s="315">
        <v>1.7968999999999999</v>
      </c>
      <c r="BB1167" s="315">
        <v>1.5706</v>
      </c>
      <c r="BC1167" s="315">
        <v>2.3367</v>
      </c>
      <c r="BD1167" s="315">
        <v>2.4306999999999999</v>
      </c>
      <c r="BE1167" s="315">
        <v>2.4651999999999998</v>
      </c>
      <c r="BF1167" s="315">
        <v>2.23</v>
      </c>
      <c r="BG1167" s="315">
        <v>2.4367999999999999</v>
      </c>
      <c r="BH1167" s="315">
        <v>2.2442000000000002</v>
      </c>
      <c r="BI1167" s="315">
        <v>2.3854000000000002</v>
      </c>
      <c r="BJ1167" s="315">
        <v>2.3214000000000001</v>
      </c>
      <c r="BK1167" s="315">
        <v>2.4051999999999998</v>
      </c>
    </row>
    <row r="1168" spans="1:63" x14ac:dyDescent="0.25">
      <c r="A1168" s="306">
        <v>532400</v>
      </c>
      <c r="B1168" s="315" t="s">
        <v>304</v>
      </c>
      <c r="C1168" s="315">
        <v>2.7097000000000002</v>
      </c>
      <c r="D1168" s="315">
        <v>1.6256999999999999</v>
      </c>
      <c r="E1168" s="315">
        <v>1.9145000000000001</v>
      </c>
      <c r="F1168" s="315">
        <v>1.8299000000000001</v>
      </c>
      <c r="G1168" s="315">
        <v>2.0308000000000002</v>
      </c>
      <c r="H1168" s="315">
        <v>2.2164999999999999</v>
      </c>
      <c r="I1168" s="315">
        <v>2.2551000000000001</v>
      </c>
      <c r="J1168" s="315">
        <v>1.9957</v>
      </c>
      <c r="K1168" s="315">
        <v>1.2924</v>
      </c>
      <c r="L1168" s="315">
        <v>1.8583000000000001</v>
      </c>
      <c r="M1168" s="315">
        <v>2.0838000000000001</v>
      </c>
      <c r="N1168" s="315">
        <v>2.2501000000000002</v>
      </c>
      <c r="O1168" s="315">
        <v>1.8764000000000001</v>
      </c>
      <c r="P1168" s="315">
        <v>1.6698</v>
      </c>
      <c r="Q1168" s="315">
        <v>1.7130000000000001</v>
      </c>
      <c r="R1168" s="315">
        <v>2.3073999999999999</v>
      </c>
      <c r="S1168" s="315">
        <v>1.9783999999999999</v>
      </c>
      <c r="T1168" s="315">
        <v>1.7670999999999999</v>
      </c>
      <c r="U1168" s="315">
        <v>1.9841</v>
      </c>
      <c r="V1168" s="315">
        <v>1.8949</v>
      </c>
      <c r="W1168" s="315">
        <v>2.0737999999999999</v>
      </c>
      <c r="X1168" s="315">
        <v>1.9837</v>
      </c>
      <c r="Y1168" s="315">
        <v>1.9137</v>
      </c>
      <c r="Z1168" s="315">
        <v>2.0935000000000001</v>
      </c>
      <c r="AA1168" s="315">
        <v>2.0910000000000002</v>
      </c>
      <c r="AB1168" s="315">
        <v>2.1315</v>
      </c>
      <c r="AC1168" s="315">
        <v>1.7529999999999999</v>
      </c>
      <c r="AD1168" s="315">
        <v>1.6673</v>
      </c>
      <c r="AE1168" s="315">
        <v>2.0304000000000002</v>
      </c>
      <c r="AF1168" s="315">
        <v>1.6003000000000001</v>
      </c>
      <c r="AG1168" s="315">
        <v>1.6771</v>
      </c>
      <c r="AH1168" s="315">
        <v>2.0062000000000002</v>
      </c>
      <c r="AI1168" s="315">
        <v>2.1837</v>
      </c>
      <c r="AJ1168" s="315">
        <v>1.7060999999999999</v>
      </c>
      <c r="AK1168" s="315">
        <v>1.8916999999999999</v>
      </c>
      <c r="AL1168" s="315">
        <v>1.9456</v>
      </c>
      <c r="AM1168" s="315">
        <v>2.1938</v>
      </c>
      <c r="AN1168" s="315">
        <v>1.9181999999999999</v>
      </c>
      <c r="AO1168" s="315">
        <v>2.0211000000000001</v>
      </c>
      <c r="AP1168" s="315">
        <v>2.2254</v>
      </c>
      <c r="AQ1168" s="315">
        <v>1.9453</v>
      </c>
      <c r="AR1168" s="315">
        <v>2.0103</v>
      </c>
      <c r="AS1168" s="315">
        <v>1.5771999999999999</v>
      </c>
      <c r="AT1168" s="315">
        <v>2.1493000000000002</v>
      </c>
      <c r="AU1168" s="315">
        <v>2.2339000000000002</v>
      </c>
      <c r="AV1168" s="315">
        <v>2.2033999999999998</v>
      </c>
      <c r="AW1168" s="315">
        <v>2.0771999999999999</v>
      </c>
      <c r="AX1168" s="315">
        <v>1.6597999999999999</v>
      </c>
      <c r="AY1168" s="315">
        <v>2.0495999999999999</v>
      </c>
      <c r="AZ1168" s="315">
        <v>2.0232000000000001</v>
      </c>
      <c r="BA1168" s="315">
        <v>1.6928000000000001</v>
      </c>
      <c r="BB1168" s="315">
        <v>1.5035000000000001</v>
      </c>
      <c r="BC1168" s="315">
        <v>2.1695000000000002</v>
      </c>
      <c r="BD1168" s="315">
        <v>2.2597</v>
      </c>
      <c r="BE1168" s="315">
        <v>2.3020999999999998</v>
      </c>
      <c r="BF1168" s="315">
        <v>2.0606</v>
      </c>
      <c r="BG1168" s="315">
        <v>2.2915000000000001</v>
      </c>
      <c r="BH1168" s="315">
        <v>2.1072000000000002</v>
      </c>
      <c r="BI1168" s="315">
        <v>2.2458</v>
      </c>
      <c r="BJ1168" s="315">
        <v>2.1659000000000002</v>
      </c>
      <c r="BK1168" s="315">
        <v>2.2423999999999999</v>
      </c>
    </row>
    <row r="1169" spans="1:63" x14ac:dyDescent="0.25">
      <c r="A1169" s="306" t="s">
        <v>768</v>
      </c>
      <c r="B1169" s="315" t="s">
        <v>302</v>
      </c>
      <c r="C1169" s="315">
        <v>2.9479000000000002</v>
      </c>
      <c r="D1169" s="315">
        <v>1.6917</v>
      </c>
      <c r="E1169" s="315">
        <v>2.0105</v>
      </c>
      <c r="F1169" s="315">
        <v>1.9556</v>
      </c>
      <c r="G1169" s="315">
        <v>2.1124999999999998</v>
      </c>
      <c r="H1169" s="315">
        <v>2.3668</v>
      </c>
      <c r="I1169" s="315">
        <v>2.4161000000000001</v>
      </c>
      <c r="J1169" s="315">
        <v>2.1116000000000001</v>
      </c>
      <c r="K1169" s="315">
        <v>1.3241000000000001</v>
      </c>
      <c r="L1169" s="315">
        <v>1.9394</v>
      </c>
      <c r="M1169" s="315">
        <v>2.1818</v>
      </c>
      <c r="N1169" s="315">
        <v>2.4047000000000001</v>
      </c>
      <c r="O1169" s="315">
        <v>2.0110999999999999</v>
      </c>
      <c r="P1169" s="315">
        <v>1.7381</v>
      </c>
      <c r="Q1169" s="315">
        <v>1.8024</v>
      </c>
      <c r="R1169" s="315">
        <v>2.4561000000000002</v>
      </c>
      <c r="S1169" s="315">
        <v>2.0718000000000001</v>
      </c>
      <c r="T1169" s="315">
        <v>1.8321000000000001</v>
      </c>
      <c r="U1169" s="315">
        <v>2.0882000000000001</v>
      </c>
      <c r="V1169" s="315">
        <v>1.9679</v>
      </c>
      <c r="W1169" s="315">
        <v>2.2277</v>
      </c>
      <c r="X1169" s="315">
        <v>2.0701999999999998</v>
      </c>
      <c r="Y1169" s="315">
        <v>2.0392999999999999</v>
      </c>
      <c r="Z1169" s="315">
        <v>2.2343999999999999</v>
      </c>
      <c r="AA1169" s="315">
        <v>2.2622</v>
      </c>
      <c r="AB1169" s="315">
        <v>2.2783000000000002</v>
      </c>
      <c r="AC1169" s="315">
        <v>1.8349</v>
      </c>
      <c r="AD1169" s="315">
        <v>1.7354000000000001</v>
      </c>
      <c r="AE1169" s="315">
        <v>2.1674000000000002</v>
      </c>
      <c r="AF1169" s="315">
        <v>1.6739999999999999</v>
      </c>
      <c r="AG1169" s="315">
        <v>1.7746</v>
      </c>
      <c r="AH1169" s="315">
        <v>2.1192000000000002</v>
      </c>
      <c r="AI1169" s="315">
        <v>2.3126000000000002</v>
      </c>
      <c r="AJ1169" s="315">
        <v>1.7697000000000001</v>
      </c>
      <c r="AK1169" s="315">
        <v>2.0032999999999999</v>
      </c>
      <c r="AL1169" s="315">
        <v>2.0924999999999998</v>
      </c>
      <c r="AM1169" s="315">
        <v>2.3327</v>
      </c>
      <c r="AN1169" s="315">
        <v>1.9921</v>
      </c>
      <c r="AO1169" s="315">
        <v>2.149</v>
      </c>
      <c r="AP1169" s="315">
        <v>2.3872</v>
      </c>
      <c r="AQ1169" s="315">
        <v>2.0811999999999999</v>
      </c>
      <c r="AR1169" s="315">
        <v>2.089</v>
      </c>
      <c r="AS1169" s="315">
        <v>1.6448</v>
      </c>
      <c r="AT1169" s="315">
        <v>2.2589999999999999</v>
      </c>
      <c r="AU1169" s="315">
        <v>2.3437000000000001</v>
      </c>
      <c r="AV1169" s="315">
        <v>2.3628</v>
      </c>
      <c r="AW1169" s="315">
        <v>2.2271999999999998</v>
      </c>
      <c r="AX1169" s="315">
        <v>1.7393000000000001</v>
      </c>
      <c r="AY1169" s="315">
        <v>2.1869000000000001</v>
      </c>
      <c r="AZ1169" s="315">
        <v>2.1669</v>
      </c>
      <c r="BA1169" s="315">
        <v>1.7627999999999999</v>
      </c>
      <c r="BB1169" s="315">
        <v>1.5224</v>
      </c>
      <c r="BC1169" s="315">
        <v>2.3340000000000001</v>
      </c>
      <c r="BD1169" s="315">
        <v>2.4373</v>
      </c>
      <c r="BE1169" s="315">
        <v>2.4636</v>
      </c>
      <c r="BF1169" s="315">
        <v>2.2172000000000001</v>
      </c>
      <c r="BG1169" s="315">
        <v>2.4472999999999998</v>
      </c>
      <c r="BH1169" s="315">
        <v>2.2122000000000002</v>
      </c>
      <c r="BI1169" s="315">
        <v>2.3580000000000001</v>
      </c>
      <c r="BJ1169" s="315">
        <v>2.3048000000000002</v>
      </c>
      <c r="BK1169" s="315">
        <v>2.4083000000000001</v>
      </c>
    </row>
    <row r="1170" spans="1:63" x14ac:dyDescent="0.25">
      <c r="A1170" s="306">
        <v>533000</v>
      </c>
      <c r="B1170" s="315" t="s">
        <v>305</v>
      </c>
      <c r="C1170" s="315">
        <v>1.6479999999999999</v>
      </c>
      <c r="D1170" s="315">
        <v>1.2790999999999999</v>
      </c>
      <c r="E1170" s="315">
        <v>1.3579000000000001</v>
      </c>
      <c r="F1170" s="315">
        <v>1.2814000000000001</v>
      </c>
      <c r="G1170" s="315">
        <v>1.3937999999999999</v>
      </c>
      <c r="H1170" s="315">
        <v>1.4677</v>
      </c>
      <c r="I1170" s="315">
        <v>1.4749000000000001</v>
      </c>
      <c r="J1170" s="315">
        <v>1.3641000000000001</v>
      </c>
      <c r="K1170" s="315">
        <v>0</v>
      </c>
      <c r="L1170" s="315">
        <v>1.3203</v>
      </c>
      <c r="M1170" s="315">
        <v>1.4305000000000001</v>
      </c>
      <c r="N1170" s="315">
        <v>1.4779</v>
      </c>
      <c r="O1170" s="315">
        <v>1.3532999999999999</v>
      </c>
      <c r="P1170" s="315">
        <v>1.2568999999999999</v>
      </c>
      <c r="Q1170" s="315">
        <v>1.2572000000000001</v>
      </c>
      <c r="R1170" s="315">
        <v>1.4912000000000001</v>
      </c>
      <c r="S1170" s="315">
        <v>1.3536999999999999</v>
      </c>
      <c r="T1170" s="315">
        <v>1.2907999999999999</v>
      </c>
      <c r="U1170" s="315">
        <v>1.3489</v>
      </c>
      <c r="V1170" s="315">
        <v>1.3247</v>
      </c>
      <c r="W1170" s="315">
        <v>1.4137</v>
      </c>
      <c r="X1170" s="315">
        <v>1.3985000000000001</v>
      </c>
      <c r="Y1170" s="315">
        <v>1.3498000000000001</v>
      </c>
      <c r="Z1170" s="315">
        <v>1.3926000000000001</v>
      </c>
      <c r="AA1170" s="315">
        <v>1.4068000000000001</v>
      </c>
      <c r="AB1170" s="315">
        <v>1.4019999999999999</v>
      </c>
      <c r="AC1170" s="315">
        <v>1.2783</v>
      </c>
      <c r="AD1170" s="315">
        <v>1.2851999999999999</v>
      </c>
      <c r="AE1170" s="315">
        <v>1.361</v>
      </c>
      <c r="AF1170" s="315">
        <v>1.2242999999999999</v>
      </c>
      <c r="AG1170" s="315">
        <v>1.2472000000000001</v>
      </c>
      <c r="AH1170" s="315">
        <v>1.3716999999999999</v>
      </c>
      <c r="AI1170" s="315">
        <v>1.4409000000000001</v>
      </c>
      <c r="AJ1170" s="315">
        <v>1.2949999999999999</v>
      </c>
      <c r="AK1170" s="315">
        <v>1.3245</v>
      </c>
      <c r="AL1170" s="315">
        <v>1.3819999999999999</v>
      </c>
      <c r="AM1170" s="315">
        <v>1.4246000000000001</v>
      </c>
      <c r="AN1170" s="315">
        <v>1.3575999999999999</v>
      </c>
      <c r="AO1170" s="315">
        <v>1.3581000000000001</v>
      </c>
      <c r="AP1170" s="315">
        <v>1.4541999999999999</v>
      </c>
      <c r="AQ1170" s="315">
        <v>1.3506</v>
      </c>
      <c r="AR1170" s="315">
        <v>1.3935999999999999</v>
      </c>
      <c r="AS1170" s="315">
        <v>1.2203999999999999</v>
      </c>
      <c r="AT1170" s="315">
        <v>1.4328000000000001</v>
      </c>
      <c r="AU1170" s="315">
        <v>1.4978</v>
      </c>
      <c r="AV1170" s="315">
        <v>1.4417</v>
      </c>
      <c r="AW1170" s="315">
        <v>1.4066000000000001</v>
      </c>
      <c r="AX1170" s="315">
        <v>1.3042</v>
      </c>
      <c r="AY1170" s="315">
        <v>1.405</v>
      </c>
      <c r="AZ1170" s="315">
        <v>1.3582000000000001</v>
      </c>
      <c r="BA1170" s="315">
        <v>1.2716000000000001</v>
      </c>
      <c r="BB1170" s="315">
        <v>1.2038</v>
      </c>
      <c r="BC1170" s="315">
        <v>1.4424999999999999</v>
      </c>
      <c r="BD1170" s="315">
        <v>1.4835</v>
      </c>
      <c r="BE1170" s="315">
        <v>1.4762</v>
      </c>
      <c r="BF1170" s="315">
        <v>1.3789</v>
      </c>
      <c r="BG1170" s="315">
        <v>1.4982</v>
      </c>
      <c r="BH1170" s="315">
        <v>1.4112</v>
      </c>
      <c r="BI1170" s="315">
        <v>1.4888999999999999</v>
      </c>
      <c r="BJ1170" s="315">
        <v>1.4446000000000001</v>
      </c>
      <c r="BK1170" s="315">
        <v>1.4758</v>
      </c>
    </row>
    <row r="1171" spans="1:63" x14ac:dyDescent="0.25">
      <c r="A1171" s="306">
        <v>541100</v>
      </c>
      <c r="B1171" s="315" t="s">
        <v>306</v>
      </c>
      <c r="C1171" s="315">
        <v>2.7526000000000002</v>
      </c>
      <c r="D1171" s="315">
        <v>1.7457</v>
      </c>
      <c r="E1171" s="315">
        <v>1.9704999999999999</v>
      </c>
      <c r="F1171" s="315">
        <v>1.8140000000000001</v>
      </c>
      <c r="G1171" s="315">
        <v>2.0476999999999999</v>
      </c>
      <c r="H1171" s="315">
        <v>2.2589000000000001</v>
      </c>
      <c r="I1171" s="315">
        <v>2.2521</v>
      </c>
      <c r="J1171" s="315">
        <v>1.984</v>
      </c>
      <c r="K1171" s="315">
        <v>1.3218000000000001</v>
      </c>
      <c r="L1171" s="315">
        <v>1.8454999999999999</v>
      </c>
      <c r="M1171" s="315">
        <v>2.1351</v>
      </c>
      <c r="N1171" s="315">
        <v>2.2559</v>
      </c>
      <c r="O1171" s="315">
        <v>1.9363999999999999</v>
      </c>
      <c r="P1171" s="315">
        <v>1.7101999999999999</v>
      </c>
      <c r="Q1171" s="315">
        <v>1.7417</v>
      </c>
      <c r="R1171" s="315">
        <v>2.2944</v>
      </c>
      <c r="S1171" s="315">
        <v>2.0125999999999999</v>
      </c>
      <c r="T1171" s="315">
        <v>1.7758</v>
      </c>
      <c r="U1171" s="315">
        <v>1.9898</v>
      </c>
      <c r="V1171" s="315">
        <v>1.9026000000000001</v>
      </c>
      <c r="W1171" s="315">
        <v>2.1013000000000002</v>
      </c>
      <c r="X1171" s="315">
        <v>2.0390999999999999</v>
      </c>
      <c r="Y1171" s="315">
        <v>1.9635</v>
      </c>
      <c r="Z1171" s="315">
        <v>2.08</v>
      </c>
      <c r="AA1171" s="315">
        <v>2.0994000000000002</v>
      </c>
      <c r="AB1171" s="315">
        <v>2.0348999999999999</v>
      </c>
      <c r="AC1171" s="315">
        <v>1.7793000000000001</v>
      </c>
      <c r="AD1171" s="315">
        <v>1.7685</v>
      </c>
      <c r="AE1171" s="315">
        <v>2.0103</v>
      </c>
      <c r="AF1171" s="315">
        <v>1.6059000000000001</v>
      </c>
      <c r="AG1171" s="315">
        <v>1.6811</v>
      </c>
      <c r="AH1171" s="315">
        <v>1.9894000000000001</v>
      </c>
      <c r="AI1171" s="315">
        <v>2.2027999999999999</v>
      </c>
      <c r="AJ1171" s="315">
        <v>1.8151999999999999</v>
      </c>
      <c r="AK1171" s="315">
        <v>1.8874</v>
      </c>
      <c r="AL1171" s="315">
        <v>1.9518</v>
      </c>
      <c r="AM1171" s="315">
        <v>2.1684999999999999</v>
      </c>
      <c r="AN1171" s="315">
        <v>1.9689000000000001</v>
      </c>
      <c r="AO1171" s="315">
        <v>2.0211999999999999</v>
      </c>
      <c r="AP1171" s="315">
        <v>2.1852</v>
      </c>
      <c r="AQ1171" s="315">
        <v>1.9581</v>
      </c>
      <c r="AR1171" s="315">
        <v>2.0691999999999999</v>
      </c>
      <c r="AS1171" s="315">
        <v>1.6248</v>
      </c>
      <c r="AT1171" s="315">
        <v>2.1817000000000002</v>
      </c>
      <c r="AU1171" s="315">
        <v>2.31</v>
      </c>
      <c r="AV1171" s="315">
        <v>2.1964999999999999</v>
      </c>
      <c r="AW1171" s="315">
        <v>2.0554000000000001</v>
      </c>
      <c r="AX1171" s="315">
        <v>1.8428</v>
      </c>
      <c r="AY1171" s="315">
        <v>2.0977000000000001</v>
      </c>
      <c r="AZ1171" s="315">
        <v>2.0097999999999998</v>
      </c>
      <c r="BA1171" s="315">
        <v>1.7669999999999999</v>
      </c>
      <c r="BB1171" s="315">
        <v>1.5622</v>
      </c>
      <c r="BC1171" s="315">
        <v>2.1894</v>
      </c>
      <c r="BD1171" s="315">
        <v>2.2772999999999999</v>
      </c>
      <c r="BE1171" s="315">
        <v>2.2905000000000002</v>
      </c>
      <c r="BF1171" s="315">
        <v>2.0605000000000002</v>
      </c>
      <c r="BG1171" s="315">
        <v>2.3138999999999998</v>
      </c>
      <c r="BH1171" s="315">
        <v>2.1394000000000002</v>
      </c>
      <c r="BI1171" s="315">
        <v>2.3010999999999999</v>
      </c>
      <c r="BJ1171" s="315">
        <v>2.1985000000000001</v>
      </c>
      <c r="BK1171" s="315">
        <v>2.2814000000000001</v>
      </c>
    </row>
    <row r="1172" spans="1:63" x14ac:dyDescent="0.25">
      <c r="A1172" s="306">
        <v>541200</v>
      </c>
      <c r="B1172" s="315" t="s">
        <v>307</v>
      </c>
      <c r="C1172" s="315">
        <v>2.5137999999999998</v>
      </c>
      <c r="D1172" s="315">
        <v>1.6554</v>
      </c>
      <c r="E1172" s="315">
        <v>1.8189</v>
      </c>
      <c r="F1172" s="315">
        <v>1.6791</v>
      </c>
      <c r="G1172" s="315">
        <v>1.9031</v>
      </c>
      <c r="H1172" s="315">
        <v>2.0966</v>
      </c>
      <c r="I1172" s="315">
        <v>2.0908000000000002</v>
      </c>
      <c r="J1172" s="315">
        <v>1.8318000000000001</v>
      </c>
      <c r="K1172" s="315">
        <v>1.2714000000000001</v>
      </c>
      <c r="L1172" s="315">
        <v>1.7109000000000001</v>
      </c>
      <c r="M1172" s="315">
        <v>1.9795</v>
      </c>
      <c r="N1172" s="315">
        <v>2.0716000000000001</v>
      </c>
      <c r="O1172" s="315">
        <v>1.8279000000000001</v>
      </c>
      <c r="P1172" s="315">
        <v>1.5708</v>
      </c>
      <c r="Q1172" s="315">
        <v>1.6119000000000001</v>
      </c>
      <c r="R1172" s="315">
        <v>2.1076999999999999</v>
      </c>
      <c r="S1172" s="315">
        <v>1.8466</v>
      </c>
      <c r="T1172" s="315">
        <v>1.6469</v>
      </c>
      <c r="U1172" s="315">
        <v>1.8426</v>
      </c>
      <c r="V1172" s="315">
        <v>1.7846</v>
      </c>
      <c r="W1172" s="315">
        <v>1.9440999999999999</v>
      </c>
      <c r="X1172" s="315">
        <v>1.8842000000000001</v>
      </c>
      <c r="Y1172" s="315">
        <v>1.8081</v>
      </c>
      <c r="Z1172" s="315">
        <v>1.9277</v>
      </c>
      <c r="AA1172" s="315">
        <v>1.9402999999999999</v>
      </c>
      <c r="AB1172" s="315">
        <v>1.8794999999999999</v>
      </c>
      <c r="AC1172" s="315">
        <v>1.6846000000000001</v>
      </c>
      <c r="AD1172" s="315">
        <v>1.6453</v>
      </c>
      <c r="AE1172" s="315">
        <v>1.8599000000000001</v>
      </c>
      <c r="AF1172" s="315">
        <v>1.4961</v>
      </c>
      <c r="AG1172" s="315">
        <v>1.5778000000000001</v>
      </c>
      <c r="AH1172" s="315">
        <v>1.8183</v>
      </c>
      <c r="AI1172" s="315">
        <v>2.0103</v>
      </c>
      <c r="AJ1172" s="315">
        <v>1.6927000000000001</v>
      </c>
      <c r="AK1172" s="315">
        <v>1.7512000000000001</v>
      </c>
      <c r="AL1172" s="315">
        <v>1.8055000000000001</v>
      </c>
      <c r="AM1172" s="315">
        <v>1.9878</v>
      </c>
      <c r="AN1172" s="315">
        <v>1.8348</v>
      </c>
      <c r="AO1172" s="315">
        <v>1.8581000000000001</v>
      </c>
      <c r="AP1172" s="315">
        <v>2.0259999999999998</v>
      </c>
      <c r="AQ1172" s="315">
        <v>1.7857000000000001</v>
      </c>
      <c r="AR1172" s="315">
        <v>1.901</v>
      </c>
      <c r="AS1172" s="315">
        <v>1.4971000000000001</v>
      </c>
      <c r="AT1172" s="315">
        <v>1.9996</v>
      </c>
      <c r="AU1172" s="315">
        <v>2.1244999999999998</v>
      </c>
      <c r="AV1172" s="315">
        <v>2.0337999999999998</v>
      </c>
      <c r="AW1172" s="315">
        <v>1.9035</v>
      </c>
      <c r="AX1172" s="315">
        <v>1.7043999999999999</v>
      </c>
      <c r="AY1172" s="315">
        <v>1.9333</v>
      </c>
      <c r="AZ1172" s="315">
        <v>1.8474999999999999</v>
      </c>
      <c r="BA1172" s="315">
        <v>1.6234</v>
      </c>
      <c r="BB1172" s="315">
        <v>1.496</v>
      </c>
      <c r="BC1172" s="315">
        <v>2.0226999999999999</v>
      </c>
      <c r="BD1172" s="315">
        <v>2.0989</v>
      </c>
      <c r="BE1172" s="315">
        <v>2.1025999999999998</v>
      </c>
      <c r="BF1172" s="315">
        <v>1.8959999999999999</v>
      </c>
      <c r="BG1172" s="315">
        <v>2.1314000000000002</v>
      </c>
      <c r="BH1172" s="315">
        <v>1.9704999999999999</v>
      </c>
      <c r="BI1172" s="315">
        <v>2.1139999999999999</v>
      </c>
      <c r="BJ1172" s="315">
        <v>2.0331000000000001</v>
      </c>
      <c r="BK1172" s="315">
        <v>2.1137000000000001</v>
      </c>
    </row>
    <row r="1173" spans="1:63" x14ac:dyDescent="0.25">
      <c r="A1173" s="306">
        <v>541300</v>
      </c>
      <c r="B1173" s="315" t="s">
        <v>308</v>
      </c>
      <c r="C1173" s="315">
        <v>2.7143000000000002</v>
      </c>
      <c r="D1173" s="315">
        <v>1.7065999999999999</v>
      </c>
      <c r="E1173" s="315">
        <v>1.9103000000000001</v>
      </c>
      <c r="F1173" s="315">
        <v>1.7292000000000001</v>
      </c>
      <c r="G1173" s="315">
        <v>2.0215999999999998</v>
      </c>
      <c r="H1173" s="315">
        <v>2.2427000000000001</v>
      </c>
      <c r="I1173" s="315">
        <v>2.2345999999999999</v>
      </c>
      <c r="J1173" s="315">
        <v>1.9440999999999999</v>
      </c>
      <c r="K1173" s="315">
        <v>1.3862000000000001</v>
      </c>
      <c r="L1173" s="315">
        <v>1.7676000000000001</v>
      </c>
      <c r="M1173" s="315">
        <v>2.1025999999999998</v>
      </c>
      <c r="N1173" s="315">
        <v>2.2107999999999999</v>
      </c>
      <c r="O1173" s="315">
        <v>1.9078999999999999</v>
      </c>
      <c r="P1173" s="315">
        <v>1.6152</v>
      </c>
      <c r="Q1173" s="315">
        <v>1.6996</v>
      </c>
      <c r="R1173" s="315">
        <v>2.2530999999999999</v>
      </c>
      <c r="S1173" s="315">
        <v>1.9404999999999999</v>
      </c>
      <c r="T1173" s="315">
        <v>1.7143999999999999</v>
      </c>
      <c r="U1173" s="315">
        <v>1.9189000000000001</v>
      </c>
      <c r="V1173" s="315">
        <v>1.8762000000000001</v>
      </c>
      <c r="W1173" s="315">
        <v>2.0825</v>
      </c>
      <c r="X1173" s="315">
        <v>2.0175000000000001</v>
      </c>
      <c r="Y1173" s="315">
        <v>1.8789</v>
      </c>
      <c r="Z1173" s="315">
        <v>2.0649999999999999</v>
      </c>
      <c r="AA1173" s="315">
        <v>2.0354999999999999</v>
      </c>
      <c r="AB1173" s="315">
        <v>2.0023</v>
      </c>
      <c r="AC1173" s="315">
        <v>1.7144999999999999</v>
      </c>
      <c r="AD1173" s="315">
        <v>1.7057</v>
      </c>
      <c r="AE1173" s="315">
        <v>1.9668000000000001</v>
      </c>
      <c r="AF1173" s="315">
        <v>1.5458000000000001</v>
      </c>
      <c r="AG1173" s="315">
        <v>1.6394</v>
      </c>
      <c r="AH1173" s="315">
        <v>1.9406000000000001</v>
      </c>
      <c r="AI1173" s="315">
        <v>2.1617999999999999</v>
      </c>
      <c r="AJ1173" s="315">
        <v>1.7967</v>
      </c>
      <c r="AK1173" s="315">
        <v>1.8327</v>
      </c>
      <c r="AL1173" s="315">
        <v>1.92</v>
      </c>
      <c r="AM1173" s="315">
        <v>2.1177999999999999</v>
      </c>
      <c r="AN1173" s="315">
        <v>1.9166000000000001</v>
      </c>
      <c r="AO1173" s="315">
        <v>1.9754</v>
      </c>
      <c r="AP1173" s="315">
        <v>2.1753999999999998</v>
      </c>
      <c r="AQ1173" s="315">
        <v>1.8395999999999999</v>
      </c>
      <c r="AR1173" s="315">
        <v>1.9807999999999999</v>
      </c>
      <c r="AS1173" s="315">
        <v>1.5327</v>
      </c>
      <c r="AT1173" s="315">
        <v>2.1158000000000001</v>
      </c>
      <c r="AU1173" s="315">
        <v>2.2810999999999999</v>
      </c>
      <c r="AV1173" s="315">
        <v>2.1644999999999999</v>
      </c>
      <c r="AW1173" s="315">
        <v>2.0285000000000002</v>
      </c>
      <c r="AX1173" s="315">
        <v>1.7669999999999999</v>
      </c>
      <c r="AY1173" s="315">
        <v>2.0501</v>
      </c>
      <c r="AZ1173" s="315">
        <v>1.9422999999999999</v>
      </c>
      <c r="BA1173" s="315">
        <v>1.6940999999999999</v>
      </c>
      <c r="BB1173" s="315">
        <v>1.5297000000000001</v>
      </c>
      <c r="BC1173" s="315">
        <v>2.1720999999999999</v>
      </c>
      <c r="BD1173" s="315">
        <v>2.2319</v>
      </c>
      <c r="BE1173" s="315">
        <v>2.2608000000000001</v>
      </c>
      <c r="BF1173" s="315">
        <v>1.9857</v>
      </c>
      <c r="BG1173" s="315">
        <v>2.2896999999999998</v>
      </c>
      <c r="BH1173" s="315">
        <v>2.0834000000000001</v>
      </c>
      <c r="BI1173" s="315">
        <v>2.2663000000000002</v>
      </c>
      <c r="BJ1173" s="315">
        <v>2.1703999999999999</v>
      </c>
      <c r="BK1173" s="315">
        <v>2.2605</v>
      </c>
    </row>
    <row r="1174" spans="1:63" x14ac:dyDescent="0.25">
      <c r="A1174" s="306">
        <v>541400</v>
      </c>
      <c r="B1174" s="315" t="s">
        <v>309</v>
      </c>
      <c r="C1174" s="315">
        <v>2.4540999999999999</v>
      </c>
      <c r="D1174" s="315">
        <v>1.5828</v>
      </c>
      <c r="E1174" s="315">
        <v>1.7861</v>
      </c>
      <c r="F1174" s="315">
        <v>1.6798999999999999</v>
      </c>
      <c r="G1174" s="315">
        <v>1.841</v>
      </c>
      <c r="H1174" s="315">
        <v>2.0301999999999998</v>
      </c>
      <c r="I1174" s="315">
        <v>2.0129000000000001</v>
      </c>
      <c r="J1174" s="315">
        <v>1.7907999999999999</v>
      </c>
      <c r="K1174" s="315">
        <v>1.3378000000000001</v>
      </c>
      <c r="L1174" s="315">
        <v>1.7027000000000001</v>
      </c>
      <c r="M1174" s="315">
        <v>1.9124000000000001</v>
      </c>
      <c r="N1174" s="315">
        <v>2.0583</v>
      </c>
      <c r="O1174" s="315">
        <v>1.7603</v>
      </c>
      <c r="P1174" s="315">
        <v>1.5555000000000001</v>
      </c>
      <c r="Q1174" s="315">
        <v>1.6016999999999999</v>
      </c>
      <c r="R1174" s="315">
        <v>2.0783</v>
      </c>
      <c r="S1174" s="315">
        <v>1.8433999999999999</v>
      </c>
      <c r="T1174" s="315">
        <v>1.6085</v>
      </c>
      <c r="U1174" s="315">
        <v>1.8209</v>
      </c>
      <c r="V1174" s="315">
        <v>1.7277</v>
      </c>
      <c r="W1174" s="315">
        <v>1.9103000000000001</v>
      </c>
      <c r="X1174" s="315">
        <v>1.8411999999999999</v>
      </c>
      <c r="Y1174" s="315">
        <v>1.7649999999999999</v>
      </c>
      <c r="Z1174" s="315">
        <v>1.9186000000000001</v>
      </c>
      <c r="AA1174" s="315">
        <v>1.8987000000000001</v>
      </c>
      <c r="AB1174" s="315">
        <v>1.9033</v>
      </c>
      <c r="AC1174" s="315">
        <v>1.6657</v>
      </c>
      <c r="AD1174" s="315">
        <v>1.6073</v>
      </c>
      <c r="AE1174" s="315">
        <v>1.8452999999999999</v>
      </c>
      <c r="AF1174" s="315">
        <v>1.4666999999999999</v>
      </c>
      <c r="AG1174" s="315">
        <v>1.5412999999999999</v>
      </c>
      <c r="AH1174" s="315">
        <v>1.7801</v>
      </c>
      <c r="AI1174" s="315">
        <v>1.9494</v>
      </c>
      <c r="AJ1174" s="315">
        <v>1.6407</v>
      </c>
      <c r="AK1174" s="315">
        <v>1.698</v>
      </c>
      <c r="AL1174" s="315">
        <v>1.7782</v>
      </c>
      <c r="AM1174" s="315">
        <v>1.9814000000000001</v>
      </c>
      <c r="AN1174" s="315">
        <v>1.7843</v>
      </c>
      <c r="AO1174" s="315">
        <v>1.8498000000000001</v>
      </c>
      <c r="AP1174" s="315">
        <v>2.0105</v>
      </c>
      <c r="AQ1174" s="315">
        <v>1.7299</v>
      </c>
      <c r="AR1174" s="315">
        <v>1.8908</v>
      </c>
      <c r="AS1174" s="315">
        <v>1.48</v>
      </c>
      <c r="AT1174" s="315">
        <v>1.9922</v>
      </c>
      <c r="AU1174" s="315">
        <v>2.0680000000000001</v>
      </c>
      <c r="AV1174" s="315">
        <v>1.9725999999999999</v>
      </c>
      <c r="AW1174" s="315">
        <v>1.8844000000000001</v>
      </c>
      <c r="AX1174" s="315">
        <v>1.6866000000000001</v>
      </c>
      <c r="AY1174" s="315">
        <v>1.8836999999999999</v>
      </c>
      <c r="AZ1174" s="315">
        <v>1.8278000000000001</v>
      </c>
      <c r="BA1174" s="315">
        <v>1.5953999999999999</v>
      </c>
      <c r="BB1174" s="315">
        <v>1.4547000000000001</v>
      </c>
      <c r="BC1174" s="315">
        <v>1.9802999999999999</v>
      </c>
      <c r="BD1174" s="315">
        <v>2.0560999999999998</v>
      </c>
      <c r="BE1174" s="315">
        <v>2.0857999999999999</v>
      </c>
      <c r="BF1174" s="315">
        <v>1.8593999999999999</v>
      </c>
      <c r="BG1174" s="315">
        <v>2.0937000000000001</v>
      </c>
      <c r="BH1174" s="315">
        <v>1.9593</v>
      </c>
      <c r="BI1174" s="315">
        <v>2.0621999999999998</v>
      </c>
      <c r="BJ1174" s="315">
        <v>1.968</v>
      </c>
      <c r="BK1174" s="315">
        <v>2.0499999999999998</v>
      </c>
    </row>
    <row r="1175" spans="1:63" x14ac:dyDescent="0.25">
      <c r="A1175" s="306">
        <v>541511</v>
      </c>
      <c r="B1175" s="315" t="s">
        <v>310</v>
      </c>
      <c r="C1175" s="315">
        <v>2.8355000000000001</v>
      </c>
      <c r="D1175" s="315">
        <v>1.742</v>
      </c>
      <c r="E1175" s="315">
        <v>1.9931000000000001</v>
      </c>
      <c r="F1175" s="315">
        <v>1.8129</v>
      </c>
      <c r="G1175" s="315">
        <v>2.1166</v>
      </c>
      <c r="H1175" s="315">
        <v>2.3395999999999999</v>
      </c>
      <c r="I1175" s="315">
        <v>2.3043999999999998</v>
      </c>
      <c r="J1175" s="315">
        <v>1.9453</v>
      </c>
      <c r="K1175" s="315">
        <v>1.3452999999999999</v>
      </c>
      <c r="L1175" s="315">
        <v>1.7695000000000001</v>
      </c>
      <c r="M1175" s="315">
        <v>2.1959</v>
      </c>
      <c r="N1175" s="315">
        <v>2.3006000000000002</v>
      </c>
      <c r="O1175" s="315">
        <v>2.0105</v>
      </c>
      <c r="P1175" s="315">
        <v>1.6744000000000001</v>
      </c>
      <c r="Q1175" s="315">
        <v>1.7617</v>
      </c>
      <c r="R1175" s="315">
        <v>2.323</v>
      </c>
      <c r="S1175" s="315">
        <v>2.0242</v>
      </c>
      <c r="T1175" s="315">
        <v>1.718</v>
      </c>
      <c r="U1175" s="315">
        <v>1.9435</v>
      </c>
      <c r="V1175" s="315">
        <v>1.9419999999999999</v>
      </c>
      <c r="W1175" s="315">
        <v>2.1093999999999999</v>
      </c>
      <c r="X1175" s="315">
        <v>2.0363000000000002</v>
      </c>
      <c r="Y1175" s="315">
        <v>1.9604999999999999</v>
      </c>
      <c r="Z1175" s="315">
        <v>2.1244000000000001</v>
      </c>
      <c r="AA1175" s="315">
        <v>2.1074000000000002</v>
      </c>
      <c r="AB1175" s="315">
        <v>2.0695000000000001</v>
      </c>
      <c r="AC1175" s="315">
        <v>1.8125</v>
      </c>
      <c r="AD1175" s="315">
        <v>1.7706999999999999</v>
      </c>
      <c r="AE1175" s="315">
        <v>2.0581999999999998</v>
      </c>
      <c r="AF1175" s="315">
        <v>1.5459000000000001</v>
      </c>
      <c r="AG1175" s="315">
        <v>1.6741999999999999</v>
      </c>
      <c r="AH1175" s="315">
        <v>1.9579</v>
      </c>
      <c r="AI1175" s="315">
        <v>2.2179000000000002</v>
      </c>
      <c r="AJ1175" s="315">
        <v>1.8608</v>
      </c>
      <c r="AK1175" s="315">
        <v>1.8709</v>
      </c>
      <c r="AL1175" s="315">
        <v>1.9325000000000001</v>
      </c>
      <c r="AM1175" s="315">
        <v>2.1945000000000001</v>
      </c>
      <c r="AN1175" s="315">
        <v>2.0122</v>
      </c>
      <c r="AO1175" s="315">
        <v>2.0363000000000002</v>
      </c>
      <c r="AP1175" s="315">
        <v>2.2073</v>
      </c>
      <c r="AQ1175" s="315">
        <v>1.9094</v>
      </c>
      <c r="AR1175" s="315">
        <v>2.0893000000000002</v>
      </c>
      <c r="AS1175" s="315">
        <v>1.5394000000000001</v>
      </c>
      <c r="AT1175" s="315">
        <v>2.2056</v>
      </c>
      <c r="AU1175" s="315">
        <v>2.3776999999999999</v>
      </c>
      <c r="AV1175" s="315">
        <v>2.2404999999999999</v>
      </c>
      <c r="AW1175" s="315">
        <v>2.0627</v>
      </c>
      <c r="AX1175" s="315">
        <v>1.8171999999999999</v>
      </c>
      <c r="AY1175" s="315">
        <v>2.1373000000000002</v>
      </c>
      <c r="AZ1175" s="315">
        <v>2.0188000000000001</v>
      </c>
      <c r="BA1175" s="315">
        <v>1.7093</v>
      </c>
      <c r="BB1175" s="315">
        <v>1.5658000000000001</v>
      </c>
      <c r="BC1175" s="315">
        <v>2.2216</v>
      </c>
      <c r="BD1175" s="315">
        <v>2.3043</v>
      </c>
      <c r="BE1175" s="315">
        <v>2.3271000000000002</v>
      </c>
      <c r="BF1175" s="315">
        <v>2.0577000000000001</v>
      </c>
      <c r="BG1175" s="315">
        <v>2.3807</v>
      </c>
      <c r="BH1175" s="315">
        <v>2.1566999999999998</v>
      </c>
      <c r="BI1175" s="315">
        <v>2.3662000000000001</v>
      </c>
      <c r="BJ1175" s="315">
        <v>2.2662</v>
      </c>
      <c r="BK1175" s="315">
        <v>2.3641000000000001</v>
      </c>
    </row>
    <row r="1176" spans="1:63" x14ac:dyDescent="0.25">
      <c r="A1176" s="306">
        <v>541512</v>
      </c>
      <c r="B1176" s="315" t="s">
        <v>311</v>
      </c>
      <c r="C1176" s="315">
        <v>2.9849000000000001</v>
      </c>
      <c r="D1176" s="315">
        <v>1.8108</v>
      </c>
      <c r="E1176" s="315">
        <v>2.0590000000000002</v>
      </c>
      <c r="F1176" s="315">
        <v>1.8528</v>
      </c>
      <c r="G1176" s="315">
        <v>2.1757</v>
      </c>
      <c r="H1176" s="315">
        <v>2.4483000000000001</v>
      </c>
      <c r="I1176" s="315">
        <v>2.4207999999999998</v>
      </c>
      <c r="J1176" s="315">
        <v>2.0329999999999999</v>
      </c>
      <c r="K1176" s="315">
        <v>1.4285000000000001</v>
      </c>
      <c r="L1176" s="315">
        <v>1.8463000000000001</v>
      </c>
      <c r="M1176" s="315">
        <v>2.2682000000000002</v>
      </c>
      <c r="N1176" s="315">
        <v>2.4022999999999999</v>
      </c>
      <c r="O1176" s="315">
        <v>2.0735000000000001</v>
      </c>
      <c r="P1176" s="315">
        <v>1.7032</v>
      </c>
      <c r="Q1176" s="315">
        <v>1.8104</v>
      </c>
      <c r="R1176" s="315">
        <v>2.4365999999999999</v>
      </c>
      <c r="S1176" s="315">
        <v>2.0714999999999999</v>
      </c>
      <c r="T1176" s="315">
        <v>1.7758</v>
      </c>
      <c r="U1176" s="315">
        <v>2.0062000000000002</v>
      </c>
      <c r="V1176" s="315">
        <v>1.9869000000000001</v>
      </c>
      <c r="W1176" s="315">
        <v>2.2330999999999999</v>
      </c>
      <c r="X1176" s="315">
        <v>2.1394000000000002</v>
      </c>
      <c r="Y1176" s="315">
        <v>2.0272000000000001</v>
      </c>
      <c r="Z1176" s="315">
        <v>2.2275999999999998</v>
      </c>
      <c r="AA1176" s="315">
        <v>2.1958000000000002</v>
      </c>
      <c r="AB1176" s="315">
        <v>2.1838000000000002</v>
      </c>
      <c r="AC1176" s="315">
        <v>1.8575999999999999</v>
      </c>
      <c r="AD1176" s="315">
        <v>1.8317000000000001</v>
      </c>
      <c r="AE1176" s="315">
        <v>2.1183999999999998</v>
      </c>
      <c r="AF1176" s="315">
        <v>1.5956999999999999</v>
      </c>
      <c r="AG1176" s="315">
        <v>1.7145999999999999</v>
      </c>
      <c r="AH1176" s="315">
        <v>2.0417999999999998</v>
      </c>
      <c r="AI1176" s="315">
        <v>2.3325</v>
      </c>
      <c r="AJ1176" s="315">
        <v>1.9119999999999999</v>
      </c>
      <c r="AK1176" s="315">
        <v>1.9626999999999999</v>
      </c>
      <c r="AL1176" s="315">
        <v>2.0213999999999999</v>
      </c>
      <c r="AM1176" s="315">
        <v>2.2765</v>
      </c>
      <c r="AN1176" s="315">
        <v>2.0533000000000001</v>
      </c>
      <c r="AO1176" s="315">
        <v>2.1259000000000001</v>
      </c>
      <c r="AP1176" s="315">
        <v>2.3329</v>
      </c>
      <c r="AQ1176" s="315">
        <v>1.9831000000000001</v>
      </c>
      <c r="AR1176" s="315">
        <v>2.1472000000000002</v>
      </c>
      <c r="AS1176" s="315">
        <v>1.5866</v>
      </c>
      <c r="AT1176" s="315">
        <v>2.2751000000000001</v>
      </c>
      <c r="AU1176" s="315">
        <v>2.4649999999999999</v>
      </c>
      <c r="AV1176" s="315">
        <v>2.3552</v>
      </c>
      <c r="AW1176" s="315">
        <v>2.1675</v>
      </c>
      <c r="AX1176" s="315">
        <v>1.9134</v>
      </c>
      <c r="AY1176" s="315">
        <v>2.2311999999999999</v>
      </c>
      <c r="AZ1176" s="315">
        <v>2.0891999999999999</v>
      </c>
      <c r="BA1176" s="315">
        <v>1.7601</v>
      </c>
      <c r="BB1176" s="315">
        <v>1.6279999999999999</v>
      </c>
      <c r="BC1176" s="315">
        <v>2.3399000000000001</v>
      </c>
      <c r="BD1176" s="315">
        <v>2.4201999999999999</v>
      </c>
      <c r="BE1176" s="315">
        <v>2.4369000000000001</v>
      </c>
      <c r="BF1176" s="315">
        <v>2.1337000000000002</v>
      </c>
      <c r="BG1176" s="315">
        <v>2.4923000000000002</v>
      </c>
      <c r="BH1176" s="315">
        <v>2.2370000000000001</v>
      </c>
      <c r="BI1176" s="315">
        <v>2.4455</v>
      </c>
      <c r="BJ1176" s="315">
        <v>2.3593999999999999</v>
      </c>
      <c r="BK1176" s="315">
        <v>2.4744000000000002</v>
      </c>
    </row>
    <row r="1177" spans="1:63" x14ac:dyDescent="0.25">
      <c r="A1177" s="306" t="s">
        <v>769</v>
      </c>
      <c r="B1177" s="315" t="s">
        <v>312</v>
      </c>
      <c r="C1177" s="315">
        <v>2.5798000000000001</v>
      </c>
      <c r="D1177" s="315">
        <v>1.649</v>
      </c>
      <c r="E1177" s="315">
        <v>1.8428</v>
      </c>
      <c r="F1177" s="315">
        <v>1.6962999999999999</v>
      </c>
      <c r="G1177" s="315">
        <v>1.9510000000000001</v>
      </c>
      <c r="H1177" s="315">
        <v>2.1434000000000002</v>
      </c>
      <c r="I1177" s="315">
        <v>2.1242000000000001</v>
      </c>
      <c r="J1177" s="315">
        <v>1.8190999999999999</v>
      </c>
      <c r="K1177" s="315">
        <v>1.2755000000000001</v>
      </c>
      <c r="L1177" s="315">
        <v>1.6480999999999999</v>
      </c>
      <c r="M1177" s="315">
        <v>2.0194999999999999</v>
      </c>
      <c r="N1177" s="315">
        <v>2.1040000000000001</v>
      </c>
      <c r="O1177" s="315">
        <v>1.8482000000000001</v>
      </c>
      <c r="P1177" s="315">
        <v>1.5822000000000001</v>
      </c>
      <c r="Q1177" s="315">
        <v>1.6389</v>
      </c>
      <c r="R1177" s="315">
        <v>2.1356999999999999</v>
      </c>
      <c r="S1177" s="315">
        <v>1.8634999999999999</v>
      </c>
      <c r="T1177" s="315">
        <v>1.6025</v>
      </c>
      <c r="U1177" s="315">
        <v>1.8068</v>
      </c>
      <c r="V1177" s="315">
        <v>1.7891999999999999</v>
      </c>
      <c r="W1177" s="315">
        <v>1.9475</v>
      </c>
      <c r="X1177" s="315">
        <v>1.8713</v>
      </c>
      <c r="Y1177" s="315">
        <v>1.8261000000000001</v>
      </c>
      <c r="Z1177" s="315">
        <v>1.9511000000000001</v>
      </c>
      <c r="AA1177" s="315">
        <v>1.9634</v>
      </c>
      <c r="AB1177" s="315">
        <v>1.9169</v>
      </c>
      <c r="AC1177" s="315">
        <v>1.6940999999999999</v>
      </c>
      <c r="AD1177" s="315">
        <v>1.6645000000000001</v>
      </c>
      <c r="AE1177" s="315">
        <v>1.8972</v>
      </c>
      <c r="AF1177" s="315">
        <v>1.4856</v>
      </c>
      <c r="AG1177" s="315">
        <v>1.5761000000000001</v>
      </c>
      <c r="AH1177" s="315">
        <v>1.8210999999999999</v>
      </c>
      <c r="AI1177" s="315">
        <v>2.0379</v>
      </c>
      <c r="AJ1177" s="315">
        <v>1.7161999999999999</v>
      </c>
      <c r="AK1177" s="315">
        <v>1.7548999999999999</v>
      </c>
      <c r="AL1177" s="315">
        <v>1.8036000000000001</v>
      </c>
      <c r="AM1177" s="315">
        <v>2.0066000000000002</v>
      </c>
      <c r="AN1177" s="315">
        <v>1.8506</v>
      </c>
      <c r="AO1177" s="315">
        <v>1.8831</v>
      </c>
      <c r="AP1177" s="315">
        <v>2.0358000000000001</v>
      </c>
      <c r="AQ1177" s="315">
        <v>1.7737000000000001</v>
      </c>
      <c r="AR1177" s="315">
        <v>1.9169</v>
      </c>
      <c r="AS1177" s="315">
        <v>1.4918</v>
      </c>
      <c r="AT1177" s="315">
        <v>2.0255000000000001</v>
      </c>
      <c r="AU1177" s="315">
        <v>2.1724999999999999</v>
      </c>
      <c r="AV1177" s="315">
        <v>2.0718000000000001</v>
      </c>
      <c r="AW1177" s="315">
        <v>1.9094</v>
      </c>
      <c r="AX1177" s="315">
        <v>1.7152000000000001</v>
      </c>
      <c r="AY1177" s="315">
        <v>1.9721</v>
      </c>
      <c r="AZ1177" s="315">
        <v>1.8736999999999999</v>
      </c>
      <c r="BA1177" s="315">
        <v>1.6093999999999999</v>
      </c>
      <c r="BB1177" s="315">
        <v>1.4956</v>
      </c>
      <c r="BC1177" s="315">
        <v>2.0510000000000002</v>
      </c>
      <c r="BD1177" s="315">
        <v>2.1221999999999999</v>
      </c>
      <c r="BE1177" s="315">
        <v>2.1311</v>
      </c>
      <c r="BF1177" s="315">
        <v>1.9207000000000001</v>
      </c>
      <c r="BG1177" s="315">
        <v>2.1787000000000001</v>
      </c>
      <c r="BH1177" s="315">
        <v>1.9891000000000001</v>
      </c>
      <c r="BI1177" s="315">
        <v>2.1637</v>
      </c>
      <c r="BJ1177" s="315">
        <v>2.0829</v>
      </c>
      <c r="BK1177" s="315">
        <v>2.165</v>
      </c>
    </row>
    <row r="1178" spans="1:63" x14ac:dyDescent="0.25">
      <c r="A1178" s="306">
        <v>541610</v>
      </c>
      <c r="B1178" s="315" t="s">
        <v>313</v>
      </c>
      <c r="C1178" s="315">
        <v>2.6991000000000001</v>
      </c>
      <c r="D1178" s="315">
        <v>1.7202999999999999</v>
      </c>
      <c r="E1178" s="315">
        <v>1.8784000000000001</v>
      </c>
      <c r="F1178" s="315">
        <v>1.7356</v>
      </c>
      <c r="G1178" s="315">
        <v>2.0032000000000001</v>
      </c>
      <c r="H1178" s="315">
        <v>2.2113999999999998</v>
      </c>
      <c r="I1178" s="315">
        <v>2.1993</v>
      </c>
      <c r="J1178" s="315">
        <v>1.9204000000000001</v>
      </c>
      <c r="K1178" s="315">
        <v>1.3657999999999999</v>
      </c>
      <c r="L1178" s="315">
        <v>1.7284999999999999</v>
      </c>
      <c r="M1178" s="315">
        <v>2.0849000000000002</v>
      </c>
      <c r="N1178" s="315">
        <v>2.2023000000000001</v>
      </c>
      <c r="O1178" s="315">
        <v>1.8931</v>
      </c>
      <c r="P1178" s="315">
        <v>1.643</v>
      </c>
      <c r="Q1178" s="315">
        <v>1.6547000000000001</v>
      </c>
      <c r="R1178" s="315">
        <v>2.2345999999999999</v>
      </c>
      <c r="S1178" s="315">
        <v>1.9043000000000001</v>
      </c>
      <c r="T1178" s="315">
        <v>1.7099</v>
      </c>
      <c r="U1178" s="315">
        <v>1.9024000000000001</v>
      </c>
      <c r="V1178" s="315">
        <v>1.83</v>
      </c>
      <c r="W1178" s="315">
        <v>2.0468000000000002</v>
      </c>
      <c r="X1178" s="315">
        <v>1.9515</v>
      </c>
      <c r="Y1178" s="315">
        <v>1.8459000000000001</v>
      </c>
      <c r="Z1178" s="315">
        <v>2.0057</v>
      </c>
      <c r="AA1178" s="315">
        <v>2.0329999999999999</v>
      </c>
      <c r="AB1178" s="315">
        <v>2.0013999999999998</v>
      </c>
      <c r="AC1178" s="315">
        <v>1.7033</v>
      </c>
      <c r="AD1178" s="315">
        <v>1.7109000000000001</v>
      </c>
      <c r="AE1178" s="315">
        <v>1.9379999999999999</v>
      </c>
      <c r="AF1178" s="315">
        <v>1.5428999999999999</v>
      </c>
      <c r="AG1178" s="315">
        <v>1.6336999999999999</v>
      </c>
      <c r="AH1178" s="315">
        <v>1.9149</v>
      </c>
      <c r="AI1178" s="315">
        <v>2.1259000000000001</v>
      </c>
      <c r="AJ1178" s="315">
        <v>1.7551000000000001</v>
      </c>
      <c r="AK1178" s="315">
        <v>1.7875000000000001</v>
      </c>
      <c r="AL1178" s="315">
        <v>1.8761000000000001</v>
      </c>
      <c r="AM1178" s="315">
        <v>2.0933000000000002</v>
      </c>
      <c r="AN1178" s="315">
        <v>1.8944000000000001</v>
      </c>
      <c r="AO1178" s="315">
        <v>1.9381999999999999</v>
      </c>
      <c r="AP1178" s="315">
        <v>2.1223000000000001</v>
      </c>
      <c r="AQ1178" s="315">
        <v>1.9059999999999999</v>
      </c>
      <c r="AR1178" s="315">
        <v>1.9701</v>
      </c>
      <c r="AS1178" s="315">
        <v>1.4951000000000001</v>
      </c>
      <c r="AT1178" s="315">
        <v>2.0758999999999999</v>
      </c>
      <c r="AU1178" s="315">
        <v>2.2362000000000002</v>
      </c>
      <c r="AV1178" s="315">
        <v>2.145</v>
      </c>
      <c r="AW1178" s="315">
        <v>1.982</v>
      </c>
      <c r="AX1178" s="315">
        <v>1.79</v>
      </c>
      <c r="AY1178" s="315">
        <v>2.0238</v>
      </c>
      <c r="AZ1178" s="315">
        <v>1.9237</v>
      </c>
      <c r="BA1178" s="315">
        <v>1.7032</v>
      </c>
      <c r="BB1178" s="315">
        <v>1.5374000000000001</v>
      </c>
      <c r="BC1178" s="315">
        <v>2.1328999999999998</v>
      </c>
      <c r="BD1178" s="315">
        <v>2.2079</v>
      </c>
      <c r="BE1178" s="315">
        <v>2.2275</v>
      </c>
      <c r="BF1178" s="315">
        <v>1.9811000000000001</v>
      </c>
      <c r="BG1178" s="315">
        <v>2.2633999999999999</v>
      </c>
      <c r="BH1178" s="315">
        <v>2.0385</v>
      </c>
      <c r="BI1178" s="315">
        <v>2.2216999999999998</v>
      </c>
      <c r="BJ1178" s="315">
        <v>2.1375000000000002</v>
      </c>
      <c r="BK1178" s="315">
        <v>2.2309999999999999</v>
      </c>
    </row>
    <row r="1179" spans="1:63" x14ac:dyDescent="0.25">
      <c r="A1179" s="306" t="s">
        <v>770</v>
      </c>
      <c r="B1179" s="315" t="s">
        <v>314</v>
      </c>
      <c r="C1179" s="315">
        <v>2.5937000000000001</v>
      </c>
      <c r="D1179" s="315">
        <v>1.6576</v>
      </c>
      <c r="E1179" s="315">
        <v>1.8433999999999999</v>
      </c>
      <c r="F1179" s="315">
        <v>1.6741999999999999</v>
      </c>
      <c r="G1179" s="315">
        <v>1.9498</v>
      </c>
      <c r="H1179" s="315">
        <v>2.1362999999999999</v>
      </c>
      <c r="I1179" s="315">
        <v>2.1212</v>
      </c>
      <c r="J1179" s="315">
        <v>1.8445</v>
      </c>
      <c r="K1179" s="315">
        <v>1.3472999999999999</v>
      </c>
      <c r="L1179" s="315">
        <v>1.6872</v>
      </c>
      <c r="M1179" s="315">
        <v>2.0127999999999999</v>
      </c>
      <c r="N1179" s="315">
        <v>2.1280000000000001</v>
      </c>
      <c r="O1179" s="315">
        <v>1.8508</v>
      </c>
      <c r="P1179" s="315">
        <v>1.5791999999999999</v>
      </c>
      <c r="Q1179" s="315">
        <v>1.6177999999999999</v>
      </c>
      <c r="R1179" s="315">
        <v>2.1337999999999999</v>
      </c>
      <c r="S1179" s="315">
        <v>1.8547</v>
      </c>
      <c r="T1179" s="315">
        <v>1.6636</v>
      </c>
      <c r="U1179" s="315">
        <v>1.8387</v>
      </c>
      <c r="V1179" s="315">
        <v>1.802</v>
      </c>
      <c r="W1179" s="315">
        <v>1.9814000000000001</v>
      </c>
      <c r="X1179" s="315">
        <v>1.8996</v>
      </c>
      <c r="Y1179" s="315">
        <v>1.7722</v>
      </c>
      <c r="Z1179" s="315">
        <v>1.9560999999999999</v>
      </c>
      <c r="AA1179" s="315">
        <v>1.9473</v>
      </c>
      <c r="AB1179" s="315">
        <v>1.9321999999999999</v>
      </c>
      <c r="AC1179" s="315">
        <v>1.6569</v>
      </c>
      <c r="AD1179" s="315">
        <v>1.6497999999999999</v>
      </c>
      <c r="AE1179" s="315">
        <v>1.8886000000000001</v>
      </c>
      <c r="AF1179" s="315">
        <v>1.4987999999999999</v>
      </c>
      <c r="AG1179" s="315">
        <v>1.575</v>
      </c>
      <c r="AH1179" s="315">
        <v>1.8793</v>
      </c>
      <c r="AI1179" s="315">
        <v>2.0587</v>
      </c>
      <c r="AJ1179" s="315">
        <v>1.7277</v>
      </c>
      <c r="AK1179" s="315">
        <v>1.7448999999999999</v>
      </c>
      <c r="AL1179" s="315">
        <v>1.7937000000000001</v>
      </c>
      <c r="AM1179" s="315">
        <v>2.0329999999999999</v>
      </c>
      <c r="AN1179" s="315">
        <v>1.8392999999999999</v>
      </c>
      <c r="AO1179" s="315">
        <v>1.8875</v>
      </c>
      <c r="AP1179" s="315">
        <v>2.0573000000000001</v>
      </c>
      <c r="AQ1179" s="315">
        <v>1.8374999999999999</v>
      </c>
      <c r="AR1179" s="315">
        <v>1.9327000000000001</v>
      </c>
      <c r="AS1179" s="315">
        <v>1.4376</v>
      </c>
      <c r="AT1179" s="315">
        <v>2.0224000000000002</v>
      </c>
      <c r="AU1179" s="315">
        <v>2.1661999999999999</v>
      </c>
      <c r="AV1179" s="315">
        <v>2.0693000000000001</v>
      </c>
      <c r="AW1179" s="315">
        <v>1.9211</v>
      </c>
      <c r="AX1179" s="315">
        <v>1.7165999999999999</v>
      </c>
      <c r="AY1179" s="315">
        <v>1.9721</v>
      </c>
      <c r="AZ1179" s="315">
        <v>1.8534999999999999</v>
      </c>
      <c r="BA1179" s="315">
        <v>1.6501999999999999</v>
      </c>
      <c r="BB1179" s="315">
        <v>1.4859</v>
      </c>
      <c r="BC1179" s="315">
        <v>2.0585</v>
      </c>
      <c r="BD1179" s="315">
        <v>2.1164999999999998</v>
      </c>
      <c r="BE1179" s="315">
        <v>2.1539999999999999</v>
      </c>
      <c r="BF1179" s="315">
        <v>1.9039999999999999</v>
      </c>
      <c r="BG1179" s="315">
        <v>2.1911</v>
      </c>
      <c r="BH1179" s="315">
        <v>1.9945999999999999</v>
      </c>
      <c r="BI1179" s="315">
        <v>2.1591999999999998</v>
      </c>
      <c r="BJ1179" s="315">
        <v>2.0767000000000002</v>
      </c>
      <c r="BK1179" s="315">
        <v>2.1583000000000001</v>
      </c>
    </row>
    <row r="1180" spans="1:63" x14ac:dyDescent="0.25">
      <c r="A1180" s="306">
        <v>541700</v>
      </c>
      <c r="B1180" s="315" t="s">
        <v>315</v>
      </c>
      <c r="C1180" s="315">
        <v>2.9228000000000001</v>
      </c>
      <c r="D1180" s="315">
        <v>1.7949999999999999</v>
      </c>
      <c r="E1180" s="315">
        <v>2.0518999999999998</v>
      </c>
      <c r="F1180" s="315">
        <v>1.8314999999999999</v>
      </c>
      <c r="G1180" s="315">
        <v>2.113</v>
      </c>
      <c r="H1180" s="315">
        <v>2.3613</v>
      </c>
      <c r="I1180" s="315">
        <v>2.3313999999999999</v>
      </c>
      <c r="J1180" s="315">
        <v>2.0384000000000002</v>
      </c>
      <c r="K1180" s="315">
        <v>1.3812</v>
      </c>
      <c r="L1180" s="315">
        <v>1.8411999999999999</v>
      </c>
      <c r="M1180" s="315">
        <v>2.2054999999999998</v>
      </c>
      <c r="N1180" s="315">
        <v>2.3081999999999998</v>
      </c>
      <c r="O1180" s="315">
        <v>1.9923999999999999</v>
      </c>
      <c r="P1180" s="315">
        <v>1.7108000000000001</v>
      </c>
      <c r="Q1180" s="315">
        <v>1.7764</v>
      </c>
      <c r="R1180" s="315">
        <v>2.3996</v>
      </c>
      <c r="S1180" s="315">
        <v>2.0663</v>
      </c>
      <c r="T1180" s="315">
        <v>1.8028</v>
      </c>
      <c r="U1180" s="315">
        <v>2.0695999999999999</v>
      </c>
      <c r="V1180" s="315">
        <v>1.9716</v>
      </c>
      <c r="W1180" s="315">
        <v>2.1751999999999998</v>
      </c>
      <c r="X1180" s="315">
        <v>2.0914999999999999</v>
      </c>
      <c r="Y1180" s="315">
        <v>1.9793000000000001</v>
      </c>
      <c r="Z1180" s="315">
        <v>2.1492</v>
      </c>
      <c r="AA1180" s="315">
        <v>2.1303999999999998</v>
      </c>
      <c r="AB1180" s="315">
        <v>2.1257999999999999</v>
      </c>
      <c r="AC1180" s="315">
        <v>1.8149999999999999</v>
      </c>
      <c r="AD1180" s="315">
        <v>1.7659</v>
      </c>
      <c r="AE1180" s="315">
        <v>2.0903999999999998</v>
      </c>
      <c r="AF1180" s="315">
        <v>1.5921000000000001</v>
      </c>
      <c r="AG1180" s="315">
        <v>1.6974</v>
      </c>
      <c r="AH1180" s="315">
        <v>1.9951000000000001</v>
      </c>
      <c r="AI1180" s="315">
        <v>2.2732000000000001</v>
      </c>
      <c r="AJ1180" s="315">
        <v>1.8765000000000001</v>
      </c>
      <c r="AK1180" s="315">
        <v>1.9087000000000001</v>
      </c>
      <c r="AL1180" s="315">
        <v>2.0316000000000001</v>
      </c>
      <c r="AM1180" s="315">
        <v>2.2454000000000001</v>
      </c>
      <c r="AN1180" s="315">
        <v>2.0101</v>
      </c>
      <c r="AO1180" s="315">
        <v>2.0787</v>
      </c>
      <c r="AP1180" s="315">
        <v>2.3058999999999998</v>
      </c>
      <c r="AQ1180" s="315">
        <v>1.9283999999999999</v>
      </c>
      <c r="AR1180" s="315">
        <v>2.0929000000000002</v>
      </c>
      <c r="AS1180" s="315">
        <v>1.4702999999999999</v>
      </c>
      <c r="AT1180" s="315">
        <v>2.2606000000000002</v>
      </c>
      <c r="AU1180" s="315">
        <v>2.4235000000000002</v>
      </c>
      <c r="AV1180" s="315">
        <v>2.2755999999999998</v>
      </c>
      <c r="AW1180" s="315">
        <v>2.1351</v>
      </c>
      <c r="AX1180" s="315">
        <v>1.8645</v>
      </c>
      <c r="AY1180" s="315">
        <v>2.1619000000000002</v>
      </c>
      <c r="AZ1180" s="315">
        <v>2.0445000000000002</v>
      </c>
      <c r="BA1180" s="315">
        <v>1.7966</v>
      </c>
      <c r="BB1180" s="315">
        <v>1.6218999999999999</v>
      </c>
      <c r="BC1180" s="315">
        <v>2.2843</v>
      </c>
      <c r="BD1180" s="315">
        <v>2.3614000000000002</v>
      </c>
      <c r="BE1180" s="315">
        <v>2.3990999999999998</v>
      </c>
      <c r="BF1180" s="315">
        <v>2.0888</v>
      </c>
      <c r="BG1180" s="315">
        <v>2.4247999999999998</v>
      </c>
      <c r="BH1180" s="315">
        <v>2.2321</v>
      </c>
      <c r="BI1180" s="315">
        <v>2.4083000000000001</v>
      </c>
      <c r="BJ1180" s="315">
        <v>2.2791000000000001</v>
      </c>
      <c r="BK1180" s="315">
        <v>2.3961999999999999</v>
      </c>
    </row>
    <row r="1181" spans="1:63" x14ac:dyDescent="0.25">
      <c r="A1181" s="306">
        <v>541800</v>
      </c>
      <c r="B1181" s="315" t="s">
        <v>316</v>
      </c>
      <c r="C1181" s="315">
        <v>2.6831999999999998</v>
      </c>
      <c r="D1181" s="315">
        <v>1.6600999999999999</v>
      </c>
      <c r="E1181" s="315">
        <v>1.8335999999999999</v>
      </c>
      <c r="F1181" s="315">
        <v>1.7177</v>
      </c>
      <c r="G1181" s="315">
        <v>1.9268000000000001</v>
      </c>
      <c r="H1181" s="315">
        <v>2.2241</v>
      </c>
      <c r="I1181" s="315">
        <v>2.1419999999999999</v>
      </c>
      <c r="J1181" s="315">
        <v>1.8859999999999999</v>
      </c>
      <c r="K1181" s="315">
        <v>1.3815999999999999</v>
      </c>
      <c r="L1181" s="315">
        <v>1.6874</v>
      </c>
      <c r="M1181" s="315">
        <v>2.0291000000000001</v>
      </c>
      <c r="N1181" s="315">
        <v>2.169</v>
      </c>
      <c r="O1181" s="315">
        <v>1.8748</v>
      </c>
      <c r="P1181" s="315">
        <v>1.6155999999999999</v>
      </c>
      <c r="Q1181" s="315">
        <v>1.6309</v>
      </c>
      <c r="R1181" s="315">
        <v>2.1917</v>
      </c>
      <c r="S1181" s="315">
        <v>1.9039999999999999</v>
      </c>
      <c r="T1181" s="315">
        <v>1.6521999999999999</v>
      </c>
      <c r="U1181" s="315">
        <v>1.8591</v>
      </c>
      <c r="V1181" s="315">
        <v>1.8077000000000001</v>
      </c>
      <c r="W1181" s="315">
        <v>1.9973000000000001</v>
      </c>
      <c r="X1181" s="315">
        <v>1.9400999999999999</v>
      </c>
      <c r="Y1181" s="315">
        <v>1.8369</v>
      </c>
      <c r="Z1181" s="315">
        <v>1.9903</v>
      </c>
      <c r="AA1181" s="315">
        <v>1.9902</v>
      </c>
      <c r="AB1181" s="315">
        <v>1.9557</v>
      </c>
      <c r="AC1181" s="315">
        <v>1.6882999999999999</v>
      </c>
      <c r="AD1181" s="315">
        <v>1.6566000000000001</v>
      </c>
      <c r="AE1181" s="315">
        <v>1.8994</v>
      </c>
      <c r="AF1181" s="315">
        <v>1.464</v>
      </c>
      <c r="AG1181" s="315">
        <v>1.5885</v>
      </c>
      <c r="AH1181" s="315">
        <v>1.8637999999999999</v>
      </c>
      <c r="AI1181" s="315">
        <v>2.0973999999999999</v>
      </c>
      <c r="AJ1181" s="315">
        <v>1.7402</v>
      </c>
      <c r="AK1181" s="315">
        <v>1.8179000000000001</v>
      </c>
      <c r="AL1181" s="315">
        <v>1.921</v>
      </c>
      <c r="AM1181" s="315">
        <v>2.0411000000000001</v>
      </c>
      <c r="AN1181" s="315">
        <v>1.8473999999999999</v>
      </c>
      <c r="AO1181" s="315">
        <v>1.9248000000000001</v>
      </c>
      <c r="AP1181" s="315">
        <v>2.0950000000000002</v>
      </c>
      <c r="AQ1181" s="315">
        <v>1.8308</v>
      </c>
      <c r="AR1181" s="315">
        <v>1.9089</v>
      </c>
      <c r="AS1181" s="315">
        <v>1.5371999999999999</v>
      </c>
      <c r="AT1181" s="315">
        <v>2.1164999999999998</v>
      </c>
      <c r="AU1181" s="315">
        <v>2.1722000000000001</v>
      </c>
      <c r="AV1181" s="315">
        <v>2.0998000000000001</v>
      </c>
      <c r="AW1181" s="315">
        <v>1.9637</v>
      </c>
      <c r="AX1181" s="315">
        <v>1.7618</v>
      </c>
      <c r="AY1181" s="315">
        <v>1.9603999999999999</v>
      </c>
      <c r="AZ1181" s="315">
        <v>1.8945000000000001</v>
      </c>
      <c r="BA1181" s="315">
        <v>1.6377999999999999</v>
      </c>
      <c r="BB1181" s="315">
        <v>1.4426000000000001</v>
      </c>
      <c r="BC1181" s="315">
        <v>2.0714000000000001</v>
      </c>
      <c r="BD1181" s="315">
        <v>2.2427000000000001</v>
      </c>
      <c r="BE1181" s="315">
        <v>2.1766000000000001</v>
      </c>
      <c r="BF1181" s="315">
        <v>1.946</v>
      </c>
      <c r="BG1181" s="315">
        <v>2.2035999999999998</v>
      </c>
      <c r="BH1181" s="315">
        <v>2.0387</v>
      </c>
      <c r="BI1181" s="315">
        <v>2.1585000000000001</v>
      </c>
      <c r="BJ1181" s="315">
        <v>2.0880999999999998</v>
      </c>
      <c r="BK1181" s="315">
        <v>2.2422</v>
      </c>
    </row>
    <row r="1182" spans="1:63" x14ac:dyDescent="0.25">
      <c r="A1182" s="306">
        <v>541920</v>
      </c>
      <c r="B1182" s="315" t="s">
        <v>317</v>
      </c>
      <c r="C1182" s="315">
        <v>2.9954000000000001</v>
      </c>
      <c r="D1182" s="315">
        <v>1.7837000000000001</v>
      </c>
      <c r="E1182" s="315">
        <v>2.0790000000000002</v>
      </c>
      <c r="F1182" s="315">
        <v>1.8655999999999999</v>
      </c>
      <c r="G1182" s="315">
        <v>2.1677</v>
      </c>
      <c r="H1182" s="315">
        <v>2.4268999999999998</v>
      </c>
      <c r="I1182" s="315">
        <v>2.4093</v>
      </c>
      <c r="J1182" s="315">
        <v>2.0546000000000002</v>
      </c>
      <c r="K1182" s="315">
        <v>1.4114</v>
      </c>
      <c r="L1182" s="315">
        <v>1.9056</v>
      </c>
      <c r="M1182" s="315">
        <v>2.2408000000000001</v>
      </c>
      <c r="N1182" s="315">
        <v>2.4329000000000001</v>
      </c>
      <c r="O1182" s="315">
        <v>2.0358999999999998</v>
      </c>
      <c r="P1182" s="315">
        <v>1.7496</v>
      </c>
      <c r="Q1182" s="315">
        <v>1.8016000000000001</v>
      </c>
      <c r="R1182" s="315">
        <v>2.4698000000000002</v>
      </c>
      <c r="S1182" s="315">
        <v>2.1726999999999999</v>
      </c>
      <c r="T1182" s="315">
        <v>1.8373999999999999</v>
      </c>
      <c r="U1182" s="315">
        <v>2.0629</v>
      </c>
      <c r="V1182" s="315">
        <v>2.0106000000000002</v>
      </c>
      <c r="W1182" s="315">
        <v>2.1678000000000002</v>
      </c>
      <c r="X1182" s="315">
        <v>2.145</v>
      </c>
      <c r="Y1182" s="315">
        <v>1.9948999999999999</v>
      </c>
      <c r="Z1182" s="315">
        <v>2.2523</v>
      </c>
      <c r="AA1182" s="315">
        <v>2.2242000000000002</v>
      </c>
      <c r="AB1182" s="315">
        <v>2.2437</v>
      </c>
      <c r="AC1182" s="315">
        <v>1.8688</v>
      </c>
      <c r="AD1182" s="315">
        <v>1.8107</v>
      </c>
      <c r="AE1182" s="315">
        <v>2.1631</v>
      </c>
      <c r="AF1182" s="315">
        <v>1.6275999999999999</v>
      </c>
      <c r="AG1182" s="315">
        <v>1.7116</v>
      </c>
      <c r="AH1182" s="315">
        <v>2.0722999999999998</v>
      </c>
      <c r="AI1182" s="315">
        <v>2.3431999999999999</v>
      </c>
      <c r="AJ1182" s="315">
        <v>1.8706</v>
      </c>
      <c r="AK1182" s="315">
        <v>1.9404999999999999</v>
      </c>
      <c r="AL1182" s="315">
        <v>2.0619000000000001</v>
      </c>
      <c r="AM1182" s="315">
        <v>2.2955000000000001</v>
      </c>
      <c r="AN1182" s="315">
        <v>2.0448</v>
      </c>
      <c r="AO1182" s="315">
        <v>2.1333000000000002</v>
      </c>
      <c r="AP1182" s="315">
        <v>2.3877999999999999</v>
      </c>
      <c r="AQ1182" s="315">
        <v>2.0911</v>
      </c>
      <c r="AR1182" s="315">
        <v>2.1337999999999999</v>
      </c>
      <c r="AS1182" s="315">
        <v>1.6492</v>
      </c>
      <c r="AT1182" s="315">
        <v>2.3321000000000001</v>
      </c>
      <c r="AU1182" s="315">
        <v>2.4744999999999999</v>
      </c>
      <c r="AV1182" s="315">
        <v>2.3416999999999999</v>
      </c>
      <c r="AW1182" s="315">
        <v>2.1837</v>
      </c>
      <c r="AX1182" s="315">
        <v>1.9287000000000001</v>
      </c>
      <c r="AY1182" s="315">
        <v>2.1463999999999999</v>
      </c>
      <c r="AZ1182" s="315">
        <v>2.0798999999999999</v>
      </c>
      <c r="BA1182" s="315">
        <v>1.8326</v>
      </c>
      <c r="BB1182" s="315">
        <v>1.6273</v>
      </c>
      <c r="BC1182" s="315">
        <v>2.2948</v>
      </c>
      <c r="BD1182" s="315">
        <v>2.4481000000000002</v>
      </c>
      <c r="BE1182" s="315">
        <v>2.4742999999999999</v>
      </c>
      <c r="BF1182" s="315">
        <v>2.1564000000000001</v>
      </c>
      <c r="BG1182" s="315">
        <v>2.5003000000000002</v>
      </c>
      <c r="BH1182" s="315">
        <v>2.3006000000000002</v>
      </c>
      <c r="BI1182" s="315">
        <v>2.4510999999999998</v>
      </c>
      <c r="BJ1182" s="315">
        <v>2.3471000000000002</v>
      </c>
      <c r="BK1182" s="315">
        <v>2.4453999999999998</v>
      </c>
    </row>
    <row r="1183" spans="1:63" x14ac:dyDescent="0.25">
      <c r="A1183" s="306">
        <v>541940</v>
      </c>
      <c r="B1183" s="315" t="s">
        <v>318</v>
      </c>
      <c r="C1183" s="315">
        <v>2.9946999999999999</v>
      </c>
      <c r="D1183" s="315">
        <v>1.7267999999999999</v>
      </c>
      <c r="E1183" s="315">
        <v>1.9879</v>
      </c>
      <c r="F1183" s="315">
        <v>1.8258000000000001</v>
      </c>
      <c r="G1183" s="315">
        <v>2.0562999999999998</v>
      </c>
      <c r="H1183" s="315">
        <v>2.4249000000000001</v>
      </c>
      <c r="I1183" s="315">
        <v>2.3410000000000002</v>
      </c>
      <c r="J1183" s="315">
        <v>2.0943999999999998</v>
      </c>
      <c r="K1183" s="315">
        <v>1.3320000000000001</v>
      </c>
      <c r="L1183" s="315">
        <v>1.8974</v>
      </c>
      <c r="M1183" s="315">
        <v>2.1332</v>
      </c>
      <c r="N1183" s="315">
        <v>2.3048999999999999</v>
      </c>
      <c r="O1183" s="315">
        <v>1.9245000000000001</v>
      </c>
      <c r="P1183" s="315">
        <v>1.736</v>
      </c>
      <c r="Q1183" s="315">
        <v>1.7205999999999999</v>
      </c>
      <c r="R1183" s="315">
        <v>2.4506999999999999</v>
      </c>
      <c r="S1183" s="315">
        <v>2.1749999999999998</v>
      </c>
      <c r="T1183" s="315">
        <v>1.8411</v>
      </c>
      <c r="U1183" s="315">
        <v>1.9841</v>
      </c>
      <c r="V1183" s="315">
        <v>1.8979999999999999</v>
      </c>
      <c r="W1183" s="315">
        <v>2.2294</v>
      </c>
      <c r="X1183" s="315">
        <v>2.0243000000000002</v>
      </c>
      <c r="Y1183" s="315">
        <v>2.0764999999999998</v>
      </c>
      <c r="Z1183" s="315">
        <v>2.2141999999999999</v>
      </c>
      <c r="AA1183" s="315">
        <v>2.1168</v>
      </c>
      <c r="AB1183" s="315">
        <v>2.2385999999999999</v>
      </c>
      <c r="AC1183" s="315">
        <v>1.8524</v>
      </c>
      <c r="AD1183" s="315">
        <v>1.7616000000000001</v>
      </c>
      <c r="AE1183" s="315">
        <v>2.1821000000000002</v>
      </c>
      <c r="AF1183" s="315">
        <v>1.5935999999999999</v>
      </c>
      <c r="AG1183" s="315">
        <v>1.7261</v>
      </c>
      <c r="AH1183" s="315">
        <v>1.9779</v>
      </c>
      <c r="AI1183" s="315">
        <v>2.3620000000000001</v>
      </c>
      <c r="AJ1183" s="315">
        <v>1.8167</v>
      </c>
      <c r="AK1183" s="315">
        <v>1.8697999999999999</v>
      </c>
      <c r="AL1183" s="315">
        <v>2.0320999999999998</v>
      </c>
      <c r="AM1183" s="315">
        <v>2.2282999999999999</v>
      </c>
      <c r="AN1183" s="315">
        <v>1.9731000000000001</v>
      </c>
      <c r="AO1183" s="315">
        <v>2.0106999999999999</v>
      </c>
      <c r="AP1183" s="315">
        <v>2.4102999999999999</v>
      </c>
      <c r="AQ1183" s="315">
        <v>2.0893999999999999</v>
      </c>
      <c r="AR1183" s="315">
        <v>2.1320999999999999</v>
      </c>
      <c r="AS1183" s="315">
        <v>1.6308</v>
      </c>
      <c r="AT1183" s="315">
        <v>2.2526000000000002</v>
      </c>
      <c r="AU1183" s="315">
        <v>2.3512</v>
      </c>
      <c r="AV1183" s="315">
        <v>2.3654000000000002</v>
      </c>
      <c r="AW1183" s="315">
        <v>2.1012</v>
      </c>
      <c r="AX1183" s="315">
        <v>1.8065</v>
      </c>
      <c r="AY1183" s="315">
        <v>2.0945999999999998</v>
      </c>
      <c r="AZ1183" s="315">
        <v>2.0503</v>
      </c>
      <c r="BA1183" s="315">
        <v>1.8711</v>
      </c>
      <c r="BB1183" s="315">
        <v>1.5844</v>
      </c>
      <c r="BC1183" s="315">
        <v>2.3433000000000002</v>
      </c>
      <c r="BD1183" s="315">
        <v>2.4609999999999999</v>
      </c>
      <c r="BE1183" s="315">
        <v>2.4832000000000001</v>
      </c>
      <c r="BF1183" s="315">
        <v>2.1318000000000001</v>
      </c>
      <c r="BG1183" s="315">
        <v>2.419</v>
      </c>
      <c r="BH1183" s="315">
        <v>2.1945000000000001</v>
      </c>
      <c r="BI1183" s="315">
        <v>2.3452000000000002</v>
      </c>
      <c r="BJ1183" s="315">
        <v>2.2549999999999999</v>
      </c>
      <c r="BK1183" s="315">
        <v>2.4453</v>
      </c>
    </row>
    <row r="1184" spans="1:63" x14ac:dyDescent="0.25">
      <c r="A1184" s="306" t="s">
        <v>771</v>
      </c>
      <c r="B1184" s="315" t="s">
        <v>319</v>
      </c>
      <c r="C1184" s="315">
        <v>2.8820000000000001</v>
      </c>
      <c r="D1184" s="315">
        <v>1.7888999999999999</v>
      </c>
      <c r="E1184" s="315">
        <v>2.0341999999999998</v>
      </c>
      <c r="F1184" s="315">
        <v>1.8464</v>
      </c>
      <c r="G1184" s="315">
        <v>2.1112000000000002</v>
      </c>
      <c r="H1184" s="315">
        <v>2.3502000000000001</v>
      </c>
      <c r="I1184" s="315">
        <v>2.3216000000000001</v>
      </c>
      <c r="J1184" s="315">
        <v>2.0068999999999999</v>
      </c>
      <c r="K1184" s="315">
        <v>1.3346</v>
      </c>
      <c r="L1184" s="315">
        <v>1.8973</v>
      </c>
      <c r="M1184" s="315">
        <v>2.2021999999999999</v>
      </c>
      <c r="N1184" s="315">
        <v>2.3166000000000002</v>
      </c>
      <c r="O1184" s="315">
        <v>2.0152000000000001</v>
      </c>
      <c r="P1184" s="315">
        <v>1.7456</v>
      </c>
      <c r="Q1184" s="315">
        <v>1.7726999999999999</v>
      </c>
      <c r="R1184" s="315">
        <v>2.3645</v>
      </c>
      <c r="S1184" s="315">
        <v>2.0789</v>
      </c>
      <c r="T1184" s="315">
        <v>1.8149</v>
      </c>
      <c r="U1184" s="315">
        <v>2.0085999999999999</v>
      </c>
      <c r="V1184" s="315">
        <v>1.9709000000000001</v>
      </c>
      <c r="W1184" s="315">
        <v>2.1223999999999998</v>
      </c>
      <c r="X1184" s="315">
        <v>2.056</v>
      </c>
      <c r="Y1184" s="315">
        <v>2.0009000000000001</v>
      </c>
      <c r="Z1184" s="315">
        <v>2.1594000000000002</v>
      </c>
      <c r="AA1184" s="315">
        <v>2.1368999999999998</v>
      </c>
      <c r="AB1184" s="315">
        <v>2.1614</v>
      </c>
      <c r="AC1184" s="315">
        <v>1.8543000000000001</v>
      </c>
      <c r="AD1184" s="315">
        <v>1.8221000000000001</v>
      </c>
      <c r="AE1184" s="315">
        <v>2.0737000000000001</v>
      </c>
      <c r="AF1184" s="315">
        <v>1.6437999999999999</v>
      </c>
      <c r="AG1184" s="315">
        <v>1.722</v>
      </c>
      <c r="AH1184" s="315">
        <v>2.0181</v>
      </c>
      <c r="AI1184" s="315">
        <v>2.2233999999999998</v>
      </c>
      <c r="AJ1184" s="315">
        <v>1.8759999999999999</v>
      </c>
      <c r="AK1184" s="315">
        <v>1.8942000000000001</v>
      </c>
      <c r="AL1184" s="315">
        <v>1.9938</v>
      </c>
      <c r="AM1184" s="315">
        <v>2.2189999999999999</v>
      </c>
      <c r="AN1184" s="315">
        <v>2.0341</v>
      </c>
      <c r="AO1184" s="315">
        <v>2.0779000000000001</v>
      </c>
      <c r="AP1184" s="315">
        <v>2.2905000000000002</v>
      </c>
      <c r="AQ1184" s="315">
        <v>2.0265</v>
      </c>
      <c r="AR1184" s="315">
        <v>2.0811000000000002</v>
      </c>
      <c r="AS1184" s="315">
        <v>1.6474</v>
      </c>
      <c r="AT1184" s="315">
        <v>2.2585999999999999</v>
      </c>
      <c r="AU1184" s="315">
        <v>2.3988</v>
      </c>
      <c r="AV1184" s="315">
        <v>2.2650999999999999</v>
      </c>
      <c r="AW1184" s="315">
        <v>2.1137999999999999</v>
      </c>
      <c r="AX1184" s="315">
        <v>1.8785000000000001</v>
      </c>
      <c r="AY1184" s="315">
        <v>2.1231</v>
      </c>
      <c r="AZ1184" s="315">
        <v>2.0539000000000001</v>
      </c>
      <c r="BA1184" s="315">
        <v>1.7847999999999999</v>
      </c>
      <c r="BB1184" s="315">
        <v>1.6182000000000001</v>
      </c>
      <c r="BC1184" s="315">
        <v>2.2433999999999998</v>
      </c>
      <c r="BD1184" s="315">
        <v>2.3447</v>
      </c>
      <c r="BE1184" s="315">
        <v>2.3754</v>
      </c>
      <c r="BF1184" s="315">
        <v>2.1118999999999999</v>
      </c>
      <c r="BG1184" s="315">
        <v>2.3948</v>
      </c>
      <c r="BH1184" s="315">
        <v>2.2048999999999999</v>
      </c>
      <c r="BI1184" s="315">
        <v>2.3856000000000002</v>
      </c>
      <c r="BJ1184" s="315">
        <v>2.2732999999999999</v>
      </c>
      <c r="BK1184" s="315">
        <v>2.3725000000000001</v>
      </c>
    </row>
    <row r="1185" spans="1:63" x14ac:dyDescent="0.25">
      <c r="A1185" s="306">
        <v>550000</v>
      </c>
      <c r="B1185" s="315" t="s">
        <v>320</v>
      </c>
      <c r="C1185" s="315">
        <v>2.7696000000000001</v>
      </c>
      <c r="D1185" s="315">
        <v>1.7191000000000001</v>
      </c>
      <c r="E1185" s="315">
        <v>1.9009</v>
      </c>
      <c r="F1185" s="315">
        <v>1.7198</v>
      </c>
      <c r="G1185" s="315">
        <v>2.0114999999999998</v>
      </c>
      <c r="H1185" s="315">
        <v>2.2957999999999998</v>
      </c>
      <c r="I1185" s="315">
        <v>2.2766999999999999</v>
      </c>
      <c r="J1185" s="315">
        <v>2.0255000000000001</v>
      </c>
      <c r="K1185" s="315">
        <v>1.42</v>
      </c>
      <c r="L1185" s="315">
        <v>1.7627999999999999</v>
      </c>
      <c r="M1185" s="315">
        <v>2.1231</v>
      </c>
      <c r="N1185" s="315">
        <v>2.2483</v>
      </c>
      <c r="O1185" s="315">
        <v>1.8934</v>
      </c>
      <c r="P1185" s="315">
        <v>1.6437999999999999</v>
      </c>
      <c r="Q1185" s="315">
        <v>1.6688000000000001</v>
      </c>
      <c r="R1185" s="315">
        <v>2.3107000000000002</v>
      </c>
      <c r="S1185" s="315">
        <v>1.8822000000000001</v>
      </c>
      <c r="T1185" s="315">
        <v>1.7445999999999999</v>
      </c>
      <c r="U1185" s="315">
        <v>1.8862000000000001</v>
      </c>
      <c r="V1185" s="315">
        <v>1.8539000000000001</v>
      </c>
      <c r="W1185" s="315">
        <v>2.1240999999999999</v>
      </c>
      <c r="X1185" s="315">
        <v>2.0283000000000002</v>
      </c>
      <c r="Y1185" s="315">
        <v>1.8934</v>
      </c>
      <c r="Z1185" s="315">
        <v>2.0394000000000001</v>
      </c>
      <c r="AA1185" s="315">
        <v>2.0720999999999998</v>
      </c>
      <c r="AB1185" s="315">
        <v>2.0783</v>
      </c>
      <c r="AC1185" s="315">
        <v>1.7096</v>
      </c>
      <c r="AD1185" s="315">
        <v>1.7252000000000001</v>
      </c>
      <c r="AE1185" s="315">
        <v>1.9428000000000001</v>
      </c>
      <c r="AF1185" s="315">
        <v>1.5762</v>
      </c>
      <c r="AG1185" s="315">
        <v>1.6496999999999999</v>
      </c>
      <c r="AH1185" s="315">
        <v>1.9038999999999999</v>
      </c>
      <c r="AI1185" s="315">
        <v>2.1751</v>
      </c>
      <c r="AJ1185" s="315">
        <v>1.7578</v>
      </c>
      <c r="AK1185" s="315">
        <v>1.8409</v>
      </c>
      <c r="AL1185" s="315">
        <v>1.9258999999999999</v>
      </c>
      <c r="AM1185" s="315">
        <v>2.1025</v>
      </c>
      <c r="AN1185" s="315">
        <v>1.9119999999999999</v>
      </c>
      <c r="AO1185" s="315">
        <v>1.9556</v>
      </c>
      <c r="AP1185" s="315">
        <v>2.2162999999999999</v>
      </c>
      <c r="AQ1185" s="315">
        <v>1.8931</v>
      </c>
      <c r="AR1185" s="315">
        <v>1.9636</v>
      </c>
      <c r="AS1185" s="315">
        <v>1.5106999999999999</v>
      </c>
      <c r="AT1185" s="315">
        <v>2.1257999999999999</v>
      </c>
      <c r="AU1185" s="315">
        <v>2.2955999999999999</v>
      </c>
      <c r="AV1185" s="315">
        <v>2.1793999999999998</v>
      </c>
      <c r="AW1185" s="315">
        <v>2.0682999999999998</v>
      </c>
      <c r="AX1185" s="315">
        <v>1.8314999999999999</v>
      </c>
      <c r="AY1185" s="315">
        <v>2.0177</v>
      </c>
      <c r="AZ1185" s="315">
        <v>1.9320999999999999</v>
      </c>
      <c r="BA1185" s="315">
        <v>1.6907000000000001</v>
      </c>
      <c r="BB1185" s="315">
        <v>1.5349999999999999</v>
      </c>
      <c r="BC1185" s="315">
        <v>2.2195999999999998</v>
      </c>
      <c r="BD1185" s="315">
        <v>2.2911000000000001</v>
      </c>
      <c r="BE1185" s="315">
        <v>2.2633999999999999</v>
      </c>
      <c r="BF1185" s="315">
        <v>2.0163000000000002</v>
      </c>
      <c r="BG1185" s="315">
        <v>2.319</v>
      </c>
      <c r="BH1185" s="315">
        <v>2.0489999999999999</v>
      </c>
      <c r="BI1185" s="315">
        <v>2.2639</v>
      </c>
      <c r="BJ1185" s="315">
        <v>2.1804000000000001</v>
      </c>
      <c r="BK1185" s="315">
        <v>2.3052000000000001</v>
      </c>
    </row>
    <row r="1186" spans="1:63" x14ac:dyDescent="0.25">
      <c r="A1186" s="306">
        <v>561100</v>
      </c>
      <c r="B1186" s="315" t="s">
        <v>323</v>
      </c>
      <c r="C1186" s="315">
        <v>2.9317000000000002</v>
      </c>
      <c r="D1186" s="315">
        <v>1.7804</v>
      </c>
      <c r="E1186" s="315">
        <v>2.0190000000000001</v>
      </c>
      <c r="F1186" s="315">
        <v>1.8331999999999999</v>
      </c>
      <c r="G1186" s="315">
        <v>2.1488</v>
      </c>
      <c r="H1186" s="315">
        <v>2.4015</v>
      </c>
      <c r="I1186" s="315">
        <v>2.3919000000000001</v>
      </c>
      <c r="J1186" s="315">
        <v>2.0924999999999998</v>
      </c>
      <c r="K1186" s="315">
        <v>1.4442999999999999</v>
      </c>
      <c r="L1186" s="315">
        <v>1.9319</v>
      </c>
      <c r="M1186" s="315">
        <v>2.2583000000000002</v>
      </c>
      <c r="N1186" s="315">
        <v>2.3822999999999999</v>
      </c>
      <c r="O1186" s="315">
        <v>2.0320999999999998</v>
      </c>
      <c r="P1186" s="315">
        <v>1.7126999999999999</v>
      </c>
      <c r="Q1186" s="315">
        <v>1.7683</v>
      </c>
      <c r="R1186" s="315">
        <v>2.4388000000000001</v>
      </c>
      <c r="S1186" s="315">
        <v>2.0638000000000001</v>
      </c>
      <c r="T1186" s="315">
        <v>1.8061</v>
      </c>
      <c r="U1186" s="315">
        <v>2.0442999999999998</v>
      </c>
      <c r="V1186" s="315">
        <v>1.9886999999999999</v>
      </c>
      <c r="W1186" s="315">
        <v>2.2105999999999999</v>
      </c>
      <c r="X1186" s="315">
        <v>2.1476999999999999</v>
      </c>
      <c r="Y1186" s="315">
        <v>2.0219</v>
      </c>
      <c r="Z1186" s="315">
        <v>2.1836000000000002</v>
      </c>
      <c r="AA1186" s="315">
        <v>2.1831999999999998</v>
      </c>
      <c r="AB1186" s="315">
        <v>2.1896</v>
      </c>
      <c r="AC1186" s="315">
        <v>1.8227</v>
      </c>
      <c r="AD1186" s="315">
        <v>1.7996000000000001</v>
      </c>
      <c r="AE1186" s="315">
        <v>2.1006999999999998</v>
      </c>
      <c r="AF1186" s="315">
        <v>1.6141000000000001</v>
      </c>
      <c r="AG1186" s="315">
        <v>1.7135</v>
      </c>
      <c r="AH1186" s="315">
        <v>2.0750999999999999</v>
      </c>
      <c r="AI1186" s="315">
        <v>2.3281000000000001</v>
      </c>
      <c r="AJ1186" s="315">
        <v>1.8751</v>
      </c>
      <c r="AK1186" s="315">
        <v>1.9502999999999999</v>
      </c>
      <c r="AL1186" s="315">
        <v>2.0935999999999999</v>
      </c>
      <c r="AM1186" s="315">
        <v>2.2726000000000002</v>
      </c>
      <c r="AN1186" s="315">
        <v>2.0592000000000001</v>
      </c>
      <c r="AO1186" s="315">
        <v>2.0855999999999999</v>
      </c>
      <c r="AP1186" s="315">
        <v>2.3176000000000001</v>
      </c>
      <c r="AQ1186" s="315">
        <v>2.0369000000000002</v>
      </c>
      <c r="AR1186" s="315">
        <v>2.1065</v>
      </c>
      <c r="AS1186" s="315">
        <v>1.6127</v>
      </c>
      <c r="AT1186" s="315">
        <v>2.2797000000000001</v>
      </c>
      <c r="AU1186" s="315">
        <v>2.4356</v>
      </c>
      <c r="AV1186" s="315">
        <v>2.2894000000000001</v>
      </c>
      <c r="AW1186" s="315">
        <v>2.1648999999999998</v>
      </c>
      <c r="AX1186" s="315">
        <v>1.8655999999999999</v>
      </c>
      <c r="AY1186" s="315">
        <v>2.1798999999999999</v>
      </c>
      <c r="AZ1186" s="315">
        <v>2.0741000000000001</v>
      </c>
      <c r="BA1186" s="315">
        <v>1.7793000000000001</v>
      </c>
      <c r="BB1186" s="315">
        <v>1.5953999999999999</v>
      </c>
      <c r="BC1186" s="315">
        <v>2.3161999999999998</v>
      </c>
      <c r="BD1186" s="315">
        <v>2.4205000000000001</v>
      </c>
      <c r="BE1186" s="315">
        <v>2.4247999999999998</v>
      </c>
      <c r="BF1186" s="315">
        <v>2.1200999999999999</v>
      </c>
      <c r="BG1186" s="315">
        <v>2.4548000000000001</v>
      </c>
      <c r="BH1186" s="315">
        <v>2.2309000000000001</v>
      </c>
      <c r="BI1186" s="315">
        <v>2.4255</v>
      </c>
      <c r="BJ1186" s="315">
        <v>2.3113000000000001</v>
      </c>
      <c r="BK1186" s="315">
        <v>2.4180000000000001</v>
      </c>
    </row>
    <row r="1187" spans="1:63" x14ac:dyDescent="0.25">
      <c r="A1187" s="306">
        <v>561200</v>
      </c>
      <c r="B1187" s="315" t="s">
        <v>324</v>
      </c>
      <c r="C1187" s="315">
        <v>2.7715999999999998</v>
      </c>
      <c r="D1187" s="315">
        <v>1.7000999999999999</v>
      </c>
      <c r="E1187" s="315">
        <v>1.9435</v>
      </c>
      <c r="F1187" s="315">
        <v>1.7650999999999999</v>
      </c>
      <c r="G1187" s="315">
        <v>2.0752000000000002</v>
      </c>
      <c r="H1187" s="315">
        <v>2.2706</v>
      </c>
      <c r="I1187" s="315">
        <v>2.2524000000000002</v>
      </c>
      <c r="J1187" s="315">
        <v>1.9841</v>
      </c>
      <c r="K1187" s="315">
        <v>1.4149</v>
      </c>
      <c r="L1187" s="315">
        <v>1.8365</v>
      </c>
      <c r="M1187" s="315">
        <v>2.1490999999999998</v>
      </c>
      <c r="N1187" s="315">
        <v>2.2786</v>
      </c>
      <c r="O1187" s="315">
        <v>1.8837999999999999</v>
      </c>
      <c r="P1187" s="315">
        <v>1.6368</v>
      </c>
      <c r="Q1187" s="315">
        <v>1.7024999999999999</v>
      </c>
      <c r="R1187" s="315">
        <v>2.3098999999999998</v>
      </c>
      <c r="S1187" s="315">
        <v>1.9790000000000001</v>
      </c>
      <c r="T1187" s="315">
        <v>1.7764</v>
      </c>
      <c r="U1187" s="315">
        <v>1.9453</v>
      </c>
      <c r="V1187" s="315">
        <v>1.9178999999999999</v>
      </c>
      <c r="W1187" s="315">
        <v>2.0851000000000002</v>
      </c>
      <c r="X1187" s="315">
        <v>2.0491999999999999</v>
      </c>
      <c r="Y1187" s="315">
        <v>1.9234</v>
      </c>
      <c r="Z1187" s="315">
        <v>2.0859000000000001</v>
      </c>
      <c r="AA1187" s="315">
        <v>2.0249000000000001</v>
      </c>
      <c r="AB1187" s="315">
        <v>2.0529999999999999</v>
      </c>
      <c r="AC1187" s="315">
        <v>1.7407999999999999</v>
      </c>
      <c r="AD1187" s="315">
        <v>1.7076</v>
      </c>
      <c r="AE1187" s="315">
        <v>2.0339999999999998</v>
      </c>
      <c r="AF1187" s="315">
        <v>1.5229999999999999</v>
      </c>
      <c r="AG1187" s="315">
        <v>1.6556999999999999</v>
      </c>
      <c r="AH1187" s="315">
        <v>1.9944</v>
      </c>
      <c r="AI1187" s="315">
        <v>2.1888000000000001</v>
      </c>
      <c r="AJ1187" s="315">
        <v>1.8105</v>
      </c>
      <c r="AK1187" s="315">
        <v>1.8303</v>
      </c>
      <c r="AL1187" s="315">
        <v>1.9597</v>
      </c>
      <c r="AM1187" s="315">
        <v>2.1726000000000001</v>
      </c>
      <c r="AN1187" s="315">
        <v>1.9661</v>
      </c>
      <c r="AO1187" s="315">
        <v>1.9863</v>
      </c>
      <c r="AP1187" s="315">
        <v>2.23</v>
      </c>
      <c r="AQ1187" s="315">
        <v>1.8807</v>
      </c>
      <c r="AR1187" s="315">
        <v>2.0465</v>
      </c>
      <c r="AS1187" s="315">
        <v>1.5225</v>
      </c>
      <c r="AT1187" s="315">
        <v>2.1795</v>
      </c>
      <c r="AU1187" s="315">
        <v>2.3532999999999999</v>
      </c>
      <c r="AV1187" s="315">
        <v>2.1749000000000001</v>
      </c>
      <c r="AW1187" s="315">
        <v>2.1004</v>
      </c>
      <c r="AX1187" s="315">
        <v>1.7504999999999999</v>
      </c>
      <c r="AY1187" s="315">
        <v>2.0691000000000002</v>
      </c>
      <c r="AZ1187" s="315">
        <v>1.9632000000000001</v>
      </c>
      <c r="BA1187" s="315">
        <v>1.7243999999999999</v>
      </c>
      <c r="BB1187" s="315">
        <v>1.5295000000000001</v>
      </c>
      <c r="BC1187" s="315">
        <v>2.1831</v>
      </c>
      <c r="BD1187" s="315">
        <v>2.2631000000000001</v>
      </c>
      <c r="BE1187" s="315">
        <v>2.3191999999999999</v>
      </c>
      <c r="BF1187" s="315">
        <v>1.9997</v>
      </c>
      <c r="BG1187" s="315">
        <v>2.3530000000000002</v>
      </c>
      <c r="BH1187" s="315">
        <v>2.1213000000000002</v>
      </c>
      <c r="BI1187" s="315">
        <v>2.3473999999999999</v>
      </c>
      <c r="BJ1187" s="315">
        <v>2.2012</v>
      </c>
      <c r="BK1187" s="315">
        <v>2.2875999999999999</v>
      </c>
    </row>
    <row r="1188" spans="1:63" x14ac:dyDescent="0.25">
      <c r="A1188" s="306">
        <v>561300</v>
      </c>
      <c r="B1188" s="315" t="s">
        <v>321</v>
      </c>
      <c r="C1188" s="315">
        <v>2.7031000000000001</v>
      </c>
      <c r="D1188" s="315">
        <v>1.7262</v>
      </c>
      <c r="E1188" s="315">
        <v>1.9370000000000001</v>
      </c>
      <c r="F1188" s="315">
        <v>1.7983</v>
      </c>
      <c r="G1188" s="315">
        <v>2.0097999999999998</v>
      </c>
      <c r="H1188" s="315">
        <v>2.2202999999999999</v>
      </c>
      <c r="I1188" s="315">
        <v>2.2098</v>
      </c>
      <c r="J1188" s="315">
        <v>1.9262999999999999</v>
      </c>
      <c r="K1188" s="315">
        <v>1.2773000000000001</v>
      </c>
      <c r="L1188" s="315">
        <v>1.7985</v>
      </c>
      <c r="M1188" s="315">
        <v>2.0880999999999998</v>
      </c>
      <c r="N1188" s="315">
        <v>2.1951999999999998</v>
      </c>
      <c r="O1188" s="315">
        <v>1.9511000000000001</v>
      </c>
      <c r="P1188" s="315">
        <v>1.6666000000000001</v>
      </c>
      <c r="Q1188" s="315">
        <v>1.7215</v>
      </c>
      <c r="R1188" s="315">
        <v>2.2343000000000002</v>
      </c>
      <c r="S1188" s="315">
        <v>1.9806999999999999</v>
      </c>
      <c r="T1188" s="315">
        <v>1.7189000000000001</v>
      </c>
      <c r="U1188" s="315">
        <v>1.9573</v>
      </c>
      <c r="V1188" s="315">
        <v>1.9036</v>
      </c>
      <c r="W1188" s="315">
        <v>2.0278999999999998</v>
      </c>
      <c r="X1188" s="315">
        <v>1.9589000000000001</v>
      </c>
      <c r="Y1188" s="315">
        <v>1.9232</v>
      </c>
      <c r="Z1188" s="315">
        <v>2.0670000000000002</v>
      </c>
      <c r="AA1188" s="315">
        <v>2.0524</v>
      </c>
      <c r="AB1188" s="315">
        <v>2.0568</v>
      </c>
      <c r="AC1188" s="315">
        <v>1.7926</v>
      </c>
      <c r="AD1188" s="315">
        <v>1.7405999999999999</v>
      </c>
      <c r="AE1188" s="315">
        <v>1.9894000000000001</v>
      </c>
      <c r="AF1188" s="315">
        <v>1.5911999999999999</v>
      </c>
      <c r="AG1188" s="315">
        <v>1.6556999999999999</v>
      </c>
      <c r="AH1188" s="315">
        <v>1.927</v>
      </c>
      <c r="AI1188" s="315">
        <v>2.1191</v>
      </c>
      <c r="AJ1188" s="315">
        <v>1.8110999999999999</v>
      </c>
      <c r="AK1188" s="315">
        <v>1.8521000000000001</v>
      </c>
      <c r="AL1188" s="315">
        <v>1.9137</v>
      </c>
      <c r="AM1188" s="315">
        <v>2.1383999999999999</v>
      </c>
      <c r="AN1188" s="315">
        <v>1.9518</v>
      </c>
      <c r="AO1188" s="315">
        <v>1.9834000000000001</v>
      </c>
      <c r="AP1188" s="315">
        <v>2.1560000000000001</v>
      </c>
      <c r="AQ1188" s="315">
        <v>1.9193</v>
      </c>
      <c r="AR1188" s="315">
        <v>1.9924999999999999</v>
      </c>
      <c r="AS1188" s="315">
        <v>1.5983000000000001</v>
      </c>
      <c r="AT1188" s="315">
        <v>2.1320999999999999</v>
      </c>
      <c r="AU1188" s="315">
        <v>2.2524000000000002</v>
      </c>
      <c r="AV1188" s="315">
        <v>2.1564999999999999</v>
      </c>
      <c r="AW1188" s="315">
        <v>2.0057999999999998</v>
      </c>
      <c r="AX1188" s="315">
        <v>1.7797000000000001</v>
      </c>
      <c r="AY1188" s="315">
        <v>2.0606</v>
      </c>
      <c r="AZ1188" s="315">
        <v>1.9951000000000001</v>
      </c>
      <c r="BA1188" s="315">
        <v>1.7244999999999999</v>
      </c>
      <c r="BB1188" s="315">
        <v>1.5570999999999999</v>
      </c>
      <c r="BC1188" s="315">
        <v>2.14</v>
      </c>
      <c r="BD1188" s="315">
        <v>2.2193000000000001</v>
      </c>
      <c r="BE1188" s="315">
        <v>2.2604000000000002</v>
      </c>
      <c r="BF1188" s="315">
        <v>2.0280999999999998</v>
      </c>
      <c r="BG1188" s="315">
        <v>2.2700999999999998</v>
      </c>
      <c r="BH1188" s="315">
        <v>2.1124000000000001</v>
      </c>
      <c r="BI1188" s="315">
        <v>2.2507000000000001</v>
      </c>
      <c r="BJ1188" s="315">
        <v>2.1646000000000001</v>
      </c>
      <c r="BK1188" s="315">
        <v>2.2458999999999998</v>
      </c>
    </row>
    <row r="1189" spans="1:63" x14ac:dyDescent="0.25">
      <c r="A1189" s="306">
        <v>561400</v>
      </c>
      <c r="B1189" s="315" t="s">
        <v>325</v>
      </c>
      <c r="C1189" s="315">
        <v>2.6282000000000001</v>
      </c>
      <c r="D1189" s="315">
        <v>1.6740999999999999</v>
      </c>
      <c r="E1189" s="315">
        <v>1.8705000000000001</v>
      </c>
      <c r="F1189" s="315">
        <v>1.7325999999999999</v>
      </c>
      <c r="G1189" s="315">
        <v>1.9685999999999999</v>
      </c>
      <c r="H1189" s="315">
        <v>2.1806999999999999</v>
      </c>
      <c r="I1189" s="315">
        <v>2.1657999999999999</v>
      </c>
      <c r="J1189" s="315">
        <v>1.9149</v>
      </c>
      <c r="K1189" s="315">
        <v>1.3935999999999999</v>
      </c>
      <c r="L1189" s="315">
        <v>1.77</v>
      </c>
      <c r="M1189" s="315">
        <v>2.0558999999999998</v>
      </c>
      <c r="N1189" s="315">
        <v>2.1825000000000001</v>
      </c>
      <c r="O1189" s="315">
        <v>1.8835999999999999</v>
      </c>
      <c r="P1189" s="315">
        <v>1.6117999999999999</v>
      </c>
      <c r="Q1189" s="315">
        <v>1.6501999999999999</v>
      </c>
      <c r="R1189" s="315">
        <v>2.2059000000000002</v>
      </c>
      <c r="S1189" s="315">
        <v>1.915</v>
      </c>
      <c r="T1189" s="315">
        <v>1.7121</v>
      </c>
      <c r="U1189" s="315">
        <v>1.8957999999999999</v>
      </c>
      <c r="V1189" s="315">
        <v>1.8369</v>
      </c>
      <c r="W1189" s="315">
        <v>2.0062000000000002</v>
      </c>
      <c r="X1189" s="315">
        <v>1.9733000000000001</v>
      </c>
      <c r="Y1189" s="315">
        <v>1.8391</v>
      </c>
      <c r="Z1189" s="315">
        <v>1.9988999999999999</v>
      </c>
      <c r="AA1189" s="315">
        <v>1.9847999999999999</v>
      </c>
      <c r="AB1189" s="315">
        <v>2.0152999999999999</v>
      </c>
      <c r="AC1189" s="315">
        <v>1.7081999999999999</v>
      </c>
      <c r="AD1189" s="315">
        <v>1.6763999999999999</v>
      </c>
      <c r="AE1189" s="315">
        <v>1.9325000000000001</v>
      </c>
      <c r="AF1189" s="315">
        <v>1.5093000000000001</v>
      </c>
      <c r="AG1189" s="315">
        <v>1.5992999999999999</v>
      </c>
      <c r="AH1189" s="315">
        <v>1.9091</v>
      </c>
      <c r="AI1189" s="315">
        <v>2.1284000000000001</v>
      </c>
      <c r="AJ1189" s="315">
        <v>1.7517</v>
      </c>
      <c r="AK1189" s="315">
        <v>1.7986</v>
      </c>
      <c r="AL1189" s="315">
        <v>1.9006000000000001</v>
      </c>
      <c r="AM1189" s="315">
        <v>2.0861999999999998</v>
      </c>
      <c r="AN1189" s="315">
        <v>1.8984000000000001</v>
      </c>
      <c r="AO1189" s="315">
        <v>1.9301999999999999</v>
      </c>
      <c r="AP1189" s="315">
        <v>2.1097000000000001</v>
      </c>
      <c r="AQ1189" s="315">
        <v>1.8716999999999999</v>
      </c>
      <c r="AR1189" s="315">
        <v>1.9556</v>
      </c>
      <c r="AS1189" s="315">
        <v>1.5117</v>
      </c>
      <c r="AT1189" s="315">
        <v>2.0830000000000002</v>
      </c>
      <c r="AU1189" s="315">
        <v>2.2124000000000001</v>
      </c>
      <c r="AV1189" s="315">
        <v>2.0972</v>
      </c>
      <c r="AW1189" s="315">
        <v>2.0011000000000001</v>
      </c>
      <c r="AX1189" s="315">
        <v>1.7307999999999999</v>
      </c>
      <c r="AY1189" s="315">
        <v>2.0036999999999998</v>
      </c>
      <c r="AZ1189" s="315">
        <v>1.8992</v>
      </c>
      <c r="BA1189" s="315">
        <v>1.6698</v>
      </c>
      <c r="BB1189" s="315">
        <v>1.4972000000000001</v>
      </c>
      <c r="BC1189" s="315">
        <v>2.0926</v>
      </c>
      <c r="BD1189" s="315">
        <v>2.1901000000000002</v>
      </c>
      <c r="BE1189" s="315">
        <v>2.1953</v>
      </c>
      <c r="BF1189" s="315">
        <v>1.9567000000000001</v>
      </c>
      <c r="BG1189" s="315">
        <v>2.2363</v>
      </c>
      <c r="BH1189" s="315">
        <v>2.0421999999999998</v>
      </c>
      <c r="BI1189" s="315">
        <v>2.2035</v>
      </c>
      <c r="BJ1189" s="315">
        <v>2.1204999999999998</v>
      </c>
      <c r="BK1189" s="315">
        <v>2.2006999999999999</v>
      </c>
    </row>
    <row r="1190" spans="1:63" x14ac:dyDescent="0.25">
      <c r="A1190" s="306">
        <v>561500</v>
      </c>
      <c r="B1190" s="315" t="s">
        <v>322</v>
      </c>
      <c r="C1190" s="315">
        <v>2.7347000000000001</v>
      </c>
      <c r="D1190" s="315">
        <v>1.6990000000000001</v>
      </c>
      <c r="E1190" s="315">
        <v>1.8883000000000001</v>
      </c>
      <c r="F1190" s="315">
        <v>1.7245999999999999</v>
      </c>
      <c r="G1190" s="315">
        <v>1.9842</v>
      </c>
      <c r="H1190" s="315">
        <v>2.2644000000000002</v>
      </c>
      <c r="I1190" s="315">
        <v>2.2444999999999999</v>
      </c>
      <c r="J1190" s="315">
        <v>1.9641999999999999</v>
      </c>
      <c r="K1190" s="315">
        <v>1.4398</v>
      </c>
      <c r="L1190" s="315">
        <v>1.7708999999999999</v>
      </c>
      <c r="M1190" s="315">
        <v>2.0790999999999999</v>
      </c>
      <c r="N1190" s="315">
        <v>2.2431999999999999</v>
      </c>
      <c r="O1190" s="315">
        <v>1.895</v>
      </c>
      <c r="P1190" s="315">
        <v>1.6405000000000001</v>
      </c>
      <c r="Q1190" s="315">
        <v>1.6607000000000001</v>
      </c>
      <c r="R1190" s="315">
        <v>2.2799999999999998</v>
      </c>
      <c r="S1190" s="315">
        <v>1.9397</v>
      </c>
      <c r="T1190" s="315">
        <v>1.7168000000000001</v>
      </c>
      <c r="U1190" s="315">
        <v>1.9008</v>
      </c>
      <c r="V1190" s="315">
        <v>1.8306</v>
      </c>
      <c r="W1190" s="315">
        <v>2.0691000000000002</v>
      </c>
      <c r="X1190" s="315">
        <v>2.0179999999999998</v>
      </c>
      <c r="Y1190" s="315">
        <v>1.8811</v>
      </c>
      <c r="Z1190" s="315">
        <v>2.0442999999999998</v>
      </c>
      <c r="AA1190" s="315">
        <v>2.0649999999999999</v>
      </c>
      <c r="AB1190" s="315">
        <v>2.0779999999999998</v>
      </c>
      <c r="AC1190" s="315">
        <v>1.6955</v>
      </c>
      <c r="AD1190" s="315">
        <v>1.7043999999999999</v>
      </c>
      <c r="AE1190" s="315">
        <v>1.9596</v>
      </c>
      <c r="AF1190" s="315">
        <v>1.5451999999999999</v>
      </c>
      <c r="AG1190" s="315">
        <v>1.6431</v>
      </c>
      <c r="AH1190" s="315">
        <v>1.9087000000000001</v>
      </c>
      <c r="AI1190" s="315">
        <v>2.1871999999999998</v>
      </c>
      <c r="AJ1190" s="315">
        <v>1.7302999999999999</v>
      </c>
      <c r="AK1190" s="315">
        <v>1.8295999999999999</v>
      </c>
      <c r="AL1190" s="315">
        <v>1.9799</v>
      </c>
      <c r="AM1190" s="315">
        <v>2.1036999999999999</v>
      </c>
      <c r="AN1190" s="315">
        <v>1.9036</v>
      </c>
      <c r="AO1190" s="315">
        <v>1.9751000000000001</v>
      </c>
      <c r="AP1190" s="315">
        <v>2.1797</v>
      </c>
      <c r="AQ1190" s="315">
        <v>1.917</v>
      </c>
      <c r="AR1190" s="315">
        <v>1.9325000000000001</v>
      </c>
      <c r="AS1190" s="315">
        <v>1.5424</v>
      </c>
      <c r="AT1190" s="315">
        <v>2.1152000000000002</v>
      </c>
      <c r="AU1190" s="315">
        <v>2.2536999999999998</v>
      </c>
      <c r="AV1190" s="315">
        <v>2.1781999999999999</v>
      </c>
      <c r="AW1190" s="315">
        <v>2.0341</v>
      </c>
      <c r="AX1190" s="315">
        <v>1.7974000000000001</v>
      </c>
      <c r="AY1190" s="315">
        <v>2.0331000000000001</v>
      </c>
      <c r="AZ1190" s="315">
        <v>1.9470000000000001</v>
      </c>
      <c r="BA1190" s="315">
        <v>1.6897</v>
      </c>
      <c r="BB1190" s="315">
        <v>1.5142</v>
      </c>
      <c r="BC1190" s="315">
        <v>2.1602000000000001</v>
      </c>
      <c r="BD1190" s="315">
        <v>2.2898000000000001</v>
      </c>
      <c r="BE1190" s="315">
        <v>2.2532999999999999</v>
      </c>
      <c r="BF1190" s="315">
        <v>2.0114999999999998</v>
      </c>
      <c r="BG1190" s="315">
        <v>2.294</v>
      </c>
      <c r="BH1190" s="315">
        <v>2.0733000000000001</v>
      </c>
      <c r="BI1190" s="315">
        <v>2.2296999999999998</v>
      </c>
      <c r="BJ1190" s="315">
        <v>2.1657999999999999</v>
      </c>
      <c r="BK1190" s="315">
        <v>2.2820999999999998</v>
      </c>
    </row>
    <row r="1191" spans="1:63" x14ac:dyDescent="0.25">
      <c r="A1191" s="306">
        <v>561600</v>
      </c>
      <c r="B1191" s="315" t="s">
        <v>326</v>
      </c>
      <c r="C1191" s="315">
        <v>2.8025000000000002</v>
      </c>
      <c r="D1191" s="315">
        <v>1.722</v>
      </c>
      <c r="E1191" s="315">
        <v>1.9767999999999999</v>
      </c>
      <c r="F1191" s="315">
        <v>1.8010999999999999</v>
      </c>
      <c r="G1191" s="315">
        <v>2.0415999999999999</v>
      </c>
      <c r="H1191" s="315">
        <v>2.2858000000000001</v>
      </c>
      <c r="I1191" s="315">
        <v>2.2736000000000001</v>
      </c>
      <c r="J1191" s="315">
        <v>1.9879</v>
      </c>
      <c r="K1191" s="315">
        <v>1.3290999999999999</v>
      </c>
      <c r="L1191" s="315">
        <v>1.8222</v>
      </c>
      <c r="M1191" s="315">
        <v>2.1261999999999999</v>
      </c>
      <c r="N1191" s="315">
        <v>2.2566000000000002</v>
      </c>
      <c r="O1191" s="315">
        <v>1.9429000000000001</v>
      </c>
      <c r="P1191" s="315">
        <v>1.6868000000000001</v>
      </c>
      <c r="Q1191" s="315">
        <v>1.7128000000000001</v>
      </c>
      <c r="R1191" s="315">
        <v>2.3166000000000002</v>
      </c>
      <c r="S1191" s="315">
        <v>2.0246</v>
      </c>
      <c r="T1191" s="315">
        <v>1.7464</v>
      </c>
      <c r="U1191" s="315">
        <v>1.9974000000000001</v>
      </c>
      <c r="V1191" s="315">
        <v>1.8946000000000001</v>
      </c>
      <c r="W1191" s="315">
        <v>2.0943000000000001</v>
      </c>
      <c r="X1191" s="315">
        <v>2.0312999999999999</v>
      </c>
      <c r="Y1191" s="315">
        <v>1.9398</v>
      </c>
      <c r="Z1191" s="315">
        <v>2.1059000000000001</v>
      </c>
      <c r="AA1191" s="315">
        <v>2.1044999999999998</v>
      </c>
      <c r="AB1191" s="315">
        <v>2.1200999999999999</v>
      </c>
      <c r="AC1191" s="315">
        <v>1.7910999999999999</v>
      </c>
      <c r="AD1191" s="315">
        <v>1.7342</v>
      </c>
      <c r="AE1191" s="315">
        <v>2.0337999999999998</v>
      </c>
      <c r="AF1191" s="315">
        <v>1.5888</v>
      </c>
      <c r="AG1191" s="315">
        <v>1.6850000000000001</v>
      </c>
      <c r="AH1191" s="315">
        <v>1.9774</v>
      </c>
      <c r="AI1191" s="315">
        <v>2.1989000000000001</v>
      </c>
      <c r="AJ1191" s="315">
        <v>1.8046</v>
      </c>
      <c r="AK1191" s="315">
        <v>1.8486</v>
      </c>
      <c r="AL1191" s="315">
        <v>1.9617</v>
      </c>
      <c r="AM1191" s="315">
        <v>2.1918000000000002</v>
      </c>
      <c r="AN1191" s="315">
        <v>1.9629000000000001</v>
      </c>
      <c r="AO1191" s="315">
        <v>2.0297999999999998</v>
      </c>
      <c r="AP1191" s="315">
        <v>2.2328000000000001</v>
      </c>
      <c r="AQ1191" s="315">
        <v>1.9505999999999999</v>
      </c>
      <c r="AR1191" s="315">
        <v>2.036</v>
      </c>
      <c r="AS1191" s="315">
        <v>1.5939000000000001</v>
      </c>
      <c r="AT1191" s="315">
        <v>2.1661000000000001</v>
      </c>
      <c r="AU1191" s="315">
        <v>2.3277000000000001</v>
      </c>
      <c r="AV1191" s="315">
        <v>2.1951999999999998</v>
      </c>
      <c r="AW1191" s="315">
        <v>2.0543999999999998</v>
      </c>
      <c r="AX1191" s="315">
        <v>1.8218000000000001</v>
      </c>
      <c r="AY1191" s="315">
        <v>2.0926999999999998</v>
      </c>
      <c r="AZ1191" s="315">
        <v>2.0219</v>
      </c>
      <c r="BA1191" s="315">
        <v>1.7371000000000001</v>
      </c>
      <c r="BB1191" s="315">
        <v>1.5467</v>
      </c>
      <c r="BC1191" s="315">
        <v>2.2029000000000001</v>
      </c>
      <c r="BD1191" s="315">
        <v>2.2940999999999998</v>
      </c>
      <c r="BE1191" s="315">
        <v>2.3246000000000002</v>
      </c>
      <c r="BF1191" s="315">
        <v>2.0743</v>
      </c>
      <c r="BG1191" s="315">
        <v>2.3353999999999999</v>
      </c>
      <c r="BH1191" s="315">
        <v>2.1545000000000001</v>
      </c>
      <c r="BI1191" s="315">
        <v>2.3142</v>
      </c>
      <c r="BJ1191" s="315">
        <v>2.2058</v>
      </c>
      <c r="BK1191" s="315">
        <v>2.3096999999999999</v>
      </c>
    </row>
    <row r="1192" spans="1:63" x14ac:dyDescent="0.25">
      <c r="A1192" s="306">
        <v>561700</v>
      </c>
      <c r="B1192" s="315" t="s">
        <v>327</v>
      </c>
      <c r="C1192" s="315">
        <v>2.8378000000000001</v>
      </c>
      <c r="D1192" s="315">
        <v>1.8096000000000001</v>
      </c>
      <c r="E1192" s="315">
        <v>1.9301999999999999</v>
      </c>
      <c r="F1192" s="315">
        <v>1.7946</v>
      </c>
      <c r="G1192" s="315">
        <v>1.9605999999999999</v>
      </c>
      <c r="H1192" s="315">
        <v>2.3224</v>
      </c>
      <c r="I1192" s="315">
        <v>2.2593999999999999</v>
      </c>
      <c r="J1192" s="315">
        <v>1.9083000000000001</v>
      </c>
      <c r="K1192" s="315">
        <v>1.3561000000000001</v>
      </c>
      <c r="L1192" s="315">
        <v>1.8922000000000001</v>
      </c>
      <c r="M1192" s="315">
        <v>2.0440999999999998</v>
      </c>
      <c r="N1192" s="315">
        <v>2.1697000000000002</v>
      </c>
      <c r="O1192" s="315">
        <v>1.9799</v>
      </c>
      <c r="P1192" s="315">
        <v>1.6281000000000001</v>
      </c>
      <c r="Q1192" s="315">
        <v>1.6515</v>
      </c>
      <c r="R1192" s="315">
        <v>2.2961</v>
      </c>
      <c r="S1192" s="315">
        <v>2.0421999999999998</v>
      </c>
      <c r="T1192" s="315">
        <v>1.8587</v>
      </c>
      <c r="U1192" s="315">
        <v>1.9971000000000001</v>
      </c>
      <c r="V1192" s="315">
        <v>2.004</v>
      </c>
      <c r="W1192" s="315">
        <v>1.9938</v>
      </c>
      <c r="X1192" s="315">
        <v>1.9582999999999999</v>
      </c>
      <c r="Y1192" s="315">
        <v>1.8445</v>
      </c>
      <c r="Z1192" s="315">
        <v>2.0198</v>
      </c>
      <c r="AA1192" s="315">
        <v>2.0619000000000001</v>
      </c>
      <c r="AB1192" s="315">
        <v>2.0219999999999998</v>
      </c>
      <c r="AC1192" s="315">
        <v>1.8562000000000001</v>
      </c>
      <c r="AD1192" s="315">
        <v>1.8036000000000001</v>
      </c>
      <c r="AE1192" s="315">
        <v>1.9332</v>
      </c>
      <c r="AF1192" s="315">
        <v>1.6392</v>
      </c>
      <c r="AG1192" s="315">
        <v>1.6013999999999999</v>
      </c>
      <c r="AH1192" s="315">
        <v>1.903</v>
      </c>
      <c r="AI1192" s="315">
        <v>2.2172000000000001</v>
      </c>
      <c r="AJ1192" s="315">
        <v>1.8939999999999999</v>
      </c>
      <c r="AK1192" s="315">
        <v>1.7825</v>
      </c>
      <c r="AL1192" s="315">
        <v>1.8824000000000001</v>
      </c>
      <c r="AM1192" s="315">
        <v>2.1644999999999999</v>
      </c>
      <c r="AN1192" s="315">
        <v>2.0684</v>
      </c>
      <c r="AO1192" s="315">
        <v>1.9128000000000001</v>
      </c>
      <c r="AP1192" s="315">
        <v>2.2014999999999998</v>
      </c>
      <c r="AQ1192" s="315">
        <v>1.8695999999999999</v>
      </c>
      <c r="AR1192" s="315">
        <v>1.9819</v>
      </c>
      <c r="AS1192" s="315">
        <v>1.5245</v>
      </c>
      <c r="AT1192" s="315">
        <v>2.1092</v>
      </c>
      <c r="AU1192" s="315">
        <v>2.3997999999999999</v>
      </c>
      <c r="AV1192" s="315">
        <v>2.2315999999999998</v>
      </c>
      <c r="AW1192" s="315">
        <v>1.9916</v>
      </c>
      <c r="AX1192" s="315">
        <v>1.7412000000000001</v>
      </c>
      <c r="AY1192" s="315">
        <v>2.1046</v>
      </c>
      <c r="AZ1192" s="315">
        <v>1.9229000000000001</v>
      </c>
      <c r="BA1192" s="315">
        <v>1.7687999999999999</v>
      </c>
      <c r="BB1192" s="315">
        <v>1.6489</v>
      </c>
      <c r="BC1192" s="315">
        <v>2.0829</v>
      </c>
      <c r="BD1192" s="315">
        <v>2.2181999999999999</v>
      </c>
      <c r="BE1192" s="315">
        <v>2.2768999999999999</v>
      </c>
      <c r="BF1192" s="315">
        <v>2.0194000000000001</v>
      </c>
      <c r="BG1192" s="315">
        <v>2.2372999999999998</v>
      </c>
      <c r="BH1192" s="315">
        <v>2.1539999999999999</v>
      </c>
      <c r="BI1192" s="315">
        <v>2.3929999999999998</v>
      </c>
      <c r="BJ1192" s="315">
        <v>2.2305000000000001</v>
      </c>
      <c r="BK1192" s="315">
        <v>2.3426</v>
      </c>
    </row>
    <row r="1193" spans="1:63" x14ac:dyDescent="0.25">
      <c r="A1193" s="306">
        <v>561900</v>
      </c>
      <c r="B1193" s="315" t="s">
        <v>328</v>
      </c>
      <c r="C1193" s="315">
        <v>2.4876</v>
      </c>
      <c r="D1193" s="315">
        <v>1.5740000000000001</v>
      </c>
      <c r="E1193" s="315">
        <v>1.7908999999999999</v>
      </c>
      <c r="F1193" s="315">
        <v>1.6472</v>
      </c>
      <c r="G1193" s="315">
        <v>1.8539000000000001</v>
      </c>
      <c r="H1193" s="315">
        <v>2.0571999999999999</v>
      </c>
      <c r="I1193" s="315">
        <v>2.0358999999999998</v>
      </c>
      <c r="J1193" s="315">
        <v>1.8286</v>
      </c>
      <c r="K1193" s="315">
        <v>1.3626</v>
      </c>
      <c r="L1193" s="315">
        <v>1.6812</v>
      </c>
      <c r="M1193" s="315">
        <v>1.9222999999999999</v>
      </c>
      <c r="N1193" s="315">
        <v>2.0781000000000001</v>
      </c>
      <c r="O1193" s="315">
        <v>1.7565</v>
      </c>
      <c r="P1193" s="315">
        <v>1.5584</v>
      </c>
      <c r="Q1193" s="315">
        <v>1.5691999999999999</v>
      </c>
      <c r="R1193" s="315">
        <v>2.1095000000000002</v>
      </c>
      <c r="S1193" s="315">
        <v>1.8484</v>
      </c>
      <c r="T1193" s="315">
        <v>1.6326000000000001</v>
      </c>
      <c r="U1193" s="315">
        <v>1.8108</v>
      </c>
      <c r="V1193" s="315">
        <v>1.7184999999999999</v>
      </c>
      <c r="W1193" s="315">
        <v>1.9169</v>
      </c>
      <c r="X1193" s="315">
        <v>1.8742000000000001</v>
      </c>
      <c r="Y1193" s="315">
        <v>1.7536</v>
      </c>
      <c r="Z1193" s="315">
        <v>1.9188000000000001</v>
      </c>
      <c r="AA1193" s="315">
        <v>1.9061999999999999</v>
      </c>
      <c r="AB1193" s="315">
        <v>1.9286000000000001</v>
      </c>
      <c r="AC1193" s="315">
        <v>1.6262000000000001</v>
      </c>
      <c r="AD1193" s="315">
        <v>1.5916999999999999</v>
      </c>
      <c r="AE1193" s="315">
        <v>1.8519000000000001</v>
      </c>
      <c r="AF1193" s="315">
        <v>1.4529000000000001</v>
      </c>
      <c r="AG1193" s="315">
        <v>1.5462</v>
      </c>
      <c r="AH1193" s="315">
        <v>1.8177000000000001</v>
      </c>
      <c r="AI1193" s="315">
        <v>2.0226000000000002</v>
      </c>
      <c r="AJ1193" s="315">
        <v>1.6296999999999999</v>
      </c>
      <c r="AK1193" s="315">
        <v>1.708</v>
      </c>
      <c r="AL1193" s="315">
        <v>1.8151999999999999</v>
      </c>
      <c r="AM1193" s="315">
        <v>1.9859</v>
      </c>
      <c r="AN1193" s="315">
        <v>1.7813000000000001</v>
      </c>
      <c r="AO1193" s="315">
        <v>1.8364</v>
      </c>
      <c r="AP1193" s="315">
        <v>2.0247000000000002</v>
      </c>
      <c r="AQ1193" s="315">
        <v>1.7965</v>
      </c>
      <c r="AR1193" s="315">
        <v>1.8512</v>
      </c>
      <c r="AS1193" s="315">
        <v>1.4610000000000001</v>
      </c>
      <c r="AT1193" s="315">
        <v>1.9884999999999999</v>
      </c>
      <c r="AU1193" s="315">
        <v>2.0821999999999998</v>
      </c>
      <c r="AV1193" s="315">
        <v>2.0007999999999999</v>
      </c>
      <c r="AW1193" s="315">
        <v>1.8812</v>
      </c>
      <c r="AX1193" s="315">
        <v>1.6708000000000001</v>
      </c>
      <c r="AY1193" s="315">
        <v>1.8829</v>
      </c>
      <c r="AZ1193" s="315">
        <v>1.8277000000000001</v>
      </c>
      <c r="BA1193" s="315">
        <v>1.5987</v>
      </c>
      <c r="BB1193" s="315">
        <v>1.4256</v>
      </c>
      <c r="BC1193" s="315">
        <v>1.9943</v>
      </c>
      <c r="BD1193" s="315">
        <v>2.089</v>
      </c>
      <c r="BE1193" s="315">
        <v>2.1006</v>
      </c>
      <c r="BF1193" s="315">
        <v>1.8673999999999999</v>
      </c>
      <c r="BG1193" s="315">
        <v>2.1166</v>
      </c>
      <c r="BH1193" s="315">
        <v>1.9610000000000001</v>
      </c>
      <c r="BI1193" s="315">
        <v>2.0674000000000001</v>
      </c>
      <c r="BJ1193" s="315">
        <v>1.9886999999999999</v>
      </c>
      <c r="BK1193" s="315">
        <v>2.0733000000000001</v>
      </c>
    </row>
    <row r="1194" spans="1:63" x14ac:dyDescent="0.25">
      <c r="A1194" s="306">
        <v>562000</v>
      </c>
      <c r="B1194" s="315" t="s">
        <v>329</v>
      </c>
      <c r="C1194" s="315">
        <v>2.5402999999999998</v>
      </c>
      <c r="D1194" s="315">
        <v>1.6192</v>
      </c>
      <c r="E1194" s="315">
        <v>1.8561000000000001</v>
      </c>
      <c r="F1194" s="315">
        <v>1.7145999999999999</v>
      </c>
      <c r="G1194" s="315">
        <v>1.8974</v>
      </c>
      <c r="H1194" s="315">
        <v>2.0686</v>
      </c>
      <c r="I1194" s="315">
        <v>2.0758999999999999</v>
      </c>
      <c r="J1194" s="315">
        <v>1.9093</v>
      </c>
      <c r="K1194" s="315">
        <v>1.2697000000000001</v>
      </c>
      <c r="L1194" s="315">
        <v>1.7939000000000001</v>
      </c>
      <c r="M1194" s="315">
        <v>1.9154</v>
      </c>
      <c r="N1194" s="315">
        <v>2.0192999999999999</v>
      </c>
      <c r="O1194" s="315">
        <v>1.8019000000000001</v>
      </c>
      <c r="P1194" s="315">
        <v>1.5858000000000001</v>
      </c>
      <c r="Q1194" s="315">
        <v>1.6064000000000001</v>
      </c>
      <c r="R1194" s="315">
        <v>2.1425000000000001</v>
      </c>
      <c r="S1194" s="315">
        <v>1.9330000000000001</v>
      </c>
      <c r="T1194" s="315">
        <v>1.6869000000000001</v>
      </c>
      <c r="U1194" s="315">
        <v>1.9036999999999999</v>
      </c>
      <c r="V1194" s="315">
        <v>1.8101</v>
      </c>
      <c r="W1194" s="315">
        <v>1.9404999999999999</v>
      </c>
      <c r="X1194" s="315">
        <v>1.9034</v>
      </c>
      <c r="Y1194" s="315">
        <v>1.8259000000000001</v>
      </c>
      <c r="Z1194" s="315">
        <v>1.9678</v>
      </c>
      <c r="AA1194" s="315">
        <v>1.8989</v>
      </c>
      <c r="AB1194" s="315">
        <v>1.9637</v>
      </c>
      <c r="AC1194" s="315">
        <v>1.7038</v>
      </c>
      <c r="AD1194" s="315">
        <v>1.5891</v>
      </c>
      <c r="AE1194" s="315">
        <v>1.8320000000000001</v>
      </c>
      <c r="AF1194" s="315">
        <v>1.4641</v>
      </c>
      <c r="AG1194" s="315">
        <v>1.5775999999999999</v>
      </c>
      <c r="AH1194" s="315">
        <v>1.8976</v>
      </c>
      <c r="AI1194" s="315">
        <v>2.1021000000000001</v>
      </c>
      <c r="AJ1194" s="315">
        <v>1.7033</v>
      </c>
      <c r="AK1194" s="315">
        <v>1.7630999999999999</v>
      </c>
      <c r="AL1194" s="315">
        <v>1.8564000000000001</v>
      </c>
      <c r="AM1194" s="315">
        <v>2.0857999999999999</v>
      </c>
      <c r="AN1194" s="315">
        <v>1.8393999999999999</v>
      </c>
      <c r="AO1194" s="315">
        <v>1.9080999999999999</v>
      </c>
      <c r="AP1194" s="315">
        <v>2.1008</v>
      </c>
      <c r="AQ1194" s="315">
        <v>1.8571</v>
      </c>
      <c r="AR1194" s="315">
        <v>1.964</v>
      </c>
      <c r="AS1194" s="315">
        <v>1.4622999999999999</v>
      </c>
      <c r="AT1194" s="315">
        <v>2.0644</v>
      </c>
      <c r="AU1194" s="315">
        <v>2.1299000000000001</v>
      </c>
      <c r="AV1194" s="315">
        <v>2.0520999999999998</v>
      </c>
      <c r="AW1194" s="315">
        <v>1.9463999999999999</v>
      </c>
      <c r="AX1194" s="315">
        <v>1.7003999999999999</v>
      </c>
      <c r="AY1194" s="315">
        <v>1.9360999999999999</v>
      </c>
      <c r="AZ1194" s="315">
        <v>1.8703000000000001</v>
      </c>
      <c r="BA1194" s="315">
        <v>1.6933</v>
      </c>
      <c r="BB1194" s="315">
        <v>1.4955000000000001</v>
      </c>
      <c r="BC1194" s="315">
        <v>2.0236000000000001</v>
      </c>
      <c r="BD1194" s="315">
        <v>2.1179999999999999</v>
      </c>
      <c r="BE1194" s="315">
        <v>2.1585999999999999</v>
      </c>
      <c r="BF1194" s="315">
        <v>1.8885000000000001</v>
      </c>
      <c r="BG1194" s="315">
        <v>2.1097000000000001</v>
      </c>
      <c r="BH1194" s="315">
        <v>2.0415000000000001</v>
      </c>
      <c r="BI1194" s="315">
        <v>2.1252</v>
      </c>
      <c r="BJ1194" s="315">
        <v>2.0264000000000002</v>
      </c>
      <c r="BK1194" s="315">
        <v>2.1017999999999999</v>
      </c>
    </row>
    <row r="1195" spans="1:63" x14ac:dyDescent="0.25">
      <c r="A1195" s="306">
        <v>611100</v>
      </c>
      <c r="B1195" s="315" t="s">
        <v>772</v>
      </c>
      <c r="C1195" s="315">
        <v>2.8477999999999999</v>
      </c>
      <c r="D1195" s="315">
        <v>1.7791999999999999</v>
      </c>
      <c r="E1195" s="315">
        <v>1.9913000000000001</v>
      </c>
      <c r="F1195" s="315">
        <v>1.8159000000000001</v>
      </c>
      <c r="G1195" s="315">
        <v>2.0969000000000002</v>
      </c>
      <c r="H1195" s="315">
        <v>2.3477999999999999</v>
      </c>
      <c r="I1195" s="315">
        <v>2.3111999999999999</v>
      </c>
      <c r="J1195" s="315">
        <v>2.0135999999999998</v>
      </c>
      <c r="K1195" s="315">
        <v>1.4133</v>
      </c>
      <c r="L1195" s="315">
        <v>1.8776999999999999</v>
      </c>
      <c r="M1195" s="315">
        <v>2.1764999999999999</v>
      </c>
      <c r="N1195" s="315">
        <v>2.2768999999999999</v>
      </c>
      <c r="O1195" s="315">
        <v>2.0095000000000001</v>
      </c>
      <c r="P1195" s="315">
        <v>1.6878</v>
      </c>
      <c r="Q1195" s="315">
        <v>1.7504</v>
      </c>
      <c r="R1195" s="315">
        <v>2.3534000000000002</v>
      </c>
      <c r="S1195" s="315">
        <v>2.0341</v>
      </c>
      <c r="T1195" s="315">
        <v>1.7837000000000001</v>
      </c>
      <c r="U1195" s="315">
        <v>1.9826999999999999</v>
      </c>
      <c r="V1195" s="315">
        <v>1.9086000000000001</v>
      </c>
      <c r="W1195" s="315">
        <v>2.1440999999999999</v>
      </c>
      <c r="X1195" s="315">
        <v>2.0863999999999998</v>
      </c>
      <c r="Y1195" s="315">
        <v>1.9283999999999999</v>
      </c>
      <c r="Z1195" s="315">
        <v>2.0669</v>
      </c>
      <c r="AA1195" s="315">
        <v>2.1467999999999998</v>
      </c>
      <c r="AB1195" s="315">
        <v>2.1615000000000002</v>
      </c>
      <c r="AC1195" s="315">
        <v>1.8163</v>
      </c>
      <c r="AD1195" s="315">
        <v>1.7613000000000001</v>
      </c>
      <c r="AE1195" s="315">
        <v>2.0387</v>
      </c>
      <c r="AF1195" s="315">
        <v>1.5920000000000001</v>
      </c>
      <c r="AG1195" s="315">
        <v>1.6559999999999999</v>
      </c>
      <c r="AH1195" s="315">
        <v>1.9856</v>
      </c>
      <c r="AI1195" s="315">
        <v>2.2248999999999999</v>
      </c>
      <c r="AJ1195" s="315">
        <v>1.8210999999999999</v>
      </c>
      <c r="AK1195" s="315">
        <v>1.9595</v>
      </c>
      <c r="AL1195" s="315">
        <v>2.0503</v>
      </c>
      <c r="AM1195" s="315">
        <v>2.1855000000000002</v>
      </c>
      <c r="AN1195" s="315">
        <v>1.9736</v>
      </c>
      <c r="AO1195" s="315">
        <v>2.0697000000000001</v>
      </c>
      <c r="AP1195" s="315">
        <v>2.2503000000000002</v>
      </c>
      <c r="AQ1195" s="315">
        <v>1.9565999999999999</v>
      </c>
      <c r="AR1195" s="315">
        <v>2.1097999999999999</v>
      </c>
      <c r="AS1195" s="315">
        <v>1.5813999999999999</v>
      </c>
      <c r="AT1195" s="315">
        <v>2.2324000000000002</v>
      </c>
      <c r="AU1195" s="315">
        <v>2.3822999999999999</v>
      </c>
      <c r="AV1195" s="315">
        <v>2.2669000000000001</v>
      </c>
      <c r="AW1195" s="315">
        <v>2.1103999999999998</v>
      </c>
      <c r="AX1195" s="315">
        <v>1.8614999999999999</v>
      </c>
      <c r="AY1195" s="315">
        <v>2.1514000000000002</v>
      </c>
      <c r="AZ1195" s="315">
        <v>2.0141</v>
      </c>
      <c r="BA1195" s="315">
        <v>1.7407999999999999</v>
      </c>
      <c r="BB1195" s="315">
        <v>1.6001000000000001</v>
      </c>
      <c r="BC1195" s="315">
        <v>2.2286999999999999</v>
      </c>
      <c r="BD1195" s="315">
        <v>2.3437000000000001</v>
      </c>
      <c r="BE1195" s="315">
        <v>2.3155000000000001</v>
      </c>
      <c r="BF1195" s="315">
        <v>2.0646</v>
      </c>
      <c r="BG1195" s="315">
        <v>2.3479000000000001</v>
      </c>
      <c r="BH1195" s="315">
        <v>2.1922999999999999</v>
      </c>
      <c r="BI1195" s="315">
        <v>2.3868</v>
      </c>
      <c r="BJ1195" s="315">
        <v>2.2766000000000002</v>
      </c>
      <c r="BK1195" s="315">
        <v>2.3774000000000002</v>
      </c>
    </row>
    <row r="1196" spans="1:63" x14ac:dyDescent="0.25">
      <c r="A1196" s="306" t="s">
        <v>773</v>
      </c>
      <c r="B1196" s="315" t="s">
        <v>774</v>
      </c>
      <c r="C1196" s="315">
        <v>2.9714999999999998</v>
      </c>
      <c r="D1196" s="315">
        <v>1.8559000000000001</v>
      </c>
      <c r="E1196" s="315">
        <v>2.0703</v>
      </c>
      <c r="F1196" s="315">
        <v>1.9136</v>
      </c>
      <c r="G1196" s="315">
        <v>2.1164999999999998</v>
      </c>
      <c r="H1196" s="315">
        <v>2.3929</v>
      </c>
      <c r="I1196" s="315">
        <v>2.4049999999999998</v>
      </c>
      <c r="J1196" s="315">
        <v>2.0440999999999998</v>
      </c>
      <c r="K1196" s="315">
        <v>1.4136</v>
      </c>
      <c r="L1196" s="315">
        <v>1.9018999999999999</v>
      </c>
      <c r="M1196" s="315">
        <v>2.1520999999999999</v>
      </c>
      <c r="N1196" s="315">
        <v>2.3007</v>
      </c>
      <c r="O1196" s="315">
        <v>2.0714000000000001</v>
      </c>
      <c r="P1196" s="315">
        <v>1.7556</v>
      </c>
      <c r="Q1196" s="315">
        <v>1.8219000000000001</v>
      </c>
      <c r="R1196" s="315">
        <v>2.4007000000000001</v>
      </c>
      <c r="S1196" s="315">
        <v>2.1012</v>
      </c>
      <c r="T1196" s="315">
        <v>1.8740000000000001</v>
      </c>
      <c r="U1196" s="315">
        <v>2.0781999999999998</v>
      </c>
      <c r="V1196" s="315">
        <v>1.9824999999999999</v>
      </c>
      <c r="W1196" s="315">
        <v>2.1758000000000002</v>
      </c>
      <c r="X1196" s="315">
        <v>2.0945</v>
      </c>
      <c r="Y1196" s="315">
        <v>1.9741</v>
      </c>
      <c r="Z1196" s="315">
        <v>2.1496</v>
      </c>
      <c r="AA1196" s="315">
        <v>2.2004999999999999</v>
      </c>
      <c r="AB1196" s="315">
        <v>2.2804000000000002</v>
      </c>
      <c r="AC1196" s="315">
        <v>1.8628</v>
      </c>
      <c r="AD1196" s="315">
        <v>1.8531</v>
      </c>
      <c r="AE1196" s="315">
        <v>2.0802999999999998</v>
      </c>
      <c r="AF1196" s="315">
        <v>1.6893</v>
      </c>
      <c r="AG1196" s="315">
        <v>1.7535000000000001</v>
      </c>
      <c r="AH1196" s="315">
        <v>1.9901</v>
      </c>
      <c r="AI1196" s="315">
        <v>2.2793999999999999</v>
      </c>
      <c r="AJ1196" s="315">
        <v>1.9097999999999999</v>
      </c>
      <c r="AK1196" s="315">
        <v>1.9641</v>
      </c>
      <c r="AL1196" s="315">
        <v>2.0640000000000001</v>
      </c>
      <c r="AM1196" s="315">
        <v>2.2839</v>
      </c>
      <c r="AN1196" s="315">
        <v>2.0727000000000002</v>
      </c>
      <c r="AO1196" s="315">
        <v>2.1263999999999998</v>
      </c>
      <c r="AP1196" s="315">
        <v>2.3622000000000001</v>
      </c>
      <c r="AQ1196" s="315">
        <v>1.9420999999999999</v>
      </c>
      <c r="AR1196" s="315">
        <v>2.1269</v>
      </c>
      <c r="AS1196" s="315">
        <v>1.6588000000000001</v>
      </c>
      <c r="AT1196" s="315">
        <v>2.2751999999999999</v>
      </c>
      <c r="AU1196" s="315">
        <v>2.464</v>
      </c>
      <c r="AV1196" s="315">
        <v>2.3531</v>
      </c>
      <c r="AW1196" s="315">
        <v>2.1836000000000002</v>
      </c>
      <c r="AX1196" s="315">
        <v>1.8979999999999999</v>
      </c>
      <c r="AY1196" s="315">
        <v>2.2233000000000001</v>
      </c>
      <c r="AZ1196" s="315">
        <v>2.0773999999999999</v>
      </c>
      <c r="BA1196" s="315">
        <v>1.833</v>
      </c>
      <c r="BB1196" s="315">
        <v>1.6489</v>
      </c>
      <c r="BC1196" s="315">
        <v>2.2673999999999999</v>
      </c>
      <c r="BD1196" s="315">
        <v>2.3948999999999998</v>
      </c>
      <c r="BE1196" s="315">
        <v>2.3961000000000001</v>
      </c>
      <c r="BF1196" s="315">
        <v>2.1762000000000001</v>
      </c>
      <c r="BG1196" s="315">
        <v>2.4032</v>
      </c>
      <c r="BH1196" s="315">
        <v>2.2522000000000002</v>
      </c>
      <c r="BI1196" s="315">
        <v>2.4601999999999999</v>
      </c>
      <c r="BJ1196" s="315">
        <v>2.3721000000000001</v>
      </c>
      <c r="BK1196" s="315">
        <v>2.4306999999999999</v>
      </c>
    </row>
    <row r="1197" spans="1:63" x14ac:dyDescent="0.25">
      <c r="A1197" s="306" t="s">
        <v>775</v>
      </c>
      <c r="B1197" s="315" t="s">
        <v>776</v>
      </c>
      <c r="C1197" s="315">
        <v>2.5924999999999998</v>
      </c>
      <c r="D1197" s="315">
        <v>1.6259999999999999</v>
      </c>
      <c r="E1197" s="315">
        <v>1.8194999999999999</v>
      </c>
      <c r="F1197" s="315">
        <v>1.6887000000000001</v>
      </c>
      <c r="G1197" s="315">
        <v>1.9137</v>
      </c>
      <c r="H1197" s="315">
        <v>2.1486000000000001</v>
      </c>
      <c r="I1197" s="315">
        <v>2.1332</v>
      </c>
      <c r="J1197" s="315">
        <v>1.9191</v>
      </c>
      <c r="K1197" s="315">
        <v>1.4174</v>
      </c>
      <c r="L1197" s="315">
        <v>1.7648999999999999</v>
      </c>
      <c r="M1197" s="315">
        <v>2.0005000000000002</v>
      </c>
      <c r="N1197" s="315">
        <v>2.1326999999999998</v>
      </c>
      <c r="O1197" s="315">
        <v>1.8315999999999999</v>
      </c>
      <c r="P1197" s="315">
        <v>1.6071</v>
      </c>
      <c r="Q1197" s="315">
        <v>1.6103000000000001</v>
      </c>
      <c r="R1197" s="315">
        <v>2.1949000000000001</v>
      </c>
      <c r="S1197" s="315">
        <v>1.8711</v>
      </c>
      <c r="T1197" s="315">
        <v>1.7145999999999999</v>
      </c>
      <c r="U1197" s="315">
        <v>1.8496999999999999</v>
      </c>
      <c r="V1197" s="315">
        <v>1.7613000000000001</v>
      </c>
      <c r="W1197" s="315">
        <v>2.0305</v>
      </c>
      <c r="X1197" s="315">
        <v>1.9601</v>
      </c>
      <c r="Y1197" s="315">
        <v>1.8176000000000001</v>
      </c>
      <c r="Z1197" s="315">
        <v>1.9595</v>
      </c>
      <c r="AA1197" s="315">
        <v>1.98</v>
      </c>
      <c r="AB1197" s="315">
        <v>2.0057</v>
      </c>
      <c r="AC1197" s="315">
        <v>1.6518999999999999</v>
      </c>
      <c r="AD1197" s="315">
        <v>1.6375</v>
      </c>
      <c r="AE1197" s="315">
        <v>1.9007000000000001</v>
      </c>
      <c r="AF1197" s="315">
        <v>1.4972000000000001</v>
      </c>
      <c r="AG1197" s="315">
        <v>1.5931999999999999</v>
      </c>
      <c r="AH1197" s="315">
        <v>1.8723000000000001</v>
      </c>
      <c r="AI1197" s="315">
        <v>2.1074999999999999</v>
      </c>
      <c r="AJ1197" s="315">
        <v>1.6751</v>
      </c>
      <c r="AK1197" s="315">
        <v>1.7475000000000001</v>
      </c>
      <c r="AL1197" s="315">
        <v>1.9179999999999999</v>
      </c>
      <c r="AM1197" s="315">
        <v>2.0497000000000001</v>
      </c>
      <c r="AN1197" s="315">
        <v>1.8252999999999999</v>
      </c>
      <c r="AO1197" s="315">
        <v>1.9036</v>
      </c>
      <c r="AP1197" s="315">
        <v>2.1027999999999998</v>
      </c>
      <c r="AQ1197" s="315">
        <v>1.8548</v>
      </c>
      <c r="AR1197" s="315">
        <v>1.9087000000000001</v>
      </c>
      <c r="AS1197" s="315">
        <v>1.4863999999999999</v>
      </c>
      <c r="AT1197" s="315">
        <v>2.0417000000000001</v>
      </c>
      <c r="AU1197" s="315">
        <v>2.1680000000000001</v>
      </c>
      <c r="AV1197" s="315">
        <v>2.0691999999999999</v>
      </c>
      <c r="AW1197" s="315">
        <v>1.9835</v>
      </c>
      <c r="AX1197" s="315">
        <v>1.7306999999999999</v>
      </c>
      <c r="AY1197" s="315">
        <v>1.9742</v>
      </c>
      <c r="AZ1197" s="315">
        <v>1.8784000000000001</v>
      </c>
      <c r="BA1197" s="315">
        <v>1.6237999999999999</v>
      </c>
      <c r="BB1197" s="315">
        <v>1.4652000000000001</v>
      </c>
      <c r="BC1197" s="315">
        <v>2.0992000000000002</v>
      </c>
      <c r="BD1197" s="315">
        <v>2.1913999999999998</v>
      </c>
      <c r="BE1197" s="315">
        <v>2.1593</v>
      </c>
      <c r="BF1197" s="315">
        <v>1.9380999999999999</v>
      </c>
      <c r="BG1197" s="315">
        <v>2.1837</v>
      </c>
      <c r="BH1197" s="315">
        <v>1.9854000000000001</v>
      </c>
      <c r="BI1197" s="315">
        <v>2.1511</v>
      </c>
      <c r="BJ1197" s="315">
        <v>2.0594999999999999</v>
      </c>
      <c r="BK1197" s="315">
        <v>2.1678000000000002</v>
      </c>
    </row>
    <row r="1198" spans="1:63" x14ac:dyDescent="0.25">
      <c r="A1198" s="306">
        <v>621600</v>
      </c>
      <c r="B1198" s="315" t="s">
        <v>331</v>
      </c>
      <c r="C1198" s="315">
        <v>2.8778999999999999</v>
      </c>
      <c r="D1198" s="315">
        <v>1.7605</v>
      </c>
      <c r="E1198" s="315">
        <v>2.0234999999999999</v>
      </c>
      <c r="F1198" s="315">
        <v>1.8683000000000001</v>
      </c>
      <c r="G1198" s="315">
        <v>2.0914000000000001</v>
      </c>
      <c r="H1198" s="315">
        <v>2.3433999999999999</v>
      </c>
      <c r="I1198" s="315">
        <v>2.3077000000000001</v>
      </c>
      <c r="J1198" s="315">
        <v>2.0710000000000002</v>
      </c>
      <c r="K1198" s="315">
        <v>1.2846</v>
      </c>
      <c r="L1198" s="315">
        <v>1.9025000000000001</v>
      </c>
      <c r="M1198" s="315">
        <v>2.1718000000000002</v>
      </c>
      <c r="N1198" s="315">
        <v>2.2989000000000002</v>
      </c>
      <c r="O1198" s="315">
        <v>1.9947999999999999</v>
      </c>
      <c r="P1198" s="315">
        <v>1.7258</v>
      </c>
      <c r="Q1198" s="315">
        <v>1.7576000000000001</v>
      </c>
      <c r="R1198" s="315">
        <v>2.3805999999999998</v>
      </c>
      <c r="S1198" s="315">
        <v>2.0914000000000001</v>
      </c>
      <c r="T1198" s="315">
        <v>1.8239000000000001</v>
      </c>
      <c r="U1198" s="315">
        <v>2.0440999999999998</v>
      </c>
      <c r="V1198" s="315">
        <v>1.9632000000000001</v>
      </c>
      <c r="W1198" s="315">
        <v>2.1684999999999999</v>
      </c>
      <c r="X1198" s="315">
        <v>2.0609999999999999</v>
      </c>
      <c r="Y1198" s="315">
        <v>2.0059</v>
      </c>
      <c r="Z1198" s="315">
        <v>2.1816</v>
      </c>
      <c r="AA1198" s="315">
        <v>2.1280999999999999</v>
      </c>
      <c r="AB1198" s="315">
        <v>2.1577000000000002</v>
      </c>
      <c r="AC1198" s="315">
        <v>1.8568</v>
      </c>
      <c r="AD1198" s="315">
        <v>1.7735000000000001</v>
      </c>
      <c r="AE1198" s="315">
        <v>2.1120999999999999</v>
      </c>
      <c r="AF1198" s="315">
        <v>1.6213</v>
      </c>
      <c r="AG1198" s="315">
        <v>1.7135</v>
      </c>
      <c r="AH1198" s="315">
        <v>2.0366</v>
      </c>
      <c r="AI1198" s="315">
        <v>2.2831999999999999</v>
      </c>
      <c r="AJ1198" s="315">
        <v>1.8549</v>
      </c>
      <c r="AK1198" s="315">
        <v>1.9147000000000001</v>
      </c>
      <c r="AL1198" s="315">
        <v>2.0240999999999998</v>
      </c>
      <c r="AM1198" s="315">
        <v>2.2534000000000001</v>
      </c>
      <c r="AN1198" s="315">
        <v>2.0150000000000001</v>
      </c>
      <c r="AO1198" s="315">
        <v>2.0594999999999999</v>
      </c>
      <c r="AP1198" s="315">
        <v>2.2965</v>
      </c>
      <c r="AQ1198" s="315">
        <v>2.0129000000000001</v>
      </c>
      <c r="AR1198" s="315">
        <v>2.1414</v>
      </c>
      <c r="AS1198" s="315">
        <v>1.6238999999999999</v>
      </c>
      <c r="AT1198" s="315">
        <v>2.2536999999999998</v>
      </c>
      <c r="AU1198" s="315">
        <v>2.3679999999999999</v>
      </c>
      <c r="AV1198" s="315">
        <v>2.27</v>
      </c>
      <c r="AW1198" s="315">
        <v>2.1116000000000001</v>
      </c>
      <c r="AX1198" s="315">
        <v>1.8162</v>
      </c>
      <c r="AY1198" s="315">
        <v>2.1383999999999999</v>
      </c>
      <c r="AZ1198" s="315">
        <v>2.0666000000000002</v>
      </c>
      <c r="BA1198" s="315">
        <v>1.8084</v>
      </c>
      <c r="BB1198" s="315">
        <v>1.5947</v>
      </c>
      <c r="BC1198" s="315">
        <v>2.2766999999999999</v>
      </c>
      <c r="BD1198" s="315">
        <v>2.3573</v>
      </c>
      <c r="BE1198" s="315">
        <v>2.3986999999999998</v>
      </c>
      <c r="BF1198" s="315">
        <v>2.1092</v>
      </c>
      <c r="BG1198" s="315">
        <v>2.3824999999999998</v>
      </c>
      <c r="BH1198" s="315">
        <v>2.2128000000000001</v>
      </c>
      <c r="BI1198" s="315">
        <v>2.3618000000000001</v>
      </c>
      <c r="BJ1198" s="315">
        <v>2.2502</v>
      </c>
      <c r="BK1198" s="315">
        <v>2.3673999999999999</v>
      </c>
    </row>
    <row r="1199" spans="1:63" x14ac:dyDescent="0.25">
      <c r="A1199" s="306" t="s">
        <v>777</v>
      </c>
      <c r="B1199" s="315" t="s">
        <v>330</v>
      </c>
      <c r="C1199" s="315">
        <v>2.8915999999999999</v>
      </c>
      <c r="D1199" s="315">
        <v>1.7594000000000001</v>
      </c>
      <c r="E1199" s="315">
        <v>2.0240999999999998</v>
      </c>
      <c r="F1199" s="315">
        <v>1.8349</v>
      </c>
      <c r="G1199" s="315">
        <v>2.0994999999999999</v>
      </c>
      <c r="H1199" s="315">
        <v>2.3639000000000001</v>
      </c>
      <c r="I1199" s="315">
        <v>2.3271999999999999</v>
      </c>
      <c r="J1199" s="315">
        <v>2.0851999999999999</v>
      </c>
      <c r="K1199" s="315">
        <v>1.3163</v>
      </c>
      <c r="L1199" s="315">
        <v>1.9056</v>
      </c>
      <c r="M1199" s="315">
        <v>2.1947999999999999</v>
      </c>
      <c r="N1199" s="315">
        <v>2.31</v>
      </c>
      <c r="O1199" s="315">
        <v>1.9783999999999999</v>
      </c>
      <c r="P1199" s="315">
        <v>1.7299</v>
      </c>
      <c r="Q1199" s="315">
        <v>1.7439</v>
      </c>
      <c r="R1199" s="315">
        <v>2.3818999999999999</v>
      </c>
      <c r="S1199" s="315">
        <v>2.1017999999999999</v>
      </c>
      <c r="T1199" s="315">
        <v>1.8307</v>
      </c>
      <c r="U1199" s="315">
        <v>2.0446</v>
      </c>
      <c r="V1199" s="315">
        <v>1.9384999999999999</v>
      </c>
      <c r="W1199" s="315">
        <v>2.1997</v>
      </c>
      <c r="X1199" s="315">
        <v>2.0745</v>
      </c>
      <c r="Y1199" s="315">
        <v>2.0387</v>
      </c>
      <c r="Z1199" s="315">
        <v>2.1793999999999998</v>
      </c>
      <c r="AA1199" s="315">
        <v>2.1562999999999999</v>
      </c>
      <c r="AB1199" s="315">
        <v>2.1636000000000002</v>
      </c>
      <c r="AC1199" s="315">
        <v>1.8288</v>
      </c>
      <c r="AD1199" s="315">
        <v>1.7923</v>
      </c>
      <c r="AE1199" s="315">
        <v>2.0992000000000002</v>
      </c>
      <c r="AF1199" s="315">
        <v>1.6164000000000001</v>
      </c>
      <c r="AG1199" s="315">
        <v>1.7271000000000001</v>
      </c>
      <c r="AH1199" s="315">
        <v>2.0421</v>
      </c>
      <c r="AI1199" s="315">
        <v>2.3161999999999998</v>
      </c>
      <c r="AJ1199" s="315">
        <v>1.8504</v>
      </c>
      <c r="AK1199" s="315">
        <v>1.8931</v>
      </c>
      <c r="AL1199" s="315">
        <v>2.0428000000000002</v>
      </c>
      <c r="AM1199" s="315">
        <v>2.2479</v>
      </c>
      <c r="AN1199" s="315">
        <v>1.9979</v>
      </c>
      <c r="AO1199" s="315">
        <v>2.0604</v>
      </c>
      <c r="AP1199" s="315">
        <v>2.3197999999999999</v>
      </c>
      <c r="AQ1199" s="315">
        <v>2.0251999999999999</v>
      </c>
      <c r="AR1199" s="315">
        <v>2.1406999999999998</v>
      </c>
      <c r="AS1199" s="315">
        <v>1.6261000000000001</v>
      </c>
      <c r="AT1199" s="315">
        <v>2.2530999999999999</v>
      </c>
      <c r="AU1199" s="315">
        <v>2.3588</v>
      </c>
      <c r="AV1199" s="315">
        <v>2.2757999999999998</v>
      </c>
      <c r="AW1199" s="315">
        <v>2.1086</v>
      </c>
      <c r="AX1199" s="315">
        <v>1.8532999999999999</v>
      </c>
      <c r="AY1199" s="315">
        <v>2.1349999999999998</v>
      </c>
      <c r="AZ1199" s="315">
        <v>2.0724999999999998</v>
      </c>
      <c r="BA1199" s="315">
        <v>1.8181</v>
      </c>
      <c r="BB1199" s="315">
        <v>1.5860000000000001</v>
      </c>
      <c r="BC1199" s="315">
        <v>2.3058999999999998</v>
      </c>
      <c r="BD1199" s="315">
        <v>2.3946999999999998</v>
      </c>
      <c r="BE1199" s="315">
        <v>2.4123000000000001</v>
      </c>
      <c r="BF1199" s="315">
        <v>2.1251000000000002</v>
      </c>
      <c r="BG1199" s="315">
        <v>2.3954</v>
      </c>
      <c r="BH1199" s="315">
        <v>2.2107999999999999</v>
      </c>
      <c r="BI1199" s="315">
        <v>2.3450000000000002</v>
      </c>
      <c r="BJ1199" s="315">
        <v>2.2551999999999999</v>
      </c>
      <c r="BK1199" s="315">
        <v>2.3864999999999998</v>
      </c>
    </row>
    <row r="1200" spans="1:63" x14ac:dyDescent="0.25">
      <c r="A1200" s="306" t="s">
        <v>778</v>
      </c>
      <c r="B1200" s="315" t="s">
        <v>332</v>
      </c>
      <c r="C1200" s="315">
        <v>2.9468000000000001</v>
      </c>
      <c r="D1200" s="315">
        <v>1.7790999999999999</v>
      </c>
      <c r="E1200" s="315">
        <v>2.0651999999999999</v>
      </c>
      <c r="F1200" s="315">
        <v>1.8804000000000001</v>
      </c>
      <c r="G1200" s="315">
        <v>2.1432000000000002</v>
      </c>
      <c r="H1200" s="315">
        <v>2.3866000000000001</v>
      </c>
      <c r="I1200" s="315">
        <v>2.3641000000000001</v>
      </c>
      <c r="J1200" s="315">
        <v>2.1261999999999999</v>
      </c>
      <c r="K1200" s="315">
        <v>1.3680000000000001</v>
      </c>
      <c r="L1200" s="315">
        <v>1.9516</v>
      </c>
      <c r="M1200" s="315">
        <v>2.2248000000000001</v>
      </c>
      <c r="N1200" s="315">
        <v>2.3723000000000001</v>
      </c>
      <c r="O1200" s="315">
        <v>2.0156999999999998</v>
      </c>
      <c r="P1200" s="315">
        <v>1.7314000000000001</v>
      </c>
      <c r="Q1200" s="315">
        <v>1.7593000000000001</v>
      </c>
      <c r="R1200" s="315">
        <v>2.4108000000000001</v>
      </c>
      <c r="S1200" s="315">
        <v>2.1316000000000002</v>
      </c>
      <c r="T1200" s="315">
        <v>1.8703000000000001</v>
      </c>
      <c r="U1200" s="315">
        <v>2.0914999999999999</v>
      </c>
      <c r="V1200" s="315">
        <v>2.0015999999999998</v>
      </c>
      <c r="W1200" s="315">
        <v>2.2387000000000001</v>
      </c>
      <c r="X1200" s="315">
        <v>2.133</v>
      </c>
      <c r="Y1200" s="315">
        <v>2.0577999999999999</v>
      </c>
      <c r="Z1200" s="315">
        <v>2.2149000000000001</v>
      </c>
      <c r="AA1200" s="315">
        <v>2.1894</v>
      </c>
      <c r="AB1200" s="315">
        <v>2.2138</v>
      </c>
      <c r="AC1200" s="315">
        <v>1.8585</v>
      </c>
      <c r="AD1200" s="315">
        <v>1.7942</v>
      </c>
      <c r="AE1200" s="315">
        <v>2.1413000000000002</v>
      </c>
      <c r="AF1200" s="315">
        <v>1.6034999999999999</v>
      </c>
      <c r="AG1200" s="315">
        <v>1.7607999999999999</v>
      </c>
      <c r="AH1200" s="315">
        <v>2.0979999999999999</v>
      </c>
      <c r="AI1200" s="315">
        <v>2.3660000000000001</v>
      </c>
      <c r="AJ1200" s="315">
        <v>1.8806</v>
      </c>
      <c r="AK1200" s="315">
        <v>1.9471000000000001</v>
      </c>
      <c r="AL1200" s="315">
        <v>2.0626000000000002</v>
      </c>
      <c r="AM1200" s="315">
        <v>2.3142</v>
      </c>
      <c r="AN1200" s="315">
        <v>2.0350000000000001</v>
      </c>
      <c r="AO1200" s="315">
        <v>2.1076999999999999</v>
      </c>
      <c r="AP1200" s="315">
        <v>2.3744999999999998</v>
      </c>
      <c r="AQ1200" s="315">
        <v>2.0607000000000002</v>
      </c>
      <c r="AR1200" s="315">
        <v>2.1831</v>
      </c>
      <c r="AS1200" s="315">
        <v>1.615</v>
      </c>
      <c r="AT1200" s="315">
        <v>2.2946</v>
      </c>
      <c r="AU1200" s="315">
        <v>2.4083999999999999</v>
      </c>
      <c r="AV1200" s="315">
        <v>2.2953000000000001</v>
      </c>
      <c r="AW1200" s="315">
        <v>2.1774</v>
      </c>
      <c r="AX1200" s="315">
        <v>1.8574999999999999</v>
      </c>
      <c r="AY1200" s="315">
        <v>2.1737000000000002</v>
      </c>
      <c r="AZ1200" s="315">
        <v>2.1120000000000001</v>
      </c>
      <c r="BA1200" s="315">
        <v>1.8411</v>
      </c>
      <c r="BB1200" s="315">
        <v>1.6033999999999999</v>
      </c>
      <c r="BC1200" s="315">
        <v>2.3451</v>
      </c>
      <c r="BD1200" s="315">
        <v>2.4344999999999999</v>
      </c>
      <c r="BE1200" s="315">
        <v>2.4588000000000001</v>
      </c>
      <c r="BF1200" s="315">
        <v>2.1573000000000002</v>
      </c>
      <c r="BG1200" s="315">
        <v>2.4504000000000001</v>
      </c>
      <c r="BH1200" s="315">
        <v>2.2530999999999999</v>
      </c>
      <c r="BI1200" s="315">
        <v>2.4039999999999999</v>
      </c>
      <c r="BJ1200" s="315">
        <v>2.2951999999999999</v>
      </c>
      <c r="BK1200" s="315">
        <v>2.4127999999999998</v>
      </c>
    </row>
    <row r="1201" spans="1:63" x14ac:dyDescent="0.25">
      <c r="A1201" s="306">
        <v>622000</v>
      </c>
      <c r="B1201" s="315" t="s">
        <v>779</v>
      </c>
      <c r="C1201" s="315">
        <v>2.8938000000000001</v>
      </c>
      <c r="D1201" s="315">
        <v>1.7088000000000001</v>
      </c>
      <c r="E1201" s="315">
        <v>1.9923</v>
      </c>
      <c r="F1201" s="315">
        <v>1.8487</v>
      </c>
      <c r="G1201" s="315">
        <v>2.0687000000000002</v>
      </c>
      <c r="H1201" s="315">
        <v>2.3420000000000001</v>
      </c>
      <c r="I1201" s="315">
        <v>2.3169</v>
      </c>
      <c r="J1201" s="315">
        <v>2.0617000000000001</v>
      </c>
      <c r="K1201" s="315">
        <v>1.3436999999999999</v>
      </c>
      <c r="L1201" s="315">
        <v>1.9111</v>
      </c>
      <c r="M1201" s="315">
        <v>2.1511</v>
      </c>
      <c r="N1201" s="315">
        <v>2.3069999999999999</v>
      </c>
      <c r="O1201" s="315">
        <v>1.9817</v>
      </c>
      <c r="P1201" s="315">
        <v>1.7</v>
      </c>
      <c r="Q1201" s="315">
        <v>1.7387999999999999</v>
      </c>
      <c r="R1201" s="315">
        <v>2.3662999999999998</v>
      </c>
      <c r="S1201" s="315">
        <v>2.0905999999999998</v>
      </c>
      <c r="T1201" s="315">
        <v>1.8124</v>
      </c>
      <c r="U1201" s="315">
        <v>2.0379</v>
      </c>
      <c r="V1201" s="315">
        <v>1.9072</v>
      </c>
      <c r="W1201" s="315">
        <v>2.2082000000000002</v>
      </c>
      <c r="X1201" s="315">
        <v>2.0811999999999999</v>
      </c>
      <c r="Y1201" s="315">
        <v>2.0070999999999999</v>
      </c>
      <c r="Z1201" s="315">
        <v>2.1423999999999999</v>
      </c>
      <c r="AA1201" s="315">
        <v>2.1924000000000001</v>
      </c>
      <c r="AB1201" s="315">
        <v>2.1623000000000001</v>
      </c>
      <c r="AC1201" s="315">
        <v>1.8097000000000001</v>
      </c>
      <c r="AD1201" s="315">
        <v>1.7194</v>
      </c>
      <c r="AE1201" s="315">
        <v>2.0935999999999999</v>
      </c>
      <c r="AF1201" s="315">
        <v>1.5739000000000001</v>
      </c>
      <c r="AG1201" s="315">
        <v>1.7363</v>
      </c>
      <c r="AH1201" s="315">
        <v>2.0024999999999999</v>
      </c>
      <c r="AI1201" s="315">
        <v>2.3043</v>
      </c>
      <c r="AJ1201" s="315">
        <v>1.7998000000000001</v>
      </c>
      <c r="AK1201" s="315">
        <v>1.9068000000000001</v>
      </c>
      <c r="AL1201" s="315">
        <v>2.0272000000000001</v>
      </c>
      <c r="AM1201" s="315">
        <v>2.2319</v>
      </c>
      <c r="AN1201" s="315">
        <v>1.9567000000000001</v>
      </c>
      <c r="AO1201" s="315">
        <v>2.0741000000000001</v>
      </c>
      <c r="AP1201" s="315">
        <v>2.3041</v>
      </c>
      <c r="AQ1201" s="315">
        <v>2.0299</v>
      </c>
      <c r="AR1201" s="315">
        <v>2.1225999999999998</v>
      </c>
      <c r="AS1201" s="315">
        <v>1.5911999999999999</v>
      </c>
      <c r="AT1201" s="315">
        <v>2.2204000000000002</v>
      </c>
      <c r="AU1201" s="315">
        <v>2.3321000000000001</v>
      </c>
      <c r="AV1201" s="315">
        <v>2.2688000000000001</v>
      </c>
      <c r="AW1201" s="315">
        <v>2.1314000000000002</v>
      </c>
      <c r="AX1201" s="315">
        <v>1.7754000000000001</v>
      </c>
      <c r="AY1201" s="315">
        <v>2.1358999999999999</v>
      </c>
      <c r="AZ1201" s="315">
        <v>2.0768</v>
      </c>
      <c r="BA1201" s="315">
        <v>1.7493000000000001</v>
      </c>
      <c r="BB1201" s="315">
        <v>1.5494000000000001</v>
      </c>
      <c r="BC1201" s="315">
        <v>2.2986</v>
      </c>
      <c r="BD1201" s="315">
        <v>2.3792</v>
      </c>
      <c r="BE1201" s="315">
        <v>2.3860999999999999</v>
      </c>
      <c r="BF1201" s="315">
        <v>2.1305999999999998</v>
      </c>
      <c r="BG1201" s="315">
        <v>2.3835999999999999</v>
      </c>
      <c r="BH1201" s="315">
        <v>2.1823000000000001</v>
      </c>
      <c r="BI1201" s="315">
        <v>2.3338000000000001</v>
      </c>
      <c r="BJ1201" s="315">
        <v>2.2471000000000001</v>
      </c>
      <c r="BK1201" s="315">
        <v>2.3732000000000002</v>
      </c>
    </row>
    <row r="1202" spans="1:63" x14ac:dyDescent="0.25">
      <c r="A1202" s="306">
        <v>623000</v>
      </c>
      <c r="B1202" s="315" t="s">
        <v>333</v>
      </c>
      <c r="C1202" s="315">
        <v>2.8128000000000002</v>
      </c>
      <c r="D1202" s="315">
        <v>1.7110000000000001</v>
      </c>
      <c r="E1202" s="315">
        <v>1.9881</v>
      </c>
      <c r="F1202" s="315">
        <v>1.84</v>
      </c>
      <c r="G1202" s="315">
        <v>2.0333000000000001</v>
      </c>
      <c r="H1202" s="315">
        <v>2.2610000000000001</v>
      </c>
      <c r="I1202" s="315">
        <v>2.2618</v>
      </c>
      <c r="J1202" s="315">
        <v>1.9823</v>
      </c>
      <c r="K1202" s="315">
        <v>1.3257000000000001</v>
      </c>
      <c r="L1202" s="315">
        <v>1.8817999999999999</v>
      </c>
      <c r="M1202" s="315">
        <v>2.105</v>
      </c>
      <c r="N1202" s="315">
        <v>2.2403</v>
      </c>
      <c r="O1202" s="315">
        <v>1.9454</v>
      </c>
      <c r="P1202" s="315">
        <v>1.7330000000000001</v>
      </c>
      <c r="Q1202" s="315">
        <v>1.7356</v>
      </c>
      <c r="R1202" s="315">
        <v>2.3088000000000002</v>
      </c>
      <c r="S1202" s="315">
        <v>2.0516000000000001</v>
      </c>
      <c r="T1202" s="315">
        <v>1.8012999999999999</v>
      </c>
      <c r="U1202" s="315">
        <v>2.0468999999999999</v>
      </c>
      <c r="V1202" s="315">
        <v>1.9092</v>
      </c>
      <c r="W1202" s="315">
        <v>2.0878000000000001</v>
      </c>
      <c r="X1202" s="315">
        <v>2.0150999999999999</v>
      </c>
      <c r="Y1202" s="315">
        <v>1.9642999999999999</v>
      </c>
      <c r="Z1202" s="315">
        <v>2.0874000000000001</v>
      </c>
      <c r="AA1202" s="315">
        <v>2.1238000000000001</v>
      </c>
      <c r="AB1202" s="315">
        <v>2.1638999999999999</v>
      </c>
      <c r="AC1202" s="315">
        <v>1.8229</v>
      </c>
      <c r="AD1202" s="315">
        <v>1.7351000000000001</v>
      </c>
      <c r="AE1202" s="315">
        <v>2.0485000000000002</v>
      </c>
      <c r="AF1202" s="315">
        <v>1.6091</v>
      </c>
      <c r="AG1202" s="315">
        <v>1.7057</v>
      </c>
      <c r="AH1202" s="315">
        <v>1.9875</v>
      </c>
      <c r="AI1202" s="315">
        <v>2.1924999999999999</v>
      </c>
      <c r="AJ1202" s="315">
        <v>1.8137000000000001</v>
      </c>
      <c r="AK1202" s="315">
        <v>1.8462000000000001</v>
      </c>
      <c r="AL1202" s="315">
        <v>1.9867999999999999</v>
      </c>
      <c r="AM1202" s="315">
        <v>2.1983999999999999</v>
      </c>
      <c r="AN1202" s="315">
        <v>1.9864999999999999</v>
      </c>
      <c r="AO1202" s="315">
        <v>2.0204</v>
      </c>
      <c r="AP1202" s="315">
        <v>2.2618</v>
      </c>
      <c r="AQ1202" s="315">
        <v>1.9524999999999999</v>
      </c>
      <c r="AR1202" s="315">
        <v>2.0865999999999998</v>
      </c>
      <c r="AS1202" s="315">
        <v>1.6173</v>
      </c>
      <c r="AT1202" s="315">
        <v>2.2021999999999999</v>
      </c>
      <c r="AU1202" s="315">
        <v>2.3277000000000001</v>
      </c>
      <c r="AV1202" s="315">
        <v>2.2159</v>
      </c>
      <c r="AW1202" s="315">
        <v>2.0727000000000002</v>
      </c>
      <c r="AX1202" s="315">
        <v>1.7842</v>
      </c>
      <c r="AY1202" s="315">
        <v>2.0849000000000002</v>
      </c>
      <c r="AZ1202" s="315">
        <v>2.0409000000000002</v>
      </c>
      <c r="BA1202" s="315">
        <v>1.7564</v>
      </c>
      <c r="BB1202" s="315">
        <v>1.5601</v>
      </c>
      <c r="BC1202" s="315">
        <v>2.1877</v>
      </c>
      <c r="BD1202" s="315">
        <v>2.2799999999999998</v>
      </c>
      <c r="BE1202" s="315">
        <v>2.3353999999999999</v>
      </c>
      <c r="BF1202" s="315">
        <v>2.0945</v>
      </c>
      <c r="BG1202" s="315">
        <v>2.3138999999999998</v>
      </c>
      <c r="BH1202" s="315">
        <v>2.1796000000000002</v>
      </c>
      <c r="BI1202" s="315">
        <v>2.3321999999999998</v>
      </c>
      <c r="BJ1202" s="315">
        <v>2.2006000000000001</v>
      </c>
      <c r="BK1202" s="315">
        <v>2.2884000000000002</v>
      </c>
    </row>
    <row r="1203" spans="1:63" x14ac:dyDescent="0.25">
      <c r="A1203" s="306">
        <v>624200</v>
      </c>
      <c r="B1203" s="315" t="s">
        <v>336</v>
      </c>
      <c r="C1203" s="315">
        <v>2.8852000000000002</v>
      </c>
      <c r="D1203" s="315">
        <v>1.7168000000000001</v>
      </c>
      <c r="E1203" s="315">
        <v>2.0152000000000001</v>
      </c>
      <c r="F1203" s="315">
        <v>1.8501000000000001</v>
      </c>
      <c r="G1203" s="315">
        <v>2.0659000000000001</v>
      </c>
      <c r="H1203" s="315">
        <v>2.3090999999999999</v>
      </c>
      <c r="I1203" s="315">
        <v>2.2869999999999999</v>
      </c>
      <c r="J1203" s="315">
        <v>2.0505</v>
      </c>
      <c r="K1203" s="315">
        <v>1.4447000000000001</v>
      </c>
      <c r="L1203" s="315">
        <v>1.9518</v>
      </c>
      <c r="M1203" s="315">
        <v>2.1454</v>
      </c>
      <c r="N1203" s="315">
        <v>2.3182</v>
      </c>
      <c r="O1203" s="315">
        <v>1.9534</v>
      </c>
      <c r="P1203" s="315">
        <v>1.7183999999999999</v>
      </c>
      <c r="Q1203" s="315">
        <v>1.7291000000000001</v>
      </c>
      <c r="R1203" s="315">
        <v>2.3917000000000002</v>
      </c>
      <c r="S1203" s="315">
        <v>2.0459000000000001</v>
      </c>
      <c r="T1203" s="315">
        <v>1.7871999999999999</v>
      </c>
      <c r="U1203" s="315">
        <v>2.0291999999999999</v>
      </c>
      <c r="V1203" s="315">
        <v>1.9038999999999999</v>
      </c>
      <c r="W1203" s="315">
        <v>2.1617000000000002</v>
      </c>
      <c r="X1203" s="315">
        <v>2.0958000000000001</v>
      </c>
      <c r="Y1203" s="315">
        <v>1.9454</v>
      </c>
      <c r="Z1203" s="315">
        <v>2.0958000000000001</v>
      </c>
      <c r="AA1203" s="315">
        <v>2.1496</v>
      </c>
      <c r="AB1203" s="315">
        <v>2.1488999999999998</v>
      </c>
      <c r="AC1203" s="315">
        <v>1.8231999999999999</v>
      </c>
      <c r="AD1203" s="315">
        <v>1.7410000000000001</v>
      </c>
      <c r="AE1203" s="315">
        <v>2.0829</v>
      </c>
      <c r="AF1203" s="315">
        <v>1.5642</v>
      </c>
      <c r="AG1203" s="315">
        <v>1.6706000000000001</v>
      </c>
      <c r="AH1203" s="315">
        <v>2.0567000000000002</v>
      </c>
      <c r="AI1203" s="315">
        <v>2.2629000000000001</v>
      </c>
      <c r="AJ1203" s="315">
        <v>1.7878000000000001</v>
      </c>
      <c r="AK1203" s="315">
        <v>1.8765000000000001</v>
      </c>
      <c r="AL1203" s="315">
        <v>2.0485000000000002</v>
      </c>
      <c r="AM1203" s="315">
        <v>2.2088000000000001</v>
      </c>
      <c r="AN1203" s="315">
        <v>1.9875</v>
      </c>
      <c r="AO1203" s="315">
        <v>2.0316000000000001</v>
      </c>
      <c r="AP1203" s="315">
        <v>2.2770000000000001</v>
      </c>
      <c r="AQ1203" s="315">
        <v>1.9907999999999999</v>
      </c>
      <c r="AR1203" s="315">
        <v>2.1280999999999999</v>
      </c>
      <c r="AS1203" s="315">
        <v>1.5882000000000001</v>
      </c>
      <c r="AT1203" s="315">
        <v>2.2469000000000001</v>
      </c>
      <c r="AU1203" s="315">
        <v>2.3544999999999998</v>
      </c>
      <c r="AV1203" s="315">
        <v>2.2141000000000002</v>
      </c>
      <c r="AW1203" s="315">
        <v>2.1343999999999999</v>
      </c>
      <c r="AX1203" s="315">
        <v>1.8208</v>
      </c>
      <c r="AY1203" s="315">
        <v>2.0954000000000002</v>
      </c>
      <c r="AZ1203" s="315">
        <v>2.0365000000000002</v>
      </c>
      <c r="BA1203" s="315">
        <v>1.7512000000000001</v>
      </c>
      <c r="BB1203" s="315">
        <v>1.5407</v>
      </c>
      <c r="BC1203" s="315">
        <v>2.2479</v>
      </c>
      <c r="BD1203" s="315">
        <v>2.3504</v>
      </c>
      <c r="BE1203" s="315">
        <v>2.3538000000000001</v>
      </c>
      <c r="BF1203" s="315">
        <v>2.0813999999999999</v>
      </c>
      <c r="BG1203" s="315">
        <v>2.3719999999999999</v>
      </c>
      <c r="BH1203" s="315">
        <v>2.1959</v>
      </c>
      <c r="BI1203" s="315">
        <v>2.3592</v>
      </c>
      <c r="BJ1203" s="315">
        <v>2.2202999999999999</v>
      </c>
      <c r="BK1203" s="315">
        <v>2.3317000000000001</v>
      </c>
    </row>
    <row r="1204" spans="1:63" x14ac:dyDescent="0.25">
      <c r="A1204" s="306">
        <v>624400</v>
      </c>
      <c r="B1204" s="315" t="s">
        <v>334</v>
      </c>
      <c r="C1204" s="315">
        <v>2.6827999999999999</v>
      </c>
      <c r="D1204" s="315">
        <v>1.6113</v>
      </c>
      <c r="E1204" s="315">
        <v>1.8347</v>
      </c>
      <c r="F1204" s="315">
        <v>1.7274</v>
      </c>
      <c r="G1204" s="315">
        <v>1.8931</v>
      </c>
      <c r="H1204" s="315">
        <v>2.1812999999999998</v>
      </c>
      <c r="I1204" s="315">
        <v>2.1234000000000002</v>
      </c>
      <c r="J1204" s="315">
        <v>1.9198999999999999</v>
      </c>
      <c r="K1204" s="315">
        <v>1.3505</v>
      </c>
      <c r="L1204" s="315">
        <v>1.8108</v>
      </c>
      <c r="M1204" s="315">
        <v>1.9713000000000001</v>
      </c>
      <c r="N1204" s="315">
        <v>2.0754999999999999</v>
      </c>
      <c r="O1204" s="315">
        <v>1.8249</v>
      </c>
      <c r="P1204" s="315">
        <v>1.5992999999999999</v>
      </c>
      <c r="Q1204" s="315">
        <v>1.6412</v>
      </c>
      <c r="R1204" s="315">
        <v>2.2048999999999999</v>
      </c>
      <c r="S1204" s="315">
        <v>1.8827</v>
      </c>
      <c r="T1204" s="315">
        <v>1.6558999999999999</v>
      </c>
      <c r="U1204" s="315">
        <v>1.8809</v>
      </c>
      <c r="V1204" s="315">
        <v>1.7777000000000001</v>
      </c>
      <c r="W1204" s="315">
        <v>2.0183</v>
      </c>
      <c r="X1204" s="315">
        <v>1.9173</v>
      </c>
      <c r="Y1204" s="315">
        <v>1.8038000000000001</v>
      </c>
      <c r="Z1204" s="315">
        <v>1.901</v>
      </c>
      <c r="AA1204" s="315">
        <v>1.9943</v>
      </c>
      <c r="AB1204" s="315">
        <v>2.008</v>
      </c>
      <c r="AC1204" s="315">
        <v>1.6761999999999999</v>
      </c>
      <c r="AD1204" s="315">
        <v>1.6394</v>
      </c>
      <c r="AE1204" s="315">
        <v>1.8743000000000001</v>
      </c>
      <c r="AF1204" s="315">
        <v>1.5027999999999999</v>
      </c>
      <c r="AG1204" s="315">
        <v>1.5696000000000001</v>
      </c>
      <c r="AH1204" s="315">
        <v>1.9067000000000001</v>
      </c>
      <c r="AI1204" s="315">
        <v>2.1193</v>
      </c>
      <c r="AJ1204" s="315">
        <v>1.7053</v>
      </c>
      <c r="AK1204" s="315">
        <v>1.746</v>
      </c>
      <c r="AL1204" s="315">
        <v>1.9513</v>
      </c>
      <c r="AM1204" s="315">
        <v>2.0320999999999998</v>
      </c>
      <c r="AN1204" s="315">
        <v>1.8219000000000001</v>
      </c>
      <c r="AO1204" s="315">
        <v>1.903</v>
      </c>
      <c r="AP1204" s="315">
        <v>2.1044</v>
      </c>
      <c r="AQ1204" s="315">
        <v>1.8707</v>
      </c>
      <c r="AR1204" s="315">
        <v>1.913</v>
      </c>
      <c r="AS1204" s="315">
        <v>1.5037</v>
      </c>
      <c r="AT1204" s="315">
        <v>2.0741000000000001</v>
      </c>
      <c r="AU1204" s="315">
        <v>2.1604000000000001</v>
      </c>
      <c r="AV1204" s="315">
        <v>2.0527000000000002</v>
      </c>
      <c r="AW1204" s="315">
        <v>1.9333</v>
      </c>
      <c r="AX1204" s="315">
        <v>1.7424999999999999</v>
      </c>
      <c r="AY1204" s="315">
        <v>1.9611000000000001</v>
      </c>
      <c r="AZ1204" s="315">
        <v>1.8912</v>
      </c>
      <c r="BA1204" s="315">
        <v>1.6373</v>
      </c>
      <c r="BB1204" s="315">
        <v>1.4677</v>
      </c>
      <c r="BC1204" s="315">
        <v>2.0987</v>
      </c>
      <c r="BD1204" s="315">
        <v>2.2124999999999999</v>
      </c>
      <c r="BE1204" s="315">
        <v>2.1667000000000001</v>
      </c>
      <c r="BF1204" s="315">
        <v>1.9234</v>
      </c>
      <c r="BG1204" s="315">
        <v>2.1280999999999999</v>
      </c>
      <c r="BH1204" s="315">
        <v>2.0175000000000001</v>
      </c>
      <c r="BI1204" s="315">
        <v>2.1494</v>
      </c>
      <c r="BJ1204" s="315">
        <v>2.0550000000000002</v>
      </c>
      <c r="BK1204" s="315">
        <v>2.1919</v>
      </c>
    </row>
    <row r="1205" spans="1:63" x14ac:dyDescent="0.25">
      <c r="A1205" s="306" t="s">
        <v>780</v>
      </c>
      <c r="B1205" s="315" t="s">
        <v>335</v>
      </c>
      <c r="C1205" s="315">
        <v>2.903</v>
      </c>
      <c r="D1205" s="315">
        <v>1.7317</v>
      </c>
      <c r="E1205" s="315">
        <v>2.0049000000000001</v>
      </c>
      <c r="F1205" s="315">
        <v>1.8503000000000001</v>
      </c>
      <c r="G1205" s="315">
        <v>2.0762</v>
      </c>
      <c r="H1205" s="315">
        <v>2.3391000000000002</v>
      </c>
      <c r="I1205" s="315">
        <v>2.3111999999999999</v>
      </c>
      <c r="J1205" s="315">
        <v>2.0621</v>
      </c>
      <c r="K1205" s="315">
        <v>1.4314</v>
      </c>
      <c r="L1205" s="315">
        <v>1.9205000000000001</v>
      </c>
      <c r="M1205" s="315">
        <v>2.1604999999999999</v>
      </c>
      <c r="N1205" s="315">
        <v>2.3178999999999998</v>
      </c>
      <c r="O1205" s="315">
        <v>1.9773000000000001</v>
      </c>
      <c r="P1205" s="315">
        <v>1.7170000000000001</v>
      </c>
      <c r="Q1205" s="315">
        <v>1.736</v>
      </c>
      <c r="R1205" s="315">
        <v>2.3881999999999999</v>
      </c>
      <c r="S1205" s="315">
        <v>2.0476999999999999</v>
      </c>
      <c r="T1205" s="315">
        <v>1.8071999999999999</v>
      </c>
      <c r="U1205" s="315">
        <v>2.0236000000000001</v>
      </c>
      <c r="V1205" s="315">
        <v>1.9195</v>
      </c>
      <c r="W1205" s="315">
        <v>2.1652</v>
      </c>
      <c r="X1205" s="315">
        <v>2.0876999999999999</v>
      </c>
      <c r="Y1205" s="315">
        <v>1.9698</v>
      </c>
      <c r="Z1205" s="315">
        <v>2.1021999999999998</v>
      </c>
      <c r="AA1205" s="315">
        <v>2.1219999999999999</v>
      </c>
      <c r="AB1205" s="315">
        <v>2.1671</v>
      </c>
      <c r="AC1205" s="315">
        <v>1.8098000000000001</v>
      </c>
      <c r="AD1205" s="315">
        <v>1.7359</v>
      </c>
      <c r="AE1205" s="315">
        <v>2.0684</v>
      </c>
      <c r="AF1205" s="315">
        <v>1.5841000000000001</v>
      </c>
      <c r="AG1205" s="315">
        <v>1.6870000000000001</v>
      </c>
      <c r="AH1205" s="315">
        <v>2.0423</v>
      </c>
      <c r="AI1205" s="315">
        <v>2.2907000000000002</v>
      </c>
      <c r="AJ1205" s="315">
        <v>1.8246</v>
      </c>
      <c r="AK1205" s="315">
        <v>1.8914</v>
      </c>
      <c r="AL1205" s="315">
        <v>2.0775000000000001</v>
      </c>
      <c r="AM1205" s="315">
        <v>2.2406000000000001</v>
      </c>
      <c r="AN1205" s="315">
        <v>2</v>
      </c>
      <c r="AO1205" s="315">
        <v>2.0467</v>
      </c>
      <c r="AP1205" s="315">
        <v>2.2991999999999999</v>
      </c>
      <c r="AQ1205" s="315">
        <v>1.9793000000000001</v>
      </c>
      <c r="AR1205" s="315">
        <v>2.1124000000000001</v>
      </c>
      <c r="AS1205" s="315">
        <v>1.5804</v>
      </c>
      <c r="AT1205" s="315">
        <v>2.2652999999999999</v>
      </c>
      <c r="AU1205" s="315">
        <v>2.3557999999999999</v>
      </c>
      <c r="AV1205" s="315">
        <v>2.2425999999999999</v>
      </c>
      <c r="AW1205" s="315">
        <v>2.1461999999999999</v>
      </c>
      <c r="AX1205" s="315">
        <v>1.8401000000000001</v>
      </c>
      <c r="AY1205" s="315">
        <v>2.1179999999999999</v>
      </c>
      <c r="AZ1205" s="315">
        <v>2.0310000000000001</v>
      </c>
      <c r="BA1205" s="315">
        <v>1.7587999999999999</v>
      </c>
      <c r="BB1205" s="315">
        <v>1.5487</v>
      </c>
      <c r="BC1205" s="315">
        <v>2.2555999999999998</v>
      </c>
      <c r="BD1205" s="315">
        <v>2.3858999999999999</v>
      </c>
      <c r="BE1205" s="315">
        <v>2.3719999999999999</v>
      </c>
      <c r="BF1205" s="315">
        <v>2.0874999999999999</v>
      </c>
      <c r="BG1205" s="315">
        <v>2.3784000000000001</v>
      </c>
      <c r="BH1205" s="315">
        <v>2.1991999999999998</v>
      </c>
      <c r="BI1205" s="315">
        <v>2.3626</v>
      </c>
      <c r="BJ1205" s="315">
        <v>2.238</v>
      </c>
      <c r="BK1205" s="315">
        <v>2.3592</v>
      </c>
    </row>
    <row r="1206" spans="1:63" x14ac:dyDescent="0.25">
      <c r="A1206" s="306">
        <v>711100</v>
      </c>
      <c r="B1206" s="315" t="s">
        <v>337</v>
      </c>
      <c r="C1206" s="315">
        <v>2.8071000000000002</v>
      </c>
      <c r="D1206" s="315">
        <v>1.6406000000000001</v>
      </c>
      <c r="E1206" s="315">
        <v>1.8204</v>
      </c>
      <c r="F1206" s="315">
        <v>1.6829000000000001</v>
      </c>
      <c r="G1206" s="315">
        <v>1.9016999999999999</v>
      </c>
      <c r="H1206" s="315">
        <v>2.3353999999999999</v>
      </c>
      <c r="I1206" s="315">
        <v>2.1922999999999999</v>
      </c>
      <c r="J1206" s="315">
        <v>1.9711000000000001</v>
      </c>
      <c r="K1206" s="315">
        <v>1.4802</v>
      </c>
      <c r="L1206" s="315">
        <v>1.7945</v>
      </c>
      <c r="M1206" s="315">
        <v>2.0623</v>
      </c>
      <c r="N1206" s="315">
        <v>2.2244000000000002</v>
      </c>
      <c r="O1206" s="315">
        <v>1.9528000000000001</v>
      </c>
      <c r="P1206" s="315">
        <v>1.6068</v>
      </c>
      <c r="Q1206" s="315">
        <v>1.6027</v>
      </c>
      <c r="R1206" s="315">
        <v>2.2052</v>
      </c>
      <c r="S1206" s="315">
        <v>1.8811</v>
      </c>
      <c r="T1206" s="315">
        <v>1.6642999999999999</v>
      </c>
      <c r="U1206" s="315">
        <v>1.8298000000000001</v>
      </c>
      <c r="V1206" s="315">
        <v>1.8025</v>
      </c>
      <c r="W1206" s="315">
        <v>2.0059999999999998</v>
      </c>
      <c r="X1206" s="315">
        <v>1.9512</v>
      </c>
      <c r="Y1206" s="315">
        <v>1.8631</v>
      </c>
      <c r="Z1206" s="315">
        <v>1.9970000000000001</v>
      </c>
      <c r="AA1206" s="315">
        <v>1.9945999999999999</v>
      </c>
      <c r="AB1206" s="315">
        <v>1.9774</v>
      </c>
      <c r="AC1206" s="315">
        <v>1.6397999999999999</v>
      </c>
      <c r="AD1206" s="315">
        <v>1.6555</v>
      </c>
      <c r="AE1206" s="315">
        <v>1.9320999999999999</v>
      </c>
      <c r="AF1206" s="315">
        <v>1.4919</v>
      </c>
      <c r="AG1206" s="315">
        <v>1.617</v>
      </c>
      <c r="AH1206" s="315">
        <v>1.9447000000000001</v>
      </c>
      <c r="AI1206" s="315">
        <v>2.1604000000000001</v>
      </c>
      <c r="AJ1206" s="315">
        <v>1.7549999999999999</v>
      </c>
      <c r="AK1206" s="315">
        <v>1.9229000000000001</v>
      </c>
      <c r="AL1206" s="315">
        <v>2.0478000000000001</v>
      </c>
      <c r="AM1206" s="315">
        <v>2.0371000000000001</v>
      </c>
      <c r="AN1206" s="315">
        <v>1.8514999999999999</v>
      </c>
      <c r="AO1206" s="315">
        <v>1.9135</v>
      </c>
      <c r="AP1206" s="315">
        <v>2.0825999999999998</v>
      </c>
      <c r="AQ1206" s="315">
        <v>1.8429</v>
      </c>
      <c r="AR1206" s="315">
        <v>1.9094</v>
      </c>
      <c r="AS1206" s="315">
        <v>1.4842</v>
      </c>
      <c r="AT1206" s="315">
        <v>2.1949999999999998</v>
      </c>
      <c r="AU1206" s="315">
        <v>2.1766000000000001</v>
      </c>
      <c r="AV1206" s="315">
        <v>2.1383999999999999</v>
      </c>
      <c r="AW1206" s="315">
        <v>1.9876</v>
      </c>
      <c r="AX1206" s="315">
        <v>1.8041</v>
      </c>
      <c r="AY1206" s="315">
        <v>1.966</v>
      </c>
      <c r="AZ1206" s="315">
        <v>1.8776999999999999</v>
      </c>
      <c r="BA1206" s="315">
        <v>1.5901000000000001</v>
      </c>
      <c r="BB1206" s="315">
        <v>1.4217</v>
      </c>
      <c r="BC1206" s="315">
        <v>2.1107999999999998</v>
      </c>
      <c r="BD1206" s="315">
        <v>2.3456000000000001</v>
      </c>
      <c r="BE1206" s="315">
        <v>2.1768000000000001</v>
      </c>
      <c r="BF1206" s="315">
        <v>1.9266000000000001</v>
      </c>
      <c r="BG1206" s="315">
        <v>2.2315999999999998</v>
      </c>
      <c r="BH1206" s="315">
        <v>2.0367999999999999</v>
      </c>
      <c r="BI1206" s="315">
        <v>2.1646000000000001</v>
      </c>
      <c r="BJ1206" s="315">
        <v>2.0943999999999998</v>
      </c>
      <c r="BK1206" s="315">
        <v>2.3529</v>
      </c>
    </row>
    <row r="1207" spans="1:63" x14ac:dyDescent="0.25">
      <c r="A1207" s="306">
        <v>711200</v>
      </c>
      <c r="B1207" s="315" t="s">
        <v>781</v>
      </c>
      <c r="C1207" s="315">
        <v>2.9830000000000001</v>
      </c>
      <c r="D1207" s="315">
        <v>1.7157</v>
      </c>
      <c r="E1207" s="315">
        <v>1.8895</v>
      </c>
      <c r="F1207" s="315">
        <v>1.7713000000000001</v>
      </c>
      <c r="G1207" s="315">
        <v>2.0417000000000001</v>
      </c>
      <c r="H1207" s="315">
        <v>2.4382000000000001</v>
      </c>
      <c r="I1207" s="315">
        <v>2.4051999999999998</v>
      </c>
      <c r="J1207" s="315">
        <v>1.9838</v>
      </c>
      <c r="K1207" s="315">
        <v>1.4798</v>
      </c>
      <c r="L1207" s="315">
        <v>1.8643000000000001</v>
      </c>
      <c r="M1207" s="315">
        <v>2.2016</v>
      </c>
      <c r="N1207" s="315">
        <v>2.3439999999999999</v>
      </c>
      <c r="O1207" s="315">
        <v>1.9185000000000001</v>
      </c>
      <c r="P1207" s="315">
        <v>1.6768000000000001</v>
      </c>
      <c r="Q1207" s="315">
        <v>1.6484000000000001</v>
      </c>
      <c r="R1207" s="315">
        <v>2.4119999999999999</v>
      </c>
      <c r="S1207" s="315">
        <v>2.1450999999999998</v>
      </c>
      <c r="T1207" s="315">
        <v>1.6937</v>
      </c>
      <c r="U1207" s="315">
        <v>2.0345</v>
      </c>
      <c r="V1207" s="315">
        <v>2.0261999999999998</v>
      </c>
      <c r="W1207" s="315">
        <v>2.1865999999999999</v>
      </c>
      <c r="X1207" s="315">
        <v>2.1150000000000002</v>
      </c>
      <c r="Y1207" s="315">
        <v>1.9218</v>
      </c>
      <c r="Z1207" s="315">
        <v>2.2275999999999998</v>
      </c>
      <c r="AA1207" s="315">
        <v>2.2547000000000001</v>
      </c>
      <c r="AB1207" s="315">
        <v>2.2351000000000001</v>
      </c>
      <c r="AC1207" s="315">
        <v>1.6816</v>
      </c>
      <c r="AD1207" s="315">
        <v>1.6915</v>
      </c>
      <c r="AE1207" s="315">
        <v>2.1351</v>
      </c>
      <c r="AF1207" s="315">
        <v>1.5746</v>
      </c>
      <c r="AG1207" s="315">
        <v>1.6906000000000001</v>
      </c>
      <c r="AH1207" s="315">
        <v>1.9408000000000001</v>
      </c>
      <c r="AI1207" s="315">
        <v>2.3092999999999999</v>
      </c>
      <c r="AJ1207" s="315">
        <v>1.7767999999999999</v>
      </c>
      <c r="AK1207" s="315">
        <v>1.8687</v>
      </c>
      <c r="AL1207" s="315">
        <v>2.0699999999999998</v>
      </c>
      <c r="AM1207" s="315">
        <v>2.2917999999999998</v>
      </c>
      <c r="AN1207" s="315">
        <v>1.9757</v>
      </c>
      <c r="AO1207" s="315">
        <v>2.0842000000000001</v>
      </c>
      <c r="AP1207" s="315">
        <v>2.3148</v>
      </c>
      <c r="AQ1207" s="315">
        <v>1.9258</v>
      </c>
      <c r="AR1207" s="315">
        <v>1.9256</v>
      </c>
      <c r="AS1207" s="315">
        <v>1.5478000000000001</v>
      </c>
      <c r="AT1207" s="315">
        <v>2.3411</v>
      </c>
      <c r="AU1207" s="315">
        <v>2.3382999999999998</v>
      </c>
      <c r="AV1207" s="315">
        <v>2.3435999999999999</v>
      </c>
      <c r="AW1207" s="315">
        <v>2.0897999999999999</v>
      </c>
      <c r="AX1207" s="315">
        <v>1.7739</v>
      </c>
      <c r="AY1207" s="315">
        <v>2.1972999999999998</v>
      </c>
      <c r="AZ1207" s="315">
        <v>2.1421999999999999</v>
      </c>
      <c r="BA1207" s="315">
        <v>1.6388</v>
      </c>
      <c r="BB1207" s="315">
        <v>1.4337</v>
      </c>
      <c r="BC1207" s="315">
        <v>2.2576999999999998</v>
      </c>
      <c r="BD1207" s="315">
        <v>2.4479000000000002</v>
      </c>
      <c r="BE1207" s="315">
        <v>2.4434</v>
      </c>
      <c r="BF1207" s="315">
        <v>2.1732999999999998</v>
      </c>
      <c r="BG1207" s="315">
        <v>2.4302999999999999</v>
      </c>
      <c r="BH1207" s="315">
        <v>2.1968000000000001</v>
      </c>
      <c r="BI1207" s="315">
        <v>2.3445</v>
      </c>
      <c r="BJ1207" s="315">
        <v>2.2763</v>
      </c>
      <c r="BK1207" s="315">
        <v>2.4575</v>
      </c>
    </row>
    <row r="1208" spans="1:63" x14ac:dyDescent="0.25">
      <c r="A1208" s="306">
        <v>711500</v>
      </c>
      <c r="B1208" s="315" t="s">
        <v>339</v>
      </c>
      <c r="C1208" s="315">
        <v>2.3721999999999999</v>
      </c>
      <c r="D1208" s="315">
        <v>1.4578</v>
      </c>
      <c r="E1208" s="315">
        <v>1.5749</v>
      </c>
      <c r="F1208" s="315">
        <v>1.4891000000000001</v>
      </c>
      <c r="G1208" s="315">
        <v>1.6695</v>
      </c>
      <c r="H1208" s="315">
        <v>2.0274000000000001</v>
      </c>
      <c r="I1208" s="315">
        <v>1.9036999999999999</v>
      </c>
      <c r="J1208" s="315">
        <v>1.6940999999999999</v>
      </c>
      <c r="K1208" s="315">
        <v>1.4149</v>
      </c>
      <c r="L1208" s="315">
        <v>1.5583</v>
      </c>
      <c r="M1208" s="315">
        <v>1.8488</v>
      </c>
      <c r="N1208" s="315">
        <v>1.9728000000000001</v>
      </c>
      <c r="O1208" s="315">
        <v>1.7071000000000001</v>
      </c>
      <c r="P1208" s="315">
        <v>1.4187000000000001</v>
      </c>
      <c r="Q1208" s="315">
        <v>1.4088000000000001</v>
      </c>
      <c r="R1208" s="315">
        <v>1.8783000000000001</v>
      </c>
      <c r="S1208" s="315">
        <v>1.6850000000000001</v>
      </c>
      <c r="T1208" s="315">
        <v>1.4486000000000001</v>
      </c>
      <c r="U1208" s="315">
        <v>1.6261000000000001</v>
      </c>
      <c r="V1208" s="315">
        <v>1.6474</v>
      </c>
      <c r="W1208" s="315">
        <v>1.7958000000000001</v>
      </c>
      <c r="X1208" s="315">
        <v>1.7361</v>
      </c>
      <c r="Y1208" s="315">
        <v>1.6043000000000001</v>
      </c>
      <c r="Z1208" s="315">
        <v>1.7948999999999999</v>
      </c>
      <c r="AA1208" s="315">
        <v>1.7557</v>
      </c>
      <c r="AB1208" s="315">
        <v>1.7699</v>
      </c>
      <c r="AC1208" s="315">
        <v>1.4480999999999999</v>
      </c>
      <c r="AD1208" s="315">
        <v>1.4397</v>
      </c>
      <c r="AE1208" s="315">
        <v>1.6847000000000001</v>
      </c>
      <c r="AF1208" s="315">
        <v>1.3486</v>
      </c>
      <c r="AG1208" s="315">
        <v>1.4439</v>
      </c>
      <c r="AH1208" s="315">
        <v>1.6153</v>
      </c>
      <c r="AI1208" s="315">
        <v>1.9311</v>
      </c>
      <c r="AJ1208" s="315">
        <v>1.5327999999999999</v>
      </c>
      <c r="AK1208" s="315">
        <v>1.6894</v>
      </c>
      <c r="AL1208" s="315">
        <v>1.8102</v>
      </c>
      <c r="AM1208" s="315">
        <v>1.8814</v>
      </c>
      <c r="AN1208" s="315">
        <v>1.6013999999999999</v>
      </c>
      <c r="AO1208" s="315">
        <v>1.6677999999999999</v>
      </c>
      <c r="AP1208" s="315">
        <v>1.8435999999999999</v>
      </c>
      <c r="AQ1208" s="315">
        <v>1.5914999999999999</v>
      </c>
      <c r="AR1208" s="315">
        <v>1.6283000000000001</v>
      </c>
      <c r="AS1208" s="315">
        <v>1.3626</v>
      </c>
      <c r="AT1208" s="315">
        <v>1.9429000000000001</v>
      </c>
      <c r="AU1208" s="315">
        <v>1.9568000000000001</v>
      </c>
      <c r="AV1208" s="315">
        <v>1.9043000000000001</v>
      </c>
      <c r="AW1208" s="315">
        <v>1.7302</v>
      </c>
      <c r="AX1208" s="315">
        <v>1.5454000000000001</v>
      </c>
      <c r="AY1208" s="315">
        <v>1.7421</v>
      </c>
      <c r="AZ1208" s="315">
        <v>1.6629</v>
      </c>
      <c r="BA1208" s="315">
        <v>1.413</v>
      </c>
      <c r="BB1208" s="315">
        <v>1.2624</v>
      </c>
      <c r="BC1208" s="315">
        <v>1.8304</v>
      </c>
      <c r="BD1208" s="315">
        <v>2.0364</v>
      </c>
      <c r="BE1208" s="315">
        <v>1.9255</v>
      </c>
      <c r="BF1208" s="315">
        <v>1.6970000000000001</v>
      </c>
      <c r="BG1208" s="315">
        <v>1.9677</v>
      </c>
      <c r="BH1208" s="315">
        <v>1.8088</v>
      </c>
      <c r="BI1208" s="315">
        <v>1.9271</v>
      </c>
      <c r="BJ1208" s="315">
        <v>1.8186</v>
      </c>
      <c r="BK1208" s="315">
        <v>2.0345</v>
      </c>
    </row>
    <row r="1209" spans="1:63" x14ac:dyDescent="0.25">
      <c r="A1209" s="306" t="s">
        <v>782</v>
      </c>
      <c r="B1209" s="315" t="s">
        <v>338</v>
      </c>
      <c r="C1209" s="315">
        <v>2.9424999999999999</v>
      </c>
      <c r="D1209" s="315">
        <v>1.7004999999999999</v>
      </c>
      <c r="E1209" s="315">
        <v>1.8063</v>
      </c>
      <c r="F1209" s="315">
        <v>1.6516999999999999</v>
      </c>
      <c r="G1209" s="315">
        <v>1.9863</v>
      </c>
      <c r="H1209" s="315">
        <v>2.4552</v>
      </c>
      <c r="I1209" s="315">
        <v>2.2917999999999998</v>
      </c>
      <c r="J1209" s="315">
        <v>2.1055000000000001</v>
      </c>
      <c r="K1209" s="315">
        <v>1.5898000000000001</v>
      </c>
      <c r="L1209" s="315">
        <v>1.8714</v>
      </c>
      <c r="M1209" s="315">
        <v>2.1594000000000002</v>
      </c>
      <c r="N1209" s="315">
        <v>2.3304</v>
      </c>
      <c r="O1209" s="315">
        <v>2.0293000000000001</v>
      </c>
      <c r="P1209" s="315">
        <v>1.6221000000000001</v>
      </c>
      <c r="Q1209" s="315">
        <v>1.597</v>
      </c>
      <c r="R1209" s="315">
        <v>2.3254999999999999</v>
      </c>
      <c r="S1209" s="315">
        <v>1.9136</v>
      </c>
      <c r="T1209" s="315">
        <v>1.6877</v>
      </c>
      <c r="U1209" s="315">
        <v>1.8552999999999999</v>
      </c>
      <c r="V1209" s="315">
        <v>1.8440000000000001</v>
      </c>
      <c r="W1209" s="315">
        <v>2.1720999999999999</v>
      </c>
      <c r="X1209" s="315">
        <v>2.0790999999999999</v>
      </c>
      <c r="Y1209" s="315">
        <v>1.8708</v>
      </c>
      <c r="Z1209" s="315">
        <v>2.0295999999999998</v>
      </c>
      <c r="AA1209" s="315">
        <v>2.1095000000000002</v>
      </c>
      <c r="AB1209" s="315">
        <v>2.0855000000000001</v>
      </c>
      <c r="AC1209" s="315">
        <v>1.6146</v>
      </c>
      <c r="AD1209" s="315">
        <v>1.6977</v>
      </c>
      <c r="AE1209" s="315">
        <v>1.895</v>
      </c>
      <c r="AF1209" s="315">
        <v>1.5073000000000001</v>
      </c>
      <c r="AG1209" s="315">
        <v>1.6426000000000001</v>
      </c>
      <c r="AH1209" s="315">
        <v>1.9706999999999999</v>
      </c>
      <c r="AI1209" s="315">
        <v>2.3368000000000002</v>
      </c>
      <c r="AJ1209" s="315">
        <v>1.7437</v>
      </c>
      <c r="AK1209" s="315">
        <v>2.0028999999999999</v>
      </c>
      <c r="AL1209" s="315">
        <v>2.2057000000000002</v>
      </c>
      <c r="AM1209" s="315">
        <v>2.1242999999999999</v>
      </c>
      <c r="AN1209" s="315">
        <v>1.8474999999999999</v>
      </c>
      <c r="AO1209" s="315">
        <v>1.9917</v>
      </c>
      <c r="AP1209" s="315">
        <v>2.2040000000000002</v>
      </c>
      <c r="AQ1209" s="315">
        <v>1.9518</v>
      </c>
      <c r="AR1209" s="315">
        <v>1.8876999999999999</v>
      </c>
      <c r="AS1209" s="315">
        <v>1.5181</v>
      </c>
      <c r="AT1209" s="315">
        <v>2.2374999999999998</v>
      </c>
      <c r="AU1209" s="315">
        <v>2.2869999999999999</v>
      </c>
      <c r="AV1209" s="315">
        <v>2.2486000000000002</v>
      </c>
      <c r="AW1209" s="315">
        <v>2.0398000000000001</v>
      </c>
      <c r="AX1209" s="315">
        <v>1.8504</v>
      </c>
      <c r="AY1209" s="315">
        <v>2.0733999999999999</v>
      </c>
      <c r="AZ1209" s="315">
        <v>1.9451000000000001</v>
      </c>
      <c r="BA1209" s="315">
        <v>1.6129</v>
      </c>
      <c r="BB1209" s="315">
        <v>1.4444999999999999</v>
      </c>
      <c r="BC1209" s="315">
        <v>2.2454999999999998</v>
      </c>
      <c r="BD1209" s="315">
        <v>2.4964</v>
      </c>
      <c r="BE1209" s="315">
        <v>2.2650999999999999</v>
      </c>
      <c r="BF1209" s="315">
        <v>1.9934000000000001</v>
      </c>
      <c r="BG1209" s="315">
        <v>2.3226</v>
      </c>
      <c r="BH1209" s="315">
        <v>2.0594000000000001</v>
      </c>
      <c r="BI1209" s="315">
        <v>2.2484000000000002</v>
      </c>
      <c r="BJ1209" s="315">
        <v>2.1878000000000002</v>
      </c>
      <c r="BK1209" s="315">
        <v>2.4634999999999998</v>
      </c>
    </row>
    <row r="1210" spans="1:63" x14ac:dyDescent="0.25">
      <c r="A1210" s="306">
        <v>712000</v>
      </c>
      <c r="B1210" s="315" t="s">
        <v>340</v>
      </c>
      <c r="C1210" s="315">
        <v>2.8651</v>
      </c>
      <c r="D1210" s="315">
        <v>1.825</v>
      </c>
      <c r="E1210" s="315">
        <v>2.0268999999999999</v>
      </c>
      <c r="F1210" s="315">
        <v>1.841</v>
      </c>
      <c r="G1210" s="315">
        <v>2.1395</v>
      </c>
      <c r="H1210" s="315">
        <v>2.3588</v>
      </c>
      <c r="I1210" s="315">
        <v>2.3468</v>
      </c>
      <c r="J1210" s="315">
        <v>2.0476999999999999</v>
      </c>
      <c r="K1210" s="315">
        <v>1.4522999999999999</v>
      </c>
      <c r="L1210" s="315">
        <v>1.9271</v>
      </c>
      <c r="M1210" s="315">
        <v>2.2187999999999999</v>
      </c>
      <c r="N1210" s="315">
        <v>2.3483999999999998</v>
      </c>
      <c r="O1210" s="315">
        <v>2.0528</v>
      </c>
      <c r="P1210" s="315">
        <v>1.7453000000000001</v>
      </c>
      <c r="Q1210" s="315">
        <v>1.7553000000000001</v>
      </c>
      <c r="R1210" s="315">
        <v>2.4016000000000002</v>
      </c>
      <c r="S1210" s="315">
        <v>2.0642</v>
      </c>
      <c r="T1210" s="315">
        <v>1.8475999999999999</v>
      </c>
      <c r="U1210" s="315">
        <v>2.0291999999999999</v>
      </c>
      <c r="V1210" s="315">
        <v>1.9381999999999999</v>
      </c>
      <c r="W1210" s="315">
        <v>2.1861999999999999</v>
      </c>
      <c r="X1210" s="315">
        <v>2.1427999999999998</v>
      </c>
      <c r="Y1210" s="315">
        <v>2.0154000000000001</v>
      </c>
      <c r="Z1210" s="315">
        <v>2.1261999999999999</v>
      </c>
      <c r="AA1210" s="315">
        <v>2.1640999999999999</v>
      </c>
      <c r="AB1210" s="315">
        <v>2.1185</v>
      </c>
      <c r="AC1210" s="315">
        <v>1.8203</v>
      </c>
      <c r="AD1210" s="315">
        <v>1.8028</v>
      </c>
      <c r="AE1210" s="315">
        <v>2.0653000000000001</v>
      </c>
      <c r="AF1210" s="315">
        <v>1.6175999999999999</v>
      </c>
      <c r="AG1210" s="315">
        <v>1.7150000000000001</v>
      </c>
      <c r="AH1210" s="315">
        <v>2.0575999999999999</v>
      </c>
      <c r="AI1210" s="315">
        <v>2.2324999999999999</v>
      </c>
      <c r="AJ1210" s="315">
        <v>1.8671</v>
      </c>
      <c r="AK1210" s="315">
        <v>1.9567000000000001</v>
      </c>
      <c r="AL1210" s="315">
        <v>2.0705</v>
      </c>
      <c r="AM1210" s="315">
        <v>2.2119</v>
      </c>
      <c r="AN1210" s="315">
        <v>2.0089000000000001</v>
      </c>
      <c r="AO1210" s="315">
        <v>2.1055999999999999</v>
      </c>
      <c r="AP1210" s="315">
        <v>2.2747000000000002</v>
      </c>
      <c r="AQ1210" s="315">
        <v>1.9811000000000001</v>
      </c>
      <c r="AR1210" s="315">
        <v>2.1223999999999998</v>
      </c>
      <c r="AS1210" s="315">
        <v>1.6214999999999999</v>
      </c>
      <c r="AT1210" s="315">
        <v>2.2564000000000002</v>
      </c>
      <c r="AU1210" s="315">
        <v>2.4074</v>
      </c>
      <c r="AV1210" s="315">
        <v>2.2776999999999998</v>
      </c>
      <c r="AW1210" s="315">
        <v>2.1808999999999998</v>
      </c>
      <c r="AX1210" s="315">
        <v>1.8914</v>
      </c>
      <c r="AY1210" s="315">
        <v>2.1745000000000001</v>
      </c>
      <c r="AZ1210" s="315">
        <v>2.0373000000000001</v>
      </c>
      <c r="BA1210" s="315">
        <v>1.6960999999999999</v>
      </c>
      <c r="BB1210" s="315">
        <v>1.5833999999999999</v>
      </c>
      <c r="BC1210" s="315">
        <v>2.2751000000000001</v>
      </c>
      <c r="BD1210" s="315">
        <v>2.3875999999999999</v>
      </c>
      <c r="BE1210" s="315">
        <v>2.3597999999999999</v>
      </c>
      <c r="BF1210" s="315">
        <v>2.0949</v>
      </c>
      <c r="BG1210" s="315">
        <v>2.4216000000000002</v>
      </c>
      <c r="BH1210" s="315">
        <v>2.1943999999999999</v>
      </c>
      <c r="BI1210" s="315">
        <v>2.3936999999999999</v>
      </c>
      <c r="BJ1210" s="315">
        <v>2.2896000000000001</v>
      </c>
      <c r="BK1210" s="315">
        <v>2.3835000000000002</v>
      </c>
    </row>
    <row r="1211" spans="1:63" x14ac:dyDescent="0.25">
      <c r="A1211" s="306">
        <v>713940</v>
      </c>
      <c r="B1211" s="315" t="s">
        <v>341</v>
      </c>
      <c r="C1211" s="315">
        <v>2.7258</v>
      </c>
      <c r="D1211" s="315">
        <v>1.7190000000000001</v>
      </c>
      <c r="E1211" s="315">
        <v>1.9237</v>
      </c>
      <c r="F1211" s="315">
        <v>1.7786999999999999</v>
      </c>
      <c r="G1211" s="315">
        <v>2.0347</v>
      </c>
      <c r="H1211" s="315">
        <v>2.234</v>
      </c>
      <c r="I1211" s="315">
        <v>2.2505000000000002</v>
      </c>
      <c r="J1211" s="315">
        <v>1.9695</v>
      </c>
      <c r="K1211" s="315">
        <v>1.4058999999999999</v>
      </c>
      <c r="L1211" s="315">
        <v>1.8778999999999999</v>
      </c>
      <c r="M1211" s="315">
        <v>2.1004999999999998</v>
      </c>
      <c r="N1211" s="315">
        <v>2.2412999999999998</v>
      </c>
      <c r="O1211" s="315">
        <v>1.9419</v>
      </c>
      <c r="P1211" s="315">
        <v>1.6325000000000001</v>
      </c>
      <c r="Q1211" s="315">
        <v>1.6781999999999999</v>
      </c>
      <c r="R1211" s="315">
        <v>2.2900999999999998</v>
      </c>
      <c r="S1211" s="315">
        <v>1.9222999999999999</v>
      </c>
      <c r="T1211" s="315">
        <v>1.7505999999999999</v>
      </c>
      <c r="U1211" s="315">
        <v>1.9621999999999999</v>
      </c>
      <c r="V1211" s="315">
        <v>1.8934</v>
      </c>
      <c r="W1211" s="315">
        <v>2.0712999999999999</v>
      </c>
      <c r="X1211" s="315">
        <v>2.0312000000000001</v>
      </c>
      <c r="Y1211" s="315">
        <v>1.9036</v>
      </c>
      <c r="Z1211" s="315">
        <v>2.0464000000000002</v>
      </c>
      <c r="AA1211" s="315">
        <v>2.0865999999999998</v>
      </c>
      <c r="AB1211" s="315">
        <v>2.1051000000000002</v>
      </c>
      <c r="AC1211" s="315">
        <v>1.7295</v>
      </c>
      <c r="AD1211" s="315">
        <v>1.7229000000000001</v>
      </c>
      <c r="AE1211" s="315">
        <v>1.9633</v>
      </c>
      <c r="AF1211" s="315">
        <v>1.5639000000000001</v>
      </c>
      <c r="AG1211" s="315">
        <v>1.6772</v>
      </c>
      <c r="AH1211" s="315">
        <v>1.9592000000000001</v>
      </c>
      <c r="AI1211" s="315">
        <v>2.1953</v>
      </c>
      <c r="AJ1211" s="315">
        <v>1.7619</v>
      </c>
      <c r="AK1211" s="315">
        <v>1.8874</v>
      </c>
      <c r="AL1211" s="315">
        <v>2.0007000000000001</v>
      </c>
      <c r="AM1211" s="315">
        <v>2.1419999999999999</v>
      </c>
      <c r="AN1211" s="315">
        <v>1.9236</v>
      </c>
      <c r="AO1211" s="315">
        <v>2.0202</v>
      </c>
      <c r="AP1211" s="315">
        <v>2.1972</v>
      </c>
      <c r="AQ1211" s="315">
        <v>1.9206000000000001</v>
      </c>
      <c r="AR1211" s="315">
        <v>2.0137</v>
      </c>
      <c r="AS1211" s="315">
        <v>1.5671999999999999</v>
      </c>
      <c r="AT1211" s="315">
        <v>2.1472000000000002</v>
      </c>
      <c r="AU1211" s="315">
        <v>2.2856000000000001</v>
      </c>
      <c r="AV1211" s="315">
        <v>2.1814</v>
      </c>
      <c r="AW1211" s="315">
        <v>2.0851000000000002</v>
      </c>
      <c r="AX1211" s="315">
        <v>1.7656000000000001</v>
      </c>
      <c r="AY1211" s="315">
        <v>2.0615000000000001</v>
      </c>
      <c r="AZ1211" s="315">
        <v>1.9671000000000001</v>
      </c>
      <c r="BA1211" s="315">
        <v>1.7001999999999999</v>
      </c>
      <c r="BB1211" s="315">
        <v>1.5347999999999999</v>
      </c>
      <c r="BC1211" s="315">
        <v>2.1621999999999999</v>
      </c>
      <c r="BD1211" s="315">
        <v>2.2776999999999998</v>
      </c>
      <c r="BE1211" s="315">
        <v>2.2541000000000002</v>
      </c>
      <c r="BF1211" s="315">
        <v>2.0284</v>
      </c>
      <c r="BG1211" s="315">
        <v>2.2934000000000001</v>
      </c>
      <c r="BH1211" s="315">
        <v>2.0975999999999999</v>
      </c>
      <c r="BI1211" s="315">
        <v>2.2797999999999998</v>
      </c>
      <c r="BJ1211" s="315">
        <v>2.1907999999999999</v>
      </c>
      <c r="BK1211" s="315">
        <v>2.2591000000000001</v>
      </c>
    </row>
    <row r="1212" spans="1:63" x14ac:dyDescent="0.25">
      <c r="A1212" s="306">
        <v>713950</v>
      </c>
      <c r="B1212" s="315" t="s">
        <v>342</v>
      </c>
      <c r="C1212" s="315">
        <v>2.5836000000000001</v>
      </c>
      <c r="D1212" s="315">
        <v>1.6124000000000001</v>
      </c>
      <c r="E1212" s="315">
        <v>1.8262</v>
      </c>
      <c r="F1212" s="315">
        <v>1.7097</v>
      </c>
      <c r="G1212" s="315">
        <v>1.8849</v>
      </c>
      <c r="H1212" s="315">
        <v>2.1025</v>
      </c>
      <c r="I1212" s="315">
        <v>2.1230000000000002</v>
      </c>
      <c r="J1212" s="315">
        <v>1.8303</v>
      </c>
      <c r="K1212" s="315">
        <v>1.2902</v>
      </c>
      <c r="L1212" s="315">
        <v>1.7235</v>
      </c>
      <c r="M1212" s="315">
        <v>1.9491000000000001</v>
      </c>
      <c r="N1212" s="315">
        <v>2.1145999999999998</v>
      </c>
      <c r="O1212" s="315">
        <v>1.8357000000000001</v>
      </c>
      <c r="P1212" s="315">
        <v>1.6259999999999999</v>
      </c>
      <c r="Q1212" s="315">
        <v>1.6266</v>
      </c>
      <c r="R1212" s="315">
        <v>2.1606000000000001</v>
      </c>
      <c r="S1212" s="315">
        <v>1.8741000000000001</v>
      </c>
      <c r="T1212" s="315">
        <v>1.7191000000000001</v>
      </c>
      <c r="U1212" s="315">
        <v>1.9095</v>
      </c>
      <c r="V1212" s="315">
        <v>1.7645</v>
      </c>
      <c r="W1212" s="315">
        <v>1.9538</v>
      </c>
      <c r="X1212" s="315">
        <v>1.8845000000000001</v>
      </c>
      <c r="Y1212" s="315">
        <v>1.8290999999999999</v>
      </c>
      <c r="Z1212" s="315">
        <v>1.9260999999999999</v>
      </c>
      <c r="AA1212" s="315">
        <v>2.0003000000000002</v>
      </c>
      <c r="AB1212" s="315">
        <v>2.0213000000000001</v>
      </c>
      <c r="AC1212" s="315">
        <v>1.6426000000000001</v>
      </c>
      <c r="AD1212" s="315">
        <v>1.6326000000000001</v>
      </c>
      <c r="AE1212" s="315">
        <v>1.8728</v>
      </c>
      <c r="AF1212" s="315">
        <v>1.5629999999999999</v>
      </c>
      <c r="AG1212" s="315">
        <v>1.6465000000000001</v>
      </c>
      <c r="AH1212" s="315">
        <v>1.8481000000000001</v>
      </c>
      <c r="AI1212" s="315">
        <v>2.0466000000000002</v>
      </c>
      <c r="AJ1212" s="315">
        <v>1.7053</v>
      </c>
      <c r="AK1212" s="315">
        <v>1.73</v>
      </c>
      <c r="AL1212" s="315">
        <v>1.8671</v>
      </c>
      <c r="AM1212" s="315">
        <v>2.0560999999999998</v>
      </c>
      <c r="AN1212" s="315">
        <v>1.8483000000000001</v>
      </c>
      <c r="AO1212" s="315">
        <v>1.9388000000000001</v>
      </c>
      <c r="AP1212" s="315">
        <v>2.0868000000000002</v>
      </c>
      <c r="AQ1212" s="315">
        <v>1.8061</v>
      </c>
      <c r="AR1212" s="315">
        <v>1.8506</v>
      </c>
      <c r="AS1212" s="315">
        <v>1.5127999999999999</v>
      </c>
      <c r="AT1212" s="315">
        <v>2.0124</v>
      </c>
      <c r="AU1212" s="315">
        <v>2.1072000000000002</v>
      </c>
      <c r="AV1212" s="315">
        <v>2.0417999999999998</v>
      </c>
      <c r="AW1212" s="315">
        <v>1.9534</v>
      </c>
      <c r="AX1212" s="315">
        <v>1.7179</v>
      </c>
      <c r="AY1212" s="315">
        <v>1.9433</v>
      </c>
      <c r="AZ1212" s="315">
        <v>1.9373</v>
      </c>
      <c r="BA1212" s="315">
        <v>1.6124000000000001</v>
      </c>
      <c r="BB1212" s="315">
        <v>1.4691000000000001</v>
      </c>
      <c r="BC1212" s="315">
        <v>2.0341</v>
      </c>
      <c r="BD1212" s="315">
        <v>2.1331000000000002</v>
      </c>
      <c r="BE1212" s="315">
        <v>2.173</v>
      </c>
      <c r="BF1212" s="315">
        <v>1.9785999999999999</v>
      </c>
      <c r="BG1212" s="315">
        <v>2.1402000000000001</v>
      </c>
      <c r="BH1212" s="315">
        <v>2.0116000000000001</v>
      </c>
      <c r="BI1212" s="315">
        <v>2.1053999999999999</v>
      </c>
      <c r="BJ1212" s="315">
        <v>2.0495999999999999</v>
      </c>
      <c r="BK1212" s="315">
        <v>2.1291000000000002</v>
      </c>
    </row>
    <row r="1213" spans="1:63" x14ac:dyDescent="0.25">
      <c r="A1213" s="306" t="s">
        <v>783</v>
      </c>
      <c r="B1213" s="315" t="s">
        <v>343</v>
      </c>
      <c r="C1213" s="315">
        <v>2.5350999999999999</v>
      </c>
      <c r="D1213" s="315">
        <v>1.5949</v>
      </c>
      <c r="E1213" s="315">
        <v>1.798</v>
      </c>
      <c r="F1213" s="315">
        <v>1.6791</v>
      </c>
      <c r="G1213" s="315">
        <v>1.8505</v>
      </c>
      <c r="H1213" s="315">
        <v>2.0821999999999998</v>
      </c>
      <c r="I1213" s="315">
        <v>2.0762</v>
      </c>
      <c r="J1213" s="315">
        <v>1.8059000000000001</v>
      </c>
      <c r="K1213" s="315">
        <v>1.2915000000000001</v>
      </c>
      <c r="L1213" s="315">
        <v>1.7076</v>
      </c>
      <c r="M1213" s="315">
        <v>1.9348000000000001</v>
      </c>
      <c r="N1213" s="315">
        <v>2.0636999999999999</v>
      </c>
      <c r="O1213" s="315">
        <v>1.7914000000000001</v>
      </c>
      <c r="P1213" s="315">
        <v>1.5616000000000001</v>
      </c>
      <c r="Q1213" s="315">
        <v>1.6016999999999999</v>
      </c>
      <c r="R1213" s="315">
        <v>2.1052</v>
      </c>
      <c r="S1213" s="315">
        <v>1.7906</v>
      </c>
      <c r="T1213" s="315">
        <v>1.6525000000000001</v>
      </c>
      <c r="U1213" s="315">
        <v>1.8441000000000001</v>
      </c>
      <c r="V1213" s="315">
        <v>1.7593000000000001</v>
      </c>
      <c r="W1213" s="315">
        <v>1.9213</v>
      </c>
      <c r="X1213" s="315">
        <v>1.8569</v>
      </c>
      <c r="Y1213" s="315">
        <v>1.8053999999999999</v>
      </c>
      <c r="Z1213" s="315">
        <v>1.9194</v>
      </c>
      <c r="AA1213" s="315">
        <v>1.9377</v>
      </c>
      <c r="AB1213" s="315">
        <v>1.9682999999999999</v>
      </c>
      <c r="AC1213" s="315">
        <v>1.625</v>
      </c>
      <c r="AD1213" s="315">
        <v>1.62</v>
      </c>
      <c r="AE1213" s="315">
        <v>1.8501000000000001</v>
      </c>
      <c r="AF1213" s="315">
        <v>1.4998</v>
      </c>
      <c r="AG1213" s="315">
        <v>1.6023000000000001</v>
      </c>
      <c r="AH1213" s="315">
        <v>1.8148</v>
      </c>
      <c r="AI1213" s="315">
        <v>2.0242</v>
      </c>
      <c r="AJ1213" s="315">
        <v>1.6639999999999999</v>
      </c>
      <c r="AK1213" s="315">
        <v>1.7215</v>
      </c>
      <c r="AL1213" s="315">
        <v>1.8389</v>
      </c>
      <c r="AM1213" s="315">
        <v>1.9970000000000001</v>
      </c>
      <c r="AN1213" s="315">
        <v>1.8136000000000001</v>
      </c>
      <c r="AO1213" s="315">
        <v>1.8698999999999999</v>
      </c>
      <c r="AP1213" s="315">
        <v>2.0488</v>
      </c>
      <c r="AQ1213" s="315">
        <v>1.7835000000000001</v>
      </c>
      <c r="AR1213" s="315">
        <v>1.8386</v>
      </c>
      <c r="AS1213" s="315">
        <v>1.5007999999999999</v>
      </c>
      <c r="AT1213" s="315">
        <v>1.9762</v>
      </c>
      <c r="AU1213" s="315">
        <v>2.0914000000000001</v>
      </c>
      <c r="AV1213" s="315">
        <v>2.0007999999999999</v>
      </c>
      <c r="AW1213" s="315">
        <v>1.9196</v>
      </c>
      <c r="AX1213" s="315">
        <v>1.6866000000000001</v>
      </c>
      <c r="AY1213" s="315">
        <v>1.9019999999999999</v>
      </c>
      <c r="AZ1213" s="315">
        <v>1.8717999999999999</v>
      </c>
      <c r="BA1213" s="315">
        <v>1.5955999999999999</v>
      </c>
      <c r="BB1213" s="315">
        <v>1.4490000000000001</v>
      </c>
      <c r="BC1213" s="315">
        <v>2.0139</v>
      </c>
      <c r="BD1213" s="315">
        <v>2.1036000000000001</v>
      </c>
      <c r="BE1213" s="315">
        <v>2.1152000000000002</v>
      </c>
      <c r="BF1213" s="315">
        <v>1.9113</v>
      </c>
      <c r="BG1213" s="315">
        <v>2.1189</v>
      </c>
      <c r="BH1213" s="315">
        <v>1.9581</v>
      </c>
      <c r="BI1213" s="315">
        <v>2.0834999999999999</v>
      </c>
      <c r="BJ1213" s="315">
        <v>2.0034000000000001</v>
      </c>
      <c r="BK1213" s="315">
        <v>2.1019000000000001</v>
      </c>
    </row>
    <row r="1214" spans="1:63" x14ac:dyDescent="0.25">
      <c r="A1214" s="306" t="s">
        <v>784</v>
      </c>
      <c r="B1214" s="315" t="s">
        <v>344</v>
      </c>
      <c r="C1214" s="315">
        <v>2.6147</v>
      </c>
      <c r="D1214" s="315">
        <v>1.6491</v>
      </c>
      <c r="E1214" s="315">
        <v>1.8815</v>
      </c>
      <c r="F1214" s="315">
        <v>1.7301</v>
      </c>
      <c r="G1214" s="315">
        <v>1.9255</v>
      </c>
      <c r="H1214" s="315">
        <v>2.1295000000000002</v>
      </c>
      <c r="I1214" s="315">
        <v>2.1254</v>
      </c>
      <c r="J1214" s="315">
        <v>1.8668</v>
      </c>
      <c r="K1214" s="315">
        <v>1.3290999999999999</v>
      </c>
      <c r="L1214" s="315">
        <v>1.7824</v>
      </c>
      <c r="M1214" s="315">
        <v>2.0002</v>
      </c>
      <c r="N1214" s="315">
        <v>2.1360000000000001</v>
      </c>
      <c r="O1214" s="315">
        <v>1.8506</v>
      </c>
      <c r="P1214" s="315">
        <v>1.585</v>
      </c>
      <c r="Q1214" s="315">
        <v>1.6356999999999999</v>
      </c>
      <c r="R1214" s="315">
        <v>2.1675</v>
      </c>
      <c r="S1214" s="315">
        <v>1.8582000000000001</v>
      </c>
      <c r="T1214" s="315">
        <v>1.6953</v>
      </c>
      <c r="U1214" s="315">
        <v>1.9013</v>
      </c>
      <c r="V1214" s="315">
        <v>1.8184</v>
      </c>
      <c r="W1214" s="315">
        <v>1.9730000000000001</v>
      </c>
      <c r="X1214" s="315">
        <v>1.921</v>
      </c>
      <c r="Y1214" s="315">
        <v>1.8453999999999999</v>
      </c>
      <c r="Z1214" s="315">
        <v>1.9659</v>
      </c>
      <c r="AA1214" s="315">
        <v>1.9834000000000001</v>
      </c>
      <c r="AB1214" s="315">
        <v>2.0121000000000002</v>
      </c>
      <c r="AC1214" s="315">
        <v>1.6869000000000001</v>
      </c>
      <c r="AD1214" s="315">
        <v>1.6617999999999999</v>
      </c>
      <c r="AE1214" s="315">
        <v>1.9053</v>
      </c>
      <c r="AF1214" s="315">
        <v>1.5262</v>
      </c>
      <c r="AG1214" s="315">
        <v>1.6204000000000001</v>
      </c>
      <c r="AH1214" s="315">
        <v>1.8806</v>
      </c>
      <c r="AI1214" s="315">
        <v>2.0876999999999999</v>
      </c>
      <c r="AJ1214" s="315">
        <v>1.7069000000000001</v>
      </c>
      <c r="AK1214" s="315">
        <v>1.7858000000000001</v>
      </c>
      <c r="AL1214" s="315">
        <v>1.8934</v>
      </c>
      <c r="AM1214" s="315">
        <v>2.0638000000000001</v>
      </c>
      <c r="AN1214" s="315">
        <v>1.8514999999999999</v>
      </c>
      <c r="AO1214" s="315">
        <v>1.9378</v>
      </c>
      <c r="AP1214" s="315">
        <v>2.1086999999999998</v>
      </c>
      <c r="AQ1214" s="315">
        <v>1.8439000000000001</v>
      </c>
      <c r="AR1214" s="315">
        <v>1.9551000000000001</v>
      </c>
      <c r="AS1214" s="315">
        <v>1.5182</v>
      </c>
      <c r="AT1214" s="315">
        <v>2.0668000000000002</v>
      </c>
      <c r="AU1214" s="315">
        <v>2.1690999999999998</v>
      </c>
      <c r="AV1214" s="315">
        <v>2.0674999999999999</v>
      </c>
      <c r="AW1214" s="315">
        <v>1.9843</v>
      </c>
      <c r="AX1214" s="315">
        <v>1.7155</v>
      </c>
      <c r="AY1214" s="315">
        <v>1.9751000000000001</v>
      </c>
      <c r="AZ1214" s="315">
        <v>1.901</v>
      </c>
      <c r="BA1214" s="315">
        <v>1.6479999999999999</v>
      </c>
      <c r="BB1214" s="315">
        <v>1.4926999999999999</v>
      </c>
      <c r="BC1214" s="315">
        <v>2.0686</v>
      </c>
      <c r="BD1214" s="315">
        <v>2.1619000000000002</v>
      </c>
      <c r="BE1214" s="315">
        <v>2.1610999999999998</v>
      </c>
      <c r="BF1214" s="315">
        <v>1.9469000000000001</v>
      </c>
      <c r="BG1214" s="315">
        <v>2.1911999999999998</v>
      </c>
      <c r="BH1214" s="315">
        <v>2.0482</v>
      </c>
      <c r="BI1214" s="315">
        <v>2.1669999999999998</v>
      </c>
      <c r="BJ1214" s="315">
        <v>2.0766</v>
      </c>
      <c r="BK1214" s="315">
        <v>2.1589</v>
      </c>
    </row>
    <row r="1215" spans="1:63" x14ac:dyDescent="0.25">
      <c r="A1215" s="306" t="s">
        <v>785</v>
      </c>
      <c r="B1215" s="315" t="s">
        <v>345</v>
      </c>
      <c r="C1215" s="315">
        <v>2.5055000000000001</v>
      </c>
      <c r="D1215" s="315">
        <v>1.6039000000000001</v>
      </c>
      <c r="E1215" s="315">
        <v>1.7957000000000001</v>
      </c>
      <c r="F1215" s="315">
        <v>1.6998</v>
      </c>
      <c r="G1215" s="315">
        <v>1.8460000000000001</v>
      </c>
      <c r="H1215" s="315">
        <v>2.0518000000000001</v>
      </c>
      <c r="I1215" s="315">
        <v>2.0562</v>
      </c>
      <c r="J1215" s="315">
        <v>1.8425</v>
      </c>
      <c r="K1215" s="315">
        <v>1.3170999999999999</v>
      </c>
      <c r="L1215" s="315">
        <v>1.7544999999999999</v>
      </c>
      <c r="M1215" s="315">
        <v>1.9176</v>
      </c>
      <c r="N1215" s="315">
        <v>2.0617000000000001</v>
      </c>
      <c r="O1215" s="315">
        <v>1.7954000000000001</v>
      </c>
      <c r="P1215" s="315">
        <v>1.5802</v>
      </c>
      <c r="Q1215" s="315">
        <v>1.6037999999999999</v>
      </c>
      <c r="R1215" s="315">
        <v>2.1040999999999999</v>
      </c>
      <c r="S1215" s="315">
        <v>1.83</v>
      </c>
      <c r="T1215" s="315">
        <v>1.659</v>
      </c>
      <c r="U1215" s="315">
        <v>1.8403</v>
      </c>
      <c r="V1215" s="315">
        <v>1.7723</v>
      </c>
      <c r="W1215" s="315">
        <v>1.9359</v>
      </c>
      <c r="X1215" s="315">
        <v>1.8152999999999999</v>
      </c>
      <c r="Y1215" s="315">
        <v>1.7945</v>
      </c>
      <c r="Z1215" s="315">
        <v>1.9233</v>
      </c>
      <c r="AA1215" s="315">
        <v>1.9311</v>
      </c>
      <c r="AB1215" s="315">
        <v>1.9563999999999999</v>
      </c>
      <c r="AC1215" s="315">
        <v>1.6600999999999999</v>
      </c>
      <c r="AD1215" s="315">
        <v>1.6062000000000001</v>
      </c>
      <c r="AE1215" s="315">
        <v>1.8435999999999999</v>
      </c>
      <c r="AF1215" s="315">
        <v>1.5044999999999999</v>
      </c>
      <c r="AG1215" s="315">
        <v>1.5916999999999999</v>
      </c>
      <c r="AH1215" s="315">
        <v>1.8150999999999999</v>
      </c>
      <c r="AI1215" s="315">
        <v>1.9914000000000001</v>
      </c>
      <c r="AJ1215" s="315">
        <v>1.6580999999999999</v>
      </c>
      <c r="AK1215" s="315">
        <v>1.74</v>
      </c>
      <c r="AL1215" s="315">
        <v>1.8393999999999999</v>
      </c>
      <c r="AM1215" s="315">
        <v>2.0030000000000001</v>
      </c>
      <c r="AN1215" s="315">
        <v>1.8062</v>
      </c>
      <c r="AO1215" s="315">
        <v>1.8775999999999999</v>
      </c>
      <c r="AP1215" s="315">
        <v>2.0512000000000001</v>
      </c>
      <c r="AQ1215" s="315">
        <v>1.7911999999999999</v>
      </c>
      <c r="AR1215" s="315">
        <v>1.8548</v>
      </c>
      <c r="AS1215" s="315">
        <v>1.4950000000000001</v>
      </c>
      <c r="AT1215" s="315">
        <v>1.99</v>
      </c>
      <c r="AU1215" s="315">
        <v>2.0632999999999999</v>
      </c>
      <c r="AV1215" s="315">
        <v>2.0175999999999998</v>
      </c>
      <c r="AW1215" s="315">
        <v>1.9157</v>
      </c>
      <c r="AX1215" s="315">
        <v>1.6640999999999999</v>
      </c>
      <c r="AY1215" s="315">
        <v>1.9006000000000001</v>
      </c>
      <c r="AZ1215" s="315">
        <v>1.8671</v>
      </c>
      <c r="BA1215" s="315">
        <v>1.6087</v>
      </c>
      <c r="BB1215" s="315">
        <v>1.4585999999999999</v>
      </c>
      <c r="BC1215" s="315">
        <v>2.0154000000000001</v>
      </c>
      <c r="BD1215" s="315">
        <v>2.0922000000000001</v>
      </c>
      <c r="BE1215" s="315">
        <v>2.1069</v>
      </c>
      <c r="BF1215" s="315">
        <v>1.9039999999999999</v>
      </c>
      <c r="BG1215" s="315">
        <v>2.1067999999999998</v>
      </c>
      <c r="BH1215" s="315">
        <v>1.9574</v>
      </c>
      <c r="BI1215" s="315">
        <v>2.0663999999999998</v>
      </c>
      <c r="BJ1215" s="315">
        <v>1.9970000000000001</v>
      </c>
      <c r="BK1215" s="315">
        <v>2.0794999999999999</v>
      </c>
    </row>
    <row r="1216" spans="1:63" x14ac:dyDescent="0.25">
      <c r="A1216" s="306" t="s">
        <v>786</v>
      </c>
      <c r="B1216" s="315" t="s">
        <v>346</v>
      </c>
      <c r="C1216" s="315">
        <v>2.5083000000000002</v>
      </c>
      <c r="D1216" s="315">
        <v>1.6435999999999999</v>
      </c>
      <c r="E1216" s="315">
        <v>1.8378000000000001</v>
      </c>
      <c r="F1216" s="315">
        <v>1.7205999999999999</v>
      </c>
      <c r="G1216" s="315">
        <v>1.8797999999999999</v>
      </c>
      <c r="H1216" s="315">
        <v>2.056</v>
      </c>
      <c r="I1216" s="315">
        <v>2.0811999999999999</v>
      </c>
      <c r="J1216" s="315">
        <v>1.8593999999999999</v>
      </c>
      <c r="K1216" s="315">
        <v>1.3486</v>
      </c>
      <c r="L1216" s="315">
        <v>1.7888999999999999</v>
      </c>
      <c r="M1216" s="315">
        <v>1.9397</v>
      </c>
      <c r="N1216" s="315">
        <v>2.0815999999999999</v>
      </c>
      <c r="O1216" s="315">
        <v>1.8262</v>
      </c>
      <c r="P1216" s="315">
        <v>1.591</v>
      </c>
      <c r="Q1216" s="315">
        <v>1.6117999999999999</v>
      </c>
      <c r="R1216" s="315">
        <v>2.1164000000000001</v>
      </c>
      <c r="S1216" s="315">
        <v>1.8654999999999999</v>
      </c>
      <c r="T1216" s="315">
        <v>1.6809000000000001</v>
      </c>
      <c r="U1216" s="315">
        <v>1.8856999999999999</v>
      </c>
      <c r="V1216" s="315">
        <v>1.8045</v>
      </c>
      <c r="W1216" s="315">
        <v>1.9451000000000001</v>
      </c>
      <c r="X1216" s="315">
        <v>1.8643000000000001</v>
      </c>
      <c r="Y1216" s="315">
        <v>1.8067</v>
      </c>
      <c r="Z1216" s="315">
        <v>1.9247000000000001</v>
      </c>
      <c r="AA1216" s="315">
        <v>1.9388000000000001</v>
      </c>
      <c r="AB1216" s="315">
        <v>1.9774</v>
      </c>
      <c r="AC1216" s="315">
        <v>1.6891</v>
      </c>
      <c r="AD1216" s="315">
        <v>1.6400999999999999</v>
      </c>
      <c r="AE1216" s="315">
        <v>1.8577999999999999</v>
      </c>
      <c r="AF1216" s="315">
        <v>1.5175000000000001</v>
      </c>
      <c r="AG1216" s="315">
        <v>1.6040000000000001</v>
      </c>
      <c r="AH1216" s="315">
        <v>1.8504</v>
      </c>
      <c r="AI1216" s="315">
        <v>2.0118999999999998</v>
      </c>
      <c r="AJ1216" s="315">
        <v>1.6916</v>
      </c>
      <c r="AK1216" s="315">
        <v>1.7529999999999999</v>
      </c>
      <c r="AL1216" s="315">
        <v>1.85</v>
      </c>
      <c r="AM1216" s="315">
        <v>2.0249999999999999</v>
      </c>
      <c r="AN1216" s="315">
        <v>1.8492</v>
      </c>
      <c r="AO1216" s="315">
        <v>1.9089</v>
      </c>
      <c r="AP1216" s="315">
        <v>2.0621999999999998</v>
      </c>
      <c r="AQ1216" s="315">
        <v>1.8170999999999999</v>
      </c>
      <c r="AR1216" s="315">
        <v>1.9031</v>
      </c>
      <c r="AS1216" s="315">
        <v>1.4977</v>
      </c>
      <c r="AT1216" s="315">
        <v>2.0145</v>
      </c>
      <c r="AU1216" s="315">
        <v>2.1029</v>
      </c>
      <c r="AV1216" s="315">
        <v>2.0238</v>
      </c>
      <c r="AW1216" s="315">
        <v>1.9457</v>
      </c>
      <c r="AX1216" s="315">
        <v>1.6892</v>
      </c>
      <c r="AY1216" s="315">
        <v>1.9289000000000001</v>
      </c>
      <c r="AZ1216" s="315">
        <v>1.8726</v>
      </c>
      <c r="BA1216" s="315">
        <v>1.6411</v>
      </c>
      <c r="BB1216" s="315">
        <v>1.4877</v>
      </c>
      <c r="BC1216" s="315">
        <v>2.0179999999999998</v>
      </c>
      <c r="BD1216" s="315">
        <v>2.0899000000000001</v>
      </c>
      <c r="BE1216" s="315">
        <v>2.1139000000000001</v>
      </c>
      <c r="BF1216" s="315">
        <v>1.9144000000000001</v>
      </c>
      <c r="BG1216" s="315">
        <v>2.1221000000000001</v>
      </c>
      <c r="BH1216" s="315">
        <v>1.9883999999999999</v>
      </c>
      <c r="BI1216" s="315">
        <v>2.1057999999999999</v>
      </c>
      <c r="BJ1216" s="315">
        <v>2.0247000000000002</v>
      </c>
      <c r="BK1216" s="315">
        <v>2.0867</v>
      </c>
    </row>
    <row r="1217" spans="1:63" x14ac:dyDescent="0.25">
      <c r="A1217" s="306">
        <v>722000</v>
      </c>
      <c r="B1217" s="315" t="s">
        <v>347</v>
      </c>
      <c r="C1217" s="315">
        <v>2.8637000000000001</v>
      </c>
      <c r="D1217" s="315">
        <v>1.6274999999999999</v>
      </c>
      <c r="E1217" s="315">
        <v>1.9639</v>
      </c>
      <c r="F1217" s="315">
        <v>1.9152</v>
      </c>
      <c r="G1217" s="315">
        <v>1.9398</v>
      </c>
      <c r="H1217" s="315">
        <v>2.2246999999999999</v>
      </c>
      <c r="I1217" s="315">
        <v>2.2162999999999999</v>
      </c>
      <c r="J1217" s="315">
        <v>1.9352</v>
      </c>
      <c r="K1217" s="315">
        <v>1.3081</v>
      </c>
      <c r="L1217" s="315">
        <v>1.82</v>
      </c>
      <c r="M1217" s="315">
        <v>2.0202</v>
      </c>
      <c r="N1217" s="315">
        <v>2.2427999999999999</v>
      </c>
      <c r="O1217" s="315">
        <v>1.8623000000000001</v>
      </c>
      <c r="P1217" s="315">
        <v>1.7643</v>
      </c>
      <c r="Q1217" s="315">
        <v>1.7488999999999999</v>
      </c>
      <c r="R1217" s="315">
        <v>2.2968000000000002</v>
      </c>
      <c r="S1217" s="315">
        <v>2.0657000000000001</v>
      </c>
      <c r="T1217" s="315">
        <v>1.7778</v>
      </c>
      <c r="U1217" s="315">
        <v>2.0831</v>
      </c>
      <c r="V1217" s="315">
        <v>1.8944000000000001</v>
      </c>
      <c r="W1217" s="315">
        <v>2.0381999999999998</v>
      </c>
      <c r="X1217" s="315">
        <v>1.9508000000000001</v>
      </c>
      <c r="Y1217" s="315">
        <v>1.9045000000000001</v>
      </c>
      <c r="Z1217" s="315">
        <v>2.0773999999999999</v>
      </c>
      <c r="AA1217" s="315">
        <v>2.1836000000000002</v>
      </c>
      <c r="AB1217" s="315">
        <v>2.2004000000000001</v>
      </c>
      <c r="AC1217" s="315">
        <v>1.8136000000000001</v>
      </c>
      <c r="AD1217" s="315">
        <v>1.6867000000000001</v>
      </c>
      <c r="AE1217" s="315">
        <v>2.0287000000000002</v>
      </c>
      <c r="AF1217" s="315">
        <v>1.6024</v>
      </c>
      <c r="AG1217" s="315">
        <v>1.7170000000000001</v>
      </c>
      <c r="AH1217" s="315">
        <v>1.8849</v>
      </c>
      <c r="AI1217" s="315">
        <v>2.1185</v>
      </c>
      <c r="AJ1217" s="315">
        <v>1.7284999999999999</v>
      </c>
      <c r="AK1217" s="315">
        <v>1.8059000000000001</v>
      </c>
      <c r="AL1217" s="315">
        <v>1.9380999999999999</v>
      </c>
      <c r="AM1217" s="315">
        <v>2.2239</v>
      </c>
      <c r="AN1217" s="315">
        <v>1.9588000000000001</v>
      </c>
      <c r="AO1217" s="315">
        <v>2.0535000000000001</v>
      </c>
      <c r="AP1217" s="315">
        <v>2.2623000000000002</v>
      </c>
      <c r="AQ1217" s="315">
        <v>1.8772</v>
      </c>
      <c r="AR1217" s="315">
        <v>2.0074999999999998</v>
      </c>
      <c r="AS1217" s="315">
        <v>1.6337999999999999</v>
      </c>
      <c r="AT1217" s="315">
        <v>2.1875</v>
      </c>
      <c r="AU1217" s="315">
        <v>2.2673999999999999</v>
      </c>
      <c r="AV1217" s="315">
        <v>2.1995</v>
      </c>
      <c r="AW1217" s="315">
        <v>2.0592000000000001</v>
      </c>
      <c r="AX1217" s="315">
        <v>1.7403</v>
      </c>
      <c r="AY1217" s="315">
        <v>2.0583999999999998</v>
      </c>
      <c r="AZ1217" s="315">
        <v>2.0876999999999999</v>
      </c>
      <c r="BA1217" s="315">
        <v>1.696</v>
      </c>
      <c r="BB1217" s="315">
        <v>1.5025999999999999</v>
      </c>
      <c r="BC1217" s="315">
        <v>2.1371000000000002</v>
      </c>
      <c r="BD1217" s="315">
        <v>2.2437999999999998</v>
      </c>
      <c r="BE1217" s="315">
        <v>2.3593999999999999</v>
      </c>
      <c r="BF1217" s="315">
        <v>2.1558000000000002</v>
      </c>
      <c r="BG1217" s="315">
        <v>2.2843</v>
      </c>
      <c r="BH1217" s="315">
        <v>2.1991999999999998</v>
      </c>
      <c r="BI1217" s="315">
        <v>2.3037999999999998</v>
      </c>
      <c r="BJ1217" s="315">
        <v>2.1669</v>
      </c>
      <c r="BK1217" s="315">
        <v>2.2671000000000001</v>
      </c>
    </row>
    <row r="1218" spans="1:63" x14ac:dyDescent="0.25">
      <c r="A1218" s="306">
        <v>811192</v>
      </c>
      <c r="B1218" s="315" t="s">
        <v>349</v>
      </c>
      <c r="C1218" s="315">
        <v>2.6993</v>
      </c>
      <c r="D1218" s="315">
        <v>1.6577</v>
      </c>
      <c r="E1218" s="315">
        <v>1.9426000000000001</v>
      </c>
      <c r="F1218" s="315">
        <v>1.7845</v>
      </c>
      <c r="G1218" s="315">
        <v>1.9447000000000001</v>
      </c>
      <c r="H1218" s="315">
        <v>2.1408</v>
      </c>
      <c r="I1218" s="315">
        <v>2.1225999999999998</v>
      </c>
      <c r="J1218" s="315">
        <v>1.9438</v>
      </c>
      <c r="K1218" s="315">
        <v>1.3229</v>
      </c>
      <c r="L1218" s="315">
        <v>1.782</v>
      </c>
      <c r="M1218" s="315">
        <v>1.9923999999999999</v>
      </c>
      <c r="N1218" s="315">
        <v>2.1629999999999998</v>
      </c>
      <c r="O1218" s="315">
        <v>1.8331999999999999</v>
      </c>
      <c r="P1218" s="315">
        <v>1.6860999999999999</v>
      </c>
      <c r="Q1218" s="315">
        <v>1.6267</v>
      </c>
      <c r="R1218" s="315">
        <v>2.2528999999999999</v>
      </c>
      <c r="S1218" s="315">
        <v>1.9917</v>
      </c>
      <c r="T1218" s="315">
        <v>1.7370000000000001</v>
      </c>
      <c r="U1218" s="315">
        <v>1.9966999999999999</v>
      </c>
      <c r="V1218" s="315">
        <v>1.8354999999999999</v>
      </c>
      <c r="W1218" s="315">
        <v>1.9587000000000001</v>
      </c>
      <c r="X1218" s="315">
        <v>1.9477</v>
      </c>
      <c r="Y1218" s="315">
        <v>1.8411999999999999</v>
      </c>
      <c r="Z1218" s="315">
        <v>2.0598000000000001</v>
      </c>
      <c r="AA1218" s="315">
        <v>1.9715</v>
      </c>
      <c r="AB1218" s="315">
        <v>2.0838999999999999</v>
      </c>
      <c r="AC1218" s="315">
        <v>1.7945</v>
      </c>
      <c r="AD1218" s="315">
        <v>1.6638999999999999</v>
      </c>
      <c r="AE1218" s="315">
        <v>1.9644999999999999</v>
      </c>
      <c r="AF1218" s="315">
        <v>1.5378000000000001</v>
      </c>
      <c r="AG1218" s="315">
        <v>1.6532</v>
      </c>
      <c r="AH1218" s="315">
        <v>1.881</v>
      </c>
      <c r="AI1218" s="315">
        <v>2.0958000000000001</v>
      </c>
      <c r="AJ1218" s="315">
        <v>1.7174</v>
      </c>
      <c r="AK1218" s="315">
        <v>1.7819</v>
      </c>
      <c r="AL1218" s="315">
        <v>1.9247000000000001</v>
      </c>
      <c r="AM1218" s="315">
        <v>2.1671999999999998</v>
      </c>
      <c r="AN1218" s="315">
        <v>1.9117</v>
      </c>
      <c r="AO1218" s="315">
        <v>1.9240999999999999</v>
      </c>
      <c r="AP1218" s="315">
        <v>2.1341000000000001</v>
      </c>
      <c r="AQ1218" s="315">
        <v>1.8462000000000001</v>
      </c>
      <c r="AR1218" s="315">
        <v>2.0377999999999998</v>
      </c>
      <c r="AS1218" s="315">
        <v>1.5355000000000001</v>
      </c>
      <c r="AT1218" s="315">
        <v>2.1341000000000001</v>
      </c>
      <c r="AU1218" s="315">
        <v>2.2128000000000001</v>
      </c>
      <c r="AV1218" s="315">
        <v>2.1448999999999998</v>
      </c>
      <c r="AW1218" s="315">
        <v>2.0011000000000001</v>
      </c>
      <c r="AX1218" s="315">
        <v>1.7592000000000001</v>
      </c>
      <c r="AY1218" s="315">
        <v>1.9653</v>
      </c>
      <c r="AZ1218" s="315">
        <v>1.9745999999999999</v>
      </c>
      <c r="BA1218" s="315">
        <v>1.7351000000000001</v>
      </c>
      <c r="BB1218" s="315">
        <v>1.5107999999999999</v>
      </c>
      <c r="BC1218" s="315">
        <v>2.0708000000000002</v>
      </c>
      <c r="BD1218" s="315">
        <v>2.1878000000000002</v>
      </c>
      <c r="BE1218" s="315">
        <v>2.2650000000000001</v>
      </c>
      <c r="BF1218" s="315">
        <v>1.9946999999999999</v>
      </c>
      <c r="BG1218" s="315">
        <v>2.2147000000000001</v>
      </c>
      <c r="BH1218" s="315">
        <v>2.1252</v>
      </c>
      <c r="BI1218" s="315">
        <v>2.2103999999999999</v>
      </c>
      <c r="BJ1218" s="315">
        <v>2.0863</v>
      </c>
      <c r="BK1218" s="315">
        <v>2.1595</v>
      </c>
    </row>
    <row r="1219" spans="1:63" x14ac:dyDescent="0.25">
      <c r="A1219" s="306" t="s">
        <v>787</v>
      </c>
      <c r="B1219" s="315" t="s">
        <v>348</v>
      </c>
      <c r="C1219" s="315">
        <v>2.7157</v>
      </c>
      <c r="D1219" s="315">
        <v>1.6031</v>
      </c>
      <c r="E1219" s="315">
        <v>2.0024999999999999</v>
      </c>
      <c r="F1219" s="315">
        <v>1.8395999999999999</v>
      </c>
      <c r="G1219" s="315">
        <v>1.9104000000000001</v>
      </c>
      <c r="H1219" s="315">
        <v>2.0943000000000001</v>
      </c>
      <c r="I1219" s="315">
        <v>2.0693999999999999</v>
      </c>
      <c r="J1219" s="315">
        <v>1.9484999999999999</v>
      </c>
      <c r="K1219" s="315">
        <v>1.2668999999999999</v>
      </c>
      <c r="L1219" s="315">
        <v>1.7370000000000001</v>
      </c>
      <c r="M1219" s="315">
        <v>1.9544999999999999</v>
      </c>
      <c r="N1219" s="315">
        <v>2.1497999999999999</v>
      </c>
      <c r="O1219" s="315">
        <v>1.7867</v>
      </c>
      <c r="P1219" s="315">
        <v>1.7397</v>
      </c>
      <c r="Q1219" s="315">
        <v>1.6259999999999999</v>
      </c>
      <c r="R1219" s="315">
        <v>2.2711000000000001</v>
      </c>
      <c r="S1219" s="315">
        <v>2.0508999999999999</v>
      </c>
      <c r="T1219" s="315">
        <v>1.7045999999999999</v>
      </c>
      <c r="U1219" s="315">
        <v>2.0358000000000001</v>
      </c>
      <c r="V1219" s="315">
        <v>1.7712000000000001</v>
      </c>
      <c r="W1219" s="315">
        <v>1.9592000000000001</v>
      </c>
      <c r="X1219" s="315">
        <v>1.9131</v>
      </c>
      <c r="Y1219" s="315">
        <v>1.8357000000000001</v>
      </c>
      <c r="Z1219" s="315">
        <v>2.1153</v>
      </c>
      <c r="AA1219" s="315">
        <v>1.9773000000000001</v>
      </c>
      <c r="AB1219" s="315">
        <v>2.12</v>
      </c>
      <c r="AC1219" s="315">
        <v>1.8309</v>
      </c>
      <c r="AD1219" s="315">
        <v>1.6222000000000001</v>
      </c>
      <c r="AE1219" s="315">
        <v>2.0192000000000001</v>
      </c>
      <c r="AF1219" s="315">
        <v>1.5428999999999999</v>
      </c>
      <c r="AG1219" s="315">
        <v>1.6819</v>
      </c>
      <c r="AH1219" s="315">
        <v>1.8966000000000001</v>
      </c>
      <c r="AI1219" s="315">
        <v>2.0432999999999999</v>
      </c>
      <c r="AJ1219" s="315">
        <v>1.6797</v>
      </c>
      <c r="AK1219" s="315">
        <v>1.7615000000000001</v>
      </c>
      <c r="AL1219" s="315">
        <v>1.895</v>
      </c>
      <c r="AM1219" s="315">
        <v>2.2097000000000002</v>
      </c>
      <c r="AN1219" s="315">
        <v>1.8972</v>
      </c>
      <c r="AO1219" s="315">
        <v>1.9311</v>
      </c>
      <c r="AP1219" s="315">
        <v>2.1364999999999998</v>
      </c>
      <c r="AQ1219" s="315">
        <v>1.8349</v>
      </c>
      <c r="AR1219" s="315">
        <v>2.0836999999999999</v>
      </c>
      <c r="AS1219" s="315">
        <v>1.5454000000000001</v>
      </c>
      <c r="AT1219" s="315">
        <v>2.1648000000000001</v>
      </c>
      <c r="AU1219" s="315">
        <v>2.1598000000000002</v>
      </c>
      <c r="AV1219" s="315">
        <v>2.1402999999999999</v>
      </c>
      <c r="AW1219" s="315">
        <v>1.9833000000000001</v>
      </c>
      <c r="AX1219" s="315">
        <v>1.7806999999999999</v>
      </c>
      <c r="AY1219" s="315">
        <v>1.9337</v>
      </c>
      <c r="AZ1219" s="315">
        <v>2.0388000000000002</v>
      </c>
      <c r="BA1219" s="315">
        <v>1.7753000000000001</v>
      </c>
      <c r="BB1219" s="315">
        <v>1.4939</v>
      </c>
      <c r="BC1219" s="315">
        <v>2.0768</v>
      </c>
      <c r="BD1219" s="315">
        <v>2.1528</v>
      </c>
      <c r="BE1219" s="315">
        <v>2.3102</v>
      </c>
      <c r="BF1219" s="315">
        <v>2.0137</v>
      </c>
      <c r="BG1219" s="315">
        <v>2.1901999999999999</v>
      </c>
      <c r="BH1219" s="315">
        <v>2.1638999999999999</v>
      </c>
      <c r="BI1219" s="315">
        <v>2.1629</v>
      </c>
      <c r="BJ1219" s="315">
        <v>2.0314000000000001</v>
      </c>
      <c r="BK1219" s="315">
        <v>2.1128</v>
      </c>
    </row>
    <row r="1220" spans="1:63" x14ac:dyDescent="0.25">
      <c r="A1220" s="306">
        <v>811200</v>
      </c>
      <c r="B1220" s="315" t="s">
        <v>350</v>
      </c>
      <c r="C1220" s="315">
        <v>2.6063000000000001</v>
      </c>
      <c r="D1220" s="315">
        <v>1.6063000000000001</v>
      </c>
      <c r="E1220" s="315">
        <v>1.8576999999999999</v>
      </c>
      <c r="F1220" s="315">
        <v>1.716</v>
      </c>
      <c r="G1220" s="315">
        <v>1.9531000000000001</v>
      </c>
      <c r="H1220" s="315">
        <v>2.1373000000000002</v>
      </c>
      <c r="I1220" s="315">
        <v>2.0832000000000002</v>
      </c>
      <c r="J1220" s="315">
        <v>1.8746</v>
      </c>
      <c r="K1220" s="315">
        <v>1.2386999999999999</v>
      </c>
      <c r="L1220" s="315">
        <v>1.6981999999999999</v>
      </c>
      <c r="M1220" s="315">
        <v>1.9923999999999999</v>
      </c>
      <c r="N1220" s="315">
        <v>2.0739000000000001</v>
      </c>
      <c r="O1220" s="315">
        <v>1.7795000000000001</v>
      </c>
      <c r="P1220" s="315">
        <v>1.5992</v>
      </c>
      <c r="Q1220" s="315">
        <v>1.6382000000000001</v>
      </c>
      <c r="R1220" s="315">
        <v>2.153</v>
      </c>
      <c r="S1220" s="315">
        <v>1.9301999999999999</v>
      </c>
      <c r="T1220" s="315">
        <v>1.6543000000000001</v>
      </c>
      <c r="U1220" s="315">
        <v>1.8814</v>
      </c>
      <c r="V1220" s="315">
        <v>1.7656000000000001</v>
      </c>
      <c r="W1220" s="315">
        <v>1.9621999999999999</v>
      </c>
      <c r="X1220" s="315">
        <v>1.8592</v>
      </c>
      <c r="Y1220" s="315">
        <v>1.8379000000000001</v>
      </c>
      <c r="Z1220" s="315">
        <v>1.996</v>
      </c>
      <c r="AA1220" s="315">
        <v>1.9565999999999999</v>
      </c>
      <c r="AB1220" s="315">
        <v>1.9089</v>
      </c>
      <c r="AC1220" s="315">
        <v>1.7117</v>
      </c>
      <c r="AD1220" s="315">
        <v>1.6096999999999999</v>
      </c>
      <c r="AE1220" s="315">
        <v>1.9298</v>
      </c>
      <c r="AF1220" s="315">
        <v>1.4418</v>
      </c>
      <c r="AG1220" s="315">
        <v>1.5728</v>
      </c>
      <c r="AH1220" s="315">
        <v>1.8092999999999999</v>
      </c>
      <c r="AI1220" s="315">
        <v>2.0192000000000001</v>
      </c>
      <c r="AJ1220" s="315">
        <v>1.7190000000000001</v>
      </c>
      <c r="AK1220" s="315">
        <v>1.7613000000000001</v>
      </c>
      <c r="AL1220" s="315">
        <v>1.8529</v>
      </c>
      <c r="AM1220" s="315">
        <v>2.0817999999999999</v>
      </c>
      <c r="AN1220" s="315">
        <v>1.8479000000000001</v>
      </c>
      <c r="AO1220" s="315">
        <v>1.8915</v>
      </c>
      <c r="AP1220" s="315">
        <v>2.0541999999999998</v>
      </c>
      <c r="AQ1220" s="315">
        <v>1.8093999999999999</v>
      </c>
      <c r="AR1220" s="315">
        <v>1.9308000000000001</v>
      </c>
      <c r="AS1220" s="315">
        <v>1.5309999999999999</v>
      </c>
      <c r="AT1220" s="315">
        <v>2.0173999999999999</v>
      </c>
      <c r="AU1220" s="315">
        <v>2.1736</v>
      </c>
      <c r="AV1220" s="315">
        <v>2.0634999999999999</v>
      </c>
      <c r="AW1220" s="315">
        <v>1.9083000000000001</v>
      </c>
      <c r="AX1220" s="315">
        <v>1.7057</v>
      </c>
      <c r="AY1220" s="315">
        <v>1.9314</v>
      </c>
      <c r="AZ1220" s="315">
        <v>1.9016999999999999</v>
      </c>
      <c r="BA1220" s="315">
        <v>1.6594</v>
      </c>
      <c r="BB1220" s="315">
        <v>1.4565999999999999</v>
      </c>
      <c r="BC1220" s="315">
        <v>2.0838999999999999</v>
      </c>
      <c r="BD1220" s="315">
        <v>2.1198999999999999</v>
      </c>
      <c r="BE1220" s="315">
        <v>2.1816</v>
      </c>
      <c r="BF1220" s="315">
        <v>1.9261999999999999</v>
      </c>
      <c r="BG1220" s="315">
        <v>2.1513</v>
      </c>
      <c r="BH1220" s="315">
        <v>2.0078999999999998</v>
      </c>
      <c r="BI1220" s="315">
        <v>2.1694</v>
      </c>
      <c r="BJ1220" s="315">
        <v>2.0657000000000001</v>
      </c>
      <c r="BK1220" s="315">
        <v>2.1547000000000001</v>
      </c>
    </row>
    <row r="1221" spans="1:63" x14ac:dyDescent="0.25">
      <c r="A1221" s="306">
        <v>811300</v>
      </c>
      <c r="B1221" s="315" t="s">
        <v>351</v>
      </c>
      <c r="C1221" s="315">
        <v>2.4557000000000002</v>
      </c>
      <c r="D1221" s="315">
        <v>1.5296000000000001</v>
      </c>
      <c r="E1221" s="315">
        <v>1.7774000000000001</v>
      </c>
      <c r="F1221" s="315">
        <v>1.6506000000000001</v>
      </c>
      <c r="G1221" s="315">
        <v>1.8036000000000001</v>
      </c>
      <c r="H1221" s="315">
        <v>1.9859</v>
      </c>
      <c r="I1221" s="315">
        <v>1.9613</v>
      </c>
      <c r="J1221" s="315">
        <v>1.7958000000000001</v>
      </c>
      <c r="K1221" s="315">
        <v>1.2314000000000001</v>
      </c>
      <c r="L1221" s="315">
        <v>1.7010000000000001</v>
      </c>
      <c r="M1221" s="315">
        <v>1.8563000000000001</v>
      </c>
      <c r="N1221" s="315">
        <v>1.9690000000000001</v>
      </c>
      <c r="O1221" s="315">
        <v>1.7075</v>
      </c>
      <c r="P1221" s="315">
        <v>1.5807</v>
      </c>
      <c r="Q1221" s="315">
        <v>1.5528</v>
      </c>
      <c r="R1221" s="315">
        <v>2.0739000000000001</v>
      </c>
      <c r="S1221" s="315">
        <v>1.8402000000000001</v>
      </c>
      <c r="T1221" s="315">
        <v>1.6349</v>
      </c>
      <c r="U1221" s="315">
        <v>1.8465</v>
      </c>
      <c r="V1221" s="315">
        <v>1.7133</v>
      </c>
      <c r="W1221" s="315">
        <v>1.849</v>
      </c>
      <c r="X1221" s="315">
        <v>1.7935000000000001</v>
      </c>
      <c r="Y1221" s="315">
        <v>1.7062999999999999</v>
      </c>
      <c r="Z1221" s="315">
        <v>1.9079999999999999</v>
      </c>
      <c r="AA1221" s="315">
        <v>1.8759999999999999</v>
      </c>
      <c r="AB1221" s="315">
        <v>1.9259999999999999</v>
      </c>
      <c r="AC1221" s="315">
        <v>1.6526000000000001</v>
      </c>
      <c r="AD1221" s="315">
        <v>1.5555000000000001</v>
      </c>
      <c r="AE1221" s="315">
        <v>1.8132999999999999</v>
      </c>
      <c r="AF1221" s="315">
        <v>1.4354</v>
      </c>
      <c r="AG1221" s="315">
        <v>1.5330999999999999</v>
      </c>
      <c r="AH1221" s="315">
        <v>1.7958000000000001</v>
      </c>
      <c r="AI1221" s="315">
        <v>1.911</v>
      </c>
      <c r="AJ1221" s="315">
        <v>1.6021000000000001</v>
      </c>
      <c r="AK1221" s="315">
        <v>1.6531</v>
      </c>
      <c r="AL1221" s="315">
        <v>1.7724</v>
      </c>
      <c r="AM1221" s="315">
        <v>1.9996</v>
      </c>
      <c r="AN1221" s="315">
        <v>1.7882</v>
      </c>
      <c r="AO1221" s="315">
        <v>1.7569999999999999</v>
      </c>
      <c r="AP1221" s="315">
        <v>2.0106999999999999</v>
      </c>
      <c r="AQ1221" s="315">
        <v>1.7910999999999999</v>
      </c>
      <c r="AR1221" s="315">
        <v>1.8789</v>
      </c>
      <c r="AS1221" s="315">
        <v>1.4769000000000001</v>
      </c>
      <c r="AT1221" s="315">
        <v>1.9449000000000001</v>
      </c>
      <c r="AU1221" s="315">
        <v>2.0457000000000001</v>
      </c>
      <c r="AV1221" s="315">
        <v>1.9325000000000001</v>
      </c>
      <c r="AW1221" s="315">
        <v>1.8503000000000001</v>
      </c>
      <c r="AX1221" s="315">
        <v>1.6040000000000001</v>
      </c>
      <c r="AY1221" s="315">
        <v>1.8143</v>
      </c>
      <c r="AZ1221" s="315">
        <v>1.843</v>
      </c>
      <c r="BA1221" s="315">
        <v>1.5906</v>
      </c>
      <c r="BB1221" s="315">
        <v>1.4406000000000001</v>
      </c>
      <c r="BC1221" s="315">
        <v>1.9541999999999999</v>
      </c>
      <c r="BD1221" s="315">
        <v>2.0243000000000002</v>
      </c>
      <c r="BE1221" s="315">
        <v>2.0931999999999999</v>
      </c>
      <c r="BF1221" s="315">
        <v>1.8763000000000001</v>
      </c>
      <c r="BG1221" s="315">
        <v>2.0386000000000002</v>
      </c>
      <c r="BH1221" s="315">
        <v>1.9479</v>
      </c>
      <c r="BI1221" s="315">
        <v>2.0499000000000001</v>
      </c>
      <c r="BJ1221" s="315">
        <v>1.9171</v>
      </c>
      <c r="BK1221" s="315">
        <v>1.9942</v>
      </c>
    </row>
    <row r="1222" spans="1:63" x14ac:dyDescent="0.25">
      <c r="A1222" s="306">
        <v>811400</v>
      </c>
      <c r="B1222" s="315" t="s">
        <v>352</v>
      </c>
      <c r="C1222" s="315">
        <v>2.4098999999999999</v>
      </c>
      <c r="D1222" s="315">
        <v>1.4963</v>
      </c>
      <c r="E1222" s="315">
        <v>1.7588999999999999</v>
      </c>
      <c r="F1222" s="315">
        <v>1.6311</v>
      </c>
      <c r="G1222" s="315">
        <v>1.7828999999999999</v>
      </c>
      <c r="H1222" s="315">
        <v>1.9505999999999999</v>
      </c>
      <c r="I1222" s="315">
        <v>1.9297</v>
      </c>
      <c r="J1222" s="315">
        <v>1.7947</v>
      </c>
      <c r="K1222" s="315">
        <v>1.2715000000000001</v>
      </c>
      <c r="L1222" s="315">
        <v>1.6031</v>
      </c>
      <c r="M1222" s="315">
        <v>1.8095000000000001</v>
      </c>
      <c r="N1222" s="315">
        <v>1.9645999999999999</v>
      </c>
      <c r="O1222" s="315">
        <v>1.66</v>
      </c>
      <c r="P1222" s="315">
        <v>1.5496000000000001</v>
      </c>
      <c r="Q1222" s="315">
        <v>1.5226</v>
      </c>
      <c r="R1222" s="315">
        <v>2.0506000000000002</v>
      </c>
      <c r="S1222" s="315">
        <v>1.8206</v>
      </c>
      <c r="T1222" s="315">
        <v>1.5786</v>
      </c>
      <c r="U1222" s="315">
        <v>1.7909999999999999</v>
      </c>
      <c r="V1222" s="315">
        <v>1.6739999999999999</v>
      </c>
      <c r="W1222" s="315">
        <v>1.8383</v>
      </c>
      <c r="X1222" s="315">
        <v>1.7866</v>
      </c>
      <c r="Y1222" s="315">
        <v>1.6996</v>
      </c>
      <c r="Z1222" s="315">
        <v>1.837</v>
      </c>
      <c r="AA1222" s="315">
        <v>1.8456999999999999</v>
      </c>
      <c r="AB1222" s="315">
        <v>1.8813</v>
      </c>
      <c r="AC1222" s="315">
        <v>1.6247</v>
      </c>
      <c r="AD1222" s="315">
        <v>1.5268999999999999</v>
      </c>
      <c r="AE1222" s="315">
        <v>1.7927999999999999</v>
      </c>
      <c r="AF1222" s="315">
        <v>1.417</v>
      </c>
      <c r="AG1222" s="315">
        <v>1.5098</v>
      </c>
      <c r="AH1222" s="315">
        <v>1.7670999999999999</v>
      </c>
      <c r="AI1222" s="315">
        <v>1.899</v>
      </c>
      <c r="AJ1222" s="315">
        <v>1.5625</v>
      </c>
      <c r="AK1222" s="315">
        <v>1.6225000000000001</v>
      </c>
      <c r="AL1222" s="315">
        <v>1.7395</v>
      </c>
      <c r="AM1222" s="315">
        <v>1.956</v>
      </c>
      <c r="AN1222" s="315">
        <v>1.7290000000000001</v>
      </c>
      <c r="AO1222" s="315">
        <v>1.7821</v>
      </c>
      <c r="AP1222" s="315">
        <v>1.9619</v>
      </c>
      <c r="AQ1222" s="315">
        <v>1.7426999999999999</v>
      </c>
      <c r="AR1222" s="315">
        <v>1.8506</v>
      </c>
      <c r="AS1222" s="315">
        <v>1.4501999999999999</v>
      </c>
      <c r="AT1222" s="315">
        <v>1.9342999999999999</v>
      </c>
      <c r="AU1222" s="315">
        <v>1.9961</v>
      </c>
      <c r="AV1222" s="315">
        <v>1.8604000000000001</v>
      </c>
      <c r="AW1222" s="315">
        <v>1.7945</v>
      </c>
      <c r="AX1222" s="315">
        <v>1.5953999999999999</v>
      </c>
      <c r="AY1222" s="315">
        <v>1.7943</v>
      </c>
      <c r="AZ1222" s="315">
        <v>1.8170999999999999</v>
      </c>
      <c r="BA1222" s="315">
        <v>1.5697000000000001</v>
      </c>
      <c r="BB1222" s="315">
        <v>1.4027000000000001</v>
      </c>
      <c r="BC1222" s="315">
        <v>1.9234</v>
      </c>
      <c r="BD1222" s="315">
        <v>1.9876</v>
      </c>
      <c r="BE1222" s="315">
        <v>2.0573000000000001</v>
      </c>
      <c r="BF1222" s="315">
        <v>1.8375999999999999</v>
      </c>
      <c r="BG1222" s="315">
        <v>2.0053000000000001</v>
      </c>
      <c r="BH1222" s="315">
        <v>1.9258</v>
      </c>
      <c r="BI1222" s="315">
        <v>2.0099</v>
      </c>
      <c r="BJ1222" s="315">
        <v>1.8804000000000001</v>
      </c>
      <c r="BK1222" s="315">
        <v>1.9653</v>
      </c>
    </row>
    <row r="1223" spans="1:63" x14ac:dyDescent="0.25">
      <c r="A1223" s="306">
        <v>812100</v>
      </c>
      <c r="B1223" s="315" t="s">
        <v>353</v>
      </c>
      <c r="C1223" s="315">
        <v>2.5697999999999999</v>
      </c>
      <c r="D1223" s="315">
        <v>1.6654</v>
      </c>
      <c r="E1223" s="315">
        <v>1.829</v>
      </c>
      <c r="F1223" s="315">
        <v>1.7404999999999999</v>
      </c>
      <c r="G1223" s="315">
        <v>1.9413</v>
      </c>
      <c r="H1223" s="315">
        <v>2.1273</v>
      </c>
      <c r="I1223" s="315">
        <v>2.1038999999999999</v>
      </c>
      <c r="J1223" s="315">
        <v>1.927</v>
      </c>
      <c r="K1223" s="315">
        <v>1.3495999999999999</v>
      </c>
      <c r="L1223" s="315">
        <v>1.8280000000000001</v>
      </c>
      <c r="M1223" s="315">
        <v>2.0106999999999999</v>
      </c>
      <c r="N1223" s="315">
        <v>2.1015999999999999</v>
      </c>
      <c r="O1223" s="315">
        <v>1.8627</v>
      </c>
      <c r="P1223" s="315">
        <v>1.6419999999999999</v>
      </c>
      <c r="Q1223" s="315">
        <v>1.6616</v>
      </c>
      <c r="R1223" s="315">
        <v>2.1854</v>
      </c>
      <c r="S1223" s="315">
        <v>1.8911</v>
      </c>
      <c r="T1223" s="315">
        <v>1.6763999999999999</v>
      </c>
      <c r="U1223" s="315">
        <v>1.8708</v>
      </c>
      <c r="V1223" s="315">
        <v>1.7813000000000001</v>
      </c>
      <c r="W1223" s="315">
        <v>1.9837</v>
      </c>
      <c r="X1223" s="315">
        <v>1.9613</v>
      </c>
      <c r="Y1223" s="315">
        <v>1.8218000000000001</v>
      </c>
      <c r="Z1223" s="315">
        <v>1.9389000000000001</v>
      </c>
      <c r="AA1223" s="315">
        <v>2.0005000000000002</v>
      </c>
      <c r="AB1223" s="315">
        <v>2.0177999999999998</v>
      </c>
      <c r="AC1223" s="315">
        <v>1.6897</v>
      </c>
      <c r="AD1223" s="315">
        <v>1.6479999999999999</v>
      </c>
      <c r="AE1223" s="315">
        <v>1.9101999999999999</v>
      </c>
      <c r="AF1223" s="315">
        <v>1.5297000000000001</v>
      </c>
      <c r="AG1223" s="315">
        <v>1.6062000000000001</v>
      </c>
      <c r="AH1223" s="315">
        <v>1.8586</v>
      </c>
      <c r="AI1223" s="315">
        <v>2.1071</v>
      </c>
      <c r="AJ1223" s="315">
        <v>1.7062999999999999</v>
      </c>
      <c r="AK1223" s="315">
        <v>1.7998000000000001</v>
      </c>
      <c r="AL1223" s="315">
        <v>1.9369000000000001</v>
      </c>
      <c r="AM1223" s="315">
        <v>2.0785</v>
      </c>
      <c r="AN1223" s="315">
        <v>1.8192999999999999</v>
      </c>
      <c r="AO1223" s="315">
        <v>1.8989</v>
      </c>
      <c r="AP1223" s="315">
        <v>2.1052</v>
      </c>
      <c r="AQ1223" s="315">
        <v>1.8879999999999999</v>
      </c>
      <c r="AR1223" s="315">
        <v>1.9280999999999999</v>
      </c>
      <c r="AS1223" s="315">
        <v>1.52</v>
      </c>
      <c r="AT1223" s="315">
        <v>2.0847000000000002</v>
      </c>
      <c r="AU1223" s="315">
        <v>2.1553</v>
      </c>
      <c r="AV1223" s="315">
        <v>2.0859000000000001</v>
      </c>
      <c r="AW1223" s="315">
        <v>1.982</v>
      </c>
      <c r="AX1223" s="315">
        <v>1.7468999999999999</v>
      </c>
      <c r="AY1223" s="315">
        <v>1.9419999999999999</v>
      </c>
      <c r="AZ1223" s="315">
        <v>1.8742000000000001</v>
      </c>
      <c r="BA1223" s="315">
        <v>1.6349</v>
      </c>
      <c r="BB1223" s="315">
        <v>1.5041</v>
      </c>
      <c r="BC1223" s="315">
        <v>2.0880999999999998</v>
      </c>
      <c r="BD1223" s="315">
        <v>2.1783000000000001</v>
      </c>
      <c r="BE1223" s="315">
        <v>2.1766999999999999</v>
      </c>
      <c r="BF1223" s="315">
        <v>1.9474</v>
      </c>
      <c r="BG1223" s="315">
        <v>2.1846999999999999</v>
      </c>
      <c r="BH1223" s="315">
        <v>2.0133999999999999</v>
      </c>
      <c r="BI1223" s="315">
        <v>2.1429</v>
      </c>
      <c r="BJ1223" s="315">
        <v>2.0682</v>
      </c>
      <c r="BK1223" s="315">
        <v>2.14</v>
      </c>
    </row>
    <row r="1224" spans="1:63" x14ac:dyDescent="0.25">
      <c r="A1224" s="306">
        <v>812200</v>
      </c>
      <c r="B1224" s="315" t="s">
        <v>354</v>
      </c>
      <c r="C1224" s="315">
        <v>3.0379999999999998</v>
      </c>
      <c r="D1224" s="315">
        <v>1.639</v>
      </c>
      <c r="E1224" s="315">
        <v>2.2161</v>
      </c>
      <c r="F1224" s="315">
        <v>2.0146000000000002</v>
      </c>
      <c r="G1224" s="315">
        <v>2.1566999999999998</v>
      </c>
      <c r="H1224" s="315">
        <v>2.4020000000000001</v>
      </c>
      <c r="I1224" s="315">
        <v>2.2576999999999998</v>
      </c>
      <c r="J1224" s="315">
        <v>2.1983000000000001</v>
      </c>
      <c r="K1224" s="315">
        <v>1.3302</v>
      </c>
      <c r="L1224" s="315">
        <v>1.8715999999999999</v>
      </c>
      <c r="M1224" s="315">
        <v>2.1528</v>
      </c>
      <c r="N1224" s="315">
        <v>2.4388000000000001</v>
      </c>
      <c r="O1224" s="315">
        <v>1.9214</v>
      </c>
      <c r="P1224" s="315">
        <v>1.7637</v>
      </c>
      <c r="Q1224" s="315">
        <v>1.7836000000000001</v>
      </c>
      <c r="R1224" s="315">
        <v>2.5364</v>
      </c>
      <c r="S1224" s="315">
        <v>2.2743000000000002</v>
      </c>
      <c r="T1224" s="315">
        <v>1.9591000000000001</v>
      </c>
      <c r="U1224" s="315">
        <v>2.238</v>
      </c>
      <c r="V1224" s="315">
        <v>1.9628000000000001</v>
      </c>
      <c r="W1224" s="315">
        <v>2.1120000000000001</v>
      </c>
      <c r="X1224" s="315">
        <v>2.1084999999999998</v>
      </c>
      <c r="Y1224" s="315">
        <v>2.1065999999999998</v>
      </c>
      <c r="Z1224" s="315">
        <v>2.1922000000000001</v>
      </c>
      <c r="AA1224" s="315">
        <v>2.2972000000000001</v>
      </c>
      <c r="AB1224" s="315">
        <v>2.2326000000000001</v>
      </c>
      <c r="AC1224" s="315">
        <v>2.0223</v>
      </c>
      <c r="AD1224" s="315">
        <v>1.8032999999999999</v>
      </c>
      <c r="AE1224" s="315">
        <v>2.2242000000000002</v>
      </c>
      <c r="AF1224" s="315">
        <v>1.6328</v>
      </c>
      <c r="AG1224" s="315">
        <v>1.7042999999999999</v>
      </c>
      <c r="AH1224" s="315">
        <v>2.1991000000000001</v>
      </c>
      <c r="AI1224" s="315">
        <v>2.2706</v>
      </c>
      <c r="AJ1224" s="315">
        <v>1.7362</v>
      </c>
      <c r="AK1224" s="315">
        <v>2.0156999999999998</v>
      </c>
      <c r="AL1224" s="315">
        <v>2.0268000000000002</v>
      </c>
      <c r="AM1224" s="315">
        <v>2.4075000000000002</v>
      </c>
      <c r="AN1224" s="315">
        <v>2.1665000000000001</v>
      </c>
      <c r="AO1224" s="315">
        <v>2.1743999999999999</v>
      </c>
      <c r="AP1224" s="315">
        <v>2.4903</v>
      </c>
      <c r="AQ1224" s="315">
        <v>2.0575999999999999</v>
      </c>
      <c r="AR1224" s="315">
        <v>2.2286999999999999</v>
      </c>
      <c r="AS1224" s="315">
        <v>1.7212000000000001</v>
      </c>
      <c r="AT1224" s="315">
        <v>2.3589000000000002</v>
      </c>
      <c r="AU1224" s="315">
        <v>2.3976000000000002</v>
      </c>
      <c r="AV1224" s="315">
        <v>2.3058999999999998</v>
      </c>
      <c r="AW1224" s="315">
        <v>2.1299000000000001</v>
      </c>
      <c r="AX1224" s="315">
        <v>1.8559000000000001</v>
      </c>
      <c r="AY1224" s="315">
        <v>2.1661999999999999</v>
      </c>
      <c r="AZ1224" s="315">
        <v>2.2502</v>
      </c>
      <c r="BA1224" s="315">
        <v>1.7968</v>
      </c>
      <c r="BB1224" s="315">
        <v>1.5349999999999999</v>
      </c>
      <c r="BC1224" s="315">
        <v>2.343</v>
      </c>
      <c r="BD1224" s="315">
        <v>2.4188999999999998</v>
      </c>
      <c r="BE1224" s="315">
        <v>2.5691000000000002</v>
      </c>
      <c r="BF1224" s="315">
        <v>2.2134999999999998</v>
      </c>
      <c r="BG1224" s="315">
        <v>2.4222999999999999</v>
      </c>
      <c r="BH1224" s="315">
        <v>2.4091999999999998</v>
      </c>
      <c r="BI1224" s="315">
        <v>2.4241000000000001</v>
      </c>
      <c r="BJ1224" s="315">
        <v>2.3462999999999998</v>
      </c>
      <c r="BK1224" s="315">
        <v>2.4411</v>
      </c>
    </row>
    <row r="1225" spans="1:63" x14ac:dyDescent="0.25">
      <c r="A1225" s="306">
        <v>812300</v>
      </c>
      <c r="B1225" s="315" t="s">
        <v>355</v>
      </c>
      <c r="C1225" s="315">
        <v>2.2728999999999999</v>
      </c>
      <c r="D1225" s="315">
        <v>1.5158</v>
      </c>
      <c r="E1225" s="315">
        <v>1.7141</v>
      </c>
      <c r="F1225" s="315">
        <v>1.5962000000000001</v>
      </c>
      <c r="G1225" s="315">
        <v>1.7150000000000001</v>
      </c>
      <c r="H1225" s="315">
        <v>1.8868</v>
      </c>
      <c r="I1225" s="315">
        <v>1.8629</v>
      </c>
      <c r="J1225" s="315">
        <v>1.7075</v>
      </c>
      <c r="K1225" s="315">
        <v>1.1697</v>
      </c>
      <c r="L1225" s="315">
        <v>1.5896999999999999</v>
      </c>
      <c r="M1225" s="315">
        <v>1.7665</v>
      </c>
      <c r="N1225" s="315">
        <v>1.8726</v>
      </c>
      <c r="O1225" s="315">
        <v>1.6665000000000001</v>
      </c>
      <c r="P1225" s="315">
        <v>1.5003</v>
      </c>
      <c r="Q1225" s="315">
        <v>1.4984999999999999</v>
      </c>
      <c r="R1225" s="315">
        <v>1.9277</v>
      </c>
      <c r="S1225" s="315">
        <v>1.7568999999999999</v>
      </c>
      <c r="T1225" s="315">
        <v>1.5704</v>
      </c>
      <c r="U1225" s="315">
        <v>1.7461</v>
      </c>
      <c r="V1225" s="315">
        <v>1.6818</v>
      </c>
      <c r="W1225" s="315">
        <v>1.7454000000000001</v>
      </c>
      <c r="X1225" s="315">
        <v>1.6989000000000001</v>
      </c>
      <c r="Y1225" s="315">
        <v>1.6834</v>
      </c>
      <c r="Z1225" s="315">
        <v>1.7838000000000001</v>
      </c>
      <c r="AA1225" s="315">
        <v>1.7615000000000001</v>
      </c>
      <c r="AB1225" s="315">
        <v>1.8055000000000001</v>
      </c>
      <c r="AC1225" s="315">
        <v>1.6224000000000001</v>
      </c>
      <c r="AD1225" s="315">
        <v>1.5226999999999999</v>
      </c>
      <c r="AE1225" s="315">
        <v>1.7531000000000001</v>
      </c>
      <c r="AF1225" s="315">
        <v>1.3897999999999999</v>
      </c>
      <c r="AG1225" s="315">
        <v>1.4826999999999999</v>
      </c>
      <c r="AH1225" s="315">
        <v>1.6924999999999999</v>
      </c>
      <c r="AI1225" s="315">
        <v>1.8478000000000001</v>
      </c>
      <c r="AJ1225" s="315">
        <v>1.5707</v>
      </c>
      <c r="AK1225" s="315">
        <v>1.6132</v>
      </c>
      <c r="AL1225" s="315">
        <v>1.6826000000000001</v>
      </c>
      <c r="AM1225" s="315">
        <v>1.8724000000000001</v>
      </c>
      <c r="AN1225" s="315">
        <v>1.6974</v>
      </c>
      <c r="AO1225" s="315">
        <v>1.6980999999999999</v>
      </c>
      <c r="AP1225" s="315">
        <v>1.8882000000000001</v>
      </c>
      <c r="AQ1225" s="315">
        <v>1.6451</v>
      </c>
      <c r="AR1225" s="315">
        <v>1.7801</v>
      </c>
      <c r="AS1225" s="315">
        <v>1.4413</v>
      </c>
      <c r="AT1225" s="315">
        <v>1.821</v>
      </c>
      <c r="AU1225" s="315">
        <v>1.9178999999999999</v>
      </c>
      <c r="AV1225" s="315">
        <v>1.8540000000000001</v>
      </c>
      <c r="AW1225" s="315">
        <v>1.7471000000000001</v>
      </c>
      <c r="AX1225" s="315">
        <v>1.5765</v>
      </c>
      <c r="AY1225" s="315">
        <v>1.7517</v>
      </c>
      <c r="AZ1225" s="315">
        <v>1.7495000000000001</v>
      </c>
      <c r="BA1225" s="315">
        <v>1.5283</v>
      </c>
      <c r="BB1225" s="315">
        <v>1.4174</v>
      </c>
      <c r="BC1225" s="315">
        <v>1.8364</v>
      </c>
      <c r="BD1225" s="315">
        <v>1.9026000000000001</v>
      </c>
      <c r="BE1225" s="315">
        <v>1.9502999999999999</v>
      </c>
      <c r="BF1225" s="315">
        <v>1.7728999999999999</v>
      </c>
      <c r="BG1225" s="315">
        <v>1.9314</v>
      </c>
      <c r="BH1225" s="315">
        <v>1.8425</v>
      </c>
      <c r="BI1225" s="315">
        <v>1.919</v>
      </c>
      <c r="BJ1225" s="315">
        <v>1.8322000000000001</v>
      </c>
      <c r="BK1225" s="315">
        <v>1.8976999999999999</v>
      </c>
    </row>
    <row r="1226" spans="1:63" x14ac:dyDescent="0.25">
      <c r="A1226" s="306">
        <v>812900</v>
      </c>
      <c r="B1226" s="315" t="s">
        <v>356</v>
      </c>
      <c r="C1226" s="315">
        <v>2.3184999999999998</v>
      </c>
      <c r="D1226" s="315">
        <v>1.4714</v>
      </c>
      <c r="E1226" s="315">
        <v>1.6623000000000001</v>
      </c>
      <c r="F1226" s="315">
        <v>1.5547</v>
      </c>
      <c r="G1226" s="315">
        <v>1.7461</v>
      </c>
      <c r="H1226" s="315">
        <v>1.9520999999999999</v>
      </c>
      <c r="I1226" s="315">
        <v>1.9298999999999999</v>
      </c>
      <c r="J1226" s="315">
        <v>1.7713000000000001</v>
      </c>
      <c r="K1226" s="315">
        <v>1.3975</v>
      </c>
      <c r="L1226" s="315">
        <v>1.5976999999999999</v>
      </c>
      <c r="M1226" s="315">
        <v>1.8445</v>
      </c>
      <c r="N1226" s="315">
        <v>1.9625999999999999</v>
      </c>
      <c r="O1226" s="315">
        <v>1.6967000000000001</v>
      </c>
      <c r="P1226" s="315">
        <v>1.4997</v>
      </c>
      <c r="Q1226" s="315">
        <v>1.4849000000000001</v>
      </c>
      <c r="R1226" s="315">
        <v>1.9934000000000001</v>
      </c>
      <c r="S1226" s="315">
        <v>1.7233000000000001</v>
      </c>
      <c r="T1226" s="315">
        <v>1.5668</v>
      </c>
      <c r="U1226" s="315">
        <v>1.6674</v>
      </c>
      <c r="V1226" s="315">
        <v>1.6253</v>
      </c>
      <c r="W1226" s="315">
        <v>1.8284</v>
      </c>
      <c r="X1226" s="315">
        <v>1.7924</v>
      </c>
      <c r="Y1226" s="315">
        <v>1.6308</v>
      </c>
      <c r="Z1226" s="315">
        <v>1.7855000000000001</v>
      </c>
      <c r="AA1226" s="315">
        <v>1.7762</v>
      </c>
      <c r="AB1226" s="315">
        <v>1.8145</v>
      </c>
      <c r="AC1226" s="315">
        <v>1.5158</v>
      </c>
      <c r="AD1226" s="315">
        <v>1.4796</v>
      </c>
      <c r="AE1226" s="315">
        <v>1.7482</v>
      </c>
      <c r="AF1226" s="315">
        <v>1.3581000000000001</v>
      </c>
      <c r="AG1226" s="315">
        <v>1.4615</v>
      </c>
      <c r="AH1226" s="315">
        <v>1.7662</v>
      </c>
      <c r="AI1226" s="315">
        <v>1.9354</v>
      </c>
      <c r="AJ1226" s="315">
        <v>1.5562</v>
      </c>
      <c r="AK1226" s="315">
        <v>1.6335</v>
      </c>
      <c r="AL1226" s="315">
        <v>1.78</v>
      </c>
      <c r="AM1226" s="315">
        <v>1.8653</v>
      </c>
      <c r="AN1226" s="315">
        <v>1.6792</v>
      </c>
      <c r="AO1226" s="315">
        <v>1.7188000000000001</v>
      </c>
      <c r="AP1226" s="315">
        <v>1.8726</v>
      </c>
      <c r="AQ1226" s="315">
        <v>1.6904999999999999</v>
      </c>
      <c r="AR1226" s="315">
        <v>1.7638</v>
      </c>
      <c r="AS1226" s="315">
        <v>1.3714</v>
      </c>
      <c r="AT1226" s="315">
        <v>1.8817999999999999</v>
      </c>
      <c r="AU1226" s="315">
        <v>1.9518</v>
      </c>
      <c r="AV1226" s="315">
        <v>1.8483000000000001</v>
      </c>
      <c r="AW1226" s="315">
        <v>1.8016000000000001</v>
      </c>
      <c r="AX1226" s="315">
        <v>1.5624</v>
      </c>
      <c r="AY1226" s="315">
        <v>1.7617</v>
      </c>
      <c r="AZ1226" s="315">
        <v>1.6803999999999999</v>
      </c>
      <c r="BA1226" s="315">
        <v>1.5067999999999999</v>
      </c>
      <c r="BB1226" s="315">
        <v>1.3529</v>
      </c>
      <c r="BC1226" s="315">
        <v>1.8854</v>
      </c>
      <c r="BD1226" s="315">
        <v>2.0007000000000001</v>
      </c>
      <c r="BE1226" s="315">
        <v>1.9527000000000001</v>
      </c>
      <c r="BF1226" s="315">
        <v>1.748</v>
      </c>
      <c r="BG1226" s="315">
        <v>1.9783999999999999</v>
      </c>
      <c r="BH1226" s="315">
        <v>1.8064</v>
      </c>
      <c r="BI1226" s="315">
        <v>1.9426000000000001</v>
      </c>
      <c r="BJ1226" s="315">
        <v>1.8826000000000001</v>
      </c>
      <c r="BK1226" s="315">
        <v>1.9609000000000001</v>
      </c>
    </row>
    <row r="1227" spans="1:63" x14ac:dyDescent="0.25">
      <c r="A1227" s="306">
        <v>813100</v>
      </c>
      <c r="B1227" s="315" t="s">
        <v>357</v>
      </c>
      <c r="C1227" s="315">
        <v>3.2505999999999999</v>
      </c>
      <c r="D1227" s="315">
        <v>1.8101</v>
      </c>
      <c r="E1227" s="315">
        <v>2.0131999999999999</v>
      </c>
      <c r="F1227" s="315">
        <v>1.8240000000000001</v>
      </c>
      <c r="G1227" s="315">
        <v>2.2008999999999999</v>
      </c>
      <c r="H1227" s="315">
        <v>2.5926999999999998</v>
      </c>
      <c r="I1227" s="315">
        <v>2.5625</v>
      </c>
      <c r="J1227" s="315">
        <v>2.3570000000000002</v>
      </c>
      <c r="K1227" s="315">
        <v>1.5511999999999999</v>
      </c>
      <c r="L1227" s="315">
        <v>2.1625000000000001</v>
      </c>
      <c r="M1227" s="315">
        <v>2.3485999999999998</v>
      </c>
      <c r="N1227" s="315">
        <v>2.4331</v>
      </c>
      <c r="O1227" s="315">
        <v>2.0032999999999999</v>
      </c>
      <c r="P1227" s="315">
        <v>1.7735000000000001</v>
      </c>
      <c r="Q1227" s="315">
        <v>1.7766</v>
      </c>
      <c r="R1227" s="315">
        <v>2.7418999999999998</v>
      </c>
      <c r="S1227" s="315">
        <v>2.0474999999999999</v>
      </c>
      <c r="T1227" s="315">
        <v>1.8431999999999999</v>
      </c>
      <c r="U1227" s="315">
        <v>2.0699000000000001</v>
      </c>
      <c r="V1227" s="315">
        <v>1.9476</v>
      </c>
      <c r="W1227" s="315">
        <v>2.4531000000000001</v>
      </c>
      <c r="X1227" s="315">
        <v>2.3456999999999999</v>
      </c>
      <c r="Y1227" s="315">
        <v>2.0255000000000001</v>
      </c>
      <c r="Z1227" s="315">
        <v>2.1292</v>
      </c>
      <c r="AA1227" s="315">
        <v>2.3382000000000001</v>
      </c>
      <c r="AB1227" s="315">
        <v>2.2743000000000002</v>
      </c>
      <c r="AC1227" s="315">
        <v>1.8322000000000001</v>
      </c>
      <c r="AD1227" s="315">
        <v>1.8204</v>
      </c>
      <c r="AE1227" s="315">
        <v>2.1427999999999998</v>
      </c>
      <c r="AF1227" s="315">
        <v>1.6322000000000001</v>
      </c>
      <c r="AG1227" s="315">
        <v>1.7657</v>
      </c>
      <c r="AH1227" s="315">
        <v>2.2845</v>
      </c>
      <c r="AI1227" s="315">
        <v>2.5992999999999999</v>
      </c>
      <c r="AJ1227" s="315">
        <v>1.8669</v>
      </c>
      <c r="AK1227" s="315">
        <v>1.9829000000000001</v>
      </c>
      <c r="AL1227" s="315">
        <v>2.3803999999999998</v>
      </c>
      <c r="AM1227" s="315">
        <v>2.2446000000000002</v>
      </c>
      <c r="AN1227" s="315">
        <v>1.9871000000000001</v>
      </c>
      <c r="AO1227" s="315">
        <v>2.1128</v>
      </c>
      <c r="AP1227" s="315">
        <v>2.3925999999999998</v>
      </c>
      <c r="AQ1227" s="315">
        <v>2.2696000000000001</v>
      </c>
      <c r="AR1227" s="315">
        <v>2.1526999999999998</v>
      </c>
      <c r="AS1227" s="315">
        <v>1.6896</v>
      </c>
      <c r="AT1227" s="315">
        <v>2.3679000000000001</v>
      </c>
      <c r="AU1227" s="315">
        <v>2.5706000000000002</v>
      </c>
      <c r="AV1227" s="315">
        <v>2.3711000000000002</v>
      </c>
      <c r="AW1227" s="315">
        <v>2.2193000000000001</v>
      </c>
      <c r="AX1227" s="315">
        <v>1.9287000000000001</v>
      </c>
      <c r="AY1227" s="315">
        <v>2.2181999999999999</v>
      </c>
      <c r="AZ1227" s="315">
        <v>2.0884</v>
      </c>
      <c r="BA1227" s="315">
        <v>1.7329000000000001</v>
      </c>
      <c r="BB1227" s="315">
        <v>1.6274999999999999</v>
      </c>
      <c r="BC1227" s="315">
        <v>2.5748000000000002</v>
      </c>
      <c r="BD1227" s="315">
        <v>2.7223000000000002</v>
      </c>
      <c r="BE1227" s="315">
        <v>2.4969999999999999</v>
      </c>
      <c r="BF1227" s="315">
        <v>2.1825999999999999</v>
      </c>
      <c r="BG1227" s="315">
        <v>2.5175000000000001</v>
      </c>
      <c r="BH1227" s="315">
        <v>2.2418999999999998</v>
      </c>
      <c r="BI1227" s="315">
        <v>2.5152000000000001</v>
      </c>
      <c r="BJ1227" s="315">
        <v>2.3744999999999998</v>
      </c>
      <c r="BK1227" s="315">
        <v>2.5611000000000002</v>
      </c>
    </row>
    <row r="1228" spans="1:63" x14ac:dyDescent="0.25">
      <c r="A1228" s="306" t="s">
        <v>788</v>
      </c>
      <c r="B1228" s="315" t="s">
        <v>358</v>
      </c>
      <c r="C1228" s="315">
        <v>3.1070000000000002</v>
      </c>
      <c r="D1228" s="315">
        <v>1.7981</v>
      </c>
      <c r="E1228" s="315">
        <v>1.9742</v>
      </c>
      <c r="F1228" s="315">
        <v>1.8129999999999999</v>
      </c>
      <c r="G1228" s="315">
        <v>2.2018</v>
      </c>
      <c r="H1228" s="315">
        <v>2.5226999999999999</v>
      </c>
      <c r="I1228" s="315">
        <v>2.4975000000000001</v>
      </c>
      <c r="J1228" s="315">
        <v>2.2475999999999998</v>
      </c>
      <c r="K1228" s="315">
        <v>1.6245000000000001</v>
      </c>
      <c r="L1228" s="315">
        <v>2.0339999999999998</v>
      </c>
      <c r="M1228" s="315">
        <v>2.3317999999999999</v>
      </c>
      <c r="N1228" s="315">
        <v>2.4805999999999999</v>
      </c>
      <c r="O1228" s="315">
        <v>2.0049999999999999</v>
      </c>
      <c r="P1228" s="315">
        <v>1.7524</v>
      </c>
      <c r="Q1228" s="315">
        <v>1.7335</v>
      </c>
      <c r="R1228" s="315">
        <v>2.6143000000000001</v>
      </c>
      <c r="S1228" s="315">
        <v>2.0442</v>
      </c>
      <c r="T1228" s="315">
        <v>1.8804000000000001</v>
      </c>
      <c r="U1228" s="315">
        <v>2.0628000000000002</v>
      </c>
      <c r="V1228" s="315">
        <v>1.9337</v>
      </c>
      <c r="W1228" s="315">
        <v>2.3631000000000002</v>
      </c>
      <c r="X1228" s="315">
        <v>2.3046000000000002</v>
      </c>
      <c r="Y1228" s="315">
        <v>2.0369000000000002</v>
      </c>
      <c r="Z1228" s="315">
        <v>2.1676000000000002</v>
      </c>
      <c r="AA1228" s="315">
        <v>2.2667000000000002</v>
      </c>
      <c r="AB1228" s="315">
        <v>2.2401</v>
      </c>
      <c r="AC1228" s="315">
        <v>1.7833000000000001</v>
      </c>
      <c r="AD1228" s="315">
        <v>1.7802</v>
      </c>
      <c r="AE1228" s="315">
        <v>2.1516999999999999</v>
      </c>
      <c r="AF1228" s="315">
        <v>1.5789</v>
      </c>
      <c r="AG1228" s="315">
        <v>1.7317</v>
      </c>
      <c r="AH1228" s="315">
        <v>2.2099000000000002</v>
      </c>
      <c r="AI1228" s="315">
        <v>2.5154999999999998</v>
      </c>
      <c r="AJ1228" s="315">
        <v>1.8485</v>
      </c>
      <c r="AK1228" s="315">
        <v>1.9659</v>
      </c>
      <c r="AL1228" s="315">
        <v>2.2589000000000001</v>
      </c>
      <c r="AM1228" s="315">
        <v>2.2764000000000002</v>
      </c>
      <c r="AN1228" s="315">
        <v>2.0253999999999999</v>
      </c>
      <c r="AO1228" s="315">
        <v>2.1113</v>
      </c>
      <c r="AP1228" s="315">
        <v>2.3805999999999998</v>
      </c>
      <c r="AQ1228" s="315">
        <v>2.1410999999999998</v>
      </c>
      <c r="AR1228" s="315">
        <v>2.149</v>
      </c>
      <c r="AS1228" s="315">
        <v>1.6004</v>
      </c>
      <c r="AT1228" s="315">
        <v>2.3407</v>
      </c>
      <c r="AU1228" s="315">
        <v>2.5169000000000001</v>
      </c>
      <c r="AV1228" s="315">
        <v>2.3599000000000001</v>
      </c>
      <c r="AW1228" s="315">
        <v>2.2547999999999999</v>
      </c>
      <c r="AX1228" s="315">
        <v>1.9301999999999999</v>
      </c>
      <c r="AY1228" s="315">
        <v>2.2124999999999999</v>
      </c>
      <c r="AZ1228" s="315">
        <v>2.0739000000000001</v>
      </c>
      <c r="BA1228" s="315">
        <v>1.7567999999999999</v>
      </c>
      <c r="BB1228" s="315">
        <v>1.5774999999999999</v>
      </c>
      <c r="BC1228" s="315">
        <v>2.4622999999999999</v>
      </c>
      <c r="BD1228" s="315">
        <v>2.6009000000000002</v>
      </c>
      <c r="BE1228" s="315">
        <v>2.4841000000000002</v>
      </c>
      <c r="BF1228" s="315">
        <v>2.1576</v>
      </c>
      <c r="BG1228" s="315">
        <v>2.5459000000000001</v>
      </c>
      <c r="BH1228" s="315">
        <v>2.2294</v>
      </c>
      <c r="BI1228" s="315">
        <v>2.4903</v>
      </c>
      <c r="BJ1228" s="315">
        <v>2.3616000000000001</v>
      </c>
      <c r="BK1228" s="315">
        <v>2.5148000000000001</v>
      </c>
    </row>
    <row r="1229" spans="1:63" x14ac:dyDescent="0.25">
      <c r="A1229" s="306" t="s">
        <v>789</v>
      </c>
      <c r="B1229" s="315" t="s">
        <v>359</v>
      </c>
      <c r="C1229" s="315">
        <v>3.1061999999999999</v>
      </c>
      <c r="D1229" s="315">
        <v>1.8172999999999999</v>
      </c>
      <c r="E1229" s="315">
        <v>2.0676999999999999</v>
      </c>
      <c r="F1229" s="315">
        <v>1.8583000000000001</v>
      </c>
      <c r="G1229" s="315">
        <v>2.1663999999999999</v>
      </c>
      <c r="H1229" s="315">
        <v>2.5097999999999998</v>
      </c>
      <c r="I1229" s="315">
        <v>2.4558</v>
      </c>
      <c r="J1229" s="315">
        <v>2.2277999999999998</v>
      </c>
      <c r="K1229" s="315">
        <v>1.538</v>
      </c>
      <c r="L1229" s="315">
        <v>2.0888</v>
      </c>
      <c r="M1229" s="315">
        <v>2.2892999999999999</v>
      </c>
      <c r="N1229" s="315">
        <v>2.4508000000000001</v>
      </c>
      <c r="O1229" s="315">
        <v>2.0150999999999999</v>
      </c>
      <c r="P1229" s="315">
        <v>1.8318000000000001</v>
      </c>
      <c r="Q1229" s="315">
        <v>1.7701</v>
      </c>
      <c r="R1229" s="315">
        <v>2.5790000000000002</v>
      </c>
      <c r="S1229" s="315">
        <v>2.0632000000000001</v>
      </c>
      <c r="T1229" s="315">
        <v>1.9145000000000001</v>
      </c>
      <c r="U1229" s="315">
        <v>2.0922000000000001</v>
      </c>
      <c r="V1229" s="315">
        <v>1.9366000000000001</v>
      </c>
      <c r="W1229" s="315">
        <v>2.3348</v>
      </c>
      <c r="X1229" s="315">
        <v>2.2198000000000002</v>
      </c>
      <c r="Y1229" s="315">
        <v>2.0448</v>
      </c>
      <c r="Z1229" s="315">
        <v>2.1789000000000001</v>
      </c>
      <c r="AA1229" s="315">
        <v>2.2768000000000002</v>
      </c>
      <c r="AB1229" s="315">
        <v>2.2885</v>
      </c>
      <c r="AC1229" s="315">
        <v>1.8584000000000001</v>
      </c>
      <c r="AD1229" s="315">
        <v>1.8272999999999999</v>
      </c>
      <c r="AE1229" s="315">
        <v>2.1396999999999999</v>
      </c>
      <c r="AF1229" s="315">
        <v>1.6629</v>
      </c>
      <c r="AG1229" s="315">
        <v>1.7591000000000001</v>
      </c>
      <c r="AH1229" s="315">
        <v>2.1339000000000001</v>
      </c>
      <c r="AI1229" s="315">
        <v>2.4516</v>
      </c>
      <c r="AJ1229" s="315">
        <v>1.8268</v>
      </c>
      <c r="AK1229" s="315">
        <v>1.9752000000000001</v>
      </c>
      <c r="AL1229" s="315">
        <v>2.2888000000000002</v>
      </c>
      <c r="AM1229" s="315">
        <v>2.3003</v>
      </c>
      <c r="AN1229" s="315">
        <v>2.0486</v>
      </c>
      <c r="AO1229" s="315">
        <v>2.1002000000000001</v>
      </c>
      <c r="AP1229" s="315">
        <v>2.4142000000000001</v>
      </c>
      <c r="AQ1229" s="315">
        <v>2.1187</v>
      </c>
      <c r="AR1229" s="315">
        <v>2.1802999999999999</v>
      </c>
      <c r="AS1229" s="315">
        <v>1.7251000000000001</v>
      </c>
      <c r="AT1229" s="315">
        <v>2.3765999999999998</v>
      </c>
      <c r="AU1229" s="315">
        <v>2.5343</v>
      </c>
      <c r="AV1229" s="315">
        <v>2.3856000000000002</v>
      </c>
      <c r="AW1229" s="315">
        <v>2.1922000000000001</v>
      </c>
      <c r="AX1229" s="315">
        <v>1.9417</v>
      </c>
      <c r="AY1229" s="315">
        <v>2.2000999999999999</v>
      </c>
      <c r="AZ1229" s="315">
        <v>2.1040999999999999</v>
      </c>
      <c r="BA1229" s="315">
        <v>1.778</v>
      </c>
      <c r="BB1229" s="315">
        <v>1.6224000000000001</v>
      </c>
      <c r="BC1229" s="315">
        <v>2.4407999999999999</v>
      </c>
      <c r="BD1229" s="315">
        <v>2.609</v>
      </c>
      <c r="BE1229" s="315">
        <v>2.4710000000000001</v>
      </c>
      <c r="BF1229" s="315">
        <v>2.1981000000000002</v>
      </c>
      <c r="BG1229" s="315">
        <v>2.4992000000000001</v>
      </c>
      <c r="BH1229" s="315">
        <v>2.2991000000000001</v>
      </c>
      <c r="BI1229" s="315">
        <v>2.5021</v>
      </c>
      <c r="BJ1229" s="315">
        <v>2.3405999999999998</v>
      </c>
      <c r="BK1229" s="315">
        <v>2.508</v>
      </c>
    </row>
    <row r="1230" spans="1:63" x14ac:dyDescent="0.25">
      <c r="A1230" s="306" t="s">
        <v>790</v>
      </c>
      <c r="B1230" s="315" t="s">
        <v>791</v>
      </c>
      <c r="C1230" s="315">
        <v>1.982</v>
      </c>
      <c r="D1230" s="315">
        <v>0.92869999999999997</v>
      </c>
      <c r="E1230" s="315">
        <v>1.1876</v>
      </c>
      <c r="F1230" s="315">
        <v>1.0081</v>
      </c>
      <c r="G1230" s="315">
        <v>1.1922999999999999</v>
      </c>
      <c r="H1230" s="315">
        <v>1.4023000000000001</v>
      </c>
      <c r="I1230" s="315">
        <v>1.3834</v>
      </c>
      <c r="J1230" s="315">
        <v>1.1096999999999999</v>
      </c>
      <c r="K1230" s="315">
        <v>0.53420000000000001</v>
      </c>
      <c r="L1230" s="315">
        <v>1.1003000000000001</v>
      </c>
      <c r="M1230" s="315">
        <v>1.2677</v>
      </c>
      <c r="N1230" s="315">
        <v>1.3897999999999999</v>
      </c>
      <c r="O1230" s="315">
        <v>1.1218999999999999</v>
      </c>
      <c r="P1230" s="315">
        <v>0.88300000000000001</v>
      </c>
      <c r="Q1230" s="315">
        <v>0.89429999999999998</v>
      </c>
      <c r="R1230" s="315">
        <v>1.4434</v>
      </c>
      <c r="S1230" s="315">
        <v>1.246</v>
      </c>
      <c r="T1230" s="315">
        <v>0.95709999999999995</v>
      </c>
      <c r="U1230" s="315">
        <v>1.2487999999999999</v>
      </c>
      <c r="V1230" s="315">
        <v>1.1031</v>
      </c>
      <c r="W1230" s="315">
        <v>1.2137</v>
      </c>
      <c r="X1230" s="315">
        <v>1.1865000000000001</v>
      </c>
      <c r="Y1230" s="315">
        <v>1.1376999999999999</v>
      </c>
      <c r="Z1230" s="315">
        <v>1.2664</v>
      </c>
      <c r="AA1230" s="315">
        <v>1.2496</v>
      </c>
      <c r="AB1230" s="315">
        <v>1.3575999999999999</v>
      </c>
      <c r="AC1230" s="315">
        <v>1.0443</v>
      </c>
      <c r="AD1230" s="315">
        <v>0.94189999999999996</v>
      </c>
      <c r="AE1230" s="315">
        <v>1.1881999999999999</v>
      </c>
      <c r="AF1230" s="315">
        <v>0.81359999999999999</v>
      </c>
      <c r="AG1230" s="315">
        <v>0.81869999999999998</v>
      </c>
      <c r="AH1230" s="315">
        <v>1.1614</v>
      </c>
      <c r="AI1230" s="315">
        <v>1.3468</v>
      </c>
      <c r="AJ1230" s="315">
        <v>1.0055000000000001</v>
      </c>
      <c r="AK1230" s="315">
        <v>0.99980000000000002</v>
      </c>
      <c r="AL1230" s="315">
        <v>1.0952</v>
      </c>
      <c r="AM1230" s="315">
        <v>1.3835</v>
      </c>
      <c r="AN1230" s="315">
        <v>1.1589</v>
      </c>
      <c r="AO1230" s="315">
        <v>1.1832</v>
      </c>
      <c r="AP1230" s="315">
        <v>1.4191</v>
      </c>
      <c r="AQ1230" s="315">
        <v>1.1529</v>
      </c>
      <c r="AR1230" s="315">
        <v>1.2626999999999999</v>
      </c>
      <c r="AS1230" s="315">
        <v>0.80600000000000005</v>
      </c>
      <c r="AT1230" s="315">
        <v>1.4224000000000001</v>
      </c>
      <c r="AU1230" s="315">
        <v>1.4842</v>
      </c>
      <c r="AV1230" s="315">
        <v>1.3576999999999999</v>
      </c>
      <c r="AW1230" s="315">
        <v>1.2311000000000001</v>
      </c>
      <c r="AX1230" s="315">
        <v>1.0305</v>
      </c>
      <c r="AY1230" s="315">
        <v>1.2586999999999999</v>
      </c>
      <c r="AZ1230" s="315">
        <v>1.2117</v>
      </c>
      <c r="BA1230" s="315">
        <v>0.98729999999999996</v>
      </c>
      <c r="BB1230" s="315">
        <v>0.73480000000000001</v>
      </c>
      <c r="BC1230" s="315">
        <v>1.3229</v>
      </c>
      <c r="BD1230" s="315">
        <v>1.4047000000000001</v>
      </c>
      <c r="BE1230" s="315">
        <v>1.4977</v>
      </c>
      <c r="BF1230" s="315">
        <v>1.2492000000000001</v>
      </c>
      <c r="BG1230" s="315">
        <v>1.4661999999999999</v>
      </c>
      <c r="BH1230" s="315">
        <v>1.3987000000000001</v>
      </c>
      <c r="BI1230" s="315">
        <v>1.4895</v>
      </c>
      <c r="BJ1230" s="315">
        <v>1.3546</v>
      </c>
      <c r="BK1230" s="315">
        <v>1.4345000000000001</v>
      </c>
    </row>
    <row r="1231" spans="1:63" x14ac:dyDescent="0.25">
      <c r="A1231" s="306" t="s">
        <v>792</v>
      </c>
      <c r="B1231" s="315" t="s">
        <v>793</v>
      </c>
      <c r="C1231" s="315">
        <v>1.7309000000000001</v>
      </c>
      <c r="D1231" s="315">
        <v>1.2497</v>
      </c>
      <c r="E1231" s="315">
        <v>1.4036999999999999</v>
      </c>
      <c r="F1231" s="315">
        <v>1.2843</v>
      </c>
      <c r="G1231" s="315">
        <v>1.4743999999999999</v>
      </c>
      <c r="H1231" s="315">
        <v>1.5056</v>
      </c>
      <c r="I1231" s="315">
        <v>1.5542</v>
      </c>
      <c r="J1231" s="315">
        <v>1.4462999999999999</v>
      </c>
      <c r="K1231" s="315">
        <v>1.2405999999999999</v>
      </c>
      <c r="L1231" s="315">
        <v>1.4441999999999999</v>
      </c>
      <c r="M1231" s="315">
        <v>1.5112000000000001</v>
      </c>
      <c r="N1231" s="315">
        <v>1.5598000000000001</v>
      </c>
      <c r="O1231" s="315">
        <v>1.3420000000000001</v>
      </c>
      <c r="P1231" s="315">
        <v>1.3635999999999999</v>
      </c>
      <c r="Q1231" s="315">
        <v>1.2998000000000001</v>
      </c>
      <c r="R1231" s="315">
        <v>1.5782</v>
      </c>
      <c r="S1231" s="315">
        <v>1.4018999999999999</v>
      </c>
      <c r="T1231" s="315">
        <v>1.2971999999999999</v>
      </c>
      <c r="U1231" s="315">
        <v>1.4236</v>
      </c>
      <c r="V1231" s="315">
        <v>1.3265</v>
      </c>
      <c r="W1231" s="315">
        <v>1.4197</v>
      </c>
      <c r="X1231" s="315">
        <v>1.4779</v>
      </c>
      <c r="Y1231" s="315">
        <v>1.4051</v>
      </c>
      <c r="Z1231" s="315">
        <v>1.4088000000000001</v>
      </c>
      <c r="AA1231" s="315">
        <v>1.4508000000000001</v>
      </c>
      <c r="AB1231" s="315">
        <v>1.4910000000000001</v>
      </c>
      <c r="AC1231" s="315">
        <v>1.3299000000000001</v>
      </c>
      <c r="AD1231" s="315">
        <v>1.2968</v>
      </c>
      <c r="AE1231" s="315">
        <v>1.4279999999999999</v>
      </c>
      <c r="AF1231" s="315">
        <v>1.2504999999999999</v>
      </c>
      <c r="AG1231" s="315">
        <v>1.3158000000000001</v>
      </c>
      <c r="AH1231" s="315">
        <v>1.4206000000000001</v>
      </c>
      <c r="AI1231" s="315">
        <v>1.5113000000000001</v>
      </c>
      <c r="AJ1231" s="315">
        <v>1.2826</v>
      </c>
      <c r="AK1231" s="315">
        <v>1.4084000000000001</v>
      </c>
      <c r="AL1231" s="315">
        <v>1.4519</v>
      </c>
      <c r="AM1231" s="315">
        <v>1.4738</v>
      </c>
      <c r="AN1231" s="315">
        <v>1.3395999999999999</v>
      </c>
      <c r="AO1231" s="315">
        <v>1.45</v>
      </c>
      <c r="AP1231" s="315">
        <v>1.498</v>
      </c>
      <c r="AQ1231" s="315">
        <v>1.4114</v>
      </c>
      <c r="AR1231" s="315">
        <v>1.4998</v>
      </c>
      <c r="AS1231" s="315">
        <v>1.3106</v>
      </c>
      <c r="AT1231" s="315">
        <v>1.5195000000000001</v>
      </c>
      <c r="AU1231" s="315">
        <v>1.5755999999999999</v>
      </c>
      <c r="AV1231" s="315">
        <v>1.5205</v>
      </c>
      <c r="AW1231" s="315">
        <v>1.494</v>
      </c>
      <c r="AX1231" s="315">
        <v>1.3156000000000001</v>
      </c>
      <c r="AY1231" s="315">
        <v>1.4538</v>
      </c>
      <c r="AZ1231" s="315">
        <v>1.4009</v>
      </c>
      <c r="BA1231" s="315">
        <v>1.2721</v>
      </c>
      <c r="BB1231" s="315">
        <v>1.2121</v>
      </c>
      <c r="BC1231" s="315">
        <v>1.4846999999999999</v>
      </c>
      <c r="BD1231" s="315">
        <v>1.5529999999999999</v>
      </c>
      <c r="BE1231" s="315">
        <v>1.5298</v>
      </c>
      <c r="BF1231" s="315">
        <v>1.4488000000000001</v>
      </c>
      <c r="BG1231" s="315">
        <v>1.5805</v>
      </c>
      <c r="BH1231" s="315">
        <v>1.4855</v>
      </c>
      <c r="BI1231" s="315">
        <v>1.5686</v>
      </c>
      <c r="BJ1231" s="315">
        <v>1.5190999999999999</v>
      </c>
      <c r="BK1231" s="315">
        <v>1.5235000000000001</v>
      </c>
    </row>
    <row r="1232" spans="1:63" x14ac:dyDescent="0.25">
      <c r="A1232" s="306" t="s">
        <v>794</v>
      </c>
      <c r="B1232" s="315" t="s">
        <v>795</v>
      </c>
      <c r="C1232" s="315">
        <v>2.9944999999999999</v>
      </c>
      <c r="D1232" s="315">
        <v>1.9</v>
      </c>
      <c r="E1232" s="315">
        <v>2.1844999999999999</v>
      </c>
      <c r="F1232" s="315">
        <v>1.9419</v>
      </c>
      <c r="G1232" s="315">
        <v>2.1455000000000002</v>
      </c>
      <c r="H1232" s="315">
        <v>2.3715000000000002</v>
      </c>
      <c r="I1232" s="315">
        <v>2.3828999999999998</v>
      </c>
      <c r="J1232" s="315">
        <v>2.0144000000000002</v>
      </c>
      <c r="K1232" s="315">
        <v>1.3386</v>
      </c>
      <c r="L1232" s="315">
        <v>1.9497</v>
      </c>
      <c r="M1232" s="315">
        <v>2.1558999999999999</v>
      </c>
      <c r="N1232" s="315">
        <v>2.3159000000000001</v>
      </c>
      <c r="O1232" s="315">
        <v>1.9984</v>
      </c>
      <c r="P1232" s="315">
        <v>1.7427999999999999</v>
      </c>
      <c r="Q1232" s="315">
        <v>1.8177000000000001</v>
      </c>
      <c r="R1232" s="315">
        <v>2.3860999999999999</v>
      </c>
      <c r="S1232" s="315">
        <v>2.1375999999999999</v>
      </c>
      <c r="T1232" s="315">
        <v>1.9162999999999999</v>
      </c>
      <c r="U1232" s="315">
        <v>2.0968</v>
      </c>
      <c r="V1232" s="315">
        <v>2.1082999999999998</v>
      </c>
      <c r="W1232" s="315">
        <v>2.1244999999999998</v>
      </c>
      <c r="X1232" s="315">
        <v>2.0512000000000001</v>
      </c>
      <c r="Y1232" s="315">
        <v>1.9973000000000001</v>
      </c>
      <c r="Z1232" s="315">
        <v>2.1389</v>
      </c>
      <c r="AA1232" s="315">
        <v>2.1124000000000001</v>
      </c>
      <c r="AB1232" s="315">
        <v>2.2378</v>
      </c>
      <c r="AC1232" s="315">
        <v>1.9677</v>
      </c>
      <c r="AD1232" s="315">
        <v>1.9111</v>
      </c>
      <c r="AE1232" s="315">
        <v>2.0762</v>
      </c>
      <c r="AF1232" s="315">
        <v>1.7130000000000001</v>
      </c>
      <c r="AG1232" s="315">
        <v>1.7241</v>
      </c>
      <c r="AH1232" s="315">
        <v>2.0390999999999999</v>
      </c>
      <c r="AI1232" s="315">
        <v>2.2667999999999999</v>
      </c>
      <c r="AJ1232" s="315">
        <v>1.9530000000000001</v>
      </c>
      <c r="AK1232" s="315">
        <v>1.9744999999999999</v>
      </c>
      <c r="AL1232" s="315">
        <v>1.9763999999999999</v>
      </c>
      <c r="AM1232" s="315">
        <v>2.3050999999999999</v>
      </c>
      <c r="AN1232" s="315">
        <v>2.1484000000000001</v>
      </c>
      <c r="AO1232" s="315">
        <v>2.1248</v>
      </c>
      <c r="AP1232" s="315">
        <v>2.3908</v>
      </c>
      <c r="AQ1232" s="315">
        <v>1.9722999999999999</v>
      </c>
      <c r="AR1232" s="315">
        <v>2.2122999999999999</v>
      </c>
      <c r="AS1232" s="315">
        <v>1.6591</v>
      </c>
      <c r="AT1232" s="315">
        <v>2.3033999999999999</v>
      </c>
      <c r="AU1232" s="315">
        <v>2.5400999999999998</v>
      </c>
      <c r="AV1232" s="315">
        <v>2.3776000000000002</v>
      </c>
      <c r="AW1232" s="315">
        <v>2.1307</v>
      </c>
      <c r="AX1232" s="315">
        <v>1.9162999999999999</v>
      </c>
      <c r="AY1232" s="315">
        <v>2.2088999999999999</v>
      </c>
      <c r="AZ1232" s="315">
        <v>2.0638000000000001</v>
      </c>
      <c r="BA1232" s="315">
        <v>1.9446000000000001</v>
      </c>
      <c r="BB1232" s="315">
        <v>1.7574000000000001</v>
      </c>
      <c r="BC1232" s="315">
        <v>2.2271000000000001</v>
      </c>
      <c r="BD1232" s="315">
        <v>2.3288000000000002</v>
      </c>
      <c r="BE1232" s="315">
        <v>2.4146000000000001</v>
      </c>
      <c r="BF1232" s="315">
        <v>2.1315</v>
      </c>
      <c r="BG1232" s="315">
        <v>2.3957999999999999</v>
      </c>
      <c r="BH1232" s="315">
        <v>2.3458999999999999</v>
      </c>
      <c r="BI1232" s="315">
        <v>2.5470000000000002</v>
      </c>
      <c r="BJ1232" s="315">
        <v>2.3755000000000002</v>
      </c>
      <c r="BK1232" s="315">
        <v>2.4194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3"/>
  <sheetViews>
    <sheetView workbookViewId="0">
      <selection activeCell="N20" sqref="N20"/>
    </sheetView>
  </sheetViews>
  <sheetFormatPr defaultRowHeight="15" x14ac:dyDescent="0.25"/>
  <sheetData>
    <row r="1" spans="1:16" x14ac:dyDescent="0.25">
      <c r="A1" t="s">
        <v>948</v>
      </c>
      <c r="E1" t="s">
        <v>949</v>
      </c>
    </row>
    <row r="2" spans="1:16" ht="15.75" x14ac:dyDescent="0.25">
      <c r="A2" s="2835" t="s">
        <v>921</v>
      </c>
      <c r="B2" s="2833"/>
      <c r="C2" s="2833"/>
      <c r="D2" s="2833"/>
      <c r="E2" s="2833"/>
      <c r="F2" s="2833"/>
      <c r="G2" s="137"/>
      <c r="H2" s="137"/>
      <c r="I2" s="137"/>
      <c r="J2" s="137"/>
      <c r="K2" s="137"/>
      <c r="L2" s="137"/>
      <c r="M2" s="137"/>
      <c r="N2" s="137"/>
      <c r="O2" s="137"/>
      <c r="P2" s="137"/>
    </row>
    <row r="3" spans="1:16" ht="15.75" x14ac:dyDescent="0.25">
      <c r="A3" s="2835" t="s">
        <v>922</v>
      </c>
      <c r="B3" s="2833"/>
      <c r="C3" s="2833"/>
      <c r="D3" s="2833"/>
      <c r="E3" s="2833"/>
      <c r="F3" s="2833"/>
      <c r="G3" s="137"/>
      <c r="H3" s="137"/>
      <c r="I3" s="137"/>
      <c r="J3" s="137"/>
      <c r="K3" s="137"/>
      <c r="L3" s="137"/>
      <c r="M3" s="137"/>
      <c r="N3" s="137"/>
      <c r="O3" s="137"/>
      <c r="P3" s="137"/>
    </row>
    <row r="4" spans="1:16" x14ac:dyDescent="0.25">
      <c r="A4" s="2833"/>
      <c r="B4" s="2833"/>
      <c r="C4" s="2833"/>
      <c r="D4" s="2833"/>
      <c r="E4" s="2833"/>
      <c r="F4" s="2833"/>
      <c r="G4" s="137"/>
      <c r="H4" s="137"/>
      <c r="I4" s="137"/>
      <c r="J4" s="137"/>
      <c r="K4" s="137"/>
      <c r="L4" s="137"/>
      <c r="M4" s="137"/>
      <c r="N4" s="137"/>
      <c r="O4" s="137"/>
      <c r="P4" s="137"/>
    </row>
    <row r="5" spans="1:16" ht="25.5" x14ac:dyDescent="0.25">
      <c r="A5" s="142" t="s">
        <v>923</v>
      </c>
      <c r="B5" s="2832" t="s">
        <v>924</v>
      </c>
      <c r="C5" s="2833"/>
      <c r="D5" s="2833"/>
      <c r="E5" s="2833"/>
      <c r="F5" s="2833"/>
      <c r="G5" s="137"/>
      <c r="H5" s="137"/>
      <c r="I5" s="137"/>
      <c r="J5" s="137"/>
      <c r="K5" s="137"/>
      <c r="L5" s="137"/>
      <c r="M5" s="137"/>
      <c r="N5" s="137"/>
      <c r="O5" s="137"/>
      <c r="P5" s="137"/>
    </row>
    <row r="6" spans="1:16" x14ac:dyDescent="0.25">
      <c r="A6" s="2836" t="s">
        <v>925</v>
      </c>
      <c r="B6" s="2833"/>
      <c r="C6" s="2833"/>
      <c r="D6" s="2833"/>
      <c r="E6" s="2833"/>
      <c r="F6" s="2833"/>
      <c r="G6" s="137"/>
      <c r="H6" s="137"/>
      <c r="I6" s="137"/>
      <c r="J6" s="137"/>
      <c r="K6" s="137"/>
      <c r="L6" s="137"/>
      <c r="M6" s="137"/>
      <c r="N6" s="137"/>
      <c r="O6" s="137"/>
      <c r="P6" s="137"/>
    </row>
    <row r="7" spans="1:16" x14ac:dyDescent="0.25">
      <c r="A7" s="142" t="s">
        <v>926</v>
      </c>
      <c r="B7" s="2832" t="s">
        <v>927</v>
      </c>
      <c r="C7" s="2833"/>
      <c r="D7" s="2833"/>
      <c r="E7" s="2833"/>
      <c r="F7" s="2833"/>
      <c r="G7" s="137"/>
      <c r="H7" s="137"/>
      <c r="I7" s="137"/>
      <c r="J7" s="137"/>
      <c r="K7" s="137"/>
      <c r="L7" s="137"/>
      <c r="M7" s="137"/>
      <c r="N7" s="137"/>
      <c r="O7" s="137"/>
      <c r="P7" s="137"/>
    </row>
    <row r="8" spans="1:16" x14ac:dyDescent="0.25">
      <c r="A8" s="142" t="s">
        <v>928</v>
      </c>
      <c r="B8" s="2832" t="s">
        <v>929</v>
      </c>
      <c r="C8" s="2833"/>
      <c r="D8" s="2833"/>
      <c r="E8" s="2833"/>
      <c r="F8" s="2833"/>
      <c r="G8" s="137"/>
      <c r="H8" s="137"/>
      <c r="I8" s="137"/>
      <c r="J8" s="137"/>
      <c r="K8" s="137"/>
      <c r="L8" s="137"/>
      <c r="M8" s="137"/>
      <c r="N8" s="137"/>
      <c r="O8" s="137"/>
      <c r="P8" s="137"/>
    </row>
    <row r="9" spans="1:16" ht="25.5" x14ac:dyDescent="0.25">
      <c r="A9" s="142" t="s">
        <v>930</v>
      </c>
      <c r="B9" s="2832" t="s">
        <v>931</v>
      </c>
      <c r="C9" s="2833"/>
      <c r="D9" s="2833"/>
      <c r="E9" s="2833"/>
      <c r="F9" s="2833"/>
      <c r="G9" s="137"/>
      <c r="H9" s="137"/>
      <c r="I9" s="137"/>
      <c r="J9" s="137"/>
      <c r="K9" s="137"/>
      <c r="L9" s="137"/>
      <c r="M9" s="137"/>
      <c r="N9" s="137"/>
      <c r="O9" s="137"/>
      <c r="P9" s="137"/>
    </row>
    <row r="10" spans="1:16" x14ac:dyDescent="0.25">
      <c r="A10" s="142" t="s">
        <v>932</v>
      </c>
      <c r="B10" s="2834" t="s">
        <v>933</v>
      </c>
      <c r="C10" s="2833"/>
      <c r="D10" s="2833"/>
      <c r="E10" s="2833"/>
      <c r="F10" s="2833"/>
      <c r="G10" s="137"/>
      <c r="H10" s="137"/>
      <c r="I10" s="137"/>
      <c r="J10" s="137"/>
      <c r="K10" s="137"/>
      <c r="L10" s="137"/>
      <c r="M10" s="137"/>
      <c r="N10" s="137"/>
      <c r="O10" s="137"/>
      <c r="P10" s="137"/>
    </row>
    <row r="12" spans="1:16" ht="15.75" thickBot="1" x14ac:dyDescent="0.3">
      <c r="A12" s="138" t="s">
        <v>433</v>
      </c>
      <c r="B12" s="138" t="s">
        <v>934</v>
      </c>
      <c r="C12" s="138" t="s">
        <v>935</v>
      </c>
      <c r="D12" s="138" t="s">
        <v>936</v>
      </c>
      <c r="E12" s="138" t="s">
        <v>937</v>
      </c>
      <c r="F12" s="138" t="s">
        <v>938</v>
      </c>
      <c r="G12" s="138" t="s">
        <v>939</v>
      </c>
      <c r="H12" s="138" t="s">
        <v>940</v>
      </c>
      <c r="I12" s="138" t="s">
        <v>941</v>
      </c>
      <c r="J12" s="138" t="s">
        <v>942</v>
      </c>
      <c r="K12" s="138" t="s">
        <v>943</v>
      </c>
      <c r="L12" s="138" t="s">
        <v>944</v>
      </c>
      <c r="M12" s="138" t="s">
        <v>945</v>
      </c>
      <c r="N12" s="138" t="s">
        <v>439</v>
      </c>
      <c r="O12" s="138" t="s">
        <v>946</v>
      </c>
      <c r="P12" s="138" t="s">
        <v>947</v>
      </c>
    </row>
    <row r="13" spans="1:16" ht="15.75" thickTop="1" x14ac:dyDescent="0.25">
      <c r="A13" s="139">
        <v>2001</v>
      </c>
      <c r="B13" s="140">
        <v>175.1</v>
      </c>
      <c r="C13" s="140">
        <v>175.8</v>
      </c>
      <c r="D13" s="140">
        <v>176.2</v>
      </c>
      <c r="E13" s="140">
        <v>176.9</v>
      </c>
      <c r="F13" s="140">
        <v>177.7</v>
      </c>
      <c r="G13" s="140">
        <v>178</v>
      </c>
      <c r="H13" s="140">
        <v>177.5</v>
      </c>
      <c r="I13" s="140">
        <v>177.5</v>
      </c>
      <c r="J13" s="140">
        <v>178.3</v>
      </c>
      <c r="K13" s="140">
        <v>177.7</v>
      </c>
      <c r="L13" s="140">
        <v>177.4</v>
      </c>
      <c r="M13" s="140">
        <v>176.7</v>
      </c>
      <c r="N13" s="140">
        <v>177.1</v>
      </c>
      <c r="O13" s="140">
        <v>176.6</v>
      </c>
      <c r="P13" s="140">
        <v>177.5</v>
      </c>
    </row>
    <row r="14" spans="1:16" x14ac:dyDescent="0.25">
      <c r="A14" s="139">
        <v>2002</v>
      </c>
      <c r="B14" s="140">
        <v>177.1</v>
      </c>
      <c r="C14" s="140">
        <v>177.8</v>
      </c>
      <c r="D14" s="140">
        <v>178.8</v>
      </c>
      <c r="E14" s="140">
        <v>179.8</v>
      </c>
      <c r="F14" s="140">
        <v>179.8</v>
      </c>
      <c r="G14" s="140">
        <v>179.9</v>
      </c>
      <c r="H14" s="140">
        <v>180.1</v>
      </c>
      <c r="I14" s="140">
        <v>180.7</v>
      </c>
      <c r="J14" s="140">
        <v>181</v>
      </c>
      <c r="K14" s="140">
        <v>181.3</v>
      </c>
      <c r="L14" s="140">
        <v>181.3</v>
      </c>
      <c r="M14" s="140">
        <v>180.9</v>
      </c>
      <c r="N14" s="140">
        <v>179.9</v>
      </c>
      <c r="O14" s="140">
        <v>178.9</v>
      </c>
      <c r="P14" s="140">
        <v>180.9</v>
      </c>
    </row>
    <row r="15" spans="1:16" x14ac:dyDescent="0.25">
      <c r="A15" s="139">
        <v>2003</v>
      </c>
      <c r="B15" s="140">
        <v>181.7</v>
      </c>
      <c r="C15" s="140">
        <v>183.1</v>
      </c>
      <c r="D15" s="140">
        <v>184.2</v>
      </c>
      <c r="E15" s="140">
        <v>183.8</v>
      </c>
      <c r="F15" s="140">
        <v>183.5</v>
      </c>
      <c r="G15" s="140">
        <v>183.7</v>
      </c>
      <c r="H15" s="140">
        <v>183.9</v>
      </c>
      <c r="I15" s="140">
        <v>184.6</v>
      </c>
      <c r="J15" s="140">
        <v>185.2</v>
      </c>
      <c r="K15" s="140">
        <v>185</v>
      </c>
      <c r="L15" s="140">
        <v>184.5</v>
      </c>
      <c r="M15" s="140">
        <v>184.3</v>
      </c>
      <c r="N15" s="140">
        <v>184</v>
      </c>
      <c r="O15" s="140">
        <v>183.3</v>
      </c>
      <c r="P15" s="140">
        <v>184.6</v>
      </c>
    </row>
    <row r="16" spans="1:16" x14ac:dyDescent="0.25">
      <c r="A16" s="139">
        <v>2004</v>
      </c>
      <c r="B16" s="140">
        <v>185.2</v>
      </c>
      <c r="C16" s="140">
        <v>186.2</v>
      </c>
      <c r="D16" s="140">
        <v>187.4</v>
      </c>
      <c r="E16" s="140">
        <v>188</v>
      </c>
      <c r="F16" s="140">
        <v>189.1</v>
      </c>
      <c r="G16" s="140">
        <v>189.7</v>
      </c>
      <c r="H16" s="140">
        <v>189.4</v>
      </c>
      <c r="I16" s="140">
        <v>189.5</v>
      </c>
      <c r="J16" s="140">
        <v>189.9</v>
      </c>
      <c r="K16" s="140">
        <v>190.9</v>
      </c>
      <c r="L16" s="140">
        <v>191</v>
      </c>
      <c r="M16" s="140">
        <v>190.3</v>
      </c>
      <c r="N16" s="140">
        <v>188.9</v>
      </c>
      <c r="O16" s="140">
        <v>187.6</v>
      </c>
      <c r="P16" s="140">
        <v>190.2</v>
      </c>
    </row>
    <row r="17" spans="1:16" x14ac:dyDescent="0.25">
      <c r="A17" s="139">
        <v>2005</v>
      </c>
      <c r="B17" s="140">
        <v>190.7</v>
      </c>
      <c r="C17" s="140">
        <v>191.8</v>
      </c>
      <c r="D17" s="140">
        <v>193.3</v>
      </c>
      <c r="E17" s="140">
        <v>194.6</v>
      </c>
      <c r="F17" s="140">
        <v>194.4</v>
      </c>
      <c r="G17" s="140">
        <v>194.5</v>
      </c>
      <c r="H17" s="140">
        <v>195.4</v>
      </c>
      <c r="I17" s="140">
        <v>196.4</v>
      </c>
      <c r="J17" s="140">
        <v>198.8</v>
      </c>
      <c r="K17" s="140">
        <v>199.2</v>
      </c>
      <c r="L17" s="140">
        <v>197.6</v>
      </c>
      <c r="M17" s="140">
        <v>196.8</v>
      </c>
      <c r="N17" s="140">
        <v>195.3</v>
      </c>
      <c r="O17" s="140">
        <v>193.2</v>
      </c>
      <c r="P17" s="140">
        <v>197.4</v>
      </c>
    </row>
    <row r="18" spans="1:16" x14ac:dyDescent="0.25">
      <c r="A18" s="139">
        <v>2006</v>
      </c>
      <c r="B18" s="140">
        <v>198.3</v>
      </c>
      <c r="C18" s="140">
        <v>198.7</v>
      </c>
      <c r="D18" s="140">
        <v>199.8</v>
      </c>
      <c r="E18" s="140">
        <v>201.5</v>
      </c>
      <c r="F18" s="140">
        <v>202.5</v>
      </c>
      <c r="G18" s="140">
        <v>202.9</v>
      </c>
      <c r="H18" s="140">
        <v>203.5</v>
      </c>
      <c r="I18" s="140">
        <v>203.9</v>
      </c>
      <c r="J18" s="140">
        <v>202.9</v>
      </c>
      <c r="K18" s="140">
        <v>201.8</v>
      </c>
      <c r="L18" s="140">
        <v>201.5</v>
      </c>
      <c r="M18" s="140">
        <v>201.8</v>
      </c>
      <c r="N18" s="140">
        <v>201.6</v>
      </c>
      <c r="O18" s="140">
        <v>200.6</v>
      </c>
      <c r="P18" s="140">
        <v>202.6</v>
      </c>
    </row>
    <row r="19" spans="1:16" x14ac:dyDescent="0.25">
      <c r="A19" s="139">
        <v>2007</v>
      </c>
      <c r="B19" s="141">
        <v>202.416</v>
      </c>
      <c r="C19" s="141">
        <v>203.499</v>
      </c>
      <c r="D19" s="141">
        <v>205.352</v>
      </c>
      <c r="E19" s="141">
        <v>206.68600000000001</v>
      </c>
      <c r="F19" s="141">
        <v>207.94900000000001</v>
      </c>
      <c r="G19" s="141">
        <v>208.352</v>
      </c>
      <c r="H19" s="141">
        <v>208.29900000000001</v>
      </c>
      <c r="I19" s="141">
        <v>207.917</v>
      </c>
      <c r="J19" s="141">
        <v>208.49</v>
      </c>
      <c r="K19" s="141">
        <v>208.93600000000001</v>
      </c>
      <c r="L19" s="141">
        <v>210.17699999999999</v>
      </c>
      <c r="M19" s="141">
        <v>210.036</v>
      </c>
      <c r="N19" s="141">
        <v>207.34200000000001</v>
      </c>
      <c r="O19" s="141">
        <v>205.709</v>
      </c>
      <c r="P19" s="141">
        <v>208.976</v>
      </c>
    </row>
    <row r="20" spans="1:16" x14ac:dyDescent="0.25">
      <c r="A20" s="139">
        <v>2008</v>
      </c>
      <c r="B20" s="141">
        <v>211.08</v>
      </c>
      <c r="C20" s="141">
        <v>211.69300000000001</v>
      </c>
      <c r="D20" s="141">
        <v>213.52799999999999</v>
      </c>
      <c r="E20" s="141">
        <v>214.82300000000001</v>
      </c>
      <c r="F20" s="141">
        <v>216.63200000000001</v>
      </c>
      <c r="G20" s="141">
        <v>218.815</v>
      </c>
      <c r="H20" s="141">
        <v>219.964</v>
      </c>
      <c r="I20" s="141">
        <v>219.08600000000001</v>
      </c>
      <c r="J20" s="141">
        <v>218.78299999999999</v>
      </c>
      <c r="K20" s="141">
        <v>216.57300000000001</v>
      </c>
      <c r="L20" s="141">
        <v>212.42500000000001</v>
      </c>
      <c r="M20" s="141">
        <v>210.22800000000001</v>
      </c>
      <c r="N20" s="141">
        <v>215.303</v>
      </c>
      <c r="O20" s="141">
        <v>214.429</v>
      </c>
      <c r="P20" s="141">
        <v>216.17699999999999</v>
      </c>
    </row>
    <row r="21" spans="1:16" x14ac:dyDescent="0.25">
      <c r="A21" s="139">
        <v>2009</v>
      </c>
      <c r="B21" s="141">
        <v>211.143</v>
      </c>
      <c r="C21" s="141">
        <v>212.19300000000001</v>
      </c>
      <c r="D21" s="141">
        <v>212.709</v>
      </c>
      <c r="E21" s="141">
        <v>213.24</v>
      </c>
      <c r="F21" s="141">
        <v>213.85599999999999</v>
      </c>
      <c r="G21" s="141">
        <v>215.69300000000001</v>
      </c>
      <c r="H21" s="141">
        <v>215.351</v>
      </c>
      <c r="I21" s="141">
        <v>215.834</v>
      </c>
      <c r="J21" s="141">
        <v>215.96899999999999</v>
      </c>
      <c r="K21" s="141">
        <v>216.17699999999999</v>
      </c>
      <c r="L21" s="141">
        <v>216.33</v>
      </c>
      <c r="M21" s="141">
        <v>215.94900000000001</v>
      </c>
      <c r="N21" s="141">
        <v>214.53700000000001</v>
      </c>
      <c r="O21" s="141">
        <v>213.13900000000001</v>
      </c>
      <c r="P21" s="141">
        <v>215.935</v>
      </c>
    </row>
    <row r="22" spans="1:16" x14ac:dyDescent="0.25">
      <c r="A22" s="139">
        <v>2010</v>
      </c>
      <c r="B22" s="141">
        <v>216.68700000000001</v>
      </c>
      <c r="C22" s="141">
        <v>216.74100000000001</v>
      </c>
      <c r="D22" s="141">
        <v>217.631</v>
      </c>
      <c r="E22" s="141">
        <v>218.00899999999999</v>
      </c>
      <c r="F22" s="141">
        <v>218.178</v>
      </c>
      <c r="G22" s="141">
        <v>217.965</v>
      </c>
      <c r="H22" s="141">
        <v>218.011</v>
      </c>
      <c r="I22" s="141">
        <v>218.31200000000001</v>
      </c>
      <c r="J22" s="141">
        <v>218.43899999999999</v>
      </c>
      <c r="K22" s="141">
        <v>218.71100000000001</v>
      </c>
      <c r="L22" s="141">
        <v>218.803</v>
      </c>
      <c r="M22" s="141">
        <v>219.179</v>
      </c>
      <c r="N22" s="141">
        <v>218.05600000000001</v>
      </c>
      <c r="O22" s="141">
        <v>217.535</v>
      </c>
      <c r="P22" s="141">
        <v>218.57599999999999</v>
      </c>
    </row>
    <row r="23" spans="1:16" x14ac:dyDescent="0.25">
      <c r="A23" s="139">
        <v>2011</v>
      </c>
      <c r="B23" s="141">
        <v>220.22300000000001</v>
      </c>
      <c r="C23" s="141">
        <v>221.309</v>
      </c>
      <c r="D23" s="141">
        <v>223.46700000000001</v>
      </c>
      <c r="E23" s="141">
        <v>224.90600000000001</v>
      </c>
      <c r="F23" s="141">
        <v>225.964</v>
      </c>
      <c r="G23" s="141">
        <v>225.72200000000001</v>
      </c>
      <c r="H23" s="141">
        <v>225.922</v>
      </c>
      <c r="I23" s="141">
        <v>226.54499999999999</v>
      </c>
      <c r="J23" s="141">
        <v>226.88900000000001</v>
      </c>
      <c r="K23" s="137"/>
      <c r="L23" s="137"/>
      <c r="M23" s="137"/>
      <c r="N23" s="137"/>
      <c r="O23" s="141">
        <v>223.59800000000001</v>
      </c>
      <c r="P23" s="137"/>
    </row>
  </sheetData>
  <mergeCells count="9">
    <mergeCell ref="B8:F8"/>
    <mergeCell ref="B9:F9"/>
    <mergeCell ref="B10:F10"/>
    <mergeCell ref="A2:F2"/>
    <mergeCell ref="A3:F3"/>
    <mergeCell ref="A4:F4"/>
    <mergeCell ref="B5:F5"/>
    <mergeCell ref="A6:F6"/>
    <mergeCell ref="B7:F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9CCFF"/>
  </sheetPr>
  <dimension ref="A1:BD742"/>
  <sheetViews>
    <sheetView zoomScale="90" zoomScaleNormal="90" workbookViewId="0">
      <selection activeCell="B1" sqref="B1:J1"/>
    </sheetView>
  </sheetViews>
  <sheetFormatPr defaultColWidth="9" defaultRowHeight="15" x14ac:dyDescent="0.25"/>
  <cols>
    <col min="1" max="1" width="1.5703125" style="23" customWidth="1"/>
    <col min="2" max="2" width="16.5703125" style="5" customWidth="1"/>
    <col min="3" max="3" width="14.5703125" style="3" customWidth="1"/>
    <col min="4" max="4" width="23.140625" style="3" customWidth="1"/>
    <col min="5" max="5" width="27.28515625" style="3" customWidth="1"/>
    <col min="6" max="6" width="22.5703125" style="3" customWidth="1"/>
    <col min="7" max="7" width="22.140625" style="3" customWidth="1"/>
    <col min="8" max="8" width="23.85546875" style="3" customWidth="1"/>
    <col min="9" max="9" width="22.7109375" style="3" customWidth="1"/>
    <col min="10" max="10" width="21.140625" style="3" customWidth="1"/>
    <col min="11" max="11" width="14.5703125" style="3" customWidth="1"/>
    <col min="12" max="12" width="15.140625" style="3" bestFit="1" customWidth="1"/>
    <col min="13" max="13" width="15.28515625" style="3" customWidth="1"/>
    <col min="14" max="14" width="28.140625" style="3" customWidth="1"/>
    <col min="15" max="15" width="16.42578125" style="3" customWidth="1"/>
    <col min="16" max="16" width="16.140625" style="3" customWidth="1"/>
    <col min="17" max="17" width="16.5703125" style="3" customWidth="1"/>
    <col min="18" max="18" width="14.140625" style="4" customWidth="1"/>
    <col min="19" max="19" width="15.140625" style="3" customWidth="1"/>
    <col min="20" max="20" width="22.140625" style="5" customWidth="1"/>
    <col min="21" max="21" width="19.7109375" style="3" customWidth="1"/>
    <col min="22" max="22" width="19.28515625" style="3" customWidth="1"/>
    <col min="23" max="23" width="18.7109375" style="3" customWidth="1"/>
    <col min="24" max="24" width="17" style="3" customWidth="1"/>
    <col min="25" max="25" width="16.42578125" style="3" customWidth="1"/>
    <col min="26" max="26" width="15" style="3" customWidth="1"/>
    <col min="27" max="27" width="14.7109375" style="3" customWidth="1"/>
    <col min="28" max="29" width="16.140625" style="3" bestFit="1" customWidth="1"/>
    <col min="30" max="30" width="16.7109375" style="3" bestFit="1" customWidth="1"/>
    <col min="31" max="31" width="14.28515625" style="3" customWidth="1"/>
    <col min="32" max="32" width="13.28515625" style="3" customWidth="1"/>
    <col min="33" max="33" width="15.140625" style="3" customWidth="1"/>
    <col min="34" max="40" width="18.85546875" style="3" customWidth="1"/>
    <col min="41" max="42" width="9.140625" style="3" bestFit="1" customWidth="1"/>
    <col min="43" max="16384" width="9" style="3"/>
  </cols>
  <sheetData>
    <row r="1" spans="1:25" ht="33.75" customHeight="1" x14ac:dyDescent="0.25">
      <c r="B1" s="2060" t="s">
        <v>1594</v>
      </c>
      <c r="C1" s="2061"/>
      <c r="D1" s="2061"/>
      <c r="E1" s="2061"/>
      <c r="F1" s="2061"/>
      <c r="G1" s="2061"/>
      <c r="H1" s="2061"/>
      <c r="I1" s="2061"/>
      <c r="J1" s="2062"/>
      <c r="K1" s="901"/>
      <c r="L1" s="901"/>
      <c r="M1" s="901"/>
      <c r="N1" s="901"/>
      <c r="O1" s="901"/>
      <c r="P1" s="901"/>
      <c r="Q1" s="901"/>
      <c r="S1" s="4"/>
      <c r="T1" s="4"/>
      <c r="U1" s="4"/>
      <c r="V1" s="4"/>
      <c r="W1" s="4"/>
      <c r="X1" s="4"/>
      <c r="Y1" s="4"/>
    </row>
    <row r="2" spans="1:25" s="10" customFormat="1" ht="36.75" customHeight="1" x14ac:dyDescent="0.25">
      <c r="A2" s="23"/>
      <c r="B2" s="921"/>
      <c r="C2" s="23"/>
      <c r="D2" s="23"/>
      <c r="E2" s="23"/>
      <c r="F2" s="23"/>
      <c r="G2" s="23"/>
      <c r="H2" s="23"/>
      <c r="I2" s="23"/>
      <c r="J2" s="922"/>
      <c r="K2" s="23"/>
      <c r="L2" s="23"/>
      <c r="M2" s="23"/>
      <c r="N2" s="23"/>
      <c r="O2" s="23"/>
      <c r="P2" s="23"/>
      <c r="Q2" s="23"/>
    </row>
    <row r="3" spans="1:25" ht="31.5" customHeight="1" x14ac:dyDescent="0.25">
      <c r="B3" s="2063" t="s">
        <v>422</v>
      </c>
      <c r="C3" s="2064"/>
      <c r="D3" s="2064"/>
      <c r="E3" s="2064"/>
      <c r="F3" s="2064"/>
      <c r="G3" s="2064"/>
      <c r="H3" s="2064"/>
      <c r="I3" s="2064"/>
      <c r="J3" s="2065"/>
      <c r="K3" s="23"/>
      <c r="L3" s="23"/>
      <c r="M3" s="23"/>
      <c r="N3" s="23"/>
      <c r="O3" s="23"/>
      <c r="P3" s="23"/>
      <c r="Q3" s="23"/>
      <c r="S3" s="4"/>
      <c r="T3" s="4"/>
      <c r="U3" s="4"/>
      <c r="V3" s="4"/>
      <c r="W3" s="4"/>
      <c r="X3" s="4"/>
      <c r="Y3" s="4"/>
    </row>
    <row r="4" spans="1:25" s="10" customFormat="1" x14ac:dyDescent="0.25">
      <c r="A4" s="23"/>
      <c r="B4" s="923"/>
      <c r="C4" s="898"/>
      <c r="D4" s="899"/>
      <c r="E4" s="899"/>
      <c r="F4" s="899"/>
      <c r="G4" s="899"/>
      <c r="H4" s="899"/>
      <c r="I4" s="899"/>
      <c r="J4" s="924"/>
      <c r="K4" s="23"/>
      <c r="L4" s="23"/>
      <c r="M4" s="23"/>
      <c r="N4" s="23"/>
      <c r="O4" s="23"/>
      <c r="P4" s="23"/>
      <c r="Q4" s="23"/>
    </row>
    <row r="5" spans="1:25" ht="18.75" customHeight="1" x14ac:dyDescent="0.3">
      <c r="B5" s="2159" t="s">
        <v>1965</v>
      </c>
      <c r="C5" s="2160"/>
      <c r="D5" s="2160"/>
      <c r="E5" s="2160"/>
      <c r="F5" s="2160"/>
      <c r="G5" s="2160"/>
      <c r="H5" s="2160"/>
      <c r="I5" s="2160"/>
      <c r="J5" s="2161"/>
      <c r="K5" s="23"/>
      <c r="L5" s="23"/>
      <c r="M5" s="23"/>
      <c r="N5" s="23"/>
      <c r="O5" s="23"/>
      <c r="P5" s="23"/>
      <c r="Q5" s="23"/>
      <c r="S5" s="4"/>
      <c r="T5" s="4"/>
      <c r="U5" s="4"/>
      <c r="V5" s="4"/>
      <c r="W5" s="4"/>
      <c r="X5" s="4"/>
      <c r="Y5" s="4"/>
    </row>
    <row r="6" spans="1:25" ht="16.5" x14ac:dyDescent="0.25">
      <c r="B6" s="2165" t="s">
        <v>1507</v>
      </c>
      <c r="C6" s="2166"/>
      <c r="D6" s="2167"/>
      <c r="E6" s="2172" t="str">
        <f>Please</f>
        <v>&lt;Please select&gt;</v>
      </c>
      <c r="F6" s="2173"/>
      <c r="G6" s="873"/>
      <c r="H6" s="874"/>
      <c r="I6" s="875"/>
      <c r="J6" s="925"/>
      <c r="K6" s="23"/>
      <c r="L6" s="23"/>
      <c r="M6" s="23"/>
      <c r="N6" s="23"/>
      <c r="O6" s="23"/>
      <c r="P6" s="23"/>
      <c r="Q6" s="23"/>
      <c r="S6" s="4"/>
      <c r="T6" s="4"/>
      <c r="U6" s="4"/>
      <c r="V6" s="4"/>
      <c r="W6" s="4"/>
      <c r="X6" s="4"/>
      <c r="Y6" s="4"/>
    </row>
    <row r="7" spans="1:25" ht="16.5" x14ac:dyDescent="0.25">
      <c r="B7" s="2165" t="s">
        <v>1508</v>
      </c>
      <c r="C7" s="2166"/>
      <c r="D7" s="2167"/>
      <c r="E7" s="2192" t="str">
        <f>Please</f>
        <v>&lt;Please select&gt;</v>
      </c>
      <c r="F7" s="2193"/>
      <c r="G7" s="1136" t="s">
        <v>1957</v>
      </c>
      <c r="H7" s="1137"/>
      <c r="I7" s="875"/>
      <c r="J7" s="925"/>
      <c r="K7" s="23"/>
      <c r="L7" s="23"/>
      <c r="M7" s="23"/>
      <c r="N7" s="23"/>
      <c r="O7" s="23"/>
      <c r="P7" s="23"/>
      <c r="Q7" s="23"/>
      <c r="S7" s="4"/>
      <c r="T7" s="4"/>
      <c r="U7" s="4"/>
      <c r="V7" s="4"/>
      <c r="W7" s="4"/>
      <c r="X7" s="4"/>
      <c r="Y7" s="4"/>
    </row>
    <row r="8" spans="1:25" s="10" customFormat="1" x14ac:dyDescent="0.25">
      <c r="A8" s="23"/>
      <c r="B8" s="926"/>
      <c r="J8" s="927"/>
      <c r="K8" s="23"/>
      <c r="L8" s="23"/>
      <c r="M8" s="23"/>
      <c r="N8" s="23"/>
      <c r="O8" s="23"/>
      <c r="P8" s="23"/>
      <c r="Q8" s="23"/>
    </row>
    <row r="9" spans="1:25" ht="18.75" x14ac:dyDescent="0.25">
      <c r="B9" s="2189" t="s">
        <v>1668</v>
      </c>
      <c r="C9" s="2190"/>
      <c r="D9" s="2190"/>
      <c r="E9" s="2190"/>
      <c r="F9" s="2190"/>
      <c r="G9" s="2190"/>
      <c r="H9" s="2190"/>
      <c r="I9" s="2190"/>
      <c r="J9" s="2191"/>
      <c r="K9" s="23"/>
      <c r="L9" s="23"/>
      <c r="M9" s="23"/>
      <c r="N9" s="23"/>
      <c r="O9" s="23"/>
      <c r="P9" s="23"/>
      <c r="Q9" s="23"/>
      <c r="S9" s="4"/>
      <c r="T9" s="4"/>
      <c r="U9" s="4"/>
      <c r="V9" s="4"/>
      <c r="W9" s="4"/>
      <c r="X9" s="4"/>
      <c r="Y9" s="4"/>
    </row>
    <row r="10" spans="1:25" ht="16.5" x14ac:dyDescent="0.25">
      <c r="B10" s="2177" t="s">
        <v>1988</v>
      </c>
      <c r="C10" s="2178"/>
      <c r="D10" s="2179"/>
      <c r="E10" s="1260" t="s">
        <v>429</v>
      </c>
      <c r="F10" s="360" t="s">
        <v>504</v>
      </c>
      <c r="G10" s="876" t="s">
        <v>451</v>
      </c>
      <c r="H10" s="877"/>
      <c r="I10" s="878"/>
      <c r="J10" s="785" t="s">
        <v>509</v>
      </c>
      <c r="K10" s="23"/>
      <c r="L10" s="23"/>
      <c r="M10" s="23"/>
      <c r="N10" s="23"/>
      <c r="O10" s="23"/>
      <c r="P10" s="23"/>
      <c r="Q10" s="23"/>
      <c r="S10" s="4"/>
      <c r="T10" s="4"/>
      <c r="U10" s="4"/>
      <c r="V10" s="4"/>
      <c r="W10" s="4"/>
      <c r="X10" s="4"/>
      <c r="Y10" s="4"/>
    </row>
    <row r="11" spans="1:25" ht="15.75" x14ac:dyDescent="0.25">
      <c r="B11" s="2162" t="s">
        <v>2069</v>
      </c>
      <c r="C11" s="2163"/>
      <c r="D11" s="2164"/>
      <c r="E11" s="1927"/>
      <c r="F11" s="355">
        <v>10</v>
      </c>
      <c r="G11" s="1138" t="s">
        <v>2135</v>
      </c>
      <c r="H11" s="879"/>
      <c r="I11" s="880"/>
      <c r="J11" s="1364">
        <f>IF(E11="",F11,IF(E11&gt;20,20,IF(E11&lt;4,4,E11)))</f>
        <v>10</v>
      </c>
      <c r="K11" s="23"/>
      <c r="L11" s="23"/>
      <c r="M11" s="23"/>
      <c r="N11" s="23"/>
      <c r="O11" s="23"/>
      <c r="P11" s="23"/>
      <c r="Q11" s="23"/>
      <c r="S11" s="4"/>
      <c r="T11" s="4"/>
      <c r="U11" s="4"/>
      <c r="V11" s="4"/>
      <c r="W11" s="4"/>
      <c r="X11" s="4"/>
      <c r="Y11" s="4"/>
    </row>
    <row r="12" spans="1:25" ht="15.75" x14ac:dyDescent="0.25">
      <c r="B12" s="2174" t="s">
        <v>2070</v>
      </c>
      <c r="C12" s="2175"/>
      <c r="D12" s="2176"/>
      <c r="E12" s="1927"/>
      <c r="F12" s="356">
        <v>2</v>
      </c>
      <c r="G12" s="1138" t="s">
        <v>2154</v>
      </c>
      <c r="H12" s="879"/>
      <c r="I12" s="880"/>
      <c r="J12" s="1364">
        <f>IF(E12="",F12,IF(E12&gt;4,4,IF(E12&lt;1,1,E12)))</f>
        <v>2</v>
      </c>
      <c r="K12" s="23"/>
      <c r="L12" s="23"/>
      <c r="M12" s="23"/>
      <c r="N12" s="23"/>
      <c r="O12" s="23"/>
      <c r="P12" s="23"/>
      <c r="Q12" s="23"/>
      <c r="S12" s="4"/>
      <c r="T12" s="4"/>
      <c r="U12" s="4"/>
      <c r="V12" s="4"/>
      <c r="W12" s="4"/>
      <c r="X12" s="4"/>
      <c r="Y12" s="4"/>
    </row>
    <row r="13" spans="1:25" s="10" customFormat="1" x14ac:dyDescent="0.25">
      <c r="A13" s="23"/>
      <c r="B13" s="928"/>
      <c r="C13" s="900"/>
      <c r="D13" s="900"/>
      <c r="E13" s="900"/>
      <c r="F13" s="900"/>
      <c r="G13" s="900"/>
      <c r="H13" s="900"/>
      <c r="J13" s="927"/>
      <c r="K13" s="23"/>
      <c r="L13" s="23"/>
      <c r="M13" s="23"/>
      <c r="N13" s="23"/>
      <c r="O13" s="23"/>
      <c r="P13" s="23"/>
      <c r="Q13" s="23"/>
    </row>
    <row r="14" spans="1:25" ht="18.75" customHeight="1" x14ac:dyDescent="0.3">
      <c r="B14" s="2159" t="str">
        <f>IF(E6=Please, "Step 3 - Forklift Fuel Cells Manufactured, Exported, and Imported", "Step 3 - Forklift Fuel Cells Manufactured, Exported, and Imported for "&amp;State&amp;" (Market penetration approach (Step 3a) is available only for national analysis)")</f>
        <v>Step 3 - Forklift Fuel Cells Manufactured, Exported, and Imported</v>
      </c>
      <c r="C14" s="2160"/>
      <c r="D14" s="2160"/>
      <c r="E14" s="2160"/>
      <c r="F14" s="2160"/>
      <c r="G14" s="2160"/>
      <c r="H14" s="2160"/>
      <c r="I14" s="2160"/>
      <c r="J14" s="2161"/>
      <c r="K14" s="23"/>
      <c r="L14" s="23"/>
      <c r="M14" s="23"/>
      <c r="N14" s="23"/>
      <c r="O14" s="23"/>
      <c r="P14" s="23"/>
      <c r="Q14" s="23"/>
      <c r="S14" s="4"/>
      <c r="T14" s="4"/>
      <c r="U14" s="4"/>
      <c r="V14" s="4"/>
      <c r="W14" s="4"/>
      <c r="X14" s="4"/>
      <c r="Y14" s="4"/>
    </row>
    <row r="15" spans="1:25" ht="15.75" x14ac:dyDescent="0.25">
      <c r="B15" s="2253" t="s">
        <v>2136</v>
      </c>
      <c r="C15" s="2254"/>
      <c r="D15" s="2254"/>
      <c r="E15" s="2254"/>
      <c r="F15" s="2254"/>
      <c r="G15" s="2254"/>
      <c r="H15" s="2254"/>
      <c r="I15" s="2254"/>
      <c r="J15" s="2255"/>
      <c r="K15" s="23"/>
      <c r="L15" s="23"/>
      <c r="M15" s="23"/>
      <c r="N15" s="23"/>
      <c r="O15" s="23"/>
      <c r="P15" s="23"/>
      <c r="Q15" s="23"/>
      <c r="S15" s="4"/>
      <c r="T15" s="4"/>
      <c r="U15" s="4"/>
      <c r="V15" s="4"/>
      <c r="W15" s="4"/>
      <c r="X15" s="4"/>
      <c r="Y15" s="4"/>
    </row>
    <row r="16" spans="1:25" ht="15" customHeight="1" x14ac:dyDescent="0.25">
      <c r="B16" s="2177" t="s">
        <v>1959</v>
      </c>
      <c r="C16" s="2178"/>
      <c r="D16" s="2179"/>
      <c r="E16" s="2248" t="s">
        <v>1529</v>
      </c>
      <c r="F16" s="2249"/>
      <c r="G16" s="2151" t="str">
        <f>IF(AND(E6=RIMS_lists!C1,E17=Lists!B8),"Over the 2015-2020 time period, an estimated 7,000-18,000 forklift units (for each Class) may be shipped each year which may be intended for multi-shift operations.  "&amp;Lists!D7,IF(AND(E6=RIMS_lists!C1, E17=Lists!B9), "Approximately 15-30%  of the Class I/II forklift market and 10-30% of the Class III forklift market may be used in multi-shift operations.  "&amp;Lists!D7, Lists!D7))</f>
        <v>Please see Market Forecasts sheet for estimated US Forklift shipments by class and year.</v>
      </c>
      <c r="H16" s="2152"/>
      <c r="I16" s="2152"/>
      <c r="J16" s="2153"/>
      <c r="K16" s="23"/>
      <c r="L16" s="23"/>
      <c r="M16" s="23"/>
      <c r="N16" s="23"/>
      <c r="O16" s="23"/>
      <c r="P16" s="23"/>
      <c r="Q16" s="23"/>
      <c r="S16" s="4"/>
      <c r="T16" s="4"/>
      <c r="U16" s="4"/>
      <c r="V16" s="4"/>
      <c r="W16" s="4"/>
      <c r="X16" s="4"/>
      <c r="Y16" s="4"/>
    </row>
    <row r="17" spans="1:48" ht="25.5" customHeight="1" x14ac:dyDescent="0.25">
      <c r="B17" s="2215" t="str">
        <f>IF(E6=RIMS_lists!$C$1,"For fuel cells entered in 3c, select desired approach . . . "&amp;Lists!B8&amp;" or "&amp;Lists!B9&amp;".", "Step 3a is available only for national analysis.")</f>
        <v>Step 3a is available only for national analysis.</v>
      </c>
      <c r="C17" s="2216"/>
      <c r="D17" s="2217"/>
      <c r="E17" s="2211" t="str">
        <f>Please</f>
        <v>&lt;Please select&gt;</v>
      </c>
      <c r="F17" s="2250"/>
      <c r="G17" s="2154"/>
      <c r="H17" s="2109"/>
      <c r="I17" s="2109"/>
      <c r="J17" s="2155"/>
      <c r="K17" s="23"/>
      <c r="L17" s="23"/>
      <c r="M17" s="23"/>
      <c r="N17" s="23"/>
      <c r="O17" s="23"/>
      <c r="P17" s="23"/>
      <c r="Q17" s="23"/>
      <c r="S17" s="4"/>
      <c r="T17" s="4"/>
      <c r="U17" s="4"/>
      <c r="V17" s="4"/>
      <c r="W17" s="4"/>
      <c r="X17" s="4"/>
      <c r="Y17" s="4"/>
    </row>
    <row r="18" spans="1:48" s="28" customFormat="1" ht="25.5" customHeight="1" x14ac:dyDescent="0.25">
      <c r="A18" s="278"/>
      <c r="B18" s="2218"/>
      <c r="C18" s="2219"/>
      <c r="D18" s="2220"/>
      <c r="E18" s="2251"/>
      <c r="F18" s="2252"/>
      <c r="G18" s="2156"/>
      <c r="H18" s="2157"/>
      <c r="I18" s="2157"/>
      <c r="J18" s="2158"/>
      <c r="K18" s="23"/>
      <c r="L18" s="23"/>
      <c r="M18" s="23"/>
      <c r="N18" s="23"/>
      <c r="O18" s="23"/>
      <c r="P18" s="23"/>
      <c r="Q18" s="913"/>
      <c r="R18" s="390"/>
      <c r="S18" s="390"/>
      <c r="T18" s="390"/>
      <c r="U18" s="390"/>
      <c r="V18" s="390"/>
      <c r="W18" s="390"/>
      <c r="X18" s="390"/>
      <c r="Y18" s="390"/>
      <c r="Z18" s="3"/>
      <c r="AA18" s="3"/>
      <c r="AB18" s="3"/>
      <c r="AC18" s="3"/>
      <c r="AD18" s="3"/>
      <c r="AE18" s="3"/>
      <c r="AF18" s="3"/>
      <c r="AG18" s="3"/>
      <c r="AH18" s="3"/>
      <c r="AI18" s="3"/>
      <c r="AJ18" s="3"/>
      <c r="AK18" s="3"/>
      <c r="AL18" s="3"/>
      <c r="AM18" s="3"/>
      <c r="AN18" s="3"/>
      <c r="AO18" s="3"/>
      <c r="AP18" s="3"/>
      <c r="AQ18" s="3"/>
      <c r="AR18" s="3"/>
      <c r="AS18" s="3"/>
      <c r="AT18" s="3"/>
      <c r="AU18" s="3"/>
      <c r="AV18" s="3"/>
    </row>
    <row r="19" spans="1:48" ht="15.75" customHeight="1" x14ac:dyDescent="0.25">
      <c r="B19" s="2140" t="s">
        <v>1960</v>
      </c>
      <c r="C19" s="2141"/>
      <c r="D19" s="2142"/>
      <c r="E19" s="2248" t="str">
        <f>E16</f>
        <v>Selection will impact entries in Step 3c</v>
      </c>
      <c r="F19" s="2249"/>
      <c r="G19" s="2152" t="str">
        <f>IF(E6=Please, "", IF(E6=RIMS_lists!C1, Lists!E5, "Exports are units manufactured in "&amp;State&amp;", but installed in another region or country. Imported units are manufactured outside "&amp;State&amp;", but installed in "&amp;State&amp;". Installed units = Manufactured units - Exported units + Imported Units (see Results sheets)."))</f>
        <v/>
      </c>
      <c r="H19" s="2152"/>
      <c r="I19" s="2152"/>
      <c r="J19" s="2153"/>
      <c r="K19" s="23"/>
      <c r="L19" s="23"/>
      <c r="M19" s="23"/>
      <c r="N19" s="23"/>
      <c r="O19" s="23"/>
      <c r="P19" s="23"/>
      <c r="Q19" s="913"/>
      <c r="R19" s="390"/>
      <c r="S19" s="390"/>
      <c r="T19" s="390"/>
      <c r="U19" s="390"/>
      <c r="V19" s="390"/>
      <c r="W19" s="390"/>
      <c r="X19" s="390"/>
      <c r="Y19" s="390"/>
    </row>
    <row r="20" spans="1:48" ht="24.75" customHeight="1" x14ac:dyDescent="0.25">
      <c r="B20" s="2221" t="str">
        <f>"For fuel cells entered in 3c, select . . . "&amp;Lists!E3&amp;" or "&amp;Lists!E4&amp;"."</f>
        <v>For fuel cells entered in 3c, select . . . NUMBER of fuel cell units exported out of region or PERCENTAGE of fuel cell units manufactured in region exported out of region.</v>
      </c>
      <c r="C20" s="2222"/>
      <c r="D20" s="2223"/>
      <c r="E20" s="2211" t="str">
        <f>Please</f>
        <v>&lt;Please select&gt;</v>
      </c>
      <c r="F20" s="2212"/>
      <c r="G20" s="2109"/>
      <c r="H20" s="2109"/>
      <c r="I20" s="2109"/>
      <c r="J20" s="2155"/>
      <c r="K20" s="23"/>
      <c r="L20" s="23"/>
      <c r="M20" s="23"/>
      <c r="N20" s="23"/>
      <c r="O20" s="23"/>
      <c r="P20" s="23"/>
      <c r="Q20" s="913"/>
      <c r="R20" s="390"/>
      <c r="S20" s="390"/>
      <c r="T20" s="390"/>
      <c r="U20" s="390"/>
      <c r="V20" s="390"/>
      <c r="W20" s="390"/>
      <c r="X20" s="390"/>
      <c r="Y20" s="390"/>
    </row>
    <row r="21" spans="1:48" ht="24.75" customHeight="1" x14ac:dyDescent="0.25">
      <c r="B21" s="2224"/>
      <c r="C21" s="2225"/>
      <c r="D21" s="2226"/>
      <c r="E21" s="2213"/>
      <c r="F21" s="2214"/>
      <c r="G21" s="2082"/>
      <c r="H21" s="2082"/>
      <c r="I21" s="2082"/>
      <c r="J21" s="2184"/>
      <c r="K21" s="23"/>
      <c r="L21" s="23"/>
      <c r="M21" s="23"/>
      <c r="N21" s="23"/>
      <c r="O21" s="23"/>
      <c r="P21" s="23"/>
      <c r="Q21" s="913"/>
      <c r="R21" s="390"/>
      <c r="S21" s="390"/>
      <c r="T21" s="390"/>
      <c r="U21" s="390"/>
      <c r="V21" s="390"/>
      <c r="W21" s="390"/>
      <c r="X21" s="390"/>
      <c r="Y21" s="390"/>
    </row>
    <row r="22" spans="1:48" ht="15" customHeight="1" x14ac:dyDescent="0.25">
      <c r="B22" s="2137" t="s">
        <v>1989</v>
      </c>
      <c r="C22" s="2138"/>
      <c r="D22" s="2139"/>
      <c r="E22" s="2127" t="str">
        <f>IF(AND($E$6=RIMS_lists!C1, $E$17=Lists!B9), "Manufactured in region      (% of Class I/II shipments)", "Manufactured in region (units)")</f>
        <v>Manufactured in region (units)</v>
      </c>
      <c r="F22" s="2129" t="str">
        <f>IF($E$20=Lists!E4, "Exported out of region  ( % of manufacturing)", "Exported out of region (units)")</f>
        <v>Exported out of region (units)</v>
      </c>
      <c r="G22" s="2125" t="s">
        <v>510</v>
      </c>
      <c r="H22" s="2127" t="s">
        <v>506</v>
      </c>
      <c r="I22" s="2129" t="s">
        <v>507</v>
      </c>
      <c r="J22" s="2131" t="s">
        <v>508</v>
      </c>
      <c r="K22" s="23"/>
      <c r="L22" s="23"/>
      <c r="M22" s="23"/>
      <c r="N22" s="23"/>
      <c r="O22" s="23"/>
      <c r="P22" s="23"/>
      <c r="Q22" s="913"/>
      <c r="R22" s="390"/>
      <c r="S22" s="390"/>
      <c r="T22" s="390"/>
      <c r="U22" s="390"/>
      <c r="V22" s="390"/>
      <c r="W22" s="390"/>
      <c r="X22" s="390"/>
      <c r="Y22" s="390"/>
    </row>
    <row r="23" spans="1:48" ht="15" customHeight="1" x14ac:dyDescent="0.25">
      <c r="B23" s="2185" t="str">
        <f>"Class I/II"</f>
        <v>Class I/II</v>
      </c>
      <c r="C23" s="2186"/>
      <c r="D23" s="2227" t="s">
        <v>433</v>
      </c>
      <c r="E23" s="2128"/>
      <c r="F23" s="2130"/>
      <c r="G23" s="2126"/>
      <c r="H23" s="2128"/>
      <c r="I23" s="2130"/>
      <c r="J23" s="2132"/>
      <c r="K23" s="23"/>
      <c r="L23" s="23"/>
      <c r="M23" s="23"/>
      <c r="N23" s="23"/>
      <c r="O23" s="23"/>
      <c r="P23" s="23"/>
      <c r="Q23" s="23"/>
      <c r="S23" s="4"/>
      <c r="T23" s="4"/>
      <c r="U23" s="4"/>
      <c r="V23" s="4"/>
      <c r="W23" s="4"/>
      <c r="X23" s="4"/>
      <c r="Y23" s="4"/>
    </row>
    <row r="24" spans="1:48" ht="15" customHeight="1" x14ac:dyDescent="0.25">
      <c r="B24" s="2187"/>
      <c r="C24" s="2188"/>
      <c r="D24" s="2228"/>
      <c r="E24" s="1323" t="s">
        <v>429</v>
      </c>
      <c r="F24" s="1326" t="str">
        <f>E24</f>
        <v>User-specified value</v>
      </c>
      <c r="G24" s="1327" t="str">
        <f>E24</f>
        <v>User-specified value</v>
      </c>
      <c r="H24" s="2122" t="s">
        <v>505</v>
      </c>
      <c r="I24" s="2123"/>
      <c r="J24" s="2124"/>
      <c r="K24" s="23"/>
      <c r="L24" s="23"/>
      <c r="M24" s="23"/>
      <c r="N24" s="23"/>
      <c r="O24" s="23"/>
      <c r="P24" s="23"/>
      <c r="Q24" s="23"/>
      <c r="S24" s="4"/>
      <c r="T24" s="4"/>
      <c r="U24" s="4"/>
      <c r="V24" s="4"/>
      <c r="W24" s="4"/>
      <c r="X24" s="4"/>
      <c r="Y24" s="4"/>
    </row>
    <row r="25" spans="1:48" ht="15" customHeight="1" x14ac:dyDescent="0.25">
      <c r="B25" s="2246" t="str">
        <f>avgSize&amp;" kW Forklift                     Fuel Cells"</f>
        <v>10 kW Forklift                     Fuel Cells</v>
      </c>
      <c r="C25" s="2247"/>
      <c r="D25" s="547">
        <v>2015</v>
      </c>
      <c r="E25" s="1928"/>
      <c r="F25" s="1929"/>
      <c r="G25" s="1930"/>
      <c r="H25" s="1361">
        <f>ROUNDUP(IF($E$6=Please,0,IF(OR($E$6&lt;&gt;RIMS_lists!$C$1,$E$17&lt;&gt;Lists!$B$9),E25,IF(AND($E$6=RIMS_lists!$C$1,$E$17=Lists!$B$9,E25&lt;=1),E25*Markets!B16,0))),0)</f>
        <v>0</v>
      </c>
      <c r="I25" s="1362">
        <f>IF(F25="",0,IF($E$20&lt;&gt;Lists!$E$4, MIN(F25,H25), IF(AND($E$20=Lists!$E$4,F25&gt;=0,F25&lt;=1),F25*H25,0)))</f>
        <v>0</v>
      </c>
      <c r="J25" s="1363">
        <f t="shared" ref="J25:J30" si="0">IF($E$6=Please, 0,G25)</f>
        <v>0</v>
      </c>
      <c r="K25" s="914"/>
      <c r="L25" s="23"/>
      <c r="M25" s="23"/>
      <c r="N25" s="23"/>
      <c r="O25" s="23"/>
      <c r="P25" s="23"/>
      <c r="Q25" s="23"/>
      <c r="S25" s="4"/>
      <c r="T25" s="4"/>
      <c r="U25" s="4"/>
      <c r="V25" s="4"/>
      <c r="W25" s="4"/>
      <c r="X25" s="4"/>
      <c r="Y25" s="4"/>
    </row>
    <row r="26" spans="1:48" ht="15" customHeight="1" x14ac:dyDescent="0.25">
      <c r="B26" s="2246"/>
      <c r="C26" s="2247"/>
      <c r="D26" s="547">
        <f>D25+1</f>
        <v>2016</v>
      </c>
      <c r="E26" s="1930"/>
      <c r="F26" s="1929"/>
      <c r="G26" s="1930"/>
      <c r="H26" s="1361">
        <f>ROUNDUP(IF($E$6=Please,0,IF(OR($E$6&lt;&gt;RIMS_lists!$C$1,$E$17&lt;&gt;Lists!$B$9),E26,IF(AND($E$6=RIMS_lists!$C$1,$E$17=Lists!$B$9,E26&lt;=1),E26*Markets!B17,0))),0)</f>
        <v>0</v>
      </c>
      <c r="I26" s="1362">
        <f>IF(F26="",0,IF($E$20&lt;&gt;Lists!$E$4, MIN(F26,H26), IF(AND($E$20=Lists!$E$4,F26&gt;=0,F26&lt;=1),F26*H26,0)))</f>
        <v>0</v>
      </c>
      <c r="J26" s="1363">
        <f t="shared" si="0"/>
        <v>0</v>
      </c>
      <c r="K26" s="23"/>
      <c r="L26" s="23"/>
      <c r="M26" s="23"/>
      <c r="N26" s="23"/>
      <c r="O26" s="23"/>
      <c r="P26" s="23"/>
      <c r="Q26" s="23"/>
      <c r="S26" s="4"/>
      <c r="T26" s="4"/>
      <c r="U26" s="4"/>
      <c r="V26" s="4"/>
      <c r="W26" s="4"/>
      <c r="X26" s="4"/>
      <c r="Y26" s="4"/>
    </row>
    <row r="27" spans="1:48" s="28" customFormat="1" ht="15" customHeight="1" x14ac:dyDescent="0.25">
      <c r="A27" s="278"/>
      <c r="B27" s="2246"/>
      <c r="C27" s="2247"/>
      <c r="D27" s="547">
        <f>D26+1</f>
        <v>2017</v>
      </c>
      <c r="E27" s="1930"/>
      <c r="F27" s="1929"/>
      <c r="G27" s="1930"/>
      <c r="H27" s="1361">
        <f>ROUNDUP(IF($E$6=Please,0,IF(OR($E$6&lt;&gt;RIMS_lists!$C$1,$E$17&lt;&gt;Lists!$B$9),E27,IF(AND($E$6=RIMS_lists!$C$1,$E$17=Lists!$B$9,E27&lt;=1),E27*Markets!B18,0))),0)</f>
        <v>0</v>
      </c>
      <c r="I27" s="1362">
        <f>IF(F27="",0,IF($E$20&lt;&gt;Lists!$E$4, MIN(F27,H27), IF(AND($E$20=Lists!$E$4,F27&gt;=0,F27&lt;=1),F27*H27,0)))</f>
        <v>0</v>
      </c>
      <c r="J27" s="1363">
        <f t="shared" si="0"/>
        <v>0</v>
      </c>
      <c r="K27" s="278"/>
      <c r="L27" s="23"/>
      <c r="M27" s="23"/>
      <c r="N27" s="23"/>
      <c r="O27" s="278"/>
      <c r="P27" s="278"/>
      <c r="Q27" s="278"/>
      <c r="R27" s="29"/>
      <c r="S27" s="29"/>
      <c r="T27" s="29"/>
      <c r="U27" s="29"/>
      <c r="V27" s="29"/>
      <c r="W27" s="29"/>
      <c r="X27" s="29"/>
      <c r="Y27" s="29"/>
      <c r="Z27" s="3"/>
      <c r="AA27" s="3"/>
      <c r="AB27" s="3"/>
      <c r="AC27" s="3"/>
      <c r="AD27" s="3"/>
      <c r="AE27" s="3"/>
      <c r="AF27" s="3"/>
      <c r="AG27" s="3"/>
      <c r="AH27" s="3"/>
      <c r="AI27" s="3"/>
      <c r="AJ27" s="3"/>
      <c r="AK27" s="3"/>
      <c r="AL27" s="3"/>
      <c r="AM27" s="3"/>
      <c r="AN27" s="3"/>
      <c r="AO27" s="3"/>
      <c r="AP27" s="3"/>
      <c r="AQ27" s="3"/>
      <c r="AR27" s="3"/>
      <c r="AS27" s="3"/>
      <c r="AT27" s="3"/>
      <c r="AU27" s="3"/>
      <c r="AV27" s="3"/>
    </row>
    <row r="28" spans="1:48" ht="15" customHeight="1" x14ac:dyDescent="0.25">
      <c r="B28" s="2180" t="str">
        <f>IF($E$6&lt;&gt;$B$4, "Manufactured, Exported and Imported for "&amp;$E$6, "Manufactured,Exported and Imported")</f>
        <v>Manufactured, Exported and Imported for &lt;Please select&gt;</v>
      </c>
      <c r="C28" s="2181"/>
      <c r="D28" s="547">
        <f>D27+1</f>
        <v>2018</v>
      </c>
      <c r="E28" s="1930"/>
      <c r="F28" s="1929"/>
      <c r="G28" s="1930"/>
      <c r="H28" s="1361">
        <f>ROUNDUP(IF($E$6=Please,0,IF(OR($E$6&lt;&gt;RIMS_lists!$C$1,$E$17&lt;&gt;Lists!$B$9),E28,IF(AND($E$6=RIMS_lists!$C$1,$E$17=Lists!$B$9,E28&lt;=1),E28*Markets!B19,0))),0)</f>
        <v>0</v>
      </c>
      <c r="I28" s="1362">
        <f>IF(F28="",0,IF($E$20&lt;&gt;Lists!$E$4, MIN(F28,H28), IF(AND($E$20=Lists!$E$4,F28&gt;=0,F28&lt;=1),F28*H28,0)))</f>
        <v>0</v>
      </c>
      <c r="J28" s="1363">
        <f t="shared" si="0"/>
        <v>0</v>
      </c>
      <c r="K28" s="23"/>
      <c r="L28" s="23"/>
      <c r="M28" s="23"/>
      <c r="N28" s="23"/>
      <c r="O28" s="23"/>
      <c r="P28" s="23"/>
      <c r="Q28" s="23"/>
      <c r="S28" s="4"/>
      <c r="T28" s="4"/>
      <c r="U28" s="4"/>
      <c r="V28" s="4"/>
      <c r="W28" s="4"/>
      <c r="X28" s="4"/>
      <c r="Y28" s="4"/>
    </row>
    <row r="29" spans="1:48" ht="15" customHeight="1" x14ac:dyDescent="0.25">
      <c r="B29" s="2180"/>
      <c r="C29" s="2181"/>
      <c r="D29" s="547">
        <f>D28+1</f>
        <v>2019</v>
      </c>
      <c r="E29" s="1930"/>
      <c r="F29" s="1929"/>
      <c r="G29" s="1930"/>
      <c r="H29" s="1361">
        <f>ROUNDUP(IF($E$6=Please,0,IF(OR($E$6&lt;&gt;RIMS_lists!$C$1,$E$17&lt;&gt;Lists!$B$9),E29,IF(AND($E$6=RIMS_lists!$C$1,$E$17=Lists!$B$9,E29&lt;=1),E29*Markets!B20,0))),0)</f>
        <v>0</v>
      </c>
      <c r="I29" s="1362">
        <f>IF(F29="",0,IF($E$20&lt;&gt;Lists!$E$4, MIN(F29,H29), IF(AND($E$20=Lists!$E$4,F29&gt;=0,F29&lt;=1),F29*H29,0)))</f>
        <v>0</v>
      </c>
      <c r="J29" s="1363">
        <f t="shared" si="0"/>
        <v>0</v>
      </c>
      <c r="K29" s="23"/>
      <c r="L29" s="23"/>
      <c r="M29" s="23"/>
      <c r="N29" s="23"/>
      <c r="O29" s="23"/>
      <c r="P29" s="23"/>
      <c r="Q29" s="23"/>
      <c r="S29" s="4"/>
      <c r="T29" s="4"/>
      <c r="U29" s="4"/>
      <c r="V29" s="4"/>
      <c r="W29" s="4"/>
      <c r="X29" s="4"/>
      <c r="Y29" s="4"/>
    </row>
    <row r="30" spans="1:48" ht="15" customHeight="1" x14ac:dyDescent="0.25">
      <c r="B30" s="2182"/>
      <c r="C30" s="2183"/>
      <c r="D30" s="547">
        <f>D29+1</f>
        <v>2020</v>
      </c>
      <c r="E30" s="1930"/>
      <c r="F30" s="1929"/>
      <c r="G30" s="1930"/>
      <c r="H30" s="1361">
        <f>ROUNDUP(IF($E$6=Please,0,IF(OR($E$6&lt;&gt;RIMS_lists!$C$1,$E$17&lt;&gt;Lists!$B$9),E30,IF(AND($E$6=RIMS_lists!$C$1,$E$17=Lists!$B$9,E30&lt;=1),E30*Markets!B21,0))),0)</f>
        <v>0</v>
      </c>
      <c r="I30" s="1362">
        <f>IF(F30="",0,IF($E$20&lt;&gt;Lists!$E$4, MIN(F30,H30), IF(AND($E$20=Lists!$E$4,F30&gt;=0,F30&lt;=1),F30*H30,0)))</f>
        <v>0</v>
      </c>
      <c r="J30" s="1363">
        <f t="shared" si="0"/>
        <v>0</v>
      </c>
      <c r="K30" s="23"/>
      <c r="L30" s="23"/>
      <c r="M30" s="23"/>
      <c r="N30" s="23"/>
      <c r="O30" s="23"/>
      <c r="P30" s="23"/>
      <c r="Q30" s="23"/>
      <c r="S30" s="4"/>
      <c r="T30" s="4"/>
      <c r="U30" s="4"/>
      <c r="V30" s="4"/>
      <c r="W30" s="4"/>
      <c r="X30" s="4"/>
      <c r="Y30" s="4"/>
    </row>
    <row r="31" spans="1:48" ht="15.75" customHeight="1" x14ac:dyDescent="0.25">
      <c r="B31" s="2137" t="s">
        <v>1990</v>
      </c>
      <c r="C31" s="2138"/>
      <c r="D31" s="2139"/>
      <c r="E31" s="2135" t="str">
        <f>IF(AND($E$6=RIMS_lists!C1, $E$17=Lists!B9), "Manufactured in region            ( % of Class III shipments)", "Manufactured in region (units)")</f>
        <v>Manufactured in region (units)</v>
      </c>
      <c r="F31" s="2143" t="str">
        <f>F22</f>
        <v>Exported out of region (units)</v>
      </c>
      <c r="G31" s="2133" t="str">
        <f>G22</f>
        <v>Imported into region (units only)</v>
      </c>
      <c r="H31" s="2135" t="str">
        <f>H22</f>
        <v>Manufactured in region (units)</v>
      </c>
      <c r="I31" s="2143" t="str">
        <f>I22</f>
        <v>Exported out of region (units)</v>
      </c>
      <c r="J31" s="2149" t="str">
        <f>J22</f>
        <v>Imported into region (units)</v>
      </c>
      <c r="K31" s="23"/>
      <c r="L31" s="23"/>
      <c r="M31" s="23"/>
      <c r="N31" s="23"/>
      <c r="O31" s="23"/>
      <c r="P31" s="23"/>
      <c r="Q31" s="23"/>
      <c r="S31" s="4"/>
      <c r="T31" s="4"/>
      <c r="U31" s="4"/>
      <c r="V31" s="4"/>
      <c r="W31" s="4"/>
      <c r="X31" s="4"/>
      <c r="Y31" s="4"/>
    </row>
    <row r="32" spans="1:48" ht="15" customHeight="1" x14ac:dyDescent="0.25">
      <c r="B32" s="2145" t="s">
        <v>441</v>
      </c>
      <c r="C32" s="2146"/>
      <c r="D32" s="2170" t="s">
        <v>433</v>
      </c>
      <c r="E32" s="2136"/>
      <c r="F32" s="2144"/>
      <c r="G32" s="2134"/>
      <c r="H32" s="2136"/>
      <c r="I32" s="2144"/>
      <c r="J32" s="2150"/>
      <c r="K32" s="23"/>
      <c r="L32" s="23"/>
      <c r="M32" s="23"/>
      <c r="N32" s="23"/>
      <c r="O32" s="23"/>
      <c r="P32" s="23"/>
      <c r="Q32" s="23"/>
      <c r="S32" s="4"/>
      <c r="T32" s="4"/>
      <c r="U32" s="4"/>
      <c r="V32" s="4"/>
      <c r="W32" s="4"/>
      <c r="X32" s="4"/>
      <c r="Y32" s="4"/>
    </row>
    <row r="33" spans="1:47" ht="15" customHeight="1" x14ac:dyDescent="0.25">
      <c r="B33" s="2147"/>
      <c r="C33" s="2148"/>
      <c r="D33" s="2171"/>
      <c r="E33" s="1324" t="str">
        <f>E24</f>
        <v>User-specified value</v>
      </c>
      <c r="F33" s="1325" t="str">
        <f>F24</f>
        <v>User-specified value</v>
      </c>
      <c r="G33" s="1328" t="str">
        <f>G24</f>
        <v>User-specified value</v>
      </c>
      <c r="H33" s="2122" t="s">
        <v>505</v>
      </c>
      <c r="I33" s="2123"/>
      <c r="J33" s="2124"/>
      <c r="K33" s="23"/>
      <c r="L33" s="23"/>
      <c r="M33" s="23"/>
      <c r="N33" s="23"/>
      <c r="O33" s="23"/>
      <c r="P33" s="23"/>
      <c r="Q33" s="23"/>
      <c r="S33" s="4"/>
      <c r="T33" s="4"/>
      <c r="U33" s="4"/>
      <c r="V33" s="4"/>
      <c r="W33" s="4"/>
      <c r="X33" s="4"/>
      <c r="Y33" s="4"/>
      <c r="AO33" s="25"/>
      <c r="AP33" s="25"/>
      <c r="AQ33" s="25"/>
      <c r="AR33" s="25"/>
      <c r="AS33" s="25"/>
      <c r="AT33" s="25"/>
      <c r="AU33" s="25"/>
    </row>
    <row r="34" spans="1:47" ht="15.75" customHeight="1" x14ac:dyDescent="0.25">
      <c r="B34" s="2168" t="str">
        <f>avgSize_c3&amp;" kW Forklift                      Fuel Cells"</f>
        <v>2 kW Forklift                      Fuel Cells</v>
      </c>
      <c r="C34" s="2169"/>
      <c r="D34" s="548">
        <v>2015</v>
      </c>
      <c r="E34" s="1930"/>
      <c r="F34" s="1929"/>
      <c r="G34" s="1930"/>
      <c r="H34" s="122">
        <f>ROUNDUP(IF($E$6=Please,0,IF(OR($E$6&lt;&gt;RIMS_lists!$C$1,$E$17&lt;&gt;Lists!$B$9),E34,IF(AND($E$6=RIMS_lists!$C$1,$E$17=Lists!$B$9,E34&lt;=1),E34*Markets!C16,0))),0)</f>
        <v>0</v>
      </c>
      <c r="I34" s="573">
        <f>IF(F34="",0,IF($E$20&lt;&gt;Lists!$E$4, MIN(F34,H34), IF(AND($E$20=Lists!$E$4,F34&gt;=0,F34&lt;=1),F34*H34,0)))</f>
        <v>0</v>
      </c>
      <c r="J34" s="929">
        <f t="shared" ref="J34:J39" si="1">IF($E$6=Please, 0,G34)</f>
        <v>0</v>
      </c>
      <c r="K34" s="23"/>
      <c r="L34" s="23"/>
      <c r="M34" s="23"/>
      <c r="N34" s="23"/>
      <c r="O34" s="23"/>
      <c r="P34" s="23"/>
      <c r="Q34" s="23"/>
      <c r="S34" s="4"/>
      <c r="T34" s="4"/>
      <c r="U34" s="4"/>
      <c r="V34" s="4"/>
      <c r="W34" s="4"/>
      <c r="X34" s="4"/>
      <c r="Y34" s="4"/>
      <c r="AG34" s="25"/>
      <c r="AH34" s="26"/>
      <c r="AI34" s="26"/>
      <c r="AJ34" s="26"/>
      <c r="AK34" s="26"/>
      <c r="AL34" s="25"/>
      <c r="AM34" s="25"/>
      <c r="AO34" s="25"/>
      <c r="AP34" s="25"/>
      <c r="AQ34" s="25"/>
      <c r="AR34" s="25"/>
      <c r="AS34" s="25"/>
      <c r="AT34" s="25"/>
      <c r="AU34" s="25"/>
    </row>
    <row r="35" spans="1:47" ht="15.75" customHeight="1" x14ac:dyDescent="0.25">
      <c r="B35" s="2168"/>
      <c r="C35" s="2169"/>
      <c r="D35" s="548">
        <f>D34+1</f>
        <v>2016</v>
      </c>
      <c r="E35" s="1930"/>
      <c r="F35" s="1929"/>
      <c r="G35" s="1930"/>
      <c r="H35" s="122">
        <f>ROUNDUP(IF($E$6=Please,0,IF(OR($E$6&lt;&gt;RIMS_lists!$C$1,$E$17&lt;&gt;Lists!$B$9),E35,IF(AND($E$6=RIMS_lists!$C$1,$E$17=Lists!$B$9,E35&lt;=1),E35*Markets!C17,0))),0)</f>
        <v>0</v>
      </c>
      <c r="I35" s="573">
        <f>IF(F35="",0,IF($E$20&lt;&gt;Lists!$E$4, MIN(F35,H35), IF(AND($E$20=Lists!$E$4,F35&gt;=0,F35&lt;=1),F35*H35,0)))</f>
        <v>0</v>
      </c>
      <c r="J35" s="929">
        <f t="shared" si="1"/>
        <v>0</v>
      </c>
      <c r="K35" s="23"/>
      <c r="L35" s="23"/>
      <c r="M35" s="23"/>
      <c r="N35" s="23"/>
      <c r="O35" s="23"/>
      <c r="P35" s="23"/>
      <c r="Q35" s="23"/>
      <c r="S35" s="4"/>
      <c r="T35" s="4"/>
      <c r="U35" s="4"/>
      <c r="V35" s="4"/>
      <c r="W35" s="4"/>
      <c r="X35" s="4"/>
      <c r="Y35" s="4"/>
      <c r="AG35" s="27"/>
      <c r="AH35" s="25"/>
      <c r="AI35" s="25"/>
      <c r="AJ35" s="25"/>
      <c r="AK35" s="25"/>
      <c r="AL35" s="26"/>
      <c r="AM35" s="25"/>
      <c r="AO35" s="25"/>
      <c r="AP35" s="25"/>
      <c r="AQ35" s="25"/>
      <c r="AR35" s="25"/>
      <c r="AS35" s="25"/>
      <c r="AT35" s="25"/>
      <c r="AU35" s="25"/>
    </row>
    <row r="36" spans="1:47" ht="15.75" customHeight="1" x14ac:dyDescent="0.25">
      <c r="B36" s="2168"/>
      <c r="C36" s="2169"/>
      <c r="D36" s="548">
        <f>D35+1</f>
        <v>2017</v>
      </c>
      <c r="E36" s="1930"/>
      <c r="F36" s="1929"/>
      <c r="G36" s="1930"/>
      <c r="H36" s="122">
        <f>ROUNDUP(IF($E$6=Please,0,IF(OR($E$6&lt;&gt;RIMS_lists!$C$1,$E$17&lt;&gt;Lists!$B$9),E36,IF(AND($E$6=RIMS_lists!$C$1,$E$17=Lists!$B$9,E36&lt;=1),E36*Markets!C18,0))),0)</f>
        <v>0</v>
      </c>
      <c r="I36" s="573">
        <f>IF(F36="",0,IF($E$20&lt;&gt;Lists!$E$4, MIN(F36,H36), IF(AND($E$20=Lists!$E$4,F36&gt;=0,F36&lt;=1),F36*H36,0)))</f>
        <v>0</v>
      </c>
      <c r="J36" s="929">
        <f t="shared" si="1"/>
        <v>0</v>
      </c>
      <c r="K36" s="23"/>
      <c r="L36" s="23"/>
      <c r="M36" s="23"/>
      <c r="N36" s="23"/>
      <c r="O36" s="23"/>
      <c r="P36" s="23"/>
      <c r="Q36" s="23"/>
      <c r="S36" s="4"/>
      <c r="T36" s="4"/>
      <c r="U36" s="4"/>
      <c r="V36" s="4"/>
      <c r="W36" s="4"/>
      <c r="X36" s="4"/>
      <c r="Y36" s="4"/>
      <c r="AG36" s="27"/>
      <c r="AH36" s="26"/>
      <c r="AI36" s="26"/>
      <c r="AJ36" s="26"/>
      <c r="AK36" s="26"/>
      <c r="AL36" s="26"/>
      <c r="AM36" s="25"/>
      <c r="AO36" s="25"/>
      <c r="AP36" s="25"/>
      <c r="AQ36" s="25"/>
      <c r="AR36" s="25"/>
      <c r="AS36" s="25"/>
      <c r="AT36" s="25"/>
      <c r="AU36" s="25"/>
    </row>
    <row r="37" spans="1:47" ht="15" customHeight="1" x14ac:dyDescent="0.25">
      <c r="B37" s="2096" t="str">
        <f>B28</f>
        <v>Manufactured, Exported and Imported for &lt;Please select&gt;</v>
      </c>
      <c r="C37" s="2097"/>
      <c r="D37" s="548">
        <f>D36+1</f>
        <v>2018</v>
      </c>
      <c r="E37" s="1930"/>
      <c r="F37" s="1929"/>
      <c r="G37" s="1930"/>
      <c r="H37" s="122">
        <f>ROUNDUP(IF($E$6=Please,0,IF(OR($E$6&lt;&gt;RIMS_lists!$C$1,$E$17&lt;&gt;Lists!$B$9),E37,IF(AND($E$6=RIMS_lists!$C$1,$E$17=Lists!$B$9,E37&lt;=1),E37*Markets!C19,0))),0)</f>
        <v>0</v>
      </c>
      <c r="I37" s="573">
        <f>IF(F37="",0,IF($E$20&lt;&gt;Lists!$E$4, MIN(F37,H37), IF(AND($E$20=Lists!$E$4,F37&gt;=0,F37&lt;=1),F37*H37,0)))</f>
        <v>0</v>
      </c>
      <c r="J37" s="929">
        <f t="shared" si="1"/>
        <v>0</v>
      </c>
      <c r="K37" s="23"/>
      <c r="L37" s="23"/>
      <c r="M37" s="23"/>
      <c r="N37" s="23"/>
      <c r="O37" s="23"/>
      <c r="P37" s="23"/>
      <c r="Q37" s="23"/>
      <c r="S37" s="4"/>
      <c r="T37" s="4"/>
      <c r="U37" s="4"/>
      <c r="V37" s="4"/>
      <c r="W37" s="4"/>
      <c r="X37" s="4"/>
      <c r="Y37" s="4"/>
      <c r="AG37" s="27"/>
      <c r="AH37" s="26"/>
      <c r="AI37" s="26"/>
      <c r="AL37" s="26"/>
      <c r="AM37" s="25"/>
      <c r="AO37" s="25"/>
      <c r="AP37" s="25"/>
      <c r="AQ37" s="25"/>
      <c r="AR37" s="25"/>
      <c r="AS37" s="25"/>
      <c r="AT37" s="25"/>
      <c r="AU37" s="25"/>
    </row>
    <row r="38" spans="1:47" ht="15" customHeight="1" x14ac:dyDescent="0.25">
      <c r="B38" s="2096"/>
      <c r="C38" s="2097"/>
      <c r="D38" s="548">
        <f>D37+1</f>
        <v>2019</v>
      </c>
      <c r="E38" s="1930"/>
      <c r="F38" s="1929"/>
      <c r="G38" s="1930"/>
      <c r="H38" s="122">
        <f>ROUNDUP(IF($E$6=Please,0,IF(OR($E$6&lt;&gt;RIMS_lists!$C$1,$E$17&lt;&gt;Lists!$B$9),E38,IF(AND($E$6=RIMS_lists!$C$1,$E$17=Lists!$B$9,E38&lt;=1),E38*Markets!C20,0))),0)</f>
        <v>0</v>
      </c>
      <c r="I38" s="573">
        <f>IF(F38="",0,IF($E$20&lt;&gt;Lists!$E$4, MIN(F38,H38), IF(AND($E$20=Lists!$E$4,F38&gt;=0,F38&lt;=1),F38*H38,0)))</f>
        <v>0</v>
      </c>
      <c r="J38" s="929">
        <f t="shared" si="1"/>
        <v>0</v>
      </c>
      <c r="K38" s="23"/>
      <c r="L38" s="23"/>
      <c r="M38" s="23"/>
      <c r="N38" s="23"/>
      <c r="O38" s="23"/>
      <c r="P38" s="23"/>
      <c r="Q38" s="23"/>
      <c r="S38" s="4"/>
      <c r="T38" s="4"/>
      <c r="U38" s="4"/>
      <c r="V38" s="4"/>
      <c r="W38" s="4"/>
      <c r="X38" s="4"/>
      <c r="Y38" s="4"/>
      <c r="AG38" s="27"/>
      <c r="AH38" s="25"/>
      <c r="AI38" s="25"/>
      <c r="AJ38" s="26"/>
      <c r="AK38" s="26"/>
      <c r="AL38" s="26"/>
      <c r="AM38" s="25"/>
      <c r="AO38" s="25"/>
      <c r="AP38" s="25"/>
      <c r="AQ38" s="25"/>
      <c r="AR38" s="25"/>
      <c r="AS38" s="25"/>
      <c r="AT38" s="25"/>
      <c r="AU38" s="25"/>
    </row>
    <row r="39" spans="1:47" ht="15" customHeight="1" x14ac:dyDescent="0.25">
      <c r="B39" s="2098"/>
      <c r="C39" s="2099"/>
      <c r="D39" s="548">
        <f>D38+1</f>
        <v>2020</v>
      </c>
      <c r="E39" s="1930"/>
      <c r="F39" s="1929"/>
      <c r="G39" s="1930"/>
      <c r="H39" s="122">
        <f>ROUNDUP(IF($E$6=Please,0,IF(OR($E$6&lt;&gt;RIMS_lists!$C$1,$E$17&lt;&gt;Lists!$B$9),E39,IF(AND($E$6=RIMS_lists!$C$1,$E$17=Lists!$B$9,E39&lt;=1),E39*Markets!C21,0))),0)</f>
        <v>0</v>
      </c>
      <c r="I39" s="573">
        <f>IF(F39="",0,IF($E$20&lt;&gt;Lists!$E$4, MIN(F39,H39), IF(AND($E$20=Lists!$E$4,F39&gt;=0,F39&lt;=1),F39*H39,0)))</f>
        <v>0</v>
      </c>
      <c r="J39" s="929">
        <f t="shared" si="1"/>
        <v>0</v>
      </c>
      <c r="K39" s="23"/>
      <c r="L39" s="278"/>
      <c r="M39" s="278"/>
      <c r="N39" s="278"/>
      <c r="O39" s="23"/>
      <c r="P39" s="23"/>
      <c r="Q39" s="23"/>
      <c r="S39" s="4"/>
      <c r="T39" s="4"/>
      <c r="U39" s="4"/>
      <c r="V39" s="4"/>
      <c r="W39" s="4"/>
      <c r="X39" s="4"/>
      <c r="Y39" s="4"/>
      <c r="AG39" s="27"/>
      <c r="AH39" s="26"/>
      <c r="AI39" s="26"/>
      <c r="AJ39" s="26"/>
      <c r="AK39" s="26"/>
      <c r="AL39" s="26"/>
      <c r="AM39" s="25"/>
      <c r="AO39" s="25"/>
      <c r="AP39" s="25"/>
      <c r="AQ39" s="25"/>
      <c r="AR39" s="25"/>
      <c r="AS39" s="25"/>
      <c r="AT39" s="25"/>
      <c r="AU39" s="25"/>
    </row>
    <row r="40" spans="1:47" s="23" customFormat="1" ht="47.25" customHeight="1" x14ac:dyDescent="0.25">
      <c r="B40" s="921"/>
      <c r="J40" s="922"/>
      <c r="AG40" s="902"/>
      <c r="AH40" s="903"/>
      <c r="AI40" s="903"/>
      <c r="AJ40" s="904"/>
      <c r="AK40" s="904"/>
      <c r="AL40" s="904"/>
      <c r="AM40" s="903"/>
      <c r="AO40" s="903"/>
      <c r="AP40" s="903"/>
      <c r="AQ40" s="903"/>
      <c r="AR40" s="903"/>
      <c r="AS40" s="903"/>
      <c r="AT40" s="903"/>
      <c r="AU40" s="903"/>
    </row>
    <row r="41" spans="1:47" ht="30" customHeight="1" x14ac:dyDescent="0.25">
      <c r="B41" s="2063" t="s">
        <v>526</v>
      </c>
      <c r="C41" s="2064"/>
      <c r="D41" s="2064"/>
      <c r="E41" s="2064"/>
      <c r="F41" s="2064"/>
      <c r="G41" s="2064"/>
      <c r="H41" s="2064"/>
      <c r="I41" s="2064"/>
      <c r="J41" s="2065"/>
      <c r="K41" s="23"/>
      <c r="L41" s="23"/>
      <c r="M41" s="23"/>
      <c r="N41" s="23"/>
      <c r="O41" s="23"/>
      <c r="P41" s="23"/>
      <c r="Q41" s="23"/>
      <c r="S41" s="4"/>
      <c r="T41" s="4"/>
      <c r="U41" s="4"/>
      <c r="V41" s="4"/>
      <c r="W41" s="4"/>
      <c r="X41" s="4"/>
      <c r="Y41" s="4"/>
      <c r="AG41" s="27"/>
      <c r="AH41" s="26"/>
      <c r="AI41" s="26"/>
      <c r="AJ41" s="26"/>
      <c r="AK41" s="26"/>
      <c r="AL41" s="26"/>
      <c r="AM41" s="25"/>
      <c r="AU41" s="25"/>
    </row>
    <row r="42" spans="1:47" s="10" customFormat="1" x14ac:dyDescent="0.25">
      <c r="A42" s="23"/>
      <c r="B42" s="921"/>
      <c r="C42" s="23"/>
      <c r="D42" s="23"/>
      <c r="E42" s="23"/>
      <c r="F42" s="23"/>
      <c r="G42" s="23"/>
      <c r="H42" s="23"/>
      <c r="I42" s="23"/>
      <c r="J42" s="922"/>
      <c r="K42" s="23"/>
      <c r="L42" s="23"/>
      <c r="M42" s="23"/>
      <c r="N42" s="23"/>
      <c r="O42" s="23"/>
      <c r="P42" s="23"/>
      <c r="Q42" s="23"/>
      <c r="AG42" s="906"/>
      <c r="AH42" s="907"/>
      <c r="AI42" s="907"/>
      <c r="AJ42" s="908"/>
      <c r="AK42" s="908"/>
      <c r="AL42" s="908"/>
      <c r="AM42" s="907"/>
      <c r="AU42" s="909"/>
    </row>
    <row r="43" spans="1:47" ht="31.5" customHeight="1" x14ac:dyDescent="0.25">
      <c r="B43" s="2066" t="s">
        <v>1491</v>
      </c>
      <c r="C43" s="2067"/>
      <c r="D43" s="2067"/>
      <c r="E43" s="2067"/>
      <c r="F43" s="2067"/>
      <c r="G43" s="2067"/>
      <c r="H43" s="2067"/>
      <c r="I43" s="2067"/>
      <c r="J43" s="2068"/>
      <c r="K43" s="23"/>
      <c r="L43" s="23"/>
      <c r="M43" s="23"/>
      <c r="N43" s="23"/>
      <c r="O43" s="23"/>
      <c r="P43" s="23"/>
      <c r="Q43" s="23"/>
      <c r="S43" s="4"/>
      <c r="T43" s="4"/>
      <c r="U43" s="4"/>
      <c r="V43" s="4"/>
      <c r="W43" s="4"/>
      <c r="X43" s="4"/>
      <c r="Y43" s="4"/>
      <c r="AG43" s="32"/>
      <c r="AH43" s="326"/>
      <c r="AI43" s="326"/>
      <c r="AJ43" s="31"/>
      <c r="AK43" s="31"/>
      <c r="AL43" s="31"/>
      <c r="AM43" s="30"/>
      <c r="AU43" s="25"/>
    </row>
    <row r="44" spans="1:47" s="10" customFormat="1" x14ac:dyDescent="0.25">
      <c r="A44" s="23"/>
      <c r="B44" s="930"/>
      <c r="C44" s="384"/>
      <c r="D44" s="384"/>
      <c r="E44" s="384"/>
      <c r="F44" s="384"/>
      <c r="G44" s="384"/>
      <c r="H44" s="384"/>
      <c r="I44" s="384"/>
      <c r="J44" s="931"/>
      <c r="K44" s="23"/>
      <c r="L44" s="23"/>
      <c r="M44" s="23"/>
      <c r="N44" s="23"/>
      <c r="O44" s="23"/>
      <c r="P44" s="23"/>
      <c r="Q44" s="23"/>
      <c r="AG44" s="906"/>
      <c r="AH44" s="907"/>
      <c r="AI44" s="907"/>
      <c r="AJ44" s="908"/>
      <c r="AK44" s="908"/>
      <c r="AL44" s="908"/>
      <c r="AM44" s="907"/>
      <c r="AU44" s="909"/>
    </row>
    <row r="45" spans="1:47" ht="18.75" x14ac:dyDescent="0.25">
      <c r="B45" s="2093" t="str">
        <f>IF(AND(SUM($H$25:$H$30)=0,SUM($H$34:$H$39)=0),"Step 4 is available only if forklift fuel cell units are being manufactured within the selected region","Step 4 - Forklift Fuel Cell Retail Prices and Manufacturing Costs (all prices and costs are in $/kW)")</f>
        <v>Step 4 is available only if forklift fuel cell units are being manufactured within the selected region</v>
      </c>
      <c r="C45" s="2094"/>
      <c r="D45" s="2094"/>
      <c r="E45" s="2094"/>
      <c r="F45" s="2094"/>
      <c r="G45" s="2094"/>
      <c r="H45" s="2094"/>
      <c r="I45" s="2094"/>
      <c r="J45" s="2095"/>
      <c r="K45" s="23"/>
      <c r="L45" s="23"/>
      <c r="M45" s="23"/>
      <c r="N45" s="23"/>
      <c r="O45" s="23"/>
      <c r="P45" s="23"/>
      <c r="Q45" s="915"/>
      <c r="R45" s="3"/>
      <c r="T45" s="3"/>
      <c r="AG45" s="32"/>
      <c r="AH45" s="326"/>
      <c r="AI45" s="326"/>
      <c r="AJ45" s="31"/>
      <c r="AK45" s="31"/>
      <c r="AL45" s="31"/>
      <c r="AM45" s="30"/>
      <c r="AU45" s="25"/>
    </row>
    <row r="46" spans="1:47" ht="34.5" customHeight="1" x14ac:dyDescent="0.25">
      <c r="B46" s="2256" t="s">
        <v>2048</v>
      </c>
      <c r="C46" s="2257"/>
      <c r="D46" s="2257"/>
      <c r="E46" s="2257"/>
      <c r="F46" s="2257"/>
      <c r="G46" s="2257"/>
      <c r="H46" s="2257"/>
      <c r="I46" s="2257"/>
      <c r="J46" s="2258"/>
      <c r="K46" s="23"/>
      <c r="L46" s="23"/>
      <c r="M46" s="23"/>
      <c r="N46" s="23"/>
      <c r="O46" s="23"/>
      <c r="P46" s="23"/>
      <c r="Q46" s="915"/>
      <c r="R46" s="3"/>
      <c r="T46" s="3"/>
      <c r="AG46" s="32"/>
      <c r="AH46" s="326"/>
      <c r="AI46" s="326"/>
      <c r="AJ46" s="31"/>
      <c r="AK46" s="31"/>
      <c r="AL46" s="31"/>
      <c r="AM46" s="30"/>
      <c r="AU46" s="25"/>
    </row>
    <row r="47" spans="1:47" ht="36.75" customHeight="1" x14ac:dyDescent="0.25">
      <c r="B47" s="2194" t="s">
        <v>1964</v>
      </c>
      <c r="C47" s="2195"/>
      <c r="D47" s="2196"/>
      <c r="E47" s="1261" t="s">
        <v>523</v>
      </c>
      <c r="F47" s="1262" t="s">
        <v>524</v>
      </c>
      <c r="G47" s="1263" t="str">
        <f>E47</f>
        <v>Retail Price ($/kW)</v>
      </c>
      <c r="H47" s="1264" t="str">
        <f>F47</f>
        <v>Mfg. Cost ($/kW)</v>
      </c>
      <c r="I47" s="1263" t="str">
        <f>G47</f>
        <v>Retail Price ($/kW)</v>
      </c>
      <c r="J47" s="1262" t="str">
        <f>H47</f>
        <v>Mfg. Cost ($/kW)</v>
      </c>
      <c r="K47" s="23"/>
      <c r="L47" s="23"/>
      <c r="M47" s="23"/>
      <c r="N47" s="23"/>
      <c r="O47" s="23"/>
      <c r="P47" s="23"/>
      <c r="Q47" s="915"/>
      <c r="AG47" s="25"/>
      <c r="AH47" s="25"/>
      <c r="AI47" s="25"/>
      <c r="AJ47" s="26"/>
      <c r="AK47" s="26"/>
      <c r="AL47" s="25"/>
      <c r="AM47" s="25"/>
      <c r="AU47" s="25"/>
    </row>
    <row r="48" spans="1:47" ht="15" customHeight="1" x14ac:dyDescent="0.25">
      <c r="B48" s="2205" t="str">
        <f>B23</f>
        <v>Class I/II</v>
      </c>
      <c r="C48" s="2206"/>
      <c r="D48" s="353" t="s">
        <v>433</v>
      </c>
      <c r="E48" s="1265" t="str">
        <f>E24</f>
        <v>User-specified value</v>
      </c>
      <c r="F48" s="1266" t="str">
        <f>E48</f>
        <v>User-specified value</v>
      </c>
      <c r="G48" s="1267" t="s">
        <v>504</v>
      </c>
      <c r="H48" s="1267" t="s">
        <v>504</v>
      </c>
      <c r="I48" s="2120" t="s">
        <v>525</v>
      </c>
      <c r="J48" s="2121"/>
      <c r="K48" s="23"/>
      <c r="L48" s="23"/>
      <c r="M48" s="23"/>
      <c r="N48" s="23"/>
      <c r="O48" s="23"/>
      <c r="P48" s="23"/>
      <c r="Q48" s="915"/>
      <c r="AK48" s="31"/>
      <c r="AL48" s="30"/>
      <c r="AM48" s="30"/>
      <c r="AU48" s="25"/>
    </row>
    <row r="49" spans="1:56" ht="15" customHeight="1" x14ac:dyDescent="0.25">
      <c r="B49" s="2207"/>
      <c r="C49" s="2208"/>
      <c r="D49" s="547">
        <f t="shared" ref="D49:D54" si="2">D25</f>
        <v>2015</v>
      </c>
      <c r="E49" s="1986"/>
      <c r="F49" s="1986"/>
      <c r="G49" s="1010">
        <f t="shared" ref="G49:G54" si="3">H49*(price_initial/costPerKwInitial)</f>
        <v>2430</v>
      </c>
      <c r="H49" s="1011">
        <f>MROUND((costPerKwInitial*((G565/$G$560)^Costs!$B$34)*(IF(F565&lt;=FullScale,((F565/productionCostLevel)^scaleElasticity), ((FullScale/productionCostLevel)^scaleElasticity)))*((1-technologicalProgressRate)^(D49-Costs!$B$46))), 10)</f>
        <v>1620</v>
      </c>
      <c r="I49" s="1002">
        <f>IF(SUM($H$25:$H$30)=0,0,IF(E49&lt;&gt;"",E49,IF(I204=0,0,J49*(I204/J204))))</f>
        <v>0</v>
      </c>
      <c r="J49" s="789">
        <f>IF(SUM($H$25:$H$30)=0,0,IF(F49&lt;&gt;"",F49,IF(E49&lt;&gt;"",E49/(I204/J204),H49)))</f>
        <v>0</v>
      </c>
      <c r="K49" s="23"/>
      <c r="L49" s="23"/>
      <c r="M49" s="23"/>
      <c r="N49" s="23"/>
      <c r="O49" s="23"/>
      <c r="P49" s="23"/>
      <c r="Q49" s="915"/>
      <c r="AU49" s="25"/>
    </row>
    <row r="50" spans="1:56" ht="15" customHeight="1" x14ac:dyDescent="0.25">
      <c r="B50" s="2209" t="str">
        <f>B25</f>
        <v>10 kW Forklift                     Fuel Cells</v>
      </c>
      <c r="C50" s="2210"/>
      <c r="D50" s="547">
        <f t="shared" si="2"/>
        <v>2016</v>
      </c>
      <c r="E50" s="1986"/>
      <c r="F50" s="1986"/>
      <c r="G50" s="1010">
        <f t="shared" si="3"/>
        <v>2325</v>
      </c>
      <c r="H50" s="1011">
        <f>MROUND((MIN(H49, costPerKwInitial*((G566/$G$560)^Costs!$B$34)*(IF(F566&lt;=FullScale,((F566/productionCostLevel)^scaleElasticity), ((FullScale/productionCostLevel)^scaleElasticity)))*((1-technologicalProgressRate)^(D50-Costs!$B$46)))), 10)</f>
        <v>1550</v>
      </c>
      <c r="I50" s="1002">
        <f>IF(SUM($H$25:$H$30)=0,0,IF(E50&lt;&gt;"",E50,IF(I49=0,0,J50*(I49/J49))))</f>
        <v>0</v>
      </c>
      <c r="J50" s="789">
        <f t="array" ref="J50">IF(SUM($H$25:$H$30)=0,0,IF(F50&lt;&gt;"",F50,IF(E50&lt;&gt;"",E50/(I49/J49),IF(OR(OR(F$49:F49&lt;&gt;""),OR(E$49:E49&lt;&gt;"")),J49*H50/H49,H50))))</f>
        <v>0</v>
      </c>
      <c r="K50" s="916"/>
      <c r="L50" s="23"/>
      <c r="M50" s="23"/>
      <c r="N50" s="23"/>
      <c r="O50" s="23"/>
      <c r="P50" s="23"/>
      <c r="Q50" s="915"/>
      <c r="AU50" s="25"/>
    </row>
    <row r="51" spans="1:56" ht="15" customHeight="1" x14ac:dyDescent="0.25">
      <c r="B51" s="2209"/>
      <c r="C51" s="2210"/>
      <c r="D51" s="547">
        <f t="shared" si="2"/>
        <v>2017</v>
      </c>
      <c r="E51" s="1986"/>
      <c r="F51" s="1986"/>
      <c r="G51" s="1010">
        <f t="shared" si="3"/>
        <v>2235</v>
      </c>
      <c r="H51" s="1011">
        <f>MROUND((MIN(H50, costPerKwInitial*((G567/$G$560)^Costs!$B$34)*(IF(F567&lt;=FullScale,((F567/productionCostLevel)^scaleElasticity), ((FullScale/productionCostLevel)^scaleElasticity)))*((1-technologicalProgressRate)^(D51-Costs!$B$46)))), 10)</f>
        <v>1490</v>
      </c>
      <c r="I51" s="1002">
        <f t="shared" ref="I51:I54" si="4">IF(SUM($H$25:$H$30)=0,0,IF(E51&lt;&gt;"",E51,IF(I50=0,0,J51*(I50/J50))))</f>
        <v>0</v>
      </c>
      <c r="J51" s="789">
        <f t="array" ref="J51">IF(SUM($H$25:$H$30)=0,0,IF(F51&lt;&gt;"",F51,IF(E51&lt;&gt;"",E51/(I50/J50),IF(OR(OR(F$49:F50&lt;&gt;""),OR(E$49:E50&lt;&gt;"")),J50*H51/H50,H51))))</f>
        <v>0</v>
      </c>
      <c r="K51" s="916"/>
      <c r="L51" s="23"/>
      <c r="M51" s="23"/>
      <c r="N51" s="23"/>
      <c r="O51" s="23"/>
      <c r="P51" s="23"/>
      <c r="Q51" s="915"/>
      <c r="AU51" s="25"/>
    </row>
    <row r="52" spans="1:56" ht="15" customHeight="1" x14ac:dyDescent="0.25">
      <c r="B52" s="2180" t="s">
        <v>545</v>
      </c>
      <c r="C52" s="2181"/>
      <c r="D52" s="547">
        <f t="shared" si="2"/>
        <v>2018</v>
      </c>
      <c r="E52" s="1987"/>
      <c r="F52" s="1986"/>
      <c r="G52" s="1010">
        <f t="shared" si="3"/>
        <v>2145</v>
      </c>
      <c r="H52" s="1011">
        <f>MROUND((MIN(H51, costPerKwInitial*((G568/$G$560)^Costs!$B$34)*(IF(F568&lt;=FullScale,((F568/productionCostLevel)^scaleElasticity), ((FullScale/productionCostLevel)^scaleElasticity)))*((1-technologicalProgressRate)^(D52-Costs!$B$46)))), 10)</f>
        <v>1430</v>
      </c>
      <c r="I52" s="1002">
        <f t="shared" si="4"/>
        <v>0</v>
      </c>
      <c r="J52" s="789">
        <f t="array" ref="J52">IF(SUM($H$25:$H$30)=0,0,IF(F52&lt;&gt;"",F52,IF(E52&lt;&gt;"",E52/(I51/J51),IF(OR(OR(F$49:F51&lt;&gt;""),OR(E$49:E51&lt;&gt;"")),J51*H52/H51,H52))))</f>
        <v>0</v>
      </c>
      <c r="K52" s="23"/>
      <c r="L52" s="23"/>
      <c r="M52" s="23"/>
      <c r="N52" s="23"/>
      <c r="O52" s="23"/>
      <c r="P52" s="23"/>
      <c r="Q52" s="915"/>
      <c r="AU52" s="25"/>
    </row>
    <row r="53" spans="1:56" ht="15" customHeight="1" x14ac:dyDescent="0.25">
      <c r="B53" s="2180"/>
      <c r="C53" s="2181"/>
      <c r="D53" s="547">
        <f t="shared" si="2"/>
        <v>2019</v>
      </c>
      <c r="E53" s="1986"/>
      <c r="F53" s="1986"/>
      <c r="G53" s="1010">
        <f t="shared" si="3"/>
        <v>2070</v>
      </c>
      <c r="H53" s="1011">
        <f>MROUND((MIN(H52, costPerKwInitial*((G569/$G$560)^Costs!$B$34)*(IF(F569&lt;=FullScale,((F569/productionCostLevel)^scaleElasticity), ((FullScale/productionCostLevel)^scaleElasticity)))*((1-technologicalProgressRate)^(D53-Costs!$B$46)))), 10)</f>
        <v>1380</v>
      </c>
      <c r="I53" s="1002">
        <f t="shared" si="4"/>
        <v>0</v>
      </c>
      <c r="J53" s="789">
        <f t="array" ref="J53">IF(SUM($H$25:$H$30)=0,0,IF(F53&lt;&gt;"",F53,IF(E53&lt;&gt;"",E53/(I52/J52),IF(OR(OR(F$49:F52&lt;&gt;""),OR(E$49:E52&lt;&gt;"")),J52*H53/H52,H53))))</f>
        <v>0</v>
      </c>
      <c r="K53" s="23"/>
      <c r="L53" s="23"/>
      <c r="M53" s="23"/>
      <c r="N53" s="23"/>
      <c r="O53" s="23"/>
      <c r="P53" s="23"/>
      <c r="Q53" s="915"/>
      <c r="AU53" s="25"/>
    </row>
    <row r="54" spans="1:56" ht="15" customHeight="1" x14ac:dyDescent="0.25">
      <c r="B54" s="2182"/>
      <c r="C54" s="2183"/>
      <c r="D54" s="547">
        <f t="shared" si="2"/>
        <v>2020</v>
      </c>
      <c r="E54" s="1986"/>
      <c r="F54" s="1986"/>
      <c r="G54" s="1010">
        <f t="shared" si="3"/>
        <v>2010</v>
      </c>
      <c r="H54" s="1011">
        <f>MROUND((MIN(H53, costPerKwInitial*((G570/$G$560)^Costs!$B$34)*(IF(F570&lt;=FullScale,((F570/productionCostLevel)^scaleElasticity), ((FullScale/productionCostLevel)^scaleElasticity)))*((1-technologicalProgressRate)^(D54-Costs!$B$46)))), 10)</f>
        <v>1340</v>
      </c>
      <c r="I54" s="1002">
        <f t="shared" si="4"/>
        <v>0</v>
      </c>
      <c r="J54" s="789">
        <f t="array" ref="J54">IF(SUM($H$25:$H$30)=0,0,IF(F54&lt;&gt;"",F54,IF(E54&lt;&gt;"",E54/(I53/J53),IF(OR(OR(F$49:F53&lt;&gt;""),OR(E$49:E53&lt;&gt;"")),J53*H54/H53,H54))))</f>
        <v>0</v>
      </c>
      <c r="K54" s="23"/>
      <c r="L54" s="23"/>
      <c r="M54" s="23"/>
      <c r="N54" s="23"/>
      <c r="O54" s="23"/>
      <c r="P54" s="23"/>
      <c r="Q54" s="915"/>
      <c r="AU54" s="25"/>
    </row>
    <row r="55" spans="1:56" ht="31.5" customHeight="1" x14ac:dyDescent="0.25">
      <c r="B55" s="2117" t="s">
        <v>1964</v>
      </c>
      <c r="C55" s="2118"/>
      <c r="D55" s="2119"/>
      <c r="E55" s="1268" t="s">
        <v>523</v>
      </c>
      <c r="F55" s="1269" t="s">
        <v>524</v>
      </c>
      <c r="G55" s="1270" t="s">
        <v>523</v>
      </c>
      <c r="H55" s="1269" t="str">
        <f>F55</f>
        <v>Mfg. Cost ($/kW)</v>
      </c>
      <c r="I55" s="1270" t="str">
        <f>G55</f>
        <v>Retail Price ($/kW)</v>
      </c>
      <c r="J55" s="1269" t="str">
        <f>H55</f>
        <v>Mfg. Cost ($/kW)</v>
      </c>
      <c r="K55" s="23"/>
      <c r="L55" s="23"/>
      <c r="M55" s="23"/>
      <c r="N55" s="23"/>
      <c r="O55" s="23"/>
      <c r="P55" s="23"/>
      <c r="Q55" s="915"/>
      <c r="AU55" s="25"/>
    </row>
    <row r="56" spans="1:56" s="8" customFormat="1" ht="14.45" customHeight="1" x14ac:dyDescent="0.25">
      <c r="A56" s="279"/>
      <c r="B56" s="2100" t="str">
        <f>B32</f>
        <v>Class III</v>
      </c>
      <c r="C56" s="2101"/>
      <c r="D56" s="354" t="str">
        <f>D48</f>
        <v>Year</v>
      </c>
      <c r="E56" s="1271" t="str">
        <f>E48</f>
        <v>User-specified value</v>
      </c>
      <c r="F56" s="1271" t="str">
        <f>F48</f>
        <v>User-specified value</v>
      </c>
      <c r="G56" s="1272" t="s">
        <v>504</v>
      </c>
      <c r="H56" s="1272" t="s">
        <v>504</v>
      </c>
      <c r="I56" s="2120" t="str">
        <f>I48</f>
        <v>Values used in model calculations</v>
      </c>
      <c r="J56" s="2121"/>
      <c r="K56" s="23"/>
      <c r="L56" s="23"/>
      <c r="M56" s="23"/>
      <c r="N56" s="23"/>
      <c r="O56" s="279"/>
      <c r="P56" s="279"/>
      <c r="Q56" s="917"/>
      <c r="Z56" s="3"/>
      <c r="AA56" s="3"/>
      <c r="AB56" s="3"/>
      <c r="AC56" s="3"/>
      <c r="AD56" s="3"/>
      <c r="AU56" s="25"/>
      <c r="AV56" s="3"/>
      <c r="AW56" s="3"/>
      <c r="AX56" s="3"/>
      <c r="AY56" s="3"/>
      <c r="AZ56" s="3"/>
      <c r="BA56" s="3"/>
      <c r="BB56" s="3"/>
      <c r="BC56" s="3"/>
      <c r="BD56" s="3"/>
    </row>
    <row r="57" spans="1:56" s="8" customFormat="1" ht="14.45" customHeight="1" x14ac:dyDescent="0.25">
      <c r="A57" s="279"/>
      <c r="B57" s="2102"/>
      <c r="C57" s="2103"/>
      <c r="D57" s="548">
        <f t="shared" ref="D57:D62" si="5">D34</f>
        <v>2015</v>
      </c>
      <c r="E57" s="1986"/>
      <c r="F57" s="1986"/>
      <c r="G57" s="1012">
        <f t="shared" ref="G57:G62" si="6">H57*(price_initial_c3/costPerKwInitial_c3)</f>
        <v>4680</v>
      </c>
      <c r="H57" s="1013">
        <f>MROUND((costPerKwInitial_c3*((G565/$G$560)^Costs!$B$34)*(IF(F565&lt;=FullScale,((F565/productionCostLevel)^scaleElasticity), ((FullScale/productionCostLevel)^scaleElasticity)))*((1-technologicalProgressRate)^(D57-Costs!$B$46))), 10)</f>
        <v>3120</v>
      </c>
      <c r="I57" s="1002">
        <f>IF(SUM($H$34:$H$39)=0,0,IF(E57&lt;&gt;"",E57,IF(I205=0,0,J57*(I205/J205))))</f>
        <v>0</v>
      </c>
      <c r="J57" s="789">
        <f>IF(SUM($H$34:$H$39)=0,0,IF(F57&lt;&gt;"",F57,IF(E57&lt;&gt;"",E57/(I205/J205),H57)))</f>
        <v>0</v>
      </c>
      <c r="K57" s="23"/>
      <c r="L57" s="23"/>
      <c r="M57" s="23"/>
      <c r="N57" s="23"/>
      <c r="O57" s="279"/>
      <c r="P57" s="279"/>
      <c r="Q57" s="917"/>
      <c r="R57" s="7"/>
      <c r="Z57" s="3"/>
      <c r="AA57" s="3"/>
      <c r="AB57" s="3"/>
      <c r="AC57" s="3"/>
      <c r="AD57" s="3"/>
      <c r="AU57" s="25"/>
      <c r="AV57" s="3"/>
      <c r="AW57" s="3"/>
      <c r="AX57" s="3"/>
      <c r="AY57" s="3"/>
      <c r="AZ57" s="3"/>
      <c r="BA57" s="3"/>
      <c r="BB57" s="3"/>
      <c r="BC57" s="3"/>
      <c r="BD57" s="3"/>
    </row>
    <row r="58" spans="1:56" ht="14.45" customHeight="1" x14ac:dyDescent="0.25">
      <c r="B58" s="2104" t="str">
        <f>B34</f>
        <v>2 kW Forklift                      Fuel Cells</v>
      </c>
      <c r="C58" s="2105"/>
      <c r="D58" s="548">
        <f t="shared" si="5"/>
        <v>2016</v>
      </c>
      <c r="E58" s="1986"/>
      <c r="F58" s="1986"/>
      <c r="G58" s="1012">
        <f t="shared" si="6"/>
        <v>4485</v>
      </c>
      <c r="H58" s="1013">
        <f>MROUND((MIN(H57,costPerKwInitial_c3*((G566/$G$560)^Costs!$B$34)*(IF(F566&lt;=FullScale,((F566/productionCostLevel)^scaleElasticity), ((FullScale/productionCostLevel)^scaleElasticity)))*((1-technologicalProgressRate)^(D58-Costs!$B$46)))), 10)</f>
        <v>2990</v>
      </c>
      <c r="I58" s="1002">
        <f>IF(SUM($H$34:$H$39)=0,0,IF(E58&lt;&gt;"",E58,IF(I57=0,0,J58*(I57/J57))))</f>
        <v>0</v>
      </c>
      <c r="J58" s="789">
        <f t="array" ref="J58">IF(SUM($H$34:$H$39)=0,0,IF(F58&lt;&gt;"",F58,IF(E58&lt;&gt;"",E58/(I57/J57),IF(OR(OR(F$57:F57&lt;&gt;""),OR(E$57:E57&lt;&gt;"")),J57*H58/H57,H58))))</f>
        <v>0</v>
      </c>
      <c r="K58" s="23"/>
      <c r="L58" s="23"/>
      <c r="M58" s="23"/>
      <c r="N58" s="23"/>
      <c r="O58" s="23"/>
      <c r="P58" s="23"/>
      <c r="Q58" s="915"/>
      <c r="AU58" s="25"/>
    </row>
    <row r="59" spans="1:56" ht="14.45" customHeight="1" x14ac:dyDescent="0.25">
      <c r="B59" s="2104"/>
      <c r="C59" s="2105"/>
      <c r="D59" s="548">
        <f t="shared" si="5"/>
        <v>2017</v>
      </c>
      <c r="E59" s="1986"/>
      <c r="F59" s="1986"/>
      <c r="G59" s="1012">
        <f t="shared" si="6"/>
        <v>4305</v>
      </c>
      <c r="H59" s="1013">
        <f>MROUND((MIN(H58,costPerKwInitial_c3*((G567/$G$560)^Costs!$B$34)*(IF(F567&lt;=FullScale,((F567/productionCostLevel)^scaleElasticity), ((FullScale/productionCostLevel)^scaleElasticity)))*((1-technologicalProgressRate)^(D59-Costs!$B$46)))), 10)</f>
        <v>2870</v>
      </c>
      <c r="I59" s="1002">
        <f t="shared" ref="I59:I62" si="7">IF(SUM($H$34:$H$39)=0,0,IF(E59&lt;&gt;"",E59,IF(I58=0,0,J59*(I58/J58))))</f>
        <v>0</v>
      </c>
      <c r="J59" s="789">
        <f t="array" ref="J59">IF(SUM($H$34:$H$39)=0,0,IF(F59&lt;&gt;"",F59,IF(E59&lt;&gt;"",E59/(I58/J58),IF(OR(OR(F$57:F58&lt;&gt;""),OR(E$57:E58&lt;&gt;"")),J58*H59/H58,H59))))</f>
        <v>0</v>
      </c>
      <c r="K59" s="23"/>
      <c r="L59" s="23"/>
      <c r="M59" s="23"/>
      <c r="N59" s="23"/>
      <c r="O59" s="23"/>
      <c r="P59" s="23"/>
      <c r="Q59" s="915"/>
      <c r="AU59" s="25"/>
    </row>
    <row r="60" spans="1:56" ht="15" customHeight="1" x14ac:dyDescent="0.25">
      <c r="B60" s="2096" t="str">
        <f>B52</f>
        <v>Year-by-year Retail Price and Manufacturing Cost</v>
      </c>
      <c r="C60" s="2097"/>
      <c r="D60" s="548">
        <f t="shared" si="5"/>
        <v>2018</v>
      </c>
      <c r="E60" s="1987"/>
      <c r="F60" s="1987"/>
      <c r="G60" s="1012">
        <f t="shared" si="6"/>
        <v>4140</v>
      </c>
      <c r="H60" s="1013">
        <f>MROUND((MIN(H59,costPerKwInitial_c3*((G568/$G$560)^Costs!$B$34)*(IF(F568&lt;=FullScale,((F568/productionCostLevel)^scaleElasticity), ((FullScale/productionCostLevel)^scaleElasticity)))*((1-technologicalProgressRate)^(D60-Costs!$B$46)))), 10)</f>
        <v>2760</v>
      </c>
      <c r="I60" s="1002">
        <f t="shared" si="7"/>
        <v>0</v>
      </c>
      <c r="J60" s="789">
        <f t="array" ref="J60">IF(SUM($H$34:$H$39)=0,0,IF(F60&lt;&gt;"",F60,IF(E60&lt;&gt;"",E60/(I59/J59),IF(OR(OR(F$57:F59&lt;&gt;""),OR(E$57:E59&lt;&gt;"")),J59*H60/H59,H60))))</f>
        <v>0</v>
      </c>
      <c r="K60" s="23"/>
      <c r="L60" s="23"/>
      <c r="M60" s="23"/>
      <c r="N60" s="23"/>
      <c r="O60" s="23"/>
      <c r="P60" s="23"/>
      <c r="Q60" s="915"/>
      <c r="AU60" s="25"/>
    </row>
    <row r="61" spans="1:56" ht="15" customHeight="1" x14ac:dyDescent="0.25">
      <c r="B61" s="2096"/>
      <c r="C61" s="2097"/>
      <c r="D61" s="548">
        <f t="shared" si="5"/>
        <v>2019</v>
      </c>
      <c r="E61" s="1986"/>
      <c r="F61" s="1986"/>
      <c r="G61" s="1012">
        <f t="shared" si="6"/>
        <v>3990</v>
      </c>
      <c r="H61" s="1013">
        <f>MROUND((MIN(H60,costPerKwInitial_c3*((G569/$G$560)^Costs!$B$34)*(IF(F569&lt;=FullScale,((F569/productionCostLevel)^scaleElasticity), ((FullScale/productionCostLevel)^scaleElasticity)))*((1-technologicalProgressRate)^(D61-Costs!$B$46)))), 10)</f>
        <v>2660</v>
      </c>
      <c r="I61" s="1002">
        <f t="shared" si="7"/>
        <v>0</v>
      </c>
      <c r="J61" s="789">
        <f t="array" ref="J61">IF(SUM($H$34:$H$39)=0,0,IF(F61&lt;&gt;"",F61,IF(E61&lt;&gt;"",E61/(I60/J60),IF(OR(OR(F$57:F60&lt;&gt;""),OR(E$57:E60&lt;&gt;"")),J60*H61/H60,H61))))</f>
        <v>0</v>
      </c>
      <c r="K61" s="23"/>
      <c r="L61" s="23"/>
      <c r="M61" s="23"/>
      <c r="N61" s="23"/>
      <c r="O61" s="23"/>
      <c r="P61" s="23"/>
      <c r="Q61" s="915"/>
      <c r="AU61" s="25"/>
    </row>
    <row r="62" spans="1:56" ht="15" customHeight="1" x14ac:dyDescent="0.25">
      <c r="B62" s="2098"/>
      <c r="C62" s="2099"/>
      <c r="D62" s="548">
        <f t="shared" si="5"/>
        <v>2020</v>
      </c>
      <c r="E62" s="1986"/>
      <c r="F62" s="1986"/>
      <c r="G62" s="1012">
        <f t="shared" si="6"/>
        <v>3855</v>
      </c>
      <c r="H62" s="1013">
        <f>MROUND((MIN(H61,costPerKwInitial_c3*((G570/$G$560)^Costs!$B$34)*(IF(F570&lt;=FullScale,((F570/productionCostLevel)^scaleElasticity), ((FullScale/productionCostLevel)^scaleElasticity)))*((1-technologicalProgressRate)^(D62-Costs!$B$46)))), 10)</f>
        <v>2570</v>
      </c>
      <c r="I62" s="1002">
        <f t="shared" si="7"/>
        <v>0</v>
      </c>
      <c r="J62" s="789">
        <f t="array" ref="J62">IF(SUM($H$34:$H$39)=0,0,IF(F62&lt;&gt;"",F62,IF(E62&lt;&gt;"",E62/(I61/J61),IF(OR(OR(F$57:F61&lt;&gt;""),OR(E$57:E61&lt;&gt;"")),J61*H62/H61,H62))))</f>
        <v>0</v>
      </c>
      <c r="K62" s="23"/>
      <c r="L62" s="23"/>
      <c r="M62" s="23"/>
      <c r="N62" s="23"/>
      <c r="O62" s="23"/>
      <c r="P62" s="23"/>
      <c r="Q62" s="915"/>
      <c r="AU62" s="25"/>
    </row>
    <row r="63" spans="1:56" s="899" customFormat="1" ht="23.25" customHeight="1" x14ac:dyDescent="0.25">
      <c r="A63" s="23"/>
      <c r="B63" s="930"/>
      <c r="C63" s="384"/>
      <c r="D63" s="384"/>
      <c r="E63" s="384"/>
      <c r="F63" s="910"/>
      <c r="G63" s="384"/>
      <c r="H63" s="384"/>
      <c r="I63" s="384"/>
      <c r="J63" s="931"/>
      <c r="K63" s="23"/>
      <c r="L63" s="23"/>
      <c r="M63" s="23"/>
      <c r="N63" s="23"/>
      <c r="O63" s="23"/>
      <c r="P63" s="23"/>
      <c r="Q63" s="23"/>
      <c r="AU63" s="905"/>
    </row>
    <row r="64" spans="1:56" s="899" customFormat="1" ht="23.25" customHeight="1" x14ac:dyDescent="0.25">
      <c r="A64" s="23"/>
      <c r="B64" s="2093" t="str">
        <f>"Step 5 - Forklift Fuel Cell Shipping Expenses ($/Fuel Cell Unit)"</f>
        <v>Step 5 - Forklift Fuel Cell Shipping Expenses ($/Fuel Cell Unit)</v>
      </c>
      <c r="C64" s="2094"/>
      <c r="D64" s="2094"/>
      <c r="E64" s="2094"/>
      <c r="F64" s="2094"/>
      <c r="G64" s="2094"/>
      <c r="H64" s="2094"/>
      <c r="I64" s="2094"/>
      <c r="J64" s="2095"/>
      <c r="K64" s="23"/>
      <c r="L64" s="23"/>
      <c r="M64" s="23"/>
      <c r="N64" s="23"/>
      <c r="O64" s="23"/>
      <c r="P64" s="23"/>
      <c r="Q64" s="23"/>
      <c r="AU64" s="905"/>
    </row>
    <row r="65" spans="1:47" s="899" customFormat="1" ht="16.5" x14ac:dyDescent="0.25">
      <c r="A65" s="23"/>
      <c r="B65" s="2069" t="s">
        <v>2035</v>
      </c>
      <c r="C65" s="2070"/>
      <c r="D65" s="2071"/>
      <c r="E65" s="1273" t="str">
        <f>E$10</f>
        <v>User-specified value</v>
      </c>
      <c r="F65" s="1274" t="str">
        <f>F$10</f>
        <v>Default</v>
      </c>
      <c r="G65" s="340" t="s">
        <v>451</v>
      </c>
      <c r="H65" s="889"/>
      <c r="I65" s="890"/>
      <c r="J65" s="795" t="str">
        <f>J$10</f>
        <v>Value used in model</v>
      </c>
      <c r="K65" s="23"/>
      <c r="L65" s="23"/>
      <c r="M65" s="23"/>
      <c r="N65" s="23"/>
      <c r="O65" s="23"/>
      <c r="P65" s="23"/>
      <c r="Q65" s="23"/>
      <c r="AU65" s="905"/>
    </row>
    <row r="66" spans="1:47" s="899" customFormat="1" ht="23.25" customHeight="1" x14ac:dyDescent="0.25">
      <c r="A66" s="23"/>
      <c r="B66" s="954" t="s">
        <v>1888</v>
      </c>
      <c r="C66" s="291"/>
      <c r="D66" s="291"/>
      <c r="E66" s="1931"/>
      <c r="F66" s="292">
        <f>MROUND(G49*avgSize*D614, 50)</f>
        <v>850</v>
      </c>
      <c r="G66" s="2078" t="s">
        <v>2053</v>
      </c>
      <c r="H66" s="2079"/>
      <c r="I66" s="2080"/>
      <c r="J66" s="789">
        <f xml:space="preserve"> IF(AND(E66&lt;&gt;"",E66&gt;=0), E66, F66)</f>
        <v>850</v>
      </c>
      <c r="K66" s="23"/>
      <c r="L66" s="23"/>
      <c r="M66" s="23"/>
      <c r="N66" s="23"/>
      <c r="O66" s="23"/>
      <c r="P66" s="23"/>
      <c r="Q66" s="23"/>
      <c r="AU66" s="905"/>
    </row>
    <row r="67" spans="1:47" s="899" customFormat="1" ht="23.25" customHeight="1" x14ac:dyDescent="0.25">
      <c r="A67" s="23"/>
      <c r="B67" s="955" t="s">
        <v>1889</v>
      </c>
      <c r="C67" s="293"/>
      <c r="D67" s="293"/>
      <c r="E67" s="1931"/>
      <c r="F67" s="294">
        <f>MROUND(G57*avgSize_c3*D614, 50)</f>
        <v>350</v>
      </c>
      <c r="G67" s="2081"/>
      <c r="H67" s="2082"/>
      <c r="I67" s="2083"/>
      <c r="J67" s="789">
        <f xml:space="preserve"> IF(AND(E67&lt;&gt;"",E67&gt;=0),E67, F67)</f>
        <v>350</v>
      </c>
      <c r="K67" s="23"/>
      <c r="L67" s="23"/>
      <c r="M67" s="23"/>
      <c r="N67" s="23"/>
      <c r="O67" s="23"/>
      <c r="P67" s="23"/>
      <c r="Q67" s="23"/>
      <c r="AU67" s="905"/>
    </row>
    <row r="68" spans="1:47" s="899" customFormat="1" ht="23.25" customHeight="1" x14ac:dyDescent="0.25">
      <c r="A68" s="23"/>
      <c r="B68" s="921"/>
      <c r="C68" s="23"/>
      <c r="D68" s="23"/>
      <c r="E68" s="23"/>
      <c r="F68" s="1135"/>
      <c r="G68" s="23"/>
      <c r="H68" s="23"/>
      <c r="I68" s="23"/>
      <c r="J68" s="922"/>
      <c r="K68" s="23"/>
      <c r="L68" s="23"/>
      <c r="M68" s="23"/>
      <c r="N68" s="23"/>
      <c r="O68" s="23"/>
      <c r="P68" s="23"/>
      <c r="Q68" s="23"/>
      <c r="AU68" s="905"/>
    </row>
    <row r="69" spans="1:47" ht="18.75" x14ac:dyDescent="0.25">
      <c r="B69" s="2093" t="str">
        <f>"Step 6 - Forklift Fuel Cell Hydrogen Fueling Infrastructure Installation Expenses and Yearly Site Installations in "&amp;State</f>
        <v>Step 6 - Forklift Fuel Cell Hydrogen Fueling Infrastructure Installation Expenses and Yearly Site Installations in &lt;Please select&gt;</v>
      </c>
      <c r="C69" s="2094"/>
      <c r="D69" s="2094"/>
      <c r="E69" s="2094"/>
      <c r="F69" s="2094"/>
      <c r="G69" s="2094"/>
      <c r="H69" s="2094"/>
      <c r="I69" s="2094"/>
      <c r="J69" s="2095"/>
      <c r="K69" s="23"/>
      <c r="L69" s="23"/>
      <c r="M69" s="23"/>
      <c r="N69" s="23"/>
      <c r="O69" s="23"/>
      <c r="P69" s="23"/>
      <c r="Q69" s="915"/>
      <c r="AU69" s="25"/>
    </row>
    <row r="70" spans="1:47" ht="15" customHeight="1" x14ac:dyDescent="0.25">
      <c r="B70" s="935" t="str">
        <f>"If Forklift fuel cell units are being installed at EXISTING locations with hydrogen fueling infrastructure, please enter '0' in cell E"&amp;ROW(E75)</f>
        <v>If Forklift fuel cell units are being installed at EXISTING locations with hydrogen fueling infrastructure, please enter '0' in cell E75</v>
      </c>
      <c r="C70" s="357"/>
      <c r="D70" s="357"/>
      <c r="E70" s="357"/>
      <c r="F70" s="357"/>
      <c r="G70" s="357"/>
      <c r="H70" s="357"/>
      <c r="I70" s="357"/>
      <c r="J70" s="936"/>
      <c r="K70" s="23"/>
      <c r="L70" s="23"/>
      <c r="M70" s="23"/>
      <c r="N70" s="23"/>
      <c r="O70" s="23"/>
      <c r="P70" s="23"/>
      <c r="Q70" s="915"/>
      <c r="AU70" s="25"/>
    </row>
    <row r="71" spans="1:47" ht="33.75" customHeight="1" x14ac:dyDescent="0.25">
      <c r="B71" s="2090" t="s">
        <v>1991</v>
      </c>
      <c r="C71" s="2091"/>
      <c r="D71" s="2092"/>
      <c r="E71" s="1277" t="str">
        <f>E$10</f>
        <v>User-specified value</v>
      </c>
      <c r="F71" s="1278" t="str">
        <f>F$10</f>
        <v>Default</v>
      </c>
      <c r="G71" s="340" t="s">
        <v>451</v>
      </c>
      <c r="H71" s="351"/>
      <c r="I71" s="352"/>
      <c r="J71" s="1279" t="str">
        <f>J$10</f>
        <v>Value used in model</v>
      </c>
      <c r="K71" s="23"/>
      <c r="L71" s="23"/>
      <c r="M71" s="23"/>
      <c r="N71" s="23"/>
      <c r="O71" s="23"/>
      <c r="P71" s="23"/>
      <c r="Q71" s="915"/>
      <c r="AU71" s="25"/>
    </row>
    <row r="72" spans="1:47" ht="15" customHeight="1" x14ac:dyDescent="0.25">
      <c r="B72" s="938" t="s">
        <v>1783</v>
      </c>
      <c r="C72" s="391"/>
      <c r="D72" s="392"/>
      <c r="E72" s="1932"/>
      <c r="F72" s="331">
        <v>40000</v>
      </c>
      <c r="G72" s="2199" t="s">
        <v>2038</v>
      </c>
      <c r="H72" s="2200"/>
      <c r="I72" s="2201"/>
      <c r="J72" s="939">
        <f>IF(AND(E$75=0, E$75&lt;&gt;""),0,IF(E72="",F72,E72))</f>
        <v>40000</v>
      </c>
      <c r="K72" s="23"/>
      <c r="L72" s="23"/>
      <c r="M72" s="23"/>
      <c r="N72" s="23"/>
      <c r="O72" s="23"/>
      <c r="P72" s="23"/>
      <c r="Q72" s="915"/>
      <c r="AU72" s="25"/>
    </row>
    <row r="73" spans="1:47" ht="15" customHeight="1" x14ac:dyDescent="0.25">
      <c r="B73" s="938" t="s">
        <v>1558</v>
      </c>
      <c r="C73" s="391"/>
      <c r="D73" s="392"/>
      <c r="E73" s="1932"/>
      <c r="F73" s="331">
        <v>160000</v>
      </c>
      <c r="G73" s="2199"/>
      <c r="H73" s="2200"/>
      <c r="I73" s="2201"/>
      <c r="J73" s="939">
        <f>IF(AND(E$75=0, E$75&lt;&gt;""),0,IF(E73="",F73,E73))</f>
        <v>160000</v>
      </c>
      <c r="K73" s="23"/>
      <c r="L73" s="23"/>
      <c r="M73" s="23"/>
      <c r="N73" s="23"/>
      <c r="O73" s="23"/>
      <c r="P73" s="23"/>
      <c r="Q73" s="915"/>
      <c r="AU73" s="25"/>
    </row>
    <row r="74" spans="1:47" ht="15" customHeight="1" x14ac:dyDescent="0.25">
      <c r="B74" s="938" t="s">
        <v>2134</v>
      </c>
      <c r="C74" s="391"/>
      <c r="D74" s="392"/>
      <c r="E74" s="1932"/>
      <c r="F74" s="331">
        <v>300000</v>
      </c>
      <c r="G74" s="2199"/>
      <c r="H74" s="2200"/>
      <c r="I74" s="2201"/>
      <c r="J74" s="939">
        <f>IF(AND(E$75=0, E$75&lt;&gt;""),0,IF(E74="",F74,E74))</f>
        <v>300000</v>
      </c>
      <c r="K74" s="23"/>
      <c r="L74" s="23"/>
      <c r="M74" s="23"/>
      <c r="N74" s="23"/>
      <c r="O74" s="23"/>
      <c r="P74" s="23"/>
      <c r="Q74" s="915"/>
      <c r="AU74" s="25"/>
    </row>
    <row r="75" spans="1:47" ht="15" customHeight="1" x14ac:dyDescent="0.25">
      <c r="B75" s="940" t="s">
        <v>1992</v>
      </c>
      <c r="C75" s="327"/>
      <c r="D75" s="327"/>
      <c r="E75" s="1933"/>
      <c r="F75" s="331">
        <f>MROUND(MAX(900000, ((1000000/150)*(J79*J95*J96*J97+J80*J101*J102*J103))), 10000)</f>
        <v>900000</v>
      </c>
      <c r="G75" s="2199"/>
      <c r="H75" s="2200"/>
      <c r="I75" s="2201"/>
      <c r="J75" s="939">
        <f xml:space="preserve"> IF(E75&lt;&gt;"", E75,MROUND(MAX(900000, ((1000000/150)*(numOfLifts*J95*J96*J97+numOfLifts_c3*J101*J102*J103))), 10000))</f>
        <v>900000</v>
      </c>
      <c r="K75" s="23"/>
      <c r="L75" s="23"/>
      <c r="M75" s="23"/>
      <c r="N75" s="23"/>
      <c r="O75" s="23"/>
      <c r="P75" s="23"/>
      <c r="Q75" s="915"/>
      <c r="AU75" s="25"/>
    </row>
    <row r="76" spans="1:47" ht="15" customHeight="1" x14ac:dyDescent="0.25">
      <c r="B76" s="941" t="s">
        <v>2110</v>
      </c>
      <c r="C76" s="391"/>
      <c r="D76" s="392"/>
      <c r="E76" s="395" t="str">
        <f>E100</f>
        <v>Calculated value</v>
      </c>
      <c r="F76" s="1291">
        <f>SUM(F72:F75)</f>
        <v>1400000</v>
      </c>
      <c r="G76" s="2202"/>
      <c r="H76" s="2203"/>
      <c r="I76" s="2204"/>
      <c r="J76" s="1292">
        <f>SUM(J72:J75)</f>
        <v>1400000</v>
      </c>
      <c r="K76" s="23"/>
      <c r="L76" s="23"/>
      <c r="M76" s="23"/>
      <c r="N76" s="23"/>
      <c r="O76" s="23"/>
      <c r="P76" s="23"/>
      <c r="Q76" s="915"/>
      <c r="AU76" s="25"/>
    </row>
    <row r="77" spans="1:47" ht="32.25" customHeight="1" x14ac:dyDescent="0.25">
      <c r="B77" s="2111" t="s">
        <v>1895</v>
      </c>
      <c r="C77" s="2112"/>
      <c r="D77" s="2113"/>
      <c r="E77" s="2238" t="str">
        <f>Inf_forklift_def</f>
        <v>Use default Regional Infr. Site Installations</v>
      </c>
      <c r="F77" s="2239"/>
      <c r="G77" s="2259" t="s">
        <v>1999</v>
      </c>
      <c r="H77" s="2260"/>
      <c r="I77" s="2261"/>
      <c r="J77" s="942"/>
      <c r="K77" s="23"/>
      <c r="L77" s="23"/>
      <c r="M77" s="23"/>
      <c r="N77" s="23"/>
      <c r="O77" s="23"/>
      <c r="P77" s="23"/>
      <c r="Q77" s="915"/>
      <c r="AU77" s="25"/>
    </row>
    <row r="78" spans="1:47" ht="15" customHeight="1" x14ac:dyDescent="0.25">
      <c r="B78" s="2229" t="str">
        <f>Lists!E8</f>
        <v>Enter Average Fuel Cell Forklifts per site</v>
      </c>
      <c r="C78" s="2230"/>
      <c r="D78" s="2231"/>
      <c r="E78" s="1275" t="str">
        <f>E$10</f>
        <v>User-specified value</v>
      </c>
      <c r="F78" s="1276" t="str">
        <f>F$10</f>
        <v>Default</v>
      </c>
      <c r="G78" s="340" t="s">
        <v>451</v>
      </c>
      <c r="H78" s="351"/>
      <c r="I78" s="352"/>
      <c r="J78" s="937" t="str">
        <f>J$10</f>
        <v>Value used in model</v>
      </c>
      <c r="K78" s="23"/>
      <c r="L78" s="23"/>
      <c r="M78" s="23"/>
      <c r="N78" s="23"/>
      <c r="O78" s="23"/>
      <c r="P78" s="23"/>
      <c r="Q78" s="915"/>
      <c r="AU78" s="25"/>
    </row>
    <row r="79" spans="1:47" ht="15" customHeight="1" x14ac:dyDescent="0.25">
      <c r="B79" s="943" t="s">
        <v>1526</v>
      </c>
      <c r="C79" s="328"/>
      <c r="D79" s="328"/>
      <c r="E79" s="1934"/>
      <c r="F79" s="550">
        <f>IF(AND(H580=0,H590=0), 20, ROUND(((G580/(G580+G590))*60), 0))</f>
        <v>20</v>
      </c>
      <c r="G79" s="2240" t="s">
        <v>1586</v>
      </c>
      <c r="H79" s="2241"/>
      <c r="I79" s="2242"/>
      <c r="J79" s="944">
        <f t="array" ref="J79">IF(E77=Lists!E7, F79, IF(AND(E77=Lists!E8, E79&lt;&gt;""), E79, IF(AND(E77=Lists!E9, OR(E83:E88&lt;&gt;"")),(G580/SUM(E83:E88)), F79)))</f>
        <v>20</v>
      </c>
      <c r="K79" s="23"/>
      <c r="L79" s="23"/>
      <c r="M79" s="23"/>
      <c r="N79" s="23"/>
      <c r="O79" s="23"/>
      <c r="P79" s="23"/>
      <c r="Q79" s="915"/>
      <c r="AU79" s="25"/>
    </row>
    <row r="80" spans="1:47" ht="15.75" x14ac:dyDescent="0.25">
      <c r="B80" s="945" t="s">
        <v>1527</v>
      </c>
      <c r="C80" s="329"/>
      <c r="D80" s="329"/>
      <c r="E80" s="1934"/>
      <c r="F80" s="551">
        <f>ROUND((60-F79), 0)</f>
        <v>40</v>
      </c>
      <c r="G80" s="2243"/>
      <c r="H80" s="2244"/>
      <c r="I80" s="2245"/>
      <c r="J80" s="944">
        <f t="array" ref="J80">IF(E77=Lists!E7, F80, IF(AND(E77=Lists!E8, E80&lt;&gt;""), E80, IF(AND(E77=Lists!E9, OR(E83:E88&lt;&gt;"")),(G590/SUM(E83:E88)), F80)))</f>
        <v>40</v>
      </c>
      <c r="K80" s="23"/>
      <c r="L80" s="23"/>
      <c r="M80" s="23"/>
      <c r="N80" s="23"/>
      <c r="O80" s="23"/>
      <c r="P80" s="23"/>
      <c r="Q80" s="915"/>
      <c r="AU80" s="25"/>
    </row>
    <row r="81" spans="1:56" ht="16.5" x14ac:dyDescent="0.25">
      <c r="B81" s="2106" t="str">
        <f>Lists!E9</f>
        <v>Enter Additional Regional Infr. sites by year</v>
      </c>
      <c r="C81" s="2107"/>
      <c r="D81" s="2107"/>
      <c r="E81" s="780" t="s">
        <v>1785</v>
      </c>
      <c r="F81" s="362"/>
      <c r="G81" s="362"/>
      <c r="H81" s="362"/>
      <c r="I81" s="362"/>
      <c r="J81" s="946"/>
      <c r="K81" s="23"/>
      <c r="L81" s="23"/>
      <c r="M81" s="23"/>
      <c r="N81" s="23"/>
      <c r="O81" s="23"/>
      <c r="P81" s="23"/>
      <c r="Q81" s="915"/>
      <c r="U81" s="5"/>
      <c r="V81" s="5"/>
      <c r="W81" s="5"/>
      <c r="X81" s="5"/>
      <c r="Y81" s="5"/>
      <c r="AU81" s="25"/>
    </row>
    <row r="82" spans="1:56" ht="15.75" customHeight="1" x14ac:dyDescent="0.25">
      <c r="B82" s="2232" t="s">
        <v>1786</v>
      </c>
      <c r="C82" s="2233"/>
      <c r="D82" s="332" t="s">
        <v>433</v>
      </c>
      <c r="E82" s="1275" t="str">
        <f>E$10</f>
        <v>User-specified value</v>
      </c>
      <c r="F82" s="1276" t="str">
        <f>F$10</f>
        <v>Default</v>
      </c>
      <c r="G82" s="340" t="s">
        <v>451</v>
      </c>
      <c r="H82" s="886"/>
      <c r="I82" s="887"/>
      <c r="J82" s="937" t="str">
        <f>J$10</f>
        <v>Value used in model</v>
      </c>
      <c r="K82" s="23"/>
      <c r="L82" s="23"/>
      <c r="M82" s="23"/>
      <c r="N82" s="23"/>
      <c r="O82" s="23"/>
      <c r="P82" s="23"/>
      <c r="Q82" s="915"/>
      <c r="T82" s="18"/>
      <c r="U82" s="18"/>
      <c r="V82" s="18"/>
      <c r="W82" s="18"/>
      <c r="X82" s="18"/>
      <c r="Y82" s="18"/>
      <c r="AU82" s="25"/>
    </row>
    <row r="83" spans="1:56" ht="15.75" customHeight="1" x14ac:dyDescent="0.25">
      <c r="B83" s="2234"/>
      <c r="C83" s="2235"/>
      <c r="D83" s="336">
        <f t="shared" ref="D83:D88" si="8">D57</f>
        <v>2015</v>
      </c>
      <c r="E83" s="1935"/>
      <c r="F83" s="549">
        <f t="shared" ref="F83:F88" si="9">IF(AND((F575+F585)&lt;&gt;0, (F575+F585)&lt;(F$79+F$80)), 1,ROUNDDOWN(((F575+F585)/(F$79+F$80)), 0))</f>
        <v>0</v>
      </c>
      <c r="G83" s="2015" t="s">
        <v>1891</v>
      </c>
      <c r="H83" s="2016"/>
      <c r="I83" s="2017"/>
      <c r="J83" s="944">
        <f t="shared" ref="J83:J88" si="10">IF(AND(E$75=0,E$75&lt;&gt;""),0,IF(E83&lt;&gt;"",E83,IF(AND((F575+F585)&lt;&gt;0,(F575+F585)&lt;(numOfLifts+numOfLifts_c3)),1,ROUNDDOWN((F575+F585)/(numOfLifts+numOfLifts_c3),0))))</f>
        <v>0</v>
      </c>
      <c r="K83" s="23"/>
      <c r="L83" s="23"/>
      <c r="M83" s="23"/>
      <c r="N83" s="23"/>
      <c r="O83" s="23"/>
      <c r="P83" s="23"/>
      <c r="Q83" s="915"/>
      <c r="T83" s="18"/>
      <c r="U83" s="18"/>
      <c r="V83" s="18"/>
      <c r="W83" s="18"/>
      <c r="X83" s="18"/>
      <c r="Y83" s="18"/>
      <c r="AU83" s="25"/>
    </row>
    <row r="84" spans="1:56" ht="15.75" customHeight="1" x14ac:dyDescent="0.25">
      <c r="B84" s="2234"/>
      <c r="C84" s="2235"/>
      <c r="D84" s="336">
        <f t="shared" si="8"/>
        <v>2016</v>
      </c>
      <c r="E84" s="1935"/>
      <c r="F84" s="549">
        <f t="shared" si="9"/>
        <v>0</v>
      </c>
      <c r="G84" s="2018"/>
      <c r="H84" s="2005"/>
      <c r="I84" s="2019"/>
      <c r="J84" s="944">
        <f t="shared" si="10"/>
        <v>0</v>
      </c>
      <c r="K84" s="23"/>
      <c r="L84" s="23"/>
      <c r="M84" s="23"/>
      <c r="N84" s="23"/>
      <c r="O84" s="23"/>
      <c r="P84" s="23"/>
      <c r="Q84" s="915"/>
      <c r="AU84" s="25"/>
    </row>
    <row r="85" spans="1:56" ht="15.75" customHeight="1" x14ac:dyDescent="0.25">
      <c r="B85" s="2234"/>
      <c r="C85" s="2235"/>
      <c r="D85" s="336">
        <f t="shared" si="8"/>
        <v>2017</v>
      </c>
      <c r="E85" s="1935"/>
      <c r="F85" s="549">
        <f t="shared" si="9"/>
        <v>0</v>
      </c>
      <c r="G85" s="2018"/>
      <c r="H85" s="2005"/>
      <c r="I85" s="2019"/>
      <c r="J85" s="944">
        <f t="shared" si="10"/>
        <v>0</v>
      </c>
      <c r="K85" s="23"/>
      <c r="L85" s="23"/>
      <c r="M85" s="23"/>
      <c r="N85" s="23"/>
      <c r="O85" s="23"/>
      <c r="P85" s="23"/>
      <c r="Q85" s="915"/>
      <c r="AU85" s="25"/>
    </row>
    <row r="86" spans="1:56" ht="15.75" customHeight="1" x14ac:dyDescent="0.25">
      <c r="B86" s="2234"/>
      <c r="C86" s="2235"/>
      <c r="D86" s="336">
        <f t="shared" si="8"/>
        <v>2018</v>
      </c>
      <c r="E86" s="1935"/>
      <c r="F86" s="549">
        <f t="shared" si="9"/>
        <v>0</v>
      </c>
      <c r="G86" s="2018"/>
      <c r="H86" s="2005"/>
      <c r="I86" s="2019"/>
      <c r="J86" s="944">
        <f t="shared" si="10"/>
        <v>0</v>
      </c>
      <c r="K86" s="23"/>
      <c r="L86" s="23"/>
      <c r="M86" s="23"/>
      <c r="N86" s="23"/>
      <c r="O86" s="23"/>
      <c r="P86" s="23"/>
      <c r="Q86" s="915"/>
      <c r="AU86" s="25"/>
    </row>
    <row r="87" spans="1:56" ht="15.75" x14ac:dyDescent="0.25">
      <c r="B87" s="2234"/>
      <c r="C87" s="2235"/>
      <c r="D87" s="336">
        <f t="shared" si="8"/>
        <v>2019</v>
      </c>
      <c r="E87" s="1935"/>
      <c r="F87" s="549">
        <f t="shared" si="9"/>
        <v>0</v>
      </c>
      <c r="G87" s="2018"/>
      <c r="H87" s="2005"/>
      <c r="I87" s="2019"/>
      <c r="J87" s="944">
        <f t="shared" si="10"/>
        <v>0</v>
      </c>
      <c r="K87" s="23"/>
      <c r="L87" s="23"/>
      <c r="M87" s="23"/>
      <c r="N87" s="23"/>
      <c r="O87" s="23"/>
      <c r="P87" s="23"/>
      <c r="Q87" s="915"/>
      <c r="T87" s="3"/>
    </row>
    <row r="88" spans="1:56" ht="15.75" x14ac:dyDescent="0.25">
      <c r="B88" s="2236"/>
      <c r="C88" s="2237"/>
      <c r="D88" s="336">
        <f t="shared" si="8"/>
        <v>2020</v>
      </c>
      <c r="E88" s="1935"/>
      <c r="F88" s="549">
        <f t="shared" si="9"/>
        <v>0</v>
      </c>
      <c r="G88" s="2197"/>
      <c r="H88" s="2008"/>
      <c r="I88" s="2198"/>
      <c r="J88" s="944">
        <f t="shared" si="10"/>
        <v>0</v>
      </c>
      <c r="K88" s="23"/>
      <c r="L88" s="23"/>
      <c r="M88" s="23"/>
      <c r="N88" s="23"/>
      <c r="O88" s="23"/>
      <c r="P88" s="23"/>
      <c r="Q88" s="915"/>
      <c r="T88" s="3"/>
    </row>
    <row r="89" spans="1:56" s="899" customFormat="1" ht="28.5" customHeight="1" x14ac:dyDescent="0.25">
      <c r="A89" s="23"/>
      <c r="B89" s="947"/>
      <c r="C89" s="911"/>
      <c r="D89" s="384"/>
      <c r="E89" s="384"/>
      <c r="F89" s="384"/>
      <c r="G89" s="384"/>
      <c r="H89" s="384"/>
      <c r="I89" s="384"/>
      <c r="J89" s="948"/>
      <c r="K89" s="23"/>
      <c r="L89" s="23"/>
      <c r="M89" s="23"/>
      <c r="N89" s="23"/>
      <c r="O89" s="23"/>
      <c r="P89" s="23"/>
      <c r="Q89" s="23"/>
      <c r="S89" s="912"/>
    </row>
    <row r="90" spans="1:56" ht="18.75" x14ac:dyDescent="0.25">
      <c r="B90" s="2093" t="str">
        <f>"Step 7 - Hydrogen Fuel Expenses for Forklift Fuel Cells Operating in "&amp;State</f>
        <v>Step 7 - Hydrogen Fuel Expenses for Forklift Fuel Cells Operating in &lt;Please select&gt;</v>
      </c>
      <c r="C90" s="2094"/>
      <c r="D90" s="2094"/>
      <c r="E90" s="2094"/>
      <c r="F90" s="2094"/>
      <c r="G90" s="2094"/>
      <c r="H90" s="2094"/>
      <c r="I90" s="2094"/>
      <c r="J90" s="2095"/>
      <c r="K90" s="23"/>
      <c r="L90" s="23"/>
      <c r="M90" s="23"/>
      <c r="N90" s="23"/>
      <c r="O90" s="23"/>
      <c r="P90" s="23"/>
      <c r="Q90" s="915"/>
      <c r="S90" s="9"/>
      <c r="T90" s="3"/>
    </row>
    <row r="91" spans="1:56" ht="15.75" customHeight="1" x14ac:dyDescent="0.25">
      <c r="B91" s="2114" t="s">
        <v>1471</v>
      </c>
      <c r="C91" s="2115"/>
      <c r="D91" s="2116"/>
      <c r="E91" s="1277" t="str">
        <f>E$10</f>
        <v>User-specified value</v>
      </c>
      <c r="F91" s="1278" t="str">
        <f>F$10</f>
        <v>Default</v>
      </c>
      <c r="G91" s="340" t="s">
        <v>451</v>
      </c>
      <c r="H91" s="888"/>
      <c r="I91" s="339"/>
      <c r="J91" s="949" t="str">
        <f>J$10</f>
        <v>Value used in model</v>
      </c>
      <c r="K91" s="23"/>
      <c r="L91" s="23"/>
      <c r="M91" s="23"/>
      <c r="N91" s="23"/>
      <c r="O91" s="23"/>
      <c r="P91" s="23"/>
      <c r="Q91" s="915"/>
      <c r="S91" s="9"/>
      <c r="T91" s="3"/>
    </row>
    <row r="92" spans="1:56" ht="15.75" customHeight="1" x14ac:dyDescent="0.25">
      <c r="B92" s="950" t="s">
        <v>1968</v>
      </c>
      <c r="C92" s="295"/>
      <c r="D92" s="295"/>
      <c r="E92" s="1936"/>
      <c r="F92" s="361">
        <v>3</v>
      </c>
      <c r="G92" s="2108" t="s">
        <v>2039</v>
      </c>
      <c r="H92" s="2109"/>
      <c r="I92" s="2110"/>
      <c r="J92" s="793">
        <f xml:space="preserve"> IF(E92="", F92,E92)</f>
        <v>3</v>
      </c>
      <c r="K92" s="23"/>
      <c r="L92" s="23"/>
      <c r="M92" s="23"/>
      <c r="N92" s="23"/>
      <c r="O92" s="23"/>
      <c r="P92" s="23"/>
      <c r="Q92" s="915"/>
      <c r="S92" s="9"/>
      <c r="T92" s="3"/>
    </row>
    <row r="93" spans="1:56" ht="15.75" customHeight="1" x14ac:dyDescent="0.25">
      <c r="B93" s="950" t="s">
        <v>1969</v>
      </c>
      <c r="C93" s="295"/>
      <c r="D93" s="295"/>
      <c r="E93" s="1936"/>
      <c r="F93" s="361">
        <v>5.5</v>
      </c>
      <c r="G93" s="2081"/>
      <c r="H93" s="2082"/>
      <c r="I93" s="2083"/>
      <c r="J93" s="793">
        <f>IF(AND(E93&lt;&gt;"",E93&gt;=J92),E93,IF(AND(E93&lt;&gt;"",E93&lt;J92),J92,J92+F93-F92))</f>
        <v>5.5</v>
      </c>
      <c r="K93" s="23"/>
      <c r="L93" s="23"/>
      <c r="M93" s="23"/>
      <c r="N93" s="23"/>
      <c r="O93" s="23"/>
      <c r="P93" s="23"/>
      <c r="Q93" s="915"/>
      <c r="S93" s="9"/>
      <c r="T93" s="3"/>
    </row>
    <row r="94" spans="1:56" ht="15" customHeight="1" x14ac:dyDescent="0.25">
      <c r="B94" s="2262" t="s">
        <v>1894</v>
      </c>
      <c r="C94" s="2263"/>
      <c r="D94" s="2264"/>
      <c r="E94" s="1277" t="str">
        <f>E$10</f>
        <v>User-specified value</v>
      </c>
      <c r="F94" s="1278" t="str">
        <f>F$10</f>
        <v>Default</v>
      </c>
      <c r="G94" s="340" t="s">
        <v>451</v>
      </c>
      <c r="H94" s="888"/>
      <c r="I94" s="339"/>
      <c r="J94" s="949" t="str">
        <f>J$10</f>
        <v>Value used in model</v>
      </c>
      <c r="K94" s="23"/>
      <c r="L94" s="23"/>
      <c r="M94" s="23"/>
      <c r="N94" s="23"/>
      <c r="O94" s="23"/>
      <c r="P94" s="23"/>
      <c r="Q94" s="915"/>
      <c r="S94" s="9"/>
      <c r="T94" s="3"/>
    </row>
    <row r="95" spans="1:56" ht="15.75" customHeight="1" x14ac:dyDescent="0.25">
      <c r="B95" s="2280" t="s">
        <v>1469</v>
      </c>
      <c r="C95" s="892" t="s">
        <v>1674</v>
      </c>
      <c r="D95" s="893"/>
      <c r="E95" s="1937"/>
      <c r="F95" s="334">
        <f>(avgSize/10)*0.25</f>
        <v>0.25</v>
      </c>
      <c r="G95" s="2078" t="s">
        <v>2087</v>
      </c>
      <c r="H95" s="2079"/>
      <c r="I95" s="2080"/>
      <c r="J95" s="951">
        <f t="shared" ref="J95:J105" si="11" xml:space="preserve"> IF(E95="", F95,E95)</f>
        <v>0.25</v>
      </c>
      <c r="K95" s="23"/>
      <c r="L95" s="23"/>
      <c r="M95" s="23"/>
      <c r="N95" s="23"/>
      <c r="O95" s="23"/>
      <c r="P95" s="23"/>
      <c r="Q95" s="915"/>
      <c r="T95" s="3"/>
    </row>
    <row r="96" spans="1:56" ht="15" customHeight="1" x14ac:dyDescent="0.25">
      <c r="B96" s="2281"/>
      <c r="C96" s="892" t="s">
        <v>1549</v>
      </c>
      <c r="D96" s="893"/>
      <c r="E96" s="1938"/>
      <c r="F96" s="545">
        <v>4</v>
      </c>
      <c r="G96" s="2108"/>
      <c r="H96" s="2109"/>
      <c r="I96" s="2110"/>
      <c r="J96" s="794">
        <f t="shared" si="11"/>
        <v>4</v>
      </c>
      <c r="K96" s="23"/>
      <c r="L96" s="23"/>
      <c r="M96" s="23"/>
      <c r="N96" s="23"/>
      <c r="O96" s="23"/>
      <c r="P96" s="23"/>
      <c r="Q96" s="915"/>
      <c r="AV96" s="8"/>
      <c r="BD96" s="8"/>
    </row>
    <row r="97" spans="1:56" ht="16.149999999999999" customHeight="1" x14ac:dyDescent="0.25">
      <c r="B97" s="2281"/>
      <c r="C97" s="892" t="s">
        <v>453</v>
      </c>
      <c r="D97" s="893"/>
      <c r="E97" s="1938"/>
      <c r="F97" s="545">
        <v>2</v>
      </c>
      <c r="G97" s="2108"/>
      <c r="H97" s="2109"/>
      <c r="I97" s="2110"/>
      <c r="J97" s="794">
        <f t="shared" si="11"/>
        <v>2</v>
      </c>
      <c r="K97" s="23"/>
      <c r="L97" s="23"/>
      <c r="M97" s="23"/>
      <c r="N97" s="23"/>
      <c r="O97" s="23"/>
      <c r="P97" s="23"/>
      <c r="Q97" s="915"/>
      <c r="AV97" s="8"/>
      <c r="BD97" s="8"/>
    </row>
    <row r="98" spans="1:56" ht="16.149999999999999" customHeight="1" x14ac:dyDescent="0.25">
      <c r="B98" s="2281"/>
      <c r="C98" s="892" t="s">
        <v>427</v>
      </c>
      <c r="D98" s="894"/>
      <c r="E98" s="1938"/>
      <c r="F98" s="545">
        <v>6</v>
      </c>
      <c r="G98" s="2108"/>
      <c r="H98" s="2109"/>
      <c r="I98" s="2110"/>
      <c r="J98" s="794">
        <f t="shared" si="11"/>
        <v>6</v>
      </c>
      <c r="K98" s="23"/>
      <c r="L98" s="23"/>
      <c r="M98" s="23"/>
      <c r="N98" s="23"/>
      <c r="O98" s="23"/>
      <c r="P98" s="23"/>
      <c r="Q98" s="915"/>
    </row>
    <row r="99" spans="1:56" ht="16.149999999999999" customHeight="1" x14ac:dyDescent="0.25">
      <c r="B99" s="2281"/>
      <c r="C99" s="892" t="s">
        <v>431</v>
      </c>
      <c r="D99" s="894"/>
      <c r="E99" s="1939"/>
      <c r="F99" s="545">
        <v>52</v>
      </c>
      <c r="G99" s="2108"/>
      <c r="H99" s="2109"/>
      <c r="I99" s="2110"/>
      <c r="J99" s="794">
        <f t="shared" si="11"/>
        <v>52</v>
      </c>
      <c r="K99" s="23"/>
      <c r="L99" s="23"/>
      <c r="M99" s="23"/>
      <c r="N99" s="23"/>
      <c r="O99" s="23"/>
      <c r="P99" s="23"/>
      <c r="Q99" s="915"/>
    </row>
    <row r="100" spans="1:56" ht="16.149999999999999" customHeight="1" x14ac:dyDescent="0.25">
      <c r="B100" s="952" t="s">
        <v>2072</v>
      </c>
      <c r="C100" s="892"/>
      <c r="D100" s="893"/>
      <c r="E100" s="394" t="s">
        <v>1557</v>
      </c>
      <c r="F100" s="1288">
        <f>MROUND(F93*F95*F96*F97*F98*F99, 10)</f>
        <v>3430</v>
      </c>
      <c r="G100" s="2108"/>
      <c r="H100" s="2109"/>
      <c r="I100" s="2110"/>
      <c r="J100" s="1290">
        <f>MROUND(J93*J95*J96*J97*J98*J99,10)</f>
        <v>3430</v>
      </c>
      <c r="K100" s="23"/>
      <c r="L100" s="23"/>
      <c r="M100" s="23"/>
      <c r="N100" s="23"/>
      <c r="O100" s="23"/>
      <c r="P100" s="23"/>
      <c r="Q100" s="915"/>
    </row>
    <row r="101" spans="1:56" ht="15.75" customHeight="1" x14ac:dyDescent="0.25">
      <c r="B101" s="2277" t="s">
        <v>1470</v>
      </c>
      <c r="C101" s="895" t="str">
        <f>C95</f>
        <v>H2 per operating hour (kg/hour/FC unit)</v>
      </c>
      <c r="D101" s="896"/>
      <c r="E101" s="1937"/>
      <c r="F101" s="389">
        <f>(avgSize_c3/3)*0.035</f>
        <v>2.3333333333333334E-2</v>
      </c>
      <c r="G101" s="2108"/>
      <c r="H101" s="2109"/>
      <c r="I101" s="2110"/>
      <c r="J101" s="951">
        <f t="shared" si="11"/>
        <v>2.3333333333333334E-2</v>
      </c>
      <c r="K101" s="23"/>
      <c r="L101" s="23"/>
      <c r="M101" s="23"/>
      <c r="N101" s="23"/>
      <c r="O101" s="23"/>
      <c r="P101" s="23"/>
      <c r="Q101" s="915"/>
    </row>
    <row r="102" spans="1:56" ht="15.75" customHeight="1" x14ac:dyDescent="0.25">
      <c r="B102" s="2278"/>
      <c r="C102" s="895" t="str">
        <f>C96</f>
        <v>Operating hours per shift</v>
      </c>
      <c r="D102" s="896"/>
      <c r="E102" s="1938"/>
      <c r="F102" s="546">
        <v>4</v>
      </c>
      <c r="G102" s="2108"/>
      <c r="H102" s="2109"/>
      <c r="I102" s="2110"/>
      <c r="J102" s="794">
        <f t="shared" si="11"/>
        <v>4</v>
      </c>
      <c r="K102" s="23"/>
      <c r="L102" s="23"/>
      <c r="M102" s="23"/>
      <c r="N102" s="23"/>
      <c r="O102" s="23"/>
      <c r="P102" s="23"/>
      <c r="Q102" s="915"/>
    </row>
    <row r="103" spans="1:56" ht="15.75" customHeight="1" x14ac:dyDescent="0.25">
      <c r="B103" s="2278"/>
      <c r="C103" s="895" t="str">
        <f>C97</f>
        <v>Shifts per day</v>
      </c>
      <c r="D103" s="896"/>
      <c r="E103" s="1938"/>
      <c r="F103" s="546">
        <v>2</v>
      </c>
      <c r="G103" s="2108"/>
      <c r="H103" s="2109"/>
      <c r="I103" s="2110"/>
      <c r="J103" s="794">
        <f t="shared" si="11"/>
        <v>2</v>
      </c>
      <c r="K103" s="23"/>
      <c r="L103" s="23"/>
      <c r="M103" s="23"/>
      <c r="N103" s="23"/>
      <c r="O103" s="23"/>
      <c r="P103" s="23"/>
      <c r="Q103" s="915"/>
    </row>
    <row r="104" spans="1:56" ht="16.149999999999999" customHeight="1" x14ac:dyDescent="0.25">
      <c r="B104" s="2278"/>
      <c r="C104" s="895" t="str">
        <f>C98</f>
        <v>Days per week</v>
      </c>
      <c r="D104" s="896"/>
      <c r="E104" s="1938"/>
      <c r="F104" s="546">
        <f>F98</f>
        <v>6</v>
      </c>
      <c r="G104" s="2108"/>
      <c r="H104" s="2109"/>
      <c r="I104" s="2110"/>
      <c r="J104" s="794">
        <f t="shared" si="11"/>
        <v>6</v>
      </c>
      <c r="K104" s="23"/>
      <c r="L104" s="23"/>
      <c r="M104" s="23"/>
      <c r="N104" s="23"/>
      <c r="O104" s="23"/>
      <c r="P104" s="23"/>
      <c r="Q104" s="915"/>
    </row>
    <row r="105" spans="1:56" ht="16.149999999999999" customHeight="1" x14ac:dyDescent="0.25">
      <c r="B105" s="2279"/>
      <c r="C105" s="895" t="str">
        <f>C99</f>
        <v>Weeks per year</v>
      </c>
      <c r="D105" s="896"/>
      <c r="E105" s="1939"/>
      <c r="F105" s="335">
        <f>F99</f>
        <v>52</v>
      </c>
      <c r="G105" s="2108"/>
      <c r="H105" s="2109"/>
      <c r="I105" s="2110"/>
      <c r="J105" s="794">
        <f t="shared" si="11"/>
        <v>52</v>
      </c>
      <c r="K105" s="23"/>
      <c r="L105" s="23"/>
      <c r="M105" s="23"/>
      <c r="N105" s="23"/>
      <c r="O105" s="23"/>
      <c r="P105" s="23"/>
      <c r="Q105" s="915"/>
    </row>
    <row r="106" spans="1:56" ht="15.75" x14ac:dyDescent="0.25">
      <c r="B106" s="953" t="s">
        <v>2071</v>
      </c>
      <c r="C106" s="897"/>
      <c r="D106" s="896"/>
      <c r="E106" s="393" t="s">
        <v>1557</v>
      </c>
      <c r="F106" s="1289">
        <f>MROUND(F93*F101*F102*F103*F104*F105,10)</f>
        <v>320</v>
      </c>
      <c r="G106" s="2081"/>
      <c r="H106" s="2082"/>
      <c r="I106" s="2083"/>
      <c r="J106" s="1290">
        <f>MROUND(J93*J101*J102*J103*J104*J105, 10)</f>
        <v>320</v>
      </c>
      <c r="K106" s="23"/>
      <c r="L106" s="23"/>
      <c r="M106" s="23"/>
      <c r="N106" s="23"/>
      <c r="O106" s="23"/>
      <c r="P106" s="23"/>
      <c r="Q106" s="915"/>
    </row>
    <row r="107" spans="1:56" s="899" customFormat="1" ht="25.5" customHeight="1" x14ac:dyDescent="0.25">
      <c r="A107" s="23"/>
      <c r="B107" s="930"/>
      <c r="C107" s="384"/>
      <c r="D107" s="384"/>
      <c r="E107" s="384"/>
      <c r="F107" s="384"/>
      <c r="G107" s="384"/>
      <c r="H107" s="384"/>
      <c r="I107" s="384"/>
      <c r="J107" s="931"/>
      <c r="K107" s="23"/>
      <c r="L107" s="23"/>
      <c r="M107" s="23"/>
      <c r="N107" s="23"/>
      <c r="O107" s="23"/>
      <c r="P107" s="23"/>
      <c r="Q107" s="23"/>
    </row>
    <row r="108" spans="1:56" ht="18.75" x14ac:dyDescent="0.25">
      <c r="B108" s="2265" t="str">
        <f>"Step 8 - Forklift Fuel Cell and Hydrogen Fueling Infrastructure Maintenance Expenses for Units and Sites Operating in "&amp;State</f>
        <v>Step 8 - Forklift Fuel Cell and Hydrogen Fueling Infrastructure Maintenance Expenses for Units and Sites Operating in &lt;Please select&gt;</v>
      </c>
      <c r="C108" s="2266"/>
      <c r="D108" s="2266"/>
      <c r="E108" s="2266"/>
      <c r="F108" s="2266"/>
      <c r="G108" s="2266"/>
      <c r="H108" s="2266"/>
      <c r="I108" s="2266"/>
      <c r="J108" s="2267"/>
      <c r="K108" s="23"/>
      <c r="L108" s="23"/>
      <c r="M108" s="23"/>
      <c r="N108" s="23"/>
      <c r="O108" s="23"/>
      <c r="P108" s="23"/>
      <c r="Q108" s="915"/>
    </row>
    <row r="109" spans="1:56" ht="29.25" customHeight="1" x14ac:dyDescent="0.25">
      <c r="B109" s="2069" t="s">
        <v>1780</v>
      </c>
      <c r="C109" s="2070"/>
      <c r="D109" s="2071"/>
      <c r="E109" s="1280" t="str">
        <f>E$10</f>
        <v>User-specified value</v>
      </c>
      <c r="F109" s="1281" t="str">
        <f>F$10</f>
        <v>Default</v>
      </c>
      <c r="G109" s="340" t="s">
        <v>451</v>
      </c>
      <c r="H109" s="889"/>
      <c r="I109" s="890"/>
      <c r="J109" s="1165" t="str">
        <f>J$10</f>
        <v>Value used in model</v>
      </c>
      <c r="K109" s="918"/>
      <c r="L109" s="23"/>
      <c r="M109" s="23"/>
      <c r="N109" s="23"/>
      <c r="O109" s="23"/>
      <c r="P109" s="23"/>
      <c r="Q109" s="915"/>
    </row>
    <row r="110" spans="1:56" ht="15.75" x14ac:dyDescent="0.25">
      <c r="B110" s="954" t="s">
        <v>1781</v>
      </c>
      <c r="C110" s="291"/>
      <c r="D110" s="291"/>
      <c r="E110" s="1931"/>
      <c r="F110" s="292">
        <f>MROUND(0.65*J96*J97*J98*J99,100)</f>
        <v>1600</v>
      </c>
      <c r="G110" s="2078" t="s">
        <v>1892</v>
      </c>
      <c r="H110" s="2079"/>
      <c r="I110" s="2080"/>
      <c r="J110" s="789">
        <f xml:space="preserve"> IF(E110&lt;&gt;"",E110, MROUND(0.65*J96*J97*J98*J99,100))</f>
        <v>1600</v>
      </c>
      <c r="K110" s="918"/>
      <c r="L110" s="23"/>
      <c r="M110" s="23"/>
      <c r="N110" s="23"/>
      <c r="O110" s="23"/>
      <c r="P110" s="23"/>
      <c r="Q110" s="915"/>
    </row>
    <row r="111" spans="1:56" ht="16.5" customHeight="1" x14ac:dyDescent="0.25">
      <c r="B111" s="955" t="s">
        <v>1782</v>
      </c>
      <c r="C111" s="293"/>
      <c r="D111" s="293"/>
      <c r="E111" s="1931"/>
      <c r="F111" s="294">
        <f>MROUND(0.5*J102*J103*J104*J105, 100)</f>
        <v>1200</v>
      </c>
      <c r="G111" s="2081"/>
      <c r="H111" s="2082"/>
      <c r="I111" s="2083"/>
      <c r="J111" s="956">
        <f xml:space="preserve"> IF(E111&lt;&gt;"",E111,MROUND(0.5*J102*J103*J104*J105, 100))</f>
        <v>1200</v>
      </c>
      <c r="K111" s="918"/>
      <c r="L111" s="23"/>
      <c r="M111" s="23"/>
      <c r="N111" s="23"/>
      <c r="O111" s="23"/>
      <c r="P111" s="23"/>
      <c r="Q111" s="915"/>
    </row>
    <row r="112" spans="1:56" ht="32.25" customHeight="1" x14ac:dyDescent="0.25">
      <c r="B112" s="2012" t="s">
        <v>2001</v>
      </c>
      <c r="C112" s="2013"/>
      <c r="D112" s="2014"/>
      <c r="E112" s="1280" t="str">
        <f>E$10</f>
        <v>User-specified value</v>
      </c>
      <c r="F112" s="1281" t="str">
        <f>F$10</f>
        <v>Default</v>
      </c>
      <c r="G112" s="340" t="s">
        <v>451</v>
      </c>
      <c r="H112" s="889"/>
      <c r="I112" s="890"/>
      <c r="J112" s="1165" t="str">
        <f>J$10</f>
        <v>Value used in model</v>
      </c>
      <c r="K112" s="918"/>
      <c r="L112" s="23"/>
      <c r="M112" s="23"/>
      <c r="N112" s="23"/>
      <c r="O112" s="23"/>
      <c r="P112" s="23"/>
      <c r="Q112" s="915"/>
    </row>
    <row r="113" spans="1:20" ht="51.75" customHeight="1" x14ac:dyDescent="0.25">
      <c r="B113" s="2087" t="s">
        <v>2000</v>
      </c>
      <c r="C113" s="2088"/>
      <c r="D113" s="2089"/>
      <c r="E113" s="1931"/>
      <c r="F113" s="333">
        <f>MROUND((90*(1/500)*(numOfLifts*J96*J97*J98*J99+numOfLifts_c3*J102*J103*J104*J105)), 500)</f>
        <v>27000</v>
      </c>
      <c r="G113" s="2084" t="s">
        <v>2040</v>
      </c>
      <c r="H113" s="2085"/>
      <c r="I113" s="2086"/>
      <c r="J113" s="956">
        <f xml:space="preserve"> IF(E113="", F113,E113)</f>
        <v>27000</v>
      </c>
      <c r="K113" s="23"/>
      <c r="L113" s="23"/>
      <c r="M113" s="23"/>
      <c r="N113" s="23"/>
      <c r="O113" s="23"/>
      <c r="P113" s="23"/>
      <c r="Q113" s="915"/>
    </row>
    <row r="114" spans="1:20" s="23" customFormat="1" ht="48.75" customHeight="1" x14ac:dyDescent="0.25">
      <c r="B114" s="921"/>
      <c r="J114" s="922"/>
    </row>
    <row r="115" spans="1:20" x14ac:dyDescent="0.25">
      <c r="B115" s="2268" t="s">
        <v>1492</v>
      </c>
      <c r="C115" s="2269"/>
      <c r="D115" s="2269"/>
      <c r="E115" s="2269"/>
      <c r="F115" s="2269"/>
      <c r="G115" s="2269"/>
      <c r="H115" s="2269"/>
      <c r="I115" s="2269"/>
      <c r="J115" s="2270"/>
      <c r="K115" s="23"/>
      <c r="L115" s="23"/>
      <c r="M115" s="23"/>
      <c r="N115" s="23"/>
      <c r="O115" s="23"/>
      <c r="P115" s="23"/>
      <c r="Q115" s="915"/>
    </row>
    <row r="116" spans="1:20" x14ac:dyDescent="0.25">
      <c r="B116" s="2271"/>
      <c r="C116" s="2272"/>
      <c r="D116" s="2272"/>
      <c r="E116" s="2272"/>
      <c r="F116" s="2272"/>
      <c r="G116" s="2272"/>
      <c r="H116" s="2272"/>
      <c r="I116" s="2272"/>
      <c r="J116" s="2273"/>
      <c r="K116" s="23"/>
      <c r="L116" s="23"/>
      <c r="M116" s="23"/>
      <c r="N116" s="23"/>
      <c r="O116" s="23"/>
      <c r="P116" s="23"/>
      <c r="Q116" s="915"/>
    </row>
    <row r="117" spans="1:20" s="10" customFormat="1" x14ac:dyDescent="0.25">
      <c r="A117" s="23"/>
      <c r="B117" s="957"/>
      <c r="C117" s="899"/>
      <c r="D117" s="899"/>
      <c r="E117" s="899"/>
      <c r="F117" s="899"/>
      <c r="G117" s="899"/>
      <c r="H117" s="899"/>
      <c r="I117" s="899"/>
      <c r="J117" s="924"/>
      <c r="K117" s="23"/>
      <c r="L117" s="23"/>
      <c r="M117" s="23"/>
      <c r="N117" s="23"/>
      <c r="O117" s="23"/>
      <c r="P117" s="23"/>
      <c r="Q117" s="23"/>
    </row>
    <row r="118" spans="1:20" ht="18.75" x14ac:dyDescent="0.25">
      <c r="B118" s="958" t="str">
        <f>IF(AND($E$6=RIMS_lists!$C$1, $E$7=Lists!$C$4),  "Step 9 is available for Gross Analysis only", "Step 9 (For Gross Analysis) - Total Existing Operational Forklift Hydrogen Fueling Sites and Forklift Fuel Cells in "&amp;State&amp;" at the beginning of 2015")</f>
        <v>Step 9 (For Gross Analysis) - Total Existing Operational Forklift Hydrogen Fueling Sites and Forklift Fuel Cells in &lt;Please select&gt; at the beginning of 2015</v>
      </c>
      <c r="C118" s="589"/>
      <c r="D118" s="589"/>
      <c r="E118" s="589"/>
      <c r="F118" s="589"/>
      <c r="G118" s="589"/>
      <c r="H118" s="589"/>
      <c r="I118" s="589"/>
      <c r="J118" s="959"/>
      <c r="K118" s="23"/>
      <c r="L118" s="23"/>
      <c r="M118" s="23"/>
      <c r="N118" s="23"/>
      <c r="O118" s="23"/>
      <c r="P118" s="23"/>
      <c r="Q118" s="915"/>
    </row>
    <row r="119" spans="1:20" ht="16.5" x14ac:dyDescent="0.25">
      <c r="B119" s="2012" t="s">
        <v>1803</v>
      </c>
      <c r="C119" s="2013"/>
      <c r="D119" s="2014"/>
      <c r="E119" s="1280" t="str">
        <f>E$10</f>
        <v>User-specified value</v>
      </c>
      <c r="F119" s="1281" t="str">
        <f>F$10</f>
        <v>Default</v>
      </c>
      <c r="G119" s="891" t="s">
        <v>451</v>
      </c>
      <c r="H119" s="889"/>
      <c r="I119" s="890"/>
      <c r="J119" s="795" t="str">
        <f>J$10</f>
        <v>Value used in model</v>
      </c>
      <c r="K119" s="23"/>
      <c r="L119" s="23"/>
      <c r="M119" s="23"/>
      <c r="N119" s="23"/>
      <c r="O119" s="23"/>
      <c r="P119" s="23"/>
      <c r="Q119" s="915"/>
    </row>
    <row r="120" spans="1:20" s="592" customFormat="1" ht="31.5" customHeight="1" x14ac:dyDescent="0.25">
      <c r="A120" s="590"/>
      <c r="B120" s="2274" t="s">
        <v>1995</v>
      </c>
      <c r="C120" s="2275"/>
      <c r="D120" s="2276"/>
      <c r="E120" s="1940"/>
      <c r="F120" s="591">
        <v>0</v>
      </c>
      <c r="G120" s="2015" t="s">
        <v>1868</v>
      </c>
      <c r="H120" s="2016"/>
      <c r="I120" s="2017"/>
      <c r="J120" s="960">
        <f>IF(AND($E$6=RIMS_lists!$C$1, $E$7=Lists!$C$4),0,IF(E120="",F120,E120))</f>
        <v>0</v>
      </c>
      <c r="K120" s="590"/>
      <c r="L120" s="590"/>
      <c r="M120" s="590"/>
      <c r="N120" s="590"/>
      <c r="O120" s="590"/>
      <c r="P120" s="590"/>
      <c r="Q120" s="919"/>
      <c r="R120" s="593"/>
      <c r="T120" s="594"/>
    </row>
    <row r="121" spans="1:20" ht="31.5" customHeight="1" x14ac:dyDescent="0.25">
      <c r="B121" s="2072" t="s">
        <v>1996</v>
      </c>
      <c r="C121" s="2073"/>
      <c r="D121" s="2074"/>
      <c r="E121" s="1941"/>
      <c r="F121" s="363">
        <v>0</v>
      </c>
      <c r="G121" s="2018"/>
      <c r="H121" s="2005"/>
      <c r="I121" s="2019"/>
      <c r="J121" s="960">
        <f>IF(AND($E$6=RIMS_lists!$C$1, $E$7=Lists!$C$4),0,IF(E121="",F121,E121))</f>
        <v>0</v>
      </c>
      <c r="K121" s="23"/>
      <c r="L121" s="23"/>
      <c r="M121" s="23"/>
      <c r="N121" s="23"/>
      <c r="O121" s="23"/>
      <c r="P121" s="23"/>
      <c r="Q121" s="915"/>
    </row>
    <row r="122" spans="1:20" ht="31.5" customHeight="1" x14ac:dyDescent="0.25">
      <c r="B122" s="2075" t="s">
        <v>1997</v>
      </c>
      <c r="C122" s="2076"/>
      <c r="D122" s="2077"/>
      <c r="E122" s="1941"/>
      <c r="F122" s="364">
        <v>0</v>
      </c>
      <c r="G122" s="2020"/>
      <c r="H122" s="2021"/>
      <c r="I122" s="2022"/>
      <c r="J122" s="960">
        <f>IF(AND($E$6=RIMS_lists!$C$1, $E$7=Lists!$C$4),0,IF(E122="",F122,E122))</f>
        <v>0</v>
      </c>
      <c r="K122" s="23"/>
      <c r="L122" s="23"/>
      <c r="M122" s="23"/>
      <c r="N122" s="23"/>
      <c r="O122" s="23"/>
      <c r="P122" s="23"/>
      <c r="Q122" s="915"/>
    </row>
    <row r="123" spans="1:20" s="10" customFormat="1" ht="49.5" customHeight="1" x14ac:dyDescent="0.25">
      <c r="A123" s="23"/>
      <c r="B123" s="961"/>
      <c r="J123" s="927"/>
      <c r="K123" s="23"/>
      <c r="L123" s="23"/>
      <c r="M123" s="23"/>
      <c r="N123" s="23"/>
      <c r="O123" s="23"/>
      <c r="P123" s="23"/>
      <c r="Q123" s="23"/>
    </row>
    <row r="124" spans="1:20" ht="18.75" x14ac:dyDescent="0.25">
      <c r="B124" s="2265" t="str">
        <f>IF(AND($E$6=RIMS_lists!$C$1, $E$7=Lists!$C$4), "Step 10 (For Net Analysis) - Displaced Forklift Power Technology", "Step 10 is only available for a Net analysis of the USA-National region")</f>
        <v>Step 10 is only available for a Net analysis of the USA-National region</v>
      </c>
      <c r="C124" s="2266"/>
      <c r="D124" s="2266"/>
      <c r="E124" s="2266"/>
      <c r="F124" s="2266"/>
      <c r="G124" s="2266"/>
      <c r="H124" s="2266"/>
      <c r="I124" s="2266"/>
      <c r="J124" s="2267"/>
      <c r="K124" s="23"/>
      <c r="L124" s="23"/>
      <c r="M124" s="23"/>
      <c r="N124" s="23"/>
      <c r="O124" s="23"/>
      <c r="P124" s="23"/>
      <c r="Q124" s="915"/>
    </row>
    <row r="125" spans="1:20" s="123" customFormat="1" ht="34.5" customHeight="1" x14ac:dyDescent="0.25">
      <c r="A125" s="130"/>
      <c r="B125" s="2012" t="s">
        <v>1912</v>
      </c>
      <c r="C125" s="2013"/>
      <c r="D125" s="2014"/>
      <c r="E125" s="1282" t="str">
        <f>E$10</f>
        <v>User-specified value</v>
      </c>
      <c r="F125" s="1281" t="str">
        <f>F$10</f>
        <v>Default</v>
      </c>
      <c r="G125" s="340" t="s">
        <v>451</v>
      </c>
      <c r="H125" s="1166"/>
      <c r="I125" s="1167"/>
      <c r="J125" s="1165" t="str">
        <f>J$10</f>
        <v>Value used in model</v>
      </c>
      <c r="K125" s="130"/>
      <c r="L125" s="130"/>
      <c r="M125" s="130"/>
      <c r="N125" s="130"/>
      <c r="O125" s="130"/>
      <c r="P125" s="130"/>
      <c r="Q125" s="920"/>
      <c r="R125" s="230"/>
      <c r="T125" s="218"/>
    </row>
    <row r="126" spans="1:20" s="123" customFormat="1" ht="38.25" customHeight="1" x14ac:dyDescent="0.25">
      <c r="A126" s="130"/>
      <c r="B126" s="2010" t="s">
        <v>1744</v>
      </c>
      <c r="C126" s="2011"/>
      <c r="D126" s="2011"/>
      <c r="E126" s="1942"/>
      <c r="F126" s="595">
        <v>0.65</v>
      </c>
      <c r="G126" s="2005" t="s">
        <v>2240</v>
      </c>
      <c r="H126" s="2005"/>
      <c r="I126" s="2005"/>
      <c r="J126" s="962">
        <f>IF(OR($E$6&lt;&gt;RIMS_lists!$C$1,$E$7&lt;&gt;Lists!$C$4),0,IF(E126="",F126,E126))</f>
        <v>0</v>
      </c>
      <c r="K126" s="130"/>
      <c r="L126" s="130"/>
      <c r="M126" s="130"/>
      <c r="N126" s="130"/>
      <c r="O126" s="130"/>
      <c r="P126" s="130"/>
      <c r="Q126" s="920"/>
      <c r="R126" s="230"/>
      <c r="T126" s="218"/>
    </row>
    <row r="127" spans="1:20" s="123" customFormat="1" ht="34.5" customHeight="1" x14ac:dyDescent="0.25">
      <c r="A127" s="130"/>
      <c r="B127" s="2010" t="str">
        <f>IF(SUM($I$25:$I$30)+SUM($I$34:$I$39)=0,"This question is only relevant if fuel cell units are being exported from the United States to a foreign market","What percentage of the forklift batteries installed outside the United States are manufactured in the United States ?")</f>
        <v>This question is only relevant if fuel cell units are being exported from the United States to a foreign market</v>
      </c>
      <c r="C127" s="2011"/>
      <c r="D127" s="2011"/>
      <c r="E127" s="1942"/>
      <c r="F127" s="595">
        <v>0</v>
      </c>
      <c r="G127" s="2005"/>
      <c r="H127" s="2005"/>
      <c r="I127" s="2005"/>
      <c r="J127" s="962">
        <f>IF(OR($E$6&lt;&gt;RIMS_lists!$C$1,$E$7&lt;&gt;Lists!$C$4,SUM($I$25:$I$30)+SUM($I$34:$I$39)=0),0,IF(E127="",F127,E127))</f>
        <v>0</v>
      </c>
      <c r="K127" s="130"/>
      <c r="L127" s="130"/>
      <c r="M127" s="130"/>
      <c r="N127" s="130"/>
      <c r="O127" s="130"/>
      <c r="P127" s="130"/>
      <c r="Q127" s="920"/>
      <c r="R127" s="230"/>
      <c r="T127" s="218"/>
    </row>
    <row r="128" spans="1:20" s="123" customFormat="1" ht="30" customHeight="1" x14ac:dyDescent="0.25">
      <c r="A128" s="130"/>
      <c r="B128" s="2035" t="s">
        <v>1884</v>
      </c>
      <c r="C128" s="2036"/>
      <c r="D128" s="2037"/>
      <c r="E128" s="1282" t="str">
        <f>E$10</f>
        <v>User-specified value</v>
      </c>
      <c r="F128" s="1281" t="str">
        <f>F$10</f>
        <v>Default</v>
      </c>
      <c r="G128" s="2005"/>
      <c r="H128" s="2005"/>
      <c r="I128" s="2005"/>
      <c r="J128" s="1165" t="str">
        <f>J$10</f>
        <v>Value used in model</v>
      </c>
      <c r="K128" s="130"/>
      <c r="L128" s="130"/>
      <c r="M128" s="130"/>
      <c r="N128" s="130"/>
      <c r="O128" s="130"/>
      <c r="P128" s="130"/>
      <c r="Q128" s="920"/>
      <c r="R128" s="230"/>
      <c r="T128" s="218"/>
    </row>
    <row r="129" spans="2:17" ht="14.45" customHeight="1" x14ac:dyDescent="0.25">
      <c r="B129" s="963" t="s">
        <v>1664</v>
      </c>
      <c r="C129" s="583"/>
      <c r="D129" s="583"/>
      <c r="E129" s="1943"/>
      <c r="F129" s="584">
        <v>4200</v>
      </c>
      <c r="G129" s="2005"/>
      <c r="H129" s="2005"/>
      <c r="I129" s="2005"/>
      <c r="J129" s="939">
        <f>IF(OR($E$6&lt;&gt;RIMS_lists!$C$1,$E$7&lt;&gt;Lists!$C$4),0,IF(E129="",F129,E129))</f>
        <v>0</v>
      </c>
      <c r="K129" s="23"/>
      <c r="L129" s="23"/>
      <c r="M129" s="23"/>
      <c r="N129" s="23"/>
      <c r="O129" s="23"/>
      <c r="P129" s="23"/>
      <c r="Q129" s="915"/>
    </row>
    <row r="130" spans="2:17" ht="14.45" customHeight="1" x14ac:dyDescent="0.25">
      <c r="B130" s="963" t="s">
        <v>1665</v>
      </c>
      <c r="C130" s="583"/>
      <c r="D130" s="583"/>
      <c r="E130" s="1944"/>
      <c r="F130" s="586">
        <f>J97</f>
        <v>2</v>
      </c>
      <c r="G130" s="2005"/>
      <c r="H130" s="2005"/>
      <c r="I130" s="2005"/>
      <c r="J130" s="944">
        <f>IF(OR($E$6&lt;&gt;RIMS_lists!$C$1,$E$7&lt;&gt;Lists!$C$4),0,IF(E130&lt;&gt;"",E130,J97 ))</f>
        <v>0</v>
      </c>
      <c r="K130" s="23"/>
      <c r="L130" s="23"/>
      <c r="M130" s="23"/>
      <c r="N130" s="23"/>
      <c r="O130" s="23"/>
      <c r="P130" s="23"/>
      <c r="Q130" s="915"/>
    </row>
    <row r="131" spans="2:17" ht="14.45" customHeight="1" x14ac:dyDescent="0.25">
      <c r="B131" s="964" t="s">
        <v>1949</v>
      </c>
      <c r="C131" s="583"/>
      <c r="D131" s="583"/>
      <c r="E131" s="394" t="s">
        <v>1557</v>
      </c>
      <c r="F131" s="1285">
        <f>F129*F130</f>
        <v>8400</v>
      </c>
      <c r="G131" s="2005"/>
      <c r="H131" s="2005"/>
      <c r="I131" s="2005"/>
      <c r="J131" s="1286">
        <f>J129*J130</f>
        <v>0</v>
      </c>
      <c r="K131" s="23"/>
      <c r="L131" s="23"/>
      <c r="M131" s="23"/>
      <c r="N131" s="23"/>
      <c r="O131" s="23"/>
      <c r="P131" s="23"/>
      <c r="Q131" s="915"/>
    </row>
    <row r="132" spans="2:17" ht="14.45" customHeight="1" x14ac:dyDescent="0.25">
      <c r="B132" s="965" t="s">
        <v>1666</v>
      </c>
      <c r="C132" s="582"/>
      <c r="D132" s="582"/>
      <c r="E132" s="1943"/>
      <c r="F132" s="587">
        <v>2500</v>
      </c>
      <c r="G132" s="2005"/>
      <c r="H132" s="2005"/>
      <c r="I132" s="2005"/>
      <c r="J132" s="939">
        <f>IF(OR($E$6&lt;&gt;RIMS_lists!$C$1,$E$7&lt;&gt;Lists!$C$4),0,IF(E132="",F132,E132))</f>
        <v>0</v>
      </c>
      <c r="K132" s="23"/>
      <c r="L132" s="23"/>
      <c r="M132" s="23"/>
      <c r="N132" s="23"/>
      <c r="O132" s="23"/>
      <c r="P132" s="23"/>
      <c r="Q132" s="915"/>
    </row>
    <row r="133" spans="2:17" ht="14.45" customHeight="1" x14ac:dyDescent="0.25">
      <c r="B133" s="965" t="s">
        <v>1667</v>
      </c>
      <c r="C133" s="582"/>
      <c r="D133" s="582"/>
      <c r="E133" s="1944"/>
      <c r="F133" s="588">
        <f>J103</f>
        <v>2</v>
      </c>
      <c r="G133" s="2005"/>
      <c r="H133" s="2005"/>
      <c r="I133" s="2005"/>
      <c r="J133" s="944">
        <f>IF(OR($E$6&lt;&gt;RIMS_lists!$C$1,$E$7&lt;&gt;Lists!$C$4),0,IF(E133&lt;&gt;"",E133, J103))</f>
        <v>0</v>
      </c>
      <c r="K133" s="23"/>
      <c r="L133" s="23"/>
      <c r="M133" s="23"/>
      <c r="N133" s="23"/>
      <c r="O133" s="23"/>
      <c r="P133" s="23"/>
      <c r="Q133" s="915"/>
    </row>
    <row r="134" spans="2:17" ht="14.45" customHeight="1" x14ac:dyDescent="0.25">
      <c r="B134" s="966" t="s">
        <v>1950</v>
      </c>
      <c r="C134" s="582"/>
      <c r="D134" s="582"/>
      <c r="E134" s="393" t="s">
        <v>1557</v>
      </c>
      <c r="F134" s="1284">
        <f>F132*F133</f>
        <v>5000</v>
      </c>
      <c r="G134" s="2008"/>
      <c r="H134" s="2008"/>
      <c r="I134" s="2008"/>
      <c r="J134" s="1286">
        <f>J132*J133</f>
        <v>0</v>
      </c>
      <c r="K134" s="23"/>
      <c r="L134" s="23"/>
      <c r="M134" s="23"/>
      <c r="N134" s="23"/>
      <c r="O134" s="23"/>
      <c r="P134" s="23"/>
      <c r="Q134" s="915"/>
    </row>
    <row r="135" spans="2:17" ht="30.75" customHeight="1" x14ac:dyDescent="0.25">
      <c r="B135" s="2069" t="s">
        <v>2239</v>
      </c>
      <c r="C135" s="2070"/>
      <c r="D135" s="2071"/>
      <c r="E135" s="1282" t="str">
        <f>E$10</f>
        <v>User-specified value</v>
      </c>
      <c r="F135" s="1281" t="str">
        <f>F$10</f>
        <v>Default</v>
      </c>
      <c r="G135" s="340" t="s">
        <v>451</v>
      </c>
      <c r="H135" s="1166"/>
      <c r="I135" s="1167"/>
      <c r="J135" s="1165" t="str">
        <f>J$10</f>
        <v>Value used in model</v>
      </c>
      <c r="K135" s="23"/>
      <c r="L135" s="23"/>
      <c r="M135" s="23"/>
      <c r="N135" s="23"/>
      <c r="O135" s="23"/>
      <c r="P135" s="23"/>
      <c r="Q135" s="915"/>
    </row>
    <row r="136" spans="2:17" ht="28.5" customHeight="1" x14ac:dyDescent="0.25">
      <c r="B136" s="1329" t="s">
        <v>1902</v>
      </c>
      <c r="C136" s="1330"/>
      <c r="D136" s="1330"/>
      <c r="E136" s="1945"/>
      <c r="F136" s="584">
        <f>MROUND(J129*D614,50)</f>
        <v>0</v>
      </c>
      <c r="G136" s="2004" t="s">
        <v>2042</v>
      </c>
      <c r="H136" s="2005"/>
      <c r="I136" s="2005"/>
      <c r="J136" s="968">
        <f>IF(OR($E$6&lt;&gt;RIMS_lists!$C$1,$E$7&lt;&gt;Lists!$C$4),0,IF(AND(E136&lt;&gt;"",E136&gt;=0),E136,F136))</f>
        <v>0</v>
      </c>
      <c r="K136" s="23"/>
      <c r="L136" s="23"/>
      <c r="M136" s="23"/>
      <c r="N136" s="23"/>
      <c r="O136" s="23"/>
      <c r="P136" s="23"/>
      <c r="Q136" s="915"/>
    </row>
    <row r="137" spans="2:17" ht="28.5" customHeight="1" x14ac:dyDescent="0.25">
      <c r="B137" s="1331" t="s">
        <v>1903</v>
      </c>
      <c r="C137" s="1332"/>
      <c r="D137" s="1332"/>
      <c r="E137" s="1945"/>
      <c r="F137" s="587">
        <f>MROUND(J132*D614,50)</f>
        <v>0</v>
      </c>
      <c r="G137" s="2007"/>
      <c r="H137" s="2008"/>
      <c r="I137" s="2008"/>
      <c r="J137" s="968">
        <f>IF(OR($E$6&lt;&gt;RIMS_lists!$C$1,$E$7&lt;&gt;Lists!$C$4),0,IF(AND(E137&lt;&gt;"",E137&gt;=0), E137,F137))</f>
        <v>0</v>
      </c>
      <c r="K137" s="23"/>
      <c r="L137" s="23"/>
      <c r="M137" s="23"/>
      <c r="N137" s="23"/>
      <c r="O137" s="23"/>
      <c r="P137" s="23"/>
      <c r="Q137" s="915"/>
    </row>
    <row r="138" spans="2:17" ht="31.5" customHeight="1" x14ac:dyDescent="0.25">
      <c r="B138" s="2012" t="s">
        <v>1898</v>
      </c>
      <c r="C138" s="2013"/>
      <c r="D138" s="2014"/>
      <c r="E138" s="1282" t="str">
        <f>E$10</f>
        <v>User-specified value</v>
      </c>
      <c r="F138" s="1283" t="str">
        <f>F$10</f>
        <v>Default</v>
      </c>
      <c r="G138" s="975" t="s">
        <v>451</v>
      </c>
      <c r="H138" s="1168"/>
      <c r="I138" s="1169"/>
      <c r="J138" s="1170" t="str">
        <f>J$10</f>
        <v>Value used in model</v>
      </c>
      <c r="K138" s="23"/>
      <c r="L138" s="23"/>
      <c r="M138" s="23"/>
      <c r="N138" s="23"/>
      <c r="O138" s="23"/>
      <c r="P138" s="23"/>
      <c r="Q138" s="915"/>
    </row>
    <row r="139" spans="2:17" ht="14.45" customHeight="1" x14ac:dyDescent="0.25">
      <c r="B139" s="967" t="s">
        <v>1675</v>
      </c>
      <c r="C139" s="585"/>
      <c r="D139" s="585"/>
      <c r="E139" s="1946"/>
      <c r="F139" s="1333">
        <v>0</v>
      </c>
      <c r="G139" s="2004" t="s">
        <v>2041</v>
      </c>
      <c r="H139" s="2005"/>
      <c r="I139" s="2006"/>
      <c r="J139" s="968">
        <f>IF(OR($E$6&lt;&gt;RIMS_lists!$C$1,$E$7&lt;&gt;Lists!$C$4),0,IF(E139="",F139,E139))</f>
        <v>0</v>
      </c>
      <c r="K139" s="23"/>
      <c r="L139" s="23"/>
      <c r="M139" s="23"/>
      <c r="N139" s="23"/>
      <c r="O139" s="23"/>
      <c r="P139" s="23"/>
      <c r="Q139" s="915"/>
    </row>
    <row r="140" spans="2:17" ht="14.45" customHeight="1" x14ac:dyDescent="0.25">
      <c r="B140" s="967" t="s">
        <v>1677</v>
      </c>
      <c r="C140" s="585"/>
      <c r="D140" s="585"/>
      <c r="E140" s="1946"/>
      <c r="F140" s="1333">
        <v>0</v>
      </c>
      <c r="G140" s="2004"/>
      <c r="H140" s="2005"/>
      <c r="I140" s="2006"/>
      <c r="J140" s="968">
        <f>IF(OR($E$6&lt;&gt;RIMS_lists!$C$1,$E$7&lt;&gt;Lists!$C$4),0,IF(E140="",F140,E140))</f>
        <v>0</v>
      </c>
      <c r="K140" s="23"/>
      <c r="L140" s="23"/>
      <c r="M140" s="23"/>
      <c r="N140" s="23"/>
      <c r="O140" s="23"/>
      <c r="P140" s="23"/>
      <c r="Q140" s="915"/>
    </row>
    <row r="141" spans="2:17" ht="15.75" x14ac:dyDescent="0.25">
      <c r="B141" s="967" t="s">
        <v>1676</v>
      </c>
      <c r="C141" s="585"/>
      <c r="D141" s="585"/>
      <c r="E141" s="1946"/>
      <c r="F141" s="1333">
        <v>0</v>
      </c>
      <c r="G141" s="2004"/>
      <c r="H141" s="2005"/>
      <c r="I141" s="2006"/>
      <c r="J141" s="968">
        <f>IF(OR($E$6&lt;&gt;RIMS_lists!$C$1,$E$7&lt;&gt;Lists!$C$4),0,IF(E141="",F141,E141))</f>
        <v>0</v>
      </c>
      <c r="K141" s="23"/>
      <c r="L141" s="23"/>
      <c r="M141" s="23"/>
      <c r="N141" s="23"/>
      <c r="O141" s="23"/>
      <c r="P141" s="23"/>
      <c r="Q141" s="915"/>
    </row>
    <row r="142" spans="2:17" ht="15.75" x14ac:dyDescent="0.25">
      <c r="B142" s="967" t="s">
        <v>1707</v>
      </c>
      <c r="C142" s="585"/>
      <c r="D142" s="585"/>
      <c r="E142" s="1947"/>
      <c r="F142" s="1333">
        <v>0</v>
      </c>
      <c r="G142" s="2004"/>
      <c r="H142" s="2005"/>
      <c r="I142" s="2006"/>
      <c r="J142" s="968">
        <f>IF(OR($E$6&lt;&gt;RIMS_lists!$C$1,$E$7&lt;&gt;Lists!$C$4),0,IF(E142="",F142,E142))</f>
        <v>0</v>
      </c>
      <c r="K142" s="23"/>
      <c r="L142" s="23"/>
      <c r="M142" s="23"/>
      <c r="N142" s="23"/>
      <c r="O142" s="23"/>
      <c r="P142" s="23"/>
      <c r="Q142" s="915"/>
    </row>
    <row r="143" spans="2:17" ht="15.75" x14ac:dyDescent="0.25">
      <c r="B143" s="969" t="s">
        <v>1684</v>
      </c>
      <c r="C143" s="585"/>
      <c r="D143" s="585"/>
      <c r="E143" s="395" t="s">
        <v>1557</v>
      </c>
      <c r="F143" s="1334">
        <f>SUM(F139:F141)</f>
        <v>0</v>
      </c>
      <c r="G143" s="2007"/>
      <c r="H143" s="2008"/>
      <c r="I143" s="2009"/>
      <c r="J143" s="1287">
        <f>SUM(J139:J141)+J142*(numOfLifts+numOfLifts_c3)</f>
        <v>0</v>
      </c>
      <c r="K143" s="23"/>
      <c r="L143" s="23"/>
      <c r="M143" s="23"/>
      <c r="N143" s="23"/>
      <c r="O143" s="23"/>
      <c r="P143" s="23"/>
      <c r="Q143" s="915"/>
    </row>
    <row r="144" spans="2:17" ht="32.25" customHeight="1" x14ac:dyDescent="0.25">
      <c r="B144" s="2012" t="s">
        <v>1899</v>
      </c>
      <c r="C144" s="2013"/>
      <c r="D144" s="2014"/>
      <c r="E144" s="1282" t="str">
        <f>E$10</f>
        <v>User-specified value</v>
      </c>
      <c r="F144" s="1283" t="str">
        <f>F$10</f>
        <v>Default</v>
      </c>
      <c r="G144" s="975" t="s">
        <v>451</v>
      </c>
      <c r="H144" s="1168"/>
      <c r="I144" s="1169"/>
      <c r="J144" s="1170" t="str">
        <f>J$10</f>
        <v>Value used in model</v>
      </c>
      <c r="K144" s="23"/>
      <c r="L144" s="23"/>
      <c r="M144" s="23"/>
      <c r="N144" s="23"/>
      <c r="O144" s="23"/>
      <c r="P144" s="23"/>
      <c r="Q144" s="915"/>
    </row>
    <row r="145" spans="1:17" ht="15.75" x14ac:dyDescent="0.25">
      <c r="B145" s="967" t="s">
        <v>1742</v>
      </c>
      <c r="C145" s="585"/>
      <c r="D145" s="585"/>
      <c r="E145" s="1948"/>
      <c r="F145" s="1358">
        <v>9.5000000000000001E-2</v>
      </c>
      <c r="G145" s="2004" t="s">
        <v>2043</v>
      </c>
      <c r="H145" s="2005"/>
      <c r="I145" s="2005"/>
      <c r="J145" s="970">
        <f>IF(OR($E$6&lt;&gt;RIMS_lists!$C$1,$E$7&lt;&gt;Lists!$C$4),0,IF(E145="",F145,E145))</f>
        <v>0</v>
      </c>
      <c r="K145" s="23"/>
      <c r="L145" s="23"/>
      <c r="M145" s="23"/>
      <c r="N145" s="23"/>
      <c r="O145" s="23"/>
      <c r="P145" s="23"/>
      <c r="Q145" s="915"/>
    </row>
    <row r="146" spans="1:17" ht="15.75" x14ac:dyDescent="0.25">
      <c r="B146" s="963" t="s">
        <v>1681</v>
      </c>
      <c r="C146" s="583"/>
      <c r="D146" s="583"/>
      <c r="E146" s="1949"/>
      <c r="F146" s="1134">
        <f>24*J95</f>
        <v>6</v>
      </c>
      <c r="G146" s="2004"/>
      <c r="H146" s="2005"/>
      <c r="I146" s="2005"/>
      <c r="J146" s="971">
        <f>IF(OR($E$6&lt;&gt;RIMS_lists!$C$1,$E$7&lt;&gt;Lists!$C$4),0,IF(E146&lt;&gt;"",E146, J95*24))</f>
        <v>0</v>
      </c>
      <c r="K146" s="23"/>
      <c r="L146" s="23"/>
      <c r="M146" s="23"/>
      <c r="N146" s="23"/>
      <c r="O146" s="23"/>
      <c r="P146" s="23"/>
      <c r="Q146" s="915"/>
    </row>
    <row r="147" spans="1:17" ht="15.75" x14ac:dyDescent="0.25">
      <c r="B147" s="964" t="s">
        <v>2044</v>
      </c>
      <c r="C147" s="583"/>
      <c r="D147" s="583"/>
      <c r="E147" s="394" t="s">
        <v>1557</v>
      </c>
      <c r="F147" s="1285">
        <f>MROUND(F145*F146*J96*J97*J98*J99,10)</f>
        <v>1420</v>
      </c>
      <c r="G147" s="2004"/>
      <c r="H147" s="2005"/>
      <c r="I147" s="2005"/>
      <c r="J147" s="1286">
        <f>MROUND(J145*J146*J96*J97*J98*J99,10)</f>
        <v>0</v>
      </c>
      <c r="K147" s="23"/>
      <c r="L147" s="23"/>
      <c r="M147" s="23"/>
      <c r="N147" s="23"/>
      <c r="O147" s="23"/>
      <c r="P147" s="23"/>
      <c r="Q147" s="915"/>
    </row>
    <row r="148" spans="1:17" ht="15.75" x14ac:dyDescent="0.25">
      <c r="B148" s="965" t="s">
        <v>1870</v>
      </c>
      <c r="C148" s="582"/>
      <c r="D148" s="582"/>
      <c r="E148" s="1944"/>
      <c r="F148" s="772">
        <f>24*J101</f>
        <v>0.56000000000000005</v>
      </c>
      <c r="G148" s="2004"/>
      <c r="H148" s="2005"/>
      <c r="I148" s="2005"/>
      <c r="J148" s="971">
        <f>IF(OR($E$6&lt;&gt;RIMS_lists!$C$1,$E$7&lt;&gt;Lists!$C$4),0,IF(E148&lt;&gt;"",E148, J101*24))</f>
        <v>0</v>
      </c>
      <c r="K148" s="23"/>
      <c r="L148" s="23"/>
      <c r="M148" s="23"/>
      <c r="N148" s="23"/>
      <c r="O148" s="23"/>
      <c r="P148" s="23"/>
      <c r="Q148" s="915"/>
    </row>
    <row r="149" spans="1:17" ht="15.75" x14ac:dyDescent="0.25">
      <c r="B149" s="966" t="s">
        <v>2045</v>
      </c>
      <c r="C149" s="582"/>
      <c r="D149" s="582"/>
      <c r="E149" s="393" t="s">
        <v>1557</v>
      </c>
      <c r="F149" s="1284">
        <f>F145*F148*J102*J103*J104*J105</f>
        <v>132.78720000000001</v>
      </c>
      <c r="G149" s="2007"/>
      <c r="H149" s="2008"/>
      <c r="I149" s="2008"/>
      <c r="J149" s="1286">
        <f>J145*J148*J102*J103*J104*J105</f>
        <v>0</v>
      </c>
      <c r="K149" s="23"/>
      <c r="L149" s="23"/>
      <c r="M149" s="23"/>
      <c r="N149" s="23"/>
      <c r="O149" s="23"/>
      <c r="P149" s="23"/>
      <c r="Q149" s="915"/>
    </row>
    <row r="150" spans="1:17" ht="42" customHeight="1" x14ac:dyDescent="0.25">
      <c r="B150" s="2069" t="s">
        <v>1900</v>
      </c>
      <c r="C150" s="2070"/>
      <c r="D150" s="2071"/>
      <c r="E150" s="1282" t="str">
        <f>E$10</f>
        <v>User-specified value</v>
      </c>
      <c r="F150" s="1283" t="str">
        <f>F$10</f>
        <v>Default</v>
      </c>
      <c r="G150" s="975" t="s">
        <v>451</v>
      </c>
      <c r="H150" s="1168"/>
      <c r="I150" s="1169"/>
      <c r="J150" s="1170" t="str">
        <f>J$10</f>
        <v>Value used in model</v>
      </c>
      <c r="K150" s="23"/>
      <c r="L150" s="23"/>
      <c r="M150" s="23"/>
      <c r="N150" s="23"/>
      <c r="O150" s="23"/>
      <c r="P150" s="23"/>
      <c r="Q150" s="915"/>
    </row>
    <row r="151" spans="1:17" ht="25.5" customHeight="1" x14ac:dyDescent="0.25">
      <c r="B151" s="1329" t="s">
        <v>1678</v>
      </c>
      <c r="C151" s="1330"/>
      <c r="D151" s="1330"/>
      <c r="E151" s="1943"/>
      <c r="F151" s="584">
        <f>MROUND(1*J96*J97*J98*J99,100)</f>
        <v>2500</v>
      </c>
      <c r="G151" s="2023" t="s">
        <v>2046</v>
      </c>
      <c r="H151" s="2024"/>
      <c r="I151" s="2025"/>
      <c r="J151" s="939">
        <f>IF(OR($E$6&lt;&gt;RIMS_lists!$C$1,$E$7&lt;&gt;Lists!$C$4),0,IF(E151&lt;&gt;"",E151, MROUND(1*J96*J97*J98*J99,100)))</f>
        <v>0</v>
      </c>
      <c r="K151" s="23"/>
      <c r="L151" s="23"/>
      <c r="M151" s="23"/>
      <c r="N151" s="23"/>
      <c r="O151" s="23"/>
      <c r="P151" s="23"/>
      <c r="Q151" s="915"/>
    </row>
    <row r="152" spans="1:17" ht="25.5" customHeight="1" x14ac:dyDescent="0.25">
      <c r="B152" s="1331" t="s">
        <v>1679</v>
      </c>
      <c r="C152" s="1337"/>
      <c r="D152" s="1337"/>
      <c r="E152" s="1943"/>
      <c r="F152" s="587">
        <f>MROUND(1*J102*J103*J104*J105,100)</f>
        <v>2500</v>
      </c>
      <c r="G152" s="2026"/>
      <c r="H152" s="2027"/>
      <c r="I152" s="2028"/>
      <c r="J152" s="939">
        <f>IF(OR($E$6&lt;&gt;RIMS_lists!$C$1,$E$7&lt;&gt;Lists!$C$4),0,IF(E152&lt;&gt;"",E152,MROUND(1*J102*J103*J104*J105,100)))</f>
        <v>0</v>
      </c>
      <c r="K152" s="23"/>
      <c r="L152" s="23"/>
      <c r="M152" s="23"/>
      <c r="N152" s="23"/>
      <c r="O152" s="23"/>
      <c r="P152" s="23"/>
      <c r="Q152" s="915"/>
    </row>
    <row r="153" spans="1:17" ht="33" customHeight="1" x14ac:dyDescent="0.25">
      <c r="B153" s="2012" t="s">
        <v>1901</v>
      </c>
      <c r="C153" s="2013"/>
      <c r="D153" s="2014"/>
      <c r="E153" s="1282" t="str">
        <f>E$10</f>
        <v>User-specified value</v>
      </c>
      <c r="F153" s="1283" t="str">
        <f>F$10</f>
        <v>Default</v>
      </c>
      <c r="G153" s="975" t="s">
        <v>451</v>
      </c>
      <c r="H153" s="1168"/>
      <c r="I153" s="1169"/>
      <c r="J153" s="1170" t="str">
        <f>J$10</f>
        <v>Value used in model</v>
      </c>
      <c r="K153" s="23"/>
      <c r="L153" s="23"/>
      <c r="M153" s="23"/>
      <c r="N153" s="23"/>
      <c r="O153" s="23"/>
      <c r="P153" s="23"/>
      <c r="Q153" s="915"/>
    </row>
    <row r="154" spans="1:17" ht="30.75" customHeight="1" x14ac:dyDescent="0.25">
      <c r="B154" s="2029" t="s">
        <v>1779</v>
      </c>
      <c r="C154" s="2030"/>
      <c r="D154" s="2031"/>
      <c r="E154" s="1950"/>
      <c r="F154" s="972">
        <f>4000/10</f>
        <v>400</v>
      </c>
      <c r="G154" s="2032" t="s">
        <v>1893</v>
      </c>
      <c r="H154" s="2033"/>
      <c r="I154" s="2034"/>
      <c r="J154" s="973">
        <f>IF(OR($E$6&lt;&gt;RIMS_lists!$C$1,$E$7&lt;&gt;Lists!$C$4),0,IF(E154="",F154,E154))</f>
        <v>0</v>
      </c>
      <c r="K154" s="23"/>
      <c r="L154" s="23"/>
      <c r="M154" s="23"/>
      <c r="N154" s="23"/>
      <c r="O154" s="23"/>
      <c r="P154" s="23"/>
      <c r="Q154" s="915"/>
    </row>
    <row r="155" spans="1:17" s="901" customFormat="1" x14ac:dyDescent="0.25">
      <c r="A155" s="23"/>
      <c r="B155" s="23"/>
      <c r="C155" s="23"/>
      <c r="D155" s="23"/>
      <c r="E155" s="23"/>
      <c r="F155" s="23"/>
      <c r="G155" s="23"/>
      <c r="H155" s="23"/>
      <c r="I155" s="23"/>
      <c r="J155" s="23"/>
      <c r="K155" s="23"/>
      <c r="L155" s="23"/>
      <c r="M155" s="23"/>
      <c r="N155" s="23"/>
      <c r="O155" s="23"/>
      <c r="P155" s="23"/>
      <c r="Q155" s="23"/>
    </row>
    <row r="156" spans="1:17" s="23" customFormat="1" x14ac:dyDescent="0.25"/>
    <row r="157" spans="1:17" s="23" customFormat="1" x14ac:dyDescent="0.25"/>
    <row r="158" spans="1:17" s="23" customFormat="1" x14ac:dyDescent="0.25"/>
    <row r="159" spans="1:17" s="23" customFormat="1" x14ac:dyDescent="0.25"/>
    <row r="160" spans="1:17" s="23" customFormat="1" x14ac:dyDescent="0.25"/>
    <row r="161" s="23" customFormat="1" x14ac:dyDescent="0.25"/>
    <row r="162" s="23" customFormat="1" x14ac:dyDescent="0.25"/>
    <row r="163" s="23" customFormat="1" x14ac:dyDescent="0.25"/>
    <row r="164" s="23" customFormat="1" x14ac:dyDescent="0.25"/>
    <row r="165" s="23" customFormat="1" x14ac:dyDescent="0.25"/>
    <row r="166" s="23" customFormat="1" x14ac:dyDescent="0.25"/>
    <row r="167" s="23" customFormat="1" x14ac:dyDescent="0.25"/>
    <row r="168" s="23" customFormat="1" x14ac:dyDescent="0.25"/>
    <row r="169" s="23" customFormat="1" x14ac:dyDescent="0.25"/>
    <row r="170" s="23" customFormat="1" x14ac:dyDescent="0.25"/>
    <row r="171" s="23" customFormat="1" x14ac:dyDescent="0.25"/>
    <row r="172" s="23" customFormat="1" x14ac:dyDescent="0.25"/>
    <row r="173" s="23" customFormat="1" x14ac:dyDescent="0.25"/>
    <row r="174" s="23" customFormat="1" x14ac:dyDescent="0.25"/>
    <row r="175" s="23" customFormat="1" x14ac:dyDescent="0.25"/>
    <row r="176" s="23" customFormat="1" x14ac:dyDescent="0.25"/>
    <row r="177" s="23" customFormat="1" x14ac:dyDescent="0.25"/>
    <row r="178" s="23" customFormat="1" x14ac:dyDescent="0.25"/>
    <row r="179" s="23" customFormat="1" x14ac:dyDescent="0.25"/>
    <row r="180" s="23" customFormat="1" x14ac:dyDescent="0.25"/>
    <row r="181" s="23" customFormat="1" x14ac:dyDescent="0.25"/>
    <row r="182" s="23" customFormat="1" x14ac:dyDescent="0.25"/>
    <row r="183" s="23" customFormat="1" x14ac:dyDescent="0.25"/>
    <row r="184" s="23" customFormat="1" x14ac:dyDescent="0.25"/>
    <row r="185" s="23" customFormat="1" x14ac:dyDescent="0.25"/>
    <row r="186" s="23" customFormat="1" x14ac:dyDescent="0.25"/>
    <row r="187" s="23" customFormat="1" x14ac:dyDescent="0.25"/>
    <row r="188" s="23" customFormat="1" x14ac:dyDescent="0.25"/>
    <row r="189" s="23" customFormat="1" x14ac:dyDescent="0.25"/>
    <row r="190" s="23" customFormat="1" x14ac:dyDescent="0.25"/>
    <row r="191" s="23" customFormat="1" x14ac:dyDescent="0.25"/>
    <row r="192" s="23" customFormat="1" hidden="1" x14ac:dyDescent="0.25"/>
    <row r="193" spans="1:47" s="23" customFormat="1" hidden="1" x14ac:dyDescent="0.25"/>
    <row r="194" spans="1:47" s="23" customFormat="1" hidden="1" x14ac:dyDescent="0.25">
      <c r="B194" s="1149" t="s">
        <v>2179</v>
      </c>
    </row>
    <row r="195" spans="1:47" ht="18.75" hidden="1" customHeight="1" x14ac:dyDescent="0.25">
      <c r="B195" s="2038" t="str">
        <f>IF(AND(SUM($H$25:$H$30)=0, SUM($H$34:$H$39)=0), "Step 4 is only applicable if Forklift Fuel Cell units are being manufactured within the selected region", "Step 4 - Number of Forklift Fuel Cell Manufacturers in "&amp;State)</f>
        <v>Step 4 is only applicable if Forklift Fuel Cell units are being manufactured within the selected region</v>
      </c>
      <c r="C195" s="2039"/>
      <c r="D195" s="2039"/>
      <c r="E195" s="2039"/>
      <c r="F195" s="2039"/>
      <c r="G195" s="2039"/>
      <c r="H195" s="2039"/>
      <c r="I195" s="2039"/>
      <c r="J195" s="2040"/>
      <c r="K195" s="23"/>
      <c r="L195" s="23"/>
      <c r="M195" s="23"/>
      <c r="N195" s="23"/>
      <c r="O195" s="23"/>
      <c r="P195" s="23"/>
      <c r="Q195" s="23"/>
      <c r="S195" s="4"/>
      <c r="T195" s="4"/>
      <c r="U195" s="4"/>
      <c r="V195" s="4"/>
      <c r="W195" s="4"/>
      <c r="X195" s="4"/>
      <c r="Y195" s="4"/>
      <c r="AG195" s="32"/>
      <c r="AH195" s="326"/>
      <c r="AI195" s="326"/>
      <c r="AJ195" s="31"/>
      <c r="AK195" s="31"/>
      <c r="AL195" s="31"/>
      <c r="AM195" s="30"/>
      <c r="AU195" s="25"/>
    </row>
    <row r="196" spans="1:47" ht="15" hidden="1" customHeight="1" x14ac:dyDescent="0.25">
      <c r="B196" s="2043" t="s">
        <v>1528</v>
      </c>
      <c r="C196" s="2044"/>
      <c r="D196" s="2045"/>
      <c r="E196" s="330" t="s">
        <v>429</v>
      </c>
      <c r="F196" s="599" t="s">
        <v>504</v>
      </c>
      <c r="G196" s="881" t="s">
        <v>451</v>
      </c>
      <c r="H196" s="337"/>
      <c r="I196" s="882"/>
      <c r="J196" s="788" t="s">
        <v>509</v>
      </c>
      <c r="K196" s="23"/>
      <c r="L196" s="23"/>
      <c r="M196" s="23"/>
      <c r="N196" s="23"/>
      <c r="O196" s="23"/>
      <c r="P196" s="23"/>
      <c r="Q196" s="23"/>
      <c r="S196" s="4"/>
      <c r="T196" s="4"/>
      <c r="U196" s="4"/>
      <c r="V196" s="4"/>
      <c r="W196" s="4"/>
      <c r="X196" s="4"/>
      <c r="Y196" s="4"/>
      <c r="AG196" s="32"/>
      <c r="AH196" s="326"/>
      <c r="AI196" s="326"/>
      <c r="AJ196" s="31"/>
      <c r="AK196" s="31"/>
      <c r="AL196" s="31"/>
      <c r="AM196" s="30"/>
      <c r="AU196" s="25"/>
    </row>
    <row r="197" spans="1:47" ht="15" hidden="1" customHeight="1" x14ac:dyDescent="0.25">
      <c r="B197" s="932" t="s">
        <v>1457</v>
      </c>
      <c r="C197" s="337"/>
      <c r="D197" s="338"/>
      <c r="E197" s="1913"/>
      <c r="F197" s="598">
        <f>Costs!B39</f>
        <v>3</v>
      </c>
      <c r="G197" s="883" t="s">
        <v>1520</v>
      </c>
      <c r="H197" s="884"/>
      <c r="I197" s="885"/>
      <c r="J197" s="794">
        <f xml:space="preserve"> IF(OR(E197="", E197&lt;1), F197,E197)</f>
        <v>3</v>
      </c>
      <c r="K197" s="23"/>
      <c r="L197" s="23"/>
      <c r="M197" s="23"/>
      <c r="N197" s="23"/>
      <c r="O197" s="23"/>
      <c r="P197" s="23"/>
      <c r="Q197" s="23"/>
      <c r="S197" s="4"/>
      <c r="T197" s="4"/>
      <c r="U197" s="4"/>
      <c r="V197" s="4"/>
      <c r="W197" s="4"/>
      <c r="X197" s="4"/>
      <c r="Y197" s="4"/>
      <c r="AG197" s="32"/>
      <c r="AH197" s="326"/>
      <c r="AI197" s="326"/>
      <c r="AJ197" s="31"/>
      <c r="AK197" s="31"/>
      <c r="AL197" s="31"/>
      <c r="AM197" s="30"/>
      <c r="AU197" s="25"/>
    </row>
    <row r="198" spans="1:47" s="23" customFormat="1" hidden="1" x14ac:dyDescent="0.25"/>
    <row r="199" spans="1:47" s="23" customFormat="1" hidden="1" x14ac:dyDescent="0.25"/>
    <row r="200" spans="1:47" s="23" customFormat="1" hidden="1" x14ac:dyDescent="0.25">
      <c r="B200" s="2052" t="s">
        <v>1669</v>
      </c>
      <c r="C200" s="2053"/>
      <c r="D200" s="2053"/>
      <c r="E200" s="2054" t="s">
        <v>1671</v>
      </c>
      <c r="F200" s="2054"/>
      <c r="G200" s="2056" t="s">
        <v>1876</v>
      </c>
      <c r="H200" s="2056"/>
      <c r="I200" s="2056"/>
      <c r="J200" s="2057"/>
    </row>
    <row r="201" spans="1:47" s="23" customFormat="1" hidden="1" x14ac:dyDescent="0.25">
      <c r="B201" s="2049"/>
      <c r="C201" s="2050"/>
      <c r="D201" s="2050"/>
      <c r="E201" s="2055"/>
      <c r="F201" s="2055"/>
      <c r="G201" s="2058"/>
      <c r="H201" s="2058"/>
      <c r="I201" s="2058"/>
      <c r="J201" s="2059"/>
    </row>
    <row r="202" spans="1:47" s="23" customFormat="1" ht="15.75" hidden="1" x14ac:dyDescent="0.25">
      <c r="B202" s="2046" t="s">
        <v>1467</v>
      </c>
      <c r="C202" s="2047"/>
      <c r="D202" s="2048"/>
      <c r="E202" s="1014" t="s">
        <v>523</v>
      </c>
      <c r="F202" s="1015" t="s">
        <v>524</v>
      </c>
      <c r="G202" s="1016" t="str">
        <f>E202</f>
        <v>Retail Price ($/kW)</v>
      </c>
      <c r="H202" s="1017" t="str">
        <f>F202</f>
        <v>Mfg. Cost ($/kW)</v>
      </c>
      <c r="I202" s="1021" t="str">
        <f>G202</f>
        <v>Retail Price ($/kW)</v>
      </c>
      <c r="J202" s="1022" t="str">
        <f>H202</f>
        <v>Mfg. Cost ($/kW)</v>
      </c>
    </row>
    <row r="203" spans="1:47" s="23" customFormat="1" ht="15.75" hidden="1" x14ac:dyDescent="0.25">
      <c r="B203" s="2049"/>
      <c r="C203" s="2050"/>
      <c r="D203" s="2051"/>
      <c r="E203" s="1018" t="str">
        <f>E24</f>
        <v>User-specified value</v>
      </c>
      <c r="F203" s="1019" t="str">
        <f>E203</f>
        <v>User-specified value</v>
      </c>
      <c r="G203" s="1016" t="s">
        <v>430</v>
      </c>
      <c r="H203" s="1020" t="str">
        <f>G203</f>
        <v>Default value</v>
      </c>
      <c r="I203" s="2041" t="s">
        <v>525</v>
      </c>
      <c r="J203" s="2042"/>
    </row>
    <row r="204" spans="1:47" s="23" customFormat="1" ht="15.75" hidden="1" x14ac:dyDescent="0.25">
      <c r="B204" s="933" t="s">
        <v>543</v>
      </c>
      <c r="C204" s="328"/>
      <c r="D204" s="328"/>
      <c r="E204" s="1914"/>
      <c r="F204" s="1914"/>
      <c r="G204" s="1006">
        <f>(1+Costs!$B$57)*H204</f>
        <v>3120</v>
      </c>
      <c r="H204" s="1007">
        <f>MROUND(Costs!B16, 10)</f>
        <v>2080</v>
      </c>
      <c r="I204" s="1002">
        <f>IF(E204&lt;&gt;"", E204, J204*(1+Costs!$B$57))</f>
        <v>3120</v>
      </c>
      <c r="J204" s="789">
        <f>IF(F204&lt;&gt;"",F204,IF(E204&lt;&gt;"",E204/(1+Costs!$B$57),H204))</f>
        <v>2080</v>
      </c>
    </row>
    <row r="205" spans="1:47" s="23" customFormat="1" ht="15.75" hidden="1" x14ac:dyDescent="0.25">
      <c r="B205" s="934" t="s">
        <v>544</v>
      </c>
      <c r="C205" s="329"/>
      <c r="D205" s="329"/>
      <c r="E205" s="1915"/>
      <c r="F205" s="1915"/>
      <c r="G205" s="1008">
        <f>(1+Costs!$B$57)*H205</f>
        <v>6000</v>
      </c>
      <c r="H205" s="1009">
        <f>MROUND(Costs!B17,10)</f>
        <v>4000</v>
      </c>
      <c r="I205" s="1002">
        <f>IF(E205&lt;&gt;"", E205, J205*(1+Costs!$B$57))</f>
        <v>6000</v>
      </c>
      <c r="J205" s="789">
        <f>IF(F205&lt;&gt;"",F205,IF(E205&lt;&gt;"",E205/(1+Costs!$B$57),H205))</f>
        <v>4000</v>
      </c>
    </row>
    <row r="206" spans="1:47" s="23" customFormat="1" hidden="1" x14ac:dyDescent="0.25"/>
    <row r="207" spans="1:47" s="899" customFormat="1" ht="14.45" hidden="1" customHeight="1" x14ac:dyDescent="0.25">
      <c r="A207" s="23"/>
    </row>
    <row r="208" spans="1:47" s="123" customFormat="1" ht="14.45" hidden="1" customHeight="1" x14ac:dyDescent="0.25">
      <c r="A208" s="130"/>
      <c r="B208" s="2002" t="s">
        <v>424</v>
      </c>
      <c r="C208" s="2003"/>
      <c r="D208" s="2003"/>
      <c r="E208" s="2003"/>
      <c r="F208" s="1926"/>
      <c r="G208" s="1926"/>
      <c r="H208" s="1926"/>
      <c r="I208" s="1926"/>
      <c r="J208" s="1926"/>
      <c r="K208" s="1926"/>
      <c r="L208" s="1926"/>
      <c r="M208" s="1926"/>
      <c r="N208" s="1926"/>
      <c r="O208" s="1926"/>
      <c r="P208" s="1926"/>
      <c r="Q208" s="1926"/>
      <c r="R208" s="217"/>
      <c r="T208" s="218"/>
      <c r="Y208" s="3"/>
      <c r="Z208" s="3"/>
      <c r="AA208" s="3"/>
      <c r="AB208" s="3"/>
      <c r="AC208" s="3"/>
      <c r="AD208" s="3"/>
      <c r="AE208" s="3"/>
      <c r="AF208" s="3"/>
      <c r="AG208" s="3"/>
      <c r="AH208" s="3"/>
      <c r="AI208" s="3"/>
      <c r="AJ208" s="3"/>
    </row>
    <row r="209" spans="1:38" s="219" customFormat="1" ht="14.45" hidden="1" customHeight="1" x14ac:dyDescent="0.25">
      <c r="A209" s="130"/>
      <c r="B209" s="221"/>
      <c r="R209" s="220"/>
      <c r="T209" s="221"/>
      <c r="Y209" s="3"/>
      <c r="Z209" s="3"/>
      <c r="AA209" s="3"/>
      <c r="AB209" s="3"/>
      <c r="AC209" s="3"/>
      <c r="AD209" s="3"/>
      <c r="AE209" s="3"/>
      <c r="AF209" s="3"/>
      <c r="AG209" s="3"/>
      <c r="AH209" s="3"/>
      <c r="AI209" s="3"/>
      <c r="AJ209" s="3"/>
    </row>
    <row r="210" spans="1:38" s="410" customFormat="1" ht="14.45" hidden="1" customHeight="1" x14ac:dyDescent="0.25">
      <c r="D210" s="411" t="s">
        <v>1044</v>
      </c>
      <c r="E210" s="412"/>
      <c r="F210" s="412"/>
      <c r="Y210" s="413"/>
      <c r="Z210" s="413"/>
      <c r="AA210" s="103"/>
      <c r="AB210" s="103"/>
      <c r="AC210" s="103"/>
      <c r="AD210" s="103"/>
      <c r="AE210" s="103"/>
      <c r="AF210" s="103"/>
      <c r="AG210" s="103"/>
      <c r="AH210" s="103"/>
      <c r="AI210" s="103"/>
      <c r="AJ210" s="103"/>
      <c r="AK210" s="414"/>
      <c r="AL210" s="414"/>
    </row>
    <row r="211" spans="1:38" s="415" customFormat="1" ht="15" hidden="1" customHeight="1" x14ac:dyDescent="0.25">
      <c r="A211" s="410"/>
      <c r="B211" s="1187" t="s">
        <v>1565</v>
      </c>
      <c r="C211" s="1188"/>
      <c r="D211" s="1139" t="s">
        <v>1571</v>
      </c>
      <c r="G211" s="412"/>
      <c r="H211" s="412"/>
      <c r="I211" s="412"/>
      <c r="J211" s="412"/>
      <c r="K211" s="412"/>
      <c r="L211" s="412"/>
      <c r="M211" s="412"/>
      <c r="N211" s="412"/>
      <c r="O211" s="412"/>
      <c r="P211" s="412"/>
      <c r="Q211" s="412"/>
      <c r="R211" s="412"/>
      <c r="S211" s="412"/>
      <c r="T211" s="412"/>
      <c r="AA211" s="103"/>
      <c r="AB211" s="103"/>
      <c r="AC211" s="103"/>
      <c r="AD211" s="103"/>
      <c r="AE211" s="103"/>
      <c r="AF211" s="103"/>
      <c r="AG211" s="103"/>
      <c r="AH211" s="103"/>
      <c r="AI211" s="103"/>
      <c r="AJ211" s="103"/>
      <c r="AK211" s="103"/>
      <c r="AL211" s="103"/>
    </row>
    <row r="212" spans="1:38" s="417" customFormat="1" ht="14.45" hidden="1" customHeight="1" x14ac:dyDescent="0.25">
      <c r="A212" s="416"/>
      <c r="D212" s="418" t="s">
        <v>412</v>
      </c>
      <c r="E212" s="419" t="s">
        <v>10</v>
      </c>
      <c r="F212" s="419" t="s">
        <v>428</v>
      </c>
      <c r="G212" s="419" t="s">
        <v>2253</v>
      </c>
      <c r="H212" s="417" t="s">
        <v>583</v>
      </c>
      <c r="I212" s="417" t="s">
        <v>584</v>
      </c>
      <c r="J212" s="417" t="s">
        <v>585</v>
      </c>
      <c r="K212" s="417" t="s">
        <v>586</v>
      </c>
      <c r="L212" s="417" t="s">
        <v>413</v>
      </c>
      <c r="M212" s="417" t="s">
        <v>414</v>
      </c>
      <c r="N212" s="417" t="s">
        <v>592</v>
      </c>
      <c r="O212" s="417" t="s">
        <v>587</v>
      </c>
      <c r="P212" s="417" t="s">
        <v>588</v>
      </c>
      <c r="Q212" s="417" t="s">
        <v>589</v>
      </c>
      <c r="R212" s="417" t="s">
        <v>590</v>
      </c>
      <c r="S212" s="417" t="s">
        <v>591</v>
      </c>
      <c r="T212" s="417" t="s">
        <v>593</v>
      </c>
      <c r="U212" s="417" t="s">
        <v>594</v>
      </c>
      <c r="V212" s="417" t="s">
        <v>595</v>
      </c>
      <c r="W212" s="417" t="s">
        <v>596</v>
      </c>
      <c r="X212" s="417" t="s">
        <v>597</v>
      </c>
      <c r="Y212" s="417" t="s">
        <v>598</v>
      </c>
      <c r="Z212" s="415"/>
      <c r="AA212" s="103"/>
      <c r="AB212" s="103"/>
      <c r="AC212" s="103"/>
      <c r="AD212" s="103"/>
      <c r="AE212" s="103"/>
      <c r="AF212" s="103"/>
      <c r="AG212" s="103"/>
      <c r="AH212" s="103"/>
      <c r="AI212" s="103"/>
      <c r="AJ212" s="103"/>
      <c r="AK212" s="103"/>
      <c r="AL212" s="103"/>
    </row>
    <row r="213" spans="1:38" s="415" customFormat="1" ht="15" hidden="1" customHeight="1" x14ac:dyDescent="0.25">
      <c r="A213" s="410"/>
      <c r="B213" s="415" t="str">
        <f>'PEM sectors'!A4</f>
        <v>Stack</v>
      </c>
      <c r="C213" s="415" t="str">
        <f>'PEM sectors'!B4</f>
        <v>Cathode side gasket</v>
      </c>
      <c r="D213" s="415">
        <f t="shared" ref="D213:D225" si="12">IF(OR(State="AK", State="HI", State="WY"), 336300, 334419)</f>
        <v>334419</v>
      </c>
      <c r="E213" s="415" t="str">
        <f t="shared" ref="E213:E225" si="13">IF(OR(State="AK", State="HI", State="WY"), "Motor vehicle parts manufacturing", "Other electronic component manufacturing")</f>
        <v>Other electronic component manufacturing</v>
      </c>
      <c r="F213" s="420">
        <f>'PEM sectors'!E4</f>
        <v>1.492169373549884E-3</v>
      </c>
      <c r="G213" s="420">
        <f>F213</f>
        <v>1.492169373549884E-3</v>
      </c>
      <c r="H213" s="421" t="e">
        <f>$G213*(INDEX(tier_emp_mult, MATCH($D213, tier_emp_code,0), MATCH(State, R_emp, 0)))/(INDEX(tier_earn_mult, MATCH($D213, tier_earn_code,0), MATCH(State, R_earn, 0)))/1000000</f>
        <v>#N/A</v>
      </c>
      <c r="I213" s="422"/>
      <c r="J213" s="422"/>
      <c r="K213" s="423" t="e">
        <f t="shared" ref="K213" si="14">H213</f>
        <v>#N/A</v>
      </c>
      <c r="L213" s="423"/>
      <c r="M213" s="423" t="e">
        <f>$G213*((INDEX(typeII_emp_mult, MATCH($D213, typeII_emp_code,0), MATCH(State, R_emp, 0)))-(INDEX(typeI_emp_mult, MATCH($D213, typeI_emp_code,0), MATCH(State, R_emp, 0))))/(INDEX(tier_earn_mult, MATCH($D213, tier_earn_code,0), MATCH(State, R_earn, 0)))/1000000</f>
        <v>#N/A</v>
      </c>
      <c r="N213" s="424"/>
      <c r="O213" s="425"/>
      <c r="P213" s="425"/>
      <c r="Q213" s="426"/>
      <c r="R213" s="426"/>
      <c r="S213" s="424" t="e">
        <f t="shared" ref="S213:S225" si="15">$G213*((INDEX(typeII_earn_mult, MATCH($D213, typeII_earn_code,0), MATCH(State, R_earn, 0)))-(INDEX(typeI_earn_mult, MATCH($D213, typeI_earn_code,0), MATCH(State, R_earn, 0))))/(INDEX(tier_earn_mult, MATCH($D213, tier_earn_code,0), MATCH(State, R_earn, 0)))</f>
        <v>#N/A</v>
      </c>
      <c r="T213" s="426"/>
      <c r="U213" s="424"/>
      <c r="V213" s="424"/>
      <c r="W213" s="426"/>
      <c r="X213" s="426"/>
      <c r="Y213" s="427" t="e">
        <f t="shared" ref="Y213:Y225" si="16">$G213*((INDEX(typeII_out_mult, MATCH($D213, typeII_out_code,0), MATCH(State, R_out, 0)))-(INDEX(typeI_out_mult, MATCH($D213, typeI_out_code,0), MATCH(State, R_out, 0))))/(INDEX(tier_earn_mult, MATCH($D213, tier_earn_code,0), MATCH(State, R_earn, 0)))</f>
        <v>#N/A</v>
      </c>
      <c r="AA213" s="103"/>
      <c r="AB213" s="103"/>
      <c r="AC213" s="103"/>
      <c r="AD213" s="103"/>
      <c r="AE213" s="103"/>
      <c r="AF213" s="103"/>
      <c r="AG213" s="103"/>
      <c r="AH213" s="103"/>
      <c r="AI213" s="103"/>
      <c r="AJ213" s="103"/>
      <c r="AK213" s="103"/>
      <c r="AL213" s="103"/>
    </row>
    <row r="214" spans="1:38" s="415" customFormat="1" ht="15" hidden="1" customHeight="1" x14ac:dyDescent="0.25">
      <c r="A214" s="410"/>
      <c r="B214" s="415" t="str">
        <f>'PEM sectors'!A5</f>
        <v>Stack</v>
      </c>
      <c r="C214" s="415" t="str">
        <f>'PEM sectors'!B5</f>
        <v>Anode side gasket</v>
      </c>
      <c r="D214" s="415">
        <f t="shared" si="12"/>
        <v>334419</v>
      </c>
      <c r="E214" s="415" t="str">
        <f t="shared" si="13"/>
        <v>Other electronic component manufacturing</v>
      </c>
      <c r="F214" s="420">
        <f>'PEM sectors'!E5</f>
        <v>1.4327146171693734E-3</v>
      </c>
      <c r="G214" s="420">
        <f t="shared" ref="G214:G225" si="17">F214</f>
        <v>1.4327146171693734E-3</v>
      </c>
      <c r="H214" s="421" t="e">
        <f t="shared" ref="H214:H225" si="18">$G214*(INDEX(tier_emp_mult, MATCH($D214, tier_emp_code,0), MATCH(State, R_emp, 0)))/(INDEX(tier_earn_mult, MATCH($D214, tier_earn_code,0), MATCH(State, R_earn, 0)))/1000000</f>
        <v>#N/A</v>
      </c>
      <c r="I214" s="422"/>
      <c r="J214" s="422"/>
      <c r="K214" s="423" t="e">
        <f t="shared" ref="K214:K225" si="19">H214</f>
        <v>#N/A</v>
      </c>
      <c r="L214" s="423"/>
      <c r="M214" s="423" t="e">
        <f t="shared" ref="M214:M225" si="20">$G214*((INDEX(typeII_emp_mult, MATCH($D214, typeII_emp_code,0), MATCH(State, R_emp, 0)))-(INDEX(typeI_emp_mult, MATCH($D214, typeI_emp_code,0), MATCH(State, R_emp, 0))))/(INDEX(tier_earn_mult, MATCH($D214, tier_earn_code,0), MATCH(State, R_earn, 0)))/1000000</f>
        <v>#N/A</v>
      </c>
      <c r="N214" s="424"/>
      <c r="O214" s="425"/>
      <c r="P214" s="425"/>
      <c r="Q214" s="426"/>
      <c r="R214" s="426"/>
      <c r="S214" s="424" t="e">
        <f t="shared" si="15"/>
        <v>#N/A</v>
      </c>
      <c r="T214" s="426"/>
      <c r="U214" s="424"/>
      <c r="V214" s="424"/>
      <c r="W214" s="426"/>
      <c r="X214" s="426"/>
      <c r="Y214" s="427" t="e">
        <f t="shared" si="16"/>
        <v>#N/A</v>
      </c>
      <c r="AA214" s="103"/>
      <c r="AB214" s="103"/>
      <c r="AC214" s="103"/>
      <c r="AD214" s="103"/>
      <c r="AE214" s="103"/>
      <c r="AF214" s="103"/>
      <c r="AG214" s="103"/>
      <c r="AH214" s="103"/>
      <c r="AI214" s="103"/>
      <c r="AJ214" s="103"/>
      <c r="AK214" s="103"/>
      <c r="AL214" s="103"/>
    </row>
    <row r="215" spans="1:38" s="415" customFormat="1" ht="15" hidden="1" customHeight="1" x14ac:dyDescent="0.25">
      <c r="A215" s="410"/>
      <c r="B215" s="415" t="str">
        <f>'PEM sectors'!A6</f>
        <v>Stack</v>
      </c>
      <c r="C215" s="415" t="str">
        <f>'PEM sectors'!B6</f>
        <v>Cooling gasket</v>
      </c>
      <c r="D215" s="415">
        <f t="shared" si="12"/>
        <v>334419</v>
      </c>
      <c r="E215" s="415" t="str">
        <f t="shared" si="13"/>
        <v>Other electronic component manufacturing</v>
      </c>
      <c r="F215" s="420">
        <f>'PEM sectors'!E6</f>
        <v>1.492169373549884E-3</v>
      </c>
      <c r="G215" s="420">
        <f t="shared" si="17"/>
        <v>1.492169373549884E-3</v>
      </c>
      <c r="H215" s="421" t="e">
        <f t="shared" si="18"/>
        <v>#N/A</v>
      </c>
      <c r="I215" s="422"/>
      <c r="J215" s="422"/>
      <c r="K215" s="423" t="e">
        <f t="shared" si="19"/>
        <v>#N/A</v>
      </c>
      <c r="L215" s="423"/>
      <c r="M215" s="423" t="e">
        <f t="shared" si="20"/>
        <v>#N/A</v>
      </c>
      <c r="N215" s="424"/>
      <c r="O215" s="425"/>
      <c r="P215" s="425"/>
      <c r="Q215" s="426"/>
      <c r="R215" s="426"/>
      <c r="S215" s="424" t="e">
        <f t="shared" si="15"/>
        <v>#N/A</v>
      </c>
      <c r="T215" s="426"/>
      <c r="U215" s="424"/>
      <c r="V215" s="424"/>
      <c r="W215" s="426"/>
      <c r="X215" s="426"/>
      <c r="Y215" s="427" t="e">
        <f t="shared" si="16"/>
        <v>#N/A</v>
      </c>
      <c r="AA215" s="103"/>
      <c r="AB215" s="103"/>
      <c r="AC215" s="103"/>
      <c r="AD215" s="103"/>
      <c r="AE215" s="103"/>
      <c r="AF215" s="103"/>
      <c r="AG215" s="103"/>
      <c r="AH215" s="103"/>
      <c r="AI215" s="103"/>
      <c r="AJ215" s="103"/>
      <c r="AK215" s="103"/>
      <c r="AL215" s="103"/>
    </row>
    <row r="216" spans="1:38" s="415" customFormat="1" ht="15" hidden="1" customHeight="1" x14ac:dyDescent="0.25">
      <c r="A216" s="410"/>
      <c r="B216" s="415" t="str">
        <f>'PEM sectors'!A7</f>
        <v>Stack</v>
      </c>
      <c r="C216" s="415" t="str">
        <f>'PEM sectors'!B7</f>
        <v>End gaskets</v>
      </c>
      <c r="D216" s="415">
        <f t="shared" si="12"/>
        <v>334419</v>
      </c>
      <c r="E216" s="415" t="str">
        <f t="shared" si="13"/>
        <v>Other electronic component manufacturing</v>
      </c>
      <c r="F216" s="420">
        <f>'PEM sectors'!E7</f>
        <v>3.0452436194895588E-5</v>
      </c>
      <c r="G216" s="420">
        <f t="shared" si="17"/>
        <v>3.0452436194895588E-5</v>
      </c>
      <c r="H216" s="421" t="e">
        <f t="shared" si="18"/>
        <v>#N/A</v>
      </c>
      <c r="I216" s="422"/>
      <c r="J216" s="422"/>
      <c r="K216" s="423" t="e">
        <f t="shared" si="19"/>
        <v>#N/A</v>
      </c>
      <c r="L216" s="423"/>
      <c r="M216" s="423" t="e">
        <f t="shared" si="20"/>
        <v>#N/A</v>
      </c>
      <c r="N216" s="424"/>
      <c r="O216" s="425"/>
      <c r="P216" s="425"/>
      <c r="Q216" s="426"/>
      <c r="R216" s="426"/>
      <c r="S216" s="424" t="e">
        <f t="shared" si="15"/>
        <v>#N/A</v>
      </c>
      <c r="T216" s="426"/>
      <c r="U216" s="424"/>
      <c r="V216" s="424"/>
      <c r="W216" s="426"/>
      <c r="X216" s="426"/>
      <c r="Y216" s="427" t="e">
        <f t="shared" si="16"/>
        <v>#N/A</v>
      </c>
      <c r="AA216" s="103"/>
      <c r="AB216" s="103"/>
      <c r="AC216" s="103"/>
      <c r="AD216" s="103"/>
      <c r="AE216" s="103"/>
      <c r="AF216" s="103"/>
      <c r="AG216" s="103"/>
      <c r="AH216" s="103"/>
      <c r="AI216" s="103"/>
      <c r="AJ216" s="103"/>
      <c r="AK216" s="103"/>
      <c r="AL216" s="103"/>
    </row>
    <row r="217" spans="1:38" s="415" customFormat="1" ht="15" hidden="1" customHeight="1" x14ac:dyDescent="0.25">
      <c r="A217" s="410"/>
      <c r="B217" s="415" t="str">
        <f>'PEM sectors'!A8</f>
        <v>Stack</v>
      </c>
      <c r="C217" s="415" t="str">
        <f>'PEM sectors'!B8</f>
        <v>End plates</v>
      </c>
      <c r="D217" s="415">
        <f t="shared" si="12"/>
        <v>334419</v>
      </c>
      <c r="E217" s="415" t="str">
        <f t="shared" si="13"/>
        <v>Other electronic component manufacturing</v>
      </c>
      <c r="F217" s="420">
        <f>'PEM sectors'!E8</f>
        <v>6.4965197215777258E-4</v>
      </c>
      <c r="G217" s="420">
        <f t="shared" si="17"/>
        <v>6.4965197215777258E-4</v>
      </c>
      <c r="H217" s="421" t="e">
        <f t="shared" si="18"/>
        <v>#N/A</v>
      </c>
      <c r="I217" s="422"/>
      <c r="J217" s="422"/>
      <c r="K217" s="423" t="e">
        <f t="shared" si="19"/>
        <v>#N/A</v>
      </c>
      <c r="L217" s="423"/>
      <c r="M217" s="423" t="e">
        <f t="shared" si="20"/>
        <v>#N/A</v>
      </c>
      <c r="N217" s="424"/>
      <c r="O217" s="425"/>
      <c r="P217" s="425"/>
      <c r="Q217" s="426"/>
      <c r="R217" s="426"/>
      <c r="S217" s="424" t="e">
        <f t="shared" si="15"/>
        <v>#N/A</v>
      </c>
      <c r="T217" s="426"/>
      <c r="U217" s="424"/>
      <c r="V217" s="424"/>
      <c r="W217" s="426"/>
      <c r="X217" s="426"/>
      <c r="Y217" s="427" t="e">
        <f t="shared" si="16"/>
        <v>#N/A</v>
      </c>
      <c r="AA217" s="103"/>
      <c r="AB217" s="103"/>
      <c r="AC217" s="103"/>
      <c r="AD217" s="103"/>
      <c r="AE217" s="103"/>
      <c r="AF217" s="103"/>
      <c r="AG217" s="103"/>
      <c r="AH217" s="103"/>
      <c r="AI217" s="103"/>
      <c r="AJ217" s="103"/>
      <c r="AK217" s="103"/>
      <c r="AL217" s="103"/>
    </row>
    <row r="218" spans="1:38" s="415" customFormat="1" ht="15" hidden="1" customHeight="1" x14ac:dyDescent="0.25">
      <c r="A218" s="410"/>
      <c r="B218" s="415" t="str">
        <f>'PEM sectors'!A9</f>
        <v>Stack</v>
      </c>
      <c r="C218" s="415" t="str">
        <f>'PEM sectors'!B9</f>
        <v xml:space="preserve">Bipolar plates </v>
      </c>
      <c r="D218" s="415">
        <f t="shared" si="12"/>
        <v>334419</v>
      </c>
      <c r="E218" s="415" t="str">
        <f t="shared" si="13"/>
        <v>Other electronic component manufacturing</v>
      </c>
      <c r="F218" s="420">
        <f>'PEM sectors'!E9</f>
        <v>4.1250000000000002E-2</v>
      </c>
      <c r="G218" s="420">
        <f t="shared" si="17"/>
        <v>4.1250000000000002E-2</v>
      </c>
      <c r="H218" s="421" t="e">
        <f t="shared" si="18"/>
        <v>#N/A</v>
      </c>
      <c r="I218" s="422"/>
      <c r="J218" s="422"/>
      <c r="K218" s="423" t="e">
        <f t="shared" si="19"/>
        <v>#N/A</v>
      </c>
      <c r="L218" s="423"/>
      <c r="M218" s="423" t="e">
        <f t="shared" si="20"/>
        <v>#N/A</v>
      </c>
      <c r="N218" s="424"/>
      <c r="O218" s="425"/>
      <c r="P218" s="425"/>
      <c r="Q218" s="426"/>
      <c r="R218" s="426"/>
      <c r="S218" s="424" t="e">
        <f t="shared" si="15"/>
        <v>#N/A</v>
      </c>
      <c r="T218" s="426"/>
      <c r="U218" s="424"/>
      <c r="V218" s="424"/>
      <c r="W218" s="426"/>
      <c r="X218" s="426"/>
      <c r="Y218" s="427" t="e">
        <f t="shared" si="16"/>
        <v>#N/A</v>
      </c>
      <c r="AA218" s="103"/>
      <c r="AB218" s="103"/>
      <c r="AC218" s="103"/>
      <c r="AD218" s="103"/>
      <c r="AE218" s="103"/>
      <c r="AF218" s="103"/>
      <c r="AG218" s="103"/>
      <c r="AH218" s="103"/>
      <c r="AI218" s="103"/>
      <c r="AJ218" s="103"/>
      <c r="AK218" s="103"/>
      <c r="AL218" s="103"/>
    </row>
    <row r="219" spans="1:38" s="415" customFormat="1" ht="15" hidden="1" customHeight="1" x14ac:dyDescent="0.25">
      <c r="A219" s="410"/>
      <c r="B219" s="415" t="str">
        <f>'PEM sectors'!A10</f>
        <v>Stack</v>
      </c>
      <c r="C219" s="415" t="str">
        <f>'PEM sectors'!B10</f>
        <v>Tie rods and hardware</v>
      </c>
      <c r="D219" s="415">
        <f t="shared" si="12"/>
        <v>334419</v>
      </c>
      <c r="E219" s="415" t="str">
        <f t="shared" si="13"/>
        <v>Other electronic component manufacturing</v>
      </c>
      <c r="F219" s="420">
        <f>'PEM sectors'!E10</f>
        <v>0</v>
      </c>
      <c r="G219" s="420">
        <f t="shared" si="17"/>
        <v>0</v>
      </c>
      <c r="H219" s="421" t="e">
        <f t="shared" si="18"/>
        <v>#N/A</v>
      </c>
      <c r="I219" s="422"/>
      <c r="J219" s="422"/>
      <c r="K219" s="423" t="e">
        <f t="shared" si="19"/>
        <v>#N/A</v>
      </c>
      <c r="L219" s="423"/>
      <c r="M219" s="423" t="e">
        <f t="shared" si="20"/>
        <v>#N/A</v>
      </c>
      <c r="N219" s="424"/>
      <c r="O219" s="425"/>
      <c r="P219" s="425"/>
      <c r="Q219" s="426"/>
      <c r="R219" s="426"/>
      <c r="S219" s="424" t="e">
        <f t="shared" si="15"/>
        <v>#N/A</v>
      </c>
      <c r="T219" s="426"/>
      <c r="U219" s="424"/>
      <c r="V219" s="424"/>
      <c r="W219" s="426"/>
      <c r="X219" s="426"/>
      <c r="Y219" s="427" t="e">
        <f t="shared" si="16"/>
        <v>#N/A</v>
      </c>
      <c r="AA219" s="103"/>
      <c r="AB219" s="103"/>
      <c r="AC219" s="103"/>
      <c r="AD219" s="103"/>
      <c r="AE219" s="103"/>
      <c r="AF219" s="103"/>
      <c r="AG219" s="103"/>
      <c r="AH219" s="103"/>
      <c r="AI219" s="103"/>
      <c r="AJ219" s="103"/>
      <c r="AK219" s="103"/>
      <c r="AL219" s="103"/>
    </row>
    <row r="220" spans="1:38" s="415" customFormat="1" ht="15" hidden="1" customHeight="1" x14ac:dyDescent="0.25">
      <c r="A220" s="410"/>
      <c r="B220" s="415" t="str">
        <f>'PEM sectors'!A11</f>
        <v>Stack (MEA)</v>
      </c>
      <c r="C220" s="415" t="str">
        <f>'PEM sectors'!B11</f>
        <v>Carbon Cloth</v>
      </c>
      <c r="D220" s="415">
        <f t="shared" si="12"/>
        <v>334419</v>
      </c>
      <c r="E220" s="415" t="str">
        <f t="shared" si="13"/>
        <v>Other electronic component manufacturing</v>
      </c>
      <c r="F220" s="420">
        <f>'PEM sectors'!E11</f>
        <v>3.9153132250580045E-3</v>
      </c>
      <c r="G220" s="420">
        <f t="shared" si="17"/>
        <v>3.9153132250580045E-3</v>
      </c>
      <c r="H220" s="421" t="e">
        <f t="shared" si="18"/>
        <v>#N/A</v>
      </c>
      <c r="I220" s="422"/>
      <c r="J220" s="422"/>
      <c r="K220" s="423" t="e">
        <f t="shared" si="19"/>
        <v>#N/A</v>
      </c>
      <c r="L220" s="423"/>
      <c r="M220" s="423" t="e">
        <f t="shared" si="20"/>
        <v>#N/A</v>
      </c>
      <c r="N220" s="424"/>
      <c r="O220" s="425"/>
      <c r="P220" s="425"/>
      <c r="Q220" s="426"/>
      <c r="R220" s="426"/>
      <c r="S220" s="424" t="e">
        <f t="shared" si="15"/>
        <v>#N/A</v>
      </c>
      <c r="T220" s="426"/>
      <c r="U220" s="424"/>
      <c r="V220" s="424"/>
      <c r="W220" s="426"/>
      <c r="X220" s="426"/>
      <c r="Y220" s="427" t="e">
        <f t="shared" si="16"/>
        <v>#N/A</v>
      </c>
      <c r="AA220" s="103"/>
      <c r="AB220" s="103"/>
      <c r="AC220" s="103"/>
      <c r="AD220" s="103"/>
      <c r="AE220" s="103"/>
      <c r="AF220" s="103"/>
      <c r="AG220" s="103"/>
      <c r="AH220" s="103"/>
      <c r="AI220" s="103"/>
      <c r="AJ220" s="103"/>
      <c r="AK220" s="103"/>
      <c r="AL220" s="103"/>
    </row>
    <row r="221" spans="1:38" s="415" customFormat="1" ht="15" hidden="1" customHeight="1" x14ac:dyDescent="0.25">
      <c r="A221" s="410"/>
      <c r="B221" s="415" t="str">
        <f>'PEM sectors'!A12</f>
        <v>Stack (MEA)</v>
      </c>
      <c r="C221" s="415" t="str">
        <f>'PEM sectors'!B12</f>
        <v>Teflon</v>
      </c>
      <c r="D221" s="415">
        <f t="shared" si="12"/>
        <v>334419</v>
      </c>
      <c r="E221" s="415" t="str">
        <f t="shared" si="13"/>
        <v>Other electronic component manufacturing</v>
      </c>
      <c r="F221" s="420">
        <f>'PEM sectors'!E12</f>
        <v>0</v>
      </c>
      <c r="G221" s="420">
        <f t="shared" si="17"/>
        <v>0</v>
      </c>
      <c r="H221" s="421" t="e">
        <f t="shared" si="18"/>
        <v>#N/A</v>
      </c>
      <c r="I221" s="422"/>
      <c r="J221" s="422"/>
      <c r="K221" s="423" t="e">
        <f t="shared" si="19"/>
        <v>#N/A</v>
      </c>
      <c r="L221" s="423"/>
      <c r="M221" s="423" t="e">
        <f t="shared" si="20"/>
        <v>#N/A</v>
      </c>
      <c r="N221" s="424"/>
      <c r="O221" s="425"/>
      <c r="P221" s="425"/>
      <c r="Q221" s="426"/>
      <c r="R221" s="426"/>
      <c r="S221" s="424" t="e">
        <f t="shared" si="15"/>
        <v>#N/A</v>
      </c>
      <c r="T221" s="426"/>
      <c r="U221" s="424"/>
      <c r="V221" s="424"/>
      <c r="W221" s="426"/>
      <c r="X221" s="426"/>
      <c r="Y221" s="427" t="e">
        <f t="shared" si="16"/>
        <v>#N/A</v>
      </c>
      <c r="AA221" s="103"/>
      <c r="AB221" s="103"/>
      <c r="AC221" s="103"/>
      <c r="AD221" s="103"/>
      <c r="AE221" s="103"/>
      <c r="AF221" s="103"/>
      <c r="AG221" s="103"/>
      <c r="AH221" s="103"/>
      <c r="AI221" s="103"/>
      <c r="AJ221" s="103"/>
      <c r="AK221" s="103"/>
      <c r="AL221" s="103"/>
    </row>
    <row r="222" spans="1:38" s="415" customFormat="1" ht="15" hidden="1" customHeight="1" x14ac:dyDescent="0.25">
      <c r="A222" s="410"/>
      <c r="B222" s="415" t="str">
        <f>'PEM sectors'!A13</f>
        <v>Stack (MEA)</v>
      </c>
      <c r="C222" s="415" t="str">
        <f>'PEM sectors'!B13</f>
        <v>PFSA (Nafion)</v>
      </c>
      <c r="D222" s="415">
        <f t="shared" si="12"/>
        <v>334419</v>
      </c>
      <c r="E222" s="415" t="str">
        <f t="shared" si="13"/>
        <v>Other electronic component manufacturing</v>
      </c>
      <c r="F222" s="420">
        <f>'PEM sectors'!E13</f>
        <v>0</v>
      </c>
      <c r="G222" s="420">
        <f t="shared" si="17"/>
        <v>0</v>
      </c>
      <c r="H222" s="421" t="e">
        <f t="shared" si="18"/>
        <v>#N/A</v>
      </c>
      <c r="I222" s="422"/>
      <c r="J222" s="422"/>
      <c r="K222" s="423" t="e">
        <f t="shared" si="19"/>
        <v>#N/A</v>
      </c>
      <c r="L222" s="423"/>
      <c r="M222" s="423" t="e">
        <f t="shared" si="20"/>
        <v>#N/A</v>
      </c>
      <c r="N222" s="424"/>
      <c r="O222" s="425"/>
      <c r="P222" s="425"/>
      <c r="Q222" s="426"/>
      <c r="R222" s="426"/>
      <c r="S222" s="424" t="e">
        <f t="shared" si="15"/>
        <v>#N/A</v>
      </c>
      <c r="T222" s="426"/>
      <c r="U222" s="424"/>
      <c r="V222" s="424"/>
      <c r="W222" s="426"/>
      <c r="X222" s="426"/>
      <c r="Y222" s="427" t="e">
        <f t="shared" si="16"/>
        <v>#N/A</v>
      </c>
      <c r="AA222" s="103"/>
      <c r="AB222" s="103"/>
      <c r="AC222" s="103"/>
      <c r="AD222" s="103"/>
      <c r="AE222" s="103"/>
      <c r="AF222" s="103"/>
      <c r="AG222" s="103"/>
      <c r="AH222" s="103"/>
      <c r="AI222" s="103"/>
      <c r="AJ222" s="103"/>
      <c r="AK222" s="103"/>
      <c r="AL222" s="103"/>
    </row>
    <row r="223" spans="1:38" s="415" customFormat="1" ht="15" hidden="1" customHeight="1" x14ac:dyDescent="0.25">
      <c r="A223" s="410"/>
      <c r="B223" s="415" t="str">
        <f>'PEM sectors'!A14</f>
        <v>Stack (MEA)</v>
      </c>
      <c r="C223" s="415" t="str">
        <f>'PEM sectors'!B14</f>
        <v>Platinum</v>
      </c>
      <c r="D223" s="415">
        <f t="shared" si="12"/>
        <v>334419</v>
      </c>
      <c r="E223" s="415" t="str">
        <f t="shared" si="13"/>
        <v>Other electronic component manufacturing</v>
      </c>
      <c r="F223" s="420">
        <f>'PEM sectors'!E14</f>
        <v>0</v>
      </c>
      <c r="G223" s="420">
        <f t="shared" si="17"/>
        <v>0</v>
      </c>
      <c r="H223" s="421" t="e">
        <f t="shared" si="18"/>
        <v>#N/A</v>
      </c>
      <c r="I223" s="422"/>
      <c r="J223" s="422"/>
      <c r="K223" s="423" t="e">
        <f t="shared" si="19"/>
        <v>#N/A</v>
      </c>
      <c r="L223" s="423"/>
      <c r="M223" s="423" t="e">
        <f t="shared" si="20"/>
        <v>#N/A</v>
      </c>
      <c r="N223" s="424"/>
      <c r="O223" s="425"/>
      <c r="P223" s="425"/>
      <c r="Q223" s="426"/>
      <c r="R223" s="426"/>
      <c r="S223" s="424" t="e">
        <f t="shared" si="15"/>
        <v>#N/A</v>
      </c>
      <c r="T223" s="426"/>
      <c r="U223" s="424"/>
      <c r="V223" s="424"/>
      <c r="W223" s="426"/>
      <c r="X223" s="426"/>
      <c r="Y223" s="427" t="e">
        <f t="shared" si="16"/>
        <v>#N/A</v>
      </c>
      <c r="AA223" s="103"/>
      <c r="AB223" s="103"/>
      <c r="AC223" s="103"/>
      <c r="AD223" s="103"/>
      <c r="AE223" s="103"/>
      <c r="AF223" s="103"/>
      <c r="AG223" s="103"/>
      <c r="AH223" s="103"/>
      <c r="AI223" s="103"/>
      <c r="AJ223" s="103"/>
      <c r="AK223" s="103"/>
      <c r="AL223" s="103"/>
    </row>
    <row r="224" spans="1:38" s="415" customFormat="1" ht="15" hidden="1" customHeight="1" x14ac:dyDescent="0.25">
      <c r="A224" s="410"/>
      <c r="B224" s="415" t="str">
        <f>'PEM sectors'!A15</f>
        <v>Stack (MEA)</v>
      </c>
      <c r="C224" s="415" t="str">
        <f>'PEM sectors'!B15</f>
        <v>MEA mfg</v>
      </c>
      <c r="D224" s="415">
        <f t="shared" si="12"/>
        <v>334419</v>
      </c>
      <c r="E224" s="415" t="str">
        <f t="shared" si="13"/>
        <v>Other electronic component manufacturing</v>
      </c>
      <c r="F224" s="420">
        <f>'PEM sectors'!E15</f>
        <v>6.17314385150812E-3</v>
      </c>
      <c r="G224" s="420">
        <f t="shared" si="17"/>
        <v>6.17314385150812E-3</v>
      </c>
      <c r="H224" s="421" t="e">
        <f t="shared" si="18"/>
        <v>#N/A</v>
      </c>
      <c r="I224" s="422"/>
      <c r="J224" s="422"/>
      <c r="K224" s="423" t="e">
        <f t="shared" si="19"/>
        <v>#N/A</v>
      </c>
      <c r="L224" s="423"/>
      <c r="M224" s="423" t="e">
        <f t="shared" si="20"/>
        <v>#N/A</v>
      </c>
      <c r="N224" s="424"/>
      <c r="O224" s="425"/>
      <c r="P224" s="425"/>
      <c r="Q224" s="426"/>
      <c r="R224" s="426"/>
      <c r="S224" s="424" t="e">
        <f t="shared" si="15"/>
        <v>#N/A</v>
      </c>
      <c r="T224" s="426"/>
      <c r="U224" s="424"/>
      <c r="V224" s="424"/>
      <c r="W224" s="426"/>
      <c r="X224" s="426"/>
      <c r="Y224" s="427" t="e">
        <f t="shared" si="16"/>
        <v>#N/A</v>
      </c>
      <c r="AA224" s="103"/>
      <c r="AB224" s="103"/>
      <c r="AC224" s="103"/>
      <c r="AD224" s="103"/>
      <c r="AE224" s="103"/>
      <c r="AF224" s="103"/>
      <c r="AG224" s="103"/>
      <c r="AH224" s="103"/>
      <c r="AI224" s="103"/>
      <c r="AJ224" s="103"/>
      <c r="AK224" s="103"/>
      <c r="AL224" s="103"/>
    </row>
    <row r="225" spans="1:38" s="415" customFormat="1" ht="15" hidden="1" customHeight="1" x14ac:dyDescent="0.25">
      <c r="A225" s="410"/>
      <c r="B225" s="415" t="str">
        <f>'PEM sectors'!A18</f>
        <v>Stack</v>
      </c>
      <c r="C225" s="415" t="str">
        <f>'PEM sectors'!B18</f>
        <v>Stack assembly</v>
      </c>
      <c r="D225" s="415">
        <f t="shared" si="12"/>
        <v>334419</v>
      </c>
      <c r="E225" s="415" t="str">
        <f t="shared" si="13"/>
        <v>Other electronic component manufacturing</v>
      </c>
      <c r="F225" s="420">
        <f>'PEM sectors'!E18</f>
        <v>5.9454756380510438E-3</v>
      </c>
      <c r="G225" s="420">
        <f t="shared" si="17"/>
        <v>5.9454756380510438E-3</v>
      </c>
      <c r="H225" s="421" t="e">
        <f t="shared" si="18"/>
        <v>#N/A</v>
      </c>
      <c r="I225" s="422"/>
      <c r="J225" s="422"/>
      <c r="K225" s="423" t="e">
        <f t="shared" si="19"/>
        <v>#N/A</v>
      </c>
      <c r="L225" s="423"/>
      <c r="M225" s="423" t="e">
        <f t="shared" si="20"/>
        <v>#N/A</v>
      </c>
      <c r="N225" s="424"/>
      <c r="O225" s="425"/>
      <c r="P225" s="425"/>
      <c r="Q225" s="426"/>
      <c r="R225" s="426"/>
      <c r="S225" s="424" t="e">
        <f t="shared" si="15"/>
        <v>#N/A</v>
      </c>
      <c r="T225" s="426"/>
      <c r="U225" s="424"/>
      <c r="V225" s="424"/>
      <c r="W225" s="426"/>
      <c r="X225" s="426"/>
      <c r="Y225" s="427" t="e">
        <f t="shared" si="16"/>
        <v>#N/A</v>
      </c>
      <c r="AA225" s="103"/>
      <c r="AB225" s="103"/>
      <c r="AC225" s="103"/>
      <c r="AD225" s="103"/>
      <c r="AE225" s="103"/>
      <c r="AF225" s="103"/>
      <c r="AG225" s="103"/>
      <c r="AH225" s="103"/>
      <c r="AI225" s="103"/>
      <c r="AJ225" s="103"/>
      <c r="AK225" s="103"/>
      <c r="AL225" s="103"/>
    </row>
    <row r="226" spans="1:38" s="415" customFormat="1" ht="15" hidden="1" customHeight="1" x14ac:dyDescent="0.25">
      <c r="A226" s="410"/>
      <c r="E226" s="428" t="s">
        <v>448</v>
      </c>
      <c r="F226" s="429">
        <f>SUM(F213:F225)</f>
        <v>6.2381090487238978E-2</v>
      </c>
      <c r="G226" s="429">
        <f>SUM(G213:G225)</f>
        <v>6.2381090487238978E-2</v>
      </c>
      <c r="H226" s="430" t="e">
        <f>SUM(H213:H225)</f>
        <v>#N/A</v>
      </c>
      <c r="I226" s="412"/>
      <c r="J226" s="412"/>
      <c r="K226" s="423" t="e">
        <f t="shared" ref="K226" si="21">H226</f>
        <v>#N/A</v>
      </c>
      <c r="L226" s="423"/>
      <c r="M226" s="430" t="e">
        <f>SUM(M213:M225)</f>
        <v>#N/A</v>
      </c>
      <c r="N226" s="412"/>
      <c r="O226" s="412"/>
      <c r="P226" s="412"/>
      <c r="Q226" s="412"/>
      <c r="R226" s="412"/>
      <c r="S226" s="430" t="e">
        <f>SUM(S213:S225)</f>
        <v>#N/A</v>
      </c>
      <c r="T226" s="412"/>
      <c r="U226" s="430"/>
      <c r="V226" s="430"/>
      <c r="Y226" s="430" t="e">
        <f>SUM(Y213:Y225)</f>
        <v>#N/A</v>
      </c>
      <c r="AA226" s="103"/>
      <c r="AB226" s="103"/>
      <c r="AC226" s="103"/>
      <c r="AD226" s="103"/>
      <c r="AE226" s="103"/>
      <c r="AF226" s="103"/>
      <c r="AG226" s="103"/>
      <c r="AH226" s="103"/>
      <c r="AI226" s="103"/>
      <c r="AJ226" s="103"/>
      <c r="AK226" s="103"/>
      <c r="AL226" s="103"/>
    </row>
    <row r="227" spans="1:38" s="415" customFormat="1" ht="15" hidden="1" customHeight="1" x14ac:dyDescent="0.25">
      <c r="A227" s="410"/>
      <c r="F227" s="412"/>
      <c r="G227" s="412"/>
      <c r="H227" s="412"/>
      <c r="I227" s="412"/>
      <c r="J227" s="412"/>
      <c r="K227" s="412"/>
      <c r="L227" s="412"/>
      <c r="M227" s="412"/>
      <c r="N227" s="412"/>
      <c r="O227" s="412"/>
      <c r="P227" s="412"/>
      <c r="Q227" s="412"/>
      <c r="R227" s="412"/>
      <c r="S227" s="412"/>
      <c r="T227" s="412"/>
      <c r="AA227" s="103"/>
      <c r="AB227" s="103"/>
      <c r="AC227" s="103"/>
      <c r="AD227" s="103"/>
      <c r="AE227" s="103"/>
      <c r="AF227" s="103"/>
      <c r="AG227" s="103"/>
      <c r="AH227" s="103"/>
      <c r="AI227" s="103"/>
      <c r="AJ227" s="103"/>
      <c r="AK227" s="103"/>
      <c r="AL227" s="103"/>
    </row>
    <row r="228" spans="1:38" s="415" customFormat="1" ht="15" hidden="1" customHeight="1" x14ac:dyDescent="0.25">
      <c r="A228" s="410"/>
      <c r="E228" s="415">
        <v>2015</v>
      </c>
      <c r="F228" s="431">
        <f t="shared" ref="F228:F233" si="22">F$226*F597</f>
        <v>0</v>
      </c>
      <c r="G228" s="431">
        <f t="shared" ref="G228:H233" si="23">G$226*$G597</f>
        <v>0</v>
      </c>
      <c r="H228" s="432" t="e">
        <f t="shared" si="23"/>
        <v>#N/A</v>
      </c>
      <c r="I228" s="432"/>
      <c r="J228" s="432"/>
      <c r="K228" s="432" t="e">
        <f t="shared" ref="K228:K233" si="24">K$226*$G597</f>
        <v>#N/A</v>
      </c>
      <c r="L228" s="432"/>
      <c r="M228" s="432" t="e">
        <f t="shared" ref="M228:M233" si="25">M$226*$G597</f>
        <v>#N/A</v>
      </c>
      <c r="N228" s="431">
        <f>G228</f>
        <v>0</v>
      </c>
      <c r="O228" s="431"/>
      <c r="P228" s="431"/>
      <c r="Q228" s="431">
        <f>N228</f>
        <v>0</v>
      </c>
      <c r="R228" s="431"/>
      <c r="S228" s="431" t="e">
        <f t="shared" ref="S228:S233" si="26">S$226*$G597</f>
        <v>#N/A</v>
      </c>
      <c r="T228" s="431">
        <f>N228</f>
        <v>0</v>
      </c>
      <c r="U228" s="431"/>
      <c r="V228" s="431"/>
      <c r="W228" s="431">
        <f>N228</f>
        <v>0</v>
      </c>
      <c r="X228" s="431"/>
      <c r="Y228" s="431" t="e">
        <f t="shared" ref="Y228:Y233" si="27">Y$226*$G597</f>
        <v>#N/A</v>
      </c>
      <c r="Z228" s="431"/>
      <c r="AA228" s="103"/>
      <c r="AB228" s="103"/>
      <c r="AC228" s="103"/>
      <c r="AD228" s="103"/>
      <c r="AE228" s="103"/>
      <c r="AF228" s="103"/>
      <c r="AG228" s="103"/>
      <c r="AH228" s="103"/>
      <c r="AI228" s="103"/>
      <c r="AJ228" s="103"/>
      <c r="AK228" s="103"/>
      <c r="AL228" s="103"/>
    </row>
    <row r="229" spans="1:38" s="415" customFormat="1" ht="15" hidden="1" customHeight="1" x14ac:dyDescent="0.25">
      <c r="A229" s="410"/>
      <c r="E229" s="415">
        <v>2016</v>
      </c>
      <c r="F229" s="431">
        <f t="shared" si="22"/>
        <v>0</v>
      </c>
      <c r="G229" s="431">
        <f t="shared" si="23"/>
        <v>0</v>
      </c>
      <c r="H229" s="432" t="e">
        <f t="shared" si="23"/>
        <v>#N/A</v>
      </c>
      <c r="I229" s="432"/>
      <c r="J229" s="432"/>
      <c r="K229" s="432" t="e">
        <f t="shared" si="24"/>
        <v>#N/A</v>
      </c>
      <c r="L229" s="432"/>
      <c r="M229" s="432" t="e">
        <f t="shared" si="25"/>
        <v>#N/A</v>
      </c>
      <c r="N229" s="431">
        <f t="shared" ref="N229:N233" si="28">G229</f>
        <v>0</v>
      </c>
      <c r="O229" s="431"/>
      <c r="P229" s="431"/>
      <c r="Q229" s="431">
        <f t="shared" ref="Q229:Q233" si="29">N229</f>
        <v>0</v>
      </c>
      <c r="R229" s="431"/>
      <c r="S229" s="431" t="e">
        <f t="shared" si="26"/>
        <v>#N/A</v>
      </c>
      <c r="T229" s="431">
        <f t="shared" ref="T229:T233" si="30">N229</f>
        <v>0</v>
      </c>
      <c r="U229" s="431"/>
      <c r="V229" s="431"/>
      <c r="W229" s="431">
        <f t="shared" ref="W229:W233" si="31">N229</f>
        <v>0</v>
      </c>
      <c r="X229" s="431"/>
      <c r="Y229" s="431" t="e">
        <f t="shared" si="27"/>
        <v>#N/A</v>
      </c>
      <c r="Z229" s="431"/>
      <c r="AA229" s="103"/>
      <c r="AB229" s="103"/>
      <c r="AC229" s="103"/>
      <c r="AD229" s="103"/>
      <c r="AE229" s="103"/>
      <c r="AF229" s="103"/>
      <c r="AG229" s="103"/>
      <c r="AH229" s="103"/>
      <c r="AI229" s="103"/>
      <c r="AJ229" s="103"/>
      <c r="AK229" s="103"/>
      <c r="AL229" s="103"/>
    </row>
    <row r="230" spans="1:38" s="415" customFormat="1" ht="15" hidden="1" customHeight="1" x14ac:dyDescent="0.25">
      <c r="A230" s="410"/>
      <c r="E230" s="415">
        <v>2017</v>
      </c>
      <c r="F230" s="431">
        <f t="shared" si="22"/>
        <v>0</v>
      </c>
      <c r="G230" s="431">
        <f t="shared" si="23"/>
        <v>0</v>
      </c>
      <c r="H230" s="432" t="e">
        <f t="shared" si="23"/>
        <v>#N/A</v>
      </c>
      <c r="I230" s="432"/>
      <c r="J230" s="432"/>
      <c r="K230" s="432" t="e">
        <f t="shared" si="24"/>
        <v>#N/A</v>
      </c>
      <c r="L230" s="432"/>
      <c r="M230" s="432" t="e">
        <f t="shared" si="25"/>
        <v>#N/A</v>
      </c>
      <c r="N230" s="431">
        <f t="shared" si="28"/>
        <v>0</v>
      </c>
      <c r="O230" s="431"/>
      <c r="P230" s="431"/>
      <c r="Q230" s="431">
        <f t="shared" si="29"/>
        <v>0</v>
      </c>
      <c r="R230" s="431"/>
      <c r="S230" s="431" t="e">
        <f t="shared" si="26"/>
        <v>#N/A</v>
      </c>
      <c r="T230" s="431">
        <f t="shared" si="30"/>
        <v>0</v>
      </c>
      <c r="U230" s="431"/>
      <c r="V230" s="431"/>
      <c r="W230" s="431">
        <f t="shared" si="31"/>
        <v>0</v>
      </c>
      <c r="X230" s="431"/>
      <c r="Y230" s="431" t="e">
        <f t="shared" si="27"/>
        <v>#N/A</v>
      </c>
      <c r="Z230" s="431"/>
      <c r="AA230" s="103"/>
      <c r="AB230" s="103"/>
      <c r="AC230" s="103"/>
      <c r="AD230" s="103"/>
      <c r="AE230" s="103"/>
      <c r="AF230" s="103"/>
      <c r="AG230" s="103"/>
      <c r="AH230" s="103"/>
      <c r="AI230" s="103"/>
      <c r="AJ230" s="103"/>
      <c r="AK230" s="103"/>
      <c r="AL230" s="103"/>
    </row>
    <row r="231" spans="1:38" s="415" customFormat="1" ht="15" hidden="1" customHeight="1" x14ac:dyDescent="0.25">
      <c r="A231" s="410"/>
      <c r="E231" s="415">
        <v>2018</v>
      </c>
      <c r="F231" s="431">
        <f t="shared" si="22"/>
        <v>0</v>
      </c>
      <c r="G231" s="431">
        <f t="shared" si="23"/>
        <v>0</v>
      </c>
      <c r="H231" s="432" t="e">
        <f t="shared" si="23"/>
        <v>#N/A</v>
      </c>
      <c r="I231" s="432"/>
      <c r="J231" s="432"/>
      <c r="K231" s="432" t="e">
        <f t="shared" si="24"/>
        <v>#N/A</v>
      </c>
      <c r="L231" s="432"/>
      <c r="M231" s="432" t="e">
        <f t="shared" si="25"/>
        <v>#N/A</v>
      </c>
      <c r="N231" s="431">
        <f t="shared" si="28"/>
        <v>0</v>
      </c>
      <c r="O231" s="431"/>
      <c r="P231" s="431"/>
      <c r="Q231" s="431">
        <f t="shared" si="29"/>
        <v>0</v>
      </c>
      <c r="R231" s="431"/>
      <c r="S231" s="431" t="e">
        <f t="shared" si="26"/>
        <v>#N/A</v>
      </c>
      <c r="T231" s="431">
        <f t="shared" si="30"/>
        <v>0</v>
      </c>
      <c r="U231" s="431"/>
      <c r="V231" s="431"/>
      <c r="W231" s="431">
        <f t="shared" si="31"/>
        <v>0</v>
      </c>
      <c r="X231" s="431"/>
      <c r="Y231" s="431" t="e">
        <f t="shared" si="27"/>
        <v>#N/A</v>
      </c>
      <c r="Z231" s="431"/>
      <c r="AA231" s="103"/>
      <c r="AB231" s="103"/>
      <c r="AC231" s="103"/>
      <c r="AD231" s="103"/>
      <c r="AE231" s="103"/>
      <c r="AF231" s="103"/>
      <c r="AG231" s="103"/>
      <c r="AH231" s="103"/>
      <c r="AI231" s="103"/>
      <c r="AJ231" s="103"/>
      <c r="AK231" s="103"/>
      <c r="AL231" s="103"/>
    </row>
    <row r="232" spans="1:38" s="415" customFormat="1" ht="15" hidden="1" customHeight="1" x14ac:dyDescent="0.25">
      <c r="A232" s="410"/>
      <c r="E232" s="415">
        <v>2019</v>
      </c>
      <c r="F232" s="431">
        <f t="shared" si="22"/>
        <v>0</v>
      </c>
      <c r="G232" s="431">
        <f t="shared" si="23"/>
        <v>0</v>
      </c>
      <c r="H232" s="432" t="e">
        <f t="shared" si="23"/>
        <v>#N/A</v>
      </c>
      <c r="I232" s="432"/>
      <c r="J232" s="432"/>
      <c r="K232" s="432" t="e">
        <f t="shared" si="24"/>
        <v>#N/A</v>
      </c>
      <c r="L232" s="432"/>
      <c r="M232" s="432" t="e">
        <f t="shared" si="25"/>
        <v>#N/A</v>
      </c>
      <c r="N232" s="431">
        <f t="shared" si="28"/>
        <v>0</v>
      </c>
      <c r="O232" s="431"/>
      <c r="P232" s="431"/>
      <c r="Q232" s="431">
        <f t="shared" si="29"/>
        <v>0</v>
      </c>
      <c r="R232" s="431"/>
      <c r="S232" s="431" t="e">
        <f t="shared" si="26"/>
        <v>#N/A</v>
      </c>
      <c r="T232" s="431">
        <f t="shared" si="30"/>
        <v>0</v>
      </c>
      <c r="U232" s="431"/>
      <c r="V232" s="431"/>
      <c r="W232" s="431">
        <f t="shared" si="31"/>
        <v>0</v>
      </c>
      <c r="X232" s="431"/>
      <c r="Y232" s="431" t="e">
        <f t="shared" si="27"/>
        <v>#N/A</v>
      </c>
      <c r="Z232" s="431"/>
      <c r="AA232" s="103"/>
      <c r="AB232" s="103"/>
      <c r="AC232" s="103"/>
      <c r="AD232" s="103"/>
      <c r="AE232" s="103"/>
      <c r="AF232" s="103"/>
      <c r="AG232" s="103"/>
      <c r="AH232" s="103"/>
      <c r="AI232" s="103"/>
      <c r="AJ232" s="103"/>
      <c r="AK232" s="103"/>
      <c r="AL232" s="103"/>
    </row>
    <row r="233" spans="1:38" s="415" customFormat="1" ht="15" hidden="1" customHeight="1" x14ac:dyDescent="0.25">
      <c r="A233" s="410"/>
      <c r="E233" s="415">
        <v>2020</v>
      </c>
      <c r="F233" s="431">
        <f t="shared" si="22"/>
        <v>0</v>
      </c>
      <c r="G233" s="431">
        <f t="shared" si="23"/>
        <v>0</v>
      </c>
      <c r="H233" s="432" t="e">
        <f t="shared" si="23"/>
        <v>#N/A</v>
      </c>
      <c r="I233" s="432"/>
      <c r="J233" s="432"/>
      <c r="K233" s="432" t="e">
        <f t="shared" si="24"/>
        <v>#N/A</v>
      </c>
      <c r="L233" s="432"/>
      <c r="M233" s="432" t="e">
        <f t="shared" si="25"/>
        <v>#N/A</v>
      </c>
      <c r="N233" s="431">
        <f t="shared" si="28"/>
        <v>0</v>
      </c>
      <c r="O233" s="431"/>
      <c r="P233" s="431"/>
      <c r="Q233" s="431">
        <f t="shared" si="29"/>
        <v>0</v>
      </c>
      <c r="R233" s="431"/>
      <c r="S233" s="431" t="e">
        <f t="shared" si="26"/>
        <v>#N/A</v>
      </c>
      <c r="T233" s="431">
        <f t="shared" si="30"/>
        <v>0</v>
      </c>
      <c r="U233" s="431"/>
      <c r="V233" s="431"/>
      <c r="W233" s="431">
        <f t="shared" si="31"/>
        <v>0</v>
      </c>
      <c r="X233" s="431"/>
      <c r="Y233" s="431" t="e">
        <f t="shared" si="27"/>
        <v>#N/A</v>
      </c>
      <c r="Z233" s="431"/>
      <c r="AA233" s="103"/>
      <c r="AB233" s="103"/>
      <c r="AC233" s="103"/>
      <c r="AD233" s="103"/>
      <c r="AE233" s="103"/>
      <c r="AF233" s="103"/>
      <c r="AG233" s="103"/>
      <c r="AH233" s="103"/>
      <c r="AI233" s="103"/>
      <c r="AJ233" s="103"/>
      <c r="AK233" s="103"/>
      <c r="AL233" s="103"/>
    </row>
    <row r="234" spans="1:38" s="415" customFormat="1" ht="15" hidden="1" customHeight="1" x14ac:dyDescent="0.25">
      <c r="A234" s="410"/>
      <c r="D234" s="433"/>
      <c r="F234" s="412"/>
      <c r="G234" s="412"/>
      <c r="H234" s="412"/>
      <c r="I234" s="412"/>
      <c r="J234" s="412"/>
      <c r="K234" s="412"/>
      <c r="L234" s="412"/>
      <c r="M234" s="412"/>
      <c r="N234" s="412"/>
      <c r="O234" s="412"/>
      <c r="P234" s="412"/>
      <c r="Q234" s="412"/>
      <c r="R234" s="412"/>
      <c r="S234" s="412"/>
      <c r="T234" s="412"/>
      <c r="AA234" s="103"/>
      <c r="AB234" s="103"/>
      <c r="AC234" s="103"/>
      <c r="AD234" s="103"/>
      <c r="AE234" s="103"/>
      <c r="AF234" s="103"/>
      <c r="AG234" s="103"/>
      <c r="AH234" s="103"/>
      <c r="AI234" s="103"/>
      <c r="AJ234" s="103"/>
      <c r="AK234" s="103"/>
      <c r="AL234" s="103"/>
    </row>
    <row r="235" spans="1:38" s="415" customFormat="1" ht="15" hidden="1" customHeight="1" x14ac:dyDescent="0.25">
      <c r="A235" s="410"/>
      <c r="B235" s="1187" t="s">
        <v>1566</v>
      </c>
      <c r="C235" s="1188"/>
      <c r="D235" s="1140" t="s">
        <v>1572</v>
      </c>
      <c r="E235" s="412"/>
      <c r="F235" s="412"/>
      <c r="G235" s="412"/>
      <c r="H235" s="412"/>
      <c r="I235" s="412"/>
      <c r="J235" s="412"/>
      <c r="K235" s="412"/>
      <c r="L235" s="412"/>
      <c r="M235" s="412"/>
      <c r="N235" s="412"/>
      <c r="O235" s="412"/>
      <c r="P235" s="412"/>
      <c r="Q235" s="412"/>
      <c r="R235" s="412"/>
      <c r="S235" s="412"/>
      <c r="T235" s="412"/>
      <c r="AA235" s="103"/>
      <c r="AB235" s="103"/>
      <c r="AC235" s="103"/>
      <c r="AD235" s="103"/>
      <c r="AE235" s="103"/>
      <c r="AF235" s="103"/>
      <c r="AG235" s="103"/>
      <c r="AH235" s="103"/>
      <c r="AI235" s="103"/>
      <c r="AJ235" s="103"/>
      <c r="AK235" s="103"/>
      <c r="AL235" s="103"/>
    </row>
    <row r="236" spans="1:38" s="417" customFormat="1" ht="14.45" hidden="1" customHeight="1" x14ac:dyDescent="0.25">
      <c r="A236" s="416"/>
      <c r="D236" s="418" t="s">
        <v>412</v>
      </c>
      <c r="E236" s="419" t="s">
        <v>10</v>
      </c>
      <c r="F236" s="419" t="s">
        <v>428</v>
      </c>
      <c r="G236" s="419" t="str">
        <f>G$212</f>
        <v>Cost in 2008 dollars</v>
      </c>
      <c r="H236" s="417" t="s">
        <v>583</v>
      </c>
      <c r="I236" s="417" t="s">
        <v>584</v>
      </c>
      <c r="J236" s="417" t="s">
        <v>585</v>
      </c>
      <c r="K236" s="417" t="s">
        <v>586</v>
      </c>
      <c r="L236" s="417" t="s">
        <v>413</v>
      </c>
      <c r="M236" s="417" t="s">
        <v>414</v>
      </c>
      <c r="N236" s="417" t="s">
        <v>592</v>
      </c>
      <c r="O236" s="417" t="s">
        <v>587</v>
      </c>
      <c r="P236" s="417" t="s">
        <v>588</v>
      </c>
      <c r="Q236" s="417" t="s">
        <v>589</v>
      </c>
      <c r="R236" s="417" t="s">
        <v>590</v>
      </c>
      <c r="S236" s="417" t="s">
        <v>591</v>
      </c>
      <c r="T236" s="417" t="s">
        <v>593</v>
      </c>
      <c r="U236" s="417" t="s">
        <v>594</v>
      </c>
      <c r="V236" s="417" t="s">
        <v>595</v>
      </c>
      <c r="W236" s="417" t="s">
        <v>596</v>
      </c>
      <c r="X236" s="417" t="s">
        <v>597</v>
      </c>
      <c r="Y236" s="417" t="s">
        <v>598</v>
      </c>
      <c r="Z236" s="415"/>
      <c r="AA236" s="103"/>
      <c r="AB236" s="103"/>
      <c r="AC236" s="103"/>
      <c r="AD236" s="103"/>
      <c r="AE236" s="103"/>
      <c r="AF236" s="103"/>
      <c r="AG236" s="103"/>
      <c r="AH236" s="103"/>
      <c r="AI236" s="103"/>
      <c r="AJ236" s="103"/>
      <c r="AK236" s="103"/>
      <c r="AL236" s="103"/>
    </row>
    <row r="237" spans="1:38" s="415" customFormat="1" ht="15" hidden="1" customHeight="1" x14ac:dyDescent="0.25">
      <c r="A237" s="410"/>
      <c r="B237" s="415" t="str">
        <f>B213</f>
        <v>Stack</v>
      </c>
      <c r="C237" s="415" t="str">
        <f>'PEM sectors'!B4</f>
        <v>Cathode side gasket</v>
      </c>
      <c r="D237" s="415">
        <f>'PEM sectors'!C4</f>
        <v>339991</v>
      </c>
      <c r="E237" s="415" t="str">
        <f>'PEM sectors'!D4</f>
        <v xml:space="preserve">Gasket, packing, and sealing device manufacturing </v>
      </c>
      <c r="F237" s="434">
        <f>'PEM sectors'!F4</f>
        <v>3.9791183294663572E-3</v>
      </c>
      <c r="G237" s="420">
        <f>F237</f>
        <v>3.9791183294663572E-3</v>
      </c>
      <c r="H237" s="435" t="e">
        <f t="shared" ref="H237:H249" si="32">$G237*INDEX(tier_emp_mult, MATCH($D237, tier_emp_code,0), MATCH(State, R_emp, 0))/1000000</f>
        <v>#N/A</v>
      </c>
      <c r="I237" s="436" t="e">
        <f t="shared" ref="I237:I249" si="33">$G237*INDEX(typeI_emp_mult, MATCH($D237, typeI_emp_code,0), MATCH(State, R_emp, 0))/1000000</f>
        <v>#N/A</v>
      </c>
      <c r="J237" s="436" t="e">
        <f t="shared" ref="J237:J249" si="34">$G237*INDEX(typeII_emp_mult, MATCH($D237, typeII_emp_code,0), MATCH(State, R_emp, 0))/1000000</f>
        <v>#N/A</v>
      </c>
      <c r="K237" s="437" t="e">
        <f>H237</f>
        <v>#N/A</v>
      </c>
      <c r="L237" s="437" t="e">
        <f>I237-H237</f>
        <v>#N/A</v>
      </c>
      <c r="M237" s="437" t="e">
        <f>J237-I237</f>
        <v>#N/A</v>
      </c>
      <c r="N237" s="436" t="e">
        <f t="shared" ref="N237:N249" si="35">$G237*INDEX(tier_earn_mult, MATCH($D237, tier_earn_code,0), MATCH(State, R_earn, 0))</f>
        <v>#N/A</v>
      </c>
      <c r="O237" s="436" t="e">
        <f t="shared" ref="O237:O249" si="36">$G237*INDEX(typeI_earn_mult, MATCH($D237, typeI_earn_code,0), MATCH(State, R_earn, 0))</f>
        <v>#N/A</v>
      </c>
      <c r="P237" s="436" t="e">
        <f t="shared" ref="P237:P249" si="37">$G237*INDEX(typeII_earn_mult, MATCH($D237, typeII_earn_code,0), MATCH(State, R_earn, 0))</f>
        <v>#N/A</v>
      </c>
      <c r="Q237" s="438" t="e">
        <f>N237</f>
        <v>#N/A</v>
      </c>
      <c r="R237" s="438" t="e">
        <f>O237-N237</f>
        <v>#N/A</v>
      </c>
      <c r="S237" s="438" t="e">
        <f>P237-O237</f>
        <v>#N/A</v>
      </c>
      <c r="T237" s="436" t="e">
        <f t="shared" ref="T237:T249" si="38">$G237*INDEX(tier_out_mult, MATCH($D237, tier_out_code,0), MATCH(State, R_out, 0))</f>
        <v>#N/A</v>
      </c>
      <c r="U237" s="436" t="e">
        <f t="shared" ref="U237:U249" si="39">$G237*INDEX(typeI_out_mult, MATCH($D237, typeI_out_code,0), MATCH(State, R_out, 0))</f>
        <v>#N/A</v>
      </c>
      <c r="V237" s="436" t="e">
        <f t="shared" ref="V237:V249" si="40">$G237*INDEX(typeII_out_mult, MATCH($D237, typeII_out_code,0), MATCH(State, R_out, 0))</f>
        <v>#N/A</v>
      </c>
      <c r="W237" s="438" t="e">
        <f>T237</f>
        <v>#N/A</v>
      </c>
      <c r="X237" s="438" t="e">
        <f>U237-T237</f>
        <v>#N/A</v>
      </c>
      <c r="Y237" s="438" t="e">
        <f>V237-U237</f>
        <v>#N/A</v>
      </c>
      <c r="AA237" s="103"/>
      <c r="AB237" s="103"/>
      <c r="AC237" s="103"/>
      <c r="AD237" s="103"/>
      <c r="AE237" s="103"/>
      <c r="AF237" s="103"/>
      <c r="AG237" s="103"/>
      <c r="AH237" s="103"/>
      <c r="AI237" s="103"/>
      <c r="AJ237" s="103"/>
      <c r="AK237" s="103"/>
      <c r="AL237" s="103"/>
    </row>
    <row r="238" spans="1:38" s="415" customFormat="1" ht="15" hidden="1" customHeight="1" x14ac:dyDescent="0.25">
      <c r="A238" s="410"/>
      <c r="B238" s="415" t="str">
        <f t="shared" ref="B238:E249" si="41">B214</f>
        <v>Stack</v>
      </c>
      <c r="C238" s="415" t="str">
        <f>'PEM sectors'!B5</f>
        <v>Anode side gasket</v>
      </c>
      <c r="D238" s="415">
        <f>'PEM sectors'!C5</f>
        <v>339991</v>
      </c>
      <c r="E238" s="415" t="str">
        <f>'PEM sectors'!D5</f>
        <v xml:space="preserve">Gasket, packing, and sealing device manufacturing </v>
      </c>
      <c r="F238" s="434">
        <f>'PEM sectors'!F5</f>
        <v>4.0719257540603251E-3</v>
      </c>
      <c r="G238" s="420">
        <f t="shared" ref="G238:G248" si="42">F238</f>
        <v>4.0719257540603251E-3</v>
      </c>
      <c r="H238" s="435" t="e">
        <f t="shared" si="32"/>
        <v>#N/A</v>
      </c>
      <c r="I238" s="436" t="e">
        <f t="shared" si="33"/>
        <v>#N/A</v>
      </c>
      <c r="J238" s="436" t="e">
        <f t="shared" si="34"/>
        <v>#N/A</v>
      </c>
      <c r="K238" s="437" t="e">
        <f t="shared" ref="K238:K250" si="43">H238</f>
        <v>#N/A</v>
      </c>
      <c r="L238" s="437" t="e">
        <f t="shared" ref="L238:L250" si="44">I238-H238</f>
        <v>#N/A</v>
      </c>
      <c r="M238" s="437" t="e">
        <f t="shared" ref="M238:M250" si="45">J238-I238</f>
        <v>#N/A</v>
      </c>
      <c r="N238" s="436" t="e">
        <f t="shared" si="35"/>
        <v>#N/A</v>
      </c>
      <c r="O238" s="436" t="e">
        <f t="shared" si="36"/>
        <v>#N/A</v>
      </c>
      <c r="P238" s="436" t="e">
        <f t="shared" si="37"/>
        <v>#N/A</v>
      </c>
      <c r="Q238" s="438" t="e">
        <f t="shared" ref="Q238:Q250" si="46">N238</f>
        <v>#N/A</v>
      </c>
      <c r="R238" s="438" t="e">
        <f t="shared" ref="R238:R250" si="47">O238-N238</f>
        <v>#N/A</v>
      </c>
      <c r="S238" s="438" t="e">
        <f t="shared" ref="S238:S250" si="48">P238-O238</f>
        <v>#N/A</v>
      </c>
      <c r="T238" s="436" t="e">
        <f t="shared" si="38"/>
        <v>#N/A</v>
      </c>
      <c r="U238" s="436" t="e">
        <f t="shared" si="39"/>
        <v>#N/A</v>
      </c>
      <c r="V238" s="436" t="e">
        <f t="shared" si="40"/>
        <v>#N/A</v>
      </c>
      <c r="W238" s="438" t="e">
        <f t="shared" ref="W238:W250" si="49">T238</f>
        <v>#N/A</v>
      </c>
      <c r="X238" s="438" t="e">
        <f t="shared" ref="X238:X250" si="50">U238-T238</f>
        <v>#N/A</v>
      </c>
      <c r="Y238" s="438" t="e">
        <f t="shared" ref="Y238:Y250" si="51">V238-U238</f>
        <v>#N/A</v>
      </c>
      <c r="AA238" s="103"/>
      <c r="AB238" s="103"/>
      <c r="AC238" s="103"/>
      <c r="AD238" s="103"/>
      <c r="AE238" s="103"/>
      <c r="AF238" s="103"/>
      <c r="AG238" s="103"/>
      <c r="AH238" s="103"/>
      <c r="AI238" s="103"/>
      <c r="AJ238" s="103"/>
      <c r="AK238" s="103"/>
      <c r="AL238" s="103"/>
    </row>
    <row r="239" spans="1:38" s="415" customFormat="1" ht="15" hidden="1" customHeight="1" x14ac:dyDescent="0.25">
      <c r="A239" s="410"/>
      <c r="B239" s="415" t="str">
        <f t="shared" si="41"/>
        <v>Stack</v>
      </c>
      <c r="C239" s="415" t="str">
        <f>'PEM sectors'!B6</f>
        <v>Cooling gasket</v>
      </c>
      <c r="D239" s="415">
        <f>'PEM sectors'!C6</f>
        <v>339991</v>
      </c>
      <c r="E239" s="415" t="str">
        <f>'PEM sectors'!D6</f>
        <v xml:space="preserve">Gasket, packing, and sealing device manufacturing </v>
      </c>
      <c r="F239" s="434">
        <f>'PEM sectors'!F6</f>
        <v>3.9791183294663572E-3</v>
      </c>
      <c r="G239" s="420">
        <f t="shared" si="42"/>
        <v>3.9791183294663572E-3</v>
      </c>
      <c r="H239" s="435" t="e">
        <f t="shared" si="32"/>
        <v>#N/A</v>
      </c>
      <c r="I239" s="436" t="e">
        <f t="shared" si="33"/>
        <v>#N/A</v>
      </c>
      <c r="J239" s="436" t="e">
        <f t="shared" si="34"/>
        <v>#N/A</v>
      </c>
      <c r="K239" s="437" t="e">
        <f t="shared" si="43"/>
        <v>#N/A</v>
      </c>
      <c r="L239" s="437" t="e">
        <f t="shared" si="44"/>
        <v>#N/A</v>
      </c>
      <c r="M239" s="437" t="e">
        <f t="shared" si="45"/>
        <v>#N/A</v>
      </c>
      <c r="N239" s="436" t="e">
        <f t="shared" si="35"/>
        <v>#N/A</v>
      </c>
      <c r="O239" s="436" t="e">
        <f t="shared" si="36"/>
        <v>#N/A</v>
      </c>
      <c r="P239" s="436" t="e">
        <f t="shared" si="37"/>
        <v>#N/A</v>
      </c>
      <c r="Q239" s="438" t="e">
        <f t="shared" si="46"/>
        <v>#N/A</v>
      </c>
      <c r="R239" s="438" t="e">
        <f t="shared" si="47"/>
        <v>#N/A</v>
      </c>
      <c r="S239" s="438" t="e">
        <f t="shared" si="48"/>
        <v>#N/A</v>
      </c>
      <c r="T239" s="436" t="e">
        <f t="shared" si="38"/>
        <v>#N/A</v>
      </c>
      <c r="U239" s="436" t="e">
        <f t="shared" si="39"/>
        <v>#N/A</v>
      </c>
      <c r="V239" s="436" t="e">
        <f t="shared" si="40"/>
        <v>#N/A</v>
      </c>
      <c r="W239" s="438" t="e">
        <f t="shared" si="49"/>
        <v>#N/A</v>
      </c>
      <c r="X239" s="438" t="e">
        <f t="shared" si="50"/>
        <v>#N/A</v>
      </c>
      <c r="Y239" s="438" t="e">
        <f t="shared" si="51"/>
        <v>#N/A</v>
      </c>
      <c r="AA239" s="103"/>
      <c r="AB239" s="103"/>
      <c r="AC239" s="103"/>
      <c r="AD239" s="103"/>
      <c r="AE239" s="103"/>
      <c r="AF239" s="103"/>
      <c r="AG239" s="103"/>
      <c r="AH239" s="103"/>
      <c r="AI239" s="103"/>
      <c r="AJ239" s="103"/>
      <c r="AK239" s="103"/>
      <c r="AL239" s="103"/>
    </row>
    <row r="240" spans="1:38" s="415" customFormat="1" ht="15" hidden="1" customHeight="1" x14ac:dyDescent="0.25">
      <c r="A240" s="410"/>
      <c r="B240" s="415" t="str">
        <f t="shared" si="41"/>
        <v>Stack</v>
      </c>
      <c r="C240" s="415" t="str">
        <f>'PEM sectors'!B7</f>
        <v>End gaskets</v>
      </c>
      <c r="D240" s="415">
        <f>'PEM sectors'!C7</f>
        <v>339991</v>
      </c>
      <c r="E240" s="415" t="str">
        <f>'PEM sectors'!D7</f>
        <v xml:space="preserve">Gasket, packing, and sealing device manufacturing </v>
      </c>
      <c r="F240" s="434">
        <f>'PEM sectors'!F7</f>
        <v>8.1206496519721586E-5</v>
      </c>
      <c r="G240" s="420">
        <f t="shared" si="42"/>
        <v>8.1206496519721586E-5</v>
      </c>
      <c r="H240" s="435" t="e">
        <f t="shared" si="32"/>
        <v>#N/A</v>
      </c>
      <c r="I240" s="436" t="e">
        <f t="shared" si="33"/>
        <v>#N/A</v>
      </c>
      <c r="J240" s="436" t="e">
        <f t="shared" si="34"/>
        <v>#N/A</v>
      </c>
      <c r="K240" s="437" t="e">
        <f t="shared" si="43"/>
        <v>#N/A</v>
      </c>
      <c r="L240" s="437" t="e">
        <f t="shared" si="44"/>
        <v>#N/A</v>
      </c>
      <c r="M240" s="437" t="e">
        <f t="shared" si="45"/>
        <v>#N/A</v>
      </c>
      <c r="N240" s="436" t="e">
        <f t="shared" si="35"/>
        <v>#N/A</v>
      </c>
      <c r="O240" s="436" t="e">
        <f t="shared" si="36"/>
        <v>#N/A</v>
      </c>
      <c r="P240" s="436" t="e">
        <f t="shared" si="37"/>
        <v>#N/A</v>
      </c>
      <c r="Q240" s="438" t="e">
        <f t="shared" si="46"/>
        <v>#N/A</v>
      </c>
      <c r="R240" s="438" t="e">
        <f t="shared" si="47"/>
        <v>#N/A</v>
      </c>
      <c r="S240" s="438" t="e">
        <f t="shared" si="48"/>
        <v>#N/A</v>
      </c>
      <c r="T240" s="436" t="e">
        <f t="shared" si="38"/>
        <v>#N/A</v>
      </c>
      <c r="U240" s="436" t="e">
        <f t="shared" si="39"/>
        <v>#N/A</v>
      </c>
      <c r="V240" s="436" t="e">
        <f t="shared" si="40"/>
        <v>#N/A</v>
      </c>
      <c r="W240" s="438" t="e">
        <f t="shared" si="49"/>
        <v>#N/A</v>
      </c>
      <c r="X240" s="438" t="e">
        <f t="shared" si="50"/>
        <v>#N/A</v>
      </c>
      <c r="Y240" s="438" t="e">
        <f t="shared" si="51"/>
        <v>#N/A</v>
      </c>
      <c r="AA240" s="103"/>
      <c r="AB240" s="103"/>
      <c r="AC240" s="103"/>
      <c r="AD240" s="103"/>
      <c r="AE240" s="103"/>
      <c r="AF240" s="103"/>
      <c r="AG240" s="103"/>
      <c r="AH240" s="103"/>
      <c r="AI240" s="103"/>
      <c r="AJ240" s="103"/>
      <c r="AK240" s="103"/>
      <c r="AL240" s="103"/>
    </row>
    <row r="241" spans="1:38" s="415" customFormat="1" ht="15" hidden="1" customHeight="1" x14ac:dyDescent="0.25">
      <c r="A241" s="410"/>
      <c r="B241" s="415" t="str">
        <f t="shared" si="41"/>
        <v>Stack</v>
      </c>
      <c r="C241" s="415" t="str">
        <f>'PEM sectors'!B8</f>
        <v>End plates</v>
      </c>
      <c r="D241" s="415" t="str">
        <f>'PEM sectors'!C8</f>
        <v>33131B</v>
      </c>
      <c r="E241" s="415" t="str">
        <f>'PEM sectors'!D8</f>
        <v>Aluminum product manufacturing from purchased aluminum</v>
      </c>
      <c r="F241" s="434">
        <f>'PEM sectors'!F8</f>
        <v>1.8677494199535963E-3</v>
      </c>
      <c r="G241" s="420">
        <f t="shared" si="42"/>
        <v>1.8677494199535963E-3</v>
      </c>
      <c r="H241" s="435" t="e">
        <f t="shared" si="32"/>
        <v>#N/A</v>
      </c>
      <c r="I241" s="436" t="e">
        <f t="shared" si="33"/>
        <v>#N/A</v>
      </c>
      <c r="J241" s="436" t="e">
        <f t="shared" si="34"/>
        <v>#N/A</v>
      </c>
      <c r="K241" s="437" t="e">
        <f t="shared" si="43"/>
        <v>#N/A</v>
      </c>
      <c r="L241" s="437" t="e">
        <f t="shared" si="44"/>
        <v>#N/A</v>
      </c>
      <c r="M241" s="437" t="e">
        <f t="shared" si="45"/>
        <v>#N/A</v>
      </c>
      <c r="N241" s="436" t="e">
        <f t="shared" si="35"/>
        <v>#N/A</v>
      </c>
      <c r="O241" s="436" t="e">
        <f t="shared" si="36"/>
        <v>#N/A</v>
      </c>
      <c r="P241" s="436" t="e">
        <f t="shared" si="37"/>
        <v>#N/A</v>
      </c>
      <c r="Q241" s="438" t="e">
        <f t="shared" si="46"/>
        <v>#N/A</v>
      </c>
      <c r="R241" s="438" t="e">
        <f t="shared" si="47"/>
        <v>#N/A</v>
      </c>
      <c r="S241" s="438" t="e">
        <f t="shared" si="48"/>
        <v>#N/A</v>
      </c>
      <c r="T241" s="436" t="e">
        <f t="shared" si="38"/>
        <v>#N/A</v>
      </c>
      <c r="U241" s="436" t="e">
        <f t="shared" si="39"/>
        <v>#N/A</v>
      </c>
      <c r="V241" s="436" t="e">
        <f t="shared" si="40"/>
        <v>#N/A</v>
      </c>
      <c r="W241" s="438" t="e">
        <f t="shared" si="49"/>
        <v>#N/A</v>
      </c>
      <c r="X241" s="438" t="e">
        <f t="shared" si="50"/>
        <v>#N/A</v>
      </c>
      <c r="Y241" s="438" t="e">
        <f t="shared" si="51"/>
        <v>#N/A</v>
      </c>
      <c r="AA241" s="103"/>
      <c r="AB241" s="103"/>
      <c r="AC241" s="103"/>
      <c r="AD241" s="103"/>
      <c r="AE241" s="103"/>
      <c r="AF241" s="103"/>
      <c r="AG241" s="103"/>
      <c r="AH241" s="103"/>
      <c r="AI241" s="103"/>
      <c r="AJ241" s="103"/>
      <c r="AK241" s="103"/>
      <c r="AL241" s="103"/>
    </row>
    <row r="242" spans="1:38" s="415" customFormat="1" ht="15" hidden="1" customHeight="1" x14ac:dyDescent="0.25">
      <c r="A242" s="410"/>
      <c r="B242" s="415" t="str">
        <f t="shared" si="41"/>
        <v>Stack</v>
      </c>
      <c r="C242" s="415" t="str">
        <f>'PEM sectors'!B9</f>
        <v xml:space="preserve">Bipolar plates </v>
      </c>
      <c r="D242" s="415">
        <f>'PEM sectors'!C9</f>
        <v>335991</v>
      </c>
      <c r="E242" s="415" t="str">
        <f>'PEM sectors'!D9</f>
        <v xml:space="preserve">Carbon and graphite product manufacturing </v>
      </c>
      <c r="F242" s="434">
        <f>'PEM sectors'!F9</f>
        <v>0.05</v>
      </c>
      <c r="G242" s="420">
        <f t="shared" si="42"/>
        <v>0.05</v>
      </c>
      <c r="H242" s="435" t="e">
        <f t="shared" si="32"/>
        <v>#N/A</v>
      </c>
      <c r="I242" s="436" t="e">
        <f t="shared" si="33"/>
        <v>#N/A</v>
      </c>
      <c r="J242" s="436" t="e">
        <f t="shared" si="34"/>
        <v>#N/A</v>
      </c>
      <c r="K242" s="437" t="e">
        <f t="shared" si="43"/>
        <v>#N/A</v>
      </c>
      <c r="L242" s="437" t="e">
        <f t="shared" si="44"/>
        <v>#N/A</v>
      </c>
      <c r="M242" s="437" t="e">
        <f t="shared" si="45"/>
        <v>#N/A</v>
      </c>
      <c r="N242" s="436" t="e">
        <f t="shared" si="35"/>
        <v>#N/A</v>
      </c>
      <c r="O242" s="436" t="e">
        <f t="shared" si="36"/>
        <v>#N/A</v>
      </c>
      <c r="P242" s="436" t="e">
        <f t="shared" si="37"/>
        <v>#N/A</v>
      </c>
      <c r="Q242" s="438" t="e">
        <f t="shared" si="46"/>
        <v>#N/A</v>
      </c>
      <c r="R242" s="438" t="e">
        <f t="shared" si="47"/>
        <v>#N/A</v>
      </c>
      <c r="S242" s="438" t="e">
        <f t="shared" si="48"/>
        <v>#N/A</v>
      </c>
      <c r="T242" s="436" t="e">
        <f t="shared" si="38"/>
        <v>#N/A</v>
      </c>
      <c r="U242" s="436" t="e">
        <f t="shared" si="39"/>
        <v>#N/A</v>
      </c>
      <c r="V242" s="436" t="e">
        <f t="shared" si="40"/>
        <v>#N/A</v>
      </c>
      <c r="W242" s="438" t="e">
        <f t="shared" si="49"/>
        <v>#N/A</v>
      </c>
      <c r="X242" s="438" t="e">
        <f t="shared" si="50"/>
        <v>#N/A</v>
      </c>
      <c r="Y242" s="438" t="e">
        <f t="shared" si="51"/>
        <v>#N/A</v>
      </c>
      <c r="AA242" s="103"/>
      <c r="AB242" s="103"/>
      <c r="AC242" s="103"/>
      <c r="AD242" s="103"/>
      <c r="AE242" s="103"/>
      <c r="AF242" s="103"/>
      <c r="AG242" s="103"/>
      <c r="AH242" s="103"/>
      <c r="AI242" s="103"/>
      <c r="AJ242" s="103"/>
      <c r="AK242" s="103"/>
      <c r="AL242" s="103"/>
    </row>
    <row r="243" spans="1:38" s="415" customFormat="1" ht="15" hidden="1" customHeight="1" x14ac:dyDescent="0.25">
      <c r="A243" s="410"/>
      <c r="B243" s="415" t="str">
        <f t="shared" si="41"/>
        <v>Stack</v>
      </c>
      <c r="C243" s="415" t="str">
        <f>'PEM sectors'!B10</f>
        <v>Tie rods and hardware</v>
      </c>
      <c r="D243" s="415">
        <f>'PEM sectors'!C10</f>
        <v>331200</v>
      </c>
      <c r="E243" s="415" t="str">
        <f>'PEM sectors'!D10</f>
        <v xml:space="preserve">Steel product manufacturing from purchased steel </v>
      </c>
      <c r="F243" s="434">
        <f>'PEM sectors'!F10</f>
        <v>5.8004640371229696E-3</v>
      </c>
      <c r="G243" s="420">
        <f t="shared" si="42"/>
        <v>5.8004640371229696E-3</v>
      </c>
      <c r="H243" s="435" t="e">
        <f t="shared" si="32"/>
        <v>#N/A</v>
      </c>
      <c r="I243" s="436" t="e">
        <f t="shared" si="33"/>
        <v>#N/A</v>
      </c>
      <c r="J243" s="436" t="e">
        <f t="shared" si="34"/>
        <v>#N/A</v>
      </c>
      <c r="K243" s="437" t="e">
        <f t="shared" si="43"/>
        <v>#N/A</v>
      </c>
      <c r="L243" s="437" t="e">
        <f t="shared" si="44"/>
        <v>#N/A</v>
      </c>
      <c r="M243" s="437" t="e">
        <f t="shared" si="45"/>
        <v>#N/A</v>
      </c>
      <c r="N243" s="436" t="e">
        <f t="shared" si="35"/>
        <v>#N/A</v>
      </c>
      <c r="O243" s="436" t="e">
        <f t="shared" si="36"/>
        <v>#N/A</v>
      </c>
      <c r="P243" s="436" t="e">
        <f t="shared" si="37"/>
        <v>#N/A</v>
      </c>
      <c r="Q243" s="438" t="e">
        <f t="shared" si="46"/>
        <v>#N/A</v>
      </c>
      <c r="R243" s="438" t="e">
        <f t="shared" si="47"/>
        <v>#N/A</v>
      </c>
      <c r="S243" s="438" t="e">
        <f t="shared" si="48"/>
        <v>#N/A</v>
      </c>
      <c r="T243" s="436" t="e">
        <f t="shared" si="38"/>
        <v>#N/A</v>
      </c>
      <c r="U243" s="436" t="e">
        <f t="shared" si="39"/>
        <v>#N/A</v>
      </c>
      <c r="V243" s="436" t="e">
        <f t="shared" si="40"/>
        <v>#N/A</v>
      </c>
      <c r="W243" s="438" t="e">
        <f t="shared" si="49"/>
        <v>#N/A</v>
      </c>
      <c r="X243" s="438" t="e">
        <f t="shared" si="50"/>
        <v>#N/A</v>
      </c>
      <c r="Y243" s="438" t="e">
        <f t="shared" si="51"/>
        <v>#N/A</v>
      </c>
      <c r="AA243" s="103"/>
      <c r="AB243" s="103"/>
      <c r="AC243" s="103"/>
      <c r="AD243" s="103"/>
      <c r="AE243" s="103"/>
      <c r="AF243" s="103"/>
      <c r="AG243" s="103"/>
      <c r="AH243" s="103"/>
      <c r="AI243" s="103"/>
      <c r="AJ243" s="103"/>
      <c r="AK243" s="103"/>
      <c r="AL243" s="103"/>
    </row>
    <row r="244" spans="1:38" s="415" customFormat="1" ht="15" hidden="1" customHeight="1" x14ac:dyDescent="0.25">
      <c r="A244" s="410"/>
      <c r="B244" s="415" t="str">
        <f t="shared" si="41"/>
        <v>Stack (MEA)</v>
      </c>
      <c r="C244" s="415" t="str">
        <f>'PEM sectors'!B11</f>
        <v>Carbon Cloth</v>
      </c>
      <c r="D244" s="415">
        <f>'PEM sectors'!C11</f>
        <v>335991</v>
      </c>
      <c r="E244" s="415" t="str">
        <f>'PEM sectors'!D11</f>
        <v xml:space="preserve">Carbon and graphite product manufacturing </v>
      </c>
      <c r="F244" s="434">
        <f>'PEM sectors'!F11</f>
        <v>2.6537122969837589E-2</v>
      </c>
      <c r="G244" s="420">
        <f t="shared" si="42"/>
        <v>2.6537122969837589E-2</v>
      </c>
      <c r="H244" s="435" t="e">
        <f t="shared" si="32"/>
        <v>#N/A</v>
      </c>
      <c r="I244" s="436" t="e">
        <f t="shared" si="33"/>
        <v>#N/A</v>
      </c>
      <c r="J244" s="436" t="e">
        <f t="shared" si="34"/>
        <v>#N/A</v>
      </c>
      <c r="K244" s="437" t="e">
        <f t="shared" si="43"/>
        <v>#N/A</v>
      </c>
      <c r="L244" s="437" t="e">
        <f t="shared" si="44"/>
        <v>#N/A</v>
      </c>
      <c r="M244" s="437" t="e">
        <f t="shared" si="45"/>
        <v>#N/A</v>
      </c>
      <c r="N244" s="436" t="e">
        <f t="shared" si="35"/>
        <v>#N/A</v>
      </c>
      <c r="O244" s="436" t="e">
        <f t="shared" si="36"/>
        <v>#N/A</v>
      </c>
      <c r="P244" s="436" t="e">
        <f t="shared" si="37"/>
        <v>#N/A</v>
      </c>
      <c r="Q244" s="438" t="e">
        <f t="shared" si="46"/>
        <v>#N/A</v>
      </c>
      <c r="R244" s="438" t="e">
        <f t="shared" si="47"/>
        <v>#N/A</v>
      </c>
      <c r="S244" s="438" t="e">
        <f t="shared" si="48"/>
        <v>#N/A</v>
      </c>
      <c r="T244" s="436" t="e">
        <f t="shared" si="38"/>
        <v>#N/A</v>
      </c>
      <c r="U244" s="436" t="e">
        <f t="shared" si="39"/>
        <v>#N/A</v>
      </c>
      <c r="V244" s="436" t="e">
        <f t="shared" si="40"/>
        <v>#N/A</v>
      </c>
      <c r="W244" s="438" t="e">
        <f t="shared" si="49"/>
        <v>#N/A</v>
      </c>
      <c r="X244" s="438" t="e">
        <f t="shared" si="50"/>
        <v>#N/A</v>
      </c>
      <c r="Y244" s="438" t="e">
        <f t="shared" si="51"/>
        <v>#N/A</v>
      </c>
      <c r="AA244" s="103"/>
      <c r="AB244" s="103"/>
      <c r="AC244" s="103"/>
      <c r="AD244" s="103"/>
      <c r="AE244" s="103"/>
      <c r="AF244" s="103"/>
      <c r="AG244" s="103"/>
      <c r="AH244" s="103"/>
      <c r="AI244" s="103"/>
      <c r="AJ244" s="103"/>
      <c r="AK244" s="103"/>
      <c r="AL244" s="103"/>
    </row>
    <row r="245" spans="1:38" s="415" customFormat="1" ht="15" hidden="1" customHeight="1" x14ac:dyDescent="0.25">
      <c r="A245" s="410"/>
      <c r="B245" s="415" t="str">
        <f t="shared" si="41"/>
        <v>Stack (MEA)</v>
      </c>
      <c r="C245" s="415" t="str">
        <f>'PEM sectors'!B12</f>
        <v>Teflon</v>
      </c>
      <c r="D245" s="415">
        <f>'PEM sectors'!C12</f>
        <v>325211</v>
      </c>
      <c r="E245" s="415" t="str">
        <f>'PEM sectors'!D12</f>
        <v xml:space="preserve">Plastics material and resin manufacturing </v>
      </c>
      <c r="F245" s="434">
        <f>'PEM sectors'!F12</f>
        <v>0</v>
      </c>
      <c r="G245" s="420">
        <f t="shared" si="42"/>
        <v>0</v>
      </c>
      <c r="H245" s="435" t="e">
        <f t="shared" si="32"/>
        <v>#N/A</v>
      </c>
      <c r="I245" s="436" t="e">
        <f t="shared" si="33"/>
        <v>#N/A</v>
      </c>
      <c r="J245" s="436" t="e">
        <f t="shared" si="34"/>
        <v>#N/A</v>
      </c>
      <c r="K245" s="437" t="e">
        <f t="shared" si="43"/>
        <v>#N/A</v>
      </c>
      <c r="L245" s="437" t="e">
        <f t="shared" si="44"/>
        <v>#N/A</v>
      </c>
      <c r="M245" s="437" t="e">
        <f t="shared" si="45"/>
        <v>#N/A</v>
      </c>
      <c r="N245" s="436" t="e">
        <f t="shared" si="35"/>
        <v>#N/A</v>
      </c>
      <c r="O245" s="436" t="e">
        <f t="shared" si="36"/>
        <v>#N/A</v>
      </c>
      <c r="P245" s="436" t="e">
        <f t="shared" si="37"/>
        <v>#N/A</v>
      </c>
      <c r="Q245" s="438" t="e">
        <f t="shared" si="46"/>
        <v>#N/A</v>
      </c>
      <c r="R245" s="438" t="e">
        <f t="shared" si="47"/>
        <v>#N/A</v>
      </c>
      <c r="S245" s="438" t="e">
        <f t="shared" si="48"/>
        <v>#N/A</v>
      </c>
      <c r="T245" s="436" t="e">
        <f t="shared" si="38"/>
        <v>#N/A</v>
      </c>
      <c r="U245" s="436" t="e">
        <f t="shared" si="39"/>
        <v>#N/A</v>
      </c>
      <c r="V245" s="436" t="e">
        <f t="shared" si="40"/>
        <v>#N/A</v>
      </c>
      <c r="W245" s="438" t="e">
        <f t="shared" si="49"/>
        <v>#N/A</v>
      </c>
      <c r="X245" s="438" t="e">
        <f t="shared" si="50"/>
        <v>#N/A</v>
      </c>
      <c r="Y245" s="438" t="e">
        <f t="shared" si="51"/>
        <v>#N/A</v>
      </c>
      <c r="AA245" s="103"/>
      <c r="AB245" s="103"/>
      <c r="AC245" s="103"/>
      <c r="AD245" s="103"/>
      <c r="AE245" s="103"/>
      <c r="AF245" s="103"/>
      <c r="AG245" s="103"/>
      <c r="AH245" s="103"/>
      <c r="AI245" s="103"/>
      <c r="AJ245" s="103"/>
      <c r="AK245" s="103"/>
      <c r="AL245" s="103"/>
    </row>
    <row r="246" spans="1:38" s="415" customFormat="1" ht="15" hidden="1" customHeight="1" x14ac:dyDescent="0.25">
      <c r="A246" s="410"/>
      <c r="B246" s="415" t="str">
        <f t="shared" si="41"/>
        <v>Stack (MEA)</v>
      </c>
      <c r="C246" s="415" t="str">
        <f>'PEM sectors'!B13</f>
        <v>PFSA (Nafion)</v>
      </c>
      <c r="D246" s="415">
        <f>'PEM sectors'!C13</f>
        <v>325211</v>
      </c>
      <c r="E246" s="415" t="str">
        <f>'PEM sectors'!D13</f>
        <v xml:space="preserve">Plastics material and resin manufacturing </v>
      </c>
      <c r="F246" s="434">
        <f>'PEM sectors'!F13</f>
        <v>9.1357308584686769E-2</v>
      </c>
      <c r="G246" s="420">
        <f t="shared" si="42"/>
        <v>9.1357308584686769E-2</v>
      </c>
      <c r="H246" s="435" t="e">
        <f t="shared" si="32"/>
        <v>#N/A</v>
      </c>
      <c r="I246" s="436" t="e">
        <f t="shared" si="33"/>
        <v>#N/A</v>
      </c>
      <c r="J246" s="436" t="e">
        <f t="shared" si="34"/>
        <v>#N/A</v>
      </c>
      <c r="K246" s="437" t="e">
        <f t="shared" si="43"/>
        <v>#N/A</v>
      </c>
      <c r="L246" s="437" t="e">
        <f t="shared" si="44"/>
        <v>#N/A</v>
      </c>
      <c r="M246" s="437" t="e">
        <f t="shared" si="45"/>
        <v>#N/A</v>
      </c>
      <c r="N246" s="436" t="e">
        <f t="shared" si="35"/>
        <v>#N/A</v>
      </c>
      <c r="O246" s="436" t="e">
        <f t="shared" si="36"/>
        <v>#N/A</v>
      </c>
      <c r="P246" s="436" t="e">
        <f t="shared" si="37"/>
        <v>#N/A</v>
      </c>
      <c r="Q246" s="438" t="e">
        <f t="shared" si="46"/>
        <v>#N/A</v>
      </c>
      <c r="R246" s="438" t="e">
        <f t="shared" si="47"/>
        <v>#N/A</v>
      </c>
      <c r="S246" s="438" t="e">
        <f t="shared" si="48"/>
        <v>#N/A</v>
      </c>
      <c r="T246" s="436" t="e">
        <f t="shared" si="38"/>
        <v>#N/A</v>
      </c>
      <c r="U246" s="436" t="e">
        <f t="shared" si="39"/>
        <v>#N/A</v>
      </c>
      <c r="V246" s="436" t="e">
        <f t="shared" si="40"/>
        <v>#N/A</v>
      </c>
      <c r="W246" s="438" t="e">
        <f t="shared" si="49"/>
        <v>#N/A</v>
      </c>
      <c r="X246" s="438" t="e">
        <f t="shared" si="50"/>
        <v>#N/A</v>
      </c>
      <c r="Y246" s="438" t="e">
        <f t="shared" si="51"/>
        <v>#N/A</v>
      </c>
      <c r="AA246" s="103"/>
      <c r="AB246" s="103"/>
      <c r="AC246" s="103"/>
      <c r="AD246" s="103"/>
      <c r="AE246" s="103"/>
      <c r="AF246" s="103"/>
      <c r="AG246" s="103"/>
      <c r="AH246" s="103"/>
      <c r="AI246" s="103"/>
      <c r="AJ246" s="103"/>
      <c r="AK246" s="103"/>
      <c r="AL246" s="103"/>
    </row>
    <row r="247" spans="1:38" s="415" customFormat="1" ht="15" hidden="1" customHeight="1" x14ac:dyDescent="0.25">
      <c r="A247" s="410"/>
      <c r="B247" s="415" t="str">
        <f t="shared" si="41"/>
        <v>Stack (MEA)</v>
      </c>
      <c r="C247" s="415" t="str">
        <f>'PEM sectors'!B14</f>
        <v>Platinum</v>
      </c>
      <c r="D247" s="415">
        <f>'PEM sectors'!C14</f>
        <v>331490</v>
      </c>
      <c r="E247" s="415" t="str">
        <f>'PEM sectors'!D14</f>
        <v xml:space="preserve">Nonferrous metal (except copper and aluminum) rolling, drawing, extruding and alloying </v>
      </c>
      <c r="F247" s="434">
        <f>'PEM sectors'!F14</f>
        <v>7.8306264501160086E-2</v>
      </c>
      <c r="G247" s="420">
        <f t="shared" si="42"/>
        <v>7.8306264501160086E-2</v>
      </c>
      <c r="H247" s="435" t="e">
        <f t="shared" si="32"/>
        <v>#N/A</v>
      </c>
      <c r="I247" s="436" t="e">
        <f t="shared" si="33"/>
        <v>#N/A</v>
      </c>
      <c r="J247" s="436" t="e">
        <f t="shared" si="34"/>
        <v>#N/A</v>
      </c>
      <c r="K247" s="437" t="e">
        <f t="shared" si="43"/>
        <v>#N/A</v>
      </c>
      <c r="L247" s="437" t="e">
        <f t="shared" si="44"/>
        <v>#N/A</v>
      </c>
      <c r="M247" s="437" t="e">
        <f t="shared" si="45"/>
        <v>#N/A</v>
      </c>
      <c r="N247" s="436" t="e">
        <f t="shared" si="35"/>
        <v>#N/A</v>
      </c>
      <c r="O247" s="436" t="e">
        <f t="shared" si="36"/>
        <v>#N/A</v>
      </c>
      <c r="P247" s="436" t="e">
        <f t="shared" si="37"/>
        <v>#N/A</v>
      </c>
      <c r="Q247" s="438" t="e">
        <f t="shared" si="46"/>
        <v>#N/A</v>
      </c>
      <c r="R247" s="438" t="e">
        <f t="shared" si="47"/>
        <v>#N/A</v>
      </c>
      <c r="S247" s="438" t="e">
        <f t="shared" si="48"/>
        <v>#N/A</v>
      </c>
      <c r="T247" s="436" t="e">
        <f t="shared" si="38"/>
        <v>#N/A</v>
      </c>
      <c r="U247" s="436" t="e">
        <f t="shared" si="39"/>
        <v>#N/A</v>
      </c>
      <c r="V247" s="436" t="e">
        <f t="shared" si="40"/>
        <v>#N/A</v>
      </c>
      <c r="W247" s="438" t="e">
        <f t="shared" si="49"/>
        <v>#N/A</v>
      </c>
      <c r="X247" s="438" t="e">
        <f t="shared" si="50"/>
        <v>#N/A</v>
      </c>
      <c r="Y247" s="438" t="e">
        <f t="shared" si="51"/>
        <v>#N/A</v>
      </c>
      <c r="AA247" s="103"/>
      <c r="AB247" s="103"/>
      <c r="AC247" s="103"/>
      <c r="AD247" s="103"/>
      <c r="AE247" s="103"/>
      <c r="AF247" s="103"/>
      <c r="AG247" s="103"/>
      <c r="AH247" s="103"/>
      <c r="AI247" s="103"/>
      <c r="AJ247" s="103"/>
      <c r="AK247" s="103"/>
      <c r="AL247" s="103"/>
    </row>
    <row r="248" spans="1:38" s="415" customFormat="1" ht="15" hidden="1" customHeight="1" x14ac:dyDescent="0.25">
      <c r="A248" s="410"/>
      <c r="B248" s="415" t="str">
        <f t="shared" si="41"/>
        <v>Stack (MEA)</v>
      </c>
      <c r="C248" s="415" t="str">
        <f>'PEM sectors'!B15</f>
        <v>MEA mfg</v>
      </c>
      <c r="D248" s="415">
        <f>'PEM sectors'!C15</f>
        <v>334419</v>
      </c>
      <c r="E248" s="415" t="str">
        <f>'PEM sectors'!D15</f>
        <v>Other electronic component manufacturing</v>
      </c>
      <c r="F248" s="434">
        <f>'PEM sectors'!F15</f>
        <v>0</v>
      </c>
      <c r="G248" s="420">
        <f t="shared" si="42"/>
        <v>0</v>
      </c>
      <c r="H248" s="435" t="e">
        <f t="shared" si="32"/>
        <v>#N/A</v>
      </c>
      <c r="I248" s="436" t="e">
        <f t="shared" si="33"/>
        <v>#N/A</v>
      </c>
      <c r="J248" s="436" t="e">
        <f t="shared" si="34"/>
        <v>#N/A</v>
      </c>
      <c r="K248" s="437" t="e">
        <f t="shared" si="43"/>
        <v>#N/A</v>
      </c>
      <c r="L248" s="437" t="e">
        <f t="shared" si="44"/>
        <v>#N/A</v>
      </c>
      <c r="M248" s="437" t="e">
        <f t="shared" si="45"/>
        <v>#N/A</v>
      </c>
      <c r="N248" s="436" t="e">
        <f t="shared" si="35"/>
        <v>#N/A</v>
      </c>
      <c r="O248" s="436" t="e">
        <f t="shared" si="36"/>
        <v>#N/A</v>
      </c>
      <c r="P248" s="436" t="e">
        <f t="shared" si="37"/>
        <v>#N/A</v>
      </c>
      <c r="Q248" s="438" t="e">
        <f t="shared" si="46"/>
        <v>#N/A</v>
      </c>
      <c r="R248" s="438" t="e">
        <f t="shared" si="47"/>
        <v>#N/A</v>
      </c>
      <c r="S248" s="438" t="e">
        <f t="shared" si="48"/>
        <v>#N/A</v>
      </c>
      <c r="T248" s="436" t="e">
        <f t="shared" si="38"/>
        <v>#N/A</v>
      </c>
      <c r="U248" s="436" t="e">
        <f t="shared" si="39"/>
        <v>#N/A</v>
      </c>
      <c r="V248" s="436" t="e">
        <f t="shared" si="40"/>
        <v>#N/A</v>
      </c>
      <c r="W248" s="438" t="e">
        <f t="shared" si="49"/>
        <v>#N/A</v>
      </c>
      <c r="X248" s="438" t="e">
        <f t="shared" si="50"/>
        <v>#N/A</v>
      </c>
      <c r="Y248" s="438" t="e">
        <f t="shared" si="51"/>
        <v>#N/A</v>
      </c>
      <c r="AA248" s="103"/>
      <c r="AB248" s="103"/>
      <c r="AC248" s="103"/>
      <c r="AD248" s="103"/>
      <c r="AE248" s="103"/>
      <c r="AF248" s="103"/>
      <c r="AG248" s="103"/>
      <c r="AH248" s="103"/>
      <c r="AI248" s="103"/>
      <c r="AJ248" s="103"/>
      <c r="AK248" s="103"/>
      <c r="AL248" s="103"/>
    </row>
    <row r="249" spans="1:38" s="415" customFormat="1" ht="15" hidden="1" customHeight="1" x14ac:dyDescent="0.25">
      <c r="A249" s="410"/>
      <c r="B249" s="415" t="str">
        <f t="shared" si="41"/>
        <v>Stack</v>
      </c>
      <c r="C249" s="415" t="str">
        <f t="shared" si="41"/>
        <v>Stack assembly</v>
      </c>
      <c r="D249" s="415">
        <f t="shared" si="41"/>
        <v>334419</v>
      </c>
      <c r="E249" s="415" t="str">
        <f t="shared" si="41"/>
        <v>Other electronic component manufacturing</v>
      </c>
      <c r="F249" s="434">
        <f>'PEM sectors'!F18</f>
        <v>0</v>
      </c>
      <c r="G249" s="434">
        <f>'PEM sectors'!G18</f>
        <v>0</v>
      </c>
      <c r="H249" s="435" t="e">
        <f t="shared" si="32"/>
        <v>#N/A</v>
      </c>
      <c r="I249" s="436" t="e">
        <f t="shared" si="33"/>
        <v>#N/A</v>
      </c>
      <c r="J249" s="436" t="e">
        <f t="shared" si="34"/>
        <v>#N/A</v>
      </c>
      <c r="K249" s="437" t="e">
        <f t="shared" si="43"/>
        <v>#N/A</v>
      </c>
      <c r="L249" s="437" t="e">
        <f t="shared" si="44"/>
        <v>#N/A</v>
      </c>
      <c r="M249" s="437" t="e">
        <f t="shared" si="45"/>
        <v>#N/A</v>
      </c>
      <c r="N249" s="436" t="e">
        <f t="shared" si="35"/>
        <v>#N/A</v>
      </c>
      <c r="O249" s="436" t="e">
        <f t="shared" si="36"/>
        <v>#N/A</v>
      </c>
      <c r="P249" s="436" t="e">
        <f t="shared" si="37"/>
        <v>#N/A</v>
      </c>
      <c r="Q249" s="438" t="e">
        <f t="shared" si="46"/>
        <v>#N/A</v>
      </c>
      <c r="R249" s="438" t="e">
        <f t="shared" si="47"/>
        <v>#N/A</v>
      </c>
      <c r="S249" s="438" t="e">
        <f t="shared" si="48"/>
        <v>#N/A</v>
      </c>
      <c r="T249" s="436" t="e">
        <f t="shared" si="38"/>
        <v>#N/A</v>
      </c>
      <c r="U249" s="436" t="e">
        <f t="shared" si="39"/>
        <v>#N/A</v>
      </c>
      <c r="V249" s="436" t="e">
        <f t="shared" si="40"/>
        <v>#N/A</v>
      </c>
      <c r="W249" s="438" t="e">
        <f t="shared" si="49"/>
        <v>#N/A</v>
      </c>
      <c r="X249" s="438" t="e">
        <f t="shared" si="50"/>
        <v>#N/A</v>
      </c>
      <c r="Y249" s="438" t="e">
        <f t="shared" si="51"/>
        <v>#N/A</v>
      </c>
      <c r="AA249" s="103"/>
      <c r="AB249" s="103"/>
      <c r="AC249" s="103"/>
      <c r="AD249" s="103"/>
      <c r="AE249" s="103"/>
      <c r="AF249" s="103"/>
      <c r="AG249" s="103"/>
      <c r="AH249" s="103"/>
      <c r="AI249" s="103"/>
      <c r="AJ249" s="103"/>
      <c r="AK249" s="103"/>
      <c r="AL249" s="103"/>
    </row>
    <row r="250" spans="1:38" s="415" customFormat="1" ht="15" hidden="1" customHeight="1" x14ac:dyDescent="0.25">
      <c r="A250" s="410"/>
      <c r="E250" s="428" t="s">
        <v>448</v>
      </c>
      <c r="F250" s="429">
        <f>SUM(F237:F249)</f>
        <v>0.26598027842227379</v>
      </c>
      <c r="G250" s="429">
        <f>SUM(G237:G248)</f>
        <v>0.26598027842227379</v>
      </c>
      <c r="H250" s="435" t="e">
        <f>SUM(H237:H249)</f>
        <v>#N/A</v>
      </c>
      <c r="I250" s="435" t="e">
        <f t="shared" ref="I250" si="52">SUM(I237:I249)</f>
        <v>#N/A</v>
      </c>
      <c r="J250" s="435" t="e">
        <f t="shared" ref="J250" si="53">SUM(J237:J249)</f>
        <v>#N/A</v>
      </c>
      <c r="K250" s="437" t="e">
        <f t="shared" si="43"/>
        <v>#N/A</v>
      </c>
      <c r="L250" s="437" t="e">
        <f t="shared" si="44"/>
        <v>#N/A</v>
      </c>
      <c r="M250" s="437" t="e">
        <f t="shared" si="45"/>
        <v>#N/A</v>
      </c>
      <c r="N250" s="435" t="e">
        <f>SUM(N237:N249)</f>
        <v>#N/A</v>
      </c>
      <c r="O250" s="435" t="e">
        <f t="shared" ref="O250" si="54">SUM(O237:O249)</f>
        <v>#N/A</v>
      </c>
      <c r="P250" s="435" t="e">
        <f t="shared" ref="P250" si="55">SUM(P237:P249)</f>
        <v>#N/A</v>
      </c>
      <c r="Q250" s="437" t="e">
        <f t="shared" si="46"/>
        <v>#N/A</v>
      </c>
      <c r="R250" s="437" t="e">
        <f t="shared" si="47"/>
        <v>#N/A</v>
      </c>
      <c r="S250" s="437" t="e">
        <f t="shared" si="48"/>
        <v>#N/A</v>
      </c>
      <c r="T250" s="435" t="e">
        <f>SUM(T237:T249)</f>
        <v>#N/A</v>
      </c>
      <c r="U250" s="435" t="e">
        <f t="shared" ref="U250" si="56">SUM(U237:U249)</f>
        <v>#N/A</v>
      </c>
      <c r="V250" s="435" t="e">
        <f t="shared" ref="V250" si="57">SUM(V237:V249)</f>
        <v>#N/A</v>
      </c>
      <c r="W250" s="437" t="e">
        <f t="shared" si="49"/>
        <v>#N/A</v>
      </c>
      <c r="X250" s="437" t="e">
        <f t="shared" si="50"/>
        <v>#N/A</v>
      </c>
      <c r="Y250" s="437" t="e">
        <f t="shared" si="51"/>
        <v>#N/A</v>
      </c>
      <c r="AA250" s="103"/>
      <c r="AB250" s="103"/>
      <c r="AC250" s="103"/>
      <c r="AD250" s="103"/>
      <c r="AE250" s="103"/>
      <c r="AF250" s="103"/>
      <c r="AG250" s="103"/>
      <c r="AH250" s="103"/>
      <c r="AI250" s="103"/>
      <c r="AJ250" s="103"/>
      <c r="AK250" s="103"/>
      <c r="AL250" s="103"/>
    </row>
    <row r="251" spans="1:38" s="415" customFormat="1" ht="15" hidden="1" customHeight="1" x14ac:dyDescent="0.25">
      <c r="A251" s="410"/>
      <c r="D251" s="411"/>
      <c r="F251" s="412"/>
      <c r="G251" s="412"/>
      <c r="H251" s="412"/>
      <c r="I251" s="412"/>
      <c r="J251" s="412"/>
      <c r="K251" s="412"/>
      <c r="L251" s="412"/>
      <c r="M251" s="412"/>
      <c r="N251" s="412"/>
      <c r="O251" s="412"/>
      <c r="P251" s="412"/>
      <c r="Q251" s="412"/>
      <c r="R251" s="412"/>
      <c r="S251" s="412"/>
      <c r="T251" s="412"/>
      <c r="AA251" s="103"/>
      <c r="AB251" s="103"/>
      <c r="AC251" s="103"/>
      <c r="AD251" s="103"/>
      <c r="AE251" s="103"/>
      <c r="AF251" s="103"/>
      <c r="AG251" s="103"/>
      <c r="AH251" s="103"/>
      <c r="AI251" s="103"/>
      <c r="AJ251" s="103"/>
      <c r="AK251" s="103"/>
      <c r="AL251" s="103"/>
    </row>
    <row r="252" spans="1:38" s="415" customFormat="1" ht="15" hidden="1" customHeight="1" x14ac:dyDescent="0.25">
      <c r="A252" s="410"/>
      <c r="D252" s="411"/>
      <c r="E252" s="415">
        <v>2015</v>
      </c>
      <c r="F252" s="439">
        <f t="shared" ref="F252:F257" si="58">F$250*F597</f>
        <v>0</v>
      </c>
      <c r="G252" s="439">
        <f t="shared" ref="G252:Y252" si="59">G$250*$G597</f>
        <v>0</v>
      </c>
      <c r="H252" s="432" t="e">
        <f t="shared" si="59"/>
        <v>#N/A</v>
      </c>
      <c r="I252" s="432" t="e">
        <f t="shared" si="59"/>
        <v>#N/A</v>
      </c>
      <c r="J252" s="432" t="e">
        <f t="shared" si="59"/>
        <v>#N/A</v>
      </c>
      <c r="K252" s="432" t="e">
        <f t="shared" si="59"/>
        <v>#N/A</v>
      </c>
      <c r="L252" s="432" t="e">
        <f t="shared" si="59"/>
        <v>#N/A</v>
      </c>
      <c r="M252" s="432" t="e">
        <f t="shared" si="59"/>
        <v>#N/A</v>
      </c>
      <c r="N252" s="439" t="e">
        <f t="shared" si="59"/>
        <v>#N/A</v>
      </c>
      <c r="O252" s="439" t="e">
        <f t="shared" si="59"/>
        <v>#N/A</v>
      </c>
      <c r="P252" s="439" t="e">
        <f t="shared" si="59"/>
        <v>#N/A</v>
      </c>
      <c r="Q252" s="439" t="e">
        <f t="shared" si="59"/>
        <v>#N/A</v>
      </c>
      <c r="R252" s="439" t="e">
        <f t="shared" si="59"/>
        <v>#N/A</v>
      </c>
      <c r="S252" s="439" t="e">
        <f t="shared" si="59"/>
        <v>#N/A</v>
      </c>
      <c r="T252" s="439" t="e">
        <f t="shared" si="59"/>
        <v>#N/A</v>
      </c>
      <c r="U252" s="439" t="e">
        <f t="shared" si="59"/>
        <v>#N/A</v>
      </c>
      <c r="V252" s="439" t="e">
        <f t="shared" si="59"/>
        <v>#N/A</v>
      </c>
      <c r="W252" s="439" t="e">
        <f t="shared" si="59"/>
        <v>#N/A</v>
      </c>
      <c r="X252" s="439" t="e">
        <f t="shared" si="59"/>
        <v>#N/A</v>
      </c>
      <c r="Y252" s="439" t="e">
        <f t="shared" si="59"/>
        <v>#N/A</v>
      </c>
      <c r="AA252" s="103"/>
      <c r="AB252" s="103"/>
      <c r="AC252" s="103"/>
      <c r="AD252" s="103"/>
      <c r="AE252" s="103"/>
      <c r="AF252" s="103"/>
      <c r="AG252" s="103"/>
      <c r="AH252" s="103"/>
      <c r="AI252" s="103"/>
      <c r="AJ252" s="103"/>
      <c r="AK252" s="103"/>
      <c r="AL252" s="103"/>
    </row>
    <row r="253" spans="1:38" s="415" customFormat="1" ht="15" hidden="1" customHeight="1" x14ac:dyDescent="0.25">
      <c r="A253" s="410"/>
      <c r="D253" s="411"/>
      <c r="E253" s="415">
        <v>2016</v>
      </c>
      <c r="F253" s="439">
        <f t="shared" si="58"/>
        <v>0</v>
      </c>
      <c r="G253" s="439">
        <f t="shared" ref="G253:Y253" si="60">G$250*$G598</f>
        <v>0</v>
      </c>
      <c r="H253" s="432" t="e">
        <f t="shared" si="60"/>
        <v>#N/A</v>
      </c>
      <c r="I253" s="432" t="e">
        <f t="shared" si="60"/>
        <v>#N/A</v>
      </c>
      <c r="J253" s="432" t="e">
        <f t="shared" si="60"/>
        <v>#N/A</v>
      </c>
      <c r="K253" s="432" t="e">
        <f t="shared" si="60"/>
        <v>#N/A</v>
      </c>
      <c r="L253" s="432" t="e">
        <f t="shared" si="60"/>
        <v>#N/A</v>
      </c>
      <c r="M253" s="432" t="e">
        <f t="shared" si="60"/>
        <v>#N/A</v>
      </c>
      <c r="N253" s="439" t="e">
        <f t="shared" si="60"/>
        <v>#N/A</v>
      </c>
      <c r="O253" s="439" t="e">
        <f t="shared" si="60"/>
        <v>#N/A</v>
      </c>
      <c r="P253" s="439" t="e">
        <f t="shared" si="60"/>
        <v>#N/A</v>
      </c>
      <c r="Q253" s="439" t="e">
        <f t="shared" si="60"/>
        <v>#N/A</v>
      </c>
      <c r="R253" s="439" t="e">
        <f t="shared" si="60"/>
        <v>#N/A</v>
      </c>
      <c r="S253" s="439" t="e">
        <f t="shared" si="60"/>
        <v>#N/A</v>
      </c>
      <c r="T253" s="439" t="e">
        <f t="shared" si="60"/>
        <v>#N/A</v>
      </c>
      <c r="U253" s="439" t="e">
        <f t="shared" si="60"/>
        <v>#N/A</v>
      </c>
      <c r="V253" s="439" t="e">
        <f t="shared" si="60"/>
        <v>#N/A</v>
      </c>
      <c r="W253" s="439" t="e">
        <f t="shared" si="60"/>
        <v>#N/A</v>
      </c>
      <c r="X253" s="439" t="e">
        <f t="shared" si="60"/>
        <v>#N/A</v>
      </c>
      <c r="Y253" s="439" t="e">
        <f t="shared" si="60"/>
        <v>#N/A</v>
      </c>
      <c r="AA253" s="103"/>
      <c r="AB253" s="103"/>
      <c r="AC253" s="103"/>
      <c r="AD253" s="103"/>
      <c r="AE253" s="103"/>
      <c r="AF253" s="103"/>
      <c r="AG253" s="103"/>
      <c r="AH253" s="103"/>
      <c r="AI253" s="103"/>
      <c r="AJ253" s="103"/>
      <c r="AK253" s="103"/>
      <c r="AL253" s="103"/>
    </row>
    <row r="254" spans="1:38" s="415" customFormat="1" ht="15" hidden="1" customHeight="1" x14ac:dyDescent="0.25">
      <c r="A254" s="410"/>
      <c r="D254" s="411"/>
      <c r="E254" s="415">
        <v>2017</v>
      </c>
      <c r="F254" s="439">
        <f t="shared" si="58"/>
        <v>0</v>
      </c>
      <c r="G254" s="439">
        <f t="shared" ref="G254:Y254" si="61">G$250*$G599</f>
        <v>0</v>
      </c>
      <c r="H254" s="432" t="e">
        <f t="shared" si="61"/>
        <v>#N/A</v>
      </c>
      <c r="I254" s="432" t="e">
        <f t="shared" si="61"/>
        <v>#N/A</v>
      </c>
      <c r="J254" s="432" t="e">
        <f t="shared" si="61"/>
        <v>#N/A</v>
      </c>
      <c r="K254" s="432" t="e">
        <f t="shared" si="61"/>
        <v>#N/A</v>
      </c>
      <c r="L254" s="432" t="e">
        <f t="shared" si="61"/>
        <v>#N/A</v>
      </c>
      <c r="M254" s="432" t="e">
        <f t="shared" si="61"/>
        <v>#N/A</v>
      </c>
      <c r="N254" s="439" t="e">
        <f t="shared" si="61"/>
        <v>#N/A</v>
      </c>
      <c r="O254" s="439" t="e">
        <f t="shared" si="61"/>
        <v>#N/A</v>
      </c>
      <c r="P254" s="439" t="e">
        <f t="shared" si="61"/>
        <v>#N/A</v>
      </c>
      <c r="Q254" s="439" t="e">
        <f t="shared" si="61"/>
        <v>#N/A</v>
      </c>
      <c r="R254" s="439" t="e">
        <f t="shared" si="61"/>
        <v>#N/A</v>
      </c>
      <c r="S254" s="439" t="e">
        <f t="shared" si="61"/>
        <v>#N/A</v>
      </c>
      <c r="T254" s="439" t="e">
        <f t="shared" si="61"/>
        <v>#N/A</v>
      </c>
      <c r="U254" s="439" t="e">
        <f t="shared" si="61"/>
        <v>#N/A</v>
      </c>
      <c r="V254" s="439" t="e">
        <f t="shared" si="61"/>
        <v>#N/A</v>
      </c>
      <c r="W254" s="439" t="e">
        <f t="shared" si="61"/>
        <v>#N/A</v>
      </c>
      <c r="X254" s="439" t="e">
        <f t="shared" si="61"/>
        <v>#N/A</v>
      </c>
      <c r="Y254" s="439" t="e">
        <f t="shared" si="61"/>
        <v>#N/A</v>
      </c>
      <c r="AA254" s="103"/>
      <c r="AB254" s="103"/>
      <c r="AC254" s="103"/>
      <c r="AD254" s="103"/>
      <c r="AE254" s="103"/>
      <c r="AF254" s="103"/>
      <c r="AG254" s="103"/>
      <c r="AH254" s="103"/>
      <c r="AI254" s="103"/>
      <c r="AJ254" s="103"/>
      <c r="AK254" s="103"/>
      <c r="AL254" s="103"/>
    </row>
    <row r="255" spans="1:38" s="415" customFormat="1" ht="15" hidden="1" customHeight="1" x14ac:dyDescent="0.25">
      <c r="A255" s="410"/>
      <c r="D255" s="411"/>
      <c r="E255" s="415">
        <v>2018</v>
      </c>
      <c r="F255" s="439">
        <f t="shared" si="58"/>
        <v>0</v>
      </c>
      <c r="G255" s="439">
        <f t="shared" ref="G255:Y255" si="62">G$250*$G600</f>
        <v>0</v>
      </c>
      <c r="H255" s="432" t="e">
        <f t="shared" si="62"/>
        <v>#N/A</v>
      </c>
      <c r="I255" s="432" t="e">
        <f t="shared" si="62"/>
        <v>#N/A</v>
      </c>
      <c r="J255" s="432" t="e">
        <f t="shared" si="62"/>
        <v>#N/A</v>
      </c>
      <c r="K255" s="432" t="e">
        <f t="shared" si="62"/>
        <v>#N/A</v>
      </c>
      <c r="L255" s="432" t="e">
        <f t="shared" si="62"/>
        <v>#N/A</v>
      </c>
      <c r="M255" s="432" t="e">
        <f t="shared" si="62"/>
        <v>#N/A</v>
      </c>
      <c r="N255" s="439" t="e">
        <f t="shared" si="62"/>
        <v>#N/A</v>
      </c>
      <c r="O255" s="439" t="e">
        <f t="shared" si="62"/>
        <v>#N/A</v>
      </c>
      <c r="P255" s="439" t="e">
        <f t="shared" si="62"/>
        <v>#N/A</v>
      </c>
      <c r="Q255" s="439" t="e">
        <f t="shared" si="62"/>
        <v>#N/A</v>
      </c>
      <c r="R255" s="439" t="e">
        <f t="shared" si="62"/>
        <v>#N/A</v>
      </c>
      <c r="S255" s="439" t="e">
        <f t="shared" si="62"/>
        <v>#N/A</v>
      </c>
      <c r="T255" s="439" t="e">
        <f t="shared" si="62"/>
        <v>#N/A</v>
      </c>
      <c r="U255" s="439" t="e">
        <f t="shared" si="62"/>
        <v>#N/A</v>
      </c>
      <c r="V255" s="439" t="e">
        <f t="shared" si="62"/>
        <v>#N/A</v>
      </c>
      <c r="W255" s="439" t="e">
        <f t="shared" si="62"/>
        <v>#N/A</v>
      </c>
      <c r="X255" s="439" t="e">
        <f t="shared" si="62"/>
        <v>#N/A</v>
      </c>
      <c r="Y255" s="439" t="e">
        <f t="shared" si="62"/>
        <v>#N/A</v>
      </c>
      <c r="AA255" s="103"/>
      <c r="AB255" s="103"/>
      <c r="AC255" s="103"/>
      <c r="AD255" s="103"/>
      <c r="AE255" s="103"/>
      <c r="AF255" s="103"/>
      <c r="AG255" s="103"/>
      <c r="AH255" s="103"/>
      <c r="AI255" s="103"/>
      <c r="AJ255" s="103"/>
      <c r="AK255" s="103"/>
      <c r="AL255" s="103"/>
    </row>
    <row r="256" spans="1:38" s="415" customFormat="1" ht="15" hidden="1" customHeight="1" x14ac:dyDescent="0.25">
      <c r="A256" s="410"/>
      <c r="D256" s="411"/>
      <c r="E256" s="415">
        <v>2019</v>
      </c>
      <c r="F256" s="439">
        <f t="shared" si="58"/>
        <v>0</v>
      </c>
      <c r="G256" s="439">
        <f t="shared" ref="G256:Y256" si="63">G$250*$G601</f>
        <v>0</v>
      </c>
      <c r="H256" s="432" t="e">
        <f t="shared" si="63"/>
        <v>#N/A</v>
      </c>
      <c r="I256" s="432" t="e">
        <f t="shared" si="63"/>
        <v>#N/A</v>
      </c>
      <c r="J256" s="432" t="e">
        <f t="shared" si="63"/>
        <v>#N/A</v>
      </c>
      <c r="K256" s="432" t="e">
        <f t="shared" si="63"/>
        <v>#N/A</v>
      </c>
      <c r="L256" s="432" t="e">
        <f t="shared" si="63"/>
        <v>#N/A</v>
      </c>
      <c r="M256" s="432" t="e">
        <f t="shared" si="63"/>
        <v>#N/A</v>
      </c>
      <c r="N256" s="439" t="e">
        <f t="shared" si="63"/>
        <v>#N/A</v>
      </c>
      <c r="O256" s="439" t="e">
        <f t="shared" si="63"/>
        <v>#N/A</v>
      </c>
      <c r="P256" s="439" t="e">
        <f t="shared" si="63"/>
        <v>#N/A</v>
      </c>
      <c r="Q256" s="439" t="e">
        <f t="shared" si="63"/>
        <v>#N/A</v>
      </c>
      <c r="R256" s="439" t="e">
        <f t="shared" si="63"/>
        <v>#N/A</v>
      </c>
      <c r="S256" s="439" t="e">
        <f t="shared" si="63"/>
        <v>#N/A</v>
      </c>
      <c r="T256" s="439" t="e">
        <f t="shared" si="63"/>
        <v>#N/A</v>
      </c>
      <c r="U256" s="439" t="e">
        <f t="shared" si="63"/>
        <v>#N/A</v>
      </c>
      <c r="V256" s="439" t="e">
        <f t="shared" si="63"/>
        <v>#N/A</v>
      </c>
      <c r="W256" s="439" t="e">
        <f t="shared" si="63"/>
        <v>#N/A</v>
      </c>
      <c r="X256" s="439" t="e">
        <f t="shared" si="63"/>
        <v>#N/A</v>
      </c>
      <c r="Y256" s="439" t="e">
        <f t="shared" si="63"/>
        <v>#N/A</v>
      </c>
      <c r="AA256" s="103"/>
      <c r="AB256" s="103"/>
      <c r="AC256" s="103"/>
      <c r="AD256" s="103"/>
      <c r="AE256" s="103"/>
      <c r="AF256" s="103"/>
      <c r="AG256" s="103"/>
      <c r="AH256" s="103"/>
      <c r="AI256" s="103"/>
      <c r="AJ256" s="103"/>
      <c r="AK256" s="103"/>
      <c r="AL256" s="103"/>
    </row>
    <row r="257" spans="1:38" s="415" customFormat="1" ht="15" hidden="1" customHeight="1" x14ac:dyDescent="0.25">
      <c r="A257" s="410"/>
      <c r="D257" s="411"/>
      <c r="E257" s="415">
        <v>2020</v>
      </c>
      <c r="F257" s="439">
        <f t="shared" si="58"/>
        <v>0</v>
      </c>
      <c r="G257" s="439">
        <f t="shared" ref="G257:Y257" si="64">G$250*$G602</f>
        <v>0</v>
      </c>
      <c r="H257" s="432" t="e">
        <f t="shared" si="64"/>
        <v>#N/A</v>
      </c>
      <c r="I257" s="432" t="e">
        <f t="shared" si="64"/>
        <v>#N/A</v>
      </c>
      <c r="J257" s="432" t="e">
        <f t="shared" si="64"/>
        <v>#N/A</v>
      </c>
      <c r="K257" s="432" t="e">
        <f t="shared" si="64"/>
        <v>#N/A</v>
      </c>
      <c r="L257" s="432" t="e">
        <f t="shared" si="64"/>
        <v>#N/A</v>
      </c>
      <c r="M257" s="432" t="e">
        <f t="shared" si="64"/>
        <v>#N/A</v>
      </c>
      <c r="N257" s="439" t="e">
        <f t="shared" si="64"/>
        <v>#N/A</v>
      </c>
      <c r="O257" s="439" t="e">
        <f t="shared" si="64"/>
        <v>#N/A</v>
      </c>
      <c r="P257" s="439" t="e">
        <f t="shared" si="64"/>
        <v>#N/A</v>
      </c>
      <c r="Q257" s="439" t="e">
        <f t="shared" si="64"/>
        <v>#N/A</v>
      </c>
      <c r="R257" s="439" t="e">
        <f t="shared" si="64"/>
        <v>#N/A</v>
      </c>
      <c r="S257" s="439" t="e">
        <f t="shared" si="64"/>
        <v>#N/A</v>
      </c>
      <c r="T257" s="439" t="e">
        <f t="shared" si="64"/>
        <v>#N/A</v>
      </c>
      <c r="U257" s="439" t="e">
        <f t="shared" si="64"/>
        <v>#N/A</v>
      </c>
      <c r="V257" s="439" t="e">
        <f t="shared" si="64"/>
        <v>#N/A</v>
      </c>
      <c r="W257" s="439" t="e">
        <f t="shared" si="64"/>
        <v>#N/A</v>
      </c>
      <c r="X257" s="439" t="e">
        <f t="shared" si="64"/>
        <v>#N/A</v>
      </c>
      <c r="Y257" s="439" t="e">
        <f t="shared" si="64"/>
        <v>#N/A</v>
      </c>
      <c r="AA257" s="103"/>
      <c r="AB257" s="103"/>
      <c r="AC257" s="103"/>
      <c r="AD257" s="103"/>
      <c r="AE257" s="103"/>
      <c r="AF257" s="103"/>
      <c r="AG257" s="103"/>
      <c r="AH257" s="103"/>
      <c r="AI257" s="103"/>
      <c r="AJ257" s="103"/>
      <c r="AK257" s="103"/>
      <c r="AL257" s="103"/>
    </row>
    <row r="258" spans="1:38" s="415" customFormat="1" ht="15" hidden="1" customHeight="1" x14ac:dyDescent="0.25">
      <c r="A258" s="410"/>
      <c r="D258" s="411"/>
      <c r="F258" s="412"/>
      <c r="G258" s="412"/>
      <c r="H258" s="412"/>
      <c r="I258" s="412"/>
      <c r="J258" s="412"/>
      <c r="K258" s="412"/>
      <c r="L258" s="412"/>
      <c r="M258" s="412"/>
      <c r="N258" s="412"/>
      <c r="O258" s="412"/>
      <c r="P258" s="412"/>
      <c r="Q258" s="412"/>
      <c r="R258" s="412"/>
      <c r="S258" s="412"/>
      <c r="T258" s="412"/>
      <c r="AA258" s="103"/>
      <c r="AB258" s="103"/>
      <c r="AC258" s="103"/>
      <c r="AD258" s="103"/>
      <c r="AE258" s="103"/>
      <c r="AF258" s="103"/>
      <c r="AG258" s="103"/>
      <c r="AH258" s="103"/>
      <c r="AI258" s="103"/>
      <c r="AJ258" s="103"/>
      <c r="AK258" s="103"/>
      <c r="AL258" s="103"/>
    </row>
    <row r="259" spans="1:38" s="415" customFormat="1" ht="15" hidden="1" customHeight="1" x14ac:dyDescent="0.25">
      <c r="A259" s="410"/>
      <c r="B259" s="1187" t="s">
        <v>1567</v>
      </c>
      <c r="C259" s="1188"/>
      <c r="D259" s="1140" t="s">
        <v>1573</v>
      </c>
      <c r="E259" s="412"/>
      <c r="F259" s="412"/>
      <c r="G259" s="412"/>
      <c r="H259" s="412"/>
      <c r="I259" s="412"/>
      <c r="J259" s="412"/>
      <c r="K259" s="412"/>
      <c r="L259" s="412"/>
      <c r="M259" s="412"/>
      <c r="N259" s="412"/>
      <c r="O259" s="412"/>
      <c r="P259" s="412"/>
      <c r="Q259" s="412"/>
      <c r="R259" s="412"/>
      <c r="S259" s="412"/>
      <c r="T259" s="412"/>
      <c r="AA259" s="103"/>
      <c r="AB259" s="103"/>
      <c r="AC259" s="103"/>
      <c r="AD259" s="103"/>
      <c r="AE259" s="103"/>
      <c r="AF259" s="103"/>
      <c r="AG259" s="103"/>
      <c r="AH259" s="103"/>
      <c r="AI259" s="103"/>
      <c r="AJ259" s="103"/>
      <c r="AK259" s="103"/>
      <c r="AL259" s="103"/>
    </row>
    <row r="260" spans="1:38" s="417" customFormat="1" ht="14.45" hidden="1" customHeight="1" x14ac:dyDescent="0.25">
      <c r="A260" s="416"/>
      <c r="D260" s="418" t="s">
        <v>412</v>
      </c>
      <c r="E260" s="419" t="s">
        <v>10</v>
      </c>
      <c r="F260" s="419" t="s">
        <v>428</v>
      </c>
      <c r="G260" s="419" t="str">
        <f>G$212</f>
        <v>Cost in 2008 dollars</v>
      </c>
      <c r="H260" s="417" t="s">
        <v>583</v>
      </c>
      <c r="I260" s="417" t="s">
        <v>584</v>
      </c>
      <c r="J260" s="417" t="s">
        <v>585</v>
      </c>
      <c r="K260" s="417" t="s">
        <v>586</v>
      </c>
      <c r="L260" s="417" t="s">
        <v>413</v>
      </c>
      <c r="M260" s="417" t="s">
        <v>414</v>
      </c>
      <c r="N260" s="417" t="s">
        <v>592</v>
      </c>
      <c r="O260" s="417" t="s">
        <v>587</v>
      </c>
      <c r="P260" s="417" t="s">
        <v>588</v>
      </c>
      <c r="Q260" s="417" t="s">
        <v>589</v>
      </c>
      <c r="R260" s="417" t="s">
        <v>590</v>
      </c>
      <c r="S260" s="417" t="s">
        <v>591</v>
      </c>
      <c r="T260" s="417" t="s">
        <v>593</v>
      </c>
      <c r="U260" s="417" t="s">
        <v>594</v>
      </c>
      <c r="V260" s="417" t="s">
        <v>595</v>
      </c>
      <c r="W260" s="417" t="s">
        <v>596</v>
      </c>
      <c r="X260" s="417" t="s">
        <v>597</v>
      </c>
      <c r="Y260" s="417" t="s">
        <v>598</v>
      </c>
      <c r="Z260" s="415"/>
      <c r="AA260" s="103"/>
      <c r="AB260" s="103"/>
      <c r="AC260" s="103"/>
      <c r="AD260" s="103"/>
      <c r="AE260" s="103"/>
      <c r="AF260" s="103"/>
      <c r="AG260" s="103"/>
      <c r="AH260" s="103"/>
      <c r="AI260" s="103"/>
      <c r="AJ260" s="103"/>
      <c r="AK260" s="103"/>
      <c r="AL260" s="103"/>
    </row>
    <row r="261" spans="1:38" s="417" customFormat="1" ht="14.45" hidden="1" customHeight="1" x14ac:dyDescent="0.25">
      <c r="A261" s="416"/>
      <c r="B261" s="440" t="str">
        <f>'PEM sectors'!A4</f>
        <v>Stack</v>
      </c>
      <c r="C261" s="440" t="str">
        <f>'PEM sectors'!B4</f>
        <v>Cathode side gasket</v>
      </c>
      <c r="D261" s="440">
        <v>333515</v>
      </c>
      <c r="E261" s="440" t="s">
        <v>196</v>
      </c>
      <c r="F261" s="441">
        <f>'PEM sectors'!G4</f>
        <v>1.6342807424593968E-3</v>
      </c>
      <c r="G261" s="420">
        <f>F261</f>
        <v>1.6342807424593968E-3</v>
      </c>
      <c r="H261" s="435" t="e">
        <f t="shared" ref="H261:H273" si="65">$G261*INDEX(tier_emp_mult, MATCH($D261, tier_emp_code,0), MATCH(State, R_emp, 0))/1000000</f>
        <v>#N/A</v>
      </c>
      <c r="I261" s="436" t="e">
        <f t="shared" ref="I261:I273" si="66">$G261*INDEX(typeI_emp_mult, MATCH($D261, typeI_emp_code,0), MATCH(State, R_emp, 0))/1000000</f>
        <v>#N/A</v>
      </c>
      <c r="J261" s="436" t="e">
        <f t="shared" ref="J261:J273" si="67">$G261*INDEX(typeII_emp_mult, MATCH($D261, typeII_emp_code,0), MATCH(State, R_emp, 0))/1000000</f>
        <v>#N/A</v>
      </c>
      <c r="K261" s="437" t="e">
        <f>H261</f>
        <v>#N/A</v>
      </c>
      <c r="L261" s="437" t="e">
        <f>I261-H261</f>
        <v>#N/A</v>
      </c>
      <c r="M261" s="437" t="e">
        <f>J261-I261</f>
        <v>#N/A</v>
      </c>
      <c r="N261" s="436" t="e">
        <f t="shared" ref="N261:N273" si="68">$G261*INDEX(tier_earn_mult, MATCH($D261, tier_earn_code,0), MATCH(State, R_earn, 0))</f>
        <v>#N/A</v>
      </c>
      <c r="O261" s="436" t="e">
        <f t="shared" ref="O261:O273" si="69">$G261*INDEX(typeI_earn_mult, MATCH($D261, typeI_earn_code,0), MATCH(State, R_earn, 0))</f>
        <v>#N/A</v>
      </c>
      <c r="P261" s="436" t="e">
        <f t="shared" ref="P261:P273" si="70">$G261*INDEX(typeII_earn_mult, MATCH($D261, typeII_earn_code,0), MATCH(State, R_earn, 0))</f>
        <v>#N/A</v>
      </c>
      <c r="Q261" s="438" t="e">
        <f>N261</f>
        <v>#N/A</v>
      </c>
      <c r="R261" s="438" t="e">
        <f>O261-N261</f>
        <v>#N/A</v>
      </c>
      <c r="S261" s="438" t="e">
        <f>P261-O261</f>
        <v>#N/A</v>
      </c>
      <c r="T261" s="436" t="e">
        <f t="shared" ref="T261:T273" si="71">$G261*INDEX(tier_out_mult, MATCH($D261, tier_out_code,0), MATCH(State, R_out, 0))</f>
        <v>#N/A</v>
      </c>
      <c r="U261" s="436" t="e">
        <f t="shared" ref="U261:U273" si="72">$G261*INDEX(typeI_out_mult, MATCH($D261, typeI_out_code,0), MATCH(State, R_out, 0))</f>
        <v>#N/A</v>
      </c>
      <c r="V261" s="436" t="e">
        <f t="shared" ref="V261:V273" si="73">$G261*INDEX(typeII_out_mult, MATCH($D261, typeII_out_code,0), MATCH(State, R_out, 0))</f>
        <v>#N/A</v>
      </c>
      <c r="W261" s="438" t="e">
        <f>T261</f>
        <v>#N/A</v>
      </c>
      <c r="X261" s="438" t="e">
        <f>U261-T261</f>
        <v>#N/A</v>
      </c>
      <c r="Y261" s="438" t="e">
        <f>V261-U261</f>
        <v>#N/A</v>
      </c>
      <c r="Z261" s="415"/>
      <c r="AA261" s="103"/>
      <c r="AB261" s="103"/>
      <c r="AC261" s="103"/>
      <c r="AD261" s="103"/>
      <c r="AE261" s="103"/>
      <c r="AF261" s="103"/>
      <c r="AG261" s="103"/>
      <c r="AH261" s="103"/>
      <c r="AI261" s="103"/>
      <c r="AJ261" s="103"/>
      <c r="AK261" s="103"/>
      <c r="AL261" s="103"/>
    </row>
    <row r="262" spans="1:38" s="417" customFormat="1" ht="14.45" hidden="1" customHeight="1" x14ac:dyDescent="0.25">
      <c r="A262" s="416"/>
      <c r="B262" s="440" t="str">
        <f>'PEM sectors'!A5</f>
        <v>Stack</v>
      </c>
      <c r="C262" s="440" t="str">
        <f>'PEM sectors'!B5</f>
        <v>Anode side gasket</v>
      </c>
      <c r="D262" s="440">
        <v>333515</v>
      </c>
      <c r="E262" s="440" t="s">
        <v>196</v>
      </c>
      <c r="F262" s="441">
        <f>'PEM sectors'!G5</f>
        <v>2.0359628770301626E-3</v>
      </c>
      <c r="G262" s="420">
        <f t="shared" ref="G262:G273" si="74">F262</f>
        <v>2.0359628770301626E-3</v>
      </c>
      <c r="H262" s="435" t="e">
        <f t="shared" si="65"/>
        <v>#N/A</v>
      </c>
      <c r="I262" s="436" t="e">
        <f t="shared" si="66"/>
        <v>#N/A</v>
      </c>
      <c r="J262" s="436" t="e">
        <f t="shared" si="67"/>
        <v>#N/A</v>
      </c>
      <c r="K262" s="437" t="e">
        <f t="shared" ref="K262:K272" si="75">H262</f>
        <v>#N/A</v>
      </c>
      <c r="L262" s="437" t="e">
        <f t="shared" ref="L262:L272" si="76">I262-H262</f>
        <v>#N/A</v>
      </c>
      <c r="M262" s="437" t="e">
        <f t="shared" ref="M262:M272" si="77">J262-I262</f>
        <v>#N/A</v>
      </c>
      <c r="N262" s="436" t="e">
        <f t="shared" si="68"/>
        <v>#N/A</v>
      </c>
      <c r="O262" s="436" t="e">
        <f t="shared" si="69"/>
        <v>#N/A</v>
      </c>
      <c r="P262" s="436" t="e">
        <f t="shared" si="70"/>
        <v>#N/A</v>
      </c>
      <c r="Q262" s="438" t="e">
        <f t="shared" ref="Q262:Q272" si="78">N262</f>
        <v>#N/A</v>
      </c>
      <c r="R262" s="438" t="e">
        <f t="shared" ref="R262:R272" si="79">O262-N262</f>
        <v>#N/A</v>
      </c>
      <c r="S262" s="438" t="e">
        <f t="shared" ref="S262:S272" si="80">P262-O262</f>
        <v>#N/A</v>
      </c>
      <c r="T262" s="436" t="e">
        <f t="shared" si="71"/>
        <v>#N/A</v>
      </c>
      <c r="U262" s="436" t="e">
        <f t="shared" si="72"/>
        <v>#N/A</v>
      </c>
      <c r="V262" s="436" t="e">
        <f t="shared" si="73"/>
        <v>#N/A</v>
      </c>
      <c r="W262" s="438" t="e">
        <f t="shared" ref="W262:W272" si="81">T262</f>
        <v>#N/A</v>
      </c>
      <c r="X262" s="438" t="e">
        <f t="shared" ref="X262:X272" si="82">U262-T262</f>
        <v>#N/A</v>
      </c>
      <c r="Y262" s="438" t="e">
        <f t="shared" ref="Y262:Y272" si="83">V262-U262</f>
        <v>#N/A</v>
      </c>
      <c r="Z262" s="415"/>
      <c r="AA262" s="103"/>
      <c r="AB262" s="103"/>
      <c r="AC262" s="103"/>
      <c r="AD262" s="103"/>
      <c r="AE262" s="103"/>
      <c r="AF262" s="103"/>
      <c r="AG262" s="103"/>
      <c r="AH262" s="103"/>
      <c r="AI262" s="103"/>
      <c r="AJ262" s="103"/>
      <c r="AK262" s="103"/>
      <c r="AL262" s="103"/>
    </row>
    <row r="263" spans="1:38" s="417" customFormat="1" ht="14.45" hidden="1" customHeight="1" x14ac:dyDescent="0.25">
      <c r="A263" s="416"/>
      <c r="B263" s="440" t="str">
        <f>'PEM sectors'!A6</f>
        <v>Stack</v>
      </c>
      <c r="C263" s="440" t="str">
        <f>'PEM sectors'!B6</f>
        <v>Cooling gasket</v>
      </c>
      <c r="D263" s="440">
        <v>333515</v>
      </c>
      <c r="E263" s="440" t="s">
        <v>196</v>
      </c>
      <c r="F263" s="441">
        <f>'PEM sectors'!G6</f>
        <v>1.6342807424593968E-3</v>
      </c>
      <c r="G263" s="420">
        <f t="shared" si="74"/>
        <v>1.6342807424593968E-3</v>
      </c>
      <c r="H263" s="435" t="e">
        <f t="shared" si="65"/>
        <v>#N/A</v>
      </c>
      <c r="I263" s="436" t="e">
        <f t="shared" si="66"/>
        <v>#N/A</v>
      </c>
      <c r="J263" s="436" t="e">
        <f t="shared" si="67"/>
        <v>#N/A</v>
      </c>
      <c r="K263" s="437" t="e">
        <f t="shared" si="75"/>
        <v>#N/A</v>
      </c>
      <c r="L263" s="437" t="e">
        <f t="shared" si="76"/>
        <v>#N/A</v>
      </c>
      <c r="M263" s="437" t="e">
        <f t="shared" si="77"/>
        <v>#N/A</v>
      </c>
      <c r="N263" s="436" t="e">
        <f t="shared" si="68"/>
        <v>#N/A</v>
      </c>
      <c r="O263" s="436" t="e">
        <f t="shared" si="69"/>
        <v>#N/A</v>
      </c>
      <c r="P263" s="436" t="e">
        <f t="shared" si="70"/>
        <v>#N/A</v>
      </c>
      <c r="Q263" s="438" t="e">
        <f t="shared" si="78"/>
        <v>#N/A</v>
      </c>
      <c r="R263" s="438" t="e">
        <f t="shared" si="79"/>
        <v>#N/A</v>
      </c>
      <c r="S263" s="438" t="e">
        <f t="shared" si="80"/>
        <v>#N/A</v>
      </c>
      <c r="T263" s="436" t="e">
        <f t="shared" si="71"/>
        <v>#N/A</v>
      </c>
      <c r="U263" s="436" t="e">
        <f t="shared" si="72"/>
        <v>#N/A</v>
      </c>
      <c r="V263" s="436" t="e">
        <f t="shared" si="73"/>
        <v>#N/A</v>
      </c>
      <c r="W263" s="438" t="e">
        <f t="shared" si="81"/>
        <v>#N/A</v>
      </c>
      <c r="X263" s="438" t="e">
        <f t="shared" si="82"/>
        <v>#N/A</v>
      </c>
      <c r="Y263" s="438" t="e">
        <f t="shared" si="83"/>
        <v>#N/A</v>
      </c>
      <c r="Z263" s="415"/>
      <c r="AA263" s="103"/>
      <c r="AB263" s="103"/>
      <c r="AC263" s="103"/>
      <c r="AD263" s="103"/>
      <c r="AE263" s="103"/>
      <c r="AF263" s="103"/>
      <c r="AG263" s="103"/>
      <c r="AH263" s="103"/>
      <c r="AI263" s="103"/>
      <c r="AJ263" s="103"/>
      <c r="AK263" s="103"/>
      <c r="AL263" s="103"/>
    </row>
    <row r="264" spans="1:38" s="417" customFormat="1" ht="14.45" hidden="1" customHeight="1" x14ac:dyDescent="0.25">
      <c r="A264" s="416"/>
      <c r="B264" s="440" t="str">
        <f>'PEM sectors'!A7</f>
        <v>Stack</v>
      </c>
      <c r="C264" s="440" t="str">
        <f>'PEM sectors'!B7</f>
        <v>End gaskets</v>
      </c>
      <c r="D264" s="440">
        <v>333515</v>
      </c>
      <c r="E264" s="440" t="s">
        <v>196</v>
      </c>
      <c r="F264" s="441">
        <f>'PEM sectors'!G7</f>
        <v>3.3352668213457076E-5</v>
      </c>
      <c r="G264" s="420">
        <f t="shared" si="74"/>
        <v>3.3352668213457076E-5</v>
      </c>
      <c r="H264" s="435" t="e">
        <f t="shared" si="65"/>
        <v>#N/A</v>
      </c>
      <c r="I264" s="436" t="e">
        <f t="shared" si="66"/>
        <v>#N/A</v>
      </c>
      <c r="J264" s="436" t="e">
        <f t="shared" si="67"/>
        <v>#N/A</v>
      </c>
      <c r="K264" s="437" t="e">
        <f t="shared" si="75"/>
        <v>#N/A</v>
      </c>
      <c r="L264" s="437" t="e">
        <f t="shared" si="76"/>
        <v>#N/A</v>
      </c>
      <c r="M264" s="437" t="e">
        <f t="shared" si="77"/>
        <v>#N/A</v>
      </c>
      <c r="N264" s="436" t="e">
        <f t="shared" si="68"/>
        <v>#N/A</v>
      </c>
      <c r="O264" s="436" t="e">
        <f t="shared" si="69"/>
        <v>#N/A</v>
      </c>
      <c r="P264" s="436" t="e">
        <f t="shared" si="70"/>
        <v>#N/A</v>
      </c>
      <c r="Q264" s="438" t="e">
        <f t="shared" si="78"/>
        <v>#N/A</v>
      </c>
      <c r="R264" s="438" t="e">
        <f t="shared" si="79"/>
        <v>#N/A</v>
      </c>
      <c r="S264" s="438" t="e">
        <f t="shared" si="80"/>
        <v>#N/A</v>
      </c>
      <c r="T264" s="436" t="e">
        <f t="shared" si="71"/>
        <v>#N/A</v>
      </c>
      <c r="U264" s="436" t="e">
        <f t="shared" si="72"/>
        <v>#N/A</v>
      </c>
      <c r="V264" s="436" t="e">
        <f t="shared" si="73"/>
        <v>#N/A</v>
      </c>
      <c r="W264" s="438" t="e">
        <f t="shared" si="81"/>
        <v>#N/A</v>
      </c>
      <c r="X264" s="438" t="e">
        <f t="shared" si="82"/>
        <v>#N/A</v>
      </c>
      <c r="Y264" s="438" t="e">
        <f t="shared" si="83"/>
        <v>#N/A</v>
      </c>
      <c r="Z264" s="415"/>
      <c r="AA264" s="103"/>
      <c r="AB264" s="103"/>
      <c r="AC264" s="103"/>
      <c r="AD264" s="103"/>
      <c r="AE264" s="103"/>
      <c r="AF264" s="103"/>
      <c r="AG264" s="103"/>
      <c r="AH264" s="103"/>
      <c r="AI264" s="103"/>
      <c r="AJ264" s="103"/>
      <c r="AK264" s="103"/>
      <c r="AL264" s="103"/>
    </row>
    <row r="265" spans="1:38" s="417" customFormat="1" ht="14.45" hidden="1" customHeight="1" x14ac:dyDescent="0.25">
      <c r="A265" s="416"/>
      <c r="B265" s="440" t="str">
        <f>'PEM sectors'!A8</f>
        <v>Stack</v>
      </c>
      <c r="C265" s="440" t="str">
        <f>'PEM sectors'!B8</f>
        <v>End plates</v>
      </c>
      <c r="D265" s="440">
        <v>333515</v>
      </c>
      <c r="E265" s="440" t="s">
        <v>196</v>
      </c>
      <c r="F265" s="441">
        <f>'PEM sectors'!G8</f>
        <v>1.5429234338747099E-3</v>
      </c>
      <c r="G265" s="420">
        <f t="shared" si="74"/>
        <v>1.5429234338747099E-3</v>
      </c>
      <c r="H265" s="435" t="e">
        <f t="shared" si="65"/>
        <v>#N/A</v>
      </c>
      <c r="I265" s="436" t="e">
        <f t="shared" si="66"/>
        <v>#N/A</v>
      </c>
      <c r="J265" s="436" t="e">
        <f t="shared" si="67"/>
        <v>#N/A</v>
      </c>
      <c r="K265" s="437" t="e">
        <f t="shared" si="75"/>
        <v>#N/A</v>
      </c>
      <c r="L265" s="437" t="e">
        <f t="shared" si="76"/>
        <v>#N/A</v>
      </c>
      <c r="M265" s="437" t="e">
        <f t="shared" si="77"/>
        <v>#N/A</v>
      </c>
      <c r="N265" s="436" t="e">
        <f t="shared" si="68"/>
        <v>#N/A</v>
      </c>
      <c r="O265" s="436" t="e">
        <f t="shared" si="69"/>
        <v>#N/A</v>
      </c>
      <c r="P265" s="436" t="e">
        <f t="shared" si="70"/>
        <v>#N/A</v>
      </c>
      <c r="Q265" s="438" t="e">
        <f t="shared" si="78"/>
        <v>#N/A</v>
      </c>
      <c r="R265" s="438" t="e">
        <f t="shared" si="79"/>
        <v>#N/A</v>
      </c>
      <c r="S265" s="438" t="e">
        <f t="shared" si="80"/>
        <v>#N/A</v>
      </c>
      <c r="T265" s="436" t="e">
        <f t="shared" si="71"/>
        <v>#N/A</v>
      </c>
      <c r="U265" s="436" t="e">
        <f t="shared" si="72"/>
        <v>#N/A</v>
      </c>
      <c r="V265" s="436" t="e">
        <f t="shared" si="73"/>
        <v>#N/A</v>
      </c>
      <c r="W265" s="438" t="e">
        <f t="shared" si="81"/>
        <v>#N/A</v>
      </c>
      <c r="X265" s="438" t="e">
        <f t="shared" si="82"/>
        <v>#N/A</v>
      </c>
      <c r="Y265" s="438" t="e">
        <f t="shared" si="83"/>
        <v>#N/A</v>
      </c>
      <c r="Z265" s="415"/>
      <c r="AA265" s="103"/>
      <c r="AB265" s="103"/>
      <c r="AC265" s="103"/>
      <c r="AD265" s="103"/>
      <c r="AE265" s="103"/>
      <c r="AF265" s="103"/>
      <c r="AG265" s="103"/>
      <c r="AH265" s="103"/>
      <c r="AI265" s="103"/>
      <c r="AJ265" s="103"/>
      <c r="AK265" s="103"/>
      <c r="AL265" s="103"/>
    </row>
    <row r="266" spans="1:38" s="417" customFormat="1" ht="14.45" hidden="1" customHeight="1" x14ac:dyDescent="0.25">
      <c r="A266" s="416"/>
      <c r="B266" s="440" t="str">
        <f>'PEM sectors'!A9</f>
        <v>Stack</v>
      </c>
      <c r="C266" s="440" t="str">
        <f>'PEM sectors'!B9</f>
        <v xml:space="preserve">Bipolar plates </v>
      </c>
      <c r="D266" s="440">
        <v>333515</v>
      </c>
      <c r="E266" s="440" t="s">
        <v>196</v>
      </c>
      <c r="F266" s="441">
        <f>'PEM sectors'!G9</f>
        <v>3.3750000000000002E-2</v>
      </c>
      <c r="G266" s="420">
        <f t="shared" si="74"/>
        <v>3.3750000000000002E-2</v>
      </c>
      <c r="H266" s="435" t="e">
        <f t="shared" si="65"/>
        <v>#N/A</v>
      </c>
      <c r="I266" s="436" t="e">
        <f t="shared" si="66"/>
        <v>#N/A</v>
      </c>
      <c r="J266" s="436" t="e">
        <f t="shared" si="67"/>
        <v>#N/A</v>
      </c>
      <c r="K266" s="437" t="e">
        <f t="shared" si="75"/>
        <v>#N/A</v>
      </c>
      <c r="L266" s="437" t="e">
        <f t="shared" si="76"/>
        <v>#N/A</v>
      </c>
      <c r="M266" s="437" t="e">
        <f t="shared" si="77"/>
        <v>#N/A</v>
      </c>
      <c r="N266" s="436" t="e">
        <f t="shared" si="68"/>
        <v>#N/A</v>
      </c>
      <c r="O266" s="436" t="e">
        <f t="shared" si="69"/>
        <v>#N/A</v>
      </c>
      <c r="P266" s="436" t="e">
        <f t="shared" si="70"/>
        <v>#N/A</v>
      </c>
      <c r="Q266" s="438" t="e">
        <f t="shared" si="78"/>
        <v>#N/A</v>
      </c>
      <c r="R266" s="438" t="e">
        <f t="shared" si="79"/>
        <v>#N/A</v>
      </c>
      <c r="S266" s="438" t="e">
        <f t="shared" si="80"/>
        <v>#N/A</v>
      </c>
      <c r="T266" s="436" t="e">
        <f t="shared" si="71"/>
        <v>#N/A</v>
      </c>
      <c r="U266" s="436" t="e">
        <f t="shared" si="72"/>
        <v>#N/A</v>
      </c>
      <c r="V266" s="436" t="e">
        <f t="shared" si="73"/>
        <v>#N/A</v>
      </c>
      <c r="W266" s="438" t="e">
        <f t="shared" si="81"/>
        <v>#N/A</v>
      </c>
      <c r="X266" s="438" t="e">
        <f t="shared" si="82"/>
        <v>#N/A</v>
      </c>
      <c r="Y266" s="438" t="e">
        <f t="shared" si="83"/>
        <v>#N/A</v>
      </c>
      <c r="Z266" s="415"/>
      <c r="AA266" s="103"/>
      <c r="AB266" s="103"/>
      <c r="AC266" s="103"/>
      <c r="AD266" s="103"/>
      <c r="AE266" s="103"/>
      <c r="AF266" s="103"/>
      <c r="AG266" s="103"/>
      <c r="AH266" s="103"/>
      <c r="AI266" s="103"/>
      <c r="AJ266" s="103"/>
      <c r="AK266" s="103"/>
      <c r="AL266" s="103"/>
    </row>
    <row r="267" spans="1:38" s="417" customFormat="1" ht="14.45" hidden="1" customHeight="1" x14ac:dyDescent="0.25">
      <c r="A267" s="416"/>
      <c r="B267" s="440" t="str">
        <f>'PEM sectors'!A10</f>
        <v>Stack</v>
      </c>
      <c r="C267" s="440" t="str">
        <f>'PEM sectors'!B10</f>
        <v>Tie rods and hardware</v>
      </c>
      <c r="D267" s="440">
        <v>333515</v>
      </c>
      <c r="E267" s="440" t="s">
        <v>196</v>
      </c>
      <c r="F267" s="441">
        <f>'PEM sectors'!G10</f>
        <v>0</v>
      </c>
      <c r="G267" s="420">
        <f t="shared" si="74"/>
        <v>0</v>
      </c>
      <c r="H267" s="435" t="e">
        <f t="shared" si="65"/>
        <v>#N/A</v>
      </c>
      <c r="I267" s="436" t="e">
        <f t="shared" si="66"/>
        <v>#N/A</v>
      </c>
      <c r="J267" s="436" t="e">
        <f t="shared" si="67"/>
        <v>#N/A</v>
      </c>
      <c r="K267" s="437" t="e">
        <f t="shared" si="75"/>
        <v>#N/A</v>
      </c>
      <c r="L267" s="437" t="e">
        <f t="shared" si="76"/>
        <v>#N/A</v>
      </c>
      <c r="M267" s="437" t="e">
        <f t="shared" si="77"/>
        <v>#N/A</v>
      </c>
      <c r="N267" s="436" t="e">
        <f t="shared" si="68"/>
        <v>#N/A</v>
      </c>
      <c r="O267" s="436" t="e">
        <f t="shared" si="69"/>
        <v>#N/A</v>
      </c>
      <c r="P267" s="436" t="e">
        <f t="shared" si="70"/>
        <v>#N/A</v>
      </c>
      <c r="Q267" s="438" t="e">
        <f t="shared" si="78"/>
        <v>#N/A</v>
      </c>
      <c r="R267" s="438" t="e">
        <f t="shared" si="79"/>
        <v>#N/A</v>
      </c>
      <c r="S267" s="438" t="e">
        <f t="shared" si="80"/>
        <v>#N/A</v>
      </c>
      <c r="T267" s="436" t="e">
        <f t="shared" si="71"/>
        <v>#N/A</v>
      </c>
      <c r="U267" s="436" t="e">
        <f t="shared" si="72"/>
        <v>#N/A</v>
      </c>
      <c r="V267" s="436" t="e">
        <f t="shared" si="73"/>
        <v>#N/A</v>
      </c>
      <c r="W267" s="438" t="e">
        <f t="shared" si="81"/>
        <v>#N/A</v>
      </c>
      <c r="X267" s="438" t="e">
        <f t="shared" si="82"/>
        <v>#N/A</v>
      </c>
      <c r="Y267" s="438" t="e">
        <f t="shared" si="83"/>
        <v>#N/A</v>
      </c>
      <c r="Z267" s="415"/>
      <c r="AA267" s="103"/>
      <c r="AB267" s="103"/>
      <c r="AC267" s="103"/>
      <c r="AD267" s="103"/>
      <c r="AE267" s="103"/>
      <c r="AF267" s="103"/>
      <c r="AG267" s="103"/>
      <c r="AH267" s="103"/>
      <c r="AI267" s="103"/>
      <c r="AJ267" s="103"/>
      <c r="AK267" s="103"/>
      <c r="AL267" s="103"/>
    </row>
    <row r="268" spans="1:38" s="417" customFormat="1" ht="14.45" hidden="1" customHeight="1" x14ac:dyDescent="0.25">
      <c r="A268" s="416"/>
      <c r="B268" s="440" t="str">
        <f>'PEM sectors'!A11</f>
        <v>Stack (MEA)</v>
      </c>
      <c r="C268" s="440" t="str">
        <f>'PEM sectors'!B11</f>
        <v>Carbon Cloth</v>
      </c>
      <c r="D268" s="440">
        <v>333515</v>
      </c>
      <c r="E268" s="440" t="s">
        <v>196</v>
      </c>
      <c r="F268" s="441">
        <f>'PEM sectors'!G11</f>
        <v>0</v>
      </c>
      <c r="G268" s="420">
        <f t="shared" si="74"/>
        <v>0</v>
      </c>
      <c r="H268" s="435" t="e">
        <f t="shared" si="65"/>
        <v>#N/A</v>
      </c>
      <c r="I268" s="436" t="e">
        <f t="shared" si="66"/>
        <v>#N/A</v>
      </c>
      <c r="J268" s="436" t="e">
        <f t="shared" si="67"/>
        <v>#N/A</v>
      </c>
      <c r="K268" s="437" t="e">
        <f t="shared" si="75"/>
        <v>#N/A</v>
      </c>
      <c r="L268" s="437" t="e">
        <f t="shared" si="76"/>
        <v>#N/A</v>
      </c>
      <c r="M268" s="437" t="e">
        <f t="shared" si="77"/>
        <v>#N/A</v>
      </c>
      <c r="N268" s="436" t="e">
        <f t="shared" si="68"/>
        <v>#N/A</v>
      </c>
      <c r="O268" s="436" t="e">
        <f t="shared" si="69"/>
        <v>#N/A</v>
      </c>
      <c r="P268" s="436" t="e">
        <f t="shared" si="70"/>
        <v>#N/A</v>
      </c>
      <c r="Q268" s="438" t="e">
        <f t="shared" si="78"/>
        <v>#N/A</v>
      </c>
      <c r="R268" s="438" t="e">
        <f t="shared" si="79"/>
        <v>#N/A</v>
      </c>
      <c r="S268" s="438" t="e">
        <f t="shared" si="80"/>
        <v>#N/A</v>
      </c>
      <c r="T268" s="436" t="e">
        <f t="shared" si="71"/>
        <v>#N/A</v>
      </c>
      <c r="U268" s="436" t="e">
        <f t="shared" si="72"/>
        <v>#N/A</v>
      </c>
      <c r="V268" s="436" t="e">
        <f t="shared" si="73"/>
        <v>#N/A</v>
      </c>
      <c r="W268" s="438" t="e">
        <f t="shared" si="81"/>
        <v>#N/A</v>
      </c>
      <c r="X268" s="438" t="e">
        <f t="shared" si="82"/>
        <v>#N/A</v>
      </c>
      <c r="Y268" s="438" t="e">
        <f t="shared" si="83"/>
        <v>#N/A</v>
      </c>
      <c r="Z268" s="415"/>
      <c r="AA268" s="103"/>
      <c r="AB268" s="103"/>
      <c r="AC268" s="103"/>
      <c r="AD268" s="103"/>
      <c r="AE268" s="103"/>
      <c r="AF268" s="103"/>
      <c r="AG268" s="103"/>
      <c r="AH268" s="103"/>
      <c r="AI268" s="103"/>
      <c r="AJ268" s="103"/>
      <c r="AK268" s="103"/>
      <c r="AL268" s="103"/>
    </row>
    <row r="269" spans="1:38" s="417" customFormat="1" ht="14.45" hidden="1" customHeight="1" x14ac:dyDescent="0.25">
      <c r="A269" s="416"/>
      <c r="B269" s="440" t="str">
        <f>'PEM sectors'!A12</f>
        <v>Stack (MEA)</v>
      </c>
      <c r="C269" s="440" t="str">
        <f>'PEM sectors'!B12</f>
        <v>Teflon</v>
      </c>
      <c r="D269" s="440">
        <v>333515</v>
      </c>
      <c r="E269" s="440" t="s">
        <v>196</v>
      </c>
      <c r="F269" s="441">
        <f>'PEM sectors'!G12</f>
        <v>0</v>
      </c>
      <c r="G269" s="420">
        <f t="shared" si="74"/>
        <v>0</v>
      </c>
      <c r="H269" s="435" t="e">
        <f t="shared" si="65"/>
        <v>#N/A</v>
      </c>
      <c r="I269" s="436" t="e">
        <f t="shared" si="66"/>
        <v>#N/A</v>
      </c>
      <c r="J269" s="436" t="e">
        <f t="shared" si="67"/>
        <v>#N/A</v>
      </c>
      <c r="K269" s="437" t="e">
        <f t="shared" si="75"/>
        <v>#N/A</v>
      </c>
      <c r="L269" s="437" t="e">
        <f t="shared" si="76"/>
        <v>#N/A</v>
      </c>
      <c r="M269" s="437" t="e">
        <f t="shared" si="77"/>
        <v>#N/A</v>
      </c>
      <c r="N269" s="436" t="e">
        <f t="shared" si="68"/>
        <v>#N/A</v>
      </c>
      <c r="O269" s="436" t="e">
        <f t="shared" si="69"/>
        <v>#N/A</v>
      </c>
      <c r="P269" s="436" t="e">
        <f t="shared" si="70"/>
        <v>#N/A</v>
      </c>
      <c r="Q269" s="438" t="e">
        <f t="shared" si="78"/>
        <v>#N/A</v>
      </c>
      <c r="R269" s="438" t="e">
        <f t="shared" si="79"/>
        <v>#N/A</v>
      </c>
      <c r="S269" s="438" t="e">
        <f t="shared" si="80"/>
        <v>#N/A</v>
      </c>
      <c r="T269" s="436" t="e">
        <f t="shared" si="71"/>
        <v>#N/A</v>
      </c>
      <c r="U269" s="436" t="e">
        <f t="shared" si="72"/>
        <v>#N/A</v>
      </c>
      <c r="V269" s="436" t="e">
        <f t="shared" si="73"/>
        <v>#N/A</v>
      </c>
      <c r="W269" s="438" t="e">
        <f t="shared" si="81"/>
        <v>#N/A</v>
      </c>
      <c r="X269" s="438" t="e">
        <f t="shared" si="82"/>
        <v>#N/A</v>
      </c>
      <c r="Y269" s="438" t="e">
        <f t="shared" si="83"/>
        <v>#N/A</v>
      </c>
      <c r="Z269" s="415"/>
      <c r="AA269" s="103"/>
      <c r="AB269" s="103"/>
      <c r="AC269" s="103"/>
      <c r="AD269" s="103"/>
      <c r="AE269" s="103"/>
      <c r="AF269" s="103"/>
      <c r="AG269" s="103"/>
      <c r="AH269" s="103"/>
      <c r="AI269" s="103"/>
      <c r="AJ269" s="103"/>
      <c r="AK269" s="103"/>
      <c r="AL269" s="103"/>
    </row>
    <row r="270" spans="1:38" s="417" customFormat="1" ht="14.45" hidden="1" customHeight="1" x14ac:dyDescent="0.25">
      <c r="A270" s="416"/>
      <c r="B270" s="440" t="str">
        <f>'PEM sectors'!A13</f>
        <v>Stack (MEA)</v>
      </c>
      <c r="C270" s="440" t="str">
        <f>'PEM sectors'!B13</f>
        <v>PFSA (Nafion)</v>
      </c>
      <c r="D270" s="440">
        <v>333515</v>
      </c>
      <c r="E270" s="440" t="s">
        <v>196</v>
      </c>
      <c r="F270" s="441">
        <f>'PEM sectors'!G13</f>
        <v>0</v>
      </c>
      <c r="G270" s="420">
        <f t="shared" si="74"/>
        <v>0</v>
      </c>
      <c r="H270" s="435" t="e">
        <f t="shared" si="65"/>
        <v>#N/A</v>
      </c>
      <c r="I270" s="436" t="e">
        <f t="shared" si="66"/>
        <v>#N/A</v>
      </c>
      <c r="J270" s="436" t="e">
        <f t="shared" si="67"/>
        <v>#N/A</v>
      </c>
      <c r="K270" s="437" t="e">
        <f t="shared" si="75"/>
        <v>#N/A</v>
      </c>
      <c r="L270" s="437" t="e">
        <f t="shared" si="76"/>
        <v>#N/A</v>
      </c>
      <c r="M270" s="437" t="e">
        <f t="shared" si="77"/>
        <v>#N/A</v>
      </c>
      <c r="N270" s="436" t="e">
        <f t="shared" si="68"/>
        <v>#N/A</v>
      </c>
      <c r="O270" s="436" t="e">
        <f t="shared" si="69"/>
        <v>#N/A</v>
      </c>
      <c r="P270" s="436" t="e">
        <f t="shared" si="70"/>
        <v>#N/A</v>
      </c>
      <c r="Q270" s="438" t="e">
        <f t="shared" si="78"/>
        <v>#N/A</v>
      </c>
      <c r="R270" s="438" t="e">
        <f t="shared" si="79"/>
        <v>#N/A</v>
      </c>
      <c r="S270" s="438" t="e">
        <f t="shared" si="80"/>
        <v>#N/A</v>
      </c>
      <c r="T270" s="436" t="e">
        <f t="shared" si="71"/>
        <v>#N/A</v>
      </c>
      <c r="U270" s="436" t="e">
        <f t="shared" si="72"/>
        <v>#N/A</v>
      </c>
      <c r="V270" s="436" t="e">
        <f t="shared" si="73"/>
        <v>#N/A</v>
      </c>
      <c r="W270" s="438" t="e">
        <f t="shared" si="81"/>
        <v>#N/A</v>
      </c>
      <c r="X270" s="438" t="e">
        <f t="shared" si="82"/>
        <v>#N/A</v>
      </c>
      <c r="Y270" s="438" t="e">
        <f t="shared" si="83"/>
        <v>#N/A</v>
      </c>
      <c r="Z270" s="415"/>
      <c r="AA270" s="103"/>
      <c r="AB270" s="103"/>
      <c r="AC270" s="103"/>
      <c r="AD270" s="103"/>
      <c r="AE270" s="103"/>
      <c r="AF270" s="103"/>
      <c r="AG270" s="103"/>
      <c r="AH270" s="103"/>
      <c r="AI270" s="103"/>
      <c r="AJ270" s="103"/>
      <c r="AK270" s="103"/>
      <c r="AL270" s="103"/>
    </row>
    <row r="271" spans="1:38" s="417" customFormat="1" ht="14.45" hidden="1" customHeight="1" x14ac:dyDescent="0.25">
      <c r="A271" s="416"/>
      <c r="B271" s="440" t="str">
        <f>'PEM sectors'!A14</f>
        <v>Stack (MEA)</v>
      </c>
      <c r="C271" s="440" t="str">
        <f>'PEM sectors'!B14</f>
        <v>Platinum</v>
      </c>
      <c r="D271" s="440">
        <v>333515</v>
      </c>
      <c r="E271" s="440" t="s">
        <v>196</v>
      </c>
      <c r="F271" s="441">
        <f>'PEM sectors'!G14</f>
        <v>0</v>
      </c>
      <c r="G271" s="420">
        <f t="shared" si="74"/>
        <v>0</v>
      </c>
      <c r="H271" s="435" t="e">
        <f t="shared" si="65"/>
        <v>#N/A</v>
      </c>
      <c r="I271" s="436" t="e">
        <f t="shared" si="66"/>
        <v>#N/A</v>
      </c>
      <c r="J271" s="436" t="e">
        <f t="shared" si="67"/>
        <v>#N/A</v>
      </c>
      <c r="K271" s="437" t="e">
        <f t="shared" si="75"/>
        <v>#N/A</v>
      </c>
      <c r="L271" s="437" t="e">
        <f t="shared" si="76"/>
        <v>#N/A</v>
      </c>
      <c r="M271" s="437" t="e">
        <f t="shared" si="77"/>
        <v>#N/A</v>
      </c>
      <c r="N271" s="436" t="e">
        <f t="shared" si="68"/>
        <v>#N/A</v>
      </c>
      <c r="O271" s="436" t="e">
        <f t="shared" si="69"/>
        <v>#N/A</v>
      </c>
      <c r="P271" s="436" t="e">
        <f t="shared" si="70"/>
        <v>#N/A</v>
      </c>
      <c r="Q271" s="438" t="e">
        <f t="shared" si="78"/>
        <v>#N/A</v>
      </c>
      <c r="R271" s="438" t="e">
        <f t="shared" si="79"/>
        <v>#N/A</v>
      </c>
      <c r="S271" s="438" t="e">
        <f t="shared" si="80"/>
        <v>#N/A</v>
      </c>
      <c r="T271" s="436" t="e">
        <f t="shared" si="71"/>
        <v>#N/A</v>
      </c>
      <c r="U271" s="436" t="e">
        <f t="shared" si="72"/>
        <v>#N/A</v>
      </c>
      <c r="V271" s="436" t="e">
        <f t="shared" si="73"/>
        <v>#N/A</v>
      </c>
      <c r="W271" s="438" t="e">
        <f t="shared" si="81"/>
        <v>#N/A</v>
      </c>
      <c r="X271" s="438" t="e">
        <f t="shared" si="82"/>
        <v>#N/A</v>
      </c>
      <c r="Y271" s="438" t="e">
        <f t="shared" si="83"/>
        <v>#N/A</v>
      </c>
      <c r="Z271" s="415"/>
      <c r="AA271" s="103"/>
      <c r="AB271" s="103"/>
      <c r="AC271" s="103"/>
      <c r="AD271" s="103"/>
      <c r="AE271" s="103"/>
      <c r="AF271" s="103"/>
      <c r="AG271" s="103"/>
      <c r="AH271" s="103"/>
      <c r="AI271" s="103"/>
      <c r="AJ271" s="103"/>
      <c r="AK271" s="103"/>
      <c r="AL271" s="103"/>
    </row>
    <row r="272" spans="1:38" s="417" customFormat="1" ht="14.45" hidden="1" customHeight="1" x14ac:dyDescent="0.25">
      <c r="A272" s="416"/>
      <c r="B272" s="440" t="str">
        <f>'PEM sectors'!A15</f>
        <v>Stack (MEA)</v>
      </c>
      <c r="C272" s="440" t="str">
        <f>'PEM sectors'!B15</f>
        <v>MEA mfg</v>
      </c>
      <c r="D272" s="440">
        <v>333515</v>
      </c>
      <c r="E272" s="440" t="s">
        <v>196</v>
      </c>
      <c r="F272" s="441">
        <f>'PEM sectors'!G15</f>
        <v>6.2354988399071918E-5</v>
      </c>
      <c r="G272" s="420">
        <f t="shared" si="74"/>
        <v>6.2354988399071918E-5</v>
      </c>
      <c r="H272" s="435" t="e">
        <f t="shared" si="65"/>
        <v>#N/A</v>
      </c>
      <c r="I272" s="436" t="e">
        <f t="shared" si="66"/>
        <v>#N/A</v>
      </c>
      <c r="J272" s="436" t="e">
        <f t="shared" si="67"/>
        <v>#N/A</v>
      </c>
      <c r="K272" s="437" t="e">
        <f t="shared" si="75"/>
        <v>#N/A</v>
      </c>
      <c r="L272" s="437" t="e">
        <f t="shared" si="76"/>
        <v>#N/A</v>
      </c>
      <c r="M272" s="437" t="e">
        <f t="shared" si="77"/>
        <v>#N/A</v>
      </c>
      <c r="N272" s="436" t="e">
        <f t="shared" si="68"/>
        <v>#N/A</v>
      </c>
      <c r="O272" s="436" t="e">
        <f t="shared" si="69"/>
        <v>#N/A</v>
      </c>
      <c r="P272" s="436" t="e">
        <f t="shared" si="70"/>
        <v>#N/A</v>
      </c>
      <c r="Q272" s="438" t="e">
        <f t="shared" si="78"/>
        <v>#N/A</v>
      </c>
      <c r="R272" s="438" t="e">
        <f t="shared" si="79"/>
        <v>#N/A</v>
      </c>
      <c r="S272" s="438" t="e">
        <f t="shared" si="80"/>
        <v>#N/A</v>
      </c>
      <c r="T272" s="436" t="e">
        <f t="shared" si="71"/>
        <v>#N/A</v>
      </c>
      <c r="U272" s="436" t="e">
        <f t="shared" si="72"/>
        <v>#N/A</v>
      </c>
      <c r="V272" s="436" t="e">
        <f t="shared" si="73"/>
        <v>#N/A</v>
      </c>
      <c r="W272" s="438" t="e">
        <f t="shared" si="81"/>
        <v>#N/A</v>
      </c>
      <c r="X272" s="438" t="e">
        <f t="shared" si="82"/>
        <v>#N/A</v>
      </c>
      <c r="Y272" s="438" t="e">
        <f t="shared" si="83"/>
        <v>#N/A</v>
      </c>
      <c r="Z272" s="415"/>
      <c r="AA272" s="103"/>
      <c r="AB272" s="103"/>
      <c r="AC272" s="103"/>
      <c r="AD272" s="103"/>
      <c r="AE272" s="103"/>
      <c r="AF272" s="103"/>
      <c r="AG272" s="103"/>
      <c r="AH272" s="103"/>
      <c r="AI272" s="103"/>
      <c r="AJ272" s="103"/>
      <c r="AK272" s="103"/>
      <c r="AL272" s="103"/>
    </row>
    <row r="273" spans="1:38" s="417" customFormat="1" ht="14.45" hidden="1" customHeight="1" x14ac:dyDescent="0.25">
      <c r="A273" s="416"/>
      <c r="B273" s="440" t="str">
        <f>B249</f>
        <v>Stack</v>
      </c>
      <c r="C273" s="440" t="str">
        <f t="shared" ref="C273" si="84">C249</f>
        <v>Stack assembly</v>
      </c>
      <c r="D273" s="440">
        <v>333515</v>
      </c>
      <c r="E273" s="440" t="s">
        <v>196</v>
      </c>
      <c r="F273" s="441">
        <f>'PEM sectors'!G18</f>
        <v>0</v>
      </c>
      <c r="G273" s="420">
        <f t="shared" si="74"/>
        <v>0</v>
      </c>
      <c r="H273" s="435" t="e">
        <f t="shared" si="65"/>
        <v>#N/A</v>
      </c>
      <c r="I273" s="436" t="e">
        <f t="shared" si="66"/>
        <v>#N/A</v>
      </c>
      <c r="J273" s="436" t="e">
        <f t="shared" si="67"/>
        <v>#N/A</v>
      </c>
      <c r="K273" s="437" t="e">
        <f t="shared" ref="K273" si="85">H273</f>
        <v>#N/A</v>
      </c>
      <c r="L273" s="437" t="e">
        <f t="shared" ref="L273" si="86">I273-H273</f>
        <v>#N/A</v>
      </c>
      <c r="M273" s="437" t="e">
        <f t="shared" ref="M273" si="87">J273-I273</f>
        <v>#N/A</v>
      </c>
      <c r="N273" s="436" t="e">
        <f t="shared" si="68"/>
        <v>#N/A</v>
      </c>
      <c r="O273" s="436" t="e">
        <f t="shared" si="69"/>
        <v>#N/A</v>
      </c>
      <c r="P273" s="436" t="e">
        <f t="shared" si="70"/>
        <v>#N/A</v>
      </c>
      <c r="Q273" s="438" t="e">
        <f t="shared" ref="Q273:Q274" si="88">N273</f>
        <v>#N/A</v>
      </c>
      <c r="R273" s="438" t="e">
        <f t="shared" ref="R273:R274" si="89">O273-N273</f>
        <v>#N/A</v>
      </c>
      <c r="S273" s="438" t="e">
        <f t="shared" ref="S273:S274" si="90">P273-O273</f>
        <v>#N/A</v>
      </c>
      <c r="T273" s="436" t="e">
        <f t="shared" si="71"/>
        <v>#N/A</v>
      </c>
      <c r="U273" s="436" t="e">
        <f t="shared" si="72"/>
        <v>#N/A</v>
      </c>
      <c r="V273" s="436" t="e">
        <f t="shared" si="73"/>
        <v>#N/A</v>
      </c>
      <c r="W273" s="438" t="e">
        <f t="shared" ref="W273:W274" si="91">T273</f>
        <v>#N/A</v>
      </c>
      <c r="X273" s="438" t="e">
        <f t="shared" ref="X273:X274" si="92">U273-T273</f>
        <v>#N/A</v>
      </c>
      <c r="Y273" s="438" t="e">
        <f t="shared" ref="Y273:Y274" si="93">V273-U273</f>
        <v>#N/A</v>
      </c>
      <c r="Z273" s="415"/>
      <c r="AA273" s="103"/>
      <c r="AB273" s="103"/>
      <c r="AC273" s="103"/>
      <c r="AD273" s="103"/>
      <c r="AE273" s="103"/>
      <c r="AF273" s="103"/>
      <c r="AG273" s="103"/>
      <c r="AH273" s="103"/>
      <c r="AI273" s="103"/>
      <c r="AJ273" s="103"/>
      <c r="AK273" s="103"/>
      <c r="AL273" s="103"/>
    </row>
    <row r="274" spans="1:38" s="417" customFormat="1" ht="14.45" hidden="1" customHeight="1" x14ac:dyDescent="0.25">
      <c r="A274" s="416"/>
      <c r="B274" s="440"/>
      <c r="C274" s="440"/>
      <c r="D274" s="442"/>
      <c r="E274" s="428" t="s">
        <v>448</v>
      </c>
      <c r="F274" s="429">
        <f>SUM(F261:F273)</f>
        <v>4.0693155452436194E-2</v>
      </c>
      <c r="G274" s="429">
        <f>SUM(G261:G273)</f>
        <v>4.0693155452436194E-2</v>
      </c>
      <c r="H274" s="435" t="e">
        <f>SUM(H261:H273)</f>
        <v>#N/A</v>
      </c>
      <c r="I274" s="435" t="e">
        <f t="shared" ref="I274:J274" si="94">SUM(I261:I273)</f>
        <v>#N/A</v>
      </c>
      <c r="J274" s="435" t="e">
        <f t="shared" si="94"/>
        <v>#N/A</v>
      </c>
      <c r="K274" s="437" t="e">
        <f t="shared" ref="K274" si="95">H274</f>
        <v>#N/A</v>
      </c>
      <c r="L274" s="437" t="e">
        <f t="shared" ref="L274" si="96">I274-H274</f>
        <v>#N/A</v>
      </c>
      <c r="M274" s="437" t="e">
        <f t="shared" ref="M274" si="97">J274-I274</f>
        <v>#N/A</v>
      </c>
      <c r="N274" s="435" t="e">
        <f>SUM(N261:N273)</f>
        <v>#N/A</v>
      </c>
      <c r="O274" s="435" t="e">
        <f t="shared" ref="O274" si="98">SUM(O261:O273)</f>
        <v>#N/A</v>
      </c>
      <c r="P274" s="435" t="e">
        <f t="shared" ref="P274" si="99">SUM(P261:P273)</f>
        <v>#N/A</v>
      </c>
      <c r="Q274" s="437" t="e">
        <f t="shared" si="88"/>
        <v>#N/A</v>
      </c>
      <c r="R274" s="437" t="e">
        <f t="shared" si="89"/>
        <v>#N/A</v>
      </c>
      <c r="S274" s="437" t="e">
        <f t="shared" si="90"/>
        <v>#N/A</v>
      </c>
      <c r="T274" s="435" t="e">
        <f>SUM(T261:T273)</f>
        <v>#N/A</v>
      </c>
      <c r="U274" s="435" t="e">
        <f t="shared" ref="U274" si="100">SUM(U261:U273)</f>
        <v>#N/A</v>
      </c>
      <c r="V274" s="435" t="e">
        <f t="shared" ref="V274" si="101">SUM(V261:V273)</f>
        <v>#N/A</v>
      </c>
      <c r="W274" s="437" t="e">
        <f t="shared" si="91"/>
        <v>#N/A</v>
      </c>
      <c r="X274" s="437" t="e">
        <f t="shared" si="92"/>
        <v>#N/A</v>
      </c>
      <c r="Y274" s="437" t="e">
        <f t="shared" si="93"/>
        <v>#N/A</v>
      </c>
      <c r="Z274" s="415"/>
      <c r="AA274" s="103"/>
      <c r="AB274" s="103"/>
      <c r="AC274" s="103"/>
      <c r="AD274" s="103"/>
      <c r="AE274" s="103"/>
      <c r="AF274" s="103"/>
      <c r="AG274" s="103"/>
      <c r="AH274" s="103"/>
      <c r="AI274" s="103"/>
      <c r="AJ274" s="103"/>
      <c r="AK274" s="103"/>
      <c r="AL274" s="103"/>
    </row>
    <row r="275" spans="1:38" s="417" customFormat="1" ht="14.45" hidden="1" customHeight="1" x14ac:dyDescent="0.25">
      <c r="A275" s="416"/>
      <c r="B275" s="440"/>
      <c r="C275" s="440"/>
      <c r="D275" s="442"/>
      <c r="E275" s="440"/>
      <c r="F275" s="441"/>
      <c r="G275" s="420"/>
      <c r="H275" s="435"/>
      <c r="I275" s="436"/>
      <c r="J275" s="436"/>
      <c r="K275" s="437"/>
      <c r="L275" s="437"/>
      <c r="M275" s="437"/>
      <c r="N275" s="436"/>
      <c r="O275" s="436"/>
      <c r="P275" s="436"/>
      <c r="Q275" s="438"/>
      <c r="R275" s="438"/>
      <c r="S275" s="438"/>
      <c r="T275" s="436"/>
      <c r="U275" s="436"/>
      <c r="V275" s="436"/>
      <c r="W275" s="438"/>
      <c r="X275" s="438"/>
      <c r="Y275" s="438"/>
      <c r="Z275" s="415"/>
      <c r="AA275" s="103"/>
      <c r="AB275" s="103"/>
      <c r="AC275" s="103"/>
      <c r="AD275" s="103"/>
      <c r="AE275" s="103"/>
      <c r="AF275" s="103"/>
      <c r="AG275" s="103"/>
      <c r="AH275" s="103"/>
      <c r="AI275" s="103"/>
      <c r="AJ275" s="103"/>
      <c r="AK275" s="103"/>
      <c r="AL275" s="103"/>
    </row>
    <row r="276" spans="1:38" s="417" customFormat="1" ht="14.45" hidden="1" customHeight="1" x14ac:dyDescent="0.25">
      <c r="A276" s="416"/>
      <c r="B276" s="440"/>
      <c r="C276" s="440"/>
      <c r="D276" s="442"/>
      <c r="E276" s="415">
        <v>2015</v>
      </c>
      <c r="F276" s="443">
        <f t="shared" ref="F276:F281" si="102">F$274*F597</f>
        <v>0</v>
      </c>
      <c r="G276" s="443">
        <f t="shared" ref="G276:Y276" si="103">G$274*$G597</f>
        <v>0</v>
      </c>
      <c r="H276" s="444" t="e">
        <f t="shared" si="103"/>
        <v>#N/A</v>
      </c>
      <c r="I276" s="444" t="e">
        <f t="shared" si="103"/>
        <v>#N/A</v>
      </c>
      <c r="J276" s="444" t="e">
        <f t="shared" si="103"/>
        <v>#N/A</v>
      </c>
      <c r="K276" s="444" t="e">
        <f t="shared" si="103"/>
        <v>#N/A</v>
      </c>
      <c r="L276" s="444" t="e">
        <f t="shared" si="103"/>
        <v>#N/A</v>
      </c>
      <c r="M276" s="444" t="e">
        <f t="shared" si="103"/>
        <v>#N/A</v>
      </c>
      <c r="N276" s="443" t="e">
        <f t="shared" si="103"/>
        <v>#N/A</v>
      </c>
      <c r="O276" s="443" t="e">
        <f t="shared" si="103"/>
        <v>#N/A</v>
      </c>
      <c r="P276" s="443" t="e">
        <f t="shared" si="103"/>
        <v>#N/A</v>
      </c>
      <c r="Q276" s="443" t="e">
        <f t="shared" si="103"/>
        <v>#N/A</v>
      </c>
      <c r="R276" s="443" t="e">
        <f t="shared" si="103"/>
        <v>#N/A</v>
      </c>
      <c r="S276" s="443" t="e">
        <f t="shared" si="103"/>
        <v>#N/A</v>
      </c>
      <c r="T276" s="443" t="e">
        <f t="shared" si="103"/>
        <v>#N/A</v>
      </c>
      <c r="U276" s="443" t="e">
        <f t="shared" si="103"/>
        <v>#N/A</v>
      </c>
      <c r="V276" s="443" t="e">
        <f t="shared" si="103"/>
        <v>#N/A</v>
      </c>
      <c r="W276" s="443" t="e">
        <f t="shared" si="103"/>
        <v>#N/A</v>
      </c>
      <c r="X276" s="443" t="e">
        <f t="shared" si="103"/>
        <v>#N/A</v>
      </c>
      <c r="Y276" s="443" t="e">
        <f t="shared" si="103"/>
        <v>#N/A</v>
      </c>
      <c r="Z276" s="415"/>
      <c r="AA276" s="103"/>
      <c r="AB276" s="103"/>
      <c r="AC276" s="103"/>
      <c r="AD276" s="103"/>
      <c r="AE276" s="103"/>
      <c r="AF276" s="103"/>
      <c r="AG276" s="103"/>
      <c r="AH276" s="103"/>
      <c r="AI276" s="103"/>
      <c r="AJ276" s="103"/>
      <c r="AK276" s="103"/>
      <c r="AL276" s="103"/>
    </row>
    <row r="277" spans="1:38" s="417" customFormat="1" ht="14.45" hidden="1" customHeight="1" x14ac:dyDescent="0.25">
      <c r="A277" s="416"/>
      <c r="B277" s="440"/>
      <c r="C277" s="440"/>
      <c r="D277" s="442"/>
      <c r="E277" s="415">
        <v>2016</v>
      </c>
      <c r="F277" s="443">
        <f t="shared" si="102"/>
        <v>0</v>
      </c>
      <c r="G277" s="443">
        <f t="shared" ref="G277:Y277" si="104">G$274*$G598</f>
        <v>0</v>
      </c>
      <c r="H277" s="444" t="e">
        <f t="shared" si="104"/>
        <v>#N/A</v>
      </c>
      <c r="I277" s="444" t="e">
        <f t="shared" si="104"/>
        <v>#N/A</v>
      </c>
      <c r="J277" s="444" t="e">
        <f t="shared" si="104"/>
        <v>#N/A</v>
      </c>
      <c r="K277" s="444" t="e">
        <f t="shared" si="104"/>
        <v>#N/A</v>
      </c>
      <c r="L277" s="444" t="e">
        <f t="shared" si="104"/>
        <v>#N/A</v>
      </c>
      <c r="M277" s="444" t="e">
        <f t="shared" si="104"/>
        <v>#N/A</v>
      </c>
      <c r="N277" s="443" t="e">
        <f t="shared" si="104"/>
        <v>#N/A</v>
      </c>
      <c r="O277" s="443" t="e">
        <f t="shared" si="104"/>
        <v>#N/A</v>
      </c>
      <c r="P277" s="443" t="e">
        <f t="shared" si="104"/>
        <v>#N/A</v>
      </c>
      <c r="Q277" s="443" t="e">
        <f t="shared" si="104"/>
        <v>#N/A</v>
      </c>
      <c r="R277" s="443" t="e">
        <f t="shared" si="104"/>
        <v>#N/A</v>
      </c>
      <c r="S277" s="443" t="e">
        <f t="shared" si="104"/>
        <v>#N/A</v>
      </c>
      <c r="T277" s="443" t="e">
        <f t="shared" si="104"/>
        <v>#N/A</v>
      </c>
      <c r="U277" s="443" t="e">
        <f t="shared" si="104"/>
        <v>#N/A</v>
      </c>
      <c r="V277" s="443" t="e">
        <f t="shared" si="104"/>
        <v>#N/A</v>
      </c>
      <c r="W277" s="443" t="e">
        <f t="shared" si="104"/>
        <v>#N/A</v>
      </c>
      <c r="X277" s="443" t="e">
        <f t="shared" si="104"/>
        <v>#N/A</v>
      </c>
      <c r="Y277" s="443" t="e">
        <f t="shared" si="104"/>
        <v>#N/A</v>
      </c>
      <c r="Z277" s="415"/>
      <c r="AA277" s="103"/>
      <c r="AB277" s="103"/>
      <c r="AC277" s="103"/>
      <c r="AD277" s="103"/>
      <c r="AE277" s="103"/>
      <c r="AF277" s="103"/>
      <c r="AG277" s="103"/>
      <c r="AH277" s="103"/>
      <c r="AI277" s="103"/>
      <c r="AJ277" s="103"/>
      <c r="AK277" s="103"/>
      <c r="AL277" s="103"/>
    </row>
    <row r="278" spans="1:38" s="417" customFormat="1" ht="14.45" hidden="1" customHeight="1" x14ac:dyDescent="0.25">
      <c r="A278" s="416"/>
      <c r="B278" s="440"/>
      <c r="C278" s="440"/>
      <c r="D278" s="442"/>
      <c r="E278" s="415">
        <v>2017</v>
      </c>
      <c r="F278" s="443">
        <f t="shared" si="102"/>
        <v>0</v>
      </c>
      <c r="G278" s="443">
        <f t="shared" ref="G278:Y278" si="105">G$274*$G599</f>
        <v>0</v>
      </c>
      <c r="H278" s="444" t="e">
        <f t="shared" si="105"/>
        <v>#N/A</v>
      </c>
      <c r="I278" s="444" t="e">
        <f t="shared" si="105"/>
        <v>#N/A</v>
      </c>
      <c r="J278" s="444" t="e">
        <f t="shared" si="105"/>
        <v>#N/A</v>
      </c>
      <c r="K278" s="444" t="e">
        <f t="shared" si="105"/>
        <v>#N/A</v>
      </c>
      <c r="L278" s="444" t="e">
        <f t="shared" si="105"/>
        <v>#N/A</v>
      </c>
      <c r="M278" s="444" t="e">
        <f t="shared" si="105"/>
        <v>#N/A</v>
      </c>
      <c r="N278" s="443" t="e">
        <f t="shared" si="105"/>
        <v>#N/A</v>
      </c>
      <c r="O278" s="443" t="e">
        <f t="shared" si="105"/>
        <v>#N/A</v>
      </c>
      <c r="P278" s="443" t="e">
        <f t="shared" si="105"/>
        <v>#N/A</v>
      </c>
      <c r="Q278" s="443" t="e">
        <f t="shared" si="105"/>
        <v>#N/A</v>
      </c>
      <c r="R278" s="443" t="e">
        <f t="shared" si="105"/>
        <v>#N/A</v>
      </c>
      <c r="S278" s="443" t="e">
        <f t="shared" si="105"/>
        <v>#N/A</v>
      </c>
      <c r="T278" s="443" t="e">
        <f t="shared" si="105"/>
        <v>#N/A</v>
      </c>
      <c r="U278" s="443" t="e">
        <f t="shared" si="105"/>
        <v>#N/A</v>
      </c>
      <c r="V278" s="443" t="e">
        <f t="shared" si="105"/>
        <v>#N/A</v>
      </c>
      <c r="W278" s="443" t="e">
        <f t="shared" si="105"/>
        <v>#N/A</v>
      </c>
      <c r="X278" s="443" t="e">
        <f t="shared" si="105"/>
        <v>#N/A</v>
      </c>
      <c r="Y278" s="443" t="e">
        <f t="shared" si="105"/>
        <v>#N/A</v>
      </c>
      <c r="Z278" s="415"/>
      <c r="AA278" s="103"/>
      <c r="AB278" s="103"/>
      <c r="AC278" s="103"/>
      <c r="AD278" s="103"/>
      <c r="AE278" s="103"/>
      <c r="AF278" s="103"/>
      <c r="AG278" s="103"/>
      <c r="AH278" s="103"/>
      <c r="AI278" s="103"/>
      <c r="AJ278" s="103"/>
      <c r="AK278" s="103"/>
      <c r="AL278" s="103"/>
    </row>
    <row r="279" spans="1:38" s="417" customFormat="1" ht="14.45" hidden="1" customHeight="1" x14ac:dyDescent="0.25">
      <c r="A279" s="416"/>
      <c r="B279" s="440"/>
      <c r="C279" s="440"/>
      <c r="D279" s="442"/>
      <c r="E279" s="415">
        <v>2018</v>
      </c>
      <c r="F279" s="443">
        <f t="shared" si="102"/>
        <v>0</v>
      </c>
      <c r="G279" s="443">
        <f t="shared" ref="G279:Y279" si="106">G$274*$G600</f>
        <v>0</v>
      </c>
      <c r="H279" s="444" t="e">
        <f t="shared" si="106"/>
        <v>#N/A</v>
      </c>
      <c r="I279" s="444" t="e">
        <f t="shared" si="106"/>
        <v>#N/A</v>
      </c>
      <c r="J279" s="444" t="e">
        <f t="shared" si="106"/>
        <v>#N/A</v>
      </c>
      <c r="K279" s="444" t="e">
        <f t="shared" si="106"/>
        <v>#N/A</v>
      </c>
      <c r="L279" s="444" t="e">
        <f t="shared" si="106"/>
        <v>#N/A</v>
      </c>
      <c r="M279" s="444" t="e">
        <f t="shared" si="106"/>
        <v>#N/A</v>
      </c>
      <c r="N279" s="443" t="e">
        <f t="shared" si="106"/>
        <v>#N/A</v>
      </c>
      <c r="O279" s="443" t="e">
        <f t="shared" si="106"/>
        <v>#N/A</v>
      </c>
      <c r="P279" s="443" t="e">
        <f t="shared" si="106"/>
        <v>#N/A</v>
      </c>
      <c r="Q279" s="443" t="e">
        <f t="shared" si="106"/>
        <v>#N/A</v>
      </c>
      <c r="R279" s="443" t="e">
        <f t="shared" si="106"/>
        <v>#N/A</v>
      </c>
      <c r="S279" s="443" t="e">
        <f t="shared" si="106"/>
        <v>#N/A</v>
      </c>
      <c r="T279" s="443" t="e">
        <f t="shared" si="106"/>
        <v>#N/A</v>
      </c>
      <c r="U279" s="443" t="e">
        <f t="shared" si="106"/>
        <v>#N/A</v>
      </c>
      <c r="V279" s="443" t="e">
        <f t="shared" si="106"/>
        <v>#N/A</v>
      </c>
      <c r="W279" s="443" t="e">
        <f t="shared" si="106"/>
        <v>#N/A</v>
      </c>
      <c r="X279" s="443" t="e">
        <f t="shared" si="106"/>
        <v>#N/A</v>
      </c>
      <c r="Y279" s="443" t="e">
        <f t="shared" si="106"/>
        <v>#N/A</v>
      </c>
      <c r="Z279" s="415"/>
      <c r="AA279" s="103"/>
      <c r="AB279" s="103"/>
      <c r="AC279" s="103"/>
      <c r="AD279" s="103"/>
      <c r="AE279" s="103"/>
      <c r="AF279" s="103"/>
      <c r="AG279" s="103"/>
      <c r="AH279" s="103"/>
      <c r="AI279" s="103"/>
      <c r="AJ279" s="103"/>
      <c r="AK279" s="103"/>
      <c r="AL279" s="103"/>
    </row>
    <row r="280" spans="1:38" s="417" customFormat="1" ht="14.45" hidden="1" customHeight="1" x14ac:dyDescent="0.25">
      <c r="A280" s="416"/>
      <c r="B280" s="440"/>
      <c r="C280" s="440"/>
      <c r="D280" s="442"/>
      <c r="E280" s="415">
        <v>2019</v>
      </c>
      <c r="F280" s="443">
        <f t="shared" si="102"/>
        <v>0</v>
      </c>
      <c r="G280" s="443">
        <f t="shared" ref="G280:Y280" si="107">G$274*$G601</f>
        <v>0</v>
      </c>
      <c r="H280" s="444" t="e">
        <f t="shared" si="107"/>
        <v>#N/A</v>
      </c>
      <c r="I280" s="444" t="e">
        <f t="shared" si="107"/>
        <v>#N/A</v>
      </c>
      <c r="J280" s="444" t="e">
        <f t="shared" si="107"/>
        <v>#N/A</v>
      </c>
      <c r="K280" s="444" t="e">
        <f t="shared" si="107"/>
        <v>#N/A</v>
      </c>
      <c r="L280" s="444" t="e">
        <f t="shared" si="107"/>
        <v>#N/A</v>
      </c>
      <c r="M280" s="444" t="e">
        <f t="shared" si="107"/>
        <v>#N/A</v>
      </c>
      <c r="N280" s="443" t="e">
        <f t="shared" si="107"/>
        <v>#N/A</v>
      </c>
      <c r="O280" s="443" t="e">
        <f t="shared" si="107"/>
        <v>#N/A</v>
      </c>
      <c r="P280" s="443" t="e">
        <f t="shared" si="107"/>
        <v>#N/A</v>
      </c>
      <c r="Q280" s="443" t="e">
        <f t="shared" si="107"/>
        <v>#N/A</v>
      </c>
      <c r="R280" s="443" t="e">
        <f t="shared" si="107"/>
        <v>#N/A</v>
      </c>
      <c r="S280" s="443" t="e">
        <f t="shared" si="107"/>
        <v>#N/A</v>
      </c>
      <c r="T280" s="443" t="e">
        <f t="shared" si="107"/>
        <v>#N/A</v>
      </c>
      <c r="U280" s="443" t="e">
        <f t="shared" si="107"/>
        <v>#N/A</v>
      </c>
      <c r="V280" s="443" t="e">
        <f t="shared" si="107"/>
        <v>#N/A</v>
      </c>
      <c r="W280" s="443" t="e">
        <f t="shared" si="107"/>
        <v>#N/A</v>
      </c>
      <c r="X280" s="443" t="e">
        <f t="shared" si="107"/>
        <v>#N/A</v>
      </c>
      <c r="Y280" s="443" t="e">
        <f t="shared" si="107"/>
        <v>#N/A</v>
      </c>
      <c r="Z280" s="415"/>
      <c r="AA280" s="103"/>
      <c r="AB280" s="103"/>
      <c r="AC280" s="103"/>
      <c r="AD280" s="103"/>
      <c r="AE280" s="103"/>
      <c r="AF280" s="103"/>
      <c r="AG280" s="103"/>
      <c r="AH280" s="103"/>
      <c r="AI280" s="103"/>
      <c r="AJ280" s="103"/>
      <c r="AK280" s="103"/>
      <c r="AL280" s="103"/>
    </row>
    <row r="281" spans="1:38" s="417" customFormat="1" ht="14.45" hidden="1" customHeight="1" x14ac:dyDescent="0.25">
      <c r="A281" s="416"/>
      <c r="B281" s="440"/>
      <c r="C281" s="440"/>
      <c r="D281" s="442"/>
      <c r="E281" s="415">
        <v>2020</v>
      </c>
      <c r="F281" s="443">
        <f t="shared" si="102"/>
        <v>0</v>
      </c>
      <c r="G281" s="443">
        <f t="shared" ref="G281:Y281" si="108">G$274*$G602</f>
        <v>0</v>
      </c>
      <c r="H281" s="444" t="e">
        <f t="shared" si="108"/>
        <v>#N/A</v>
      </c>
      <c r="I281" s="444" t="e">
        <f t="shared" si="108"/>
        <v>#N/A</v>
      </c>
      <c r="J281" s="444" t="e">
        <f t="shared" si="108"/>
        <v>#N/A</v>
      </c>
      <c r="K281" s="444" t="e">
        <f t="shared" si="108"/>
        <v>#N/A</v>
      </c>
      <c r="L281" s="444" t="e">
        <f t="shared" si="108"/>
        <v>#N/A</v>
      </c>
      <c r="M281" s="444" t="e">
        <f t="shared" si="108"/>
        <v>#N/A</v>
      </c>
      <c r="N281" s="443" t="e">
        <f t="shared" si="108"/>
        <v>#N/A</v>
      </c>
      <c r="O281" s="443" t="e">
        <f t="shared" si="108"/>
        <v>#N/A</v>
      </c>
      <c r="P281" s="443" t="e">
        <f t="shared" si="108"/>
        <v>#N/A</v>
      </c>
      <c r="Q281" s="443" t="e">
        <f t="shared" si="108"/>
        <v>#N/A</v>
      </c>
      <c r="R281" s="443" t="e">
        <f t="shared" si="108"/>
        <v>#N/A</v>
      </c>
      <c r="S281" s="443" t="e">
        <f t="shared" si="108"/>
        <v>#N/A</v>
      </c>
      <c r="T281" s="443" t="e">
        <f t="shared" si="108"/>
        <v>#N/A</v>
      </c>
      <c r="U281" s="443" t="e">
        <f t="shared" si="108"/>
        <v>#N/A</v>
      </c>
      <c r="V281" s="443" t="e">
        <f t="shared" si="108"/>
        <v>#N/A</v>
      </c>
      <c r="W281" s="443" t="e">
        <f t="shared" si="108"/>
        <v>#N/A</v>
      </c>
      <c r="X281" s="443" t="e">
        <f t="shared" si="108"/>
        <v>#N/A</v>
      </c>
      <c r="Y281" s="443" t="e">
        <f t="shared" si="108"/>
        <v>#N/A</v>
      </c>
      <c r="Z281" s="415"/>
      <c r="AA281" s="103"/>
      <c r="AB281" s="103"/>
      <c r="AC281" s="103"/>
      <c r="AD281" s="103"/>
      <c r="AE281" s="103"/>
      <c r="AF281" s="103"/>
      <c r="AG281" s="103"/>
      <c r="AH281" s="103"/>
      <c r="AI281" s="103"/>
      <c r="AJ281" s="103"/>
      <c r="AK281" s="103"/>
      <c r="AL281" s="103"/>
    </row>
    <row r="282" spans="1:38" s="415" customFormat="1" ht="15.75" hidden="1" x14ac:dyDescent="0.25">
      <c r="A282" s="410"/>
      <c r="D282" s="445"/>
      <c r="E282" s="417"/>
      <c r="F282" s="446"/>
      <c r="G282" s="446"/>
      <c r="N282" s="447"/>
      <c r="O282" s="447"/>
      <c r="P282" s="447"/>
      <c r="Q282" s="447"/>
      <c r="R282" s="447"/>
      <c r="S282" s="447"/>
      <c r="T282" s="447"/>
      <c r="U282" s="447"/>
      <c r="V282" s="447"/>
      <c r="W282" s="447"/>
      <c r="X282" s="447"/>
      <c r="Y282" s="447"/>
      <c r="AA282" s="103"/>
      <c r="AB282" s="103"/>
      <c r="AC282" s="103"/>
      <c r="AD282" s="103"/>
      <c r="AE282" s="103"/>
      <c r="AF282" s="103"/>
      <c r="AG282" s="103"/>
      <c r="AH282" s="103"/>
      <c r="AI282" s="103"/>
      <c r="AJ282" s="103"/>
      <c r="AK282" s="103"/>
      <c r="AL282" s="103"/>
    </row>
    <row r="283" spans="1:38" s="415" customFormat="1" ht="15.75" hidden="1" x14ac:dyDescent="0.25">
      <c r="A283" s="410"/>
      <c r="B283" s="1187" t="s">
        <v>1568</v>
      </c>
      <c r="C283" s="1188"/>
      <c r="D283" s="1142" t="s">
        <v>1045</v>
      </c>
      <c r="F283" s="449"/>
      <c r="G283" s="450"/>
      <c r="N283" s="447"/>
      <c r="O283" s="447"/>
      <c r="P283" s="447"/>
      <c r="Q283" s="447"/>
      <c r="R283" s="447"/>
      <c r="S283" s="447"/>
      <c r="T283" s="447"/>
      <c r="U283" s="447"/>
      <c r="V283" s="447"/>
      <c r="W283" s="447"/>
      <c r="X283" s="447"/>
      <c r="Y283" s="447"/>
      <c r="AA283" s="103"/>
      <c r="AB283" s="103"/>
      <c r="AC283" s="103"/>
      <c r="AD283" s="103"/>
      <c r="AE283" s="103"/>
      <c r="AF283" s="103"/>
      <c r="AG283" s="103"/>
      <c r="AH283" s="103"/>
      <c r="AI283" s="103"/>
      <c r="AJ283" s="103"/>
      <c r="AK283" s="103"/>
      <c r="AL283" s="103"/>
    </row>
    <row r="284" spans="1:38" s="417" customFormat="1" ht="15.75" hidden="1" x14ac:dyDescent="0.25">
      <c r="A284" s="416"/>
      <c r="D284" s="418" t="s">
        <v>412</v>
      </c>
      <c r="E284" s="419" t="s">
        <v>10</v>
      </c>
      <c r="F284" s="450" t="s">
        <v>428</v>
      </c>
      <c r="G284" s="419" t="str">
        <f>G$212</f>
        <v>Cost in 2008 dollars</v>
      </c>
      <c r="H284" s="417" t="s">
        <v>583</v>
      </c>
      <c r="I284" s="417" t="s">
        <v>584</v>
      </c>
      <c r="J284" s="417" t="s">
        <v>585</v>
      </c>
      <c r="K284" s="417" t="s">
        <v>586</v>
      </c>
      <c r="L284" s="417" t="s">
        <v>413</v>
      </c>
      <c r="M284" s="417" t="s">
        <v>414</v>
      </c>
      <c r="N284" s="426" t="s">
        <v>592</v>
      </c>
      <c r="O284" s="426" t="s">
        <v>587</v>
      </c>
      <c r="P284" s="426" t="s">
        <v>588</v>
      </c>
      <c r="Q284" s="426" t="s">
        <v>589</v>
      </c>
      <c r="R284" s="426" t="s">
        <v>590</v>
      </c>
      <c r="S284" s="426" t="s">
        <v>591</v>
      </c>
      <c r="T284" s="426" t="s">
        <v>593</v>
      </c>
      <c r="U284" s="426" t="s">
        <v>594</v>
      </c>
      <c r="V284" s="426" t="s">
        <v>595</v>
      </c>
      <c r="W284" s="426" t="s">
        <v>596</v>
      </c>
      <c r="X284" s="426" t="s">
        <v>597</v>
      </c>
      <c r="Y284" s="426" t="s">
        <v>598</v>
      </c>
      <c r="Z284" s="415"/>
      <c r="AA284" s="103"/>
      <c r="AB284" s="103"/>
      <c r="AC284" s="103"/>
      <c r="AD284" s="103"/>
      <c r="AE284" s="103"/>
      <c r="AF284" s="103"/>
      <c r="AG284" s="103"/>
      <c r="AH284" s="103"/>
      <c r="AI284" s="103"/>
      <c r="AJ284" s="103"/>
      <c r="AK284" s="103"/>
      <c r="AL284" s="103"/>
    </row>
    <row r="285" spans="1:38" s="415" customFormat="1" ht="15.75" hidden="1" x14ac:dyDescent="0.25">
      <c r="A285" s="410"/>
      <c r="B285" s="415" t="str">
        <f>'PEM sectors'!A23</f>
        <v>BoP</v>
      </c>
      <c r="C285" s="415" t="str">
        <f>'PEM sectors'!B23</f>
        <v>Air Filter (Cooling Air)</v>
      </c>
      <c r="D285" s="415" t="str">
        <f>'PEM sectors'!C23</f>
        <v>33341A</v>
      </c>
      <c r="E285" s="415" t="str">
        <f>'PEM sectors'!D23</f>
        <v xml:space="preserve">Air purification and ventilation equipment manufacturing </v>
      </c>
      <c r="F285" s="420">
        <f>'PEM sectors'!F23</f>
        <v>4.0603248259860787E-3</v>
      </c>
      <c r="G285" s="420">
        <f>F285</f>
        <v>4.0603248259860787E-3</v>
      </c>
      <c r="H285" s="421" t="e">
        <f t="shared" ref="H285:H306" si="109">$G285*INDEX(tier_emp_mult, MATCH($D285, tier_emp_code,0), MATCH(State, R_emp, 0))/1000000</f>
        <v>#N/A</v>
      </c>
      <c r="I285" s="422" t="e">
        <f t="shared" ref="I285:I306" si="110">$G285*INDEX(typeI_emp_mult, MATCH($D285, typeI_emp_code,0), MATCH(State, R_emp, 0))/1000000</f>
        <v>#N/A</v>
      </c>
      <c r="J285" s="422" t="e">
        <f t="shared" ref="J285:J306" si="111">$G285*INDEX(typeII_emp_mult, MATCH($D285, typeII_emp_code,0), MATCH(State, R_emp, 0))/1000000</f>
        <v>#N/A</v>
      </c>
      <c r="K285" s="423" t="e">
        <f>H285</f>
        <v>#N/A</v>
      </c>
      <c r="L285" s="423" t="e">
        <f>I285-H285</f>
        <v>#N/A</v>
      </c>
      <c r="M285" s="423" t="e">
        <f>J285-I285</f>
        <v>#N/A</v>
      </c>
      <c r="N285" s="422" t="e">
        <f t="shared" ref="N285:N306" si="112">$G285*INDEX(tier_earn_mult, MATCH($D285, tier_earn_code,0), MATCH(State, R_earn, 0))</f>
        <v>#N/A</v>
      </c>
      <c r="O285" s="422" t="e">
        <f t="shared" ref="O285:O306" si="113">$G285*INDEX(typeI_earn_mult, MATCH($D285, typeI_earn_code,0), MATCH(State, R_earn, 0))</f>
        <v>#N/A</v>
      </c>
      <c r="P285" s="422" t="e">
        <f t="shared" ref="P285:P306" si="114">$G285*INDEX(typeII_earn_mult, MATCH($D285, typeII_earn_code,0), MATCH(State, R_earn, 0))</f>
        <v>#N/A</v>
      </c>
      <c r="Q285" s="447" t="e">
        <f>N285</f>
        <v>#N/A</v>
      </c>
      <c r="R285" s="447" t="e">
        <f>O285-N285</f>
        <v>#N/A</v>
      </c>
      <c r="S285" s="447" t="e">
        <f>P285-O285</f>
        <v>#N/A</v>
      </c>
      <c r="T285" s="422" t="e">
        <f t="shared" ref="T285:T306" si="115">$G285*INDEX(tier_out_mult, MATCH($D285, tier_out_code,0), MATCH(State, R_out, 0))</f>
        <v>#N/A</v>
      </c>
      <c r="U285" s="422" t="e">
        <f t="shared" ref="U285:U306" si="116">$G285*INDEX(typeI_out_mult, MATCH($D285, typeI_out_code,0), MATCH(State, R_out, 0))</f>
        <v>#N/A</v>
      </c>
      <c r="V285" s="422" t="e">
        <f t="shared" ref="V285:V306" si="117">$G285*INDEX(typeII_out_mult, MATCH($D285, typeII_out_code,0), MATCH(State, R_out, 0))</f>
        <v>#N/A</v>
      </c>
      <c r="W285" s="447" t="e">
        <f>T285</f>
        <v>#N/A</v>
      </c>
      <c r="X285" s="447" t="e">
        <f>U285-T285</f>
        <v>#N/A</v>
      </c>
      <c r="Y285" s="447" t="e">
        <f>V285-U285</f>
        <v>#N/A</v>
      </c>
      <c r="AA285" s="103"/>
      <c r="AB285" s="103"/>
      <c r="AC285" s="103"/>
      <c r="AD285" s="103"/>
      <c r="AE285" s="103"/>
      <c r="AF285" s="103"/>
      <c r="AG285" s="103"/>
      <c r="AH285" s="103"/>
      <c r="AI285" s="103"/>
      <c r="AJ285" s="103"/>
      <c r="AK285" s="103"/>
      <c r="AL285" s="103"/>
    </row>
    <row r="286" spans="1:38" s="415" customFormat="1" ht="15.75" hidden="1" x14ac:dyDescent="0.25">
      <c r="A286" s="410"/>
      <c r="B286" s="415" t="str">
        <f>'PEM sectors'!A24</f>
        <v>BoP</v>
      </c>
      <c r="C286" s="415" t="str">
        <f>'PEM sectors'!B24</f>
        <v>Air Filter (Cathode Air)</v>
      </c>
      <c r="D286" s="415" t="str">
        <f>'PEM sectors'!C24</f>
        <v>33341A</v>
      </c>
      <c r="E286" s="415" t="str">
        <f>'PEM sectors'!D24</f>
        <v xml:space="preserve">Air purification and ventilation equipment manufacturing </v>
      </c>
      <c r="F286" s="420">
        <f>'PEM sectors'!F24</f>
        <v>1.2035962877030163E-2</v>
      </c>
      <c r="G286" s="420">
        <f t="shared" ref="G286:G306" si="118">F286</f>
        <v>1.2035962877030163E-2</v>
      </c>
      <c r="H286" s="421" t="e">
        <f t="shared" si="109"/>
        <v>#N/A</v>
      </c>
      <c r="I286" s="422" t="e">
        <f t="shared" si="110"/>
        <v>#N/A</v>
      </c>
      <c r="J286" s="422" t="e">
        <f t="shared" si="111"/>
        <v>#N/A</v>
      </c>
      <c r="K286" s="423" t="e">
        <f t="shared" ref="K286:K306" si="119">H286</f>
        <v>#N/A</v>
      </c>
      <c r="L286" s="423" t="e">
        <f t="shared" ref="L286:L306" si="120">I286-H286</f>
        <v>#N/A</v>
      </c>
      <c r="M286" s="423" t="e">
        <f t="shared" ref="M286:M306" si="121">J286-I286</f>
        <v>#N/A</v>
      </c>
      <c r="N286" s="422" t="e">
        <f t="shared" si="112"/>
        <v>#N/A</v>
      </c>
      <c r="O286" s="422" t="e">
        <f t="shared" si="113"/>
        <v>#N/A</v>
      </c>
      <c r="P286" s="422" t="e">
        <f t="shared" si="114"/>
        <v>#N/A</v>
      </c>
      <c r="Q286" s="447" t="e">
        <f t="shared" ref="Q286:Q306" si="122">N286</f>
        <v>#N/A</v>
      </c>
      <c r="R286" s="447" t="e">
        <f t="shared" ref="R286:R306" si="123">O286-N286</f>
        <v>#N/A</v>
      </c>
      <c r="S286" s="447" t="e">
        <f t="shared" ref="S286:S306" si="124">P286-O286</f>
        <v>#N/A</v>
      </c>
      <c r="T286" s="422" t="e">
        <f t="shared" si="115"/>
        <v>#N/A</v>
      </c>
      <c r="U286" s="422" t="e">
        <f t="shared" si="116"/>
        <v>#N/A</v>
      </c>
      <c r="V286" s="422" t="e">
        <f t="shared" si="117"/>
        <v>#N/A</v>
      </c>
      <c r="W286" s="447" t="e">
        <f t="shared" ref="W286:W306" si="125">T286</f>
        <v>#N/A</v>
      </c>
      <c r="X286" s="447" t="e">
        <f t="shared" ref="X286:X306" si="126">U286-T286</f>
        <v>#N/A</v>
      </c>
      <c r="Y286" s="447" t="e">
        <f t="shared" ref="Y286:Y306" si="127">V286-U286</f>
        <v>#N/A</v>
      </c>
      <c r="AA286" s="103"/>
      <c r="AB286" s="103"/>
      <c r="AC286" s="103"/>
      <c r="AD286" s="103"/>
      <c r="AE286" s="103"/>
      <c r="AF286" s="103"/>
      <c r="AG286" s="103"/>
      <c r="AH286" s="103"/>
      <c r="AI286" s="103"/>
      <c r="AJ286" s="103"/>
      <c r="AK286" s="103"/>
      <c r="AL286" s="103"/>
    </row>
    <row r="287" spans="1:38" s="415" customFormat="1" ht="15.75" hidden="1" x14ac:dyDescent="0.25">
      <c r="A287" s="410"/>
      <c r="B287" s="415" t="str">
        <f>'PEM sectors'!A25</f>
        <v>BoP</v>
      </c>
      <c r="C287" s="415" t="str">
        <f>'PEM sectors'!B25</f>
        <v>Blower (Cooling Air)</v>
      </c>
      <c r="D287" s="415" t="str">
        <f>'PEM sectors'!C25</f>
        <v>33341A</v>
      </c>
      <c r="E287" s="415" t="str">
        <f>'PEM sectors'!D25</f>
        <v xml:space="preserve">Air purification and ventilation equipment manufacturing </v>
      </c>
      <c r="F287" s="420">
        <f>'PEM sectors'!F25</f>
        <v>2.1751740139211138E-2</v>
      </c>
      <c r="G287" s="420">
        <f t="shared" si="118"/>
        <v>2.1751740139211138E-2</v>
      </c>
      <c r="H287" s="421" t="e">
        <f t="shared" si="109"/>
        <v>#N/A</v>
      </c>
      <c r="I287" s="422" t="e">
        <f t="shared" si="110"/>
        <v>#N/A</v>
      </c>
      <c r="J287" s="422" t="e">
        <f t="shared" si="111"/>
        <v>#N/A</v>
      </c>
      <c r="K287" s="423" t="e">
        <f t="shared" si="119"/>
        <v>#N/A</v>
      </c>
      <c r="L287" s="423" t="e">
        <f t="shared" si="120"/>
        <v>#N/A</v>
      </c>
      <c r="M287" s="423" t="e">
        <f t="shared" si="121"/>
        <v>#N/A</v>
      </c>
      <c r="N287" s="422" t="e">
        <f t="shared" si="112"/>
        <v>#N/A</v>
      </c>
      <c r="O287" s="422" t="e">
        <f t="shared" si="113"/>
        <v>#N/A</v>
      </c>
      <c r="P287" s="422" t="e">
        <f t="shared" si="114"/>
        <v>#N/A</v>
      </c>
      <c r="Q287" s="447" t="e">
        <f t="shared" si="122"/>
        <v>#N/A</v>
      </c>
      <c r="R287" s="447" t="e">
        <f t="shared" si="123"/>
        <v>#N/A</v>
      </c>
      <c r="S287" s="447" t="e">
        <f t="shared" si="124"/>
        <v>#N/A</v>
      </c>
      <c r="T287" s="422" t="e">
        <f t="shared" si="115"/>
        <v>#N/A</v>
      </c>
      <c r="U287" s="422" t="e">
        <f t="shared" si="116"/>
        <v>#N/A</v>
      </c>
      <c r="V287" s="422" t="e">
        <f t="shared" si="117"/>
        <v>#N/A</v>
      </c>
      <c r="W287" s="447" t="e">
        <f t="shared" si="125"/>
        <v>#N/A</v>
      </c>
      <c r="X287" s="447" t="e">
        <f t="shared" si="126"/>
        <v>#N/A</v>
      </c>
      <c r="Y287" s="447" t="e">
        <f t="shared" si="127"/>
        <v>#N/A</v>
      </c>
      <c r="AA287" s="103"/>
      <c r="AB287" s="103"/>
      <c r="AC287" s="103"/>
      <c r="AD287" s="103"/>
      <c r="AE287" s="103"/>
      <c r="AF287" s="103"/>
      <c r="AG287" s="103"/>
      <c r="AH287" s="103"/>
      <c r="AI287" s="103"/>
      <c r="AJ287" s="103"/>
      <c r="AK287" s="103"/>
      <c r="AL287" s="103"/>
    </row>
    <row r="288" spans="1:38" s="415" customFormat="1" ht="15.75" hidden="1" x14ac:dyDescent="0.25">
      <c r="A288" s="410"/>
      <c r="B288" s="415" t="str">
        <f>'PEM sectors'!A26</f>
        <v>BoP</v>
      </c>
      <c r="C288" s="415" t="str">
        <f>'PEM sectors'!B26</f>
        <v>Blower (Cathode Air)</v>
      </c>
      <c r="D288" s="415" t="str">
        <f>'PEM sectors'!C26</f>
        <v>33341A</v>
      </c>
      <c r="E288" s="415" t="str">
        <f>'PEM sectors'!D26</f>
        <v xml:space="preserve">Air purification and ventilation equipment manufacturing </v>
      </c>
      <c r="F288" s="420">
        <f>'PEM sectors'!F26</f>
        <v>4.6403712296983757E-2</v>
      </c>
      <c r="G288" s="420">
        <f t="shared" si="118"/>
        <v>4.6403712296983757E-2</v>
      </c>
      <c r="H288" s="421" t="e">
        <f t="shared" si="109"/>
        <v>#N/A</v>
      </c>
      <c r="I288" s="422" t="e">
        <f t="shared" si="110"/>
        <v>#N/A</v>
      </c>
      <c r="J288" s="422" t="e">
        <f t="shared" si="111"/>
        <v>#N/A</v>
      </c>
      <c r="K288" s="423" t="e">
        <f t="shared" si="119"/>
        <v>#N/A</v>
      </c>
      <c r="L288" s="423" t="e">
        <f t="shared" si="120"/>
        <v>#N/A</v>
      </c>
      <c r="M288" s="423" t="e">
        <f t="shared" si="121"/>
        <v>#N/A</v>
      </c>
      <c r="N288" s="422" t="e">
        <f t="shared" si="112"/>
        <v>#N/A</v>
      </c>
      <c r="O288" s="422" t="e">
        <f t="shared" si="113"/>
        <v>#N/A</v>
      </c>
      <c r="P288" s="422" t="e">
        <f t="shared" si="114"/>
        <v>#N/A</v>
      </c>
      <c r="Q288" s="447" t="e">
        <f t="shared" si="122"/>
        <v>#N/A</v>
      </c>
      <c r="R288" s="447" t="e">
        <f t="shared" si="123"/>
        <v>#N/A</v>
      </c>
      <c r="S288" s="447" t="e">
        <f t="shared" si="124"/>
        <v>#N/A</v>
      </c>
      <c r="T288" s="422" t="e">
        <f t="shared" si="115"/>
        <v>#N/A</v>
      </c>
      <c r="U288" s="422" t="e">
        <f t="shared" si="116"/>
        <v>#N/A</v>
      </c>
      <c r="V288" s="422" t="e">
        <f t="shared" si="117"/>
        <v>#N/A</v>
      </c>
      <c r="W288" s="447" t="e">
        <f t="shared" si="125"/>
        <v>#N/A</v>
      </c>
      <c r="X288" s="447" t="e">
        <f t="shared" si="126"/>
        <v>#N/A</v>
      </c>
      <c r="Y288" s="447" t="e">
        <f t="shared" si="127"/>
        <v>#N/A</v>
      </c>
      <c r="AA288" s="103"/>
      <c r="AB288" s="103"/>
      <c r="AC288" s="103"/>
      <c r="AD288" s="103"/>
      <c r="AE288" s="103"/>
      <c r="AF288" s="103"/>
      <c r="AG288" s="103"/>
      <c r="AH288" s="103"/>
      <c r="AI288" s="103"/>
      <c r="AJ288" s="103"/>
      <c r="AK288" s="103"/>
      <c r="AL288" s="103"/>
    </row>
    <row r="289" spans="1:38" s="415" customFormat="1" ht="15.75" hidden="1" x14ac:dyDescent="0.25">
      <c r="A289" s="410"/>
      <c r="B289" s="415" t="str">
        <f>'PEM sectors'!A27</f>
        <v>BoP</v>
      </c>
      <c r="C289" s="415" t="str">
        <f>'PEM sectors'!B27</f>
        <v>Fan (Cooling Air)</v>
      </c>
      <c r="D289" s="415" t="str">
        <f>'PEM sectors'!C27</f>
        <v>33341A</v>
      </c>
      <c r="E289" s="415" t="str">
        <f>'PEM sectors'!D27</f>
        <v xml:space="preserve">Air purification and ventilation equipment manufacturing </v>
      </c>
      <c r="F289" s="420">
        <f>'PEM sectors'!F27</f>
        <v>2.247679814385151E-2</v>
      </c>
      <c r="G289" s="420">
        <f t="shared" si="118"/>
        <v>2.247679814385151E-2</v>
      </c>
      <c r="H289" s="421" t="e">
        <f t="shared" si="109"/>
        <v>#N/A</v>
      </c>
      <c r="I289" s="422" t="e">
        <f t="shared" si="110"/>
        <v>#N/A</v>
      </c>
      <c r="J289" s="422" t="e">
        <f t="shared" si="111"/>
        <v>#N/A</v>
      </c>
      <c r="K289" s="423" t="e">
        <f t="shared" si="119"/>
        <v>#N/A</v>
      </c>
      <c r="L289" s="423" t="e">
        <f t="shared" si="120"/>
        <v>#N/A</v>
      </c>
      <c r="M289" s="423" t="e">
        <f t="shared" si="121"/>
        <v>#N/A</v>
      </c>
      <c r="N289" s="422" t="e">
        <f t="shared" si="112"/>
        <v>#N/A</v>
      </c>
      <c r="O289" s="422" t="e">
        <f t="shared" si="113"/>
        <v>#N/A</v>
      </c>
      <c r="P289" s="422" t="e">
        <f t="shared" si="114"/>
        <v>#N/A</v>
      </c>
      <c r="Q289" s="447" t="e">
        <f t="shared" si="122"/>
        <v>#N/A</v>
      </c>
      <c r="R289" s="447" t="e">
        <f t="shared" si="123"/>
        <v>#N/A</v>
      </c>
      <c r="S289" s="447" t="e">
        <f t="shared" si="124"/>
        <v>#N/A</v>
      </c>
      <c r="T289" s="422" t="e">
        <f t="shared" si="115"/>
        <v>#N/A</v>
      </c>
      <c r="U289" s="422" t="e">
        <f t="shared" si="116"/>
        <v>#N/A</v>
      </c>
      <c r="V289" s="422" t="e">
        <f t="shared" si="117"/>
        <v>#N/A</v>
      </c>
      <c r="W289" s="447" t="e">
        <f t="shared" si="125"/>
        <v>#N/A</v>
      </c>
      <c r="X289" s="447" t="e">
        <f t="shared" si="126"/>
        <v>#N/A</v>
      </c>
      <c r="Y289" s="447" t="e">
        <f t="shared" si="127"/>
        <v>#N/A</v>
      </c>
      <c r="AA289" s="103"/>
      <c r="AB289" s="103"/>
      <c r="AC289" s="103"/>
      <c r="AD289" s="103"/>
      <c r="AE289" s="103"/>
      <c r="AF289" s="103"/>
      <c r="AG289" s="103"/>
      <c r="AH289" s="103"/>
      <c r="AI289" s="103"/>
      <c r="AJ289" s="103"/>
      <c r="AK289" s="103"/>
      <c r="AL289" s="103"/>
    </row>
    <row r="290" spans="1:38" s="415" customFormat="1" ht="15.75" hidden="1" x14ac:dyDescent="0.25">
      <c r="A290" s="410"/>
      <c r="B290" s="415" t="str">
        <f>'PEM sectors'!A28</f>
        <v>BoP</v>
      </c>
      <c r="C290" s="415" t="str">
        <f>'PEM sectors'!B28</f>
        <v>DC/DC Converter</v>
      </c>
      <c r="D290" s="415">
        <f>'PEM sectors'!C28</f>
        <v>335999</v>
      </c>
      <c r="E290" s="415" t="str">
        <f>'PEM sectors'!D28</f>
        <v xml:space="preserve">All other miscellaneous electrical equipment and component manufacturing </v>
      </c>
      <c r="F290" s="420">
        <f>'PEM sectors'!F28</f>
        <v>0.18126450116009279</v>
      </c>
      <c r="G290" s="420">
        <f t="shared" si="118"/>
        <v>0.18126450116009279</v>
      </c>
      <c r="H290" s="421" t="e">
        <f t="shared" si="109"/>
        <v>#N/A</v>
      </c>
      <c r="I290" s="422" t="e">
        <f t="shared" si="110"/>
        <v>#N/A</v>
      </c>
      <c r="J290" s="422" t="e">
        <f t="shared" si="111"/>
        <v>#N/A</v>
      </c>
      <c r="K290" s="423" t="e">
        <f t="shared" si="119"/>
        <v>#N/A</v>
      </c>
      <c r="L290" s="423" t="e">
        <f t="shared" si="120"/>
        <v>#N/A</v>
      </c>
      <c r="M290" s="423" t="e">
        <f t="shared" si="121"/>
        <v>#N/A</v>
      </c>
      <c r="N290" s="422" t="e">
        <f t="shared" si="112"/>
        <v>#N/A</v>
      </c>
      <c r="O290" s="422" t="e">
        <f t="shared" si="113"/>
        <v>#N/A</v>
      </c>
      <c r="P290" s="422" t="e">
        <f t="shared" si="114"/>
        <v>#N/A</v>
      </c>
      <c r="Q290" s="447" t="e">
        <f t="shared" si="122"/>
        <v>#N/A</v>
      </c>
      <c r="R290" s="447" t="e">
        <f t="shared" si="123"/>
        <v>#N/A</v>
      </c>
      <c r="S290" s="447" t="e">
        <f t="shared" si="124"/>
        <v>#N/A</v>
      </c>
      <c r="T290" s="422" t="e">
        <f t="shared" si="115"/>
        <v>#N/A</v>
      </c>
      <c r="U290" s="422" t="e">
        <f t="shared" si="116"/>
        <v>#N/A</v>
      </c>
      <c r="V290" s="422" t="e">
        <f t="shared" si="117"/>
        <v>#N/A</v>
      </c>
      <c r="W290" s="447" t="e">
        <f t="shared" si="125"/>
        <v>#N/A</v>
      </c>
      <c r="X290" s="447" t="e">
        <f t="shared" si="126"/>
        <v>#N/A</v>
      </c>
      <c r="Y290" s="447" t="e">
        <f t="shared" si="127"/>
        <v>#N/A</v>
      </c>
      <c r="AA290" s="103"/>
      <c r="AB290" s="103"/>
      <c r="AC290" s="103"/>
      <c r="AD290" s="103"/>
      <c r="AE290" s="103"/>
      <c r="AF290" s="103"/>
      <c r="AG290" s="103"/>
      <c r="AH290" s="103"/>
      <c r="AI290" s="103"/>
      <c r="AJ290" s="103"/>
      <c r="AK290" s="103"/>
      <c r="AL290" s="103"/>
    </row>
    <row r="291" spans="1:38" s="415" customFormat="1" ht="15.75" hidden="1" x14ac:dyDescent="0.25">
      <c r="A291" s="410"/>
      <c r="B291" s="415" t="str">
        <f>'PEM sectors'!A29</f>
        <v>BoP</v>
      </c>
      <c r="C291" s="415" t="str">
        <f>'PEM sectors'!B29</f>
        <v>Stack Current Sensor</v>
      </c>
      <c r="D291" s="415">
        <f>'PEM sectors'!C29</f>
        <v>334515</v>
      </c>
      <c r="E291" s="415" t="str">
        <f>'PEM sectors'!D29</f>
        <v xml:space="preserve">Electricity and signal testing instruments manufacturing </v>
      </c>
      <c r="F291" s="420">
        <f>'PEM sectors'!F29</f>
        <v>2.1751740139211136E-3</v>
      </c>
      <c r="G291" s="420">
        <f t="shared" si="118"/>
        <v>2.1751740139211136E-3</v>
      </c>
      <c r="H291" s="421" t="e">
        <f t="shared" si="109"/>
        <v>#N/A</v>
      </c>
      <c r="I291" s="422" t="e">
        <f t="shared" si="110"/>
        <v>#N/A</v>
      </c>
      <c r="J291" s="422" t="e">
        <f t="shared" si="111"/>
        <v>#N/A</v>
      </c>
      <c r="K291" s="423" t="e">
        <f t="shared" si="119"/>
        <v>#N/A</v>
      </c>
      <c r="L291" s="423" t="e">
        <f t="shared" si="120"/>
        <v>#N/A</v>
      </c>
      <c r="M291" s="423" t="e">
        <f t="shared" si="121"/>
        <v>#N/A</v>
      </c>
      <c r="N291" s="422" t="e">
        <f t="shared" si="112"/>
        <v>#N/A</v>
      </c>
      <c r="O291" s="422" t="e">
        <f t="shared" si="113"/>
        <v>#N/A</v>
      </c>
      <c r="P291" s="422" t="e">
        <f t="shared" si="114"/>
        <v>#N/A</v>
      </c>
      <c r="Q291" s="447" t="e">
        <f t="shared" si="122"/>
        <v>#N/A</v>
      </c>
      <c r="R291" s="447" t="e">
        <f t="shared" si="123"/>
        <v>#N/A</v>
      </c>
      <c r="S291" s="447" t="e">
        <f t="shared" si="124"/>
        <v>#N/A</v>
      </c>
      <c r="T291" s="422" t="e">
        <f t="shared" si="115"/>
        <v>#N/A</v>
      </c>
      <c r="U291" s="422" t="e">
        <f t="shared" si="116"/>
        <v>#N/A</v>
      </c>
      <c r="V291" s="422" t="e">
        <f t="shared" si="117"/>
        <v>#N/A</v>
      </c>
      <c r="W291" s="447" t="e">
        <f t="shared" si="125"/>
        <v>#N/A</v>
      </c>
      <c r="X291" s="447" t="e">
        <f t="shared" si="126"/>
        <v>#N/A</v>
      </c>
      <c r="Y291" s="447" t="e">
        <f t="shared" si="127"/>
        <v>#N/A</v>
      </c>
      <c r="AA291" s="103"/>
      <c r="AB291" s="103"/>
      <c r="AC291" s="103"/>
      <c r="AD291" s="103"/>
      <c r="AE291" s="103"/>
      <c r="AF291" s="103"/>
      <c r="AG291" s="103"/>
      <c r="AH291" s="103"/>
      <c r="AI291" s="103"/>
      <c r="AJ291" s="103"/>
      <c r="AK291" s="103"/>
      <c r="AL291" s="103"/>
    </row>
    <row r="292" spans="1:38" s="415" customFormat="1" ht="15.75" hidden="1" x14ac:dyDescent="0.25">
      <c r="A292" s="410"/>
      <c r="B292" s="415" t="str">
        <f>'PEM sectors'!A30</f>
        <v>BoP</v>
      </c>
      <c r="C292" s="415" t="str">
        <f>'PEM sectors'!B30</f>
        <v>Stack Voltage Sensor</v>
      </c>
      <c r="D292" s="415">
        <f>'PEM sectors'!C30</f>
        <v>334515</v>
      </c>
      <c r="E292" s="415" t="str">
        <f>'PEM sectors'!D30</f>
        <v xml:space="preserve">Electricity and signal testing instruments manufacturing </v>
      </c>
      <c r="F292" s="420">
        <f>'PEM sectors'!F30</f>
        <v>8.7006960556844544E-3</v>
      </c>
      <c r="G292" s="420">
        <f t="shared" si="118"/>
        <v>8.7006960556844544E-3</v>
      </c>
      <c r="H292" s="421" t="e">
        <f t="shared" si="109"/>
        <v>#N/A</v>
      </c>
      <c r="I292" s="422" t="e">
        <f t="shared" si="110"/>
        <v>#N/A</v>
      </c>
      <c r="J292" s="422" t="e">
        <f t="shared" si="111"/>
        <v>#N/A</v>
      </c>
      <c r="K292" s="423" t="e">
        <f t="shared" si="119"/>
        <v>#N/A</v>
      </c>
      <c r="L292" s="423" t="e">
        <f t="shared" si="120"/>
        <v>#N/A</v>
      </c>
      <c r="M292" s="423" t="e">
        <f t="shared" si="121"/>
        <v>#N/A</v>
      </c>
      <c r="N292" s="422" t="e">
        <f t="shared" si="112"/>
        <v>#N/A</v>
      </c>
      <c r="O292" s="422" t="e">
        <f t="shared" si="113"/>
        <v>#N/A</v>
      </c>
      <c r="P292" s="422" t="e">
        <f t="shared" si="114"/>
        <v>#N/A</v>
      </c>
      <c r="Q292" s="447" t="e">
        <f t="shared" si="122"/>
        <v>#N/A</v>
      </c>
      <c r="R292" s="447" t="e">
        <f t="shared" si="123"/>
        <v>#N/A</v>
      </c>
      <c r="S292" s="447" t="e">
        <f t="shared" si="124"/>
        <v>#N/A</v>
      </c>
      <c r="T292" s="422" t="e">
        <f t="shared" si="115"/>
        <v>#N/A</v>
      </c>
      <c r="U292" s="422" t="e">
        <f t="shared" si="116"/>
        <v>#N/A</v>
      </c>
      <c r="V292" s="422" t="e">
        <f t="shared" si="117"/>
        <v>#N/A</v>
      </c>
      <c r="W292" s="447" t="e">
        <f t="shared" si="125"/>
        <v>#N/A</v>
      </c>
      <c r="X292" s="447" t="e">
        <f t="shared" si="126"/>
        <v>#N/A</v>
      </c>
      <c r="Y292" s="447" t="e">
        <f t="shared" si="127"/>
        <v>#N/A</v>
      </c>
      <c r="AA292" s="103"/>
      <c r="AB292" s="103"/>
      <c r="AC292" s="103"/>
      <c r="AD292" s="103"/>
      <c r="AE292" s="103"/>
      <c r="AF292" s="103"/>
      <c r="AG292" s="103"/>
      <c r="AH292" s="103"/>
      <c r="AI292" s="103"/>
      <c r="AJ292" s="103"/>
      <c r="AK292" s="103"/>
      <c r="AL292" s="103"/>
    </row>
    <row r="293" spans="1:38" s="415" customFormat="1" ht="15.75" hidden="1" x14ac:dyDescent="0.25">
      <c r="A293" s="410"/>
      <c r="B293" s="415" t="str">
        <f>'PEM sectors'!A31</f>
        <v>BoP</v>
      </c>
      <c r="C293" s="415" t="str">
        <f>'PEM sectors'!B31</f>
        <v>Enclosure Heater</v>
      </c>
      <c r="D293" s="415">
        <f>'PEM sectors'!C31</f>
        <v>333414</v>
      </c>
      <c r="E293" s="415" t="str">
        <f>'PEM sectors'!D31</f>
        <v xml:space="preserve">Heating equipment (except warm air furnaces) manufacturing </v>
      </c>
      <c r="F293" s="420">
        <f>'PEM sectors'!F31</f>
        <v>4.3503480278422272E-3</v>
      </c>
      <c r="G293" s="420">
        <f t="shared" si="118"/>
        <v>4.3503480278422272E-3</v>
      </c>
      <c r="H293" s="421" t="e">
        <f t="shared" si="109"/>
        <v>#N/A</v>
      </c>
      <c r="I293" s="422" t="e">
        <f t="shared" si="110"/>
        <v>#N/A</v>
      </c>
      <c r="J293" s="422" t="e">
        <f t="shared" si="111"/>
        <v>#N/A</v>
      </c>
      <c r="K293" s="423" t="e">
        <f t="shared" si="119"/>
        <v>#N/A</v>
      </c>
      <c r="L293" s="423" t="e">
        <f t="shared" si="120"/>
        <v>#N/A</v>
      </c>
      <c r="M293" s="423" t="e">
        <f t="shared" si="121"/>
        <v>#N/A</v>
      </c>
      <c r="N293" s="422" t="e">
        <f t="shared" si="112"/>
        <v>#N/A</v>
      </c>
      <c r="O293" s="422" t="e">
        <f t="shared" si="113"/>
        <v>#N/A</v>
      </c>
      <c r="P293" s="422" t="e">
        <f t="shared" si="114"/>
        <v>#N/A</v>
      </c>
      <c r="Q293" s="447" t="e">
        <f t="shared" si="122"/>
        <v>#N/A</v>
      </c>
      <c r="R293" s="447" t="e">
        <f t="shared" si="123"/>
        <v>#N/A</v>
      </c>
      <c r="S293" s="447" t="e">
        <f t="shared" si="124"/>
        <v>#N/A</v>
      </c>
      <c r="T293" s="422" t="e">
        <f t="shared" si="115"/>
        <v>#N/A</v>
      </c>
      <c r="U293" s="422" t="e">
        <f t="shared" si="116"/>
        <v>#N/A</v>
      </c>
      <c r="V293" s="422" t="e">
        <f t="shared" si="117"/>
        <v>#N/A</v>
      </c>
      <c r="W293" s="447" t="e">
        <f t="shared" si="125"/>
        <v>#N/A</v>
      </c>
      <c r="X293" s="447" t="e">
        <f t="shared" si="126"/>
        <v>#N/A</v>
      </c>
      <c r="Y293" s="447" t="e">
        <f t="shared" si="127"/>
        <v>#N/A</v>
      </c>
      <c r="AA293" s="103"/>
      <c r="AB293" s="103"/>
      <c r="AC293" s="103"/>
      <c r="AD293" s="103"/>
      <c r="AE293" s="103"/>
      <c r="AF293" s="103"/>
      <c r="AG293" s="103"/>
      <c r="AH293" s="103"/>
      <c r="AI293" s="103"/>
      <c r="AJ293" s="103"/>
      <c r="AK293" s="103"/>
      <c r="AL293" s="103"/>
    </row>
    <row r="294" spans="1:38" s="415" customFormat="1" ht="15.75" hidden="1" x14ac:dyDescent="0.25">
      <c r="A294" s="410"/>
      <c r="B294" s="415" t="str">
        <f>'PEM sectors'!A32</f>
        <v>BoP</v>
      </c>
      <c r="C294" s="415" t="str">
        <f>'PEM sectors'!B32</f>
        <v>Enclosure Heater Relay</v>
      </c>
      <c r="D294" s="415">
        <f>'PEM sectors'!C32</f>
        <v>335314</v>
      </c>
      <c r="E294" s="415" t="str">
        <f>'PEM sectors'!D32</f>
        <v>Relay and industrial control manufacturing</v>
      </c>
      <c r="F294" s="420">
        <f>'PEM sectors'!F32</f>
        <v>4.3503480278422272E-4</v>
      </c>
      <c r="G294" s="420">
        <f t="shared" si="118"/>
        <v>4.3503480278422272E-4</v>
      </c>
      <c r="H294" s="421" t="e">
        <f t="shared" si="109"/>
        <v>#N/A</v>
      </c>
      <c r="I294" s="422" t="e">
        <f t="shared" si="110"/>
        <v>#N/A</v>
      </c>
      <c r="J294" s="422" t="e">
        <f t="shared" si="111"/>
        <v>#N/A</v>
      </c>
      <c r="K294" s="423" t="e">
        <f t="shared" si="119"/>
        <v>#N/A</v>
      </c>
      <c r="L294" s="423" t="e">
        <f t="shared" si="120"/>
        <v>#N/A</v>
      </c>
      <c r="M294" s="423" t="e">
        <f t="shared" si="121"/>
        <v>#N/A</v>
      </c>
      <c r="N294" s="422" t="e">
        <f t="shared" si="112"/>
        <v>#N/A</v>
      </c>
      <c r="O294" s="422" t="e">
        <f t="shared" si="113"/>
        <v>#N/A</v>
      </c>
      <c r="P294" s="422" t="e">
        <f t="shared" si="114"/>
        <v>#N/A</v>
      </c>
      <c r="Q294" s="447" t="e">
        <f t="shared" si="122"/>
        <v>#N/A</v>
      </c>
      <c r="R294" s="447" t="e">
        <f t="shared" si="123"/>
        <v>#N/A</v>
      </c>
      <c r="S294" s="447" t="e">
        <f t="shared" si="124"/>
        <v>#N/A</v>
      </c>
      <c r="T294" s="422" t="e">
        <f t="shared" si="115"/>
        <v>#N/A</v>
      </c>
      <c r="U294" s="422" t="e">
        <f t="shared" si="116"/>
        <v>#N/A</v>
      </c>
      <c r="V294" s="422" t="e">
        <f t="shared" si="117"/>
        <v>#N/A</v>
      </c>
      <c r="W294" s="447" t="e">
        <f t="shared" si="125"/>
        <v>#N/A</v>
      </c>
      <c r="X294" s="447" t="e">
        <f t="shared" si="126"/>
        <v>#N/A</v>
      </c>
      <c r="Y294" s="447" t="e">
        <f t="shared" si="127"/>
        <v>#N/A</v>
      </c>
      <c r="AA294" s="103"/>
      <c r="AB294" s="103"/>
      <c r="AC294" s="103"/>
      <c r="AD294" s="103"/>
      <c r="AE294" s="103"/>
      <c r="AF294" s="103"/>
      <c r="AG294" s="103"/>
      <c r="AH294" s="103"/>
      <c r="AI294" s="103"/>
      <c r="AJ294" s="103"/>
      <c r="AK294" s="103"/>
      <c r="AL294" s="103"/>
    </row>
    <row r="295" spans="1:38" s="415" customFormat="1" ht="15.75" hidden="1" x14ac:dyDescent="0.25">
      <c r="A295" s="410"/>
      <c r="B295" s="415" t="str">
        <f>'PEM sectors'!A33</f>
        <v>BoP</v>
      </c>
      <c r="C295" s="415" t="str">
        <f>'PEM sectors'!B33</f>
        <v>Flow Meter (Cathode Air)</v>
      </c>
      <c r="D295" s="415">
        <f>'PEM sectors'!C33</f>
        <v>334513</v>
      </c>
      <c r="E295" s="415" t="str">
        <f>'PEM sectors'!D33</f>
        <v>Industrial process variable instruments manufacturing</v>
      </c>
      <c r="F295" s="420">
        <f>'PEM sectors'!F33</f>
        <v>1.4356148491879351E-2</v>
      </c>
      <c r="G295" s="420">
        <f t="shared" si="118"/>
        <v>1.4356148491879351E-2</v>
      </c>
      <c r="H295" s="421" t="e">
        <f t="shared" si="109"/>
        <v>#N/A</v>
      </c>
      <c r="I295" s="422" t="e">
        <f t="shared" si="110"/>
        <v>#N/A</v>
      </c>
      <c r="J295" s="422" t="e">
        <f t="shared" si="111"/>
        <v>#N/A</v>
      </c>
      <c r="K295" s="423" t="e">
        <f t="shared" si="119"/>
        <v>#N/A</v>
      </c>
      <c r="L295" s="423" t="e">
        <f t="shared" si="120"/>
        <v>#N/A</v>
      </c>
      <c r="M295" s="423" t="e">
        <f t="shared" si="121"/>
        <v>#N/A</v>
      </c>
      <c r="N295" s="422" t="e">
        <f t="shared" si="112"/>
        <v>#N/A</v>
      </c>
      <c r="O295" s="422" t="e">
        <f t="shared" si="113"/>
        <v>#N/A</v>
      </c>
      <c r="P295" s="422" t="e">
        <f t="shared" si="114"/>
        <v>#N/A</v>
      </c>
      <c r="Q295" s="447" t="e">
        <f t="shared" si="122"/>
        <v>#N/A</v>
      </c>
      <c r="R295" s="447" t="e">
        <f t="shared" si="123"/>
        <v>#N/A</v>
      </c>
      <c r="S295" s="447" t="e">
        <f t="shared" si="124"/>
        <v>#N/A</v>
      </c>
      <c r="T295" s="422" t="e">
        <f t="shared" si="115"/>
        <v>#N/A</v>
      </c>
      <c r="U295" s="422" t="e">
        <f t="shared" si="116"/>
        <v>#N/A</v>
      </c>
      <c r="V295" s="422" t="e">
        <f t="shared" si="117"/>
        <v>#N/A</v>
      </c>
      <c r="W295" s="447" t="e">
        <f t="shared" si="125"/>
        <v>#N/A</v>
      </c>
      <c r="X295" s="447" t="e">
        <f t="shared" si="126"/>
        <v>#N/A</v>
      </c>
      <c r="Y295" s="447" t="e">
        <f t="shared" si="127"/>
        <v>#N/A</v>
      </c>
      <c r="AA295" s="103"/>
      <c r="AB295" s="103"/>
      <c r="AC295" s="103"/>
      <c r="AD295" s="103"/>
      <c r="AE295" s="103"/>
      <c r="AF295" s="103"/>
      <c r="AG295" s="103"/>
      <c r="AH295" s="103"/>
      <c r="AI295" s="103"/>
      <c r="AJ295" s="103"/>
      <c r="AK295" s="103"/>
      <c r="AL295" s="103"/>
    </row>
    <row r="296" spans="1:38" s="415" customFormat="1" ht="15.75" hidden="1" x14ac:dyDescent="0.25">
      <c r="A296" s="410"/>
      <c r="B296" s="415" t="str">
        <f>'PEM sectors'!A34</f>
        <v>BoP</v>
      </c>
      <c r="C296" s="415" t="str">
        <f>'PEM sectors'!B34</f>
        <v>Stack Temperature Sensor(s)</v>
      </c>
      <c r="D296" s="415">
        <f>'PEM sectors'!C34</f>
        <v>334513</v>
      </c>
      <c r="E296" s="415" t="str">
        <f>'PEM sectors'!D34</f>
        <v>Industrial process variable instruments manufacturing</v>
      </c>
      <c r="F296" s="420">
        <f>'PEM sectors'!F34</f>
        <v>2.6102088167053363E-3</v>
      </c>
      <c r="G296" s="420">
        <f t="shared" si="118"/>
        <v>2.6102088167053363E-3</v>
      </c>
      <c r="H296" s="421" t="e">
        <f t="shared" si="109"/>
        <v>#N/A</v>
      </c>
      <c r="I296" s="422" t="e">
        <f t="shared" si="110"/>
        <v>#N/A</v>
      </c>
      <c r="J296" s="422" t="e">
        <f t="shared" si="111"/>
        <v>#N/A</v>
      </c>
      <c r="K296" s="423" t="e">
        <f t="shared" si="119"/>
        <v>#N/A</v>
      </c>
      <c r="L296" s="423" t="e">
        <f t="shared" si="120"/>
        <v>#N/A</v>
      </c>
      <c r="M296" s="423" t="e">
        <f t="shared" si="121"/>
        <v>#N/A</v>
      </c>
      <c r="N296" s="422" t="e">
        <f t="shared" si="112"/>
        <v>#N/A</v>
      </c>
      <c r="O296" s="422" t="e">
        <f t="shared" si="113"/>
        <v>#N/A</v>
      </c>
      <c r="P296" s="422" t="e">
        <f t="shared" si="114"/>
        <v>#N/A</v>
      </c>
      <c r="Q296" s="447" t="e">
        <f t="shared" si="122"/>
        <v>#N/A</v>
      </c>
      <c r="R296" s="447" t="e">
        <f t="shared" si="123"/>
        <v>#N/A</v>
      </c>
      <c r="S296" s="447" t="e">
        <f t="shared" si="124"/>
        <v>#N/A</v>
      </c>
      <c r="T296" s="422" t="e">
        <f t="shared" si="115"/>
        <v>#N/A</v>
      </c>
      <c r="U296" s="422" t="e">
        <f t="shared" si="116"/>
        <v>#N/A</v>
      </c>
      <c r="V296" s="422" t="e">
        <f t="shared" si="117"/>
        <v>#N/A</v>
      </c>
      <c r="W296" s="447" t="e">
        <f t="shared" si="125"/>
        <v>#N/A</v>
      </c>
      <c r="X296" s="447" t="e">
        <f t="shared" si="126"/>
        <v>#N/A</v>
      </c>
      <c r="Y296" s="447" t="e">
        <f t="shared" si="127"/>
        <v>#N/A</v>
      </c>
      <c r="AA296" s="103"/>
      <c r="AB296" s="103"/>
      <c r="AC296" s="103"/>
      <c r="AD296" s="103"/>
      <c r="AE296" s="103"/>
      <c r="AF296" s="103"/>
      <c r="AG296" s="103"/>
      <c r="AH296" s="103"/>
      <c r="AI296" s="103"/>
      <c r="AJ296" s="103"/>
      <c r="AK296" s="103"/>
      <c r="AL296" s="103"/>
    </row>
    <row r="297" spans="1:38" s="415" customFormat="1" ht="15.75" hidden="1" x14ac:dyDescent="0.25">
      <c r="A297" s="410"/>
      <c r="B297" s="415" t="str">
        <f>'PEM sectors'!A35</f>
        <v>BoP</v>
      </c>
      <c r="C297" s="415" t="str">
        <f>'PEM sectors'!B35</f>
        <v>H2 Sensor</v>
      </c>
      <c r="D297" s="415">
        <f>'PEM sectors'!C35</f>
        <v>334513</v>
      </c>
      <c r="E297" s="415" t="str">
        <f>'PEM sectors'!D35</f>
        <v>Industrial process variable instruments manufacturing</v>
      </c>
      <c r="F297" s="420">
        <f>'PEM sectors'!F35</f>
        <v>1.7981438515081206E-2</v>
      </c>
      <c r="G297" s="420">
        <f t="shared" si="118"/>
        <v>1.7981438515081206E-2</v>
      </c>
      <c r="H297" s="421" t="e">
        <f t="shared" si="109"/>
        <v>#N/A</v>
      </c>
      <c r="I297" s="422" t="e">
        <f t="shared" si="110"/>
        <v>#N/A</v>
      </c>
      <c r="J297" s="422" t="e">
        <f t="shared" si="111"/>
        <v>#N/A</v>
      </c>
      <c r="K297" s="423" t="e">
        <f t="shared" si="119"/>
        <v>#N/A</v>
      </c>
      <c r="L297" s="423" t="e">
        <f t="shared" si="120"/>
        <v>#N/A</v>
      </c>
      <c r="M297" s="423" t="e">
        <f t="shared" si="121"/>
        <v>#N/A</v>
      </c>
      <c r="N297" s="422" t="e">
        <f t="shared" si="112"/>
        <v>#N/A</v>
      </c>
      <c r="O297" s="422" t="e">
        <f t="shared" si="113"/>
        <v>#N/A</v>
      </c>
      <c r="P297" s="422" t="e">
        <f t="shared" si="114"/>
        <v>#N/A</v>
      </c>
      <c r="Q297" s="447" t="e">
        <f t="shared" si="122"/>
        <v>#N/A</v>
      </c>
      <c r="R297" s="447" t="e">
        <f t="shared" si="123"/>
        <v>#N/A</v>
      </c>
      <c r="S297" s="447" t="e">
        <f t="shared" si="124"/>
        <v>#N/A</v>
      </c>
      <c r="T297" s="422" t="e">
        <f t="shared" si="115"/>
        <v>#N/A</v>
      </c>
      <c r="U297" s="422" t="e">
        <f t="shared" si="116"/>
        <v>#N/A</v>
      </c>
      <c r="V297" s="422" t="e">
        <f t="shared" si="117"/>
        <v>#N/A</v>
      </c>
      <c r="W297" s="447" t="e">
        <f t="shared" si="125"/>
        <v>#N/A</v>
      </c>
      <c r="X297" s="447" t="e">
        <f t="shared" si="126"/>
        <v>#N/A</v>
      </c>
      <c r="Y297" s="447" t="e">
        <f t="shared" si="127"/>
        <v>#N/A</v>
      </c>
      <c r="AA297" s="103"/>
      <c r="AB297" s="103"/>
      <c r="AC297" s="103"/>
      <c r="AD297" s="103"/>
      <c r="AE297" s="103"/>
      <c r="AF297" s="103"/>
      <c r="AG297" s="103"/>
      <c r="AH297" s="103"/>
      <c r="AI297" s="103"/>
      <c r="AJ297" s="103"/>
      <c r="AK297" s="103"/>
      <c r="AL297" s="103"/>
    </row>
    <row r="298" spans="1:38" s="415" customFormat="1" ht="15.75" hidden="1" x14ac:dyDescent="0.25">
      <c r="A298" s="410"/>
      <c r="B298" s="415" t="str">
        <f>'PEM sectors'!A36</f>
        <v>BoP</v>
      </c>
      <c r="C298" s="415" t="str">
        <f>'PEM sectors'!B36</f>
        <v>Assembly Hardware</v>
      </c>
      <c r="D298" s="415" t="str">
        <f>'PEM sectors'!C36</f>
        <v>33299C</v>
      </c>
      <c r="E298" s="415" t="str">
        <f>'PEM sectors'!D36</f>
        <v>Other fabricated metal manufacturing</v>
      </c>
      <c r="F298" s="420">
        <f>'PEM sectors'!F36</f>
        <v>4.3503480278422272E-3</v>
      </c>
      <c r="G298" s="420">
        <f t="shared" si="118"/>
        <v>4.3503480278422272E-3</v>
      </c>
      <c r="H298" s="421" t="e">
        <f t="shared" si="109"/>
        <v>#N/A</v>
      </c>
      <c r="I298" s="422" t="e">
        <f t="shared" si="110"/>
        <v>#N/A</v>
      </c>
      <c r="J298" s="422" t="e">
        <f t="shared" si="111"/>
        <v>#N/A</v>
      </c>
      <c r="K298" s="423" t="e">
        <f t="shared" si="119"/>
        <v>#N/A</v>
      </c>
      <c r="L298" s="423" t="e">
        <f t="shared" si="120"/>
        <v>#N/A</v>
      </c>
      <c r="M298" s="423" t="e">
        <f t="shared" si="121"/>
        <v>#N/A</v>
      </c>
      <c r="N298" s="422" t="e">
        <f t="shared" si="112"/>
        <v>#N/A</v>
      </c>
      <c r="O298" s="422" t="e">
        <f t="shared" si="113"/>
        <v>#N/A</v>
      </c>
      <c r="P298" s="422" t="e">
        <f t="shared" si="114"/>
        <v>#N/A</v>
      </c>
      <c r="Q298" s="447" t="e">
        <f t="shared" si="122"/>
        <v>#N/A</v>
      </c>
      <c r="R298" s="447" t="e">
        <f t="shared" si="123"/>
        <v>#N/A</v>
      </c>
      <c r="S298" s="447" t="e">
        <f t="shared" si="124"/>
        <v>#N/A</v>
      </c>
      <c r="T298" s="422" t="e">
        <f t="shared" si="115"/>
        <v>#N/A</v>
      </c>
      <c r="U298" s="422" t="e">
        <f t="shared" si="116"/>
        <v>#N/A</v>
      </c>
      <c r="V298" s="422" t="e">
        <f t="shared" si="117"/>
        <v>#N/A</v>
      </c>
      <c r="W298" s="447" t="e">
        <f t="shared" si="125"/>
        <v>#N/A</v>
      </c>
      <c r="X298" s="447" t="e">
        <f t="shared" si="126"/>
        <v>#N/A</v>
      </c>
      <c r="Y298" s="447" t="e">
        <f t="shared" si="127"/>
        <v>#N/A</v>
      </c>
      <c r="AA298" s="103"/>
      <c r="AB298" s="103"/>
      <c r="AC298" s="103"/>
      <c r="AD298" s="103"/>
      <c r="AE298" s="103"/>
      <c r="AF298" s="103"/>
      <c r="AG298" s="103"/>
      <c r="AH298" s="103"/>
      <c r="AI298" s="103"/>
      <c r="AJ298" s="103"/>
      <c r="AK298" s="103"/>
      <c r="AL298" s="103"/>
    </row>
    <row r="299" spans="1:38" s="415" customFormat="1" ht="15.75" hidden="1" x14ac:dyDescent="0.25">
      <c r="A299" s="410"/>
      <c r="B299" s="415" t="str">
        <f>'PEM sectors'!A37</f>
        <v>BoP</v>
      </c>
      <c r="C299" s="415" t="str">
        <f>'PEM sectors'!B37</f>
        <v>Frame</v>
      </c>
      <c r="D299" s="415" t="str">
        <f>'PEM sectors'!C37</f>
        <v>33299C</v>
      </c>
      <c r="E299" s="415" t="str">
        <f>'PEM sectors'!D37</f>
        <v>Other fabricated metal manufacturing</v>
      </c>
      <c r="F299" s="420">
        <f>'PEM sectors'!F37</f>
        <v>3.001740139211137E-2</v>
      </c>
      <c r="G299" s="420">
        <f t="shared" si="118"/>
        <v>3.001740139211137E-2</v>
      </c>
      <c r="H299" s="421" t="e">
        <f t="shared" si="109"/>
        <v>#N/A</v>
      </c>
      <c r="I299" s="422" t="e">
        <f t="shared" si="110"/>
        <v>#N/A</v>
      </c>
      <c r="J299" s="422" t="e">
        <f t="shared" si="111"/>
        <v>#N/A</v>
      </c>
      <c r="K299" s="423" t="e">
        <f t="shared" si="119"/>
        <v>#N/A</v>
      </c>
      <c r="L299" s="423" t="e">
        <f t="shared" si="120"/>
        <v>#N/A</v>
      </c>
      <c r="M299" s="423" t="e">
        <f t="shared" si="121"/>
        <v>#N/A</v>
      </c>
      <c r="N299" s="422" t="e">
        <f t="shared" si="112"/>
        <v>#N/A</v>
      </c>
      <c r="O299" s="422" t="e">
        <f t="shared" si="113"/>
        <v>#N/A</v>
      </c>
      <c r="P299" s="422" t="e">
        <f t="shared" si="114"/>
        <v>#N/A</v>
      </c>
      <c r="Q299" s="447" t="e">
        <f t="shared" si="122"/>
        <v>#N/A</v>
      </c>
      <c r="R299" s="447" t="e">
        <f t="shared" si="123"/>
        <v>#N/A</v>
      </c>
      <c r="S299" s="447" t="e">
        <f t="shared" si="124"/>
        <v>#N/A</v>
      </c>
      <c r="T299" s="422" t="e">
        <f t="shared" si="115"/>
        <v>#N/A</v>
      </c>
      <c r="U299" s="422" t="e">
        <f t="shared" si="116"/>
        <v>#N/A</v>
      </c>
      <c r="V299" s="422" t="e">
        <f t="shared" si="117"/>
        <v>#N/A</v>
      </c>
      <c r="W299" s="447" t="e">
        <f t="shared" si="125"/>
        <v>#N/A</v>
      </c>
      <c r="X299" s="447" t="e">
        <f t="shared" si="126"/>
        <v>#N/A</v>
      </c>
      <c r="Y299" s="447" t="e">
        <f t="shared" si="127"/>
        <v>#N/A</v>
      </c>
      <c r="AA299" s="103"/>
      <c r="AB299" s="103"/>
      <c r="AC299" s="103"/>
      <c r="AD299" s="103"/>
      <c r="AE299" s="103"/>
      <c r="AF299" s="103"/>
      <c r="AG299" s="103"/>
      <c r="AH299" s="103"/>
      <c r="AI299" s="103"/>
      <c r="AJ299" s="103"/>
      <c r="AK299" s="103"/>
      <c r="AL299" s="103"/>
    </row>
    <row r="300" spans="1:38" s="415" customFormat="1" ht="15.75" hidden="1" x14ac:dyDescent="0.25">
      <c r="A300" s="410"/>
      <c r="B300" s="415" t="str">
        <f>'PEM sectors'!A38</f>
        <v>BoP</v>
      </c>
      <c r="C300" s="415" t="str">
        <f>'PEM sectors'!B38</f>
        <v>Assorted Plumbing/Fittings</v>
      </c>
      <c r="D300" s="415">
        <f>'PEM sectors'!C38</f>
        <v>332913</v>
      </c>
      <c r="E300" s="415" t="str">
        <f>'PEM sectors'!D38</f>
        <v>Plumbing fixture fitting and trim manufacturing</v>
      </c>
      <c r="F300" s="420">
        <f>'PEM sectors'!F38</f>
        <v>2.3201856148491878E-2</v>
      </c>
      <c r="G300" s="420">
        <f t="shared" si="118"/>
        <v>2.3201856148491878E-2</v>
      </c>
      <c r="H300" s="421" t="e">
        <f t="shared" si="109"/>
        <v>#N/A</v>
      </c>
      <c r="I300" s="422" t="e">
        <f t="shared" si="110"/>
        <v>#N/A</v>
      </c>
      <c r="J300" s="422" t="e">
        <f t="shared" si="111"/>
        <v>#N/A</v>
      </c>
      <c r="K300" s="423" t="e">
        <f t="shared" si="119"/>
        <v>#N/A</v>
      </c>
      <c r="L300" s="423" t="e">
        <f t="shared" si="120"/>
        <v>#N/A</v>
      </c>
      <c r="M300" s="423" t="e">
        <f t="shared" si="121"/>
        <v>#N/A</v>
      </c>
      <c r="N300" s="422" t="e">
        <f t="shared" si="112"/>
        <v>#N/A</v>
      </c>
      <c r="O300" s="422" t="e">
        <f t="shared" si="113"/>
        <v>#N/A</v>
      </c>
      <c r="P300" s="422" t="e">
        <f t="shared" si="114"/>
        <v>#N/A</v>
      </c>
      <c r="Q300" s="447" t="e">
        <f t="shared" si="122"/>
        <v>#N/A</v>
      </c>
      <c r="R300" s="447" t="e">
        <f t="shared" si="123"/>
        <v>#N/A</v>
      </c>
      <c r="S300" s="447" t="e">
        <f t="shared" si="124"/>
        <v>#N/A</v>
      </c>
      <c r="T300" s="422" t="e">
        <f t="shared" si="115"/>
        <v>#N/A</v>
      </c>
      <c r="U300" s="422" t="e">
        <f t="shared" si="116"/>
        <v>#N/A</v>
      </c>
      <c r="V300" s="422" t="e">
        <f t="shared" si="117"/>
        <v>#N/A</v>
      </c>
      <c r="W300" s="447" t="e">
        <f t="shared" si="125"/>
        <v>#N/A</v>
      </c>
      <c r="X300" s="447" t="e">
        <f t="shared" si="126"/>
        <v>#N/A</v>
      </c>
      <c r="Y300" s="447" t="e">
        <f t="shared" si="127"/>
        <v>#N/A</v>
      </c>
      <c r="AA300" s="103"/>
      <c r="AB300" s="103"/>
      <c r="AC300" s="103"/>
      <c r="AD300" s="103"/>
      <c r="AE300" s="103"/>
      <c r="AF300" s="103"/>
      <c r="AG300" s="103"/>
      <c r="AH300" s="103"/>
      <c r="AI300" s="103"/>
      <c r="AJ300" s="103"/>
      <c r="AK300" s="103"/>
      <c r="AL300" s="103"/>
    </row>
    <row r="301" spans="1:38" s="415" customFormat="1" ht="15.75" hidden="1" x14ac:dyDescent="0.25">
      <c r="A301" s="410"/>
      <c r="B301" s="415" t="str">
        <f>'PEM sectors'!A39</f>
        <v>BoP</v>
      </c>
      <c r="C301" s="415" t="str">
        <f>'PEM sectors'!B39</f>
        <v>Fuel Cell ECU</v>
      </c>
      <c r="D301" s="415">
        <f>'PEM sectors'!C39</f>
        <v>335314</v>
      </c>
      <c r="E301" s="415" t="str">
        <f>'PEM sectors'!D39</f>
        <v>Relay and industrial control manufacturing</v>
      </c>
      <c r="F301" s="420">
        <f>'PEM sectors'!F39</f>
        <v>5.5104408352668215E-2</v>
      </c>
      <c r="G301" s="420">
        <f t="shared" si="118"/>
        <v>5.5104408352668215E-2</v>
      </c>
      <c r="H301" s="421" t="e">
        <f t="shared" si="109"/>
        <v>#N/A</v>
      </c>
      <c r="I301" s="422" t="e">
        <f t="shared" si="110"/>
        <v>#N/A</v>
      </c>
      <c r="J301" s="422" t="e">
        <f t="shared" si="111"/>
        <v>#N/A</v>
      </c>
      <c r="K301" s="423" t="e">
        <f t="shared" si="119"/>
        <v>#N/A</v>
      </c>
      <c r="L301" s="423" t="e">
        <f t="shared" si="120"/>
        <v>#N/A</v>
      </c>
      <c r="M301" s="423" t="e">
        <f t="shared" si="121"/>
        <v>#N/A</v>
      </c>
      <c r="N301" s="422" t="e">
        <f t="shared" si="112"/>
        <v>#N/A</v>
      </c>
      <c r="O301" s="422" t="e">
        <f t="shared" si="113"/>
        <v>#N/A</v>
      </c>
      <c r="P301" s="422" t="e">
        <f t="shared" si="114"/>
        <v>#N/A</v>
      </c>
      <c r="Q301" s="447" t="e">
        <f t="shared" si="122"/>
        <v>#N/A</v>
      </c>
      <c r="R301" s="447" t="e">
        <f t="shared" si="123"/>
        <v>#N/A</v>
      </c>
      <c r="S301" s="447" t="e">
        <f t="shared" si="124"/>
        <v>#N/A</v>
      </c>
      <c r="T301" s="422" t="e">
        <f t="shared" si="115"/>
        <v>#N/A</v>
      </c>
      <c r="U301" s="422" t="e">
        <f t="shared" si="116"/>
        <v>#N/A</v>
      </c>
      <c r="V301" s="422" t="e">
        <f t="shared" si="117"/>
        <v>#N/A</v>
      </c>
      <c r="W301" s="447" t="e">
        <f t="shared" si="125"/>
        <v>#N/A</v>
      </c>
      <c r="X301" s="447" t="e">
        <f t="shared" si="126"/>
        <v>#N/A</v>
      </c>
      <c r="Y301" s="447" t="e">
        <f t="shared" si="127"/>
        <v>#N/A</v>
      </c>
      <c r="AA301" s="103"/>
      <c r="AB301" s="103"/>
      <c r="AC301" s="103"/>
      <c r="AD301" s="103"/>
      <c r="AE301" s="103"/>
      <c r="AF301" s="103"/>
      <c r="AG301" s="103"/>
      <c r="AH301" s="103"/>
      <c r="AI301" s="103"/>
      <c r="AJ301" s="103"/>
      <c r="AK301" s="103"/>
      <c r="AL301" s="103"/>
    </row>
    <row r="302" spans="1:38" s="415" customFormat="1" ht="15.75" hidden="1" x14ac:dyDescent="0.25">
      <c r="A302" s="410"/>
      <c r="B302" s="415" t="str">
        <f>'PEM sectors'!A40</f>
        <v>BoP</v>
      </c>
      <c r="C302" s="415" t="str">
        <f>'PEM sectors'!B40</f>
        <v>Relief Valve</v>
      </c>
      <c r="D302" s="415" t="str">
        <f>'PEM sectors'!C40</f>
        <v>33291A</v>
      </c>
      <c r="E302" s="415" t="str">
        <f>'PEM sectors'!D40</f>
        <v>Valve and fittings other than plumbing</v>
      </c>
      <c r="F302" s="420">
        <f>'PEM sectors'!F40</f>
        <v>1.8851508120649653E-2</v>
      </c>
      <c r="G302" s="420">
        <f t="shared" si="118"/>
        <v>1.8851508120649653E-2</v>
      </c>
      <c r="H302" s="421" t="e">
        <f t="shared" si="109"/>
        <v>#N/A</v>
      </c>
      <c r="I302" s="422" t="e">
        <f t="shared" si="110"/>
        <v>#N/A</v>
      </c>
      <c r="J302" s="422" t="e">
        <f t="shared" si="111"/>
        <v>#N/A</v>
      </c>
      <c r="K302" s="423" t="e">
        <f t="shared" si="119"/>
        <v>#N/A</v>
      </c>
      <c r="L302" s="423" t="e">
        <f t="shared" si="120"/>
        <v>#N/A</v>
      </c>
      <c r="M302" s="423" t="e">
        <f t="shared" si="121"/>
        <v>#N/A</v>
      </c>
      <c r="N302" s="422" t="e">
        <f t="shared" si="112"/>
        <v>#N/A</v>
      </c>
      <c r="O302" s="422" t="e">
        <f t="shared" si="113"/>
        <v>#N/A</v>
      </c>
      <c r="P302" s="422" t="e">
        <f t="shared" si="114"/>
        <v>#N/A</v>
      </c>
      <c r="Q302" s="447" t="e">
        <f t="shared" si="122"/>
        <v>#N/A</v>
      </c>
      <c r="R302" s="447" t="e">
        <f t="shared" si="123"/>
        <v>#N/A</v>
      </c>
      <c r="S302" s="447" t="e">
        <f t="shared" si="124"/>
        <v>#N/A</v>
      </c>
      <c r="T302" s="422" t="e">
        <f t="shared" si="115"/>
        <v>#N/A</v>
      </c>
      <c r="U302" s="422" t="e">
        <f t="shared" si="116"/>
        <v>#N/A</v>
      </c>
      <c r="V302" s="422" t="e">
        <f t="shared" si="117"/>
        <v>#N/A</v>
      </c>
      <c r="W302" s="447" t="e">
        <f t="shared" si="125"/>
        <v>#N/A</v>
      </c>
      <c r="X302" s="447" t="e">
        <f t="shared" si="126"/>
        <v>#N/A</v>
      </c>
      <c r="Y302" s="447" t="e">
        <f t="shared" si="127"/>
        <v>#N/A</v>
      </c>
      <c r="AA302" s="103"/>
      <c r="AB302" s="103"/>
      <c r="AC302" s="103"/>
      <c r="AD302" s="103"/>
      <c r="AE302" s="103"/>
      <c r="AF302" s="103"/>
      <c r="AG302" s="103"/>
      <c r="AH302" s="103"/>
      <c r="AI302" s="103"/>
      <c r="AJ302" s="103"/>
      <c r="AK302" s="103"/>
      <c r="AL302" s="103"/>
    </row>
    <row r="303" spans="1:38" s="415" customFormat="1" ht="15.75" hidden="1" x14ac:dyDescent="0.25">
      <c r="A303" s="410"/>
      <c r="B303" s="415" t="str">
        <f>'PEM sectors'!A41</f>
        <v>BoP</v>
      </c>
      <c r="C303" s="415" t="str">
        <f>'PEM sectors'!B41</f>
        <v>Anode Purge Valve</v>
      </c>
      <c r="D303" s="415" t="str">
        <f>'PEM sectors'!C41</f>
        <v>33291A</v>
      </c>
      <c r="E303" s="415" t="str">
        <f>'PEM sectors'!D41</f>
        <v>Valve and fittings other than plumbing</v>
      </c>
      <c r="F303" s="420">
        <f>'PEM sectors'!F41</f>
        <v>5.8004640371229696E-3</v>
      </c>
      <c r="G303" s="420">
        <f t="shared" si="118"/>
        <v>5.8004640371229696E-3</v>
      </c>
      <c r="H303" s="421" t="e">
        <f t="shared" si="109"/>
        <v>#N/A</v>
      </c>
      <c r="I303" s="422" t="e">
        <f t="shared" si="110"/>
        <v>#N/A</v>
      </c>
      <c r="J303" s="422" t="e">
        <f t="shared" si="111"/>
        <v>#N/A</v>
      </c>
      <c r="K303" s="423" t="e">
        <f t="shared" si="119"/>
        <v>#N/A</v>
      </c>
      <c r="L303" s="423" t="e">
        <f t="shared" si="120"/>
        <v>#N/A</v>
      </c>
      <c r="M303" s="423" t="e">
        <f t="shared" si="121"/>
        <v>#N/A</v>
      </c>
      <c r="N303" s="422" t="e">
        <f t="shared" si="112"/>
        <v>#N/A</v>
      </c>
      <c r="O303" s="422" t="e">
        <f t="shared" si="113"/>
        <v>#N/A</v>
      </c>
      <c r="P303" s="422" t="e">
        <f t="shared" si="114"/>
        <v>#N/A</v>
      </c>
      <c r="Q303" s="447" t="e">
        <f t="shared" si="122"/>
        <v>#N/A</v>
      </c>
      <c r="R303" s="447" t="e">
        <f t="shared" si="123"/>
        <v>#N/A</v>
      </c>
      <c r="S303" s="447" t="e">
        <f t="shared" si="124"/>
        <v>#N/A</v>
      </c>
      <c r="T303" s="422" t="e">
        <f t="shared" si="115"/>
        <v>#N/A</v>
      </c>
      <c r="U303" s="422" t="e">
        <f t="shared" si="116"/>
        <v>#N/A</v>
      </c>
      <c r="V303" s="422" t="e">
        <f t="shared" si="117"/>
        <v>#N/A</v>
      </c>
      <c r="W303" s="447" t="e">
        <f t="shared" si="125"/>
        <v>#N/A</v>
      </c>
      <c r="X303" s="447" t="e">
        <f t="shared" si="126"/>
        <v>#N/A</v>
      </c>
      <c r="Y303" s="447" t="e">
        <f t="shared" si="127"/>
        <v>#N/A</v>
      </c>
      <c r="AA303" s="103"/>
      <c r="AB303" s="103"/>
      <c r="AC303" s="103"/>
      <c r="AD303" s="103"/>
      <c r="AE303" s="103"/>
      <c r="AF303" s="103"/>
      <c r="AG303" s="103"/>
      <c r="AH303" s="103"/>
      <c r="AI303" s="103"/>
      <c r="AJ303" s="103"/>
      <c r="AK303" s="103"/>
      <c r="AL303" s="103"/>
    </row>
    <row r="304" spans="1:38" s="415" customFormat="1" ht="15.75" hidden="1" x14ac:dyDescent="0.25">
      <c r="A304" s="410"/>
      <c r="B304" s="415" t="str">
        <f>'PEM sectors'!A42</f>
        <v>BoP</v>
      </c>
      <c r="C304" s="415" t="str">
        <f>'PEM sectors'!B42</f>
        <v>H2 Shutoff Valve</v>
      </c>
      <c r="D304" s="415" t="str">
        <f>'PEM sectors'!C42</f>
        <v>33291A</v>
      </c>
      <c r="E304" s="415" t="str">
        <f>'PEM sectors'!D42</f>
        <v>Valve and fittings other than plumbing</v>
      </c>
      <c r="F304" s="420">
        <f>'PEM sectors'!F42</f>
        <v>7.9756380510440841E-3</v>
      </c>
      <c r="G304" s="420">
        <f t="shared" si="118"/>
        <v>7.9756380510440841E-3</v>
      </c>
      <c r="H304" s="421" t="e">
        <f t="shared" si="109"/>
        <v>#N/A</v>
      </c>
      <c r="I304" s="422" t="e">
        <f t="shared" si="110"/>
        <v>#N/A</v>
      </c>
      <c r="J304" s="422" t="e">
        <f t="shared" si="111"/>
        <v>#N/A</v>
      </c>
      <c r="K304" s="423" t="e">
        <f t="shared" si="119"/>
        <v>#N/A</v>
      </c>
      <c r="L304" s="423" t="e">
        <f t="shared" si="120"/>
        <v>#N/A</v>
      </c>
      <c r="M304" s="423" t="e">
        <f t="shared" si="121"/>
        <v>#N/A</v>
      </c>
      <c r="N304" s="422" t="e">
        <f t="shared" si="112"/>
        <v>#N/A</v>
      </c>
      <c r="O304" s="422" t="e">
        <f t="shared" si="113"/>
        <v>#N/A</v>
      </c>
      <c r="P304" s="422" t="e">
        <f t="shared" si="114"/>
        <v>#N/A</v>
      </c>
      <c r="Q304" s="447" t="e">
        <f t="shared" si="122"/>
        <v>#N/A</v>
      </c>
      <c r="R304" s="447" t="e">
        <f t="shared" si="123"/>
        <v>#N/A</v>
      </c>
      <c r="S304" s="447" t="e">
        <f t="shared" si="124"/>
        <v>#N/A</v>
      </c>
      <c r="T304" s="422" t="e">
        <f t="shared" si="115"/>
        <v>#N/A</v>
      </c>
      <c r="U304" s="422" t="e">
        <f t="shared" si="116"/>
        <v>#N/A</v>
      </c>
      <c r="V304" s="422" t="e">
        <f t="shared" si="117"/>
        <v>#N/A</v>
      </c>
      <c r="W304" s="447" t="e">
        <f t="shared" si="125"/>
        <v>#N/A</v>
      </c>
      <c r="X304" s="447" t="e">
        <f t="shared" si="126"/>
        <v>#N/A</v>
      </c>
      <c r="Y304" s="447" t="e">
        <f t="shared" si="127"/>
        <v>#N/A</v>
      </c>
      <c r="AA304" s="103"/>
      <c r="AB304" s="103"/>
      <c r="AC304" s="103"/>
      <c r="AD304" s="103"/>
      <c r="AE304" s="103"/>
      <c r="AF304" s="103"/>
      <c r="AG304" s="103"/>
      <c r="AH304" s="103"/>
      <c r="AI304" s="103"/>
      <c r="AJ304" s="103"/>
      <c r="AK304" s="103"/>
      <c r="AL304" s="103"/>
    </row>
    <row r="305" spans="1:38" s="415" customFormat="1" ht="15.75" hidden="1" x14ac:dyDescent="0.25">
      <c r="A305" s="410"/>
      <c r="B305" s="415" t="str">
        <f>'PEM sectors'!A43</f>
        <v>BoP</v>
      </c>
      <c r="C305" s="415" t="str">
        <f>'PEM sectors'!B43</f>
        <v>Buss Bar</v>
      </c>
      <c r="D305" s="415">
        <f>'PEM sectors'!C43</f>
        <v>335930</v>
      </c>
      <c r="E305" s="415" t="str">
        <f>'PEM sectors'!D43</f>
        <v>Wiring device manufacturing</v>
      </c>
      <c r="F305" s="420">
        <f>'PEM sectors'!F43</f>
        <v>2.3201856148491878E-3</v>
      </c>
      <c r="G305" s="420">
        <f t="shared" si="118"/>
        <v>2.3201856148491878E-3</v>
      </c>
      <c r="H305" s="421" t="e">
        <f t="shared" si="109"/>
        <v>#N/A</v>
      </c>
      <c r="I305" s="422" t="e">
        <f t="shared" si="110"/>
        <v>#N/A</v>
      </c>
      <c r="J305" s="422" t="e">
        <f t="shared" si="111"/>
        <v>#N/A</v>
      </c>
      <c r="K305" s="423" t="e">
        <f t="shared" si="119"/>
        <v>#N/A</v>
      </c>
      <c r="L305" s="423" t="e">
        <f t="shared" si="120"/>
        <v>#N/A</v>
      </c>
      <c r="M305" s="423" t="e">
        <f t="shared" si="121"/>
        <v>#N/A</v>
      </c>
      <c r="N305" s="422" t="e">
        <f t="shared" si="112"/>
        <v>#N/A</v>
      </c>
      <c r="O305" s="422" t="e">
        <f t="shared" si="113"/>
        <v>#N/A</v>
      </c>
      <c r="P305" s="422" t="e">
        <f t="shared" si="114"/>
        <v>#N/A</v>
      </c>
      <c r="Q305" s="447" t="e">
        <f t="shared" si="122"/>
        <v>#N/A</v>
      </c>
      <c r="R305" s="447" t="e">
        <f t="shared" si="123"/>
        <v>#N/A</v>
      </c>
      <c r="S305" s="447" t="e">
        <f t="shared" si="124"/>
        <v>#N/A</v>
      </c>
      <c r="T305" s="422" t="e">
        <f t="shared" si="115"/>
        <v>#N/A</v>
      </c>
      <c r="U305" s="422" t="e">
        <f t="shared" si="116"/>
        <v>#N/A</v>
      </c>
      <c r="V305" s="422" t="e">
        <f t="shared" si="117"/>
        <v>#N/A</v>
      </c>
      <c r="W305" s="447" t="e">
        <f t="shared" si="125"/>
        <v>#N/A</v>
      </c>
      <c r="X305" s="447" t="e">
        <f t="shared" si="126"/>
        <v>#N/A</v>
      </c>
      <c r="Y305" s="447" t="e">
        <f t="shared" si="127"/>
        <v>#N/A</v>
      </c>
      <c r="AA305" s="103"/>
      <c r="AB305" s="103"/>
      <c r="AC305" s="103"/>
      <c r="AD305" s="103"/>
      <c r="AE305" s="103"/>
      <c r="AF305" s="103"/>
      <c r="AG305" s="103"/>
      <c r="AH305" s="103"/>
      <c r="AI305" s="103"/>
      <c r="AJ305" s="103"/>
      <c r="AK305" s="103"/>
      <c r="AL305" s="103"/>
    </row>
    <row r="306" spans="1:38" s="415" customFormat="1" ht="15.75" hidden="1" x14ac:dyDescent="0.25">
      <c r="A306" s="410"/>
      <c r="B306" s="415" t="str">
        <f>'PEM sectors'!A44</f>
        <v>BoP</v>
      </c>
      <c r="C306" s="415" t="str">
        <f>'PEM sectors'!B44</f>
        <v>Wiring and Connectors</v>
      </c>
      <c r="D306" s="415">
        <f>'PEM sectors'!C44</f>
        <v>335930</v>
      </c>
      <c r="E306" s="415" t="str">
        <f>'PEM sectors'!D44</f>
        <v>Wiring device manufacturing</v>
      </c>
      <c r="F306" s="420">
        <f>'PEM sectors'!F44</f>
        <v>7.250580046403712E-3</v>
      </c>
      <c r="G306" s="420">
        <f t="shared" si="118"/>
        <v>7.250580046403712E-3</v>
      </c>
      <c r="H306" s="421" t="e">
        <f t="shared" si="109"/>
        <v>#N/A</v>
      </c>
      <c r="I306" s="422" t="e">
        <f t="shared" si="110"/>
        <v>#N/A</v>
      </c>
      <c r="J306" s="422" t="e">
        <f t="shared" si="111"/>
        <v>#N/A</v>
      </c>
      <c r="K306" s="423" t="e">
        <f t="shared" si="119"/>
        <v>#N/A</v>
      </c>
      <c r="L306" s="423" t="e">
        <f t="shared" si="120"/>
        <v>#N/A</v>
      </c>
      <c r="M306" s="423" t="e">
        <f t="shared" si="121"/>
        <v>#N/A</v>
      </c>
      <c r="N306" s="422" t="e">
        <f t="shared" si="112"/>
        <v>#N/A</v>
      </c>
      <c r="O306" s="422" t="e">
        <f t="shared" si="113"/>
        <v>#N/A</v>
      </c>
      <c r="P306" s="422" t="e">
        <f t="shared" si="114"/>
        <v>#N/A</v>
      </c>
      <c r="Q306" s="447" t="e">
        <f t="shared" si="122"/>
        <v>#N/A</v>
      </c>
      <c r="R306" s="447" t="e">
        <f t="shared" si="123"/>
        <v>#N/A</v>
      </c>
      <c r="S306" s="447" t="e">
        <f t="shared" si="124"/>
        <v>#N/A</v>
      </c>
      <c r="T306" s="422" t="e">
        <f t="shared" si="115"/>
        <v>#N/A</v>
      </c>
      <c r="U306" s="422" t="e">
        <f t="shared" si="116"/>
        <v>#N/A</v>
      </c>
      <c r="V306" s="422" t="e">
        <f t="shared" si="117"/>
        <v>#N/A</v>
      </c>
      <c r="W306" s="447" t="e">
        <f t="shared" si="125"/>
        <v>#N/A</v>
      </c>
      <c r="X306" s="447" t="e">
        <f t="shared" si="126"/>
        <v>#N/A</v>
      </c>
      <c r="Y306" s="447" t="e">
        <f t="shared" si="127"/>
        <v>#N/A</v>
      </c>
      <c r="AA306" s="103"/>
      <c r="AB306" s="103"/>
      <c r="AC306" s="103"/>
      <c r="AD306" s="103"/>
      <c r="AE306" s="103"/>
      <c r="AF306" s="103"/>
      <c r="AG306" s="103"/>
      <c r="AH306" s="103"/>
      <c r="AI306" s="103"/>
      <c r="AJ306" s="103"/>
      <c r="AK306" s="103"/>
      <c r="AL306" s="103"/>
    </row>
    <row r="307" spans="1:38" s="415" customFormat="1" ht="14.45" hidden="1" customHeight="1" x14ac:dyDescent="0.25">
      <c r="A307" s="410"/>
      <c r="D307" s="451"/>
      <c r="E307" s="417" t="s">
        <v>423</v>
      </c>
      <c r="F307" s="452">
        <f>SUM(F285:F306)</f>
        <v>0.49347447795823673</v>
      </c>
      <c r="G307" s="420">
        <f t="shared" ref="G307" si="128">F307</f>
        <v>0.49347447795823673</v>
      </c>
      <c r="H307" s="422" t="e">
        <f>SUM(H285:H306)</f>
        <v>#N/A</v>
      </c>
      <c r="I307" s="422" t="e">
        <f>SUM(I285:I306)</f>
        <v>#N/A</v>
      </c>
      <c r="J307" s="422" t="e">
        <f>SUM(J285:J306)</f>
        <v>#N/A</v>
      </c>
      <c r="K307" s="423" t="e">
        <f t="shared" ref="K307" si="129">H307</f>
        <v>#N/A</v>
      </c>
      <c r="L307" s="423" t="e">
        <f t="shared" ref="L307" si="130">I307-H307</f>
        <v>#N/A</v>
      </c>
      <c r="M307" s="423" t="e">
        <f t="shared" ref="M307" si="131">J307-I307</f>
        <v>#N/A</v>
      </c>
      <c r="N307" s="422" t="e">
        <f>SUM(N285:N306)</f>
        <v>#N/A</v>
      </c>
      <c r="O307" s="422" t="e">
        <f>SUM(O285:O306)</f>
        <v>#N/A</v>
      </c>
      <c r="P307" s="422" t="e">
        <f>SUM(P285:P306)</f>
        <v>#N/A</v>
      </c>
      <c r="Q307" s="447" t="e">
        <f t="shared" ref="Q307" si="132">N307</f>
        <v>#N/A</v>
      </c>
      <c r="R307" s="447" t="e">
        <f t="shared" ref="R307" si="133">O307-N307</f>
        <v>#N/A</v>
      </c>
      <c r="S307" s="447" t="e">
        <f t="shared" ref="S307" si="134">P307-O307</f>
        <v>#N/A</v>
      </c>
      <c r="T307" s="422" t="e">
        <f>SUM(T285:T306)</f>
        <v>#N/A</v>
      </c>
      <c r="U307" s="422" t="e">
        <f>SUM(U285:U306)</f>
        <v>#N/A</v>
      </c>
      <c r="V307" s="422" t="e">
        <f>SUM(V285:V306)</f>
        <v>#N/A</v>
      </c>
      <c r="W307" s="447" t="e">
        <f t="shared" ref="W307" si="135">T307</f>
        <v>#N/A</v>
      </c>
      <c r="X307" s="447" t="e">
        <f t="shared" ref="X307" si="136">U307-T307</f>
        <v>#N/A</v>
      </c>
      <c r="Y307" s="447" t="e">
        <f t="shared" ref="Y307" si="137">V307-U307</f>
        <v>#N/A</v>
      </c>
      <c r="AA307" s="103"/>
      <c r="AB307" s="103"/>
      <c r="AC307" s="103"/>
      <c r="AD307" s="103"/>
      <c r="AE307" s="103"/>
      <c r="AF307" s="103"/>
      <c r="AG307" s="103"/>
      <c r="AH307" s="103"/>
      <c r="AI307" s="103"/>
      <c r="AJ307" s="103"/>
      <c r="AK307" s="103"/>
      <c r="AL307" s="103"/>
    </row>
    <row r="308" spans="1:38" s="415" customFormat="1" ht="14.45" hidden="1" customHeight="1" x14ac:dyDescent="0.25">
      <c r="A308" s="410"/>
      <c r="D308" s="453"/>
      <c r="E308" s="454"/>
      <c r="F308" s="454"/>
      <c r="G308" s="454"/>
      <c r="N308" s="447"/>
      <c r="O308" s="447"/>
      <c r="P308" s="447"/>
      <c r="Q308" s="447"/>
      <c r="R308" s="447"/>
      <c r="S308" s="447"/>
      <c r="T308" s="447"/>
      <c r="U308" s="447"/>
      <c r="V308" s="447"/>
      <c r="W308" s="447"/>
      <c r="X308" s="447"/>
      <c r="Y308" s="447"/>
      <c r="AA308" s="103"/>
      <c r="AB308" s="103"/>
      <c r="AC308" s="103"/>
      <c r="AD308" s="103"/>
      <c r="AE308" s="103"/>
      <c r="AF308" s="103"/>
      <c r="AG308" s="103"/>
      <c r="AH308" s="103"/>
      <c r="AI308" s="103"/>
      <c r="AJ308" s="103"/>
      <c r="AK308" s="103"/>
      <c r="AL308" s="103"/>
    </row>
    <row r="309" spans="1:38" s="415" customFormat="1" ht="14.45" hidden="1" customHeight="1" x14ac:dyDescent="0.25">
      <c r="A309" s="410"/>
      <c r="D309" s="445"/>
      <c r="E309" s="455" t="s">
        <v>449</v>
      </c>
      <c r="F309" s="446"/>
      <c r="G309" s="446"/>
      <c r="N309" s="447"/>
      <c r="O309" s="447"/>
      <c r="P309" s="447"/>
      <c r="Q309" s="447"/>
      <c r="R309" s="447"/>
      <c r="S309" s="447"/>
      <c r="T309" s="447"/>
      <c r="U309" s="447"/>
      <c r="V309" s="447"/>
      <c r="W309" s="447"/>
      <c r="X309" s="447"/>
      <c r="Y309" s="447"/>
      <c r="AA309" s="103"/>
      <c r="AB309" s="103"/>
      <c r="AC309" s="103"/>
      <c r="AD309" s="103"/>
      <c r="AE309" s="103"/>
      <c r="AF309" s="103"/>
      <c r="AG309" s="103"/>
      <c r="AH309" s="103"/>
      <c r="AI309" s="103"/>
      <c r="AJ309" s="103"/>
      <c r="AK309" s="103"/>
      <c r="AL309" s="103"/>
    </row>
    <row r="310" spans="1:38" s="415" customFormat="1" ht="14.45" hidden="1" customHeight="1" x14ac:dyDescent="0.25">
      <c r="A310" s="410"/>
      <c r="D310" s="445"/>
      <c r="E310" s="415">
        <v>2015</v>
      </c>
      <c r="F310" s="456">
        <f>F$307*TotalProdCosts_2015</f>
        <v>0</v>
      </c>
      <c r="G310" s="456">
        <f t="shared" ref="G310:J315" si="138">G$307*$G597</f>
        <v>0</v>
      </c>
      <c r="H310" s="457" t="e">
        <f t="shared" si="138"/>
        <v>#N/A</v>
      </c>
      <c r="I310" s="457" t="e">
        <f t="shared" si="138"/>
        <v>#N/A</v>
      </c>
      <c r="J310" s="457" t="e">
        <f t="shared" si="138"/>
        <v>#N/A</v>
      </c>
      <c r="K310" s="423" t="e">
        <f t="shared" ref="K310" si="139">H310</f>
        <v>#N/A</v>
      </c>
      <c r="L310" s="423" t="e">
        <f t="shared" ref="L310" si="140">I310-H310</f>
        <v>#N/A</v>
      </c>
      <c r="M310" s="423" t="e">
        <f t="shared" ref="M310" si="141">J310-I310</f>
        <v>#N/A</v>
      </c>
      <c r="N310" s="438" t="e">
        <f t="shared" ref="N310:P315" si="142">N$307*$G597</f>
        <v>#N/A</v>
      </c>
      <c r="O310" s="438" t="e">
        <f t="shared" si="142"/>
        <v>#N/A</v>
      </c>
      <c r="P310" s="438" t="e">
        <f t="shared" si="142"/>
        <v>#N/A</v>
      </c>
      <c r="Q310" s="447" t="e">
        <f t="shared" ref="Q310" si="143">N310</f>
        <v>#N/A</v>
      </c>
      <c r="R310" s="447" t="e">
        <f t="shared" ref="R310" si="144">O310-N310</f>
        <v>#N/A</v>
      </c>
      <c r="S310" s="447" t="e">
        <f t="shared" ref="S310" si="145">P310-O310</f>
        <v>#N/A</v>
      </c>
      <c r="T310" s="438" t="e">
        <f t="shared" ref="T310:V315" si="146">T$307*$G597</f>
        <v>#N/A</v>
      </c>
      <c r="U310" s="438" t="e">
        <f t="shared" si="146"/>
        <v>#N/A</v>
      </c>
      <c r="V310" s="438" t="e">
        <f t="shared" si="146"/>
        <v>#N/A</v>
      </c>
      <c r="W310" s="447" t="e">
        <f t="shared" ref="W310" si="147">T310</f>
        <v>#N/A</v>
      </c>
      <c r="X310" s="447" t="e">
        <f t="shared" ref="X310" si="148">U310-T310</f>
        <v>#N/A</v>
      </c>
      <c r="Y310" s="447" t="e">
        <f t="shared" ref="Y310" si="149">V310-U310</f>
        <v>#N/A</v>
      </c>
      <c r="AA310" s="103"/>
      <c r="AB310" s="103"/>
      <c r="AC310" s="103"/>
      <c r="AD310" s="103"/>
      <c r="AE310" s="103"/>
      <c r="AF310" s="103"/>
      <c r="AG310" s="103"/>
      <c r="AH310" s="103"/>
      <c r="AI310" s="103"/>
      <c r="AJ310" s="103"/>
      <c r="AK310" s="103"/>
      <c r="AL310" s="103"/>
    </row>
    <row r="311" spans="1:38" s="415" customFormat="1" ht="14.45" hidden="1" customHeight="1" x14ac:dyDescent="0.25">
      <c r="A311" s="410"/>
      <c r="D311" s="445"/>
      <c r="E311" s="415">
        <v>2016</v>
      </c>
      <c r="F311" s="458">
        <f>F$307*TotalProdCosts_2016</f>
        <v>0</v>
      </c>
      <c r="G311" s="456">
        <f t="shared" si="138"/>
        <v>0</v>
      </c>
      <c r="H311" s="457" t="e">
        <f t="shared" si="138"/>
        <v>#N/A</v>
      </c>
      <c r="I311" s="457" t="e">
        <f t="shared" si="138"/>
        <v>#N/A</v>
      </c>
      <c r="J311" s="457" t="e">
        <f t="shared" si="138"/>
        <v>#N/A</v>
      </c>
      <c r="K311" s="423" t="e">
        <f t="shared" ref="K311:K315" si="150">H311</f>
        <v>#N/A</v>
      </c>
      <c r="L311" s="423" t="e">
        <f t="shared" ref="L311:L315" si="151">I311-H311</f>
        <v>#N/A</v>
      </c>
      <c r="M311" s="423" t="e">
        <f t="shared" ref="M311:M315" si="152">J311-I311</f>
        <v>#N/A</v>
      </c>
      <c r="N311" s="438" t="e">
        <f t="shared" si="142"/>
        <v>#N/A</v>
      </c>
      <c r="O311" s="438" t="e">
        <f t="shared" si="142"/>
        <v>#N/A</v>
      </c>
      <c r="P311" s="438" t="e">
        <f t="shared" si="142"/>
        <v>#N/A</v>
      </c>
      <c r="Q311" s="447" t="e">
        <f t="shared" ref="Q311:Q315" si="153">N311</f>
        <v>#N/A</v>
      </c>
      <c r="R311" s="447" t="e">
        <f t="shared" ref="R311:R315" si="154">O311-N311</f>
        <v>#N/A</v>
      </c>
      <c r="S311" s="447" t="e">
        <f t="shared" ref="S311:S315" si="155">P311-O311</f>
        <v>#N/A</v>
      </c>
      <c r="T311" s="438" t="e">
        <f t="shared" si="146"/>
        <v>#N/A</v>
      </c>
      <c r="U311" s="438" t="e">
        <f t="shared" si="146"/>
        <v>#N/A</v>
      </c>
      <c r="V311" s="438" t="e">
        <f t="shared" si="146"/>
        <v>#N/A</v>
      </c>
      <c r="W311" s="447" t="e">
        <f t="shared" ref="W311:W315" si="156">T311</f>
        <v>#N/A</v>
      </c>
      <c r="X311" s="447" t="e">
        <f t="shared" ref="X311:X315" si="157">U311-T311</f>
        <v>#N/A</v>
      </c>
      <c r="Y311" s="447" t="e">
        <f t="shared" ref="Y311:Y315" si="158">V311-U311</f>
        <v>#N/A</v>
      </c>
      <c r="AA311" s="103"/>
      <c r="AB311" s="103"/>
      <c r="AC311" s="103"/>
      <c r="AD311" s="103"/>
      <c r="AE311" s="103"/>
      <c r="AF311" s="103"/>
      <c r="AG311" s="103"/>
      <c r="AH311" s="103"/>
      <c r="AI311" s="103"/>
      <c r="AJ311" s="103"/>
      <c r="AK311" s="103"/>
      <c r="AL311" s="103"/>
    </row>
    <row r="312" spans="1:38" s="415" customFormat="1" ht="15.75" hidden="1" x14ac:dyDescent="0.25">
      <c r="A312" s="410"/>
      <c r="D312" s="445"/>
      <c r="E312" s="415">
        <v>2017</v>
      </c>
      <c r="F312" s="458">
        <f>F$307*TotalProdCosts_2017</f>
        <v>0</v>
      </c>
      <c r="G312" s="456">
        <f t="shared" si="138"/>
        <v>0</v>
      </c>
      <c r="H312" s="457" t="e">
        <f t="shared" si="138"/>
        <v>#N/A</v>
      </c>
      <c r="I312" s="457" t="e">
        <f t="shared" si="138"/>
        <v>#N/A</v>
      </c>
      <c r="J312" s="457" t="e">
        <f t="shared" si="138"/>
        <v>#N/A</v>
      </c>
      <c r="K312" s="423" t="e">
        <f t="shared" si="150"/>
        <v>#N/A</v>
      </c>
      <c r="L312" s="423" t="e">
        <f t="shared" si="151"/>
        <v>#N/A</v>
      </c>
      <c r="M312" s="423" t="e">
        <f t="shared" si="152"/>
        <v>#N/A</v>
      </c>
      <c r="N312" s="438" t="e">
        <f t="shared" si="142"/>
        <v>#N/A</v>
      </c>
      <c r="O312" s="438" t="e">
        <f t="shared" si="142"/>
        <v>#N/A</v>
      </c>
      <c r="P312" s="438" t="e">
        <f t="shared" si="142"/>
        <v>#N/A</v>
      </c>
      <c r="Q312" s="447" t="e">
        <f t="shared" si="153"/>
        <v>#N/A</v>
      </c>
      <c r="R312" s="447" t="e">
        <f t="shared" si="154"/>
        <v>#N/A</v>
      </c>
      <c r="S312" s="447" t="e">
        <f t="shared" si="155"/>
        <v>#N/A</v>
      </c>
      <c r="T312" s="438" t="e">
        <f t="shared" si="146"/>
        <v>#N/A</v>
      </c>
      <c r="U312" s="438" t="e">
        <f t="shared" si="146"/>
        <v>#N/A</v>
      </c>
      <c r="V312" s="438" t="e">
        <f t="shared" si="146"/>
        <v>#N/A</v>
      </c>
      <c r="W312" s="447" t="e">
        <f t="shared" si="156"/>
        <v>#N/A</v>
      </c>
      <c r="X312" s="447" t="e">
        <f t="shared" si="157"/>
        <v>#N/A</v>
      </c>
      <c r="Y312" s="447" t="e">
        <f t="shared" si="158"/>
        <v>#N/A</v>
      </c>
      <c r="AA312" s="103"/>
      <c r="AB312" s="103"/>
      <c r="AC312" s="103"/>
      <c r="AD312" s="103"/>
      <c r="AE312" s="103"/>
      <c r="AF312" s="103"/>
      <c r="AG312" s="103"/>
      <c r="AH312" s="103"/>
      <c r="AI312" s="103"/>
      <c r="AJ312" s="103"/>
      <c r="AK312" s="103"/>
      <c r="AL312" s="103"/>
    </row>
    <row r="313" spans="1:38" s="415" customFormat="1" ht="15.75" hidden="1" x14ac:dyDescent="0.25">
      <c r="A313" s="410"/>
      <c r="D313" s="445"/>
      <c r="E313" s="415">
        <v>2018</v>
      </c>
      <c r="F313" s="458">
        <f>F$307*TotalProdCosts_2018</f>
        <v>0</v>
      </c>
      <c r="G313" s="456">
        <f t="shared" si="138"/>
        <v>0</v>
      </c>
      <c r="H313" s="457" t="e">
        <f t="shared" si="138"/>
        <v>#N/A</v>
      </c>
      <c r="I313" s="457" t="e">
        <f t="shared" si="138"/>
        <v>#N/A</v>
      </c>
      <c r="J313" s="457" t="e">
        <f t="shared" si="138"/>
        <v>#N/A</v>
      </c>
      <c r="K313" s="423" t="e">
        <f t="shared" si="150"/>
        <v>#N/A</v>
      </c>
      <c r="L313" s="423" t="e">
        <f t="shared" si="151"/>
        <v>#N/A</v>
      </c>
      <c r="M313" s="423" t="e">
        <f t="shared" si="152"/>
        <v>#N/A</v>
      </c>
      <c r="N313" s="438" t="e">
        <f t="shared" si="142"/>
        <v>#N/A</v>
      </c>
      <c r="O313" s="438" t="e">
        <f t="shared" si="142"/>
        <v>#N/A</v>
      </c>
      <c r="P313" s="438" t="e">
        <f t="shared" si="142"/>
        <v>#N/A</v>
      </c>
      <c r="Q313" s="447" t="e">
        <f t="shared" si="153"/>
        <v>#N/A</v>
      </c>
      <c r="R313" s="447" t="e">
        <f t="shared" si="154"/>
        <v>#N/A</v>
      </c>
      <c r="S313" s="447" t="e">
        <f t="shared" si="155"/>
        <v>#N/A</v>
      </c>
      <c r="T313" s="438" t="e">
        <f t="shared" si="146"/>
        <v>#N/A</v>
      </c>
      <c r="U313" s="438" t="e">
        <f t="shared" si="146"/>
        <v>#N/A</v>
      </c>
      <c r="V313" s="438" t="e">
        <f t="shared" si="146"/>
        <v>#N/A</v>
      </c>
      <c r="W313" s="447" t="e">
        <f t="shared" si="156"/>
        <v>#N/A</v>
      </c>
      <c r="X313" s="447" t="e">
        <f t="shared" si="157"/>
        <v>#N/A</v>
      </c>
      <c r="Y313" s="447" t="e">
        <f t="shared" si="158"/>
        <v>#N/A</v>
      </c>
      <c r="AA313" s="103"/>
      <c r="AB313" s="103"/>
      <c r="AC313" s="103"/>
      <c r="AD313" s="103"/>
      <c r="AE313" s="103"/>
      <c r="AF313" s="103"/>
      <c r="AG313" s="103"/>
      <c r="AH313" s="103"/>
      <c r="AI313" s="103"/>
      <c r="AJ313" s="103"/>
      <c r="AK313" s="103"/>
      <c r="AL313" s="103"/>
    </row>
    <row r="314" spans="1:38" s="415" customFormat="1" ht="15.75" hidden="1" x14ac:dyDescent="0.25">
      <c r="A314" s="410"/>
      <c r="D314" s="445"/>
      <c r="E314" s="415">
        <v>2019</v>
      </c>
      <c r="F314" s="458">
        <f>F$307*TotalProdCosts_2019</f>
        <v>0</v>
      </c>
      <c r="G314" s="456">
        <f t="shared" si="138"/>
        <v>0</v>
      </c>
      <c r="H314" s="457" t="e">
        <f t="shared" si="138"/>
        <v>#N/A</v>
      </c>
      <c r="I314" s="457" t="e">
        <f t="shared" si="138"/>
        <v>#N/A</v>
      </c>
      <c r="J314" s="457" t="e">
        <f t="shared" si="138"/>
        <v>#N/A</v>
      </c>
      <c r="K314" s="423" t="e">
        <f t="shared" si="150"/>
        <v>#N/A</v>
      </c>
      <c r="L314" s="423" t="e">
        <f t="shared" si="151"/>
        <v>#N/A</v>
      </c>
      <c r="M314" s="423" t="e">
        <f t="shared" si="152"/>
        <v>#N/A</v>
      </c>
      <c r="N314" s="438" t="e">
        <f t="shared" si="142"/>
        <v>#N/A</v>
      </c>
      <c r="O314" s="438" t="e">
        <f t="shared" si="142"/>
        <v>#N/A</v>
      </c>
      <c r="P314" s="438" t="e">
        <f t="shared" si="142"/>
        <v>#N/A</v>
      </c>
      <c r="Q314" s="447" t="e">
        <f t="shared" si="153"/>
        <v>#N/A</v>
      </c>
      <c r="R314" s="447" t="e">
        <f t="shared" si="154"/>
        <v>#N/A</v>
      </c>
      <c r="S314" s="447" t="e">
        <f t="shared" si="155"/>
        <v>#N/A</v>
      </c>
      <c r="T314" s="438" t="e">
        <f t="shared" si="146"/>
        <v>#N/A</v>
      </c>
      <c r="U314" s="438" t="e">
        <f t="shared" si="146"/>
        <v>#N/A</v>
      </c>
      <c r="V314" s="438" t="e">
        <f t="shared" si="146"/>
        <v>#N/A</v>
      </c>
      <c r="W314" s="447" t="e">
        <f t="shared" si="156"/>
        <v>#N/A</v>
      </c>
      <c r="X314" s="447" t="e">
        <f t="shared" si="157"/>
        <v>#N/A</v>
      </c>
      <c r="Y314" s="447" t="e">
        <f t="shared" si="158"/>
        <v>#N/A</v>
      </c>
      <c r="AA314" s="103"/>
      <c r="AB314" s="103"/>
      <c r="AC314" s="103"/>
      <c r="AD314" s="103"/>
      <c r="AE314" s="103"/>
      <c r="AF314" s="103"/>
      <c r="AG314" s="103"/>
      <c r="AH314" s="103"/>
      <c r="AI314" s="103"/>
      <c r="AJ314" s="103"/>
      <c r="AK314" s="103"/>
      <c r="AL314" s="103"/>
    </row>
    <row r="315" spans="1:38" s="415" customFormat="1" ht="15.75" hidden="1" x14ac:dyDescent="0.25">
      <c r="A315" s="410"/>
      <c r="D315" s="445"/>
      <c r="E315" s="415">
        <v>2020</v>
      </c>
      <c r="F315" s="458">
        <f>F$307*TotalProdCosts_2020</f>
        <v>0</v>
      </c>
      <c r="G315" s="456">
        <f t="shared" si="138"/>
        <v>0</v>
      </c>
      <c r="H315" s="457" t="e">
        <f t="shared" si="138"/>
        <v>#N/A</v>
      </c>
      <c r="I315" s="457" t="e">
        <f t="shared" si="138"/>
        <v>#N/A</v>
      </c>
      <c r="J315" s="457" t="e">
        <f t="shared" si="138"/>
        <v>#N/A</v>
      </c>
      <c r="K315" s="423" t="e">
        <f t="shared" si="150"/>
        <v>#N/A</v>
      </c>
      <c r="L315" s="423" t="e">
        <f t="shared" si="151"/>
        <v>#N/A</v>
      </c>
      <c r="M315" s="423" t="e">
        <f t="shared" si="152"/>
        <v>#N/A</v>
      </c>
      <c r="N315" s="438" t="e">
        <f t="shared" si="142"/>
        <v>#N/A</v>
      </c>
      <c r="O315" s="438" t="e">
        <f t="shared" si="142"/>
        <v>#N/A</v>
      </c>
      <c r="P315" s="438" t="e">
        <f t="shared" si="142"/>
        <v>#N/A</v>
      </c>
      <c r="Q315" s="447" t="e">
        <f t="shared" si="153"/>
        <v>#N/A</v>
      </c>
      <c r="R315" s="447" t="e">
        <f t="shared" si="154"/>
        <v>#N/A</v>
      </c>
      <c r="S315" s="447" t="e">
        <f t="shared" si="155"/>
        <v>#N/A</v>
      </c>
      <c r="T315" s="438" t="e">
        <f t="shared" si="146"/>
        <v>#N/A</v>
      </c>
      <c r="U315" s="438" t="e">
        <f t="shared" si="146"/>
        <v>#N/A</v>
      </c>
      <c r="V315" s="438" t="e">
        <f t="shared" si="146"/>
        <v>#N/A</v>
      </c>
      <c r="W315" s="447" t="e">
        <f t="shared" si="156"/>
        <v>#N/A</v>
      </c>
      <c r="X315" s="447" t="e">
        <f t="shared" si="157"/>
        <v>#N/A</v>
      </c>
      <c r="Y315" s="447" t="e">
        <f t="shared" si="158"/>
        <v>#N/A</v>
      </c>
      <c r="AA315" s="103"/>
      <c r="AB315" s="103"/>
      <c r="AC315" s="103"/>
      <c r="AD315" s="103"/>
      <c r="AE315" s="103"/>
      <c r="AF315" s="103"/>
      <c r="AG315" s="103"/>
      <c r="AH315" s="103"/>
      <c r="AI315" s="103"/>
      <c r="AJ315" s="103"/>
      <c r="AK315" s="103"/>
      <c r="AL315" s="103"/>
    </row>
    <row r="316" spans="1:38" s="415" customFormat="1" ht="15.75" hidden="1" x14ac:dyDescent="0.25">
      <c r="A316" s="410"/>
      <c r="D316" s="445"/>
      <c r="F316" s="458"/>
      <c r="G316" s="456"/>
      <c r="H316" s="457"/>
      <c r="I316" s="457"/>
      <c r="J316" s="457"/>
      <c r="K316" s="457"/>
      <c r="L316" s="457"/>
      <c r="M316" s="457"/>
      <c r="N316" s="447"/>
      <c r="O316" s="447"/>
      <c r="P316" s="447"/>
      <c r="Q316" s="447"/>
      <c r="R316" s="447"/>
      <c r="S316" s="447"/>
      <c r="T316" s="447"/>
      <c r="U316" s="447"/>
      <c r="V316" s="447"/>
      <c r="W316" s="447"/>
      <c r="X316" s="447"/>
      <c r="Y316" s="447"/>
      <c r="AA316" s="103"/>
      <c r="AB316" s="103"/>
      <c r="AC316" s="103"/>
      <c r="AD316" s="103"/>
      <c r="AE316" s="103"/>
      <c r="AF316" s="103"/>
      <c r="AG316" s="103"/>
      <c r="AH316" s="103"/>
      <c r="AI316" s="103"/>
      <c r="AJ316" s="103"/>
      <c r="AK316" s="103"/>
      <c r="AL316" s="103"/>
    </row>
    <row r="317" spans="1:38" s="415" customFormat="1" ht="15.75" hidden="1" x14ac:dyDescent="0.25">
      <c r="A317" s="410"/>
      <c r="D317" s="445"/>
      <c r="E317" s="417"/>
      <c r="F317" s="446"/>
      <c r="G317" s="446"/>
      <c r="N317" s="447"/>
      <c r="O317" s="447"/>
      <c r="P317" s="447"/>
      <c r="Q317" s="447"/>
      <c r="R317" s="447"/>
      <c r="S317" s="447"/>
      <c r="T317" s="447"/>
      <c r="U317" s="447"/>
      <c r="V317" s="447"/>
      <c r="W317" s="447"/>
      <c r="X317" s="447"/>
      <c r="Y317" s="447"/>
      <c r="AA317" s="103"/>
      <c r="AB317" s="103"/>
      <c r="AC317" s="103"/>
      <c r="AD317" s="103"/>
      <c r="AE317" s="103"/>
      <c r="AF317" s="103"/>
      <c r="AG317" s="103"/>
      <c r="AH317" s="103"/>
      <c r="AI317" s="103"/>
      <c r="AJ317" s="103"/>
      <c r="AK317" s="103"/>
      <c r="AL317" s="103"/>
    </row>
    <row r="318" spans="1:38" s="415" customFormat="1" ht="15.75" hidden="1" x14ac:dyDescent="0.25">
      <c r="A318" s="410"/>
      <c r="B318" s="1187" t="s">
        <v>1565</v>
      </c>
      <c r="C318" s="1188"/>
      <c r="D318" s="1141" t="s">
        <v>1569</v>
      </c>
      <c r="F318" s="412"/>
      <c r="G318" s="412"/>
      <c r="N318" s="447"/>
      <c r="O318" s="447"/>
      <c r="P318" s="447"/>
      <c r="Q318" s="447"/>
      <c r="R318" s="447"/>
      <c r="S318" s="447"/>
      <c r="T318" s="447"/>
      <c r="U318" s="447"/>
      <c r="V318" s="447"/>
      <c r="W318" s="447"/>
      <c r="X318" s="447"/>
      <c r="Y318" s="447"/>
      <c r="AA318" s="103"/>
      <c r="AB318" s="103"/>
      <c r="AC318" s="103"/>
      <c r="AD318" s="103"/>
      <c r="AE318" s="103"/>
      <c r="AF318" s="103"/>
      <c r="AG318" s="103"/>
      <c r="AH318" s="103"/>
      <c r="AI318" s="103"/>
      <c r="AJ318" s="103"/>
      <c r="AK318" s="103"/>
      <c r="AL318" s="103"/>
    </row>
    <row r="319" spans="1:38" s="417" customFormat="1" ht="15.75" hidden="1" x14ac:dyDescent="0.25">
      <c r="A319" s="416"/>
      <c r="D319" s="418" t="s">
        <v>412</v>
      </c>
      <c r="E319" s="419" t="s">
        <v>10</v>
      </c>
      <c r="F319" s="419" t="s">
        <v>428</v>
      </c>
      <c r="G319" s="419" t="str">
        <f>G$212</f>
        <v>Cost in 2008 dollars</v>
      </c>
      <c r="H319" s="417" t="s">
        <v>583</v>
      </c>
      <c r="I319" s="417" t="s">
        <v>584</v>
      </c>
      <c r="J319" s="417" t="s">
        <v>585</v>
      </c>
      <c r="K319" s="417" t="s">
        <v>586</v>
      </c>
      <c r="L319" s="417" t="s">
        <v>413</v>
      </c>
      <c r="M319" s="417" t="s">
        <v>414</v>
      </c>
      <c r="N319" s="426" t="s">
        <v>592</v>
      </c>
      <c r="O319" s="426" t="s">
        <v>587</v>
      </c>
      <c r="P319" s="426" t="s">
        <v>588</v>
      </c>
      <c r="Q319" s="426" t="s">
        <v>589</v>
      </c>
      <c r="R319" s="426" t="s">
        <v>590</v>
      </c>
      <c r="S319" s="426" t="s">
        <v>591</v>
      </c>
      <c r="T319" s="426" t="s">
        <v>593</v>
      </c>
      <c r="U319" s="426" t="s">
        <v>594</v>
      </c>
      <c r="V319" s="426" t="s">
        <v>595</v>
      </c>
      <c r="W319" s="460" t="s">
        <v>596</v>
      </c>
      <c r="X319" s="426" t="s">
        <v>597</v>
      </c>
      <c r="Y319" s="426" t="s">
        <v>598</v>
      </c>
      <c r="Z319" s="415"/>
      <c r="AA319" s="103"/>
      <c r="AB319" s="103"/>
      <c r="AC319" s="103"/>
      <c r="AD319" s="103"/>
      <c r="AE319" s="103"/>
      <c r="AF319" s="103"/>
      <c r="AG319" s="103"/>
      <c r="AH319" s="103"/>
      <c r="AI319" s="103"/>
      <c r="AJ319" s="103"/>
      <c r="AK319" s="103"/>
      <c r="AL319" s="103"/>
    </row>
    <row r="320" spans="1:38" s="415" customFormat="1" ht="15.75" hidden="1" x14ac:dyDescent="0.25">
      <c r="A320" s="410"/>
      <c r="B320" s="415" t="str">
        <f>'PEM sectors'!A59</f>
        <v>System assembly, testing conditioning</v>
      </c>
      <c r="D320" s="415">
        <f>IF(OR(State="AK", State="HI", State="WY"), 336300, 334419)</f>
        <v>334419</v>
      </c>
      <c r="E320" s="415" t="str">
        <f>IF(OR(State="AK", State="HI", State="WY"), "Motor vehicle parts manufacturing", "Other electronic component manufacturing")</f>
        <v>Other electronic component manufacturing</v>
      </c>
      <c r="F320" s="420">
        <f>'PEM sectors'!E59</f>
        <v>4.6113689095127613E-2</v>
      </c>
      <c r="G320" s="461">
        <f t="shared" ref="G320" si="159">F320</f>
        <v>4.6113689095127613E-2</v>
      </c>
      <c r="H320" s="421" t="e">
        <f>$G320*(INDEX(tier_emp_mult, MATCH($D320, tier_emp_code,0), MATCH(State, R_emp, 0)))/(INDEX(tier_earn_mult, MATCH($D320, tier_earn_code,0), MATCH(State, R_earn, 0)))/1000000</f>
        <v>#N/A</v>
      </c>
      <c r="I320" s="422"/>
      <c r="J320" s="422"/>
      <c r="K320" s="423" t="e">
        <f t="shared" ref="K320" si="160">H320</f>
        <v>#N/A</v>
      </c>
      <c r="L320" s="423"/>
      <c r="M320" s="423" t="e">
        <f>$G320*((INDEX(typeII_emp_mult, MATCH($D320, typeII_emp_code,0), MATCH(State, R_emp, 0)))-(INDEX(typeI_emp_mult, MATCH($D320, typeI_emp_code,0), MATCH(State, R_emp, 0))))/(INDEX(tier_earn_mult, MATCH($D320, tier_earn_code,0), MATCH(State, R_earn, 0)))/1000000</f>
        <v>#N/A</v>
      </c>
      <c r="N320" s="424"/>
      <c r="O320" s="425"/>
      <c r="P320" s="425"/>
      <c r="Q320" s="426"/>
      <c r="R320" s="426"/>
      <c r="S320" s="424" t="e">
        <f>$G320*((INDEX(typeII_earn_mult, MATCH($D320, typeII_earn_code,0), MATCH(State, R_earn, 0)))-(INDEX(typeI_earn_mult, MATCH($D320, typeI_earn_code,0), MATCH(State, R_earn, 0))))/(INDEX(tier_earn_mult, MATCH($D320, tier_earn_code,0), MATCH(State, R_earn, 0)))</f>
        <v>#N/A</v>
      </c>
      <c r="T320" s="426"/>
      <c r="U320" s="424" t="e">
        <f>$G320*INDEX(typeI_out_mult, MATCH($D320, typeI_out_code,0), MATCH(State, R_out, 0))</f>
        <v>#N/A</v>
      </c>
      <c r="V320" s="424" t="e">
        <f>$G320*INDEX(typeII_out_mult, MATCH($D320, typeII_out_code,0), MATCH(State, R_out, 0))</f>
        <v>#N/A</v>
      </c>
      <c r="W320" s="426"/>
      <c r="X320" s="426"/>
      <c r="Y320" s="427" t="e">
        <f>$G320*((INDEX(typeII_out_mult, MATCH($D320, typeII_out_code,0), MATCH(State, R_out, 0)))-(INDEX(typeI_out_mult, MATCH($D320, typeI_out_code,0), MATCH(State, R_out, 0))))/(INDEX(tier_earn_mult, MATCH($D320, tier_earn_code,0), MATCH(State, R_earn, 0)))</f>
        <v>#N/A</v>
      </c>
      <c r="AA320" s="103"/>
      <c r="AB320" s="103"/>
      <c r="AC320" s="103"/>
      <c r="AD320" s="103"/>
      <c r="AE320" s="103"/>
      <c r="AF320" s="103"/>
      <c r="AG320" s="103"/>
      <c r="AH320" s="103"/>
      <c r="AI320" s="103"/>
      <c r="AJ320" s="103"/>
      <c r="AK320" s="103"/>
      <c r="AL320" s="103"/>
    </row>
    <row r="321" spans="1:38" s="415" customFormat="1" ht="15.75" hidden="1" x14ac:dyDescent="0.25">
      <c r="A321" s="410"/>
      <c r="D321" s="411" t="s">
        <v>534</v>
      </c>
      <c r="E321" s="412"/>
      <c r="F321" s="412"/>
      <c r="G321" s="412"/>
      <c r="N321" s="447"/>
      <c r="O321" s="447"/>
      <c r="P321" s="447"/>
      <c r="Q321" s="447"/>
      <c r="R321" s="447"/>
      <c r="S321" s="447"/>
      <c r="T321" s="447"/>
      <c r="U321" s="447"/>
      <c r="V321" s="447"/>
      <c r="W321" s="447"/>
      <c r="X321" s="447"/>
      <c r="Y321" s="447"/>
      <c r="AA321" s="103"/>
      <c r="AB321" s="103"/>
      <c r="AC321" s="103"/>
      <c r="AD321" s="103"/>
      <c r="AE321" s="103"/>
      <c r="AF321" s="103"/>
      <c r="AG321" s="103"/>
      <c r="AH321" s="103"/>
      <c r="AI321" s="103"/>
      <c r="AJ321" s="103"/>
      <c r="AK321" s="103"/>
      <c r="AL321" s="103"/>
    </row>
    <row r="322" spans="1:38" s="415" customFormat="1" ht="15.75" hidden="1" x14ac:dyDescent="0.25">
      <c r="A322" s="410"/>
      <c r="D322" s="445"/>
      <c r="E322" s="415">
        <v>2015</v>
      </c>
      <c r="F322" s="456">
        <f>F$320*TotalProdCosts_2015</f>
        <v>0</v>
      </c>
      <c r="G322" s="456">
        <f t="shared" ref="G322:H327" si="161">G$320*$G597</f>
        <v>0</v>
      </c>
      <c r="H322" s="457" t="e">
        <f t="shared" si="161"/>
        <v>#N/A</v>
      </c>
      <c r="I322" s="457"/>
      <c r="J322" s="457"/>
      <c r="K322" s="423" t="e">
        <f t="shared" ref="K322" si="162">H322</f>
        <v>#N/A</v>
      </c>
      <c r="L322" s="423"/>
      <c r="M322" s="457" t="e">
        <f t="shared" ref="M322:M327" si="163">M$320*$G597</f>
        <v>#N/A</v>
      </c>
      <c r="N322" s="447">
        <f>G322</f>
        <v>0</v>
      </c>
      <c r="O322" s="447"/>
      <c r="P322" s="447"/>
      <c r="Q322" s="447">
        <f>N322</f>
        <v>0</v>
      </c>
      <c r="R322" s="447"/>
      <c r="S322" s="456" t="e">
        <f t="shared" ref="S322:S327" si="164">S$320*$G597</f>
        <v>#N/A</v>
      </c>
      <c r="T322" s="447">
        <f>Q322</f>
        <v>0</v>
      </c>
      <c r="U322" s="447"/>
      <c r="V322" s="447"/>
      <c r="W322" s="447">
        <f>T322</f>
        <v>0</v>
      </c>
      <c r="X322" s="447"/>
      <c r="Y322" s="456" t="e">
        <f t="shared" ref="Y322:Y327" si="165">Y$320*$G597</f>
        <v>#N/A</v>
      </c>
      <c r="AA322" s="103"/>
      <c r="AB322" s="103"/>
      <c r="AC322" s="103"/>
      <c r="AD322" s="103"/>
      <c r="AE322" s="103"/>
      <c r="AF322" s="103"/>
      <c r="AG322" s="103"/>
      <c r="AH322" s="103"/>
      <c r="AI322" s="103"/>
      <c r="AJ322" s="103"/>
      <c r="AK322" s="103"/>
      <c r="AL322" s="103"/>
    </row>
    <row r="323" spans="1:38" s="415" customFormat="1" ht="15.75" hidden="1" x14ac:dyDescent="0.25">
      <c r="A323" s="410"/>
      <c r="D323" s="445"/>
      <c r="E323" s="415">
        <v>2016</v>
      </c>
      <c r="F323" s="456">
        <f>F$320*TotalProdCosts_2016</f>
        <v>0</v>
      </c>
      <c r="G323" s="456">
        <f t="shared" si="161"/>
        <v>0</v>
      </c>
      <c r="H323" s="457" t="e">
        <f t="shared" si="161"/>
        <v>#N/A</v>
      </c>
      <c r="I323" s="457"/>
      <c r="J323" s="457"/>
      <c r="K323" s="423" t="e">
        <f t="shared" ref="K323:K327" si="166">H323</f>
        <v>#N/A</v>
      </c>
      <c r="L323" s="423"/>
      <c r="M323" s="457" t="e">
        <f t="shared" si="163"/>
        <v>#N/A</v>
      </c>
      <c r="N323" s="447">
        <f t="shared" ref="N323:N327" si="167">G323</f>
        <v>0</v>
      </c>
      <c r="O323" s="447"/>
      <c r="P323" s="447"/>
      <c r="Q323" s="447">
        <f t="shared" ref="Q323:Q327" si="168">N323</f>
        <v>0</v>
      </c>
      <c r="R323" s="447"/>
      <c r="S323" s="456" t="e">
        <f t="shared" si="164"/>
        <v>#N/A</v>
      </c>
      <c r="T323" s="447">
        <f t="shared" ref="T323:T327" si="169">Q323</f>
        <v>0</v>
      </c>
      <c r="U323" s="447"/>
      <c r="V323" s="447"/>
      <c r="W323" s="447">
        <f t="shared" ref="W323:W327" si="170">T323</f>
        <v>0</v>
      </c>
      <c r="X323" s="447"/>
      <c r="Y323" s="456" t="e">
        <f t="shared" si="165"/>
        <v>#N/A</v>
      </c>
      <c r="AA323" s="103"/>
      <c r="AB323" s="103"/>
      <c r="AC323" s="103"/>
      <c r="AD323" s="103"/>
      <c r="AE323" s="103"/>
      <c r="AF323" s="103"/>
      <c r="AG323" s="103"/>
      <c r="AH323" s="103"/>
      <c r="AI323" s="103"/>
      <c r="AJ323" s="103"/>
      <c r="AK323" s="103"/>
      <c r="AL323" s="103"/>
    </row>
    <row r="324" spans="1:38" s="415" customFormat="1" ht="15.75" hidden="1" x14ac:dyDescent="0.25">
      <c r="A324" s="410"/>
      <c r="D324" s="445"/>
      <c r="E324" s="415">
        <v>2017</v>
      </c>
      <c r="F324" s="456">
        <f>F$320*TotalProdCosts_2017</f>
        <v>0</v>
      </c>
      <c r="G324" s="456">
        <f t="shared" si="161"/>
        <v>0</v>
      </c>
      <c r="H324" s="457" t="e">
        <f t="shared" si="161"/>
        <v>#N/A</v>
      </c>
      <c r="I324" s="457"/>
      <c r="J324" s="457"/>
      <c r="K324" s="423" t="e">
        <f t="shared" si="166"/>
        <v>#N/A</v>
      </c>
      <c r="L324" s="423"/>
      <c r="M324" s="457" t="e">
        <f t="shared" si="163"/>
        <v>#N/A</v>
      </c>
      <c r="N324" s="447">
        <f t="shared" si="167"/>
        <v>0</v>
      </c>
      <c r="O324" s="447"/>
      <c r="P324" s="447"/>
      <c r="Q324" s="447">
        <f t="shared" si="168"/>
        <v>0</v>
      </c>
      <c r="R324" s="447"/>
      <c r="S324" s="456" t="e">
        <f t="shared" si="164"/>
        <v>#N/A</v>
      </c>
      <c r="T324" s="447">
        <f t="shared" si="169"/>
        <v>0</v>
      </c>
      <c r="U324" s="447"/>
      <c r="V324" s="447"/>
      <c r="W324" s="447">
        <f t="shared" si="170"/>
        <v>0</v>
      </c>
      <c r="X324" s="447"/>
      <c r="Y324" s="456" t="e">
        <f t="shared" si="165"/>
        <v>#N/A</v>
      </c>
      <c r="AA324" s="103"/>
      <c r="AB324" s="103"/>
      <c r="AC324" s="103"/>
      <c r="AD324" s="103"/>
      <c r="AE324" s="103"/>
      <c r="AF324" s="103"/>
      <c r="AG324" s="103"/>
      <c r="AH324" s="103"/>
      <c r="AI324" s="103"/>
      <c r="AJ324" s="103"/>
      <c r="AK324" s="103"/>
      <c r="AL324" s="103"/>
    </row>
    <row r="325" spans="1:38" s="415" customFormat="1" ht="15.75" hidden="1" x14ac:dyDescent="0.25">
      <c r="A325" s="410"/>
      <c r="D325" s="445"/>
      <c r="E325" s="415">
        <v>2018</v>
      </c>
      <c r="F325" s="456">
        <f>F$320*TotalProdCosts_2018</f>
        <v>0</v>
      </c>
      <c r="G325" s="456">
        <f t="shared" si="161"/>
        <v>0</v>
      </c>
      <c r="H325" s="457" t="e">
        <f t="shared" si="161"/>
        <v>#N/A</v>
      </c>
      <c r="I325" s="457"/>
      <c r="J325" s="457"/>
      <c r="K325" s="423" t="e">
        <f t="shared" si="166"/>
        <v>#N/A</v>
      </c>
      <c r="L325" s="423"/>
      <c r="M325" s="457" t="e">
        <f t="shared" si="163"/>
        <v>#N/A</v>
      </c>
      <c r="N325" s="447">
        <f t="shared" si="167"/>
        <v>0</v>
      </c>
      <c r="O325" s="447"/>
      <c r="P325" s="447"/>
      <c r="Q325" s="447">
        <f t="shared" si="168"/>
        <v>0</v>
      </c>
      <c r="R325" s="447"/>
      <c r="S325" s="456" t="e">
        <f t="shared" si="164"/>
        <v>#N/A</v>
      </c>
      <c r="T325" s="447">
        <f t="shared" si="169"/>
        <v>0</v>
      </c>
      <c r="U325" s="447"/>
      <c r="V325" s="447"/>
      <c r="W325" s="447">
        <f t="shared" si="170"/>
        <v>0</v>
      </c>
      <c r="X325" s="447"/>
      <c r="Y325" s="456" t="e">
        <f t="shared" si="165"/>
        <v>#N/A</v>
      </c>
      <c r="AA325" s="103"/>
      <c r="AB325" s="103"/>
      <c r="AC325" s="103"/>
      <c r="AD325" s="103"/>
      <c r="AE325" s="103"/>
      <c r="AF325" s="103"/>
      <c r="AG325" s="103"/>
      <c r="AH325" s="103"/>
      <c r="AI325" s="103"/>
      <c r="AJ325" s="103"/>
      <c r="AK325" s="103"/>
      <c r="AL325" s="103"/>
    </row>
    <row r="326" spans="1:38" s="415" customFormat="1" ht="15.75" hidden="1" x14ac:dyDescent="0.25">
      <c r="A326" s="410"/>
      <c r="D326" s="445"/>
      <c r="E326" s="415">
        <v>2019</v>
      </c>
      <c r="F326" s="456">
        <f>F$320*TotalProdCosts_2019</f>
        <v>0</v>
      </c>
      <c r="G326" s="456">
        <f t="shared" si="161"/>
        <v>0</v>
      </c>
      <c r="H326" s="457" t="e">
        <f t="shared" si="161"/>
        <v>#N/A</v>
      </c>
      <c r="I326" s="457"/>
      <c r="J326" s="457"/>
      <c r="K326" s="423" t="e">
        <f t="shared" si="166"/>
        <v>#N/A</v>
      </c>
      <c r="L326" s="423"/>
      <c r="M326" s="457" t="e">
        <f t="shared" si="163"/>
        <v>#N/A</v>
      </c>
      <c r="N326" s="447">
        <f t="shared" si="167"/>
        <v>0</v>
      </c>
      <c r="O326" s="447"/>
      <c r="P326" s="447"/>
      <c r="Q326" s="447">
        <f t="shared" si="168"/>
        <v>0</v>
      </c>
      <c r="R326" s="447"/>
      <c r="S326" s="456" t="e">
        <f t="shared" si="164"/>
        <v>#N/A</v>
      </c>
      <c r="T326" s="447">
        <f t="shared" si="169"/>
        <v>0</v>
      </c>
      <c r="U326" s="447"/>
      <c r="V326" s="447"/>
      <c r="W326" s="447">
        <f t="shared" si="170"/>
        <v>0</v>
      </c>
      <c r="X326" s="447"/>
      <c r="Y326" s="456" t="e">
        <f t="shared" si="165"/>
        <v>#N/A</v>
      </c>
      <c r="AA326" s="103"/>
      <c r="AB326" s="103"/>
      <c r="AC326" s="103"/>
      <c r="AD326" s="103"/>
      <c r="AE326" s="103"/>
      <c r="AF326" s="103"/>
      <c r="AG326" s="103"/>
      <c r="AH326" s="103"/>
      <c r="AI326" s="103"/>
      <c r="AJ326" s="103"/>
      <c r="AK326" s="103"/>
      <c r="AL326" s="103"/>
    </row>
    <row r="327" spans="1:38" s="415" customFormat="1" ht="15.75" hidden="1" x14ac:dyDescent="0.25">
      <c r="A327" s="410"/>
      <c r="D327" s="445"/>
      <c r="E327" s="415">
        <v>2020</v>
      </c>
      <c r="F327" s="456">
        <f>F$320*TotalProdCosts_2020</f>
        <v>0</v>
      </c>
      <c r="G327" s="456">
        <f t="shared" si="161"/>
        <v>0</v>
      </c>
      <c r="H327" s="457" t="e">
        <f t="shared" si="161"/>
        <v>#N/A</v>
      </c>
      <c r="I327" s="457"/>
      <c r="J327" s="457"/>
      <c r="K327" s="423" t="e">
        <f t="shared" si="166"/>
        <v>#N/A</v>
      </c>
      <c r="L327" s="423"/>
      <c r="M327" s="457" t="e">
        <f t="shared" si="163"/>
        <v>#N/A</v>
      </c>
      <c r="N327" s="447">
        <f t="shared" si="167"/>
        <v>0</v>
      </c>
      <c r="O327" s="447"/>
      <c r="P327" s="447"/>
      <c r="Q327" s="447">
        <f t="shared" si="168"/>
        <v>0</v>
      </c>
      <c r="R327" s="447"/>
      <c r="S327" s="456" t="e">
        <f t="shared" si="164"/>
        <v>#N/A</v>
      </c>
      <c r="T327" s="447">
        <f t="shared" si="169"/>
        <v>0</v>
      </c>
      <c r="U327" s="447"/>
      <c r="V327" s="447"/>
      <c r="W327" s="447">
        <f t="shared" si="170"/>
        <v>0</v>
      </c>
      <c r="X327" s="447"/>
      <c r="Y327" s="456" t="e">
        <f t="shared" si="165"/>
        <v>#N/A</v>
      </c>
      <c r="AA327" s="103"/>
      <c r="AB327" s="103"/>
      <c r="AC327" s="103"/>
      <c r="AD327" s="103"/>
      <c r="AE327" s="103"/>
      <c r="AF327" s="103"/>
      <c r="AG327" s="103"/>
      <c r="AH327" s="103"/>
      <c r="AI327" s="103"/>
      <c r="AJ327" s="103"/>
      <c r="AK327" s="103"/>
      <c r="AL327" s="103"/>
    </row>
    <row r="328" spans="1:38" s="415" customFormat="1" ht="15.75" hidden="1" x14ac:dyDescent="0.25">
      <c r="A328" s="410"/>
      <c r="D328" s="445"/>
      <c r="F328" s="456"/>
      <c r="G328" s="456"/>
      <c r="H328" s="457"/>
      <c r="I328" s="457"/>
      <c r="J328" s="457"/>
      <c r="K328" s="457"/>
      <c r="L328" s="457"/>
      <c r="M328" s="457"/>
      <c r="N328" s="447"/>
      <c r="O328" s="447"/>
      <c r="P328" s="447"/>
      <c r="Q328" s="447"/>
      <c r="R328" s="447"/>
      <c r="S328" s="447"/>
      <c r="T328" s="447"/>
      <c r="U328" s="447"/>
      <c r="V328" s="447"/>
      <c r="W328" s="447"/>
      <c r="X328" s="447"/>
      <c r="Y328" s="447"/>
      <c r="AA328" s="103"/>
      <c r="AB328" s="103"/>
      <c r="AC328" s="103"/>
      <c r="AD328" s="103"/>
      <c r="AE328" s="103"/>
      <c r="AF328" s="103"/>
      <c r="AG328" s="103"/>
      <c r="AH328" s="103"/>
      <c r="AI328" s="103"/>
      <c r="AJ328" s="103"/>
      <c r="AK328" s="103"/>
      <c r="AL328" s="103"/>
    </row>
    <row r="329" spans="1:38" s="415" customFormat="1" ht="15.75" hidden="1" x14ac:dyDescent="0.25">
      <c r="A329" s="410"/>
      <c r="B329" s="1187" t="s">
        <v>1570</v>
      </c>
      <c r="C329" s="1188"/>
      <c r="D329" s="1139" t="s">
        <v>1480</v>
      </c>
      <c r="N329" s="447"/>
      <c r="O329" s="447"/>
      <c r="P329" s="447"/>
      <c r="Q329" s="447"/>
      <c r="R329" s="447"/>
      <c r="S329" s="447"/>
      <c r="T329" s="447"/>
      <c r="U329" s="447"/>
      <c r="V329" s="447"/>
      <c r="W329" s="447"/>
      <c r="X329" s="447"/>
      <c r="Y329" s="447"/>
      <c r="AA329" s="103"/>
      <c r="AB329" s="103"/>
      <c r="AC329" s="103"/>
      <c r="AD329" s="103"/>
      <c r="AE329" s="103"/>
      <c r="AF329" s="103"/>
      <c r="AG329" s="103"/>
      <c r="AH329" s="103"/>
      <c r="AI329" s="103"/>
      <c r="AJ329" s="103"/>
      <c r="AK329" s="103"/>
      <c r="AL329" s="103"/>
    </row>
    <row r="330" spans="1:38" s="417" customFormat="1" ht="15.75" hidden="1" x14ac:dyDescent="0.25">
      <c r="A330" s="416"/>
      <c r="D330" s="451" t="s">
        <v>412</v>
      </c>
      <c r="E330" s="417" t="s">
        <v>10</v>
      </c>
      <c r="F330" s="417" t="s">
        <v>428</v>
      </c>
      <c r="G330" s="419" t="str">
        <f>G$212</f>
        <v>Cost in 2008 dollars</v>
      </c>
      <c r="H330" s="417" t="s">
        <v>583</v>
      </c>
      <c r="I330" s="417" t="s">
        <v>584</v>
      </c>
      <c r="J330" s="417" t="s">
        <v>585</v>
      </c>
      <c r="K330" s="417" t="s">
        <v>586</v>
      </c>
      <c r="L330" s="417" t="s">
        <v>413</v>
      </c>
      <c r="M330" s="417" t="s">
        <v>414</v>
      </c>
      <c r="N330" s="426" t="s">
        <v>592</v>
      </c>
      <c r="O330" s="426" t="s">
        <v>587</v>
      </c>
      <c r="P330" s="426" t="s">
        <v>588</v>
      </c>
      <c r="Q330" s="426" t="s">
        <v>589</v>
      </c>
      <c r="R330" s="426" t="s">
        <v>590</v>
      </c>
      <c r="S330" s="426" t="s">
        <v>591</v>
      </c>
      <c r="T330" s="426" t="s">
        <v>593</v>
      </c>
      <c r="U330" s="426" t="s">
        <v>594</v>
      </c>
      <c r="V330" s="426" t="s">
        <v>595</v>
      </c>
      <c r="W330" s="426" t="s">
        <v>596</v>
      </c>
      <c r="X330" s="426" t="s">
        <v>597</v>
      </c>
      <c r="Y330" s="426" t="s">
        <v>598</v>
      </c>
      <c r="Z330" s="415"/>
      <c r="AA330" s="103"/>
      <c r="AB330" s="103"/>
      <c r="AC330" s="103"/>
      <c r="AD330" s="103"/>
      <c r="AE330" s="103"/>
      <c r="AF330" s="103"/>
      <c r="AG330" s="103"/>
      <c r="AH330" s="103"/>
      <c r="AI330" s="103"/>
      <c r="AJ330" s="103"/>
      <c r="AK330" s="103"/>
      <c r="AL330" s="103"/>
    </row>
    <row r="331" spans="1:38" s="417" customFormat="1" ht="15.75" hidden="1" x14ac:dyDescent="0.25">
      <c r="A331" s="416"/>
      <c r="B331" s="440" t="str">
        <f>'PEM sectors'!A49</f>
        <v>Capital O&amp;M</v>
      </c>
      <c r="C331" s="440" t="str">
        <f>'PEM sectors'!B49</f>
        <v>Forklift maintenance and battery recharge</v>
      </c>
      <c r="D331" s="440">
        <f>'PEM sectors'!C49</f>
        <v>811300</v>
      </c>
      <c r="E331" s="440" t="str">
        <f>'PEM sectors'!D49</f>
        <v>Commercial and industrial machinery and equipment repair and maintenance</v>
      </c>
      <c r="F331" s="462">
        <f>'PEM sectors'!R49</f>
        <v>7.250580046403712E-5</v>
      </c>
      <c r="G331" s="420">
        <f>F331</f>
        <v>7.250580046403712E-5</v>
      </c>
      <c r="H331" s="421" t="e">
        <f>$G331*INDEX(tier_emp_mult, MATCH($D331, tier_emp_code,0), MATCH(State, R_emp, 0))/1000000</f>
        <v>#N/A</v>
      </c>
      <c r="I331" s="422" t="e">
        <f>$G331*INDEX(typeI_emp_mult, MATCH($D331, typeI_emp_code,0), MATCH(State, R_emp, 0))/1000000</f>
        <v>#N/A</v>
      </c>
      <c r="J331" s="422" t="e">
        <f>$G331*INDEX(typeII_emp_mult, MATCH($D331, typeII_emp_code,0), MATCH(State, R_emp, 0))/1000000</f>
        <v>#N/A</v>
      </c>
      <c r="K331" s="423" t="e">
        <f>H331</f>
        <v>#N/A</v>
      </c>
      <c r="L331" s="423" t="e">
        <f>I331-H331</f>
        <v>#N/A</v>
      </c>
      <c r="M331" s="423" t="e">
        <f>J331-I331</f>
        <v>#N/A</v>
      </c>
      <c r="N331" s="463" t="e">
        <f>$G331*INDEX(tier_earn_mult, MATCH($D331, tier_earn_code,0), MATCH(State, R_earn, 0))</f>
        <v>#N/A</v>
      </c>
      <c r="O331" s="422" t="e">
        <f>$G331*INDEX(typeI_earn_mult, MATCH($D331, typeI_earn_code,0), MATCH(State, R_earn, 0))</f>
        <v>#N/A</v>
      </c>
      <c r="P331" s="422" t="e">
        <f>$G331*INDEX(typeII_earn_mult, MATCH($D331, typeII_earn_code,0), MATCH(State, R_earn, 0))</f>
        <v>#N/A</v>
      </c>
      <c r="Q331" s="447" t="e">
        <f>N331</f>
        <v>#N/A</v>
      </c>
      <c r="R331" s="447" t="e">
        <f>O331-N331</f>
        <v>#N/A</v>
      </c>
      <c r="S331" s="447" t="e">
        <f>P331-O331</f>
        <v>#N/A</v>
      </c>
      <c r="T331" s="422" t="e">
        <f>$G331*INDEX(tier_out_mult, MATCH($D331, tier_out_code,0), MATCH(State, R_out, 0))</f>
        <v>#N/A</v>
      </c>
      <c r="U331" s="422" t="e">
        <f>$G331*INDEX(typeI_out_mult, MATCH($D331, typeI_out_code,0), MATCH(State, R_out, 0))</f>
        <v>#N/A</v>
      </c>
      <c r="V331" s="422" t="e">
        <f>$G331*INDEX(typeII_out_mult, MATCH($D331, typeII_out_code,0), MATCH(State, R_out, 0))</f>
        <v>#N/A</v>
      </c>
      <c r="W331" s="447" t="e">
        <f>T331</f>
        <v>#N/A</v>
      </c>
      <c r="X331" s="447" t="e">
        <f>U331-T331</f>
        <v>#N/A</v>
      </c>
      <c r="Y331" s="447" t="e">
        <f>V331-U331</f>
        <v>#N/A</v>
      </c>
      <c r="Z331" s="415"/>
      <c r="AA331" s="103"/>
      <c r="AB331" s="103"/>
      <c r="AC331" s="103"/>
      <c r="AD331" s="103"/>
      <c r="AE331" s="103"/>
      <c r="AF331" s="103"/>
      <c r="AG331" s="103"/>
      <c r="AH331" s="103"/>
      <c r="AI331" s="103"/>
      <c r="AJ331" s="103"/>
      <c r="AK331" s="103"/>
      <c r="AL331" s="103"/>
    </row>
    <row r="332" spans="1:38" s="417" customFormat="1" ht="15.75" hidden="1" x14ac:dyDescent="0.25">
      <c r="A332" s="416"/>
      <c r="B332" s="440" t="str">
        <f>'PEM sectors'!A50</f>
        <v>Capital O&amp;M</v>
      </c>
      <c r="C332" s="440" t="str">
        <f>'PEM sectors'!B50</f>
        <v>Forklift maintenance and battery recharge</v>
      </c>
      <c r="D332" s="440">
        <f>'PEM sectors'!C50</f>
        <v>811300</v>
      </c>
      <c r="E332" s="440" t="str">
        <f>'PEM sectors'!D50</f>
        <v>Commercial and industrial machinery and equipment repair and maintenance</v>
      </c>
      <c r="F332" s="462">
        <f>'PEM sectors'!R50</f>
        <v>7.250580046403712E-5</v>
      </c>
      <c r="G332" s="420">
        <f t="shared" ref="G332:G334" si="171">F332</f>
        <v>7.250580046403712E-5</v>
      </c>
      <c r="H332" s="421" t="e">
        <f>$G332*INDEX(tier_emp_mult, MATCH($D332, tier_emp_code,0), MATCH(State, R_emp, 0))/1000000</f>
        <v>#N/A</v>
      </c>
      <c r="I332" s="422" t="e">
        <f>$G332*INDEX(typeI_emp_mult, MATCH($D332, typeI_emp_code,0), MATCH(State, R_emp, 0))/1000000</f>
        <v>#N/A</v>
      </c>
      <c r="J332" s="422" t="e">
        <f>$G332*INDEX(typeII_emp_mult, MATCH($D332, typeII_emp_code,0), MATCH(State, R_emp, 0))/1000000</f>
        <v>#N/A</v>
      </c>
      <c r="K332" s="423" t="e">
        <f t="shared" ref="K332:K335" si="172">H332</f>
        <v>#N/A</v>
      </c>
      <c r="L332" s="423" t="e">
        <f t="shared" ref="L332:L335" si="173">I332-H332</f>
        <v>#N/A</v>
      </c>
      <c r="M332" s="423" t="e">
        <f t="shared" ref="M332:M335" si="174">J332-I332</f>
        <v>#N/A</v>
      </c>
      <c r="N332" s="422" t="e">
        <f>$G332*INDEX(tier_earn_mult, MATCH($D332, tier_earn_code,0), MATCH(State, R_earn, 0))</f>
        <v>#N/A</v>
      </c>
      <c r="O332" s="422" t="e">
        <f>$G332*INDEX(typeI_earn_mult, MATCH($D332, typeI_earn_code,0), MATCH(State, R_earn, 0))</f>
        <v>#N/A</v>
      </c>
      <c r="P332" s="422" t="e">
        <f>$G332*INDEX(typeII_earn_mult, MATCH($D332, typeII_earn_code,0), MATCH(State, R_earn, 0))</f>
        <v>#N/A</v>
      </c>
      <c r="Q332" s="447" t="e">
        <f t="shared" ref="Q332:Q335" si="175">N332</f>
        <v>#N/A</v>
      </c>
      <c r="R332" s="447" t="e">
        <f t="shared" ref="R332:R335" si="176">O332-N332</f>
        <v>#N/A</v>
      </c>
      <c r="S332" s="447" t="e">
        <f t="shared" ref="S332:S335" si="177">P332-O332</f>
        <v>#N/A</v>
      </c>
      <c r="T332" s="422" t="e">
        <f>$G332*INDEX(tier_out_mult, MATCH($D332, tier_out_code,0), MATCH(State, R_out, 0))</f>
        <v>#N/A</v>
      </c>
      <c r="U332" s="422" t="e">
        <f>$G332*INDEX(typeI_out_mult, MATCH($D332, typeI_out_code,0), MATCH(State, R_out, 0))</f>
        <v>#N/A</v>
      </c>
      <c r="V332" s="422" t="e">
        <f>$G332*INDEX(typeII_out_mult, MATCH($D332, typeII_out_code,0), MATCH(State, R_out, 0))</f>
        <v>#N/A</v>
      </c>
      <c r="W332" s="447" t="e">
        <f t="shared" ref="W332:W335" si="178">T332</f>
        <v>#N/A</v>
      </c>
      <c r="X332" s="447" t="e">
        <f t="shared" ref="X332:X335" si="179">U332-T332</f>
        <v>#N/A</v>
      </c>
      <c r="Y332" s="447" t="e">
        <f t="shared" ref="Y332:Y335" si="180">V332-U332</f>
        <v>#N/A</v>
      </c>
      <c r="Z332" s="415"/>
      <c r="AA332" s="103"/>
      <c r="AB332" s="103"/>
      <c r="AC332" s="103"/>
      <c r="AD332" s="103"/>
      <c r="AE332" s="103"/>
      <c r="AF332" s="103"/>
      <c r="AG332" s="103"/>
      <c r="AH332" s="103"/>
      <c r="AI332" s="103"/>
      <c r="AJ332" s="103"/>
      <c r="AK332" s="103"/>
      <c r="AL332" s="103"/>
    </row>
    <row r="333" spans="1:38" s="417" customFormat="1" ht="15.75" hidden="1" x14ac:dyDescent="0.25">
      <c r="A333" s="416"/>
      <c r="B333" s="440" t="str">
        <f>'PEM sectors'!A51</f>
        <v>Capital O&amp;M</v>
      </c>
      <c r="C333" s="440" t="str">
        <f>'PEM sectors'!B51</f>
        <v>Crane maintenance</v>
      </c>
      <c r="D333" s="440">
        <f>'PEM sectors'!C51</f>
        <v>811300</v>
      </c>
      <c r="E333" s="440" t="str">
        <f>'PEM sectors'!D51</f>
        <v>Commercial and industrial machinery and equipment repair and maintenance</v>
      </c>
      <c r="F333" s="462">
        <f>'PEM sectors'!R51</f>
        <v>7.1780742459396751E-4</v>
      </c>
      <c r="G333" s="420">
        <f t="shared" si="171"/>
        <v>7.1780742459396751E-4</v>
      </c>
      <c r="H333" s="421" t="e">
        <f>$G333*INDEX(tier_emp_mult, MATCH($D333, tier_emp_code,0), MATCH(State, R_emp, 0))/1000000</f>
        <v>#N/A</v>
      </c>
      <c r="I333" s="422" t="e">
        <f>$G333*INDEX(typeI_emp_mult, MATCH($D333, typeI_emp_code,0), MATCH(State, R_emp, 0))/1000000</f>
        <v>#N/A</v>
      </c>
      <c r="J333" s="422" t="e">
        <f>$G333*INDEX(typeII_emp_mult, MATCH($D333, typeII_emp_code,0), MATCH(State, R_emp, 0))/1000000</f>
        <v>#N/A</v>
      </c>
      <c r="K333" s="423" t="e">
        <f t="shared" si="172"/>
        <v>#N/A</v>
      </c>
      <c r="L333" s="423" t="e">
        <f t="shared" si="173"/>
        <v>#N/A</v>
      </c>
      <c r="M333" s="423" t="e">
        <f t="shared" si="174"/>
        <v>#N/A</v>
      </c>
      <c r="N333" s="422" t="e">
        <f>$G333*INDEX(tier_earn_mult, MATCH($D333, tier_earn_code,0), MATCH(State, R_earn, 0))</f>
        <v>#N/A</v>
      </c>
      <c r="O333" s="422" t="e">
        <f>$G333*INDEX(typeI_earn_mult, MATCH($D333, typeI_earn_code,0), MATCH(State, R_earn, 0))</f>
        <v>#N/A</v>
      </c>
      <c r="P333" s="422" t="e">
        <f>$G333*INDEX(typeII_earn_mult, MATCH($D333, typeII_earn_code,0), MATCH(State, R_earn, 0))</f>
        <v>#N/A</v>
      </c>
      <c r="Q333" s="447" t="e">
        <f t="shared" si="175"/>
        <v>#N/A</v>
      </c>
      <c r="R333" s="447" t="e">
        <f t="shared" si="176"/>
        <v>#N/A</v>
      </c>
      <c r="S333" s="447" t="e">
        <f t="shared" si="177"/>
        <v>#N/A</v>
      </c>
      <c r="T333" s="422" t="e">
        <f>$G333*INDEX(tier_out_mult, MATCH($D333, tier_out_code,0), MATCH(State, R_out, 0))</f>
        <v>#N/A</v>
      </c>
      <c r="U333" s="422" t="e">
        <f>$G333*INDEX(typeI_out_mult, MATCH($D333, typeI_out_code,0), MATCH(State, R_out, 0))</f>
        <v>#N/A</v>
      </c>
      <c r="V333" s="422" t="e">
        <f>$G333*INDEX(typeII_out_mult, MATCH($D333, typeII_out_code,0), MATCH(State, R_out, 0))</f>
        <v>#N/A</v>
      </c>
      <c r="W333" s="447" t="e">
        <f t="shared" si="178"/>
        <v>#N/A</v>
      </c>
      <c r="X333" s="447" t="e">
        <f t="shared" si="179"/>
        <v>#N/A</v>
      </c>
      <c r="Y333" s="447" t="e">
        <f t="shared" si="180"/>
        <v>#N/A</v>
      </c>
      <c r="Z333" s="415"/>
      <c r="AA333" s="103"/>
      <c r="AB333" s="103"/>
      <c r="AC333" s="103"/>
      <c r="AD333" s="103"/>
      <c r="AE333" s="103"/>
      <c r="AF333" s="103"/>
      <c r="AG333" s="103"/>
      <c r="AH333" s="103"/>
      <c r="AI333" s="103"/>
      <c r="AJ333" s="103"/>
      <c r="AK333" s="103"/>
      <c r="AL333" s="103"/>
    </row>
    <row r="334" spans="1:38" s="417" customFormat="1" ht="15.75" hidden="1" x14ac:dyDescent="0.25">
      <c r="A334" s="416"/>
      <c r="B334" s="440" t="str">
        <f>'PEM sectors'!A52</f>
        <v>Capital O&amp;M</v>
      </c>
      <c r="C334" s="440" t="str">
        <f>'PEM sectors'!B52</f>
        <v>Average line O&amp;M</v>
      </c>
      <c r="D334" s="440">
        <f>'PEM sectors'!C52</f>
        <v>811300</v>
      </c>
      <c r="E334" s="440" t="str">
        <f>'PEM sectors'!D52</f>
        <v>Commercial and industrial machinery and equipment repair and maintenance</v>
      </c>
      <c r="F334" s="462">
        <f>'PEM sectors'!R52</f>
        <v>4.4683512180974473E-2</v>
      </c>
      <c r="G334" s="420">
        <f t="shared" si="171"/>
        <v>4.4683512180974473E-2</v>
      </c>
      <c r="H334" s="421" t="e">
        <f>$G334*INDEX(tier_emp_mult, MATCH($D334, tier_emp_code,0), MATCH(State, R_emp, 0))/1000000</f>
        <v>#N/A</v>
      </c>
      <c r="I334" s="422" t="e">
        <f>$G334*INDEX(typeI_emp_mult, MATCH($D334, typeI_emp_code,0), MATCH(State, R_emp, 0))/1000000</f>
        <v>#N/A</v>
      </c>
      <c r="J334" s="422" t="e">
        <f>$G334*INDEX(typeII_emp_mult, MATCH($D334, typeII_emp_code,0), MATCH(State, R_emp, 0))/1000000</f>
        <v>#N/A</v>
      </c>
      <c r="K334" s="423" t="e">
        <f t="shared" si="172"/>
        <v>#N/A</v>
      </c>
      <c r="L334" s="423" t="e">
        <f t="shared" si="173"/>
        <v>#N/A</v>
      </c>
      <c r="M334" s="423" t="e">
        <f t="shared" si="174"/>
        <v>#N/A</v>
      </c>
      <c r="N334" s="422" t="e">
        <f>$G334*INDEX(tier_earn_mult, MATCH($D334, tier_earn_code,0), MATCH(State, R_earn, 0))</f>
        <v>#N/A</v>
      </c>
      <c r="O334" s="422" t="e">
        <f>$G334*INDEX(typeI_earn_mult, MATCH($D334, typeI_earn_code,0), MATCH(State, R_earn, 0))</f>
        <v>#N/A</v>
      </c>
      <c r="P334" s="422" t="e">
        <f>$G334*INDEX(typeII_earn_mult, MATCH($D334, typeII_earn_code,0), MATCH(State, R_earn, 0))</f>
        <v>#N/A</v>
      </c>
      <c r="Q334" s="447" t="e">
        <f t="shared" si="175"/>
        <v>#N/A</v>
      </c>
      <c r="R334" s="447" t="e">
        <f t="shared" si="176"/>
        <v>#N/A</v>
      </c>
      <c r="S334" s="447" t="e">
        <f t="shared" si="177"/>
        <v>#N/A</v>
      </c>
      <c r="T334" s="422" t="e">
        <f>$G334*INDEX(tier_out_mult, MATCH($D334, tier_out_code,0), MATCH(State, R_out, 0))</f>
        <v>#N/A</v>
      </c>
      <c r="U334" s="422" t="e">
        <f>$G334*INDEX(typeI_out_mult, MATCH($D334, typeI_out_code,0), MATCH(State, R_out, 0))</f>
        <v>#N/A</v>
      </c>
      <c r="V334" s="422" t="e">
        <f>$G334*INDEX(typeII_out_mult, MATCH($D334, typeII_out_code,0), MATCH(State, R_out, 0))</f>
        <v>#N/A</v>
      </c>
      <c r="W334" s="447" t="e">
        <f t="shared" si="178"/>
        <v>#N/A</v>
      </c>
      <c r="X334" s="447" t="e">
        <f t="shared" si="179"/>
        <v>#N/A</v>
      </c>
      <c r="Y334" s="447" t="e">
        <f t="shared" si="180"/>
        <v>#N/A</v>
      </c>
      <c r="Z334" s="415"/>
      <c r="AA334" s="103"/>
      <c r="AB334" s="103"/>
      <c r="AC334" s="103"/>
      <c r="AD334" s="103"/>
      <c r="AE334" s="103"/>
      <c r="AF334" s="103"/>
      <c r="AG334" s="103"/>
      <c r="AH334" s="103"/>
      <c r="AI334" s="103"/>
      <c r="AJ334" s="103"/>
      <c r="AK334" s="103"/>
      <c r="AL334" s="103"/>
    </row>
    <row r="335" spans="1:38" s="415" customFormat="1" ht="15.75" hidden="1" x14ac:dyDescent="0.25">
      <c r="A335" s="410"/>
      <c r="D335" s="464"/>
      <c r="E335" s="465" t="s">
        <v>448</v>
      </c>
      <c r="F335" s="466">
        <f>SUM(F331:F334)</f>
        <v>4.5546331206496517E-2</v>
      </c>
      <c r="G335" s="466">
        <f>F335</f>
        <v>4.5546331206496517E-2</v>
      </c>
      <c r="H335" s="421" t="e">
        <f>SUM(H331:H334)</f>
        <v>#N/A</v>
      </c>
      <c r="I335" s="421" t="e">
        <f t="shared" ref="I335:J335" si="181">SUM(I331:I334)</f>
        <v>#N/A</v>
      </c>
      <c r="J335" s="421" t="e">
        <f t="shared" si="181"/>
        <v>#N/A</v>
      </c>
      <c r="K335" s="423" t="e">
        <f t="shared" si="172"/>
        <v>#N/A</v>
      </c>
      <c r="L335" s="423" t="e">
        <f t="shared" si="173"/>
        <v>#N/A</v>
      </c>
      <c r="M335" s="423" t="e">
        <f t="shared" si="174"/>
        <v>#N/A</v>
      </c>
      <c r="N335" s="422" t="e">
        <f>SUM(N331:N334)</f>
        <v>#N/A</v>
      </c>
      <c r="O335" s="422" t="e">
        <f t="shared" ref="O335" si="182">SUM(O331:O334)</f>
        <v>#N/A</v>
      </c>
      <c r="P335" s="422" t="e">
        <f t="shared" ref="P335" si="183">SUM(P331:P334)</f>
        <v>#N/A</v>
      </c>
      <c r="Q335" s="447" t="e">
        <f t="shared" si="175"/>
        <v>#N/A</v>
      </c>
      <c r="R335" s="447" t="e">
        <f t="shared" si="176"/>
        <v>#N/A</v>
      </c>
      <c r="S335" s="447" t="e">
        <f t="shared" si="177"/>
        <v>#N/A</v>
      </c>
      <c r="T335" s="421" t="e">
        <f>SUM(T331:T334)</f>
        <v>#N/A</v>
      </c>
      <c r="U335" s="421" t="e">
        <f t="shared" ref="U335" si="184">SUM(U331:U334)</f>
        <v>#N/A</v>
      </c>
      <c r="V335" s="421" t="e">
        <f t="shared" ref="V335" si="185">SUM(V331:V334)</f>
        <v>#N/A</v>
      </c>
      <c r="W335" s="447" t="e">
        <f t="shared" si="178"/>
        <v>#N/A</v>
      </c>
      <c r="X335" s="447" t="e">
        <f t="shared" si="179"/>
        <v>#N/A</v>
      </c>
      <c r="Y335" s="447" t="e">
        <f t="shared" si="180"/>
        <v>#N/A</v>
      </c>
      <c r="AA335" s="103"/>
      <c r="AB335" s="103"/>
      <c r="AC335" s="103"/>
      <c r="AD335" s="103"/>
      <c r="AE335" s="103"/>
      <c r="AF335" s="103"/>
      <c r="AG335" s="103"/>
      <c r="AH335" s="103"/>
      <c r="AI335" s="103"/>
      <c r="AJ335" s="103"/>
      <c r="AK335" s="103"/>
      <c r="AL335" s="103"/>
    </row>
    <row r="336" spans="1:38" s="415" customFormat="1" ht="15.75" hidden="1" x14ac:dyDescent="0.25">
      <c r="A336" s="410"/>
      <c r="D336" s="451"/>
      <c r="E336" s="417"/>
      <c r="N336" s="447"/>
      <c r="O336" s="447"/>
      <c r="P336" s="447"/>
      <c r="Q336" s="447"/>
      <c r="R336" s="447"/>
      <c r="S336" s="447"/>
      <c r="T336" s="447"/>
      <c r="U336" s="447"/>
      <c r="V336" s="447"/>
      <c r="W336" s="447"/>
      <c r="X336" s="447"/>
      <c r="Y336" s="447"/>
      <c r="AA336" s="103"/>
      <c r="AB336" s="103"/>
      <c r="AC336" s="103"/>
      <c r="AD336" s="103"/>
      <c r="AE336" s="103"/>
      <c r="AF336" s="103"/>
      <c r="AG336" s="103"/>
      <c r="AH336" s="103"/>
      <c r="AI336" s="103"/>
      <c r="AJ336" s="103"/>
      <c r="AK336" s="103"/>
      <c r="AL336" s="103"/>
    </row>
    <row r="337" spans="1:38" s="415" customFormat="1" ht="15.75" hidden="1" x14ac:dyDescent="0.25">
      <c r="A337" s="410"/>
      <c r="D337" s="433"/>
      <c r="E337" s="417">
        <f t="shared" ref="E337:E342" si="186">E322</f>
        <v>2015</v>
      </c>
      <c r="F337" s="467">
        <f>F$335*TotalProdCosts_2015</f>
        <v>0</v>
      </c>
      <c r="G337" s="467">
        <f t="shared" ref="G337:J342" si="187">G$335*$G597</f>
        <v>0</v>
      </c>
      <c r="H337" s="463" t="e">
        <f t="shared" si="187"/>
        <v>#N/A</v>
      </c>
      <c r="I337" s="463" t="e">
        <f t="shared" si="187"/>
        <v>#N/A</v>
      </c>
      <c r="J337" s="463" t="e">
        <f t="shared" si="187"/>
        <v>#N/A</v>
      </c>
      <c r="K337" s="423" t="e">
        <f t="shared" ref="K337:K342" si="188">H337</f>
        <v>#N/A</v>
      </c>
      <c r="L337" s="423" t="e">
        <f t="shared" ref="L337:L342" si="189">I337-H337</f>
        <v>#N/A</v>
      </c>
      <c r="M337" s="423" t="e">
        <f t="shared" ref="M337:M342" si="190">J337-I337</f>
        <v>#N/A</v>
      </c>
      <c r="N337" s="447" t="e">
        <f t="shared" ref="N337:P342" si="191">N$335*$G597</f>
        <v>#N/A</v>
      </c>
      <c r="O337" s="447" t="e">
        <f t="shared" si="191"/>
        <v>#N/A</v>
      </c>
      <c r="P337" s="447" t="e">
        <f t="shared" si="191"/>
        <v>#N/A</v>
      </c>
      <c r="Q337" s="447" t="e">
        <f>N337</f>
        <v>#N/A</v>
      </c>
      <c r="R337" s="447" t="e">
        <f>O337-N337</f>
        <v>#N/A</v>
      </c>
      <c r="S337" s="447" t="e">
        <f>P337-O337</f>
        <v>#N/A</v>
      </c>
      <c r="T337" s="447" t="e">
        <f t="shared" ref="T337:V342" si="192">T$335*$G597</f>
        <v>#N/A</v>
      </c>
      <c r="U337" s="447" t="e">
        <f t="shared" si="192"/>
        <v>#N/A</v>
      </c>
      <c r="V337" s="447" t="e">
        <f t="shared" si="192"/>
        <v>#N/A</v>
      </c>
      <c r="W337" s="447" t="e">
        <f>T337</f>
        <v>#N/A</v>
      </c>
      <c r="X337" s="447" t="e">
        <f>U337-T337</f>
        <v>#N/A</v>
      </c>
      <c r="Y337" s="447" t="e">
        <f>V337-U337</f>
        <v>#N/A</v>
      </c>
      <c r="AA337" s="103"/>
      <c r="AB337" s="103"/>
      <c r="AC337" s="103"/>
      <c r="AD337" s="103"/>
      <c r="AE337" s="103"/>
      <c r="AF337" s="103"/>
      <c r="AG337" s="103"/>
      <c r="AH337" s="103"/>
      <c r="AI337" s="103"/>
      <c r="AJ337" s="103"/>
      <c r="AK337" s="103"/>
      <c r="AL337" s="103"/>
    </row>
    <row r="338" spans="1:38" s="415" customFormat="1" ht="15.75" hidden="1" x14ac:dyDescent="0.25">
      <c r="A338" s="410"/>
      <c r="D338" s="433"/>
      <c r="E338" s="417">
        <f t="shared" si="186"/>
        <v>2016</v>
      </c>
      <c r="F338" s="467">
        <f>F$335*TotalProdCosts_2016</f>
        <v>0</v>
      </c>
      <c r="G338" s="467">
        <f t="shared" si="187"/>
        <v>0</v>
      </c>
      <c r="H338" s="463" t="e">
        <f t="shared" si="187"/>
        <v>#N/A</v>
      </c>
      <c r="I338" s="463" t="e">
        <f t="shared" si="187"/>
        <v>#N/A</v>
      </c>
      <c r="J338" s="463" t="e">
        <f t="shared" si="187"/>
        <v>#N/A</v>
      </c>
      <c r="K338" s="423" t="e">
        <f t="shared" si="188"/>
        <v>#N/A</v>
      </c>
      <c r="L338" s="423" t="e">
        <f t="shared" si="189"/>
        <v>#N/A</v>
      </c>
      <c r="M338" s="423" t="e">
        <f t="shared" si="190"/>
        <v>#N/A</v>
      </c>
      <c r="N338" s="447" t="e">
        <f t="shared" si="191"/>
        <v>#N/A</v>
      </c>
      <c r="O338" s="447" t="e">
        <f t="shared" si="191"/>
        <v>#N/A</v>
      </c>
      <c r="P338" s="447" t="e">
        <f t="shared" si="191"/>
        <v>#N/A</v>
      </c>
      <c r="Q338" s="447" t="e">
        <f t="shared" ref="Q338:Q342" si="193">N338</f>
        <v>#N/A</v>
      </c>
      <c r="R338" s="447" t="e">
        <f t="shared" ref="R338:R342" si="194">O338-N338</f>
        <v>#N/A</v>
      </c>
      <c r="S338" s="447" t="e">
        <f t="shared" ref="S338:S342" si="195">P338-O338</f>
        <v>#N/A</v>
      </c>
      <c r="T338" s="447" t="e">
        <f t="shared" si="192"/>
        <v>#N/A</v>
      </c>
      <c r="U338" s="447" t="e">
        <f t="shared" si="192"/>
        <v>#N/A</v>
      </c>
      <c r="V338" s="447" t="e">
        <f t="shared" si="192"/>
        <v>#N/A</v>
      </c>
      <c r="W338" s="447" t="e">
        <f t="shared" ref="W338:W342" si="196">T338</f>
        <v>#N/A</v>
      </c>
      <c r="X338" s="447" t="e">
        <f t="shared" ref="X338:X342" si="197">U338-T338</f>
        <v>#N/A</v>
      </c>
      <c r="Y338" s="447" t="e">
        <f t="shared" ref="Y338:Y342" si="198">V338-U338</f>
        <v>#N/A</v>
      </c>
      <c r="AA338" s="103"/>
      <c r="AB338" s="103"/>
      <c r="AC338" s="103"/>
      <c r="AD338" s="103"/>
      <c r="AE338" s="103"/>
      <c r="AF338" s="103"/>
      <c r="AG338" s="103"/>
      <c r="AH338" s="103"/>
      <c r="AI338" s="103"/>
      <c r="AJ338" s="103"/>
      <c r="AK338" s="103"/>
      <c r="AL338" s="103"/>
    </row>
    <row r="339" spans="1:38" s="415" customFormat="1" ht="15.75" hidden="1" x14ac:dyDescent="0.25">
      <c r="A339" s="410"/>
      <c r="D339" s="433"/>
      <c r="E339" s="417">
        <f t="shared" si="186"/>
        <v>2017</v>
      </c>
      <c r="F339" s="467">
        <f>F$335*TotalProdCosts_2017</f>
        <v>0</v>
      </c>
      <c r="G339" s="467">
        <f t="shared" si="187"/>
        <v>0</v>
      </c>
      <c r="H339" s="463" t="e">
        <f t="shared" si="187"/>
        <v>#N/A</v>
      </c>
      <c r="I339" s="463" t="e">
        <f t="shared" si="187"/>
        <v>#N/A</v>
      </c>
      <c r="J339" s="463" t="e">
        <f t="shared" si="187"/>
        <v>#N/A</v>
      </c>
      <c r="K339" s="423" t="e">
        <f t="shared" si="188"/>
        <v>#N/A</v>
      </c>
      <c r="L339" s="423" t="e">
        <f t="shared" si="189"/>
        <v>#N/A</v>
      </c>
      <c r="M339" s="423" t="e">
        <f t="shared" si="190"/>
        <v>#N/A</v>
      </c>
      <c r="N339" s="447" t="e">
        <f t="shared" si="191"/>
        <v>#N/A</v>
      </c>
      <c r="O339" s="447" t="e">
        <f t="shared" si="191"/>
        <v>#N/A</v>
      </c>
      <c r="P339" s="447" t="e">
        <f t="shared" si="191"/>
        <v>#N/A</v>
      </c>
      <c r="Q339" s="447" t="e">
        <f t="shared" si="193"/>
        <v>#N/A</v>
      </c>
      <c r="R339" s="447" t="e">
        <f t="shared" si="194"/>
        <v>#N/A</v>
      </c>
      <c r="S339" s="447" t="e">
        <f t="shared" si="195"/>
        <v>#N/A</v>
      </c>
      <c r="T339" s="447" t="e">
        <f t="shared" si="192"/>
        <v>#N/A</v>
      </c>
      <c r="U339" s="447" t="e">
        <f t="shared" si="192"/>
        <v>#N/A</v>
      </c>
      <c r="V339" s="447" t="e">
        <f t="shared" si="192"/>
        <v>#N/A</v>
      </c>
      <c r="W339" s="447" t="e">
        <f t="shared" si="196"/>
        <v>#N/A</v>
      </c>
      <c r="X339" s="447" t="e">
        <f t="shared" si="197"/>
        <v>#N/A</v>
      </c>
      <c r="Y339" s="447" t="e">
        <f t="shared" si="198"/>
        <v>#N/A</v>
      </c>
      <c r="AA339" s="103"/>
      <c r="AB339" s="103"/>
      <c r="AC339" s="103"/>
      <c r="AD339" s="103"/>
      <c r="AE339" s="103"/>
      <c r="AF339" s="103"/>
      <c r="AG339" s="103"/>
      <c r="AH339" s="103"/>
      <c r="AI339" s="103"/>
      <c r="AJ339" s="103"/>
      <c r="AK339" s="103"/>
      <c r="AL339" s="103"/>
    </row>
    <row r="340" spans="1:38" s="415" customFormat="1" ht="15.75" hidden="1" x14ac:dyDescent="0.25">
      <c r="A340" s="410"/>
      <c r="D340" s="433"/>
      <c r="E340" s="417">
        <f t="shared" si="186"/>
        <v>2018</v>
      </c>
      <c r="F340" s="467">
        <f>F$335*TotalProdCosts_2018</f>
        <v>0</v>
      </c>
      <c r="G340" s="467">
        <f t="shared" si="187"/>
        <v>0</v>
      </c>
      <c r="H340" s="463" t="e">
        <f t="shared" si="187"/>
        <v>#N/A</v>
      </c>
      <c r="I340" s="463" t="e">
        <f t="shared" si="187"/>
        <v>#N/A</v>
      </c>
      <c r="J340" s="463" t="e">
        <f t="shared" si="187"/>
        <v>#N/A</v>
      </c>
      <c r="K340" s="423" t="e">
        <f t="shared" si="188"/>
        <v>#N/A</v>
      </c>
      <c r="L340" s="423" t="e">
        <f t="shared" si="189"/>
        <v>#N/A</v>
      </c>
      <c r="M340" s="423" t="e">
        <f t="shared" si="190"/>
        <v>#N/A</v>
      </c>
      <c r="N340" s="447" t="e">
        <f t="shared" si="191"/>
        <v>#N/A</v>
      </c>
      <c r="O340" s="447" t="e">
        <f t="shared" si="191"/>
        <v>#N/A</v>
      </c>
      <c r="P340" s="447" t="e">
        <f t="shared" si="191"/>
        <v>#N/A</v>
      </c>
      <c r="Q340" s="447" t="e">
        <f t="shared" si="193"/>
        <v>#N/A</v>
      </c>
      <c r="R340" s="447" t="e">
        <f t="shared" si="194"/>
        <v>#N/A</v>
      </c>
      <c r="S340" s="447" t="e">
        <f t="shared" si="195"/>
        <v>#N/A</v>
      </c>
      <c r="T340" s="447" t="e">
        <f t="shared" si="192"/>
        <v>#N/A</v>
      </c>
      <c r="U340" s="447" t="e">
        <f t="shared" si="192"/>
        <v>#N/A</v>
      </c>
      <c r="V340" s="447" t="e">
        <f t="shared" si="192"/>
        <v>#N/A</v>
      </c>
      <c r="W340" s="447" t="e">
        <f t="shared" si="196"/>
        <v>#N/A</v>
      </c>
      <c r="X340" s="447" t="e">
        <f t="shared" si="197"/>
        <v>#N/A</v>
      </c>
      <c r="Y340" s="447" t="e">
        <f t="shared" si="198"/>
        <v>#N/A</v>
      </c>
      <c r="AA340" s="103"/>
      <c r="AB340" s="103"/>
      <c r="AC340" s="103"/>
      <c r="AD340" s="103"/>
      <c r="AE340" s="103"/>
      <c r="AF340" s="103"/>
      <c r="AG340" s="103"/>
      <c r="AH340" s="103"/>
      <c r="AI340" s="103"/>
      <c r="AJ340" s="103"/>
      <c r="AK340" s="103"/>
      <c r="AL340" s="103"/>
    </row>
    <row r="341" spans="1:38" s="415" customFormat="1" ht="15.75" hidden="1" x14ac:dyDescent="0.25">
      <c r="A341" s="410"/>
      <c r="D341" s="433"/>
      <c r="E341" s="417">
        <f t="shared" si="186"/>
        <v>2019</v>
      </c>
      <c r="F341" s="467">
        <f>F$335*TotalProdCosts_2019</f>
        <v>0</v>
      </c>
      <c r="G341" s="467">
        <f t="shared" si="187"/>
        <v>0</v>
      </c>
      <c r="H341" s="463" t="e">
        <f t="shared" si="187"/>
        <v>#N/A</v>
      </c>
      <c r="I341" s="463" t="e">
        <f t="shared" si="187"/>
        <v>#N/A</v>
      </c>
      <c r="J341" s="463" t="e">
        <f t="shared" si="187"/>
        <v>#N/A</v>
      </c>
      <c r="K341" s="423" t="e">
        <f t="shared" si="188"/>
        <v>#N/A</v>
      </c>
      <c r="L341" s="423" t="e">
        <f t="shared" si="189"/>
        <v>#N/A</v>
      </c>
      <c r="M341" s="423" t="e">
        <f t="shared" si="190"/>
        <v>#N/A</v>
      </c>
      <c r="N341" s="447" t="e">
        <f t="shared" si="191"/>
        <v>#N/A</v>
      </c>
      <c r="O341" s="447" t="e">
        <f t="shared" si="191"/>
        <v>#N/A</v>
      </c>
      <c r="P341" s="447" t="e">
        <f t="shared" si="191"/>
        <v>#N/A</v>
      </c>
      <c r="Q341" s="447" t="e">
        <f t="shared" si="193"/>
        <v>#N/A</v>
      </c>
      <c r="R341" s="447" t="e">
        <f t="shared" si="194"/>
        <v>#N/A</v>
      </c>
      <c r="S341" s="447" t="e">
        <f t="shared" si="195"/>
        <v>#N/A</v>
      </c>
      <c r="T341" s="447" t="e">
        <f t="shared" si="192"/>
        <v>#N/A</v>
      </c>
      <c r="U341" s="447" t="e">
        <f t="shared" si="192"/>
        <v>#N/A</v>
      </c>
      <c r="V341" s="447" t="e">
        <f t="shared" si="192"/>
        <v>#N/A</v>
      </c>
      <c r="W341" s="447" t="e">
        <f t="shared" si="196"/>
        <v>#N/A</v>
      </c>
      <c r="X341" s="447" t="e">
        <f t="shared" si="197"/>
        <v>#N/A</v>
      </c>
      <c r="Y341" s="447" t="e">
        <f t="shared" si="198"/>
        <v>#N/A</v>
      </c>
      <c r="AA341" s="103"/>
      <c r="AB341" s="103"/>
      <c r="AC341" s="103"/>
      <c r="AD341" s="103"/>
      <c r="AE341" s="103"/>
      <c r="AF341" s="103"/>
      <c r="AG341" s="103"/>
      <c r="AH341" s="103"/>
      <c r="AI341" s="103"/>
      <c r="AJ341" s="103"/>
      <c r="AK341" s="103"/>
      <c r="AL341" s="103"/>
    </row>
    <row r="342" spans="1:38" s="415" customFormat="1" ht="15.75" hidden="1" x14ac:dyDescent="0.25">
      <c r="A342" s="410"/>
      <c r="D342" s="433"/>
      <c r="E342" s="417">
        <f t="shared" si="186"/>
        <v>2020</v>
      </c>
      <c r="F342" s="467">
        <f>F$335*TotalProdCosts_2020</f>
        <v>0</v>
      </c>
      <c r="G342" s="467">
        <f t="shared" si="187"/>
        <v>0</v>
      </c>
      <c r="H342" s="463" t="e">
        <f t="shared" si="187"/>
        <v>#N/A</v>
      </c>
      <c r="I342" s="463" t="e">
        <f t="shared" si="187"/>
        <v>#N/A</v>
      </c>
      <c r="J342" s="463" t="e">
        <f t="shared" si="187"/>
        <v>#N/A</v>
      </c>
      <c r="K342" s="423" t="e">
        <f t="shared" si="188"/>
        <v>#N/A</v>
      </c>
      <c r="L342" s="423" t="e">
        <f t="shared" si="189"/>
        <v>#N/A</v>
      </c>
      <c r="M342" s="423" t="e">
        <f t="shared" si="190"/>
        <v>#N/A</v>
      </c>
      <c r="N342" s="447" t="e">
        <f t="shared" si="191"/>
        <v>#N/A</v>
      </c>
      <c r="O342" s="447" t="e">
        <f t="shared" si="191"/>
        <v>#N/A</v>
      </c>
      <c r="P342" s="447" t="e">
        <f t="shared" si="191"/>
        <v>#N/A</v>
      </c>
      <c r="Q342" s="447" t="e">
        <f t="shared" si="193"/>
        <v>#N/A</v>
      </c>
      <c r="R342" s="447" t="e">
        <f t="shared" si="194"/>
        <v>#N/A</v>
      </c>
      <c r="S342" s="447" t="e">
        <f t="shared" si="195"/>
        <v>#N/A</v>
      </c>
      <c r="T342" s="447" t="e">
        <f t="shared" si="192"/>
        <v>#N/A</v>
      </c>
      <c r="U342" s="447" t="e">
        <f t="shared" si="192"/>
        <v>#N/A</v>
      </c>
      <c r="V342" s="447" t="e">
        <f t="shared" si="192"/>
        <v>#N/A</v>
      </c>
      <c r="W342" s="447" t="e">
        <f t="shared" si="196"/>
        <v>#N/A</v>
      </c>
      <c r="X342" s="447" t="e">
        <f t="shared" si="197"/>
        <v>#N/A</v>
      </c>
      <c r="Y342" s="447" t="e">
        <f t="shared" si="198"/>
        <v>#N/A</v>
      </c>
      <c r="AA342" s="103"/>
      <c r="AB342" s="103"/>
      <c r="AC342" s="103"/>
      <c r="AD342" s="103"/>
      <c r="AE342" s="103"/>
      <c r="AF342" s="103"/>
      <c r="AG342" s="103"/>
      <c r="AH342" s="103"/>
      <c r="AI342" s="103"/>
      <c r="AJ342" s="103"/>
      <c r="AK342" s="103"/>
      <c r="AL342" s="103"/>
    </row>
    <row r="343" spans="1:38" s="415" customFormat="1" ht="15.75" hidden="1" x14ac:dyDescent="0.25">
      <c r="A343" s="410"/>
      <c r="D343" s="433"/>
      <c r="E343" s="417"/>
      <c r="N343" s="447"/>
      <c r="O343" s="447"/>
      <c r="P343" s="447"/>
      <c r="Q343" s="447"/>
      <c r="R343" s="447"/>
      <c r="S343" s="447"/>
      <c r="T343" s="447"/>
      <c r="U343" s="447"/>
      <c r="V343" s="447"/>
      <c r="W343" s="447"/>
      <c r="X343" s="447"/>
      <c r="Y343" s="447"/>
      <c r="AA343" s="103"/>
      <c r="AB343" s="103"/>
      <c r="AC343" s="103"/>
      <c r="AD343" s="103"/>
      <c r="AE343" s="103"/>
      <c r="AF343" s="103"/>
      <c r="AG343" s="103"/>
      <c r="AH343" s="103"/>
      <c r="AI343" s="103"/>
      <c r="AJ343" s="103"/>
      <c r="AK343" s="103"/>
      <c r="AL343" s="103"/>
    </row>
    <row r="344" spans="1:38" s="415" customFormat="1" ht="15.75" hidden="1" x14ac:dyDescent="0.25">
      <c r="A344" s="410"/>
      <c r="N344" s="447"/>
      <c r="O344" s="447"/>
      <c r="P344" s="447"/>
      <c r="Q344" s="447"/>
      <c r="R344" s="447"/>
      <c r="S344" s="447"/>
      <c r="T344" s="447"/>
      <c r="U344" s="447"/>
      <c r="V344" s="447"/>
      <c r="W344" s="447"/>
      <c r="X344" s="447"/>
      <c r="Y344" s="447"/>
      <c r="AA344" s="103"/>
      <c r="AB344" s="103"/>
      <c r="AC344" s="103"/>
      <c r="AD344" s="103"/>
      <c r="AE344" s="103"/>
      <c r="AF344" s="103"/>
      <c r="AG344" s="103"/>
      <c r="AH344" s="103"/>
      <c r="AI344" s="103"/>
      <c r="AJ344" s="103"/>
      <c r="AK344" s="103"/>
      <c r="AL344" s="103"/>
    </row>
    <row r="345" spans="1:38" s="415" customFormat="1" ht="15.75" hidden="1" x14ac:dyDescent="0.25">
      <c r="A345" s="410"/>
      <c r="B345" s="1189" t="s">
        <v>1519</v>
      </c>
      <c r="C345" s="1188"/>
      <c r="D345" s="1139" t="s">
        <v>1481</v>
      </c>
      <c r="N345" s="447"/>
      <c r="O345" s="447"/>
      <c r="P345" s="447"/>
      <c r="Q345" s="447"/>
      <c r="R345" s="447"/>
      <c r="S345" s="447"/>
      <c r="T345" s="447"/>
      <c r="U345" s="447"/>
      <c r="V345" s="447"/>
      <c r="W345" s="447"/>
      <c r="X345" s="447"/>
      <c r="Y345" s="447"/>
      <c r="AA345" s="103"/>
      <c r="AB345" s="103"/>
      <c r="AC345" s="103"/>
      <c r="AD345" s="103"/>
      <c r="AE345" s="103"/>
      <c r="AF345" s="103"/>
      <c r="AG345" s="103"/>
      <c r="AH345" s="103"/>
      <c r="AI345" s="103"/>
      <c r="AJ345" s="103"/>
      <c r="AK345" s="103"/>
      <c r="AL345" s="103"/>
    </row>
    <row r="346" spans="1:38" s="417" customFormat="1" ht="15.75" hidden="1" x14ac:dyDescent="0.25">
      <c r="A346" s="416"/>
      <c r="D346" s="451" t="s">
        <v>412</v>
      </c>
      <c r="E346" s="417" t="s">
        <v>10</v>
      </c>
      <c r="F346" s="417" t="s">
        <v>428</v>
      </c>
      <c r="G346" s="419" t="str">
        <f>G$212</f>
        <v>Cost in 2008 dollars</v>
      </c>
      <c r="H346" s="417" t="s">
        <v>583</v>
      </c>
      <c r="I346" s="417" t="s">
        <v>584</v>
      </c>
      <c r="J346" s="417" t="s">
        <v>585</v>
      </c>
      <c r="K346" s="417" t="s">
        <v>586</v>
      </c>
      <c r="L346" s="417" t="s">
        <v>413</v>
      </c>
      <c r="M346" s="417" t="s">
        <v>414</v>
      </c>
      <c r="N346" s="426" t="s">
        <v>592</v>
      </c>
      <c r="O346" s="426" t="s">
        <v>587</v>
      </c>
      <c r="P346" s="426" t="s">
        <v>588</v>
      </c>
      <c r="Q346" s="426" t="s">
        <v>589</v>
      </c>
      <c r="R346" s="426" t="s">
        <v>590</v>
      </c>
      <c r="S346" s="426" t="s">
        <v>591</v>
      </c>
      <c r="T346" s="426" t="s">
        <v>593</v>
      </c>
      <c r="U346" s="426" t="s">
        <v>594</v>
      </c>
      <c r="V346" s="426" t="s">
        <v>595</v>
      </c>
      <c r="W346" s="426" t="s">
        <v>596</v>
      </c>
      <c r="X346" s="426" t="s">
        <v>597</v>
      </c>
      <c r="Y346" s="426" t="s">
        <v>598</v>
      </c>
      <c r="Z346" s="415"/>
      <c r="AA346" s="103"/>
      <c r="AB346" s="103"/>
      <c r="AC346" s="103"/>
      <c r="AD346" s="103"/>
      <c r="AE346" s="103"/>
      <c r="AF346" s="103"/>
      <c r="AG346" s="103"/>
      <c r="AH346" s="103"/>
      <c r="AI346" s="103"/>
      <c r="AJ346" s="103"/>
      <c r="AK346" s="103"/>
      <c r="AL346" s="103"/>
    </row>
    <row r="347" spans="1:38" s="415" customFormat="1" ht="15.75" hidden="1" x14ac:dyDescent="0.25">
      <c r="A347" s="410"/>
      <c r="B347" s="415" t="str">
        <f>'PEM sectors'!A53</f>
        <v>Capital O&amp;M</v>
      </c>
      <c r="C347" s="415" t="str">
        <f>'PEM sectors'!B53</f>
        <v>Insurance &amp; property tax</v>
      </c>
      <c r="D347" s="468">
        <f>'PEM sectors'!C53</f>
        <v>524100</v>
      </c>
      <c r="E347" s="415" t="str">
        <f>'PEM sectors'!D53</f>
        <v>Insurance carriers</v>
      </c>
      <c r="F347" s="466">
        <f>'PEM sectors'!R53</f>
        <v>1.7953607888631092E-2</v>
      </c>
      <c r="G347" s="466">
        <f t="shared" ref="G347:G348" si="199">F347</f>
        <v>1.7953607888631092E-2</v>
      </c>
      <c r="H347" s="421" t="e">
        <f>$G347*INDEX(tier_emp_mult, MATCH($D347, tier_emp_code,0), MATCH(State, R_emp, 0))/1000000</f>
        <v>#N/A</v>
      </c>
      <c r="I347" s="422" t="e">
        <f>$G347*INDEX(typeI_emp_mult, MATCH($D347, typeI_emp_code,0), MATCH(State, R_emp, 0))/1000000</f>
        <v>#N/A</v>
      </c>
      <c r="J347" s="422" t="e">
        <f>$G347*INDEX(typeII_emp_mult, MATCH($D347, typeII_emp_code,0), MATCH(State, R_emp, 0))/1000000</f>
        <v>#N/A</v>
      </c>
      <c r="K347" s="423" t="e">
        <f t="shared" ref="K347:K349" si="200">H347</f>
        <v>#N/A</v>
      </c>
      <c r="L347" s="423" t="e">
        <f t="shared" ref="L347:L349" si="201">I347-H347</f>
        <v>#N/A</v>
      </c>
      <c r="M347" s="423" t="e">
        <f t="shared" ref="M347:M349" si="202">J347-I347</f>
        <v>#N/A</v>
      </c>
      <c r="N347" s="422" t="e">
        <f>$G347*INDEX(tier_earn_mult, MATCH($D347, tier_earn_code,0), MATCH(State, R_earn, 0))</f>
        <v>#N/A</v>
      </c>
      <c r="O347" s="422" t="e">
        <f>$G347*INDEX(typeI_earn_mult, MATCH($D347, typeI_earn_code,0), MATCH(State, R_earn, 0))</f>
        <v>#N/A</v>
      </c>
      <c r="P347" s="422" t="e">
        <f>$G347*INDEX(typeII_earn_mult, MATCH($D347, typeII_earn_code,0), MATCH(State, R_earn, 0))</f>
        <v>#N/A</v>
      </c>
      <c r="Q347" s="447" t="e">
        <f t="shared" ref="Q347:Q348" si="203">N347</f>
        <v>#N/A</v>
      </c>
      <c r="R347" s="447" t="e">
        <f t="shared" ref="R347:R348" si="204">O347-N347</f>
        <v>#N/A</v>
      </c>
      <c r="S347" s="447" t="e">
        <f t="shared" ref="S347:S348" si="205">P347-O347</f>
        <v>#N/A</v>
      </c>
      <c r="T347" s="422" t="e">
        <f>$G347*INDEX(tier_out_mult, MATCH($D347, tier_out_code,0), MATCH(State, R_out, 0))</f>
        <v>#N/A</v>
      </c>
      <c r="U347" s="422" t="e">
        <f>$G347*INDEX(typeI_out_mult, MATCH($D347, typeI_out_code,0), MATCH(State, R_out, 0))</f>
        <v>#N/A</v>
      </c>
      <c r="V347" s="422" t="e">
        <f>$G347*INDEX(typeII_out_mult, MATCH($D347, typeII_out_code,0), MATCH(State, R_out, 0))</f>
        <v>#N/A</v>
      </c>
      <c r="W347" s="447" t="e">
        <f t="shared" ref="W347:W348" si="206">T347</f>
        <v>#N/A</v>
      </c>
      <c r="X347" s="447" t="e">
        <f t="shared" ref="X347:X348" si="207">U347-T347</f>
        <v>#N/A</v>
      </c>
      <c r="Y347" s="447" t="e">
        <f t="shared" ref="Y347:Y348" si="208">V347-U347</f>
        <v>#N/A</v>
      </c>
      <c r="AA347" s="103"/>
      <c r="AB347" s="103"/>
      <c r="AC347" s="103"/>
      <c r="AD347" s="103"/>
      <c r="AE347" s="103"/>
      <c r="AF347" s="103"/>
      <c r="AG347" s="103"/>
      <c r="AH347" s="103"/>
      <c r="AI347" s="103"/>
      <c r="AJ347" s="103"/>
      <c r="AK347" s="103"/>
      <c r="AL347" s="103"/>
    </row>
    <row r="348" spans="1:38" s="415" customFormat="1" ht="15.75" hidden="1" x14ac:dyDescent="0.25">
      <c r="A348" s="410"/>
      <c r="B348" s="415" t="str">
        <f>'PEM sectors'!A55</f>
        <v>Capital (amt)</v>
      </c>
      <c r="C348" s="415" t="str">
        <f>'PEM sectors'!B55</f>
        <v>Amortized capital</v>
      </c>
      <c r="D348" s="468" t="str">
        <f>'PEM sectors'!C55</f>
        <v>52A000</v>
      </c>
      <c r="E348" s="415" t="str">
        <f>'PEM sectors'!D55</f>
        <v>Monetary authorities and depository credit intermediation</v>
      </c>
      <c r="F348" s="466">
        <f>'PEM sectors'!R55</f>
        <v>1.4806325406032484E-2</v>
      </c>
      <c r="G348" s="466">
        <f t="shared" si="199"/>
        <v>1.4806325406032484E-2</v>
      </c>
      <c r="H348" s="421" t="e">
        <f>$G348*INDEX(tier_emp_mult, MATCH($D348, tier_emp_code,0), MATCH(State, R_emp, 0))/1000000</f>
        <v>#N/A</v>
      </c>
      <c r="I348" s="422" t="e">
        <f>$G348*INDEX(typeI_emp_mult, MATCH($D348, typeI_emp_code,0), MATCH(State, R_emp, 0))/1000000</f>
        <v>#N/A</v>
      </c>
      <c r="J348" s="422" t="e">
        <f>$G348*INDEX(typeII_emp_mult, MATCH($D348, typeII_emp_code,0), MATCH(State, R_emp, 0))/1000000</f>
        <v>#N/A</v>
      </c>
      <c r="K348" s="423" t="e">
        <f t="shared" si="200"/>
        <v>#N/A</v>
      </c>
      <c r="L348" s="423" t="e">
        <f t="shared" si="201"/>
        <v>#N/A</v>
      </c>
      <c r="M348" s="423" t="e">
        <f t="shared" si="202"/>
        <v>#N/A</v>
      </c>
      <c r="N348" s="422" t="e">
        <f>$G348*INDEX(tier_earn_mult, MATCH($D348, tier_earn_code,0), MATCH(State, R_earn, 0))</f>
        <v>#N/A</v>
      </c>
      <c r="O348" s="422" t="e">
        <f>$G348*INDEX(typeI_earn_mult, MATCH($D348, typeI_earn_code,0), MATCH(State, R_earn, 0))</f>
        <v>#N/A</v>
      </c>
      <c r="P348" s="422" t="e">
        <f>$G348*INDEX(typeII_earn_mult, MATCH($D348, typeII_earn_code,0), MATCH(State, R_earn, 0))</f>
        <v>#N/A</v>
      </c>
      <c r="Q348" s="447" t="e">
        <f t="shared" si="203"/>
        <v>#N/A</v>
      </c>
      <c r="R348" s="447" t="e">
        <f t="shared" si="204"/>
        <v>#N/A</v>
      </c>
      <c r="S348" s="447" t="e">
        <f t="shared" si="205"/>
        <v>#N/A</v>
      </c>
      <c r="T348" s="422" t="e">
        <f>$G348*INDEX(tier_out_mult, MATCH($D348, tier_out_code,0), MATCH(State, R_out, 0))</f>
        <v>#N/A</v>
      </c>
      <c r="U348" s="422" t="e">
        <f>$G348*INDEX(typeI_out_mult, MATCH($D348, typeI_out_code,0), MATCH(State, R_out, 0))</f>
        <v>#N/A</v>
      </c>
      <c r="V348" s="422" t="e">
        <f>$G348*INDEX(typeII_out_mult, MATCH($D348, typeII_out_code,0), MATCH(State, R_out, 0))</f>
        <v>#N/A</v>
      </c>
      <c r="W348" s="447" t="e">
        <f t="shared" si="206"/>
        <v>#N/A</v>
      </c>
      <c r="X348" s="447" t="e">
        <f t="shared" si="207"/>
        <v>#N/A</v>
      </c>
      <c r="Y348" s="447" t="e">
        <f t="shared" si="208"/>
        <v>#N/A</v>
      </c>
      <c r="AA348" s="103"/>
      <c r="AB348" s="103"/>
      <c r="AC348" s="103"/>
      <c r="AD348" s="103"/>
      <c r="AE348" s="103"/>
      <c r="AF348" s="103"/>
      <c r="AG348" s="103"/>
      <c r="AH348" s="103"/>
      <c r="AI348" s="103"/>
      <c r="AJ348" s="103"/>
      <c r="AK348" s="103"/>
      <c r="AL348" s="103"/>
    </row>
    <row r="349" spans="1:38" s="415" customFormat="1" ht="15.75" hidden="1" x14ac:dyDescent="0.25">
      <c r="A349" s="410"/>
      <c r="D349" s="433"/>
      <c r="E349" s="417" t="s">
        <v>448</v>
      </c>
      <c r="F349" s="466">
        <f>SUM(F347:F348)</f>
        <v>3.2759933294663576E-2</v>
      </c>
      <c r="G349" s="466">
        <f>SUM(G347:G348)</f>
        <v>3.2759933294663576E-2</v>
      </c>
      <c r="H349" s="422" t="e">
        <f>SUM(H347:H348)</f>
        <v>#N/A</v>
      </c>
      <c r="I349" s="422" t="e">
        <f>SUM(I347:I348)</f>
        <v>#N/A</v>
      </c>
      <c r="J349" s="422" t="e">
        <f>SUM(J347:J348)</f>
        <v>#N/A</v>
      </c>
      <c r="K349" s="423" t="e">
        <f t="shared" si="200"/>
        <v>#N/A</v>
      </c>
      <c r="L349" s="423" t="e">
        <f t="shared" si="201"/>
        <v>#N/A</v>
      </c>
      <c r="M349" s="423" t="e">
        <f t="shared" si="202"/>
        <v>#N/A</v>
      </c>
      <c r="N349" s="422" t="e">
        <f t="shared" ref="N349:Y349" si="209">SUM(N347:N348)</f>
        <v>#N/A</v>
      </c>
      <c r="O349" s="422" t="e">
        <f t="shared" si="209"/>
        <v>#N/A</v>
      </c>
      <c r="P349" s="422" t="e">
        <f t="shared" si="209"/>
        <v>#N/A</v>
      </c>
      <c r="Q349" s="447" t="e">
        <f t="shared" si="209"/>
        <v>#N/A</v>
      </c>
      <c r="R349" s="447" t="e">
        <f t="shared" si="209"/>
        <v>#N/A</v>
      </c>
      <c r="S349" s="447" t="e">
        <f t="shared" si="209"/>
        <v>#N/A</v>
      </c>
      <c r="T349" s="422" t="e">
        <f t="shared" si="209"/>
        <v>#N/A</v>
      </c>
      <c r="U349" s="422" t="e">
        <f t="shared" si="209"/>
        <v>#N/A</v>
      </c>
      <c r="V349" s="422" t="e">
        <f t="shared" si="209"/>
        <v>#N/A</v>
      </c>
      <c r="W349" s="447" t="e">
        <f t="shared" si="209"/>
        <v>#N/A</v>
      </c>
      <c r="X349" s="447" t="e">
        <f t="shared" si="209"/>
        <v>#N/A</v>
      </c>
      <c r="Y349" s="447" t="e">
        <f t="shared" si="209"/>
        <v>#N/A</v>
      </c>
      <c r="AA349" s="103"/>
      <c r="AB349" s="103"/>
      <c r="AC349" s="103"/>
      <c r="AD349" s="103"/>
      <c r="AE349" s="103"/>
      <c r="AF349" s="103"/>
      <c r="AG349" s="103"/>
      <c r="AH349" s="103"/>
      <c r="AI349" s="103"/>
      <c r="AJ349" s="103"/>
      <c r="AK349" s="103"/>
      <c r="AL349" s="103"/>
    </row>
    <row r="350" spans="1:38" s="415" customFormat="1" ht="15.75" hidden="1" x14ac:dyDescent="0.25">
      <c r="A350" s="410"/>
      <c r="D350" s="451"/>
      <c r="E350" s="417"/>
      <c r="N350" s="447"/>
      <c r="O350" s="447"/>
      <c r="P350" s="447"/>
      <c r="Q350" s="447"/>
      <c r="R350" s="447"/>
      <c r="S350" s="447"/>
      <c r="T350" s="447"/>
      <c r="U350" s="447"/>
      <c r="V350" s="447"/>
      <c r="W350" s="447"/>
      <c r="X350" s="447"/>
      <c r="Y350" s="447"/>
      <c r="AA350" s="103"/>
      <c r="AB350" s="103"/>
      <c r="AC350" s="103"/>
      <c r="AD350" s="103"/>
      <c r="AE350" s="103"/>
      <c r="AF350" s="103"/>
      <c r="AG350" s="103"/>
      <c r="AH350" s="103"/>
      <c r="AI350" s="103"/>
      <c r="AJ350" s="103"/>
      <c r="AK350" s="103"/>
      <c r="AL350" s="103"/>
    </row>
    <row r="351" spans="1:38" s="415" customFormat="1" ht="15.75" hidden="1" x14ac:dyDescent="0.25">
      <c r="A351" s="410"/>
      <c r="D351" s="433"/>
      <c r="E351" s="417">
        <f t="shared" ref="E351:E356" si="210">E337</f>
        <v>2015</v>
      </c>
      <c r="F351" s="467">
        <f>F$349*TotalProdCosts_2015</f>
        <v>0</v>
      </c>
      <c r="G351" s="467">
        <f t="shared" ref="G351:J356" si="211">G$349*$G597</f>
        <v>0</v>
      </c>
      <c r="H351" s="463" t="e">
        <f t="shared" si="211"/>
        <v>#N/A</v>
      </c>
      <c r="I351" s="463" t="e">
        <f t="shared" si="211"/>
        <v>#N/A</v>
      </c>
      <c r="J351" s="463" t="e">
        <f t="shared" si="211"/>
        <v>#N/A</v>
      </c>
      <c r="K351" s="423" t="e">
        <f t="shared" ref="K351:K356" si="212">H351</f>
        <v>#N/A</v>
      </c>
      <c r="L351" s="423" t="e">
        <f t="shared" ref="L351:L356" si="213">I351-H351</f>
        <v>#N/A</v>
      </c>
      <c r="M351" s="423" t="e">
        <f t="shared" ref="M351:M356" si="214">J351-I351</f>
        <v>#N/A</v>
      </c>
      <c r="N351" s="467" t="e">
        <f t="shared" ref="N351:P356" si="215">N$349*$G597</f>
        <v>#N/A</v>
      </c>
      <c r="O351" s="467" t="e">
        <f t="shared" si="215"/>
        <v>#N/A</v>
      </c>
      <c r="P351" s="467" t="e">
        <f t="shared" si="215"/>
        <v>#N/A</v>
      </c>
      <c r="Q351" s="447" t="e">
        <f>N351</f>
        <v>#N/A</v>
      </c>
      <c r="R351" s="447" t="e">
        <f>O351-N351</f>
        <v>#N/A</v>
      </c>
      <c r="S351" s="447" t="e">
        <f>P351-O351</f>
        <v>#N/A</v>
      </c>
      <c r="T351" s="467" t="e">
        <f t="shared" ref="T351:V356" si="216">T$349*$G597</f>
        <v>#N/A</v>
      </c>
      <c r="U351" s="467" t="e">
        <f t="shared" si="216"/>
        <v>#N/A</v>
      </c>
      <c r="V351" s="467" t="e">
        <f t="shared" si="216"/>
        <v>#N/A</v>
      </c>
      <c r="W351" s="447" t="e">
        <f>T351</f>
        <v>#N/A</v>
      </c>
      <c r="X351" s="447" t="e">
        <f>U351-T351</f>
        <v>#N/A</v>
      </c>
      <c r="Y351" s="447" t="e">
        <f>V351-U351</f>
        <v>#N/A</v>
      </c>
      <c r="AA351" s="103"/>
      <c r="AB351" s="103"/>
      <c r="AC351" s="103"/>
      <c r="AD351" s="103"/>
      <c r="AE351" s="103"/>
      <c r="AF351" s="103"/>
      <c r="AG351" s="103"/>
      <c r="AH351" s="103"/>
      <c r="AI351" s="103"/>
      <c r="AJ351" s="103"/>
      <c r="AK351" s="103"/>
      <c r="AL351" s="103"/>
    </row>
    <row r="352" spans="1:38" s="415" customFormat="1" ht="15.75" hidden="1" x14ac:dyDescent="0.25">
      <c r="A352" s="410"/>
      <c r="D352" s="433"/>
      <c r="E352" s="417">
        <f t="shared" si="210"/>
        <v>2016</v>
      </c>
      <c r="F352" s="467">
        <f>F$349*TotalProdCosts_2016</f>
        <v>0</v>
      </c>
      <c r="G352" s="467">
        <f t="shared" si="211"/>
        <v>0</v>
      </c>
      <c r="H352" s="463" t="e">
        <f t="shared" si="211"/>
        <v>#N/A</v>
      </c>
      <c r="I352" s="463" t="e">
        <f t="shared" si="211"/>
        <v>#N/A</v>
      </c>
      <c r="J352" s="463" t="e">
        <f t="shared" si="211"/>
        <v>#N/A</v>
      </c>
      <c r="K352" s="423" t="e">
        <f t="shared" si="212"/>
        <v>#N/A</v>
      </c>
      <c r="L352" s="423" t="e">
        <f t="shared" si="213"/>
        <v>#N/A</v>
      </c>
      <c r="M352" s="423" t="e">
        <f t="shared" si="214"/>
        <v>#N/A</v>
      </c>
      <c r="N352" s="467" t="e">
        <f t="shared" si="215"/>
        <v>#N/A</v>
      </c>
      <c r="O352" s="467" t="e">
        <f t="shared" si="215"/>
        <v>#N/A</v>
      </c>
      <c r="P352" s="467" t="e">
        <f t="shared" si="215"/>
        <v>#N/A</v>
      </c>
      <c r="Q352" s="447" t="e">
        <f t="shared" ref="Q352:Q356" si="217">N352</f>
        <v>#N/A</v>
      </c>
      <c r="R352" s="447" t="e">
        <f t="shared" ref="R352:R356" si="218">O352-N352</f>
        <v>#N/A</v>
      </c>
      <c r="S352" s="447" t="e">
        <f t="shared" ref="S352:S356" si="219">P352-O352</f>
        <v>#N/A</v>
      </c>
      <c r="T352" s="467" t="e">
        <f t="shared" si="216"/>
        <v>#N/A</v>
      </c>
      <c r="U352" s="467" t="e">
        <f t="shared" si="216"/>
        <v>#N/A</v>
      </c>
      <c r="V352" s="467" t="e">
        <f t="shared" si="216"/>
        <v>#N/A</v>
      </c>
      <c r="W352" s="447" t="e">
        <f t="shared" ref="W352:W356" si="220">T352</f>
        <v>#N/A</v>
      </c>
      <c r="X352" s="447" t="e">
        <f t="shared" ref="X352:X356" si="221">U352-T352</f>
        <v>#N/A</v>
      </c>
      <c r="Y352" s="447" t="e">
        <f t="shared" ref="Y352:Y356" si="222">V352-U352</f>
        <v>#N/A</v>
      </c>
      <c r="AA352" s="103"/>
      <c r="AB352" s="103"/>
      <c r="AC352" s="103"/>
      <c r="AD352" s="103"/>
      <c r="AE352" s="103"/>
      <c r="AF352" s="103"/>
      <c r="AG352" s="103"/>
      <c r="AH352" s="103"/>
      <c r="AI352" s="103"/>
      <c r="AJ352" s="103"/>
      <c r="AK352" s="103"/>
      <c r="AL352" s="103"/>
    </row>
    <row r="353" spans="1:38" s="415" customFormat="1" ht="15.75" hidden="1" x14ac:dyDescent="0.25">
      <c r="A353" s="410"/>
      <c r="D353" s="433"/>
      <c r="E353" s="417">
        <f t="shared" si="210"/>
        <v>2017</v>
      </c>
      <c r="F353" s="467">
        <f>F$349*TotalProdCosts_2017</f>
        <v>0</v>
      </c>
      <c r="G353" s="467">
        <f t="shared" si="211"/>
        <v>0</v>
      </c>
      <c r="H353" s="463" t="e">
        <f t="shared" si="211"/>
        <v>#N/A</v>
      </c>
      <c r="I353" s="463" t="e">
        <f t="shared" si="211"/>
        <v>#N/A</v>
      </c>
      <c r="J353" s="463" t="e">
        <f t="shared" si="211"/>
        <v>#N/A</v>
      </c>
      <c r="K353" s="423" t="e">
        <f t="shared" si="212"/>
        <v>#N/A</v>
      </c>
      <c r="L353" s="423" t="e">
        <f t="shared" si="213"/>
        <v>#N/A</v>
      </c>
      <c r="M353" s="423" t="e">
        <f t="shared" si="214"/>
        <v>#N/A</v>
      </c>
      <c r="N353" s="467" t="e">
        <f t="shared" si="215"/>
        <v>#N/A</v>
      </c>
      <c r="O353" s="467" t="e">
        <f t="shared" si="215"/>
        <v>#N/A</v>
      </c>
      <c r="P353" s="467" t="e">
        <f t="shared" si="215"/>
        <v>#N/A</v>
      </c>
      <c r="Q353" s="447" t="e">
        <f t="shared" si="217"/>
        <v>#N/A</v>
      </c>
      <c r="R353" s="447" t="e">
        <f t="shared" si="218"/>
        <v>#N/A</v>
      </c>
      <c r="S353" s="447" t="e">
        <f t="shared" si="219"/>
        <v>#N/A</v>
      </c>
      <c r="T353" s="467" t="e">
        <f t="shared" si="216"/>
        <v>#N/A</v>
      </c>
      <c r="U353" s="467" t="e">
        <f t="shared" si="216"/>
        <v>#N/A</v>
      </c>
      <c r="V353" s="467" t="e">
        <f t="shared" si="216"/>
        <v>#N/A</v>
      </c>
      <c r="W353" s="447" t="e">
        <f t="shared" si="220"/>
        <v>#N/A</v>
      </c>
      <c r="X353" s="447" t="e">
        <f t="shared" si="221"/>
        <v>#N/A</v>
      </c>
      <c r="Y353" s="447" t="e">
        <f t="shared" si="222"/>
        <v>#N/A</v>
      </c>
      <c r="AA353" s="103"/>
      <c r="AB353" s="103"/>
      <c r="AC353" s="103"/>
      <c r="AD353" s="103"/>
      <c r="AE353" s="103"/>
      <c r="AF353" s="103"/>
      <c r="AG353" s="103"/>
      <c r="AH353" s="103"/>
      <c r="AI353" s="103"/>
      <c r="AJ353" s="103"/>
      <c r="AK353" s="103"/>
      <c r="AL353" s="103"/>
    </row>
    <row r="354" spans="1:38" s="415" customFormat="1" ht="15.75" hidden="1" x14ac:dyDescent="0.25">
      <c r="A354" s="410"/>
      <c r="D354" s="433"/>
      <c r="E354" s="417">
        <f t="shared" si="210"/>
        <v>2018</v>
      </c>
      <c r="F354" s="467">
        <f>F$349*TotalProdCosts_2018</f>
        <v>0</v>
      </c>
      <c r="G354" s="467">
        <f t="shared" si="211"/>
        <v>0</v>
      </c>
      <c r="H354" s="463" t="e">
        <f t="shared" si="211"/>
        <v>#N/A</v>
      </c>
      <c r="I354" s="463" t="e">
        <f t="shared" si="211"/>
        <v>#N/A</v>
      </c>
      <c r="J354" s="463" t="e">
        <f t="shared" si="211"/>
        <v>#N/A</v>
      </c>
      <c r="K354" s="423" t="e">
        <f t="shared" si="212"/>
        <v>#N/A</v>
      </c>
      <c r="L354" s="423" t="e">
        <f t="shared" si="213"/>
        <v>#N/A</v>
      </c>
      <c r="M354" s="423" t="e">
        <f t="shared" si="214"/>
        <v>#N/A</v>
      </c>
      <c r="N354" s="467" t="e">
        <f t="shared" si="215"/>
        <v>#N/A</v>
      </c>
      <c r="O354" s="467" t="e">
        <f t="shared" si="215"/>
        <v>#N/A</v>
      </c>
      <c r="P354" s="467" t="e">
        <f t="shared" si="215"/>
        <v>#N/A</v>
      </c>
      <c r="Q354" s="447" t="e">
        <f t="shared" si="217"/>
        <v>#N/A</v>
      </c>
      <c r="R354" s="447" t="e">
        <f t="shared" si="218"/>
        <v>#N/A</v>
      </c>
      <c r="S354" s="447" t="e">
        <f t="shared" si="219"/>
        <v>#N/A</v>
      </c>
      <c r="T354" s="467" t="e">
        <f t="shared" si="216"/>
        <v>#N/A</v>
      </c>
      <c r="U354" s="467" t="e">
        <f t="shared" si="216"/>
        <v>#N/A</v>
      </c>
      <c r="V354" s="467" t="e">
        <f t="shared" si="216"/>
        <v>#N/A</v>
      </c>
      <c r="W354" s="447" t="e">
        <f t="shared" si="220"/>
        <v>#N/A</v>
      </c>
      <c r="X354" s="447" t="e">
        <f t="shared" si="221"/>
        <v>#N/A</v>
      </c>
      <c r="Y354" s="447" t="e">
        <f t="shared" si="222"/>
        <v>#N/A</v>
      </c>
      <c r="AA354" s="103"/>
      <c r="AB354" s="103"/>
      <c r="AC354" s="103"/>
      <c r="AD354" s="103"/>
      <c r="AE354" s="103"/>
      <c r="AF354" s="103"/>
      <c r="AG354" s="103"/>
      <c r="AH354" s="103"/>
      <c r="AI354" s="103"/>
      <c r="AJ354" s="103"/>
      <c r="AK354" s="103"/>
      <c r="AL354" s="103"/>
    </row>
    <row r="355" spans="1:38" s="415" customFormat="1" ht="15.75" hidden="1" x14ac:dyDescent="0.25">
      <c r="A355" s="410"/>
      <c r="D355" s="433"/>
      <c r="E355" s="417">
        <f t="shared" si="210"/>
        <v>2019</v>
      </c>
      <c r="F355" s="467">
        <f>F$349*TotalProdCosts_2019</f>
        <v>0</v>
      </c>
      <c r="G355" s="467">
        <f t="shared" si="211"/>
        <v>0</v>
      </c>
      <c r="H355" s="463" t="e">
        <f t="shared" si="211"/>
        <v>#N/A</v>
      </c>
      <c r="I355" s="463" t="e">
        <f t="shared" si="211"/>
        <v>#N/A</v>
      </c>
      <c r="J355" s="463" t="e">
        <f t="shared" si="211"/>
        <v>#N/A</v>
      </c>
      <c r="K355" s="423" t="e">
        <f t="shared" si="212"/>
        <v>#N/A</v>
      </c>
      <c r="L355" s="423" t="e">
        <f t="shared" si="213"/>
        <v>#N/A</v>
      </c>
      <c r="M355" s="423" t="e">
        <f t="shared" si="214"/>
        <v>#N/A</v>
      </c>
      <c r="N355" s="467" t="e">
        <f t="shared" si="215"/>
        <v>#N/A</v>
      </c>
      <c r="O355" s="467" t="e">
        <f t="shared" si="215"/>
        <v>#N/A</v>
      </c>
      <c r="P355" s="467" t="e">
        <f t="shared" si="215"/>
        <v>#N/A</v>
      </c>
      <c r="Q355" s="447" t="e">
        <f t="shared" si="217"/>
        <v>#N/A</v>
      </c>
      <c r="R355" s="447" t="e">
        <f t="shared" si="218"/>
        <v>#N/A</v>
      </c>
      <c r="S355" s="447" t="e">
        <f t="shared" si="219"/>
        <v>#N/A</v>
      </c>
      <c r="T355" s="467" t="e">
        <f t="shared" si="216"/>
        <v>#N/A</v>
      </c>
      <c r="U355" s="467" t="e">
        <f t="shared" si="216"/>
        <v>#N/A</v>
      </c>
      <c r="V355" s="467" t="e">
        <f t="shared" si="216"/>
        <v>#N/A</v>
      </c>
      <c r="W355" s="447" t="e">
        <f t="shared" si="220"/>
        <v>#N/A</v>
      </c>
      <c r="X355" s="447" t="e">
        <f t="shared" si="221"/>
        <v>#N/A</v>
      </c>
      <c r="Y355" s="447" t="e">
        <f t="shared" si="222"/>
        <v>#N/A</v>
      </c>
      <c r="AA355" s="103"/>
      <c r="AB355" s="103"/>
      <c r="AC355" s="103"/>
      <c r="AD355" s="103"/>
      <c r="AE355" s="103"/>
      <c r="AF355" s="103"/>
      <c r="AG355" s="103"/>
      <c r="AH355" s="103"/>
      <c r="AI355" s="103"/>
      <c r="AJ355" s="103"/>
      <c r="AK355" s="103"/>
      <c r="AL355" s="103"/>
    </row>
    <row r="356" spans="1:38" s="415" customFormat="1" ht="15.75" hidden="1" x14ac:dyDescent="0.25">
      <c r="A356" s="410"/>
      <c r="D356" s="433"/>
      <c r="E356" s="417">
        <f t="shared" si="210"/>
        <v>2020</v>
      </c>
      <c r="F356" s="467">
        <f>F$349*TotalProdCosts_2020</f>
        <v>0</v>
      </c>
      <c r="G356" s="467">
        <f t="shared" si="211"/>
        <v>0</v>
      </c>
      <c r="H356" s="463" t="e">
        <f t="shared" si="211"/>
        <v>#N/A</v>
      </c>
      <c r="I356" s="463" t="e">
        <f t="shared" si="211"/>
        <v>#N/A</v>
      </c>
      <c r="J356" s="463" t="e">
        <f t="shared" si="211"/>
        <v>#N/A</v>
      </c>
      <c r="K356" s="423" t="e">
        <f t="shared" si="212"/>
        <v>#N/A</v>
      </c>
      <c r="L356" s="423" t="e">
        <f t="shared" si="213"/>
        <v>#N/A</v>
      </c>
      <c r="M356" s="423" t="e">
        <f t="shared" si="214"/>
        <v>#N/A</v>
      </c>
      <c r="N356" s="467" t="e">
        <f t="shared" si="215"/>
        <v>#N/A</v>
      </c>
      <c r="O356" s="467" t="e">
        <f t="shared" si="215"/>
        <v>#N/A</v>
      </c>
      <c r="P356" s="467" t="e">
        <f t="shared" si="215"/>
        <v>#N/A</v>
      </c>
      <c r="Q356" s="447" t="e">
        <f t="shared" si="217"/>
        <v>#N/A</v>
      </c>
      <c r="R356" s="447" t="e">
        <f t="shared" si="218"/>
        <v>#N/A</v>
      </c>
      <c r="S356" s="447" t="e">
        <f t="shared" si="219"/>
        <v>#N/A</v>
      </c>
      <c r="T356" s="467" t="e">
        <f t="shared" si="216"/>
        <v>#N/A</v>
      </c>
      <c r="U356" s="467" t="e">
        <f t="shared" si="216"/>
        <v>#N/A</v>
      </c>
      <c r="V356" s="467" t="e">
        <f t="shared" si="216"/>
        <v>#N/A</v>
      </c>
      <c r="W356" s="447" t="e">
        <f t="shared" si="220"/>
        <v>#N/A</v>
      </c>
      <c r="X356" s="447" t="e">
        <f t="shared" si="221"/>
        <v>#N/A</v>
      </c>
      <c r="Y356" s="447" t="e">
        <f t="shared" si="222"/>
        <v>#N/A</v>
      </c>
      <c r="AA356" s="103"/>
      <c r="AB356" s="103"/>
      <c r="AC356" s="103"/>
      <c r="AD356" s="103"/>
      <c r="AE356" s="103"/>
      <c r="AF356" s="103"/>
      <c r="AG356" s="103"/>
      <c r="AH356" s="103"/>
      <c r="AI356" s="103"/>
      <c r="AJ356" s="103"/>
      <c r="AK356" s="103"/>
      <c r="AL356" s="103"/>
    </row>
    <row r="357" spans="1:38" s="415" customFormat="1" ht="15.75" hidden="1" x14ac:dyDescent="0.25">
      <c r="A357" s="410"/>
      <c r="D357" s="433"/>
      <c r="E357" s="417"/>
      <c r="N357" s="447"/>
      <c r="O357" s="447"/>
      <c r="P357" s="447"/>
      <c r="Q357" s="447"/>
      <c r="R357" s="447"/>
      <c r="S357" s="447"/>
      <c r="T357" s="447"/>
      <c r="U357" s="447"/>
      <c r="V357" s="447"/>
      <c r="W357" s="447"/>
      <c r="X357" s="447"/>
      <c r="Y357" s="447"/>
      <c r="AA357" s="103"/>
      <c r="AB357" s="103"/>
      <c r="AC357" s="103"/>
      <c r="AD357" s="103"/>
      <c r="AE357" s="103"/>
      <c r="AF357" s="103"/>
      <c r="AG357" s="103"/>
      <c r="AH357" s="103"/>
      <c r="AI357" s="103"/>
      <c r="AJ357" s="103"/>
      <c r="AK357" s="103"/>
      <c r="AL357" s="103"/>
    </row>
    <row r="358" spans="1:38" s="415" customFormat="1" ht="15.75" hidden="1" x14ac:dyDescent="0.25">
      <c r="A358" s="410"/>
      <c r="D358" s="433"/>
      <c r="E358" s="417"/>
      <c r="N358" s="447"/>
      <c r="O358" s="447"/>
      <c r="P358" s="447"/>
      <c r="Q358" s="447"/>
      <c r="R358" s="447"/>
      <c r="S358" s="447"/>
      <c r="T358" s="447"/>
      <c r="U358" s="447"/>
      <c r="V358" s="447"/>
      <c r="W358" s="447"/>
      <c r="X358" s="447"/>
      <c r="Y358" s="447"/>
      <c r="AA358" s="103"/>
      <c r="AB358" s="103"/>
      <c r="AC358" s="103"/>
      <c r="AD358" s="103"/>
      <c r="AE358" s="103"/>
      <c r="AF358" s="103"/>
      <c r="AG358" s="103"/>
      <c r="AH358" s="103"/>
      <c r="AI358" s="103"/>
      <c r="AJ358" s="103"/>
      <c r="AK358" s="103"/>
      <c r="AL358" s="103"/>
    </row>
    <row r="359" spans="1:38" s="415" customFormat="1" ht="15.75" hidden="1" x14ac:dyDescent="0.25">
      <c r="A359" s="410"/>
      <c r="B359" s="1187" t="s">
        <v>1570</v>
      </c>
      <c r="C359" s="1188"/>
      <c r="D359" s="1140" t="s">
        <v>535</v>
      </c>
      <c r="E359" s="412"/>
      <c r="F359" s="449"/>
      <c r="G359" s="412"/>
      <c r="N359" s="447"/>
      <c r="O359" s="447"/>
      <c r="P359" s="447"/>
      <c r="Q359" s="447"/>
      <c r="R359" s="447"/>
      <c r="S359" s="447"/>
      <c r="T359" s="447"/>
      <c r="U359" s="447"/>
      <c r="V359" s="447"/>
      <c r="W359" s="447"/>
      <c r="X359" s="447"/>
      <c r="Y359" s="447"/>
      <c r="AA359" s="103"/>
      <c r="AB359" s="103"/>
      <c r="AC359" s="103"/>
      <c r="AD359" s="103"/>
      <c r="AE359" s="103"/>
      <c r="AF359" s="103"/>
      <c r="AG359" s="103"/>
      <c r="AH359" s="103"/>
      <c r="AI359" s="103"/>
      <c r="AJ359" s="103"/>
      <c r="AK359" s="103"/>
      <c r="AL359" s="103"/>
    </row>
    <row r="360" spans="1:38" s="417" customFormat="1" ht="15.75" hidden="1" x14ac:dyDescent="0.25">
      <c r="A360" s="416"/>
      <c r="D360" s="418" t="s">
        <v>412</v>
      </c>
      <c r="E360" s="419" t="s">
        <v>10</v>
      </c>
      <c r="F360" s="419" t="s">
        <v>428</v>
      </c>
      <c r="G360" s="419" t="str">
        <f>G$212</f>
        <v>Cost in 2008 dollars</v>
      </c>
      <c r="H360" s="417" t="s">
        <v>583</v>
      </c>
      <c r="I360" s="417" t="s">
        <v>584</v>
      </c>
      <c r="J360" s="417" t="s">
        <v>585</v>
      </c>
      <c r="K360" s="417" t="s">
        <v>586</v>
      </c>
      <c r="L360" s="417" t="s">
        <v>413</v>
      </c>
      <c r="M360" s="417" t="s">
        <v>414</v>
      </c>
      <c r="N360" s="426" t="s">
        <v>592</v>
      </c>
      <c r="O360" s="426" t="s">
        <v>587</v>
      </c>
      <c r="P360" s="426" t="s">
        <v>588</v>
      </c>
      <c r="Q360" s="426" t="s">
        <v>589</v>
      </c>
      <c r="R360" s="426" t="s">
        <v>590</v>
      </c>
      <c r="S360" s="426" t="s">
        <v>591</v>
      </c>
      <c r="T360" s="426" t="s">
        <v>593</v>
      </c>
      <c r="U360" s="426" t="s">
        <v>594</v>
      </c>
      <c r="V360" s="426" t="s">
        <v>595</v>
      </c>
      <c r="W360" s="426" t="s">
        <v>596</v>
      </c>
      <c r="X360" s="426" t="s">
        <v>597</v>
      </c>
      <c r="Y360" s="426" t="s">
        <v>598</v>
      </c>
      <c r="Z360" s="415"/>
      <c r="AA360" s="103"/>
      <c r="AB360" s="103"/>
      <c r="AC360" s="103"/>
      <c r="AD360" s="103"/>
      <c r="AE360" s="103"/>
      <c r="AF360" s="103"/>
      <c r="AG360" s="103"/>
      <c r="AH360" s="103"/>
      <c r="AI360" s="103"/>
      <c r="AJ360" s="103"/>
      <c r="AK360" s="103"/>
      <c r="AL360" s="103"/>
    </row>
    <row r="361" spans="1:38" s="470" customFormat="1" ht="15.75" hidden="1" x14ac:dyDescent="0.25">
      <c r="A361" s="469"/>
      <c r="D361" s="471">
        <v>541700</v>
      </c>
      <c r="E361" s="472" t="s">
        <v>315</v>
      </c>
      <c r="F361" s="473">
        <v>0.4</v>
      </c>
      <c r="G361" s="474">
        <f>F361</f>
        <v>0.4</v>
      </c>
      <c r="H361" s="475" t="e">
        <f>$G361*INDEX(tier_emp_mult, MATCH($D361, tier_emp_code,0), MATCH(State, R_emp, 0))/1000000</f>
        <v>#N/A</v>
      </c>
      <c r="I361" s="436" t="e">
        <f>$G361*INDEX(typeI_emp_mult, MATCH($D361, typeI_emp_code,0), MATCH(State, R_emp, 0))/1000000</f>
        <v>#N/A</v>
      </c>
      <c r="J361" s="436" t="e">
        <f>$G361*INDEX(typeII_emp_mult, MATCH($D361, typeII_emp_code,0), MATCH(State, R_emp, 0))/1000000</f>
        <v>#N/A</v>
      </c>
      <c r="K361" s="437" t="e">
        <f>H361</f>
        <v>#N/A</v>
      </c>
      <c r="L361" s="437" t="e">
        <f t="shared" ref="L361:M362" si="223">I361-H361</f>
        <v>#N/A</v>
      </c>
      <c r="M361" s="437" t="e">
        <f t="shared" si="223"/>
        <v>#N/A</v>
      </c>
      <c r="N361" s="436" t="e">
        <f>$G361*INDEX(tier_earn_mult, MATCH($D361, tier_earn_code,0), MATCH(State, R_earn, 0))</f>
        <v>#N/A</v>
      </c>
      <c r="O361" s="436" t="e">
        <f>$G361*INDEX(typeI_earn_mult, MATCH($D361, typeI_earn_code,0), MATCH(State, R_earn, 0))</f>
        <v>#N/A</v>
      </c>
      <c r="P361" s="436" t="e">
        <f>$G361*INDEX(typeII_earn_mult, MATCH($D361, typeII_earn_code,0), MATCH(State, R_earn, 0))</f>
        <v>#N/A</v>
      </c>
      <c r="Q361" s="438" t="e">
        <f>N361</f>
        <v>#N/A</v>
      </c>
      <c r="R361" s="438" t="e">
        <f t="shared" ref="R361:S362" si="224">O361-N361</f>
        <v>#N/A</v>
      </c>
      <c r="S361" s="438" t="e">
        <f t="shared" si="224"/>
        <v>#N/A</v>
      </c>
      <c r="T361" s="436" t="e">
        <f>$G361*INDEX(tier_out_mult, MATCH($D361, tier_out_code,0), MATCH(State, R_out, 0))</f>
        <v>#N/A</v>
      </c>
      <c r="U361" s="436" t="e">
        <f>$G361*INDEX(typeI_out_mult, MATCH($D361, typeI_out_code,0), MATCH(State, R_out, 0))</f>
        <v>#N/A</v>
      </c>
      <c r="V361" s="436" t="e">
        <f>$G361*INDEX(typeII_out_mult, MATCH($D361, typeII_out_code,0), MATCH(State, R_out, 0))</f>
        <v>#N/A</v>
      </c>
      <c r="W361" s="438" t="e">
        <f>T361</f>
        <v>#N/A</v>
      </c>
      <c r="X361" s="438" t="e">
        <f t="shared" ref="X361:Y362" si="225">U361-T361</f>
        <v>#N/A</v>
      </c>
      <c r="Y361" s="438" t="e">
        <f t="shared" si="225"/>
        <v>#N/A</v>
      </c>
      <c r="AA361" s="103"/>
      <c r="AB361" s="103"/>
      <c r="AC361" s="103"/>
      <c r="AD361" s="103"/>
      <c r="AE361" s="103"/>
      <c r="AF361" s="103"/>
      <c r="AG361" s="103"/>
      <c r="AH361" s="103"/>
      <c r="AI361" s="103"/>
      <c r="AJ361" s="103"/>
      <c r="AK361" s="103"/>
      <c r="AL361" s="103"/>
    </row>
    <row r="362" spans="1:38" s="415" customFormat="1" ht="15.75" hidden="1" x14ac:dyDescent="0.25">
      <c r="A362" s="410"/>
      <c r="D362" s="445">
        <v>561100</v>
      </c>
      <c r="E362" s="415" t="s">
        <v>323</v>
      </c>
      <c r="F362" s="474">
        <v>0.6</v>
      </c>
      <c r="G362" s="474">
        <f t="shared" ref="G362" si="226">F362</f>
        <v>0.6</v>
      </c>
      <c r="H362" s="475" t="e">
        <f>$G362*INDEX(tier_emp_mult, MATCH($D362, tier_emp_code,0), MATCH(State, R_emp, 0))/1000000</f>
        <v>#N/A</v>
      </c>
      <c r="I362" s="436" t="e">
        <f>$G362*INDEX(typeI_emp_mult, MATCH($D362, typeI_emp_code,0), MATCH(State, R_emp, 0))/1000000</f>
        <v>#N/A</v>
      </c>
      <c r="J362" s="436" t="e">
        <f>$G362*INDEX(typeII_emp_mult, MATCH($D362, typeII_emp_code,0), MATCH(State, R_emp, 0))/1000000</f>
        <v>#N/A</v>
      </c>
      <c r="K362" s="437" t="e">
        <f>H362</f>
        <v>#N/A</v>
      </c>
      <c r="L362" s="437" t="e">
        <f t="shared" si="223"/>
        <v>#N/A</v>
      </c>
      <c r="M362" s="437" t="e">
        <f t="shared" si="223"/>
        <v>#N/A</v>
      </c>
      <c r="N362" s="436" t="e">
        <f>$G362*INDEX(tier_earn_mult, MATCH($D362, tier_earn_code,0), MATCH(State, R_earn, 0))</f>
        <v>#N/A</v>
      </c>
      <c r="O362" s="436" t="e">
        <f>$G362*INDEX(typeI_earn_mult, MATCH($D362, typeI_earn_code,0), MATCH(State, R_earn, 0))</f>
        <v>#N/A</v>
      </c>
      <c r="P362" s="436" t="e">
        <f>$G362*INDEX(typeII_earn_mult, MATCH($D362, typeII_earn_code,0), MATCH(State, R_earn, 0))</f>
        <v>#N/A</v>
      </c>
      <c r="Q362" s="438" t="e">
        <f>N362</f>
        <v>#N/A</v>
      </c>
      <c r="R362" s="438" t="e">
        <f t="shared" si="224"/>
        <v>#N/A</v>
      </c>
      <c r="S362" s="438" t="e">
        <f t="shared" si="224"/>
        <v>#N/A</v>
      </c>
      <c r="T362" s="436" t="e">
        <f>$G362*INDEX(tier_out_mult, MATCH($D362, tier_out_code,0), MATCH(State, R_out, 0))</f>
        <v>#N/A</v>
      </c>
      <c r="U362" s="436" t="e">
        <f>$G362*INDEX(typeI_out_mult, MATCH($D362, typeI_out_code,0), MATCH(State, R_out, 0))</f>
        <v>#N/A</v>
      </c>
      <c r="V362" s="436" t="e">
        <f>$G362*INDEX(typeII_out_mult, MATCH($D362, typeII_out_code,0), MATCH(State, R_out, 0))</f>
        <v>#N/A</v>
      </c>
      <c r="W362" s="438" t="e">
        <f>T362</f>
        <v>#N/A</v>
      </c>
      <c r="X362" s="438" t="e">
        <f t="shared" si="225"/>
        <v>#N/A</v>
      </c>
      <c r="Y362" s="438" t="e">
        <f t="shared" si="225"/>
        <v>#N/A</v>
      </c>
      <c r="AA362" s="103"/>
      <c r="AB362" s="103"/>
      <c r="AC362" s="103"/>
      <c r="AD362" s="103"/>
      <c r="AE362" s="103"/>
      <c r="AF362" s="103"/>
      <c r="AG362" s="103"/>
      <c r="AH362" s="103"/>
      <c r="AI362" s="103"/>
      <c r="AJ362" s="103"/>
      <c r="AK362" s="103"/>
      <c r="AL362" s="103"/>
    </row>
    <row r="363" spans="1:38" s="415" customFormat="1" ht="15.75" hidden="1" x14ac:dyDescent="0.25">
      <c r="A363" s="410"/>
      <c r="D363" s="445"/>
      <c r="F363" s="474"/>
      <c r="G363" s="474"/>
      <c r="H363" s="475"/>
      <c r="I363" s="436"/>
      <c r="J363" s="436"/>
      <c r="K363" s="437"/>
      <c r="L363" s="437"/>
      <c r="M363" s="437"/>
      <c r="N363" s="436"/>
      <c r="O363" s="436"/>
      <c r="P363" s="436"/>
      <c r="Q363" s="438"/>
      <c r="R363" s="438"/>
      <c r="S363" s="438"/>
      <c r="T363" s="436"/>
      <c r="U363" s="436"/>
      <c r="V363" s="436"/>
      <c r="W363" s="438"/>
      <c r="X363" s="438"/>
      <c r="Y363" s="438"/>
      <c r="AA363" s="103"/>
      <c r="AB363" s="103"/>
      <c r="AC363" s="103"/>
      <c r="AD363" s="103"/>
      <c r="AE363" s="103"/>
      <c r="AF363" s="103"/>
      <c r="AG363" s="103"/>
      <c r="AH363" s="103"/>
      <c r="AI363" s="103"/>
      <c r="AJ363" s="103"/>
      <c r="AK363" s="103"/>
      <c r="AL363" s="103"/>
    </row>
    <row r="364" spans="1:38" s="415" customFormat="1" ht="15.75" hidden="1" x14ac:dyDescent="0.25">
      <c r="A364" s="410"/>
      <c r="D364" s="445"/>
      <c r="E364" s="417" t="s">
        <v>1050</v>
      </c>
      <c r="F364" s="474">
        <f>SUM(F361:F363)</f>
        <v>1</v>
      </c>
      <c r="G364" s="474">
        <f>F364</f>
        <v>1</v>
      </c>
      <c r="H364" s="422" t="e">
        <f>SUM(H361:H363)</f>
        <v>#N/A</v>
      </c>
      <c r="I364" s="422" t="e">
        <f t="shared" ref="I364:Y364" si="227">SUM(I361:I363)</f>
        <v>#N/A</v>
      </c>
      <c r="J364" s="422" t="e">
        <f t="shared" si="227"/>
        <v>#N/A</v>
      </c>
      <c r="K364" s="422" t="e">
        <f t="shared" si="227"/>
        <v>#N/A</v>
      </c>
      <c r="L364" s="422" t="e">
        <f t="shared" si="227"/>
        <v>#N/A</v>
      </c>
      <c r="M364" s="422" t="e">
        <f t="shared" si="227"/>
        <v>#N/A</v>
      </c>
      <c r="N364" s="422" t="e">
        <f t="shared" si="227"/>
        <v>#N/A</v>
      </c>
      <c r="O364" s="422" t="e">
        <f t="shared" si="227"/>
        <v>#N/A</v>
      </c>
      <c r="P364" s="422" t="e">
        <f t="shared" si="227"/>
        <v>#N/A</v>
      </c>
      <c r="Q364" s="422" t="e">
        <f t="shared" si="227"/>
        <v>#N/A</v>
      </c>
      <c r="R364" s="422" t="e">
        <f t="shared" si="227"/>
        <v>#N/A</v>
      </c>
      <c r="S364" s="422" t="e">
        <f t="shared" si="227"/>
        <v>#N/A</v>
      </c>
      <c r="T364" s="422" t="e">
        <f t="shared" si="227"/>
        <v>#N/A</v>
      </c>
      <c r="U364" s="422" t="e">
        <f t="shared" si="227"/>
        <v>#N/A</v>
      </c>
      <c r="V364" s="422" t="e">
        <f t="shared" si="227"/>
        <v>#N/A</v>
      </c>
      <c r="W364" s="422" t="e">
        <f t="shared" si="227"/>
        <v>#N/A</v>
      </c>
      <c r="X364" s="422" t="e">
        <f t="shared" si="227"/>
        <v>#N/A</v>
      </c>
      <c r="Y364" s="422" t="e">
        <f t="shared" si="227"/>
        <v>#N/A</v>
      </c>
      <c r="AA364" s="103"/>
      <c r="AB364" s="103"/>
      <c r="AC364" s="103"/>
      <c r="AD364" s="103"/>
      <c r="AE364" s="103"/>
      <c r="AF364" s="103"/>
      <c r="AG364" s="103"/>
      <c r="AH364" s="103"/>
      <c r="AI364" s="103"/>
      <c r="AJ364" s="103"/>
      <c r="AK364" s="103"/>
      <c r="AL364" s="103"/>
    </row>
    <row r="365" spans="1:38" s="415" customFormat="1" ht="15.75" hidden="1" x14ac:dyDescent="0.25">
      <c r="A365" s="410"/>
      <c r="D365" s="411" t="s">
        <v>536</v>
      </c>
      <c r="E365" s="412"/>
      <c r="F365" s="412"/>
      <c r="G365" s="412"/>
      <c r="N365" s="447"/>
      <c r="O365" s="447"/>
      <c r="P365" s="447"/>
      <c r="Q365" s="447"/>
      <c r="R365" s="447"/>
      <c r="S365" s="447"/>
      <c r="T365" s="447"/>
      <c r="U365" s="447"/>
      <c r="V365" s="447"/>
      <c r="W365" s="447"/>
      <c r="X365" s="447"/>
      <c r="Y365" s="447"/>
      <c r="AA365" s="103"/>
      <c r="AB365" s="103"/>
      <c r="AC365" s="103"/>
      <c r="AD365" s="103"/>
      <c r="AE365" s="103"/>
      <c r="AF365" s="103"/>
      <c r="AG365" s="103"/>
      <c r="AH365" s="103"/>
      <c r="AI365" s="103"/>
      <c r="AJ365" s="103"/>
      <c r="AK365" s="103"/>
      <c r="AL365" s="103"/>
    </row>
    <row r="366" spans="1:38" s="415" customFormat="1" ht="15.75" hidden="1" x14ac:dyDescent="0.25">
      <c r="A366" s="410"/>
      <c r="D366" s="433"/>
      <c r="E366" s="415">
        <v>2015</v>
      </c>
      <c r="F366" s="467">
        <f t="shared" ref="F366:G371" si="228">F605</f>
        <v>0</v>
      </c>
      <c r="G366" s="467">
        <f t="shared" si="228"/>
        <v>0</v>
      </c>
      <c r="H366" s="457" t="e">
        <f t="shared" ref="H366:J371" si="229">H$364*$G366</f>
        <v>#N/A</v>
      </c>
      <c r="I366" s="457" t="e">
        <f t="shared" si="229"/>
        <v>#N/A</v>
      </c>
      <c r="J366" s="457" t="e">
        <f t="shared" si="229"/>
        <v>#N/A</v>
      </c>
      <c r="K366" s="476" t="e">
        <f t="shared" ref="K366" si="230">H366</f>
        <v>#N/A</v>
      </c>
      <c r="L366" s="476" t="e">
        <f t="shared" ref="L366" si="231">I366-H366</f>
        <v>#N/A</v>
      </c>
      <c r="M366" s="476" t="e">
        <f t="shared" ref="M366" si="232">J366-I366</f>
        <v>#N/A</v>
      </c>
      <c r="N366" s="477" t="e">
        <f t="shared" ref="N366:P371" si="233">N$364*$G366</f>
        <v>#N/A</v>
      </c>
      <c r="O366" s="477" t="e">
        <f t="shared" si="233"/>
        <v>#N/A</v>
      </c>
      <c r="P366" s="477" t="e">
        <f t="shared" si="233"/>
        <v>#N/A</v>
      </c>
      <c r="Q366" s="477" t="e">
        <f t="shared" ref="Q366" si="234">N366</f>
        <v>#N/A</v>
      </c>
      <c r="R366" s="477" t="e">
        <f t="shared" ref="R366" si="235">O366-N366</f>
        <v>#N/A</v>
      </c>
      <c r="S366" s="477" t="e">
        <f t="shared" ref="S366" si="236">P366-O366</f>
        <v>#N/A</v>
      </c>
      <c r="T366" s="477" t="e">
        <f t="shared" ref="T366:V371" si="237">T$364*$G366</f>
        <v>#N/A</v>
      </c>
      <c r="U366" s="477" t="e">
        <f t="shared" si="237"/>
        <v>#N/A</v>
      </c>
      <c r="V366" s="477" t="e">
        <f t="shared" si="237"/>
        <v>#N/A</v>
      </c>
      <c r="W366" s="477" t="e">
        <f t="shared" ref="W366:W371" si="238">T366</f>
        <v>#N/A</v>
      </c>
      <c r="X366" s="477" t="e">
        <f t="shared" ref="X366:X371" si="239">U366-T366</f>
        <v>#N/A</v>
      </c>
      <c r="Y366" s="477" t="e">
        <f t="shared" ref="Y366:Y371" si="240">V366-U366</f>
        <v>#N/A</v>
      </c>
      <c r="AA366" s="103"/>
      <c r="AB366" s="103"/>
      <c r="AC366" s="103"/>
      <c r="AD366" s="103"/>
      <c r="AE366" s="103"/>
      <c r="AF366" s="103"/>
      <c r="AG366" s="103"/>
      <c r="AH366" s="103"/>
      <c r="AI366" s="103"/>
      <c r="AJ366" s="103"/>
      <c r="AK366" s="103"/>
      <c r="AL366" s="103"/>
    </row>
    <row r="367" spans="1:38" s="415" customFormat="1" ht="15.75" hidden="1" x14ac:dyDescent="0.25">
      <c r="A367" s="410"/>
      <c r="D367" s="433"/>
      <c r="E367" s="415">
        <v>2016</v>
      </c>
      <c r="F367" s="467">
        <f t="shared" si="228"/>
        <v>0</v>
      </c>
      <c r="G367" s="467">
        <f t="shared" si="228"/>
        <v>0</v>
      </c>
      <c r="H367" s="457" t="e">
        <f t="shared" si="229"/>
        <v>#N/A</v>
      </c>
      <c r="I367" s="457" t="e">
        <f t="shared" si="229"/>
        <v>#N/A</v>
      </c>
      <c r="J367" s="457" t="e">
        <f t="shared" si="229"/>
        <v>#N/A</v>
      </c>
      <c r="K367" s="476" t="e">
        <f t="shared" ref="K367:K371" si="241">H367</f>
        <v>#N/A</v>
      </c>
      <c r="L367" s="476" t="e">
        <f t="shared" ref="L367:L371" si="242">I367-H367</f>
        <v>#N/A</v>
      </c>
      <c r="M367" s="476" t="e">
        <f t="shared" ref="M367:M371" si="243">J367-I367</f>
        <v>#N/A</v>
      </c>
      <c r="N367" s="477" t="e">
        <f t="shared" si="233"/>
        <v>#N/A</v>
      </c>
      <c r="O367" s="477" t="e">
        <f t="shared" si="233"/>
        <v>#N/A</v>
      </c>
      <c r="P367" s="477" t="e">
        <f t="shared" si="233"/>
        <v>#N/A</v>
      </c>
      <c r="Q367" s="477" t="e">
        <f t="shared" ref="Q367:Q371" si="244">N367</f>
        <v>#N/A</v>
      </c>
      <c r="R367" s="477" t="e">
        <f t="shared" ref="R367:R371" si="245">O367-N367</f>
        <v>#N/A</v>
      </c>
      <c r="S367" s="477" t="e">
        <f t="shared" ref="S367:S371" si="246">P367-O367</f>
        <v>#N/A</v>
      </c>
      <c r="T367" s="477" t="e">
        <f t="shared" si="237"/>
        <v>#N/A</v>
      </c>
      <c r="U367" s="477" t="e">
        <f t="shared" si="237"/>
        <v>#N/A</v>
      </c>
      <c r="V367" s="477" t="e">
        <f t="shared" si="237"/>
        <v>#N/A</v>
      </c>
      <c r="W367" s="477" t="e">
        <f t="shared" si="238"/>
        <v>#N/A</v>
      </c>
      <c r="X367" s="477" t="e">
        <f t="shared" si="239"/>
        <v>#N/A</v>
      </c>
      <c r="Y367" s="477" t="e">
        <f t="shared" si="240"/>
        <v>#N/A</v>
      </c>
      <c r="AA367" s="103"/>
      <c r="AB367" s="103"/>
      <c r="AC367" s="103"/>
      <c r="AD367" s="103"/>
      <c r="AE367" s="103"/>
      <c r="AF367" s="103"/>
      <c r="AG367" s="103"/>
      <c r="AH367" s="103"/>
      <c r="AI367" s="103"/>
      <c r="AJ367" s="103"/>
      <c r="AK367" s="103"/>
      <c r="AL367" s="103"/>
    </row>
    <row r="368" spans="1:38" s="415" customFormat="1" ht="15.75" hidden="1" x14ac:dyDescent="0.25">
      <c r="A368" s="410"/>
      <c r="D368" s="433"/>
      <c r="E368" s="415">
        <v>2017</v>
      </c>
      <c r="F368" s="467">
        <f t="shared" si="228"/>
        <v>0</v>
      </c>
      <c r="G368" s="467">
        <f t="shared" si="228"/>
        <v>0</v>
      </c>
      <c r="H368" s="457" t="e">
        <f t="shared" si="229"/>
        <v>#N/A</v>
      </c>
      <c r="I368" s="457" t="e">
        <f t="shared" si="229"/>
        <v>#N/A</v>
      </c>
      <c r="J368" s="457" t="e">
        <f t="shared" si="229"/>
        <v>#N/A</v>
      </c>
      <c r="K368" s="476" t="e">
        <f t="shared" si="241"/>
        <v>#N/A</v>
      </c>
      <c r="L368" s="476" t="e">
        <f t="shared" si="242"/>
        <v>#N/A</v>
      </c>
      <c r="M368" s="476" t="e">
        <f t="shared" si="243"/>
        <v>#N/A</v>
      </c>
      <c r="N368" s="477" t="e">
        <f t="shared" si="233"/>
        <v>#N/A</v>
      </c>
      <c r="O368" s="477" t="e">
        <f t="shared" si="233"/>
        <v>#N/A</v>
      </c>
      <c r="P368" s="477" t="e">
        <f t="shared" si="233"/>
        <v>#N/A</v>
      </c>
      <c r="Q368" s="477" t="e">
        <f t="shared" si="244"/>
        <v>#N/A</v>
      </c>
      <c r="R368" s="477" t="e">
        <f t="shared" si="245"/>
        <v>#N/A</v>
      </c>
      <c r="S368" s="477" t="e">
        <f t="shared" si="246"/>
        <v>#N/A</v>
      </c>
      <c r="T368" s="477" t="e">
        <f t="shared" si="237"/>
        <v>#N/A</v>
      </c>
      <c r="U368" s="477" t="e">
        <f t="shared" si="237"/>
        <v>#N/A</v>
      </c>
      <c r="V368" s="477" t="e">
        <f t="shared" si="237"/>
        <v>#N/A</v>
      </c>
      <c r="W368" s="477" t="e">
        <f t="shared" si="238"/>
        <v>#N/A</v>
      </c>
      <c r="X368" s="477" t="e">
        <f t="shared" si="239"/>
        <v>#N/A</v>
      </c>
      <c r="Y368" s="477" t="e">
        <f t="shared" si="240"/>
        <v>#N/A</v>
      </c>
      <c r="AA368" s="103"/>
      <c r="AB368" s="103"/>
      <c r="AC368" s="103"/>
      <c r="AD368" s="103"/>
      <c r="AE368" s="103"/>
      <c r="AF368" s="103"/>
      <c r="AG368" s="103"/>
      <c r="AH368" s="103"/>
      <c r="AI368" s="103"/>
      <c r="AJ368" s="103"/>
      <c r="AK368" s="103"/>
      <c r="AL368" s="103"/>
    </row>
    <row r="369" spans="1:38" s="415" customFormat="1" ht="15.75" hidden="1" x14ac:dyDescent="0.25">
      <c r="A369" s="410"/>
      <c r="D369" s="433"/>
      <c r="E369" s="415">
        <v>2018</v>
      </c>
      <c r="F369" s="467">
        <f t="shared" si="228"/>
        <v>0</v>
      </c>
      <c r="G369" s="467">
        <f t="shared" si="228"/>
        <v>0</v>
      </c>
      <c r="H369" s="457" t="e">
        <f t="shared" si="229"/>
        <v>#N/A</v>
      </c>
      <c r="I369" s="457" t="e">
        <f t="shared" si="229"/>
        <v>#N/A</v>
      </c>
      <c r="J369" s="457" t="e">
        <f t="shared" si="229"/>
        <v>#N/A</v>
      </c>
      <c r="K369" s="476" t="e">
        <f t="shared" si="241"/>
        <v>#N/A</v>
      </c>
      <c r="L369" s="476" t="e">
        <f t="shared" si="242"/>
        <v>#N/A</v>
      </c>
      <c r="M369" s="476" t="e">
        <f t="shared" si="243"/>
        <v>#N/A</v>
      </c>
      <c r="N369" s="477" t="e">
        <f t="shared" si="233"/>
        <v>#N/A</v>
      </c>
      <c r="O369" s="477" t="e">
        <f t="shared" si="233"/>
        <v>#N/A</v>
      </c>
      <c r="P369" s="477" t="e">
        <f t="shared" si="233"/>
        <v>#N/A</v>
      </c>
      <c r="Q369" s="477" t="e">
        <f t="shared" si="244"/>
        <v>#N/A</v>
      </c>
      <c r="R369" s="477" t="e">
        <f t="shared" si="245"/>
        <v>#N/A</v>
      </c>
      <c r="S369" s="477" t="e">
        <f t="shared" si="246"/>
        <v>#N/A</v>
      </c>
      <c r="T369" s="477" t="e">
        <f t="shared" si="237"/>
        <v>#N/A</v>
      </c>
      <c r="U369" s="477" t="e">
        <f t="shared" si="237"/>
        <v>#N/A</v>
      </c>
      <c r="V369" s="477" t="e">
        <f t="shared" si="237"/>
        <v>#N/A</v>
      </c>
      <c r="W369" s="477" t="e">
        <f t="shared" si="238"/>
        <v>#N/A</v>
      </c>
      <c r="X369" s="477" t="e">
        <f t="shared" si="239"/>
        <v>#N/A</v>
      </c>
      <c r="Y369" s="477" t="e">
        <f t="shared" si="240"/>
        <v>#N/A</v>
      </c>
      <c r="AA369" s="103"/>
      <c r="AB369" s="103"/>
      <c r="AC369" s="103"/>
      <c r="AD369" s="103"/>
      <c r="AE369" s="103"/>
      <c r="AF369" s="103"/>
      <c r="AG369" s="103"/>
      <c r="AH369" s="103"/>
      <c r="AI369" s="103"/>
      <c r="AJ369" s="103"/>
      <c r="AK369" s="103"/>
      <c r="AL369" s="103"/>
    </row>
    <row r="370" spans="1:38" s="415" customFormat="1" ht="15.75" hidden="1" x14ac:dyDescent="0.25">
      <c r="A370" s="410"/>
      <c r="D370" s="433"/>
      <c r="E370" s="415">
        <v>2019</v>
      </c>
      <c r="F370" s="467">
        <f t="shared" si="228"/>
        <v>0</v>
      </c>
      <c r="G370" s="467">
        <f t="shared" si="228"/>
        <v>0</v>
      </c>
      <c r="H370" s="457" t="e">
        <f t="shared" si="229"/>
        <v>#N/A</v>
      </c>
      <c r="I370" s="457" t="e">
        <f t="shared" si="229"/>
        <v>#N/A</v>
      </c>
      <c r="J370" s="457" t="e">
        <f t="shared" si="229"/>
        <v>#N/A</v>
      </c>
      <c r="K370" s="476" t="e">
        <f t="shared" si="241"/>
        <v>#N/A</v>
      </c>
      <c r="L370" s="476" t="e">
        <f t="shared" si="242"/>
        <v>#N/A</v>
      </c>
      <c r="M370" s="476" t="e">
        <f t="shared" si="243"/>
        <v>#N/A</v>
      </c>
      <c r="N370" s="477" t="e">
        <f t="shared" si="233"/>
        <v>#N/A</v>
      </c>
      <c r="O370" s="477" t="e">
        <f t="shared" si="233"/>
        <v>#N/A</v>
      </c>
      <c r="P370" s="477" t="e">
        <f t="shared" si="233"/>
        <v>#N/A</v>
      </c>
      <c r="Q370" s="477" t="e">
        <f t="shared" si="244"/>
        <v>#N/A</v>
      </c>
      <c r="R370" s="477" t="e">
        <f t="shared" si="245"/>
        <v>#N/A</v>
      </c>
      <c r="S370" s="477" t="e">
        <f t="shared" si="246"/>
        <v>#N/A</v>
      </c>
      <c r="T370" s="477" t="e">
        <f t="shared" si="237"/>
        <v>#N/A</v>
      </c>
      <c r="U370" s="477" t="e">
        <f t="shared" si="237"/>
        <v>#N/A</v>
      </c>
      <c r="V370" s="477" t="e">
        <f t="shared" si="237"/>
        <v>#N/A</v>
      </c>
      <c r="W370" s="477" t="e">
        <f t="shared" si="238"/>
        <v>#N/A</v>
      </c>
      <c r="X370" s="477" t="e">
        <f t="shared" si="239"/>
        <v>#N/A</v>
      </c>
      <c r="Y370" s="477" t="e">
        <f t="shared" si="240"/>
        <v>#N/A</v>
      </c>
      <c r="AA370" s="103"/>
      <c r="AB370" s="103"/>
      <c r="AC370" s="103"/>
      <c r="AD370" s="103"/>
      <c r="AE370" s="103"/>
      <c r="AF370" s="103"/>
      <c r="AG370" s="103"/>
      <c r="AH370" s="103"/>
      <c r="AI370" s="103"/>
      <c r="AJ370" s="103"/>
      <c r="AK370" s="103"/>
      <c r="AL370" s="103"/>
    </row>
    <row r="371" spans="1:38" s="415" customFormat="1" ht="15.75" hidden="1" x14ac:dyDescent="0.25">
      <c r="A371" s="410"/>
      <c r="D371" s="433"/>
      <c r="E371" s="415">
        <v>2020</v>
      </c>
      <c r="F371" s="467">
        <f t="shared" si="228"/>
        <v>0</v>
      </c>
      <c r="G371" s="467">
        <f t="shared" si="228"/>
        <v>0</v>
      </c>
      <c r="H371" s="457" t="e">
        <f t="shared" si="229"/>
        <v>#N/A</v>
      </c>
      <c r="I371" s="457" t="e">
        <f t="shared" si="229"/>
        <v>#N/A</v>
      </c>
      <c r="J371" s="457" t="e">
        <f t="shared" si="229"/>
        <v>#N/A</v>
      </c>
      <c r="K371" s="476" t="e">
        <f t="shared" si="241"/>
        <v>#N/A</v>
      </c>
      <c r="L371" s="476" t="e">
        <f t="shared" si="242"/>
        <v>#N/A</v>
      </c>
      <c r="M371" s="476" t="e">
        <f t="shared" si="243"/>
        <v>#N/A</v>
      </c>
      <c r="N371" s="477" t="e">
        <f t="shared" si="233"/>
        <v>#N/A</v>
      </c>
      <c r="O371" s="477" t="e">
        <f t="shared" si="233"/>
        <v>#N/A</v>
      </c>
      <c r="P371" s="477" t="e">
        <f t="shared" si="233"/>
        <v>#N/A</v>
      </c>
      <c r="Q371" s="477" t="e">
        <f t="shared" si="244"/>
        <v>#N/A</v>
      </c>
      <c r="R371" s="477" t="e">
        <f t="shared" si="245"/>
        <v>#N/A</v>
      </c>
      <c r="S371" s="477" t="e">
        <f t="shared" si="246"/>
        <v>#N/A</v>
      </c>
      <c r="T371" s="477" t="e">
        <f t="shared" si="237"/>
        <v>#N/A</v>
      </c>
      <c r="U371" s="477" t="e">
        <f t="shared" si="237"/>
        <v>#N/A</v>
      </c>
      <c r="V371" s="477" t="e">
        <f t="shared" si="237"/>
        <v>#N/A</v>
      </c>
      <c r="W371" s="477" t="e">
        <f t="shared" si="238"/>
        <v>#N/A</v>
      </c>
      <c r="X371" s="477" t="e">
        <f t="shared" si="239"/>
        <v>#N/A</v>
      </c>
      <c r="Y371" s="477" t="e">
        <f t="shared" si="240"/>
        <v>#N/A</v>
      </c>
      <c r="AA371" s="103"/>
      <c r="AB371" s="103"/>
      <c r="AC371" s="103"/>
      <c r="AD371" s="103"/>
      <c r="AE371" s="103"/>
      <c r="AF371" s="103"/>
      <c r="AG371" s="103"/>
      <c r="AH371" s="103"/>
      <c r="AI371" s="103"/>
      <c r="AJ371" s="103"/>
      <c r="AK371" s="103"/>
      <c r="AL371" s="103"/>
    </row>
    <row r="372" spans="1:38" s="415" customFormat="1" ht="15.75" hidden="1" x14ac:dyDescent="0.25">
      <c r="A372" s="410"/>
      <c r="D372" s="433"/>
      <c r="N372" s="447"/>
      <c r="O372" s="447"/>
      <c r="P372" s="447"/>
      <c r="Q372" s="447"/>
      <c r="R372" s="447"/>
      <c r="S372" s="447"/>
      <c r="T372" s="447"/>
      <c r="U372" s="447"/>
      <c r="V372" s="447"/>
      <c r="W372" s="447"/>
      <c r="X372" s="447"/>
      <c r="Y372" s="447"/>
      <c r="AA372" s="103"/>
      <c r="AB372" s="103"/>
      <c r="AC372" s="103"/>
      <c r="AD372" s="103"/>
      <c r="AE372" s="103"/>
      <c r="AF372" s="103"/>
      <c r="AG372" s="103"/>
      <c r="AH372" s="103"/>
      <c r="AI372" s="103"/>
      <c r="AJ372" s="103"/>
      <c r="AK372" s="103"/>
      <c r="AL372" s="103"/>
    </row>
    <row r="373" spans="1:38" s="415" customFormat="1" ht="15.75" hidden="1" x14ac:dyDescent="0.25">
      <c r="A373" s="410"/>
      <c r="D373" s="433"/>
      <c r="F373" s="467"/>
      <c r="N373" s="447"/>
      <c r="O373" s="447"/>
      <c r="P373" s="447"/>
      <c r="Q373" s="447"/>
      <c r="R373" s="447"/>
      <c r="S373" s="447"/>
      <c r="T373" s="447"/>
      <c r="U373" s="447"/>
      <c r="V373" s="447"/>
      <c r="W373" s="447"/>
      <c r="X373" s="447"/>
      <c r="Y373" s="447"/>
      <c r="AA373" s="103"/>
      <c r="AB373" s="103"/>
      <c r="AC373" s="103"/>
      <c r="AD373" s="103"/>
      <c r="AE373" s="103"/>
      <c r="AF373" s="103"/>
      <c r="AG373" s="103"/>
      <c r="AH373" s="103"/>
      <c r="AI373" s="103"/>
      <c r="AJ373" s="103"/>
      <c r="AK373" s="103"/>
      <c r="AL373" s="103"/>
    </row>
    <row r="374" spans="1:38" s="415" customFormat="1" ht="15.75" hidden="1" x14ac:dyDescent="0.25">
      <c r="A374" s="410"/>
      <c r="B374" s="1187" t="s">
        <v>1570</v>
      </c>
      <c r="C374" s="1188"/>
      <c r="D374" s="1140" t="s">
        <v>1896</v>
      </c>
      <c r="F374" s="467"/>
      <c r="N374" s="447"/>
      <c r="O374" s="447"/>
      <c r="P374" s="447"/>
      <c r="Q374" s="447"/>
      <c r="R374" s="447"/>
      <c r="S374" s="447"/>
      <c r="T374" s="447"/>
      <c r="U374" s="447"/>
      <c r="V374" s="447"/>
      <c r="W374" s="447"/>
      <c r="X374" s="447"/>
      <c r="Y374" s="447"/>
      <c r="AA374" s="103"/>
      <c r="AB374" s="103"/>
      <c r="AC374" s="103"/>
      <c r="AD374" s="103"/>
      <c r="AE374" s="103"/>
      <c r="AF374" s="103"/>
      <c r="AG374" s="103"/>
      <c r="AH374" s="103"/>
      <c r="AI374" s="103"/>
      <c r="AJ374" s="103"/>
      <c r="AK374" s="103"/>
      <c r="AL374" s="103"/>
    </row>
    <row r="375" spans="1:38" s="415" customFormat="1" ht="15.75" hidden="1" x14ac:dyDescent="0.25">
      <c r="A375" s="410"/>
      <c r="D375" s="418" t="s">
        <v>412</v>
      </c>
      <c r="E375" s="419" t="s">
        <v>10</v>
      </c>
      <c r="F375" s="419" t="s">
        <v>428</v>
      </c>
      <c r="G375" s="419" t="str">
        <f>$G$284</f>
        <v>Cost in 2008 dollars</v>
      </c>
      <c r="H375" s="417" t="s">
        <v>583</v>
      </c>
      <c r="I375" s="417" t="s">
        <v>584</v>
      </c>
      <c r="J375" s="417" t="s">
        <v>585</v>
      </c>
      <c r="K375" s="417" t="s">
        <v>586</v>
      </c>
      <c r="L375" s="417" t="s">
        <v>413</v>
      </c>
      <c r="M375" s="417" t="s">
        <v>414</v>
      </c>
      <c r="N375" s="426" t="s">
        <v>592</v>
      </c>
      <c r="O375" s="426" t="s">
        <v>587</v>
      </c>
      <c r="P375" s="426" t="s">
        <v>588</v>
      </c>
      <c r="Q375" s="426" t="s">
        <v>589</v>
      </c>
      <c r="R375" s="426" t="s">
        <v>590</v>
      </c>
      <c r="S375" s="426" t="s">
        <v>591</v>
      </c>
      <c r="T375" s="426" t="s">
        <v>593</v>
      </c>
      <c r="U375" s="426" t="s">
        <v>594</v>
      </c>
      <c r="V375" s="426" t="s">
        <v>595</v>
      </c>
      <c r="W375" s="426" t="s">
        <v>596</v>
      </c>
      <c r="X375" s="426" t="s">
        <v>597</v>
      </c>
      <c r="Y375" s="426" t="s">
        <v>598</v>
      </c>
      <c r="AA375" s="103"/>
      <c r="AB375" s="103"/>
      <c r="AC375" s="103"/>
      <c r="AD375" s="103"/>
      <c r="AE375" s="103"/>
      <c r="AF375" s="103"/>
      <c r="AG375" s="103"/>
      <c r="AH375" s="103"/>
      <c r="AI375" s="103"/>
      <c r="AJ375" s="103"/>
      <c r="AK375" s="103"/>
      <c r="AL375" s="103"/>
    </row>
    <row r="376" spans="1:38" s="415" customFormat="1" ht="15.75" hidden="1" x14ac:dyDescent="0.25">
      <c r="A376" s="410"/>
      <c r="C376" s="415" t="s">
        <v>440</v>
      </c>
      <c r="D376" s="433">
        <v>484000</v>
      </c>
      <c r="E376" s="415" t="s">
        <v>755</v>
      </c>
      <c r="F376" s="1143">
        <f>J66</f>
        <v>850</v>
      </c>
      <c r="G376" s="1143">
        <f>F376*$C$593</f>
        <v>839.26858238250725</v>
      </c>
      <c r="H376" s="475" t="e">
        <f>$G376*INDEX(tier_emp_mult, MATCH($D376, tier_emp_code,0), MATCH(State, R_emp, 0))/1000000</f>
        <v>#N/A</v>
      </c>
      <c r="I376" s="436" t="e">
        <f>$G376*INDEX(typeI_emp_mult, MATCH($D376, typeI_emp_code,0), MATCH(State, R_emp, 0))/1000000</f>
        <v>#N/A</v>
      </c>
      <c r="J376" s="436" t="e">
        <f>$G376*INDEX(typeII_emp_mult, MATCH($D376, typeII_emp_code,0), MATCH(State, R_emp, 0))/1000000</f>
        <v>#N/A</v>
      </c>
      <c r="K376" s="437" t="e">
        <f>H376</f>
        <v>#N/A</v>
      </c>
      <c r="L376" s="437" t="e">
        <f t="shared" ref="L376:L377" si="247">I376-H376</f>
        <v>#N/A</v>
      </c>
      <c r="M376" s="437" t="e">
        <f t="shared" ref="M376:M377" si="248">J376-I376</f>
        <v>#N/A</v>
      </c>
      <c r="N376" s="436" t="e">
        <f>$G376*INDEX(tier_earn_mult, MATCH($D376, tier_earn_code,0), MATCH(State, R_earn, 0))</f>
        <v>#N/A</v>
      </c>
      <c r="O376" s="436" t="e">
        <f>$G376*INDEX(typeI_earn_mult, MATCH($D376, typeI_earn_code,0), MATCH(State, R_earn, 0))</f>
        <v>#N/A</v>
      </c>
      <c r="P376" s="436" t="e">
        <f>$G376*INDEX(typeII_earn_mult, MATCH($D376, typeII_earn_code,0), MATCH(State, R_earn, 0))</f>
        <v>#N/A</v>
      </c>
      <c r="Q376" s="438" t="e">
        <f>N376</f>
        <v>#N/A</v>
      </c>
      <c r="R376" s="438" t="e">
        <f t="shared" ref="R376:R377" si="249">O376-N376</f>
        <v>#N/A</v>
      </c>
      <c r="S376" s="438" t="e">
        <f t="shared" ref="S376:S377" si="250">P376-O376</f>
        <v>#N/A</v>
      </c>
      <c r="T376" s="436" t="e">
        <f>$G376*INDEX(tier_out_mult, MATCH($D376, tier_out_code,0), MATCH(State, R_out, 0))</f>
        <v>#N/A</v>
      </c>
      <c r="U376" s="436" t="e">
        <f>$G376*INDEX(typeI_out_mult, MATCH($D376, typeI_out_code,0), MATCH(State, R_out, 0))</f>
        <v>#N/A</v>
      </c>
      <c r="V376" s="436" t="e">
        <f>$G376*INDEX(typeII_out_mult, MATCH($D376, typeII_out_code,0), MATCH(State, R_out, 0))</f>
        <v>#N/A</v>
      </c>
      <c r="W376" s="438" t="e">
        <f>T376</f>
        <v>#N/A</v>
      </c>
      <c r="X376" s="438" t="e">
        <f t="shared" ref="X376:X377" si="251">U376-T376</f>
        <v>#N/A</v>
      </c>
      <c r="Y376" s="438" t="e">
        <f t="shared" ref="Y376:Y377" si="252">V376-U376</f>
        <v>#N/A</v>
      </c>
      <c r="AA376" s="103"/>
      <c r="AB376" s="103"/>
      <c r="AC376" s="103"/>
      <c r="AD376" s="103"/>
      <c r="AE376" s="103"/>
      <c r="AF376" s="103"/>
      <c r="AG376" s="103"/>
      <c r="AH376" s="103"/>
      <c r="AI376" s="103"/>
      <c r="AJ376" s="103"/>
      <c r="AK376" s="103"/>
      <c r="AL376" s="103"/>
    </row>
    <row r="377" spans="1:38" s="415" customFormat="1" ht="15.75" hidden="1" x14ac:dyDescent="0.25">
      <c r="A377" s="410"/>
      <c r="C377" s="415" t="s">
        <v>441</v>
      </c>
      <c r="D377" s="433">
        <v>484000</v>
      </c>
      <c r="E377" s="415" t="s">
        <v>755</v>
      </c>
      <c r="F377" s="1143">
        <f>J67</f>
        <v>350</v>
      </c>
      <c r="G377" s="1143">
        <f>F377*$C$593</f>
        <v>345.58118098103239</v>
      </c>
      <c r="H377" s="475" t="e">
        <f>$G377*INDEX(tier_emp_mult, MATCH($D377, tier_emp_code,0), MATCH(State, R_emp, 0))/1000000</f>
        <v>#N/A</v>
      </c>
      <c r="I377" s="436" t="e">
        <f>$G377*INDEX(typeI_emp_mult, MATCH($D377, typeI_emp_code,0), MATCH(State, R_emp, 0))/1000000</f>
        <v>#N/A</v>
      </c>
      <c r="J377" s="436" t="e">
        <f>$G377*INDEX(typeII_emp_mult, MATCH($D377, typeII_emp_code,0), MATCH(State, R_emp, 0))/1000000</f>
        <v>#N/A</v>
      </c>
      <c r="K377" s="437" t="e">
        <f>H377</f>
        <v>#N/A</v>
      </c>
      <c r="L377" s="437" t="e">
        <f t="shared" si="247"/>
        <v>#N/A</v>
      </c>
      <c r="M377" s="437" t="e">
        <f t="shared" si="248"/>
        <v>#N/A</v>
      </c>
      <c r="N377" s="436" t="e">
        <f>$G377*INDEX(tier_earn_mult, MATCH($D377, tier_earn_code,0), MATCH(State, R_earn, 0))</f>
        <v>#N/A</v>
      </c>
      <c r="O377" s="436" t="e">
        <f>$G377*INDEX(typeI_earn_mult, MATCH($D377, typeI_earn_code,0), MATCH(State, R_earn, 0))</f>
        <v>#N/A</v>
      </c>
      <c r="P377" s="436" t="e">
        <f>$G377*INDEX(typeII_earn_mult, MATCH($D377, typeII_earn_code,0), MATCH(State, R_earn, 0))</f>
        <v>#N/A</v>
      </c>
      <c r="Q377" s="438" t="e">
        <f>N377</f>
        <v>#N/A</v>
      </c>
      <c r="R377" s="438" t="e">
        <f t="shared" si="249"/>
        <v>#N/A</v>
      </c>
      <c r="S377" s="438" t="e">
        <f t="shared" si="250"/>
        <v>#N/A</v>
      </c>
      <c r="T377" s="436" t="e">
        <f>$G377*INDEX(tier_out_mult, MATCH($D377, tier_out_code,0), MATCH(State, R_out, 0))</f>
        <v>#N/A</v>
      </c>
      <c r="U377" s="436" t="e">
        <f>$G377*INDEX(typeI_out_mult, MATCH($D377, typeI_out_code,0), MATCH(State, R_out, 0))</f>
        <v>#N/A</v>
      </c>
      <c r="V377" s="436" t="e">
        <f>$G377*INDEX(typeII_out_mult, MATCH($D377, typeII_out_code,0), MATCH(State, R_out, 0))</f>
        <v>#N/A</v>
      </c>
      <c r="W377" s="438" t="e">
        <f>T377</f>
        <v>#N/A</v>
      </c>
      <c r="X377" s="438" t="e">
        <f t="shared" si="251"/>
        <v>#N/A</v>
      </c>
      <c r="Y377" s="438" t="e">
        <f t="shared" si="252"/>
        <v>#N/A</v>
      </c>
      <c r="AA377" s="103"/>
      <c r="AB377" s="103"/>
      <c r="AC377" s="103"/>
      <c r="AD377" s="103"/>
      <c r="AE377" s="103"/>
      <c r="AF377" s="103"/>
      <c r="AG377" s="103"/>
      <c r="AH377" s="103"/>
      <c r="AI377" s="103"/>
      <c r="AJ377" s="103"/>
      <c r="AK377" s="103"/>
      <c r="AL377" s="103"/>
    </row>
    <row r="378" spans="1:38" s="415" customFormat="1" ht="15.75" hidden="1" x14ac:dyDescent="0.25">
      <c r="A378" s="410"/>
      <c r="D378" s="433"/>
      <c r="F378" s="467"/>
      <c r="N378" s="447"/>
      <c r="O378" s="447"/>
      <c r="P378" s="447"/>
      <c r="Q378" s="447"/>
      <c r="R378" s="447"/>
      <c r="S378" s="447"/>
      <c r="T378" s="447"/>
      <c r="U378" s="447"/>
      <c r="V378" s="447"/>
      <c r="W378" s="447"/>
      <c r="X378" s="447"/>
      <c r="Y378" s="447"/>
      <c r="AA378" s="103"/>
      <c r="AB378" s="103"/>
      <c r="AC378" s="103"/>
      <c r="AD378" s="103"/>
      <c r="AE378" s="103"/>
      <c r="AF378" s="103"/>
      <c r="AG378" s="103"/>
      <c r="AH378" s="103"/>
      <c r="AI378" s="103"/>
      <c r="AJ378" s="103"/>
      <c r="AK378" s="103"/>
      <c r="AL378" s="103"/>
    </row>
    <row r="379" spans="1:38" s="415" customFormat="1" ht="15.75" hidden="1" x14ac:dyDescent="0.25">
      <c r="A379" s="410"/>
      <c r="D379" s="433"/>
      <c r="F379" s="467"/>
      <c r="N379" s="447"/>
      <c r="O379" s="447"/>
      <c r="P379" s="447"/>
      <c r="Q379" s="447"/>
      <c r="R379" s="447"/>
      <c r="S379" s="447"/>
      <c r="T379" s="447"/>
      <c r="U379" s="447"/>
      <c r="V379" s="447"/>
      <c r="W379" s="447"/>
      <c r="X379" s="447"/>
      <c r="Y379" s="447"/>
      <c r="AA379" s="103"/>
      <c r="AB379" s="103"/>
      <c r="AC379" s="103"/>
      <c r="AD379" s="103"/>
      <c r="AE379" s="103"/>
      <c r="AF379" s="103"/>
      <c r="AG379" s="103"/>
      <c r="AH379" s="103"/>
      <c r="AI379" s="103"/>
      <c r="AJ379" s="103"/>
      <c r="AK379" s="103"/>
      <c r="AL379" s="103"/>
    </row>
    <row r="380" spans="1:38" s="415" customFormat="1" ht="15.75" hidden="1" x14ac:dyDescent="0.25">
      <c r="A380" s="410"/>
      <c r="D380" s="433"/>
      <c r="E380" s="440">
        <v>2015</v>
      </c>
      <c r="F380" s="467">
        <f>($D$615*F$376*mfg_2015)+($D$616*F$376*$F575)+($D$615*F$377*mfg_2015_c3)+($D$616*F$377*$F585)</f>
        <v>0</v>
      </c>
      <c r="G380" s="467">
        <f t="shared" ref="G380:Y380" si="253">($D$615*G$376*mfg_2015)+($D$616*G$376*$F575)+($D$615*G$377*mfg_2015_c3)+($D$616*G$377*$F585)</f>
        <v>0</v>
      </c>
      <c r="H380" s="457" t="e">
        <f t="shared" si="253"/>
        <v>#N/A</v>
      </c>
      <c r="I380" s="457" t="e">
        <f t="shared" si="253"/>
        <v>#N/A</v>
      </c>
      <c r="J380" s="457" t="e">
        <f t="shared" si="253"/>
        <v>#N/A</v>
      </c>
      <c r="K380" s="457" t="e">
        <f t="shared" si="253"/>
        <v>#N/A</v>
      </c>
      <c r="L380" s="457" t="e">
        <f t="shared" si="253"/>
        <v>#N/A</v>
      </c>
      <c r="M380" s="457" t="e">
        <f t="shared" si="253"/>
        <v>#N/A</v>
      </c>
      <c r="N380" s="467" t="e">
        <f t="shared" si="253"/>
        <v>#N/A</v>
      </c>
      <c r="O380" s="467" t="e">
        <f t="shared" si="253"/>
        <v>#N/A</v>
      </c>
      <c r="P380" s="467" t="e">
        <f t="shared" si="253"/>
        <v>#N/A</v>
      </c>
      <c r="Q380" s="467" t="e">
        <f t="shared" si="253"/>
        <v>#N/A</v>
      </c>
      <c r="R380" s="467" t="e">
        <f t="shared" si="253"/>
        <v>#N/A</v>
      </c>
      <c r="S380" s="467" t="e">
        <f t="shared" si="253"/>
        <v>#N/A</v>
      </c>
      <c r="T380" s="467" t="e">
        <f t="shared" si="253"/>
        <v>#N/A</v>
      </c>
      <c r="U380" s="467" t="e">
        <f t="shared" si="253"/>
        <v>#N/A</v>
      </c>
      <c r="V380" s="467" t="e">
        <f t="shared" si="253"/>
        <v>#N/A</v>
      </c>
      <c r="W380" s="467" t="e">
        <f t="shared" si="253"/>
        <v>#N/A</v>
      </c>
      <c r="X380" s="467" t="e">
        <f t="shared" si="253"/>
        <v>#N/A</v>
      </c>
      <c r="Y380" s="467" t="e">
        <f t="shared" si="253"/>
        <v>#N/A</v>
      </c>
      <c r="AA380" s="103"/>
      <c r="AB380" s="103"/>
      <c r="AC380" s="103"/>
      <c r="AD380" s="103"/>
      <c r="AE380" s="103"/>
      <c r="AF380" s="103"/>
      <c r="AG380" s="103"/>
      <c r="AH380" s="103"/>
      <c r="AI380" s="103"/>
      <c r="AJ380" s="103"/>
      <c r="AK380" s="103"/>
      <c r="AL380" s="103"/>
    </row>
    <row r="381" spans="1:38" s="415" customFormat="1" ht="15.75" hidden="1" x14ac:dyDescent="0.25">
      <c r="A381" s="410"/>
      <c r="D381" s="433"/>
      <c r="E381" s="440">
        <v>2016</v>
      </c>
      <c r="F381" s="467">
        <f t="shared" ref="F381:Y381" si="254">($D$615*F$376*mfg_2016)+($D$616*F$376*$F576)+($D$615*F$377*mfg_2016_c3)+($D$616*F$377*$F586)</f>
        <v>0</v>
      </c>
      <c r="G381" s="467">
        <f t="shared" si="254"/>
        <v>0</v>
      </c>
      <c r="H381" s="457" t="e">
        <f t="shared" si="254"/>
        <v>#N/A</v>
      </c>
      <c r="I381" s="457" t="e">
        <f t="shared" si="254"/>
        <v>#N/A</v>
      </c>
      <c r="J381" s="457" t="e">
        <f t="shared" si="254"/>
        <v>#N/A</v>
      </c>
      <c r="K381" s="457" t="e">
        <f t="shared" si="254"/>
        <v>#N/A</v>
      </c>
      <c r="L381" s="457" t="e">
        <f t="shared" si="254"/>
        <v>#N/A</v>
      </c>
      <c r="M381" s="457" t="e">
        <f t="shared" si="254"/>
        <v>#N/A</v>
      </c>
      <c r="N381" s="467" t="e">
        <f t="shared" si="254"/>
        <v>#N/A</v>
      </c>
      <c r="O381" s="467" t="e">
        <f t="shared" si="254"/>
        <v>#N/A</v>
      </c>
      <c r="P381" s="467" t="e">
        <f t="shared" si="254"/>
        <v>#N/A</v>
      </c>
      <c r="Q381" s="467" t="e">
        <f t="shared" si="254"/>
        <v>#N/A</v>
      </c>
      <c r="R381" s="467" t="e">
        <f t="shared" si="254"/>
        <v>#N/A</v>
      </c>
      <c r="S381" s="467" t="e">
        <f t="shared" si="254"/>
        <v>#N/A</v>
      </c>
      <c r="T381" s="467" t="e">
        <f t="shared" si="254"/>
        <v>#N/A</v>
      </c>
      <c r="U381" s="467" t="e">
        <f t="shared" si="254"/>
        <v>#N/A</v>
      </c>
      <c r="V381" s="467" t="e">
        <f t="shared" si="254"/>
        <v>#N/A</v>
      </c>
      <c r="W381" s="467" t="e">
        <f t="shared" si="254"/>
        <v>#N/A</v>
      </c>
      <c r="X381" s="467" t="e">
        <f t="shared" si="254"/>
        <v>#N/A</v>
      </c>
      <c r="Y381" s="467" t="e">
        <f t="shared" si="254"/>
        <v>#N/A</v>
      </c>
      <c r="AA381" s="103"/>
      <c r="AB381" s="103"/>
      <c r="AC381" s="103"/>
      <c r="AD381" s="103"/>
      <c r="AE381" s="103"/>
      <c r="AF381" s="103"/>
      <c r="AG381" s="103"/>
      <c r="AH381" s="103"/>
      <c r="AI381" s="103"/>
      <c r="AJ381" s="103"/>
      <c r="AK381" s="103"/>
      <c r="AL381" s="103"/>
    </row>
    <row r="382" spans="1:38" s="415" customFormat="1" ht="15.75" hidden="1" x14ac:dyDescent="0.25">
      <c r="A382" s="410"/>
      <c r="D382" s="433"/>
      <c r="E382" s="440">
        <v>2017</v>
      </c>
      <c r="F382" s="467">
        <f t="shared" ref="F382:Y382" si="255">($D$615*F$376*mfg_2017)+($D$616*F$376*$F577)+($D$615*F$377*mfg_2017_c3)+($D$616*F$377*$F587)</f>
        <v>0</v>
      </c>
      <c r="G382" s="467">
        <f t="shared" si="255"/>
        <v>0</v>
      </c>
      <c r="H382" s="457" t="e">
        <f t="shared" si="255"/>
        <v>#N/A</v>
      </c>
      <c r="I382" s="457" t="e">
        <f t="shared" si="255"/>
        <v>#N/A</v>
      </c>
      <c r="J382" s="457" t="e">
        <f t="shared" si="255"/>
        <v>#N/A</v>
      </c>
      <c r="K382" s="457" t="e">
        <f t="shared" si="255"/>
        <v>#N/A</v>
      </c>
      <c r="L382" s="457" t="e">
        <f t="shared" si="255"/>
        <v>#N/A</v>
      </c>
      <c r="M382" s="457" t="e">
        <f t="shared" si="255"/>
        <v>#N/A</v>
      </c>
      <c r="N382" s="467" t="e">
        <f t="shared" si="255"/>
        <v>#N/A</v>
      </c>
      <c r="O382" s="467" t="e">
        <f t="shared" si="255"/>
        <v>#N/A</v>
      </c>
      <c r="P382" s="467" t="e">
        <f t="shared" si="255"/>
        <v>#N/A</v>
      </c>
      <c r="Q382" s="467" t="e">
        <f t="shared" si="255"/>
        <v>#N/A</v>
      </c>
      <c r="R382" s="467" t="e">
        <f t="shared" si="255"/>
        <v>#N/A</v>
      </c>
      <c r="S382" s="467" t="e">
        <f t="shared" si="255"/>
        <v>#N/A</v>
      </c>
      <c r="T382" s="467" t="e">
        <f t="shared" si="255"/>
        <v>#N/A</v>
      </c>
      <c r="U382" s="467" t="e">
        <f t="shared" si="255"/>
        <v>#N/A</v>
      </c>
      <c r="V382" s="467" t="e">
        <f t="shared" si="255"/>
        <v>#N/A</v>
      </c>
      <c r="W382" s="467" t="e">
        <f t="shared" si="255"/>
        <v>#N/A</v>
      </c>
      <c r="X382" s="467" t="e">
        <f t="shared" si="255"/>
        <v>#N/A</v>
      </c>
      <c r="Y382" s="467" t="e">
        <f t="shared" si="255"/>
        <v>#N/A</v>
      </c>
      <c r="AA382" s="103"/>
      <c r="AB382" s="103"/>
      <c r="AC382" s="103"/>
      <c r="AD382" s="103"/>
      <c r="AE382" s="103"/>
      <c r="AF382" s="103"/>
      <c r="AG382" s="103"/>
      <c r="AH382" s="103"/>
      <c r="AI382" s="103"/>
      <c r="AJ382" s="103"/>
      <c r="AK382" s="103"/>
      <c r="AL382" s="103"/>
    </row>
    <row r="383" spans="1:38" s="415" customFormat="1" ht="15.75" hidden="1" x14ac:dyDescent="0.25">
      <c r="A383" s="410"/>
      <c r="D383" s="433"/>
      <c r="E383" s="440">
        <v>2018</v>
      </c>
      <c r="F383" s="467">
        <f t="shared" ref="F383:Y383" si="256">($D$615*F$376*mfg_2018)+($D$616*F$376*$F578)+($D$615*F$377*mfg_2018_c3)+($D$616*F$377*$F588)</f>
        <v>0</v>
      </c>
      <c r="G383" s="467">
        <f t="shared" si="256"/>
        <v>0</v>
      </c>
      <c r="H383" s="457" t="e">
        <f t="shared" si="256"/>
        <v>#N/A</v>
      </c>
      <c r="I383" s="457" t="e">
        <f t="shared" si="256"/>
        <v>#N/A</v>
      </c>
      <c r="J383" s="457" t="e">
        <f t="shared" si="256"/>
        <v>#N/A</v>
      </c>
      <c r="K383" s="457" t="e">
        <f t="shared" si="256"/>
        <v>#N/A</v>
      </c>
      <c r="L383" s="457" t="e">
        <f t="shared" si="256"/>
        <v>#N/A</v>
      </c>
      <c r="M383" s="457" t="e">
        <f t="shared" si="256"/>
        <v>#N/A</v>
      </c>
      <c r="N383" s="467" t="e">
        <f t="shared" si="256"/>
        <v>#N/A</v>
      </c>
      <c r="O383" s="467" t="e">
        <f t="shared" si="256"/>
        <v>#N/A</v>
      </c>
      <c r="P383" s="467" t="e">
        <f t="shared" si="256"/>
        <v>#N/A</v>
      </c>
      <c r="Q383" s="467" t="e">
        <f t="shared" si="256"/>
        <v>#N/A</v>
      </c>
      <c r="R383" s="467" t="e">
        <f t="shared" si="256"/>
        <v>#N/A</v>
      </c>
      <c r="S383" s="467" t="e">
        <f t="shared" si="256"/>
        <v>#N/A</v>
      </c>
      <c r="T383" s="467" t="e">
        <f t="shared" si="256"/>
        <v>#N/A</v>
      </c>
      <c r="U383" s="467" t="e">
        <f t="shared" si="256"/>
        <v>#N/A</v>
      </c>
      <c r="V383" s="467" t="e">
        <f t="shared" si="256"/>
        <v>#N/A</v>
      </c>
      <c r="W383" s="467" t="e">
        <f t="shared" si="256"/>
        <v>#N/A</v>
      </c>
      <c r="X383" s="467" t="e">
        <f t="shared" si="256"/>
        <v>#N/A</v>
      </c>
      <c r="Y383" s="467" t="e">
        <f t="shared" si="256"/>
        <v>#N/A</v>
      </c>
      <c r="AA383" s="103"/>
      <c r="AB383" s="103"/>
      <c r="AC383" s="103"/>
      <c r="AD383" s="103"/>
      <c r="AE383" s="103"/>
      <c r="AF383" s="103"/>
      <c r="AG383" s="103"/>
      <c r="AH383" s="103"/>
      <c r="AI383" s="103"/>
      <c r="AJ383" s="103"/>
      <c r="AK383" s="103"/>
      <c r="AL383" s="103"/>
    </row>
    <row r="384" spans="1:38" s="415" customFormat="1" ht="15.75" hidden="1" x14ac:dyDescent="0.25">
      <c r="A384" s="410"/>
      <c r="D384" s="433"/>
      <c r="E384" s="440">
        <v>2019</v>
      </c>
      <c r="F384" s="467">
        <f t="shared" ref="F384:Y384" si="257">($D$615*F$376*mfg_2019)+($D$616*F$376*$F579)+($D$615*F$377*mfg_2019_c3)+($D$616*F$377*$F589)</f>
        <v>0</v>
      </c>
      <c r="G384" s="467">
        <f t="shared" si="257"/>
        <v>0</v>
      </c>
      <c r="H384" s="457" t="e">
        <f t="shared" si="257"/>
        <v>#N/A</v>
      </c>
      <c r="I384" s="457" t="e">
        <f t="shared" si="257"/>
        <v>#N/A</v>
      </c>
      <c r="J384" s="457" t="e">
        <f t="shared" si="257"/>
        <v>#N/A</v>
      </c>
      <c r="K384" s="457" t="e">
        <f t="shared" si="257"/>
        <v>#N/A</v>
      </c>
      <c r="L384" s="457" t="e">
        <f t="shared" si="257"/>
        <v>#N/A</v>
      </c>
      <c r="M384" s="457" t="e">
        <f t="shared" si="257"/>
        <v>#N/A</v>
      </c>
      <c r="N384" s="467" t="e">
        <f t="shared" si="257"/>
        <v>#N/A</v>
      </c>
      <c r="O384" s="467" t="e">
        <f t="shared" si="257"/>
        <v>#N/A</v>
      </c>
      <c r="P384" s="467" t="e">
        <f t="shared" si="257"/>
        <v>#N/A</v>
      </c>
      <c r="Q384" s="467" t="e">
        <f t="shared" si="257"/>
        <v>#N/A</v>
      </c>
      <c r="R384" s="467" t="e">
        <f t="shared" si="257"/>
        <v>#N/A</v>
      </c>
      <c r="S384" s="467" t="e">
        <f t="shared" si="257"/>
        <v>#N/A</v>
      </c>
      <c r="T384" s="467" t="e">
        <f t="shared" si="257"/>
        <v>#N/A</v>
      </c>
      <c r="U384" s="467" t="e">
        <f t="shared" si="257"/>
        <v>#N/A</v>
      </c>
      <c r="V384" s="467" t="e">
        <f t="shared" si="257"/>
        <v>#N/A</v>
      </c>
      <c r="W384" s="467" t="e">
        <f t="shared" si="257"/>
        <v>#N/A</v>
      </c>
      <c r="X384" s="467" t="e">
        <f t="shared" si="257"/>
        <v>#N/A</v>
      </c>
      <c r="Y384" s="467" t="e">
        <f t="shared" si="257"/>
        <v>#N/A</v>
      </c>
      <c r="AA384" s="103"/>
      <c r="AB384" s="103"/>
      <c r="AC384" s="103"/>
      <c r="AD384" s="103"/>
      <c r="AE384" s="103"/>
      <c r="AF384" s="103"/>
      <c r="AG384" s="103"/>
      <c r="AH384" s="103"/>
      <c r="AI384" s="103"/>
      <c r="AJ384" s="103"/>
      <c r="AK384" s="103"/>
      <c r="AL384" s="103"/>
    </row>
    <row r="385" spans="1:38" s="415" customFormat="1" ht="15.75" hidden="1" x14ac:dyDescent="0.25">
      <c r="A385" s="410"/>
      <c r="D385" s="433"/>
      <c r="E385" s="440">
        <v>2020</v>
      </c>
      <c r="F385" s="467">
        <f t="shared" ref="F385:Y385" si="258">($D$615*F$376*mfg_2020)+($D$616*F$376*$F580)+($D$615*F$377*mfg_2020_c3)+($D$616*F$377*$F590)</f>
        <v>0</v>
      </c>
      <c r="G385" s="467">
        <f t="shared" si="258"/>
        <v>0</v>
      </c>
      <c r="H385" s="457" t="e">
        <f t="shared" si="258"/>
        <v>#N/A</v>
      </c>
      <c r="I385" s="457" t="e">
        <f t="shared" si="258"/>
        <v>#N/A</v>
      </c>
      <c r="J385" s="457" t="e">
        <f t="shared" si="258"/>
        <v>#N/A</v>
      </c>
      <c r="K385" s="457" t="e">
        <f t="shared" si="258"/>
        <v>#N/A</v>
      </c>
      <c r="L385" s="457" t="e">
        <f t="shared" si="258"/>
        <v>#N/A</v>
      </c>
      <c r="M385" s="457" t="e">
        <f t="shared" si="258"/>
        <v>#N/A</v>
      </c>
      <c r="N385" s="467" t="e">
        <f t="shared" si="258"/>
        <v>#N/A</v>
      </c>
      <c r="O385" s="467" t="e">
        <f t="shared" si="258"/>
        <v>#N/A</v>
      </c>
      <c r="P385" s="467" t="e">
        <f t="shared" si="258"/>
        <v>#N/A</v>
      </c>
      <c r="Q385" s="467" t="e">
        <f t="shared" si="258"/>
        <v>#N/A</v>
      </c>
      <c r="R385" s="467" t="e">
        <f t="shared" si="258"/>
        <v>#N/A</v>
      </c>
      <c r="S385" s="467" t="e">
        <f t="shared" si="258"/>
        <v>#N/A</v>
      </c>
      <c r="T385" s="467" t="e">
        <f t="shared" si="258"/>
        <v>#N/A</v>
      </c>
      <c r="U385" s="467" t="e">
        <f t="shared" si="258"/>
        <v>#N/A</v>
      </c>
      <c r="V385" s="467" t="e">
        <f t="shared" si="258"/>
        <v>#N/A</v>
      </c>
      <c r="W385" s="467" t="e">
        <f t="shared" si="258"/>
        <v>#N/A</v>
      </c>
      <c r="X385" s="467" t="e">
        <f t="shared" si="258"/>
        <v>#N/A</v>
      </c>
      <c r="Y385" s="467" t="e">
        <f t="shared" si="258"/>
        <v>#N/A</v>
      </c>
      <c r="AA385" s="103"/>
      <c r="AB385" s="103"/>
      <c r="AC385" s="103"/>
      <c r="AD385" s="103"/>
      <c r="AE385" s="103"/>
      <c r="AF385" s="103"/>
      <c r="AG385" s="103"/>
      <c r="AH385" s="103"/>
      <c r="AI385" s="103"/>
      <c r="AJ385" s="103"/>
      <c r="AK385" s="103"/>
      <c r="AL385" s="103"/>
    </row>
    <row r="386" spans="1:38" s="415" customFormat="1" ht="15.75" hidden="1" x14ac:dyDescent="0.25">
      <c r="A386" s="410"/>
      <c r="D386" s="433"/>
      <c r="F386" s="467"/>
      <c r="N386" s="447"/>
      <c r="O386" s="447"/>
      <c r="P386" s="447"/>
      <c r="Q386" s="447"/>
      <c r="R386" s="447"/>
      <c r="S386" s="447"/>
      <c r="T386" s="447"/>
      <c r="U386" s="447"/>
      <c r="V386" s="447"/>
      <c r="W386" s="447"/>
      <c r="X386" s="447"/>
      <c r="Y386" s="447"/>
      <c r="AA386" s="103"/>
      <c r="AB386" s="103"/>
      <c r="AC386" s="103"/>
      <c r="AD386" s="103"/>
      <c r="AE386" s="103"/>
      <c r="AF386" s="103"/>
      <c r="AG386" s="103"/>
      <c r="AH386" s="103"/>
      <c r="AI386" s="103"/>
      <c r="AJ386" s="103"/>
      <c r="AK386" s="103"/>
      <c r="AL386" s="103"/>
    </row>
    <row r="387" spans="1:38" s="415" customFormat="1" ht="15.75" hidden="1" x14ac:dyDescent="0.25">
      <c r="A387" s="410"/>
      <c r="D387" s="433"/>
      <c r="F387" s="467"/>
      <c r="N387" s="447"/>
      <c r="O387" s="447"/>
      <c r="P387" s="447"/>
      <c r="Q387" s="447"/>
      <c r="R387" s="447"/>
      <c r="S387" s="447"/>
      <c r="T387" s="447"/>
      <c r="U387" s="447"/>
      <c r="V387" s="447"/>
      <c r="W387" s="447"/>
      <c r="X387" s="447"/>
      <c r="Y387" s="447"/>
      <c r="AA387" s="103"/>
      <c r="AB387" s="103"/>
      <c r="AC387" s="103"/>
      <c r="AD387" s="103"/>
      <c r="AE387" s="103"/>
      <c r="AF387" s="103"/>
      <c r="AG387" s="103"/>
      <c r="AH387" s="103"/>
      <c r="AI387" s="103"/>
      <c r="AJ387" s="103"/>
      <c r="AK387" s="103"/>
      <c r="AL387" s="103"/>
    </row>
    <row r="388" spans="1:38" s="415" customFormat="1" ht="15.75" hidden="1" x14ac:dyDescent="0.25">
      <c r="A388" s="410"/>
      <c r="D388" s="433"/>
      <c r="F388" s="467"/>
      <c r="N388" s="447"/>
      <c r="O388" s="447"/>
      <c r="P388" s="447"/>
      <c r="Q388" s="447"/>
      <c r="R388" s="447"/>
      <c r="S388" s="447"/>
      <c r="T388" s="447"/>
      <c r="U388" s="447"/>
      <c r="V388" s="447"/>
      <c r="W388" s="447"/>
      <c r="X388" s="447"/>
      <c r="Y388" s="447"/>
      <c r="AA388" s="103"/>
      <c r="AB388" s="103"/>
      <c r="AC388" s="103"/>
      <c r="AD388" s="103"/>
      <c r="AE388" s="103"/>
      <c r="AF388" s="103"/>
      <c r="AG388" s="103"/>
      <c r="AH388" s="103"/>
      <c r="AI388" s="103"/>
      <c r="AJ388" s="103"/>
      <c r="AK388" s="103"/>
      <c r="AL388" s="103"/>
    </row>
    <row r="389" spans="1:38" s="417" customFormat="1" ht="15.75" hidden="1" x14ac:dyDescent="0.25">
      <c r="A389" s="416"/>
      <c r="B389" s="691" t="s">
        <v>1897</v>
      </c>
      <c r="C389" s="1145"/>
      <c r="D389" s="1146"/>
      <c r="K389" s="417" t="str">
        <f>K360</f>
        <v>Direct employment</v>
      </c>
      <c r="L389" s="417" t="str">
        <f>L360</f>
        <v>Indirect Employment</v>
      </c>
      <c r="M389" s="417" t="str">
        <f>M360</f>
        <v>Induced Employment</v>
      </c>
      <c r="Q389" s="417" t="str">
        <f>Q360</f>
        <v>Direct earnings</v>
      </c>
      <c r="R389" s="417" t="str">
        <f>R360</f>
        <v>Indirect earnings</v>
      </c>
      <c r="S389" s="417" t="str">
        <f>S360</f>
        <v>Induced earnings</v>
      </c>
      <c r="W389" s="417" t="str">
        <f>W360</f>
        <v>Direct output</v>
      </c>
      <c r="X389" s="417" t="str">
        <f>X360</f>
        <v>Indirect output</v>
      </c>
      <c r="Y389" s="417" t="str">
        <f>Y360</f>
        <v>Induced output</v>
      </c>
      <c r="Z389" s="415"/>
      <c r="AA389" s="103"/>
      <c r="AB389" s="103"/>
      <c r="AC389" s="103"/>
      <c r="AD389" s="103"/>
      <c r="AE389" s="103"/>
      <c r="AF389" s="103"/>
      <c r="AG389" s="103"/>
      <c r="AH389" s="103"/>
      <c r="AI389" s="103"/>
      <c r="AJ389" s="103"/>
      <c r="AK389" s="103"/>
      <c r="AL389" s="103"/>
    </row>
    <row r="390" spans="1:38" s="415" customFormat="1" ht="15.75" hidden="1" x14ac:dyDescent="0.25">
      <c r="A390" s="410"/>
      <c r="B390" s="1144"/>
      <c r="C390" s="1147"/>
      <c r="D390" s="1148"/>
      <c r="H390" s="423"/>
      <c r="I390" s="423"/>
      <c r="J390" s="417">
        <v>2015</v>
      </c>
      <c r="K390" s="423" t="e">
        <f>K228+K322+K337+K366+K380</f>
        <v>#N/A</v>
      </c>
      <c r="L390" s="423" t="e">
        <f>K252+L252+K276+L276+K310+L310+L337+K351+L351+L366+L380</f>
        <v>#N/A</v>
      </c>
      <c r="M390" s="423" t="e">
        <f>M228+M252+M276+M310+M322+M337+M351+M366+M380</f>
        <v>#N/A</v>
      </c>
      <c r="N390" s="423"/>
      <c r="O390" s="423"/>
      <c r="P390" s="423"/>
      <c r="Q390" s="423" t="e">
        <f>Q228+Q322+Q337+Q366+Q380</f>
        <v>#N/A</v>
      </c>
      <c r="R390" s="423" t="e">
        <f>Q252+R252+Q276+R276+Q310+R310+R337+Q351+R351+R366+R380</f>
        <v>#N/A</v>
      </c>
      <c r="S390" s="423" t="e">
        <f>S228+S252+S276+S310+S322+S337+S351+S366+S380</f>
        <v>#N/A</v>
      </c>
      <c r="U390" s="447"/>
      <c r="V390" s="447"/>
      <c r="W390" s="423" t="e">
        <f>G597+G605+W380</f>
        <v>#N/A</v>
      </c>
      <c r="X390" s="423" t="e">
        <f>W252+X252+W276+X276+W310+X310+X337+W351+X351+X366+X380</f>
        <v>#N/A</v>
      </c>
      <c r="Y390" s="423" t="e">
        <f>Y228+Y252+Y276+Y310+Y322+Y337+Y351+Y366+Y380</f>
        <v>#N/A</v>
      </c>
      <c r="AA390" s="103"/>
      <c r="AB390" s="103"/>
      <c r="AC390" s="103"/>
      <c r="AD390" s="103"/>
      <c r="AE390" s="103"/>
      <c r="AF390" s="103"/>
      <c r="AG390" s="103"/>
      <c r="AH390" s="103"/>
      <c r="AI390" s="103"/>
      <c r="AJ390" s="103"/>
      <c r="AK390" s="103"/>
      <c r="AL390" s="103"/>
    </row>
    <row r="391" spans="1:38" s="415" customFormat="1" ht="15.75" hidden="1" x14ac:dyDescent="0.25">
      <c r="A391" s="410"/>
      <c r="B391" s="1144"/>
      <c r="C391" s="1147"/>
      <c r="D391" s="1148"/>
      <c r="H391" s="423"/>
      <c r="I391" s="423"/>
      <c r="J391" s="417">
        <v>2016</v>
      </c>
      <c r="K391" s="423" t="e">
        <f t="shared" ref="K391:K395" si="259">K229+K323+K338+K367+K381</f>
        <v>#N/A</v>
      </c>
      <c r="L391" s="423" t="e">
        <f t="shared" ref="L391:L395" si="260">K253+L253+K277+L277+K311+L311+L338+K352+L352+L367+L381</f>
        <v>#N/A</v>
      </c>
      <c r="M391" s="423" t="e">
        <f t="shared" ref="M391:M395" si="261">M229+M253+M277+M311+M323+M338+M352+M367+M381</f>
        <v>#N/A</v>
      </c>
      <c r="N391" s="423"/>
      <c r="O391" s="423"/>
      <c r="P391" s="423"/>
      <c r="Q391" s="423" t="e">
        <f>Q229+Q323+Q338+Q367</f>
        <v>#N/A</v>
      </c>
      <c r="R391" s="423" t="e">
        <f>Q253+R253+Q277+R277+Q311+R311+R338+Q352+R352+R367</f>
        <v>#N/A</v>
      </c>
      <c r="S391" s="423" t="e">
        <f>S229+S253+S277+S311+S323+S338+S352+S367</f>
        <v>#N/A</v>
      </c>
      <c r="T391" s="426"/>
      <c r="U391" s="447"/>
      <c r="V391" s="447"/>
      <c r="W391" s="423">
        <f t="shared" ref="W391:W395" si="262">G598+G606</f>
        <v>0</v>
      </c>
      <c r="X391" s="423" t="e">
        <f>W253+X253+W277+X277+W311+X311+X338+W352+X352+X367</f>
        <v>#N/A</v>
      </c>
      <c r="Y391" s="423" t="e">
        <f>Y229+Y253+Y277+Y311+Y323+Y338+Y352+Y367</f>
        <v>#N/A</v>
      </c>
      <c r="AA391" s="103"/>
      <c r="AB391" s="103"/>
      <c r="AC391" s="103"/>
      <c r="AD391" s="103"/>
      <c r="AE391" s="103"/>
      <c r="AF391" s="103"/>
      <c r="AG391" s="103"/>
      <c r="AH391" s="103"/>
      <c r="AI391" s="103"/>
      <c r="AJ391" s="103"/>
      <c r="AK391" s="103"/>
      <c r="AL391" s="103"/>
    </row>
    <row r="392" spans="1:38" s="415" customFormat="1" ht="15.75" hidden="1" x14ac:dyDescent="0.25">
      <c r="A392" s="410"/>
      <c r="B392" s="1144"/>
      <c r="C392" s="1147"/>
      <c r="D392" s="1148"/>
      <c r="H392" s="423"/>
      <c r="I392" s="423"/>
      <c r="J392" s="417">
        <v>2017</v>
      </c>
      <c r="K392" s="423" t="e">
        <f t="shared" si="259"/>
        <v>#N/A</v>
      </c>
      <c r="L392" s="423" t="e">
        <f t="shared" si="260"/>
        <v>#N/A</v>
      </c>
      <c r="M392" s="423" t="e">
        <f t="shared" si="261"/>
        <v>#N/A</v>
      </c>
      <c r="N392" s="423"/>
      <c r="O392" s="423"/>
      <c r="P392" s="423"/>
      <c r="Q392" s="423" t="e">
        <f>Q230+Q324+Q339+Q368</f>
        <v>#N/A</v>
      </c>
      <c r="R392" s="423" t="e">
        <f>Q254+R254+Q278+R278+Q312+R312+R339+Q353+R353+R368</f>
        <v>#N/A</v>
      </c>
      <c r="S392" s="423" t="e">
        <f>S230+S254+S278+S312+S324+S339+S353+S368</f>
        <v>#N/A</v>
      </c>
      <c r="T392" s="447"/>
      <c r="U392" s="447"/>
      <c r="V392" s="447"/>
      <c r="W392" s="423">
        <f t="shared" si="262"/>
        <v>0</v>
      </c>
      <c r="X392" s="423" t="e">
        <f>W254+X254+W278+X278+W312+X312+X339+W353+X353+X368</f>
        <v>#N/A</v>
      </c>
      <c r="Y392" s="423" t="e">
        <f>Y230+Y254+Y278+Y312+Y324+Y339+Y353+Y368</f>
        <v>#N/A</v>
      </c>
      <c r="AA392" s="103"/>
      <c r="AB392" s="103"/>
      <c r="AC392" s="103"/>
      <c r="AD392" s="103"/>
      <c r="AE392" s="103"/>
      <c r="AF392" s="103"/>
      <c r="AG392" s="103"/>
      <c r="AH392" s="103"/>
      <c r="AI392" s="103"/>
      <c r="AJ392" s="103"/>
      <c r="AK392" s="103"/>
      <c r="AL392" s="103"/>
    </row>
    <row r="393" spans="1:38" s="415" customFormat="1" ht="15.75" hidden="1" x14ac:dyDescent="0.25">
      <c r="A393" s="410"/>
      <c r="B393" s="1144"/>
      <c r="C393" s="1147"/>
      <c r="D393" s="1148"/>
      <c r="H393" s="423"/>
      <c r="I393" s="423"/>
      <c r="J393" s="417">
        <v>2018</v>
      </c>
      <c r="K393" s="423" t="e">
        <f t="shared" si="259"/>
        <v>#N/A</v>
      </c>
      <c r="L393" s="423" t="e">
        <f t="shared" si="260"/>
        <v>#N/A</v>
      </c>
      <c r="M393" s="423" t="e">
        <f t="shared" si="261"/>
        <v>#N/A</v>
      </c>
      <c r="N393" s="423"/>
      <c r="O393" s="423"/>
      <c r="P393" s="423"/>
      <c r="Q393" s="423" t="e">
        <f>Q231+Q325+Q340+Q369</f>
        <v>#N/A</v>
      </c>
      <c r="R393" s="423" t="e">
        <f>Q255+R255+Q279+R279+Q313+R313+R340+Q354+R354+R369</f>
        <v>#N/A</v>
      </c>
      <c r="S393" s="423" t="e">
        <f>S231+S255+S279+S313+S325+S340+S354+S369</f>
        <v>#N/A</v>
      </c>
      <c r="T393" s="447"/>
      <c r="U393" s="447"/>
      <c r="V393" s="447"/>
      <c r="W393" s="423">
        <f t="shared" si="262"/>
        <v>0</v>
      </c>
      <c r="X393" s="423" t="e">
        <f>W255+X255+W279+X279+W313+X313+X340+W354+X354+X369</f>
        <v>#N/A</v>
      </c>
      <c r="Y393" s="423" t="e">
        <f>Y231+Y255+Y279+Y313+Y325+Y340+Y354+Y369</f>
        <v>#N/A</v>
      </c>
      <c r="AA393" s="103"/>
      <c r="AB393" s="103"/>
      <c r="AC393" s="103"/>
      <c r="AD393" s="103"/>
      <c r="AE393" s="103"/>
      <c r="AF393" s="103"/>
      <c r="AG393" s="103"/>
      <c r="AH393" s="103"/>
      <c r="AI393" s="103"/>
      <c r="AJ393" s="103"/>
      <c r="AK393" s="103"/>
      <c r="AL393" s="103"/>
    </row>
    <row r="394" spans="1:38" s="415" customFormat="1" ht="15.75" hidden="1" x14ac:dyDescent="0.25">
      <c r="A394" s="410"/>
      <c r="B394" s="1144"/>
      <c r="C394" s="1147"/>
      <c r="D394" s="1148"/>
      <c r="H394" s="423"/>
      <c r="I394" s="423"/>
      <c r="J394" s="417">
        <v>2019</v>
      </c>
      <c r="K394" s="423" t="e">
        <f t="shared" si="259"/>
        <v>#N/A</v>
      </c>
      <c r="L394" s="423" t="e">
        <f t="shared" si="260"/>
        <v>#N/A</v>
      </c>
      <c r="M394" s="423" t="e">
        <f t="shared" si="261"/>
        <v>#N/A</v>
      </c>
      <c r="N394" s="423"/>
      <c r="O394" s="423"/>
      <c r="P394" s="423"/>
      <c r="Q394" s="423" t="e">
        <f>Q232+Q326+Q341+Q370</f>
        <v>#N/A</v>
      </c>
      <c r="R394" s="423" t="e">
        <f>Q256+R256+Q280+R280+Q314+R314+R341+Q355+R355+R370</f>
        <v>#N/A</v>
      </c>
      <c r="S394" s="423" t="e">
        <f>S232+S256+S280+S314+S326+S341+S355+S370</f>
        <v>#N/A</v>
      </c>
      <c r="T394" s="447"/>
      <c r="U394" s="447"/>
      <c r="V394" s="447"/>
      <c r="W394" s="423">
        <f t="shared" si="262"/>
        <v>0</v>
      </c>
      <c r="X394" s="423" t="e">
        <f>W256+X256+W280+X280+W314+X314+X341+W355+X355+X370</f>
        <v>#N/A</v>
      </c>
      <c r="Y394" s="423" t="e">
        <f>Y232+Y256+Y280+Y314+Y326+Y341+Y355+Y370</f>
        <v>#N/A</v>
      </c>
      <c r="AA394" s="103"/>
      <c r="AB394" s="103"/>
      <c r="AC394" s="103"/>
      <c r="AD394" s="103"/>
      <c r="AE394" s="103"/>
      <c r="AF394" s="103"/>
      <c r="AG394" s="103"/>
      <c r="AH394" s="103"/>
      <c r="AI394" s="103"/>
      <c r="AJ394" s="103"/>
      <c r="AK394" s="103"/>
      <c r="AL394" s="103"/>
    </row>
    <row r="395" spans="1:38" s="415" customFormat="1" ht="15.75" hidden="1" x14ac:dyDescent="0.25">
      <c r="A395" s="410"/>
      <c r="B395" s="1144"/>
      <c r="C395" s="1147"/>
      <c r="D395" s="1148"/>
      <c r="H395" s="423"/>
      <c r="I395" s="423"/>
      <c r="J395" s="417">
        <v>2020</v>
      </c>
      <c r="K395" s="423" t="e">
        <f t="shared" si="259"/>
        <v>#N/A</v>
      </c>
      <c r="L395" s="423" t="e">
        <f t="shared" si="260"/>
        <v>#N/A</v>
      </c>
      <c r="M395" s="423" t="e">
        <f t="shared" si="261"/>
        <v>#N/A</v>
      </c>
      <c r="N395" s="423"/>
      <c r="O395" s="423"/>
      <c r="P395" s="423"/>
      <c r="Q395" s="423" t="e">
        <f>Q233+Q327+Q342+Q371</f>
        <v>#N/A</v>
      </c>
      <c r="R395" s="423" t="e">
        <f>Q257+R257+Q281+R281+Q315+R315+R342+Q356+R356+R371</f>
        <v>#N/A</v>
      </c>
      <c r="S395" s="423" t="e">
        <f>S233+S257+S281+S315+S327+S342+S356+S371</f>
        <v>#N/A</v>
      </c>
      <c r="T395" s="447"/>
      <c r="U395" s="447"/>
      <c r="V395" s="447"/>
      <c r="W395" s="423">
        <f t="shared" si="262"/>
        <v>0</v>
      </c>
      <c r="X395" s="423" t="e">
        <f>W257+X257+W281+X281+W315+X315+X342+W356+X356+X371</f>
        <v>#N/A</v>
      </c>
      <c r="Y395" s="423" t="e">
        <f>Y233+Y257+Y281+Y315+Y327+Y342+Y356+Y371</f>
        <v>#N/A</v>
      </c>
      <c r="AA395" s="103"/>
      <c r="AB395" s="103"/>
      <c r="AC395" s="103"/>
      <c r="AD395" s="103"/>
      <c r="AE395" s="103"/>
      <c r="AF395" s="103"/>
      <c r="AG395" s="103"/>
      <c r="AH395" s="103"/>
      <c r="AI395" s="103"/>
      <c r="AJ395" s="103"/>
      <c r="AK395" s="103"/>
      <c r="AL395" s="103"/>
    </row>
    <row r="396" spans="1:38" s="415" customFormat="1" ht="15.75" hidden="1" x14ac:dyDescent="0.25">
      <c r="A396" s="410"/>
      <c r="D396" s="433"/>
      <c r="N396" s="447"/>
      <c r="O396" s="447"/>
      <c r="P396" s="447"/>
      <c r="Q396" s="447"/>
      <c r="R396" s="447"/>
      <c r="S396" s="447"/>
      <c r="T396" s="447"/>
      <c r="U396" s="447"/>
      <c r="V396" s="447"/>
      <c r="W396" s="447"/>
      <c r="X396" s="447"/>
      <c r="Y396" s="447"/>
      <c r="AA396" s="103"/>
      <c r="AB396" s="103"/>
      <c r="AC396" s="103"/>
      <c r="AD396" s="103"/>
      <c r="AE396" s="103"/>
      <c r="AF396" s="103"/>
      <c r="AG396" s="103"/>
      <c r="AH396" s="103"/>
      <c r="AI396" s="103"/>
      <c r="AJ396" s="103"/>
      <c r="AK396" s="103"/>
      <c r="AL396" s="103"/>
    </row>
    <row r="397" spans="1:38" s="415" customFormat="1" ht="15.75" hidden="1" x14ac:dyDescent="0.25">
      <c r="A397" s="410"/>
      <c r="D397" s="433"/>
      <c r="N397" s="447"/>
      <c r="O397" s="447"/>
      <c r="P397" s="447"/>
      <c r="Q397" s="447"/>
      <c r="R397" s="447"/>
      <c r="S397" s="447"/>
      <c r="T397" s="447"/>
      <c r="U397" s="447"/>
      <c r="V397" s="447"/>
      <c r="W397" s="447"/>
      <c r="X397" s="447"/>
      <c r="Y397" s="447"/>
      <c r="AA397" s="103"/>
      <c r="AB397" s="103"/>
      <c r="AC397" s="103"/>
      <c r="AD397" s="103"/>
      <c r="AE397" s="103"/>
      <c r="AF397" s="103"/>
      <c r="AG397" s="103"/>
      <c r="AH397" s="103"/>
      <c r="AI397" s="103"/>
      <c r="AJ397" s="103"/>
      <c r="AK397" s="103"/>
      <c r="AL397" s="103"/>
    </row>
    <row r="398" spans="1:38" s="222" customFormat="1" ht="15.75" hidden="1" x14ac:dyDescent="0.25">
      <c r="A398" s="130"/>
      <c r="D398" s="272"/>
      <c r="N398" s="282"/>
      <c r="O398" s="282"/>
      <c r="P398" s="282"/>
      <c r="Q398" s="282"/>
      <c r="R398" s="282"/>
      <c r="S398" s="282"/>
      <c r="T398" s="282"/>
      <c r="U398" s="282"/>
      <c r="V398" s="282"/>
      <c r="W398" s="282"/>
      <c r="X398" s="282"/>
      <c r="Y398" s="282"/>
      <c r="AA398" s="3"/>
      <c r="AB398" s="3"/>
      <c r="AC398" s="3"/>
      <c r="AD398" s="3"/>
      <c r="AE398" s="3"/>
      <c r="AF398" s="3"/>
      <c r="AG398" s="3"/>
      <c r="AH398" s="3"/>
      <c r="AI398" s="3"/>
      <c r="AJ398" s="3"/>
      <c r="AK398" s="3"/>
      <c r="AL398" s="3"/>
    </row>
    <row r="399" spans="1:38" s="268" customFormat="1" ht="15.75" hidden="1" x14ac:dyDescent="0.25">
      <c r="A399" s="478"/>
      <c r="B399" s="527" t="s">
        <v>1570</v>
      </c>
      <c r="D399" s="479" t="s">
        <v>1585</v>
      </c>
      <c r="E399" s="480"/>
      <c r="F399" s="480"/>
      <c r="G399" s="480"/>
      <c r="N399" s="481"/>
      <c r="O399" s="481"/>
      <c r="P399" s="481"/>
      <c r="Q399" s="481"/>
      <c r="R399" s="481"/>
      <c r="S399" s="481"/>
      <c r="T399" s="481"/>
      <c r="U399" s="481"/>
      <c r="V399" s="481"/>
      <c r="W399" s="481"/>
      <c r="X399" s="481"/>
      <c r="Y399" s="481"/>
      <c r="AA399" s="482"/>
      <c r="AB399" s="482"/>
      <c r="AC399" s="482"/>
      <c r="AD399" s="482"/>
      <c r="AE399" s="482"/>
      <c r="AF399" s="482"/>
      <c r="AG399" s="482"/>
      <c r="AH399" s="482"/>
      <c r="AI399" s="482"/>
      <c r="AJ399" s="482"/>
      <c r="AK399" s="482"/>
      <c r="AL399" s="482"/>
    </row>
    <row r="400" spans="1:38" s="484" customFormat="1" ht="15.75" hidden="1" x14ac:dyDescent="0.25">
      <c r="A400" s="483"/>
      <c r="D400" s="485" t="s">
        <v>412</v>
      </c>
      <c r="E400" s="486" t="s">
        <v>10</v>
      </c>
      <c r="F400" s="486" t="s">
        <v>428</v>
      </c>
      <c r="G400" s="486" t="str">
        <f>$G$284</f>
        <v>Cost in 2008 dollars</v>
      </c>
      <c r="H400" s="484" t="s">
        <v>583</v>
      </c>
      <c r="I400" s="484" t="s">
        <v>584</v>
      </c>
      <c r="J400" s="484" t="s">
        <v>585</v>
      </c>
      <c r="K400" s="484" t="s">
        <v>586</v>
      </c>
      <c r="L400" s="484" t="s">
        <v>413</v>
      </c>
      <c r="M400" s="484" t="s">
        <v>414</v>
      </c>
      <c r="N400" s="487" t="s">
        <v>592</v>
      </c>
      <c r="O400" s="487" t="s">
        <v>587</v>
      </c>
      <c r="P400" s="487" t="s">
        <v>588</v>
      </c>
      <c r="Q400" s="487" t="s">
        <v>589</v>
      </c>
      <c r="R400" s="487" t="s">
        <v>590</v>
      </c>
      <c r="S400" s="487" t="s">
        <v>591</v>
      </c>
      <c r="T400" s="487" t="s">
        <v>593</v>
      </c>
      <c r="U400" s="487" t="s">
        <v>594</v>
      </c>
      <c r="V400" s="487" t="s">
        <v>595</v>
      </c>
      <c r="W400" s="487" t="s">
        <v>596</v>
      </c>
      <c r="X400" s="487" t="s">
        <v>597</v>
      </c>
      <c r="Y400" s="487" t="s">
        <v>598</v>
      </c>
      <c r="Z400" s="268"/>
      <c r="AA400" s="482"/>
      <c r="AB400" s="482"/>
      <c r="AC400" s="482"/>
      <c r="AD400" s="482"/>
      <c r="AE400" s="482"/>
      <c r="AF400" s="482"/>
      <c r="AG400" s="482"/>
      <c r="AH400" s="482"/>
      <c r="AI400" s="482"/>
      <c r="AJ400" s="482"/>
      <c r="AK400" s="482"/>
      <c r="AL400" s="482"/>
    </row>
    <row r="401" spans="1:38" s="526" customFormat="1" ht="15.75" hidden="1" x14ac:dyDescent="0.25">
      <c r="A401" s="537"/>
      <c r="B401" s="538"/>
      <c r="D401" s="539">
        <v>541300</v>
      </c>
      <c r="E401" s="526" t="s">
        <v>308</v>
      </c>
      <c r="F401" s="540">
        <f>J72</f>
        <v>40000</v>
      </c>
      <c r="G401" s="540">
        <f t="shared" ref="G401:G411" si="263">F401*$C$593</f>
        <v>39494.992112117987</v>
      </c>
      <c r="H401" s="541" t="e">
        <f t="shared" ref="H401:H411" si="264">$G401*INDEX(tier_emp_mult, MATCH($D401, tier_emp_code,0), MATCH(State, R_emp, 0))/1000000</f>
        <v>#N/A</v>
      </c>
      <c r="I401" s="541" t="e">
        <f t="shared" ref="I401:I411" si="265">$G401*INDEX(typeI_emp_mult, MATCH($D401, typeI_emp_code,0), MATCH(State, R_emp, 0))/1000000</f>
        <v>#N/A</v>
      </c>
      <c r="J401" s="541" t="e">
        <f t="shared" ref="J401:J411" si="266">$G401*INDEX(typeII_emp_mult, MATCH($D401, typeII_emp_code,0), MATCH(State, R_emp, 0))/1000000</f>
        <v>#N/A</v>
      </c>
      <c r="K401" s="542" t="e">
        <f t="shared" ref="K401" si="267">H401</f>
        <v>#N/A</v>
      </c>
      <c r="L401" s="542" t="e">
        <f t="shared" ref="L401" si="268">I401-H401</f>
        <v>#N/A</v>
      </c>
      <c r="M401" s="542" t="e">
        <f t="shared" ref="M401" si="269">J401-I401</f>
        <v>#N/A</v>
      </c>
      <c r="N401" s="541" t="e">
        <f t="shared" ref="N401:N411" si="270">$G401*INDEX(tier_earn_mult, MATCH($D401, tier_earn_code,0), MATCH(State, R_earn, 0))</f>
        <v>#N/A</v>
      </c>
      <c r="O401" s="541" t="e">
        <f t="shared" ref="O401:O411" si="271">$G401*INDEX(typeI_earn_mult, MATCH($D401, typeI_earn_code,0), MATCH(State, R_earn, 0))</f>
        <v>#N/A</v>
      </c>
      <c r="P401" s="541" t="e">
        <f t="shared" ref="P401:P411" si="272">$G401*INDEX(typeII_earn_mult, MATCH($D401, typeII_earn_code,0), MATCH(State, R_earn, 0))</f>
        <v>#N/A</v>
      </c>
      <c r="Q401" s="543" t="e">
        <f t="shared" ref="Q401" si="273">N401</f>
        <v>#N/A</v>
      </c>
      <c r="R401" s="543" t="e">
        <f t="shared" ref="R401" si="274">O401-N401</f>
        <v>#N/A</v>
      </c>
      <c r="S401" s="543" t="e">
        <f t="shared" ref="S401" si="275">P401-O401</f>
        <v>#N/A</v>
      </c>
      <c r="T401" s="541" t="e">
        <f t="shared" ref="T401:T411" si="276">$G401*INDEX(tier_out_mult, MATCH($D401, tier_out_code,0), MATCH(State, R_out, 0))</f>
        <v>#N/A</v>
      </c>
      <c r="U401" s="541" t="e">
        <f t="shared" ref="U401:U411" si="277">$G401*INDEX(typeI_out_mult, MATCH($D401, typeI_out_code,0), MATCH(State, R_out, 0))</f>
        <v>#N/A</v>
      </c>
      <c r="V401" s="541" t="e">
        <f t="shared" ref="V401:V411" si="278">$G401*INDEX(typeII_out_mult, MATCH($D401, typeII_out_code,0), MATCH(State, R_out, 0))</f>
        <v>#N/A</v>
      </c>
      <c r="W401" s="543" t="e">
        <f t="shared" ref="W401" si="279">T401</f>
        <v>#N/A</v>
      </c>
      <c r="X401" s="543" t="e">
        <f t="shared" ref="X401" si="280">U401-T401</f>
        <v>#N/A</v>
      </c>
      <c r="Y401" s="543" t="e">
        <f t="shared" ref="Y401" si="281">V401-U401</f>
        <v>#N/A</v>
      </c>
      <c r="AA401" s="544"/>
      <c r="AB401" s="544"/>
      <c r="AC401" s="544"/>
      <c r="AD401" s="544"/>
      <c r="AE401" s="544"/>
      <c r="AF401" s="544"/>
      <c r="AG401" s="544"/>
      <c r="AH401" s="544"/>
      <c r="AI401" s="544"/>
      <c r="AJ401" s="544"/>
      <c r="AK401" s="544"/>
      <c r="AL401" s="544"/>
    </row>
    <row r="402" spans="1:38" s="530" customFormat="1" ht="15.75" hidden="1" x14ac:dyDescent="0.25">
      <c r="A402" s="128"/>
      <c r="B402" s="529"/>
      <c r="D402" s="531">
        <v>230000</v>
      </c>
      <c r="E402" s="530" t="s">
        <v>426</v>
      </c>
      <c r="F402" s="532">
        <f>J73</f>
        <v>160000</v>
      </c>
      <c r="G402" s="532">
        <f t="shared" si="263"/>
        <v>157979.96844847195</v>
      </c>
      <c r="H402" s="533" t="e">
        <f t="shared" si="264"/>
        <v>#N/A</v>
      </c>
      <c r="I402" s="533" t="e">
        <f t="shared" si="265"/>
        <v>#N/A</v>
      </c>
      <c r="J402" s="533" t="e">
        <f t="shared" si="266"/>
        <v>#N/A</v>
      </c>
      <c r="K402" s="534" t="e">
        <f>H402</f>
        <v>#N/A</v>
      </c>
      <c r="L402" s="534" t="e">
        <f t="shared" ref="L402:M404" si="282">I402-H402</f>
        <v>#N/A</v>
      </c>
      <c r="M402" s="534" t="e">
        <f t="shared" si="282"/>
        <v>#N/A</v>
      </c>
      <c r="N402" s="533" t="e">
        <f t="shared" si="270"/>
        <v>#N/A</v>
      </c>
      <c r="O402" s="533" t="e">
        <f t="shared" si="271"/>
        <v>#N/A</v>
      </c>
      <c r="P402" s="533" t="e">
        <f t="shared" si="272"/>
        <v>#N/A</v>
      </c>
      <c r="Q402" s="535" t="e">
        <f>N402</f>
        <v>#N/A</v>
      </c>
      <c r="R402" s="535" t="e">
        <f t="shared" ref="R402:S404" si="283">O402-N402</f>
        <v>#N/A</v>
      </c>
      <c r="S402" s="535" t="e">
        <f t="shared" si="283"/>
        <v>#N/A</v>
      </c>
      <c r="T402" s="533" t="e">
        <f t="shared" si="276"/>
        <v>#N/A</v>
      </c>
      <c r="U402" s="533" t="e">
        <f t="shared" si="277"/>
        <v>#N/A</v>
      </c>
      <c r="V402" s="533" t="e">
        <f t="shared" si="278"/>
        <v>#N/A</v>
      </c>
      <c r="W402" s="535" t="e">
        <f>T402</f>
        <v>#N/A</v>
      </c>
      <c r="X402" s="535" t="e">
        <f t="shared" ref="X402:Y404" si="284">U402-T402</f>
        <v>#N/A</v>
      </c>
      <c r="Y402" s="535" t="e">
        <f t="shared" si="284"/>
        <v>#N/A</v>
      </c>
      <c r="AA402" s="536"/>
      <c r="AB402" s="536"/>
      <c r="AC402" s="536"/>
      <c r="AD402" s="536"/>
      <c r="AE402" s="536"/>
      <c r="AF402" s="536"/>
      <c r="AG402" s="536"/>
      <c r="AH402" s="536"/>
      <c r="AI402" s="536"/>
      <c r="AJ402" s="536"/>
      <c r="AK402" s="536"/>
      <c r="AL402" s="536"/>
    </row>
    <row r="403" spans="1:38" s="530" customFormat="1" ht="15.75" hidden="1" x14ac:dyDescent="0.25">
      <c r="A403" s="128"/>
      <c r="D403" s="531">
        <v>332420</v>
      </c>
      <c r="E403" s="530" t="s">
        <v>613</v>
      </c>
      <c r="F403" s="532">
        <f>J74</f>
        <v>300000</v>
      </c>
      <c r="G403" s="532">
        <f t="shared" si="263"/>
        <v>296212.44084088487</v>
      </c>
      <c r="H403" s="533" t="e">
        <f t="shared" si="264"/>
        <v>#N/A</v>
      </c>
      <c r="I403" s="533" t="e">
        <f t="shared" si="265"/>
        <v>#N/A</v>
      </c>
      <c r="J403" s="533" t="e">
        <f t="shared" si="266"/>
        <v>#N/A</v>
      </c>
      <c r="K403" s="534" t="e">
        <f>H403</f>
        <v>#N/A</v>
      </c>
      <c r="L403" s="534" t="e">
        <f t="shared" si="282"/>
        <v>#N/A</v>
      </c>
      <c r="M403" s="534" t="e">
        <f t="shared" si="282"/>
        <v>#N/A</v>
      </c>
      <c r="N403" s="533" t="e">
        <f t="shared" si="270"/>
        <v>#N/A</v>
      </c>
      <c r="O403" s="533" t="e">
        <f t="shared" si="271"/>
        <v>#N/A</v>
      </c>
      <c r="P403" s="533" t="e">
        <f t="shared" si="272"/>
        <v>#N/A</v>
      </c>
      <c r="Q403" s="535" t="e">
        <f>N403</f>
        <v>#N/A</v>
      </c>
      <c r="R403" s="535" t="e">
        <f t="shared" si="283"/>
        <v>#N/A</v>
      </c>
      <c r="S403" s="535" t="e">
        <f t="shared" si="283"/>
        <v>#N/A</v>
      </c>
      <c r="T403" s="533" t="e">
        <f t="shared" si="276"/>
        <v>#N/A</v>
      </c>
      <c r="U403" s="533" t="e">
        <f t="shared" si="277"/>
        <v>#N/A</v>
      </c>
      <c r="V403" s="533" t="e">
        <f t="shared" si="278"/>
        <v>#N/A</v>
      </c>
      <c r="W403" s="535" t="e">
        <f>T403</f>
        <v>#N/A</v>
      </c>
      <c r="X403" s="535" t="e">
        <f t="shared" si="284"/>
        <v>#N/A</v>
      </c>
      <c r="Y403" s="535" t="e">
        <f t="shared" si="284"/>
        <v>#N/A</v>
      </c>
      <c r="AA403" s="536"/>
      <c r="AB403" s="536"/>
      <c r="AC403" s="536"/>
      <c r="AD403" s="536"/>
      <c r="AE403" s="536"/>
      <c r="AF403" s="536"/>
      <c r="AG403" s="536"/>
      <c r="AH403" s="536"/>
      <c r="AI403" s="536"/>
      <c r="AJ403" s="536"/>
      <c r="AK403" s="536"/>
      <c r="AL403" s="536"/>
    </row>
    <row r="404" spans="1:38" s="268" customFormat="1" ht="15.75" hidden="1" x14ac:dyDescent="0.25">
      <c r="A404" s="478"/>
      <c r="B404" s="268" t="s">
        <v>1597</v>
      </c>
      <c r="D404" s="488">
        <v>484000</v>
      </c>
      <c r="E404" s="268" t="s">
        <v>616</v>
      </c>
      <c r="F404" s="489">
        <f>0.05*J$75</f>
        <v>45000</v>
      </c>
      <c r="G404" s="489">
        <f t="shared" si="263"/>
        <v>44431.866126132736</v>
      </c>
      <c r="H404" s="490" t="e">
        <f t="shared" si="264"/>
        <v>#N/A</v>
      </c>
      <c r="I404" s="490" t="e">
        <f t="shared" si="265"/>
        <v>#N/A</v>
      </c>
      <c r="J404" s="490" t="e">
        <f t="shared" si="266"/>
        <v>#N/A</v>
      </c>
      <c r="K404" s="491" t="e">
        <f>H404</f>
        <v>#N/A</v>
      </c>
      <c r="L404" s="491" t="e">
        <f t="shared" si="282"/>
        <v>#N/A</v>
      </c>
      <c r="M404" s="491" t="e">
        <f t="shared" si="282"/>
        <v>#N/A</v>
      </c>
      <c r="N404" s="490" t="e">
        <f t="shared" si="270"/>
        <v>#N/A</v>
      </c>
      <c r="O404" s="490" t="e">
        <f t="shared" si="271"/>
        <v>#N/A</v>
      </c>
      <c r="P404" s="490" t="e">
        <f t="shared" si="272"/>
        <v>#N/A</v>
      </c>
      <c r="Q404" s="481" t="e">
        <f>N404</f>
        <v>#N/A</v>
      </c>
      <c r="R404" s="481" t="e">
        <f t="shared" si="283"/>
        <v>#N/A</v>
      </c>
      <c r="S404" s="481" t="e">
        <f t="shared" si="283"/>
        <v>#N/A</v>
      </c>
      <c r="T404" s="490" t="e">
        <f t="shared" si="276"/>
        <v>#N/A</v>
      </c>
      <c r="U404" s="490" t="e">
        <f t="shared" si="277"/>
        <v>#N/A</v>
      </c>
      <c r="V404" s="490" t="e">
        <f t="shared" si="278"/>
        <v>#N/A</v>
      </c>
      <c r="W404" s="481" t="e">
        <f>T404</f>
        <v>#N/A</v>
      </c>
      <c r="X404" s="481" t="e">
        <f t="shared" si="284"/>
        <v>#N/A</v>
      </c>
      <c r="Y404" s="481" t="e">
        <f t="shared" si="284"/>
        <v>#N/A</v>
      </c>
      <c r="AA404" s="482"/>
      <c r="AB404" s="482"/>
      <c r="AC404" s="482"/>
      <c r="AD404" s="482"/>
      <c r="AE404" s="482"/>
      <c r="AF404" s="482"/>
      <c r="AG404" s="482"/>
      <c r="AH404" s="482"/>
      <c r="AI404" s="482"/>
      <c r="AJ404" s="482"/>
      <c r="AK404" s="482"/>
      <c r="AL404" s="482"/>
    </row>
    <row r="405" spans="1:38" s="268" customFormat="1" ht="15.75" hidden="1" x14ac:dyDescent="0.25">
      <c r="A405" s="478"/>
      <c r="B405" s="268" t="s">
        <v>1598</v>
      </c>
      <c r="D405" s="488">
        <v>811300</v>
      </c>
      <c r="E405" s="268" t="s">
        <v>351</v>
      </c>
      <c r="F405" s="489">
        <f>0.15*J$75</f>
        <v>135000</v>
      </c>
      <c r="G405" s="489">
        <f t="shared" si="263"/>
        <v>133295.59837839819</v>
      </c>
      <c r="H405" s="490" t="e">
        <f t="shared" si="264"/>
        <v>#N/A</v>
      </c>
      <c r="I405" s="490" t="e">
        <f t="shared" si="265"/>
        <v>#N/A</v>
      </c>
      <c r="J405" s="490" t="e">
        <f t="shared" si="266"/>
        <v>#N/A</v>
      </c>
      <c r="K405" s="491" t="e">
        <f t="shared" ref="K405:K406" si="285">H405</f>
        <v>#N/A</v>
      </c>
      <c r="L405" s="491" t="e">
        <f t="shared" ref="L405:L406" si="286">I405-H405</f>
        <v>#N/A</v>
      </c>
      <c r="M405" s="491" t="e">
        <f t="shared" ref="M405:M406" si="287">J405-I405</f>
        <v>#N/A</v>
      </c>
      <c r="N405" s="490" t="e">
        <f t="shared" si="270"/>
        <v>#N/A</v>
      </c>
      <c r="O405" s="490" t="e">
        <f t="shared" si="271"/>
        <v>#N/A</v>
      </c>
      <c r="P405" s="490" t="e">
        <f t="shared" si="272"/>
        <v>#N/A</v>
      </c>
      <c r="Q405" s="481" t="e">
        <f t="shared" ref="Q405:Q406" si="288">N405</f>
        <v>#N/A</v>
      </c>
      <c r="R405" s="481" t="e">
        <f t="shared" ref="R405:R406" si="289">O405-N405</f>
        <v>#N/A</v>
      </c>
      <c r="S405" s="481" t="e">
        <f t="shared" ref="S405:S406" si="290">P405-O405</f>
        <v>#N/A</v>
      </c>
      <c r="T405" s="490" t="e">
        <f t="shared" si="276"/>
        <v>#N/A</v>
      </c>
      <c r="U405" s="490" t="e">
        <f t="shared" si="277"/>
        <v>#N/A</v>
      </c>
      <c r="V405" s="490" t="e">
        <f t="shared" si="278"/>
        <v>#N/A</v>
      </c>
      <c r="W405" s="481" t="e">
        <f t="shared" ref="W405:W406" si="291">T405</f>
        <v>#N/A</v>
      </c>
      <c r="X405" s="481" t="e">
        <f t="shared" ref="X405:X406" si="292">U405-T405</f>
        <v>#N/A</v>
      </c>
      <c r="Y405" s="481" t="e">
        <f t="shared" ref="Y405:Y406" si="293">V405-U405</f>
        <v>#N/A</v>
      </c>
      <c r="AA405" s="482"/>
      <c r="AB405" s="482"/>
      <c r="AC405" s="482"/>
      <c r="AD405" s="482"/>
      <c r="AE405" s="482"/>
      <c r="AF405" s="482"/>
      <c r="AG405" s="482"/>
      <c r="AH405" s="482"/>
      <c r="AI405" s="482"/>
      <c r="AJ405" s="482"/>
      <c r="AK405" s="482"/>
      <c r="AL405" s="482"/>
    </row>
    <row r="406" spans="1:38" s="268" customFormat="1" ht="15.75" hidden="1" x14ac:dyDescent="0.25">
      <c r="A406" s="478"/>
      <c r="B406" s="268" t="s">
        <v>1604</v>
      </c>
      <c r="D406" s="488">
        <v>541300</v>
      </c>
      <c r="E406" s="268" t="s">
        <v>308</v>
      </c>
      <c r="F406" s="489">
        <f>0.15*J$75</f>
        <v>135000</v>
      </c>
      <c r="G406" s="489">
        <f t="shared" si="263"/>
        <v>133295.59837839819</v>
      </c>
      <c r="H406" s="490" t="e">
        <f t="shared" si="264"/>
        <v>#N/A</v>
      </c>
      <c r="I406" s="490" t="e">
        <f t="shared" si="265"/>
        <v>#N/A</v>
      </c>
      <c r="J406" s="490" t="e">
        <f t="shared" si="266"/>
        <v>#N/A</v>
      </c>
      <c r="K406" s="491" t="e">
        <f t="shared" si="285"/>
        <v>#N/A</v>
      </c>
      <c r="L406" s="491" t="e">
        <f t="shared" si="286"/>
        <v>#N/A</v>
      </c>
      <c r="M406" s="491" t="e">
        <f t="shared" si="287"/>
        <v>#N/A</v>
      </c>
      <c r="N406" s="490" t="e">
        <f t="shared" si="270"/>
        <v>#N/A</v>
      </c>
      <c r="O406" s="490" t="e">
        <f t="shared" si="271"/>
        <v>#N/A</v>
      </c>
      <c r="P406" s="490" t="e">
        <f t="shared" si="272"/>
        <v>#N/A</v>
      </c>
      <c r="Q406" s="481" t="e">
        <f t="shared" si="288"/>
        <v>#N/A</v>
      </c>
      <c r="R406" s="481" t="e">
        <f t="shared" si="289"/>
        <v>#N/A</v>
      </c>
      <c r="S406" s="481" t="e">
        <f t="shared" si="290"/>
        <v>#N/A</v>
      </c>
      <c r="T406" s="490" t="e">
        <f t="shared" si="276"/>
        <v>#N/A</v>
      </c>
      <c r="U406" s="490" t="e">
        <f t="shared" si="277"/>
        <v>#N/A</v>
      </c>
      <c r="V406" s="490" t="e">
        <f t="shared" si="278"/>
        <v>#N/A</v>
      </c>
      <c r="W406" s="481" t="e">
        <f t="shared" si="291"/>
        <v>#N/A</v>
      </c>
      <c r="X406" s="481" t="e">
        <f t="shared" si="292"/>
        <v>#N/A</v>
      </c>
      <c r="Y406" s="481" t="e">
        <f t="shared" si="293"/>
        <v>#N/A</v>
      </c>
      <c r="AA406" s="482"/>
      <c r="AB406" s="482"/>
      <c r="AC406" s="482"/>
      <c r="AD406" s="482"/>
      <c r="AE406" s="482"/>
      <c r="AF406" s="482"/>
      <c r="AG406" s="482"/>
      <c r="AH406" s="482"/>
      <c r="AI406" s="482"/>
      <c r="AJ406" s="482"/>
      <c r="AK406" s="482"/>
      <c r="AL406" s="482"/>
    </row>
    <row r="407" spans="1:38" s="268" customFormat="1" ht="15.75" hidden="1" x14ac:dyDescent="0.25">
      <c r="A407" s="478"/>
      <c r="B407" s="268" t="s">
        <v>1605</v>
      </c>
      <c r="D407" s="488">
        <v>332420</v>
      </c>
      <c r="E407" s="268" t="s">
        <v>613</v>
      </c>
      <c r="F407" s="489">
        <f>0.1*J75</f>
        <v>90000</v>
      </c>
      <c r="G407" s="489">
        <f t="shared" si="263"/>
        <v>88863.732252265472</v>
      </c>
      <c r="H407" s="490" t="e">
        <f t="shared" si="264"/>
        <v>#N/A</v>
      </c>
      <c r="I407" s="490" t="e">
        <f t="shared" si="265"/>
        <v>#N/A</v>
      </c>
      <c r="J407" s="490" t="e">
        <f t="shared" si="266"/>
        <v>#N/A</v>
      </c>
      <c r="K407" s="491" t="e">
        <f t="shared" ref="K407:K408" si="294">H407</f>
        <v>#N/A</v>
      </c>
      <c r="L407" s="491" t="e">
        <f t="shared" ref="L407:L408" si="295">I407-H407</f>
        <v>#N/A</v>
      </c>
      <c r="M407" s="491" t="e">
        <f t="shared" ref="M407:M408" si="296">J407-I407</f>
        <v>#N/A</v>
      </c>
      <c r="N407" s="490" t="e">
        <f t="shared" si="270"/>
        <v>#N/A</v>
      </c>
      <c r="O407" s="490" t="e">
        <f t="shared" si="271"/>
        <v>#N/A</v>
      </c>
      <c r="P407" s="490" t="e">
        <f t="shared" si="272"/>
        <v>#N/A</v>
      </c>
      <c r="Q407" s="481" t="e">
        <f>N407</f>
        <v>#N/A</v>
      </c>
      <c r="R407" s="481" t="e">
        <f t="shared" ref="R407:S408" si="297">O407-N407</f>
        <v>#N/A</v>
      </c>
      <c r="S407" s="481" t="e">
        <f t="shared" si="297"/>
        <v>#N/A</v>
      </c>
      <c r="T407" s="490" t="e">
        <f t="shared" si="276"/>
        <v>#N/A</v>
      </c>
      <c r="U407" s="490" t="e">
        <f t="shared" si="277"/>
        <v>#N/A</v>
      </c>
      <c r="V407" s="490" t="e">
        <f t="shared" si="278"/>
        <v>#N/A</v>
      </c>
      <c r="W407" s="481" t="e">
        <f>T407</f>
        <v>#N/A</v>
      </c>
      <c r="X407" s="481" t="e">
        <f t="shared" ref="X407:Y408" si="298">U407-T407</f>
        <v>#N/A</v>
      </c>
      <c r="Y407" s="481" t="e">
        <f t="shared" si="298"/>
        <v>#N/A</v>
      </c>
      <c r="AA407" s="482"/>
      <c r="AB407" s="482"/>
      <c r="AC407" s="482"/>
      <c r="AD407" s="482"/>
      <c r="AE407" s="482"/>
      <c r="AF407" s="482"/>
      <c r="AG407" s="482"/>
      <c r="AH407" s="482"/>
      <c r="AI407" s="482"/>
      <c r="AJ407" s="482"/>
      <c r="AK407" s="482"/>
      <c r="AL407" s="482"/>
    </row>
    <row r="408" spans="1:38" s="268" customFormat="1" ht="15.75" hidden="1" x14ac:dyDescent="0.25">
      <c r="A408" s="478"/>
      <c r="B408" s="268" t="s">
        <v>1599</v>
      </c>
      <c r="D408" s="488">
        <v>333912</v>
      </c>
      <c r="E408" s="268" t="s">
        <v>614</v>
      </c>
      <c r="F408" s="489">
        <f>0.25*J75</f>
        <v>225000</v>
      </c>
      <c r="G408" s="489">
        <f t="shared" si="263"/>
        <v>222159.33063066367</v>
      </c>
      <c r="H408" s="490" t="e">
        <f t="shared" si="264"/>
        <v>#N/A</v>
      </c>
      <c r="I408" s="490" t="e">
        <f t="shared" si="265"/>
        <v>#N/A</v>
      </c>
      <c r="J408" s="490" t="e">
        <f t="shared" si="266"/>
        <v>#N/A</v>
      </c>
      <c r="K408" s="491" t="e">
        <f t="shared" si="294"/>
        <v>#N/A</v>
      </c>
      <c r="L408" s="491" t="e">
        <f t="shared" si="295"/>
        <v>#N/A</v>
      </c>
      <c r="M408" s="491" t="e">
        <f t="shared" si="296"/>
        <v>#N/A</v>
      </c>
      <c r="N408" s="490" t="e">
        <f t="shared" si="270"/>
        <v>#N/A</v>
      </c>
      <c r="O408" s="490" t="e">
        <f t="shared" si="271"/>
        <v>#N/A</v>
      </c>
      <c r="P408" s="490" t="e">
        <f t="shared" si="272"/>
        <v>#N/A</v>
      </c>
      <c r="Q408" s="481" t="e">
        <f>N408</f>
        <v>#N/A</v>
      </c>
      <c r="R408" s="481" t="e">
        <f t="shared" si="297"/>
        <v>#N/A</v>
      </c>
      <c r="S408" s="481" t="e">
        <f t="shared" si="297"/>
        <v>#N/A</v>
      </c>
      <c r="T408" s="490" t="e">
        <f t="shared" si="276"/>
        <v>#N/A</v>
      </c>
      <c r="U408" s="490" t="e">
        <f t="shared" si="277"/>
        <v>#N/A</v>
      </c>
      <c r="V408" s="490" t="e">
        <f t="shared" si="278"/>
        <v>#N/A</v>
      </c>
      <c r="W408" s="481" t="e">
        <f>T408</f>
        <v>#N/A</v>
      </c>
      <c r="X408" s="481" t="e">
        <f t="shared" si="298"/>
        <v>#N/A</v>
      </c>
      <c r="Y408" s="481" t="e">
        <f t="shared" si="298"/>
        <v>#N/A</v>
      </c>
      <c r="AA408" s="482"/>
      <c r="AB408" s="482"/>
      <c r="AC408" s="482"/>
      <c r="AD408" s="482"/>
      <c r="AE408" s="482"/>
      <c r="AF408" s="482"/>
      <c r="AG408" s="482"/>
      <c r="AH408" s="482"/>
      <c r="AI408" s="482"/>
      <c r="AJ408" s="482"/>
      <c r="AK408" s="482"/>
      <c r="AL408" s="482"/>
    </row>
    <row r="409" spans="1:38" s="268" customFormat="1" ht="15.75" hidden="1" x14ac:dyDescent="0.25">
      <c r="A409" s="478"/>
      <c r="B409" s="268" t="s">
        <v>1600</v>
      </c>
      <c r="D409" s="488">
        <v>333911</v>
      </c>
      <c r="E409" s="268" t="s">
        <v>615</v>
      </c>
      <c r="F409" s="489">
        <f>0.15*J75</f>
        <v>135000</v>
      </c>
      <c r="G409" s="489">
        <f t="shared" si="263"/>
        <v>133295.59837839819</v>
      </c>
      <c r="H409" s="490" t="e">
        <f t="shared" si="264"/>
        <v>#N/A</v>
      </c>
      <c r="I409" s="490" t="e">
        <f t="shared" si="265"/>
        <v>#N/A</v>
      </c>
      <c r="J409" s="490" t="e">
        <f t="shared" si="266"/>
        <v>#N/A</v>
      </c>
      <c r="K409" s="491" t="e">
        <f t="shared" ref="K409" si="299">H409</f>
        <v>#N/A</v>
      </c>
      <c r="L409" s="491" t="e">
        <f t="shared" ref="L409" si="300">I409-H409</f>
        <v>#N/A</v>
      </c>
      <c r="M409" s="491" t="e">
        <f t="shared" ref="M409" si="301">J409-I409</f>
        <v>#N/A</v>
      </c>
      <c r="N409" s="490" t="e">
        <f t="shared" si="270"/>
        <v>#N/A</v>
      </c>
      <c r="O409" s="490" t="e">
        <f t="shared" si="271"/>
        <v>#N/A</v>
      </c>
      <c r="P409" s="490" t="e">
        <f t="shared" si="272"/>
        <v>#N/A</v>
      </c>
      <c r="Q409" s="481" t="e">
        <f t="shared" ref="Q409" si="302">N409</f>
        <v>#N/A</v>
      </c>
      <c r="R409" s="481" t="e">
        <f t="shared" ref="R409" si="303">O409-N409</f>
        <v>#N/A</v>
      </c>
      <c r="S409" s="481" t="e">
        <f t="shared" ref="S409" si="304">P409-O409</f>
        <v>#N/A</v>
      </c>
      <c r="T409" s="490" t="e">
        <f t="shared" si="276"/>
        <v>#N/A</v>
      </c>
      <c r="U409" s="490" t="e">
        <f t="shared" si="277"/>
        <v>#N/A</v>
      </c>
      <c r="V409" s="490" t="e">
        <f t="shared" si="278"/>
        <v>#N/A</v>
      </c>
      <c r="W409" s="481" t="e">
        <f t="shared" ref="W409" si="305">T409</f>
        <v>#N/A</v>
      </c>
      <c r="X409" s="481" t="e">
        <f t="shared" ref="X409" si="306">U409-T409</f>
        <v>#N/A</v>
      </c>
      <c r="Y409" s="481" t="e">
        <f t="shared" ref="Y409" si="307">V409-U409</f>
        <v>#N/A</v>
      </c>
      <c r="AA409" s="482"/>
      <c r="AB409" s="482"/>
      <c r="AC409" s="482"/>
      <c r="AD409" s="482"/>
      <c r="AE409" s="482"/>
      <c r="AF409" s="482"/>
      <c r="AG409" s="482"/>
      <c r="AH409" s="482"/>
      <c r="AI409" s="482"/>
      <c r="AJ409" s="482"/>
      <c r="AK409" s="482"/>
      <c r="AL409" s="482"/>
    </row>
    <row r="410" spans="1:38" s="268" customFormat="1" ht="15.75" hidden="1" x14ac:dyDescent="0.25">
      <c r="A410" s="478"/>
      <c r="B410" s="268" t="s">
        <v>1601</v>
      </c>
      <c r="D410" s="488">
        <v>334513</v>
      </c>
      <c r="E410" s="268" t="s">
        <v>6</v>
      </c>
      <c r="F410" s="489">
        <f>0.1*J$75</f>
        <v>90000</v>
      </c>
      <c r="G410" s="489">
        <f t="shared" si="263"/>
        <v>88863.732252265472</v>
      </c>
      <c r="H410" s="490" t="e">
        <f t="shared" si="264"/>
        <v>#N/A</v>
      </c>
      <c r="I410" s="490" t="e">
        <f t="shared" si="265"/>
        <v>#N/A</v>
      </c>
      <c r="J410" s="490" t="e">
        <f t="shared" si="266"/>
        <v>#N/A</v>
      </c>
      <c r="K410" s="491" t="e">
        <f t="shared" ref="K410" si="308">H410</f>
        <v>#N/A</v>
      </c>
      <c r="L410" s="491" t="e">
        <f t="shared" ref="L410" si="309">I410-H410</f>
        <v>#N/A</v>
      </c>
      <c r="M410" s="491" t="e">
        <f t="shared" ref="M410" si="310">J410-I410</f>
        <v>#N/A</v>
      </c>
      <c r="N410" s="490" t="e">
        <f t="shared" si="270"/>
        <v>#N/A</v>
      </c>
      <c r="O410" s="490" t="e">
        <f t="shared" si="271"/>
        <v>#N/A</v>
      </c>
      <c r="P410" s="490" t="e">
        <f t="shared" si="272"/>
        <v>#N/A</v>
      </c>
      <c r="Q410" s="481" t="e">
        <f t="shared" ref="Q410" si="311">N410</f>
        <v>#N/A</v>
      </c>
      <c r="R410" s="481" t="e">
        <f t="shared" ref="R410" si="312">O410-N410</f>
        <v>#N/A</v>
      </c>
      <c r="S410" s="481" t="e">
        <f t="shared" ref="S410" si="313">P410-O410</f>
        <v>#N/A</v>
      </c>
      <c r="T410" s="490" t="e">
        <f t="shared" si="276"/>
        <v>#N/A</v>
      </c>
      <c r="U410" s="490" t="e">
        <f t="shared" si="277"/>
        <v>#N/A</v>
      </c>
      <c r="V410" s="490" t="e">
        <f t="shared" si="278"/>
        <v>#N/A</v>
      </c>
      <c r="W410" s="481" t="e">
        <f t="shared" ref="W410" si="314">T410</f>
        <v>#N/A</v>
      </c>
      <c r="X410" s="481" t="e">
        <f t="shared" ref="X410" si="315">U410-T410</f>
        <v>#N/A</v>
      </c>
      <c r="Y410" s="481" t="e">
        <f t="shared" ref="Y410" si="316">V410-U410</f>
        <v>#N/A</v>
      </c>
      <c r="AA410" s="482"/>
      <c r="AB410" s="482"/>
      <c r="AC410" s="482"/>
      <c r="AD410" s="482"/>
      <c r="AE410" s="482"/>
      <c r="AF410" s="482"/>
      <c r="AG410" s="482"/>
      <c r="AH410" s="482"/>
      <c r="AI410" s="482"/>
      <c r="AJ410" s="482"/>
      <c r="AK410" s="482"/>
      <c r="AL410" s="482"/>
    </row>
    <row r="411" spans="1:38" s="268" customFormat="1" ht="15.75" hidden="1" x14ac:dyDescent="0.25">
      <c r="A411" s="478"/>
      <c r="B411" s="268" t="s">
        <v>1602</v>
      </c>
      <c r="D411" s="268">
        <v>333415</v>
      </c>
      <c r="E411" s="268" t="s">
        <v>192</v>
      </c>
      <c r="F411" s="489">
        <f>0.05*J$75</f>
        <v>45000</v>
      </c>
      <c r="G411" s="489">
        <f t="shared" si="263"/>
        <v>44431.866126132736</v>
      </c>
      <c r="H411" s="490" t="e">
        <f t="shared" si="264"/>
        <v>#N/A</v>
      </c>
      <c r="I411" s="490" t="e">
        <f t="shared" si="265"/>
        <v>#N/A</v>
      </c>
      <c r="J411" s="490" t="e">
        <f t="shared" si="266"/>
        <v>#N/A</v>
      </c>
      <c r="K411" s="491" t="e">
        <f t="shared" ref="K411" si="317">H411</f>
        <v>#N/A</v>
      </c>
      <c r="L411" s="491" t="e">
        <f t="shared" ref="L411" si="318">I411-H411</f>
        <v>#N/A</v>
      </c>
      <c r="M411" s="491" t="e">
        <f t="shared" ref="M411" si="319">J411-I411</f>
        <v>#N/A</v>
      </c>
      <c r="N411" s="490" t="e">
        <f t="shared" si="270"/>
        <v>#N/A</v>
      </c>
      <c r="O411" s="490" t="e">
        <f t="shared" si="271"/>
        <v>#N/A</v>
      </c>
      <c r="P411" s="490" t="e">
        <f t="shared" si="272"/>
        <v>#N/A</v>
      </c>
      <c r="Q411" s="481" t="e">
        <f t="shared" ref="Q411" si="320">N411</f>
        <v>#N/A</v>
      </c>
      <c r="R411" s="481" t="e">
        <f t="shared" ref="R411" si="321">O411-N411</f>
        <v>#N/A</v>
      </c>
      <c r="S411" s="481" t="e">
        <f t="shared" ref="S411" si="322">P411-O411</f>
        <v>#N/A</v>
      </c>
      <c r="T411" s="490" t="e">
        <f t="shared" si="276"/>
        <v>#N/A</v>
      </c>
      <c r="U411" s="490" t="e">
        <f t="shared" si="277"/>
        <v>#N/A</v>
      </c>
      <c r="V411" s="490" t="e">
        <f t="shared" si="278"/>
        <v>#N/A</v>
      </c>
      <c r="W411" s="481" t="e">
        <f t="shared" ref="W411" si="323">T411</f>
        <v>#N/A</v>
      </c>
      <c r="X411" s="481" t="e">
        <f t="shared" ref="X411" si="324">U411-T411</f>
        <v>#N/A</v>
      </c>
      <c r="Y411" s="481" t="e">
        <f t="shared" ref="Y411" si="325">V411-U411</f>
        <v>#N/A</v>
      </c>
      <c r="AA411" s="482"/>
      <c r="AB411" s="482"/>
      <c r="AC411" s="482"/>
      <c r="AD411" s="482"/>
      <c r="AE411" s="482"/>
      <c r="AF411" s="482"/>
      <c r="AG411" s="482"/>
      <c r="AH411" s="482"/>
      <c r="AI411" s="482"/>
      <c r="AJ411" s="482"/>
      <c r="AK411" s="482"/>
      <c r="AL411" s="482"/>
    </row>
    <row r="412" spans="1:38" s="268" customFormat="1" ht="15.75" hidden="1" x14ac:dyDescent="0.25">
      <c r="A412" s="478"/>
      <c r="D412" s="488"/>
      <c r="E412" s="518" t="s">
        <v>448</v>
      </c>
      <c r="F412" s="489">
        <f t="shared" ref="F412:Y412" si="326">SUM(F401:F411)</f>
        <v>1400000</v>
      </c>
      <c r="G412" s="489">
        <f t="shared" si="326"/>
        <v>1382324.7239241297</v>
      </c>
      <c r="H412" s="489" t="e">
        <f t="shared" si="326"/>
        <v>#N/A</v>
      </c>
      <c r="I412" s="489" t="e">
        <f t="shared" si="326"/>
        <v>#N/A</v>
      </c>
      <c r="J412" s="489" t="e">
        <f t="shared" si="326"/>
        <v>#N/A</v>
      </c>
      <c r="K412" s="489" t="e">
        <f t="shared" si="326"/>
        <v>#N/A</v>
      </c>
      <c r="L412" s="489" t="e">
        <f t="shared" si="326"/>
        <v>#N/A</v>
      </c>
      <c r="M412" s="489" t="e">
        <f t="shared" si="326"/>
        <v>#N/A</v>
      </c>
      <c r="N412" s="489" t="e">
        <f t="shared" si="326"/>
        <v>#N/A</v>
      </c>
      <c r="O412" s="489" t="e">
        <f t="shared" si="326"/>
        <v>#N/A</v>
      </c>
      <c r="P412" s="489" t="e">
        <f t="shared" si="326"/>
        <v>#N/A</v>
      </c>
      <c r="Q412" s="489" t="e">
        <f t="shared" si="326"/>
        <v>#N/A</v>
      </c>
      <c r="R412" s="489" t="e">
        <f t="shared" si="326"/>
        <v>#N/A</v>
      </c>
      <c r="S412" s="489" t="e">
        <f t="shared" si="326"/>
        <v>#N/A</v>
      </c>
      <c r="T412" s="489" t="e">
        <f t="shared" si="326"/>
        <v>#N/A</v>
      </c>
      <c r="U412" s="489" t="e">
        <f t="shared" si="326"/>
        <v>#N/A</v>
      </c>
      <c r="V412" s="489" t="e">
        <f t="shared" si="326"/>
        <v>#N/A</v>
      </c>
      <c r="W412" s="489" t="e">
        <f t="shared" si="326"/>
        <v>#N/A</v>
      </c>
      <c r="X412" s="489" t="e">
        <f t="shared" si="326"/>
        <v>#N/A</v>
      </c>
      <c r="Y412" s="489" t="e">
        <f t="shared" si="326"/>
        <v>#N/A</v>
      </c>
      <c r="AA412" s="482"/>
      <c r="AB412" s="482"/>
      <c r="AC412" s="482"/>
      <c r="AD412" s="482"/>
      <c r="AE412" s="482"/>
      <c r="AF412" s="482"/>
      <c r="AG412" s="482"/>
      <c r="AH412" s="482"/>
      <c r="AI412" s="482"/>
      <c r="AJ412" s="482"/>
      <c r="AK412" s="482"/>
      <c r="AL412" s="482"/>
    </row>
    <row r="413" spans="1:38" s="268" customFormat="1" ht="15.75" hidden="1" x14ac:dyDescent="0.25">
      <c r="A413" s="478"/>
      <c r="D413" s="488"/>
      <c r="E413" s="268">
        <v>2015</v>
      </c>
      <c r="F413" s="489">
        <f t="shared" ref="F413:Y413" si="327">F$412*$J83</f>
        <v>0</v>
      </c>
      <c r="G413" s="489">
        <f t="shared" si="327"/>
        <v>0</v>
      </c>
      <c r="H413" s="489" t="e">
        <f t="shared" si="327"/>
        <v>#N/A</v>
      </c>
      <c r="I413" s="489" t="e">
        <f t="shared" si="327"/>
        <v>#N/A</v>
      </c>
      <c r="J413" s="489" t="e">
        <f t="shared" si="327"/>
        <v>#N/A</v>
      </c>
      <c r="K413" s="489" t="e">
        <f t="shared" si="327"/>
        <v>#N/A</v>
      </c>
      <c r="L413" s="489" t="e">
        <f t="shared" si="327"/>
        <v>#N/A</v>
      </c>
      <c r="M413" s="489" t="e">
        <f t="shared" si="327"/>
        <v>#N/A</v>
      </c>
      <c r="N413" s="489" t="e">
        <f t="shared" si="327"/>
        <v>#N/A</v>
      </c>
      <c r="O413" s="489" t="e">
        <f t="shared" si="327"/>
        <v>#N/A</v>
      </c>
      <c r="P413" s="489" t="e">
        <f t="shared" si="327"/>
        <v>#N/A</v>
      </c>
      <c r="Q413" s="489" t="e">
        <f t="shared" si="327"/>
        <v>#N/A</v>
      </c>
      <c r="R413" s="489" t="e">
        <f t="shared" si="327"/>
        <v>#N/A</v>
      </c>
      <c r="S413" s="489" t="e">
        <f t="shared" si="327"/>
        <v>#N/A</v>
      </c>
      <c r="T413" s="489" t="e">
        <f t="shared" si="327"/>
        <v>#N/A</v>
      </c>
      <c r="U413" s="489" t="e">
        <f t="shared" si="327"/>
        <v>#N/A</v>
      </c>
      <c r="V413" s="489" t="e">
        <f t="shared" si="327"/>
        <v>#N/A</v>
      </c>
      <c r="W413" s="489" t="e">
        <f t="shared" si="327"/>
        <v>#N/A</v>
      </c>
      <c r="X413" s="489" t="e">
        <f t="shared" si="327"/>
        <v>#N/A</v>
      </c>
      <c r="Y413" s="489" t="e">
        <f t="shared" si="327"/>
        <v>#N/A</v>
      </c>
      <c r="AA413" s="482"/>
      <c r="AB413" s="482"/>
      <c r="AC413" s="482"/>
      <c r="AD413" s="482"/>
      <c r="AE413" s="482"/>
      <c r="AF413" s="482"/>
      <c r="AG413" s="482"/>
      <c r="AH413" s="482"/>
      <c r="AI413" s="482"/>
      <c r="AJ413" s="482"/>
      <c r="AK413" s="482"/>
      <c r="AL413" s="482"/>
    </row>
    <row r="414" spans="1:38" s="268" customFormat="1" ht="15.75" hidden="1" x14ac:dyDescent="0.25">
      <c r="A414" s="478"/>
      <c r="D414" s="488"/>
      <c r="E414" s="268">
        <v>2016</v>
      </c>
      <c r="F414" s="489">
        <f t="shared" ref="F414:Y414" si="328">F$412*$J84</f>
        <v>0</v>
      </c>
      <c r="G414" s="489">
        <f t="shared" si="328"/>
        <v>0</v>
      </c>
      <c r="H414" s="489" t="e">
        <f t="shared" si="328"/>
        <v>#N/A</v>
      </c>
      <c r="I414" s="489" t="e">
        <f t="shared" si="328"/>
        <v>#N/A</v>
      </c>
      <c r="J414" s="489" t="e">
        <f t="shared" si="328"/>
        <v>#N/A</v>
      </c>
      <c r="K414" s="489" t="e">
        <f t="shared" si="328"/>
        <v>#N/A</v>
      </c>
      <c r="L414" s="489" t="e">
        <f t="shared" si="328"/>
        <v>#N/A</v>
      </c>
      <c r="M414" s="489" t="e">
        <f t="shared" si="328"/>
        <v>#N/A</v>
      </c>
      <c r="N414" s="489" t="e">
        <f t="shared" si="328"/>
        <v>#N/A</v>
      </c>
      <c r="O414" s="489" t="e">
        <f t="shared" si="328"/>
        <v>#N/A</v>
      </c>
      <c r="P414" s="489" t="e">
        <f t="shared" si="328"/>
        <v>#N/A</v>
      </c>
      <c r="Q414" s="489" t="e">
        <f t="shared" si="328"/>
        <v>#N/A</v>
      </c>
      <c r="R414" s="489" t="e">
        <f t="shared" si="328"/>
        <v>#N/A</v>
      </c>
      <c r="S414" s="489" t="e">
        <f t="shared" si="328"/>
        <v>#N/A</v>
      </c>
      <c r="T414" s="489" t="e">
        <f t="shared" si="328"/>
        <v>#N/A</v>
      </c>
      <c r="U414" s="489" t="e">
        <f t="shared" si="328"/>
        <v>#N/A</v>
      </c>
      <c r="V414" s="489" t="e">
        <f t="shared" si="328"/>
        <v>#N/A</v>
      </c>
      <c r="W414" s="489" t="e">
        <f t="shared" si="328"/>
        <v>#N/A</v>
      </c>
      <c r="X414" s="489" t="e">
        <f t="shared" si="328"/>
        <v>#N/A</v>
      </c>
      <c r="Y414" s="489" t="e">
        <f t="shared" si="328"/>
        <v>#N/A</v>
      </c>
      <c r="AA414" s="482"/>
      <c r="AB414" s="482"/>
      <c r="AC414" s="482"/>
      <c r="AD414" s="482"/>
      <c r="AE414" s="482"/>
      <c r="AF414" s="482"/>
      <c r="AG414" s="482"/>
      <c r="AH414" s="482"/>
      <c r="AI414" s="482"/>
      <c r="AJ414" s="482"/>
      <c r="AK414" s="482"/>
      <c r="AL414" s="482"/>
    </row>
    <row r="415" spans="1:38" s="268" customFormat="1" ht="15.75" hidden="1" x14ac:dyDescent="0.25">
      <c r="A415" s="478"/>
      <c r="D415" s="488"/>
      <c r="E415" s="268">
        <v>2017</v>
      </c>
      <c r="F415" s="489">
        <f t="shared" ref="F415:Y415" si="329">F$412*$J85</f>
        <v>0</v>
      </c>
      <c r="G415" s="489">
        <f t="shared" si="329"/>
        <v>0</v>
      </c>
      <c r="H415" s="489" t="e">
        <f t="shared" si="329"/>
        <v>#N/A</v>
      </c>
      <c r="I415" s="489" t="e">
        <f t="shared" si="329"/>
        <v>#N/A</v>
      </c>
      <c r="J415" s="489" t="e">
        <f t="shared" si="329"/>
        <v>#N/A</v>
      </c>
      <c r="K415" s="489" t="e">
        <f t="shared" si="329"/>
        <v>#N/A</v>
      </c>
      <c r="L415" s="489" t="e">
        <f t="shared" si="329"/>
        <v>#N/A</v>
      </c>
      <c r="M415" s="489" t="e">
        <f t="shared" si="329"/>
        <v>#N/A</v>
      </c>
      <c r="N415" s="489" t="e">
        <f t="shared" si="329"/>
        <v>#N/A</v>
      </c>
      <c r="O415" s="489" t="e">
        <f t="shared" si="329"/>
        <v>#N/A</v>
      </c>
      <c r="P415" s="489" t="e">
        <f t="shared" si="329"/>
        <v>#N/A</v>
      </c>
      <c r="Q415" s="489" t="e">
        <f t="shared" si="329"/>
        <v>#N/A</v>
      </c>
      <c r="R415" s="489" t="e">
        <f t="shared" si="329"/>
        <v>#N/A</v>
      </c>
      <c r="S415" s="489" t="e">
        <f t="shared" si="329"/>
        <v>#N/A</v>
      </c>
      <c r="T415" s="489" t="e">
        <f t="shared" si="329"/>
        <v>#N/A</v>
      </c>
      <c r="U415" s="489" t="e">
        <f t="shared" si="329"/>
        <v>#N/A</v>
      </c>
      <c r="V415" s="489" t="e">
        <f t="shared" si="329"/>
        <v>#N/A</v>
      </c>
      <c r="W415" s="489" t="e">
        <f t="shared" si="329"/>
        <v>#N/A</v>
      </c>
      <c r="X415" s="489" t="e">
        <f t="shared" si="329"/>
        <v>#N/A</v>
      </c>
      <c r="Y415" s="489" t="e">
        <f t="shared" si="329"/>
        <v>#N/A</v>
      </c>
      <c r="AA415" s="482"/>
      <c r="AB415" s="482"/>
      <c r="AC415" s="482"/>
      <c r="AD415" s="482"/>
      <c r="AE415" s="482"/>
      <c r="AF415" s="482"/>
      <c r="AG415" s="482"/>
      <c r="AH415" s="482"/>
      <c r="AI415" s="482"/>
      <c r="AJ415" s="482"/>
      <c r="AK415" s="482"/>
      <c r="AL415" s="482"/>
    </row>
    <row r="416" spans="1:38" s="268" customFormat="1" ht="15.75" hidden="1" x14ac:dyDescent="0.25">
      <c r="A416" s="478"/>
      <c r="D416" s="488"/>
      <c r="E416" s="268">
        <v>2018</v>
      </c>
      <c r="F416" s="489">
        <f t="shared" ref="F416:Y416" si="330">F$412*$J86</f>
        <v>0</v>
      </c>
      <c r="G416" s="489">
        <f t="shared" si="330"/>
        <v>0</v>
      </c>
      <c r="H416" s="489" t="e">
        <f t="shared" si="330"/>
        <v>#N/A</v>
      </c>
      <c r="I416" s="489" t="e">
        <f t="shared" si="330"/>
        <v>#N/A</v>
      </c>
      <c r="J416" s="489" t="e">
        <f t="shared" si="330"/>
        <v>#N/A</v>
      </c>
      <c r="K416" s="489" t="e">
        <f t="shared" si="330"/>
        <v>#N/A</v>
      </c>
      <c r="L416" s="489" t="e">
        <f t="shared" si="330"/>
        <v>#N/A</v>
      </c>
      <c r="M416" s="489" t="e">
        <f t="shared" si="330"/>
        <v>#N/A</v>
      </c>
      <c r="N416" s="489" t="e">
        <f t="shared" si="330"/>
        <v>#N/A</v>
      </c>
      <c r="O416" s="489" t="e">
        <f t="shared" si="330"/>
        <v>#N/A</v>
      </c>
      <c r="P416" s="489" t="e">
        <f t="shared" si="330"/>
        <v>#N/A</v>
      </c>
      <c r="Q416" s="489" t="e">
        <f t="shared" si="330"/>
        <v>#N/A</v>
      </c>
      <c r="R416" s="489" t="e">
        <f t="shared" si="330"/>
        <v>#N/A</v>
      </c>
      <c r="S416" s="489" t="e">
        <f t="shared" si="330"/>
        <v>#N/A</v>
      </c>
      <c r="T416" s="489" t="e">
        <f t="shared" si="330"/>
        <v>#N/A</v>
      </c>
      <c r="U416" s="489" t="e">
        <f t="shared" si="330"/>
        <v>#N/A</v>
      </c>
      <c r="V416" s="489" t="e">
        <f t="shared" si="330"/>
        <v>#N/A</v>
      </c>
      <c r="W416" s="489" t="e">
        <f t="shared" si="330"/>
        <v>#N/A</v>
      </c>
      <c r="X416" s="489" t="e">
        <f t="shared" si="330"/>
        <v>#N/A</v>
      </c>
      <c r="Y416" s="489" t="e">
        <f t="shared" si="330"/>
        <v>#N/A</v>
      </c>
      <c r="AA416" s="482"/>
      <c r="AB416" s="482"/>
      <c r="AC416" s="482"/>
      <c r="AD416" s="482"/>
      <c r="AE416" s="482"/>
      <c r="AF416" s="482"/>
      <c r="AG416" s="482"/>
      <c r="AH416" s="482"/>
      <c r="AI416" s="482"/>
      <c r="AJ416" s="482"/>
      <c r="AK416" s="482"/>
      <c r="AL416" s="482"/>
    </row>
    <row r="417" spans="1:38" s="268" customFormat="1" ht="15.75" hidden="1" x14ac:dyDescent="0.25">
      <c r="A417" s="478"/>
      <c r="D417" s="488"/>
      <c r="E417" s="268">
        <v>2019</v>
      </c>
      <c r="F417" s="489">
        <f t="shared" ref="F417:Y417" si="331">F$412*$J87</f>
        <v>0</v>
      </c>
      <c r="G417" s="489">
        <f t="shared" si="331"/>
        <v>0</v>
      </c>
      <c r="H417" s="489" t="e">
        <f t="shared" si="331"/>
        <v>#N/A</v>
      </c>
      <c r="I417" s="489" t="e">
        <f t="shared" si="331"/>
        <v>#N/A</v>
      </c>
      <c r="J417" s="489" t="e">
        <f t="shared" si="331"/>
        <v>#N/A</v>
      </c>
      <c r="K417" s="489" t="e">
        <f t="shared" si="331"/>
        <v>#N/A</v>
      </c>
      <c r="L417" s="489" t="e">
        <f t="shared" si="331"/>
        <v>#N/A</v>
      </c>
      <c r="M417" s="489" t="e">
        <f t="shared" si="331"/>
        <v>#N/A</v>
      </c>
      <c r="N417" s="489" t="e">
        <f t="shared" si="331"/>
        <v>#N/A</v>
      </c>
      <c r="O417" s="489" t="e">
        <f t="shared" si="331"/>
        <v>#N/A</v>
      </c>
      <c r="P417" s="489" t="e">
        <f t="shared" si="331"/>
        <v>#N/A</v>
      </c>
      <c r="Q417" s="489" t="e">
        <f t="shared" si="331"/>
        <v>#N/A</v>
      </c>
      <c r="R417" s="489" t="e">
        <f t="shared" si="331"/>
        <v>#N/A</v>
      </c>
      <c r="S417" s="489" t="e">
        <f t="shared" si="331"/>
        <v>#N/A</v>
      </c>
      <c r="T417" s="489" t="e">
        <f t="shared" si="331"/>
        <v>#N/A</v>
      </c>
      <c r="U417" s="489" t="e">
        <f t="shared" si="331"/>
        <v>#N/A</v>
      </c>
      <c r="V417" s="489" t="e">
        <f t="shared" si="331"/>
        <v>#N/A</v>
      </c>
      <c r="W417" s="489" t="e">
        <f t="shared" si="331"/>
        <v>#N/A</v>
      </c>
      <c r="X417" s="489" t="e">
        <f t="shared" si="331"/>
        <v>#N/A</v>
      </c>
      <c r="Y417" s="489" t="e">
        <f t="shared" si="331"/>
        <v>#N/A</v>
      </c>
      <c r="AA417" s="482"/>
      <c r="AB417" s="482"/>
      <c r="AC417" s="482"/>
      <c r="AD417" s="482"/>
      <c r="AE417" s="482"/>
      <c r="AF417" s="482"/>
      <c r="AG417" s="482"/>
      <c r="AH417" s="482"/>
      <c r="AI417" s="482"/>
      <c r="AJ417" s="482"/>
      <c r="AK417" s="482"/>
      <c r="AL417" s="482"/>
    </row>
    <row r="418" spans="1:38" s="268" customFormat="1" ht="15.75" hidden="1" x14ac:dyDescent="0.25">
      <c r="A418" s="478"/>
      <c r="D418" s="488"/>
      <c r="E418" s="268">
        <v>2020</v>
      </c>
      <c r="F418" s="489">
        <f t="shared" ref="F418:Y418" si="332">F$412*$J88</f>
        <v>0</v>
      </c>
      <c r="G418" s="489">
        <f t="shared" si="332"/>
        <v>0</v>
      </c>
      <c r="H418" s="489" t="e">
        <f t="shared" si="332"/>
        <v>#N/A</v>
      </c>
      <c r="I418" s="489" t="e">
        <f t="shared" si="332"/>
        <v>#N/A</v>
      </c>
      <c r="J418" s="489" t="e">
        <f t="shared" si="332"/>
        <v>#N/A</v>
      </c>
      <c r="K418" s="489" t="e">
        <f t="shared" si="332"/>
        <v>#N/A</v>
      </c>
      <c r="L418" s="489" t="e">
        <f t="shared" si="332"/>
        <v>#N/A</v>
      </c>
      <c r="M418" s="489" t="e">
        <f t="shared" si="332"/>
        <v>#N/A</v>
      </c>
      <c r="N418" s="489" t="e">
        <f t="shared" si="332"/>
        <v>#N/A</v>
      </c>
      <c r="O418" s="489" t="e">
        <f t="shared" si="332"/>
        <v>#N/A</v>
      </c>
      <c r="P418" s="489" t="e">
        <f t="shared" si="332"/>
        <v>#N/A</v>
      </c>
      <c r="Q418" s="489" t="e">
        <f t="shared" si="332"/>
        <v>#N/A</v>
      </c>
      <c r="R418" s="489" t="e">
        <f t="shared" si="332"/>
        <v>#N/A</v>
      </c>
      <c r="S418" s="489" t="e">
        <f t="shared" si="332"/>
        <v>#N/A</v>
      </c>
      <c r="T418" s="489" t="e">
        <f t="shared" si="332"/>
        <v>#N/A</v>
      </c>
      <c r="U418" s="489" t="e">
        <f t="shared" si="332"/>
        <v>#N/A</v>
      </c>
      <c r="V418" s="489" t="e">
        <f t="shared" si="332"/>
        <v>#N/A</v>
      </c>
      <c r="W418" s="489" t="e">
        <f t="shared" si="332"/>
        <v>#N/A</v>
      </c>
      <c r="X418" s="489" t="e">
        <f t="shared" si="332"/>
        <v>#N/A</v>
      </c>
      <c r="Y418" s="489" t="e">
        <f t="shared" si="332"/>
        <v>#N/A</v>
      </c>
      <c r="AA418" s="482"/>
      <c r="AB418" s="482"/>
      <c r="AC418" s="482"/>
      <c r="AD418" s="482"/>
      <c r="AE418" s="482"/>
      <c r="AF418" s="482"/>
      <c r="AG418" s="482"/>
      <c r="AH418" s="482"/>
      <c r="AI418" s="482"/>
      <c r="AJ418" s="482"/>
      <c r="AK418" s="482"/>
      <c r="AL418" s="482"/>
    </row>
    <row r="419" spans="1:38" s="268" customFormat="1" ht="15.75" hidden="1" x14ac:dyDescent="0.25">
      <c r="A419" s="478"/>
      <c r="D419" s="488"/>
      <c r="F419" s="489"/>
      <c r="G419" s="489"/>
      <c r="H419" s="490"/>
      <c r="I419" s="490"/>
      <c r="J419" s="490"/>
      <c r="K419" s="491"/>
      <c r="L419" s="491"/>
      <c r="M419" s="491"/>
      <c r="N419" s="490"/>
      <c r="O419" s="490"/>
      <c r="P419" s="490"/>
      <c r="Q419" s="481"/>
      <c r="R419" s="481"/>
      <c r="S419" s="481"/>
      <c r="T419" s="490"/>
      <c r="U419" s="490"/>
      <c r="V419" s="490"/>
      <c r="W419" s="481"/>
      <c r="X419" s="481"/>
      <c r="Y419" s="481"/>
      <c r="AA419" s="482"/>
      <c r="AB419" s="482"/>
      <c r="AC419" s="482"/>
      <c r="AD419" s="482"/>
      <c r="AE419" s="482"/>
      <c r="AF419" s="482"/>
      <c r="AG419" s="482"/>
      <c r="AH419" s="482"/>
      <c r="AI419" s="482"/>
      <c r="AJ419" s="482"/>
      <c r="AK419" s="482"/>
      <c r="AL419" s="482"/>
    </row>
    <row r="420" spans="1:38" s="222" customFormat="1" ht="15.75" hidden="1" x14ac:dyDescent="0.25">
      <c r="A420" s="130"/>
      <c r="N420" s="282"/>
      <c r="O420" s="282"/>
      <c r="P420" s="282"/>
      <c r="Q420" s="282"/>
      <c r="R420" s="282"/>
      <c r="S420" s="282"/>
      <c r="T420" s="282"/>
      <c r="U420" s="282"/>
      <c r="V420" s="282"/>
      <c r="W420" s="282"/>
      <c r="X420" s="282"/>
      <c r="Y420" s="282"/>
      <c r="AA420" s="3"/>
      <c r="AB420" s="3"/>
      <c r="AC420" s="3"/>
      <c r="AD420" s="3"/>
      <c r="AE420" s="3"/>
      <c r="AF420" s="3"/>
      <c r="AG420" s="3"/>
      <c r="AH420" s="3"/>
      <c r="AI420" s="3"/>
      <c r="AJ420" s="3"/>
      <c r="AK420" s="3"/>
      <c r="AL420" s="3"/>
    </row>
    <row r="421" spans="1:38" s="222" customFormat="1" ht="15.75" hidden="1" x14ac:dyDescent="0.25">
      <c r="A421" s="130"/>
      <c r="D421" s="272"/>
      <c r="N421" s="282"/>
      <c r="O421" s="282"/>
      <c r="P421" s="282"/>
      <c r="Q421" s="282"/>
      <c r="R421" s="282"/>
      <c r="S421" s="282"/>
      <c r="T421" s="282"/>
      <c r="U421" s="282"/>
      <c r="V421" s="282"/>
      <c r="W421" s="282"/>
      <c r="X421" s="282"/>
      <c r="Y421" s="282"/>
      <c r="AA421" s="3"/>
      <c r="AB421" s="3"/>
      <c r="AC421" s="3"/>
      <c r="AD421" s="3"/>
      <c r="AE421" s="3"/>
      <c r="AF421" s="3"/>
      <c r="AG421" s="3"/>
      <c r="AH421" s="3"/>
      <c r="AI421" s="3"/>
      <c r="AJ421" s="3"/>
      <c r="AK421" s="3"/>
      <c r="AL421" s="3"/>
    </row>
    <row r="422" spans="1:38" s="298" customFormat="1" ht="15.75" hidden="1" x14ac:dyDescent="0.25">
      <c r="A422" s="493"/>
      <c r="D422" s="296" t="s">
        <v>1472</v>
      </c>
      <c r="E422" s="297"/>
      <c r="F422" s="297"/>
      <c r="G422" s="297"/>
      <c r="N422" s="303"/>
      <c r="O422" s="303"/>
      <c r="P422" s="303"/>
      <c r="Q422" s="303"/>
      <c r="R422" s="303"/>
      <c r="S422" s="303"/>
      <c r="T422" s="303"/>
      <c r="U422" s="303"/>
      <c r="V422" s="303"/>
      <c r="W422" s="303"/>
      <c r="X422" s="303"/>
      <c r="Y422" s="303"/>
      <c r="AA422" s="494"/>
      <c r="AB422" s="494"/>
      <c r="AC422" s="494"/>
      <c r="AD422" s="494"/>
      <c r="AE422" s="494"/>
      <c r="AF422" s="494"/>
      <c r="AG422" s="494"/>
      <c r="AH422" s="494"/>
      <c r="AI422" s="494"/>
      <c r="AJ422" s="494"/>
      <c r="AK422" s="494"/>
      <c r="AL422" s="494"/>
    </row>
    <row r="423" spans="1:38" s="299" customFormat="1" ht="15.75" hidden="1" x14ac:dyDescent="0.25">
      <c r="A423" s="495"/>
      <c r="B423" s="527" t="s">
        <v>1570</v>
      </c>
      <c r="D423" s="496" t="s">
        <v>412</v>
      </c>
      <c r="E423" s="497" t="s">
        <v>10</v>
      </c>
      <c r="F423" s="497" t="s">
        <v>1060</v>
      </c>
      <c r="G423" s="497" t="str">
        <f>$G$284</f>
        <v>Cost in 2008 dollars</v>
      </c>
      <c r="H423" s="299" t="s">
        <v>583</v>
      </c>
      <c r="I423" s="299" t="s">
        <v>584</v>
      </c>
      <c r="J423" s="299" t="s">
        <v>585</v>
      </c>
      <c r="K423" s="299" t="s">
        <v>586</v>
      </c>
      <c r="L423" s="299" t="s">
        <v>413</v>
      </c>
      <c r="M423" s="299" t="s">
        <v>414</v>
      </c>
      <c r="N423" s="498" t="s">
        <v>592</v>
      </c>
      <c r="O423" s="498" t="s">
        <v>587</v>
      </c>
      <c r="P423" s="498" t="s">
        <v>588</v>
      </c>
      <c r="Q423" s="498" t="s">
        <v>589</v>
      </c>
      <c r="R423" s="498" t="s">
        <v>590</v>
      </c>
      <c r="S423" s="498" t="s">
        <v>591</v>
      </c>
      <c r="T423" s="498" t="s">
        <v>593</v>
      </c>
      <c r="U423" s="498" t="s">
        <v>594</v>
      </c>
      <c r="V423" s="498" t="s">
        <v>595</v>
      </c>
      <c r="W423" s="498" t="s">
        <v>596</v>
      </c>
      <c r="X423" s="498" t="s">
        <v>597</v>
      </c>
      <c r="Y423" s="498" t="s">
        <v>598</v>
      </c>
      <c r="Z423" s="298"/>
      <c r="AA423" s="494"/>
      <c r="AB423" s="494"/>
      <c r="AC423" s="494"/>
      <c r="AD423" s="494"/>
      <c r="AE423" s="494"/>
      <c r="AF423" s="494"/>
      <c r="AG423" s="494"/>
      <c r="AH423" s="494"/>
      <c r="AI423" s="494"/>
      <c r="AJ423" s="494"/>
      <c r="AK423" s="494"/>
      <c r="AL423" s="494"/>
    </row>
    <row r="424" spans="1:38" s="299" customFormat="1" ht="15.75" hidden="1" x14ac:dyDescent="0.25">
      <c r="A424" s="495"/>
      <c r="B424" s="525" t="s">
        <v>1587</v>
      </c>
      <c r="C424" s="525" t="s">
        <v>440</v>
      </c>
      <c r="D424" s="300">
        <v>484000</v>
      </c>
      <c r="E424" s="298" t="s">
        <v>616</v>
      </c>
      <c r="F424" s="499">
        <f>J100-F435</f>
        <v>1559.0909090909092</v>
      </c>
      <c r="G424" s="499">
        <f>F424*$C$593</f>
        <v>1539.407078915508</v>
      </c>
      <c r="H424" s="301" t="e">
        <f>$G424*INDEX(tier_emp_mult, MATCH($D424, tier_emp_code,0), MATCH(State, R_emp, 0))/1000000</f>
        <v>#N/A</v>
      </c>
      <c r="I424" s="301" t="e">
        <f>$G424*INDEX(typeI_emp_mult, MATCH($D424, typeI_emp_code,0), MATCH(State, R_emp, 0))/1000000</f>
        <v>#N/A</v>
      </c>
      <c r="J424" s="301" t="e">
        <f>$G424*INDEX(typeII_emp_mult, MATCH($D424, typeII_emp_code,0), MATCH(State, R_emp, 0))/1000000</f>
        <v>#N/A</v>
      </c>
      <c r="K424" s="302" t="e">
        <f>H424</f>
        <v>#N/A</v>
      </c>
      <c r="L424" s="302" t="e">
        <f>I424-H424</f>
        <v>#N/A</v>
      </c>
      <c r="M424" s="302" t="e">
        <f>J424-I424</f>
        <v>#N/A</v>
      </c>
      <c r="N424" s="301" t="e">
        <f>$G424*INDEX(tier_earn_mult, MATCH($D424, tier_earn_code,0), MATCH(State, R_earn, 0))</f>
        <v>#N/A</v>
      </c>
      <c r="O424" s="301" t="e">
        <f>$G424*INDEX(typeI_earn_mult, MATCH($D424, typeI_earn_code,0), MATCH(State, R_earn, 0))</f>
        <v>#N/A</v>
      </c>
      <c r="P424" s="301" t="e">
        <f>$G424*INDEX(typeII_earn_mult, MATCH($D424, typeII_earn_code,0), MATCH(State, R_earn, 0))</f>
        <v>#N/A</v>
      </c>
      <c r="Q424" s="303" t="e">
        <f>N424</f>
        <v>#N/A</v>
      </c>
      <c r="R424" s="303" t="e">
        <f>O424-N424</f>
        <v>#N/A</v>
      </c>
      <c r="S424" s="303" t="e">
        <f>P424-O424</f>
        <v>#N/A</v>
      </c>
      <c r="T424" s="301" t="e">
        <f>$G424*INDEX(tier_out_mult, MATCH($D424, tier_out_code,0), MATCH(State, R_out, 0))</f>
        <v>#N/A</v>
      </c>
      <c r="U424" s="301" t="e">
        <f>$G424*INDEX(typeI_out_mult, MATCH($D424, typeI_out_code,0), MATCH(State, R_out, 0))</f>
        <v>#N/A</v>
      </c>
      <c r="V424" s="301" t="e">
        <f>$G424*INDEX(typeII_out_mult, MATCH($D424, typeII_out_code,0), MATCH(State, R_out, 0))</f>
        <v>#N/A</v>
      </c>
      <c r="W424" s="303" t="e">
        <f>T424</f>
        <v>#N/A</v>
      </c>
      <c r="X424" s="303" t="e">
        <f>U424-T424</f>
        <v>#N/A</v>
      </c>
      <c r="Y424" s="303" t="e">
        <f>V424-U424</f>
        <v>#N/A</v>
      </c>
      <c r="Z424" s="298"/>
      <c r="AA424" s="494"/>
      <c r="AB424" s="494"/>
      <c r="AC424" s="494"/>
      <c r="AD424" s="494"/>
      <c r="AE424" s="494"/>
      <c r="AF424" s="494"/>
      <c r="AG424" s="494"/>
      <c r="AH424" s="494"/>
      <c r="AI424" s="494"/>
      <c r="AJ424" s="494"/>
      <c r="AK424" s="494"/>
      <c r="AL424" s="494"/>
    </row>
    <row r="425" spans="1:38" s="299" customFormat="1" ht="15.75" hidden="1" x14ac:dyDescent="0.25">
      <c r="A425" s="495"/>
      <c r="B425" s="525" t="s">
        <v>1587</v>
      </c>
      <c r="C425" s="525" t="s">
        <v>441</v>
      </c>
      <c r="D425" s="300">
        <v>484000</v>
      </c>
      <c r="E425" s="298" t="s">
        <v>616</v>
      </c>
      <c r="F425" s="499">
        <f>J106-F436</f>
        <v>145.45454545454547</v>
      </c>
      <c r="G425" s="499">
        <f>F425*$C$593</f>
        <v>143.61815313497451</v>
      </c>
      <c r="H425" s="301" t="e">
        <f>$G425*INDEX(tier_emp_mult, MATCH($D425, tier_emp_code,0), MATCH(State, R_emp, 0))/1000000</f>
        <v>#N/A</v>
      </c>
      <c r="I425" s="301" t="e">
        <f>$G425*INDEX(typeI_emp_mult, MATCH($D425, typeI_emp_code,0), MATCH(State, R_emp, 0))/1000000</f>
        <v>#N/A</v>
      </c>
      <c r="J425" s="301" t="e">
        <f>$G425*INDEX(typeII_emp_mult, MATCH($D425, typeII_emp_code,0), MATCH(State, R_emp, 0))/1000000</f>
        <v>#N/A</v>
      </c>
      <c r="K425" s="302" t="e">
        <f>H425</f>
        <v>#N/A</v>
      </c>
      <c r="L425" s="302" t="e">
        <f>I425-H425</f>
        <v>#N/A</v>
      </c>
      <c r="M425" s="302" t="e">
        <f>J425-I425</f>
        <v>#N/A</v>
      </c>
      <c r="N425" s="301" t="e">
        <f>$G425*INDEX(tier_earn_mult, MATCH($D425, tier_earn_code,0), MATCH(State, R_earn, 0))</f>
        <v>#N/A</v>
      </c>
      <c r="O425" s="301" t="e">
        <f>$G425*INDEX(typeI_earn_mult, MATCH($D425, typeI_earn_code,0), MATCH(State, R_earn, 0))</f>
        <v>#N/A</v>
      </c>
      <c r="P425" s="301" t="e">
        <f>$G425*INDEX(typeII_earn_mult, MATCH($D425, typeII_earn_code,0), MATCH(State, R_earn, 0))</f>
        <v>#N/A</v>
      </c>
      <c r="Q425" s="303" t="e">
        <f>N425</f>
        <v>#N/A</v>
      </c>
      <c r="R425" s="303" t="e">
        <f>O425-N425</f>
        <v>#N/A</v>
      </c>
      <c r="S425" s="303" t="e">
        <f>P425-O425</f>
        <v>#N/A</v>
      </c>
      <c r="T425" s="301" t="e">
        <f>$G425*INDEX(tier_out_mult, MATCH($D425, tier_out_code,0), MATCH(State, R_out, 0))</f>
        <v>#N/A</v>
      </c>
      <c r="U425" s="301" t="e">
        <f>$G425*INDEX(typeI_out_mult, MATCH($D425, typeI_out_code,0), MATCH(State, R_out, 0))</f>
        <v>#N/A</v>
      </c>
      <c r="V425" s="301" t="e">
        <f>$G425*INDEX(typeII_out_mult, MATCH($D425, typeII_out_code,0), MATCH(State, R_out, 0))</f>
        <v>#N/A</v>
      </c>
      <c r="W425" s="303" t="e">
        <f>T425</f>
        <v>#N/A</v>
      </c>
      <c r="X425" s="303" t="e">
        <f>U425-T425</f>
        <v>#N/A</v>
      </c>
      <c r="Y425" s="303" t="e">
        <f>V425-U425</f>
        <v>#N/A</v>
      </c>
      <c r="Z425" s="298"/>
      <c r="AA425" s="494"/>
      <c r="AB425" s="494"/>
      <c r="AC425" s="494"/>
      <c r="AD425" s="494"/>
      <c r="AE425" s="494"/>
      <c r="AF425" s="494"/>
      <c r="AG425" s="494"/>
      <c r="AH425" s="494"/>
      <c r="AI425" s="494"/>
      <c r="AJ425" s="494"/>
      <c r="AK425" s="494"/>
      <c r="AL425" s="494"/>
    </row>
    <row r="426" spans="1:38" s="299" customFormat="1" ht="15.75" hidden="1" x14ac:dyDescent="0.25">
      <c r="A426" s="495"/>
      <c r="D426" s="496"/>
      <c r="E426" s="497"/>
      <c r="F426" s="497"/>
      <c r="G426" s="497"/>
      <c r="N426" s="498"/>
      <c r="O426" s="498"/>
      <c r="P426" s="498"/>
      <c r="Q426" s="498"/>
      <c r="R426" s="498"/>
      <c r="S426" s="498"/>
      <c r="T426" s="498"/>
      <c r="U426" s="498"/>
      <c r="V426" s="498"/>
      <c r="W426" s="498"/>
      <c r="X426" s="498"/>
      <c r="Y426" s="498"/>
      <c r="Z426" s="298"/>
      <c r="AA426" s="494"/>
      <c r="AB426" s="494"/>
      <c r="AC426" s="494"/>
      <c r="AD426" s="494"/>
      <c r="AE426" s="494"/>
      <c r="AF426" s="494"/>
      <c r="AG426" s="494"/>
      <c r="AH426" s="494"/>
      <c r="AI426" s="494"/>
      <c r="AJ426" s="494"/>
      <c r="AK426" s="494"/>
      <c r="AL426" s="494"/>
    </row>
    <row r="427" spans="1:38" s="299" customFormat="1" ht="15.75" hidden="1" x14ac:dyDescent="0.25">
      <c r="A427" s="495"/>
      <c r="D427" s="496"/>
      <c r="E427" s="298">
        <v>2015</v>
      </c>
      <c r="F427" s="523">
        <f t="shared" ref="F427:Y427" si="333">F$424*$H575+F$425*$H585</f>
        <v>0</v>
      </c>
      <c r="G427" s="523">
        <f t="shared" si="333"/>
        <v>0</v>
      </c>
      <c r="H427" s="524" t="e">
        <f t="shared" si="333"/>
        <v>#N/A</v>
      </c>
      <c r="I427" s="524" t="e">
        <f t="shared" si="333"/>
        <v>#N/A</v>
      </c>
      <c r="J427" s="524" t="e">
        <f t="shared" si="333"/>
        <v>#N/A</v>
      </c>
      <c r="K427" s="524" t="e">
        <f t="shared" si="333"/>
        <v>#N/A</v>
      </c>
      <c r="L427" s="524" t="e">
        <f t="shared" si="333"/>
        <v>#N/A</v>
      </c>
      <c r="M427" s="524" t="e">
        <f t="shared" si="333"/>
        <v>#N/A</v>
      </c>
      <c r="N427" s="523" t="e">
        <f t="shared" si="333"/>
        <v>#N/A</v>
      </c>
      <c r="O427" s="523" t="e">
        <f t="shared" si="333"/>
        <v>#N/A</v>
      </c>
      <c r="P427" s="523" t="e">
        <f t="shared" si="333"/>
        <v>#N/A</v>
      </c>
      <c r="Q427" s="523" t="e">
        <f t="shared" si="333"/>
        <v>#N/A</v>
      </c>
      <c r="R427" s="523" t="e">
        <f t="shared" si="333"/>
        <v>#N/A</v>
      </c>
      <c r="S427" s="523" t="e">
        <f t="shared" si="333"/>
        <v>#N/A</v>
      </c>
      <c r="T427" s="523" t="e">
        <f t="shared" si="333"/>
        <v>#N/A</v>
      </c>
      <c r="U427" s="523" t="e">
        <f t="shared" si="333"/>
        <v>#N/A</v>
      </c>
      <c r="V427" s="523" t="e">
        <f t="shared" si="333"/>
        <v>#N/A</v>
      </c>
      <c r="W427" s="523" t="e">
        <f t="shared" si="333"/>
        <v>#N/A</v>
      </c>
      <c r="X427" s="523" t="e">
        <f t="shared" si="333"/>
        <v>#N/A</v>
      </c>
      <c r="Y427" s="523" t="e">
        <f t="shared" si="333"/>
        <v>#N/A</v>
      </c>
      <c r="Z427" s="298"/>
      <c r="AA427" s="494"/>
      <c r="AB427" s="494"/>
      <c r="AC427" s="494"/>
      <c r="AD427" s="494"/>
      <c r="AE427" s="494"/>
      <c r="AF427" s="494"/>
      <c r="AG427" s="494"/>
      <c r="AH427" s="494"/>
      <c r="AI427" s="494"/>
      <c r="AJ427" s="494"/>
      <c r="AK427" s="494"/>
      <c r="AL427" s="494"/>
    </row>
    <row r="428" spans="1:38" s="299" customFormat="1" ht="15.75" hidden="1" x14ac:dyDescent="0.25">
      <c r="A428" s="495"/>
      <c r="D428" s="496"/>
      <c r="E428" s="298">
        <v>2016</v>
      </c>
      <c r="F428" s="523">
        <f t="shared" ref="F428:Y428" si="334">F$424*$H576+F$425*$H586</f>
        <v>0</v>
      </c>
      <c r="G428" s="523">
        <f t="shared" si="334"/>
        <v>0</v>
      </c>
      <c r="H428" s="524" t="e">
        <f t="shared" si="334"/>
        <v>#N/A</v>
      </c>
      <c r="I428" s="524" t="e">
        <f t="shared" si="334"/>
        <v>#N/A</v>
      </c>
      <c r="J428" s="524" t="e">
        <f t="shared" si="334"/>
        <v>#N/A</v>
      </c>
      <c r="K428" s="524" t="e">
        <f t="shared" si="334"/>
        <v>#N/A</v>
      </c>
      <c r="L428" s="524" t="e">
        <f t="shared" si="334"/>
        <v>#N/A</v>
      </c>
      <c r="M428" s="524" t="e">
        <f t="shared" si="334"/>
        <v>#N/A</v>
      </c>
      <c r="N428" s="523" t="e">
        <f t="shared" si="334"/>
        <v>#N/A</v>
      </c>
      <c r="O428" s="523" t="e">
        <f t="shared" si="334"/>
        <v>#N/A</v>
      </c>
      <c r="P428" s="523" t="e">
        <f t="shared" si="334"/>
        <v>#N/A</v>
      </c>
      <c r="Q428" s="523" t="e">
        <f t="shared" si="334"/>
        <v>#N/A</v>
      </c>
      <c r="R428" s="523" t="e">
        <f t="shared" si="334"/>
        <v>#N/A</v>
      </c>
      <c r="S428" s="523" t="e">
        <f t="shared" si="334"/>
        <v>#N/A</v>
      </c>
      <c r="T428" s="523" t="e">
        <f t="shared" si="334"/>
        <v>#N/A</v>
      </c>
      <c r="U428" s="523" t="e">
        <f t="shared" si="334"/>
        <v>#N/A</v>
      </c>
      <c r="V428" s="523" t="e">
        <f t="shared" si="334"/>
        <v>#N/A</v>
      </c>
      <c r="W428" s="523" t="e">
        <f t="shared" si="334"/>
        <v>#N/A</v>
      </c>
      <c r="X428" s="523" t="e">
        <f t="shared" si="334"/>
        <v>#N/A</v>
      </c>
      <c r="Y428" s="523" t="e">
        <f t="shared" si="334"/>
        <v>#N/A</v>
      </c>
      <c r="Z428" s="298"/>
      <c r="AA428" s="494"/>
      <c r="AB428" s="494"/>
      <c r="AC428" s="494"/>
      <c r="AD428" s="494"/>
      <c r="AE428" s="494"/>
      <c r="AF428" s="494"/>
      <c r="AG428" s="494"/>
      <c r="AH428" s="494"/>
      <c r="AI428" s="494"/>
      <c r="AJ428" s="494"/>
      <c r="AK428" s="494"/>
      <c r="AL428" s="494"/>
    </row>
    <row r="429" spans="1:38" s="299" customFormat="1" ht="15.75" hidden="1" x14ac:dyDescent="0.25">
      <c r="A429" s="495"/>
      <c r="D429" s="496"/>
      <c r="E429" s="298">
        <v>2017</v>
      </c>
      <c r="F429" s="523">
        <f t="shared" ref="F429:Y429" si="335">F$424*$H577+F$425*$H587</f>
        <v>0</v>
      </c>
      <c r="G429" s="523">
        <f t="shared" si="335"/>
        <v>0</v>
      </c>
      <c r="H429" s="524" t="e">
        <f t="shared" si="335"/>
        <v>#N/A</v>
      </c>
      <c r="I429" s="524" t="e">
        <f t="shared" si="335"/>
        <v>#N/A</v>
      </c>
      <c r="J429" s="524" t="e">
        <f t="shared" si="335"/>
        <v>#N/A</v>
      </c>
      <c r="K429" s="524" t="e">
        <f t="shared" si="335"/>
        <v>#N/A</v>
      </c>
      <c r="L429" s="524" t="e">
        <f t="shared" si="335"/>
        <v>#N/A</v>
      </c>
      <c r="M429" s="524" t="e">
        <f t="shared" si="335"/>
        <v>#N/A</v>
      </c>
      <c r="N429" s="523" t="e">
        <f t="shared" si="335"/>
        <v>#N/A</v>
      </c>
      <c r="O429" s="523" t="e">
        <f t="shared" si="335"/>
        <v>#N/A</v>
      </c>
      <c r="P429" s="523" t="e">
        <f t="shared" si="335"/>
        <v>#N/A</v>
      </c>
      <c r="Q429" s="523" t="e">
        <f t="shared" si="335"/>
        <v>#N/A</v>
      </c>
      <c r="R429" s="523" t="e">
        <f t="shared" si="335"/>
        <v>#N/A</v>
      </c>
      <c r="S429" s="523" t="e">
        <f t="shared" si="335"/>
        <v>#N/A</v>
      </c>
      <c r="T429" s="523" t="e">
        <f t="shared" si="335"/>
        <v>#N/A</v>
      </c>
      <c r="U429" s="523" t="e">
        <f t="shared" si="335"/>
        <v>#N/A</v>
      </c>
      <c r="V429" s="523" t="e">
        <f t="shared" si="335"/>
        <v>#N/A</v>
      </c>
      <c r="W429" s="523" t="e">
        <f t="shared" si="335"/>
        <v>#N/A</v>
      </c>
      <c r="X429" s="523" t="e">
        <f t="shared" si="335"/>
        <v>#N/A</v>
      </c>
      <c r="Y429" s="523" t="e">
        <f t="shared" si="335"/>
        <v>#N/A</v>
      </c>
      <c r="Z429" s="298"/>
      <c r="AA429" s="494"/>
      <c r="AB429" s="494"/>
      <c r="AC429" s="494"/>
      <c r="AD429" s="494"/>
      <c r="AE429" s="494"/>
      <c r="AF429" s="494"/>
      <c r="AG429" s="494"/>
      <c r="AH429" s="494"/>
      <c r="AI429" s="494"/>
      <c r="AJ429" s="494"/>
      <c r="AK429" s="494"/>
      <c r="AL429" s="494"/>
    </row>
    <row r="430" spans="1:38" s="299" customFormat="1" ht="15.75" hidden="1" x14ac:dyDescent="0.25">
      <c r="A430" s="495"/>
      <c r="D430" s="496"/>
      <c r="E430" s="298">
        <v>2018</v>
      </c>
      <c r="F430" s="523">
        <f t="shared" ref="F430:Y430" si="336">F$424*$H578+F$425*$H588</f>
        <v>0</v>
      </c>
      <c r="G430" s="523">
        <f t="shared" si="336"/>
        <v>0</v>
      </c>
      <c r="H430" s="524" t="e">
        <f t="shared" si="336"/>
        <v>#N/A</v>
      </c>
      <c r="I430" s="524" t="e">
        <f t="shared" si="336"/>
        <v>#N/A</v>
      </c>
      <c r="J430" s="524" t="e">
        <f t="shared" si="336"/>
        <v>#N/A</v>
      </c>
      <c r="K430" s="524" t="e">
        <f t="shared" si="336"/>
        <v>#N/A</v>
      </c>
      <c r="L430" s="524" t="e">
        <f t="shared" si="336"/>
        <v>#N/A</v>
      </c>
      <c r="M430" s="524" t="e">
        <f t="shared" si="336"/>
        <v>#N/A</v>
      </c>
      <c r="N430" s="523" t="e">
        <f t="shared" si="336"/>
        <v>#N/A</v>
      </c>
      <c r="O430" s="523" t="e">
        <f t="shared" si="336"/>
        <v>#N/A</v>
      </c>
      <c r="P430" s="523" t="e">
        <f t="shared" si="336"/>
        <v>#N/A</v>
      </c>
      <c r="Q430" s="523" t="e">
        <f t="shared" si="336"/>
        <v>#N/A</v>
      </c>
      <c r="R430" s="523" t="e">
        <f t="shared" si="336"/>
        <v>#N/A</v>
      </c>
      <c r="S430" s="523" t="e">
        <f t="shared" si="336"/>
        <v>#N/A</v>
      </c>
      <c r="T430" s="523" t="e">
        <f t="shared" si="336"/>
        <v>#N/A</v>
      </c>
      <c r="U430" s="523" t="e">
        <f t="shared" si="336"/>
        <v>#N/A</v>
      </c>
      <c r="V430" s="523" t="e">
        <f t="shared" si="336"/>
        <v>#N/A</v>
      </c>
      <c r="W430" s="523" t="e">
        <f t="shared" si="336"/>
        <v>#N/A</v>
      </c>
      <c r="X430" s="523" t="e">
        <f t="shared" si="336"/>
        <v>#N/A</v>
      </c>
      <c r="Y430" s="523" t="e">
        <f t="shared" si="336"/>
        <v>#N/A</v>
      </c>
      <c r="Z430" s="298"/>
      <c r="AA430" s="494"/>
      <c r="AB430" s="494"/>
      <c r="AC430" s="494"/>
      <c r="AD430" s="494"/>
      <c r="AE430" s="494"/>
      <c r="AF430" s="494"/>
      <c r="AG430" s="494"/>
      <c r="AH430" s="494"/>
      <c r="AI430" s="494"/>
      <c r="AJ430" s="494"/>
      <c r="AK430" s="494"/>
      <c r="AL430" s="494"/>
    </row>
    <row r="431" spans="1:38" s="299" customFormat="1" ht="15.75" hidden="1" x14ac:dyDescent="0.25">
      <c r="A431" s="495"/>
      <c r="D431" s="496"/>
      <c r="E431" s="298">
        <v>2019</v>
      </c>
      <c r="F431" s="523">
        <f t="shared" ref="F431:Y431" si="337">F$424*$H579+F$425*$H589</f>
        <v>0</v>
      </c>
      <c r="G431" s="523">
        <f t="shared" si="337"/>
        <v>0</v>
      </c>
      <c r="H431" s="524" t="e">
        <f t="shared" si="337"/>
        <v>#N/A</v>
      </c>
      <c r="I431" s="524" t="e">
        <f t="shared" si="337"/>
        <v>#N/A</v>
      </c>
      <c r="J431" s="524" t="e">
        <f t="shared" si="337"/>
        <v>#N/A</v>
      </c>
      <c r="K431" s="524" t="e">
        <f t="shared" si="337"/>
        <v>#N/A</v>
      </c>
      <c r="L431" s="524" t="e">
        <f t="shared" si="337"/>
        <v>#N/A</v>
      </c>
      <c r="M431" s="524" t="e">
        <f t="shared" si="337"/>
        <v>#N/A</v>
      </c>
      <c r="N431" s="523" t="e">
        <f t="shared" si="337"/>
        <v>#N/A</v>
      </c>
      <c r="O431" s="523" t="e">
        <f t="shared" si="337"/>
        <v>#N/A</v>
      </c>
      <c r="P431" s="523" t="e">
        <f t="shared" si="337"/>
        <v>#N/A</v>
      </c>
      <c r="Q431" s="523" t="e">
        <f t="shared" si="337"/>
        <v>#N/A</v>
      </c>
      <c r="R431" s="523" t="e">
        <f t="shared" si="337"/>
        <v>#N/A</v>
      </c>
      <c r="S431" s="523" t="e">
        <f t="shared" si="337"/>
        <v>#N/A</v>
      </c>
      <c r="T431" s="523" t="e">
        <f t="shared" si="337"/>
        <v>#N/A</v>
      </c>
      <c r="U431" s="523" t="e">
        <f t="shared" si="337"/>
        <v>#N/A</v>
      </c>
      <c r="V431" s="523" t="e">
        <f t="shared" si="337"/>
        <v>#N/A</v>
      </c>
      <c r="W431" s="523" t="e">
        <f t="shared" si="337"/>
        <v>#N/A</v>
      </c>
      <c r="X431" s="523" t="e">
        <f t="shared" si="337"/>
        <v>#N/A</v>
      </c>
      <c r="Y431" s="523" t="e">
        <f t="shared" si="337"/>
        <v>#N/A</v>
      </c>
      <c r="Z431" s="298"/>
      <c r="AA431" s="494"/>
      <c r="AB431" s="494"/>
      <c r="AC431" s="494"/>
      <c r="AD431" s="494"/>
      <c r="AE431" s="494"/>
      <c r="AF431" s="494"/>
      <c r="AG431" s="494"/>
      <c r="AH431" s="494"/>
      <c r="AI431" s="494"/>
      <c r="AJ431" s="494"/>
      <c r="AK431" s="494"/>
      <c r="AL431" s="494"/>
    </row>
    <row r="432" spans="1:38" s="299" customFormat="1" ht="15.75" hidden="1" x14ac:dyDescent="0.25">
      <c r="A432" s="495"/>
      <c r="D432" s="496"/>
      <c r="E432" s="298">
        <v>2020</v>
      </c>
      <c r="F432" s="523">
        <f t="shared" ref="F432:Y432" si="338">F$424*$H580+F$425*$H590</f>
        <v>0</v>
      </c>
      <c r="G432" s="523">
        <f t="shared" si="338"/>
        <v>0</v>
      </c>
      <c r="H432" s="524" t="e">
        <f t="shared" si="338"/>
        <v>#N/A</v>
      </c>
      <c r="I432" s="524" t="e">
        <f t="shared" si="338"/>
        <v>#N/A</v>
      </c>
      <c r="J432" s="524" t="e">
        <f t="shared" si="338"/>
        <v>#N/A</v>
      </c>
      <c r="K432" s="524" t="e">
        <f t="shared" si="338"/>
        <v>#N/A</v>
      </c>
      <c r="L432" s="524" t="e">
        <f t="shared" si="338"/>
        <v>#N/A</v>
      </c>
      <c r="M432" s="524" t="e">
        <f t="shared" si="338"/>
        <v>#N/A</v>
      </c>
      <c r="N432" s="523" t="e">
        <f t="shared" si="338"/>
        <v>#N/A</v>
      </c>
      <c r="O432" s="523" t="e">
        <f t="shared" si="338"/>
        <v>#N/A</v>
      </c>
      <c r="P432" s="523" t="e">
        <f t="shared" si="338"/>
        <v>#N/A</v>
      </c>
      <c r="Q432" s="523" t="e">
        <f t="shared" si="338"/>
        <v>#N/A</v>
      </c>
      <c r="R432" s="523" t="e">
        <f t="shared" si="338"/>
        <v>#N/A</v>
      </c>
      <c r="S432" s="523" t="e">
        <f t="shared" si="338"/>
        <v>#N/A</v>
      </c>
      <c r="T432" s="523" t="e">
        <f t="shared" si="338"/>
        <v>#N/A</v>
      </c>
      <c r="U432" s="523" t="e">
        <f t="shared" si="338"/>
        <v>#N/A</v>
      </c>
      <c r="V432" s="523" t="e">
        <f t="shared" si="338"/>
        <v>#N/A</v>
      </c>
      <c r="W432" s="523" t="e">
        <f t="shared" si="338"/>
        <v>#N/A</v>
      </c>
      <c r="X432" s="523" t="e">
        <f t="shared" si="338"/>
        <v>#N/A</v>
      </c>
      <c r="Y432" s="523" t="e">
        <f t="shared" si="338"/>
        <v>#N/A</v>
      </c>
      <c r="Z432" s="298"/>
      <c r="AA432" s="494"/>
      <c r="AB432" s="494"/>
      <c r="AC432" s="494"/>
      <c r="AD432" s="494"/>
      <c r="AE432" s="494"/>
      <c r="AF432" s="494"/>
      <c r="AG432" s="494"/>
      <c r="AH432" s="494"/>
      <c r="AI432" s="494"/>
      <c r="AJ432" s="494"/>
      <c r="AK432" s="494"/>
      <c r="AL432" s="494"/>
    </row>
    <row r="433" spans="1:38" s="299" customFormat="1" ht="15.75" hidden="1" x14ac:dyDescent="0.25">
      <c r="A433" s="495"/>
      <c r="D433" s="496"/>
      <c r="E433" s="497"/>
      <c r="F433" s="497"/>
      <c r="G433" s="497"/>
      <c r="N433" s="498"/>
      <c r="O433" s="498"/>
      <c r="P433" s="498"/>
      <c r="Q433" s="498"/>
      <c r="R433" s="498"/>
      <c r="S433" s="498"/>
      <c r="T433" s="498"/>
      <c r="U433" s="498"/>
      <c r="V433" s="498"/>
      <c r="W433" s="498"/>
      <c r="X433" s="498"/>
      <c r="Y433" s="498"/>
      <c r="Z433" s="298"/>
      <c r="AA433" s="494"/>
      <c r="AB433" s="494"/>
      <c r="AC433" s="494"/>
      <c r="AD433" s="494"/>
      <c r="AE433" s="494"/>
      <c r="AF433" s="494"/>
      <c r="AG433" s="494"/>
      <c r="AH433" s="494"/>
      <c r="AI433" s="494"/>
      <c r="AJ433" s="494"/>
      <c r="AK433" s="494"/>
      <c r="AL433" s="494"/>
    </row>
    <row r="434" spans="1:38" s="299" customFormat="1" ht="15.75" hidden="1" x14ac:dyDescent="0.25">
      <c r="A434" s="495"/>
      <c r="B434" s="528" t="s">
        <v>1713</v>
      </c>
      <c r="D434" s="496" t="s">
        <v>412</v>
      </c>
      <c r="E434" s="497" t="s">
        <v>10</v>
      </c>
      <c r="F434" s="497" t="s">
        <v>1060</v>
      </c>
      <c r="G434" s="497" t="str">
        <f>$G$284</f>
        <v>Cost in 2008 dollars</v>
      </c>
      <c r="H434" s="299" t="s">
        <v>583</v>
      </c>
      <c r="I434" s="299" t="s">
        <v>584</v>
      </c>
      <c r="J434" s="299" t="s">
        <v>585</v>
      </c>
      <c r="K434" s="299" t="s">
        <v>586</v>
      </c>
      <c r="L434" s="299" t="s">
        <v>413</v>
      </c>
      <c r="M434" s="299" t="s">
        <v>414</v>
      </c>
      <c r="N434" s="498" t="s">
        <v>592</v>
      </c>
      <c r="O434" s="498" t="s">
        <v>587</v>
      </c>
      <c r="P434" s="498" t="s">
        <v>588</v>
      </c>
      <c r="Q434" s="498" t="s">
        <v>589</v>
      </c>
      <c r="R434" s="498" t="s">
        <v>590</v>
      </c>
      <c r="S434" s="498" t="s">
        <v>591</v>
      </c>
      <c r="T434" s="498" t="s">
        <v>593</v>
      </c>
      <c r="U434" s="498" t="s">
        <v>594</v>
      </c>
      <c r="V434" s="498" t="s">
        <v>595</v>
      </c>
      <c r="W434" s="498" t="s">
        <v>596</v>
      </c>
      <c r="X434" s="498" t="s">
        <v>597</v>
      </c>
      <c r="Y434" s="498" t="s">
        <v>598</v>
      </c>
      <c r="Z434" s="298"/>
      <c r="AA434" s="494"/>
      <c r="AB434" s="494"/>
      <c r="AC434" s="494"/>
      <c r="AD434" s="494"/>
      <c r="AE434" s="494"/>
      <c r="AF434" s="494"/>
      <c r="AG434" s="494"/>
      <c r="AH434" s="494"/>
      <c r="AI434" s="494"/>
      <c r="AJ434" s="494"/>
      <c r="AK434" s="494"/>
      <c r="AL434" s="494"/>
    </row>
    <row r="435" spans="1:38" s="298" customFormat="1" ht="15.75" hidden="1" x14ac:dyDescent="0.25">
      <c r="A435" s="493"/>
      <c r="B435" s="298" t="s">
        <v>1590</v>
      </c>
      <c r="C435" s="525" t="s">
        <v>440</v>
      </c>
      <c r="D435" s="300">
        <v>325120</v>
      </c>
      <c r="E435" s="298" t="s">
        <v>103</v>
      </c>
      <c r="F435" s="499">
        <f>J92/J93*J100</f>
        <v>1870.9090909090908</v>
      </c>
      <c r="G435" s="500">
        <f>F435*$C$593</f>
        <v>1847.2884946986094</v>
      </c>
      <c r="H435" s="301" t="e">
        <f>$G435*INDEX(tier_emp_mult, MATCH($D435, tier_emp_code,0), MATCH(State, R_emp, 0))/1000000</f>
        <v>#N/A</v>
      </c>
      <c r="I435" s="301" t="e">
        <f>$G435*INDEX(typeI_emp_mult, MATCH($D435, typeI_emp_code,0), MATCH(State, R_emp, 0))/1000000</f>
        <v>#N/A</v>
      </c>
      <c r="J435" s="301" t="e">
        <f>$G435*INDEX(typeII_emp_mult, MATCH($D435, typeII_emp_code,0), MATCH(State, R_emp, 0))/1000000</f>
        <v>#N/A</v>
      </c>
      <c r="K435" s="302" t="e">
        <f>H435</f>
        <v>#N/A</v>
      </c>
      <c r="L435" s="302" t="e">
        <f>I435-H435</f>
        <v>#N/A</v>
      </c>
      <c r="M435" s="302" t="e">
        <f>J435-I435</f>
        <v>#N/A</v>
      </c>
      <c r="N435" s="301" t="e">
        <f>$G435*INDEX(tier_earn_mult, MATCH($D435, tier_earn_code,0), MATCH(State, R_earn, 0))</f>
        <v>#N/A</v>
      </c>
      <c r="O435" s="301" t="e">
        <f>$G435*INDEX(typeI_earn_mult, MATCH($D435, typeI_earn_code,0), MATCH(State, R_earn, 0))</f>
        <v>#N/A</v>
      </c>
      <c r="P435" s="301" t="e">
        <f>$G435*INDEX(typeII_earn_mult, MATCH($D435, typeII_earn_code,0), MATCH(State, R_earn, 0))</f>
        <v>#N/A</v>
      </c>
      <c r="Q435" s="303" t="e">
        <f>N435</f>
        <v>#N/A</v>
      </c>
      <c r="R435" s="303" t="e">
        <f>O435-N435</f>
        <v>#N/A</v>
      </c>
      <c r="S435" s="303" t="e">
        <f>P435-O435</f>
        <v>#N/A</v>
      </c>
      <c r="T435" s="301" t="e">
        <f>$G435*INDEX(tier_out_mult, MATCH($D435, tier_out_code,0), MATCH(State, R_out, 0))</f>
        <v>#N/A</v>
      </c>
      <c r="U435" s="301" t="e">
        <f>$G435*INDEX(typeI_out_mult, MATCH($D435, typeI_out_code,0), MATCH(State, R_out, 0))</f>
        <v>#N/A</v>
      </c>
      <c r="V435" s="301" t="e">
        <f>$G435*INDEX(typeII_out_mult, MATCH($D435, typeII_out_code,0), MATCH(State, R_out, 0))</f>
        <v>#N/A</v>
      </c>
      <c r="W435" s="303" t="e">
        <f>T435</f>
        <v>#N/A</v>
      </c>
      <c r="X435" s="303" t="e">
        <f>U435-T435</f>
        <v>#N/A</v>
      </c>
      <c r="Y435" s="303" t="e">
        <f>V435-U435</f>
        <v>#N/A</v>
      </c>
      <c r="AA435" s="494"/>
      <c r="AB435" s="494"/>
      <c r="AC435" s="494"/>
      <c r="AD435" s="494"/>
      <c r="AE435" s="494"/>
      <c r="AF435" s="494"/>
      <c r="AG435" s="494"/>
      <c r="AH435" s="494"/>
      <c r="AI435" s="494"/>
      <c r="AJ435" s="494"/>
      <c r="AK435" s="494"/>
      <c r="AL435" s="494"/>
    </row>
    <row r="436" spans="1:38" s="298" customFormat="1" ht="15.75" hidden="1" x14ac:dyDescent="0.25">
      <c r="A436" s="493"/>
      <c r="B436" s="298" t="s">
        <v>1590</v>
      </c>
      <c r="C436" s="525" t="s">
        <v>441</v>
      </c>
      <c r="D436" s="300">
        <v>325120</v>
      </c>
      <c r="E436" s="298" t="s">
        <v>103</v>
      </c>
      <c r="F436" s="499">
        <f>J92/J93*J106</f>
        <v>174.54545454545453</v>
      </c>
      <c r="G436" s="499">
        <f>F436*$C$593</f>
        <v>172.34178376196937</v>
      </c>
      <c r="H436" s="301" t="e">
        <f>$G436*INDEX(tier_emp_mult, MATCH($D436, tier_emp_code,0), MATCH(State, R_emp, 0))/1000000</f>
        <v>#N/A</v>
      </c>
      <c r="I436" s="301" t="e">
        <f>$G436*INDEX(typeI_emp_mult, MATCH($D436, typeI_emp_code,0), MATCH(State, R_emp, 0))/1000000</f>
        <v>#N/A</v>
      </c>
      <c r="J436" s="301" t="e">
        <f>$G436*INDEX(typeII_emp_mult, MATCH($D436, typeII_emp_code,0), MATCH(State, R_emp, 0))/1000000</f>
        <v>#N/A</v>
      </c>
      <c r="K436" s="302" t="e">
        <f t="shared" ref="K436" si="339">H436</f>
        <v>#N/A</v>
      </c>
      <c r="L436" s="302" t="e">
        <f t="shared" ref="L436" si="340">I436-H436</f>
        <v>#N/A</v>
      </c>
      <c r="M436" s="302" t="e">
        <f t="shared" ref="M436" si="341">J436-I436</f>
        <v>#N/A</v>
      </c>
      <c r="N436" s="301" t="e">
        <f>$G436*INDEX(tier_earn_mult, MATCH($D436, tier_earn_code,0), MATCH(State, R_earn, 0))</f>
        <v>#N/A</v>
      </c>
      <c r="O436" s="301" t="e">
        <f>$G436*INDEX(typeI_earn_mult, MATCH($D436, typeI_earn_code,0), MATCH(State, R_earn, 0))</f>
        <v>#N/A</v>
      </c>
      <c r="P436" s="301" t="e">
        <f>$G436*INDEX(typeII_earn_mult, MATCH($D436, typeII_earn_code,0), MATCH(State, R_earn, 0))</f>
        <v>#N/A</v>
      </c>
      <c r="Q436" s="303" t="e">
        <f t="shared" ref="Q436" si="342">N436</f>
        <v>#N/A</v>
      </c>
      <c r="R436" s="303" t="e">
        <f t="shared" ref="R436" si="343">O436-N436</f>
        <v>#N/A</v>
      </c>
      <c r="S436" s="303" t="e">
        <f t="shared" ref="S436" si="344">P436-O436</f>
        <v>#N/A</v>
      </c>
      <c r="T436" s="301" t="e">
        <f>$G436*INDEX(tier_out_mult, MATCH($D436, tier_out_code,0), MATCH(State, R_out, 0))</f>
        <v>#N/A</v>
      </c>
      <c r="U436" s="301" t="e">
        <f>$G436*INDEX(typeI_out_mult, MATCH($D436, typeI_out_code,0), MATCH(State, R_out, 0))</f>
        <v>#N/A</v>
      </c>
      <c r="V436" s="301" t="e">
        <f>$G436*INDEX(typeII_out_mult, MATCH($D436, typeII_out_code,0), MATCH(State, R_out, 0))</f>
        <v>#N/A</v>
      </c>
      <c r="W436" s="303" t="e">
        <f t="shared" ref="W436" si="345">T436</f>
        <v>#N/A</v>
      </c>
      <c r="X436" s="303" t="e">
        <f t="shared" ref="X436" si="346">U436-T436</f>
        <v>#N/A</v>
      </c>
      <c r="Y436" s="303" t="e">
        <f t="shared" ref="Y436" si="347">V436-U436</f>
        <v>#N/A</v>
      </c>
      <c r="AA436" s="494"/>
      <c r="AB436" s="494"/>
      <c r="AC436" s="494"/>
      <c r="AD436" s="494"/>
      <c r="AE436" s="494"/>
      <c r="AF436" s="494"/>
      <c r="AG436" s="494"/>
      <c r="AH436" s="494"/>
      <c r="AI436" s="494"/>
      <c r="AJ436" s="494"/>
      <c r="AK436" s="494"/>
      <c r="AL436" s="494"/>
    </row>
    <row r="437" spans="1:38" s="298" customFormat="1" ht="15.75" hidden="1" x14ac:dyDescent="0.25">
      <c r="A437" s="493"/>
      <c r="AA437" s="494"/>
      <c r="AB437" s="494"/>
      <c r="AC437" s="494"/>
      <c r="AD437" s="494"/>
      <c r="AE437" s="494"/>
      <c r="AF437" s="494"/>
      <c r="AG437" s="494"/>
      <c r="AH437" s="494"/>
      <c r="AI437" s="494"/>
      <c r="AJ437" s="494"/>
      <c r="AK437" s="494"/>
      <c r="AL437" s="494"/>
    </row>
    <row r="438" spans="1:38" s="298" customFormat="1" ht="15.75" hidden="1" x14ac:dyDescent="0.25">
      <c r="A438" s="493"/>
      <c r="D438" s="296" t="s">
        <v>1473</v>
      </c>
      <c r="E438" s="297"/>
      <c r="F438" s="297"/>
      <c r="G438" s="297"/>
      <c r="N438" s="303"/>
      <c r="O438" s="303"/>
      <c r="P438" s="303"/>
      <c r="Q438" s="303"/>
      <c r="R438" s="303"/>
      <c r="S438" s="303"/>
      <c r="T438" s="303"/>
      <c r="U438" s="303"/>
      <c r="V438" s="303"/>
      <c r="W438" s="303"/>
      <c r="X438" s="303"/>
      <c r="Y438" s="303"/>
      <c r="AA438" s="494"/>
      <c r="AB438" s="494"/>
      <c r="AC438" s="494"/>
      <c r="AD438" s="494"/>
      <c r="AE438" s="494"/>
      <c r="AF438" s="494"/>
      <c r="AG438" s="494"/>
      <c r="AH438" s="494"/>
      <c r="AI438" s="494"/>
      <c r="AJ438" s="494"/>
      <c r="AK438" s="494"/>
      <c r="AL438" s="494"/>
    </row>
    <row r="439" spans="1:38" s="298" customFormat="1" ht="15.75" hidden="1" x14ac:dyDescent="0.25">
      <c r="A439" s="493"/>
      <c r="D439" s="300"/>
      <c r="E439" s="298">
        <v>2015</v>
      </c>
      <c r="F439" s="304">
        <f t="shared" ref="F439:Y439" si="348">F$435*$H575+F$436*$H585</f>
        <v>0</v>
      </c>
      <c r="G439" s="304">
        <f t="shared" si="348"/>
        <v>0</v>
      </c>
      <c r="H439" s="305" t="e">
        <f t="shared" si="348"/>
        <v>#N/A</v>
      </c>
      <c r="I439" s="305" t="e">
        <f t="shared" si="348"/>
        <v>#N/A</v>
      </c>
      <c r="J439" s="305" t="e">
        <f t="shared" si="348"/>
        <v>#N/A</v>
      </c>
      <c r="K439" s="305" t="e">
        <f t="shared" si="348"/>
        <v>#N/A</v>
      </c>
      <c r="L439" s="305" t="e">
        <f t="shared" si="348"/>
        <v>#N/A</v>
      </c>
      <c r="M439" s="305" t="e">
        <f t="shared" si="348"/>
        <v>#N/A</v>
      </c>
      <c r="N439" s="304" t="e">
        <f t="shared" si="348"/>
        <v>#N/A</v>
      </c>
      <c r="O439" s="304" t="e">
        <f t="shared" si="348"/>
        <v>#N/A</v>
      </c>
      <c r="P439" s="304" t="e">
        <f t="shared" si="348"/>
        <v>#N/A</v>
      </c>
      <c r="Q439" s="304" t="e">
        <f t="shared" si="348"/>
        <v>#N/A</v>
      </c>
      <c r="R439" s="304" t="e">
        <f t="shared" si="348"/>
        <v>#N/A</v>
      </c>
      <c r="S439" s="304" t="e">
        <f t="shared" si="348"/>
        <v>#N/A</v>
      </c>
      <c r="T439" s="304" t="e">
        <f t="shared" si="348"/>
        <v>#N/A</v>
      </c>
      <c r="U439" s="304" t="e">
        <f t="shared" si="348"/>
        <v>#N/A</v>
      </c>
      <c r="V439" s="304" t="e">
        <f t="shared" si="348"/>
        <v>#N/A</v>
      </c>
      <c r="W439" s="304" t="e">
        <f t="shared" si="348"/>
        <v>#N/A</v>
      </c>
      <c r="X439" s="304" t="e">
        <f t="shared" si="348"/>
        <v>#N/A</v>
      </c>
      <c r="Y439" s="304" t="e">
        <f t="shared" si="348"/>
        <v>#N/A</v>
      </c>
      <c r="AA439" s="494"/>
      <c r="AB439" s="494"/>
      <c r="AC439" s="494"/>
      <c r="AD439" s="494"/>
      <c r="AE439" s="494"/>
      <c r="AF439" s="494"/>
      <c r="AG439" s="494"/>
      <c r="AH439" s="494"/>
      <c r="AI439" s="494"/>
      <c r="AJ439" s="494"/>
      <c r="AK439" s="494"/>
      <c r="AL439" s="494"/>
    </row>
    <row r="440" spans="1:38" s="298" customFormat="1" ht="15.75" hidden="1" x14ac:dyDescent="0.25">
      <c r="A440" s="493"/>
      <c r="D440" s="300"/>
      <c r="E440" s="298">
        <v>2016</v>
      </c>
      <c r="F440" s="304">
        <f t="shared" ref="F440:Y440" si="349">F$435*$H576+F$436*$H586</f>
        <v>0</v>
      </c>
      <c r="G440" s="304">
        <f t="shared" si="349"/>
        <v>0</v>
      </c>
      <c r="H440" s="305" t="e">
        <f t="shared" si="349"/>
        <v>#N/A</v>
      </c>
      <c r="I440" s="305" t="e">
        <f t="shared" si="349"/>
        <v>#N/A</v>
      </c>
      <c r="J440" s="305" t="e">
        <f t="shared" si="349"/>
        <v>#N/A</v>
      </c>
      <c r="K440" s="305" t="e">
        <f t="shared" si="349"/>
        <v>#N/A</v>
      </c>
      <c r="L440" s="305" t="e">
        <f t="shared" si="349"/>
        <v>#N/A</v>
      </c>
      <c r="M440" s="305" t="e">
        <f t="shared" si="349"/>
        <v>#N/A</v>
      </c>
      <c r="N440" s="304" t="e">
        <f t="shared" si="349"/>
        <v>#N/A</v>
      </c>
      <c r="O440" s="304" t="e">
        <f t="shared" si="349"/>
        <v>#N/A</v>
      </c>
      <c r="P440" s="304" t="e">
        <f t="shared" si="349"/>
        <v>#N/A</v>
      </c>
      <c r="Q440" s="304" t="e">
        <f t="shared" si="349"/>
        <v>#N/A</v>
      </c>
      <c r="R440" s="304" t="e">
        <f t="shared" si="349"/>
        <v>#N/A</v>
      </c>
      <c r="S440" s="304" t="e">
        <f t="shared" si="349"/>
        <v>#N/A</v>
      </c>
      <c r="T440" s="304" t="e">
        <f t="shared" si="349"/>
        <v>#N/A</v>
      </c>
      <c r="U440" s="304" t="e">
        <f t="shared" si="349"/>
        <v>#N/A</v>
      </c>
      <c r="V440" s="304" t="e">
        <f t="shared" si="349"/>
        <v>#N/A</v>
      </c>
      <c r="W440" s="304" t="e">
        <f t="shared" si="349"/>
        <v>#N/A</v>
      </c>
      <c r="X440" s="304" t="e">
        <f t="shared" si="349"/>
        <v>#N/A</v>
      </c>
      <c r="Y440" s="304" t="e">
        <f t="shared" si="349"/>
        <v>#N/A</v>
      </c>
      <c r="AA440" s="494"/>
      <c r="AB440" s="494"/>
      <c r="AC440" s="494"/>
      <c r="AD440" s="494"/>
      <c r="AE440" s="494"/>
      <c r="AF440" s="494"/>
      <c r="AG440" s="494"/>
      <c r="AH440" s="494"/>
      <c r="AI440" s="494"/>
      <c r="AJ440" s="494"/>
      <c r="AK440" s="494"/>
      <c r="AL440" s="494"/>
    </row>
    <row r="441" spans="1:38" s="298" customFormat="1" ht="15.75" hidden="1" x14ac:dyDescent="0.25">
      <c r="A441" s="493"/>
      <c r="D441" s="300"/>
      <c r="E441" s="298">
        <v>2017</v>
      </c>
      <c r="F441" s="304">
        <f t="shared" ref="F441:Y441" si="350">F$435*$H577+F$436*$H587</f>
        <v>0</v>
      </c>
      <c r="G441" s="304">
        <f t="shared" si="350"/>
        <v>0</v>
      </c>
      <c r="H441" s="305" t="e">
        <f t="shared" si="350"/>
        <v>#N/A</v>
      </c>
      <c r="I441" s="305" t="e">
        <f t="shared" si="350"/>
        <v>#N/A</v>
      </c>
      <c r="J441" s="305" t="e">
        <f t="shared" si="350"/>
        <v>#N/A</v>
      </c>
      <c r="K441" s="305" t="e">
        <f t="shared" si="350"/>
        <v>#N/A</v>
      </c>
      <c r="L441" s="305" t="e">
        <f t="shared" si="350"/>
        <v>#N/A</v>
      </c>
      <c r="M441" s="305" t="e">
        <f t="shared" si="350"/>
        <v>#N/A</v>
      </c>
      <c r="N441" s="304" t="e">
        <f t="shared" si="350"/>
        <v>#N/A</v>
      </c>
      <c r="O441" s="304" t="e">
        <f t="shared" si="350"/>
        <v>#N/A</v>
      </c>
      <c r="P441" s="304" t="e">
        <f t="shared" si="350"/>
        <v>#N/A</v>
      </c>
      <c r="Q441" s="304" t="e">
        <f t="shared" si="350"/>
        <v>#N/A</v>
      </c>
      <c r="R441" s="304" t="e">
        <f t="shared" si="350"/>
        <v>#N/A</v>
      </c>
      <c r="S441" s="304" t="e">
        <f t="shared" si="350"/>
        <v>#N/A</v>
      </c>
      <c r="T441" s="304" t="e">
        <f t="shared" si="350"/>
        <v>#N/A</v>
      </c>
      <c r="U441" s="304" t="e">
        <f t="shared" si="350"/>
        <v>#N/A</v>
      </c>
      <c r="V441" s="304" t="e">
        <f t="shared" si="350"/>
        <v>#N/A</v>
      </c>
      <c r="W441" s="304" t="e">
        <f t="shared" si="350"/>
        <v>#N/A</v>
      </c>
      <c r="X441" s="304" t="e">
        <f t="shared" si="350"/>
        <v>#N/A</v>
      </c>
      <c r="Y441" s="304" t="e">
        <f t="shared" si="350"/>
        <v>#N/A</v>
      </c>
      <c r="AA441" s="494"/>
      <c r="AB441" s="494"/>
      <c r="AC441" s="494"/>
      <c r="AD441" s="494"/>
      <c r="AE441" s="494"/>
      <c r="AF441" s="494"/>
      <c r="AG441" s="494"/>
      <c r="AH441" s="494"/>
      <c r="AI441" s="494"/>
      <c r="AJ441" s="494"/>
      <c r="AK441" s="494"/>
      <c r="AL441" s="494"/>
    </row>
    <row r="442" spans="1:38" s="298" customFormat="1" ht="15.75" hidden="1" x14ac:dyDescent="0.25">
      <c r="A442" s="493"/>
      <c r="D442" s="300"/>
      <c r="E442" s="298">
        <v>2018</v>
      </c>
      <c r="F442" s="304">
        <f t="shared" ref="F442:Y442" si="351">F$435*$H578+F$436*$H588</f>
        <v>0</v>
      </c>
      <c r="G442" s="304">
        <f t="shared" si="351"/>
        <v>0</v>
      </c>
      <c r="H442" s="305" t="e">
        <f t="shared" si="351"/>
        <v>#N/A</v>
      </c>
      <c r="I442" s="305" t="e">
        <f t="shared" si="351"/>
        <v>#N/A</v>
      </c>
      <c r="J442" s="305" t="e">
        <f t="shared" si="351"/>
        <v>#N/A</v>
      </c>
      <c r="K442" s="305" t="e">
        <f t="shared" si="351"/>
        <v>#N/A</v>
      </c>
      <c r="L442" s="305" t="e">
        <f t="shared" si="351"/>
        <v>#N/A</v>
      </c>
      <c r="M442" s="305" t="e">
        <f t="shared" si="351"/>
        <v>#N/A</v>
      </c>
      <c r="N442" s="304" t="e">
        <f t="shared" si="351"/>
        <v>#N/A</v>
      </c>
      <c r="O442" s="304" t="e">
        <f t="shared" si="351"/>
        <v>#N/A</v>
      </c>
      <c r="P442" s="304" t="e">
        <f t="shared" si="351"/>
        <v>#N/A</v>
      </c>
      <c r="Q442" s="304" t="e">
        <f t="shared" si="351"/>
        <v>#N/A</v>
      </c>
      <c r="R442" s="304" t="e">
        <f t="shared" si="351"/>
        <v>#N/A</v>
      </c>
      <c r="S442" s="304" t="e">
        <f t="shared" si="351"/>
        <v>#N/A</v>
      </c>
      <c r="T442" s="304" t="e">
        <f t="shared" si="351"/>
        <v>#N/A</v>
      </c>
      <c r="U442" s="304" t="e">
        <f t="shared" si="351"/>
        <v>#N/A</v>
      </c>
      <c r="V442" s="304" t="e">
        <f t="shared" si="351"/>
        <v>#N/A</v>
      </c>
      <c r="W442" s="304" t="e">
        <f t="shared" si="351"/>
        <v>#N/A</v>
      </c>
      <c r="X442" s="304" t="e">
        <f t="shared" si="351"/>
        <v>#N/A</v>
      </c>
      <c r="Y442" s="304" t="e">
        <f t="shared" si="351"/>
        <v>#N/A</v>
      </c>
      <c r="AA442" s="494"/>
      <c r="AB442" s="494"/>
      <c r="AC442" s="494"/>
      <c r="AD442" s="494"/>
      <c r="AE442" s="494"/>
      <c r="AF442" s="494"/>
      <c r="AG442" s="494"/>
      <c r="AH442" s="494"/>
      <c r="AI442" s="494"/>
      <c r="AJ442" s="494"/>
      <c r="AK442" s="494"/>
      <c r="AL442" s="494"/>
    </row>
    <row r="443" spans="1:38" s="298" customFormat="1" ht="15.75" hidden="1" x14ac:dyDescent="0.25">
      <c r="A443" s="493"/>
      <c r="D443" s="300"/>
      <c r="E443" s="298">
        <v>2019</v>
      </c>
      <c r="F443" s="304">
        <f t="shared" ref="F443:Y443" si="352">F$435*$H579+F$436*$H589</f>
        <v>0</v>
      </c>
      <c r="G443" s="304">
        <f t="shared" si="352"/>
        <v>0</v>
      </c>
      <c r="H443" s="305" t="e">
        <f t="shared" si="352"/>
        <v>#N/A</v>
      </c>
      <c r="I443" s="305" t="e">
        <f t="shared" si="352"/>
        <v>#N/A</v>
      </c>
      <c r="J443" s="305" t="e">
        <f t="shared" si="352"/>
        <v>#N/A</v>
      </c>
      <c r="K443" s="305" t="e">
        <f t="shared" si="352"/>
        <v>#N/A</v>
      </c>
      <c r="L443" s="305" t="e">
        <f t="shared" si="352"/>
        <v>#N/A</v>
      </c>
      <c r="M443" s="305" t="e">
        <f t="shared" si="352"/>
        <v>#N/A</v>
      </c>
      <c r="N443" s="304" t="e">
        <f t="shared" si="352"/>
        <v>#N/A</v>
      </c>
      <c r="O443" s="304" t="e">
        <f t="shared" si="352"/>
        <v>#N/A</v>
      </c>
      <c r="P443" s="304" t="e">
        <f t="shared" si="352"/>
        <v>#N/A</v>
      </c>
      <c r="Q443" s="304" t="e">
        <f t="shared" si="352"/>
        <v>#N/A</v>
      </c>
      <c r="R443" s="304" t="e">
        <f t="shared" si="352"/>
        <v>#N/A</v>
      </c>
      <c r="S443" s="304" t="e">
        <f t="shared" si="352"/>
        <v>#N/A</v>
      </c>
      <c r="T443" s="304" t="e">
        <f t="shared" si="352"/>
        <v>#N/A</v>
      </c>
      <c r="U443" s="304" t="e">
        <f t="shared" si="352"/>
        <v>#N/A</v>
      </c>
      <c r="V443" s="304" t="e">
        <f t="shared" si="352"/>
        <v>#N/A</v>
      </c>
      <c r="W443" s="304" t="e">
        <f t="shared" si="352"/>
        <v>#N/A</v>
      </c>
      <c r="X443" s="304" t="e">
        <f t="shared" si="352"/>
        <v>#N/A</v>
      </c>
      <c r="Y443" s="304" t="e">
        <f t="shared" si="352"/>
        <v>#N/A</v>
      </c>
      <c r="AA443" s="494"/>
      <c r="AB443" s="494"/>
      <c r="AC443" s="494"/>
      <c r="AD443" s="494"/>
      <c r="AE443" s="494"/>
      <c r="AF443" s="494"/>
      <c r="AG443" s="494"/>
      <c r="AH443" s="494"/>
      <c r="AI443" s="494"/>
      <c r="AJ443" s="494"/>
      <c r="AK443" s="494"/>
      <c r="AL443" s="494"/>
    </row>
    <row r="444" spans="1:38" s="298" customFormat="1" ht="15.75" hidden="1" x14ac:dyDescent="0.25">
      <c r="A444" s="493"/>
      <c r="D444" s="300"/>
      <c r="E444" s="298">
        <v>2020</v>
      </c>
      <c r="F444" s="304">
        <f t="shared" ref="F444:Y444" si="353">F$435*$H580+F$436*$H590</f>
        <v>0</v>
      </c>
      <c r="G444" s="304">
        <f t="shared" si="353"/>
        <v>0</v>
      </c>
      <c r="H444" s="305" t="e">
        <f t="shared" si="353"/>
        <v>#N/A</v>
      </c>
      <c r="I444" s="305" t="e">
        <f t="shared" si="353"/>
        <v>#N/A</v>
      </c>
      <c r="J444" s="305" t="e">
        <f t="shared" si="353"/>
        <v>#N/A</v>
      </c>
      <c r="K444" s="305" t="e">
        <f t="shared" si="353"/>
        <v>#N/A</v>
      </c>
      <c r="L444" s="305" t="e">
        <f t="shared" si="353"/>
        <v>#N/A</v>
      </c>
      <c r="M444" s="305" t="e">
        <f t="shared" si="353"/>
        <v>#N/A</v>
      </c>
      <c r="N444" s="304" t="e">
        <f t="shared" si="353"/>
        <v>#N/A</v>
      </c>
      <c r="O444" s="304" t="e">
        <f t="shared" si="353"/>
        <v>#N/A</v>
      </c>
      <c r="P444" s="304" t="e">
        <f t="shared" si="353"/>
        <v>#N/A</v>
      </c>
      <c r="Q444" s="304" t="e">
        <f t="shared" si="353"/>
        <v>#N/A</v>
      </c>
      <c r="R444" s="304" t="e">
        <f t="shared" si="353"/>
        <v>#N/A</v>
      </c>
      <c r="S444" s="304" t="e">
        <f t="shared" si="353"/>
        <v>#N/A</v>
      </c>
      <c r="T444" s="304" t="e">
        <f t="shared" si="353"/>
        <v>#N/A</v>
      </c>
      <c r="U444" s="304" t="e">
        <f t="shared" si="353"/>
        <v>#N/A</v>
      </c>
      <c r="V444" s="304" t="e">
        <f t="shared" si="353"/>
        <v>#N/A</v>
      </c>
      <c r="W444" s="304" t="e">
        <f t="shared" si="353"/>
        <v>#N/A</v>
      </c>
      <c r="X444" s="304" t="e">
        <f t="shared" si="353"/>
        <v>#N/A</v>
      </c>
      <c r="Y444" s="304" t="e">
        <f t="shared" si="353"/>
        <v>#N/A</v>
      </c>
      <c r="AA444" s="494"/>
      <c r="AB444" s="494"/>
      <c r="AC444" s="494"/>
      <c r="AD444" s="494"/>
      <c r="AE444" s="494"/>
      <c r="AF444" s="494"/>
      <c r="AG444" s="494"/>
      <c r="AH444" s="494"/>
      <c r="AI444" s="494"/>
      <c r="AJ444" s="494"/>
      <c r="AK444" s="494"/>
      <c r="AL444" s="494"/>
    </row>
    <row r="445" spans="1:38" s="222" customFormat="1" ht="15.75" hidden="1" x14ac:dyDescent="0.25">
      <c r="A445" s="130"/>
      <c r="D445" s="272"/>
      <c r="AA445" s="3"/>
      <c r="AB445" s="3"/>
      <c r="AC445" s="3"/>
      <c r="AD445" s="3"/>
      <c r="AE445" s="3"/>
      <c r="AF445" s="3"/>
      <c r="AG445" s="3"/>
      <c r="AH445" s="3"/>
      <c r="AI445" s="3"/>
      <c r="AJ445" s="3"/>
      <c r="AK445" s="3"/>
      <c r="AL445" s="3"/>
    </row>
    <row r="446" spans="1:38" s="222" customFormat="1" ht="15.75" hidden="1" x14ac:dyDescent="0.25">
      <c r="A446" s="130"/>
      <c r="D446" s="272"/>
      <c r="AA446" s="3"/>
      <c r="AB446" s="3"/>
      <c r="AC446" s="3"/>
      <c r="AD446" s="3"/>
      <c r="AE446" s="3"/>
      <c r="AF446" s="3"/>
      <c r="AG446" s="3"/>
      <c r="AH446" s="3"/>
      <c r="AI446" s="3"/>
      <c r="AJ446" s="3"/>
      <c r="AK446" s="3"/>
      <c r="AL446" s="3"/>
    </row>
    <row r="447" spans="1:38" s="502" customFormat="1" ht="15.75" hidden="1" x14ac:dyDescent="0.25">
      <c r="A447" s="501"/>
      <c r="B447" s="527" t="s">
        <v>1570</v>
      </c>
      <c r="D447" s="503" t="s">
        <v>1474</v>
      </c>
      <c r="E447" s="504"/>
      <c r="F447" s="504"/>
      <c r="G447" s="504"/>
      <c r="AA447" s="505"/>
      <c r="AB447" s="505"/>
      <c r="AC447" s="505"/>
      <c r="AD447" s="505"/>
      <c r="AE447" s="505"/>
      <c r="AF447" s="505"/>
      <c r="AG447" s="505"/>
      <c r="AH447" s="505"/>
      <c r="AI447" s="505"/>
      <c r="AJ447" s="505"/>
      <c r="AK447" s="505"/>
      <c r="AL447" s="505"/>
    </row>
    <row r="448" spans="1:38" s="507" customFormat="1" ht="15.75" hidden="1" x14ac:dyDescent="0.25">
      <c r="A448" s="506"/>
      <c r="D448" s="503" t="s">
        <v>412</v>
      </c>
      <c r="E448" s="504" t="s">
        <v>10</v>
      </c>
      <c r="F448" s="504" t="s">
        <v>428</v>
      </c>
      <c r="G448" s="504" t="str">
        <f>$G$284</f>
        <v>Cost in 2008 dollars</v>
      </c>
      <c r="H448" s="507" t="s">
        <v>583</v>
      </c>
      <c r="I448" s="507" t="s">
        <v>584</v>
      </c>
      <c r="J448" s="507" t="s">
        <v>585</v>
      </c>
      <c r="K448" s="507" t="s">
        <v>586</v>
      </c>
      <c r="L448" s="507" t="s">
        <v>413</v>
      </c>
      <c r="M448" s="507" t="s">
        <v>414</v>
      </c>
      <c r="N448" s="507" t="s">
        <v>592</v>
      </c>
      <c r="O448" s="507" t="s">
        <v>587</v>
      </c>
      <c r="P448" s="507" t="s">
        <v>588</v>
      </c>
      <c r="Q448" s="507" t="s">
        <v>589</v>
      </c>
      <c r="R448" s="507" t="s">
        <v>590</v>
      </c>
      <c r="S448" s="507" t="s">
        <v>591</v>
      </c>
      <c r="T448" s="507" t="s">
        <v>593</v>
      </c>
      <c r="U448" s="507" t="s">
        <v>594</v>
      </c>
      <c r="V448" s="507" t="s">
        <v>595</v>
      </c>
      <c r="W448" s="507" t="s">
        <v>596</v>
      </c>
      <c r="X448" s="507" t="s">
        <v>597</v>
      </c>
      <c r="Y448" s="507" t="s">
        <v>598</v>
      </c>
      <c r="Z448" s="502"/>
      <c r="AA448" s="505"/>
      <c r="AB448" s="505"/>
      <c r="AC448" s="505"/>
      <c r="AD448" s="505"/>
      <c r="AE448" s="505"/>
      <c r="AF448" s="505"/>
      <c r="AG448" s="505"/>
      <c r="AH448" s="505"/>
      <c r="AI448" s="505"/>
      <c r="AJ448" s="505"/>
      <c r="AK448" s="505"/>
      <c r="AL448" s="505"/>
    </row>
    <row r="449" spans="1:38" s="502" customFormat="1" ht="15.75" hidden="1" x14ac:dyDescent="0.25">
      <c r="A449" s="501"/>
      <c r="D449" s="508">
        <v>811300</v>
      </c>
      <c r="E449" s="502" t="s">
        <v>351</v>
      </c>
      <c r="F449" s="509">
        <f>MaintCostPerUnit</f>
        <v>1600</v>
      </c>
      <c r="G449" s="509">
        <f>F449*$C$593</f>
        <v>1579.7996844847194</v>
      </c>
      <c r="H449" s="510" t="e">
        <f>$G449*INDEX(tier_emp_mult, MATCH($D449, tier_emp_code,0), MATCH(State, R_emp, 0))/1000000</f>
        <v>#N/A</v>
      </c>
      <c r="I449" s="510" t="e">
        <f>$G449*INDEX(typeI_emp_mult, MATCH($D449, typeI_emp_code,0), MATCH(State, R_emp, 0))/1000000</f>
        <v>#N/A</v>
      </c>
      <c r="J449" s="510" t="e">
        <f>$G449*INDEX(typeII_emp_mult, MATCH($D449, typeII_emp_code,0), MATCH(State, R_emp, 0))/1000000</f>
        <v>#N/A</v>
      </c>
      <c r="K449" s="511" t="e">
        <f>H449</f>
        <v>#N/A</v>
      </c>
      <c r="L449" s="511" t="e">
        <f>I449-H449</f>
        <v>#N/A</v>
      </c>
      <c r="M449" s="511" t="e">
        <f>J449-I449</f>
        <v>#N/A</v>
      </c>
      <c r="N449" s="510" t="e">
        <f>$G449*INDEX(tier_earn_mult, MATCH($D449, tier_earn_code,0), MATCH(State, R_earn, 0))</f>
        <v>#N/A</v>
      </c>
      <c r="O449" s="510" t="e">
        <f>$G449*INDEX(typeI_earn_mult, MATCH($D449, typeI_earn_code,0), MATCH(State, R_earn, 0))</f>
        <v>#N/A</v>
      </c>
      <c r="P449" s="510" t="e">
        <f>$G449*INDEX(typeII_earn_mult, MATCH($D449, typeII_earn_code,0), MATCH(State, R_earn, 0))</f>
        <v>#N/A</v>
      </c>
      <c r="Q449" s="512" t="e">
        <f>N449</f>
        <v>#N/A</v>
      </c>
      <c r="R449" s="512" t="e">
        <f>O449-N449</f>
        <v>#N/A</v>
      </c>
      <c r="S449" s="512" t="e">
        <f>P449-O449</f>
        <v>#N/A</v>
      </c>
      <c r="T449" s="510" t="e">
        <f>$G449*INDEX(tier_out_mult, MATCH($D449, tier_out_code,0), MATCH(State, R_out, 0))</f>
        <v>#N/A</v>
      </c>
      <c r="U449" s="510" t="e">
        <f>$G449*INDEX(typeI_out_mult, MATCH($D449, typeI_out_code,0), MATCH(State, R_out, 0))</f>
        <v>#N/A</v>
      </c>
      <c r="V449" s="510" t="e">
        <f>$G449*INDEX(typeII_out_mult, MATCH($D449, typeII_out_code,0), MATCH(State, R_out, 0))</f>
        <v>#N/A</v>
      </c>
      <c r="W449" s="512" t="e">
        <f>T449</f>
        <v>#N/A</v>
      </c>
      <c r="X449" s="512" t="e">
        <f>U449-T449</f>
        <v>#N/A</v>
      </c>
      <c r="Y449" s="512" t="e">
        <f>V449-U449</f>
        <v>#N/A</v>
      </c>
      <c r="AA449" s="505"/>
      <c r="AB449" s="505"/>
      <c r="AC449" s="505"/>
      <c r="AD449" s="505"/>
      <c r="AE449" s="505"/>
      <c r="AF449" s="505"/>
      <c r="AG449" s="505"/>
      <c r="AH449" s="505"/>
      <c r="AI449" s="505"/>
      <c r="AJ449" s="505"/>
      <c r="AK449" s="505"/>
      <c r="AL449" s="505"/>
    </row>
    <row r="450" spans="1:38" s="502" customFormat="1" ht="15.75" hidden="1" x14ac:dyDescent="0.25">
      <c r="A450" s="501"/>
      <c r="D450" s="508">
        <v>811300</v>
      </c>
      <c r="E450" s="502" t="s">
        <v>351</v>
      </c>
      <c r="F450" s="509">
        <f>MaintCostPerUnit_c3</f>
        <v>1200</v>
      </c>
      <c r="G450" s="509">
        <f>F450*$C$593</f>
        <v>1184.8497633635395</v>
      </c>
      <c r="H450" s="510" t="e">
        <f>$G450*INDEX(tier_emp_mult, MATCH($D450, tier_emp_code,0), MATCH(State, R_emp, 0))/1000000</f>
        <v>#N/A</v>
      </c>
      <c r="I450" s="510" t="e">
        <f>$G450*INDEX(typeI_emp_mult, MATCH($D450, typeI_emp_code,0), MATCH(State, R_emp, 0))/1000000</f>
        <v>#N/A</v>
      </c>
      <c r="J450" s="510" t="e">
        <f>$G450*INDEX(typeII_emp_mult, MATCH($D450, typeII_emp_code,0), MATCH(State, R_emp, 0))/1000000</f>
        <v>#N/A</v>
      </c>
      <c r="K450" s="511" t="e">
        <f>H450</f>
        <v>#N/A</v>
      </c>
      <c r="L450" s="511" t="e">
        <f>I450-H450</f>
        <v>#N/A</v>
      </c>
      <c r="M450" s="511" t="e">
        <f>J450-I450</f>
        <v>#N/A</v>
      </c>
      <c r="N450" s="510" t="e">
        <f>$G450*INDEX(tier_earn_mult, MATCH($D450, tier_earn_code,0), MATCH(State, R_earn, 0))</f>
        <v>#N/A</v>
      </c>
      <c r="O450" s="510" t="e">
        <f>$G450*INDEX(typeI_earn_mult, MATCH($D450, typeI_earn_code,0), MATCH(State, R_earn, 0))</f>
        <v>#N/A</v>
      </c>
      <c r="P450" s="510" t="e">
        <f>$G450*INDEX(typeII_earn_mult, MATCH($D450, typeII_earn_code,0), MATCH(State, R_earn, 0))</f>
        <v>#N/A</v>
      </c>
      <c r="Q450" s="512" t="e">
        <f>N450</f>
        <v>#N/A</v>
      </c>
      <c r="R450" s="512" t="e">
        <f>O450-N450</f>
        <v>#N/A</v>
      </c>
      <c r="S450" s="512" t="e">
        <f>P450-O450</f>
        <v>#N/A</v>
      </c>
      <c r="T450" s="510" t="e">
        <f>$G450*INDEX(tier_out_mult, MATCH($D450, tier_out_code,0), MATCH(State, R_out, 0))</f>
        <v>#N/A</v>
      </c>
      <c r="U450" s="510" t="e">
        <f>$G450*INDEX(typeI_out_mult, MATCH($D450, typeI_out_code,0), MATCH(State, R_out, 0))</f>
        <v>#N/A</v>
      </c>
      <c r="V450" s="510" t="e">
        <f>$G450*INDEX(typeII_out_mult, MATCH($D450, typeII_out_code,0), MATCH(State, R_out, 0))</f>
        <v>#N/A</v>
      </c>
      <c r="W450" s="512" t="e">
        <f>T450</f>
        <v>#N/A</v>
      </c>
      <c r="X450" s="512" t="e">
        <f>U450-T450</f>
        <v>#N/A</v>
      </c>
      <c r="Y450" s="512" t="e">
        <f>V450-U450</f>
        <v>#N/A</v>
      </c>
      <c r="AA450" s="505"/>
      <c r="AB450" s="505"/>
      <c r="AC450" s="505"/>
      <c r="AD450" s="505"/>
      <c r="AE450" s="505"/>
      <c r="AF450" s="505"/>
      <c r="AG450" s="505"/>
      <c r="AH450" s="505"/>
      <c r="AI450" s="505"/>
      <c r="AJ450" s="505"/>
      <c r="AK450" s="505"/>
      <c r="AL450" s="505"/>
    </row>
    <row r="451" spans="1:38" s="502" customFormat="1" ht="15.75" hidden="1" x14ac:dyDescent="0.25">
      <c r="A451" s="501"/>
      <c r="D451" s="503" t="s">
        <v>1074</v>
      </c>
      <c r="E451" s="504"/>
      <c r="F451" s="504"/>
      <c r="G451" s="504"/>
      <c r="Q451" s="512"/>
      <c r="R451" s="512"/>
      <c r="S451" s="512"/>
      <c r="T451" s="512"/>
      <c r="U451" s="512"/>
      <c r="V451" s="512"/>
      <c r="W451" s="512"/>
      <c r="X451" s="512"/>
      <c r="Y451" s="512"/>
      <c r="AA451" s="505"/>
      <c r="AB451" s="505"/>
      <c r="AC451" s="505"/>
      <c r="AD451" s="505"/>
      <c r="AE451" s="505"/>
      <c r="AF451" s="505"/>
      <c r="AG451" s="505"/>
      <c r="AH451" s="505"/>
      <c r="AI451" s="505"/>
      <c r="AJ451" s="505"/>
      <c r="AK451" s="505"/>
      <c r="AL451" s="505"/>
    </row>
    <row r="452" spans="1:38" s="502" customFormat="1" ht="15.75" hidden="1" x14ac:dyDescent="0.25">
      <c r="A452" s="501"/>
      <c r="D452" s="508"/>
      <c r="E452" s="502">
        <v>2015</v>
      </c>
      <c r="F452" s="513">
        <f t="shared" ref="F452:J457" si="354">(F$449*$H575)+(F$450*$H585)</f>
        <v>0</v>
      </c>
      <c r="G452" s="513">
        <f t="shared" si="354"/>
        <v>0</v>
      </c>
      <c r="H452" s="514" t="e">
        <f t="shared" si="354"/>
        <v>#N/A</v>
      </c>
      <c r="I452" s="514" t="e">
        <f t="shared" si="354"/>
        <v>#N/A</v>
      </c>
      <c r="J452" s="514" t="e">
        <f t="shared" si="354"/>
        <v>#N/A</v>
      </c>
      <c r="K452" s="514" t="e">
        <f t="shared" ref="K452" si="355">H452</f>
        <v>#N/A</v>
      </c>
      <c r="L452" s="514" t="e">
        <f t="shared" ref="L452" si="356">I452-H452</f>
        <v>#N/A</v>
      </c>
      <c r="M452" s="514" t="e">
        <f t="shared" ref="M452" si="357">J452-I452</f>
        <v>#N/A</v>
      </c>
      <c r="N452" s="515" t="e">
        <f t="shared" ref="N452:P457" si="358">(N$449*$H575)+(N$450*$H585)</f>
        <v>#N/A</v>
      </c>
      <c r="O452" s="515" t="e">
        <f t="shared" si="358"/>
        <v>#N/A</v>
      </c>
      <c r="P452" s="515" t="e">
        <f t="shared" si="358"/>
        <v>#N/A</v>
      </c>
      <c r="Q452" s="515" t="e">
        <f t="shared" ref="Q452:Q457" si="359">N452</f>
        <v>#N/A</v>
      </c>
      <c r="R452" s="515" t="e">
        <f t="shared" ref="R452:R457" si="360">O452-N452</f>
        <v>#N/A</v>
      </c>
      <c r="S452" s="515" t="e">
        <f t="shared" ref="S452:S457" si="361">P452-O452</f>
        <v>#N/A</v>
      </c>
      <c r="T452" s="515" t="e">
        <f t="shared" ref="T452:V457" si="362">(T$449*$H575)+(T$450*$H585)</f>
        <v>#N/A</v>
      </c>
      <c r="U452" s="515" t="e">
        <f t="shared" si="362"/>
        <v>#N/A</v>
      </c>
      <c r="V452" s="515" t="e">
        <f t="shared" si="362"/>
        <v>#N/A</v>
      </c>
      <c r="W452" s="515" t="e">
        <f t="shared" ref="W452:W457" si="363">T452</f>
        <v>#N/A</v>
      </c>
      <c r="X452" s="515" t="e">
        <f t="shared" ref="X452:X457" si="364">U452-T452</f>
        <v>#N/A</v>
      </c>
      <c r="Y452" s="515" t="e">
        <f t="shared" ref="Y452:Y457" si="365">V452-U452</f>
        <v>#N/A</v>
      </c>
      <c r="AA452" s="505"/>
      <c r="AB452" s="505"/>
      <c r="AC452" s="505"/>
      <c r="AD452" s="505"/>
      <c r="AE452" s="505"/>
      <c r="AF452" s="505"/>
      <c r="AG452" s="505"/>
      <c r="AH452" s="505"/>
      <c r="AI452" s="505"/>
      <c r="AJ452" s="505"/>
      <c r="AK452" s="505"/>
      <c r="AL452" s="505"/>
    </row>
    <row r="453" spans="1:38" s="502" customFormat="1" ht="15.75" hidden="1" x14ac:dyDescent="0.25">
      <c r="A453" s="501"/>
      <c r="D453" s="508"/>
      <c r="E453" s="502">
        <v>2016</v>
      </c>
      <c r="F453" s="513">
        <f t="shared" si="354"/>
        <v>0</v>
      </c>
      <c r="G453" s="513">
        <f t="shared" si="354"/>
        <v>0</v>
      </c>
      <c r="H453" s="514" t="e">
        <f t="shared" si="354"/>
        <v>#N/A</v>
      </c>
      <c r="I453" s="514" t="e">
        <f t="shared" si="354"/>
        <v>#N/A</v>
      </c>
      <c r="J453" s="514" t="e">
        <f t="shared" si="354"/>
        <v>#N/A</v>
      </c>
      <c r="K453" s="514" t="e">
        <f t="shared" ref="K453:K457" si="366">H453</f>
        <v>#N/A</v>
      </c>
      <c r="L453" s="514" t="e">
        <f t="shared" ref="L453:L457" si="367">I453-H453</f>
        <v>#N/A</v>
      </c>
      <c r="M453" s="514" t="e">
        <f t="shared" ref="M453:M457" si="368">J453-I453</f>
        <v>#N/A</v>
      </c>
      <c r="N453" s="515" t="e">
        <f t="shared" si="358"/>
        <v>#N/A</v>
      </c>
      <c r="O453" s="515" t="e">
        <f t="shared" si="358"/>
        <v>#N/A</v>
      </c>
      <c r="P453" s="515" t="e">
        <f t="shared" si="358"/>
        <v>#N/A</v>
      </c>
      <c r="Q453" s="515" t="e">
        <f t="shared" si="359"/>
        <v>#N/A</v>
      </c>
      <c r="R453" s="515" t="e">
        <f t="shared" si="360"/>
        <v>#N/A</v>
      </c>
      <c r="S453" s="515" t="e">
        <f t="shared" si="361"/>
        <v>#N/A</v>
      </c>
      <c r="T453" s="515" t="e">
        <f t="shared" si="362"/>
        <v>#N/A</v>
      </c>
      <c r="U453" s="515" t="e">
        <f t="shared" si="362"/>
        <v>#N/A</v>
      </c>
      <c r="V453" s="515" t="e">
        <f t="shared" si="362"/>
        <v>#N/A</v>
      </c>
      <c r="W453" s="515" t="e">
        <f t="shared" si="363"/>
        <v>#N/A</v>
      </c>
      <c r="X453" s="515" t="e">
        <f t="shared" si="364"/>
        <v>#N/A</v>
      </c>
      <c r="Y453" s="515" t="e">
        <f t="shared" si="365"/>
        <v>#N/A</v>
      </c>
      <c r="AA453" s="505"/>
      <c r="AB453" s="505"/>
      <c r="AC453" s="505"/>
      <c r="AD453" s="505"/>
      <c r="AE453" s="505"/>
      <c r="AF453" s="505"/>
      <c r="AG453" s="505"/>
      <c r="AH453" s="505"/>
      <c r="AI453" s="505"/>
      <c r="AJ453" s="505"/>
      <c r="AK453" s="505"/>
      <c r="AL453" s="505"/>
    </row>
    <row r="454" spans="1:38" s="502" customFormat="1" ht="15.75" hidden="1" x14ac:dyDescent="0.25">
      <c r="A454" s="501"/>
      <c r="D454" s="508"/>
      <c r="E454" s="502">
        <v>2017</v>
      </c>
      <c r="F454" s="513">
        <f t="shared" si="354"/>
        <v>0</v>
      </c>
      <c r="G454" s="513">
        <f t="shared" si="354"/>
        <v>0</v>
      </c>
      <c r="H454" s="514" t="e">
        <f t="shared" si="354"/>
        <v>#N/A</v>
      </c>
      <c r="I454" s="514" t="e">
        <f t="shared" si="354"/>
        <v>#N/A</v>
      </c>
      <c r="J454" s="514" t="e">
        <f t="shared" si="354"/>
        <v>#N/A</v>
      </c>
      <c r="K454" s="514" t="e">
        <f t="shared" si="366"/>
        <v>#N/A</v>
      </c>
      <c r="L454" s="514" t="e">
        <f t="shared" si="367"/>
        <v>#N/A</v>
      </c>
      <c r="M454" s="514" t="e">
        <f t="shared" si="368"/>
        <v>#N/A</v>
      </c>
      <c r="N454" s="515" t="e">
        <f t="shared" si="358"/>
        <v>#N/A</v>
      </c>
      <c r="O454" s="515" t="e">
        <f t="shared" si="358"/>
        <v>#N/A</v>
      </c>
      <c r="P454" s="515" t="e">
        <f t="shared" si="358"/>
        <v>#N/A</v>
      </c>
      <c r="Q454" s="515" t="e">
        <f t="shared" si="359"/>
        <v>#N/A</v>
      </c>
      <c r="R454" s="515" t="e">
        <f t="shared" si="360"/>
        <v>#N/A</v>
      </c>
      <c r="S454" s="515" t="e">
        <f t="shared" si="361"/>
        <v>#N/A</v>
      </c>
      <c r="T454" s="515" t="e">
        <f t="shared" si="362"/>
        <v>#N/A</v>
      </c>
      <c r="U454" s="515" t="e">
        <f t="shared" si="362"/>
        <v>#N/A</v>
      </c>
      <c r="V454" s="515" t="e">
        <f t="shared" si="362"/>
        <v>#N/A</v>
      </c>
      <c r="W454" s="515" t="e">
        <f t="shared" si="363"/>
        <v>#N/A</v>
      </c>
      <c r="X454" s="515" t="e">
        <f t="shared" si="364"/>
        <v>#N/A</v>
      </c>
      <c r="Y454" s="515" t="e">
        <f t="shared" si="365"/>
        <v>#N/A</v>
      </c>
      <c r="AA454" s="505"/>
      <c r="AB454" s="505"/>
      <c r="AC454" s="505"/>
      <c r="AD454" s="505"/>
      <c r="AE454" s="505"/>
      <c r="AF454" s="505"/>
      <c r="AG454" s="505"/>
      <c r="AH454" s="505"/>
      <c r="AI454" s="505"/>
      <c r="AJ454" s="505"/>
      <c r="AK454" s="505"/>
      <c r="AL454" s="505"/>
    </row>
    <row r="455" spans="1:38" s="502" customFormat="1" ht="15.75" hidden="1" x14ac:dyDescent="0.25">
      <c r="A455" s="501"/>
      <c r="D455" s="508"/>
      <c r="E455" s="502">
        <v>2018</v>
      </c>
      <c r="F455" s="513">
        <f t="shared" si="354"/>
        <v>0</v>
      </c>
      <c r="G455" s="513">
        <f t="shared" si="354"/>
        <v>0</v>
      </c>
      <c r="H455" s="514" t="e">
        <f t="shared" si="354"/>
        <v>#N/A</v>
      </c>
      <c r="I455" s="514" t="e">
        <f t="shared" si="354"/>
        <v>#N/A</v>
      </c>
      <c r="J455" s="514" t="e">
        <f t="shared" si="354"/>
        <v>#N/A</v>
      </c>
      <c r="K455" s="514" t="e">
        <f t="shared" si="366"/>
        <v>#N/A</v>
      </c>
      <c r="L455" s="514" t="e">
        <f t="shared" si="367"/>
        <v>#N/A</v>
      </c>
      <c r="M455" s="514" t="e">
        <f t="shared" si="368"/>
        <v>#N/A</v>
      </c>
      <c r="N455" s="515" t="e">
        <f t="shared" si="358"/>
        <v>#N/A</v>
      </c>
      <c r="O455" s="515" t="e">
        <f t="shared" si="358"/>
        <v>#N/A</v>
      </c>
      <c r="P455" s="515" t="e">
        <f t="shared" si="358"/>
        <v>#N/A</v>
      </c>
      <c r="Q455" s="515" t="e">
        <f t="shared" si="359"/>
        <v>#N/A</v>
      </c>
      <c r="R455" s="515" t="e">
        <f t="shared" si="360"/>
        <v>#N/A</v>
      </c>
      <c r="S455" s="515" t="e">
        <f t="shared" si="361"/>
        <v>#N/A</v>
      </c>
      <c r="T455" s="515" t="e">
        <f t="shared" si="362"/>
        <v>#N/A</v>
      </c>
      <c r="U455" s="515" t="e">
        <f t="shared" si="362"/>
        <v>#N/A</v>
      </c>
      <c r="V455" s="515" t="e">
        <f t="shared" si="362"/>
        <v>#N/A</v>
      </c>
      <c r="W455" s="515" t="e">
        <f t="shared" si="363"/>
        <v>#N/A</v>
      </c>
      <c r="X455" s="515" t="e">
        <f t="shared" si="364"/>
        <v>#N/A</v>
      </c>
      <c r="Y455" s="515" t="e">
        <f t="shared" si="365"/>
        <v>#N/A</v>
      </c>
      <c r="AA455" s="505"/>
      <c r="AB455" s="505"/>
      <c r="AC455" s="505"/>
      <c r="AD455" s="505"/>
      <c r="AE455" s="505"/>
      <c r="AF455" s="505"/>
      <c r="AG455" s="505"/>
      <c r="AH455" s="505"/>
      <c r="AI455" s="505"/>
      <c r="AJ455" s="505"/>
      <c r="AK455" s="505"/>
      <c r="AL455" s="505"/>
    </row>
    <row r="456" spans="1:38" s="502" customFormat="1" ht="15.75" hidden="1" x14ac:dyDescent="0.25">
      <c r="A456" s="501"/>
      <c r="D456" s="508"/>
      <c r="E456" s="502">
        <v>2019</v>
      </c>
      <c r="F456" s="513">
        <f t="shared" si="354"/>
        <v>0</v>
      </c>
      <c r="G456" s="513">
        <f t="shared" si="354"/>
        <v>0</v>
      </c>
      <c r="H456" s="514" t="e">
        <f t="shared" si="354"/>
        <v>#N/A</v>
      </c>
      <c r="I456" s="514" t="e">
        <f t="shared" si="354"/>
        <v>#N/A</v>
      </c>
      <c r="J456" s="514" t="e">
        <f t="shared" si="354"/>
        <v>#N/A</v>
      </c>
      <c r="K456" s="514" t="e">
        <f t="shared" si="366"/>
        <v>#N/A</v>
      </c>
      <c r="L456" s="514" t="e">
        <f t="shared" si="367"/>
        <v>#N/A</v>
      </c>
      <c r="M456" s="514" t="e">
        <f t="shared" si="368"/>
        <v>#N/A</v>
      </c>
      <c r="N456" s="515" t="e">
        <f t="shared" si="358"/>
        <v>#N/A</v>
      </c>
      <c r="O456" s="515" t="e">
        <f t="shared" si="358"/>
        <v>#N/A</v>
      </c>
      <c r="P456" s="515" t="e">
        <f t="shared" si="358"/>
        <v>#N/A</v>
      </c>
      <c r="Q456" s="515" t="e">
        <f t="shared" si="359"/>
        <v>#N/A</v>
      </c>
      <c r="R456" s="515" t="e">
        <f t="shared" si="360"/>
        <v>#N/A</v>
      </c>
      <c r="S456" s="515" t="e">
        <f t="shared" si="361"/>
        <v>#N/A</v>
      </c>
      <c r="T456" s="515" t="e">
        <f t="shared" si="362"/>
        <v>#N/A</v>
      </c>
      <c r="U456" s="515" t="e">
        <f t="shared" si="362"/>
        <v>#N/A</v>
      </c>
      <c r="V456" s="515" t="e">
        <f t="shared" si="362"/>
        <v>#N/A</v>
      </c>
      <c r="W456" s="515" t="e">
        <f t="shared" si="363"/>
        <v>#N/A</v>
      </c>
      <c r="X456" s="515" t="e">
        <f t="shared" si="364"/>
        <v>#N/A</v>
      </c>
      <c r="Y456" s="515" t="e">
        <f t="shared" si="365"/>
        <v>#N/A</v>
      </c>
      <c r="AA456" s="505"/>
      <c r="AB456" s="505"/>
      <c r="AC456" s="505"/>
      <c r="AD456" s="505"/>
      <c r="AE456" s="505"/>
      <c r="AF456" s="505"/>
      <c r="AG456" s="505"/>
      <c r="AH456" s="505"/>
      <c r="AI456" s="505"/>
      <c r="AJ456" s="505"/>
      <c r="AK456" s="505"/>
      <c r="AL456" s="505"/>
    </row>
    <row r="457" spans="1:38" s="502" customFormat="1" ht="15.75" hidden="1" x14ac:dyDescent="0.25">
      <c r="A457" s="501"/>
      <c r="D457" s="508"/>
      <c r="E457" s="502">
        <v>2020</v>
      </c>
      <c r="F457" s="513">
        <f t="shared" si="354"/>
        <v>0</v>
      </c>
      <c r="G457" s="513">
        <f t="shared" si="354"/>
        <v>0</v>
      </c>
      <c r="H457" s="514" t="e">
        <f t="shared" si="354"/>
        <v>#N/A</v>
      </c>
      <c r="I457" s="514" t="e">
        <f t="shared" si="354"/>
        <v>#N/A</v>
      </c>
      <c r="J457" s="514" t="e">
        <f t="shared" si="354"/>
        <v>#N/A</v>
      </c>
      <c r="K457" s="514" t="e">
        <f t="shared" si="366"/>
        <v>#N/A</v>
      </c>
      <c r="L457" s="514" t="e">
        <f t="shared" si="367"/>
        <v>#N/A</v>
      </c>
      <c r="M457" s="514" t="e">
        <f t="shared" si="368"/>
        <v>#N/A</v>
      </c>
      <c r="N457" s="515" t="e">
        <f t="shared" si="358"/>
        <v>#N/A</v>
      </c>
      <c r="O457" s="515" t="e">
        <f t="shared" si="358"/>
        <v>#N/A</v>
      </c>
      <c r="P457" s="515" t="e">
        <f t="shared" si="358"/>
        <v>#N/A</v>
      </c>
      <c r="Q457" s="515" t="e">
        <f t="shared" si="359"/>
        <v>#N/A</v>
      </c>
      <c r="R457" s="515" t="e">
        <f t="shared" si="360"/>
        <v>#N/A</v>
      </c>
      <c r="S457" s="515" t="e">
        <f t="shared" si="361"/>
        <v>#N/A</v>
      </c>
      <c r="T457" s="515" t="e">
        <f t="shared" si="362"/>
        <v>#N/A</v>
      </c>
      <c r="U457" s="515" t="e">
        <f t="shared" si="362"/>
        <v>#N/A</v>
      </c>
      <c r="V457" s="515" t="e">
        <f t="shared" si="362"/>
        <v>#N/A</v>
      </c>
      <c r="W457" s="515" t="e">
        <f t="shared" si="363"/>
        <v>#N/A</v>
      </c>
      <c r="X457" s="515" t="e">
        <f t="shared" si="364"/>
        <v>#N/A</v>
      </c>
      <c r="Y457" s="515" t="e">
        <f t="shared" si="365"/>
        <v>#N/A</v>
      </c>
      <c r="AA457" s="505"/>
      <c r="AB457" s="505"/>
      <c r="AC457" s="505"/>
      <c r="AD457" s="505"/>
      <c r="AE457" s="505"/>
      <c r="AF457" s="505"/>
      <c r="AG457" s="505"/>
      <c r="AH457" s="505"/>
      <c r="AI457" s="505"/>
      <c r="AJ457" s="505"/>
      <c r="AK457" s="505"/>
      <c r="AL457" s="505"/>
    </row>
    <row r="458" spans="1:38" s="502" customFormat="1" ht="15.75" hidden="1" x14ac:dyDescent="0.25">
      <c r="A458" s="501"/>
      <c r="D458" s="508"/>
      <c r="F458" s="513"/>
      <c r="G458" s="513"/>
      <c r="H458" s="514"/>
      <c r="I458" s="514"/>
      <c r="J458" s="514"/>
      <c r="K458" s="514"/>
      <c r="L458" s="514"/>
      <c r="M458" s="514"/>
      <c r="Q458" s="512"/>
      <c r="R458" s="512"/>
      <c r="S458" s="512"/>
      <c r="T458" s="512"/>
      <c r="U458" s="512"/>
      <c r="V458" s="512"/>
      <c r="W458" s="512"/>
      <c r="X458" s="512"/>
      <c r="Y458" s="512"/>
      <c r="AA458" s="505"/>
      <c r="AB458" s="505"/>
      <c r="AC458" s="505"/>
      <c r="AD458" s="505"/>
      <c r="AE458" s="505"/>
      <c r="AF458" s="505"/>
      <c r="AG458" s="505"/>
      <c r="AH458" s="505"/>
      <c r="AI458" s="505"/>
      <c r="AJ458" s="505"/>
      <c r="AK458" s="505"/>
      <c r="AL458" s="505"/>
    </row>
    <row r="459" spans="1:38" s="502" customFormat="1" ht="15.75" hidden="1" x14ac:dyDescent="0.25">
      <c r="A459" s="501"/>
      <c r="D459" s="503" t="s">
        <v>1475</v>
      </c>
      <c r="E459" s="504"/>
      <c r="F459" s="504"/>
      <c r="G459" s="504"/>
      <c r="AA459" s="505"/>
      <c r="AB459" s="505"/>
      <c r="AC459" s="505"/>
      <c r="AD459" s="505"/>
      <c r="AE459" s="505"/>
      <c r="AF459" s="505"/>
      <c r="AG459" s="505"/>
      <c r="AH459" s="505"/>
      <c r="AI459" s="505"/>
      <c r="AJ459" s="505"/>
      <c r="AK459" s="505"/>
      <c r="AL459" s="505"/>
    </row>
    <row r="460" spans="1:38" s="507" customFormat="1" ht="15.75" hidden="1" x14ac:dyDescent="0.25">
      <c r="A460" s="501"/>
      <c r="D460" s="503" t="s">
        <v>412</v>
      </c>
      <c r="E460" s="504" t="s">
        <v>10</v>
      </c>
      <c r="F460" s="504" t="s">
        <v>428</v>
      </c>
      <c r="G460" s="504" t="str">
        <f>$G$284</f>
        <v>Cost in 2008 dollars</v>
      </c>
      <c r="H460" s="507" t="s">
        <v>583</v>
      </c>
      <c r="I460" s="507" t="s">
        <v>584</v>
      </c>
      <c r="J460" s="507" t="s">
        <v>585</v>
      </c>
      <c r="K460" s="507" t="s">
        <v>586</v>
      </c>
      <c r="L460" s="507" t="s">
        <v>413</v>
      </c>
      <c r="M460" s="507" t="s">
        <v>414</v>
      </c>
      <c r="N460" s="507" t="s">
        <v>592</v>
      </c>
      <c r="O460" s="507" t="s">
        <v>587</v>
      </c>
      <c r="P460" s="507" t="s">
        <v>588</v>
      </c>
      <c r="Q460" s="507" t="s">
        <v>589</v>
      </c>
      <c r="R460" s="507" t="s">
        <v>590</v>
      </c>
      <c r="S460" s="507" t="s">
        <v>591</v>
      </c>
      <c r="T460" s="507" t="s">
        <v>593</v>
      </c>
      <c r="U460" s="507" t="s">
        <v>594</v>
      </c>
      <c r="V460" s="507" t="s">
        <v>595</v>
      </c>
      <c r="W460" s="507" t="s">
        <v>596</v>
      </c>
      <c r="X460" s="507" t="s">
        <v>597</v>
      </c>
      <c r="Y460" s="507" t="s">
        <v>598</v>
      </c>
      <c r="Z460" s="502"/>
      <c r="AA460" s="505"/>
      <c r="AB460" s="505"/>
      <c r="AC460" s="505"/>
      <c r="AD460" s="505"/>
      <c r="AE460" s="505"/>
      <c r="AF460" s="505"/>
      <c r="AG460" s="505"/>
      <c r="AH460" s="505"/>
      <c r="AI460" s="505"/>
      <c r="AJ460" s="505"/>
      <c r="AK460" s="505"/>
      <c r="AL460" s="505"/>
    </row>
    <row r="461" spans="1:38" s="502" customFormat="1" ht="15.75" hidden="1" x14ac:dyDescent="0.25">
      <c r="A461" s="501"/>
      <c r="D461" s="508">
        <v>811300</v>
      </c>
      <c r="E461" s="502" t="s">
        <v>351</v>
      </c>
      <c r="F461" s="516">
        <f>J113</f>
        <v>27000</v>
      </c>
      <c r="G461" s="513">
        <f>F461*C$593</f>
        <v>26659.119675679642</v>
      </c>
      <c r="H461" s="510" t="e">
        <f>$G461*INDEX(tier_emp_mult, MATCH($D461, tier_emp_code,0), MATCH(State, R_emp, 0))/1000000</f>
        <v>#N/A</v>
      </c>
      <c r="I461" s="510" t="e">
        <f>$G461*INDEX(typeI_emp_mult, MATCH($D461, typeI_emp_code,0), MATCH(State, R_emp, 0))/1000000</f>
        <v>#N/A</v>
      </c>
      <c r="J461" s="510" t="e">
        <f>$G461*INDEX(typeII_emp_mult, MATCH($D461, typeII_emp_code,0), MATCH(State, R_emp, 0))/1000000</f>
        <v>#N/A</v>
      </c>
      <c r="K461" s="511" t="e">
        <f>H461</f>
        <v>#N/A</v>
      </c>
      <c r="L461" s="511" t="e">
        <f>I461-H461</f>
        <v>#N/A</v>
      </c>
      <c r="M461" s="511" t="e">
        <f>J461-I461</f>
        <v>#N/A</v>
      </c>
      <c r="N461" s="510" t="e">
        <f>$G461*INDEX(tier_earn_mult, MATCH($D461, tier_earn_code,0), MATCH(State, R_earn, 0))</f>
        <v>#N/A</v>
      </c>
      <c r="O461" s="510" t="e">
        <f>$G461*INDEX(typeI_earn_mult, MATCH($D461, typeI_earn_code,0), MATCH(State, R_earn, 0))</f>
        <v>#N/A</v>
      </c>
      <c r="P461" s="510" t="e">
        <f>$G461*INDEX(typeII_earn_mult, MATCH($D461, typeII_earn_code,0), MATCH(State, R_earn, 0))</f>
        <v>#N/A</v>
      </c>
      <c r="Q461" s="512" t="e">
        <f>N461</f>
        <v>#N/A</v>
      </c>
      <c r="R461" s="512" t="e">
        <f>O461-N461</f>
        <v>#N/A</v>
      </c>
      <c r="S461" s="512" t="e">
        <f>P461-O461</f>
        <v>#N/A</v>
      </c>
      <c r="T461" s="510" t="e">
        <f>$G461*INDEX(tier_out_mult, MATCH($D461, tier_out_code,0), MATCH(State, R_out, 0))</f>
        <v>#N/A</v>
      </c>
      <c r="U461" s="510" t="e">
        <f>$G461*INDEX(typeI_out_mult, MATCH($D461, typeI_out_code,0), MATCH(State, R_out, 0))</f>
        <v>#N/A</v>
      </c>
      <c r="V461" s="510" t="e">
        <f>$G461*INDEX(typeII_out_mult, MATCH($D461, typeII_out_code,0), MATCH(State, R_out, 0))</f>
        <v>#N/A</v>
      </c>
      <c r="W461" s="512" t="e">
        <f>T461</f>
        <v>#N/A</v>
      </c>
      <c r="X461" s="512" t="e">
        <f>U461-T461</f>
        <v>#N/A</v>
      </c>
      <c r="Y461" s="512" t="e">
        <f>V461-U461</f>
        <v>#N/A</v>
      </c>
      <c r="AA461" s="505"/>
      <c r="AB461" s="505"/>
      <c r="AC461" s="505"/>
      <c r="AD461" s="505"/>
      <c r="AE461" s="505"/>
      <c r="AF461" s="505"/>
      <c r="AG461" s="505"/>
      <c r="AH461" s="505"/>
      <c r="AI461" s="505"/>
      <c r="AJ461" s="505"/>
      <c r="AK461" s="505"/>
      <c r="AL461" s="505"/>
    </row>
    <row r="462" spans="1:38" s="502" customFormat="1" ht="15.75" hidden="1" x14ac:dyDescent="0.25">
      <c r="A462" s="501"/>
      <c r="D462" s="503" t="str">
        <f>D459</f>
        <v>INFRASTRUCTURE MAINTENANCE COSTS ($/site/year)</v>
      </c>
      <c r="E462" s="504"/>
      <c r="F462" s="504"/>
      <c r="G462" s="504"/>
      <c r="Q462" s="512"/>
      <c r="R462" s="512"/>
      <c r="S462" s="512"/>
      <c r="T462" s="512"/>
      <c r="U462" s="512"/>
      <c r="V462" s="512"/>
      <c r="W462" s="512"/>
      <c r="X462" s="512"/>
      <c r="Y462" s="512"/>
      <c r="AA462" s="505"/>
      <c r="AB462" s="505"/>
      <c r="AC462" s="505"/>
      <c r="AD462" s="505"/>
      <c r="AE462" s="505"/>
      <c r="AF462" s="505"/>
      <c r="AG462" s="505"/>
      <c r="AH462" s="505"/>
      <c r="AI462" s="505"/>
      <c r="AJ462" s="505"/>
      <c r="AK462" s="505"/>
      <c r="AL462" s="505"/>
    </row>
    <row r="463" spans="1:38" s="502" customFormat="1" ht="15.75" hidden="1" x14ac:dyDescent="0.25">
      <c r="A463" s="501"/>
      <c r="D463" s="508"/>
      <c r="E463" s="502">
        <v>2015</v>
      </c>
      <c r="F463" s="513">
        <f>F$461*($J$120+SUM($J$83:$J83))</f>
        <v>0</v>
      </c>
      <c r="G463" s="513">
        <f>G$461*($J$120+SUM($J$83:$J83))</f>
        <v>0</v>
      </c>
      <c r="H463" s="514" t="e">
        <f>H$461*($J$120+SUM($J$83:$J83))</f>
        <v>#N/A</v>
      </c>
      <c r="I463" s="514" t="e">
        <f>I$461*($J$120+SUM($J$83:$J83))</f>
        <v>#N/A</v>
      </c>
      <c r="J463" s="514" t="e">
        <f>J$461*($J$120+SUM($J$83:$J83))</f>
        <v>#N/A</v>
      </c>
      <c r="K463" s="514" t="e">
        <f t="shared" ref="K463:K468" si="369">H463</f>
        <v>#N/A</v>
      </c>
      <c r="L463" s="514" t="e">
        <f t="shared" ref="L463:L468" si="370">I463-H463</f>
        <v>#N/A</v>
      </c>
      <c r="M463" s="514" t="e">
        <f t="shared" ref="M463:M468" si="371">J463-I463</f>
        <v>#N/A</v>
      </c>
      <c r="N463" s="513" t="e">
        <f>N$461*($J$120+SUM($J$83:$J83))</f>
        <v>#N/A</v>
      </c>
      <c r="O463" s="513" t="e">
        <f>O$461*($J$120+SUM($J$83:$J83))</f>
        <v>#N/A</v>
      </c>
      <c r="P463" s="513" t="e">
        <f>P$461*($J$120+SUM($J$83:$J83))</f>
        <v>#N/A</v>
      </c>
      <c r="Q463" s="515" t="e">
        <f t="shared" ref="Q463:Q468" si="372">N463</f>
        <v>#N/A</v>
      </c>
      <c r="R463" s="515" t="e">
        <f t="shared" ref="R463:R468" si="373">O463-N463</f>
        <v>#N/A</v>
      </c>
      <c r="S463" s="515" t="e">
        <f t="shared" ref="S463:S468" si="374">P463-O463</f>
        <v>#N/A</v>
      </c>
      <c r="T463" s="513" t="e">
        <f>T$461*($J$120+SUM($J$83:$J83))</f>
        <v>#N/A</v>
      </c>
      <c r="U463" s="513" t="e">
        <f>U$461*($J$120+SUM($J$83:$J83))</f>
        <v>#N/A</v>
      </c>
      <c r="V463" s="513" t="e">
        <f>V$461*($J$120+SUM($J$83:$J83))</f>
        <v>#N/A</v>
      </c>
      <c r="W463" s="515" t="e">
        <f t="shared" ref="W463:W468" si="375">T463</f>
        <v>#N/A</v>
      </c>
      <c r="X463" s="515" t="e">
        <f t="shared" ref="X463:X468" si="376">U463-T463</f>
        <v>#N/A</v>
      </c>
      <c r="Y463" s="515" t="e">
        <f t="shared" ref="Y463:Y468" si="377">V463-U463</f>
        <v>#N/A</v>
      </c>
      <c r="AA463" s="505"/>
      <c r="AB463" s="505"/>
      <c r="AC463" s="505"/>
      <c r="AD463" s="505"/>
      <c r="AE463" s="505"/>
      <c r="AF463" s="505"/>
      <c r="AG463" s="505"/>
      <c r="AH463" s="505"/>
      <c r="AI463" s="505"/>
      <c r="AJ463" s="505"/>
      <c r="AK463" s="505"/>
      <c r="AL463" s="505"/>
    </row>
    <row r="464" spans="1:38" s="502" customFormat="1" ht="15.75" hidden="1" x14ac:dyDescent="0.25">
      <c r="A464" s="501"/>
      <c r="D464" s="508"/>
      <c r="E464" s="502">
        <v>2016</v>
      </c>
      <c r="F464" s="513">
        <f>F$461*($J$120+SUM($J$83:$J84))</f>
        <v>0</v>
      </c>
      <c r="G464" s="513">
        <f>G$461*($J$120+SUM($J$83:$J84))</f>
        <v>0</v>
      </c>
      <c r="H464" s="514" t="e">
        <f>H$461*($J$120+SUM($J$83:$J84))</f>
        <v>#N/A</v>
      </c>
      <c r="I464" s="514" t="e">
        <f>I$461*($J$120+SUM($J$83:$J84))</f>
        <v>#N/A</v>
      </c>
      <c r="J464" s="514" t="e">
        <f>J$461*($J$120+SUM($J$83:$J84))</f>
        <v>#N/A</v>
      </c>
      <c r="K464" s="514" t="e">
        <f t="shared" si="369"/>
        <v>#N/A</v>
      </c>
      <c r="L464" s="514" t="e">
        <f t="shared" si="370"/>
        <v>#N/A</v>
      </c>
      <c r="M464" s="514" t="e">
        <f t="shared" si="371"/>
        <v>#N/A</v>
      </c>
      <c r="N464" s="513" t="e">
        <f>N$461*($J$120+SUM($J$83:$J84))</f>
        <v>#N/A</v>
      </c>
      <c r="O464" s="513" t="e">
        <f>O$461*($J$120+SUM($J$83:$J84))</f>
        <v>#N/A</v>
      </c>
      <c r="P464" s="513" t="e">
        <f>P$461*($J$120+SUM($J$83:$J84))</f>
        <v>#N/A</v>
      </c>
      <c r="Q464" s="515" t="e">
        <f t="shared" si="372"/>
        <v>#N/A</v>
      </c>
      <c r="R464" s="515" t="e">
        <f t="shared" si="373"/>
        <v>#N/A</v>
      </c>
      <c r="S464" s="515" t="e">
        <f t="shared" si="374"/>
        <v>#N/A</v>
      </c>
      <c r="T464" s="513" t="e">
        <f>T$461*($J$120+SUM($J$83:$J84))</f>
        <v>#N/A</v>
      </c>
      <c r="U464" s="513" t="e">
        <f>U$461*($J$120+SUM($J$83:$J84))</f>
        <v>#N/A</v>
      </c>
      <c r="V464" s="513" t="e">
        <f>V$461*($J$120+SUM($J$83:$J84))</f>
        <v>#N/A</v>
      </c>
      <c r="W464" s="515" t="e">
        <f t="shared" si="375"/>
        <v>#N/A</v>
      </c>
      <c r="X464" s="515" t="e">
        <f t="shared" si="376"/>
        <v>#N/A</v>
      </c>
      <c r="Y464" s="515" t="e">
        <f t="shared" si="377"/>
        <v>#N/A</v>
      </c>
      <c r="AA464" s="505"/>
      <c r="AB464" s="505"/>
      <c r="AC464" s="505"/>
      <c r="AD464" s="505"/>
      <c r="AE464" s="505"/>
      <c r="AF464" s="505"/>
      <c r="AG464" s="505"/>
      <c r="AH464" s="505"/>
      <c r="AI464" s="505"/>
      <c r="AJ464" s="505"/>
      <c r="AK464" s="505"/>
      <c r="AL464" s="505"/>
    </row>
    <row r="465" spans="1:56" s="502" customFormat="1" ht="15.75" hidden="1" x14ac:dyDescent="0.25">
      <c r="A465" s="501"/>
      <c r="D465" s="508"/>
      <c r="E465" s="502">
        <v>2017</v>
      </c>
      <c r="F465" s="513">
        <f>F$461*($J$120+SUM($J$83:$J85))</f>
        <v>0</v>
      </c>
      <c r="G465" s="513">
        <f>G$461*($J$120+SUM($J$83:$J85))</f>
        <v>0</v>
      </c>
      <c r="H465" s="514" t="e">
        <f>H$461*($J$120+SUM($J$83:$J85))</f>
        <v>#N/A</v>
      </c>
      <c r="I465" s="514" t="e">
        <f>I$461*($J$120+SUM($J$83:$J85))</f>
        <v>#N/A</v>
      </c>
      <c r="J465" s="514" t="e">
        <f>J$461*($J$120+SUM($J$83:$J85))</f>
        <v>#N/A</v>
      </c>
      <c r="K465" s="514" t="e">
        <f t="shared" si="369"/>
        <v>#N/A</v>
      </c>
      <c r="L465" s="514" t="e">
        <f t="shared" si="370"/>
        <v>#N/A</v>
      </c>
      <c r="M465" s="514" t="e">
        <f t="shared" si="371"/>
        <v>#N/A</v>
      </c>
      <c r="N465" s="513" t="e">
        <f>N$461*($J$120+SUM($J$83:$J85))</f>
        <v>#N/A</v>
      </c>
      <c r="O465" s="513" t="e">
        <f>O$461*($J$120+SUM($J$83:$J85))</f>
        <v>#N/A</v>
      </c>
      <c r="P465" s="513" t="e">
        <f>P$461*($J$120+SUM($J$83:$J85))</f>
        <v>#N/A</v>
      </c>
      <c r="Q465" s="515" t="e">
        <f t="shared" si="372"/>
        <v>#N/A</v>
      </c>
      <c r="R465" s="515" t="e">
        <f t="shared" si="373"/>
        <v>#N/A</v>
      </c>
      <c r="S465" s="515" t="e">
        <f t="shared" si="374"/>
        <v>#N/A</v>
      </c>
      <c r="T465" s="513" t="e">
        <f>T$461*($J$120+SUM($J$83:$J85))</f>
        <v>#N/A</v>
      </c>
      <c r="U465" s="513" t="e">
        <f>U$461*($J$120+SUM($J$83:$J85))</f>
        <v>#N/A</v>
      </c>
      <c r="V465" s="513" t="e">
        <f>V$461*($J$120+SUM($J$83:$J85))</f>
        <v>#N/A</v>
      </c>
      <c r="W465" s="515" t="e">
        <f t="shared" si="375"/>
        <v>#N/A</v>
      </c>
      <c r="X465" s="515" t="e">
        <f t="shared" si="376"/>
        <v>#N/A</v>
      </c>
      <c r="Y465" s="515" t="e">
        <f t="shared" si="377"/>
        <v>#N/A</v>
      </c>
      <c r="AA465" s="505"/>
      <c r="AB465" s="505"/>
      <c r="AC465" s="505"/>
      <c r="AD465" s="505"/>
      <c r="AE465" s="505"/>
      <c r="AF465" s="505"/>
      <c r="AG465" s="505"/>
      <c r="AH465" s="505"/>
      <c r="AI465" s="505"/>
      <c r="AJ465" s="505"/>
      <c r="AK465" s="505"/>
      <c r="AL465" s="505"/>
    </row>
    <row r="466" spans="1:56" s="502" customFormat="1" ht="15.75" hidden="1" x14ac:dyDescent="0.25">
      <c r="A466" s="501"/>
      <c r="D466" s="508"/>
      <c r="E466" s="502">
        <v>2018</v>
      </c>
      <c r="F466" s="513">
        <f>F$461*($J$120+SUM($J$83:$J86))</f>
        <v>0</v>
      </c>
      <c r="G466" s="513">
        <f>G$461*($J$120+SUM($J$83:$J86))</f>
        <v>0</v>
      </c>
      <c r="H466" s="514" t="e">
        <f>H$461*($J$120+SUM($J$83:$J86))</f>
        <v>#N/A</v>
      </c>
      <c r="I466" s="514" t="e">
        <f>I$461*($J$120+SUM($J$83:$J86))</f>
        <v>#N/A</v>
      </c>
      <c r="J466" s="514" t="e">
        <f>J$461*($J$120+SUM($J$83:$J86))</f>
        <v>#N/A</v>
      </c>
      <c r="K466" s="514" t="e">
        <f t="shared" si="369"/>
        <v>#N/A</v>
      </c>
      <c r="L466" s="514" t="e">
        <f t="shared" si="370"/>
        <v>#N/A</v>
      </c>
      <c r="M466" s="514" t="e">
        <f t="shared" si="371"/>
        <v>#N/A</v>
      </c>
      <c r="N466" s="513" t="e">
        <f>N$461*($J$120+SUM($J$83:$J86))</f>
        <v>#N/A</v>
      </c>
      <c r="O466" s="513" t="e">
        <f>O$461*($J$120+SUM($J$83:$J86))</f>
        <v>#N/A</v>
      </c>
      <c r="P466" s="513" t="e">
        <f>P$461*($J$120+SUM($J$83:$J86))</f>
        <v>#N/A</v>
      </c>
      <c r="Q466" s="515" t="e">
        <f t="shared" si="372"/>
        <v>#N/A</v>
      </c>
      <c r="R466" s="515" t="e">
        <f t="shared" si="373"/>
        <v>#N/A</v>
      </c>
      <c r="S466" s="515" t="e">
        <f t="shared" si="374"/>
        <v>#N/A</v>
      </c>
      <c r="T466" s="513" t="e">
        <f>T$461*($J$120+SUM($J$83:$J86))</f>
        <v>#N/A</v>
      </c>
      <c r="U466" s="513" t="e">
        <f>U$461*($J$120+SUM($J$83:$J86))</f>
        <v>#N/A</v>
      </c>
      <c r="V466" s="513" t="e">
        <f>V$461*($J$120+SUM($J$83:$J86))</f>
        <v>#N/A</v>
      </c>
      <c r="W466" s="515" t="e">
        <f t="shared" si="375"/>
        <v>#N/A</v>
      </c>
      <c r="X466" s="515" t="e">
        <f t="shared" si="376"/>
        <v>#N/A</v>
      </c>
      <c r="Y466" s="515" t="e">
        <f t="shared" si="377"/>
        <v>#N/A</v>
      </c>
      <c r="AA466" s="505"/>
      <c r="AB466" s="505"/>
      <c r="AC466" s="505"/>
      <c r="AD466" s="505"/>
      <c r="AE466" s="505"/>
      <c r="AF466" s="505"/>
      <c r="AG466" s="505"/>
      <c r="AH466" s="505"/>
      <c r="AI466" s="505"/>
      <c r="AJ466" s="505"/>
      <c r="AK466" s="505"/>
      <c r="AL466" s="505"/>
    </row>
    <row r="467" spans="1:56" s="502" customFormat="1" ht="15.75" hidden="1" x14ac:dyDescent="0.25">
      <c r="A467" s="501"/>
      <c r="D467" s="508"/>
      <c r="E467" s="502">
        <v>2019</v>
      </c>
      <c r="F467" s="513">
        <f>F$461*($J$120+SUM($J$83:$J87))</f>
        <v>0</v>
      </c>
      <c r="G467" s="513">
        <f>G$461*($J$120+SUM($J$83:$J87))</f>
        <v>0</v>
      </c>
      <c r="H467" s="514" t="e">
        <f>H$461*($J$120+SUM($J$83:$J87))</f>
        <v>#N/A</v>
      </c>
      <c r="I467" s="514" t="e">
        <f>I$461*($J$120+SUM($J$83:$J87))</f>
        <v>#N/A</v>
      </c>
      <c r="J467" s="514" t="e">
        <f>J$461*($J$120+SUM($J$83:$J87))</f>
        <v>#N/A</v>
      </c>
      <c r="K467" s="514" t="e">
        <f t="shared" si="369"/>
        <v>#N/A</v>
      </c>
      <c r="L467" s="514" t="e">
        <f t="shared" si="370"/>
        <v>#N/A</v>
      </c>
      <c r="M467" s="514" t="e">
        <f t="shared" si="371"/>
        <v>#N/A</v>
      </c>
      <c r="N467" s="513" t="e">
        <f>N$461*($J$120+SUM($J$83:$J87))</f>
        <v>#N/A</v>
      </c>
      <c r="O467" s="513" t="e">
        <f>O$461*($J$120+SUM($J$83:$J87))</f>
        <v>#N/A</v>
      </c>
      <c r="P467" s="513" t="e">
        <f>P$461*($J$120+SUM($J$83:$J87))</f>
        <v>#N/A</v>
      </c>
      <c r="Q467" s="515" t="e">
        <f t="shared" si="372"/>
        <v>#N/A</v>
      </c>
      <c r="R467" s="515" t="e">
        <f t="shared" si="373"/>
        <v>#N/A</v>
      </c>
      <c r="S467" s="515" t="e">
        <f t="shared" si="374"/>
        <v>#N/A</v>
      </c>
      <c r="T467" s="513" t="e">
        <f>T$461*($J$120+SUM($J$83:$J87))</f>
        <v>#N/A</v>
      </c>
      <c r="U467" s="513" t="e">
        <f>U$461*($J$120+SUM($J$83:$J87))</f>
        <v>#N/A</v>
      </c>
      <c r="V467" s="513" t="e">
        <f>V$461*($J$120+SUM($J$83:$J87))</f>
        <v>#N/A</v>
      </c>
      <c r="W467" s="515" t="e">
        <f t="shared" si="375"/>
        <v>#N/A</v>
      </c>
      <c r="X467" s="515" t="e">
        <f t="shared" si="376"/>
        <v>#N/A</v>
      </c>
      <c r="Y467" s="515" t="e">
        <f t="shared" si="377"/>
        <v>#N/A</v>
      </c>
      <c r="AA467" s="505"/>
      <c r="AB467" s="505"/>
      <c r="AC467" s="505"/>
      <c r="AD467" s="505"/>
      <c r="AE467" s="505"/>
      <c r="AF467" s="505"/>
      <c r="AG467" s="505"/>
      <c r="AH467" s="505"/>
      <c r="AI467" s="505"/>
      <c r="AJ467" s="505"/>
      <c r="AK467" s="505"/>
      <c r="AL467" s="505"/>
    </row>
    <row r="468" spans="1:56" s="502" customFormat="1" ht="15.75" hidden="1" x14ac:dyDescent="0.25">
      <c r="A468" s="501"/>
      <c r="D468" s="508"/>
      <c r="E468" s="502">
        <v>2020</v>
      </c>
      <c r="F468" s="513">
        <f>F$461*($J$120+SUM($J$83:$J88))</f>
        <v>0</v>
      </c>
      <c r="G468" s="513">
        <f>G$461*($J$120+SUM($J$83:$J88))</f>
        <v>0</v>
      </c>
      <c r="H468" s="514" t="e">
        <f>H$461*($J$120+SUM($J$83:$J88))</f>
        <v>#N/A</v>
      </c>
      <c r="I468" s="514" t="e">
        <f>I$461*($J$120+SUM($J$83:$J88))</f>
        <v>#N/A</v>
      </c>
      <c r="J468" s="514" t="e">
        <f>J$461*($J$120+SUM($J$83:$J88))</f>
        <v>#N/A</v>
      </c>
      <c r="K468" s="514" t="e">
        <f t="shared" si="369"/>
        <v>#N/A</v>
      </c>
      <c r="L468" s="514" t="e">
        <f t="shared" si="370"/>
        <v>#N/A</v>
      </c>
      <c r="M468" s="514" t="e">
        <f t="shared" si="371"/>
        <v>#N/A</v>
      </c>
      <c r="N468" s="513" t="e">
        <f>N$461*($J$120+SUM($J$83:$J88))</f>
        <v>#N/A</v>
      </c>
      <c r="O468" s="513" t="e">
        <f>O$461*($J$120+SUM($J$83:$J88))</f>
        <v>#N/A</v>
      </c>
      <c r="P468" s="513" t="e">
        <f>P$461*($J$120+SUM($J$83:$J88))</f>
        <v>#N/A</v>
      </c>
      <c r="Q468" s="515" t="e">
        <f t="shared" si="372"/>
        <v>#N/A</v>
      </c>
      <c r="R468" s="515" t="e">
        <f t="shared" si="373"/>
        <v>#N/A</v>
      </c>
      <c r="S468" s="515" t="e">
        <f t="shared" si="374"/>
        <v>#N/A</v>
      </c>
      <c r="T468" s="513" t="e">
        <f>T$461*($J$120+SUM($J$83:$J88))</f>
        <v>#N/A</v>
      </c>
      <c r="U468" s="513" t="e">
        <f>U$461*($J$120+SUM($J$83:$J88))</f>
        <v>#N/A</v>
      </c>
      <c r="V468" s="513" t="e">
        <f>V$461*($J$120+SUM($J$83:$J88))</f>
        <v>#N/A</v>
      </c>
      <c r="W468" s="515" t="e">
        <f t="shared" si="375"/>
        <v>#N/A</v>
      </c>
      <c r="X468" s="515" t="e">
        <f t="shared" si="376"/>
        <v>#N/A</v>
      </c>
      <c r="Y468" s="515" t="e">
        <f t="shared" si="377"/>
        <v>#N/A</v>
      </c>
      <c r="AA468" s="505"/>
      <c r="AB468" s="505"/>
      <c r="AC468" s="505"/>
      <c r="AD468" s="505"/>
      <c r="AE468" s="505"/>
      <c r="AF468" s="505"/>
      <c r="AG468" s="505"/>
      <c r="AH468" s="505"/>
      <c r="AI468" s="505"/>
      <c r="AJ468" s="505"/>
      <c r="AK468" s="505"/>
      <c r="AL468" s="505"/>
    </row>
    <row r="469" spans="1:56" s="237" customFormat="1" ht="15.75" hidden="1" x14ac:dyDescent="0.25">
      <c r="A469" s="130"/>
      <c r="D469" s="272"/>
      <c r="E469" s="222"/>
      <c r="F469" s="222"/>
      <c r="G469" s="222"/>
      <c r="H469" s="222"/>
      <c r="I469" s="222"/>
      <c r="J469" s="222"/>
      <c r="K469" s="222"/>
      <c r="L469" s="222"/>
      <c r="M469" s="222"/>
      <c r="N469" s="222"/>
      <c r="O469" s="222"/>
      <c r="P469" s="222"/>
      <c r="Q469" s="222"/>
      <c r="R469" s="222"/>
      <c r="S469" s="222"/>
      <c r="T469" s="222"/>
      <c r="U469" s="222"/>
      <c r="V469" s="222"/>
      <c r="W469" s="222"/>
      <c r="X469" s="222"/>
      <c r="Y469" s="222"/>
      <c r="Z469" s="222"/>
      <c r="AA469" s="3"/>
      <c r="AB469" s="3"/>
      <c r="AC469" s="3"/>
      <c r="AD469" s="3"/>
      <c r="AE469" s="3"/>
      <c r="AF469" s="3"/>
      <c r="AG469" s="3"/>
      <c r="AH469" s="3"/>
      <c r="AI469" s="3"/>
      <c r="AJ469" s="3"/>
      <c r="AK469" s="3"/>
      <c r="AL469" s="3"/>
      <c r="AM469" s="222"/>
      <c r="AN469" s="222"/>
      <c r="AO469" s="222"/>
      <c r="AP469" s="222"/>
      <c r="AQ469" s="222"/>
      <c r="AR469" s="222"/>
      <c r="AS469" s="222"/>
      <c r="AT469" s="222"/>
      <c r="AU469" s="222"/>
      <c r="AV469" s="222"/>
      <c r="AW469" s="222"/>
      <c r="AX469" s="222"/>
      <c r="AY469" s="222"/>
      <c r="AZ469" s="222"/>
      <c r="BA469" s="222"/>
      <c r="BB469" s="222"/>
      <c r="BC469" s="222"/>
      <c r="BD469" s="222"/>
    </row>
    <row r="470" spans="1:56" s="222" customFormat="1" ht="15.75" hidden="1" x14ac:dyDescent="0.25">
      <c r="A470" s="130"/>
      <c r="D470" s="272"/>
      <c r="AA470" s="3"/>
      <c r="AB470" s="3"/>
      <c r="AC470" s="3"/>
      <c r="AD470" s="3"/>
      <c r="AE470" s="3"/>
      <c r="AF470" s="3"/>
      <c r="AG470" s="3"/>
      <c r="AH470" s="3"/>
      <c r="AI470" s="3"/>
      <c r="AJ470" s="3"/>
      <c r="AK470" s="3"/>
      <c r="AL470" s="3"/>
    </row>
    <row r="471" spans="1:56" s="619" customFormat="1" ht="15.75" hidden="1" x14ac:dyDescent="0.25">
      <c r="A471" s="644"/>
      <c r="B471" s="527" t="s">
        <v>1570</v>
      </c>
      <c r="D471" s="658" t="s">
        <v>1704</v>
      </c>
      <c r="E471" s="646"/>
      <c r="F471" s="646"/>
      <c r="G471" s="646"/>
      <c r="AA471" s="647"/>
      <c r="AB471" s="647"/>
      <c r="AC471" s="647"/>
      <c r="AD471" s="647"/>
      <c r="AE471" s="647"/>
      <c r="AF471" s="647"/>
      <c r="AG471" s="647"/>
      <c r="AH471" s="647"/>
      <c r="AI471" s="647"/>
      <c r="AJ471" s="647"/>
      <c r="AK471" s="647"/>
      <c r="AL471" s="647"/>
    </row>
    <row r="472" spans="1:56" s="654" customFormat="1" ht="15.75" hidden="1" x14ac:dyDescent="0.25">
      <c r="A472" s="653"/>
      <c r="D472" s="655" t="s">
        <v>412</v>
      </c>
      <c r="E472" s="656" t="s">
        <v>10</v>
      </c>
      <c r="F472" s="656" t="s">
        <v>428</v>
      </c>
      <c r="G472" s="656" t="str">
        <f>G448</f>
        <v>Cost in 2008 dollars</v>
      </c>
      <c r="H472" s="654" t="s">
        <v>583</v>
      </c>
      <c r="I472" s="654" t="s">
        <v>584</v>
      </c>
      <c r="J472" s="654" t="s">
        <v>585</v>
      </c>
      <c r="K472" s="654" t="s">
        <v>586</v>
      </c>
      <c r="L472" s="654" t="s">
        <v>413</v>
      </c>
      <c r="M472" s="654" t="s">
        <v>414</v>
      </c>
      <c r="N472" s="654" t="s">
        <v>592</v>
      </c>
      <c r="O472" s="654" t="s">
        <v>587</v>
      </c>
      <c r="P472" s="654" t="s">
        <v>588</v>
      </c>
      <c r="Q472" s="654" t="s">
        <v>589</v>
      </c>
      <c r="R472" s="654" t="s">
        <v>590</v>
      </c>
      <c r="S472" s="654" t="s">
        <v>591</v>
      </c>
      <c r="T472" s="654" t="s">
        <v>593</v>
      </c>
      <c r="U472" s="654" t="s">
        <v>594</v>
      </c>
      <c r="V472" s="654" t="s">
        <v>595</v>
      </c>
      <c r="W472" s="654" t="s">
        <v>596</v>
      </c>
      <c r="X472" s="654" t="s">
        <v>597</v>
      </c>
      <c r="Y472" s="654" t="s">
        <v>598</v>
      </c>
      <c r="AA472" s="657"/>
      <c r="AB472" s="657"/>
      <c r="AC472" s="657"/>
      <c r="AD472" s="657"/>
      <c r="AE472" s="657"/>
      <c r="AF472" s="657"/>
      <c r="AG472" s="657"/>
      <c r="AH472" s="657"/>
      <c r="AI472" s="657"/>
      <c r="AJ472" s="657"/>
      <c r="AK472" s="657"/>
      <c r="AL472" s="657"/>
    </row>
    <row r="473" spans="1:56" s="619" customFormat="1" ht="15.75" hidden="1" x14ac:dyDescent="0.25">
      <c r="A473" s="644"/>
      <c r="C473" s="233" t="s">
        <v>440</v>
      </c>
      <c r="D473" s="648">
        <v>335911</v>
      </c>
      <c r="E473" s="636" t="s">
        <v>240</v>
      </c>
      <c r="F473" s="649">
        <f>J131</f>
        <v>0</v>
      </c>
      <c r="G473" s="649">
        <f>F473*$C$593</f>
        <v>0</v>
      </c>
      <c r="H473" s="639" t="e">
        <f>$G473*INDEX(tier_emp_mult, MATCH($D473, tier_emp_code,0), MATCH(State, R_emp, 0))/1000000</f>
        <v>#N/A</v>
      </c>
      <c r="I473" s="639" t="e">
        <f>$G473*INDEX(typeI_emp_mult, MATCH($D473, typeI_emp_code,0), MATCH(State, R_emp, 0))/1000000</f>
        <v>#N/A</v>
      </c>
      <c r="J473" s="639" t="e">
        <f>$G473*INDEX(typeII_emp_mult, MATCH($D473, typeII_emp_code,0), MATCH(State, R_emp, 0))/1000000</f>
        <v>#N/A</v>
      </c>
      <c r="K473" s="639" t="e">
        <f>H473</f>
        <v>#N/A</v>
      </c>
      <c r="L473" s="639" t="e">
        <f>I473-H473</f>
        <v>#N/A</v>
      </c>
      <c r="M473" s="639" t="e">
        <f>J473-I473</f>
        <v>#N/A</v>
      </c>
      <c r="N473" s="622" t="e">
        <f>$G473*INDEX(tier_earn_mult, MATCH($D473, tier_earn_code,0), MATCH(State, R_earn, 0))</f>
        <v>#N/A</v>
      </c>
      <c r="O473" s="622" t="e">
        <f>$G473*INDEX(typeI_earn_mult, MATCH($D473, typeI_earn_code,0), MATCH(State, R_earn, 0))</f>
        <v>#N/A</v>
      </c>
      <c r="P473" s="622" t="e">
        <f>$G473*INDEX(typeII_earn_mult, MATCH($D473, typeII_earn_code,0), MATCH(State, R_earn, 0))</f>
        <v>#N/A</v>
      </c>
      <c r="Q473" s="624" t="e">
        <f>N473</f>
        <v>#N/A</v>
      </c>
      <c r="R473" s="624" t="e">
        <f>O473-N473</f>
        <v>#N/A</v>
      </c>
      <c r="S473" s="624" t="e">
        <f>P473-O473</f>
        <v>#N/A</v>
      </c>
      <c r="T473" s="622" t="e">
        <f>$G473*INDEX(tier_out_mult, MATCH($D473, tier_out_code,0), MATCH(State, R_out, 0))</f>
        <v>#N/A</v>
      </c>
      <c r="U473" s="622" t="e">
        <f>$G473*INDEX(typeI_out_mult, MATCH($D473, typeI_out_code,0), MATCH(State, R_out, 0))</f>
        <v>#N/A</v>
      </c>
      <c r="V473" s="622" t="e">
        <f>$G473*INDEX(typeII_out_mult, MATCH($D473, typeII_out_code,0), MATCH(State, R_out, 0))</f>
        <v>#N/A</v>
      </c>
      <c r="W473" s="624" t="e">
        <f>T473</f>
        <v>#N/A</v>
      </c>
      <c r="X473" s="624" t="e">
        <f>U473-T473</f>
        <v>#N/A</v>
      </c>
      <c r="Y473" s="624" t="e">
        <f>V473-U473</f>
        <v>#N/A</v>
      </c>
      <c r="Z473" s="624"/>
      <c r="AA473" s="647"/>
      <c r="AB473" s="647"/>
      <c r="AC473" s="647"/>
      <c r="AD473" s="647"/>
      <c r="AE473" s="647"/>
      <c r="AF473" s="647"/>
      <c r="AG473" s="647"/>
      <c r="AH473" s="647"/>
      <c r="AI473" s="647"/>
      <c r="AJ473" s="647"/>
      <c r="AK473" s="647"/>
      <c r="AL473" s="647"/>
    </row>
    <row r="474" spans="1:56" s="619" customFormat="1" ht="15.75" hidden="1" x14ac:dyDescent="0.25">
      <c r="A474" s="644"/>
      <c r="C474" s="233" t="s">
        <v>441</v>
      </c>
      <c r="D474" s="648">
        <v>335911</v>
      </c>
      <c r="E474" s="636" t="s">
        <v>240</v>
      </c>
      <c r="F474" s="649">
        <f>J134</f>
        <v>0</v>
      </c>
      <c r="G474" s="649">
        <f>F474*$C$593</f>
        <v>0</v>
      </c>
      <c r="H474" s="639" t="e">
        <f>$G474*INDEX(tier_emp_mult, MATCH($D474, tier_emp_code,0), MATCH(State, R_emp, 0))/1000000</f>
        <v>#N/A</v>
      </c>
      <c r="I474" s="639" t="e">
        <f>$G474*INDEX(typeI_emp_mult, MATCH($D474, typeI_emp_code,0), MATCH(State, R_emp, 0))/1000000</f>
        <v>#N/A</v>
      </c>
      <c r="J474" s="639" t="e">
        <f>$G474*INDEX(typeII_emp_mult, MATCH($D474, typeII_emp_code,0), MATCH(State, R_emp, 0))/1000000</f>
        <v>#N/A</v>
      </c>
      <c r="K474" s="639" t="e">
        <f>H474</f>
        <v>#N/A</v>
      </c>
      <c r="L474" s="639" t="e">
        <f>I474-H474</f>
        <v>#N/A</v>
      </c>
      <c r="M474" s="639" t="e">
        <f>J474-I474</f>
        <v>#N/A</v>
      </c>
      <c r="N474" s="622" t="e">
        <f>$G474*INDEX(tier_earn_mult, MATCH($D474, tier_earn_code,0), MATCH(State, R_earn, 0))</f>
        <v>#N/A</v>
      </c>
      <c r="O474" s="622" t="e">
        <f>$G474*INDEX(typeI_earn_mult, MATCH($D474, typeI_earn_code,0), MATCH(State, R_earn, 0))</f>
        <v>#N/A</v>
      </c>
      <c r="P474" s="622" t="e">
        <f>$G474*INDEX(typeII_earn_mult, MATCH($D474, typeII_earn_code,0), MATCH(State, R_earn, 0))</f>
        <v>#N/A</v>
      </c>
      <c r="Q474" s="624" t="e">
        <f>N474</f>
        <v>#N/A</v>
      </c>
      <c r="R474" s="624" t="e">
        <f>O474-N474</f>
        <v>#N/A</v>
      </c>
      <c r="S474" s="624" t="e">
        <f>P474-O474</f>
        <v>#N/A</v>
      </c>
      <c r="T474" s="622" t="e">
        <f>$G474*INDEX(tier_out_mult, MATCH($D474, tier_out_code,0), MATCH(State, R_out, 0))</f>
        <v>#N/A</v>
      </c>
      <c r="U474" s="622" t="e">
        <f>$G474*INDEX(typeI_out_mult, MATCH($D474, typeI_out_code,0), MATCH(State, R_out, 0))</f>
        <v>#N/A</v>
      </c>
      <c r="V474" s="622" t="e">
        <f>$G474*INDEX(typeII_out_mult, MATCH($D474, typeII_out_code,0), MATCH(State, R_out, 0))</f>
        <v>#N/A</v>
      </c>
      <c r="W474" s="624" t="e">
        <f>T474</f>
        <v>#N/A</v>
      </c>
      <c r="X474" s="624" t="e">
        <f>U474-T474</f>
        <v>#N/A</v>
      </c>
      <c r="Y474" s="624" t="e">
        <f>V474-U474</f>
        <v>#N/A</v>
      </c>
      <c r="AA474" s="647"/>
      <c r="AB474" s="647"/>
      <c r="AC474" s="647"/>
      <c r="AD474" s="647"/>
      <c r="AE474" s="647"/>
      <c r="AF474" s="647"/>
      <c r="AG474" s="647"/>
      <c r="AH474" s="647"/>
      <c r="AI474" s="647"/>
      <c r="AJ474" s="647"/>
      <c r="AK474" s="647"/>
      <c r="AL474" s="647"/>
    </row>
    <row r="475" spans="1:56" s="619" customFormat="1" ht="15.75" hidden="1" x14ac:dyDescent="0.25">
      <c r="A475" s="644"/>
      <c r="C475" s="233"/>
      <c r="D475" s="648"/>
      <c r="E475" s="636"/>
      <c r="F475" s="649"/>
      <c r="G475" s="649"/>
      <c r="H475" s="639"/>
      <c r="I475" s="639"/>
      <c r="J475" s="639"/>
      <c r="K475" s="639"/>
      <c r="L475" s="639"/>
      <c r="M475" s="639"/>
      <c r="N475" s="622"/>
      <c r="O475" s="622"/>
      <c r="P475" s="622"/>
      <c r="Q475" s="624"/>
      <c r="R475" s="624"/>
      <c r="S475" s="624"/>
      <c r="T475" s="622"/>
      <c r="U475" s="622"/>
      <c r="V475" s="622"/>
      <c r="W475" s="624"/>
      <c r="X475" s="624"/>
      <c r="Y475" s="624"/>
      <c r="AA475" s="647"/>
      <c r="AB475" s="647"/>
      <c r="AC475" s="647"/>
      <c r="AD475" s="647"/>
      <c r="AE475" s="647"/>
      <c r="AF475" s="647"/>
      <c r="AG475" s="647"/>
      <c r="AH475" s="647"/>
      <c r="AI475" s="647"/>
      <c r="AJ475" s="647"/>
      <c r="AK475" s="647"/>
      <c r="AL475" s="647"/>
    </row>
    <row r="476" spans="1:56" s="619" customFormat="1" ht="15.75" hidden="1" x14ac:dyDescent="0.25">
      <c r="A476" s="644"/>
      <c r="D476" s="645" t="s">
        <v>436</v>
      </c>
      <c r="E476" s="646"/>
      <c r="F476" s="646"/>
      <c r="G476" s="646"/>
      <c r="H476" s="639"/>
      <c r="I476" s="639"/>
      <c r="J476" s="639"/>
      <c r="K476" s="639"/>
      <c r="L476" s="639"/>
      <c r="M476" s="639"/>
      <c r="AA476" s="647"/>
      <c r="AB476" s="647"/>
      <c r="AC476" s="647"/>
      <c r="AD476" s="647"/>
      <c r="AE476" s="647"/>
      <c r="AF476" s="647"/>
      <c r="AG476" s="647"/>
      <c r="AH476" s="647"/>
      <c r="AI476" s="647"/>
      <c r="AJ476" s="647"/>
      <c r="AK476" s="647"/>
      <c r="AL476" s="647"/>
    </row>
    <row r="477" spans="1:56" s="619" customFormat="1" ht="15.75" hidden="1" x14ac:dyDescent="0.25">
      <c r="A477" s="644"/>
      <c r="D477" s="650"/>
      <c r="E477" s="651">
        <v>2015</v>
      </c>
      <c r="F477" s="652">
        <f t="shared" ref="F477:Y477" si="378">($F575*$J$126*F$473)+(exp_2015*$J$127*F$473)+($F585*$J$126*F$474)+(exp_2015_c3*$J$127*F$474)</f>
        <v>0</v>
      </c>
      <c r="G477" s="652">
        <f t="shared" si="378"/>
        <v>0</v>
      </c>
      <c r="H477" s="673" t="e">
        <f t="shared" si="378"/>
        <v>#N/A</v>
      </c>
      <c r="I477" s="673" t="e">
        <f t="shared" si="378"/>
        <v>#N/A</v>
      </c>
      <c r="J477" s="673" t="e">
        <f t="shared" si="378"/>
        <v>#N/A</v>
      </c>
      <c r="K477" s="673" t="e">
        <f t="shared" si="378"/>
        <v>#N/A</v>
      </c>
      <c r="L477" s="673" t="e">
        <f t="shared" si="378"/>
        <v>#N/A</v>
      </c>
      <c r="M477" s="673" t="e">
        <f t="shared" si="378"/>
        <v>#N/A</v>
      </c>
      <c r="N477" s="652" t="e">
        <f t="shared" si="378"/>
        <v>#N/A</v>
      </c>
      <c r="O477" s="652" t="e">
        <f t="shared" si="378"/>
        <v>#N/A</v>
      </c>
      <c r="P477" s="652" t="e">
        <f t="shared" si="378"/>
        <v>#N/A</v>
      </c>
      <c r="Q477" s="652" t="e">
        <f t="shared" si="378"/>
        <v>#N/A</v>
      </c>
      <c r="R477" s="652" t="e">
        <f t="shared" si="378"/>
        <v>#N/A</v>
      </c>
      <c r="S477" s="652" t="e">
        <f t="shared" si="378"/>
        <v>#N/A</v>
      </c>
      <c r="T477" s="652" t="e">
        <f t="shared" si="378"/>
        <v>#N/A</v>
      </c>
      <c r="U477" s="652" t="e">
        <f t="shared" si="378"/>
        <v>#N/A</v>
      </c>
      <c r="V477" s="652" t="e">
        <f t="shared" si="378"/>
        <v>#N/A</v>
      </c>
      <c r="W477" s="652" t="e">
        <f t="shared" si="378"/>
        <v>#N/A</v>
      </c>
      <c r="X477" s="652" t="e">
        <f t="shared" si="378"/>
        <v>#N/A</v>
      </c>
      <c r="Y477" s="652" t="e">
        <f t="shared" si="378"/>
        <v>#N/A</v>
      </c>
      <c r="AA477" s="647"/>
      <c r="AB477" s="647"/>
      <c r="AC477" s="647"/>
      <c r="AD477" s="647"/>
      <c r="AE477" s="647"/>
      <c r="AF477" s="647"/>
      <c r="AG477" s="647"/>
      <c r="AH477" s="647"/>
      <c r="AI477" s="647"/>
      <c r="AJ477" s="647"/>
      <c r="AK477" s="647"/>
      <c r="AL477" s="647"/>
    </row>
    <row r="478" spans="1:56" s="619" customFormat="1" ht="15.75" hidden="1" x14ac:dyDescent="0.25">
      <c r="A478" s="644"/>
      <c r="D478" s="650"/>
      <c r="E478" s="651">
        <v>2016</v>
      </c>
      <c r="F478" s="652">
        <f t="shared" ref="F478:Y478" si="379">($F576*$J$126*F$473)+(exp_2016*$J$127*F$473)+($F586*$J$126*F$474)+(exp_2016_c3*$J$127*F$474)</f>
        <v>0</v>
      </c>
      <c r="G478" s="652">
        <f t="shared" si="379"/>
        <v>0</v>
      </c>
      <c r="H478" s="673" t="e">
        <f t="shared" si="379"/>
        <v>#N/A</v>
      </c>
      <c r="I478" s="673" t="e">
        <f t="shared" si="379"/>
        <v>#N/A</v>
      </c>
      <c r="J478" s="673" t="e">
        <f t="shared" si="379"/>
        <v>#N/A</v>
      </c>
      <c r="K478" s="673" t="e">
        <f t="shared" si="379"/>
        <v>#N/A</v>
      </c>
      <c r="L478" s="673" t="e">
        <f t="shared" si="379"/>
        <v>#N/A</v>
      </c>
      <c r="M478" s="673" t="e">
        <f t="shared" si="379"/>
        <v>#N/A</v>
      </c>
      <c r="N478" s="652" t="e">
        <f t="shared" si="379"/>
        <v>#N/A</v>
      </c>
      <c r="O478" s="652" t="e">
        <f t="shared" si="379"/>
        <v>#N/A</v>
      </c>
      <c r="P478" s="652" t="e">
        <f t="shared" si="379"/>
        <v>#N/A</v>
      </c>
      <c r="Q478" s="652" t="e">
        <f t="shared" si="379"/>
        <v>#N/A</v>
      </c>
      <c r="R478" s="652" t="e">
        <f t="shared" si="379"/>
        <v>#N/A</v>
      </c>
      <c r="S478" s="652" t="e">
        <f t="shared" si="379"/>
        <v>#N/A</v>
      </c>
      <c r="T478" s="652" t="e">
        <f t="shared" si="379"/>
        <v>#N/A</v>
      </c>
      <c r="U478" s="652" t="e">
        <f t="shared" si="379"/>
        <v>#N/A</v>
      </c>
      <c r="V478" s="652" t="e">
        <f t="shared" si="379"/>
        <v>#N/A</v>
      </c>
      <c r="W478" s="652" t="e">
        <f t="shared" si="379"/>
        <v>#N/A</v>
      </c>
      <c r="X478" s="652" t="e">
        <f t="shared" si="379"/>
        <v>#N/A</v>
      </c>
      <c r="Y478" s="652" t="e">
        <f t="shared" si="379"/>
        <v>#N/A</v>
      </c>
      <c r="AA478" s="647"/>
      <c r="AB478" s="647"/>
      <c r="AC478" s="647"/>
      <c r="AD478" s="647"/>
      <c r="AE478" s="647"/>
      <c r="AF478" s="647"/>
      <c r="AG478" s="647"/>
      <c r="AH478" s="647"/>
      <c r="AI478" s="647"/>
      <c r="AJ478" s="647"/>
      <c r="AK478" s="647"/>
      <c r="AL478" s="647"/>
    </row>
    <row r="479" spans="1:56" s="619" customFormat="1" ht="15.75" hidden="1" x14ac:dyDescent="0.25">
      <c r="A479" s="644"/>
      <c r="D479" s="650"/>
      <c r="E479" s="651">
        <v>2017</v>
      </c>
      <c r="F479" s="652">
        <f t="shared" ref="F479:Y479" si="380">($F577*$J$126*F$473)+(exp_2017*$J$127*F$473)+($F587*$J$126*F$474)+(exp_2017_c3*$J$127*F$474)</f>
        <v>0</v>
      </c>
      <c r="G479" s="652">
        <f t="shared" si="380"/>
        <v>0</v>
      </c>
      <c r="H479" s="673" t="e">
        <f t="shared" si="380"/>
        <v>#N/A</v>
      </c>
      <c r="I479" s="673" t="e">
        <f t="shared" si="380"/>
        <v>#N/A</v>
      </c>
      <c r="J479" s="673" t="e">
        <f t="shared" si="380"/>
        <v>#N/A</v>
      </c>
      <c r="K479" s="673" t="e">
        <f t="shared" si="380"/>
        <v>#N/A</v>
      </c>
      <c r="L479" s="673" t="e">
        <f t="shared" si="380"/>
        <v>#N/A</v>
      </c>
      <c r="M479" s="673" t="e">
        <f t="shared" si="380"/>
        <v>#N/A</v>
      </c>
      <c r="N479" s="652" t="e">
        <f t="shared" si="380"/>
        <v>#N/A</v>
      </c>
      <c r="O479" s="652" t="e">
        <f t="shared" si="380"/>
        <v>#N/A</v>
      </c>
      <c r="P479" s="652" t="e">
        <f t="shared" si="380"/>
        <v>#N/A</v>
      </c>
      <c r="Q479" s="652" t="e">
        <f t="shared" si="380"/>
        <v>#N/A</v>
      </c>
      <c r="R479" s="652" t="e">
        <f t="shared" si="380"/>
        <v>#N/A</v>
      </c>
      <c r="S479" s="652" t="e">
        <f t="shared" si="380"/>
        <v>#N/A</v>
      </c>
      <c r="T479" s="652" t="e">
        <f t="shared" si="380"/>
        <v>#N/A</v>
      </c>
      <c r="U479" s="652" t="e">
        <f t="shared" si="380"/>
        <v>#N/A</v>
      </c>
      <c r="V479" s="652" t="e">
        <f t="shared" si="380"/>
        <v>#N/A</v>
      </c>
      <c r="W479" s="652" t="e">
        <f t="shared" si="380"/>
        <v>#N/A</v>
      </c>
      <c r="X479" s="652" t="e">
        <f t="shared" si="380"/>
        <v>#N/A</v>
      </c>
      <c r="Y479" s="652" t="e">
        <f t="shared" si="380"/>
        <v>#N/A</v>
      </c>
      <c r="AA479" s="647"/>
      <c r="AB479" s="647"/>
      <c r="AC479" s="647"/>
      <c r="AD479" s="647"/>
      <c r="AE479" s="647"/>
      <c r="AF479" s="647"/>
      <c r="AG479" s="647"/>
      <c r="AH479" s="647"/>
      <c r="AI479" s="647"/>
      <c r="AJ479" s="647"/>
      <c r="AK479" s="647"/>
      <c r="AL479" s="647"/>
    </row>
    <row r="480" spans="1:56" s="619" customFormat="1" ht="15.75" hidden="1" x14ac:dyDescent="0.25">
      <c r="A480" s="644"/>
      <c r="D480" s="650"/>
      <c r="E480" s="651">
        <v>2018</v>
      </c>
      <c r="F480" s="652">
        <f t="shared" ref="F480:Y480" si="381">($F578*$J$126*F$473)+(exp_2018*$J$127*F$473)+($F588*$J$126*F$474)+(exp_2018_c3*$J$127*F$474)</f>
        <v>0</v>
      </c>
      <c r="G480" s="652">
        <f t="shared" si="381"/>
        <v>0</v>
      </c>
      <c r="H480" s="673" t="e">
        <f t="shared" si="381"/>
        <v>#N/A</v>
      </c>
      <c r="I480" s="673" t="e">
        <f t="shared" si="381"/>
        <v>#N/A</v>
      </c>
      <c r="J480" s="673" t="e">
        <f t="shared" si="381"/>
        <v>#N/A</v>
      </c>
      <c r="K480" s="673" t="e">
        <f t="shared" si="381"/>
        <v>#N/A</v>
      </c>
      <c r="L480" s="673" t="e">
        <f t="shared" si="381"/>
        <v>#N/A</v>
      </c>
      <c r="M480" s="673" t="e">
        <f t="shared" si="381"/>
        <v>#N/A</v>
      </c>
      <c r="N480" s="652" t="e">
        <f t="shared" si="381"/>
        <v>#N/A</v>
      </c>
      <c r="O480" s="652" t="e">
        <f t="shared" si="381"/>
        <v>#N/A</v>
      </c>
      <c r="P480" s="652" t="e">
        <f t="shared" si="381"/>
        <v>#N/A</v>
      </c>
      <c r="Q480" s="652" t="e">
        <f t="shared" si="381"/>
        <v>#N/A</v>
      </c>
      <c r="R480" s="652" t="e">
        <f t="shared" si="381"/>
        <v>#N/A</v>
      </c>
      <c r="S480" s="652" t="e">
        <f t="shared" si="381"/>
        <v>#N/A</v>
      </c>
      <c r="T480" s="652" t="e">
        <f t="shared" si="381"/>
        <v>#N/A</v>
      </c>
      <c r="U480" s="652" t="e">
        <f t="shared" si="381"/>
        <v>#N/A</v>
      </c>
      <c r="V480" s="652" t="e">
        <f t="shared" si="381"/>
        <v>#N/A</v>
      </c>
      <c r="W480" s="652" t="e">
        <f t="shared" si="381"/>
        <v>#N/A</v>
      </c>
      <c r="X480" s="652" t="e">
        <f t="shared" si="381"/>
        <v>#N/A</v>
      </c>
      <c r="Y480" s="652" t="e">
        <f t="shared" si="381"/>
        <v>#N/A</v>
      </c>
      <c r="AA480" s="647"/>
      <c r="AB480" s="647"/>
      <c r="AC480" s="647"/>
      <c r="AD480" s="647"/>
      <c r="AE480" s="647"/>
      <c r="AF480" s="647"/>
      <c r="AG480" s="647"/>
      <c r="AH480" s="647"/>
      <c r="AI480" s="647"/>
      <c r="AJ480" s="647"/>
      <c r="AK480" s="647"/>
      <c r="AL480" s="647"/>
    </row>
    <row r="481" spans="1:38" s="619" customFormat="1" ht="15.75" hidden="1" x14ac:dyDescent="0.25">
      <c r="A481" s="644"/>
      <c r="D481" s="650"/>
      <c r="E481" s="651">
        <v>2019</v>
      </c>
      <c r="F481" s="652">
        <f t="shared" ref="F481:Y481" si="382">($F579*$J$126*F$473)+(exp_2019*$J$127*F$473)+($F589*$J$126*F$474)+(exp_2019_c3*$J$127*F$474)</f>
        <v>0</v>
      </c>
      <c r="G481" s="652">
        <f t="shared" si="382"/>
        <v>0</v>
      </c>
      <c r="H481" s="673" t="e">
        <f t="shared" si="382"/>
        <v>#N/A</v>
      </c>
      <c r="I481" s="673" t="e">
        <f t="shared" si="382"/>
        <v>#N/A</v>
      </c>
      <c r="J481" s="673" t="e">
        <f t="shared" si="382"/>
        <v>#N/A</v>
      </c>
      <c r="K481" s="673" t="e">
        <f t="shared" si="382"/>
        <v>#N/A</v>
      </c>
      <c r="L481" s="673" t="e">
        <f t="shared" si="382"/>
        <v>#N/A</v>
      </c>
      <c r="M481" s="673" t="e">
        <f t="shared" si="382"/>
        <v>#N/A</v>
      </c>
      <c r="N481" s="652" t="e">
        <f t="shared" si="382"/>
        <v>#N/A</v>
      </c>
      <c r="O481" s="652" t="e">
        <f t="shared" si="382"/>
        <v>#N/A</v>
      </c>
      <c r="P481" s="652" t="e">
        <f t="shared" si="382"/>
        <v>#N/A</v>
      </c>
      <c r="Q481" s="652" t="e">
        <f t="shared" si="382"/>
        <v>#N/A</v>
      </c>
      <c r="R481" s="652" t="e">
        <f t="shared" si="382"/>
        <v>#N/A</v>
      </c>
      <c r="S481" s="652" t="e">
        <f t="shared" si="382"/>
        <v>#N/A</v>
      </c>
      <c r="T481" s="652" t="e">
        <f t="shared" si="382"/>
        <v>#N/A</v>
      </c>
      <c r="U481" s="652" t="e">
        <f t="shared" si="382"/>
        <v>#N/A</v>
      </c>
      <c r="V481" s="652" t="e">
        <f t="shared" si="382"/>
        <v>#N/A</v>
      </c>
      <c r="W481" s="652" t="e">
        <f t="shared" si="382"/>
        <v>#N/A</v>
      </c>
      <c r="X481" s="652" t="e">
        <f t="shared" si="382"/>
        <v>#N/A</v>
      </c>
      <c r="Y481" s="652" t="e">
        <f t="shared" si="382"/>
        <v>#N/A</v>
      </c>
      <c r="AA481" s="647"/>
      <c r="AB481" s="647"/>
      <c r="AC481" s="647"/>
      <c r="AD481" s="647"/>
      <c r="AE481" s="647"/>
      <c r="AF481" s="647"/>
      <c r="AG481" s="647"/>
      <c r="AH481" s="647"/>
      <c r="AI481" s="647"/>
      <c r="AJ481" s="647"/>
      <c r="AK481" s="647"/>
      <c r="AL481" s="647"/>
    </row>
    <row r="482" spans="1:38" s="619" customFormat="1" ht="15.75" hidden="1" x14ac:dyDescent="0.25">
      <c r="A482" s="644"/>
      <c r="D482" s="650"/>
      <c r="E482" s="651">
        <v>2020</v>
      </c>
      <c r="F482" s="652">
        <f t="shared" ref="F482:Y482" si="383">($F580*$J$126*F$473)+(exp_2020*$J$127*F$473)+($F590*$J$126*F$474)+(exp_2020_c3*$J$127*F$474)</f>
        <v>0</v>
      </c>
      <c r="G482" s="652">
        <f t="shared" si="383"/>
        <v>0</v>
      </c>
      <c r="H482" s="673" t="e">
        <f t="shared" si="383"/>
        <v>#N/A</v>
      </c>
      <c r="I482" s="673" t="e">
        <f t="shared" si="383"/>
        <v>#N/A</v>
      </c>
      <c r="J482" s="673" t="e">
        <f t="shared" si="383"/>
        <v>#N/A</v>
      </c>
      <c r="K482" s="673" t="e">
        <f t="shared" si="383"/>
        <v>#N/A</v>
      </c>
      <c r="L482" s="673" t="e">
        <f t="shared" si="383"/>
        <v>#N/A</v>
      </c>
      <c r="M482" s="673" t="e">
        <f t="shared" si="383"/>
        <v>#N/A</v>
      </c>
      <c r="N482" s="652" t="e">
        <f t="shared" si="383"/>
        <v>#N/A</v>
      </c>
      <c r="O482" s="652" t="e">
        <f t="shared" si="383"/>
        <v>#N/A</v>
      </c>
      <c r="P482" s="652" t="e">
        <f t="shared" si="383"/>
        <v>#N/A</v>
      </c>
      <c r="Q482" s="652" t="e">
        <f t="shared" si="383"/>
        <v>#N/A</v>
      </c>
      <c r="R482" s="652" t="e">
        <f t="shared" si="383"/>
        <v>#N/A</v>
      </c>
      <c r="S482" s="652" t="e">
        <f t="shared" si="383"/>
        <v>#N/A</v>
      </c>
      <c r="T482" s="652" t="e">
        <f t="shared" si="383"/>
        <v>#N/A</v>
      </c>
      <c r="U482" s="652" t="e">
        <f t="shared" si="383"/>
        <v>#N/A</v>
      </c>
      <c r="V482" s="652" t="e">
        <f t="shared" si="383"/>
        <v>#N/A</v>
      </c>
      <c r="W482" s="652" t="e">
        <f t="shared" si="383"/>
        <v>#N/A</v>
      </c>
      <c r="X482" s="652" t="e">
        <f t="shared" si="383"/>
        <v>#N/A</v>
      </c>
      <c r="Y482" s="652" t="e">
        <f t="shared" si="383"/>
        <v>#N/A</v>
      </c>
      <c r="AA482" s="647"/>
      <c r="AB482" s="647"/>
      <c r="AC482" s="647"/>
      <c r="AD482" s="647"/>
      <c r="AE482" s="647"/>
      <c r="AF482" s="647"/>
      <c r="AG482" s="647"/>
      <c r="AH482" s="647"/>
      <c r="AI482" s="647"/>
      <c r="AJ482" s="647"/>
      <c r="AK482" s="647"/>
      <c r="AL482" s="647"/>
    </row>
    <row r="483" spans="1:38" s="619" customFormat="1" ht="15.75" hidden="1" x14ac:dyDescent="0.25">
      <c r="A483" s="644"/>
      <c r="B483" s="527" t="s">
        <v>1570</v>
      </c>
      <c r="D483" s="658" t="s">
        <v>1907</v>
      </c>
      <c r="E483" s="651"/>
      <c r="F483" s="652"/>
      <c r="G483" s="652"/>
      <c r="H483" s="673"/>
      <c r="I483" s="673"/>
      <c r="J483" s="673"/>
      <c r="K483" s="673"/>
      <c r="L483" s="673"/>
      <c r="M483" s="673"/>
      <c r="N483" s="652"/>
      <c r="O483" s="652"/>
      <c r="P483" s="652"/>
      <c r="Q483" s="652"/>
      <c r="R483" s="652"/>
      <c r="S483" s="652"/>
      <c r="T483" s="652"/>
      <c r="U483" s="652"/>
      <c r="V483" s="652"/>
      <c r="W483" s="652"/>
      <c r="X483" s="652"/>
      <c r="Y483" s="652"/>
      <c r="AA483" s="647"/>
      <c r="AB483" s="647"/>
      <c r="AC483" s="647"/>
      <c r="AD483" s="647"/>
      <c r="AE483" s="647"/>
      <c r="AF483" s="647"/>
      <c r="AG483" s="647"/>
      <c r="AH483" s="647"/>
      <c r="AI483" s="647"/>
      <c r="AJ483" s="647"/>
      <c r="AK483" s="647"/>
      <c r="AL483" s="647"/>
    </row>
    <row r="484" spans="1:38" s="619" customFormat="1" ht="15.75" hidden="1" x14ac:dyDescent="0.25">
      <c r="A484" s="644"/>
      <c r="D484" s="655" t="s">
        <v>412</v>
      </c>
      <c r="E484" s="656" t="s">
        <v>10</v>
      </c>
      <c r="F484" s="656" t="s">
        <v>428</v>
      </c>
      <c r="G484" s="656" t="str">
        <f>G460</f>
        <v>Cost in 2008 dollars</v>
      </c>
      <c r="H484" s="654" t="s">
        <v>583</v>
      </c>
      <c r="I484" s="654" t="s">
        <v>584</v>
      </c>
      <c r="J484" s="654" t="s">
        <v>585</v>
      </c>
      <c r="K484" s="654" t="s">
        <v>586</v>
      </c>
      <c r="L484" s="654" t="s">
        <v>413</v>
      </c>
      <c r="M484" s="654" t="s">
        <v>414</v>
      </c>
      <c r="N484" s="654" t="s">
        <v>592</v>
      </c>
      <c r="O484" s="654" t="s">
        <v>587</v>
      </c>
      <c r="P484" s="654" t="s">
        <v>588</v>
      </c>
      <c r="Q484" s="654" t="s">
        <v>589</v>
      </c>
      <c r="R484" s="654" t="s">
        <v>590</v>
      </c>
      <c r="S484" s="654" t="s">
        <v>591</v>
      </c>
      <c r="T484" s="654" t="s">
        <v>593</v>
      </c>
      <c r="U484" s="654" t="s">
        <v>594</v>
      </c>
      <c r="V484" s="654" t="s">
        <v>595</v>
      </c>
      <c r="W484" s="654" t="s">
        <v>596</v>
      </c>
      <c r="X484" s="654" t="s">
        <v>597</v>
      </c>
      <c r="Y484" s="654" t="s">
        <v>598</v>
      </c>
      <c r="AA484" s="647"/>
      <c r="AB484" s="647"/>
      <c r="AC484" s="647"/>
      <c r="AD484" s="647"/>
      <c r="AE484" s="647"/>
      <c r="AF484" s="647"/>
      <c r="AG484" s="647"/>
      <c r="AH484" s="647"/>
      <c r="AI484" s="647"/>
      <c r="AJ484" s="647"/>
      <c r="AK484" s="647"/>
      <c r="AL484" s="647"/>
    </row>
    <row r="485" spans="1:38" s="619" customFormat="1" ht="15.75" hidden="1" x14ac:dyDescent="0.25">
      <c r="A485" s="644"/>
      <c r="C485" s="233" t="s">
        <v>440</v>
      </c>
      <c r="D485" s="650">
        <v>484000</v>
      </c>
      <c r="E485" s="651" t="s">
        <v>755</v>
      </c>
      <c r="F485" s="649">
        <f>J130*J136</f>
        <v>0</v>
      </c>
      <c r="G485" s="649">
        <f>F485*$C$593</f>
        <v>0</v>
      </c>
      <c r="H485" s="639" t="e">
        <f>$G485*INDEX(tier_emp_mult, MATCH($D485, tier_emp_code,0), MATCH(State, R_emp, 0))/1000000</f>
        <v>#N/A</v>
      </c>
      <c r="I485" s="639" t="e">
        <f>$G485*INDEX(typeI_emp_mult, MATCH($D485, typeI_emp_code,0), MATCH(State, R_emp, 0))/1000000</f>
        <v>#N/A</v>
      </c>
      <c r="J485" s="639" t="e">
        <f>$G485*INDEX(typeII_emp_mult, MATCH($D485, typeII_emp_code,0), MATCH(State, R_emp, 0))/1000000</f>
        <v>#N/A</v>
      </c>
      <c r="K485" s="639" t="e">
        <f>H485</f>
        <v>#N/A</v>
      </c>
      <c r="L485" s="639" t="e">
        <f>I485-H485</f>
        <v>#N/A</v>
      </c>
      <c r="M485" s="639" t="e">
        <f>J485-I485</f>
        <v>#N/A</v>
      </c>
      <c r="N485" s="622" t="e">
        <f>$G485*INDEX(tier_earn_mult, MATCH($D485, tier_earn_code,0), MATCH(State, R_earn, 0))</f>
        <v>#N/A</v>
      </c>
      <c r="O485" s="622" t="e">
        <f>$G485*INDEX(typeI_earn_mult, MATCH($D485, typeI_earn_code,0), MATCH(State, R_earn, 0))</f>
        <v>#N/A</v>
      </c>
      <c r="P485" s="622" t="e">
        <f>$G485*INDEX(typeII_earn_mult, MATCH($D485, typeII_earn_code,0), MATCH(State, R_earn, 0))</f>
        <v>#N/A</v>
      </c>
      <c r="Q485" s="624" t="e">
        <f>N485</f>
        <v>#N/A</v>
      </c>
      <c r="R485" s="624" t="e">
        <f>O485-N485</f>
        <v>#N/A</v>
      </c>
      <c r="S485" s="624" t="e">
        <f>P485-O485</f>
        <v>#N/A</v>
      </c>
      <c r="T485" s="622" t="e">
        <f>$G485*INDEX(tier_out_mult, MATCH($D485, tier_out_code,0), MATCH(State, R_out, 0))</f>
        <v>#N/A</v>
      </c>
      <c r="U485" s="622" t="e">
        <f>$G485*INDEX(typeI_out_mult, MATCH($D485, typeI_out_code,0), MATCH(State, R_out, 0))</f>
        <v>#N/A</v>
      </c>
      <c r="V485" s="622" t="e">
        <f>$G485*INDEX(typeII_out_mult, MATCH($D485, typeII_out_code,0), MATCH(State, R_out, 0))</f>
        <v>#N/A</v>
      </c>
      <c r="W485" s="624" t="e">
        <f>T485</f>
        <v>#N/A</v>
      </c>
      <c r="X485" s="624" t="e">
        <f>U485-T485</f>
        <v>#N/A</v>
      </c>
      <c r="Y485" s="624" t="e">
        <f>V485-U485</f>
        <v>#N/A</v>
      </c>
      <c r="AA485" s="647"/>
      <c r="AB485" s="647"/>
      <c r="AC485" s="647"/>
      <c r="AD485" s="647"/>
      <c r="AE485" s="647"/>
      <c r="AF485" s="647"/>
      <c r="AG485" s="647"/>
      <c r="AH485" s="647"/>
      <c r="AI485" s="647"/>
      <c r="AJ485" s="647"/>
      <c r="AK485" s="647"/>
      <c r="AL485" s="647"/>
    </row>
    <row r="486" spans="1:38" s="619" customFormat="1" ht="15.75" hidden="1" x14ac:dyDescent="0.25">
      <c r="A486" s="644"/>
      <c r="C486" s="233" t="s">
        <v>441</v>
      </c>
      <c r="D486" s="650">
        <v>484000</v>
      </c>
      <c r="E486" s="651" t="s">
        <v>755</v>
      </c>
      <c r="F486" s="649">
        <f>J133*J137</f>
        <v>0</v>
      </c>
      <c r="G486" s="649">
        <f>F486*$C$593</f>
        <v>0</v>
      </c>
      <c r="H486" s="639" t="e">
        <f>$G486*INDEX(tier_emp_mult, MATCH($D486, tier_emp_code,0), MATCH(State, R_emp, 0))/1000000</f>
        <v>#N/A</v>
      </c>
      <c r="I486" s="639" t="e">
        <f>$G486*INDEX(typeI_emp_mult, MATCH($D486, typeI_emp_code,0), MATCH(State, R_emp, 0))/1000000</f>
        <v>#N/A</v>
      </c>
      <c r="J486" s="639" t="e">
        <f>$G486*INDEX(typeII_emp_mult, MATCH($D486, typeII_emp_code,0), MATCH(State, R_emp, 0))/1000000</f>
        <v>#N/A</v>
      </c>
      <c r="K486" s="639" t="e">
        <f>H486</f>
        <v>#N/A</v>
      </c>
      <c r="L486" s="639" t="e">
        <f>I486-H486</f>
        <v>#N/A</v>
      </c>
      <c r="M486" s="639" t="e">
        <f>J486-I486</f>
        <v>#N/A</v>
      </c>
      <c r="N486" s="622" t="e">
        <f>$G486*INDEX(tier_earn_mult, MATCH($D486, tier_earn_code,0), MATCH(State, R_earn, 0))</f>
        <v>#N/A</v>
      </c>
      <c r="O486" s="622" t="e">
        <f>$G486*INDEX(typeI_earn_mult, MATCH($D486, typeI_earn_code,0), MATCH(State, R_earn, 0))</f>
        <v>#N/A</v>
      </c>
      <c r="P486" s="622" t="e">
        <f>$G486*INDEX(typeII_earn_mult, MATCH($D486, typeII_earn_code,0), MATCH(State, R_earn, 0))</f>
        <v>#N/A</v>
      </c>
      <c r="Q486" s="624" t="e">
        <f>N486</f>
        <v>#N/A</v>
      </c>
      <c r="R486" s="624" t="e">
        <f>O486-N486</f>
        <v>#N/A</v>
      </c>
      <c r="S486" s="624" t="e">
        <f>P486-O486</f>
        <v>#N/A</v>
      </c>
      <c r="T486" s="622" t="e">
        <f>$G486*INDEX(tier_out_mult, MATCH($D486, tier_out_code,0), MATCH(State, R_out, 0))</f>
        <v>#N/A</v>
      </c>
      <c r="U486" s="622" t="e">
        <f>$G486*INDEX(typeI_out_mult, MATCH($D486, typeI_out_code,0), MATCH(State, R_out, 0))</f>
        <v>#N/A</v>
      </c>
      <c r="V486" s="622" t="e">
        <f>$G486*INDEX(typeII_out_mult, MATCH($D486, typeII_out_code,0), MATCH(State, R_out, 0))</f>
        <v>#N/A</v>
      </c>
      <c r="W486" s="624" t="e">
        <f>T486</f>
        <v>#N/A</v>
      </c>
      <c r="X486" s="624" t="e">
        <f>U486-T486</f>
        <v>#N/A</v>
      </c>
      <c r="Y486" s="624" t="e">
        <f>V486-U486</f>
        <v>#N/A</v>
      </c>
      <c r="AA486" s="647"/>
      <c r="AB486" s="647"/>
      <c r="AC486" s="647"/>
      <c r="AD486" s="647"/>
      <c r="AE486" s="647"/>
      <c r="AF486" s="647"/>
      <c r="AG486" s="647"/>
      <c r="AH486" s="647"/>
      <c r="AI486" s="647"/>
      <c r="AJ486" s="647"/>
      <c r="AK486" s="647"/>
      <c r="AL486" s="647"/>
    </row>
    <row r="487" spans="1:38" s="619" customFormat="1" ht="15.75" hidden="1" x14ac:dyDescent="0.25">
      <c r="A487" s="644"/>
      <c r="D487" s="650"/>
      <c r="E487" s="651"/>
      <c r="F487" s="652"/>
      <c r="G487" s="652"/>
      <c r="H487" s="673"/>
      <c r="I487" s="673"/>
      <c r="J487" s="673"/>
      <c r="K487" s="673"/>
      <c r="L487" s="673"/>
      <c r="M487" s="673"/>
      <c r="N487" s="652"/>
      <c r="O487" s="652"/>
      <c r="P487" s="652"/>
      <c r="Q487" s="652"/>
      <c r="R487" s="652"/>
      <c r="S487" s="652"/>
      <c r="T487" s="652"/>
      <c r="U487" s="652"/>
      <c r="V487" s="652"/>
      <c r="W487" s="652"/>
      <c r="X487" s="652"/>
      <c r="Y487" s="652"/>
      <c r="AA487" s="647"/>
      <c r="AB487" s="647"/>
      <c r="AC487" s="647"/>
      <c r="AD487" s="647"/>
      <c r="AE487" s="647"/>
      <c r="AF487" s="647"/>
      <c r="AG487" s="647"/>
      <c r="AH487" s="647"/>
      <c r="AI487" s="647"/>
      <c r="AJ487" s="647"/>
      <c r="AK487" s="647"/>
      <c r="AL487" s="647"/>
    </row>
    <row r="488" spans="1:38" s="619" customFormat="1" ht="15.75" hidden="1" x14ac:dyDescent="0.25">
      <c r="A488" s="644"/>
      <c r="D488" s="650"/>
      <c r="E488" s="651">
        <v>2015</v>
      </c>
      <c r="F488" s="652">
        <f>($F575*$J$126*F$485*1)+($F575*(1-$J$126)*F$485*$D$616)+(exp_2015*$J$127*F$485*$D$615)+($F585*$J$126*F$486*1)+($F585*(1-$J$126)*F$486*$D$616)+(exp_2015_c3*$J$127*F$486*$D$615)</f>
        <v>0</v>
      </c>
      <c r="G488" s="652">
        <f t="shared" ref="G488:Y488" si="384">($F575*$J$126*G$485*1)+($F575*(1-$J$126)*G$485*$D$616)+(exp_2015*$J$127*G$485*$D$615)+($F585*$J$126*G$486*1)+($F585*(1-$J$126)*G$486*$D$616)+(exp_2015_c3*$J$127*G$486*$D$615)</f>
        <v>0</v>
      </c>
      <c r="H488" s="673" t="e">
        <f t="shared" si="384"/>
        <v>#N/A</v>
      </c>
      <c r="I488" s="673" t="e">
        <f t="shared" si="384"/>
        <v>#N/A</v>
      </c>
      <c r="J488" s="673" t="e">
        <f t="shared" si="384"/>
        <v>#N/A</v>
      </c>
      <c r="K488" s="673" t="e">
        <f t="shared" si="384"/>
        <v>#N/A</v>
      </c>
      <c r="L488" s="673" t="e">
        <f t="shared" si="384"/>
        <v>#N/A</v>
      </c>
      <c r="M488" s="673" t="e">
        <f t="shared" si="384"/>
        <v>#N/A</v>
      </c>
      <c r="N488" s="652" t="e">
        <f t="shared" si="384"/>
        <v>#N/A</v>
      </c>
      <c r="O488" s="652" t="e">
        <f t="shared" si="384"/>
        <v>#N/A</v>
      </c>
      <c r="P488" s="652" t="e">
        <f t="shared" si="384"/>
        <v>#N/A</v>
      </c>
      <c r="Q488" s="652" t="e">
        <f t="shared" si="384"/>
        <v>#N/A</v>
      </c>
      <c r="R488" s="652" t="e">
        <f t="shared" si="384"/>
        <v>#N/A</v>
      </c>
      <c r="S488" s="652" t="e">
        <f t="shared" si="384"/>
        <v>#N/A</v>
      </c>
      <c r="T488" s="652" t="e">
        <f t="shared" si="384"/>
        <v>#N/A</v>
      </c>
      <c r="U488" s="652" t="e">
        <f t="shared" si="384"/>
        <v>#N/A</v>
      </c>
      <c r="V488" s="652" t="e">
        <f t="shared" si="384"/>
        <v>#N/A</v>
      </c>
      <c r="W488" s="652" t="e">
        <f t="shared" si="384"/>
        <v>#N/A</v>
      </c>
      <c r="X488" s="652" t="e">
        <f t="shared" si="384"/>
        <v>#N/A</v>
      </c>
      <c r="Y488" s="652" t="e">
        <f t="shared" si="384"/>
        <v>#N/A</v>
      </c>
      <c r="AA488" s="647"/>
      <c r="AB488" s="647"/>
      <c r="AC488" s="647"/>
      <c r="AD488" s="647"/>
      <c r="AE488" s="647"/>
      <c r="AF488" s="647"/>
      <c r="AG488" s="647"/>
      <c r="AH488" s="647"/>
      <c r="AI488" s="647"/>
      <c r="AJ488" s="647"/>
      <c r="AK488" s="647"/>
      <c r="AL488" s="647"/>
    </row>
    <row r="489" spans="1:38" s="619" customFormat="1" ht="15.75" hidden="1" x14ac:dyDescent="0.25">
      <c r="A489" s="644"/>
      <c r="D489" s="650"/>
      <c r="E489" s="651">
        <v>2016</v>
      </c>
      <c r="F489" s="652">
        <f t="shared" ref="F489:Y489" si="385">($F576*$J$126*F$485*1)+($F576*(1-$J$126)*F$485*$D$616)+(exp_2016*$J$127*F$485*$D$615)+($F586*$J$126*F$486*1)+($F586*(1-$J$126)*F$486*$D$616)+(exp_2016_c3*$J$127*F$486*$D$615)</f>
        <v>0</v>
      </c>
      <c r="G489" s="652">
        <f t="shared" si="385"/>
        <v>0</v>
      </c>
      <c r="H489" s="673" t="e">
        <f t="shared" si="385"/>
        <v>#N/A</v>
      </c>
      <c r="I489" s="673" t="e">
        <f t="shared" si="385"/>
        <v>#N/A</v>
      </c>
      <c r="J489" s="673" t="e">
        <f t="shared" si="385"/>
        <v>#N/A</v>
      </c>
      <c r="K489" s="673" t="e">
        <f t="shared" si="385"/>
        <v>#N/A</v>
      </c>
      <c r="L489" s="673" t="e">
        <f t="shared" si="385"/>
        <v>#N/A</v>
      </c>
      <c r="M489" s="673" t="e">
        <f t="shared" si="385"/>
        <v>#N/A</v>
      </c>
      <c r="N489" s="652" t="e">
        <f t="shared" si="385"/>
        <v>#N/A</v>
      </c>
      <c r="O489" s="652" t="e">
        <f t="shared" si="385"/>
        <v>#N/A</v>
      </c>
      <c r="P489" s="652" t="e">
        <f t="shared" si="385"/>
        <v>#N/A</v>
      </c>
      <c r="Q489" s="652" t="e">
        <f t="shared" si="385"/>
        <v>#N/A</v>
      </c>
      <c r="R489" s="652" t="e">
        <f t="shared" si="385"/>
        <v>#N/A</v>
      </c>
      <c r="S489" s="652" t="e">
        <f t="shared" si="385"/>
        <v>#N/A</v>
      </c>
      <c r="T489" s="652" t="e">
        <f t="shared" si="385"/>
        <v>#N/A</v>
      </c>
      <c r="U489" s="652" t="e">
        <f t="shared" si="385"/>
        <v>#N/A</v>
      </c>
      <c r="V489" s="652" t="e">
        <f t="shared" si="385"/>
        <v>#N/A</v>
      </c>
      <c r="W489" s="652" t="e">
        <f t="shared" si="385"/>
        <v>#N/A</v>
      </c>
      <c r="X489" s="652" t="e">
        <f t="shared" si="385"/>
        <v>#N/A</v>
      </c>
      <c r="Y489" s="652" t="e">
        <f t="shared" si="385"/>
        <v>#N/A</v>
      </c>
      <c r="AA489" s="647"/>
      <c r="AB489" s="647"/>
      <c r="AC489" s="647"/>
      <c r="AD489" s="647"/>
      <c r="AE489" s="647"/>
      <c r="AF489" s="647"/>
      <c r="AG489" s="647"/>
      <c r="AH489" s="647"/>
      <c r="AI489" s="647"/>
      <c r="AJ489" s="647"/>
      <c r="AK489" s="647"/>
      <c r="AL489" s="647"/>
    </row>
    <row r="490" spans="1:38" s="619" customFormat="1" ht="15.75" hidden="1" x14ac:dyDescent="0.25">
      <c r="A490" s="644"/>
      <c r="D490" s="650"/>
      <c r="E490" s="651">
        <v>2017</v>
      </c>
      <c r="F490" s="652">
        <f t="shared" ref="F490:Y490" si="386">($F577*$J$126*F$485*1)+($F577*(1-$J$126)*F$485*$D$616)+(exp_2017*$J$127*F$485*$D$615)+($F587*$J$126*F$486*1)+($F587*(1-$J$126)*F$486*$D$616)+(exp_2017_c3*$J$127*F$486*$D$615)</f>
        <v>0</v>
      </c>
      <c r="G490" s="652">
        <f t="shared" si="386"/>
        <v>0</v>
      </c>
      <c r="H490" s="673" t="e">
        <f t="shared" si="386"/>
        <v>#N/A</v>
      </c>
      <c r="I490" s="673" t="e">
        <f t="shared" si="386"/>
        <v>#N/A</v>
      </c>
      <c r="J490" s="673" t="e">
        <f t="shared" si="386"/>
        <v>#N/A</v>
      </c>
      <c r="K490" s="673" t="e">
        <f t="shared" si="386"/>
        <v>#N/A</v>
      </c>
      <c r="L490" s="673" t="e">
        <f t="shared" si="386"/>
        <v>#N/A</v>
      </c>
      <c r="M490" s="673" t="e">
        <f t="shared" si="386"/>
        <v>#N/A</v>
      </c>
      <c r="N490" s="652" t="e">
        <f t="shared" si="386"/>
        <v>#N/A</v>
      </c>
      <c r="O490" s="652" t="e">
        <f t="shared" si="386"/>
        <v>#N/A</v>
      </c>
      <c r="P490" s="652" t="e">
        <f t="shared" si="386"/>
        <v>#N/A</v>
      </c>
      <c r="Q490" s="652" t="e">
        <f t="shared" si="386"/>
        <v>#N/A</v>
      </c>
      <c r="R490" s="652" t="e">
        <f t="shared" si="386"/>
        <v>#N/A</v>
      </c>
      <c r="S490" s="652" t="e">
        <f t="shared" si="386"/>
        <v>#N/A</v>
      </c>
      <c r="T490" s="652" t="e">
        <f t="shared" si="386"/>
        <v>#N/A</v>
      </c>
      <c r="U490" s="652" t="e">
        <f t="shared" si="386"/>
        <v>#N/A</v>
      </c>
      <c r="V490" s="652" t="e">
        <f t="shared" si="386"/>
        <v>#N/A</v>
      </c>
      <c r="W490" s="652" t="e">
        <f t="shared" si="386"/>
        <v>#N/A</v>
      </c>
      <c r="X490" s="652" t="e">
        <f t="shared" si="386"/>
        <v>#N/A</v>
      </c>
      <c r="Y490" s="652" t="e">
        <f t="shared" si="386"/>
        <v>#N/A</v>
      </c>
      <c r="AA490" s="647"/>
      <c r="AB490" s="647"/>
      <c r="AC490" s="647"/>
      <c r="AD490" s="647"/>
      <c r="AE490" s="647"/>
      <c r="AF490" s="647"/>
      <c r="AG490" s="647"/>
      <c r="AH490" s="647"/>
      <c r="AI490" s="647"/>
      <c r="AJ490" s="647"/>
      <c r="AK490" s="647"/>
      <c r="AL490" s="647"/>
    </row>
    <row r="491" spans="1:38" s="619" customFormat="1" ht="15.75" hidden="1" x14ac:dyDescent="0.25">
      <c r="A491" s="644"/>
      <c r="D491" s="650"/>
      <c r="E491" s="651">
        <v>2018</v>
      </c>
      <c r="F491" s="652">
        <f t="shared" ref="F491:Y491" si="387">($F578*$J$126*F$485*1)+($F578*(1-$J$126)*F$485*$D$616)+(exp_2018*$J$127*F$485*$D$615)+($F588*$J$126*F$486*1)+($F588*(1-$J$126)*F$486*$D$616)+(exp_2018_c3*$J$127*F$486*$D$615)</f>
        <v>0</v>
      </c>
      <c r="G491" s="652">
        <f t="shared" si="387"/>
        <v>0</v>
      </c>
      <c r="H491" s="673" t="e">
        <f t="shared" si="387"/>
        <v>#N/A</v>
      </c>
      <c r="I491" s="673" t="e">
        <f t="shared" si="387"/>
        <v>#N/A</v>
      </c>
      <c r="J491" s="673" t="e">
        <f t="shared" si="387"/>
        <v>#N/A</v>
      </c>
      <c r="K491" s="673" t="e">
        <f t="shared" si="387"/>
        <v>#N/A</v>
      </c>
      <c r="L491" s="673" t="e">
        <f t="shared" si="387"/>
        <v>#N/A</v>
      </c>
      <c r="M491" s="673" t="e">
        <f t="shared" si="387"/>
        <v>#N/A</v>
      </c>
      <c r="N491" s="652" t="e">
        <f t="shared" si="387"/>
        <v>#N/A</v>
      </c>
      <c r="O491" s="652" t="e">
        <f t="shared" si="387"/>
        <v>#N/A</v>
      </c>
      <c r="P491" s="652" t="e">
        <f t="shared" si="387"/>
        <v>#N/A</v>
      </c>
      <c r="Q491" s="652" t="e">
        <f t="shared" si="387"/>
        <v>#N/A</v>
      </c>
      <c r="R491" s="652" t="e">
        <f t="shared" si="387"/>
        <v>#N/A</v>
      </c>
      <c r="S491" s="652" t="e">
        <f t="shared" si="387"/>
        <v>#N/A</v>
      </c>
      <c r="T491" s="652" t="e">
        <f t="shared" si="387"/>
        <v>#N/A</v>
      </c>
      <c r="U491" s="652" t="e">
        <f t="shared" si="387"/>
        <v>#N/A</v>
      </c>
      <c r="V491" s="652" t="e">
        <f t="shared" si="387"/>
        <v>#N/A</v>
      </c>
      <c r="W491" s="652" t="e">
        <f t="shared" si="387"/>
        <v>#N/A</v>
      </c>
      <c r="X491" s="652" t="e">
        <f t="shared" si="387"/>
        <v>#N/A</v>
      </c>
      <c r="Y491" s="652" t="e">
        <f t="shared" si="387"/>
        <v>#N/A</v>
      </c>
      <c r="AA491" s="647"/>
      <c r="AB491" s="647"/>
      <c r="AC491" s="647"/>
      <c r="AD491" s="647"/>
      <c r="AE491" s="647"/>
      <c r="AF491" s="647"/>
      <c r="AG491" s="647"/>
      <c r="AH491" s="647"/>
      <c r="AI491" s="647"/>
      <c r="AJ491" s="647"/>
      <c r="AK491" s="647"/>
      <c r="AL491" s="647"/>
    </row>
    <row r="492" spans="1:38" s="619" customFormat="1" ht="15.75" hidden="1" x14ac:dyDescent="0.25">
      <c r="A492" s="644"/>
      <c r="D492" s="650"/>
      <c r="E492" s="651">
        <v>2019</v>
      </c>
      <c r="F492" s="652">
        <f t="shared" ref="F492:Y492" si="388">($F579*$J$126*F$485*1)+($F579*(1-$J$126)*F$485*$D$616)+(exp_2019*$J$127*F$485*$D$615)+($F589*$J$126*F$486*1)+($F589*(1-$J$126)*F$486*$D$616)+(exp_2019_c3*$J$127*F$486*$D$615)</f>
        <v>0</v>
      </c>
      <c r="G492" s="652">
        <f t="shared" si="388"/>
        <v>0</v>
      </c>
      <c r="H492" s="673" t="e">
        <f t="shared" si="388"/>
        <v>#N/A</v>
      </c>
      <c r="I492" s="673" t="e">
        <f t="shared" si="388"/>
        <v>#N/A</v>
      </c>
      <c r="J492" s="673" t="e">
        <f t="shared" si="388"/>
        <v>#N/A</v>
      </c>
      <c r="K492" s="673" t="e">
        <f t="shared" si="388"/>
        <v>#N/A</v>
      </c>
      <c r="L492" s="673" t="e">
        <f t="shared" si="388"/>
        <v>#N/A</v>
      </c>
      <c r="M492" s="673" t="e">
        <f t="shared" si="388"/>
        <v>#N/A</v>
      </c>
      <c r="N492" s="652" t="e">
        <f t="shared" si="388"/>
        <v>#N/A</v>
      </c>
      <c r="O492" s="652" t="e">
        <f t="shared" si="388"/>
        <v>#N/A</v>
      </c>
      <c r="P492" s="652" t="e">
        <f t="shared" si="388"/>
        <v>#N/A</v>
      </c>
      <c r="Q492" s="652" t="e">
        <f t="shared" si="388"/>
        <v>#N/A</v>
      </c>
      <c r="R492" s="652" t="e">
        <f t="shared" si="388"/>
        <v>#N/A</v>
      </c>
      <c r="S492" s="652" t="e">
        <f t="shared" si="388"/>
        <v>#N/A</v>
      </c>
      <c r="T492" s="652" t="e">
        <f t="shared" si="388"/>
        <v>#N/A</v>
      </c>
      <c r="U492" s="652" t="e">
        <f t="shared" si="388"/>
        <v>#N/A</v>
      </c>
      <c r="V492" s="652" t="e">
        <f t="shared" si="388"/>
        <v>#N/A</v>
      </c>
      <c r="W492" s="652" t="e">
        <f t="shared" si="388"/>
        <v>#N/A</v>
      </c>
      <c r="X492" s="652" t="e">
        <f t="shared" si="388"/>
        <v>#N/A</v>
      </c>
      <c r="Y492" s="652" t="e">
        <f t="shared" si="388"/>
        <v>#N/A</v>
      </c>
      <c r="AA492" s="647"/>
      <c r="AB492" s="647"/>
      <c r="AC492" s="647"/>
      <c r="AD492" s="647"/>
      <c r="AE492" s="647"/>
      <c r="AF492" s="647"/>
      <c r="AG492" s="647"/>
      <c r="AH492" s="647"/>
      <c r="AI492" s="647"/>
      <c r="AJ492" s="647"/>
      <c r="AK492" s="647"/>
      <c r="AL492" s="647"/>
    </row>
    <row r="493" spans="1:38" s="619" customFormat="1" ht="15.75" hidden="1" x14ac:dyDescent="0.25">
      <c r="A493" s="644"/>
      <c r="D493" s="650"/>
      <c r="E493" s="651">
        <v>2020</v>
      </c>
      <c r="F493" s="652">
        <f t="shared" ref="F493:Y493" si="389">($F580*$J$126*F$485*1)+($F580*(1-$J$126)*F$485*$D$616)+(exp_2020*$J$127*F$485*$D$615)+($F590*$J$126*F$486*1)+($F590*(1-$J$126)*F$486*$D$616)+(exp_2020_c3*$J$127*F$486*$D$615)</f>
        <v>0</v>
      </c>
      <c r="G493" s="652">
        <f t="shared" si="389"/>
        <v>0</v>
      </c>
      <c r="H493" s="673" t="e">
        <f t="shared" si="389"/>
        <v>#N/A</v>
      </c>
      <c r="I493" s="673" t="e">
        <f t="shared" si="389"/>
        <v>#N/A</v>
      </c>
      <c r="J493" s="673" t="e">
        <f t="shared" si="389"/>
        <v>#N/A</v>
      </c>
      <c r="K493" s="673" t="e">
        <f t="shared" si="389"/>
        <v>#N/A</v>
      </c>
      <c r="L493" s="673" t="e">
        <f t="shared" si="389"/>
        <v>#N/A</v>
      </c>
      <c r="M493" s="673" t="e">
        <f t="shared" si="389"/>
        <v>#N/A</v>
      </c>
      <c r="N493" s="652" t="e">
        <f t="shared" si="389"/>
        <v>#N/A</v>
      </c>
      <c r="O493" s="652" t="e">
        <f t="shared" si="389"/>
        <v>#N/A</v>
      </c>
      <c r="P493" s="652" t="e">
        <f t="shared" si="389"/>
        <v>#N/A</v>
      </c>
      <c r="Q493" s="652" t="e">
        <f t="shared" si="389"/>
        <v>#N/A</v>
      </c>
      <c r="R493" s="652" t="e">
        <f t="shared" si="389"/>
        <v>#N/A</v>
      </c>
      <c r="S493" s="652" t="e">
        <f t="shared" si="389"/>
        <v>#N/A</v>
      </c>
      <c r="T493" s="652" t="e">
        <f t="shared" si="389"/>
        <v>#N/A</v>
      </c>
      <c r="U493" s="652" t="e">
        <f t="shared" si="389"/>
        <v>#N/A</v>
      </c>
      <c r="V493" s="652" t="e">
        <f t="shared" si="389"/>
        <v>#N/A</v>
      </c>
      <c r="W493" s="652" t="e">
        <f t="shared" si="389"/>
        <v>#N/A</v>
      </c>
      <c r="X493" s="652" t="e">
        <f t="shared" si="389"/>
        <v>#N/A</v>
      </c>
      <c r="Y493" s="652" t="e">
        <f t="shared" si="389"/>
        <v>#N/A</v>
      </c>
      <c r="AA493" s="647"/>
      <c r="AB493" s="647"/>
      <c r="AC493" s="647"/>
      <c r="AD493" s="647"/>
      <c r="AE493" s="647"/>
      <c r="AF493" s="647"/>
      <c r="AG493" s="647"/>
      <c r="AH493" s="647"/>
      <c r="AI493" s="647"/>
      <c r="AJ493" s="647"/>
      <c r="AK493" s="647"/>
      <c r="AL493" s="647"/>
    </row>
    <row r="494" spans="1:38" s="619" customFormat="1" ht="15.75" hidden="1" x14ac:dyDescent="0.25">
      <c r="A494" s="644"/>
      <c r="D494" s="650"/>
      <c r="E494" s="651"/>
      <c r="F494" s="652"/>
      <c r="G494" s="652"/>
      <c r="H494" s="673"/>
      <c r="I494" s="673"/>
      <c r="J494" s="673"/>
      <c r="K494" s="673"/>
      <c r="L494" s="673"/>
      <c r="M494" s="673"/>
      <c r="N494" s="652"/>
      <c r="O494" s="652"/>
      <c r="P494" s="652"/>
      <c r="Q494" s="652"/>
      <c r="R494" s="652"/>
      <c r="S494" s="652"/>
      <c r="T494" s="652"/>
      <c r="U494" s="652"/>
      <c r="V494" s="652"/>
      <c r="W494" s="652"/>
      <c r="X494" s="652"/>
      <c r="Y494" s="652"/>
      <c r="AA494" s="647"/>
      <c r="AB494" s="647"/>
      <c r="AC494" s="647"/>
      <c r="AD494" s="647"/>
      <c r="AE494" s="647"/>
      <c r="AF494" s="647"/>
      <c r="AG494" s="647"/>
      <c r="AH494" s="647"/>
      <c r="AI494" s="647"/>
      <c r="AJ494" s="647"/>
      <c r="AK494" s="647"/>
      <c r="AL494" s="647"/>
    </row>
    <row r="495" spans="1:38" s="619" customFormat="1" ht="15.75" hidden="1" x14ac:dyDescent="0.25">
      <c r="A495" s="644"/>
      <c r="D495" s="650"/>
      <c r="E495" s="651"/>
      <c r="F495" s="652"/>
      <c r="G495" s="652"/>
      <c r="H495" s="673"/>
      <c r="I495" s="673"/>
      <c r="J495" s="673"/>
      <c r="K495" s="673"/>
      <c r="L495" s="673"/>
      <c r="M495" s="673"/>
      <c r="N495" s="652"/>
      <c r="O495" s="652"/>
      <c r="P495" s="652"/>
      <c r="Q495" s="652"/>
      <c r="R495" s="652"/>
      <c r="S495" s="652"/>
      <c r="T495" s="652"/>
      <c r="U495" s="652"/>
      <c r="V495" s="652"/>
      <c r="W495" s="652"/>
      <c r="X495" s="652"/>
      <c r="Y495" s="652"/>
      <c r="AA495" s="647"/>
      <c r="AB495" s="647"/>
      <c r="AC495" s="647"/>
      <c r="AD495" s="647"/>
      <c r="AE495" s="647"/>
      <c r="AF495" s="647"/>
      <c r="AG495" s="647"/>
      <c r="AH495" s="647"/>
      <c r="AI495" s="647"/>
      <c r="AJ495" s="647"/>
      <c r="AK495" s="647"/>
      <c r="AL495" s="647"/>
    </row>
    <row r="496" spans="1:38" s="619" customFormat="1" ht="15.75" hidden="1" x14ac:dyDescent="0.25">
      <c r="A496" s="644"/>
      <c r="B496" s="691" t="s">
        <v>1897</v>
      </c>
      <c r="C496" s="1145"/>
      <c r="D496" s="1146"/>
      <c r="E496" s="651">
        <v>2015</v>
      </c>
      <c r="F496" s="652">
        <f>F477+F488</f>
        <v>0</v>
      </c>
      <c r="G496" s="652">
        <f t="shared" ref="G496:Y501" si="390">G477+G488</f>
        <v>0</v>
      </c>
      <c r="H496" s="673" t="e">
        <f t="shared" si="390"/>
        <v>#N/A</v>
      </c>
      <c r="I496" s="673" t="e">
        <f t="shared" si="390"/>
        <v>#N/A</v>
      </c>
      <c r="J496" s="673" t="e">
        <f t="shared" si="390"/>
        <v>#N/A</v>
      </c>
      <c r="K496" s="673" t="e">
        <f t="shared" si="390"/>
        <v>#N/A</v>
      </c>
      <c r="L496" s="673" t="e">
        <f t="shared" si="390"/>
        <v>#N/A</v>
      </c>
      <c r="M496" s="673" t="e">
        <f t="shared" si="390"/>
        <v>#N/A</v>
      </c>
      <c r="N496" s="652" t="e">
        <f t="shared" si="390"/>
        <v>#N/A</v>
      </c>
      <c r="O496" s="652" t="e">
        <f t="shared" si="390"/>
        <v>#N/A</v>
      </c>
      <c r="P496" s="652" t="e">
        <f t="shared" si="390"/>
        <v>#N/A</v>
      </c>
      <c r="Q496" s="652" t="e">
        <f t="shared" si="390"/>
        <v>#N/A</v>
      </c>
      <c r="R496" s="652" t="e">
        <f t="shared" si="390"/>
        <v>#N/A</v>
      </c>
      <c r="S496" s="652" t="e">
        <f t="shared" si="390"/>
        <v>#N/A</v>
      </c>
      <c r="T496" s="652" t="e">
        <f t="shared" si="390"/>
        <v>#N/A</v>
      </c>
      <c r="U496" s="652" t="e">
        <f t="shared" si="390"/>
        <v>#N/A</v>
      </c>
      <c r="V496" s="652" t="e">
        <f t="shared" si="390"/>
        <v>#N/A</v>
      </c>
      <c r="W496" s="652" t="e">
        <f t="shared" si="390"/>
        <v>#N/A</v>
      </c>
      <c r="X496" s="652" t="e">
        <f t="shared" si="390"/>
        <v>#N/A</v>
      </c>
      <c r="Y496" s="652" t="e">
        <f t="shared" si="390"/>
        <v>#N/A</v>
      </c>
      <c r="AA496" s="647"/>
      <c r="AB496" s="647"/>
      <c r="AC496" s="647"/>
      <c r="AD496" s="647"/>
      <c r="AE496" s="647"/>
      <c r="AF496" s="647"/>
      <c r="AG496" s="647"/>
      <c r="AH496" s="647"/>
      <c r="AI496" s="647"/>
      <c r="AJ496" s="647"/>
      <c r="AK496" s="647"/>
      <c r="AL496" s="647"/>
    </row>
    <row r="497" spans="1:38" s="619" customFormat="1" ht="15.75" hidden="1" x14ac:dyDescent="0.25">
      <c r="A497" s="644"/>
      <c r="B497" s="1144"/>
      <c r="C497" s="1147"/>
      <c r="D497" s="1148"/>
      <c r="E497" s="651">
        <v>2016</v>
      </c>
      <c r="F497" s="652">
        <f t="shared" ref="F497:U501" si="391">F478+F489</f>
        <v>0</v>
      </c>
      <c r="G497" s="652">
        <f t="shared" si="391"/>
        <v>0</v>
      </c>
      <c r="H497" s="673" t="e">
        <f t="shared" si="391"/>
        <v>#N/A</v>
      </c>
      <c r="I497" s="673" t="e">
        <f t="shared" si="391"/>
        <v>#N/A</v>
      </c>
      <c r="J497" s="673" t="e">
        <f t="shared" si="391"/>
        <v>#N/A</v>
      </c>
      <c r="K497" s="673" t="e">
        <f t="shared" si="391"/>
        <v>#N/A</v>
      </c>
      <c r="L497" s="673" t="e">
        <f t="shared" si="391"/>
        <v>#N/A</v>
      </c>
      <c r="M497" s="673" t="e">
        <f t="shared" si="391"/>
        <v>#N/A</v>
      </c>
      <c r="N497" s="652" t="e">
        <f t="shared" si="391"/>
        <v>#N/A</v>
      </c>
      <c r="O497" s="652" t="e">
        <f t="shared" si="391"/>
        <v>#N/A</v>
      </c>
      <c r="P497" s="652" t="e">
        <f t="shared" si="391"/>
        <v>#N/A</v>
      </c>
      <c r="Q497" s="652" t="e">
        <f t="shared" si="391"/>
        <v>#N/A</v>
      </c>
      <c r="R497" s="652" t="e">
        <f t="shared" si="391"/>
        <v>#N/A</v>
      </c>
      <c r="S497" s="652" t="e">
        <f t="shared" si="391"/>
        <v>#N/A</v>
      </c>
      <c r="T497" s="652" t="e">
        <f t="shared" si="391"/>
        <v>#N/A</v>
      </c>
      <c r="U497" s="652" t="e">
        <f t="shared" si="391"/>
        <v>#N/A</v>
      </c>
      <c r="V497" s="652" t="e">
        <f t="shared" si="390"/>
        <v>#N/A</v>
      </c>
      <c r="W497" s="652" t="e">
        <f t="shared" si="390"/>
        <v>#N/A</v>
      </c>
      <c r="X497" s="652" t="e">
        <f t="shared" si="390"/>
        <v>#N/A</v>
      </c>
      <c r="Y497" s="652" t="e">
        <f t="shared" si="390"/>
        <v>#N/A</v>
      </c>
      <c r="AA497" s="647"/>
      <c r="AB497" s="647"/>
      <c r="AC497" s="647"/>
      <c r="AD497" s="647"/>
      <c r="AE497" s="647"/>
      <c r="AF497" s="647"/>
      <c r="AG497" s="647"/>
      <c r="AH497" s="647"/>
      <c r="AI497" s="647"/>
      <c r="AJ497" s="647"/>
      <c r="AK497" s="647"/>
      <c r="AL497" s="647"/>
    </row>
    <row r="498" spans="1:38" s="619" customFormat="1" ht="15.75" hidden="1" x14ac:dyDescent="0.25">
      <c r="A498" s="644"/>
      <c r="B498" s="1144"/>
      <c r="C498" s="1147"/>
      <c r="D498" s="1148"/>
      <c r="E498" s="651">
        <v>2017</v>
      </c>
      <c r="F498" s="652">
        <f t="shared" si="391"/>
        <v>0</v>
      </c>
      <c r="G498" s="652">
        <f t="shared" si="390"/>
        <v>0</v>
      </c>
      <c r="H498" s="673" t="e">
        <f t="shared" si="390"/>
        <v>#N/A</v>
      </c>
      <c r="I498" s="673" t="e">
        <f t="shared" si="390"/>
        <v>#N/A</v>
      </c>
      <c r="J498" s="673" t="e">
        <f t="shared" si="390"/>
        <v>#N/A</v>
      </c>
      <c r="K498" s="673" t="e">
        <f t="shared" si="390"/>
        <v>#N/A</v>
      </c>
      <c r="L498" s="673" t="e">
        <f t="shared" si="390"/>
        <v>#N/A</v>
      </c>
      <c r="M498" s="673" t="e">
        <f t="shared" si="390"/>
        <v>#N/A</v>
      </c>
      <c r="N498" s="652" t="e">
        <f t="shared" si="390"/>
        <v>#N/A</v>
      </c>
      <c r="O498" s="652" t="e">
        <f t="shared" si="390"/>
        <v>#N/A</v>
      </c>
      <c r="P498" s="652" t="e">
        <f t="shared" si="390"/>
        <v>#N/A</v>
      </c>
      <c r="Q498" s="652" t="e">
        <f t="shared" si="390"/>
        <v>#N/A</v>
      </c>
      <c r="R498" s="652" t="e">
        <f t="shared" si="390"/>
        <v>#N/A</v>
      </c>
      <c r="S498" s="652" t="e">
        <f t="shared" si="390"/>
        <v>#N/A</v>
      </c>
      <c r="T498" s="652" t="e">
        <f t="shared" si="390"/>
        <v>#N/A</v>
      </c>
      <c r="U498" s="652" t="e">
        <f t="shared" si="390"/>
        <v>#N/A</v>
      </c>
      <c r="V498" s="652" t="e">
        <f t="shared" si="390"/>
        <v>#N/A</v>
      </c>
      <c r="W498" s="652" t="e">
        <f t="shared" si="390"/>
        <v>#N/A</v>
      </c>
      <c r="X498" s="652" t="e">
        <f t="shared" si="390"/>
        <v>#N/A</v>
      </c>
      <c r="Y498" s="652" t="e">
        <f t="shared" si="390"/>
        <v>#N/A</v>
      </c>
      <c r="AA498" s="647"/>
      <c r="AB498" s="647"/>
      <c r="AC498" s="647"/>
      <c r="AD498" s="647"/>
      <c r="AE498" s="647"/>
      <c r="AF498" s="647"/>
      <c r="AG498" s="647"/>
      <c r="AH498" s="647"/>
      <c r="AI498" s="647"/>
      <c r="AJ498" s="647"/>
      <c r="AK498" s="647"/>
      <c r="AL498" s="647"/>
    </row>
    <row r="499" spans="1:38" s="619" customFormat="1" ht="15.75" hidden="1" x14ac:dyDescent="0.25">
      <c r="A499" s="644"/>
      <c r="B499" s="1144"/>
      <c r="C499" s="1147"/>
      <c r="D499" s="1148"/>
      <c r="E499" s="651">
        <v>2018</v>
      </c>
      <c r="F499" s="652">
        <f t="shared" si="391"/>
        <v>0</v>
      </c>
      <c r="G499" s="652">
        <f t="shared" si="390"/>
        <v>0</v>
      </c>
      <c r="H499" s="673" t="e">
        <f t="shared" si="390"/>
        <v>#N/A</v>
      </c>
      <c r="I499" s="673" t="e">
        <f t="shared" si="390"/>
        <v>#N/A</v>
      </c>
      <c r="J499" s="673" t="e">
        <f t="shared" si="390"/>
        <v>#N/A</v>
      </c>
      <c r="K499" s="673" t="e">
        <f t="shared" si="390"/>
        <v>#N/A</v>
      </c>
      <c r="L499" s="673" t="e">
        <f t="shared" si="390"/>
        <v>#N/A</v>
      </c>
      <c r="M499" s="673" t="e">
        <f t="shared" si="390"/>
        <v>#N/A</v>
      </c>
      <c r="N499" s="652" t="e">
        <f t="shared" si="390"/>
        <v>#N/A</v>
      </c>
      <c r="O499" s="652" t="e">
        <f t="shared" si="390"/>
        <v>#N/A</v>
      </c>
      <c r="P499" s="652" t="e">
        <f t="shared" si="390"/>
        <v>#N/A</v>
      </c>
      <c r="Q499" s="652" t="e">
        <f t="shared" si="390"/>
        <v>#N/A</v>
      </c>
      <c r="R499" s="652" t="e">
        <f t="shared" si="390"/>
        <v>#N/A</v>
      </c>
      <c r="S499" s="652" t="e">
        <f t="shared" si="390"/>
        <v>#N/A</v>
      </c>
      <c r="T499" s="652" t="e">
        <f t="shared" si="390"/>
        <v>#N/A</v>
      </c>
      <c r="U499" s="652" t="e">
        <f t="shared" si="390"/>
        <v>#N/A</v>
      </c>
      <c r="V499" s="652" t="e">
        <f t="shared" si="390"/>
        <v>#N/A</v>
      </c>
      <c r="W499" s="652" t="e">
        <f t="shared" si="390"/>
        <v>#N/A</v>
      </c>
      <c r="X499" s="652" t="e">
        <f t="shared" si="390"/>
        <v>#N/A</v>
      </c>
      <c r="Y499" s="652" t="e">
        <f t="shared" si="390"/>
        <v>#N/A</v>
      </c>
      <c r="AA499" s="647"/>
      <c r="AB499" s="647"/>
      <c r="AC499" s="647"/>
      <c r="AD499" s="647"/>
      <c r="AE499" s="647"/>
      <c r="AF499" s="647"/>
      <c r="AG499" s="647"/>
      <c r="AH499" s="647"/>
      <c r="AI499" s="647"/>
      <c r="AJ499" s="647"/>
      <c r="AK499" s="647"/>
      <c r="AL499" s="647"/>
    </row>
    <row r="500" spans="1:38" s="619" customFormat="1" ht="15.75" hidden="1" x14ac:dyDescent="0.25">
      <c r="A500" s="644"/>
      <c r="B500" s="1144"/>
      <c r="C500" s="1147"/>
      <c r="D500" s="1148"/>
      <c r="E500" s="651">
        <v>2019</v>
      </c>
      <c r="F500" s="652">
        <f t="shared" si="391"/>
        <v>0</v>
      </c>
      <c r="G500" s="652">
        <f t="shared" si="390"/>
        <v>0</v>
      </c>
      <c r="H500" s="673" t="e">
        <f t="shared" si="390"/>
        <v>#N/A</v>
      </c>
      <c r="I500" s="673" t="e">
        <f t="shared" si="390"/>
        <v>#N/A</v>
      </c>
      <c r="J500" s="673" t="e">
        <f t="shared" si="390"/>
        <v>#N/A</v>
      </c>
      <c r="K500" s="673" t="e">
        <f t="shared" si="390"/>
        <v>#N/A</v>
      </c>
      <c r="L500" s="673" t="e">
        <f t="shared" si="390"/>
        <v>#N/A</v>
      </c>
      <c r="M500" s="673" t="e">
        <f t="shared" si="390"/>
        <v>#N/A</v>
      </c>
      <c r="N500" s="652" t="e">
        <f t="shared" si="390"/>
        <v>#N/A</v>
      </c>
      <c r="O500" s="652" t="e">
        <f t="shared" si="390"/>
        <v>#N/A</v>
      </c>
      <c r="P500" s="652" t="e">
        <f t="shared" si="390"/>
        <v>#N/A</v>
      </c>
      <c r="Q500" s="652" t="e">
        <f t="shared" si="390"/>
        <v>#N/A</v>
      </c>
      <c r="R500" s="652" t="e">
        <f t="shared" si="390"/>
        <v>#N/A</v>
      </c>
      <c r="S500" s="652" t="e">
        <f t="shared" si="390"/>
        <v>#N/A</v>
      </c>
      <c r="T500" s="652" t="e">
        <f t="shared" si="390"/>
        <v>#N/A</v>
      </c>
      <c r="U500" s="652" t="e">
        <f t="shared" si="390"/>
        <v>#N/A</v>
      </c>
      <c r="V500" s="652" t="e">
        <f t="shared" si="390"/>
        <v>#N/A</v>
      </c>
      <c r="W500" s="652" t="e">
        <f t="shared" si="390"/>
        <v>#N/A</v>
      </c>
      <c r="X500" s="652" t="e">
        <f t="shared" si="390"/>
        <v>#N/A</v>
      </c>
      <c r="Y500" s="652" t="e">
        <f t="shared" si="390"/>
        <v>#N/A</v>
      </c>
      <c r="AA500" s="647"/>
      <c r="AB500" s="647"/>
      <c r="AC500" s="647"/>
      <c r="AD500" s="647"/>
      <c r="AE500" s="647"/>
      <c r="AF500" s="647"/>
      <c r="AG500" s="647"/>
      <c r="AH500" s="647"/>
      <c r="AI500" s="647"/>
      <c r="AJ500" s="647"/>
      <c r="AK500" s="647"/>
      <c r="AL500" s="647"/>
    </row>
    <row r="501" spans="1:38" s="619" customFormat="1" ht="15.75" hidden="1" x14ac:dyDescent="0.25">
      <c r="A501" s="644"/>
      <c r="B501" s="1144"/>
      <c r="C501" s="1147"/>
      <c r="D501" s="1148"/>
      <c r="E501" s="651">
        <v>2020</v>
      </c>
      <c r="F501" s="652">
        <f t="shared" si="391"/>
        <v>0</v>
      </c>
      <c r="G501" s="652">
        <f t="shared" si="390"/>
        <v>0</v>
      </c>
      <c r="H501" s="673" t="e">
        <f t="shared" si="390"/>
        <v>#N/A</v>
      </c>
      <c r="I501" s="673" t="e">
        <f t="shared" si="390"/>
        <v>#N/A</v>
      </c>
      <c r="J501" s="673" t="e">
        <f t="shared" si="390"/>
        <v>#N/A</v>
      </c>
      <c r="K501" s="673" t="e">
        <f t="shared" si="390"/>
        <v>#N/A</v>
      </c>
      <c r="L501" s="673" t="e">
        <f t="shared" si="390"/>
        <v>#N/A</v>
      </c>
      <c r="M501" s="673" t="e">
        <f t="shared" si="390"/>
        <v>#N/A</v>
      </c>
      <c r="N501" s="652" t="e">
        <f t="shared" si="390"/>
        <v>#N/A</v>
      </c>
      <c r="O501" s="652" t="e">
        <f t="shared" si="390"/>
        <v>#N/A</v>
      </c>
      <c r="P501" s="652" t="e">
        <f t="shared" si="390"/>
        <v>#N/A</v>
      </c>
      <c r="Q501" s="652" t="e">
        <f t="shared" si="390"/>
        <v>#N/A</v>
      </c>
      <c r="R501" s="652" t="e">
        <f t="shared" si="390"/>
        <v>#N/A</v>
      </c>
      <c r="S501" s="652" t="e">
        <f t="shared" si="390"/>
        <v>#N/A</v>
      </c>
      <c r="T501" s="652" t="e">
        <f t="shared" si="390"/>
        <v>#N/A</v>
      </c>
      <c r="U501" s="652" t="e">
        <f t="shared" si="390"/>
        <v>#N/A</v>
      </c>
      <c r="V501" s="652" t="e">
        <f t="shared" si="390"/>
        <v>#N/A</v>
      </c>
      <c r="W501" s="652" t="e">
        <f t="shared" si="390"/>
        <v>#N/A</v>
      </c>
      <c r="X501" s="652" t="e">
        <f t="shared" si="390"/>
        <v>#N/A</v>
      </c>
      <c r="Y501" s="652" t="e">
        <f t="shared" si="390"/>
        <v>#N/A</v>
      </c>
      <c r="AA501" s="647"/>
      <c r="AB501" s="647"/>
      <c r="AC501" s="647"/>
      <c r="AD501" s="647"/>
      <c r="AE501" s="647"/>
      <c r="AF501" s="647"/>
      <c r="AG501" s="647"/>
      <c r="AH501" s="647"/>
      <c r="AI501" s="647"/>
      <c r="AJ501" s="647"/>
      <c r="AK501" s="647"/>
      <c r="AL501" s="647"/>
    </row>
    <row r="502" spans="1:38" s="619" customFormat="1" ht="15.75" hidden="1" x14ac:dyDescent="0.25">
      <c r="A502" s="644"/>
      <c r="B502" s="1144"/>
      <c r="C502" s="1147"/>
      <c r="D502" s="1148"/>
      <c r="E502" s="651"/>
      <c r="F502" s="652"/>
      <c r="G502" s="652"/>
      <c r="H502" s="673"/>
      <c r="I502" s="673"/>
      <c r="J502" s="673"/>
      <c r="K502" s="673"/>
      <c r="L502" s="673"/>
      <c r="M502" s="673"/>
      <c r="N502" s="652"/>
      <c r="O502" s="652"/>
      <c r="P502" s="652"/>
      <c r="Q502" s="652"/>
      <c r="R502" s="652"/>
      <c r="S502" s="652"/>
      <c r="T502" s="652"/>
      <c r="U502" s="652"/>
      <c r="V502" s="652"/>
      <c r="W502" s="652"/>
      <c r="X502" s="652"/>
      <c r="Y502" s="652"/>
      <c r="AA502" s="647"/>
      <c r="AB502" s="647"/>
      <c r="AC502" s="647"/>
      <c r="AD502" s="647"/>
      <c r="AE502" s="647"/>
      <c r="AF502" s="647"/>
      <c r="AG502" s="647"/>
      <c r="AH502" s="647"/>
      <c r="AI502" s="647"/>
      <c r="AJ502" s="647"/>
      <c r="AK502" s="647"/>
      <c r="AL502" s="647"/>
    </row>
    <row r="503" spans="1:38" s="619" customFormat="1" ht="15.75" hidden="1" x14ac:dyDescent="0.25">
      <c r="A503" s="644"/>
      <c r="D503" s="650"/>
      <c r="E503" s="651"/>
      <c r="F503" s="652"/>
      <c r="G503" s="652"/>
      <c r="H503" s="673"/>
      <c r="I503" s="673"/>
      <c r="J503" s="673"/>
      <c r="K503" s="673"/>
      <c r="L503" s="673"/>
      <c r="M503" s="673"/>
      <c r="N503" s="652"/>
      <c r="O503" s="652"/>
      <c r="P503" s="652"/>
      <c r="Q503" s="652"/>
      <c r="R503" s="652"/>
      <c r="S503" s="652"/>
      <c r="T503" s="652"/>
      <c r="U503" s="652"/>
      <c r="V503" s="652"/>
      <c r="W503" s="652"/>
      <c r="X503" s="652"/>
      <c r="Y503" s="652"/>
      <c r="AA503" s="647"/>
      <c r="AB503" s="647"/>
      <c r="AC503" s="647"/>
      <c r="AD503" s="647"/>
      <c r="AE503" s="647"/>
      <c r="AF503" s="647"/>
      <c r="AG503" s="647"/>
      <c r="AH503" s="647"/>
      <c r="AI503" s="647"/>
      <c r="AJ503" s="647"/>
      <c r="AK503" s="647"/>
      <c r="AL503" s="647"/>
    </row>
    <row r="504" spans="1:38" s="619" customFormat="1" ht="15.75" hidden="1" x14ac:dyDescent="0.25">
      <c r="A504" s="644"/>
      <c r="D504" s="650"/>
      <c r="E504" s="651"/>
      <c r="F504" s="652"/>
      <c r="G504" s="652"/>
      <c r="H504" s="673"/>
      <c r="I504" s="673"/>
      <c r="J504" s="673"/>
      <c r="K504" s="673"/>
      <c r="L504" s="673"/>
      <c r="M504" s="673"/>
      <c r="N504" s="652"/>
      <c r="O504" s="652"/>
      <c r="P504" s="652"/>
      <c r="Q504" s="652"/>
      <c r="R504" s="652"/>
      <c r="S504" s="652"/>
      <c r="T504" s="652"/>
      <c r="U504" s="652"/>
      <c r="V504" s="652"/>
      <c r="W504" s="652"/>
      <c r="X504" s="652"/>
      <c r="Y504" s="652"/>
      <c r="AA504" s="647"/>
      <c r="AB504" s="647"/>
      <c r="AC504" s="647"/>
      <c r="AD504" s="647"/>
      <c r="AE504" s="647"/>
      <c r="AF504" s="647"/>
      <c r="AG504" s="647"/>
      <c r="AH504" s="647"/>
      <c r="AI504" s="647"/>
      <c r="AJ504" s="647"/>
      <c r="AK504" s="647"/>
      <c r="AL504" s="647"/>
    </row>
    <row r="505" spans="1:38" s="619" customFormat="1" ht="15.75" hidden="1" x14ac:dyDescent="0.25">
      <c r="A505" s="644"/>
      <c r="D505" s="650"/>
      <c r="E505" s="651"/>
      <c r="F505" s="652"/>
      <c r="G505" s="652"/>
      <c r="H505" s="673"/>
      <c r="I505" s="673"/>
      <c r="J505" s="673"/>
      <c r="K505" s="673"/>
      <c r="L505" s="673"/>
      <c r="M505" s="673"/>
      <c r="N505" s="652"/>
      <c r="O505" s="652"/>
      <c r="P505" s="652"/>
      <c r="Q505" s="652"/>
      <c r="R505" s="652"/>
      <c r="S505" s="652"/>
      <c r="T505" s="652"/>
      <c r="U505" s="652"/>
      <c r="V505" s="652"/>
      <c r="W505" s="652"/>
      <c r="X505" s="652"/>
      <c r="Y505" s="652"/>
      <c r="AA505" s="647"/>
      <c r="AB505" s="647"/>
      <c r="AC505" s="647"/>
      <c r="AD505" s="647"/>
      <c r="AE505" s="647"/>
      <c r="AF505" s="647"/>
      <c r="AG505" s="647"/>
      <c r="AH505" s="647"/>
      <c r="AI505" s="647"/>
      <c r="AJ505" s="647"/>
      <c r="AK505" s="647"/>
      <c r="AL505" s="647"/>
    </row>
    <row r="506" spans="1:38" s="222" customFormat="1" ht="15.75" hidden="1" x14ac:dyDescent="0.25">
      <c r="A506" s="130"/>
      <c r="D506" s="272"/>
      <c r="AA506" s="3"/>
      <c r="AB506" s="3"/>
      <c r="AC506" s="3"/>
      <c r="AD506" s="3"/>
      <c r="AE506" s="3"/>
      <c r="AF506" s="3"/>
      <c r="AG506" s="3"/>
      <c r="AH506" s="3"/>
      <c r="AI506" s="3"/>
      <c r="AJ506" s="3"/>
      <c r="AK506" s="3"/>
      <c r="AL506" s="3"/>
    </row>
    <row r="507" spans="1:38" s="660" customFormat="1" ht="15.75" hidden="1" x14ac:dyDescent="0.25">
      <c r="A507" s="659"/>
      <c r="B507" s="527" t="s">
        <v>1570</v>
      </c>
      <c r="D507" s="661" t="s">
        <v>1708</v>
      </c>
      <c r="E507" s="269"/>
      <c r="F507" s="269"/>
      <c r="G507" s="269"/>
      <c r="AA507" s="662"/>
      <c r="AB507" s="662"/>
      <c r="AC507" s="662"/>
      <c r="AD507" s="662"/>
      <c r="AE507" s="662"/>
      <c r="AF507" s="662"/>
      <c r="AG507" s="662"/>
      <c r="AH507" s="662"/>
      <c r="AI507" s="662"/>
      <c r="AJ507" s="662"/>
      <c r="AK507" s="662"/>
      <c r="AL507" s="662"/>
    </row>
    <row r="508" spans="1:38" s="664" customFormat="1" ht="15.75" hidden="1" x14ac:dyDescent="0.25">
      <c r="A508" s="663"/>
      <c r="D508" s="665" t="s">
        <v>412</v>
      </c>
      <c r="E508" s="666" t="s">
        <v>10</v>
      </c>
      <c r="F508" s="666" t="s">
        <v>428</v>
      </c>
      <c r="G508" s="666" t="str">
        <f>G$212</f>
        <v>Cost in 2008 dollars</v>
      </c>
      <c r="H508" s="664" t="s">
        <v>583</v>
      </c>
      <c r="I508" s="664" t="s">
        <v>584</v>
      </c>
      <c r="J508" s="664" t="s">
        <v>585</v>
      </c>
      <c r="K508" s="664" t="s">
        <v>586</v>
      </c>
      <c r="L508" s="664" t="s">
        <v>413</v>
      </c>
      <c r="M508" s="664" t="s">
        <v>414</v>
      </c>
      <c r="N508" s="664" t="s">
        <v>592</v>
      </c>
      <c r="O508" s="664" t="s">
        <v>587</v>
      </c>
      <c r="P508" s="664" t="s">
        <v>588</v>
      </c>
      <c r="Q508" s="664" t="s">
        <v>589</v>
      </c>
      <c r="R508" s="664" t="s">
        <v>590</v>
      </c>
      <c r="S508" s="664" t="s">
        <v>591</v>
      </c>
      <c r="T508" s="664" t="s">
        <v>593</v>
      </c>
      <c r="U508" s="664" t="s">
        <v>594</v>
      </c>
      <c r="V508" s="664" t="s">
        <v>595</v>
      </c>
      <c r="W508" s="664" t="s">
        <v>596</v>
      </c>
      <c r="X508" s="664" t="s">
        <v>597</v>
      </c>
      <c r="Y508" s="664" t="s">
        <v>598</v>
      </c>
      <c r="AA508" s="667"/>
      <c r="AB508" s="667"/>
      <c r="AC508" s="667"/>
      <c r="AD508" s="667"/>
      <c r="AE508" s="667"/>
      <c r="AF508" s="667"/>
      <c r="AG508" s="667"/>
      <c r="AH508" s="667"/>
      <c r="AI508" s="667"/>
      <c r="AJ508" s="667"/>
      <c r="AK508" s="667"/>
      <c r="AL508" s="667"/>
    </row>
    <row r="509" spans="1:38" s="660" customFormat="1" ht="15.75" hidden="1" x14ac:dyDescent="0.25">
      <c r="A509" s="659"/>
      <c r="C509" s="679" t="s">
        <v>1716</v>
      </c>
      <c r="D509" s="660">
        <v>541300</v>
      </c>
      <c r="E509" s="660" t="s">
        <v>308</v>
      </c>
      <c r="F509" s="676">
        <f>J139</f>
        <v>0</v>
      </c>
      <c r="G509" s="677">
        <f>F509*$C$593</f>
        <v>0</v>
      </c>
      <c r="H509" s="672" t="e">
        <f>$G509*INDEX(tier_emp_mult, MATCH($D509, tier_emp_code,0), MATCH(State, R_emp, 0))/1000000</f>
        <v>#N/A</v>
      </c>
      <c r="I509" s="672" t="e">
        <f>$G509*INDEX(typeI_emp_mult, MATCH($D509, typeI_emp_code,0), MATCH(State, R_emp, 0))/1000000</f>
        <v>#N/A</v>
      </c>
      <c r="J509" s="672" t="e">
        <f>$G509*INDEX(typeII_emp_mult, MATCH($D509, typeII_emp_code,0), MATCH(State, R_emp, 0))/1000000</f>
        <v>#N/A</v>
      </c>
      <c r="K509" s="672" t="e">
        <f>H509</f>
        <v>#N/A</v>
      </c>
      <c r="L509" s="672" t="e">
        <f>I509-H509</f>
        <v>#N/A</v>
      </c>
      <c r="M509" s="672" t="e">
        <f>J509-I509</f>
        <v>#N/A</v>
      </c>
      <c r="N509" s="631" t="e">
        <f>$G509*INDEX(tier_earn_mult, MATCH($D509, tier_earn_code,0), MATCH(State, R_earn, 0))</f>
        <v>#N/A</v>
      </c>
      <c r="O509" s="631" t="e">
        <f>$G509*INDEX(typeI_earn_mult, MATCH($D509, typeI_earn_code,0), MATCH(State, R_earn, 0))</f>
        <v>#N/A</v>
      </c>
      <c r="P509" s="631" t="e">
        <f>$G509*INDEX(typeII_earn_mult, MATCH($D509, typeII_earn_code,0), MATCH(State, R_earn, 0))</f>
        <v>#N/A</v>
      </c>
      <c r="Q509" s="633" t="e">
        <f>N509</f>
        <v>#N/A</v>
      </c>
      <c r="R509" s="633" t="e">
        <f>O509-N509</f>
        <v>#N/A</v>
      </c>
      <c r="S509" s="633" t="e">
        <f>P509-O509</f>
        <v>#N/A</v>
      </c>
      <c r="T509" s="631" t="e">
        <f>$G509*INDEX(tier_out_mult, MATCH($D509, tier_out_code,0), MATCH(State, R_out, 0))</f>
        <v>#N/A</v>
      </c>
      <c r="U509" s="631" t="e">
        <f>$G509*INDEX(typeI_out_mult, MATCH($D509, typeI_out_code,0), MATCH(State, R_out, 0))</f>
        <v>#N/A</v>
      </c>
      <c r="V509" s="631" t="e">
        <f>$G509*INDEX(typeII_out_mult, MATCH($D509, typeII_out_code,0), MATCH(State, R_out, 0))</f>
        <v>#N/A</v>
      </c>
      <c r="W509" s="633" t="e">
        <f>T509</f>
        <v>#N/A</v>
      </c>
      <c r="X509" s="633" t="e">
        <f>U509-T509</f>
        <v>#N/A</v>
      </c>
      <c r="Y509" s="633" t="e">
        <f>V509-U509</f>
        <v>#N/A</v>
      </c>
      <c r="AA509" s="662"/>
      <c r="AB509" s="662"/>
      <c r="AC509" s="662"/>
      <c r="AD509" s="662"/>
      <c r="AE509" s="662"/>
      <c r="AF509" s="662"/>
      <c r="AG509" s="662"/>
      <c r="AH509" s="662"/>
      <c r="AI509" s="662"/>
      <c r="AJ509" s="662"/>
      <c r="AK509" s="662"/>
      <c r="AL509" s="662"/>
    </row>
    <row r="510" spans="1:38" s="660" customFormat="1" ht="15.75" hidden="1" x14ac:dyDescent="0.25">
      <c r="A510" s="659"/>
      <c r="C510" s="679" t="s">
        <v>1716</v>
      </c>
      <c r="D510" s="668">
        <v>230000</v>
      </c>
      <c r="E510" s="660" t="s">
        <v>426</v>
      </c>
      <c r="F510" s="676">
        <f>J140</f>
        <v>0</v>
      </c>
      <c r="G510" s="677">
        <f>F510*$C$593</f>
        <v>0</v>
      </c>
      <c r="H510" s="672" t="e">
        <f>$G510*INDEX(tier_emp_mult, MATCH($D510, tier_emp_code,0), MATCH(State, R_emp, 0))/1000000</f>
        <v>#N/A</v>
      </c>
      <c r="I510" s="672" t="e">
        <f>$G510*INDEX(typeI_emp_mult, MATCH($D510, typeI_emp_code,0), MATCH(State, R_emp, 0))/1000000</f>
        <v>#N/A</v>
      </c>
      <c r="J510" s="672" t="e">
        <f>$G510*INDEX(typeII_emp_mult, MATCH($D510, typeII_emp_code,0), MATCH(State, R_emp, 0))/1000000</f>
        <v>#N/A</v>
      </c>
      <c r="K510" s="672" t="e">
        <f t="shared" ref="K510:K512" si="392">H510</f>
        <v>#N/A</v>
      </c>
      <c r="L510" s="672" t="e">
        <f t="shared" ref="L510:L512" si="393">I510-H510</f>
        <v>#N/A</v>
      </c>
      <c r="M510" s="672" t="e">
        <f t="shared" ref="M510:M512" si="394">J510-I510</f>
        <v>#N/A</v>
      </c>
      <c r="N510" s="631" t="e">
        <f>$G510*INDEX(tier_earn_mult, MATCH($D510, tier_earn_code,0), MATCH(State, R_earn, 0))</f>
        <v>#N/A</v>
      </c>
      <c r="O510" s="631" t="e">
        <f>$G510*INDEX(typeI_earn_mult, MATCH($D510, typeI_earn_code,0), MATCH(State, R_earn, 0))</f>
        <v>#N/A</v>
      </c>
      <c r="P510" s="631" t="e">
        <f>$G510*INDEX(typeII_earn_mult, MATCH($D510, typeII_earn_code,0), MATCH(State, R_earn, 0))</f>
        <v>#N/A</v>
      </c>
      <c r="Q510" s="633" t="e">
        <f t="shared" ref="Q510:Q512" si="395">N510</f>
        <v>#N/A</v>
      </c>
      <c r="R510" s="633" t="e">
        <f t="shared" ref="R510:R512" si="396">O510-N510</f>
        <v>#N/A</v>
      </c>
      <c r="S510" s="633" t="e">
        <f t="shared" ref="S510:S512" si="397">P510-O510</f>
        <v>#N/A</v>
      </c>
      <c r="T510" s="631" t="e">
        <f>$G510*INDEX(tier_out_mult, MATCH($D510, tier_out_code,0), MATCH(State, R_out, 0))</f>
        <v>#N/A</v>
      </c>
      <c r="U510" s="631" t="e">
        <f>$G510*INDEX(typeI_out_mult, MATCH($D510, typeI_out_code,0), MATCH(State, R_out, 0))</f>
        <v>#N/A</v>
      </c>
      <c r="V510" s="631" t="e">
        <f>$G510*INDEX(typeII_out_mult, MATCH($D510, typeII_out_code,0), MATCH(State, R_out, 0))</f>
        <v>#N/A</v>
      </c>
      <c r="W510" s="633" t="e">
        <f t="shared" ref="W510:W512" si="398">T510</f>
        <v>#N/A</v>
      </c>
      <c r="X510" s="633" t="e">
        <f t="shared" ref="X510:X512" si="399">U510-T510</f>
        <v>#N/A</v>
      </c>
      <c r="Y510" s="633" t="e">
        <f t="shared" ref="Y510:Y512" si="400">V510-U510</f>
        <v>#N/A</v>
      </c>
      <c r="AA510" s="662"/>
      <c r="AB510" s="662"/>
      <c r="AC510" s="662"/>
      <c r="AD510" s="662"/>
      <c r="AE510" s="662"/>
      <c r="AF510" s="662"/>
      <c r="AG510" s="662"/>
      <c r="AH510" s="662"/>
      <c r="AI510" s="662"/>
      <c r="AJ510" s="662"/>
      <c r="AK510" s="662"/>
      <c r="AL510" s="662"/>
    </row>
    <row r="511" spans="1:38" s="660" customFormat="1" ht="15.75" hidden="1" x14ac:dyDescent="0.25">
      <c r="A511" s="659"/>
      <c r="C511" s="679" t="s">
        <v>1716</v>
      </c>
      <c r="D511" s="668">
        <v>332310</v>
      </c>
      <c r="E511" s="660" t="s">
        <v>166</v>
      </c>
      <c r="F511" s="676">
        <f>J141</f>
        <v>0</v>
      </c>
      <c r="G511" s="677">
        <f>F511*$C$593</f>
        <v>0</v>
      </c>
      <c r="H511" s="672" t="e">
        <f>$G511*INDEX(tier_emp_mult, MATCH($D511, tier_emp_code,0), MATCH(State, R_emp, 0))/1000000</f>
        <v>#N/A</v>
      </c>
      <c r="I511" s="672" t="e">
        <f>$G511*INDEX(typeI_emp_mult, MATCH($D511, typeI_emp_code,0), MATCH(State, R_emp, 0))/1000000</f>
        <v>#N/A</v>
      </c>
      <c r="J511" s="672" t="e">
        <f>$G511*INDEX(typeII_emp_mult, MATCH($D511, typeII_emp_code,0), MATCH(State, R_emp, 0))/1000000</f>
        <v>#N/A</v>
      </c>
      <c r="K511" s="672" t="e">
        <f t="shared" si="392"/>
        <v>#N/A</v>
      </c>
      <c r="L511" s="672" t="e">
        <f t="shared" si="393"/>
        <v>#N/A</v>
      </c>
      <c r="M511" s="672" t="e">
        <f t="shared" si="394"/>
        <v>#N/A</v>
      </c>
      <c r="N511" s="631" t="e">
        <f>$G511*INDEX(tier_earn_mult, MATCH($D511, tier_earn_code,0), MATCH(State, R_earn, 0))</f>
        <v>#N/A</v>
      </c>
      <c r="O511" s="631" t="e">
        <f>$G511*INDEX(typeI_earn_mult, MATCH($D511, typeI_earn_code,0), MATCH(State, R_earn, 0))</f>
        <v>#N/A</v>
      </c>
      <c r="P511" s="631" t="e">
        <f>$G511*INDEX(typeII_earn_mult, MATCH($D511, typeII_earn_code,0), MATCH(State, R_earn, 0))</f>
        <v>#N/A</v>
      </c>
      <c r="Q511" s="633" t="e">
        <f t="shared" si="395"/>
        <v>#N/A</v>
      </c>
      <c r="R511" s="633" t="e">
        <f t="shared" si="396"/>
        <v>#N/A</v>
      </c>
      <c r="S511" s="633" t="e">
        <f t="shared" si="397"/>
        <v>#N/A</v>
      </c>
      <c r="T511" s="631" t="e">
        <f>$G511*INDEX(tier_out_mult, MATCH($D511, tier_out_code,0), MATCH(State, R_out, 0))</f>
        <v>#N/A</v>
      </c>
      <c r="U511" s="631" t="e">
        <f>$G511*INDEX(typeI_out_mult, MATCH($D511, typeI_out_code,0), MATCH(State, R_out, 0))</f>
        <v>#N/A</v>
      </c>
      <c r="V511" s="631" t="e">
        <f>$G511*INDEX(typeII_out_mult, MATCH($D511, typeII_out_code,0), MATCH(State, R_out, 0))</f>
        <v>#N/A</v>
      </c>
      <c r="W511" s="633" t="e">
        <f t="shared" si="398"/>
        <v>#N/A</v>
      </c>
      <c r="X511" s="633" t="e">
        <f t="shared" si="399"/>
        <v>#N/A</v>
      </c>
      <c r="Y511" s="633" t="e">
        <f t="shared" si="400"/>
        <v>#N/A</v>
      </c>
      <c r="AA511" s="662"/>
      <c r="AB511" s="662"/>
      <c r="AC511" s="662"/>
      <c r="AD511" s="662"/>
      <c r="AE511" s="662"/>
      <c r="AF511" s="662"/>
      <c r="AG511" s="662"/>
      <c r="AH511" s="662"/>
      <c r="AI511" s="662"/>
      <c r="AJ511" s="662"/>
      <c r="AK511" s="662"/>
      <c r="AL511" s="662"/>
    </row>
    <row r="512" spans="1:38" s="660" customFormat="1" ht="15.75" hidden="1" x14ac:dyDescent="0.25">
      <c r="A512" s="659"/>
      <c r="C512" s="679" t="s">
        <v>1714</v>
      </c>
      <c r="D512" s="678">
        <v>335312</v>
      </c>
      <c r="E512" s="678" t="s">
        <v>238</v>
      </c>
      <c r="F512" s="676">
        <f>J142</f>
        <v>0</v>
      </c>
      <c r="G512" s="677">
        <f>F512*$C$593</f>
        <v>0</v>
      </c>
      <c r="H512" s="672" t="e">
        <f>$G512*INDEX(tier_emp_mult, MATCH($D512, tier_emp_code,0), MATCH(State, R_emp, 0))/1000000</f>
        <v>#N/A</v>
      </c>
      <c r="I512" s="672" t="e">
        <f>$G512*INDEX(typeI_emp_mult, MATCH($D512, typeI_emp_code,0), MATCH(State, R_emp, 0))/1000000</f>
        <v>#N/A</v>
      </c>
      <c r="J512" s="672" t="e">
        <f>$G512*INDEX(typeII_emp_mult, MATCH($D512, typeII_emp_code,0), MATCH(State, R_emp, 0))/1000000</f>
        <v>#N/A</v>
      </c>
      <c r="K512" s="672" t="e">
        <f t="shared" si="392"/>
        <v>#N/A</v>
      </c>
      <c r="L512" s="672" t="e">
        <f t="shared" si="393"/>
        <v>#N/A</v>
      </c>
      <c r="M512" s="672" t="e">
        <f t="shared" si="394"/>
        <v>#N/A</v>
      </c>
      <c r="N512" s="631" t="e">
        <f>$G512*INDEX(tier_earn_mult, MATCH($D512, tier_earn_code,0), MATCH(State, R_earn, 0))</f>
        <v>#N/A</v>
      </c>
      <c r="O512" s="631" t="e">
        <f>$G512*INDEX(typeI_earn_mult, MATCH($D512, typeI_earn_code,0), MATCH(State, R_earn, 0))</f>
        <v>#N/A</v>
      </c>
      <c r="P512" s="631" t="e">
        <f>$G512*INDEX(typeII_earn_mult, MATCH($D512, typeII_earn_code,0), MATCH(State, R_earn, 0))</f>
        <v>#N/A</v>
      </c>
      <c r="Q512" s="633" t="e">
        <f t="shared" si="395"/>
        <v>#N/A</v>
      </c>
      <c r="R512" s="633" t="e">
        <f t="shared" si="396"/>
        <v>#N/A</v>
      </c>
      <c r="S512" s="633" t="e">
        <f t="shared" si="397"/>
        <v>#N/A</v>
      </c>
      <c r="T512" s="631" t="e">
        <f>$G512*INDEX(tier_out_mult, MATCH($D512, tier_out_code,0), MATCH(State, R_out, 0))</f>
        <v>#N/A</v>
      </c>
      <c r="U512" s="631" t="e">
        <f>$G512*INDEX(typeI_out_mult, MATCH($D512, typeI_out_code,0), MATCH(State, R_out, 0))</f>
        <v>#N/A</v>
      </c>
      <c r="V512" s="631" t="e">
        <f>$G512*INDEX(typeII_out_mult, MATCH($D512, typeII_out_code,0), MATCH(State, R_out, 0))</f>
        <v>#N/A</v>
      </c>
      <c r="W512" s="633" t="e">
        <f t="shared" si="398"/>
        <v>#N/A</v>
      </c>
      <c r="X512" s="633" t="e">
        <f t="shared" si="399"/>
        <v>#N/A</v>
      </c>
      <c r="Y512" s="633" t="e">
        <f t="shared" si="400"/>
        <v>#N/A</v>
      </c>
      <c r="AA512" s="662"/>
      <c r="AB512" s="662"/>
      <c r="AC512" s="662"/>
      <c r="AD512" s="662"/>
      <c r="AE512" s="662"/>
      <c r="AF512" s="662"/>
      <c r="AG512" s="662"/>
      <c r="AH512" s="662"/>
      <c r="AI512" s="662"/>
      <c r="AJ512" s="662"/>
      <c r="AK512" s="662"/>
      <c r="AL512" s="662"/>
    </row>
    <row r="513" spans="1:38" s="660" customFormat="1" ht="15.75" hidden="1" x14ac:dyDescent="0.25">
      <c r="A513" s="659"/>
      <c r="D513" s="668"/>
      <c r="AA513" s="662"/>
      <c r="AB513" s="662"/>
      <c r="AC513" s="662"/>
      <c r="AD513" s="662"/>
      <c r="AE513" s="662"/>
      <c r="AF513" s="662"/>
      <c r="AG513" s="662"/>
      <c r="AH513" s="662"/>
      <c r="AI513" s="662"/>
      <c r="AJ513" s="662"/>
      <c r="AK513" s="662"/>
      <c r="AL513" s="662"/>
    </row>
    <row r="514" spans="1:38" s="660" customFormat="1" ht="15.75" hidden="1" x14ac:dyDescent="0.25">
      <c r="A514" s="659"/>
      <c r="D514" s="239" t="s">
        <v>436</v>
      </c>
      <c r="E514" s="269"/>
      <c r="AA514" s="662"/>
      <c r="AB514" s="662"/>
      <c r="AC514" s="662"/>
      <c r="AD514" s="662"/>
      <c r="AE514" s="662"/>
      <c r="AF514" s="662"/>
      <c r="AG514" s="662"/>
      <c r="AH514" s="662"/>
      <c r="AI514" s="662"/>
      <c r="AJ514" s="662"/>
      <c r="AK514" s="662"/>
      <c r="AL514" s="662"/>
    </row>
    <row r="515" spans="1:38" s="660" customFormat="1" ht="15.75" hidden="1" x14ac:dyDescent="0.25">
      <c r="A515" s="659"/>
      <c r="D515" s="670"/>
      <c r="E515" s="671">
        <v>2015</v>
      </c>
      <c r="F515" s="676">
        <f t="shared" ref="F515:Y515" si="401">SUM(F$509:F$511)*install_2015+F$512*($F575+$F585)</f>
        <v>0</v>
      </c>
      <c r="G515" s="676">
        <f t="shared" si="401"/>
        <v>0</v>
      </c>
      <c r="H515" s="672" t="e">
        <f t="shared" si="401"/>
        <v>#N/A</v>
      </c>
      <c r="I515" s="672" t="e">
        <f t="shared" si="401"/>
        <v>#N/A</v>
      </c>
      <c r="J515" s="672" t="e">
        <f t="shared" si="401"/>
        <v>#N/A</v>
      </c>
      <c r="K515" s="672" t="e">
        <f t="shared" si="401"/>
        <v>#N/A</v>
      </c>
      <c r="L515" s="672" t="e">
        <f t="shared" si="401"/>
        <v>#N/A</v>
      </c>
      <c r="M515" s="672" t="e">
        <f t="shared" si="401"/>
        <v>#N/A</v>
      </c>
      <c r="N515" s="676" t="e">
        <f t="shared" si="401"/>
        <v>#N/A</v>
      </c>
      <c r="O515" s="676" t="e">
        <f t="shared" si="401"/>
        <v>#N/A</v>
      </c>
      <c r="P515" s="676" t="e">
        <f t="shared" si="401"/>
        <v>#N/A</v>
      </c>
      <c r="Q515" s="676" t="e">
        <f t="shared" si="401"/>
        <v>#N/A</v>
      </c>
      <c r="R515" s="676" t="e">
        <f t="shared" si="401"/>
        <v>#N/A</v>
      </c>
      <c r="S515" s="676" t="e">
        <f t="shared" si="401"/>
        <v>#N/A</v>
      </c>
      <c r="T515" s="676" t="e">
        <f t="shared" si="401"/>
        <v>#N/A</v>
      </c>
      <c r="U515" s="676" t="e">
        <f t="shared" si="401"/>
        <v>#N/A</v>
      </c>
      <c r="V515" s="676" t="e">
        <f t="shared" si="401"/>
        <v>#N/A</v>
      </c>
      <c r="W515" s="676" t="e">
        <f t="shared" si="401"/>
        <v>#N/A</v>
      </c>
      <c r="X515" s="676" t="e">
        <f t="shared" si="401"/>
        <v>#N/A</v>
      </c>
      <c r="Y515" s="676" t="e">
        <f t="shared" si="401"/>
        <v>#N/A</v>
      </c>
      <c r="AA515" s="662"/>
      <c r="AB515" s="662"/>
      <c r="AC515" s="662"/>
      <c r="AD515" s="662"/>
      <c r="AE515" s="662"/>
      <c r="AF515" s="662"/>
      <c r="AG515" s="662"/>
      <c r="AH515" s="662"/>
      <c r="AI515" s="662"/>
      <c r="AJ515" s="662"/>
      <c r="AK515" s="662"/>
      <c r="AL515" s="662"/>
    </row>
    <row r="516" spans="1:38" s="660" customFormat="1" ht="15.75" hidden="1" x14ac:dyDescent="0.25">
      <c r="A516" s="659"/>
      <c r="D516" s="670"/>
      <c r="E516" s="671">
        <v>2016</v>
      </c>
      <c r="F516" s="676">
        <f t="shared" ref="F516:Y516" si="402">SUM(F$509:F$511)*install_2016+F$512*($F576+$F586)</f>
        <v>0</v>
      </c>
      <c r="G516" s="676">
        <f t="shared" si="402"/>
        <v>0</v>
      </c>
      <c r="H516" s="672" t="e">
        <f t="shared" si="402"/>
        <v>#N/A</v>
      </c>
      <c r="I516" s="672" t="e">
        <f t="shared" si="402"/>
        <v>#N/A</v>
      </c>
      <c r="J516" s="672" t="e">
        <f t="shared" si="402"/>
        <v>#N/A</v>
      </c>
      <c r="K516" s="672" t="e">
        <f t="shared" si="402"/>
        <v>#N/A</v>
      </c>
      <c r="L516" s="672" t="e">
        <f t="shared" si="402"/>
        <v>#N/A</v>
      </c>
      <c r="M516" s="672" t="e">
        <f t="shared" si="402"/>
        <v>#N/A</v>
      </c>
      <c r="N516" s="676" t="e">
        <f t="shared" si="402"/>
        <v>#N/A</v>
      </c>
      <c r="O516" s="676" t="e">
        <f t="shared" si="402"/>
        <v>#N/A</v>
      </c>
      <c r="P516" s="676" t="e">
        <f t="shared" si="402"/>
        <v>#N/A</v>
      </c>
      <c r="Q516" s="676" t="e">
        <f t="shared" si="402"/>
        <v>#N/A</v>
      </c>
      <c r="R516" s="676" t="e">
        <f t="shared" si="402"/>
        <v>#N/A</v>
      </c>
      <c r="S516" s="676" t="e">
        <f t="shared" si="402"/>
        <v>#N/A</v>
      </c>
      <c r="T516" s="676" t="e">
        <f t="shared" si="402"/>
        <v>#N/A</v>
      </c>
      <c r="U516" s="676" t="e">
        <f t="shared" si="402"/>
        <v>#N/A</v>
      </c>
      <c r="V516" s="676" t="e">
        <f t="shared" si="402"/>
        <v>#N/A</v>
      </c>
      <c r="W516" s="676" t="e">
        <f t="shared" si="402"/>
        <v>#N/A</v>
      </c>
      <c r="X516" s="676" t="e">
        <f t="shared" si="402"/>
        <v>#N/A</v>
      </c>
      <c r="Y516" s="676" t="e">
        <f t="shared" si="402"/>
        <v>#N/A</v>
      </c>
      <c r="AA516" s="662"/>
      <c r="AB516" s="662"/>
      <c r="AC516" s="662"/>
      <c r="AD516" s="662"/>
      <c r="AE516" s="662"/>
      <c r="AF516" s="662"/>
      <c r="AG516" s="662"/>
      <c r="AH516" s="662"/>
      <c r="AI516" s="662"/>
      <c r="AJ516" s="662"/>
      <c r="AK516" s="662"/>
      <c r="AL516" s="662"/>
    </row>
    <row r="517" spans="1:38" s="660" customFormat="1" ht="15.75" hidden="1" x14ac:dyDescent="0.25">
      <c r="A517" s="659"/>
      <c r="D517" s="670"/>
      <c r="E517" s="671">
        <v>2017</v>
      </c>
      <c r="F517" s="676">
        <f t="shared" ref="F517:Y517" si="403">SUM(F$509:F$511)*install_2017+F$512*($F577+$F587)</f>
        <v>0</v>
      </c>
      <c r="G517" s="676">
        <f t="shared" si="403"/>
        <v>0</v>
      </c>
      <c r="H517" s="672" t="e">
        <f t="shared" si="403"/>
        <v>#N/A</v>
      </c>
      <c r="I517" s="672" t="e">
        <f t="shared" si="403"/>
        <v>#N/A</v>
      </c>
      <c r="J517" s="672" t="e">
        <f t="shared" si="403"/>
        <v>#N/A</v>
      </c>
      <c r="K517" s="672" t="e">
        <f t="shared" si="403"/>
        <v>#N/A</v>
      </c>
      <c r="L517" s="672" t="e">
        <f t="shared" si="403"/>
        <v>#N/A</v>
      </c>
      <c r="M517" s="672" t="e">
        <f t="shared" si="403"/>
        <v>#N/A</v>
      </c>
      <c r="N517" s="676" t="e">
        <f t="shared" si="403"/>
        <v>#N/A</v>
      </c>
      <c r="O517" s="676" t="e">
        <f t="shared" si="403"/>
        <v>#N/A</v>
      </c>
      <c r="P517" s="676" t="e">
        <f t="shared" si="403"/>
        <v>#N/A</v>
      </c>
      <c r="Q517" s="676" t="e">
        <f t="shared" si="403"/>
        <v>#N/A</v>
      </c>
      <c r="R517" s="676" t="e">
        <f t="shared" si="403"/>
        <v>#N/A</v>
      </c>
      <c r="S517" s="676" t="e">
        <f t="shared" si="403"/>
        <v>#N/A</v>
      </c>
      <c r="T517" s="676" t="e">
        <f t="shared" si="403"/>
        <v>#N/A</v>
      </c>
      <c r="U517" s="676" t="e">
        <f t="shared" si="403"/>
        <v>#N/A</v>
      </c>
      <c r="V517" s="676" t="e">
        <f t="shared" si="403"/>
        <v>#N/A</v>
      </c>
      <c r="W517" s="676" t="e">
        <f t="shared" si="403"/>
        <v>#N/A</v>
      </c>
      <c r="X517" s="676" t="e">
        <f t="shared" si="403"/>
        <v>#N/A</v>
      </c>
      <c r="Y517" s="676" t="e">
        <f t="shared" si="403"/>
        <v>#N/A</v>
      </c>
      <c r="AA517" s="662"/>
      <c r="AB517" s="662"/>
      <c r="AC517" s="662"/>
      <c r="AD517" s="662"/>
      <c r="AE517" s="662"/>
      <c r="AF517" s="662"/>
      <c r="AG517" s="662"/>
      <c r="AH517" s="662"/>
      <c r="AI517" s="662"/>
      <c r="AJ517" s="662"/>
      <c r="AK517" s="662"/>
      <c r="AL517" s="662"/>
    </row>
    <row r="518" spans="1:38" s="660" customFormat="1" ht="15.75" hidden="1" x14ac:dyDescent="0.25">
      <c r="A518" s="659"/>
      <c r="D518" s="670"/>
      <c r="E518" s="671">
        <v>2018</v>
      </c>
      <c r="F518" s="676">
        <f t="shared" ref="F518:Y518" si="404">SUM(F$509:F$511)*install_2018+F$512*($F578+$F588)</f>
        <v>0</v>
      </c>
      <c r="G518" s="676">
        <f t="shared" si="404"/>
        <v>0</v>
      </c>
      <c r="H518" s="672" t="e">
        <f t="shared" si="404"/>
        <v>#N/A</v>
      </c>
      <c r="I518" s="672" t="e">
        <f t="shared" si="404"/>
        <v>#N/A</v>
      </c>
      <c r="J518" s="672" t="e">
        <f t="shared" si="404"/>
        <v>#N/A</v>
      </c>
      <c r="K518" s="672" t="e">
        <f t="shared" si="404"/>
        <v>#N/A</v>
      </c>
      <c r="L518" s="672" t="e">
        <f t="shared" si="404"/>
        <v>#N/A</v>
      </c>
      <c r="M518" s="672" t="e">
        <f t="shared" si="404"/>
        <v>#N/A</v>
      </c>
      <c r="N518" s="676" t="e">
        <f t="shared" si="404"/>
        <v>#N/A</v>
      </c>
      <c r="O518" s="676" t="e">
        <f t="shared" si="404"/>
        <v>#N/A</v>
      </c>
      <c r="P518" s="676" t="e">
        <f t="shared" si="404"/>
        <v>#N/A</v>
      </c>
      <c r="Q518" s="676" t="e">
        <f t="shared" si="404"/>
        <v>#N/A</v>
      </c>
      <c r="R518" s="676" t="e">
        <f t="shared" si="404"/>
        <v>#N/A</v>
      </c>
      <c r="S518" s="676" t="e">
        <f t="shared" si="404"/>
        <v>#N/A</v>
      </c>
      <c r="T518" s="676" t="e">
        <f t="shared" si="404"/>
        <v>#N/A</v>
      </c>
      <c r="U518" s="676" t="e">
        <f t="shared" si="404"/>
        <v>#N/A</v>
      </c>
      <c r="V518" s="676" t="e">
        <f t="shared" si="404"/>
        <v>#N/A</v>
      </c>
      <c r="W518" s="676" t="e">
        <f t="shared" si="404"/>
        <v>#N/A</v>
      </c>
      <c r="X518" s="676" t="e">
        <f t="shared" si="404"/>
        <v>#N/A</v>
      </c>
      <c r="Y518" s="676" t="e">
        <f t="shared" si="404"/>
        <v>#N/A</v>
      </c>
      <c r="AA518" s="662"/>
      <c r="AB518" s="662"/>
      <c r="AC518" s="662"/>
      <c r="AD518" s="662"/>
      <c r="AE518" s="662"/>
      <c r="AF518" s="662"/>
      <c r="AG518" s="662"/>
      <c r="AH518" s="662"/>
      <c r="AI518" s="662"/>
      <c r="AJ518" s="662"/>
      <c r="AK518" s="662"/>
      <c r="AL518" s="662"/>
    </row>
    <row r="519" spans="1:38" s="660" customFormat="1" ht="15.75" hidden="1" x14ac:dyDescent="0.25">
      <c r="A519" s="659"/>
      <c r="D519" s="670"/>
      <c r="E519" s="671">
        <v>2019</v>
      </c>
      <c r="F519" s="676">
        <f t="shared" ref="F519:Y519" si="405">SUM(F$509:F$511)*install_2019+F$512*($F579+$F589)</f>
        <v>0</v>
      </c>
      <c r="G519" s="676">
        <f t="shared" si="405"/>
        <v>0</v>
      </c>
      <c r="H519" s="672" t="e">
        <f t="shared" si="405"/>
        <v>#N/A</v>
      </c>
      <c r="I519" s="672" t="e">
        <f t="shared" si="405"/>
        <v>#N/A</v>
      </c>
      <c r="J519" s="672" t="e">
        <f t="shared" si="405"/>
        <v>#N/A</v>
      </c>
      <c r="K519" s="672" t="e">
        <f t="shared" si="405"/>
        <v>#N/A</v>
      </c>
      <c r="L519" s="672" t="e">
        <f t="shared" si="405"/>
        <v>#N/A</v>
      </c>
      <c r="M519" s="672" t="e">
        <f t="shared" si="405"/>
        <v>#N/A</v>
      </c>
      <c r="N519" s="676" t="e">
        <f t="shared" si="405"/>
        <v>#N/A</v>
      </c>
      <c r="O519" s="676" t="e">
        <f t="shared" si="405"/>
        <v>#N/A</v>
      </c>
      <c r="P519" s="676" t="e">
        <f t="shared" si="405"/>
        <v>#N/A</v>
      </c>
      <c r="Q519" s="676" t="e">
        <f t="shared" si="405"/>
        <v>#N/A</v>
      </c>
      <c r="R519" s="676" t="e">
        <f t="shared" si="405"/>
        <v>#N/A</v>
      </c>
      <c r="S519" s="676" t="e">
        <f t="shared" si="405"/>
        <v>#N/A</v>
      </c>
      <c r="T519" s="676" t="e">
        <f t="shared" si="405"/>
        <v>#N/A</v>
      </c>
      <c r="U519" s="676" t="e">
        <f t="shared" si="405"/>
        <v>#N/A</v>
      </c>
      <c r="V519" s="676" t="e">
        <f t="shared" si="405"/>
        <v>#N/A</v>
      </c>
      <c r="W519" s="676" t="e">
        <f t="shared" si="405"/>
        <v>#N/A</v>
      </c>
      <c r="X519" s="676" t="e">
        <f t="shared" si="405"/>
        <v>#N/A</v>
      </c>
      <c r="Y519" s="676" t="e">
        <f t="shared" si="405"/>
        <v>#N/A</v>
      </c>
      <c r="AA519" s="662"/>
      <c r="AB519" s="662"/>
      <c r="AC519" s="662"/>
      <c r="AD519" s="662"/>
      <c r="AE519" s="662"/>
      <c r="AF519" s="662"/>
      <c r="AG519" s="662"/>
      <c r="AH519" s="662"/>
      <c r="AI519" s="662"/>
      <c r="AJ519" s="662"/>
      <c r="AK519" s="662"/>
      <c r="AL519" s="662"/>
    </row>
    <row r="520" spans="1:38" s="660" customFormat="1" ht="15.75" hidden="1" x14ac:dyDescent="0.25">
      <c r="A520" s="659"/>
      <c r="D520" s="670"/>
      <c r="E520" s="671">
        <v>2020</v>
      </c>
      <c r="F520" s="676">
        <f t="shared" ref="F520:Y520" si="406">SUM(F$509:F$511)*install_2020+F$512*($F580+$F590)</f>
        <v>0</v>
      </c>
      <c r="G520" s="676">
        <f t="shared" si="406"/>
        <v>0</v>
      </c>
      <c r="H520" s="672" t="e">
        <f t="shared" si="406"/>
        <v>#N/A</v>
      </c>
      <c r="I520" s="672" t="e">
        <f t="shared" si="406"/>
        <v>#N/A</v>
      </c>
      <c r="J520" s="672" t="e">
        <f t="shared" si="406"/>
        <v>#N/A</v>
      </c>
      <c r="K520" s="672" t="e">
        <f t="shared" si="406"/>
        <v>#N/A</v>
      </c>
      <c r="L520" s="672" t="e">
        <f t="shared" si="406"/>
        <v>#N/A</v>
      </c>
      <c r="M520" s="672" t="e">
        <f t="shared" si="406"/>
        <v>#N/A</v>
      </c>
      <c r="N520" s="676" t="e">
        <f t="shared" si="406"/>
        <v>#N/A</v>
      </c>
      <c r="O520" s="676" t="e">
        <f t="shared" si="406"/>
        <v>#N/A</v>
      </c>
      <c r="P520" s="676" t="e">
        <f t="shared" si="406"/>
        <v>#N/A</v>
      </c>
      <c r="Q520" s="676" t="e">
        <f t="shared" si="406"/>
        <v>#N/A</v>
      </c>
      <c r="R520" s="676" t="e">
        <f t="shared" si="406"/>
        <v>#N/A</v>
      </c>
      <c r="S520" s="676" t="e">
        <f t="shared" si="406"/>
        <v>#N/A</v>
      </c>
      <c r="T520" s="676" t="e">
        <f t="shared" si="406"/>
        <v>#N/A</v>
      </c>
      <c r="U520" s="676" t="e">
        <f t="shared" si="406"/>
        <v>#N/A</v>
      </c>
      <c r="V520" s="676" t="e">
        <f t="shared" si="406"/>
        <v>#N/A</v>
      </c>
      <c r="W520" s="676" t="e">
        <f t="shared" si="406"/>
        <v>#N/A</v>
      </c>
      <c r="X520" s="676" t="e">
        <f t="shared" si="406"/>
        <v>#N/A</v>
      </c>
      <c r="Y520" s="676" t="e">
        <f t="shared" si="406"/>
        <v>#N/A</v>
      </c>
      <c r="AA520" s="662"/>
      <c r="AB520" s="662"/>
      <c r="AC520" s="662"/>
      <c r="AD520" s="662"/>
      <c r="AE520" s="662"/>
      <c r="AF520" s="662"/>
      <c r="AG520" s="662"/>
      <c r="AH520" s="662"/>
      <c r="AI520" s="662"/>
      <c r="AJ520" s="662"/>
      <c r="AK520" s="662"/>
      <c r="AL520" s="662"/>
    </row>
    <row r="521" spans="1:38" s="222" customFormat="1" ht="15.75" hidden="1" x14ac:dyDescent="0.25">
      <c r="A521" s="130"/>
      <c r="D521" s="272"/>
      <c r="AA521" s="3"/>
      <c r="AB521" s="3"/>
      <c r="AC521" s="3"/>
      <c r="AD521" s="3"/>
      <c r="AE521" s="3"/>
      <c r="AF521" s="3"/>
      <c r="AG521" s="3"/>
      <c r="AH521" s="3"/>
      <c r="AI521" s="3"/>
      <c r="AJ521" s="3"/>
      <c r="AK521" s="3"/>
      <c r="AL521" s="3"/>
    </row>
    <row r="522" spans="1:38" s="619" customFormat="1" ht="15.75" hidden="1" x14ac:dyDescent="0.25">
      <c r="A522" s="644"/>
      <c r="B522" s="527" t="s">
        <v>1570</v>
      </c>
      <c r="D522" s="658" t="s">
        <v>1710</v>
      </c>
      <c r="E522" s="646"/>
      <c r="F522" s="646"/>
      <c r="G522" s="646"/>
      <c r="AA522" s="647"/>
      <c r="AB522" s="647"/>
      <c r="AC522" s="647"/>
      <c r="AD522" s="647"/>
      <c r="AE522" s="647"/>
      <c r="AF522" s="647"/>
      <c r="AG522" s="647"/>
      <c r="AH522" s="647"/>
      <c r="AI522" s="647"/>
      <c r="AJ522" s="647"/>
      <c r="AK522" s="647"/>
      <c r="AL522" s="647"/>
    </row>
    <row r="523" spans="1:38" s="654" customFormat="1" ht="15.75" hidden="1" x14ac:dyDescent="0.25">
      <c r="A523" s="653"/>
      <c r="D523" s="655" t="s">
        <v>412</v>
      </c>
      <c r="E523" s="656" t="s">
        <v>10</v>
      </c>
      <c r="F523" s="656" t="s">
        <v>428</v>
      </c>
      <c r="G523" s="656" t="str">
        <f>G$212</f>
        <v>Cost in 2008 dollars</v>
      </c>
      <c r="H523" s="654" t="s">
        <v>583</v>
      </c>
      <c r="I523" s="654" t="s">
        <v>584</v>
      </c>
      <c r="J523" s="654" t="s">
        <v>585</v>
      </c>
      <c r="K523" s="654" t="s">
        <v>586</v>
      </c>
      <c r="L523" s="654" t="s">
        <v>413</v>
      </c>
      <c r="M523" s="654" t="s">
        <v>414</v>
      </c>
      <c r="N523" s="654" t="s">
        <v>592</v>
      </c>
      <c r="O523" s="654" t="s">
        <v>587</v>
      </c>
      <c r="P523" s="654" t="s">
        <v>588</v>
      </c>
      <c r="Q523" s="654" t="s">
        <v>589</v>
      </c>
      <c r="R523" s="654" t="s">
        <v>590</v>
      </c>
      <c r="S523" s="654" t="s">
        <v>591</v>
      </c>
      <c r="T523" s="654" t="s">
        <v>593</v>
      </c>
      <c r="U523" s="654" t="s">
        <v>594</v>
      </c>
      <c r="V523" s="654" t="s">
        <v>595</v>
      </c>
      <c r="W523" s="654" t="s">
        <v>596</v>
      </c>
      <c r="X523" s="654" t="s">
        <v>597</v>
      </c>
      <c r="Y523" s="654" t="s">
        <v>598</v>
      </c>
      <c r="AA523" s="657"/>
      <c r="AB523" s="657"/>
      <c r="AC523" s="657"/>
      <c r="AD523" s="657"/>
      <c r="AE523" s="657"/>
      <c r="AF523" s="657"/>
      <c r="AG523" s="657"/>
      <c r="AH523" s="657"/>
      <c r="AI523" s="657"/>
      <c r="AJ523" s="657"/>
      <c r="AK523" s="657"/>
      <c r="AL523" s="657"/>
    </row>
    <row r="524" spans="1:38" s="619" customFormat="1" ht="15.75" hidden="1" x14ac:dyDescent="0.25">
      <c r="A524" s="644"/>
      <c r="C524" s="233" t="s">
        <v>440</v>
      </c>
      <c r="D524" s="619" t="s">
        <v>602</v>
      </c>
      <c r="E524" s="619" t="s">
        <v>23</v>
      </c>
      <c r="F524" s="674">
        <f>J147</f>
        <v>0</v>
      </c>
      <c r="G524" s="649">
        <f>F524*$C$593</f>
        <v>0</v>
      </c>
      <c r="H524" s="639" t="e">
        <f>$G524*INDEX(tier_emp_mult, MATCH($D524, tier_emp_code,0), MATCH(State, R_emp, 0))/1000000</f>
        <v>#N/A</v>
      </c>
      <c r="I524" s="639" t="e">
        <f>$G524*INDEX(typeI_emp_mult, MATCH($D524, typeI_emp_code,0), MATCH(State, R_emp, 0))/1000000</f>
        <v>#N/A</v>
      </c>
      <c r="J524" s="639" t="e">
        <f>$G524*INDEX(typeII_emp_mult, MATCH($D524, typeII_emp_code,0), MATCH(State, R_emp, 0))/1000000</f>
        <v>#N/A</v>
      </c>
      <c r="K524" s="639" t="e">
        <f>H524</f>
        <v>#N/A</v>
      </c>
      <c r="L524" s="639" t="e">
        <f>I524-H524</f>
        <v>#N/A</v>
      </c>
      <c r="M524" s="639" t="e">
        <f>J524-I524</f>
        <v>#N/A</v>
      </c>
      <c r="N524" s="622" t="e">
        <f>$G524*INDEX(tier_earn_mult, MATCH($D524, tier_earn_code,0), MATCH(State, R_earn, 0))</f>
        <v>#N/A</v>
      </c>
      <c r="O524" s="622" t="e">
        <f>$G524*INDEX(typeI_earn_mult, MATCH($D524, typeI_earn_code,0), MATCH(State, R_earn, 0))</f>
        <v>#N/A</v>
      </c>
      <c r="P524" s="622" t="e">
        <f>$G524*INDEX(typeII_earn_mult, MATCH($D524, typeII_earn_code,0), MATCH(State, R_earn, 0))</f>
        <v>#N/A</v>
      </c>
      <c r="Q524" s="624" t="e">
        <f>N524</f>
        <v>#N/A</v>
      </c>
      <c r="R524" s="624" t="e">
        <f>O524-N524</f>
        <v>#N/A</v>
      </c>
      <c r="S524" s="624" t="e">
        <f>P524-O524</f>
        <v>#N/A</v>
      </c>
      <c r="T524" s="622" t="e">
        <f>$G524*INDEX(tier_out_mult, MATCH($D524, tier_out_code,0), MATCH(State, R_out, 0))</f>
        <v>#N/A</v>
      </c>
      <c r="U524" s="622" t="e">
        <f>$G524*INDEX(typeI_out_mult, MATCH($D524, typeI_out_code,0), MATCH(State, R_out, 0))</f>
        <v>#N/A</v>
      </c>
      <c r="V524" s="622" t="e">
        <f>$G524*INDEX(typeII_out_mult, MATCH($D524, typeII_out_code,0), MATCH(State, R_out, 0))</f>
        <v>#N/A</v>
      </c>
      <c r="W524" s="624" t="e">
        <f>T524</f>
        <v>#N/A</v>
      </c>
      <c r="X524" s="624" t="e">
        <f>U524-T524</f>
        <v>#N/A</v>
      </c>
      <c r="Y524" s="624" t="e">
        <f>V524-U524</f>
        <v>#N/A</v>
      </c>
      <c r="AA524" s="647"/>
      <c r="AB524" s="647"/>
      <c r="AC524" s="647"/>
      <c r="AD524" s="647"/>
      <c r="AE524" s="647"/>
      <c r="AF524" s="647"/>
      <c r="AG524" s="647"/>
      <c r="AH524" s="647"/>
      <c r="AI524" s="647"/>
      <c r="AJ524" s="647"/>
      <c r="AK524" s="647"/>
      <c r="AL524" s="647"/>
    </row>
    <row r="525" spans="1:38" s="619" customFormat="1" ht="15.75" hidden="1" x14ac:dyDescent="0.25">
      <c r="A525" s="644"/>
      <c r="C525" s="233" t="s">
        <v>441</v>
      </c>
      <c r="D525" s="619" t="s">
        <v>602</v>
      </c>
      <c r="E525" s="619" t="s">
        <v>23</v>
      </c>
      <c r="F525" s="674">
        <f>J149</f>
        <v>0</v>
      </c>
      <c r="G525" s="649">
        <f>F525*$C$593</f>
        <v>0</v>
      </c>
      <c r="H525" s="639" t="e">
        <f>$G525*INDEX(tier_emp_mult, MATCH($D525, tier_emp_code,0), MATCH(State, R_emp, 0))/1000000</f>
        <v>#N/A</v>
      </c>
      <c r="I525" s="639" t="e">
        <f>$G525*INDEX(typeI_emp_mult, MATCH($D525, typeI_emp_code,0), MATCH(State, R_emp, 0))/1000000</f>
        <v>#N/A</v>
      </c>
      <c r="J525" s="639" t="e">
        <f>$G525*INDEX(typeII_emp_mult, MATCH($D525, typeII_emp_code,0), MATCH(State, R_emp, 0))/1000000</f>
        <v>#N/A</v>
      </c>
      <c r="K525" s="639" t="e">
        <f>H525</f>
        <v>#N/A</v>
      </c>
      <c r="L525" s="639" t="e">
        <f>I525-H525</f>
        <v>#N/A</v>
      </c>
      <c r="M525" s="639" t="e">
        <f>J525-I525</f>
        <v>#N/A</v>
      </c>
      <c r="N525" s="622" t="e">
        <f>$G525*INDEX(tier_earn_mult, MATCH($D525, tier_earn_code,0), MATCH(State, R_earn, 0))</f>
        <v>#N/A</v>
      </c>
      <c r="O525" s="622" t="e">
        <f>$G525*INDEX(typeI_earn_mult, MATCH($D525, typeI_earn_code,0), MATCH(State, R_earn, 0))</f>
        <v>#N/A</v>
      </c>
      <c r="P525" s="622" t="e">
        <f>$G525*INDEX(typeII_earn_mult, MATCH($D525, typeII_earn_code,0), MATCH(State, R_earn, 0))</f>
        <v>#N/A</v>
      </c>
      <c r="Q525" s="624" t="e">
        <f>N525</f>
        <v>#N/A</v>
      </c>
      <c r="R525" s="624" t="e">
        <f>O525-N525</f>
        <v>#N/A</v>
      </c>
      <c r="S525" s="624" t="e">
        <f>P525-O525</f>
        <v>#N/A</v>
      </c>
      <c r="T525" s="622" t="e">
        <f>$G525*INDEX(tier_out_mult, MATCH($D525, tier_out_code,0), MATCH(State, R_out, 0))</f>
        <v>#N/A</v>
      </c>
      <c r="U525" s="622" t="e">
        <f>$G525*INDEX(typeI_out_mult, MATCH($D525, typeI_out_code,0), MATCH(State, R_out, 0))</f>
        <v>#N/A</v>
      </c>
      <c r="V525" s="622" t="e">
        <f>$G525*INDEX(typeII_out_mult, MATCH($D525, typeII_out_code,0), MATCH(State, R_out, 0))</f>
        <v>#N/A</v>
      </c>
      <c r="W525" s="624" t="e">
        <f>T525</f>
        <v>#N/A</v>
      </c>
      <c r="X525" s="624" t="e">
        <f>U525-T525</f>
        <v>#N/A</v>
      </c>
      <c r="Y525" s="624" t="e">
        <f>V525-U525</f>
        <v>#N/A</v>
      </c>
      <c r="AA525" s="647"/>
      <c r="AB525" s="647"/>
      <c r="AC525" s="647"/>
      <c r="AD525" s="647"/>
      <c r="AE525" s="647"/>
      <c r="AF525" s="647"/>
      <c r="AG525" s="647"/>
      <c r="AH525" s="647"/>
      <c r="AI525" s="647"/>
      <c r="AJ525" s="647"/>
      <c r="AK525" s="647"/>
      <c r="AL525" s="647"/>
    </row>
    <row r="526" spans="1:38" s="619" customFormat="1" ht="15.75" hidden="1" x14ac:dyDescent="0.25">
      <c r="A526" s="644"/>
      <c r="D526" s="675"/>
      <c r="AA526" s="647"/>
      <c r="AB526" s="647"/>
      <c r="AC526" s="647"/>
      <c r="AD526" s="647"/>
      <c r="AE526" s="647"/>
      <c r="AF526" s="647"/>
      <c r="AG526" s="647"/>
      <c r="AH526" s="647"/>
      <c r="AI526" s="647"/>
      <c r="AJ526" s="647"/>
      <c r="AK526" s="647"/>
      <c r="AL526" s="647"/>
    </row>
    <row r="527" spans="1:38" s="619" customFormat="1" ht="15.75" hidden="1" x14ac:dyDescent="0.25">
      <c r="A527" s="644"/>
      <c r="D527" s="645" t="s">
        <v>436</v>
      </c>
      <c r="E527" s="646"/>
      <c r="AA527" s="647"/>
      <c r="AB527" s="647"/>
      <c r="AC527" s="647"/>
      <c r="AD527" s="647"/>
      <c r="AE527" s="647"/>
      <c r="AF527" s="647"/>
      <c r="AG527" s="647"/>
      <c r="AH527" s="647"/>
      <c r="AI527" s="647"/>
      <c r="AJ527" s="647"/>
      <c r="AK527" s="647"/>
      <c r="AL527" s="647"/>
    </row>
    <row r="528" spans="1:38" s="619" customFormat="1" ht="15.75" hidden="1" x14ac:dyDescent="0.25">
      <c r="A528" s="644"/>
      <c r="D528" s="650"/>
      <c r="E528" s="651">
        <v>2015</v>
      </c>
      <c r="F528" s="674">
        <f t="shared" ref="F528:Y528" si="407">$H575*F$524+$H585*F$525</f>
        <v>0</v>
      </c>
      <c r="G528" s="674">
        <f t="shared" si="407"/>
        <v>0</v>
      </c>
      <c r="H528" s="639" t="e">
        <f t="shared" si="407"/>
        <v>#N/A</v>
      </c>
      <c r="I528" s="639" t="e">
        <f t="shared" si="407"/>
        <v>#N/A</v>
      </c>
      <c r="J528" s="639" t="e">
        <f t="shared" si="407"/>
        <v>#N/A</v>
      </c>
      <c r="K528" s="639" t="e">
        <f t="shared" si="407"/>
        <v>#N/A</v>
      </c>
      <c r="L528" s="639" t="e">
        <f t="shared" si="407"/>
        <v>#N/A</v>
      </c>
      <c r="M528" s="639" t="e">
        <f t="shared" si="407"/>
        <v>#N/A</v>
      </c>
      <c r="N528" s="674" t="e">
        <f t="shared" si="407"/>
        <v>#N/A</v>
      </c>
      <c r="O528" s="674" t="e">
        <f t="shared" si="407"/>
        <v>#N/A</v>
      </c>
      <c r="P528" s="674" t="e">
        <f t="shared" si="407"/>
        <v>#N/A</v>
      </c>
      <c r="Q528" s="674" t="e">
        <f t="shared" si="407"/>
        <v>#N/A</v>
      </c>
      <c r="R528" s="674" t="e">
        <f t="shared" si="407"/>
        <v>#N/A</v>
      </c>
      <c r="S528" s="674" t="e">
        <f t="shared" si="407"/>
        <v>#N/A</v>
      </c>
      <c r="T528" s="674" t="e">
        <f t="shared" si="407"/>
        <v>#N/A</v>
      </c>
      <c r="U528" s="674" t="e">
        <f t="shared" si="407"/>
        <v>#N/A</v>
      </c>
      <c r="V528" s="674" t="e">
        <f t="shared" si="407"/>
        <v>#N/A</v>
      </c>
      <c r="W528" s="674" t="e">
        <f t="shared" si="407"/>
        <v>#N/A</v>
      </c>
      <c r="X528" s="674" t="e">
        <f t="shared" si="407"/>
        <v>#N/A</v>
      </c>
      <c r="Y528" s="674" t="e">
        <f t="shared" si="407"/>
        <v>#N/A</v>
      </c>
      <c r="AA528" s="647"/>
      <c r="AB528" s="647"/>
      <c r="AC528" s="647"/>
      <c r="AD528" s="647"/>
      <c r="AE528" s="647"/>
      <c r="AF528" s="647"/>
      <c r="AG528" s="647"/>
      <c r="AH528" s="647"/>
      <c r="AI528" s="647"/>
      <c r="AJ528" s="647"/>
      <c r="AK528" s="647"/>
      <c r="AL528" s="647"/>
    </row>
    <row r="529" spans="1:38" s="619" customFormat="1" ht="15.75" hidden="1" x14ac:dyDescent="0.25">
      <c r="A529" s="644"/>
      <c r="D529" s="650"/>
      <c r="E529" s="651">
        <v>2016</v>
      </c>
      <c r="F529" s="674">
        <f t="shared" ref="F529:Y529" si="408">$H576*F$524+$H586*F$525</f>
        <v>0</v>
      </c>
      <c r="G529" s="674">
        <f t="shared" si="408"/>
        <v>0</v>
      </c>
      <c r="H529" s="639" t="e">
        <f t="shared" si="408"/>
        <v>#N/A</v>
      </c>
      <c r="I529" s="639" t="e">
        <f t="shared" si="408"/>
        <v>#N/A</v>
      </c>
      <c r="J529" s="639" t="e">
        <f t="shared" si="408"/>
        <v>#N/A</v>
      </c>
      <c r="K529" s="639" t="e">
        <f t="shared" si="408"/>
        <v>#N/A</v>
      </c>
      <c r="L529" s="639" t="e">
        <f t="shared" si="408"/>
        <v>#N/A</v>
      </c>
      <c r="M529" s="639" t="e">
        <f t="shared" si="408"/>
        <v>#N/A</v>
      </c>
      <c r="N529" s="674" t="e">
        <f t="shared" si="408"/>
        <v>#N/A</v>
      </c>
      <c r="O529" s="674" t="e">
        <f t="shared" si="408"/>
        <v>#N/A</v>
      </c>
      <c r="P529" s="674" t="e">
        <f t="shared" si="408"/>
        <v>#N/A</v>
      </c>
      <c r="Q529" s="674" t="e">
        <f t="shared" si="408"/>
        <v>#N/A</v>
      </c>
      <c r="R529" s="674" t="e">
        <f t="shared" si="408"/>
        <v>#N/A</v>
      </c>
      <c r="S529" s="674" t="e">
        <f t="shared" si="408"/>
        <v>#N/A</v>
      </c>
      <c r="T529" s="674" t="e">
        <f t="shared" si="408"/>
        <v>#N/A</v>
      </c>
      <c r="U529" s="674" t="e">
        <f t="shared" si="408"/>
        <v>#N/A</v>
      </c>
      <c r="V529" s="674" t="e">
        <f t="shared" si="408"/>
        <v>#N/A</v>
      </c>
      <c r="W529" s="674" t="e">
        <f t="shared" si="408"/>
        <v>#N/A</v>
      </c>
      <c r="X529" s="674" t="e">
        <f t="shared" si="408"/>
        <v>#N/A</v>
      </c>
      <c r="Y529" s="674" t="e">
        <f t="shared" si="408"/>
        <v>#N/A</v>
      </c>
      <c r="AA529" s="647"/>
      <c r="AB529" s="647"/>
      <c r="AC529" s="647"/>
      <c r="AD529" s="647"/>
      <c r="AE529" s="647"/>
      <c r="AF529" s="647"/>
      <c r="AG529" s="647"/>
      <c r="AH529" s="647"/>
      <c r="AI529" s="647"/>
      <c r="AJ529" s="647"/>
      <c r="AK529" s="647"/>
      <c r="AL529" s="647"/>
    </row>
    <row r="530" spans="1:38" s="619" customFormat="1" ht="15.75" hidden="1" x14ac:dyDescent="0.25">
      <c r="A530" s="644"/>
      <c r="D530" s="650"/>
      <c r="E530" s="651">
        <v>2017</v>
      </c>
      <c r="F530" s="674">
        <f t="shared" ref="F530:Y530" si="409">$H577*F$524+$H587*F$525</f>
        <v>0</v>
      </c>
      <c r="G530" s="674">
        <f t="shared" si="409"/>
        <v>0</v>
      </c>
      <c r="H530" s="639" t="e">
        <f t="shared" si="409"/>
        <v>#N/A</v>
      </c>
      <c r="I530" s="639" t="e">
        <f t="shared" si="409"/>
        <v>#N/A</v>
      </c>
      <c r="J530" s="639" t="e">
        <f t="shared" si="409"/>
        <v>#N/A</v>
      </c>
      <c r="K530" s="639" t="e">
        <f t="shared" si="409"/>
        <v>#N/A</v>
      </c>
      <c r="L530" s="639" t="e">
        <f t="shared" si="409"/>
        <v>#N/A</v>
      </c>
      <c r="M530" s="639" t="e">
        <f t="shared" si="409"/>
        <v>#N/A</v>
      </c>
      <c r="N530" s="674" t="e">
        <f t="shared" si="409"/>
        <v>#N/A</v>
      </c>
      <c r="O530" s="674" t="e">
        <f t="shared" si="409"/>
        <v>#N/A</v>
      </c>
      <c r="P530" s="674" t="e">
        <f t="shared" si="409"/>
        <v>#N/A</v>
      </c>
      <c r="Q530" s="674" t="e">
        <f t="shared" si="409"/>
        <v>#N/A</v>
      </c>
      <c r="R530" s="674" t="e">
        <f t="shared" si="409"/>
        <v>#N/A</v>
      </c>
      <c r="S530" s="674" t="e">
        <f t="shared" si="409"/>
        <v>#N/A</v>
      </c>
      <c r="T530" s="674" t="e">
        <f t="shared" si="409"/>
        <v>#N/A</v>
      </c>
      <c r="U530" s="674" t="e">
        <f t="shared" si="409"/>
        <v>#N/A</v>
      </c>
      <c r="V530" s="674" t="e">
        <f t="shared" si="409"/>
        <v>#N/A</v>
      </c>
      <c r="W530" s="674" t="e">
        <f t="shared" si="409"/>
        <v>#N/A</v>
      </c>
      <c r="X530" s="674" t="e">
        <f t="shared" si="409"/>
        <v>#N/A</v>
      </c>
      <c r="Y530" s="674" t="e">
        <f t="shared" si="409"/>
        <v>#N/A</v>
      </c>
      <c r="AA530" s="647"/>
      <c r="AB530" s="647"/>
      <c r="AC530" s="647"/>
      <c r="AD530" s="647"/>
      <c r="AE530" s="647"/>
      <c r="AF530" s="647"/>
      <c r="AG530" s="647"/>
      <c r="AH530" s="647"/>
      <c r="AI530" s="647"/>
      <c r="AJ530" s="647"/>
      <c r="AK530" s="647"/>
      <c r="AL530" s="647"/>
    </row>
    <row r="531" spans="1:38" s="619" customFormat="1" ht="15.75" hidden="1" x14ac:dyDescent="0.25">
      <c r="A531" s="644"/>
      <c r="D531" s="650"/>
      <c r="E531" s="651">
        <v>2018</v>
      </c>
      <c r="F531" s="674">
        <f t="shared" ref="F531:Y531" si="410">$H578*F$524+$H588*F$525</f>
        <v>0</v>
      </c>
      <c r="G531" s="674">
        <f t="shared" si="410"/>
        <v>0</v>
      </c>
      <c r="H531" s="639" t="e">
        <f t="shared" si="410"/>
        <v>#N/A</v>
      </c>
      <c r="I531" s="639" t="e">
        <f t="shared" si="410"/>
        <v>#N/A</v>
      </c>
      <c r="J531" s="639" t="e">
        <f t="shared" si="410"/>
        <v>#N/A</v>
      </c>
      <c r="K531" s="639" t="e">
        <f t="shared" si="410"/>
        <v>#N/A</v>
      </c>
      <c r="L531" s="639" t="e">
        <f t="shared" si="410"/>
        <v>#N/A</v>
      </c>
      <c r="M531" s="639" t="e">
        <f t="shared" si="410"/>
        <v>#N/A</v>
      </c>
      <c r="N531" s="674" t="e">
        <f t="shared" si="410"/>
        <v>#N/A</v>
      </c>
      <c r="O531" s="674" t="e">
        <f t="shared" si="410"/>
        <v>#N/A</v>
      </c>
      <c r="P531" s="674" t="e">
        <f t="shared" si="410"/>
        <v>#N/A</v>
      </c>
      <c r="Q531" s="674" t="e">
        <f t="shared" si="410"/>
        <v>#N/A</v>
      </c>
      <c r="R531" s="674" t="e">
        <f t="shared" si="410"/>
        <v>#N/A</v>
      </c>
      <c r="S531" s="674" t="e">
        <f t="shared" si="410"/>
        <v>#N/A</v>
      </c>
      <c r="T531" s="674" t="e">
        <f t="shared" si="410"/>
        <v>#N/A</v>
      </c>
      <c r="U531" s="674" t="e">
        <f t="shared" si="410"/>
        <v>#N/A</v>
      </c>
      <c r="V531" s="674" t="e">
        <f t="shared" si="410"/>
        <v>#N/A</v>
      </c>
      <c r="W531" s="674" t="e">
        <f t="shared" si="410"/>
        <v>#N/A</v>
      </c>
      <c r="X531" s="674" t="e">
        <f t="shared" si="410"/>
        <v>#N/A</v>
      </c>
      <c r="Y531" s="674" t="e">
        <f t="shared" si="410"/>
        <v>#N/A</v>
      </c>
      <c r="AA531" s="647"/>
      <c r="AB531" s="647"/>
      <c r="AC531" s="647"/>
      <c r="AD531" s="647"/>
      <c r="AE531" s="647"/>
      <c r="AF531" s="647"/>
      <c r="AG531" s="647"/>
      <c r="AH531" s="647"/>
      <c r="AI531" s="647"/>
      <c r="AJ531" s="647"/>
      <c r="AK531" s="647"/>
      <c r="AL531" s="647"/>
    </row>
    <row r="532" spans="1:38" s="619" customFormat="1" ht="15.75" hidden="1" x14ac:dyDescent="0.25">
      <c r="A532" s="644"/>
      <c r="D532" s="650"/>
      <c r="E532" s="651">
        <v>2019</v>
      </c>
      <c r="F532" s="674">
        <f t="shared" ref="F532:Y532" si="411">$H579*F$524+$H589*F$525</f>
        <v>0</v>
      </c>
      <c r="G532" s="674">
        <f t="shared" si="411"/>
        <v>0</v>
      </c>
      <c r="H532" s="639" t="e">
        <f t="shared" si="411"/>
        <v>#N/A</v>
      </c>
      <c r="I532" s="639" t="e">
        <f t="shared" si="411"/>
        <v>#N/A</v>
      </c>
      <c r="J532" s="639" t="e">
        <f t="shared" si="411"/>
        <v>#N/A</v>
      </c>
      <c r="K532" s="639" t="e">
        <f t="shared" si="411"/>
        <v>#N/A</v>
      </c>
      <c r="L532" s="639" t="e">
        <f t="shared" si="411"/>
        <v>#N/A</v>
      </c>
      <c r="M532" s="639" t="e">
        <f t="shared" si="411"/>
        <v>#N/A</v>
      </c>
      <c r="N532" s="674" t="e">
        <f t="shared" si="411"/>
        <v>#N/A</v>
      </c>
      <c r="O532" s="674" t="e">
        <f t="shared" si="411"/>
        <v>#N/A</v>
      </c>
      <c r="P532" s="674" t="e">
        <f t="shared" si="411"/>
        <v>#N/A</v>
      </c>
      <c r="Q532" s="674" t="e">
        <f t="shared" si="411"/>
        <v>#N/A</v>
      </c>
      <c r="R532" s="674" t="e">
        <f t="shared" si="411"/>
        <v>#N/A</v>
      </c>
      <c r="S532" s="674" t="e">
        <f t="shared" si="411"/>
        <v>#N/A</v>
      </c>
      <c r="T532" s="674" t="e">
        <f t="shared" si="411"/>
        <v>#N/A</v>
      </c>
      <c r="U532" s="674" t="e">
        <f t="shared" si="411"/>
        <v>#N/A</v>
      </c>
      <c r="V532" s="674" t="e">
        <f t="shared" si="411"/>
        <v>#N/A</v>
      </c>
      <c r="W532" s="674" t="e">
        <f t="shared" si="411"/>
        <v>#N/A</v>
      </c>
      <c r="X532" s="674" t="e">
        <f t="shared" si="411"/>
        <v>#N/A</v>
      </c>
      <c r="Y532" s="674" t="e">
        <f t="shared" si="411"/>
        <v>#N/A</v>
      </c>
      <c r="AA532" s="647"/>
      <c r="AB532" s="647"/>
      <c r="AC532" s="647"/>
      <c r="AD532" s="647"/>
      <c r="AE532" s="647"/>
      <c r="AF532" s="647"/>
      <c r="AG532" s="647"/>
      <c r="AH532" s="647"/>
      <c r="AI532" s="647"/>
      <c r="AJ532" s="647"/>
      <c r="AK532" s="647"/>
      <c r="AL532" s="647"/>
    </row>
    <row r="533" spans="1:38" s="619" customFormat="1" ht="15.75" hidden="1" x14ac:dyDescent="0.25">
      <c r="A533" s="644"/>
      <c r="D533" s="650"/>
      <c r="E533" s="651">
        <v>2020</v>
      </c>
      <c r="F533" s="674">
        <f t="shared" ref="F533:Y533" si="412">$H580*F$524+$H590*F$525</f>
        <v>0</v>
      </c>
      <c r="G533" s="674">
        <f t="shared" si="412"/>
        <v>0</v>
      </c>
      <c r="H533" s="639" t="e">
        <f t="shared" si="412"/>
        <v>#N/A</v>
      </c>
      <c r="I533" s="639" t="e">
        <f t="shared" si="412"/>
        <v>#N/A</v>
      </c>
      <c r="J533" s="639" t="e">
        <f t="shared" si="412"/>
        <v>#N/A</v>
      </c>
      <c r="K533" s="639" t="e">
        <f t="shared" si="412"/>
        <v>#N/A</v>
      </c>
      <c r="L533" s="639" t="e">
        <f t="shared" si="412"/>
        <v>#N/A</v>
      </c>
      <c r="M533" s="639" t="e">
        <f t="shared" si="412"/>
        <v>#N/A</v>
      </c>
      <c r="N533" s="674" t="e">
        <f t="shared" si="412"/>
        <v>#N/A</v>
      </c>
      <c r="O533" s="674" t="e">
        <f t="shared" si="412"/>
        <v>#N/A</v>
      </c>
      <c r="P533" s="674" t="e">
        <f t="shared" si="412"/>
        <v>#N/A</v>
      </c>
      <c r="Q533" s="674" t="e">
        <f t="shared" si="412"/>
        <v>#N/A</v>
      </c>
      <c r="R533" s="674" t="e">
        <f t="shared" si="412"/>
        <v>#N/A</v>
      </c>
      <c r="S533" s="674" t="e">
        <f t="shared" si="412"/>
        <v>#N/A</v>
      </c>
      <c r="T533" s="674" t="e">
        <f t="shared" si="412"/>
        <v>#N/A</v>
      </c>
      <c r="U533" s="674" t="e">
        <f t="shared" si="412"/>
        <v>#N/A</v>
      </c>
      <c r="V533" s="674" t="e">
        <f t="shared" si="412"/>
        <v>#N/A</v>
      </c>
      <c r="W533" s="674" t="e">
        <f t="shared" si="412"/>
        <v>#N/A</v>
      </c>
      <c r="X533" s="674" t="e">
        <f t="shared" si="412"/>
        <v>#N/A</v>
      </c>
      <c r="Y533" s="674" t="e">
        <f t="shared" si="412"/>
        <v>#N/A</v>
      </c>
      <c r="AA533" s="647"/>
      <c r="AB533" s="647"/>
      <c r="AC533" s="647"/>
      <c r="AD533" s="647"/>
      <c r="AE533" s="647"/>
      <c r="AF533" s="647"/>
      <c r="AG533" s="647"/>
      <c r="AH533" s="647"/>
      <c r="AI533" s="647"/>
      <c r="AJ533" s="647"/>
      <c r="AK533" s="647"/>
      <c r="AL533" s="647"/>
    </row>
    <row r="534" spans="1:38" s="222" customFormat="1" ht="15.75" hidden="1" x14ac:dyDescent="0.25">
      <c r="A534" s="130"/>
      <c r="D534" s="272"/>
      <c r="AA534" s="3"/>
      <c r="AB534" s="3"/>
      <c r="AC534" s="3"/>
      <c r="AD534" s="3"/>
      <c r="AE534" s="3"/>
      <c r="AF534" s="3"/>
      <c r="AG534" s="3"/>
      <c r="AH534" s="3"/>
      <c r="AI534" s="3"/>
      <c r="AJ534" s="3"/>
      <c r="AK534" s="3"/>
      <c r="AL534" s="3"/>
    </row>
    <row r="535" spans="1:38" s="222" customFormat="1" ht="15.75" hidden="1" x14ac:dyDescent="0.25">
      <c r="A535" s="130"/>
      <c r="D535" s="272"/>
      <c r="AA535" s="3"/>
      <c r="AB535" s="3"/>
      <c r="AC535" s="3"/>
      <c r="AD535" s="3"/>
      <c r="AE535" s="3"/>
      <c r="AF535" s="3"/>
      <c r="AG535" s="3"/>
      <c r="AH535" s="3"/>
      <c r="AI535" s="3"/>
      <c r="AJ535" s="3"/>
      <c r="AK535" s="3"/>
      <c r="AL535" s="3"/>
    </row>
    <row r="536" spans="1:38" s="660" customFormat="1" ht="15.75" hidden="1" x14ac:dyDescent="0.25">
      <c r="A536" s="659"/>
      <c r="B536" s="527" t="s">
        <v>1570</v>
      </c>
      <c r="D536" s="661" t="s">
        <v>1715</v>
      </c>
      <c r="E536" s="269"/>
      <c r="F536" s="269"/>
      <c r="G536" s="269"/>
      <c r="AA536" s="662"/>
      <c r="AB536" s="662"/>
      <c r="AC536" s="662"/>
      <c r="AD536" s="662"/>
      <c r="AE536" s="662"/>
      <c r="AF536" s="662"/>
      <c r="AG536" s="662"/>
      <c r="AH536" s="662"/>
      <c r="AI536" s="662"/>
      <c r="AJ536" s="662"/>
      <c r="AK536" s="662"/>
      <c r="AL536" s="662"/>
    </row>
    <row r="537" spans="1:38" s="664" customFormat="1" ht="15.75" hidden="1" x14ac:dyDescent="0.25">
      <c r="A537" s="663"/>
      <c r="D537" s="665" t="s">
        <v>412</v>
      </c>
      <c r="E537" s="666" t="s">
        <v>10</v>
      </c>
      <c r="F537" s="666" t="s">
        <v>428</v>
      </c>
      <c r="G537" s="666" t="str">
        <f>G$212</f>
        <v>Cost in 2008 dollars</v>
      </c>
      <c r="H537" s="664" t="s">
        <v>583</v>
      </c>
      <c r="I537" s="664" t="s">
        <v>584</v>
      </c>
      <c r="J537" s="664" t="s">
        <v>585</v>
      </c>
      <c r="K537" s="664" t="s">
        <v>586</v>
      </c>
      <c r="L537" s="664" t="s">
        <v>413</v>
      </c>
      <c r="M537" s="664" t="s">
        <v>414</v>
      </c>
      <c r="N537" s="664" t="s">
        <v>592</v>
      </c>
      <c r="O537" s="664" t="s">
        <v>587</v>
      </c>
      <c r="P537" s="664" t="s">
        <v>588</v>
      </c>
      <c r="Q537" s="664" t="s">
        <v>589</v>
      </c>
      <c r="R537" s="664" t="s">
        <v>590</v>
      </c>
      <c r="S537" s="664" t="s">
        <v>591</v>
      </c>
      <c r="T537" s="664" t="s">
        <v>593</v>
      </c>
      <c r="U537" s="664" t="s">
        <v>594</v>
      </c>
      <c r="V537" s="664" t="s">
        <v>595</v>
      </c>
      <c r="W537" s="664" t="s">
        <v>596</v>
      </c>
      <c r="X537" s="664" t="s">
        <v>597</v>
      </c>
      <c r="Y537" s="664" t="s">
        <v>598</v>
      </c>
      <c r="AA537" s="667"/>
      <c r="AB537" s="667"/>
      <c r="AC537" s="667"/>
      <c r="AD537" s="667"/>
      <c r="AE537" s="667"/>
      <c r="AF537" s="667"/>
      <c r="AG537" s="667"/>
      <c r="AH537" s="667"/>
      <c r="AI537" s="667"/>
      <c r="AJ537" s="667"/>
      <c r="AK537" s="667"/>
      <c r="AL537" s="667"/>
    </row>
    <row r="538" spans="1:38" s="660" customFormat="1" ht="15.75" hidden="1" x14ac:dyDescent="0.25">
      <c r="A538" s="659"/>
      <c r="C538" s="233" t="s">
        <v>440</v>
      </c>
      <c r="D538" s="668">
        <v>811300</v>
      </c>
      <c r="E538" s="660" t="s">
        <v>351</v>
      </c>
      <c r="F538" s="669">
        <f>J151</f>
        <v>0</v>
      </c>
      <c r="G538" s="669">
        <f>F538*$C$593</f>
        <v>0</v>
      </c>
      <c r="H538" s="631" t="e">
        <f>$G538*INDEX(tier_emp_mult, MATCH($D538, tier_emp_code,0), MATCH(State, R_emp, 0))/1000000</f>
        <v>#N/A</v>
      </c>
      <c r="I538" s="631" t="e">
        <f>$G538*INDEX(typeI_emp_mult, MATCH($D538, typeI_emp_code,0), MATCH(State, R_emp, 0))/1000000</f>
        <v>#N/A</v>
      </c>
      <c r="J538" s="631" t="e">
        <f>$G538*INDEX(typeII_emp_mult, MATCH($D538, typeII_emp_code,0), MATCH(State, R_emp, 0))/1000000</f>
        <v>#N/A</v>
      </c>
      <c r="K538" s="632" t="e">
        <f>H538</f>
        <v>#N/A</v>
      </c>
      <c r="L538" s="632" t="e">
        <f>I538-H538</f>
        <v>#N/A</v>
      </c>
      <c r="M538" s="632" t="e">
        <f>J538-I538</f>
        <v>#N/A</v>
      </c>
      <c r="N538" s="631" t="e">
        <f>$G538*INDEX(tier_earn_mult, MATCH($D538, tier_earn_code,0), MATCH(State, R_earn, 0))</f>
        <v>#N/A</v>
      </c>
      <c r="O538" s="631" t="e">
        <f>$G538*INDEX(typeI_earn_mult, MATCH($D538, typeI_earn_code,0), MATCH(State, R_earn, 0))</f>
        <v>#N/A</v>
      </c>
      <c r="P538" s="631" t="e">
        <f>$G538*INDEX(typeII_earn_mult, MATCH($D538, typeII_earn_code,0), MATCH(State, R_earn, 0))</f>
        <v>#N/A</v>
      </c>
      <c r="Q538" s="633" t="e">
        <f>N538</f>
        <v>#N/A</v>
      </c>
      <c r="R538" s="633" t="e">
        <f>O538-N538</f>
        <v>#N/A</v>
      </c>
      <c r="S538" s="633" t="e">
        <f>P538-O538</f>
        <v>#N/A</v>
      </c>
      <c r="T538" s="631" t="e">
        <f>$G538*INDEX(tier_out_mult, MATCH($D538, tier_out_code,0), MATCH(State, R_out, 0))</f>
        <v>#N/A</v>
      </c>
      <c r="U538" s="631" t="e">
        <f>$G538*INDEX(typeI_out_mult, MATCH($D538, typeI_out_code,0), MATCH(State, R_out, 0))</f>
        <v>#N/A</v>
      </c>
      <c r="V538" s="631" t="e">
        <f>$G538*INDEX(typeII_out_mult, MATCH($D538, typeII_out_code,0), MATCH(State, R_out, 0))</f>
        <v>#N/A</v>
      </c>
      <c r="W538" s="633" t="e">
        <f>T538</f>
        <v>#N/A</v>
      </c>
      <c r="X538" s="633" t="e">
        <f>U538-T538</f>
        <v>#N/A</v>
      </c>
      <c r="Y538" s="633" t="e">
        <f>V538-U538</f>
        <v>#N/A</v>
      </c>
      <c r="AA538" s="662"/>
      <c r="AB538" s="662"/>
      <c r="AC538" s="662"/>
      <c r="AD538" s="662"/>
      <c r="AE538" s="662"/>
      <c r="AF538" s="662"/>
      <c r="AG538" s="662"/>
      <c r="AH538" s="662"/>
      <c r="AI538" s="662"/>
      <c r="AJ538" s="662"/>
      <c r="AK538" s="662"/>
      <c r="AL538" s="662"/>
    </row>
    <row r="539" spans="1:38" s="660" customFormat="1" ht="15.75" hidden="1" x14ac:dyDescent="0.25">
      <c r="A539" s="659"/>
      <c r="C539" s="233" t="s">
        <v>441</v>
      </c>
      <c r="D539" s="668">
        <v>811300</v>
      </c>
      <c r="E539" s="660" t="s">
        <v>351</v>
      </c>
      <c r="F539" s="669">
        <f>J152</f>
        <v>0</v>
      </c>
      <c r="G539" s="669">
        <f>F539*$C$593</f>
        <v>0</v>
      </c>
      <c r="H539" s="631" t="e">
        <f>$G539*INDEX(tier_emp_mult, MATCH($D539, tier_emp_code,0), MATCH(State, R_emp, 0))/1000000</f>
        <v>#N/A</v>
      </c>
      <c r="I539" s="631" t="e">
        <f>$G539*INDEX(typeI_emp_mult, MATCH($D539, typeI_emp_code,0), MATCH(State, R_emp, 0))/1000000</f>
        <v>#N/A</v>
      </c>
      <c r="J539" s="631" t="e">
        <f>$G539*INDEX(typeII_emp_mult, MATCH($D539, typeII_emp_code,0), MATCH(State, R_emp, 0))/1000000</f>
        <v>#N/A</v>
      </c>
      <c r="K539" s="632" t="e">
        <f t="shared" ref="K539:K540" si="413">H539</f>
        <v>#N/A</v>
      </c>
      <c r="L539" s="632" t="e">
        <f t="shared" ref="L539:L540" si="414">I539-H539</f>
        <v>#N/A</v>
      </c>
      <c r="M539" s="632" t="e">
        <f t="shared" ref="M539:M540" si="415">J539-I539</f>
        <v>#N/A</v>
      </c>
      <c r="N539" s="631" t="e">
        <f>$G539*INDEX(tier_earn_mult, MATCH($D539, tier_earn_code,0), MATCH(State, R_earn, 0))</f>
        <v>#N/A</v>
      </c>
      <c r="O539" s="631" t="e">
        <f>$G539*INDEX(typeI_earn_mult, MATCH($D539, typeI_earn_code,0), MATCH(State, R_earn, 0))</f>
        <v>#N/A</v>
      </c>
      <c r="P539" s="631" t="e">
        <f>$G539*INDEX(typeII_earn_mult, MATCH($D539, typeII_earn_code,0), MATCH(State, R_earn, 0))</f>
        <v>#N/A</v>
      </c>
      <c r="Q539" s="633" t="e">
        <f t="shared" ref="Q539:Q540" si="416">N539</f>
        <v>#N/A</v>
      </c>
      <c r="R539" s="633" t="e">
        <f t="shared" ref="R539:R540" si="417">O539-N539</f>
        <v>#N/A</v>
      </c>
      <c r="S539" s="633" t="e">
        <f t="shared" ref="S539:S540" si="418">P539-O539</f>
        <v>#N/A</v>
      </c>
      <c r="T539" s="631" t="e">
        <f>$G539*INDEX(tier_out_mult, MATCH($D539, tier_out_code,0), MATCH(State, R_out, 0))</f>
        <v>#N/A</v>
      </c>
      <c r="U539" s="631" t="e">
        <f>$G539*INDEX(typeI_out_mult, MATCH($D539, typeI_out_code,0), MATCH(State, R_out, 0))</f>
        <v>#N/A</v>
      </c>
      <c r="V539" s="631" t="e">
        <f>$G539*INDEX(typeII_out_mult, MATCH($D539, typeII_out_code,0), MATCH(State, R_out, 0))</f>
        <v>#N/A</v>
      </c>
      <c r="W539" s="633" t="e">
        <f t="shared" ref="W539:W540" si="419">T539</f>
        <v>#N/A</v>
      </c>
      <c r="X539" s="633" t="e">
        <f t="shared" ref="X539:X540" si="420">U539-T539</f>
        <v>#N/A</v>
      </c>
      <c r="Y539" s="633" t="e">
        <f t="shared" ref="Y539:Y540" si="421">V539-U539</f>
        <v>#N/A</v>
      </c>
      <c r="AA539" s="662"/>
      <c r="AB539" s="662"/>
      <c r="AC539" s="662"/>
      <c r="AD539" s="662"/>
      <c r="AE539" s="662"/>
      <c r="AF539" s="662"/>
      <c r="AG539" s="662"/>
      <c r="AH539" s="662"/>
      <c r="AI539" s="662"/>
      <c r="AJ539" s="662"/>
      <c r="AK539" s="662"/>
      <c r="AL539" s="662"/>
    </row>
    <row r="540" spans="1:38" s="660" customFormat="1" ht="15.75" hidden="1" x14ac:dyDescent="0.25">
      <c r="A540" s="659"/>
      <c r="C540" s="679" t="s">
        <v>1714</v>
      </c>
      <c r="D540" s="668">
        <v>811300</v>
      </c>
      <c r="E540" s="660" t="s">
        <v>351</v>
      </c>
      <c r="F540" s="669">
        <f>J154</f>
        <v>0</v>
      </c>
      <c r="G540" s="669">
        <f>F540*$C$593</f>
        <v>0</v>
      </c>
      <c r="H540" s="631" t="e">
        <f>$G540*INDEX(tier_emp_mult, MATCH($D540, tier_emp_code,0), MATCH(State, R_emp, 0))/1000000</f>
        <v>#N/A</v>
      </c>
      <c r="I540" s="631" t="e">
        <f>$G540*INDEX(typeI_emp_mult, MATCH($D540, typeI_emp_code,0), MATCH(State, R_emp, 0))/1000000</f>
        <v>#N/A</v>
      </c>
      <c r="J540" s="631" t="e">
        <f>$G540*INDEX(typeII_emp_mult, MATCH($D540, typeII_emp_code,0), MATCH(State, R_emp, 0))/1000000</f>
        <v>#N/A</v>
      </c>
      <c r="K540" s="632" t="e">
        <f t="shared" si="413"/>
        <v>#N/A</v>
      </c>
      <c r="L540" s="632" t="e">
        <f t="shared" si="414"/>
        <v>#N/A</v>
      </c>
      <c r="M540" s="632" t="e">
        <f t="shared" si="415"/>
        <v>#N/A</v>
      </c>
      <c r="N540" s="631" t="e">
        <f>$G540*INDEX(tier_earn_mult, MATCH($D540, tier_earn_code,0), MATCH(State, R_earn, 0))</f>
        <v>#N/A</v>
      </c>
      <c r="O540" s="631" t="e">
        <f>$G540*INDEX(typeI_earn_mult, MATCH($D540, typeI_earn_code,0), MATCH(State, R_earn, 0))</f>
        <v>#N/A</v>
      </c>
      <c r="P540" s="631" t="e">
        <f>$G540*INDEX(typeII_earn_mult, MATCH($D540, typeII_earn_code,0), MATCH(State, R_earn, 0))</f>
        <v>#N/A</v>
      </c>
      <c r="Q540" s="633" t="e">
        <f t="shared" si="416"/>
        <v>#N/A</v>
      </c>
      <c r="R540" s="633" t="e">
        <f t="shared" si="417"/>
        <v>#N/A</v>
      </c>
      <c r="S540" s="633" t="e">
        <f t="shared" si="418"/>
        <v>#N/A</v>
      </c>
      <c r="T540" s="631" t="e">
        <f>$G540*INDEX(tier_out_mult, MATCH($D540, tier_out_code,0), MATCH(State, R_out, 0))</f>
        <v>#N/A</v>
      </c>
      <c r="U540" s="631" t="e">
        <f>$G540*INDEX(typeI_out_mult, MATCH($D540, typeI_out_code,0), MATCH(State, R_out, 0))</f>
        <v>#N/A</v>
      </c>
      <c r="V540" s="631" t="e">
        <f>$G540*INDEX(typeII_out_mult, MATCH($D540, typeII_out_code,0), MATCH(State, R_out, 0))</f>
        <v>#N/A</v>
      </c>
      <c r="W540" s="633" t="e">
        <f t="shared" si="419"/>
        <v>#N/A</v>
      </c>
      <c r="X540" s="633" t="e">
        <f t="shared" si="420"/>
        <v>#N/A</v>
      </c>
      <c r="Y540" s="633" t="e">
        <f t="shared" si="421"/>
        <v>#N/A</v>
      </c>
      <c r="AA540" s="662"/>
      <c r="AB540" s="662"/>
      <c r="AC540" s="662"/>
      <c r="AD540" s="662"/>
      <c r="AE540" s="662"/>
      <c r="AF540" s="662"/>
      <c r="AG540" s="662"/>
      <c r="AH540" s="662"/>
      <c r="AI540" s="662"/>
      <c r="AJ540" s="662"/>
      <c r="AK540" s="662"/>
      <c r="AL540" s="662"/>
    </row>
    <row r="541" spans="1:38" s="660" customFormat="1" ht="15.75" hidden="1" x14ac:dyDescent="0.25">
      <c r="A541" s="659"/>
      <c r="D541" s="668"/>
      <c r="F541" s="669"/>
      <c r="G541" s="669"/>
      <c r="H541" s="631"/>
      <c r="I541" s="631"/>
      <c r="J541" s="631"/>
      <c r="K541" s="632"/>
      <c r="L541" s="632"/>
      <c r="M541" s="632"/>
      <c r="N541" s="631"/>
      <c r="O541" s="631"/>
      <c r="P541" s="631"/>
      <c r="Q541" s="633"/>
      <c r="R541" s="633"/>
      <c r="S541" s="633"/>
      <c r="T541" s="631"/>
      <c r="U541" s="631"/>
      <c r="V541" s="631"/>
      <c r="W541" s="633"/>
      <c r="X541" s="633"/>
      <c r="Y541" s="633"/>
      <c r="AA541" s="662"/>
      <c r="AB541" s="662"/>
      <c r="AC541" s="662"/>
      <c r="AD541" s="662"/>
      <c r="AE541" s="662"/>
      <c r="AF541" s="662"/>
      <c r="AG541" s="662"/>
      <c r="AH541" s="662"/>
      <c r="AI541" s="662"/>
      <c r="AJ541" s="662"/>
      <c r="AK541" s="662"/>
      <c r="AL541" s="662"/>
    </row>
    <row r="542" spans="1:38" s="660" customFormat="1" ht="15.75" hidden="1" x14ac:dyDescent="0.25">
      <c r="A542" s="659"/>
      <c r="D542" s="239" t="s">
        <v>436</v>
      </c>
      <c r="E542" s="269"/>
      <c r="F542" s="669"/>
      <c r="G542" s="669"/>
      <c r="H542" s="631"/>
      <c r="I542" s="631"/>
      <c r="J542" s="631"/>
      <c r="K542" s="632"/>
      <c r="L542" s="632"/>
      <c r="M542" s="632"/>
      <c r="N542" s="631"/>
      <c r="O542" s="631"/>
      <c r="P542" s="631"/>
      <c r="Q542" s="633"/>
      <c r="R542" s="633"/>
      <c r="S542" s="633"/>
      <c r="T542" s="631"/>
      <c r="U542" s="631"/>
      <c r="V542" s="631"/>
      <c r="W542" s="633"/>
      <c r="X542" s="633"/>
      <c r="Y542" s="633"/>
      <c r="AA542" s="662"/>
      <c r="AB542" s="662"/>
      <c r="AC542" s="662"/>
      <c r="AD542" s="662"/>
      <c r="AE542" s="662"/>
      <c r="AF542" s="662"/>
      <c r="AG542" s="662"/>
      <c r="AH542" s="662"/>
      <c r="AI542" s="662"/>
      <c r="AJ542" s="662"/>
      <c r="AK542" s="662"/>
      <c r="AL542" s="662"/>
    </row>
    <row r="543" spans="1:38" s="660" customFormat="1" ht="15.75" hidden="1" x14ac:dyDescent="0.25">
      <c r="A543" s="659"/>
      <c r="D543" s="670"/>
      <c r="E543" s="671">
        <v>2015</v>
      </c>
      <c r="F543" s="669">
        <f t="shared" ref="F543:Y543" si="422">$H575*F$538+$H585*F$539+($H575+$H585)*F$540</f>
        <v>0</v>
      </c>
      <c r="G543" s="669">
        <f t="shared" si="422"/>
        <v>0</v>
      </c>
      <c r="H543" s="672" t="e">
        <f t="shared" si="422"/>
        <v>#N/A</v>
      </c>
      <c r="I543" s="672" t="e">
        <f t="shared" si="422"/>
        <v>#N/A</v>
      </c>
      <c r="J543" s="672" t="e">
        <f t="shared" si="422"/>
        <v>#N/A</v>
      </c>
      <c r="K543" s="672" t="e">
        <f t="shared" si="422"/>
        <v>#N/A</v>
      </c>
      <c r="L543" s="672" t="e">
        <f t="shared" si="422"/>
        <v>#N/A</v>
      </c>
      <c r="M543" s="672" t="e">
        <f t="shared" si="422"/>
        <v>#N/A</v>
      </c>
      <c r="N543" s="669" t="e">
        <f t="shared" si="422"/>
        <v>#N/A</v>
      </c>
      <c r="O543" s="669" t="e">
        <f t="shared" si="422"/>
        <v>#N/A</v>
      </c>
      <c r="P543" s="669" t="e">
        <f t="shared" si="422"/>
        <v>#N/A</v>
      </c>
      <c r="Q543" s="669" t="e">
        <f t="shared" si="422"/>
        <v>#N/A</v>
      </c>
      <c r="R543" s="669" t="e">
        <f t="shared" si="422"/>
        <v>#N/A</v>
      </c>
      <c r="S543" s="669" t="e">
        <f t="shared" si="422"/>
        <v>#N/A</v>
      </c>
      <c r="T543" s="669" t="e">
        <f t="shared" si="422"/>
        <v>#N/A</v>
      </c>
      <c r="U543" s="669" t="e">
        <f t="shared" si="422"/>
        <v>#N/A</v>
      </c>
      <c r="V543" s="669" t="e">
        <f t="shared" si="422"/>
        <v>#N/A</v>
      </c>
      <c r="W543" s="669" t="e">
        <f t="shared" si="422"/>
        <v>#N/A</v>
      </c>
      <c r="X543" s="669" t="e">
        <f t="shared" si="422"/>
        <v>#N/A</v>
      </c>
      <c r="Y543" s="669" t="e">
        <f t="shared" si="422"/>
        <v>#N/A</v>
      </c>
      <c r="AA543" s="662"/>
      <c r="AB543" s="662"/>
      <c r="AC543" s="662"/>
      <c r="AD543" s="662"/>
      <c r="AE543" s="662"/>
      <c r="AF543" s="662"/>
      <c r="AG543" s="662"/>
      <c r="AH543" s="662"/>
      <c r="AI543" s="662"/>
      <c r="AJ543" s="662"/>
      <c r="AK543" s="662"/>
      <c r="AL543" s="662"/>
    </row>
    <row r="544" spans="1:38" s="660" customFormat="1" ht="15.75" hidden="1" x14ac:dyDescent="0.25">
      <c r="A544" s="659"/>
      <c r="D544" s="670"/>
      <c r="E544" s="671">
        <v>2016</v>
      </c>
      <c r="F544" s="669">
        <f t="shared" ref="F544:Y544" si="423">$H576*F$538+$H586*F$539+($H576+$H586)*F$540</f>
        <v>0</v>
      </c>
      <c r="G544" s="669">
        <f t="shared" si="423"/>
        <v>0</v>
      </c>
      <c r="H544" s="672" t="e">
        <f t="shared" si="423"/>
        <v>#N/A</v>
      </c>
      <c r="I544" s="672" t="e">
        <f t="shared" si="423"/>
        <v>#N/A</v>
      </c>
      <c r="J544" s="672" t="e">
        <f t="shared" si="423"/>
        <v>#N/A</v>
      </c>
      <c r="K544" s="672" t="e">
        <f t="shared" si="423"/>
        <v>#N/A</v>
      </c>
      <c r="L544" s="672" t="e">
        <f t="shared" si="423"/>
        <v>#N/A</v>
      </c>
      <c r="M544" s="672" t="e">
        <f t="shared" si="423"/>
        <v>#N/A</v>
      </c>
      <c r="N544" s="669" t="e">
        <f t="shared" si="423"/>
        <v>#N/A</v>
      </c>
      <c r="O544" s="669" t="e">
        <f t="shared" si="423"/>
        <v>#N/A</v>
      </c>
      <c r="P544" s="669" t="e">
        <f t="shared" si="423"/>
        <v>#N/A</v>
      </c>
      <c r="Q544" s="669" t="e">
        <f t="shared" si="423"/>
        <v>#N/A</v>
      </c>
      <c r="R544" s="669" t="e">
        <f t="shared" si="423"/>
        <v>#N/A</v>
      </c>
      <c r="S544" s="669" t="e">
        <f t="shared" si="423"/>
        <v>#N/A</v>
      </c>
      <c r="T544" s="669" t="e">
        <f t="shared" si="423"/>
        <v>#N/A</v>
      </c>
      <c r="U544" s="669" t="e">
        <f t="shared" si="423"/>
        <v>#N/A</v>
      </c>
      <c r="V544" s="669" t="e">
        <f t="shared" si="423"/>
        <v>#N/A</v>
      </c>
      <c r="W544" s="669" t="e">
        <f t="shared" si="423"/>
        <v>#N/A</v>
      </c>
      <c r="X544" s="669" t="e">
        <f t="shared" si="423"/>
        <v>#N/A</v>
      </c>
      <c r="Y544" s="669" t="e">
        <f t="shared" si="423"/>
        <v>#N/A</v>
      </c>
      <c r="AA544" s="662"/>
      <c r="AB544" s="662"/>
      <c r="AC544" s="662"/>
      <c r="AD544" s="662"/>
      <c r="AE544" s="662"/>
      <c r="AF544" s="662"/>
      <c r="AG544" s="662"/>
      <c r="AH544" s="662"/>
      <c r="AI544" s="662"/>
      <c r="AJ544" s="662"/>
      <c r="AK544" s="662"/>
      <c r="AL544" s="662"/>
    </row>
    <row r="545" spans="1:38" s="660" customFormat="1" ht="15.75" hidden="1" x14ac:dyDescent="0.25">
      <c r="A545" s="659"/>
      <c r="D545" s="670"/>
      <c r="E545" s="671">
        <v>2017</v>
      </c>
      <c r="F545" s="669">
        <f t="shared" ref="F545:Y545" si="424">$H577*F$538+$H587*F$539+($H577+$H587)*F$540</f>
        <v>0</v>
      </c>
      <c r="G545" s="669">
        <f t="shared" si="424"/>
        <v>0</v>
      </c>
      <c r="H545" s="672" t="e">
        <f t="shared" si="424"/>
        <v>#N/A</v>
      </c>
      <c r="I545" s="672" t="e">
        <f t="shared" si="424"/>
        <v>#N/A</v>
      </c>
      <c r="J545" s="672" t="e">
        <f t="shared" si="424"/>
        <v>#N/A</v>
      </c>
      <c r="K545" s="672" t="e">
        <f t="shared" si="424"/>
        <v>#N/A</v>
      </c>
      <c r="L545" s="672" t="e">
        <f t="shared" si="424"/>
        <v>#N/A</v>
      </c>
      <c r="M545" s="672" t="e">
        <f t="shared" si="424"/>
        <v>#N/A</v>
      </c>
      <c r="N545" s="669" t="e">
        <f t="shared" si="424"/>
        <v>#N/A</v>
      </c>
      <c r="O545" s="669" t="e">
        <f t="shared" si="424"/>
        <v>#N/A</v>
      </c>
      <c r="P545" s="669" t="e">
        <f t="shared" si="424"/>
        <v>#N/A</v>
      </c>
      <c r="Q545" s="669" t="e">
        <f t="shared" si="424"/>
        <v>#N/A</v>
      </c>
      <c r="R545" s="669" t="e">
        <f t="shared" si="424"/>
        <v>#N/A</v>
      </c>
      <c r="S545" s="669" t="e">
        <f t="shared" si="424"/>
        <v>#N/A</v>
      </c>
      <c r="T545" s="669" t="e">
        <f t="shared" si="424"/>
        <v>#N/A</v>
      </c>
      <c r="U545" s="669" t="e">
        <f t="shared" si="424"/>
        <v>#N/A</v>
      </c>
      <c r="V545" s="669" t="e">
        <f t="shared" si="424"/>
        <v>#N/A</v>
      </c>
      <c r="W545" s="669" t="e">
        <f t="shared" si="424"/>
        <v>#N/A</v>
      </c>
      <c r="X545" s="669" t="e">
        <f t="shared" si="424"/>
        <v>#N/A</v>
      </c>
      <c r="Y545" s="669" t="e">
        <f t="shared" si="424"/>
        <v>#N/A</v>
      </c>
      <c r="AA545" s="662"/>
      <c r="AB545" s="662"/>
      <c r="AC545" s="662"/>
      <c r="AD545" s="662"/>
      <c r="AE545" s="662"/>
      <c r="AF545" s="662"/>
      <c r="AG545" s="662"/>
      <c r="AH545" s="662"/>
      <c r="AI545" s="662"/>
      <c r="AJ545" s="662"/>
      <c r="AK545" s="662"/>
      <c r="AL545" s="662"/>
    </row>
    <row r="546" spans="1:38" s="660" customFormat="1" ht="15.75" hidden="1" x14ac:dyDescent="0.25">
      <c r="A546" s="659"/>
      <c r="D546" s="670"/>
      <c r="E546" s="671">
        <v>2018</v>
      </c>
      <c r="F546" s="669">
        <f t="shared" ref="F546:Y546" si="425">$H578*F$538+$H588*F$539+($H578+$H588)*F$540</f>
        <v>0</v>
      </c>
      <c r="G546" s="669">
        <f t="shared" si="425"/>
        <v>0</v>
      </c>
      <c r="H546" s="672" t="e">
        <f t="shared" si="425"/>
        <v>#N/A</v>
      </c>
      <c r="I546" s="672" t="e">
        <f t="shared" si="425"/>
        <v>#N/A</v>
      </c>
      <c r="J546" s="672" t="e">
        <f t="shared" si="425"/>
        <v>#N/A</v>
      </c>
      <c r="K546" s="672" t="e">
        <f t="shared" si="425"/>
        <v>#N/A</v>
      </c>
      <c r="L546" s="672" t="e">
        <f t="shared" si="425"/>
        <v>#N/A</v>
      </c>
      <c r="M546" s="672" t="e">
        <f t="shared" si="425"/>
        <v>#N/A</v>
      </c>
      <c r="N546" s="669" t="e">
        <f t="shared" si="425"/>
        <v>#N/A</v>
      </c>
      <c r="O546" s="669" t="e">
        <f t="shared" si="425"/>
        <v>#N/A</v>
      </c>
      <c r="P546" s="669" t="e">
        <f t="shared" si="425"/>
        <v>#N/A</v>
      </c>
      <c r="Q546" s="669" t="e">
        <f t="shared" si="425"/>
        <v>#N/A</v>
      </c>
      <c r="R546" s="669" t="e">
        <f t="shared" si="425"/>
        <v>#N/A</v>
      </c>
      <c r="S546" s="669" t="e">
        <f t="shared" si="425"/>
        <v>#N/A</v>
      </c>
      <c r="T546" s="669" t="e">
        <f t="shared" si="425"/>
        <v>#N/A</v>
      </c>
      <c r="U546" s="669" t="e">
        <f t="shared" si="425"/>
        <v>#N/A</v>
      </c>
      <c r="V546" s="669" t="e">
        <f t="shared" si="425"/>
        <v>#N/A</v>
      </c>
      <c r="W546" s="669" t="e">
        <f t="shared" si="425"/>
        <v>#N/A</v>
      </c>
      <c r="X546" s="669" t="e">
        <f t="shared" si="425"/>
        <v>#N/A</v>
      </c>
      <c r="Y546" s="669" t="e">
        <f t="shared" si="425"/>
        <v>#N/A</v>
      </c>
      <c r="AA546" s="662"/>
      <c r="AB546" s="662"/>
      <c r="AC546" s="662"/>
      <c r="AD546" s="662"/>
      <c r="AE546" s="662"/>
      <c r="AF546" s="662"/>
      <c r="AG546" s="662"/>
      <c r="AH546" s="662"/>
      <c r="AI546" s="662"/>
      <c r="AJ546" s="662"/>
      <c r="AK546" s="662"/>
      <c r="AL546" s="662"/>
    </row>
    <row r="547" spans="1:38" s="660" customFormat="1" ht="15.75" hidden="1" x14ac:dyDescent="0.25">
      <c r="A547" s="659"/>
      <c r="D547" s="670"/>
      <c r="E547" s="671">
        <v>2019</v>
      </c>
      <c r="F547" s="669">
        <f t="shared" ref="F547:Y547" si="426">$H579*F$538+$H589*F$539+($H579+$H589)*F$540</f>
        <v>0</v>
      </c>
      <c r="G547" s="669">
        <f t="shared" si="426"/>
        <v>0</v>
      </c>
      <c r="H547" s="672" t="e">
        <f t="shared" si="426"/>
        <v>#N/A</v>
      </c>
      <c r="I547" s="672" t="e">
        <f t="shared" si="426"/>
        <v>#N/A</v>
      </c>
      <c r="J547" s="672" t="e">
        <f t="shared" si="426"/>
        <v>#N/A</v>
      </c>
      <c r="K547" s="672" t="e">
        <f t="shared" si="426"/>
        <v>#N/A</v>
      </c>
      <c r="L547" s="672" t="e">
        <f t="shared" si="426"/>
        <v>#N/A</v>
      </c>
      <c r="M547" s="672" t="e">
        <f t="shared" si="426"/>
        <v>#N/A</v>
      </c>
      <c r="N547" s="669" t="e">
        <f t="shared" si="426"/>
        <v>#N/A</v>
      </c>
      <c r="O547" s="669" t="e">
        <f t="shared" si="426"/>
        <v>#N/A</v>
      </c>
      <c r="P547" s="669" t="e">
        <f t="shared" si="426"/>
        <v>#N/A</v>
      </c>
      <c r="Q547" s="669" t="e">
        <f t="shared" si="426"/>
        <v>#N/A</v>
      </c>
      <c r="R547" s="669" t="e">
        <f t="shared" si="426"/>
        <v>#N/A</v>
      </c>
      <c r="S547" s="669" t="e">
        <f t="shared" si="426"/>
        <v>#N/A</v>
      </c>
      <c r="T547" s="669" t="e">
        <f t="shared" si="426"/>
        <v>#N/A</v>
      </c>
      <c r="U547" s="669" t="e">
        <f t="shared" si="426"/>
        <v>#N/A</v>
      </c>
      <c r="V547" s="669" t="e">
        <f t="shared" si="426"/>
        <v>#N/A</v>
      </c>
      <c r="W547" s="669" t="e">
        <f t="shared" si="426"/>
        <v>#N/A</v>
      </c>
      <c r="X547" s="669" t="e">
        <f t="shared" si="426"/>
        <v>#N/A</v>
      </c>
      <c r="Y547" s="669" t="e">
        <f t="shared" si="426"/>
        <v>#N/A</v>
      </c>
      <c r="AA547" s="662"/>
      <c r="AB547" s="662"/>
      <c r="AC547" s="662"/>
      <c r="AD547" s="662"/>
      <c r="AE547" s="662"/>
      <c r="AF547" s="662"/>
      <c r="AG547" s="662"/>
      <c r="AH547" s="662"/>
      <c r="AI547" s="662"/>
      <c r="AJ547" s="662"/>
      <c r="AK547" s="662"/>
      <c r="AL547" s="662"/>
    </row>
    <row r="548" spans="1:38" s="660" customFormat="1" ht="15.75" hidden="1" x14ac:dyDescent="0.25">
      <c r="A548" s="659"/>
      <c r="D548" s="670"/>
      <c r="E548" s="671">
        <v>2020</v>
      </c>
      <c r="F548" s="669">
        <f t="shared" ref="F548:Y548" si="427">$H580*F$538+$H590*F$539+($H580+$H590)*F$540</f>
        <v>0</v>
      </c>
      <c r="G548" s="669">
        <f t="shared" si="427"/>
        <v>0</v>
      </c>
      <c r="H548" s="672" t="e">
        <f t="shared" si="427"/>
        <v>#N/A</v>
      </c>
      <c r="I548" s="672" t="e">
        <f t="shared" si="427"/>
        <v>#N/A</v>
      </c>
      <c r="J548" s="672" t="e">
        <f t="shared" si="427"/>
        <v>#N/A</v>
      </c>
      <c r="K548" s="672" t="e">
        <f t="shared" si="427"/>
        <v>#N/A</v>
      </c>
      <c r="L548" s="672" t="e">
        <f t="shared" si="427"/>
        <v>#N/A</v>
      </c>
      <c r="M548" s="672" t="e">
        <f t="shared" si="427"/>
        <v>#N/A</v>
      </c>
      <c r="N548" s="669" t="e">
        <f t="shared" si="427"/>
        <v>#N/A</v>
      </c>
      <c r="O548" s="669" t="e">
        <f t="shared" si="427"/>
        <v>#N/A</v>
      </c>
      <c r="P548" s="669" t="e">
        <f t="shared" si="427"/>
        <v>#N/A</v>
      </c>
      <c r="Q548" s="669" t="e">
        <f t="shared" si="427"/>
        <v>#N/A</v>
      </c>
      <c r="R548" s="669" t="e">
        <f t="shared" si="427"/>
        <v>#N/A</v>
      </c>
      <c r="S548" s="669" t="e">
        <f t="shared" si="427"/>
        <v>#N/A</v>
      </c>
      <c r="T548" s="669" t="e">
        <f t="shared" si="427"/>
        <v>#N/A</v>
      </c>
      <c r="U548" s="669" t="e">
        <f t="shared" si="427"/>
        <v>#N/A</v>
      </c>
      <c r="V548" s="669" t="e">
        <f t="shared" si="427"/>
        <v>#N/A</v>
      </c>
      <c r="W548" s="669" t="e">
        <f t="shared" si="427"/>
        <v>#N/A</v>
      </c>
      <c r="X548" s="669" t="e">
        <f t="shared" si="427"/>
        <v>#N/A</v>
      </c>
      <c r="Y548" s="669" t="e">
        <f t="shared" si="427"/>
        <v>#N/A</v>
      </c>
      <c r="AA548" s="662"/>
      <c r="AB548" s="662"/>
      <c r="AC548" s="662"/>
      <c r="AD548" s="662"/>
      <c r="AE548" s="662"/>
      <c r="AF548" s="662"/>
      <c r="AG548" s="662"/>
      <c r="AH548" s="662"/>
      <c r="AI548" s="662"/>
      <c r="AJ548" s="662"/>
      <c r="AK548" s="662"/>
      <c r="AL548" s="662"/>
    </row>
    <row r="549" spans="1:38" s="222" customFormat="1" ht="15.75" hidden="1" x14ac:dyDescent="0.25">
      <c r="A549" s="130"/>
      <c r="D549" s="272"/>
      <c r="AA549" s="3"/>
      <c r="AB549" s="3"/>
      <c r="AC549" s="3"/>
      <c r="AD549" s="3"/>
      <c r="AE549" s="3"/>
      <c r="AF549" s="3"/>
      <c r="AG549" s="3"/>
      <c r="AH549" s="3"/>
      <c r="AI549" s="3"/>
      <c r="AJ549" s="3"/>
      <c r="AK549" s="3"/>
      <c r="AL549" s="3"/>
    </row>
    <row r="550" spans="1:38" s="222" customFormat="1" ht="15.75" hidden="1" x14ac:dyDescent="0.25">
      <c r="A550" s="130"/>
      <c r="D550" s="272"/>
      <c r="AA550" s="3"/>
      <c r="AB550" s="3"/>
      <c r="AC550" s="3"/>
      <c r="AD550" s="3"/>
      <c r="AE550" s="3"/>
      <c r="AF550" s="3"/>
      <c r="AG550" s="3"/>
      <c r="AH550" s="3"/>
      <c r="AI550" s="3"/>
      <c r="AJ550" s="3"/>
      <c r="AK550" s="3"/>
      <c r="AL550" s="3"/>
    </row>
    <row r="551" spans="1:38" s="222" customFormat="1" ht="15.75" hidden="1" x14ac:dyDescent="0.25">
      <c r="A551" s="130"/>
      <c r="D551" s="272"/>
      <c r="AA551" s="3"/>
      <c r="AB551" s="3"/>
      <c r="AC551" s="3"/>
      <c r="AD551" s="3"/>
      <c r="AE551" s="3"/>
      <c r="AF551" s="3"/>
      <c r="AG551" s="3"/>
      <c r="AH551" s="3"/>
      <c r="AI551" s="3"/>
      <c r="AJ551" s="3"/>
      <c r="AK551" s="3"/>
      <c r="AL551" s="3"/>
    </row>
    <row r="552" spans="1:38" s="238" customFormat="1" ht="15.75" hidden="1" x14ac:dyDescent="0.25">
      <c r="A552" s="130"/>
      <c r="B552" s="263"/>
      <c r="C552" s="222"/>
      <c r="D552" s="272"/>
      <c r="E552" s="222"/>
      <c r="F552" s="222"/>
      <c r="G552" s="222"/>
      <c r="H552" s="222"/>
      <c r="I552" s="264"/>
      <c r="J552" s="264"/>
      <c r="K552" s="264"/>
      <c r="L552" s="264"/>
      <c r="M552" s="263"/>
      <c r="R552" s="265"/>
      <c r="T552" s="266"/>
      <c r="X552" s="222"/>
      <c r="Y552" s="3"/>
      <c r="Z552" s="3"/>
      <c r="AA552" s="3"/>
      <c r="AB552" s="3"/>
      <c r="AC552" s="3"/>
      <c r="AD552" s="3"/>
      <c r="AE552" s="3"/>
      <c r="AF552" s="3"/>
      <c r="AG552" s="3"/>
      <c r="AH552" s="3"/>
      <c r="AI552" s="3"/>
      <c r="AJ552" s="3"/>
    </row>
    <row r="553" spans="1:38" s="123" customFormat="1" ht="15.75" hidden="1" x14ac:dyDescent="0.25">
      <c r="A553" s="130"/>
      <c r="B553" s="218"/>
      <c r="M553" s="218"/>
      <c r="R553" s="230"/>
      <c r="T553" s="218"/>
      <c r="X553" s="222"/>
      <c r="Y553" s="3"/>
      <c r="Z553" s="3"/>
      <c r="AA553" s="3"/>
      <c r="AB553" s="3"/>
      <c r="AC553" s="3"/>
      <c r="AD553" s="3"/>
      <c r="AE553" s="3"/>
      <c r="AF553" s="3"/>
      <c r="AG553" s="3"/>
      <c r="AH553" s="3"/>
      <c r="AI553" s="3"/>
      <c r="AJ553" s="3"/>
    </row>
    <row r="554" spans="1:38" s="123" customFormat="1" ht="15.75" hidden="1" x14ac:dyDescent="0.25">
      <c r="A554" s="130"/>
      <c r="B554" s="221"/>
      <c r="C554" s="219"/>
      <c r="D554" s="219"/>
      <c r="E554" s="219"/>
      <c r="F554" s="219"/>
      <c r="G554" s="219"/>
      <c r="H554" s="219"/>
      <c r="I554" s="219"/>
      <c r="J554" s="219"/>
      <c r="K554" s="219"/>
      <c r="L554" s="219"/>
      <c r="M554" s="241"/>
      <c r="N554" s="219"/>
      <c r="R554" s="230"/>
      <c r="T554" s="218"/>
      <c r="X554" s="222"/>
      <c r="Y554" s="3"/>
      <c r="Z554" s="3"/>
      <c r="AA554" s="3"/>
      <c r="AB554" s="3"/>
      <c r="AC554" s="3"/>
      <c r="AD554" s="3"/>
      <c r="AE554" s="3"/>
      <c r="AF554" s="3"/>
      <c r="AG554" s="3"/>
      <c r="AH554" s="3"/>
      <c r="AI554" s="3"/>
      <c r="AJ554" s="3"/>
    </row>
    <row r="555" spans="1:38" s="123" customFormat="1" ht="15.75" hidden="1" x14ac:dyDescent="0.25">
      <c r="A555" s="130"/>
      <c r="B555" s="387" t="s">
        <v>1548</v>
      </c>
      <c r="C555" s="240"/>
      <c r="D555" s="240"/>
      <c r="E555" s="240"/>
      <c r="F555" s="240"/>
      <c r="G555" s="240"/>
      <c r="H555" s="240"/>
      <c r="I555" s="240"/>
      <c r="J555" s="240"/>
      <c r="K555" s="240"/>
      <c r="L555" s="240"/>
      <c r="M555" s="240"/>
      <c r="N555" s="240"/>
      <c r="R555" s="230"/>
      <c r="T555" s="218"/>
      <c r="X555" s="222"/>
      <c r="Y555" s="3"/>
      <c r="Z555" s="3"/>
      <c r="AA555" s="3"/>
      <c r="AB555" s="3"/>
      <c r="AC555" s="3"/>
      <c r="AD555" s="3"/>
      <c r="AE555" s="3"/>
      <c r="AF555" s="3"/>
      <c r="AG555" s="3"/>
      <c r="AH555" s="3"/>
      <c r="AI555" s="3"/>
      <c r="AJ555" s="3"/>
    </row>
    <row r="556" spans="1:38" s="123" customFormat="1" ht="15.75" hidden="1" x14ac:dyDescent="0.25">
      <c r="A556" s="130"/>
      <c r="B556" s="221"/>
      <c r="C556" s="219"/>
      <c r="D556" s="219"/>
      <c r="E556" s="219"/>
      <c r="F556" s="219"/>
      <c r="G556" s="219"/>
      <c r="H556" s="219"/>
      <c r="I556" s="219"/>
      <c r="N556" s="238"/>
      <c r="R556" s="230"/>
      <c r="T556" s="218"/>
      <c r="X556" s="222"/>
      <c r="Y556" s="3"/>
      <c r="Z556" s="3"/>
      <c r="AA556" s="3"/>
      <c r="AB556" s="3"/>
      <c r="AC556" s="3"/>
      <c r="AD556" s="3"/>
      <c r="AE556" s="3"/>
      <c r="AF556" s="3"/>
      <c r="AG556" s="3"/>
      <c r="AH556" s="3"/>
      <c r="AI556" s="3"/>
      <c r="AJ556" s="3"/>
    </row>
    <row r="557" spans="1:38" s="238" customFormat="1" ht="15.75" hidden="1" x14ac:dyDescent="0.25">
      <c r="A557" s="130"/>
      <c r="B557" s="218"/>
      <c r="C557" s="123"/>
      <c r="D557" s="123"/>
      <c r="E557" s="123"/>
      <c r="F557" s="123"/>
      <c r="G557" s="123"/>
      <c r="H557" s="123"/>
      <c r="I557" s="123"/>
      <c r="J557" s="123"/>
      <c r="K557" s="123"/>
      <c r="L557" s="218"/>
      <c r="M557" s="230"/>
      <c r="N557" s="123"/>
      <c r="O557" s="123"/>
      <c r="P557" s="123"/>
      <c r="Q557" s="123"/>
      <c r="R557" s="230"/>
      <c r="S557" s="123"/>
      <c r="T557" s="123"/>
      <c r="U557" s="123"/>
      <c r="V557" s="123"/>
      <c r="W557" s="123"/>
      <c r="X557" s="123"/>
      <c r="Y557" s="3"/>
      <c r="Z557" s="3"/>
      <c r="AA557" s="3"/>
      <c r="AB557" s="3"/>
      <c r="AC557" s="3"/>
      <c r="AD557" s="3"/>
      <c r="AE557" s="3"/>
      <c r="AF557" s="3"/>
      <c r="AG557" s="3"/>
      <c r="AH557" s="3"/>
      <c r="AI557" s="3"/>
      <c r="AJ557" s="3"/>
    </row>
    <row r="558" spans="1:38" s="123" customFormat="1" ht="15.75" hidden="1" x14ac:dyDescent="0.25">
      <c r="A558" s="130"/>
      <c r="B558" s="275" t="s">
        <v>2192</v>
      </c>
      <c r="C558" s="1892"/>
      <c r="D558" s="1893"/>
      <c r="E558" s="243"/>
      <c r="F558" s="1895" t="s">
        <v>2193</v>
      </c>
      <c r="G558" s="1895" t="s">
        <v>2194</v>
      </c>
      <c r="L558" s="218"/>
      <c r="M558" s="230"/>
      <c r="R558" s="230"/>
      <c r="Y558" s="3"/>
      <c r="Z558" s="3"/>
      <c r="AA558" s="3"/>
      <c r="AB558" s="3"/>
      <c r="AC558" s="3"/>
      <c r="AD558" s="3"/>
      <c r="AE558" s="3"/>
      <c r="AF558" s="3"/>
      <c r="AG558" s="3"/>
      <c r="AH558" s="3"/>
      <c r="AI558" s="3"/>
      <c r="AJ558" s="3"/>
    </row>
    <row r="559" spans="1:38" s="123" customFormat="1" ht="15.75" hidden="1" x14ac:dyDescent="0.25">
      <c r="A559" s="130"/>
      <c r="B559" s="274"/>
      <c r="C559" s="321"/>
      <c r="D559" s="244" t="s">
        <v>1458</v>
      </c>
      <c r="E559" s="244" t="s">
        <v>1459</v>
      </c>
      <c r="F559" s="321" t="s">
        <v>1460</v>
      </c>
      <c r="G559" s="244" t="s">
        <v>1461</v>
      </c>
      <c r="L559" s="218"/>
      <c r="M559" s="230"/>
      <c r="R559" s="230"/>
      <c r="Y559" s="3"/>
      <c r="Z559" s="3"/>
      <c r="AA559" s="3"/>
      <c r="AB559" s="3"/>
      <c r="AC559" s="3"/>
      <c r="AD559" s="3"/>
      <c r="AE559" s="3"/>
      <c r="AF559" s="3"/>
      <c r="AG559" s="3"/>
      <c r="AH559" s="3"/>
      <c r="AI559" s="3"/>
      <c r="AJ559" s="3"/>
    </row>
    <row r="560" spans="1:38" s="123" customFormat="1" ht="15.75" hidden="1" x14ac:dyDescent="0.25">
      <c r="A560" s="130"/>
      <c r="B560" s="274"/>
      <c r="C560" s="321" t="s">
        <v>1952</v>
      </c>
      <c r="D560" s="244"/>
      <c r="E560" s="244"/>
      <c r="F560" s="324">
        <f>productionCostLevel</f>
        <v>2000</v>
      </c>
      <c r="G560" s="324">
        <f>Costs!B53</f>
        <v>2700</v>
      </c>
      <c r="L560" s="218"/>
      <c r="M560" s="230"/>
      <c r="R560" s="230"/>
      <c r="Y560" s="3"/>
      <c r="Z560" s="3"/>
      <c r="AA560" s="3"/>
      <c r="AB560" s="3"/>
      <c r="AC560" s="3"/>
      <c r="AD560" s="3"/>
      <c r="AE560" s="3"/>
      <c r="AF560" s="3"/>
      <c r="AG560" s="3"/>
      <c r="AH560" s="3"/>
      <c r="AI560" s="3"/>
      <c r="AJ560" s="3"/>
    </row>
    <row r="561" spans="1:36" s="123" customFormat="1" ht="15.75" hidden="1" x14ac:dyDescent="0.25">
      <c r="A561" s="130"/>
      <c r="B561" s="274"/>
      <c r="C561" s="321">
        <v>2011</v>
      </c>
      <c r="D561" s="244"/>
      <c r="E561" s="324">
        <f>Costs!B$54</f>
        <v>3000</v>
      </c>
      <c r="F561" s="1235">
        <f t="shared" ref="F561:F570" si="428">(MAX(D561,E561))/$J$197</f>
        <v>1000</v>
      </c>
      <c r="G561" s="324">
        <f>G560+E561</f>
        <v>5700</v>
      </c>
      <c r="L561" s="218"/>
      <c r="M561" s="230"/>
      <c r="R561" s="230"/>
      <c r="Y561" s="3"/>
      <c r="Z561" s="3"/>
      <c r="AA561" s="3"/>
      <c r="AB561" s="3"/>
      <c r="AC561" s="3"/>
      <c r="AD561" s="3"/>
      <c r="AE561" s="3"/>
      <c r="AF561" s="3"/>
      <c r="AG561" s="3"/>
      <c r="AH561" s="3"/>
      <c r="AI561" s="3"/>
      <c r="AJ561" s="3"/>
    </row>
    <row r="562" spans="1:36" s="123" customFormat="1" ht="15.75" hidden="1" x14ac:dyDescent="0.25">
      <c r="A562" s="130"/>
      <c r="B562" s="274"/>
      <c r="C562" s="321">
        <v>2012</v>
      </c>
      <c r="D562" s="244"/>
      <c r="E562" s="324">
        <f>Costs!B$54</f>
        <v>3000</v>
      </c>
      <c r="F562" s="1235">
        <f t="shared" si="428"/>
        <v>1000</v>
      </c>
      <c r="G562" s="324">
        <f>G561+E562</f>
        <v>8700</v>
      </c>
      <c r="L562" s="218"/>
      <c r="M562" s="230"/>
      <c r="R562" s="230"/>
      <c r="Y562" s="3"/>
      <c r="Z562" s="3"/>
      <c r="AA562" s="3"/>
      <c r="AB562" s="3"/>
      <c r="AC562" s="3"/>
      <c r="AD562" s="3"/>
      <c r="AE562" s="3"/>
      <c r="AF562" s="3"/>
      <c r="AG562" s="3"/>
      <c r="AH562" s="3"/>
      <c r="AI562" s="3"/>
      <c r="AJ562" s="3"/>
    </row>
    <row r="563" spans="1:36" s="123" customFormat="1" ht="15.75" hidden="1" x14ac:dyDescent="0.25">
      <c r="A563" s="130"/>
      <c r="B563" s="274"/>
      <c r="C563" s="321">
        <v>2013</v>
      </c>
      <c r="D563" s="244"/>
      <c r="E563" s="324">
        <f>Costs!B$54</f>
        <v>3000</v>
      </c>
      <c r="F563" s="1235">
        <f t="shared" si="428"/>
        <v>1000</v>
      </c>
      <c r="G563" s="324">
        <f>G562+E563</f>
        <v>11700</v>
      </c>
      <c r="L563" s="218"/>
      <c r="M563" s="230"/>
      <c r="R563" s="230"/>
      <c r="Y563" s="3"/>
      <c r="Z563" s="3"/>
      <c r="AA563" s="3"/>
      <c r="AB563" s="3"/>
      <c r="AC563" s="3"/>
      <c r="AD563" s="3"/>
      <c r="AE563" s="3"/>
      <c r="AF563" s="3"/>
      <c r="AG563" s="3"/>
      <c r="AH563" s="3"/>
      <c r="AI563" s="3"/>
      <c r="AJ563" s="3"/>
    </row>
    <row r="564" spans="1:36" s="123" customFormat="1" ht="15.75" hidden="1" x14ac:dyDescent="0.25">
      <c r="A564" s="130"/>
      <c r="B564" s="274"/>
      <c r="C564" s="321">
        <v>2014</v>
      </c>
      <c r="D564" s="244"/>
      <c r="E564" s="324">
        <f>Costs!B$54</f>
        <v>3000</v>
      </c>
      <c r="F564" s="1235">
        <f t="shared" si="428"/>
        <v>1000</v>
      </c>
      <c r="G564" s="324">
        <f>G563+E564</f>
        <v>14700</v>
      </c>
      <c r="L564" s="218"/>
      <c r="M564" s="230"/>
      <c r="R564" s="230"/>
      <c r="Y564" s="3"/>
      <c r="Z564" s="3"/>
      <c r="AA564" s="3"/>
      <c r="AB564" s="3"/>
      <c r="AC564" s="3"/>
      <c r="AD564" s="3"/>
      <c r="AE564" s="3"/>
      <c r="AF564" s="3"/>
      <c r="AG564" s="3"/>
      <c r="AH564" s="3"/>
      <c r="AI564" s="3"/>
      <c r="AJ564" s="3"/>
    </row>
    <row r="565" spans="1:36" s="123" customFormat="1" ht="15.75" hidden="1" x14ac:dyDescent="0.25">
      <c r="A565" s="130"/>
      <c r="B565" s="274"/>
      <c r="C565" s="244">
        <v>2015</v>
      </c>
      <c r="D565" s="322">
        <f>mfg_2015*Costs!$C$25+mfg_2015_c3*Costs!$C$26</f>
        <v>0</v>
      </c>
      <c r="E565" s="323">
        <f>Costs!$B$55</f>
        <v>3000</v>
      </c>
      <c r="F565" s="1235">
        <f t="shared" si="428"/>
        <v>1000</v>
      </c>
      <c r="G565" s="322">
        <f t="shared" ref="G565:G570" si="429">G564+MAX(D565, E565)</f>
        <v>17700</v>
      </c>
      <c r="L565" s="218"/>
      <c r="M565" s="230"/>
      <c r="R565" s="230"/>
      <c r="Y565" s="3"/>
      <c r="Z565" s="3"/>
      <c r="AA565" s="3"/>
      <c r="AB565" s="3"/>
      <c r="AC565" s="3"/>
      <c r="AD565" s="3"/>
      <c r="AE565" s="3"/>
      <c r="AF565" s="3"/>
      <c r="AG565" s="3"/>
      <c r="AH565" s="3"/>
      <c r="AI565" s="3"/>
      <c r="AJ565" s="3"/>
    </row>
    <row r="566" spans="1:36" s="123" customFormat="1" ht="15.75" hidden="1" x14ac:dyDescent="0.25">
      <c r="A566" s="130"/>
      <c r="B566" s="274"/>
      <c r="C566" s="244">
        <v>2016</v>
      </c>
      <c r="D566" s="322">
        <f>mfg_2016*Costs!$C$25+mfg_2016_c3*Costs!$C$26</f>
        <v>0</v>
      </c>
      <c r="E566" s="323">
        <f>Costs!$B$55</f>
        <v>3000</v>
      </c>
      <c r="F566" s="1235">
        <f t="shared" si="428"/>
        <v>1000</v>
      </c>
      <c r="G566" s="322">
        <f t="shared" si="429"/>
        <v>20700</v>
      </c>
      <c r="L566" s="218"/>
      <c r="M566" s="230"/>
      <c r="R566" s="230"/>
      <c r="Y566" s="3"/>
      <c r="Z566" s="3"/>
      <c r="AA566" s="3"/>
      <c r="AB566" s="3"/>
      <c r="AC566" s="3"/>
      <c r="AD566" s="3"/>
      <c r="AE566" s="3"/>
      <c r="AF566" s="3"/>
      <c r="AG566" s="3"/>
      <c r="AH566" s="3"/>
      <c r="AI566" s="3"/>
      <c r="AJ566" s="3"/>
    </row>
    <row r="567" spans="1:36" s="123" customFormat="1" ht="15.75" hidden="1" x14ac:dyDescent="0.25">
      <c r="A567" s="130"/>
      <c r="B567" s="274"/>
      <c r="C567" s="244">
        <v>2017</v>
      </c>
      <c r="D567" s="322">
        <f>mfg_2017*Costs!$C$25+mfg_2017_c3*Costs!$C$26</f>
        <v>0</v>
      </c>
      <c r="E567" s="323">
        <f>Costs!$B$55</f>
        <v>3000</v>
      </c>
      <c r="F567" s="1235">
        <f t="shared" si="428"/>
        <v>1000</v>
      </c>
      <c r="G567" s="322">
        <f t="shared" si="429"/>
        <v>23700</v>
      </c>
      <c r="L567" s="218"/>
      <c r="M567" s="230"/>
      <c r="R567" s="230"/>
      <c r="Y567" s="3"/>
      <c r="Z567" s="3"/>
      <c r="AA567" s="3"/>
      <c r="AB567" s="3"/>
      <c r="AC567" s="3"/>
      <c r="AD567" s="3"/>
      <c r="AE567" s="3"/>
      <c r="AF567" s="3"/>
      <c r="AG567" s="3"/>
      <c r="AH567" s="3"/>
      <c r="AI567" s="3"/>
      <c r="AJ567" s="3"/>
    </row>
    <row r="568" spans="1:36" s="123" customFormat="1" ht="15.75" hidden="1" x14ac:dyDescent="0.25">
      <c r="A568" s="130"/>
      <c r="B568" s="274"/>
      <c r="C568" s="244">
        <v>2018</v>
      </c>
      <c r="D568" s="322">
        <f>mfg_2018*Costs!$C$25+mfg_2018_c3*Costs!$C$26</f>
        <v>0</v>
      </c>
      <c r="E568" s="323">
        <f>Costs!$B$55</f>
        <v>3000</v>
      </c>
      <c r="F568" s="1235">
        <f t="shared" si="428"/>
        <v>1000</v>
      </c>
      <c r="G568" s="322">
        <f t="shared" si="429"/>
        <v>26700</v>
      </c>
      <c r="L568" s="218"/>
      <c r="M568" s="230"/>
      <c r="R568" s="230"/>
      <c r="Y568" s="3"/>
      <c r="Z568" s="3"/>
      <c r="AA568" s="3"/>
      <c r="AB568" s="3"/>
      <c r="AC568" s="3"/>
      <c r="AD568" s="3"/>
      <c r="AE568" s="3"/>
      <c r="AF568" s="3"/>
      <c r="AG568" s="3"/>
      <c r="AH568" s="3"/>
      <c r="AI568" s="3"/>
      <c r="AJ568" s="3"/>
    </row>
    <row r="569" spans="1:36" s="123" customFormat="1" ht="15.75" hidden="1" x14ac:dyDescent="0.25">
      <c r="A569" s="130"/>
      <c r="B569" s="274"/>
      <c r="C569" s="244">
        <v>2019</v>
      </c>
      <c r="D569" s="322">
        <f>mfg_2019*Costs!$C$25+mfg_2019_c3*Costs!$C$26</f>
        <v>0</v>
      </c>
      <c r="E569" s="323">
        <f>Costs!$B$55</f>
        <v>3000</v>
      </c>
      <c r="F569" s="1235">
        <f t="shared" si="428"/>
        <v>1000</v>
      </c>
      <c r="G569" s="322">
        <f t="shared" si="429"/>
        <v>29700</v>
      </c>
      <c r="L569" s="218"/>
      <c r="M569" s="230"/>
      <c r="R569" s="230"/>
      <c r="Y569" s="3"/>
      <c r="Z569" s="3"/>
      <c r="AA569" s="3"/>
      <c r="AB569" s="3"/>
      <c r="AC569" s="3"/>
      <c r="AD569" s="3"/>
      <c r="AE569" s="3"/>
      <c r="AF569" s="3"/>
      <c r="AG569" s="3"/>
      <c r="AH569" s="3"/>
      <c r="AI569" s="3"/>
      <c r="AJ569" s="3"/>
    </row>
    <row r="570" spans="1:36" s="123" customFormat="1" ht="15.75" hidden="1" x14ac:dyDescent="0.25">
      <c r="A570" s="130"/>
      <c r="B570" s="274"/>
      <c r="C570" s="244">
        <v>2020</v>
      </c>
      <c r="D570" s="322">
        <f>mfg_2020*Costs!$C$25+mfg_2020_c3*Costs!$C$26</f>
        <v>0</v>
      </c>
      <c r="E570" s="323">
        <f>Costs!$B$55</f>
        <v>3000</v>
      </c>
      <c r="F570" s="1235">
        <f t="shared" si="428"/>
        <v>1000</v>
      </c>
      <c r="G570" s="322">
        <f t="shared" si="429"/>
        <v>32700</v>
      </c>
      <c r="L570" s="218"/>
      <c r="M570" s="230"/>
      <c r="R570" s="230"/>
      <c r="Y570" s="3"/>
      <c r="Z570" s="3"/>
      <c r="AA570" s="3"/>
      <c r="AB570" s="3"/>
      <c r="AC570" s="3"/>
      <c r="AD570" s="3"/>
      <c r="AE570" s="3"/>
      <c r="AF570" s="3"/>
      <c r="AG570" s="3"/>
      <c r="AH570" s="3"/>
      <c r="AI570" s="3"/>
      <c r="AJ570" s="3"/>
    </row>
    <row r="571" spans="1:36" s="123" customFormat="1" ht="15.75" hidden="1" x14ac:dyDescent="0.25">
      <c r="A571" s="130"/>
      <c r="B571" s="218"/>
      <c r="L571" s="218"/>
      <c r="M571" s="230"/>
      <c r="R571" s="230"/>
      <c r="Y571" s="3"/>
      <c r="Z571" s="3"/>
      <c r="AA571" s="3"/>
      <c r="AB571" s="3"/>
      <c r="AC571" s="3"/>
      <c r="AD571" s="3"/>
      <c r="AE571" s="3"/>
      <c r="AF571" s="3"/>
      <c r="AG571" s="3"/>
      <c r="AH571" s="3"/>
      <c r="AI571" s="3"/>
      <c r="AJ571" s="3"/>
    </row>
    <row r="572" spans="1:36" s="123" customFormat="1" ht="15.75" hidden="1" x14ac:dyDescent="0.25">
      <c r="A572" s="130"/>
      <c r="B572" s="273" t="s">
        <v>1052</v>
      </c>
      <c r="C572" s="242"/>
      <c r="D572" s="253" t="s">
        <v>2076</v>
      </c>
      <c r="E572" s="253" t="s">
        <v>2076</v>
      </c>
      <c r="F572" s="253" t="s">
        <v>2076</v>
      </c>
      <c r="G572" s="253" t="s">
        <v>2075</v>
      </c>
      <c r="H572" s="253" t="s">
        <v>2075</v>
      </c>
      <c r="L572" s="218"/>
      <c r="M572" s="230"/>
      <c r="R572" s="230"/>
      <c r="Y572" s="3"/>
      <c r="Z572" s="3"/>
      <c r="AA572" s="3"/>
      <c r="AB572" s="3"/>
      <c r="AC572" s="3"/>
      <c r="AD572" s="3"/>
      <c r="AE572" s="3"/>
      <c r="AF572" s="3"/>
      <c r="AG572" s="3"/>
      <c r="AH572" s="3"/>
      <c r="AI572" s="3"/>
      <c r="AJ572" s="3"/>
    </row>
    <row r="573" spans="1:36" s="123" customFormat="1" ht="15.75" hidden="1" x14ac:dyDescent="0.25">
      <c r="A573" s="130"/>
      <c r="B573" s="274"/>
      <c r="C573" s="255" t="s">
        <v>440</v>
      </c>
      <c r="D573" s="256" t="s">
        <v>1053</v>
      </c>
      <c r="E573" s="256" t="s">
        <v>432</v>
      </c>
      <c r="F573" s="256" t="s">
        <v>437</v>
      </c>
      <c r="G573" s="253" t="s">
        <v>1476</v>
      </c>
      <c r="H573" s="256" t="s">
        <v>1477</v>
      </c>
      <c r="L573" s="218"/>
      <c r="M573" s="230"/>
      <c r="R573" s="230"/>
      <c r="Y573" s="3"/>
      <c r="Z573" s="3"/>
      <c r="AA573" s="3"/>
      <c r="AB573" s="3"/>
      <c r="AC573" s="3"/>
      <c r="AD573" s="3"/>
      <c r="AE573" s="3"/>
      <c r="AF573" s="3"/>
      <c r="AG573" s="3"/>
      <c r="AH573" s="3"/>
      <c r="AI573" s="3"/>
      <c r="AJ573" s="3"/>
    </row>
    <row r="574" spans="1:36" s="123" customFormat="1" ht="15.75" hidden="1" x14ac:dyDescent="0.25">
      <c r="A574" s="130"/>
      <c r="B574" s="274"/>
      <c r="C574" s="368" t="s">
        <v>1479</v>
      </c>
      <c r="D574" s="244"/>
      <c r="E574" s="244"/>
      <c r="F574" s="244"/>
      <c r="G574" s="244"/>
      <c r="H574" s="366">
        <f>J121</f>
        <v>0</v>
      </c>
      <c r="L574" s="218"/>
      <c r="M574" s="230"/>
      <c r="R574" s="230"/>
      <c r="Y574" s="3"/>
      <c r="Z574" s="3"/>
      <c r="AA574" s="3"/>
      <c r="AB574" s="3"/>
      <c r="AC574" s="3"/>
      <c r="AD574" s="3"/>
      <c r="AE574" s="3"/>
      <c r="AF574" s="3"/>
      <c r="AG574" s="3"/>
      <c r="AH574" s="3"/>
      <c r="AI574" s="3"/>
      <c r="AJ574" s="3"/>
    </row>
    <row r="575" spans="1:36" s="123" customFormat="1" ht="15.75" hidden="1" x14ac:dyDescent="0.25">
      <c r="A575" s="130"/>
      <c r="B575" s="274"/>
      <c r="C575" s="244">
        <v>2015</v>
      </c>
      <c r="D575" s="245">
        <f t="shared" ref="D575:D580" si="430">H25-I25</f>
        <v>0</v>
      </c>
      <c r="E575" s="245">
        <f t="shared" ref="E575:E580" si="431">J25</f>
        <v>0</v>
      </c>
      <c r="F575" s="245">
        <f t="shared" ref="F575:F580" si="432">D575+E575</f>
        <v>0</v>
      </c>
      <c r="G575" s="365">
        <f>SUM(F$575:F575)</f>
        <v>0</v>
      </c>
      <c r="H575" s="367">
        <f>H574+F575</f>
        <v>0</v>
      </c>
      <c r="L575" s="218"/>
      <c r="M575" s="230"/>
      <c r="R575" s="230"/>
      <c r="Y575" s="3"/>
      <c r="Z575" s="3"/>
      <c r="AA575" s="3"/>
      <c r="AB575" s="3"/>
      <c r="AC575" s="3"/>
      <c r="AD575" s="3"/>
      <c r="AE575" s="3"/>
      <c r="AF575" s="3"/>
      <c r="AG575" s="3"/>
      <c r="AH575" s="3"/>
      <c r="AI575" s="3"/>
      <c r="AJ575" s="3"/>
    </row>
    <row r="576" spans="1:36" s="123" customFormat="1" ht="15.75" hidden="1" x14ac:dyDescent="0.25">
      <c r="A576" s="130"/>
      <c r="B576" s="274"/>
      <c r="C576" s="244">
        <v>2016</v>
      </c>
      <c r="D576" s="245">
        <f t="shared" si="430"/>
        <v>0</v>
      </c>
      <c r="E576" s="245">
        <f t="shared" si="431"/>
        <v>0</v>
      </c>
      <c r="F576" s="245">
        <f t="shared" si="432"/>
        <v>0</v>
      </c>
      <c r="G576" s="365">
        <f>SUM(F$575:F576)</f>
        <v>0</v>
      </c>
      <c r="H576" s="367">
        <f t="shared" ref="H576:H580" si="433">H575+F576</f>
        <v>0</v>
      </c>
      <c r="L576" s="218"/>
      <c r="M576" s="230"/>
      <c r="R576" s="230"/>
      <c r="Y576" s="3"/>
      <c r="Z576" s="3"/>
      <c r="AA576" s="3"/>
      <c r="AB576" s="3"/>
      <c r="AC576" s="3"/>
      <c r="AD576" s="3"/>
      <c r="AE576" s="3"/>
      <c r="AF576" s="3"/>
      <c r="AG576" s="3"/>
      <c r="AH576" s="3"/>
      <c r="AI576" s="3"/>
      <c r="AJ576" s="3"/>
    </row>
    <row r="577" spans="1:36" s="123" customFormat="1" ht="15.75" hidden="1" x14ac:dyDescent="0.25">
      <c r="A577" s="130"/>
      <c r="B577" s="274"/>
      <c r="C577" s="244">
        <v>2017</v>
      </c>
      <c r="D577" s="245">
        <f t="shared" si="430"/>
        <v>0</v>
      </c>
      <c r="E577" s="245">
        <f t="shared" si="431"/>
        <v>0</v>
      </c>
      <c r="F577" s="245">
        <f t="shared" si="432"/>
        <v>0</v>
      </c>
      <c r="G577" s="365">
        <f>SUM(F$575:F577)</f>
        <v>0</v>
      </c>
      <c r="H577" s="367">
        <f t="shared" si="433"/>
        <v>0</v>
      </c>
      <c r="L577" s="218"/>
      <c r="M577" s="230"/>
      <c r="R577" s="230"/>
      <c r="Y577" s="3"/>
      <c r="Z577" s="3"/>
      <c r="AA577" s="3"/>
      <c r="AB577" s="3"/>
      <c r="AC577" s="3"/>
      <c r="AD577" s="3"/>
      <c r="AE577" s="3"/>
      <c r="AF577" s="3"/>
      <c r="AG577" s="3"/>
      <c r="AH577" s="3"/>
      <c r="AI577" s="3"/>
      <c r="AJ577" s="3"/>
    </row>
    <row r="578" spans="1:36" s="123" customFormat="1" ht="15.75" hidden="1" x14ac:dyDescent="0.25">
      <c r="A578" s="130"/>
      <c r="B578" s="274"/>
      <c r="C578" s="244">
        <v>2018</v>
      </c>
      <c r="D578" s="245">
        <f t="shared" si="430"/>
        <v>0</v>
      </c>
      <c r="E578" s="245">
        <f t="shared" si="431"/>
        <v>0</v>
      </c>
      <c r="F578" s="245">
        <f t="shared" si="432"/>
        <v>0</v>
      </c>
      <c r="G578" s="365">
        <f>SUM(F$575:F578)</f>
        <v>0</v>
      </c>
      <c r="H578" s="367">
        <f t="shared" si="433"/>
        <v>0</v>
      </c>
      <c r="L578" s="218"/>
      <c r="M578" s="230"/>
      <c r="R578" s="230"/>
      <c r="Y578" s="3"/>
      <c r="Z578" s="3"/>
      <c r="AA578" s="3"/>
      <c r="AB578" s="3"/>
      <c r="AC578" s="3"/>
      <c r="AD578" s="3"/>
      <c r="AE578" s="3"/>
      <c r="AF578" s="3"/>
      <c r="AG578" s="3"/>
      <c r="AH578" s="3"/>
      <c r="AI578" s="3"/>
      <c r="AJ578" s="3"/>
    </row>
    <row r="579" spans="1:36" s="123" customFormat="1" ht="15.75" hidden="1" x14ac:dyDescent="0.25">
      <c r="A579" s="130"/>
      <c r="B579" s="274"/>
      <c r="C579" s="244">
        <v>2019</v>
      </c>
      <c r="D579" s="245">
        <f t="shared" si="430"/>
        <v>0</v>
      </c>
      <c r="E579" s="245">
        <f t="shared" si="431"/>
        <v>0</v>
      </c>
      <c r="F579" s="245">
        <f t="shared" si="432"/>
        <v>0</v>
      </c>
      <c r="G579" s="365">
        <f>SUM(F$575:F579)</f>
        <v>0</v>
      </c>
      <c r="H579" s="367">
        <f t="shared" si="433"/>
        <v>0</v>
      </c>
      <c r="L579" s="218"/>
      <c r="M579" s="230"/>
      <c r="R579" s="230"/>
      <c r="Y579" s="3"/>
      <c r="Z579" s="3"/>
      <c r="AA579" s="3"/>
      <c r="AB579" s="3"/>
      <c r="AC579" s="3"/>
      <c r="AD579" s="3"/>
      <c r="AE579" s="3"/>
      <c r="AF579" s="3"/>
      <c r="AG579" s="3"/>
      <c r="AH579" s="3"/>
      <c r="AI579" s="3"/>
      <c r="AJ579" s="3"/>
    </row>
    <row r="580" spans="1:36" s="123" customFormat="1" ht="15.75" hidden="1" x14ac:dyDescent="0.25">
      <c r="A580" s="130"/>
      <c r="B580" s="274"/>
      <c r="C580" s="244">
        <v>2020</v>
      </c>
      <c r="D580" s="245">
        <f t="shared" si="430"/>
        <v>0</v>
      </c>
      <c r="E580" s="245">
        <f t="shared" si="431"/>
        <v>0</v>
      </c>
      <c r="F580" s="245">
        <f t="shared" si="432"/>
        <v>0</v>
      </c>
      <c r="G580" s="365">
        <f>SUM(F$575:F580)</f>
        <v>0</v>
      </c>
      <c r="H580" s="367">
        <f t="shared" si="433"/>
        <v>0</v>
      </c>
      <c r="L580" s="218"/>
      <c r="M580" s="230"/>
      <c r="R580" s="230"/>
      <c r="Y580" s="3"/>
      <c r="Z580" s="3"/>
      <c r="AA580" s="3"/>
      <c r="AB580" s="3"/>
      <c r="AC580" s="3"/>
      <c r="AD580" s="3"/>
      <c r="AE580" s="3"/>
      <c r="AF580" s="3"/>
      <c r="AG580" s="3"/>
      <c r="AH580" s="3"/>
      <c r="AI580" s="3"/>
      <c r="AJ580" s="3"/>
    </row>
    <row r="581" spans="1:36" s="123" customFormat="1" ht="15.75" hidden="1" x14ac:dyDescent="0.25">
      <c r="A581" s="130"/>
      <c r="B581" s="274"/>
      <c r="C581" s="242"/>
      <c r="L581" s="218"/>
      <c r="M581" s="230"/>
      <c r="R581" s="230"/>
      <c r="Y581" s="3"/>
      <c r="Z581" s="3"/>
      <c r="AA581" s="3"/>
      <c r="AB581" s="3"/>
      <c r="AC581" s="3"/>
      <c r="AD581" s="3"/>
      <c r="AE581" s="3"/>
      <c r="AF581" s="3"/>
      <c r="AG581" s="3"/>
      <c r="AH581" s="3"/>
      <c r="AI581" s="3"/>
      <c r="AJ581" s="3"/>
    </row>
    <row r="582" spans="1:36" s="123" customFormat="1" ht="15.75" hidden="1" x14ac:dyDescent="0.25">
      <c r="A582" s="130"/>
      <c r="B582" s="274"/>
      <c r="C582" s="124"/>
      <c r="D582" s="253" t="s">
        <v>2076</v>
      </c>
      <c r="E582" s="253" t="s">
        <v>2076</v>
      </c>
      <c r="F582" s="253" t="s">
        <v>2076</v>
      </c>
      <c r="G582" s="253" t="s">
        <v>2075</v>
      </c>
      <c r="H582" s="253" t="s">
        <v>2075</v>
      </c>
      <c r="L582" s="218"/>
      <c r="M582" s="230"/>
      <c r="R582" s="230"/>
      <c r="Y582" s="3"/>
      <c r="Z582" s="3"/>
      <c r="AA582" s="3"/>
      <c r="AB582" s="3"/>
      <c r="AC582" s="3"/>
      <c r="AD582" s="3"/>
      <c r="AE582" s="3"/>
      <c r="AF582" s="3"/>
      <c r="AG582" s="3"/>
      <c r="AH582" s="3"/>
      <c r="AI582" s="3"/>
      <c r="AJ582" s="3"/>
    </row>
    <row r="583" spans="1:36" s="123" customFormat="1" ht="15.75" hidden="1" x14ac:dyDescent="0.25">
      <c r="A583" s="130"/>
      <c r="B583" s="274"/>
      <c r="C583" s="255" t="s">
        <v>441</v>
      </c>
      <c r="D583" s="256" t="str">
        <f>D573</f>
        <v>Domestic (net)</v>
      </c>
      <c r="E583" s="256" t="s">
        <v>432</v>
      </c>
      <c r="F583" s="256" t="s">
        <v>437</v>
      </c>
      <c r="G583" s="256" t="str">
        <f>G573</f>
        <v>Cumulative 2015 - t</v>
      </c>
      <c r="H583" s="256" t="s">
        <v>448</v>
      </c>
      <c r="L583" s="218"/>
      <c r="M583" s="230"/>
      <c r="R583" s="230"/>
      <c r="Y583" s="3"/>
      <c r="Z583" s="3"/>
      <c r="AA583" s="3"/>
      <c r="AB583" s="3"/>
      <c r="AC583" s="3"/>
      <c r="AD583" s="3"/>
      <c r="AE583" s="3"/>
      <c r="AF583" s="3"/>
      <c r="AG583" s="3"/>
      <c r="AH583" s="3"/>
      <c r="AI583" s="3"/>
      <c r="AJ583" s="3"/>
    </row>
    <row r="584" spans="1:36" s="123" customFormat="1" ht="15.75" hidden="1" x14ac:dyDescent="0.25">
      <c r="A584" s="130"/>
      <c r="B584" s="274"/>
      <c r="C584" s="243" t="str">
        <f>C574</f>
        <v>Pre existing</v>
      </c>
      <c r="D584" s="244"/>
      <c r="E584" s="244"/>
      <c r="F584" s="244"/>
      <c r="G584" s="242"/>
      <c r="H584" s="366">
        <f>J122</f>
        <v>0</v>
      </c>
      <c r="L584" s="218"/>
      <c r="M584" s="230"/>
      <c r="R584" s="230"/>
      <c r="Y584" s="3"/>
      <c r="Z584" s="3"/>
      <c r="AA584" s="3"/>
      <c r="AB584" s="3"/>
      <c r="AC584" s="3"/>
      <c r="AD584" s="3"/>
      <c r="AE584" s="3"/>
      <c r="AF584" s="3"/>
      <c r="AG584" s="3"/>
      <c r="AH584" s="3"/>
      <c r="AI584" s="3"/>
      <c r="AJ584" s="3"/>
    </row>
    <row r="585" spans="1:36" s="123" customFormat="1" ht="15.75" hidden="1" x14ac:dyDescent="0.25">
      <c r="A585" s="130"/>
      <c r="B585" s="274"/>
      <c r="C585" s="244">
        <v>2015</v>
      </c>
      <c r="D585" s="245">
        <f t="shared" ref="D585:D590" si="434">H34-I34</f>
        <v>0</v>
      </c>
      <c r="E585" s="245">
        <f t="shared" ref="E585:E590" si="435">J34</f>
        <v>0</v>
      </c>
      <c r="F585" s="245">
        <f t="shared" ref="F585:F590" si="436">D585+E585</f>
        <v>0</v>
      </c>
      <c r="G585" s="358">
        <f>SUM(F$585:F585)</f>
        <v>0</v>
      </c>
      <c r="H585" s="245">
        <f>H584+F585</f>
        <v>0</v>
      </c>
      <c r="L585" s="218"/>
      <c r="M585" s="230"/>
      <c r="R585" s="230"/>
      <c r="Y585" s="3"/>
      <c r="Z585" s="3"/>
      <c r="AA585" s="3"/>
      <c r="AB585" s="3"/>
      <c r="AC585" s="3"/>
      <c r="AD585" s="3"/>
      <c r="AE585" s="3"/>
      <c r="AF585" s="3"/>
      <c r="AG585" s="3"/>
      <c r="AH585" s="3"/>
      <c r="AI585" s="3"/>
      <c r="AJ585" s="3"/>
    </row>
    <row r="586" spans="1:36" s="123" customFormat="1" ht="15.75" hidden="1" x14ac:dyDescent="0.25">
      <c r="A586" s="130"/>
      <c r="B586" s="274"/>
      <c r="C586" s="244">
        <v>2016</v>
      </c>
      <c r="D586" s="245">
        <f t="shared" si="434"/>
        <v>0</v>
      </c>
      <c r="E586" s="245">
        <f t="shared" si="435"/>
        <v>0</v>
      </c>
      <c r="F586" s="245">
        <f t="shared" si="436"/>
        <v>0</v>
      </c>
      <c r="G586" s="358">
        <f>SUM(F$585:F586)</f>
        <v>0</v>
      </c>
      <c r="H586" s="245">
        <f t="shared" ref="H586:H590" si="437">H585+F586</f>
        <v>0</v>
      </c>
      <c r="L586" s="218"/>
      <c r="M586" s="230"/>
      <c r="R586" s="230"/>
      <c r="Y586" s="3"/>
      <c r="Z586" s="3"/>
      <c r="AA586" s="3"/>
      <c r="AB586" s="3"/>
      <c r="AC586" s="3"/>
      <c r="AD586" s="3"/>
      <c r="AE586" s="3"/>
      <c r="AF586" s="3"/>
      <c r="AG586" s="3"/>
      <c r="AH586" s="3"/>
      <c r="AI586" s="3"/>
      <c r="AJ586" s="3"/>
    </row>
    <row r="587" spans="1:36" s="123" customFormat="1" ht="15.75" hidden="1" x14ac:dyDescent="0.25">
      <c r="A587" s="130"/>
      <c r="B587" s="274"/>
      <c r="C587" s="244">
        <v>2017</v>
      </c>
      <c r="D587" s="245">
        <f t="shared" si="434"/>
        <v>0</v>
      </c>
      <c r="E587" s="245">
        <f t="shared" si="435"/>
        <v>0</v>
      </c>
      <c r="F587" s="245">
        <f t="shared" si="436"/>
        <v>0</v>
      </c>
      <c r="G587" s="358">
        <f>SUM(F$585:F587)</f>
        <v>0</v>
      </c>
      <c r="H587" s="245">
        <f t="shared" si="437"/>
        <v>0</v>
      </c>
      <c r="L587" s="218"/>
      <c r="M587" s="230"/>
      <c r="R587" s="230"/>
      <c r="Y587" s="3"/>
      <c r="Z587" s="3"/>
      <c r="AA587" s="3"/>
      <c r="AB587" s="3"/>
      <c r="AC587" s="3"/>
      <c r="AD587" s="3"/>
      <c r="AE587" s="3"/>
      <c r="AF587" s="3"/>
      <c r="AG587" s="3"/>
      <c r="AH587" s="3"/>
      <c r="AI587" s="3"/>
      <c r="AJ587" s="3"/>
    </row>
    <row r="588" spans="1:36" s="123" customFormat="1" ht="15.75" hidden="1" x14ac:dyDescent="0.25">
      <c r="A588" s="130"/>
      <c r="B588" s="274"/>
      <c r="C588" s="244">
        <v>2018</v>
      </c>
      <c r="D588" s="245">
        <f t="shared" si="434"/>
        <v>0</v>
      </c>
      <c r="E588" s="245">
        <f t="shared" si="435"/>
        <v>0</v>
      </c>
      <c r="F588" s="245">
        <f t="shared" si="436"/>
        <v>0</v>
      </c>
      <c r="G588" s="358">
        <f>SUM(F$585:F588)</f>
        <v>0</v>
      </c>
      <c r="H588" s="245">
        <f t="shared" si="437"/>
        <v>0</v>
      </c>
      <c r="L588" s="218"/>
      <c r="M588" s="230"/>
      <c r="R588" s="230"/>
      <c r="Y588" s="3"/>
      <c r="Z588" s="3"/>
      <c r="AA588" s="3"/>
      <c r="AB588" s="3"/>
      <c r="AC588" s="3"/>
      <c r="AD588" s="3"/>
      <c r="AE588" s="3"/>
      <c r="AF588" s="3"/>
      <c r="AG588" s="3"/>
      <c r="AH588" s="3"/>
      <c r="AI588" s="3"/>
      <c r="AJ588" s="3"/>
    </row>
    <row r="589" spans="1:36" s="123" customFormat="1" ht="15.75" hidden="1" x14ac:dyDescent="0.25">
      <c r="A589" s="130"/>
      <c r="B589" s="274"/>
      <c r="C589" s="244">
        <v>2019</v>
      </c>
      <c r="D589" s="245">
        <f t="shared" si="434"/>
        <v>0</v>
      </c>
      <c r="E589" s="245">
        <f t="shared" si="435"/>
        <v>0</v>
      </c>
      <c r="F589" s="245">
        <f t="shared" si="436"/>
        <v>0</v>
      </c>
      <c r="G589" s="358">
        <f>SUM(F$585:F589)</f>
        <v>0</v>
      </c>
      <c r="H589" s="245">
        <f t="shared" si="437"/>
        <v>0</v>
      </c>
      <c r="L589" s="218"/>
      <c r="M589" s="230"/>
      <c r="R589" s="230"/>
      <c r="Y589" s="3"/>
      <c r="Z589" s="3"/>
      <c r="AA589" s="3"/>
      <c r="AB589" s="3"/>
      <c r="AC589" s="3"/>
      <c r="AD589" s="3"/>
      <c r="AE589" s="3"/>
      <c r="AF589" s="3"/>
      <c r="AG589" s="3"/>
      <c r="AH589" s="3"/>
      <c r="AI589" s="3"/>
      <c r="AJ589" s="3"/>
    </row>
    <row r="590" spans="1:36" s="123" customFormat="1" ht="15.75" hidden="1" x14ac:dyDescent="0.25">
      <c r="A590" s="130"/>
      <c r="B590" s="274"/>
      <c r="C590" s="244">
        <v>2020</v>
      </c>
      <c r="D590" s="245">
        <f t="shared" si="434"/>
        <v>0</v>
      </c>
      <c r="E590" s="245">
        <f t="shared" si="435"/>
        <v>0</v>
      </c>
      <c r="F590" s="245">
        <f t="shared" si="436"/>
        <v>0</v>
      </c>
      <c r="G590" s="358">
        <f>SUM(F$585:F590)</f>
        <v>0</v>
      </c>
      <c r="H590" s="245">
        <f t="shared" si="437"/>
        <v>0</v>
      </c>
      <c r="L590" s="218"/>
      <c r="M590" s="230"/>
      <c r="R590" s="230"/>
      <c r="Y590" s="3"/>
      <c r="Z590" s="3"/>
      <c r="AA590" s="3"/>
      <c r="AB590" s="3"/>
      <c r="AC590" s="3"/>
      <c r="AD590" s="3"/>
      <c r="AE590" s="3"/>
      <c r="AF590" s="3"/>
      <c r="AG590" s="3"/>
      <c r="AH590" s="3"/>
      <c r="AI590" s="3"/>
      <c r="AJ590" s="3"/>
    </row>
    <row r="591" spans="1:36" s="123" customFormat="1" ht="15.75" hidden="1" x14ac:dyDescent="0.25">
      <c r="A591" s="130"/>
      <c r="B591" s="130"/>
      <c r="C591" s="130"/>
      <c r="D591" s="130"/>
      <c r="E591" s="130"/>
      <c r="F591" s="130"/>
      <c r="G591" s="130"/>
      <c r="H591" s="130"/>
      <c r="L591" s="218"/>
      <c r="M591" s="230"/>
      <c r="R591" s="230"/>
      <c r="Y591" s="3"/>
      <c r="Z591" s="3"/>
      <c r="AA591" s="3"/>
      <c r="AB591" s="3"/>
      <c r="AC591" s="3"/>
      <c r="AD591" s="3"/>
      <c r="AE591" s="3"/>
      <c r="AF591" s="3"/>
      <c r="AG591" s="3"/>
      <c r="AH591" s="3"/>
      <c r="AI591" s="3"/>
      <c r="AJ591" s="3"/>
    </row>
    <row r="592" spans="1:36" s="123" customFormat="1" ht="15.75" hidden="1" x14ac:dyDescent="0.25">
      <c r="A592" s="130"/>
      <c r="B592" s="276" t="s">
        <v>1059</v>
      </c>
      <c r="C592" s="244" t="s">
        <v>2250</v>
      </c>
      <c r="D592" s="244"/>
      <c r="E592" s="242"/>
      <c r="F592" s="242"/>
      <c r="G592" s="242"/>
      <c r="H592" s="130"/>
      <c r="L592" s="218"/>
      <c r="M592" s="230"/>
      <c r="R592" s="230"/>
      <c r="Y592" s="3"/>
      <c r="Z592" s="3"/>
      <c r="AA592" s="3"/>
      <c r="AB592" s="3"/>
      <c r="AC592" s="3"/>
      <c r="AD592" s="3"/>
      <c r="AE592" s="3"/>
      <c r="AF592" s="3"/>
      <c r="AG592" s="3"/>
      <c r="AH592" s="3"/>
      <c r="AI592" s="3"/>
      <c r="AJ592" s="3"/>
    </row>
    <row r="593" spans="1:36" s="123" customFormat="1" ht="15.75" hidden="1" x14ac:dyDescent="0.25">
      <c r="A593" s="130"/>
      <c r="B593" s="274"/>
      <c r="C593" s="242">
        <f>CPI!N20/CPI!N22</f>
        <v>0.98737480280294965</v>
      </c>
      <c r="D593" s="242"/>
      <c r="E593" s="242"/>
      <c r="F593" s="242"/>
      <c r="G593" s="242"/>
      <c r="H593" s="130"/>
      <c r="L593" s="218"/>
      <c r="M593" s="230"/>
      <c r="R593" s="230"/>
      <c r="Y593" s="3"/>
      <c r="Z593" s="3"/>
      <c r="AA593" s="3"/>
      <c r="AB593" s="3"/>
      <c r="AC593" s="3"/>
      <c r="AD593" s="3"/>
      <c r="AE593" s="3"/>
      <c r="AF593" s="3"/>
      <c r="AG593" s="3"/>
      <c r="AH593" s="3"/>
      <c r="AI593" s="3"/>
      <c r="AJ593" s="3"/>
    </row>
    <row r="594" spans="1:36" s="219" customFormat="1" ht="15.75" hidden="1" x14ac:dyDescent="0.25">
      <c r="A594" s="130"/>
      <c r="B594" s="274"/>
      <c r="C594" s="242"/>
      <c r="D594" s="242"/>
      <c r="E594" s="242"/>
      <c r="F594" s="242"/>
      <c r="G594" s="242"/>
      <c r="H594" s="130"/>
      <c r="I594" s="123"/>
      <c r="J594" s="123"/>
      <c r="K594" s="123"/>
      <c r="L594" s="218"/>
      <c r="M594" s="230"/>
      <c r="N594" s="123"/>
      <c r="O594" s="123"/>
      <c r="P594" s="123"/>
      <c r="Q594" s="123"/>
      <c r="R594" s="230"/>
      <c r="S594" s="123"/>
      <c r="T594" s="123"/>
      <c r="U594" s="123"/>
      <c r="V594" s="123"/>
      <c r="W594" s="123"/>
      <c r="X594" s="123"/>
      <c r="Y594" s="3"/>
      <c r="Z594" s="3"/>
      <c r="AA594" s="3"/>
      <c r="AB594" s="3"/>
      <c r="AC594" s="3"/>
      <c r="AD594" s="3"/>
      <c r="AE594" s="3"/>
      <c r="AF594" s="3"/>
      <c r="AG594" s="3"/>
      <c r="AH594" s="3"/>
      <c r="AI594" s="3"/>
      <c r="AJ594" s="3"/>
    </row>
    <row r="595" spans="1:36" s="240" customFormat="1" ht="15.75" hidden="1" x14ac:dyDescent="0.25">
      <c r="A595" s="130"/>
      <c r="B595" s="273" t="s">
        <v>1057</v>
      </c>
      <c r="C595" s="246"/>
      <c r="D595" s="246"/>
      <c r="E595" s="246"/>
      <c r="F595" s="244"/>
      <c r="G595" s="244"/>
      <c r="H595" s="130"/>
      <c r="I595" s="123"/>
      <c r="J595" s="123"/>
      <c r="K595" s="123"/>
      <c r="L595" s="218"/>
      <c r="M595" s="230"/>
      <c r="N595" s="123"/>
      <c r="O595" s="123"/>
      <c r="P595" s="123"/>
      <c r="Q595" s="123"/>
      <c r="R595" s="230"/>
      <c r="S595" s="123"/>
      <c r="T595" s="123"/>
      <c r="U595" s="123"/>
      <c r="V595" s="123"/>
      <c r="W595" s="123"/>
      <c r="X595" s="123"/>
      <c r="Y595" s="3"/>
      <c r="Z595" s="3"/>
      <c r="AA595" s="3"/>
      <c r="AB595" s="3"/>
      <c r="AC595" s="3"/>
      <c r="AD595" s="3"/>
      <c r="AE595" s="3"/>
      <c r="AF595" s="3"/>
      <c r="AG595" s="3"/>
      <c r="AH595" s="3"/>
      <c r="AI595" s="3"/>
      <c r="AJ595" s="3"/>
    </row>
    <row r="596" spans="1:36" s="238" customFormat="1" ht="15.75" hidden="1" x14ac:dyDescent="0.25">
      <c r="A596" s="130"/>
      <c r="B596" s="277" t="s">
        <v>450</v>
      </c>
      <c r="C596" s="242"/>
      <c r="D596" s="243" t="s">
        <v>440</v>
      </c>
      <c r="E596" s="243" t="s">
        <v>441</v>
      </c>
      <c r="F596" s="243" t="s">
        <v>448</v>
      </c>
      <c r="G596" s="244" t="s">
        <v>2251</v>
      </c>
      <c r="H596" s="130"/>
      <c r="I596" s="123"/>
      <c r="J596" s="123"/>
      <c r="K596" s="123"/>
      <c r="L596" s="218"/>
      <c r="M596" s="230"/>
      <c r="N596" s="123"/>
      <c r="O596" s="123"/>
      <c r="P596" s="123"/>
      <c r="Q596" s="123"/>
      <c r="R596" s="230"/>
      <c r="S596" s="123"/>
      <c r="T596" s="123"/>
      <c r="U596" s="123"/>
      <c r="V596" s="123"/>
      <c r="W596" s="123"/>
      <c r="X596" s="123"/>
      <c r="Y596" s="3"/>
      <c r="Z596" s="3"/>
      <c r="AA596" s="3"/>
      <c r="AB596" s="3"/>
      <c r="AC596" s="3"/>
      <c r="AD596" s="3"/>
      <c r="AE596" s="3"/>
      <c r="AF596" s="3"/>
      <c r="AG596" s="3"/>
      <c r="AH596" s="3"/>
      <c r="AI596" s="3"/>
      <c r="AJ596" s="3"/>
    </row>
    <row r="597" spans="1:36" s="238" customFormat="1" ht="15.75" hidden="1" x14ac:dyDescent="0.25">
      <c r="A597" s="130"/>
      <c r="B597" s="274"/>
      <c r="C597" s="247">
        <v>2015</v>
      </c>
      <c r="D597" s="248">
        <f>cost_2015*avgSize*mfg_2015</f>
        <v>0</v>
      </c>
      <c r="E597" s="248">
        <f>cost_2015_c3*avgSize_c3*mfg_2015_c3</f>
        <v>0</v>
      </c>
      <c r="F597" s="248">
        <f>prodcosts_2015+prodcosts_2015_c3</f>
        <v>0</v>
      </c>
      <c r="G597" s="248">
        <f>TotalProdCosts_2015*C$593</f>
        <v>0</v>
      </c>
      <c r="H597" s="130"/>
      <c r="I597" s="262"/>
      <c r="J597" s="123"/>
      <c r="K597" s="123"/>
      <c r="L597" s="218"/>
      <c r="M597" s="230"/>
      <c r="N597" s="123"/>
      <c r="O597" s="123"/>
      <c r="P597" s="123"/>
      <c r="Q597" s="123"/>
      <c r="R597" s="230"/>
      <c r="S597" s="123"/>
      <c r="T597" s="123"/>
      <c r="U597" s="123"/>
      <c r="V597" s="123"/>
      <c r="W597" s="123"/>
      <c r="X597" s="123"/>
      <c r="Y597" s="3"/>
      <c r="Z597" s="3"/>
      <c r="AA597" s="3"/>
      <c r="AB597" s="3"/>
      <c r="AC597" s="3"/>
      <c r="AD597" s="3"/>
      <c r="AE597" s="3"/>
      <c r="AF597" s="3"/>
      <c r="AG597" s="3"/>
      <c r="AH597" s="3"/>
      <c r="AI597" s="3"/>
      <c r="AJ597" s="3"/>
    </row>
    <row r="598" spans="1:36" s="238" customFormat="1" ht="15.75" hidden="1" x14ac:dyDescent="0.25">
      <c r="A598" s="130"/>
      <c r="B598" s="274"/>
      <c r="C598" s="247">
        <v>2016</v>
      </c>
      <c r="D598" s="248">
        <f>cost_2016*avgSize*mfg_2016</f>
        <v>0</v>
      </c>
      <c r="E598" s="248">
        <f>cost_2016_c3*avgSize_c3*mfg_2016_c3</f>
        <v>0</v>
      </c>
      <c r="F598" s="248">
        <f>prodcosts_2016+prodcosts_2016_c3</f>
        <v>0</v>
      </c>
      <c r="G598" s="248">
        <f>TotalProdCosts_2016*C$593</f>
        <v>0</v>
      </c>
      <c r="H598" s="130"/>
      <c r="I598" s="123"/>
      <c r="J598" s="123"/>
      <c r="K598" s="123"/>
      <c r="L598" s="218"/>
      <c r="M598" s="230"/>
      <c r="N598" s="123"/>
      <c r="O598" s="123"/>
      <c r="P598" s="123"/>
      <c r="Q598" s="123"/>
      <c r="R598" s="230"/>
      <c r="S598" s="123"/>
      <c r="T598" s="123"/>
      <c r="U598" s="123"/>
      <c r="V598" s="123"/>
      <c r="W598" s="123"/>
      <c r="X598" s="123"/>
      <c r="Y598" s="3"/>
      <c r="Z598" s="3"/>
      <c r="AA598" s="3"/>
      <c r="AB598" s="3"/>
      <c r="AC598" s="3"/>
      <c r="AD598" s="3"/>
      <c r="AE598" s="3"/>
      <c r="AF598" s="3"/>
      <c r="AG598" s="3"/>
      <c r="AH598" s="3"/>
      <c r="AI598" s="3"/>
      <c r="AJ598" s="3"/>
    </row>
    <row r="599" spans="1:36" s="238" customFormat="1" ht="15.75" hidden="1" x14ac:dyDescent="0.25">
      <c r="A599" s="130"/>
      <c r="B599" s="274"/>
      <c r="C599" s="247">
        <v>2017</v>
      </c>
      <c r="D599" s="248">
        <f>cost_2017*avgSize*mfg_2017</f>
        <v>0</v>
      </c>
      <c r="E599" s="248">
        <f>cost_2017_c3*avgSize_c3*mfg_2017_c3</f>
        <v>0</v>
      </c>
      <c r="F599" s="248">
        <f>prodcosts_2017+prodcosts_2017_c3</f>
        <v>0</v>
      </c>
      <c r="G599" s="248">
        <f>TotalProdCosts_2017*C$593</f>
        <v>0</v>
      </c>
      <c r="H599" s="130"/>
      <c r="I599" s="123"/>
      <c r="J599" s="123"/>
      <c r="K599" s="123"/>
      <c r="L599" s="218"/>
      <c r="M599" s="230"/>
      <c r="N599" s="123"/>
      <c r="O599" s="123"/>
      <c r="P599" s="123"/>
      <c r="Q599" s="123"/>
      <c r="R599" s="230"/>
      <c r="S599" s="123"/>
      <c r="T599" s="123"/>
      <c r="U599" s="123"/>
      <c r="V599" s="123"/>
      <c r="W599" s="123"/>
      <c r="X599" s="123"/>
      <c r="Y599" s="3"/>
      <c r="Z599" s="3"/>
      <c r="AA599" s="3"/>
      <c r="AB599" s="3"/>
      <c r="AC599" s="3"/>
      <c r="AD599" s="3"/>
      <c r="AE599" s="3"/>
      <c r="AF599" s="3"/>
      <c r="AG599" s="3"/>
      <c r="AH599" s="3"/>
      <c r="AI599" s="3"/>
      <c r="AJ599" s="3"/>
    </row>
    <row r="600" spans="1:36" s="238" customFormat="1" ht="15.75" hidden="1" x14ac:dyDescent="0.25">
      <c r="A600" s="130"/>
      <c r="B600" s="274"/>
      <c r="C600" s="247">
        <v>2018</v>
      </c>
      <c r="D600" s="248">
        <f>cost_2018*avgSize*mfg_2018</f>
        <v>0</v>
      </c>
      <c r="E600" s="248">
        <f>cost_2018_c3*avgSize_c3*mfg_2018_c3</f>
        <v>0</v>
      </c>
      <c r="F600" s="248">
        <f>prodcosts_2018+prodcosts_2018_c3</f>
        <v>0</v>
      </c>
      <c r="G600" s="248">
        <f>TotalProdCosts_2018*C$593</f>
        <v>0</v>
      </c>
      <c r="H600" s="130"/>
      <c r="I600" s="123"/>
      <c r="J600" s="123"/>
      <c r="K600" s="123"/>
      <c r="L600" s="218"/>
      <c r="M600" s="230"/>
      <c r="N600" s="123"/>
      <c r="O600" s="123"/>
      <c r="P600" s="123"/>
      <c r="Q600" s="123"/>
      <c r="R600" s="230"/>
      <c r="S600" s="123"/>
      <c r="T600" s="123"/>
      <c r="U600" s="123"/>
      <c r="V600" s="123"/>
      <c r="W600" s="123"/>
      <c r="X600" s="123"/>
      <c r="Y600" s="3"/>
      <c r="Z600" s="3"/>
      <c r="AA600" s="3"/>
      <c r="AB600" s="3"/>
      <c r="AC600" s="3"/>
      <c r="AD600" s="3"/>
      <c r="AE600" s="3"/>
      <c r="AF600" s="3"/>
      <c r="AG600" s="3"/>
      <c r="AH600" s="3"/>
      <c r="AI600" s="3"/>
      <c r="AJ600" s="3"/>
    </row>
    <row r="601" spans="1:36" s="238" customFormat="1" ht="15.75" hidden="1" x14ac:dyDescent="0.25">
      <c r="A601" s="130"/>
      <c r="B601" s="274"/>
      <c r="C601" s="247">
        <v>2019</v>
      </c>
      <c r="D601" s="248">
        <f>cost_2019*avgSize*mfg_2019</f>
        <v>0</v>
      </c>
      <c r="E601" s="248">
        <f>cost_2019_c3*avgSize_c3*mfg_2019_c3</f>
        <v>0</v>
      </c>
      <c r="F601" s="249">
        <f>prodcosts_2019+prodcosts_2019_c3</f>
        <v>0</v>
      </c>
      <c r="G601" s="249">
        <f>TotalProdCosts_2019*C$593</f>
        <v>0</v>
      </c>
      <c r="H601" s="130"/>
      <c r="I601" s="123"/>
      <c r="P601" s="123"/>
      <c r="Q601" s="123"/>
      <c r="R601" s="230"/>
      <c r="S601" s="123"/>
      <c r="T601" s="123"/>
      <c r="U601" s="123"/>
      <c r="V601" s="123"/>
      <c r="W601" s="123"/>
      <c r="X601" s="123"/>
      <c r="Y601" s="123"/>
      <c r="Z601" s="123"/>
      <c r="AA601" s="123"/>
      <c r="AB601" s="123"/>
      <c r="AC601" s="123"/>
      <c r="AD601" s="123"/>
    </row>
    <row r="602" spans="1:36" s="238" customFormat="1" ht="15.75" hidden="1" x14ac:dyDescent="0.25">
      <c r="A602" s="130"/>
      <c r="B602" s="274"/>
      <c r="C602" s="247">
        <v>2020</v>
      </c>
      <c r="D602" s="248">
        <f>cost_2020*avgSize*mfg_2020</f>
        <v>0</v>
      </c>
      <c r="E602" s="248">
        <f>cost_2020_c3*avgSize_c3*mfg_2020_c3</f>
        <v>0</v>
      </c>
      <c r="F602" s="249">
        <f>prodcosts_2020+prodcosts_2020_c3</f>
        <v>0</v>
      </c>
      <c r="G602" s="249">
        <f>TotalProdCosts_2020*C$593</f>
        <v>0</v>
      </c>
      <c r="H602" s="130"/>
      <c r="I602" s="123"/>
      <c r="P602" s="123"/>
      <c r="Q602" s="123"/>
      <c r="R602" s="230"/>
      <c r="S602" s="123"/>
      <c r="T602" s="123"/>
      <c r="U602" s="123"/>
      <c r="V602" s="123"/>
      <c r="W602" s="123"/>
      <c r="X602" s="123"/>
      <c r="Y602" s="123"/>
      <c r="Z602" s="123"/>
      <c r="AA602" s="123"/>
      <c r="AB602" s="123"/>
      <c r="AC602" s="123"/>
      <c r="AD602" s="123"/>
    </row>
    <row r="603" spans="1:36" s="238" customFormat="1" ht="15.75" hidden="1" x14ac:dyDescent="0.25">
      <c r="A603" s="130"/>
      <c r="B603" s="274"/>
      <c r="C603" s="247"/>
      <c r="D603" s="248"/>
      <c r="E603" s="248"/>
      <c r="F603" s="248"/>
      <c r="G603" s="249"/>
      <c r="H603" s="130"/>
      <c r="I603" s="123"/>
      <c r="P603" s="123"/>
      <c r="Q603" s="123"/>
      <c r="R603" s="230"/>
      <c r="S603" s="123"/>
      <c r="T603" s="123"/>
      <c r="U603" s="123"/>
      <c r="V603" s="123"/>
      <c r="W603" s="123"/>
      <c r="X603" s="123"/>
      <c r="Y603" s="123"/>
      <c r="Z603" s="123"/>
      <c r="AA603" s="123"/>
      <c r="AB603" s="123"/>
      <c r="AC603" s="123"/>
      <c r="AD603" s="123"/>
    </row>
    <row r="604" spans="1:36" s="238" customFormat="1" ht="15.75" hidden="1" x14ac:dyDescent="0.25">
      <c r="A604" s="130"/>
      <c r="B604" s="273" t="s">
        <v>1058</v>
      </c>
      <c r="C604" s="250"/>
      <c r="D604" s="251" t="str">
        <f>D596</f>
        <v>Class I/II</v>
      </c>
      <c r="E604" s="251" t="str">
        <f t="shared" ref="E604:G604" si="438">E596</f>
        <v>Class III</v>
      </c>
      <c r="F604" s="251" t="str">
        <f t="shared" si="438"/>
        <v>Total</v>
      </c>
      <c r="G604" s="251" t="str">
        <f t="shared" si="438"/>
        <v>2008 dollars</v>
      </c>
      <c r="H604" s="130"/>
      <c r="I604" s="123"/>
      <c r="P604" s="123"/>
      <c r="Q604" s="123"/>
      <c r="R604" s="230"/>
      <c r="S604" s="123"/>
      <c r="T604" s="123"/>
      <c r="U604" s="123"/>
      <c r="V604" s="123"/>
      <c r="W604" s="123"/>
      <c r="X604" s="123"/>
      <c r="Y604" s="123"/>
      <c r="Z604" s="123"/>
      <c r="AA604" s="123"/>
      <c r="AB604" s="123"/>
      <c r="AC604" s="123"/>
      <c r="AD604" s="123"/>
    </row>
    <row r="605" spans="1:36" s="123" customFormat="1" ht="24.75" hidden="1" customHeight="1" x14ac:dyDescent="0.25">
      <c r="A605" s="130"/>
      <c r="B605" s="274"/>
      <c r="C605" s="247">
        <f t="shared" ref="C605:C610" si="439">C597</f>
        <v>2015</v>
      </c>
      <c r="D605" s="248">
        <f>(price_2015-cost_2015)*avgSize*mfg_2015</f>
        <v>0</v>
      </c>
      <c r="E605" s="248">
        <f>(price_2015_c3-cost_2015_c3)*avgSize_c3*mfg_2015_c3</f>
        <v>0</v>
      </c>
      <c r="F605" s="248">
        <f>D605+E605</f>
        <v>0</v>
      </c>
      <c r="G605" s="249">
        <f t="shared" ref="G605:G610" si="440">$F605*C$593</f>
        <v>0</v>
      </c>
      <c r="H605" s="130"/>
      <c r="R605" s="230"/>
    </row>
    <row r="606" spans="1:36" s="123" customFormat="1" ht="15.75" hidden="1" x14ac:dyDescent="0.25">
      <c r="A606" s="130"/>
      <c r="B606" s="274"/>
      <c r="C606" s="247">
        <f t="shared" si="439"/>
        <v>2016</v>
      </c>
      <c r="D606" s="248">
        <f>(price_2016-cost_2016)*avgSize*mfg_2016</f>
        <v>0</v>
      </c>
      <c r="E606" s="248">
        <f>(price_2016_c3-cost_2016_c3)*avgSize_c3*mfg_2016_c3</f>
        <v>0</v>
      </c>
      <c r="F606" s="248">
        <f t="shared" ref="F606:F610" si="441">D606+E606</f>
        <v>0</v>
      </c>
      <c r="G606" s="249">
        <f t="shared" si="440"/>
        <v>0</v>
      </c>
      <c r="H606" s="130"/>
      <c r="R606" s="230"/>
    </row>
    <row r="607" spans="1:36" s="123" customFormat="1" ht="15.75" hidden="1" x14ac:dyDescent="0.25">
      <c r="A607" s="130"/>
      <c r="B607" s="274"/>
      <c r="C607" s="247">
        <f t="shared" si="439"/>
        <v>2017</v>
      </c>
      <c r="D607" s="248">
        <f>(price_2017-cost_2017)*avgSize*mfg_2017</f>
        <v>0</v>
      </c>
      <c r="E607" s="248">
        <f>(price_2017_c3-cost_2017_c3)*avgSize_c3*mfg_2017_c3</f>
        <v>0</v>
      </c>
      <c r="F607" s="248">
        <f t="shared" si="441"/>
        <v>0</v>
      </c>
      <c r="G607" s="249">
        <f t="shared" si="440"/>
        <v>0</v>
      </c>
      <c r="H607" s="130"/>
      <c r="R607" s="230"/>
    </row>
    <row r="608" spans="1:36" s="123" customFormat="1" ht="15.75" hidden="1" x14ac:dyDescent="0.25">
      <c r="A608" s="130"/>
      <c r="B608" s="274"/>
      <c r="C608" s="247">
        <f t="shared" si="439"/>
        <v>2018</v>
      </c>
      <c r="D608" s="248">
        <f>(price_2018-cost_2018)*avgSize*mfg_2018</f>
        <v>0</v>
      </c>
      <c r="E608" s="248">
        <f>(price_2018_c3-cost_2018_c3)*avgSize_c3*mfg_2018_c3</f>
        <v>0</v>
      </c>
      <c r="F608" s="248">
        <f t="shared" si="441"/>
        <v>0</v>
      </c>
      <c r="G608" s="249">
        <f t="shared" si="440"/>
        <v>0</v>
      </c>
      <c r="H608" s="130"/>
      <c r="L608" s="218"/>
      <c r="M608" s="230"/>
      <c r="R608" s="230"/>
    </row>
    <row r="609" spans="1:30" s="123" customFormat="1" ht="15.75" hidden="1" x14ac:dyDescent="0.25">
      <c r="A609" s="130"/>
      <c r="B609" s="274"/>
      <c r="C609" s="247">
        <f t="shared" si="439"/>
        <v>2019</v>
      </c>
      <c r="D609" s="248">
        <f>(price_2019-cost_2019)*avgSize*mfg_2019</f>
        <v>0</v>
      </c>
      <c r="E609" s="248">
        <f>(price_2019_c3-cost_2019_c3)*avgSize_c3*mfg_2019_c3</f>
        <v>0</v>
      </c>
      <c r="F609" s="248">
        <f t="shared" si="441"/>
        <v>0</v>
      </c>
      <c r="G609" s="249">
        <f t="shared" si="440"/>
        <v>0</v>
      </c>
      <c r="H609" s="130"/>
      <c r="L609" s="218"/>
      <c r="M609" s="230"/>
      <c r="R609" s="230"/>
    </row>
    <row r="610" spans="1:30" s="123" customFormat="1" ht="15.75" hidden="1" x14ac:dyDescent="0.25">
      <c r="A610" s="130"/>
      <c r="B610" s="274"/>
      <c r="C610" s="247">
        <f t="shared" si="439"/>
        <v>2020</v>
      </c>
      <c r="D610" s="248">
        <f>(price_2020-cost_2020)*avgSize*mfg_2020</f>
        <v>0</v>
      </c>
      <c r="E610" s="248">
        <f>(price_2020_c3-cost_2020_c3)*avgSize_c3*mfg_2020_c3</f>
        <v>0</v>
      </c>
      <c r="F610" s="248">
        <f t="shared" si="441"/>
        <v>0</v>
      </c>
      <c r="G610" s="249">
        <f t="shared" si="440"/>
        <v>0</v>
      </c>
      <c r="H610" s="130"/>
      <c r="L610" s="218"/>
      <c r="M610" s="230"/>
      <c r="R610" s="230"/>
    </row>
    <row r="611" spans="1:30" s="123" customFormat="1" ht="15.75" hidden="1" x14ac:dyDescent="0.25">
      <c r="A611" s="130"/>
      <c r="B611" s="218"/>
      <c r="H611" s="130"/>
      <c r="J611" s="238"/>
      <c r="K611" s="238"/>
      <c r="M611" s="230"/>
      <c r="O611" s="238"/>
      <c r="P611" s="238"/>
      <c r="Q611" s="238"/>
      <c r="R611" s="238"/>
    </row>
    <row r="612" spans="1:30" s="123" customFormat="1" ht="15.75" hidden="1" x14ac:dyDescent="0.25">
      <c r="A612" s="130"/>
      <c r="B612" s="218"/>
      <c r="H612" s="130"/>
      <c r="J612" s="219"/>
      <c r="K612" s="219"/>
      <c r="L612" s="219"/>
      <c r="M612" s="230"/>
      <c r="R612" s="230"/>
    </row>
    <row r="613" spans="1:30" s="123" customFormat="1" ht="15.75" hidden="1" x14ac:dyDescent="0.25">
      <c r="A613" s="280"/>
      <c r="B613" s="1860" t="s">
        <v>1908</v>
      </c>
      <c r="C613" s="287"/>
      <c r="D613" s="287"/>
      <c r="M613" s="230"/>
      <c r="O613" s="254"/>
      <c r="P613" s="254"/>
      <c r="Q613" s="254"/>
      <c r="R613" s="252"/>
    </row>
    <row r="614" spans="1:30" s="257" customFormat="1" ht="15.75" hidden="1" x14ac:dyDescent="0.25">
      <c r="A614" s="280"/>
      <c r="B614" s="287" t="s">
        <v>1920</v>
      </c>
      <c r="C614" s="287"/>
      <c r="D614" s="287">
        <v>3.5000000000000003E-2</v>
      </c>
      <c r="I614" s="123"/>
      <c r="J614" s="123"/>
      <c r="K614" s="123"/>
      <c r="L614" s="123"/>
      <c r="M614" s="230"/>
      <c r="N614" s="123"/>
      <c r="O614" s="254"/>
      <c r="P614" s="254"/>
      <c r="Q614" s="254"/>
      <c r="R614" s="254"/>
      <c r="S614" s="123"/>
      <c r="T614" s="123"/>
      <c r="U614" s="123"/>
      <c r="V614" s="123"/>
      <c r="W614" s="123"/>
      <c r="X614" s="123"/>
      <c r="Y614" s="123"/>
      <c r="Z614" s="123"/>
      <c r="AA614" s="123"/>
      <c r="AB614" s="123"/>
      <c r="AC614" s="123"/>
      <c r="AD614" s="123"/>
    </row>
    <row r="615" spans="1:30" s="257" customFormat="1" ht="15.75" hidden="1" x14ac:dyDescent="0.25">
      <c r="A615" s="280"/>
      <c r="B615" s="287" t="s">
        <v>1906</v>
      </c>
      <c r="C615" s="287"/>
      <c r="D615" s="287">
        <v>0.5</v>
      </c>
      <c r="I615" s="123"/>
      <c r="J615" s="123"/>
      <c r="K615" s="123"/>
      <c r="L615" s="123"/>
      <c r="M615" s="230"/>
      <c r="N615" s="123"/>
      <c r="O615" s="254"/>
      <c r="P615" s="254"/>
      <c r="Q615" s="254"/>
      <c r="R615" s="252"/>
      <c r="S615" s="123"/>
      <c r="T615" s="123"/>
      <c r="U615" s="123"/>
      <c r="V615" s="123"/>
      <c r="W615" s="123"/>
      <c r="X615" s="123"/>
      <c r="Y615" s="123"/>
      <c r="Z615" s="123"/>
      <c r="AA615" s="123"/>
      <c r="AB615" s="123"/>
      <c r="AC615" s="123"/>
      <c r="AD615" s="123"/>
    </row>
    <row r="616" spans="1:30" s="257" customFormat="1" ht="15.75" hidden="1" x14ac:dyDescent="0.25">
      <c r="A616" s="280"/>
      <c r="B616" s="287" t="s">
        <v>1905</v>
      </c>
      <c r="C616" s="287"/>
      <c r="D616" s="287">
        <v>0.5</v>
      </c>
      <c r="J616" s="123"/>
      <c r="K616" s="123"/>
      <c r="L616" s="123"/>
      <c r="M616" s="230"/>
      <c r="N616" s="123"/>
      <c r="O616" s="254"/>
      <c r="P616" s="254"/>
      <c r="Q616" s="254"/>
      <c r="R616" s="252"/>
      <c r="S616" s="123"/>
      <c r="T616" s="123"/>
      <c r="U616" s="123"/>
      <c r="V616" s="123"/>
      <c r="W616" s="123"/>
      <c r="X616" s="123"/>
      <c r="Y616" s="123"/>
      <c r="Z616" s="123"/>
      <c r="AA616" s="123"/>
      <c r="AB616" s="123"/>
      <c r="AC616" s="123"/>
      <c r="AD616" s="123"/>
    </row>
    <row r="617" spans="1:30" s="123" customFormat="1" ht="15" hidden="1" customHeight="1" x14ac:dyDescent="0.25">
      <c r="A617" s="280"/>
      <c r="M617" s="230"/>
      <c r="O617" s="254"/>
      <c r="P617" s="254"/>
      <c r="Q617" s="254"/>
      <c r="R617" s="252"/>
    </row>
    <row r="618" spans="1:30" s="257" customFormat="1" ht="15.75" hidden="1" x14ac:dyDescent="0.25">
      <c r="A618" s="280"/>
      <c r="I618" s="123"/>
      <c r="J618" s="123"/>
      <c r="K618" s="123"/>
      <c r="L618" s="123"/>
      <c r="M618" s="230"/>
      <c r="N618" s="123"/>
      <c r="O618" s="254"/>
      <c r="P618" s="254"/>
      <c r="Q618" s="254"/>
      <c r="R618" s="252"/>
      <c r="S618" s="123"/>
      <c r="T618" s="123"/>
      <c r="U618" s="123"/>
      <c r="V618" s="123"/>
      <c r="W618" s="123"/>
      <c r="X618" s="123"/>
      <c r="Y618" s="123"/>
      <c r="Z618" s="123"/>
      <c r="AA618" s="123"/>
      <c r="AB618" s="123"/>
      <c r="AC618" s="123"/>
      <c r="AD618" s="123"/>
    </row>
    <row r="619" spans="1:30" s="123" customFormat="1" ht="15.75" hidden="1" x14ac:dyDescent="0.25">
      <c r="A619" s="280"/>
      <c r="B619" s="1859" t="s">
        <v>2184</v>
      </c>
      <c r="C619" s="1877">
        <f>numOfLifts*J95*J96*J97+numOfLifts_c3*J101*J102*J103</f>
        <v>47.466666666666669</v>
      </c>
      <c r="M619" s="230"/>
      <c r="O619" s="254"/>
      <c r="P619" s="254"/>
      <c r="Q619" s="254"/>
      <c r="R619" s="252"/>
    </row>
    <row r="620" spans="1:30" s="123" customFormat="1" ht="15" hidden="1" customHeight="1" x14ac:dyDescent="0.25">
      <c r="A620" s="280"/>
      <c r="B620" s="1859" t="s">
        <v>2185</v>
      </c>
      <c r="C620" s="1878">
        <f>numOfLifts*J95*J96*J97*J98*4+numOfLifts_c3*J101*J102*J103*J104*4</f>
        <v>1139.2</v>
      </c>
      <c r="M620" s="258"/>
      <c r="O620" s="259"/>
      <c r="P620" s="259"/>
      <c r="Q620" s="259"/>
      <c r="R620" s="259"/>
    </row>
    <row r="621" spans="1:30" s="123" customFormat="1" ht="15.75" hidden="1" x14ac:dyDescent="0.25">
      <c r="A621" s="280"/>
      <c r="M621" s="258"/>
      <c r="O621" s="254"/>
      <c r="P621" s="254"/>
      <c r="Q621" s="254"/>
      <c r="R621" s="252"/>
    </row>
    <row r="622" spans="1:30" s="123" customFormat="1" ht="15" hidden="1" customHeight="1" x14ac:dyDescent="0.25">
      <c r="A622" s="280"/>
      <c r="M622" s="230"/>
      <c r="O622" s="259"/>
      <c r="P622" s="259"/>
      <c r="Q622" s="259"/>
      <c r="R622" s="259"/>
    </row>
    <row r="623" spans="1:30" s="123" customFormat="1" ht="15.75" x14ac:dyDescent="0.25">
      <c r="A623" s="280"/>
      <c r="M623" s="230"/>
      <c r="O623" s="259"/>
      <c r="P623" s="259"/>
      <c r="Q623" s="259"/>
      <c r="R623" s="259"/>
    </row>
    <row r="624" spans="1:30" s="123" customFormat="1" ht="15.75" x14ac:dyDescent="0.25">
      <c r="A624" s="280"/>
      <c r="M624" s="230"/>
      <c r="O624" s="259"/>
      <c r="P624" s="259"/>
      <c r="Q624" s="259"/>
      <c r="R624" s="260"/>
    </row>
    <row r="625" spans="1:30" s="123" customFormat="1" ht="15.75" x14ac:dyDescent="0.25">
      <c r="A625" s="280"/>
      <c r="M625" s="230"/>
      <c r="O625" s="259"/>
      <c r="P625" s="259"/>
      <c r="Q625" s="259"/>
      <c r="R625" s="260"/>
    </row>
    <row r="626" spans="1:30" s="123" customFormat="1" ht="15.75" x14ac:dyDescent="0.25">
      <c r="A626" s="280"/>
      <c r="M626" s="230"/>
      <c r="O626" s="259"/>
      <c r="P626" s="259"/>
      <c r="Q626" s="259"/>
      <c r="R626" s="260"/>
    </row>
    <row r="627" spans="1:30" s="123" customFormat="1" ht="15.75" x14ac:dyDescent="0.25">
      <c r="A627" s="280"/>
      <c r="M627" s="230"/>
      <c r="O627" s="259"/>
      <c r="P627" s="259"/>
      <c r="Q627" s="259"/>
      <c r="R627" s="260"/>
    </row>
    <row r="628" spans="1:30" s="123" customFormat="1" ht="15.75" x14ac:dyDescent="0.25">
      <c r="A628" s="280"/>
      <c r="M628" s="230"/>
      <c r="O628" s="259"/>
      <c r="P628" s="259"/>
      <c r="Q628" s="259"/>
      <c r="R628" s="260"/>
    </row>
    <row r="629" spans="1:30" s="123" customFormat="1" ht="15.75" x14ac:dyDescent="0.25">
      <c r="A629" s="280"/>
      <c r="M629" s="230"/>
      <c r="O629" s="259"/>
      <c r="P629" s="259"/>
      <c r="Q629" s="259"/>
      <c r="R629" s="260"/>
    </row>
    <row r="630" spans="1:30" s="123" customFormat="1" ht="15.75" x14ac:dyDescent="0.25">
      <c r="A630" s="280"/>
      <c r="M630" s="230"/>
      <c r="O630" s="259"/>
      <c r="P630" s="259"/>
      <c r="Q630" s="259"/>
      <c r="R630" s="260"/>
    </row>
    <row r="631" spans="1:30" s="123" customFormat="1" ht="15.75" x14ac:dyDescent="0.25">
      <c r="A631" s="280"/>
      <c r="M631" s="230"/>
      <c r="O631" s="259"/>
      <c r="P631" s="259"/>
      <c r="Q631" s="259"/>
      <c r="R631" s="260"/>
    </row>
    <row r="632" spans="1:30" s="123" customFormat="1" ht="15.75" x14ac:dyDescent="0.25">
      <c r="A632" s="280"/>
      <c r="M632" s="230"/>
      <c r="O632" s="259"/>
      <c r="P632" s="259"/>
      <c r="Q632" s="259"/>
      <c r="R632" s="260"/>
    </row>
    <row r="633" spans="1:30" s="123" customFormat="1" ht="15.75" x14ac:dyDescent="0.25">
      <c r="A633" s="280"/>
      <c r="M633" s="230"/>
      <c r="O633" s="254"/>
      <c r="P633" s="254"/>
      <c r="Q633" s="254"/>
      <c r="R633" s="252"/>
    </row>
    <row r="634" spans="1:30" s="123" customFormat="1" ht="15.75" x14ac:dyDescent="0.25">
      <c r="A634" s="280"/>
      <c r="M634" s="230"/>
      <c r="O634" s="259"/>
      <c r="P634" s="259"/>
      <c r="Q634" s="259"/>
      <c r="R634" s="259"/>
    </row>
    <row r="635" spans="1:30" s="123" customFormat="1" ht="15.75" x14ac:dyDescent="0.25">
      <c r="A635" s="280"/>
      <c r="O635" s="254"/>
      <c r="P635" s="254"/>
      <c r="Q635" s="254"/>
      <c r="R635" s="252"/>
    </row>
    <row r="636" spans="1:30" s="123" customFormat="1" ht="15.75" x14ac:dyDescent="0.25">
      <c r="A636" s="280"/>
      <c r="O636" s="254"/>
      <c r="P636" s="254"/>
      <c r="Q636" s="254"/>
      <c r="R636" s="252"/>
    </row>
    <row r="637" spans="1:30" s="254" customFormat="1" ht="15.75" x14ac:dyDescent="0.25">
      <c r="A637" s="130"/>
      <c r="B637" s="123"/>
      <c r="C637" s="123"/>
      <c r="D637" s="123"/>
      <c r="E637" s="123"/>
      <c r="F637" s="123"/>
      <c r="G637" s="123"/>
      <c r="H637" s="123"/>
      <c r="I637" s="123"/>
      <c r="N637" s="123"/>
      <c r="R637" s="252"/>
      <c r="S637" s="123"/>
      <c r="T637" s="123"/>
      <c r="U637" s="123"/>
      <c r="V637" s="123"/>
      <c r="W637" s="123"/>
      <c r="X637" s="123"/>
      <c r="Y637" s="123"/>
      <c r="Z637" s="123"/>
      <c r="AA637" s="123"/>
      <c r="AB637" s="123"/>
      <c r="AC637" s="123"/>
      <c r="AD637" s="123"/>
    </row>
    <row r="638" spans="1:30" s="254" customFormat="1" ht="15.75" x14ac:dyDescent="0.25">
      <c r="A638" s="130"/>
      <c r="B638" s="123"/>
      <c r="C638" s="123"/>
      <c r="D638" s="123"/>
      <c r="E638" s="123"/>
      <c r="F638" s="123"/>
      <c r="G638" s="123"/>
      <c r="H638" s="123"/>
      <c r="I638" s="123"/>
      <c r="N638" s="123"/>
      <c r="R638" s="252"/>
      <c r="S638" s="123"/>
      <c r="T638" s="123"/>
      <c r="U638" s="123"/>
      <c r="V638" s="123"/>
      <c r="W638" s="123"/>
      <c r="X638" s="123"/>
      <c r="Y638" s="123"/>
      <c r="Z638" s="123"/>
      <c r="AA638" s="123"/>
      <c r="AB638" s="123"/>
      <c r="AC638" s="123"/>
      <c r="AD638" s="123"/>
    </row>
    <row r="639" spans="1:30" s="259" customFormat="1" ht="15.75" x14ac:dyDescent="0.25">
      <c r="A639" s="130"/>
      <c r="B639" s="123"/>
      <c r="C639" s="123"/>
      <c r="D639" s="123"/>
      <c r="E639" s="123"/>
      <c r="F639" s="123"/>
      <c r="G639" s="123"/>
      <c r="H639" s="123"/>
      <c r="I639" s="123"/>
      <c r="N639" s="123"/>
      <c r="O639" s="254"/>
      <c r="P639" s="254"/>
      <c r="Q639" s="254"/>
      <c r="R639" s="252"/>
      <c r="S639" s="123"/>
      <c r="T639" s="123"/>
      <c r="U639" s="123"/>
      <c r="V639" s="123"/>
      <c r="W639" s="123"/>
      <c r="X639" s="123"/>
      <c r="Y639" s="123"/>
      <c r="Z639" s="123"/>
      <c r="AA639" s="123"/>
      <c r="AB639" s="123"/>
      <c r="AC639" s="123"/>
      <c r="AD639" s="123"/>
    </row>
    <row r="640" spans="1:30" s="259" customFormat="1" ht="15.75" x14ac:dyDescent="0.25">
      <c r="A640" s="130"/>
      <c r="B640" s="123"/>
      <c r="C640" s="123"/>
      <c r="D640" s="123"/>
      <c r="E640" s="123"/>
      <c r="F640" s="123"/>
      <c r="G640" s="123"/>
      <c r="H640" s="123"/>
      <c r="I640" s="123"/>
      <c r="J640" s="123"/>
      <c r="K640" s="123"/>
      <c r="L640" s="123"/>
      <c r="M640" s="230"/>
      <c r="N640" s="123"/>
      <c r="O640" s="254"/>
      <c r="P640" s="254"/>
      <c r="Q640" s="254"/>
      <c r="R640" s="252"/>
      <c r="S640" s="123"/>
      <c r="T640" s="123"/>
      <c r="U640" s="123"/>
      <c r="V640" s="123"/>
      <c r="W640" s="123"/>
      <c r="X640" s="123"/>
      <c r="Y640" s="123"/>
      <c r="Z640" s="123"/>
      <c r="AA640" s="123"/>
      <c r="AB640" s="123"/>
      <c r="AC640" s="123"/>
      <c r="AD640" s="123"/>
    </row>
    <row r="641" spans="1:30" s="254" customFormat="1" ht="15.75" x14ac:dyDescent="0.25">
      <c r="A641" s="130"/>
      <c r="B641" s="123"/>
      <c r="C641" s="123"/>
      <c r="D641" s="123"/>
      <c r="E641" s="123"/>
      <c r="F641" s="123"/>
      <c r="G641" s="123"/>
      <c r="H641" s="123"/>
      <c r="I641" s="123"/>
      <c r="J641" s="123"/>
      <c r="K641" s="123"/>
      <c r="L641" s="123"/>
      <c r="M641" s="230"/>
      <c r="N641" s="123"/>
      <c r="R641" s="252"/>
      <c r="S641" s="123"/>
      <c r="T641" s="123"/>
      <c r="U641" s="123"/>
      <c r="V641" s="123"/>
      <c r="W641" s="123"/>
      <c r="X641" s="123"/>
      <c r="Y641" s="123"/>
      <c r="Z641" s="123"/>
      <c r="AA641" s="123"/>
      <c r="AB641" s="123"/>
      <c r="AC641" s="123"/>
      <c r="AD641" s="123"/>
    </row>
    <row r="642" spans="1:30" s="254" customFormat="1" ht="15.75" x14ac:dyDescent="0.25">
      <c r="A642" s="130"/>
      <c r="B642" s="218"/>
      <c r="C642" s="123"/>
      <c r="D642" s="123"/>
      <c r="E642" s="123"/>
      <c r="F642" s="123"/>
      <c r="G642" s="123"/>
      <c r="H642" s="123"/>
      <c r="I642" s="123"/>
      <c r="J642" s="123"/>
      <c r="K642" s="123"/>
      <c r="L642" s="123"/>
      <c r="M642" s="230"/>
      <c r="N642" s="123"/>
      <c r="R642" s="252"/>
      <c r="S642" s="123"/>
      <c r="T642" s="123"/>
      <c r="U642" s="123"/>
      <c r="V642" s="123"/>
      <c r="W642" s="123"/>
      <c r="X642" s="123"/>
      <c r="Y642" s="123"/>
      <c r="Z642" s="123"/>
      <c r="AA642" s="123"/>
      <c r="AB642" s="123"/>
      <c r="AC642" s="123"/>
      <c r="AD642" s="123"/>
    </row>
    <row r="643" spans="1:30" s="254" customFormat="1" ht="15.75" x14ac:dyDescent="0.25">
      <c r="A643" s="130"/>
      <c r="B643" s="218"/>
      <c r="C643" s="123"/>
      <c r="D643" s="123"/>
      <c r="E643" s="123"/>
      <c r="F643" s="123"/>
      <c r="G643" s="123"/>
      <c r="H643" s="123"/>
      <c r="I643" s="123"/>
      <c r="J643" s="123"/>
      <c r="K643" s="123"/>
      <c r="L643" s="123"/>
      <c r="M643" s="230"/>
      <c r="N643" s="123"/>
      <c r="R643" s="252"/>
      <c r="S643" s="123"/>
      <c r="T643" s="123"/>
      <c r="U643" s="123"/>
      <c r="V643" s="123"/>
      <c r="W643" s="123"/>
      <c r="X643" s="123"/>
      <c r="Y643" s="123"/>
      <c r="Z643" s="123"/>
      <c r="AA643" s="123"/>
      <c r="AB643" s="123"/>
      <c r="AC643" s="123"/>
      <c r="AD643" s="123"/>
    </row>
    <row r="644" spans="1:30" s="254" customFormat="1" ht="15.75" x14ac:dyDescent="0.25">
      <c r="A644" s="130"/>
      <c r="B644" s="218"/>
      <c r="C644" s="123"/>
      <c r="D644" s="123"/>
      <c r="E644" s="123"/>
      <c r="F644" s="123"/>
      <c r="G644" s="123"/>
      <c r="H644" s="123"/>
      <c r="I644" s="123"/>
      <c r="J644" s="123"/>
      <c r="K644" s="123"/>
      <c r="L644" s="123"/>
      <c r="M644" s="230"/>
      <c r="N644" s="123"/>
      <c r="R644" s="252"/>
      <c r="S644" s="123"/>
      <c r="T644" s="123"/>
      <c r="U644" s="123"/>
      <c r="V644" s="123"/>
      <c r="W644" s="123"/>
      <c r="X644" s="123"/>
      <c r="Y644" s="123"/>
      <c r="Z644" s="123"/>
      <c r="AA644" s="123"/>
      <c r="AB644" s="123"/>
      <c r="AC644" s="123"/>
      <c r="AD644" s="123"/>
    </row>
    <row r="645" spans="1:30" s="254" customFormat="1" ht="15.75" x14ac:dyDescent="0.25">
      <c r="A645" s="130"/>
      <c r="B645" s="218"/>
      <c r="C645" s="123"/>
      <c r="D645" s="123"/>
      <c r="E645" s="123"/>
      <c r="F645" s="123"/>
      <c r="G645" s="123"/>
      <c r="H645" s="123"/>
      <c r="I645" s="123"/>
      <c r="J645" s="123"/>
      <c r="K645" s="123"/>
      <c r="L645" s="123"/>
      <c r="M645" s="230"/>
      <c r="N645" s="123"/>
      <c r="R645" s="252"/>
      <c r="S645" s="123"/>
      <c r="T645" s="123"/>
      <c r="U645" s="123"/>
      <c r="V645" s="123"/>
      <c r="W645" s="123"/>
      <c r="X645" s="123"/>
      <c r="Y645" s="123"/>
      <c r="Z645" s="123"/>
      <c r="AA645" s="123"/>
      <c r="AB645" s="123"/>
      <c r="AC645" s="123"/>
      <c r="AD645" s="123"/>
    </row>
    <row r="646" spans="1:30" s="254" customFormat="1" ht="15.75" x14ac:dyDescent="0.25">
      <c r="A646" s="130"/>
      <c r="B646" s="218"/>
      <c r="C646" s="123"/>
      <c r="D646" s="123"/>
      <c r="E646" s="123"/>
      <c r="F646" s="123"/>
      <c r="G646" s="123"/>
      <c r="H646" s="123"/>
      <c r="I646" s="123"/>
      <c r="J646" s="123"/>
      <c r="K646" s="123"/>
      <c r="L646" s="123"/>
      <c r="M646" s="230"/>
      <c r="N646" s="123"/>
      <c r="O646" s="259"/>
      <c r="P646" s="259"/>
      <c r="Q646" s="259"/>
      <c r="R646" s="252"/>
      <c r="S646" s="123"/>
      <c r="T646" s="123"/>
      <c r="U646" s="123"/>
      <c r="V646" s="123"/>
      <c r="W646" s="123"/>
      <c r="X646" s="123"/>
      <c r="Y646" s="123"/>
      <c r="Z646" s="123"/>
      <c r="AA646" s="123"/>
      <c r="AB646" s="123"/>
      <c r="AC646" s="123"/>
      <c r="AD646" s="123"/>
    </row>
    <row r="647" spans="1:30" s="254" customFormat="1" ht="15.75" x14ac:dyDescent="0.25">
      <c r="A647" s="130"/>
      <c r="B647" s="218"/>
      <c r="C647" s="123"/>
      <c r="D647" s="123"/>
      <c r="E647" s="123"/>
      <c r="F647" s="123"/>
      <c r="G647" s="123"/>
      <c r="H647" s="123"/>
      <c r="I647" s="123"/>
      <c r="J647" s="123"/>
      <c r="K647" s="123"/>
      <c r="L647" s="123"/>
      <c r="M647" s="230"/>
      <c r="N647" s="123"/>
      <c r="O647" s="259"/>
      <c r="P647" s="259"/>
      <c r="Q647" s="259"/>
      <c r="R647" s="252"/>
      <c r="S647" s="123"/>
      <c r="T647" s="123"/>
      <c r="U647" s="123"/>
      <c r="V647" s="123"/>
      <c r="W647" s="123"/>
      <c r="X647" s="123"/>
      <c r="Y647" s="123"/>
      <c r="Z647" s="123"/>
      <c r="AA647" s="123"/>
      <c r="AB647" s="123"/>
      <c r="AC647" s="123"/>
      <c r="AD647" s="123"/>
    </row>
    <row r="648" spans="1:30" ht="15.75" x14ac:dyDescent="0.25">
      <c r="B648" s="218"/>
      <c r="C648" s="123"/>
      <c r="D648" s="123"/>
      <c r="E648" s="123"/>
      <c r="F648" s="123"/>
      <c r="G648" s="123"/>
      <c r="H648" s="123"/>
      <c r="I648" s="123"/>
      <c r="J648" s="123"/>
      <c r="K648" s="123"/>
    </row>
    <row r="649" spans="1:30" ht="15.75" x14ac:dyDescent="0.25">
      <c r="B649" s="218"/>
      <c r="C649" s="123"/>
      <c r="D649" s="123"/>
      <c r="E649" s="123"/>
      <c r="F649" s="123"/>
      <c r="G649" s="123"/>
      <c r="H649" s="123"/>
      <c r="I649" s="123"/>
      <c r="J649" s="123"/>
      <c r="K649" s="123"/>
    </row>
    <row r="650" spans="1:30" ht="15.75" x14ac:dyDescent="0.25">
      <c r="B650" s="218"/>
      <c r="C650" s="123"/>
      <c r="D650" s="123"/>
      <c r="E650" s="123"/>
      <c r="F650" s="123"/>
      <c r="G650" s="123"/>
      <c r="H650" s="123"/>
      <c r="I650" s="123"/>
      <c r="J650" s="123"/>
      <c r="K650" s="123"/>
    </row>
    <row r="651" spans="1:30" ht="15.75" x14ac:dyDescent="0.25">
      <c r="B651" s="218"/>
      <c r="C651" s="123"/>
      <c r="D651" s="123"/>
      <c r="E651" s="123"/>
      <c r="F651" s="123"/>
      <c r="G651" s="123"/>
      <c r="H651" s="123"/>
      <c r="I651" s="123"/>
      <c r="J651" s="123"/>
      <c r="K651" s="123"/>
    </row>
    <row r="652" spans="1:30" ht="15.75" x14ac:dyDescent="0.25">
      <c r="B652" s="218"/>
      <c r="C652" s="123"/>
      <c r="D652" s="123"/>
      <c r="E652" s="123"/>
      <c r="F652" s="123"/>
      <c r="G652" s="123"/>
      <c r="H652" s="123"/>
      <c r="I652" s="123"/>
      <c r="J652" s="123"/>
      <c r="K652" s="123"/>
    </row>
    <row r="653" spans="1:30" ht="15.75" x14ac:dyDescent="0.25">
      <c r="B653" s="218"/>
      <c r="C653" s="123"/>
      <c r="D653" s="123"/>
      <c r="E653" s="123"/>
      <c r="F653" s="123"/>
      <c r="G653" s="123"/>
      <c r="H653" s="123"/>
      <c r="I653" s="123"/>
      <c r="J653" s="123"/>
      <c r="K653" s="123"/>
    </row>
    <row r="654" spans="1:30" ht="15.75" x14ac:dyDescent="0.25">
      <c r="B654" s="218"/>
      <c r="C654" s="123"/>
      <c r="D654" s="123"/>
      <c r="E654" s="123"/>
      <c r="F654" s="123"/>
      <c r="G654" s="123"/>
      <c r="H654" s="123"/>
      <c r="I654" s="123"/>
      <c r="J654" s="123"/>
      <c r="K654" s="123"/>
    </row>
    <row r="655" spans="1:30" ht="15.75" x14ac:dyDescent="0.25">
      <c r="B655" s="218"/>
      <c r="C655" s="123"/>
      <c r="D655" s="123"/>
      <c r="E655" s="123"/>
      <c r="F655" s="123"/>
      <c r="G655" s="123"/>
      <c r="H655" s="123"/>
      <c r="I655" s="123"/>
      <c r="J655" s="123"/>
      <c r="K655" s="123"/>
    </row>
    <row r="656" spans="1:30" ht="15.75" x14ac:dyDescent="0.25">
      <c r="B656" s="218"/>
      <c r="C656" s="123"/>
      <c r="D656" s="123"/>
      <c r="E656" s="123"/>
      <c r="F656" s="123"/>
      <c r="G656" s="123"/>
      <c r="H656" s="123"/>
      <c r="I656" s="123"/>
      <c r="J656" s="123"/>
      <c r="K656" s="123"/>
    </row>
    <row r="657" spans="1:30" ht="15.75" x14ac:dyDescent="0.25">
      <c r="B657" s="218"/>
      <c r="C657" s="123"/>
      <c r="D657" s="123"/>
      <c r="E657" s="123"/>
      <c r="F657" s="123"/>
      <c r="G657" s="123"/>
      <c r="H657" s="123"/>
      <c r="I657" s="123"/>
      <c r="J657" s="123"/>
      <c r="K657" s="123"/>
    </row>
    <row r="658" spans="1:30" s="254" customFormat="1" ht="15.75" x14ac:dyDescent="0.25">
      <c r="A658" s="130"/>
      <c r="B658" s="218"/>
      <c r="C658" s="123"/>
      <c r="D658" s="123"/>
      <c r="E658" s="123"/>
      <c r="F658" s="123"/>
      <c r="G658" s="123"/>
      <c r="H658" s="123"/>
      <c r="I658" s="123"/>
      <c r="J658" s="123"/>
      <c r="K658" s="123"/>
      <c r="L658" s="123"/>
      <c r="M658" s="123"/>
      <c r="N658" s="123"/>
      <c r="O658" s="123"/>
      <c r="P658" s="123"/>
      <c r="Q658" s="123"/>
      <c r="R658" s="252"/>
      <c r="S658" s="123"/>
      <c r="T658" s="123"/>
      <c r="U658" s="123"/>
      <c r="V658" s="123"/>
      <c r="W658" s="123"/>
      <c r="X658" s="123"/>
      <c r="Y658" s="123"/>
      <c r="Z658" s="123"/>
      <c r="AA658" s="123"/>
      <c r="AB658" s="123"/>
      <c r="AC658" s="123"/>
      <c r="AD658" s="123"/>
    </row>
    <row r="659" spans="1:30" s="254" customFormat="1" ht="15.75" x14ac:dyDescent="0.25">
      <c r="A659" s="130"/>
      <c r="B659" s="218"/>
      <c r="C659" s="123"/>
      <c r="D659" s="123"/>
      <c r="E659" s="123"/>
      <c r="F659" s="123"/>
      <c r="G659" s="123"/>
      <c r="H659" s="123"/>
      <c r="I659" s="123"/>
      <c r="J659" s="123"/>
      <c r="K659" s="123"/>
      <c r="L659" s="123"/>
      <c r="M659" s="123"/>
      <c r="N659" s="123"/>
      <c r="O659" s="123"/>
      <c r="P659" s="123"/>
      <c r="Q659" s="123"/>
      <c r="R659" s="252"/>
      <c r="S659" s="123"/>
      <c r="T659" s="123"/>
      <c r="U659" s="123"/>
      <c r="V659" s="123"/>
      <c r="W659" s="123"/>
      <c r="X659" s="123"/>
      <c r="Y659" s="123"/>
      <c r="Z659" s="123"/>
      <c r="AA659" s="123"/>
      <c r="AB659" s="123"/>
      <c r="AC659" s="123"/>
      <c r="AD659" s="123"/>
    </row>
    <row r="660" spans="1:30" s="254" customFormat="1" ht="15.75" x14ac:dyDescent="0.25">
      <c r="A660" s="130"/>
      <c r="B660" s="218"/>
      <c r="C660" s="123"/>
      <c r="D660" s="123"/>
      <c r="E660" s="123"/>
      <c r="F660" s="123"/>
      <c r="G660" s="123"/>
      <c r="H660" s="123"/>
      <c r="I660" s="123"/>
      <c r="J660" s="123"/>
      <c r="K660" s="123"/>
      <c r="L660" s="123"/>
      <c r="M660" s="123"/>
      <c r="N660" s="123"/>
      <c r="O660" s="123"/>
      <c r="P660" s="123"/>
      <c r="Q660" s="123"/>
      <c r="R660" s="252"/>
      <c r="S660" s="123"/>
      <c r="T660" s="123"/>
      <c r="U660" s="123"/>
      <c r="V660" s="123"/>
      <c r="W660" s="123"/>
      <c r="X660" s="123"/>
      <c r="Y660" s="123"/>
      <c r="Z660" s="123"/>
      <c r="AA660" s="123"/>
      <c r="AB660" s="123"/>
      <c r="AC660" s="123"/>
      <c r="AD660" s="123"/>
    </row>
    <row r="661" spans="1:30" s="254" customFormat="1" ht="15.75" x14ac:dyDescent="0.25">
      <c r="A661" s="130"/>
      <c r="B661" s="218"/>
      <c r="C661" s="123"/>
      <c r="D661" s="123"/>
      <c r="E661" s="123"/>
      <c r="F661" s="123"/>
      <c r="G661" s="123"/>
      <c r="H661" s="123"/>
      <c r="I661" s="123"/>
      <c r="J661" s="123"/>
      <c r="K661" s="123"/>
      <c r="L661" s="123"/>
      <c r="M661" s="123"/>
      <c r="N661" s="123"/>
      <c r="O661" s="123"/>
      <c r="P661" s="123"/>
      <c r="Q661" s="123"/>
      <c r="R661" s="252"/>
      <c r="S661" s="123"/>
      <c r="T661" s="123"/>
      <c r="U661" s="123"/>
      <c r="V661" s="123"/>
      <c r="W661" s="123"/>
      <c r="X661" s="123"/>
      <c r="Y661" s="123"/>
      <c r="Z661" s="123"/>
      <c r="AA661" s="123"/>
      <c r="AB661" s="123"/>
      <c r="AC661" s="123"/>
      <c r="AD661" s="123"/>
    </row>
    <row r="662" spans="1:30" s="254" customFormat="1" ht="15.75" x14ac:dyDescent="0.25">
      <c r="A662" s="130"/>
      <c r="B662" s="218"/>
      <c r="C662" s="123"/>
      <c r="D662" s="123"/>
      <c r="E662" s="123"/>
      <c r="F662" s="123"/>
      <c r="G662" s="123"/>
      <c r="H662" s="123"/>
      <c r="I662" s="123"/>
      <c r="J662" s="123"/>
      <c r="K662" s="123"/>
      <c r="L662" s="123"/>
      <c r="M662" s="123"/>
      <c r="N662" s="123"/>
      <c r="O662" s="123"/>
      <c r="P662" s="123"/>
      <c r="Q662" s="123"/>
      <c r="R662" s="252"/>
      <c r="S662" s="123"/>
      <c r="T662" s="123"/>
      <c r="U662" s="123"/>
      <c r="V662" s="123"/>
      <c r="W662" s="123"/>
      <c r="X662" s="123"/>
      <c r="Y662" s="123"/>
      <c r="Z662" s="123"/>
      <c r="AA662" s="123"/>
      <c r="AB662" s="123"/>
      <c r="AC662" s="123"/>
      <c r="AD662" s="123"/>
    </row>
    <row r="663" spans="1:30" s="254" customFormat="1" ht="15.75" x14ac:dyDescent="0.25">
      <c r="A663" s="130"/>
      <c r="B663" s="218"/>
      <c r="C663" s="123"/>
      <c r="D663" s="123"/>
      <c r="E663" s="123"/>
      <c r="F663" s="123"/>
      <c r="G663" s="123"/>
      <c r="H663" s="123"/>
      <c r="I663" s="123"/>
      <c r="J663" s="123"/>
      <c r="K663" s="123"/>
      <c r="L663" s="123"/>
      <c r="M663" s="123"/>
      <c r="N663" s="123"/>
      <c r="O663" s="123"/>
      <c r="P663" s="123"/>
      <c r="Q663" s="123"/>
      <c r="R663" s="252"/>
      <c r="S663" s="123"/>
      <c r="T663" s="123"/>
      <c r="U663" s="123"/>
      <c r="V663" s="123"/>
      <c r="W663" s="123"/>
      <c r="X663" s="123"/>
      <c r="Y663" s="123"/>
      <c r="Z663" s="123"/>
      <c r="AA663" s="123"/>
      <c r="AB663" s="123"/>
      <c r="AC663" s="123"/>
      <c r="AD663" s="123"/>
    </row>
    <row r="664" spans="1:30" s="254" customFormat="1" ht="15.75" x14ac:dyDescent="0.25">
      <c r="A664" s="130"/>
      <c r="B664" s="218"/>
      <c r="C664" s="123"/>
      <c r="D664" s="123"/>
      <c r="E664" s="123"/>
      <c r="F664" s="123"/>
      <c r="G664" s="123"/>
      <c r="H664" s="123"/>
      <c r="I664" s="123"/>
      <c r="J664" s="123"/>
      <c r="K664" s="123"/>
      <c r="L664" s="123"/>
      <c r="M664" s="123"/>
      <c r="N664" s="123"/>
      <c r="O664" s="123"/>
      <c r="P664" s="123"/>
      <c r="Q664" s="123"/>
      <c r="R664" s="252"/>
      <c r="S664" s="123"/>
      <c r="T664" s="123"/>
      <c r="U664" s="123"/>
      <c r="V664" s="123"/>
      <c r="W664" s="123"/>
      <c r="X664" s="123"/>
      <c r="Y664" s="123"/>
      <c r="Z664" s="123"/>
      <c r="AA664" s="123"/>
      <c r="AB664" s="123"/>
      <c r="AC664" s="123"/>
      <c r="AD664" s="123"/>
    </row>
    <row r="665" spans="1:30" s="123" customFormat="1" ht="15.75" x14ac:dyDescent="0.25">
      <c r="A665" s="130"/>
      <c r="B665" s="218"/>
      <c r="R665" s="252"/>
    </row>
    <row r="666" spans="1:30" s="123" customFormat="1" ht="15.75" x14ac:dyDescent="0.25">
      <c r="A666" s="130"/>
      <c r="B666" s="218"/>
      <c r="R666" s="230"/>
      <c r="S666" s="254"/>
    </row>
    <row r="667" spans="1:30" s="123" customFormat="1" ht="15.75" x14ac:dyDescent="0.25">
      <c r="A667" s="130"/>
      <c r="B667" s="218"/>
      <c r="R667" s="230"/>
      <c r="S667" s="254"/>
    </row>
    <row r="668" spans="1:30" s="123" customFormat="1" ht="15.75" x14ac:dyDescent="0.25">
      <c r="A668" s="130"/>
      <c r="B668" s="218"/>
      <c r="R668" s="230"/>
      <c r="S668" s="254"/>
    </row>
    <row r="669" spans="1:30" s="123" customFormat="1" ht="15.75" x14ac:dyDescent="0.25">
      <c r="A669" s="130"/>
      <c r="B669" s="218"/>
      <c r="R669" s="230"/>
      <c r="S669" s="254"/>
    </row>
    <row r="670" spans="1:30" s="123" customFormat="1" ht="15.75" x14ac:dyDescent="0.25">
      <c r="A670" s="130"/>
      <c r="B670" s="218"/>
      <c r="R670" s="230"/>
      <c r="S670" s="254"/>
    </row>
    <row r="671" spans="1:30" s="123" customFormat="1" ht="15.75" x14ac:dyDescent="0.25">
      <c r="A671" s="130"/>
      <c r="B671" s="218"/>
      <c r="R671" s="230"/>
      <c r="S671" s="259"/>
    </row>
    <row r="672" spans="1:30" s="123" customFormat="1" ht="15.75" x14ac:dyDescent="0.25">
      <c r="A672" s="130"/>
      <c r="B672" s="218"/>
      <c r="R672" s="230"/>
      <c r="S672" s="259"/>
    </row>
    <row r="673" spans="1:19" s="123" customFormat="1" ht="15.75" x14ac:dyDescent="0.25">
      <c r="A673" s="130"/>
      <c r="B673" s="218"/>
      <c r="R673" s="230"/>
      <c r="S673" s="254"/>
    </row>
    <row r="674" spans="1:19" s="123" customFormat="1" ht="15.75" x14ac:dyDescent="0.25">
      <c r="A674" s="130"/>
      <c r="B674" s="218"/>
      <c r="R674" s="230"/>
      <c r="S674" s="254"/>
    </row>
    <row r="675" spans="1:19" s="123" customFormat="1" ht="15.75" x14ac:dyDescent="0.25">
      <c r="A675" s="130"/>
      <c r="B675" s="218"/>
      <c r="R675" s="230"/>
      <c r="S675" s="254"/>
    </row>
    <row r="676" spans="1:19" s="123" customFormat="1" ht="15.75" x14ac:dyDescent="0.25">
      <c r="A676" s="130"/>
      <c r="B676" s="218"/>
      <c r="R676" s="230"/>
      <c r="S676" s="254"/>
    </row>
    <row r="677" spans="1:19" s="123" customFormat="1" ht="15.75" x14ac:dyDescent="0.25">
      <c r="A677" s="130"/>
      <c r="B677" s="218"/>
      <c r="R677" s="230"/>
      <c r="S677" s="254"/>
    </row>
    <row r="678" spans="1:19" s="123" customFormat="1" ht="15.75" x14ac:dyDescent="0.25">
      <c r="A678" s="130"/>
      <c r="B678" s="218"/>
      <c r="R678" s="230"/>
      <c r="S678" s="254"/>
    </row>
    <row r="679" spans="1:19" s="123" customFormat="1" ht="15.75" x14ac:dyDescent="0.25">
      <c r="A679" s="130"/>
      <c r="B679" s="218"/>
      <c r="R679" s="230"/>
      <c r="S679" s="254"/>
    </row>
    <row r="680" spans="1:19" s="123" customFormat="1" ht="15.75" x14ac:dyDescent="0.25">
      <c r="A680" s="130"/>
      <c r="B680" s="218"/>
      <c r="R680" s="230"/>
      <c r="S680" s="254"/>
    </row>
    <row r="681" spans="1:19" s="123" customFormat="1" ht="15.75" x14ac:dyDescent="0.25">
      <c r="A681" s="130"/>
      <c r="B681" s="218"/>
      <c r="R681" s="230"/>
      <c r="S681" s="254"/>
    </row>
    <row r="682" spans="1:19" s="123" customFormat="1" ht="15.75" x14ac:dyDescent="0.25">
      <c r="A682" s="130"/>
      <c r="B682" s="218"/>
      <c r="R682" s="230"/>
      <c r="S682" s="254"/>
    </row>
    <row r="683" spans="1:19" s="123" customFormat="1" ht="15.75" x14ac:dyDescent="0.25">
      <c r="A683" s="130"/>
      <c r="B683" s="218"/>
      <c r="R683" s="230"/>
      <c r="S683" s="254"/>
    </row>
    <row r="684" spans="1:19" s="123" customFormat="1" ht="15.75" x14ac:dyDescent="0.25">
      <c r="A684" s="130"/>
      <c r="B684" s="218"/>
      <c r="R684" s="230"/>
      <c r="S684" s="254"/>
    </row>
    <row r="685" spans="1:19" s="123" customFormat="1" ht="15.75" x14ac:dyDescent="0.25">
      <c r="A685" s="130"/>
      <c r="B685" s="218"/>
      <c r="R685" s="230"/>
      <c r="S685" s="254"/>
    </row>
    <row r="686" spans="1:19" s="123" customFormat="1" ht="15.75" x14ac:dyDescent="0.25">
      <c r="A686" s="130"/>
      <c r="B686" s="218"/>
      <c r="R686" s="230"/>
    </row>
    <row r="687" spans="1:19" s="123" customFormat="1" ht="15.75" x14ac:dyDescent="0.25">
      <c r="A687" s="130"/>
      <c r="B687" s="218"/>
      <c r="R687" s="230"/>
    </row>
    <row r="688" spans="1:19" s="123" customFormat="1" ht="15.75" x14ac:dyDescent="0.25">
      <c r="A688" s="130"/>
      <c r="B688" s="218"/>
      <c r="R688" s="230"/>
    </row>
    <row r="689" spans="1:18" s="123" customFormat="1" ht="15.75" x14ac:dyDescent="0.25">
      <c r="A689" s="130"/>
      <c r="B689" s="218"/>
      <c r="R689" s="230"/>
    </row>
    <row r="690" spans="1:18" s="123" customFormat="1" ht="15.75" x14ac:dyDescent="0.25">
      <c r="A690" s="130"/>
      <c r="B690" s="218"/>
      <c r="R690" s="230"/>
    </row>
    <row r="691" spans="1:18" s="123" customFormat="1" ht="15.75" x14ac:dyDescent="0.25">
      <c r="A691" s="130"/>
      <c r="B691" s="218"/>
      <c r="R691" s="230"/>
    </row>
    <row r="692" spans="1:18" s="123" customFormat="1" ht="15.75" x14ac:dyDescent="0.25">
      <c r="A692" s="130"/>
      <c r="B692" s="218"/>
      <c r="R692" s="230"/>
    </row>
    <row r="693" spans="1:18" s="123" customFormat="1" ht="15.75" x14ac:dyDescent="0.25">
      <c r="A693" s="130"/>
      <c r="B693" s="218"/>
      <c r="R693" s="230"/>
    </row>
    <row r="694" spans="1:18" s="123" customFormat="1" ht="15.75" x14ac:dyDescent="0.25">
      <c r="A694" s="130"/>
      <c r="B694" s="218"/>
      <c r="R694" s="230"/>
    </row>
    <row r="695" spans="1:18" s="123" customFormat="1" ht="15.75" x14ac:dyDescent="0.25">
      <c r="A695" s="130"/>
      <c r="B695" s="218"/>
      <c r="R695" s="230"/>
    </row>
    <row r="696" spans="1:18" s="123" customFormat="1" ht="15.75" x14ac:dyDescent="0.25">
      <c r="A696" s="130"/>
      <c r="B696" s="218"/>
      <c r="R696" s="230"/>
    </row>
    <row r="697" spans="1:18" s="123" customFormat="1" ht="15.75" x14ac:dyDescent="0.25">
      <c r="A697" s="130"/>
      <c r="B697" s="218"/>
      <c r="R697" s="230"/>
    </row>
    <row r="698" spans="1:18" s="123" customFormat="1" ht="15.75" x14ac:dyDescent="0.25">
      <c r="A698" s="130"/>
      <c r="B698" s="218"/>
      <c r="R698" s="230"/>
    </row>
    <row r="699" spans="1:18" s="123" customFormat="1" ht="15.75" x14ac:dyDescent="0.25">
      <c r="A699" s="130"/>
      <c r="B699" s="218"/>
      <c r="R699" s="230"/>
    </row>
    <row r="700" spans="1:18" s="123" customFormat="1" ht="15.75" x14ac:dyDescent="0.25">
      <c r="A700" s="130"/>
      <c r="B700" s="218"/>
      <c r="R700" s="230"/>
    </row>
    <row r="701" spans="1:18" s="123" customFormat="1" ht="15.75" x14ac:dyDescent="0.25">
      <c r="A701" s="130"/>
      <c r="B701" s="218"/>
      <c r="R701" s="230"/>
    </row>
    <row r="702" spans="1:18" s="123" customFormat="1" ht="15.75" x14ac:dyDescent="0.25">
      <c r="A702" s="130"/>
      <c r="B702" s="218"/>
      <c r="R702" s="230"/>
    </row>
    <row r="703" spans="1:18" s="123" customFormat="1" ht="15.75" x14ac:dyDescent="0.25">
      <c r="A703" s="130"/>
      <c r="B703" s="218"/>
      <c r="R703" s="230"/>
    </row>
    <row r="704" spans="1:18" s="123" customFormat="1" ht="15.75" x14ac:dyDescent="0.25">
      <c r="A704" s="130"/>
      <c r="B704" s="218"/>
      <c r="R704" s="230"/>
    </row>
    <row r="705" spans="1:18" s="123" customFormat="1" ht="15.75" x14ac:dyDescent="0.25">
      <c r="A705" s="130"/>
      <c r="B705" s="218"/>
      <c r="R705" s="230"/>
    </row>
    <row r="706" spans="1:18" s="123" customFormat="1" ht="15.75" x14ac:dyDescent="0.25">
      <c r="A706" s="130"/>
      <c r="B706" s="218"/>
      <c r="R706" s="230"/>
    </row>
    <row r="707" spans="1:18" s="123" customFormat="1" ht="15.75" x14ac:dyDescent="0.25">
      <c r="A707" s="130"/>
      <c r="B707" s="218"/>
      <c r="R707" s="230"/>
    </row>
    <row r="708" spans="1:18" s="123" customFormat="1" ht="15.75" x14ac:dyDescent="0.25">
      <c r="A708" s="130"/>
      <c r="B708" s="218"/>
      <c r="R708" s="230"/>
    </row>
    <row r="709" spans="1:18" s="123" customFormat="1" ht="15.75" x14ac:dyDescent="0.25">
      <c r="A709" s="130"/>
      <c r="B709" s="218"/>
      <c r="R709" s="230"/>
    </row>
    <row r="710" spans="1:18" s="123" customFormat="1" ht="15.75" x14ac:dyDescent="0.25">
      <c r="A710" s="130"/>
      <c r="B710" s="218"/>
      <c r="R710" s="230"/>
    </row>
    <row r="711" spans="1:18" s="123" customFormat="1" ht="15.75" x14ac:dyDescent="0.25">
      <c r="A711" s="130"/>
      <c r="B711" s="218"/>
      <c r="R711" s="230"/>
    </row>
    <row r="712" spans="1:18" s="123" customFormat="1" ht="15.75" x14ac:dyDescent="0.25">
      <c r="A712" s="130"/>
      <c r="B712" s="218"/>
      <c r="R712" s="230"/>
    </row>
    <row r="713" spans="1:18" s="123" customFormat="1" ht="15.75" x14ac:dyDescent="0.25">
      <c r="A713" s="130"/>
      <c r="B713" s="218"/>
      <c r="R713" s="230"/>
    </row>
    <row r="714" spans="1:18" s="123" customFormat="1" ht="15.75" x14ac:dyDescent="0.25">
      <c r="A714" s="130"/>
      <c r="B714" s="218"/>
      <c r="R714" s="230"/>
    </row>
    <row r="715" spans="1:18" s="123" customFormat="1" ht="15.75" x14ac:dyDescent="0.25">
      <c r="A715" s="130"/>
      <c r="B715" s="218"/>
      <c r="R715" s="230"/>
    </row>
    <row r="716" spans="1:18" s="123" customFormat="1" ht="15.75" x14ac:dyDescent="0.25">
      <c r="A716" s="130"/>
      <c r="B716" s="218"/>
      <c r="R716" s="230"/>
    </row>
    <row r="717" spans="1:18" s="123" customFormat="1" ht="15.75" x14ac:dyDescent="0.25">
      <c r="A717" s="130"/>
      <c r="B717" s="218"/>
      <c r="R717" s="230"/>
    </row>
    <row r="718" spans="1:18" s="123" customFormat="1" ht="15.75" x14ac:dyDescent="0.25">
      <c r="A718" s="130"/>
      <c r="B718" s="218"/>
      <c r="R718" s="230"/>
    </row>
    <row r="719" spans="1:18" s="123" customFormat="1" ht="15.75" x14ac:dyDescent="0.25">
      <c r="A719" s="130"/>
      <c r="B719" s="218"/>
      <c r="R719" s="230"/>
    </row>
    <row r="720" spans="1:18" s="123" customFormat="1" ht="15.75" x14ac:dyDescent="0.25">
      <c r="A720" s="130"/>
      <c r="B720" s="218"/>
      <c r="R720" s="230"/>
    </row>
    <row r="721" spans="2:30" ht="15.75" x14ac:dyDescent="0.25">
      <c r="B721" s="218"/>
      <c r="C721" s="123"/>
      <c r="D721" s="123"/>
      <c r="E721" s="123"/>
      <c r="F721" s="123"/>
      <c r="G721" s="123"/>
      <c r="H721" s="123"/>
      <c r="I721" s="123"/>
      <c r="J721" s="123"/>
      <c r="K721" s="123"/>
      <c r="L721" s="123"/>
      <c r="M721" s="123"/>
      <c r="N721" s="123"/>
      <c r="T721" s="123"/>
      <c r="U721" s="123"/>
      <c r="V721" s="123"/>
      <c r="W721" s="123"/>
      <c r="X721" s="123"/>
      <c r="Y721" s="123"/>
      <c r="Z721" s="123"/>
      <c r="AA721" s="123"/>
      <c r="AB721" s="123"/>
      <c r="AC721" s="123"/>
      <c r="AD721" s="123"/>
    </row>
    <row r="722" spans="2:30" ht="15.75" x14ac:dyDescent="0.25">
      <c r="B722" s="218"/>
      <c r="C722" s="123"/>
      <c r="D722" s="123"/>
      <c r="E722" s="123"/>
      <c r="F722" s="123"/>
      <c r="G722" s="123"/>
      <c r="H722" s="123"/>
      <c r="I722" s="123"/>
      <c r="J722" s="123"/>
      <c r="K722" s="123"/>
      <c r="L722" s="123"/>
      <c r="M722" s="123"/>
      <c r="N722" s="123"/>
      <c r="T722" s="123"/>
      <c r="U722" s="123"/>
      <c r="V722" s="123"/>
      <c r="W722" s="123"/>
      <c r="X722" s="123"/>
      <c r="Y722" s="123"/>
      <c r="Z722" s="123"/>
      <c r="AA722" s="123"/>
      <c r="AB722" s="123"/>
      <c r="AC722" s="123"/>
      <c r="AD722" s="123"/>
    </row>
    <row r="723" spans="2:30" ht="15.75" x14ac:dyDescent="0.25">
      <c r="B723" s="218"/>
      <c r="C723" s="123"/>
      <c r="D723" s="123"/>
      <c r="E723" s="123"/>
      <c r="F723" s="123"/>
      <c r="G723" s="123"/>
      <c r="H723" s="123"/>
      <c r="I723" s="123"/>
      <c r="J723" s="123"/>
      <c r="K723" s="123"/>
      <c r="L723" s="123"/>
      <c r="M723" s="123"/>
      <c r="N723" s="123"/>
      <c r="T723" s="123"/>
      <c r="U723" s="123"/>
      <c r="V723" s="123"/>
      <c r="W723" s="123"/>
      <c r="X723" s="123"/>
      <c r="Y723" s="123"/>
      <c r="Z723" s="123"/>
      <c r="AA723" s="123"/>
      <c r="AB723" s="123"/>
      <c r="AC723" s="123"/>
      <c r="AD723" s="123"/>
    </row>
    <row r="724" spans="2:30" ht="15.75" x14ac:dyDescent="0.25">
      <c r="B724" s="218"/>
      <c r="C724" s="123"/>
      <c r="D724" s="123"/>
      <c r="E724" s="123"/>
      <c r="F724" s="123"/>
      <c r="G724" s="123"/>
      <c r="H724" s="123"/>
      <c r="I724" s="123"/>
      <c r="J724" s="123"/>
      <c r="K724" s="123"/>
      <c r="L724" s="123"/>
      <c r="M724" s="123"/>
      <c r="N724" s="123"/>
      <c r="T724" s="123"/>
      <c r="U724" s="123"/>
      <c r="V724" s="123"/>
      <c r="W724" s="123"/>
      <c r="X724" s="123"/>
      <c r="Y724" s="123"/>
      <c r="Z724" s="123"/>
      <c r="AA724" s="123"/>
      <c r="AB724" s="123"/>
      <c r="AC724" s="123"/>
      <c r="AD724" s="123"/>
    </row>
    <row r="725" spans="2:30" ht="15.75" x14ac:dyDescent="0.25">
      <c r="B725" s="218"/>
      <c r="C725" s="123"/>
      <c r="D725" s="123"/>
      <c r="E725" s="123"/>
      <c r="F725" s="123"/>
      <c r="G725" s="123"/>
      <c r="H725" s="123"/>
      <c r="I725" s="123"/>
      <c r="J725" s="123"/>
      <c r="K725" s="123"/>
      <c r="L725" s="123"/>
      <c r="M725" s="123"/>
      <c r="N725" s="123"/>
      <c r="T725" s="123"/>
      <c r="U725" s="123"/>
      <c r="V725" s="123"/>
      <c r="W725" s="123"/>
      <c r="X725" s="123"/>
      <c r="Y725" s="123"/>
      <c r="Z725" s="123"/>
      <c r="AA725" s="123"/>
      <c r="AB725" s="123"/>
      <c r="AC725" s="123"/>
      <c r="AD725" s="123"/>
    </row>
    <row r="726" spans="2:30" ht="15.75" x14ac:dyDescent="0.25">
      <c r="B726" s="218"/>
      <c r="C726" s="123"/>
      <c r="D726" s="123"/>
      <c r="E726" s="123"/>
      <c r="F726" s="123"/>
      <c r="G726" s="123"/>
      <c r="H726" s="123"/>
      <c r="I726" s="123"/>
      <c r="J726" s="123"/>
      <c r="K726" s="123"/>
      <c r="L726" s="123"/>
      <c r="M726" s="123"/>
      <c r="N726" s="123"/>
      <c r="T726" s="123"/>
      <c r="U726" s="123"/>
      <c r="V726" s="123"/>
      <c r="W726" s="123"/>
      <c r="X726" s="123"/>
      <c r="Y726" s="123"/>
      <c r="Z726" s="123"/>
      <c r="AA726" s="123"/>
      <c r="AB726" s="123"/>
      <c r="AC726" s="123"/>
      <c r="AD726" s="123"/>
    </row>
    <row r="727" spans="2:30" ht="15.75" x14ac:dyDescent="0.25">
      <c r="B727" s="218"/>
      <c r="C727" s="123"/>
      <c r="D727" s="123"/>
      <c r="E727" s="123"/>
      <c r="F727" s="123"/>
      <c r="G727" s="123"/>
      <c r="H727" s="123"/>
      <c r="I727" s="123"/>
      <c r="J727" s="123"/>
      <c r="K727" s="123"/>
      <c r="L727" s="123"/>
      <c r="M727" s="123"/>
      <c r="N727" s="123"/>
      <c r="T727" s="123"/>
      <c r="U727" s="123"/>
      <c r="V727" s="123"/>
      <c r="W727" s="123"/>
      <c r="X727" s="123"/>
      <c r="Y727" s="123"/>
      <c r="Z727" s="123"/>
      <c r="AA727" s="123"/>
      <c r="AB727" s="123"/>
      <c r="AC727" s="123"/>
      <c r="AD727" s="123"/>
    </row>
    <row r="728" spans="2:30" ht="15.75" x14ac:dyDescent="0.25">
      <c r="B728" s="218"/>
      <c r="C728" s="123"/>
      <c r="D728" s="123"/>
      <c r="E728" s="123"/>
      <c r="F728" s="123"/>
      <c r="G728" s="123"/>
      <c r="H728" s="123"/>
      <c r="I728" s="123"/>
      <c r="J728" s="123"/>
      <c r="K728" s="123"/>
      <c r="L728" s="123"/>
      <c r="M728" s="123"/>
      <c r="N728" s="123"/>
      <c r="T728" s="123"/>
      <c r="U728" s="123"/>
      <c r="V728" s="123"/>
      <c r="W728" s="123"/>
      <c r="X728" s="123"/>
      <c r="Y728" s="123"/>
      <c r="Z728" s="123"/>
      <c r="AA728" s="123"/>
      <c r="AB728" s="123"/>
      <c r="AC728" s="123"/>
      <c r="AD728" s="123"/>
    </row>
    <row r="729" spans="2:30" ht="15.75" x14ac:dyDescent="0.25">
      <c r="B729" s="218"/>
      <c r="C729" s="123"/>
      <c r="D729" s="123"/>
      <c r="E729" s="123"/>
      <c r="F729" s="123"/>
      <c r="G729" s="123"/>
      <c r="H729" s="123"/>
      <c r="I729" s="123"/>
      <c r="J729" s="123"/>
      <c r="K729" s="123"/>
      <c r="L729" s="123"/>
      <c r="M729" s="123"/>
      <c r="N729" s="123"/>
      <c r="T729" s="123"/>
      <c r="U729" s="123"/>
      <c r="V729" s="123"/>
      <c r="W729" s="123"/>
      <c r="X729" s="123"/>
      <c r="Y729" s="123"/>
      <c r="Z729" s="123"/>
      <c r="AA729" s="123"/>
      <c r="AB729" s="123"/>
      <c r="AC729" s="123"/>
      <c r="AD729" s="123"/>
    </row>
    <row r="730" spans="2:30" ht="15.75" x14ac:dyDescent="0.25">
      <c r="B730" s="218"/>
      <c r="C730" s="123"/>
      <c r="D730" s="123"/>
      <c r="E730" s="123"/>
      <c r="F730" s="123"/>
      <c r="G730" s="123"/>
      <c r="H730" s="123"/>
      <c r="I730" s="123"/>
      <c r="J730" s="123"/>
      <c r="K730" s="123"/>
      <c r="L730" s="123"/>
      <c r="M730" s="123"/>
      <c r="N730" s="123"/>
      <c r="T730" s="123"/>
      <c r="U730" s="123"/>
      <c r="V730" s="123"/>
      <c r="W730" s="123"/>
      <c r="X730" s="123"/>
      <c r="Y730" s="123"/>
      <c r="Z730" s="123"/>
      <c r="AA730" s="123"/>
      <c r="AB730" s="123"/>
      <c r="AC730" s="123"/>
      <c r="AD730" s="123"/>
    </row>
    <row r="731" spans="2:30" ht="15.75" x14ac:dyDescent="0.25">
      <c r="B731" s="218"/>
      <c r="C731" s="123"/>
      <c r="D731" s="123"/>
      <c r="E731" s="123"/>
      <c r="F731" s="123"/>
      <c r="G731" s="123"/>
      <c r="H731" s="123"/>
      <c r="I731" s="123"/>
      <c r="J731" s="123"/>
      <c r="K731" s="123"/>
      <c r="L731" s="123"/>
      <c r="M731" s="123"/>
      <c r="N731" s="123"/>
      <c r="T731" s="123"/>
      <c r="U731" s="123"/>
      <c r="V731" s="123"/>
      <c r="W731" s="123"/>
      <c r="X731" s="123"/>
      <c r="Y731" s="123"/>
      <c r="Z731" s="123"/>
      <c r="AA731" s="123"/>
      <c r="AB731" s="123"/>
      <c r="AC731" s="123"/>
      <c r="AD731" s="123"/>
    </row>
    <row r="732" spans="2:30" ht="15.75" x14ac:dyDescent="0.25">
      <c r="B732" s="218"/>
      <c r="C732" s="123"/>
      <c r="D732" s="123"/>
      <c r="E732" s="123"/>
      <c r="F732" s="123"/>
      <c r="G732" s="123"/>
      <c r="H732" s="123"/>
      <c r="I732" s="123"/>
      <c r="J732" s="123"/>
      <c r="K732" s="123"/>
      <c r="L732" s="123"/>
      <c r="M732" s="123"/>
      <c r="N732" s="123"/>
      <c r="T732" s="123"/>
      <c r="U732" s="123"/>
      <c r="V732" s="123"/>
      <c r="W732" s="123"/>
      <c r="X732" s="123"/>
      <c r="Y732" s="123"/>
      <c r="Z732" s="123"/>
      <c r="AA732" s="123"/>
      <c r="AB732" s="123"/>
      <c r="AC732" s="123"/>
      <c r="AD732" s="123"/>
    </row>
    <row r="733" spans="2:30" ht="15.75" x14ac:dyDescent="0.25">
      <c r="B733" s="218"/>
      <c r="C733" s="123"/>
      <c r="D733" s="123"/>
      <c r="E733" s="123"/>
      <c r="F733" s="123"/>
      <c r="G733" s="123"/>
      <c r="H733" s="123"/>
      <c r="I733" s="123"/>
      <c r="J733" s="123"/>
      <c r="K733" s="123"/>
      <c r="L733" s="123"/>
      <c r="M733" s="123"/>
      <c r="N733" s="123"/>
      <c r="T733" s="123"/>
      <c r="U733" s="123"/>
      <c r="V733" s="123"/>
      <c r="W733" s="123"/>
      <c r="X733" s="123"/>
      <c r="Y733" s="123"/>
      <c r="Z733" s="123"/>
      <c r="AA733" s="123"/>
      <c r="AB733" s="123"/>
      <c r="AC733" s="123"/>
      <c r="AD733" s="123"/>
    </row>
    <row r="734" spans="2:30" ht="15.75" x14ac:dyDescent="0.25">
      <c r="B734" s="218"/>
      <c r="C734" s="123"/>
      <c r="D734" s="123"/>
      <c r="E734" s="123"/>
      <c r="F734" s="123"/>
      <c r="G734" s="123"/>
      <c r="H734" s="123"/>
      <c r="I734" s="123"/>
      <c r="J734" s="123"/>
      <c r="K734" s="123"/>
      <c r="L734" s="123"/>
      <c r="M734" s="123"/>
      <c r="N734" s="123"/>
      <c r="T734" s="123"/>
      <c r="U734" s="123"/>
      <c r="V734" s="123"/>
      <c r="W734" s="123"/>
      <c r="X734" s="123"/>
      <c r="Y734" s="123"/>
      <c r="Z734" s="123"/>
      <c r="AA734" s="123"/>
      <c r="AB734" s="123"/>
      <c r="AC734" s="123"/>
      <c r="AD734" s="123"/>
    </row>
    <row r="735" spans="2:30" ht="15.75" x14ac:dyDescent="0.25">
      <c r="B735" s="218"/>
      <c r="C735" s="123"/>
      <c r="D735" s="123"/>
      <c r="E735" s="123"/>
      <c r="F735" s="123"/>
      <c r="G735" s="123"/>
      <c r="H735" s="123"/>
      <c r="I735" s="123"/>
      <c r="J735" s="123"/>
      <c r="K735" s="123"/>
      <c r="L735" s="123"/>
      <c r="M735" s="123"/>
      <c r="N735" s="123"/>
      <c r="T735" s="123"/>
      <c r="U735" s="123"/>
      <c r="V735" s="123"/>
      <c r="W735" s="123"/>
      <c r="X735" s="123"/>
      <c r="Y735" s="123"/>
      <c r="Z735" s="123"/>
      <c r="AA735" s="123"/>
      <c r="AB735" s="123"/>
      <c r="AC735" s="123"/>
      <c r="AD735" s="123"/>
    </row>
    <row r="736" spans="2:30" ht="15.75" x14ac:dyDescent="0.25">
      <c r="B736" s="218"/>
      <c r="C736" s="123"/>
      <c r="D736" s="123"/>
      <c r="E736" s="123"/>
      <c r="F736" s="123"/>
      <c r="G736" s="123"/>
      <c r="H736" s="123"/>
      <c r="I736" s="123"/>
      <c r="J736" s="123"/>
      <c r="K736" s="123"/>
      <c r="L736" s="123"/>
      <c r="M736" s="123"/>
      <c r="N736" s="123"/>
      <c r="T736" s="123"/>
      <c r="U736" s="123"/>
      <c r="V736" s="123"/>
      <c r="W736" s="123"/>
      <c r="X736" s="123"/>
      <c r="Y736" s="123"/>
      <c r="Z736" s="123"/>
      <c r="AA736" s="123"/>
      <c r="AB736" s="123"/>
      <c r="AC736" s="123"/>
      <c r="AD736" s="123"/>
    </row>
    <row r="737" spans="2:30" ht="15.75" x14ac:dyDescent="0.25">
      <c r="B737" s="218"/>
      <c r="C737" s="123"/>
      <c r="D737" s="123"/>
      <c r="E737" s="123"/>
      <c r="F737" s="123"/>
      <c r="G737" s="123"/>
      <c r="H737" s="123"/>
      <c r="I737" s="123"/>
      <c r="J737" s="123"/>
      <c r="K737" s="123"/>
      <c r="L737" s="123"/>
      <c r="M737" s="123"/>
      <c r="N737" s="123"/>
      <c r="T737" s="123"/>
      <c r="U737" s="123"/>
      <c r="V737" s="123"/>
      <c r="W737" s="123"/>
      <c r="X737" s="123"/>
      <c r="Y737" s="123"/>
      <c r="Z737" s="123"/>
      <c r="AA737" s="123"/>
      <c r="AB737" s="123"/>
      <c r="AC737" s="123"/>
      <c r="AD737" s="123"/>
    </row>
    <row r="738" spans="2:30" ht="15.75" x14ac:dyDescent="0.25">
      <c r="F738" s="21"/>
      <c r="G738" s="21"/>
      <c r="H738" s="21"/>
      <c r="I738" s="21"/>
      <c r="J738" s="21"/>
      <c r="K738" s="21"/>
      <c r="T738" s="123"/>
      <c r="U738" s="123"/>
      <c r="V738" s="123"/>
      <c r="W738" s="123"/>
      <c r="X738" s="123"/>
      <c r="Y738" s="123"/>
      <c r="Z738" s="123"/>
      <c r="AA738" s="123"/>
      <c r="AB738" s="123"/>
      <c r="AC738" s="123"/>
      <c r="AD738" s="123"/>
    </row>
    <row r="739" spans="2:30" ht="15.75" x14ac:dyDescent="0.25">
      <c r="E739" s="20"/>
      <c r="F739" s="21"/>
      <c r="G739" s="21"/>
      <c r="H739" s="21"/>
      <c r="I739" s="21"/>
      <c r="J739" s="21"/>
      <c r="K739" s="21"/>
      <c r="T739" s="123"/>
      <c r="U739" s="123"/>
      <c r="V739" s="123"/>
      <c r="W739" s="123"/>
      <c r="X739" s="123"/>
      <c r="Y739" s="123"/>
      <c r="Z739" s="123"/>
      <c r="AA739" s="123"/>
      <c r="AB739" s="123"/>
      <c r="AC739" s="123"/>
      <c r="AD739" s="123"/>
    </row>
    <row r="740" spans="2:30" ht="15.75" x14ac:dyDescent="0.25">
      <c r="E740" s="19"/>
      <c r="F740" s="21"/>
      <c r="G740" s="21"/>
      <c r="H740" s="21"/>
      <c r="I740" s="21"/>
      <c r="J740" s="21"/>
      <c r="K740" s="21"/>
      <c r="L740" s="21"/>
      <c r="T740" s="123"/>
      <c r="U740" s="123"/>
      <c r="V740" s="123"/>
      <c r="W740" s="123"/>
      <c r="X740" s="123"/>
      <c r="Y740" s="123"/>
      <c r="Z740" s="123"/>
      <c r="AA740" s="123"/>
      <c r="AB740" s="123"/>
      <c r="AC740" s="123"/>
      <c r="AD740" s="123"/>
    </row>
    <row r="741" spans="2:30" ht="15.75" x14ac:dyDescent="0.25">
      <c r="E741" s="20"/>
      <c r="T741" s="123"/>
      <c r="U741" s="123"/>
      <c r="V741" s="123"/>
      <c r="W741" s="123"/>
      <c r="X741" s="123"/>
      <c r="Y741" s="123"/>
      <c r="Z741" s="123"/>
      <c r="AA741" s="123"/>
      <c r="AB741" s="123"/>
      <c r="AC741" s="123"/>
      <c r="AD741" s="123"/>
    </row>
    <row r="742" spans="2:30" ht="15.75" x14ac:dyDescent="0.25">
      <c r="E742" s="20"/>
      <c r="T742" s="123"/>
      <c r="U742" s="123"/>
      <c r="V742" s="123"/>
      <c r="W742" s="123"/>
      <c r="X742" s="123"/>
      <c r="Y742" s="123"/>
      <c r="Z742" s="123"/>
      <c r="AA742" s="123"/>
      <c r="AB742" s="123"/>
      <c r="AC742" s="123"/>
      <c r="AD742" s="123"/>
    </row>
  </sheetData>
  <sheetProtection password="C411" sheet="1" objects="1" scenarios="1" selectLockedCells="1"/>
  <mergeCells count="119">
    <mergeCell ref="B94:D94"/>
    <mergeCell ref="B124:J124"/>
    <mergeCell ref="B138:D138"/>
    <mergeCell ref="B115:J116"/>
    <mergeCell ref="B119:D119"/>
    <mergeCell ref="B120:D120"/>
    <mergeCell ref="B108:J108"/>
    <mergeCell ref="B101:B105"/>
    <mergeCell ref="B109:D109"/>
    <mergeCell ref="B95:B99"/>
    <mergeCell ref="G95:I106"/>
    <mergeCell ref="B135:D135"/>
    <mergeCell ref="G136:I137"/>
    <mergeCell ref="B47:D47"/>
    <mergeCell ref="G83:I88"/>
    <mergeCell ref="G72:I76"/>
    <mergeCell ref="B48:C49"/>
    <mergeCell ref="B50:C51"/>
    <mergeCell ref="B52:C54"/>
    <mergeCell ref="B10:D10"/>
    <mergeCell ref="E20:F21"/>
    <mergeCell ref="B17:D18"/>
    <mergeCell ref="B20:D21"/>
    <mergeCell ref="D23:D24"/>
    <mergeCell ref="B78:D78"/>
    <mergeCell ref="B82:C88"/>
    <mergeCell ref="E77:F77"/>
    <mergeCell ref="G79:I80"/>
    <mergeCell ref="B25:C27"/>
    <mergeCell ref="E16:F16"/>
    <mergeCell ref="E19:F19"/>
    <mergeCell ref="E17:F18"/>
    <mergeCell ref="B15:J15"/>
    <mergeCell ref="B46:J46"/>
    <mergeCell ref="B37:C39"/>
    <mergeCell ref="G77:I77"/>
    <mergeCell ref="B6:D6"/>
    <mergeCell ref="I31:I32"/>
    <mergeCell ref="B34:C36"/>
    <mergeCell ref="D32:D33"/>
    <mergeCell ref="E6:F6"/>
    <mergeCell ref="B12:D12"/>
    <mergeCell ref="B7:D7"/>
    <mergeCell ref="B16:D16"/>
    <mergeCell ref="B28:C30"/>
    <mergeCell ref="G19:J21"/>
    <mergeCell ref="H24:J24"/>
    <mergeCell ref="F22:F23"/>
    <mergeCell ref="E22:E23"/>
    <mergeCell ref="B23:C24"/>
    <mergeCell ref="B9:J9"/>
    <mergeCell ref="E7:F7"/>
    <mergeCell ref="B91:D91"/>
    <mergeCell ref="B55:D55"/>
    <mergeCell ref="I56:J56"/>
    <mergeCell ref="B3:J3"/>
    <mergeCell ref="H33:J33"/>
    <mergeCell ref="G22:G23"/>
    <mergeCell ref="H22:H23"/>
    <mergeCell ref="I22:I23"/>
    <mergeCell ref="J22:J23"/>
    <mergeCell ref="G31:G32"/>
    <mergeCell ref="H31:H32"/>
    <mergeCell ref="B22:D22"/>
    <mergeCell ref="B19:D19"/>
    <mergeCell ref="B31:D31"/>
    <mergeCell ref="F31:F32"/>
    <mergeCell ref="E31:E32"/>
    <mergeCell ref="B32:C33"/>
    <mergeCell ref="J31:J32"/>
    <mergeCell ref="G16:J18"/>
    <mergeCell ref="I48:J48"/>
    <mergeCell ref="B5:J5"/>
    <mergeCell ref="B14:J14"/>
    <mergeCell ref="B11:D11"/>
    <mergeCell ref="B45:J45"/>
    <mergeCell ref="B1:J1"/>
    <mergeCell ref="B41:J41"/>
    <mergeCell ref="B43:J43"/>
    <mergeCell ref="B144:D144"/>
    <mergeCell ref="B150:D150"/>
    <mergeCell ref="B153:D153"/>
    <mergeCell ref="B121:D121"/>
    <mergeCell ref="B122:D122"/>
    <mergeCell ref="G110:I111"/>
    <mergeCell ref="G113:I113"/>
    <mergeCell ref="B112:D112"/>
    <mergeCell ref="B113:D113"/>
    <mergeCell ref="B71:D71"/>
    <mergeCell ref="B69:J69"/>
    <mergeCell ref="B60:C62"/>
    <mergeCell ref="B56:C57"/>
    <mergeCell ref="B58:C59"/>
    <mergeCell ref="B81:D81"/>
    <mergeCell ref="B64:J64"/>
    <mergeCell ref="B65:D65"/>
    <mergeCell ref="G66:I67"/>
    <mergeCell ref="G92:I93"/>
    <mergeCell ref="B77:D77"/>
    <mergeCell ref="B90:J90"/>
    <mergeCell ref="B208:E208"/>
    <mergeCell ref="G139:I143"/>
    <mergeCell ref="B126:D126"/>
    <mergeCell ref="B127:D127"/>
    <mergeCell ref="B125:D125"/>
    <mergeCell ref="G126:I134"/>
    <mergeCell ref="G120:I122"/>
    <mergeCell ref="G145:I149"/>
    <mergeCell ref="G151:I152"/>
    <mergeCell ref="B154:D154"/>
    <mergeCell ref="G154:I154"/>
    <mergeCell ref="B128:D128"/>
    <mergeCell ref="B195:J195"/>
    <mergeCell ref="I203:J203"/>
    <mergeCell ref="B196:D196"/>
    <mergeCell ref="B202:D203"/>
    <mergeCell ref="B200:D201"/>
    <mergeCell ref="E200:F201"/>
    <mergeCell ref="G200:J201"/>
  </mergeCells>
  <conditionalFormatting sqref="G11:I11">
    <cfRule type="expression" dxfId="156" priority="193" stopIfTrue="1">
      <formula>OR(avgSize&gt;20, avgSize&lt;4)</formula>
    </cfRule>
  </conditionalFormatting>
  <conditionalFormatting sqref="J95:J106 J110:J111 J113">
    <cfRule type="expression" dxfId="155" priority="376" stopIfTrue="1">
      <formula>J95&lt;&gt;F95</formula>
    </cfRule>
  </conditionalFormatting>
  <conditionalFormatting sqref="I204:J205">
    <cfRule type="expression" dxfId="154" priority="385" stopIfTrue="1">
      <formula>I204&lt;&gt;G204</formula>
    </cfRule>
  </conditionalFormatting>
  <conditionalFormatting sqref="B22 B31">
    <cfRule type="expression" dxfId="153" priority="165" stopIfTrue="1">
      <formula>OR(E25:G30= "")</formula>
    </cfRule>
  </conditionalFormatting>
  <conditionalFormatting sqref="J93">
    <cfRule type="expression" dxfId="152" priority="158" stopIfTrue="1">
      <formula>J93&lt;&gt;F93</formula>
    </cfRule>
  </conditionalFormatting>
  <conditionalFormatting sqref="J92:J93">
    <cfRule type="expression" dxfId="151" priority="157" stopIfTrue="1">
      <formula>J92&lt;&gt;F92</formula>
    </cfRule>
  </conditionalFormatting>
  <conditionalFormatting sqref="B10:D10">
    <cfRule type="expression" dxfId="150" priority="90">
      <formula>OR(E11="", E12="")</formula>
    </cfRule>
  </conditionalFormatting>
  <conditionalFormatting sqref="B196">
    <cfRule type="expression" dxfId="149" priority="88">
      <formula>E197=""</formula>
    </cfRule>
  </conditionalFormatting>
  <conditionalFormatting sqref="B109:D109">
    <cfRule type="expression" dxfId="148" priority="86">
      <formula>OR(E110="",  E111="")</formula>
    </cfRule>
  </conditionalFormatting>
  <conditionalFormatting sqref="B112:D112 D91">
    <cfRule type="expression" dxfId="147" priority="551">
      <formula>OR(E92:E92="")</formula>
    </cfRule>
  </conditionalFormatting>
  <conditionalFormatting sqref="B94:D94">
    <cfRule type="expression" dxfId="146" priority="78">
      <formula>OR(E95:E99="")</formula>
    </cfRule>
  </conditionalFormatting>
  <conditionalFormatting sqref="J120:J122">
    <cfRule type="expression" dxfId="145" priority="77" stopIfTrue="1">
      <formula>J120&lt;&gt;F120</formula>
    </cfRule>
  </conditionalFormatting>
  <conditionalFormatting sqref="J120:J122">
    <cfRule type="expression" dxfId="144" priority="76" stopIfTrue="1">
      <formula>J120&lt;&gt;F120</formula>
    </cfRule>
  </conditionalFormatting>
  <conditionalFormatting sqref="J122">
    <cfRule type="expression" dxfId="143" priority="75" stopIfTrue="1">
      <formula>J122&lt;&gt;F122</formula>
    </cfRule>
  </conditionalFormatting>
  <conditionalFormatting sqref="B119:D119 B71:D71">
    <cfRule type="expression" dxfId="142" priority="74">
      <formula>OR(E72:E75="")</formula>
    </cfRule>
  </conditionalFormatting>
  <conditionalFormatting sqref="B17">
    <cfRule type="expression" dxfId="141" priority="611" stopIfTrue="1">
      <formula>AND($E$6&lt;&gt;"USA-National",#REF!&lt;&gt; "Units")</formula>
    </cfRule>
  </conditionalFormatting>
  <conditionalFormatting sqref="E17">
    <cfRule type="expression" dxfId="140" priority="615" stopIfTrue="1">
      <formula>AND(AND(E6&lt;&gt;"USA-National", E6&lt;&gt;B4), E17="Percentage of estimated forklift shipments")</formula>
    </cfRule>
  </conditionalFormatting>
  <conditionalFormatting sqref="B6:B7">
    <cfRule type="expression" dxfId="139" priority="617" stopIfTrue="1">
      <formula>E6=Please</formula>
    </cfRule>
  </conditionalFormatting>
  <conditionalFormatting sqref="B16 B19">
    <cfRule type="expression" dxfId="138" priority="640" stopIfTrue="1">
      <formula>E17=Please</formula>
    </cfRule>
  </conditionalFormatting>
  <conditionalFormatting sqref="J11:J12 J72:J76 J79:J80 J83:J88">
    <cfRule type="expression" dxfId="137" priority="188" stopIfTrue="1">
      <formula>J11&lt;&gt;F11</formula>
    </cfRule>
  </conditionalFormatting>
  <conditionalFormatting sqref="B91:C91">
    <cfRule type="expression" dxfId="136" priority="664">
      <formula>OR(E93:E93="")</formula>
    </cfRule>
  </conditionalFormatting>
  <conditionalFormatting sqref="F34:F39 F25:F30 I25:I30 I34:I39">
    <cfRule type="expression" dxfId="135" priority="60">
      <formula>AND($F25&gt;1,$F25&lt;&gt;$I25)</formula>
    </cfRule>
  </conditionalFormatting>
  <conditionalFormatting sqref="B138:D138">
    <cfRule type="expression" dxfId="134" priority="58" stopIfTrue="1">
      <formula>OR(E139:E141="")</formula>
    </cfRule>
  </conditionalFormatting>
  <conditionalFormatting sqref="B144:D144">
    <cfRule type="expression" dxfId="133" priority="57" stopIfTrue="1">
      <formula>OR(E145:E149="")</formula>
    </cfRule>
  </conditionalFormatting>
  <conditionalFormatting sqref="B150:D150">
    <cfRule type="expression" dxfId="132" priority="56" stopIfTrue="1">
      <formula>OR(E151:E153="")</formula>
    </cfRule>
  </conditionalFormatting>
  <conditionalFormatting sqref="E204:F205">
    <cfRule type="expression" dxfId="131" priority="665" stopIfTrue="1">
      <formula>$E$200="Initial values"</formula>
    </cfRule>
  </conditionalFormatting>
  <conditionalFormatting sqref="B125:D125">
    <cfRule type="expression" dxfId="130" priority="33">
      <formula>OR($E$6&lt;&gt;"USA-National",$E$7&lt;&gt;"Net")</formula>
    </cfRule>
  </conditionalFormatting>
  <conditionalFormatting sqref="B128:D128">
    <cfRule type="expression" dxfId="129" priority="31">
      <formula>OR($E$6&lt;&gt;"USA-National",$E$7&lt;&gt;"Net")</formula>
    </cfRule>
  </conditionalFormatting>
  <conditionalFormatting sqref="F128">
    <cfRule type="expression" dxfId="128" priority="30">
      <formula>OR($E$6&lt;&gt;"USA-National",$E$7&lt;&gt;"Net")</formula>
    </cfRule>
  </conditionalFormatting>
  <conditionalFormatting sqref="E128">
    <cfRule type="expression" dxfId="127" priority="29">
      <formula>OR($E$6&lt;&gt;"USA-National",$E$7&lt;&gt;"Net")</formula>
    </cfRule>
  </conditionalFormatting>
  <conditionalFormatting sqref="B125:D125">
    <cfRule type="expression" dxfId="126" priority="686" stopIfTrue="1">
      <formula>OR(E126:E131="")</formula>
    </cfRule>
  </conditionalFormatting>
  <conditionalFormatting sqref="B128:D128">
    <cfRule type="expression" dxfId="125" priority="691" stopIfTrue="1">
      <formula>OR(E130:E134="")</formula>
    </cfRule>
  </conditionalFormatting>
  <conditionalFormatting sqref="B45:J46">
    <cfRule type="expression" dxfId="124" priority="14">
      <formula>AND(AND($H$25:$H$30=0), AND($H$34:$H$39=0))</formula>
    </cfRule>
  </conditionalFormatting>
  <conditionalFormatting sqref="I49:J54">
    <cfRule type="expression" dxfId="123" priority="16">
      <formula>AND(SUM($H$25:$H$30)&lt;&gt;0,G49&lt;&gt;I49)</formula>
    </cfRule>
  </conditionalFormatting>
  <conditionalFormatting sqref="I57:J62">
    <cfRule type="expression" dxfId="122" priority="15">
      <formula>AND(SUM($H$34:$H$39)&lt;&gt;0,G57&lt;&gt;I57)</formula>
    </cfRule>
  </conditionalFormatting>
  <conditionalFormatting sqref="B81:J88">
    <cfRule type="expression" dxfId="121" priority="13">
      <formula>AND($E$75=0, $E$75&lt;&gt;"")</formula>
    </cfRule>
  </conditionalFormatting>
  <conditionalFormatting sqref="B127:F127 J127">
    <cfRule type="expression" dxfId="120" priority="12">
      <formula>SUM($I$25:$I$30)+SUM($I$34:$I$39)=0</formula>
    </cfRule>
  </conditionalFormatting>
  <conditionalFormatting sqref="B47">
    <cfRule type="expression" dxfId="119" priority="728" stopIfTrue="1">
      <formula>OR($E$49:$F$54="")</formula>
    </cfRule>
  </conditionalFormatting>
  <conditionalFormatting sqref="H48">
    <cfRule type="expression" dxfId="118" priority="11">
      <formula>AND(AND($H$25:$H$30=0), AND($H$34:$H$39=0))</formula>
    </cfRule>
  </conditionalFormatting>
  <conditionalFormatting sqref="H56">
    <cfRule type="expression" dxfId="117" priority="10">
      <formula>AND(AND($H$25:$H$30=0), AND($H$34:$H$39=0))</formula>
    </cfRule>
  </conditionalFormatting>
  <conditionalFormatting sqref="B65:D65">
    <cfRule type="expression" dxfId="116" priority="8">
      <formula>OR(E66="",  E67="")</formula>
    </cfRule>
  </conditionalFormatting>
  <conditionalFormatting sqref="J66:J67">
    <cfRule type="expression" dxfId="115" priority="7" stopIfTrue="1">
      <formula>J66&lt;&gt;F66</formula>
    </cfRule>
  </conditionalFormatting>
  <conditionalFormatting sqref="B135:D135">
    <cfRule type="expression" dxfId="114" priority="5">
      <formula>OR($E$6&lt;&gt;"USA-National",$E$7&lt;&gt;"Net")</formula>
    </cfRule>
  </conditionalFormatting>
  <conditionalFormatting sqref="B135:D135">
    <cfRule type="expression" dxfId="113" priority="6" stopIfTrue="1">
      <formula>OR(E136:E139="")</formula>
    </cfRule>
  </conditionalFormatting>
  <conditionalFormatting sqref="B47:J54">
    <cfRule type="expression" dxfId="112" priority="4">
      <formula>AND($H$25:$H$30=0)</formula>
    </cfRule>
  </conditionalFormatting>
  <conditionalFormatting sqref="B55:J62">
    <cfRule type="expression" dxfId="111" priority="2">
      <formula>AND($H$34:$H$39=0)</formula>
    </cfRule>
  </conditionalFormatting>
  <conditionalFormatting sqref="B55">
    <cfRule type="expression" dxfId="110" priority="3" stopIfTrue="1">
      <formula>OR($E$57:$F$62="")</formula>
    </cfRule>
  </conditionalFormatting>
  <conditionalFormatting sqref="B153:D153">
    <cfRule type="expression" dxfId="109" priority="742" stopIfTrue="1">
      <formula>OR(E154:E205="")</formula>
    </cfRule>
  </conditionalFormatting>
  <dataValidations count="21">
    <dataValidation type="list" allowBlank="1" showInputMessage="1" showErrorMessage="1" sqref="E6">
      <formula1>Regions</formula1>
    </dataValidation>
    <dataValidation type="list" allowBlank="1" showInputMessage="1" showErrorMessage="1" sqref="E200">
      <formula1>PriceCost</formula1>
    </dataValidation>
    <dataValidation type="decimal" allowBlank="1" showInputMessage="1" showErrorMessage="1" errorTitle="Please enter a different value" error="Please enter a value between 4 kW and 20 kW for fuel cells for Class I/II forklifts." sqref="E11">
      <formula1>4</formula1>
      <formula2>20</formula2>
    </dataValidation>
    <dataValidation type="decimal" allowBlank="1" showInputMessage="1" showErrorMessage="1" errorTitle="Please enter a different value" error="Please enter a value between 1 kW and 4 kW for fuel cells for Class III forklifts." sqref="E12">
      <formula1>1</formula1>
      <formula2>4</formula2>
    </dataValidation>
    <dataValidation type="decimal" allowBlank="1" showInputMessage="1" showErrorMessage="1" errorTitle="Please enter a different value" error="Exports from region may not exceed regional manufacturing._x000a_" sqref="I25:I30 I34:I39">
      <formula1>0</formula1>
      <formula2>H25</formula2>
    </dataValidation>
    <dataValidation type="list" allowBlank="1" showInputMessage="1" showErrorMessage="1" sqref="E77">
      <formula1>Inf_forklift</formula1>
    </dataValidation>
    <dataValidation type="whole" allowBlank="1" showInputMessage="1" showErrorMessage="1" errorTitle="Please enter a different value" error="Non-numeric or negative values, and values exceeding 100,000 may not be entered." sqref="G25:G30 G34:G39">
      <formula1>0</formula1>
      <formula2>100000</formula2>
    </dataValidation>
    <dataValidation type="whole" showInputMessage="1" showErrorMessage="1" errorTitle="Please enter different value" error="Manufacturing Cost may not exceed Retail Price._x000a__x000a_Manufacturing Cost may not be negative." sqref="F57:F62 F204:F205 F49:F54">
      <formula1>0</formula1>
      <formula2>IF(E49&lt;&gt;"", E49)</formula2>
    </dataValidation>
    <dataValidation type="whole" operator="greaterThanOrEqual" allowBlank="1" showInputMessage="1" showErrorMessage="1" errorTitle="Please enter a different value" error="Only whole numbers may be entered._x000a__x000a_Negative numbers may not be entered." sqref="E120:E122 E113 E83:E88 E110:E111 E79:E80 E72:E75 E129 E132 E139:E142 E151:E152 E154 E66:E67">
      <formula1>0</formula1>
    </dataValidation>
    <dataValidation type="decimal" allowBlank="1" showInputMessage="1" showErrorMessage="1" errorTitle="Please enter a different value" error="Negative values and values exceeding 52 weeks/year may not be entered." sqref="E105 E99">
      <formula1>0</formula1>
      <formula2>52</formula2>
    </dataValidation>
    <dataValidation type="whole" allowBlank="1" showInputMessage="1" showErrorMessage="1" errorTitle="Please enter a different value" error="Negative values and values exceeding 7 days/week may not be entered." sqref="E98 E104">
      <formula1>0</formula1>
      <formula2>7</formula2>
    </dataValidation>
    <dataValidation type="decimal" allowBlank="1" showInputMessage="1" showErrorMessage="1" errorTitle="Please enter a different value" error="Negative numbers may not be entered. Total operating hours/day may not exceed 24. Please adjust hours/shift or shifts/day." sqref="E102 E96">
      <formula1>0</formula1>
      <formula2>24/J97</formula2>
    </dataValidation>
    <dataValidation type="decimal" allowBlank="1" showInputMessage="1" showErrorMessage="1" errorTitle="Please enter a different value" error="Negative numbers may not be entered. _x000a__x000a_Total operating hours/day may not exceed 24. Please adjust hours/shift or shifts/day." sqref="E103 E97">
      <formula1>0</formula1>
      <formula2>24/J96</formula2>
    </dataValidation>
    <dataValidation type="decimal" operator="greaterThanOrEqual" allowBlank="1" showInputMessage="1" showErrorMessage="1" errorTitle="Please enter a different value" error="Negative numbers may not be entered." sqref="E101 E95 E148:E149 E145:E146">
      <formula1>0</formula1>
    </dataValidation>
    <dataValidation type="decimal" operator="lessThanOrEqual" allowBlank="1" showInputMessage="1" showErrorMessage="1" errorTitle="Please enter a different value" error="Price of Hydrogen may not exceed Cost to produce Hydrogen._x000a__x000a_Please enter a higher Price or a lower Cost." sqref="E92">
      <formula1>J93</formula1>
    </dataValidation>
    <dataValidation type="whole" operator="greaterThanOrEqual" showInputMessage="1" showErrorMessage="1" errorTitle="Please enter a different value" error="Retail Price cannot be lower than Manufacturing Cost._x000a__x000a_Retail Price may not be negative." sqref="E57:E62 E204:E205 E49:E54">
      <formula1>IF(F49="",0,F49)</formula1>
    </dataValidation>
    <dataValidation type="list" allowBlank="1" showInputMessage="1" showErrorMessage="1" sqref="E20">
      <formula1>Reg_exports</formula1>
    </dataValidation>
    <dataValidation type="decimal" operator="greaterThanOrEqual" allowBlank="1" showInputMessage="1" showErrorMessage="1" errorTitle="Please enter a different value" error="Price of Hydrogen may not exceed Cost to produce Hydrogen._x000a__x000a_Please enter a higher Price or a lower Cost." sqref="E93">
      <formula1>J92</formula1>
    </dataValidation>
    <dataValidation type="whole" operator="greaterThanOrEqual" allowBlank="1" showInputMessage="1" showErrorMessage="1" errorTitle="Please enter a different value" error="If there is any regional manufacturing, the number of manufacturers must be a whole number greater than or equal to 1." sqref="E197">
      <formula1>1</formula1>
    </dataValidation>
    <dataValidation type="decimal" allowBlank="1" showInputMessage="1" showErrorMessage="1" errorTitle="Please enter a different value" error="Please enter a percentage between 0 and 100." sqref="E126:E127">
      <formula1>0</formula1>
      <formula2>1</formula2>
    </dataValidation>
    <dataValidation type="whole" operator="greaterThanOrEqual" allowBlank="1" showInputMessage="1" showErrorMessage="1" errorTitle="Please enter a different value" error="Only whole numbers may be entered._x000a__x000a_Negative numbers may not be entered." sqref="E130 E133">
      <formula1>1</formula1>
    </dataValidation>
  </dataValidations>
  <pageMargins left="0.2" right="0.2" top="0.16"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640732" r:id="rId4" name="Button 5148">
              <controlPr defaultSize="0" print="0" autoFill="0" autoPict="0" macro="[0]!Forklift_charts">
                <anchor moveWithCells="1">
                  <from>
                    <xdr:col>3</xdr:col>
                    <xdr:colOff>885825</xdr:colOff>
                    <xdr:row>113</xdr:row>
                    <xdr:rowOff>180975</xdr:rowOff>
                  </from>
                  <to>
                    <xdr:col>5</xdr:col>
                    <xdr:colOff>333375</xdr:colOff>
                    <xdr:row>113</xdr:row>
                    <xdr:rowOff>438150</xdr:rowOff>
                  </to>
                </anchor>
              </controlPr>
            </control>
          </mc:Choice>
        </mc:AlternateContent>
        <mc:AlternateContent xmlns:mc="http://schemas.openxmlformats.org/markup-compatibility/2006">
          <mc:Choice Requires="x14">
            <control shapeId="13640734" r:id="rId5" name="Button 5150">
              <controlPr defaultSize="0" print="0" autoFill="0" autoPict="0" macro="[0]!Forklift_tables">
                <anchor moveWithCells="1">
                  <from>
                    <xdr:col>6</xdr:col>
                    <xdr:colOff>9525</xdr:colOff>
                    <xdr:row>113</xdr:row>
                    <xdr:rowOff>180975</xdr:rowOff>
                  </from>
                  <to>
                    <xdr:col>7</xdr:col>
                    <xdr:colOff>1343025</xdr:colOff>
                    <xdr:row>113</xdr:row>
                    <xdr:rowOff>438150</xdr:rowOff>
                  </to>
                </anchor>
              </controlPr>
            </control>
          </mc:Choice>
        </mc:AlternateContent>
        <mc:AlternateContent xmlns:mc="http://schemas.openxmlformats.org/markup-compatibility/2006">
          <mc:Choice Requires="x14">
            <control shapeId="13640735" r:id="rId6" name="Button 5151">
              <controlPr defaultSize="0" print="0" autoFill="0" autoPict="0" macro="[0]!Forklift_charts">
                <anchor moveWithCells="1">
                  <from>
                    <xdr:col>3</xdr:col>
                    <xdr:colOff>819150</xdr:colOff>
                    <xdr:row>122</xdr:row>
                    <xdr:rowOff>209550</xdr:rowOff>
                  </from>
                  <to>
                    <xdr:col>5</xdr:col>
                    <xdr:colOff>266700</xdr:colOff>
                    <xdr:row>122</xdr:row>
                    <xdr:rowOff>466725</xdr:rowOff>
                  </to>
                </anchor>
              </controlPr>
            </control>
          </mc:Choice>
        </mc:AlternateContent>
        <mc:AlternateContent xmlns:mc="http://schemas.openxmlformats.org/markup-compatibility/2006">
          <mc:Choice Requires="x14">
            <control shapeId="13640736" r:id="rId7" name="Button 5152">
              <controlPr defaultSize="0" print="0" autoFill="0" autoPict="0" macro="[0]!Forklift_tables">
                <anchor moveWithCells="1">
                  <from>
                    <xdr:col>5</xdr:col>
                    <xdr:colOff>1447800</xdr:colOff>
                    <xdr:row>122</xdr:row>
                    <xdr:rowOff>209550</xdr:rowOff>
                  </from>
                  <to>
                    <xdr:col>7</xdr:col>
                    <xdr:colOff>1276350</xdr:colOff>
                    <xdr:row>122</xdr:row>
                    <xdr:rowOff>466725</xdr:rowOff>
                  </to>
                </anchor>
              </controlPr>
            </control>
          </mc:Choice>
        </mc:AlternateContent>
        <mc:AlternateContent xmlns:mc="http://schemas.openxmlformats.org/markup-compatibility/2006">
          <mc:Choice Requires="x14">
            <control shapeId="13640717" r:id="rId8" name="Button 5133">
              <controlPr defaultSize="0" print="0" autoFill="0" autoPict="0" macro="[0]!CLEAR_forklift">
                <anchor moveWithCells="1">
                  <from>
                    <xdr:col>4</xdr:col>
                    <xdr:colOff>971550</xdr:colOff>
                    <xdr:row>1</xdr:row>
                    <xdr:rowOff>95250</xdr:rowOff>
                  </from>
                  <to>
                    <xdr:col>6</xdr:col>
                    <xdr:colOff>1181100</xdr:colOff>
                    <xdr:row>1</xdr:row>
                    <xdr:rowOff>361950</xdr:rowOff>
                  </to>
                </anchor>
              </controlPr>
            </control>
          </mc:Choice>
        </mc:AlternateContent>
        <mc:AlternateContent xmlns:mc="http://schemas.openxmlformats.org/markup-compatibility/2006">
          <mc:Choice Requires="x14">
            <control shapeId="13640724" r:id="rId9" name="Button 5140">
              <controlPr defaultSize="0" print="0" autoFill="0" autoPict="0" macro="[0]!Forklift_charts">
                <anchor moveWithCells="1">
                  <from>
                    <xdr:col>3</xdr:col>
                    <xdr:colOff>952500</xdr:colOff>
                    <xdr:row>39</xdr:row>
                    <xdr:rowOff>171450</xdr:rowOff>
                  </from>
                  <to>
                    <xdr:col>5</xdr:col>
                    <xdr:colOff>400050</xdr:colOff>
                    <xdr:row>39</xdr:row>
                    <xdr:rowOff>428625</xdr:rowOff>
                  </to>
                </anchor>
              </controlPr>
            </control>
          </mc:Choice>
        </mc:AlternateContent>
        <mc:AlternateContent xmlns:mc="http://schemas.openxmlformats.org/markup-compatibility/2006">
          <mc:Choice Requires="x14">
            <control shapeId="13640730" r:id="rId10" name="Button 5146">
              <controlPr defaultSize="0" print="0" autoFill="0" autoPict="0" macro="[0]!Forklift_tables">
                <anchor moveWithCells="1">
                  <from>
                    <xdr:col>5</xdr:col>
                    <xdr:colOff>1381125</xdr:colOff>
                    <xdr:row>39</xdr:row>
                    <xdr:rowOff>171450</xdr:rowOff>
                  </from>
                  <to>
                    <xdr:col>7</xdr:col>
                    <xdr:colOff>1323975</xdr:colOff>
                    <xdr:row>39</xdr:row>
                    <xdr:rowOff>428625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id="{275E9A8C-E13C-4925-8849-073A3E097202}">
            <xm:f>AND($E$6=RIMS_lists!$C$1, $E$7=Lists!$C$4)</xm:f>
            <x14:dxf>
              <font>
                <color theme="0" tint="-0.499984740745262"/>
              </font>
              <fill>
                <patternFill>
                  <bgColor theme="4" tint="0.59996337778862885"/>
                </patternFill>
              </fill>
            </x14:dxf>
          </x14:cfRule>
          <xm:sqref>B118:J122</xm:sqref>
        </x14:conditionalFormatting>
        <x14:conditionalFormatting xmlns:xm="http://schemas.microsoft.com/office/excel/2006/main">
          <x14:cfRule type="expression" priority="19" id="{C4BF7B82-32B9-4F55-80C0-7E26E0265D96}">
            <xm:f>OR($E$6&lt;&gt;RIMS_lists!$C$1,$E$7&lt;&gt;Lists!$C$4)</xm:f>
            <x14:dxf>
              <font>
                <color theme="0" tint="-0.499984740745262"/>
              </font>
              <fill>
                <patternFill>
                  <bgColor theme="4" tint="0.59996337778862885"/>
                </patternFill>
              </fill>
            </x14:dxf>
          </x14:cfRule>
          <xm:sqref>B124:J135 B138:J154 B136:G136 B137:F137 J136:J137</xm:sqref>
        </x14:conditionalFormatting>
        <x14:conditionalFormatting xmlns:xm="http://schemas.microsoft.com/office/excel/2006/main">
          <x14:cfRule type="expression" priority="67" id="{21E11951-EE4C-4E69-8751-FB2793B4CAC3}">
            <xm:f>$E$77=Lists!$E$9</xm:f>
            <x14:dxf>
              <fill>
                <patternFill>
                  <bgColor theme="0"/>
                </patternFill>
              </fill>
            </x14:dxf>
          </x14:cfRule>
          <xm:sqref>E83:E88</xm:sqref>
        </x14:conditionalFormatting>
        <x14:conditionalFormatting xmlns:xm="http://schemas.microsoft.com/office/excel/2006/main">
          <x14:cfRule type="expression" priority="641" id="{2BA555A1-A52B-4237-83FB-0E171FD7A69C}">
            <xm:f>AND($E$6=RIMS_lists!$C$1,$E$17=Lists!$B$9)</xm:f>
            <x14:dxf>
              <numFmt numFmtId="13" formatCode="0%"/>
            </x14:dxf>
          </x14:cfRule>
          <xm:sqref>E25:E30 E34:E39</xm:sqref>
        </x14:conditionalFormatting>
        <x14:conditionalFormatting xmlns:xm="http://schemas.microsoft.com/office/excel/2006/main">
          <x14:cfRule type="expression" priority="643" id="{11E569D1-321A-42CB-AF05-ECD5703BA577}">
            <xm:f>$E$20=Lists!$E$4</xm:f>
            <x14:dxf>
              <numFmt numFmtId="13" formatCode="0%"/>
            </x14:dxf>
          </x14:cfRule>
          <xm:sqref>F25:F39</xm:sqref>
        </x14:conditionalFormatting>
        <x14:conditionalFormatting xmlns:xm="http://schemas.microsoft.com/office/excel/2006/main">
          <x14:cfRule type="expression" priority="653" id="{28B19C75-3E02-4B9C-BAC6-5BBEC3E281F0}">
            <xm:f>AND(E77=Lists!$E$8,OR(E79="",E80=""))</xm:f>
            <x14:dxf>
              <font>
                <b/>
                <i val="0"/>
              </font>
              <fill>
                <patternFill>
                  <bgColor rgb="FFFFFF66"/>
                </patternFill>
              </fill>
            </x14:dxf>
          </x14:cfRule>
          <xm:sqref>B78</xm:sqref>
        </x14:conditionalFormatting>
        <x14:conditionalFormatting xmlns:xm="http://schemas.microsoft.com/office/excel/2006/main">
          <x14:cfRule type="expression" priority="654" id="{2FB83531-DAF8-4E45-BA21-92B4B100CB74}">
            <xm:f>AND(E77=Lists!$E$9,OR(E83:E88=""))</xm:f>
            <x14:dxf>
              <font>
                <b/>
                <i val="0"/>
              </font>
              <fill>
                <patternFill>
                  <bgColor rgb="FFFFFF66"/>
                </patternFill>
              </fill>
            </x14:dxf>
          </x14:cfRule>
          <xm:sqref>B81</xm:sqref>
        </x14:conditionalFormatting>
        <x14:conditionalFormatting xmlns:xm="http://schemas.microsoft.com/office/excel/2006/main">
          <x14:cfRule type="expression" priority="655" id="{21E11951-EE4C-4E69-8751-FB2793B4CAC3}">
            <xm:f>$E$77=Lists!$E$8</xm:f>
            <x14:dxf>
              <fill>
                <patternFill>
                  <bgColor theme="0"/>
                </patternFill>
              </fill>
            </x14:dxf>
          </x14:cfRule>
          <xm:sqref>E79:E80</xm:sqref>
        </x14:conditionalFormatting>
        <x14:conditionalFormatting xmlns:xm="http://schemas.microsoft.com/office/excel/2006/main">
          <x14:cfRule type="expression" priority="663" id="{F640AC2C-8407-4452-BC36-0F1770B250DA}">
            <xm:f>AND(OR(E75="", E75&gt;0), E77=Lists!$E$7)</xm:f>
            <x14:dxf>
              <fill>
                <patternFill>
                  <bgColor rgb="FFFFFF66"/>
                </patternFill>
              </fill>
            </x14:dxf>
          </x14:cfRule>
          <xm:sqref>B77</xm:sqref>
        </x14:conditionalFormatting>
        <x14:conditionalFormatting xmlns:xm="http://schemas.microsoft.com/office/excel/2006/main">
          <x14:cfRule type="expression" priority="64" id="{CBE22BD8-555B-4D2D-BD54-A85FC977AB7D}">
            <xm:f>OR(AND($E$6=RIMS_lists!$C$1,$E$17=Lists!$B$9, $E25&gt;1),AND($E$17&lt;&gt;Lists!$B$9, $E25&lt;1,$E25&lt;&gt;0, $E25&lt;&gt;""))</xm:f>
            <x14:dxf>
              <font>
                <color theme="5"/>
              </font>
              <fill>
                <patternFill>
                  <bgColor rgb="FFFFFF99"/>
                </patternFill>
              </fill>
            </x14:dxf>
          </x14:cfRule>
          <xm:sqref>E25:E30 E34:E39</xm:sqref>
        </x14:conditionalFormatting>
        <x14:conditionalFormatting xmlns:xm="http://schemas.microsoft.com/office/excel/2006/main">
          <x14:cfRule type="expression" priority="63" id="{15553278-F91A-4E03-A719-F259DC53E0B7}">
            <xm:f>AND($E$20=Lists!$E$5,F25&gt;1)</xm:f>
            <x14:dxf>
              <font>
                <color theme="5"/>
              </font>
              <fill>
                <patternFill>
                  <bgColor rgb="FFFFFF99"/>
                </patternFill>
              </fill>
            </x14:dxf>
          </x14:cfRule>
          <xm:sqref>F34:F39 F25:F30</xm:sqref>
        </x14:conditionalFormatting>
        <x14:conditionalFormatting xmlns:xm="http://schemas.microsoft.com/office/excel/2006/main">
          <x14:cfRule type="expression" priority="666" stopIfTrue="1" id="{40A8A2B0-9D6A-42B6-A351-1879C2BAC71D}">
            <xm:f>$E$200=Lists!$F$3</xm:f>
            <x14:dxf>
              <fill>
                <patternFill>
                  <bgColor theme="0"/>
                </patternFill>
              </fill>
            </x14:dxf>
          </x14:cfRule>
          <xm:sqref>E204:F205</xm:sqref>
        </x14:conditionalFormatting>
        <x14:conditionalFormatting xmlns:xm="http://schemas.microsoft.com/office/excel/2006/main">
          <x14:cfRule type="expression" priority="667" stopIfTrue="1" id="{4DAF7B6E-C635-4CDF-8951-D0F51547201C}">
            <xm:f>$E$200&lt;&gt;Lists!$F$2</xm:f>
            <x14:dxf>
              <font>
                <b val="0"/>
                <i val="0"/>
                <color auto="1"/>
              </font>
              <fill>
                <patternFill>
                  <bgColor theme="4" tint="0.39994506668294322"/>
                </patternFill>
              </fill>
            </x14:dxf>
          </x14:cfRule>
          <xm:sqref>G202:H203</xm:sqref>
        </x14:conditionalFormatting>
        <x14:conditionalFormatting xmlns:xm="http://schemas.microsoft.com/office/excel/2006/main">
          <x14:cfRule type="expression" priority="668" stopIfTrue="1" id="{C0353D52-78D1-41BF-90B8-F627959A7E0A}">
            <xm:f>$E$200&lt;&gt;Lists!$F$2</xm:f>
            <x14:dxf>
              <font>
                <b val="0"/>
                <i val="0"/>
              </font>
              <fill>
                <patternFill>
                  <bgColor theme="3" tint="0.79998168889431442"/>
                </patternFill>
              </fill>
            </x14:dxf>
          </x14:cfRule>
          <xm:sqref>G204:H204</xm:sqref>
        </x14:conditionalFormatting>
        <x14:conditionalFormatting xmlns:xm="http://schemas.microsoft.com/office/excel/2006/main">
          <x14:cfRule type="expression" priority="669" stopIfTrue="1" id="{F9EE9D89-D0D7-45D2-BCDD-380413FF7EED}">
            <xm:f>$E$200&lt;&gt;Lists!$F$2</xm:f>
            <x14:dxf>
              <font>
                <b val="0"/>
                <i val="0"/>
              </font>
              <fill>
                <patternFill>
                  <bgColor theme="7" tint="0.79998168889431442"/>
                </patternFill>
              </fill>
            </x14:dxf>
          </x14:cfRule>
          <xm:sqref>G205:H205</xm:sqref>
        </x14:conditionalFormatting>
        <x14:conditionalFormatting xmlns:xm="http://schemas.microsoft.com/office/excel/2006/main">
          <x14:cfRule type="expression" priority="670" stopIfTrue="1" id="{9B18E914-16B0-4BCB-B197-8C1CC4585295}">
            <xm:f>$E$200=Lists!$F$3</xm:f>
            <x14:dxf>
              <font>
                <b/>
                <i val="0"/>
                <color theme="0"/>
              </font>
              <fill>
                <patternFill>
                  <bgColor theme="3"/>
                </patternFill>
              </fill>
            </x14:dxf>
          </x14:cfRule>
          <xm:sqref>E202:F202</xm:sqref>
        </x14:conditionalFormatting>
        <x14:conditionalFormatting xmlns:xm="http://schemas.microsoft.com/office/excel/2006/main">
          <x14:cfRule type="expression" priority="671" stopIfTrue="1" id="{89D4F2E7-6679-4574-86CE-3AD2504D25E2}">
            <xm:f>$E$200=Lists!$F$3</xm:f>
            <x14:dxf>
              <font>
                <b/>
                <i/>
                <color theme="0"/>
              </font>
              <fill>
                <patternFill>
                  <bgColor theme="3"/>
                </patternFill>
              </fill>
            </x14:dxf>
          </x14:cfRule>
          <xm:sqref>E203:F203</xm:sqref>
        </x14:conditionalFormatting>
        <x14:conditionalFormatting xmlns:xm="http://schemas.microsoft.com/office/excel/2006/main">
          <x14:cfRule type="expression" priority="672" stopIfTrue="1" id="{AEEE3A2D-10A2-43B4-983F-6DA2DB5E68E2}">
            <xm:f>$E$200=Lists!$F$2</xm:f>
            <x14:dxf>
              <font>
                <b/>
                <i val="0"/>
              </font>
              <fill>
                <patternFill>
                  <bgColor rgb="FFFFFF66"/>
                </patternFill>
              </fill>
            </x14:dxf>
          </x14:cfRule>
          <xm:sqref>B200</xm:sqref>
        </x14:conditionalFormatting>
        <x14:conditionalFormatting xmlns:xm="http://schemas.microsoft.com/office/excel/2006/main">
          <x14:cfRule type="expression" priority="673" stopIfTrue="1" id="{C0D08FC0-D651-42C6-A180-D128406253F2}">
            <xm:f>$E$200=Lists!$F$3</xm:f>
            <x14:dxf>
              <font>
                <b/>
                <i val="0"/>
              </font>
              <fill>
                <patternFill>
                  <bgColor rgb="FFFFFF66"/>
                </patternFill>
              </fill>
            </x14:dxf>
          </x14:cfRule>
          <xm:sqref>B202</xm:sqref>
        </x14:conditionalFormatting>
        <x14:conditionalFormatting xmlns:xm="http://schemas.microsoft.com/office/excel/2006/main">
          <x14:cfRule type="expression" priority="17" id="{84310054-8834-4ED7-9554-019498DE2E2D}">
            <xm:f>AND($E$6&lt;&gt;Please,$E$6&lt;&gt;RIMS_lists!$C$1)</xm:f>
            <x14:dxf>
              <font>
                <color theme="0" tint="-0.499984740745262"/>
              </font>
              <fill>
                <patternFill>
                  <bgColor theme="4" tint="0.59996337778862885"/>
                </patternFill>
              </fill>
            </x14:dxf>
          </x14:cfRule>
          <xm:sqref>B7:E7 B16:J18 G7:J7</xm:sqref>
        </x14:conditionalFormatting>
      </x14:conditionalFormattings>
    </ext>
    <ext xmlns:x14="http://schemas.microsoft.com/office/spreadsheetml/2009/9/main" uri="{CCE6A557-97BC-4b89-ADB6-D9C93CAAB3DF}">
      <x14:dataValidations xmlns:xm="http://schemas.microsoft.com/office/excel/2006/main" count="4">
        <x14:dataValidation type="decimal" allowBlank="1" showInputMessage="1" showErrorMessage="1" errorTitle="Please enter a different value" error="Exports in Units: Regional Exports may not exceed Units Manufactured._x000a__x000a_Exports as Percentage:_x000a_Percent exported may not exceed 100%. Enter a decimal between 0 and 1 (inclusive)._x000a__x000a_To change type, return to Step 3b._x000a__x000a_">
          <x14:formula1>
            <xm:f>0</xm:f>
          </x14:formula1>
          <x14:formula2>
            <xm:f>IF($E$20=Lists!$E$4, 1, H25)</xm:f>
          </x14:formula2>
          <xm:sqref>F34:F39 F25:F30</xm:sqref>
        </x14:dataValidation>
        <x14:dataValidation type="list" allowBlank="1" showInputMessage="1" showErrorMessage="1">
          <x14:formula1>
            <xm:f>IF(OR(E6=Please, E7=Please), Please, IF(E6=RIMS_lists!$C$1,USA_forklifts,Reg_forklifts))</xm:f>
          </x14:formula1>
          <xm:sqref>E17</xm:sqref>
        </x14:dataValidation>
        <x14:dataValidation type="list" allowBlank="1" showInputMessage="1" showErrorMessage="1">
          <x14:formula1>
            <xm:f>IF(State=Please, Please, IF(State=RIMS_lists!$C$1, USA_gross, Reg_gross))</xm:f>
          </x14:formula1>
          <xm:sqref>E7</xm:sqref>
        </x14:dataValidation>
        <x14:dataValidation type="decimal" allowBlank="1" showInputMessage="1" showErrorMessage="1" errorTitle="Please enter a different value" error="If entering a %, please enter a decimal between 0 and 1 (inclusive)._x000a_To enter values in Units, return to Step 3a and choose the 'Units' option._x000a_Non-numeric or negative values, or values more than 100,000, are not allowed._x000a__x000a_">
          <x14:formula1>
            <xm:f>0</xm:f>
          </x14:formula1>
          <x14:formula2>
            <xm:f>IF(AND($E$6=RIMS_lists!$C$1,$E$17=Lists!$B$9), 1, 1000000)</xm:f>
          </x14:formula2>
          <xm:sqref>E25:E30 E34:E39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99"/>
    <pageSetUpPr fitToPage="1"/>
  </sheetPr>
  <dimension ref="A1:V287"/>
  <sheetViews>
    <sheetView zoomScale="90" zoomScaleNormal="90" zoomScalePageLayoutView="60" workbookViewId="0">
      <selection activeCell="B1" sqref="B1:L1"/>
    </sheetView>
  </sheetViews>
  <sheetFormatPr defaultColWidth="9.140625" defaultRowHeight="15.75" x14ac:dyDescent="0.25"/>
  <cols>
    <col min="1" max="1" width="3" style="1372" customWidth="1"/>
    <col min="2" max="2" width="21.42578125" style="1373" customWidth="1"/>
    <col min="3" max="3" width="11" style="1373" customWidth="1"/>
    <col min="4" max="4" width="9.140625" style="1373"/>
    <col min="5" max="5" width="19.28515625" style="1373" customWidth="1"/>
    <col min="6" max="6" width="20.5703125" style="1373" customWidth="1"/>
    <col min="7" max="7" width="24.28515625" style="1373" customWidth="1"/>
    <col min="8" max="8" width="19.140625" style="1373" customWidth="1"/>
    <col min="9" max="9" width="18" style="1373" customWidth="1"/>
    <col min="10" max="10" width="15.85546875" style="1373" customWidth="1"/>
    <col min="11" max="11" width="14.7109375" style="1373" customWidth="1"/>
    <col min="12" max="12" width="16.7109375" style="1373" customWidth="1"/>
    <col min="13" max="22" width="9.140625" style="1372"/>
    <col min="23" max="16384" width="9.140625" style="1373"/>
  </cols>
  <sheetData>
    <row r="1" spans="1:22" ht="32.25" customHeight="1" x14ac:dyDescent="0.25">
      <c r="B1" s="2291" t="s">
        <v>1627</v>
      </c>
      <c r="C1" s="2292"/>
      <c r="D1" s="2292"/>
      <c r="E1" s="2292"/>
      <c r="F1" s="2292"/>
      <c r="G1" s="2292"/>
      <c r="H1" s="2292"/>
      <c r="I1" s="2292"/>
      <c r="J1" s="2292"/>
      <c r="K1" s="2292"/>
      <c r="L1" s="2293"/>
    </row>
    <row r="2" spans="1:22" ht="45.75" customHeight="1" x14ac:dyDescent="0.25">
      <c r="B2" s="1374"/>
      <c r="C2" s="1375"/>
      <c r="D2" s="1375"/>
      <c r="E2" s="1375"/>
      <c r="F2" s="1375"/>
      <c r="G2" s="1375"/>
      <c r="H2" s="1375"/>
      <c r="I2" s="1375"/>
      <c r="J2" s="1375"/>
      <c r="K2" s="1375"/>
      <c r="L2" s="1376"/>
    </row>
    <row r="3" spans="1:22" ht="21" x14ac:dyDescent="0.35">
      <c r="B3" s="2297" t="str">
        <f>'Forklift RESULTS-Tables'!B3:O3</f>
        <v>Key Scenario Assumptions</v>
      </c>
      <c r="C3" s="2298"/>
      <c r="D3" s="2298"/>
      <c r="E3" s="2298"/>
      <c r="F3" s="2298"/>
      <c r="G3" s="2298"/>
      <c r="H3" s="2298"/>
      <c r="I3" s="2298"/>
      <c r="J3" s="2298"/>
      <c r="K3" s="2298"/>
      <c r="L3" s="2299"/>
    </row>
    <row r="4" spans="1:22" s="1381" customFormat="1" ht="46.9" customHeight="1" x14ac:dyDescent="0.25">
      <c r="A4" s="1377"/>
      <c r="B4" s="2300" t="s">
        <v>957</v>
      </c>
      <c r="C4" s="2300"/>
      <c r="D4" s="2300"/>
      <c r="E4" s="2300"/>
      <c r="F4" s="1378" t="str">
        <f>'Forklift RESULTS-Tables'!F4</f>
        <v>Value (dollar values are in 2010$)</v>
      </c>
      <c r="G4" s="1379" t="s">
        <v>433</v>
      </c>
      <c r="H4" s="1380" t="str">
        <f>'Forklift RESULTS-Tables'!D42</f>
        <v>Class I/II Annual Units Mfg.</v>
      </c>
      <c r="I4" s="1380" t="str">
        <f>'Forklift RESULTS-Tables'!F42</f>
        <v>Class III Annual Units Mfg.</v>
      </c>
      <c r="J4" s="1380" t="str">
        <f>'Forklift RESULTS-Tables'!D50</f>
        <v>Class I/II Annual Installations</v>
      </c>
      <c r="K4" s="1380" t="str">
        <f>'Forklift RESULTS-Tables'!F50</f>
        <v>Class III Annual Installations</v>
      </c>
      <c r="L4" s="1380" t="str">
        <f>'Forklift RESULTS-Tables'!D58</f>
        <v>Annual Forklift Fueling Site Installations</v>
      </c>
      <c r="M4" s="1377"/>
      <c r="N4" s="1377"/>
      <c r="O4" s="1377"/>
      <c r="P4" s="1377"/>
      <c r="Q4" s="1377"/>
      <c r="R4" s="1377"/>
      <c r="S4" s="1377"/>
      <c r="T4" s="1377"/>
      <c r="U4" s="1377"/>
      <c r="V4" s="1377"/>
    </row>
    <row r="5" spans="1:22" x14ac:dyDescent="0.25">
      <c r="B5" s="1382" t="str">
        <f>'Forklift RESULTS-Tables'!B5</f>
        <v>Region</v>
      </c>
      <c r="C5" s="1383"/>
      <c r="D5" s="1383"/>
      <c r="E5" s="1384"/>
      <c r="F5" s="1385" t="str">
        <f>'Forklift RESULTS-Tables'!F5</f>
        <v>&lt;Please select&gt;</v>
      </c>
      <c r="G5" s="1384">
        <f>'Forklift RESULTS-Tables'!G5</f>
        <v>2015</v>
      </c>
      <c r="H5" s="1386">
        <f>'Forklift RESULTS-Tables'!H5</f>
        <v>0</v>
      </c>
      <c r="I5" s="1386">
        <f>'Forklift RESULTS-Tables'!I5</f>
        <v>0</v>
      </c>
      <c r="J5" s="1386">
        <f>'Forklift RESULTS-Tables'!J5</f>
        <v>0</v>
      </c>
      <c r="K5" s="1386">
        <f>'Forklift RESULTS-Tables'!K5</f>
        <v>0</v>
      </c>
      <c r="L5" s="1386">
        <f>'Forklift RESULTS-Tables'!L5</f>
        <v>0</v>
      </c>
    </row>
    <row r="6" spans="1:22" x14ac:dyDescent="0.25">
      <c r="B6" s="1382" t="str">
        <f>'Forklift RESULTS-Tables'!B6</f>
        <v>Analysis Type</v>
      </c>
      <c r="C6" s="1383"/>
      <c r="D6" s="1383"/>
      <c r="E6" s="1384"/>
      <c r="F6" s="1385" t="str">
        <f>'Forklift RESULTS-Tables'!F6</f>
        <v>Gross</v>
      </c>
      <c r="G6" s="1384">
        <f>'Forklift RESULTS-Tables'!G6</f>
        <v>2016</v>
      </c>
      <c r="H6" s="1387">
        <f>'Forklift RESULTS-Tables'!H6</f>
        <v>0</v>
      </c>
      <c r="I6" s="1387">
        <f>'Forklift RESULTS-Tables'!I6</f>
        <v>0</v>
      </c>
      <c r="J6" s="1387">
        <f>'Forklift RESULTS-Tables'!J6</f>
        <v>0</v>
      </c>
      <c r="K6" s="1387">
        <f>'Forklift RESULTS-Tables'!K6</f>
        <v>0</v>
      </c>
      <c r="L6" s="1387">
        <f>'Forklift RESULTS-Tables'!L6</f>
        <v>0</v>
      </c>
    </row>
    <row r="7" spans="1:22" x14ac:dyDescent="0.25">
      <c r="B7" s="1382" t="str">
        <f>'Forklift RESULTS-Tables'!B7</f>
        <v>Class I/II: Forklift fuel cell unit size (average kW/unit)</v>
      </c>
      <c r="C7" s="1383"/>
      <c r="D7" s="1383"/>
      <c r="E7" s="1384"/>
      <c r="F7" s="1388">
        <f>'Forklift RESULTS-Tables'!F7</f>
        <v>10</v>
      </c>
      <c r="G7" s="1384">
        <f>'Forklift RESULTS-Tables'!G7</f>
        <v>2017</v>
      </c>
      <c r="H7" s="1387">
        <f>'Forklift RESULTS-Tables'!H7</f>
        <v>0</v>
      </c>
      <c r="I7" s="1387">
        <f>'Forklift RESULTS-Tables'!I7</f>
        <v>0</v>
      </c>
      <c r="J7" s="1387">
        <f>'Forklift RESULTS-Tables'!J7</f>
        <v>0</v>
      </c>
      <c r="K7" s="1387">
        <f>'Forklift RESULTS-Tables'!K7</f>
        <v>0</v>
      </c>
      <c r="L7" s="1387">
        <f>'Forklift RESULTS-Tables'!L7</f>
        <v>0</v>
      </c>
    </row>
    <row r="8" spans="1:22" x14ac:dyDescent="0.25">
      <c r="B8" s="1382" t="str">
        <f>'Forklift RESULTS-Tables'!B8</f>
        <v>Class III: Forklift fuel cell unit size (average kW/unit)</v>
      </c>
      <c r="C8" s="1383"/>
      <c r="D8" s="1383"/>
      <c r="E8" s="1384"/>
      <c r="F8" s="1388">
        <f>'Forklift RESULTS-Tables'!F8</f>
        <v>2</v>
      </c>
      <c r="G8" s="1384">
        <f>'Forklift RESULTS-Tables'!G8</f>
        <v>2018</v>
      </c>
      <c r="H8" s="1387">
        <f>'Forklift RESULTS-Tables'!H8</f>
        <v>0</v>
      </c>
      <c r="I8" s="1387">
        <f>'Forklift RESULTS-Tables'!I8</f>
        <v>0</v>
      </c>
      <c r="J8" s="1387">
        <f>'Forklift RESULTS-Tables'!J8</f>
        <v>0</v>
      </c>
      <c r="K8" s="1387">
        <f>'Forklift RESULTS-Tables'!K8</f>
        <v>0</v>
      </c>
      <c r="L8" s="1387">
        <f>'Forklift RESULTS-Tables'!L8</f>
        <v>0</v>
      </c>
    </row>
    <row r="9" spans="1:22" x14ac:dyDescent="0.25">
      <c r="B9" s="1382" t="str">
        <f>'Forklift RESULTS-Tables'!B9</f>
        <v>Total H2 fueling infr. installation expense ($/site)</v>
      </c>
      <c r="C9" s="1383"/>
      <c r="D9" s="1383"/>
      <c r="E9" s="1384"/>
      <c r="F9" s="1389">
        <f>'Forklift RESULTS-Tables'!F9</f>
        <v>1400000</v>
      </c>
      <c r="G9" s="1384">
        <f>'Forklift RESULTS-Tables'!G9</f>
        <v>2019</v>
      </c>
      <c r="H9" s="1387">
        <f>'Forklift RESULTS-Tables'!H9</f>
        <v>0</v>
      </c>
      <c r="I9" s="1387">
        <f>'Forklift RESULTS-Tables'!I9</f>
        <v>0</v>
      </c>
      <c r="J9" s="1387">
        <f>'Forklift RESULTS-Tables'!J9</f>
        <v>0</v>
      </c>
      <c r="K9" s="1387">
        <f>'Forklift RESULTS-Tables'!K9</f>
        <v>0</v>
      </c>
      <c r="L9" s="1387">
        <f>'Forklift RESULTS-Tables'!L9</f>
        <v>0</v>
      </c>
    </row>
    <row r="10" spans="1:22" x14ac:dyDescent="0.25">
      <c r="B10" s="1382" t="str">
        <f>'Forklift RESULTS-Tables'!B10</f>
        <v>Class I/II: Total annual operating hours (hours/unit/year)</v>
      </c>
      <c r="C10" s="1383"/>
      <c r="D10" s="1383"/>
      <c r="E10" s="1384"/>
      <c r="F10" s="1387">
        <f>'Forklift RESULTS-Tables'!F10</f>
        <v>2496</v>
      </c>
      <c r="G10" s="1390">
        <f>'Forklift RESULTS-Tables'!G10</f>
        <v>2020</v>
      </c>
      <c r="H10" s="1391">
        <f>'Forklift RESULTS-Tables'!H10</f>
        <v>0</v>
      </c>
      <c r="I10" s="1391">
        <f>'Forklift RESULTS-Tables'!I10</f>
        <v>0</v>
      </c>
      <c r="J10" s="1391">
        <f>'Forklift RESULTS-Tables'!J10</f>
        <v>0</v>
      </c>
      <c r="K10" s="1391">
        <f>'Forklift RESULTS-Tables'!K10</f>
        <v>0</v>
      </c>
      <c r="L10" s="1391">
        <f>'Forklift RESULTS-Tables'!L10</f>
        <v>0</v>
      </c>
    </row>
    <row r="11" spans="1:22" x14ac:dyDescent="0.25">
      <c r="B11" s="1382" t="str">
        <f>'Forklift RESULTS-Tables'!B11</f>
        <v>Class III: Total annual operating hours (hours/unit/year)</v>
      </c>
      <c r="C11" s="1383"/>
      <c r="D11" s="1383"/>
      <c r="E11" s="1384"/>
      <c r="F11" s="1387">
        <f>'Forklift RESULTS-Tables'!F11</f>
        <v>2496</v>
      </c>
      <c r="G11" s="2304" t="s">
        <v>451</v>
      </c>
      <c r="H11" s="2305"/>
      <c r="I11" s="2305"/>
      <c r="J11" s="2305"/>
      <c r="K11" s="2305"/>
      <c r="L11" s="2306"/>
    </row>
    <row r="12" spans="1:22" ht="15.75" customHeight="1" x14ac:dyDescent="0.25">
      <c r="B12" s="1382" t="str">
        <f>'Forklift RESULTS-Tables'!B12</f>
        <v>Class I/II: Annual H2 expense ($/FC unit/year)</v>
      </c>
      <c r="C12" s="1383"/>
      <c r="D12" s="1383"/>
      <c r="E12" s="1384"/>
      <c r="F12" s="1389">
        <f>'Forklift RESULTS-Tables'!F12</f>
        <v>3430</v>
      </c>
      <c r="G12" s="2282" t="s">
        <v>2161</v>
      </c>
      <c r="H12" s="2283"/>
      <c r="I12" s="2283"/>
      <c r="J12" s="2283"/>
      <c r="K12" s="2283"/>
      <c r="L12" s="2284"/>
    </row>
    <row r="13" spans="1:22" ht="15.75" customHeight="1" x14ac:dyDescent="0.25">
      <c r="B13" s="1382" t="str">
        <f>'Forklift RESULTS-Tables'!B13</f>
        <v>Class III: Annual H2 expense ($/FC unit/year)</v>
      </c>
      <c r="C13" s="1383"/>
      <c r="D13" s="1383"/>
      <c r="E13" s="1384"/>
      <c r="F13" s="1389">
        <f>'Forklift RESULTS-Tables'!F13</f>
        <v>320</v>
      </c>
      <c r="G13" s="2285"/>
      <c r="H13" s="2286"/>
      <c r="I13" s="2286"/>
      <c r="J13" s="2286"/>
      <c r="K13" s="2286"/>
      <c r="L13" s="2287"/>
    </row>
    <row r="14" spans="1:22" x14ac:dyDescent="0.25">
      <c r="B14" s="1382" t="str">
        <f>'Forklift RESULTS-Tables'!B14</f>
        <v>Class I/II: Fuel cell maintenance expense ($/FC unit/year)</v>
      </c>
      <c r="C14" s="1383"/>
      <c r="D14" s="1383"/>
      <c r="E14" s="1384"/>
      <c r="F14" s="1389">
        <f>'Forklift RESULTS-Tables'!F14</f>
        <v>1600</v>
      </c>
      <c r="G14" s="2285"/>
      <c r="H14" s="2286"/>
      <c r="I14" s="2286"/>
      <c r="J14" s="2286"/>
      <c r="K14" s="2286"/>
      <c r="L14" s="2287"/>
    </row>
    <row r="15" spans="1:22" x14ac:dyDescent="0.25">
      <c r="B15" s="1382" t="str">
        <f>'Forklift RESULTS-Tables'!B15</f>
        <v>Class III: Fuel cell maintenance expense ($/FC unit/year)</v>
      </c>
      <c r="C15" s="1383"/>
      <c r="D15" s="1383"/>
      <c r="E15" s="1384"/>
      <c r="F15" s="1389">
        <f>'Forklift RESULTS-Tables'!F15</f>
        <v>1200</v>
      </c>
      <c r="G15" s="2285"/>
      <c r="H15" s="2286"/>
      <c r="I15" s="2286"/>
      <c r="J15" s="2286"/>
      <c r="K15" s="2286"/>
      <c r="L15" s="2287"/>
    </row>
    <row r="16" spans="1:22" x14ac:dyDescent="0.25">
      <c r="B16" s="1382" t="str">
        <f>'Forklift RESULTS-Tables'!B16</f>
        <v>Hydrogen fueling infrastructure maintenance ($/site/year)</v>
      </c>
      <c r="C16" s="1383"/>
      <c r="D16" s="1383"/>
      <c r="E16" s="1384"/>
      <c r="F16" s="1389">
        <f>'Forklift RESULTS-Tables'!F16</f>
        <v>27000</v>
      </c>
      <c r="G16" s="2285"/>
      <c r="H16" s="2286"/>
      <c r="I16" s="2286"/>
      <c r="J16" s="2286"/>
      <c r="K16" s="2286"/>
      <c r="L16" s="2287"/>
    </row>
    <row r="17" spans="2:12" ht="33.75" customHeight="1" x14ac:dyDescent="0.25">
      <c r="B17" s="2301" t="str">
        <f>'Forklift RESULTS-Tables'!B17</f>
        <v>Please review Step 10 of the 'Forklift INPUTS' sheet for assumptions regarding batteries for forklifts which impact the net analysis</v>
      </c>
      <c r="C17" s="2302"/>
      <c r="D17" s="2302"/>
      <c r="E17" s="2302"/>
      <c r="F17" s="2303"/>
      <c r="G17" s="2288"/>
      <c r="H17" s="2289"/>
      <c r="I17" s="2289"/>
      <c r="J17" s="2289"/>
      <c r="K17" s="2289"/>
      <c r="L17" s="2290"/>
    </row>
    <row r="18" spans="2:12" s="1372" customFormat="1" ht="24.75" customHeight="1" x14ac:dyDescent="0.25"/>
    <row r="19" spans="2:12" s="1372" customFormat="1" ht="21" x14ac:dyDescent="0.35">
      <c r="B19" s="2294" t="s">
        <v>1595</v>
      </c>
      <c r="C19" s="2295"/>
      <c r="D19" s="2295"/>
      <c r="E19" s="2295"/>
      <c r="F19" s="2295"/>
      <c r="G19" s="2295"/>
      <c r="H19" s="2295"/>
      <c r="I19" s="2295"/>
      <c r="J19" s="2295"/>
      <c r="K19" s="2295"/>
      <c r="L19" s="2296"/>
    </row>
    <row r="20" spans="2:12" s="1372" customFormat="1" x14ac:dyDescent="0.25">
      <c r="B20" s="1392" t="s">
        <v>1837</v>
      </c>
      <c r="C20" s="1393"/>
      <c r="D20" s="1393"/>
      <c r="E20" s="1393"/>
      <c r="F20" s="1394" t="s">
        <v>1840</v>
      </c>
      <c r="G20" s="1394" t="s">
        <v>1841</v>
      </c>
      <c r="H20" s="1392" t="s">
        <v>451</v>
      </c>
      <c r="I20" s="1393"/>
      <c r="J20" s="1393"/>
      <c r="K20" s="1393"/>
      <c r="L20" s="1395"/>
    </row>
    <row r="21" spans="2:12" s="1372" customFormat="1" x14ac:dyDescent="0.25">
      <c r="B21" s="1382" t="str">
        <f>'Forklift RESULTS-Tables'!B21</f>
        <v>Retail Price and Manufacturing Cost (Forklift Fuel Cells)</v>
      </c>
      <c r="C21" s="1383"/>
      <c r="D21" s="1383"/>
      <c r="E21" s="1383"/>
      <c r="F21" s="1396" t="str">
        <f>"Rows "&amp;ROW(B33)&amp;":"&amp;ROW(B55)</f>
        <v>Rows 33:55</v>
      </c>
      <c r="G21" s="1388" t="s">
        <v>1848</v>
      </c>
      <c r="H21" s="1382"/>
      <c r="I21" s="1383"/>
      <c r="J21" s="1383"/>
      <c r="K21" s="1383"/>
      <c r="L21" s="1384"/>
    </row>
    <row r="22" spans="2:12" s="1372" customFormat="1" x14ac:dyDescent="0.25">
      <c r="B22" s="1382" t="str">
        <f>'Forklift RESULTS-Tables'!B22</f>
        <v>Units Manufactured in Region (Forklift Fuel Cells)</v>
      </c>
      <c r="C22" s="1383"/>
      <c r="D22" s="1383"/>
      <c r="E22" s="1383"/>
      <c r="F22" s="1388" t="str">
        <f>"Rows "&amp;ROW(B33)&amp;":"&amp;ROW(B55)</f>
        <v>Rows 33:55</v>
      </c>
      <c r="G22" s="1388" t="s">
        <v>1848</v>
      </c>
      <c r="H22" s="1382"/>
      <c r="I22" s="1383"/>
      <c r="J22" s="1383"/>
      <c r="K22" s="1383"/>
      <c r="L22" s="1384"/>
    </row>
    <row r="23" spans="2:12" s="1372" customFormat="1" x14ac:dyDescent="0.25">
      <c r="B23" s="1382" t="str">
        <f>'Forklift RESULTS-Tables'!B23</f>
        <v>Units Installed in Region (Forklift Fuel Cells)</v>
      </c>
      <c r="C23" s="1383"/>
      <c r="D23" s="1383"/>
      <c r="E23" s="1383"/>
      <c r="F23" s="1388" t="str">
        <f>"Rows "&amp;ROW(B57)&amp;":"&amp;ROW(B79)</f>
        <v>Rows 57:79</v>
      </c>
      <c r="G23" s="1388" t="s">
        <v>1848</v>
      </c>
      <c r="H23" s="1382"/>
      <c r="I23" s="1383"/>
      <c r="J23" s="1383"/>
      <c r="K23" s="1383"/>
      <c r="L23" s="1384"/>
    </row>
    <row r="24" spans="2:12" s="1372" customFormat="1" x14ac:dyDescent="0.25">
      <c r="B24" s="1382" t="str">
        <f>'Forklift RESULTS-Tables'!B24</f>
        <v>Forklift Fuel Cell Hydrogen Fueling Site Installations in Region</v>
      </c>
      <c r="C24" s="1383"/>
      <c r="D24" s="1383"/>
      <c r="E24" s="1383"/>
      <c r="F24" s="1388" t="str">
        <f>"Rows "&amp;ROW(B57)&amp;":"&amp;ROW(B79)</f>
        <v>Rows 57:79</v>
      </c>
      <c r="G24" s="1388" t="s">
        <v>1848</v>
      </c>
      <c r="H24" s="1382"/>
      <c r="I24" s="1383"/>
      <c r="J24" s="1383"/>
      <c r="K24" s="1383"/>
      <c r="L24" s="1384"/>
    </row>
    <row r="25" spans="2:12" s="1372" customFormat="1" x14ac:dyDescent="0.25">
      <c r="B25" s="1397" t="str">
        <f>'Forklift RESULTS-Tables'!B25</f>
        <v>Gross Employment Impacts</v>
      </c>
      <c r="C25" s="1398"/>
      <c r="D25" s="1398"/>
      <c r="E25" s="1398"/>
      <c r="F25" s="1399" t="str">
        <f>"Rows "&amp;ROW(B83)&amp;":"&amp;ROW(B109)</f>
        <v>Rows 83:109</v>
      </c>
      <c r="G25" s="1400" t="s">
        <v>1848</v>
      </c>
      <c r="H25" s="2282" t="str">
        <f>'Backup RESULTS-Charts'!H23</f>
        <v>Gross Economic Impact charts contain detailed Employment, Earnings, and Output results by category (Manufacturing, Installation, Fuel, and Maintenance).</v>
      </c>
      <c r="I25" s="2283"/>
      <c r="J25" s="2283"/>
      <c r="K25" s="2283"/>
      <c r="L25" s="2284"/>
    </row>
    <row r="26" spans="2:12" s="1372" customFormat="1" x14ac:dyDescent="0.25">
      <c r="B26" s="1382" t="str">
        <f>'Forklift RESULTS-Tables'!B26</f>
        <v>Gross Earnings Impacts</v>
      </c>
      <c r="C26" s="1383"/>
      <c r="D26" s="1383"/>
      <c r="E26" s="1383"/>
      <c r="F26" s="1401" t="str">
        <f>"Rows "&amp;ROW(B113)&amp;":"&amp;ROW(B140)</f>
        <v>Rows 113:140</v>
      </c>
      <c r="G26" s="1388" t="s">
        <v>1848</v>
      </c>
      <c r="H26" s="2285"/>
      <c r="I26" s="2286"/>
      <c r="J26" s="2286"/>
      <c r="K26" s="2286"/>
      <c r="L26" s="2287"/>
    </row>
    <row r="27" spans="2:12" s="1372" customFormat="1" x14ac:dyDescent="0.25">
      <c r="B27" s="1402" t="str">
        <f>'Forklift RESULTS-Tables'!B27</f>
        <v>Gross Output Impacts</v>
      </c>
      <c r="C27" s="1403"/>
      <c r="D27" s="1403"/>
      <c r="E27" s="1403"/>
      <c r="F27" s="1404" t="str">
        <f>"Rows "&amp;ROW(B144)&amp;":"&amp;ROW(B170)</f>
        <v>Rows 144:170</v>
      </c>
      <c r="G27" s="1405" t="s">
        <v>1848</v>
      </c>
      <c r="H27" s="2288"/>
      <c r="I27" s="2289"/>
      <c r="J27" s="2289"/>
      <c r="K27" s="2289"/>
      <c r="L27" s="2290"/>
    </row>
    <row r="28" spans="2:12" s="1372" customFormat="1" x14ac:dyDescent="0.25">
      <c r="B28" s="1397" t="s">
        <v>2148</v>
      </c>
      <c r="C28" s="1398"/>
      <c r="D28" s="1398"/>
      <c r="E28" s="1398"/>
      <c r="F28" s="1401" t="str">
        <f>"Rows "&amp;ROW(B174)&amp;":"&amp;ROW(B200)</f>
        <v>Rows 174:200</v>
      </c>
      <c r="G28" s="1388" t="s">
        <v>1848</v>
      </c>
      <c r="H28" s="2282" t="s">
        <v>2160</v>
      </c>
      <c r="I28" s="2283"/>
      <c r="J28" s="2283"/>
      <c r="K28" s="2283"/>
      <c r="L28" s="2284"/>
    </row>
    <row r="29" spans="2:12" s="1372" customFormat="1" x14ac:dyDescent="0.25">
      <c r="B29" s="1382" t="s">
        <v>2149</v>
      </c>
      <c r="C29" s="1383"/>
      <c r="D29" s="1383"/>
      <c r="E29" s="1383"/>
      <c r="F29" s="1401" t="str">
        <f>"Rows "&amp;ROW(B203)&amp;":"&amp;ROW(B230)</f>
        <v>Rows 203:230</v>
      </c>
      <c r="G29" s="1388" t="s">
        <v>1848</v>
      </c>
      <c r="H29" s="2285"/>
      <c r="I29" s="2286"/>
      <c r="J29" s="2286"/>
      <c r="K29" s="2286"/>
      <c r="L29" s="2287"/>
    </row>
    <row r="30" spans="2:12" s="1372" customFormat="1" x14ac:dyDescent="0.25">
      <c r="B30" s="1402" t="s">
        <v>2150</v>
      </c>
      <c r="C30" s="1403"/>
      <c r="D30" s="1403"/>
      <c r="E30" s="1403"/>
      <c r="F30" s="1404" t="str">
        <f>"Rows "&amp;ROW(B232)&amp;":"&amp;ROW(B259)</f>
        <v>Rows 232:259</v>
      </c>
      <c r="G30" s="1405" t="s">
        <v>1848</v>
      </c>
      <c r="H30" s="2288"/>
      <c r="I30" s="2289"/>
      <c r="J30" s="2289"/>
      <c r="K30" s="2289"/>
      <c r="L30" s="2290"/>
    </row>
    <row r="31" spans="2:12" s="1372" customFormat="1" x14ac:dyDescent="0.25"/>
    <row r="32" spans="2:12" s="1372" customFormat="1" x14ac:dyDescent="0.25"/>
    <row r="33" spans="6:6" s="1372" customFormat="1" x14ac:dyDescent="0.25">
      <c r="F33" s="1406"/>
    </row>
    <row r="34" spans="6:6" s="1372" customFormat="1" x14ac:dyDescent="0.25"/>
    <row r="35" spans="6:6" s="1372" customFormat="1" x14ac:dyDescent="0.25"/>
    <row r="36" spans="6:6" s="1372" customFormat="1" x14ac:dyDescent="0.25"/>
    <row r="37" spans="6:6" s="1372" customFormat="1" x14ac:dyDescent="0.25"/>
    <row r="38" spans="6:6" s="1372" customFormat="1" x14ac:dyDescent="0.25"/>
    <row r="39" spans="6:6" s="1372" customFormat="1" x14ac:dyDescent="0.25"/>
    <row r="40" spans="6:6" s="1372" customFormat="1" x14ac:dyDescent="0.25"/>
    <row r="41" spans="6:6" s="1372" customFormat="1" x14ac:dyDescent="0.25"/>
    <row r="42" spans="6:6" s="1372" customFormat="1" x14ac:dyDescent="0.25"/>
    <row r="43" spans="6:6" s="1372" customFormat="1" x14ac:dyDescent="0.25"/>
    <row r="44" spans="6:6" s="1372" customFormat="1" x14ac:dyDescent="0.25"/>
    <row r="45" spans="6:6" s="1372" customFormat="1" x14ac:dyDescent="0.25"/>
    <row r="46" spans="6:6" s="1372" customFormat="1" x14ac:dyDescent="0.25"/>
    <row r="47" spans="6:6" s="1372" customFormat="1" x14ac:dyDescent="0.25"/>
    <row r="48" spans="6:6" s="1372" customFormat="1" x14ac:dyDescent="0.25"/>
    <row r="49" s="1372" customFormat="1" x14ac:dyDescent="0.25"/>
    <row r="50" s="1372" customFormat="1" x14ac:dyDescent="0.25"/>
    <row r="51" s="1372" customFormat="1" x14ac:dyDescent="0.25"/>
    <row r="52" s="1372" customFormat="1" x14ac:dyDescent="0.25"/>
    <row r="53" s="1372" customFormat="1" x14ac:dyDescent="0.25"/>
    <row r="54" s="1372" customFormat="1" x14ac:dyDescent="0.25"/>
    <row r="55" s="1372" customFormat="1" x14ac:dyDescent="0.25"/>
    <row r="56" s="1372" customFormat="1" x14ac:dyDescent="0.25"/>
    <row r="57" s="1372" customFormat="1" x14ac:dyDescent="0.25"/>
    <row r="58" s="1372" customFormat="1" x14ac:dyDescent="0.25"/>
    <row r="59" s="1372" customFormat="1" x14ac:dyDescent="0.25"/>
    <row r="60" s="1372" customFormat="1" x14ac:dyDescent="0.25"/>
    <row r="61" s="1372" customFormat="1" x14ac:dyDescent="0.25"/>
    <row r="62" s="1372" customFormat="1" x14ac:dyDescent="0.25"/>
    <row r="63" s="1372" customFormat="1" x14ac:dyDescent="0.25"/>
    <row r="64" s="1372" customFormat="1" x14ac:dyDescent="0.25"/>
    <row r="65" s="1372" customFormat="1" x14ac:dyDescent="0.25"/>
    <row r="66" s="1372" customFormat="1" x14ac:dyDescent="0.25"/>
    <row r="67" s="1372" customFormat="1" x14ac:dyDescent="0.25"/>
    <row r="68" s="1372" customFormat="1" x14ac:dyDescent="0.25"/>
    <row r="69" s="1372" customFormat="1" x14ac:dyDescent="0.25"/>
    <row r="70" s="1372" customFormat="1" x14ac:dyDescent="0.25"/>
    <row r="71" s="1372" customFormat="1" x14ac:dyDescent="0.25"/>
    <row r="72" s="1372" customFormat="1" x14ac:dyDescent="0.25"/>
    <row r="73" s="1372" customFormat="1" x14ac:dyDescent="0.25"/>
    <row r="74" s="1372" customFormat="1" x14ac:dyDescent="0.25"/>
    <row r="75" s="1372" customFormat="1" x14ac:dyDescent="0.25"/>
    <row r="76" s="1372" customFormat="1" x14ac:dyDescent="0.25"/>
    <row r="77" s="1372" customFormat="1" x14ac:dyDescent="0.25"/>
    <row r="78" s="1372" customFormat="1" x14ac:dyDescent="0.25"/>
    <row r="79" s="1372" customFormat="1" x14ac:dyDescent="0.25"/>
    <row r="80" s="1372" customFormat="1" x14ac:dyDescent="0.25"/>
    <row r="81" s="1372" customFormat="1" x14ac:dyDescent="0.25"/>
    <row r="82" s="1372" customFormat="1" x14ac:dyDescent="0.25"/>
    <row r="83" s="1372" customFormat="1" x14ac:dyDescent="0.25"/>
    <row r="84" s="1372" customFormat="1" x14ac:dyDescent="0.25"/>
    <row r="85" s="1372" customFormat="1" x14ac:dyDescent="0.25"/>
    <row r="86" s="1372" customFormat="1" x14ac:dyDescent="0.25"/>
    <row r="87" s="1372" customFormat="1" x14ac:dyDescent="0.25"/>
    <row r="88" s="1372" customFormat="1" x14ac:dyDescent="0.25"/>
    <row r="89" s="1372" customFormat="1" x14ac:dyDescent="0.25"/>
    <row r="90" s="1372" customFormat="1" x14ac:dyDescent="0.25"/>
    <row r="91" s="1372" customFormat="1" x14ac:dyDescent="0.25"/>
    <row r="92" s="1372" customFormat="1" x14ac:dyDescent="0.25"/>
    <row r="93" s="1372" customFormat="1" x14ac:dyDescent="0.25"/>
    <row r="94" s="1372" customFormat="1" x14ac:dyDescent="0.25"/>
    <row r="95" s="1372" customFormat="1" x14ac:dyDescent="0.25"/>
    <row r="96" s="1372" customFormat="1" x14ac:dyDescent="0.25"/>
    <row r="97" s="1372" customFormat="1" x14ac:dyDescent="0.25"/>
    <row r="98" s="1372" customFormat="1" x14ac:dyDescent="0.25"/>
    <row r="99" s="1372" customFormat="1" x14ac:dyDescent="0.25"/>
    <row r="100" s="1372" customFormat="1" x14ac:dyDescent="0.25"/>
    <row r="101" s="1372" customFormat="1" x14ac:dyDescent="0.25"/>
    <row r="102" s="1372" customFormat="1" x14ac:dyDescent="0.25"/>
    <row r="103" s="1372" customFormat="1" x14ac:dyDescent="0.25"/>
    <row r="104" s="1372" customFormat="1" x14ac:dyDescent="0.25"/>
    <row r="105" s="1372" customFormat="1" x14ac:dyDescent="0.25"/>
    <row r="106" s="1372" customFormat="1" x14ac:dyDescent="0.25"/>
    <row r="107" s="1372" customFormat="1" x14ac:dyDescent="0.25"/>
    <row r="108" s="1372" customFormat="1" x14ac:dyDescent="0.25"/>
    <row r="109" s="1372" customFormat="1" x14ac:dyDescent="0.25"/>
    <row r="110" s="1372" customFormat="1" x14ac:dyDescent="0.25"/>
    <row r="111" s="1372" customFormat="1" x14ac:dyDescent="0.25"/>
    <row r="112" s="1372" customFormat="1" x14ac:dyDescent="0.25"/>
    <row r="113" s="1372" customFormat="1" x14ac:dyDescent="0.25"/>
    <row r="114" s="1372" customFormat="1" x14ac:dyDescent="0.25"/>
    <row r="115" s="1372" customFormat="1" x14ac:dyDescent="0.25"/>
    <row r="116" s="1372" customFormat="1" x14ac:dyDescent="0.25"/>
    <row r="117" s="1372" customFormat="1" x14ac:dyDescent="0.25"/>
    <row r="118" s="1372" customFormat="1" x14ac:dyDescent="0.25"/>
    <row r="119" s="1372" customFormat="1" x14ac:dyDescent="0.25"/>
    <row r="120" s="1372" customFormat="1" x14ac:dyDescent="0.25"/>
    <row r="121" s="1372" customFormat="1" x14ac:dyDescent="0.25"/>
    <row r="122" s="1372" customFormat="1" x14ac:dyDescent="0.25"/>
    <row r="123" s="1372" customFormat="1" x14ac:dyDescent="0.25"/>
    <row r="124" s="1372" customFormat="1" x14ac:dyDescent="0.25"/>
    <row r="125" s="1372" customFormat="1" x14ac:dyDescent="0.25"/>
    <row r="126" s="1372" customFormat="1" x14ac:dyDescent="0.25"/>
    <row r="127" s="1372" customFormat="1" x14ac:dyDescent="0.25"/>
    <row r="128" s="1372" customFormat="1" x14ac:dyDescent="0.25"/>
    <row r="129" s="1372" customFormat="1" x14ac:dyDescent="0.25"/>
    <row r="130" s="1372" customFormat="1" x14ac:dyDescent="0.25"/>
    <row r="131" s="1372" customFormat="1" x14ac:dyDescent="0.25"/>
    <row r="132" s="1372" customFormat="1" x14ac:dyDescent="0.25"/>
    <row r="133" s="1372" customFormat="1" x14ac:dyDescent="0.25"/>
    <row r="134" s="1372" customFormat="1" x14ac:dyDescent="0.25"/>
    <row r="135" s="1372" customFormat="1" x14ac:dyDescent="0.25"/>
    <row r="136" s="1372" customFormat="1" x14ac:dyDescent="0.25"/>
    <row r="137" s="1372" customFormat="1" x14ac:dyDescent="0.25"/>
    <row r="138" s="1372" customFormat="1" x14ac:dyDescent="0.25"/>
    <row r="139" s="1372" customFormat="1" x14ac:dyDescent="0.25"/>
    <row r="140" s="1372" customFormat="1" x14ac:dyDescent="0.25"/>
    <row r="141" s="1372" customFormat="1" x14ac:dyDescent="0.25"/>
    <row r="142" s="1372" customFormat="1" x14ac:dyDescent="0.25"/>
    <row r="143" s="1372" customFormat="1" x14ac:dyDescent="0.25"/>
    <row r="144" s="1372" customFormat="1" x14ac:dyDescent="0.25"/>
    <row r="145" s="1372" customFormat="1" x14ac:dyDescent="0.25"/>
    <row r="146" s="1372" customFormat="1" x14ac:dyDescent="0.25"/>
    <row r="147" s="1372" customFormat="1" x14ac:dyDescent="0.25"/>
    <row r="148" s="1372" customFormat="1" x14ac:dyDescent="0.25"/>
    <row r="149" s="1372" customFormat="1" x14ac:dyDescent="0.25"/>
    <row r="150" s="1372" customFormat="1" x14ac:dyDescent="0.25"/>
    <row r="151" s="1372" customFormat="1" x14ac:dyDescent="0.25"/>
    <row r="152" s="1372" customFormat="1" x14ac:dyDescent="0.25"/>
    <row r="153" s="1372" customFormat="1" x14ac:dyDescent="0.25"/>
    <row r="154" s="1372" customFormat="1" x14ac:dyDescent="0.25"/>
    <row r="155" s="1372" customFormat="1" x14ac:dyDescent="0.25"/>
    <row r="156" s="1372" customFormat="1" x14ac:dyDescent="0.25"/>
    <row r="157" s="1372" customFormat="1" x14ac:dyDescent="0.25"/>
    <row r="158" s="1372" customFormat="1" x14ac:dyDescent="0.25"/>
    <row r="159" s="1372" customFormat="1" x14ac:dyDescent="0.25"/>
    <row r="160" s="1372" customFormat="1" x14ac:dyDescent="0.25"/>
    <row r="161" s="1372" customFormat="1" x14ac:dyDescent="0.25"/>
    <row r="162" s="1372" customFormat="1" x14ac:dyDescent="0.25"/>
    <row r="163" s="1372" customFormat="1" x14ac:dyDescent="0.25"/>
    <row r="164" s="1372" customFormat="1" x14ac:dyDescent="0.25"/>
    <row r="165" s="1372" customFormat="1" x14ac:dyDescent="0.25"/>
    <row r="166" s="1372" customFormat="1" x14ac:dyDescent="0.25"/>
    <row r="167" s="1372" customFormat="1" x14ac:dyDescent="0.25"/>
    <row r="168" s="1372" customFormat="1" x14ac:dyDescent="0.25"/>
    <row r="169" s="1372" customFormat="1" x14ac:dyDescent="0.25"/>
    <row r="170" s="1372" customFormat="1" x14ac:dyDescent="0.25"/>
    <row r="171" s="1372" customFormat="1" x14ac:dyDescent="0.25"/>
    <row r="172" s="1372" customFormat="1" x14ac:dyDescent="0.25"/>
    <row r="173" s="1372" customFormat="1" x14ac:dyDescent="0.25"/>
    <row r="174" s="1372" customFormat="1" x14ac:dyDescent="0.25"/>
    <row r="175" s="1372" customFormat="1" x14ac:dyDescent="0.25"/>
    <row r="176" s="1372" customFormat="1" x14ac:dyDescent="0.25"/>
    <row r="177" s="1372" customFormat="1" x14ac:dyDescent="0.25"/>
    <row r="178" s="1372" customFormat="1" x14ac:dyDescent="0.25"/>
    <row r="179" s="1372" customFormat="1" x14ac:dyDescent="0.25"/>
    <row r="180" s="1372" customFormat="1" x14ac:dyDescent="0.25"/>
    <row r="181" s="1372" customFormat="1" x14ac:dyDescent="0.25"/>
    <row r="182" s="1372" customFormat="1" x14ac:dyDescent="0.25"/>
    <row r="183" s="1372" customFormat="1" x14ac:dyDescent="0.25"/>
    <row r="184" s="1372" customFormat="1" x14ac:dyDescent="0.25"/>
    <row r="185" s="1372" customFormat="1" x14ac:dyDescent="0.25"/>
    <row r="186" s="1372" customFormat="1" x14ac:dyDescent="0.25"/>
    <row r="187" s="1372" customFormat="1" x14ac:dyDescent="0.25"/>
    <row r="188" s="1372" customFormat="1" x14ac:dyDescent="0.25"/>
    <row r="189" s="1372" customFormat="1" x14ac:dyDescent="0.25"/>
    <row r="190" s="1372" customFormat="1" x14ac:dyDescent="0.25"/>
    <row r="191" s="1372" customFormat="1" x14ac:dyDescent="0.25"/>
    <row r="192" s="1372" customFormat="1" x14ac:dyDescent="0.25"/>
    <row r="193" s="1372" customFormat="1" x14ac:dyDescent="0.25"/>
    <row r="194" s="1372" customFormat="1" x14ac:dyDescent="0.25"/>
    <row r="195" s="1372" customFormat="1" x14ac:dyDescent="0.25"/>
    <row r="196" s="1372" customFormat="1" x14ac:dyDescent="0.25"/>
    <row r="197" s="1372" customFormat="1" x14ac:dyDescent="0.25"/>
    <row r="198" s="1372" customFormat="1" x14ac:dyDescent="0.25"/>
    <row r="199" s="1372" customFormat="1" x14ac:dyDescent="0.25"/>
    <row r="200" s="1372" customFormat="1" x14ac:dyDescent="0.25"/>
    <row r="201" s="1372" customFormat="1" x14ac:dyDescent="0.25"/>
    <row r="202" s="1372" customFormat="1" x14ac:dyDescent="0.25"/>
    <row r="203" s="1372" customFormat="1" x14ac:dyDescent="0.25"/>
    <row r="204" s="1372" customFormat="1" x14ac:dyDescent="0.25"/>
    <row r="205" s="1372" customFormat="1" x14ac:dyDescent="0.25"/>
    <row r="206" s="1372" customFormat="1" x14ac:dyDescent="0.25"/>
    <row r="207" s="1372" customFormat="1" x14ac:dyDescent="0.25"/>
    <row r="208" s="1372" customFormat="1" x14ac:dyDescent="0.25"/>
    <row r="209" s="1372" customFormat="1" x14ac:dyDescent="0.25"/>
    <row r="210" s="1372" customFormat="1" x14ac:dyDescent="0.25"/>
    <row r="211" s="1372" customFormat="1" x14ac:dyDescent="0.25"/>
    <row r="212" s="1372" customFormat="1" x14ac:dyDescent="0.25"/>
    <row r="213" s="1372" customFormat="1" x14ac:dyDescent="0.25"/>
    <row r="214" s="1372" customFormat="1" x14ac:dyDescent="0.25"/>
    <row r="215" s="1372" customFormat="1" x14ac:dyDescent="0.25"/>
    <row r="216" s="1372" customFormat="1" x14ac:dyDescent="0.25"/>
    <row r="217" s="1372" customFormat="1" x14ac:dyDescent="0.25"/>
    <row r="218" s="1372" customFormat="1" x14ac:dyDescent="0.25"/>
    <row r="219" s="1372" customFormat="1" x14ac:dyDescent="0.25"/>
    <row r="220" s="1372" customFormat="1" x14ac:dyDescent="0.25"/>
    <row r="221" s="1372" customFormat="1" x14ac:dyDescent="0.25"/>
    <row r="222" s="1372" customFormat="1" x14ac:dyDescent="0.25"/>
    <row r="223" s="1372" customFormat="1" x14ac:dyDescent="0.25"/>
    <row r="224" s="1372" customFormat="1" x14ac:dyDescent="0.25"/>
    <row r="225" s="1372" customFormat="1" x14ac:dyDescent="0.25"/>
    <row r="226" s="1372" customFormat="1" x14ac:dyDescent="0.25"/>
    <row r="227" s="1372" customFormat="1" x14ac:dyDescent="0.25"/>
    <row r="228" s="1372" customFormat="1" x14ac:dyDescent="0.25"/>
    <row r="229" s="1372" customFormat="1" x14ac:dyDescent="0.25"/>
    <row r="230" s="1372" customFormat="1" x14ac:dyDescent="0.25"/>
    <row r="231" s="1372" customFormat="1" x14ac:dyDescent="0.25"/>
    <row r="232" s="1372" customFormat="1" x14ac:dyDescent="0.25"/>
    <row r="233" s="1372" customFormat="1" x14ac:dyDescent="0.25"/>
    <row r="234" s="1372" customFormat="1" x14ac:dyDescent="0.25"/>
    <row r="235" s="1372" customFormat="1" x14ac:dyDescent="0.25"/>
    <row r="236" s="1372" customFormat="1" x14ac:dyDescent="0.25"/>
    <row r="237" s="1372" customFormat="1" x14ac:dyDescent="0.25"/>
    <row r="238" s="1372" customFormat="1" x14ac:dyDescent="0.25"/>
    <row r="239" s="1372" customFormat="1" x14ac:dyDescent="0.25"/>
    <row r="240" s="1372" customFormat="1" x14ac:dyDescent="0.25"/>
    <row r="241" s="1372" customFormat="1" x14ac:dyDescent="0.25"/>
    <row r="242" s="1372" customFormat="1" x14ac:dyDescent="0.25"/>
    <row r="243" s="1372" customFormat="1" x14ac:dyDescent="0.25"/>
    <row r="244" s="1372" customFormat="1" x14ac:dyDescent="0.25"/>
    <row r="245" s="1372" customFormat="1" x14ac:dyDescent="0.25"/>
    <row r="246" s="1372" customFormat="1" x14ac:dyDescent="0.25"/>
    <row r="247" s="1372" customFormat="1" x14ac:dyDescent="0.25"/>
    <row r="248" s="1372" customFormat="1" x14ac:dyDescent="0.25"/>
    <row r="249" s="1372" customFormat="1" x14ac:dyDescent="0.25"/>
    <row r="250" s="1372" customFormat="1" x14ac:dyDescent="0.25"/>
    <row r="251" s="1372" customFormat="1" x14ac:dyDescent="0.25"/>
    <row r="252" s="1372" customFormat="1" x14ac:dyDescent="0.25"/>
    <row r="253" s="1372" customFormat="1" x14ac:dyDescent="0.25"/>
    <row r="254" s="1372" customFormat="1" x14ac:dyDescent="0.25"/>
    <row r="255" s="1372" customFormat="1" x14ac:dyDescent="0.25"/>
    <row r="256" s="1372" customFormat="1" x14ac:dyDescent="0.25"/>
    <row r="257" s="1372" customFormat="1" x14ac:dyDescent="0.25"/>
    <row r="258" s="1372" customFormat="1" x14ac:dyDescent="0.25"/>
    <row r="259" s="1372" customFormat="1" x14ac:dyDescent="0.25"/>
    <row r="260" s="1372" customFormat="1" x14ac:dyDescent="0.25"/>
    <row r="261" s="1372" customFormat="1" x14ac:dyDescent="0.25"/>
    <row r="262" s="1372" customFormat="1" x14ac:dyDescent="0.25"/>
    <row r="263" s="1372" customFormat="1" x14ac:dyDescent="0.25"/>
    <row r="264" s="1372" customFormat="1" x14ac:dyDescent="0.25"/>
    <row r="265" s="1372" customFormat="1" x14ac:dyDescent="0.25"/>
    <row r="266" s="1372" customFormat="1" x14ac:dyDescent="0.25"/>
    <row r="267" s="1372" customFormat="1" x14ac:dyDescent="0.25"/>
    <row r="268" s="1372" customFormat="1" x14ac:dyDescent="0.25"/>
    <row r="269" s="1372" customFormat="1" x14ac:dyDescent="0.25"/>
    <row r="270" s="1372" customFormat="1" x14ac:dyDescent="0.25"/>
    <row r="271" s="1372" customFormat="1" x14ac:dyDescent="0.25"/>
    <row r="272" s="1372" customFormat="1" x14ac:dyDescent="0.25"/>
    <row r="273" s="1372" customFormat="1" x14ac:dyDescent="0.25"/>
    <row r="274" s="1372" customFormat="1" x14ac:dyDescent="0.25"/>
    <row r="275" s="1372" customFormat="1" x14ac:dyDescent="0.25"/>
    <row r="276" s="1372" customFormat="1" x14ac:dyDescent="0.25"/>
    <row r="277" s="1372" customFormat="1" x14ac:dyDescent="0.25"/>
    <row r="278" s="1372" customFormat="1" x14ac:dyDescent="0.25"/>
    <row r="279" s="1372" customFormat="1" x14ac:dyDescent="0.25"/>
    <row r="280" s="1372" customFormat="1" x14ac:dyDescent="0.25"/>
    <row r="281" s="1372" customFormat="1" x14ac:dyDescent="0.25"/>
    <row r="282" s="1372" customFormat="1" x14ac:dyDescent="0.25"/>
    <row r="283" s="1372" customFormat="1" x14ac:dyDescent="0.25"/>
    <row r="284" s="1372" customFormat="1" x14ac:dyDescent="0.25"/>
    <row r="285" s="1372" customFormat="1" x14ac:dyDescent="0.25"/>
    <row r="286" s="1372" customFormat="1" x14ac:dyDescent="0.25"/>
    <row r="287" s="1372" customFormat="1" x14ac:dyDescent="0.25"/>
  </sheetData>
  <sheetProtection password="C411" sheet="1" scenarios="1"/>
  <mergeCells count="9">
    <mergeCell ref="H28:L30"/>
    <mergeCell ref="B1:L1"/>
    <mergeCell ref="H25:L27"/>
    <mergeCell ref="B19:L19"/>
    <mergeCell ref="B3:L3"/>
    <mergeCell ref="B4:E4"/>
    <mergeCell ref="B17:F17"/>
    <mergeCell ref="G12:L17"/>
    <mergeCell ref="G11:L11"/>
  </mergeCells>
  <pageMargins left="0.7" right="0.7" top="0.75" bottom="0.75" header="0.3" footer="0.3"/>
  <pageSetup scale="69" fitToHeight="0" orientation="landscape" r:id="rId1"/>
  <headerFooter>
    <oddHeader>&amp;L&amp;"Garamond,Bold"&amp;14JOBS FC Beta 1.0&amp;C&amp;"Garamond,Bold"&amp;14Scenario Results&amp;R&amp;"Garamond,Bold"&amp;14Run date:  &amp;D</oddHeader>
    <oddFooter>&amp;L&amp;"Garamond,Bold"&amp;12Scenario inputs provided on page 1 of this report&amp;R&amp;"Garamond,Bold"&amp;12Page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641729" r:id="rId4" name="Button 1">
              <controlPr defaultSize="0" print="0" autoFill="0" autoPict="0" macro="[0]!Forklift_tables">
                <anchor moveWithCells="1">
                  <from>
                    <xdr:col>4</xdr:col>
                    <xdr:colOff>752475</xdr:colOff>
                    <xdr:row>1</xdr:row>
                    <xdr:rowOff>180975</xdr:rowOff>
                  </from>
                  <to>
                    <xdr:col>6</xdr:col>
                    <xdr:colOff>904875</xdr:colOff>
                    <xdr:row>1</xdr:row>
                    <xdr:rowOff>438150</xdr:rowOff>
                  </to>
                </anchor>
              </controlPr>
            </control>
          </mc:Choice>
        </mc:AlternateContent>
        <mc:AlternateContent xmlns:mc="http://schemas.openxmlformats.org/markup-compatibility/2006">
          <mc:Choice Requires="x14">
            <control shapeId="13641730" r:id="rId5" name="Button 2">
              <controlPr defaultSize="0" print="0" autoFill="0" autoPict="0" macro="[0]!Forklift_inputs">
                <anchor moveWithCells="1">
                  <from>
                    <xdr:col>1</xdr:col>
                    <xdr:colOff>123825</xdr:colOff>
                    <xdr:row>1</xdr:row>
                    <xdr:rowOff>180975</xdr:rowOff>
                  </from>
                  <to>
                    <xdr:col>4</xdr:col>
                    <xdr:colOff>152400</xdr:colOff>
                    <xdr:row>1</xdr:row>
                    <xdr:rowOff>438150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99"/>
    <pageSetUpPr fitToPage="1"/>
  </sheetPr>
  <dimension ref="A1:AZ207"/>
  <sheetViews>
    <sheetView showRuler="0" showWhiteSpace="0" zoomScale="90" zoomScaleNormal="90" zoomScalePageLayoutView="90" workbookViewId="0">
      <selection activeCell="B1" sqref="B1:L1"/>
    </sheetView>
  </sheetViews>
  <sheetFormatPr defaultColWidth="9.140625" defaultRowHeight="15" x14ac:dyDescent="0.25"/>
  <cols>
    <col min="1" max="1" width="1.42578125" style="1407" customWidth="1"/>
    <col min="2" max="2" width="32.5703125" style="1408" customWidth="1"/>
    <col min="3" max="3" width="7.28515625" style="1408" customWidth="1"/>
    <col min="4" max="4" width="18.140625" style="1408" customWidth="1"/>
    <col min="5" max="5" width="16.140625" style="1408" customWidth="1"/>
    <col min="6" max="6" width="20.28515625" style="1408" customWidth="1"/>
    <col min="7" max="7" width="18" style="1408" customWidth="1"/>
    <col min="8" max="8" width="17.5703125" style="1408" customWidth="1"/>
    <col min="9" max="9" width="16" style="1408" customWidth="1"/>
    <col min="10" max="10" width="13.42578125" style="1408" customWidth="1"/>
    <col min="11" max="11" width="15" style="1408" customWidth="1"/>
    <col min="12" max="12" width="19" style="1408" customWidth="1"/>
    <col min="13" max="13" width="24" style="1408" customWidth="1"/>
    <col min="14" max="14" width="21.5703125" style="1408" customWidth="1"/>
    <col min="15" max="15" width="18.85546875" style="1408" customWidth="1"/>
    <col min="16" max="16" width="3.5703125" style="1408" customWidth="1"/>
    <col min="17" max="17" width="13.42578125" style="1408" customWidth="1"/>
    <col min="18" max="18" width="19.5703125" style="1616" customWidth="1"/>
    <col min="19" max="19" width="19.85546875" style="1616" customWidth="1"/>
    <col min="20" max="20" width="19.28515625" style="1616" customWidth="1"/>
    <col min="21" max="21" width="20.140625" style="1616" customWidth="1"/>
    <col min="22" max="22" width="17.5703125" style="1616" customWidth="1"/>
    <col min="23" max="23" width="3.28515625" style="1616" customWidth="1"/>
    <col min="24" max="24" width="13.42578125" style="1617" customWidth="1"/>
    <col min="25" max="25" width="17.28515625" style="1617" customWidth="1"/>
    <col min="26" max="26" width="17.85546875" style="1617" customWidth="1"/>
    <col min="27" max="27" width="19.28515625" style="1617" customWidth="1"/>
    <col min="28" max="28" width="17.5703125" style="1617" customWidth="1"/>
    <col min="29" max="29" width="17.42578125" style="1617" customWidth="1"/>
    <col min="30" max="30" width="3.5703125" style="1617" customWidth="1"/>
    <col min="31" max="31" width="13.42578125" style="1617" customWidth="1"/>
    <col min="32" max="32" width="19.140625" style="1617" customWidth="1"/>
    <col min="33" max="33" width="20.7109375" style="1617" customWidth="1"/>
    <col min="34" max="34" width="22.140625" style="1617" customWidth="1"/>
    <col min="35" max="35" width="27.140625" style="1408" customWidth="1"/>
    <col min="36" max="36" width="20" style="1408" customWidth="1"/>
    <col min="37" max="37" width="6.5703125" style="1408" customWidth="1"/>
    <col min="38" max="38" width="9.5703125" style="1408" customWidth="1"/>
    <col min="39" max="39" width="9.5703125" style="1408" bestFit="1" customWidth="1"/>
    <col min="40" max="40" width="14.85546875" style="1408" bestFit="1" customWidth="1"/>
    <col min="41" max="41" width="24.140625" style="1408" bestFit="1" customWidth="1"/>
    <col min="42" max="42" width="12.42578125" style="1408" bestFit="1" customWidth="1"/>
    <col min="43" max="43" width="13.85546875" style="1408" bestFit="1" customWidth="1"/>
    <col min="44" max="45" width="12.42578125" style="1408" bestFit="1" customWidth="1"/>
    <col min="46" max="47" width="14.5703125" style="1408" bestFit="1" customWidth="1"/>
    <col min="48" max="48" width="14.7109375" style="1408" bestFit="1" customWidth="1"/>
    <col min="49" max="51" width="9.140625" style="1408"/>
    <col min="52" max="52" width="15.7109375" style="1408" customWidth="1"/>
    <col min="53" max="53" width="9.140625" style="1408"/>
    <col min="54" max="54" width="14.28515625" style="1408" customWidth="1"/>
    <col min="55" max="57" width="9.140625" style="1408"/>
    <col min="58" max="58" width="13.85546875" style="1408" customWidth="1"/>
    <col min="59" max="59" width="11" style="1408" customWidth="1"/>
    <col min="60" max="16384" width="9.140625" style="1408"/>
  </cols>
  <sheetData>
    <row r="1" spans="2:36" ht="36.75" customHeight="1" x14ac:dyDescent="0.25">
      <c r="B1" s="2316" t="s">
        <v>2145</v>
      </c>
      <c r="C1" s="2317"/>
      <c r="D1" s="2317"/>
      <c r="E1" s="2317"/>
      <c r="F1" s="2317"/>
      <c r="G1" s="2317"/>
      <c r="H1" s="2317"/>
      <c r="I1" s="2317"/>
      <c r="J1" s="2317"/>
      <c r="K1" s="2317"/>
      <c r="L1" s="2318"/>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row>
    <row r="2" spans="2:36" ht="51" customHeight="1" x14ac:dyDescent="0.25">
      <c r="B2" s="1409"/>
      <c r="C2" s="1410"/>
      <c r="D2" s="1410"/>
      <c r="E2" s="1410"/>
      <c r="F2" s="1410"/>
      <c r="G2" s="1410"/>
      <c r="H2" s="1410"/>
      <c r="I2" s="1410"/>
      <c r="J2" s="1410"/>
      <c r="K2" s="1410"/>
      <c r="L2" s="1411"/>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row>
    <row r="3" spans="2:36" ht="21" x14ac:dyDescent="0.35">
      <c r="B3" s="2297" t="s">
        <v>1551</v>
      </c>
      <c r="C3" s="2298"/>
      <c r="D3" s="2298"/>
      <c r="E3" s="2298"/>
      <c r="F3" s="2298"/>
      <c r="G3" s="2298"/>
      <c r="H3" s="2298"/>
      <c r="I3" s="2298"/>
      <c r="J3" s="2298"/>
      <c r="K3" s="2298"/>
      <c r="L3" s="2299"/>
      <c r="M3" s="1407"/>
      <c r="N3" s="1407"/>
      <c r="O3" s="1407"/>
      <c r="P3" s="1407"/>
      <c r="Q3" s="1407"/>
      <c r="R3" s="1407"/>
      <c r="S3" s="1407"/>
      <c r="T3" s="1407"/>
      <c r="U3" s="1407"/>
      <c r="V3" s="1407"/>
      <c r="W3" s="1407"/>
      <c r="X3" s="1407"/>
      <c r="Y3" s="1407"/>
      <c r="Z3" s="1407"/>
      <c r="AA3" s="1407"/>
      <c r="AB3" s="1407"/>
      <c r="AC3" s="1407"/>
      <c r="AD3" s="1407"/>
      <c r="AE3" s="1407"/>
      <c r="AF3" s="1407"/>
      <c r="AG3" s="1407"/>
      <c r="AH3" s="1407"/>
      <c r="AI3" s="1407"/>
      <c r="AJ3" s="1407"/>
    </row>
    <row r="4" spans="2:36" ht="47.25" x14ac:dyDescent="0.25">
      <c r="B4" s="2310" t="s">
        <v>957</v>
      </c>
      <c r="C4" s="2311"/>
      <c r="D4" s="2311"/>
      <c r="E4" s="2312"/>
      <c r="F4" s="1412" t="s">
        <v>1618</v>
      </c>
      <c r="G4" s="1413" t="s">
        <v>433</v>
      </c>
      <c r="H4" s="1414" t="str">
        <f>'Forklift RESULTS-Tables'!D42</f>
        <v>Class I/II Annual Units Mfg.</v>
      </c>
      <c r="I4" s="1414" t="str">
        <f>'Forklift RESULTS-Tables'!F42</f>
        <v>Class III Annual Units Mfg.</v>
      </c>
      <c r="J4" s="1414" t="str">
        <f>'Forklift RESULTS-Tables'!D50</f>
        <v>Class I/II Annual Installations</v>
      </c>
      <c r="K4" s="1414" t="str">
        <f>'Forklift RESULTS-Tables'!F50</f>
        <v>Class III Annual Installations</v>
      </c>
      <c r="L4" s="1380" t="str">
        <f>'Forklift RESULTS-Tables'!D58</f>
        <v>Annual Forklift Fueling Site Installations</v>
      </c>
      <c r="M4" s="1407"/>
      <c r="N4" s="1407"/>
      <c r="O4" s="1407"/>
      <c r="P4" s="1415"/>
      <c r="Q4" s="1407"/>
      <c r="R4" s="1407"/>
      <c r="S4" s="1407"/>
      <c r="T4" s="1407"/>
      <c r="U4" s="1407"/>
      <c r="V4" s="1407"/>
      <c r="W4" s="1407"/>
      <c r="X4" s="1407"/>
      <c r="Y4" s="1407"/>
      <c r="Z4" s="1407"/>
      <c r="AA4" s="1407"/>
      <c r="AB4" s="1407"/>
      <c r="AC4" s="1407"/>
      <c r="AD4" s="1407"/>
      <c r="AE4" s="1407"/>
      <c r="AF4" s="1407"/>
      <c r="AG4" s="1407"/>
      <c r="AH4" s="1407"/>
      <c r="AI4" s="1407"/>
      <c r="AJ4" s="1407"/>
    </row>
    <row r="5" spans="2:36" ht="15.75" x14ac:dyDescent="0.25">
      <c r="B5" s="1397" t="s">
        <v>1550</v>
      </c>
      <c r="C5" s="1398"/>
      <c r="D5" s="1398"/>
      <c r="E5" s="1416"/>
      <c r="F5" s="1417" t="str">
        <f>'Forklift INPUTS'!State</f>
        <v>&lt;Please select&gt;</v>
      </c>
      <c r="G5" s="1418">
        <v>2015</v>
      </c>
      <c r="H5" s="1386">
        <f>'Forklift RESULTS-Tables'!D43</f>
        <v>0</v>
      </c>
      <c r="I5" s="1386">
        <f>'Forklift RESULTS-Tables'!F43</f>
        <v>0</v>
      </c>
      <c r="J5" s="1386">
        <f>'Forklift RESULTS-Tables'!D51</f>
        <v>0</v>
      </c>
      <c r="K5" s="1386">
        <f>'Forklift RESULTS-Tables'!F51</f>
        <v>0</v>
      </c>
      <c r="L5" s="1419">
        <f>'Forklift RESULTS-Tables'!D59</f>
        <v>0</v>
      </c>
      <c r="M5" s="1407"/>
      <c r="N5" s="1407"/>
      <c r="O5" s="1407"/>
      <c r="P5" s="1420"/>
      <c r="Q5" s="1407"/>
      <c r="R5" s="1407"/>
      <c r="S5" s="1407"/>
      <c r="T5" s="1407"/>
      <c r="U5" s="1407"/>
      <c r="V5" s="1407"/>
      <c r="W5" s="1407"/>
      <c r="X5" s="1407"/>
      <c r="Y5" s="1407"/>
      <c r="Z5" s="1407"/>
      <c r="AA5" s="1407"/>
      <c r="AB5" s="1407"/>
      <c r="AC5" s="1407"/>
      <c r="AD5" s="1407"/>
      <c r="AE5" s="1407"/>
      <c r="AF5" s="1407"/>
      <c r="AG5" s="1407"/>
      <c r="AH5" s="1407"/>
      <c r="AI5" s="1407"/>
      <c r="AJ5" s="1407"/>
    </row>
    <row r="6" spans="2:36" ht="15.75" x14ac:dyDescent="0.25">
      <c r="B6" s="1382" t="s">
        <v>1552</v>
      </c>
      <c r="C6" s="1383"/>
      <c r="D6" s="1383"/>
      <c r="E6" s="1384"/>
      <c r="F6" s="1385" t="str">
        <f>IF(AND('Forklift INPUTS'!$E$6=RIMS_lists!$C$1,'Forklift INPUTS'!$E$7=Lists!$C$4), Lists!$C$4,Lists!$C$3)</f>
        <v>Gross</v>
      </c>
      <c r="G6" s="1421">
        <v>2016</v>
      </c>
      <c r="H6" s="1387">
        <f>'Forklift RESULTS-Tables'!D44</f>
        <v>0</v>
      </c>
      <c r="I6" s="1387">
        <f>'Forklift RESULTS-Tables'!F44</f>
        <v>0</v>
      </c>
      <c r="J6" s="1387">
        <f>'Forklift RESULTS-Tables'!D52</f>
        <v>0</v>
      </c>
      <c r="K6" s="1387">
        <f>'Forklift RESULTS-Tables'!F52</f>
        <v>0</v>
      </c>
      <c r="L6" s="1422">
        <f>'Forklift RESULTS-Tables'!D60</f>
        <v>0</v>
      </c>
      <c r="M6" s="1407"/>
      <c r="N6" s="1407"/>
      <c r="O6" s="1407"/>
      <c r="P6" s="1420"/>
      <c r="Q6" s="1407"/>
      <c r="R6" s="1407"/>
      <c r="S6" s="1407"/>
      <c r="T6" s="1407"/>
      <c r="U6" s="1407"/>
      <c r="V6" s="1407"/>
      <c r="W6" s="1407"/>
      <c r="X6" s="1407"/>
      <c r="Y6" s="1407"/>
      <c r="Z6" s="1407"/>
      <c r="AA6" s="1407"/>
      <c r="AB6" s="1407"/>
      <c r="AC6" s="1407"/>
      <c r="AD6" s="1407"/>
      <c r="AE6" s="1407"/>
      <c r="AF6" s="1407"/>
      <c r="AG6" s="1407"/>
      <c r="AH6" s="1407"/>
      <c r="AI6" s="1407"/>
      <c r="AJ6" s="1407"/>
    </row>
    <row r="7" spans="2:36" ht="15.75" x14ac:dyDescent="0.25">
      <c r="B7" s="1382" t="str">
        <f>'Forklift INPUTS'!B11</f>
        <v>Class I/II: Forklift fuel cell unit size (average kW/unit)</v>
      </c>
      <c r="C7" s="1383"/>
      <c r="D7" s="1383"/>
      <c r="E7" s="1384"/>
      <c r="F7" s="1388">
        <f>'Forklift INPUTS'!avgSize</f>
        <v>10</v>
      </c>
      <c r="G7" s="1421">
        <v>2017</v>
      </c>
      <c r="H7" s="1387">
        <f>'Forklift RESULTS-Tables'!D45</f>
        <v>0</v>
      </c>
      <c r="I7" s="1387">
        <f>'Forklift RESULTS-Tables'!F45</f>
        <v>0</v>
      </c>
      <c r="J7" s="1387">
        <f>'Forklift RESULTS-Tables'!D53</f>
        <v>0</v>
      </c>
      <c r="K7" s="1387">
        <f>'Forklift RESULTS-Tables'!F53</f>
        <v>0</v>
      </c>
      <c r="L7" s="1422">
        <f>'Forklift RESULTS-Tables'!D61</f>
        <v>0</v>
      </c>
      <c r="M7" s="1407"/>
      <c r="N7" s="1407"/>
      <c r="O7" s="1407"/>
      <c r="P7" s="1420"/>
      <c r="Q7" s="1407"/>
      <c r="R7" s="1407"/>
      <c r="S7" s="1407"/>
      <c r="T7" s="1407"/>
      <c r="U7" s="1407"/>
      <c r="V7" s="1407"/>
      <c r="W7" s="1407"/>
      <c r="X7" s="1407"/>
      <c r="Y7" s="1407"/>
      <c r="Z7" s="1407"/>
      <c r="AA7" s="1407"/>
      <c r="AB7" s="1407"/>
      <c r="AC7" s="1407"/>
      <c r="AD7" s="1407"/>
      <c r="AE7" s="1407"/>
      <c r="AF7" s="1407"/>
      <c r="AG7" s="1407"/>
      <c r="AH7" s="1407"/>
      <c r="AI7" s="1407"/>
      <c r="AJ7" s="1407"/>
    </row>
    <row r="8" spans="2:36" ht="15.75" x14ac:dyDescent="0.25">
      <c r="B8" s="1382" t="str">
        <f>'Forklift INPUTS'!B12</f>
        <v>Class III: Forklift fuel cell unit size (average kW/unit)</v>
      </c>
      <c r="C8" s="1383"/>
      <c r="D8" s="1383"/>
      <c r="E8" s="1384"/>
      <c r="F8" s="1388">
        <f>'Forklift INPUTS'!avgSize_c3</f>
        <v>2</v>
      </c>
      <c r="G8" s="1421">
        <v>2018</v>
      </c>
      <c r="H8" s="1387">
        <f>'Forklift RESULTS-Tables'!D46</f>
        <v>0</v>
      </c>
      <c r="I8" s="1387">
        <f>'Forklift RESULTS-Tables'!F46</f>
        <v>0</v>
      </c>
      <c r="J8" s="1387">
        <f>'Forklift RESULTS-Tables'!D54</f>
        <v>0</v>
      </c>
      <c r="K8" s="1387">
        <f>'Forklift RESULTS-Tables'!F54</f>
        <v>0</v>
      </c>
      <c r="L8" s="1422">
        <f>'Forklift RESULTS-Tables'!D62</f>
        <v>0</v>
      </c>
      <c r="M8" s="1407"/>
      <c r="N8" s="1407"/>
      <c r="O8" s="1407"/>
      <c r="P8" s="1420"/>
      <c r="Q8" s="1407"/>
      <c r="R8" s="1407"/>
      <c r="S8" s="1407"/>
      <c r="T8" s="1407"/>
      <c r="U8" s="1407"/>
      <c r="V8" s="1407"/>
      <c r="W8" s="1407"/>
      <c r="X8" s="1407"/>
      <c r="Y8" s="1407"/>
      <c r="Z8" s="1407"/>
      <c r="AA8" s="1407"/>
      <c r="AB8" s="1407"/>
      <c r="AC8" s="1407"/>
      <c r="AD8" s="1407"/>
      <c r="AE8" s="1407"/>
      <c r="AF8" s="1407"/>
      <c r="AG8" s="1407"/>
      <c r="AH8" s="1407"/>
      <c r="AI8" s="1407"/>
      <c r="AJ8" s="1407"/>
    </row>
    <row r="9" spans="2:36" ht="15.75" x14ac:dyDescent="0.25">
      <c r="B9" s="1382" t="str">
        <f>'Forklift INPUTS'!B76</f>
        <v>Total H2 fueling infr. installation expense ($/site)</v>
      </c>
      <c r="C9" s="1383"/>
      <c r="D9" s="1383"/>
      <c r="E9" s="1384"/>
      <c r="F9" s="1389">
        <f>'Forklift INPUTS'!J76</f>
        <v>1400000</v>
      </c>
      <c r="G9" s="1421">
        <v>2019</v>
      </c>
      <c r="H9" s="1387">
        <f>'Forklift RESULTS-Tables'!D47</f>
        <v>0</v>
      </c>
      <c r="I9" s="1387">
        <f>'Forklift RESULTS-Tables'!F47</f>
        <v>0</v>
      </c>
      <c r="J9" s="1387">
        <f>'Forklift RESULTS-Tables'!D55</f>
        <v>0</v>
      </c>
      <c r="K9" s="1387">
        <f>'Forklift RESULTS-Tables'!F55</f>
        <v>0</v>
      </c>
      <c r="L9" s="1422">
        <f>'Forklift RESULTS-Tables'!D63</f>
        <v>0</v>
      </c>
      <c r="M9" s="1407"/>
      <c r="N9" s="1407"/>
      <c r="O9" s="1407"/>
      <c r="P9" s="1420"/>
      <c r="Q9" s="1407"/>
      <c r="R9" s="1407"/>
      <c r="S9" s="1407"/>
      <c r="T9" s="1407"/>
      <c r="U9" s="1407"/>
      <c r="V9" s="1407"/>
      <c r="W9" s="1407"/>
      <c r="X9" s="1407"/>
      <c r="Y9" s="1407"/>
      <c r="Z9" s="1407"/>
      <c r="AA9" s="1407"/>
      <c r="AB9" s="1407"/>
      <c r="AC9" s="1407"/>
      <c r="AD9" s="1407"/>
      <c r="AE9" s="1407"/>
      <c r="AF9" s="1407"/>
      <c r="AG9" s="1407"/>
      <c r="AH9" s="1407"/>
      <c r="AI9" s="1407"/>
      <c r="AJ9" s="1407"/>
    </row>
    <row r="10" spans="2:36" ht="15.75" x14ac:dyDescent="0.25">
      <c r="B10" s="1382" t="s">
        <v>2067</v>
      </c>
      <c r="C10" s="1383"/>
      <c r="D10" s="1383"/>
      <c r="E10" s="1384"/>
      <c r="F10" s="1423">
        <f>'Forklift INPUTS'!J96*'Forklift INPUTS'!J97*'Forklift INPUTS'!J98*'Forklift INPUTS'!J99</f>
        <v>2496</v>
      </c>
      <c r="G10" s="1424">
        <v>2020</v>
      </c>
      <c r="H10" s="1391">
        <f>'Forklift RESULTS-Tables'!D48</f>
        <v>0</v>
      </c>
      <c r="I10" s="1391">
        <f>'Forklift RESULTS-Tables'!F48</f>
        <v>0</v>
      </c>
      <c r="J10" s="1391">
        <f>'Forklift RESULTS-Tables'!D56</f>
        <v>0</v>
      </c>
      <c r="K10" s="1391">
        <f>'Forklift RESULTS-Tables'!F56</f>
        <v>0</v>
      </c>
      <c r="L10" s="1425">
        <f>'Forklift RESULTS-Tables'!D64</f>
        <v>0</v>
      </c>
      <c r="M10" s="1407"/>
      <c r="N10" s="1407"/>
      <c r="O10" s="1407"/>
      <c r="P10" s="1420"/>
      <c r="Q10" s="1407"/>
      <c r="R10" s="1407"/>
      <c r="S10" s="1407"/>
      <c r="T10" s="1407"/>
      <c r="U10" s="1407"/>
      <c r="V10" s="1407"/>
      <c r="W10" s="1407"/>
      <c r="X10" s="1407"/>
      <c r="Y10" s="1407"/>
      <c r="Z10" s="1407"/>
      <c r="AA10" s="1407"/>
      <c r="AB10" s="1407"/>
      <c r="AC10" s="1407"/>
      <c r="AD10" s="1407"/>
      <c r="AE10" s="1407"/>
      <c r="AF10" s="1407"/>
      <c r="AG10" s="1407"/>
      <c r="AH10" s="1407"/>
      <c r="AI10" s="1407"/>
      <c r="AJ10" s="1407"/>
    </row>
    <row r="11" spans="2:36" ht="15.75" x14ac:dyDescent="0.25">
      <c r="B11" s="1382" t="s">
        <v>2068</v>
      </c>
      <c r="C11" s="1383"/>
      <c r="D11" s="1383"/>
      <c r="E11" s="1384"/>
      <c r="F11" s="1423">
        <f>'Forklift INPUTS'!J102*'Forklift INPUTS'!J103*'Forklift INPUTS'!J104*'Forklift INPUTS'!J105</f>
        <v>2496</v>
      </c>
      <c r="G11" s="2304" t="str">
        <f>'Forklift RESULTS-Charts'!G11</f>
        <v>Notes</v>
      </c>
      <c r="H11" s="2305"/>
      <c r="I11" s="2305"/>
      <c r="J11" s="2305"/>
      <c r="K11" s="2305"/>
      <c r="L11" s="2306"/>
      <c r="M11" s="1407"/>
      <c r="N11" s="1407"/>
      <c r="O11" s="1407"/>
      <c r="P11" s="1420"/>
      <c r="Q11" s="1407"/>
      <c r="R11" s="1407"/>
      <c r="S11" s="1407"/>
      <c r="T11" s="1407"/>
      <c r="U11" s="1407"/>
      <c r="V11" s="1407"/>
      <c r="W11" s="1407"/>
      <c r="X11" s="1407"/>
      <c r="Y11" s="1407"/>
      <c r="Z11" s="1407"/>
      <c r="AA11" s="1407"/>
      <c r="AB11" s="1407"/>
      <c r="AC11" s="1407"/>
      <c r="AD11" s="1407"/>
      <c r="AE11" s="1407"/>
      <c r="AF11" s="1407"/>
      <c r="AG11" s="1407"/>
      <c r="AH11" s="1407"/>
      <c r="AI11" s="1407"/>
      <c r="AJ11" s="1407"/>
    </row>
    <row r="12" spans="2:36" ht="15.75" customHeight="1" x14ac:dyDescent="0.25">
      <c r="B12" s="1382" t="str">
        <f>'Forklift INPUTS'!B100</f>
        <v>Class I/II: Annual H2 expense ($/FC unit/year)</v>
      </c>
      <c r="C12" s="1383"/>
      <c r="D12" s="1383"/>
      <c r="E12" s="1384"/>
      <c r="F12" s="1426">
        <f>'Forklift INPUTS'!J100</f>
        <v>3430</v>
      </c>
      <c r="G12" s="2282" t="str">
        <f>'Forklift RESULTS-Charts'!G12</f>
        <v xml:space="preserve">(1) All dollar values are in 2010$. (2) Economic impacts are assumed to occur in the same year that expenditures occur.  For each year's expenditures, the economic impacts include direct, indirect, and induced effects for employment, earnings, and output. (3) Total economic impacts = Direct + Indirect + Induced; Supply chain impacts = Direct + Indirect. (4) Employment includes both full and part-time jobs. (5) Earnings and Output results are in thousands of 2010$. </v>
      </c>
      <c r="H12" s="2283"/>
      <c r="I12" s="2283"/>
      <c r="J12" s="2283"/>
      <c r="K12" s="2283"/>
      <c r="L12" s="2284"/>
      <c r="M12" s="1407"/>
      <c r="N12" s="1407"/>
      <c r="O12" s="1407"/>
      <c r="P12" s="1407"/>
      <c r="Q12" s="1407"/>
      <c r="R12" s="1407"/>
      <c r="S12" s="1407"/>
      <c r="T12" s="1407"/>
      <c r="U12" s="1407"/>
      <c r="V12" s="1407"/>
      <c r="W12" s="1407"/>
      <c r="X12" s="1407"/>
      <c r="Y12" s="1407"/>
      <c r="Z12" s="1407"/>
      <c r="AA12" s="1407"/>
      <c r="AB12" s="1407"/>
      <c r="AC12" s="1407"/>
      <c r="AD12" s="1407"/>
      <c r="AE12" s="1407"/>
      <c r="AF12" s="1407"/>
      <c r="AG12" s="1407"/>
      <c r="AH12" s="1407"/>
      <c r="AI12" s="1407"/>
      <c r="AJ12" s="1407"/>
    </row>
    <row r="13" spans="2:36" ht="15.75" customHeight="1" x14ac:dyDescent="0.25">
      <c r="B13" s="1382" t="str">
        <f>'Forklift INPUTS'!B106</f>
        <v>Class III: Annual H2 expense ($/FC unit/year)</v>
      </c>
      <c r="C13" s="1383"/>
      <c r="D13" s="1383"/>
      <c r="E13" s="1384"/>
      <c r="F13" s="1426">
        <f>'Forklift INPUTS'!J106</f>
        <v>320</v>
      </c>
      <c r="G13" s="2285"/>
      <c r="H13" s="2286"/>
      <c r="I13" s="2286"/>
      <c r="J13" s="2286"/>
      <c r="K13" s="2286"/>
      <c r="L13" s="2287"/>
      <c r="M13" s="1407"/>
      <c r="N13" s="1407"/>
      <c r="O13" s="1407"/>
      <c r="P13" s="1407"/>
      <c r="Q13" s="1407"/>
      <c r="R13" s="1407"/>
      <c r="S13" s="1407"/>
      <c r="T13" s="1407"/>
      <c r="U13" s="1407"/>
      <c r="V13" s="1407"/>
      <c r="W13" s="1407"/>
      <c r="X13" s="1407"/>
      <c r="Y13" s="1407"/>
      <c r="Z13" s="1407"/>
      <c r="AA13" s="1407"/>
      <c r="AB13" s="1407"/>
      <c r="AC13" s="1407"/>
      <c r="AD13" s="1407"/>
      <c r="AE13" s="1407"/>
      <c r="AF13" s="1407"/>
      <c r="AG13" s="1407"/>
      <c r="AH13" s="1407"/>
      <c r="AI13" s="1407"/>
      <c r="AJ13" s="1407"/>
    </row>
    <row r="14" spans="2:36" ht="15.75" x14ac:dyDescent="0.25">
      <c r="B14" s="1382" t="str">
        <f>'Forklift INPUTS'!B110</f>
        <v>Class I/II: Fuel cell maintenance expense ($/FC unit/year)</v>
      </c>
      <c r="C14" s="1383"/>
      <c r="D14" s="1383"/>
      <c r="E14" s="1384"/>
      <c r="F14" s="1426">
        <f>'Forklift INPUTS'!MaintCostPerUnit</f>
        <v>1600</v>
      </c>
      <c r="G14" s="2285"/>
      <c r="H14" s="2286"/>
      <c r="I14" s="2286"/>
      <c r="J14" s="2286"/>
      <c r="K14" s="2286"/>
      <c r="L14" s="2287"/>
      <c r="M14" s="1407"/>
      <c r="N14" s="1407"/>
      <c r="O14" s="1407"/>
      <c r="P14" s="1407"/>
      <c r="Q14" s="1407"/>
      <c r="R14" s="1407"/>
      <c r="S14" s="1407"/>
      <c r="T14" s="1407"/>
      <c r="U14" s="1407"/>
      <c r="V14" s="1407"/>
      <c r="W14" s="1407"/>
      <c r="X14" s="1407"/>
      <c r="Y14" s="1407"/>
      <c r="Z14" s="1407"/>
      <c r="AA14" s="1407"/>
      <c r="AB14" s="1407"/>
      <c r="AC14" s="1407"/>
      <c r="AD14" s="1407"/>
      <c r="AE14" s="1407"/>
      <c r="AF14" s="1407"/>
      <c r="AG14" s="1407"/>
      <c r="AH14" s="1407"/>
      <c r="AI14" s="1407"/>
      <c r="AJ14" s="1407"/>
    </row>
    <row r="15" spans="2:36" ht="15.75" x14ac:dyDescent="0.25">
      <c r="B15" s="1382" t="str">
        <f>'Forklift INPUTS'!B111</f>
        <v>Class III: Fuel cell maintenance expense ($/FC unit/year)</v>
      </c>
      <c r="C15" s="1383"/>
      <c r="D15" s="1383"/>
      <c r="E15" s="1384"/>
      <c r="F15" s="1426">
        <f>'Forklift INPUTS'!MaintCostPerUnit_c3</f>
        <v>1200</v>
      </c>
      <c r="G15" s="2285"/>
      <c r="H15" s="2286"/>
      <c r="I15" s="2286"/>
      <c r="J15" s="2286"/>
      <c r="K15" s="2286"/>
      <c r="L15" s="2287"/>
      <c r="M15" s="1407"/>
      <c r="N15" s="1407"/>
      <c r="O15" s="1407"/>
      <c r="P15" s="1407"/>
      <c r="Q15" s="1407"/>
      <c r="R15" s="1407"/>
      <c r="S15" s="1407"/>
      <c r="T15" s="1407"/>
      <c r="U15" s="1407"/>
      <c r="V15" s="1407"/>
      <c r="W15" s="1407"/>
      <c r="X15" s="1407"/>
      <c r="Y15" s="1407"/>
      <c r="Z15" s="1407"/>
      <c r="AA15" s="1407"/>
      <c r="AB15" s="1407"/>
      <c r="AC15" s="1407"/>
      <c r="AD15" s="1407"/>
      <c r="AE15" s="1407"/>
      <c r="AF15" s="1407"/>
      <c r="AG15" s="1407"/>
      <c r="AH15" s="1407"/>
      <c r="AI15" s="1407"/>
      <c r="AJ15" s="1407"/>
    </row>
    <row r="16" spans="2:36" ht="15.75" x14ac:dyDescent="0.25">
      <c r="B16" s="1402" t="str">
        <f>'Forklift INPUTS'!B113</f>
        <v>Hydrogen fueling infrastructure maintenance ($/site/year)</v>
      </c>
      <c r="C16" s="1403"/>
      <c r="D16" s="1403"/>
      <c r="E16" s="1390"/>
      <c r="F16" s="1427">
        <f>'Forklift INPUTS'!J113</f>
        <v>27000</v>
      </c>
      <c r="G16" s="2285"/>
      <c r="H16" s="2286"/>
      <c r="I16" s="2286"/>
      <c r="J16" s="2286"/>
      <c r="K16" s="2286"/>
      <c r="L16" s="2287"/>
      <c r="M16" s="1407"/>
      <c r="N16" s="1407"/>
      <c r="O16" s="1407"/>
      <c r="P16" s="1407"/>
      <c r="Q16" s="1407"/>
      <c r="R16" s="1407"/>
      <c r="S16" s="1407"/>
      <c r="T16" s="1407"/>
      <c r="U16" s="1407"/>
      <c r="V16" s="1407"/>
      <c r="W16" s="1407"/>
      <c r="X16" s="1407"/>
      <c r="Y16" s="1407"/>
      <c r="Z16" s="1407"/>
      <c r="AA16" s="1407"/>
      <c r="AB16" s="1407"/>
      <c r="AC16" s="1407"/>
      <c r="AD16" s="1407"/>
      <c r="AE16" s="1407"/>
      <c r="AF16" s="1407"/>
      <c r="AG16" s="1407"/>
      <c r="AH16" s="1407"/>
      <c r="AI16" s="1407"/>
      <c r="AJ16" s="1407"/>
    </row>
    <row r="17" spans="1:36" ht="33" customHeight="1" x14ac:dyDescent="0.25">
      <c r="B17" s="2301" t="s">
        <v>1816</v>
      </c>
      <c r="C17" s="2302"/>
      <c r="D17" s="2302"/>
      <c r="E17" s="2302"/>
      <c r="F17" s="2302"/>
      <c r="G17" s="2288"/>
      <c r="H17" s="2289"/>
      <c r="I17" s="2289"/>
      <c r="J17" s="2289"/>
      <c r="K17" s="2289"/>
      <c r="L17" s="2290"/>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row>
    <row r="18" spans="1:36" s="1407" customFormat="1" ht="28.5" customHeight="1" x14ac:dyDescent="0.25">
      <c r="B18" s="1428"/>
      <c r="C18" s="1429"/>
    </row>
    <row r="19" spans="1:36" ht="21" x14ac:dyDescent="0.35">
      <c r="B19" s="2294" t="s">
        <v>1826</v>
      </c>
      <c r="C19" s="2295"/>
      <c r="D19" s="2295"/>
      <c r="E19" s="2295"/>
      <c r="F19" s="2295"/>
      <c r="G19" s="2295"/>
      <c r="H19" s="2295"/>
      <c r="I19" s="2295"/>
      <c r="J19" s="2295"/>
      <c r="K19" s="2295"/>
      <c r="L19" s="2296"/>
      <c r="M19" s="1407"/>
      <c r="N19" s="1407"/>
      <c r="O19" s="1407"/>
      <c r="P19" s="1407"/>
      <c r="Q19" s="1407"/>
      <c r="R19" s="1407"/>
      <c r="S19" s="1407"/>
      <c r="T19" s="1407"/>
      <c r="U19" s="1407"/>
      <c r="V19" s="1407"/>
      <c r="W19" s="1407"/>
      <c r="X19" s="1407"/>
      <c r="Y19" s="1407"/>
      <c r="Z19" s="1407"/>
      <c r="AA19" s="1407"/>
      <c r="AB19" s="1407"/>
      <c r="AC19" s="1407"/>
      <c r="AD19" s="1407"/>
      <c r="AE19" s="1407"/>
      <c r="AF19" s="1407"/>
      <c r="AG19" s="1407"/>
      <c r="AH19" s="1407"/>
      <c r="AI19" s="1407"/>
      <c r="AJ19" s="1407"/>
    </row>
    <row r="20" spans="1:36" ht="15.75" x14ac:dyDescent="0.25">
      <c r="B20" s="1392" t="s">
        <v>1838</v>
      </c>
      <c r="C20" s="1393"/>
      <c r="D20" s="1393"/>
      <c r="E20" s="1430"/>
      <c r="F20" s="1392" t="s">
        <v>1841</v>
      </c>
      <c r="G20" s="1392" t="s">
        <v>1840</v>
      </c>
      <c r="H20" s="1430"/>
      <c r="I20" s="1431" t="s">
        <v>451</v>
      </c>
      <c r="J20" s="1432"/>
      <c r="K20" s="1432"/>
      <c r="L20" s="1430"/>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row>
    <row r="21" spans="1:36" ht="15.75" customHeight="1" x14ac:dyDescent="0.25">
      <c r="B21" s="1433" t="str">
        <f>B34</f>
        <v>Retail Price and Manufacturing Cost (Forklift Fuel Cells)</v>
      </c>
      <c r="C21" s="1434"/>
      <c r="D21" s="1435"/>
      <c r="E21" s="1435"/>
      <c r="F21" s="1436" t="str">
        <f>"Rows "&amp;ROW(C34)&amp;":"&amp;ROW(C40)</f>
        <v>Rows 34:40</v>
      </c>
      <c r="G21" s="1433" t="s">
        <v>1849</v>
      </c>
      <c r="H21" s="1437"/>
      <c r="I21" s="1438"/>
      <c r="J21" s="1439"/>
      <c r="K21" s="1439"/>
      <c r="L21" s="1440"/>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row>
    <row r="22" spans="1:36" ht="15.75" x14ac:dyDescent="0.25">
      <c r="B22" s="1441" t="str">
        <f>B42</f>
        <v>Units Manufactured in Region (Forklift Fuel Cells)</v>
      </c>
      <c r="C22" s="1442"/>
      <c r="D22" s="1428"/>
      <c r="E22" s="1428"/>
      <c r="F22" s="1443" t="str">
        <f>"Rows "&amp;ROW(C42)&amp;":"&amp;ROW(C48)</f>
        <v>Rows 42:48</v>
      </c>
      <c r="G22" s="1441" t="s">
        <v>1849</v>
      </c>
      <c r="H22" s="1444"/>
      <c r="I22" s="1445"/>
      <c r="J22" s="1446"/>
      <c r="K22" s="1446"/>
      <c r="L22" s="1447"/>
      <c r="M22" s="1407"/>
      <c r="N22" s="1407"/>
      <c r="O22" s="1407"/>
      <c r="P22" s="1407"/>
      <c r="Q22" s="1407"/>
      <c r="R22" s="1407"/>
      <c r="S22" s="1407"/>
      <c r="T22" s="1407"/>
      <c r="U22" s="1407"/>
      <c r="V22" s="1407"/>
      <c r="W22" s="1407"/>
      <c r="X22" s="1407"/>
      <c r="Y22" s="1407"/>
      <c r="Z22" s="1407"/>
      <c r="AA22" s="1407"/>
      <c r="AB22" s="1407"/>
      <c r="AC22" s="1407"/>
      <c r="AD22" s="1407"/>
      <c r="AE22" s="1407"/>
      <c r="AF22" s="1407"/>
      <c r="AG22" s="1407"/>
      <c r="AH22" s="1407"/>
      <c r="AI22" s="1407"/>
      <c r="AJ22" s="1407"/>
    </row>
    <row r="23" spans="1:36" ht="15.75" x14ac:dyDescent="0.25">
      <c r="B23" s="1441" t="str">
        <f>B50</f>
        <v>Units Installed in Region (Forklift Fuel Cells)</v>
      </c>
      <c r="C23" s="1442"/>
      <c r="D23" s="1428"/>
      <c r="E23" s="1428"/>
      <c r="F23" s="1443" t="str">
        <f>"Rows "&amp;ROW(C50)&amp;":"&amp;ROW(C56)</f>
        <v>Rows 50:56</v>
      </c>
      <c r="G23" s="1441" t="s">
        <v>1849</v>
      </c>
      <c r="H23" s="1444"/>
      <c r="I23" s="1445"/>
      <c r="J23" s="1446"/>
      <c r="K23" s="1446"/>
      <c r="L23" s="1447"/>
      <c r="M23" s="1407"/>
      <c r="N23" s="1407"/>
      <c r="O23" s="1407"/>
      <c r="P23" s="1407"/>
      <c r="Q23" s="1407"/>
      <c r="R23" s="1407"/>
      <c r="S23" s="1407"/>
      <c r="T23" s="1407"/>
      <c r="U23" s="1407"/>
      <c r="V23" s="1407"/>
      <c r="W23" s="1407"/>
      <c r="X23" s="1407"/>
      <c r="Y23" s="1407"/>
      <c r="Z23" s="1407"/>
      <c r="AA23" s="1407"/>
      <c r="AB23" s="1407"/>
      <c r="AC23" s="1407"/>
      <c r="AD23" s="1407"/>
      <c r="AE23" s="1407"/>
      <c r="AF23" s="1407"/>
      <c r="AG23" s="1407"/>
      <c r="AH23" s="1407"/>
      <c r="AI23" s="1407"/>
      <c r="AJ23" s="1407"/>
    </row>
    <row r="24" spans="1:36" ht="15.75" x14ac:dyDescent="0.25">
      <c r="B24" s="1448" t="str">
        <f>B58</f>
        <v>Forklift Fuel Cell Hydrogen Fueling Site Installations in Region</v>
      </c>
      <c r="C24" s="1449"/>
      <c r="D24" s="1450"/>
      <c r="E24" s="1450"/>
      <c r="F24" s="1451" t="str">
        <f>"Rows "&amp;ROW(C58)&amp;":"&amp;ROW(C64)</f>
        <v>Rows 58:64</v>
      </c>
      <c r="G24" s="1448" t="s">
        <v>1849</v>
      </c>
      <c r="H24" s="1452"/>
      <c r="I24" s="1453"/>
      <c r="J24" s="1454"/>
      <c r="K24" s="1454"/>
      <c r="L24" s="1455"/>
      <c r="M24" s="1407"/>
      <c r="N24" s="1407"/>
      <c r="O24" s="1407"/>
      <c r="P24" s="1407"/>
      <c r="Q24" s="1407"/>
      <c r="R24" s="1407"/>
      <c r="S24" s="1407"/>
      <c r="T24" s="1407"/>
      <c r="U24" s="1407"/>
      <c r="V24" s="1407"/>
      <c r="W24" s="1407"/>
      <c r="X24" s="1407"/>
      <c r="Y24" s="1407"/>
      <c r="Z24" s="1407"/>
      <c r="AA24" s="1407"/>
      <c r="AB24" s="1407"/>
      <c r="AC24" s="1407"/>
      <c r="AD24" s="1407"/>
      <c r="AE24" s="1407"/>
      <c r="AF24" s="1407"/>
      <c r="AG24" s="1407"/>
      <c r="AH24" s="1407"/>
      <c r="AI24" s="1407"/>
      <c r="AJ24" s="1407"/>
    </row>
    <row r="25" spans="1:36" ht="15.75" customHeight="1" x14ac:dyDescent="0.25">
      <c r="B25" s="1433" t="str">
        <f>$F$6&amp;" Employment Impacts"</f>
        <v>Gross Employment Impacts</v>
      </c>
      <c r="C25" s="1435"/>
      <c r="D25" s="1435"/>
      <c r="E25" s="1435"/>
      <c r="F25" s="1436" t="str">
        <f>"Rows "&amp;ROW(C69)&amp;":"&amp;ROW(C77)</f>
        <v>Rows 69:77</v>
      </c>
      <c r="G25" s="1433" t="s">
        <v>1849</v>
      </c>
      <c r="H25" s="1437"/>
      <c r="I25" s="2323" t="s">
        <v>1852</v>
      </c>
      <c r="J25" s="2324"/>
      <c r="K25" s="2324"/>
      <c r="L25" s="2325"/>
      <c r="M25" s="1407"/>
      <c r="N25" s="1407"/>
      <c r="O25" s="1407"/>
      <c r="P25" s="1407"/>
      <c r="Q25" s="1407"/>
      <c r="R25" s="1407"/>
      <c r="S25" s="1407"/>
      <c r="T25" s="1407"/>
      <c r="U25" s="1407"/>
      <c r="V25" s="1407"/>
      <c r="W25" s="1407"/>
      <c r="X25" s="1407"/>
      <c r="Y25" s="1407"/>
      <c r="Z25" s="1407"/>
      <c r="AA25" s="1407"/>
      <c r="AB25" s="1407"/>
      <c r="AC25" s="1407"/>
      <c r="AD25" s="1407"/>
      <c r="AE25" s="1407"/>
      <c r="AF25" s="1407"/>
      <c r="AG25" s="1407"/>
      <c r="AH25" s="1407"/>
      <c r="AI25" s="1407"/>
      <c r="AJ25" s="1407"/>
    </row>
    <row r="26" spans="1:36" ht="15.75" x14ac:dyDescent="0.25">
      <c r="B26" s="1441" t="str">
        <f>$F$6&amp;" Earnings Impacts"</f>
        <v>Gross Earnings Impacts</v>
      </c>
      <c r="C26" s="1428"/>
      <c r="D26" s="1428"/>
      <c r="E26" s="1428"/>
      <c r="F26" s="1443" t="str">
        <f>"Rows "&amp;ROW(C79)&amp;":"&amp;ROW(C87)</f>
        <v>Rows 79:87</v>
      </c>
      <c r="G26" s="1441" t="s">
        <v>1849</v>
      </c>
      <c r="H26" s="1444"/>
      <c r="I26" s="2326"/>
      <c r="J26" s="2327"/>
      <c r="K26" s="2327"/>
      <c r="L26" s="2328"/>
      <c r="M26" s="1407"/>
      <c r="N26" s="1407"/>
      <c r="O26" s="1407"/>
      <c r="P26" s="1407"/>
      <c r="Q26" s="1407"/>
      <c r="R26" s="1407"/>
      <c r="S26" s="1407"/>
      <c r="T26" s="1407"/>
      <c r="U26" s="1407"/>
      <c r="V26" s="1407"/>
      <c r="W26" s="1407"/>
      <c r="X26" s="1407"/>
      <c r="Y26" s="1407"/>
      <c r="Z26" s="1407"/>
      <c r="AA26" s="1407"/>
      <c r="AB26" s="1407"/>
      <c r="AC26" s="1407"/>
      <c r="AD26" s="1407"/>
      <c r="AE26" s="1407"/>
      <c r="AF26" s="1407"/>
      <c r="AG26" s="1407"/>
      <c r="AH26" s="1407"/>
      <c r="AI26" s="1407"/>
      <c r="AJ26" s="1407"/>
    </row>
    <row r="27" spans="1:36" ht="15.75" x14ac:dyDescent="0.25">
      <c r="B27" s="1441" t="str">
        <f>$F$6&amp;" Output Impacts"</f>
        <v>Gross Output Impacts</v>
      </c>
      <c r="C27" s="1428"/>
      <c r="D27" s="1428"/>
      <c r="E27" s="1428"/>
      <c r="F27" s="1443" t="str">
        <f>"Rows "&amp;ROW(C89)&amp;":"&amp;ROW(C97)</f>
        <v>Rows 89:97</v>
      </c>
      <c r="G27" s="1441" t="s">
        <v>1849</v>
      </c>
      <c r="H27" s="1447"/>
      <c r="I27" s="2326"/>
      <c r="J27" s="2327"/>
      <c r="K27" s="2327"/>
      <c r="L27" s="2328"/>
      <c r="M27" s="1407"/>
      <c r="N27" s="1407"/>
      <c r="O27" s="1407"/>
      <c r="P27" s="1407"/>
      <c r="Q27" s="1407"/>
      <c r="R27" s="1407"/>
      <c r="S27" s="1407"/>
      <c r="T27" s="1407"/>
      <c r="U27" s="1407"/>
      <c r="V27" s="1407"/>
      <c r="W27" s="1407"/>
      <c r="X27" s="1407"/>
      <c r="Y27" s="1407"/>
      <c r="Z27" s="1407"/>
      <c r="AA27" s="1407"/>
      <c r="AB27" s="1407"/>
      <c r="AC27" s="1407"/>
      <c r="AD27" s="1407"/>
      <c r="AE27" s="1407"/>
      <c r="AF27" s="1407"/>
      <c r="AG27" s="1407"/>
      <c r="AH27" s="1407"/>
      <c r="AI27" s="1407"/>
      <c r="AJ27" s="1407"/>
    </row>
    <row r="28" spans="1:36" ht="33" customHeight="1" x14ac:dyDescent="0.25">
      <c r="B28" s="1456" t="s">
        <v>1821</v>
      </c>
      <c r="C28" s="1457"/>
      <c r="D28" s="1457"/>
      <c r="E28" s="1457"/>
      <c r="F28" s="1458" t="str">
        <f>"Rows "&amp;ROW(C102)&amp;":"&amp;ROW(C130)</f>
        <v>Rows 102:130</v>
      </c>
      <c r="G28" s="1459" t="s">
        <v>1849</v>
      </c>
      <c r="H28" s="1440"/>
      <c r="I28" s="2319" t="s">
        <v>2153</v>
      </c>
      <c r="J28" s="2320"/>
      <c r="K28" s="2320"/>
      <c r="L28" s="2321"/>
      <c r="M28" s="1407"/>
      <c r="N28" s="1407"/>
      <c r="O28" s="1407"/>
      <c r="P28" s="1407"/>
      <c r="Q28" s="1407"/>
      <c r="R28" s="1407"/>
      <c r="S28" s="1407"/>
      <c r="T28" s="1407"/>
      <c r="U28" s="1407"/>
      <c r="V28" s="1407"/>
      <c r="W28" s="1407"/>
      <c r="X28" s="1407"/>
      <c r="Y28" s="1407"/>
      <c r="Z28" s="1407"/>
      <c r="AA28" s="1407"/>
      <c r="AB28" s="1407"/>
      <c r="AC28" s="1407"/>
      <c r="AD28" s="1407"/>
      <c r="AE28" s="1407"/>
      <c r="AF28" s="1407"/>
      <c r="AG28" s="1407"/>
      <c r="AH28" s="1407"/>
      <c r="AI28" s="1407"/>
      <c r="AJ28" s="1407"/>
    </row>
    <row r="29" spans="1:36" s="1465" customFormat="1" ht="32.25" customHeight="1" x14ac:dyDescent="0.25">
      <c r="A29" s="1460"/>
      <c r="B29" s="1461" t="s">
        <v>1822</v>
      </c>
      <c r="C29" s="1462"/>
      <c r="D29" s="1462"/>
      <c r="E29" s="1462"/>
      <c r="F29" s="1463" t="str">
        <f>"Rows "&amp;ROW(C135)&amp;":"&amp;ROW(C163)</f>
        <v>Rows 135:163</v>
      </c>
      <c r="G29" s="1456" t="s">
        <v>1849</v>
      </c>
      <c r="H29" s="1464"/>
      <c r="I29" s="2319" t="str">
        <f>'Backup RESULTS-Tables'!I28:K28</f>
        <v>Displaced Economic Impact tables are only relevant for a "Net" analysis.</v>
      </c>
      <c r="J29" s="2320"/>
      <c r="K29" s="2320"/>
      <c r="L29" s="2321"/>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row>
    <row r="30" spans="1:36" s="1407" customFormat="1" ht="15.75" x14ac:dyDescent="0.25">
      <c r="B30" s="1428"/>
    </row>
    <row r="31" spans="1:36" s="1407" customFormat="1" ht="15.75" x14ac:dyDescent="0.25">
      <c r="B31" s="1428"/>
    </row>
    <row r="32" spans="1:36" s="1407" customFormat="1" ht="21" x14ac:dyDescent="0.35">
      <c r="B32" s="1466" t="s">
        <v>1866</v>
      </c>
      <c r="C32" s="1467"/>
      <c r="D32" s="1467"/>
      <c r="E32" s="1467"/>
      <c r="F32" s="1467"/>
      <c r="G32" s="1468"/>
      <c r="H32" s="1469"/>
      <c r="I32" s="1469"/>
      <c r="J32" s="1470"/>
      <c r="K32" s="1471"/>
      <c r="L32" s="1472"/>
    </row>
    <row r="33" spans="2:36" s="1407" customFormat="1" ht="15.75" x14ac:dyDescent="0.25">
      <c r="B33" s="1441"/>
      <c r="L33" s="1473"/>
    </row>
    <row r="34" spans="2:36" ht="31.5" customHeight="1" x14ac:dyDescent="0.25">
      <c r="B34" s="2313" t="s">
        <v>1818</v>
      </c>
      <c r="C34" s="1474" t="s">
        <v>433</v>
      </c>
      <c r="D34" s="1475" t="s">
        <v>1553</v>
      </c>
      <c r="E34" s="1475" t="s">
        <v>1555</v>
      </c>
      <c r="F34" s="1476" t="s">
        <v>1554</v>
      </c>
      <c r="G34" s="1476" t="s">
        <v>1556</v>
      </c>
      <c r="H34" s="1407"/>
      <c r="I34" s="1407"/>
      <c r="J34" s="1407"/>
      <c r="K34" s="1407"/>
      <c r="L34" s="1473"/>
      <c r="M34" s="1407"/>
      <c r="N34" s="1407"/>
      <c r="O34" s="1407"/>
      <c r="P34" s="1407"/>
      <c r="Q34" s="1407"/>
      <c r="R34" s="1407"/>
      <c r="S34" s="1407"/>
      <c r="T34" s="1407"/>
      <c r="U34" s="1407"/>
      <c r="V34" s="1407"/>
      <c r="W34" s="1407"/>
      <c r="X34" s="1407"/>
      <c r="Y34" s="1407"/>
      <c r="Z34" s="1407"/>
      <c r="AA34" s="1407"/>
      <c r="AB34" s="1407"/>
      <c r="AC34" s="1407"/>
      <c r="AD34" s="1407"/>
      <c r="AE34" s="1407"/>
      <c r="AF34" s="1407"/>
      <c r="AG34" s="1407"/>
      <c r="AH34" s="1407"/>
      <c r="AI34" s="1407"/>
      <c r="AJ34" s="1407"/>
    </row>
    <row r="35" spans="2:36" ht="15.75" customHeight="1" x14ac:dyDescent="0.25">
      <c r="B35" s="2313"/>
      <c r="C35" s="1477">
        <f>'Forklift INPUTS'!D49</f>
        <v>2015</v>
      </c>
      <c r="D35" s="1990">
        <f>MROUND('Forklift INPUTS'!I49*'Forklift INPUTS'!avgSize, 5)</f>
        <v>0</v>
      </c>
      <c r="E35" s="1990">
        <f>MROUND('Forklift INPUTS'!J49*'Forklift INPUTS'!avgSize, 5)</f>
        <v>0</v>
      </c>
      <c r="F35" s="1991">
        <f>MROUND('Forklift INPUTS'!I57*'Forklift INPUTS'!avgSize_c3, 5)</f>
        <v>0</v>
      </c>
      <c r="G35" s="1991">
        <f>MROUND('Forklift INPUTS'!J57*'Forklift INPUTS'!avgSize_c3, 5)</f>
        <v>0</v>
      </c>
      <c r="H35" s="1407"/>
      <c r="I35" s="1407"/>
      <c r="J35" s="1407"/>
      <c r="K35" s="1407"/>
      <c r="L35" s="1473"/>
      <c r="M35" s="1407"/>
      <c r="N35" s="1407"/>
      <c r="O35" s="1407"/>
      <c r="P35" s="1407"/>
      <c r="Q35" s="1407"/>
      <c r="R35" s="1407"/>
      <c r="S35" s="1407"/>
      <c r="T35" s="1407"/>
      <c r="U35" s="1407"/>
      <c r="V35" s="1407"/>
      <c r="W35" s="1407"/>
      <c r="X35" s="1407"/>
      <c r="Y35" s="1407"/>
      <c r="Z35" s="1407"/>
      <c r="AA35" s="1407"/>
      <c r="AB35" s="1407"/>
      <c r="AC35" s="1407"/>
      <c r="AD35" s="1407"/>
      <c r="AE35" s="1407"/>
      <c r="AF35" s="1407"/>
      <c r="AG35" s="1407"/>
      <c r="AH35" s="1407"/>
      <c r="AI35" s="1407"/>
      <c r="AJ35" s="1407"/>
    </row>
    <row r="36" spans="2:36" ht="15.75" customHeight="1" x14ac:dyDescent="0.25">
      <c r="B36" s="2313"/>
      <c r="C36" s="1477">
        <f>'Forklift INPUTS'!D50</f>
        <v>2016</v>
      </c>
      <c r="D36" s="1990">
        <f>MROUND('Forklift INPUTS'!I50*'Forklift INPUTS'!avgSize, 5)</f>
        <v>0</v>
      </c>
      <c r="E36" s="1990">
        <f>MROUND('Forklift INPUTS'!J50*'Forklift INPUTS'!avgSize, 5)</f>
        <v>0</v>
      </c>
      <c r="F36" s="1991">
        <f>MROUND('Forklift INPUTS'!I58*'Forklift INPUTS'!avgSize_c3, 5)</f>
        <v>0</v>
      </c>
      <c r="G36" s="1991">
        <f>MROUND('Forklift INPUTS'!J58*'Forklift INPUTS'!avgSize_c3, 5)</f>
        <v>0</v>
      </c>
      <c r="H36" s="1407"/>
      <c r="I36" s="1407"/>
      <c r="J36" s="1407"/>
      <c r="K36" s="1407"/>
      <c r="L36" s="1473"/>
      <c r="M36" s="1407"/>
      <c r="N36" s="1407"/>
      <c r="O36" s="1407"/>
      <c r="P36" s="1407"/>
      <c r="Q36" s="1407"/>
      <c r="R36" s="1407"/>
      <c r="S36" s="1407"/>
      <c r="T36" s="1407"/>
      <c r="U36" s="1407"/>
      <c r="V36" s="1407"/>
      <c r="W36" s="1407"/>
      <c r="X36" s="1407"/>
      <c r="Y36" s="1407"/>
      <c r="Z36" s="1407"/>
      <c r="AA36" s="1407"/>
      <c r="AB36" s="1407"/>
      <c r="AC36" s="1407"/>
      <c r="AD36" s="1407"/>
      <c r="AE36" s="1407"/>
      <c r="AF36" s="1407"/>
      <c r="AG36" s="1407"/>
      <c r="AH36" s="1407"/>
      <c r="AI36" s="1407"/>
      <c r="AJ36" s="1407"/>
    </row>
    <row r="37" spans="2:36" ht="15.75" customHeight="1" x14ac:dyDescent="0.25">
      <c r="B37" s="2313"/>
      <c r="C37" s="1477">
        <f>'Forklift INPUTS'!D51</f>
        <v>2017</v>
      </c>
      <c r="D37" s="1990">
        <f>MROUND('Forklift INPUTS'!I51*'Forklift INPUTS'!avgSize, 5)</f>
        <v>0</v>
      </c>
      <c r="E37" s="1990">
        <f>MROUND('Forklift INPUTS'!J51*'Forklift INPUTS'!avgSize, 5)</f>
        <v>0</v>
      </c>
      <c r="F37" s="1991">
        <f>MROUND('Forklift INPUTS'!I59*'Forklift INPUTS'!avgSize_c3, 5)</f>
        <v>0</v>
      </c>
      <c r="G37" s="1991">
        <f>MROUND('Forklift INPUTS'!J59*'Forklift INPUTS'!avgSize_c3, 5)</f>
        <v>0</v>
      </c>
      <c r="H37" s="1407"/>
      <c r="I37" s="1407"/>
      <c r="J37" s="1407"/>
      <c r="K37" s="1407"/>
      <c r="L37" s="1473"/>
      <c r="M37" s="1407"/>
      <c r="N37" s="1407"/>
      <c r="O37" s="1407"/>
      <c r="P37" s="1407"/>
      <c r="Q37" s="1407"/>
      <c r="R37" s="1407"/>
      <c r="S37" s="1407"/>
      <c r="T37" s="1407"/>
      <c r="U37" s="1407"/>
      <c r="V37" s="1407"/>
      <c r="W37" s="1407"/>
      <c r="X37" s="1407"/>
      <c r="Y37" s="1407"/>
      <c r="Z37" s="1407"/>
      <c r="AA37" s="1407"/>
      <c r="AB37" s="1407"/>
      <c r="AC37" s="1407"/>
      <c r="AD37" s="1407"/>
      <c r="AE37" s="1407"/>
      <c r="AF37" s="1407"/>
      <c r="AG37" s="1407"/>
      <c r="AH37" s="1407"/>
      <c r="AI37" s="1407"/>
      <c r="AJ37" s="1407"/>
    </row>
    <row r="38" spans="2:36" ht="15.75" customHeight="1" x14ac:dyDescent="0.25">
      <c r="B38" s="2313"/>
      <c r="C38" s="1477">
        <f>'Forklift INPUTS'!D52</f>
        <v>2018</v>
      </c>
      <c r="D38" s="1990">
        <f>MROUND('Forklift INPUTS'!I52*'Forklift INPUTS'!avgSize, 5)</f>
        <v>0</v>
      </c>
      <c r="E38" s="1990">
        <f>MROUND('Forklift INPUTS'!J52*'Forklift INPUTS'!avgSize, 5)</f>
        <v>0</v>
      </c>
      <c r="F38" s="1991">
        <f>MROUND('Forklift INPUTS'!I60*'Forklift INPUTS'!avgSize_c3, 5)</f>
        <v>0</v>
      </c>
      <c r="G38" s="1991">
        <f>MROUND('Forklift INPUTS'!J60*'Forklift INPUTS'!avgSize_c3, 5)</f>
        <v>0</v>
      </c>
      <c r="H38" s="1407"/>
      <c r="I38" s="1407"/>
      <c r="J38" s="1407"/>
      <c r="K38" s="1407"/>
      <c r="L38" s="1473"/>
      <c r="M38" s="1407"/>
      <c r="N38" s="1407"/>
      <c r="O38" s="1407"/>
      <c r="P38" s="1407"/>
      <c r="Q38" s="1407"/>
      <c r="R38" s="1407"/>
      <c r="S38" s="1407"/>
      <c r="T38" s="1407"/>
      <c r="U38" s="1407"/>
      <c r="V38" s="1407"/>
      <c r="W38" s="1407"/>
      <c r="X38" s="1407"/>
      <c r="Y38" s="1407"/>
      <c r="Z38" s="1407"/>
      <c r="AA38" s="1407"/>
      <c r="AB38" s="1407"/>
      <c r="AC38" s="1407"/>
      <c r="AD38" s="1407"/>
      <c r="AE38" s="1407"/>
      <c r="AF38" s="1407"/>
      <c r="AG38" s="1407"/>
      <c r="AH38" s="1407"/>
      <c r="AI38" s="1407"/>
      <c r="AJ38" s="1407"/>
    </row>
    <row r="39" spans="2:36" ht="16.5" customHeight="1" x14ac:dyDescent="0.25">
      <c r="B39" s="2315" t="s">
        <v>1617</v>
      </c>
      <c r="C39" s="1477">
        <f>'Forklift INPUTS'!D53</f>
        <v>2019</v>
      </c>
      <c r="D39" s="1990">
        <f>MROUND('Forklift INPUTS'!I53*'Forklift INPUTS'!avgSize, 5)</f>
        <v>0</v>
      </c>
      <c r="E39" s="1990">
        <f>MROUND('Forklift INPUTS'!J53*'Forklift INPUTS'!avgSize, 5)</f>
        <v>0</v>
      </c>
      <c r="F39" s="1991">
        <f>MROUND('Forklift INPUTS'!I61*'Forklift INPUTS'!avgSize_c3, 5)</f>
        <v>0</v>
      </c>
      <c r="G39" s="1991">
        <f>MROUND('Forklift INPUTS'!J61*'Forklift INPUTS'!avgSize_c3, 5)</f>
        <v>0</v>
      </c>
      <c r="H39" s="1407"/>
      <c r="I39" s="1407"/>
      <c r="J39" s="1407"/>
      <c r="K39" s="1407"/>
      <c r="L39" s="1473"/>
      <c r="M39" s="1407"/>
      <c r="N39" s="1407"/>
      <c r="O39" s="1407"/>
      <c r="P39" s="1407"/>
      <c r="Q39" s="1407"/>
      <c r="R39" s="1407"/>
      <c r="S39" s="1407"/>
      <c r="T39" s="1407"/>
      <c r="U39" s="1407"/>
      <c r="V39" s="1407"/>
      <c r="W39" s="1407"/>
      <c r="X39" s="1407"/>
      <c r="Y39" s="1407"/>
      <c r="Z39" s="1407"/>
      <c r="AA39" s="1407"/>
      <c r="AB39" s="1407"/>
      <c r="AC39" s="1407"/>
      <c r="AD39" s="1407"/>
      <c r="AE39" s="1407"/>
      <c r="AF39" s="1407"/>
      <c r="AG39" s="1407"/>
      <c r="AH39" s="1407"/>
      <c r="AI39" s="1407"/>
      <c r="AJ39" s="1407"/>
    </row>
    <row r="40" spans="2:36" ht="16.5" customHeight="1" x14ac:dyDescent="0.25">
      <c r="B40" s="2315"/>
      <c r="C40" s="1477">
        <f>'Forklift INPUTS'!D54</f>
        <v>2020</v>
      </c>
      <c r="D40" s="1990">
        <f>MROUND('Forklift INPUTS'!I54*'Forklift INPUTS'!avgSize, 5)</f>
        <v>0</v>
      </c>
      <c r="E40" s="1990">
        <f>MROUND('Forklift INPUTS'!J54*'Forklift INPUTS'!avgSize, 5)</f>
        <v>0</v>
      </c>
      <c r="F40" s="1991">
        <f>MROUND('Forklift INPUTS'!I62*'Forklift INPUTS'!avgSize_c3, 5)</f>
        <v>0</v>
      </c>
      <c r="G40" s="1991">
        <f>MROUND('Forklift INPUTS'!J62*'Forklift INPUTS'!avgSize_c3, 5)</f>
        <v>0</v>
      </c>
      <c r="H40" s="1407"/>
      <c r="I40" s="1407"/>
      <c r="J40" s="1407"/>
      <c r="K40" s="1407"/>
      <c r="L40" s="1473"/>
      <c r="M40" s="1407"/>
      <c r="N40" s="1407"/>
      <c r="O40" s="1407"/>
      <c r="P40" s="1407"/>
      <c r="Q40" s="1407"/>
      <c r="R40" s="1407"/>
      <c r="S40" s="1407"/>
      <c r="T40" s="1407"/>
      <c r="U40" s="1407"/>
      <c r="V40" s="1407"/>
      <c r="W40" s="1407"/>
      <c r="X40" s="1407"/>
      <c r="Y40" s="1407"/>
      <c r="Z40" s="1407"/>
      <c r="AA40" s="1407"/>
      <c r="AB40" s="1407"/>
      <c r="AC40" s="1407"/>
      <c r="AD40" s="1407"/>
      <c r="AE40" s="1407"/>
      <c r="AF40" s="1407"/>
      <c r="AG40" s="1407"/>
      <c r="AH40" s="1407"/>
      <c r="AI40" s="1407"/>
      <c r="AJ40" s="1407"/>
    </row>
    <row r="41" spans="2:36" s="1407" customFormat="1" ht="15.75" x14ac:dyDescent="0.25">
      <c r="B41" s="1441"/>
      <c r="C41" s="1429"/>
      <c r="L41" s="1473"/>
    </row>
    <row r="42" spans="2:36" ht="33" customHeight="1" x14ac:dyDescent="0.25">
      <c r="B42" s="2313" t="s">
        <v>1819</v>
      </c>
      <c r="C42" s="1474" t="str">
        <f>C34</f>
        <v>Year</v>
      </c>
      <c r="D42" s="1475" t="s">
        <v>2080</v>
      </c>
      <c r="E42" s="1475" t="s">
        <v>2081</v>
      </c>
      <c r="F42" s="1476" t="s">
        <v>2082</v>
      </c>
      <c r="G42" s="1476" t="s">
        <v>2083</v>
      </c>
      <c r="H42" s="1407"/>
      <c r="I42" s="1407"/>
      <c r="J42" s="1407"/>
      <c r="K42" s="1407"/>
      <c r="L42" s="1473"/>
      <c r="M42" s="1407"/>
      <c r="N42" s="1407"/>
      <c r="O42" s="1407"/>
      <c r="P42" s="1407"/>
      <c r="Q42" s="1407"/>
      <c r="R42" s="1407"/>
      <c r="S42" s="1407"/>
      <c r="T42" s="1407"/>
      <c r="U42" s="1407"/>
      <c r="V42" s="1407"/>
      <c r="W42" s="1407"/>
      <c r="X42" s="1407"/>
      <c r="Y42" s="1407"/>
      <c r="Z42" s="1407"/>
      <c r="AA42" s="1407"/>
      <c r="AB42" s="1407"/>
      <c r="AC42" s="1407"/>
      <c r="AD42" s="1407"/>
      <c r="AE42" s="1407"/>
      <c r="AF42" s="1407"/>
      <c r="AG42" s="1407"/>
      <c r="AH42" s="1407"/>
      <c r="AI42" s="1407"/>
      <c r="AJ42" s="1407"/>
    </row>
    <row r="43" spans="2:36" ht="15.75" x14ac:dyDescent="0.25">
      <c r="B43" s="2313"/>
      <c r="C43" s="1477">
        <f>C35</f>
        <v>2015</v>
      </c>
      <c r="D43" s="1478">
        <f>'Forklift INPUTS'!H25</f>
        <v>0</v>
      </c>
      <c r="E43" s="1479">
        <f>D43</f>
        <v>0</v>
      </c>
      <c r="F43" s="1480">
        <f>'Forklift INPUTS'!H34</f>
        <v>0</v>
      </c>
      <c r="G43" s="1481">
        <f>F43</f>
        <v>0</v>
      </c>
      <c r="H43" s="1407"/>
      <c r="I43" s="1407"/>
      <c r="J43" s="1407"/>
      <c r="K43" s="1407"/>
      <c r="L43" s="1473"/>
      <c r="M43" s="1407"/>
      <c r="N43" s="1407"/>
      <c r="O43" s="1407"/>
      <c r="P43" s="1407"/>
      <c r="Q43" s="1407"/>
      <c r="R43" s="1407"/>
      <c r="S43" s="1407"/>
      <c r="T43" s="1407"/>
      <c r="U43" s="1407"/>
      <c r="V43" s="1407"/>
      <c r="W43" s="1407"/>
      <c r="X43" s="1407"/>
      <c r="Y43" s="1407"/>
      <c r="Z43" s="1407"/>
      <c r="AA43" s="1407"/>
      <c r="AB43" s="1407"/>
      <c r="AC43" s="1407"/>
      <c r="AD43" s="1407"/>
      <c r="AE43" s="1407"/>
      <c r="AF43" s="1407"/>
      <c r="AG43" s="1407"/>
      <c r="AH43" s="1407"/>
      <c r="AI43" s="1407"/>
      <c r="AJ43" s="1407"/>
    </row>
    <row r="44" spans="2:36" ht="15.75" x14ac:dyDescent="0.25">
      <c r="B44" s="2313"/>
      <c r="C44" s="1477">
        <f t="shared" ref="C44:C48" si="0">C36</f>
        <v>2016</v>
      </c>
      <c r="D44" s="1478">
        <f>'Forklift INPUTS'!H26</f>
        <v>0</v>
      </c>
      <c r="E44" s="1479">
        <f>D44+E43</f>
        <v>0</v>
      </c>
      <c r="F44" s="1480">
        <f>'Forklift INPUTS'!H35</f>
        <v>0</v>
      </c>
      <c r="G44" s="1481">
        <f>G43+F44</f>
        <v>0</v>
      </c>
      <c r="H44" s="1407"/>
      <c r="I44" s="1407"/>
      <c r="J44" s="1407"/>
      <c r="K44" s="1407"/>
      <c r="L44" s="1473"/>
      <c r="M44" s="1407"/>
      <c r="N44" s="1407"/>
      <c r="O44" s="1407"/>
      <c r="P44" s="1407"/>
      <c r="Q44" s="1407"/>
      <c r="R44" s="1407"/>
      <c r="S44" s="1407"/>
      <c r="T44" s="1407"/>
      <c r="U44" s="1407"/>
      <c r="V44" s="1407"/>
      <c r="W44" s="1407"/>
      <c r="X44" s="1407"/>
      <c r="Y44" s="1407"/>
      <c r="Z44" s="1407"/>
      <c r="AA44" s="1407"/>
      <c r="AB44" s="1407"/>
      <c r="AC44" s="1407"/>
      <c r="AD44" s="1407"/>
      <c r="AE44" s="1407"/>
      <c r="AF44" s="1407"/>
      <c r="AG44" s="1407"/>
      <c r="AH44" s="1407"/>
      <c r="AI44" s="1407"/>
      <c r="AJ44" s="1407"/>
    </row>
    <row r="45" spans="2:36" ht="15.75" x14ac:dyDescent="0.25">
      <c r="B45" s="2313"/>
      <c r="C45" s="1477">
        <f t="shared" si="0"/>
        <v>2017</v>
      </c>
      <c r="D45" s="1478">
        <f>'Forklift INPUTS'!H27</f>
        <v>0</v>
      </c>
      <c r="E45" s="1479">
        <f>D45+E44</f>
        <v>0</v>
      </c>
      <c r="F45" s="1480">
        <f>'Forklift INPUTS'!H36</f>
        <v>0</v>
      </c>
      <c r="G45" s="1481">
        <f>G44+F45</f>
        <v>0</v>
      </c>
      <c r="H45" s="1407"/>
      <c r="I45" s="1407"/>
      <c r="J45" s="1407"/>
      <c r="K45" s="1407"/>
      <c r="L45" s="1473"/>
      <c r="M45" s="1407"/>
      <c r="N45" s="1407"/>
      <c r="O45" s="1407"/>
      <c r="P45" s="1407"/>
      <c r="Q45" s="1407"/>
      <c r="R45" s="1407"/>
      <c r="S45" s="1407"/>
      <c r="T45" s="1407"/>
      <c r="U45" s="1407"/>
      <c r="V45" s="1407"/>
      <c r="W45" s="1407"/>
      <c r="X45" s="1407"/>
      <c r="Y45" s="1407"/>
      <c r="Z45" s="1407"/>
      <c r="AA45" s="1407"/>
      <c r="AB45" s="1407"/>
      <c r="AC45" s="1407"/>
      <c r="AD45" s="1407"/>
      <c r="AE45" s="1407"/>
      <c r="AF45" s="1407"/>
      <c r="AG45" s="1407"/>
      <c r="AH45" s="1407"/>
      <c r="AI45" s="1407"/>
      <c r="AJ45" s="1407"/>
    </row>
    <row r="46" spans="2:36" ht="15.75" x14ac:dyDescent="0.25">
      <c r="B46" s="2313"/>
      <c r="C46" s="1477">
        <f t="shared" si="0"/>
        <v>2018</v>
      </c>
      <c r="D46" s="1478">
        <f>'Forklift INPUTS'!H28</f>
        <v>0</v>
      </c>
      <c r="E46" s="1479">
        <f>D46+E45</f>
        <v>0</v>
      </c>
      <c r="F46" s="1480">
        <f>'Forklift INPUTS'!H37</f>
        <v>0</v>
      </c>
      <c r="G46" s="1481">
        <f>G45+F46</f>
        <v>0</v>
      </c>
      <c r="H46" s="1407"/>
      <c r="I46" s="1407"/>
      <c r="J46" s="1407"/>
      <c r="K46" s="1407"/>
      <c r="L46" s="1473"/>
      <c r="M46" s="1407"/>
      <c r="N46" s="1407"/>
      <c r="O46" s="1407"/>
      <c r="P46" s="1407"/>
      <c r="Q46" s="1407"/>
      <c r="R46" s="1407"/>
      <c r="S46" s="1407"/>
      <c r="T46" s="1407"/>
      <c r="U46" s="1407"/>
      <c r="V46" s="1407"/>
      <c r="W46" s="1407"/>
      <c r="X46" s="1407"/>
      <c r="Y46" s="1407"/>
      <c r="Z46" s="1407"/>
      <c r="AA46" s="1407"/>
      <c r="AB46" s="1407"/>
      <c r="AC46" s="1407"/>
      <c r="AD46" s="1407"/>
      <c r="AE46" s="1407"/>
      <c r="AF46" s="1407"/>
      <c r="AG46" s="1407"/>
      <c r="AH46" s="1407"/>
      <c r="AI46" s="1407"/>
      <c r="AJ46" s="1407"/>
    </row>
    <row r="47" spans="2:36" ht="16.5" customHeight="1" x14ac:dyDescent="0.25">
      <c r="B47" s="2313"/>
      <c r="C47" s="1477">
        <f t="shared" si="0"/>
        <v>2019</v>
      </c>
      <c r="D47" s="1478">
        <f>'Forklift INPUTS'!H29</f>
        <v>0</v>
      </c>
      <c r="E47" s="1479">
        <f>D47+E46</f>
        <v>0</v>
      </c>
      <c r="F47" s="1480">
        <f>'Forklift INPUTS'!H38</f>
        <v>0</v>
      </c>
      <c r="G47" s="1481">
        <f>G46+F47</f>
        <v>0</v>
      </c>
      <c r="H47" s="1407"/>
      <c r="I47" s="1407"/>
      <c r="J47" s="1407"/>
      <c r="K47" s="1407"/>
      <c r="L47" s="1473"/>
      <c r="M47" s="1407"/>
      <c r="N47" s="1407"/>
      <c r="O47" s="1407"/>
      <c r="P47" s="1407"/>
      <c r="Q47" s="1407"/>
      <c r="R47" s="1407"/>
      <c r="S47" s="1407"/>
      <c r="T47" s="1407"/>
      <c r="U47" s="1407"/>
      <c r="V47" s="1407"/>
      <c r="W47" s="1407"/>
      <c r="X47" s="1407"/>
      <c r="Y47" s="1407"/>
      <c r="Z47" s="1407"/>
      <c r="AA47" s="1407"/>
      <c r="AB47" s="1407"/>
      <c r="AC47" s="1407"/>
      <c r="AD47" s="1407"/>
      <c r="AE47" s="1407"/>
      <c r="AF47" s="1407"/>
      <c r="AG47" s="1407"/>
      <c r="AH47" s="1407"/>
      <c r="AI47" s="1407"/>
      <c r="AJ47" s="1407"/>
    </row>
    <row r="48" spans="2:36" ht="16.5" customHeight="1" x14ac:dyDescent="0.25">
      <c r="B48" s="2313"/>
      <c r="C48" s="1477">
        <f t="shared" si="0"/>
        <v>2020</v>
      </c>
      <c r="D48" s="1478">
        <f>'Forklift INPUTS'!H30</f>
        <v>0</v>
      </c>
      <c r="E48" s="1479">
        <f>D48+E47</f>
        <v>0</v>
      </c>
      <c r="F48" s="1480">
        <f>'Forklift INPUTS'!H39</f>
        <v>0</v>
      </c>
      <c r="G48" s="1481">
        <f>G47+F48</f>
        <v>0</v>
      </c>
      <c r="H48" s="1407"/>
      <c r="I48" s="1407"/>
      <c r="J48" s="1407"/>
      <c r="K48" s="1407"/>
      <c r="L48" s="1473"/>
      <c r="M48" s="1407"/>
      <c r="N48" s="1407"/>
      <c r="O48" s="1407"/>
      <c r="P48" s="1407"/>
      <c r="Q48" s="1407"/>
      <c r="R48" s="1407"/>
      <c r="S48" s="1407"/>
      <c r="T48" s="1407"/>
      <c r="U48" s="1407"/>
      <c r="V48" s="1407"/>
      <c r="W48" s="1407"/>
      <c r="X48" s="1407"/>
      <c r="Y48" s="1407"/>
      <c r="Z48" s="1407"/>
      <c r="AA48" s="1407"/>
      <c r="AB48" s="1407"/>
      <c r="AC48" s="1407"/>
      <c r="AD48" s="1407"/>
      <c r="AE48" s="1407"/>
      <c r="AF48" s="1407"/>
      <c r="AG48" s="1407"/>
      <c r="AH48" s="1407"/>
      <c r="AI48" s="1407"/>
      <c r="AJ48" s="1407"/>
    </row>
    <row r="49" spans="1:47" s="1407" customFormat="1" ht="15.75" x14ac:dyDescent="0.25">
      <c r="B49" s="1441"/>
      <c r="C49" s="1429"/>
      <c r="D49" s="1482"/>
      <c r="E49" s="1482"/>
      <c r="F49" s="1482"/>
      <c r="G49" s="1482"/>
      <c r="L49" s="1473"/>
    </row>
    <row r="50" spans="1:47" ht="33.75" customHeight="1" x14ac:dyDescent="0.25">
      <c r="B50" s="2313" t="s">
        <v>1820</v>
      </c>
      <c r="C50" s="1474" t="str">
        <f>C42</f>
        <v>Year</v>
      </c>
      <c r="D50" s="1483" t="s">
        <v>1753</v>
      </c>
      <c r="E50" s="1483" t="s">
        <v>2078</v>
      </c>
      <c r="F50" s="1484" t="s">
        <v>1752</v>
      </c>
      <c r="G50" s="1484" t="s">
        <v>2079</v>
      </c>
      <c r="H50" s="1407"/>
      <c r="I50" s="1407"/>
      <c r="J50" s="1407"/>
      <c r="K50" s="1407"/>
      <c r="L50" s="1473"/>
      <c r="M50" s="1407"/>
      <c r="N50" s="1407"/>
      <c r="O50" s="1407"/>
      <c r="P50" s="1407"/>
      <c r="Q50" s="1407"/>
      <c r="R50" s="1407"/>
      <c r="S50" s="1407"/>
      <c r="T50" s="1407"/>
      <c r="U50" s="1407"/>
      <c r="V50" s="1407"/>
      <c r="W50" s="1407"/>
      <c r="X50" s="1407"/>
      <c r="Y50" s="1407"/>
      <c r="Z50" s="1407"/>
      <c r="AA50" s="1407"/>
      <c r="AB50" s="1407"/>
      <c r="AC50" s="1407"/>
      <c r="AD50" s="1407"/>
      <c r="AE50" s="1407"/>
      <c r="AF50" s="1407"/>
      <c r="AG50" s="1407"/>
      <c r="AH50" s="1407"/>
      <c r="AI50" s="1407"/>
      <c r="AJ50" s="1407"/>
    </row>
    <row r="51" spans="1:47" ht="15.75" x14ac:dyDescent="0.25">
      <c r="B51" s="2313"/>
      <c r="C51" s="1477">
        <f>C43</f>
        <v>2015</v>
      </c>
      <c r="D51" s="1485">
        <f>'Forklift INPUTS'!H25-'Forklift INPUTS'!I25+'Forklift INPUTS'!J25</f>
        <v>0</v>
      </c>
      <c r="E51" s="1485">
        <f>'Forklift INPUTS'!J121+D51</f>
        <v>0</v>
      </c>
      <c r="F51" s="1486">
        <f>'Forklift INPUTS'!H34-'Forklift INPUTS'!I34+'Forklift INPUTS'!J34</f>
        <v>0</v>
      </c>
      <c r="G51" s="1486">
        <f>'Forklift INPUTS'!J122+F51</f>
        <v>0</v>
      </c>
      <c r="H51" s="1407"/>
      <c r="I51" s="1407"/>
      <c r="J51" s="1407"/>
      <c r="K51" s="1407"/>
      <c r="L51" s="1473"/>
      <c r="M51" s="1407"/>
      <c r="N51" s="1407"/>
      <c r="O51" s="1407"/>
      <c r="P51" s="1407"/>
      <c r="Q51" s="1407"/>
      <c r="R51" s="1407"/>
      <c r="S51" s="1407"/>
      <c r="T51" s="1407"/>
      <c r="U51" s="1407"/>
      <c r="V51" s="1407"/>
      <c r="W51" s="1407"/>
      <c r="X51" s="1407"/>
      <c r="Y51" s="1407"/>
      <c r="Z51" s="1407"/>
      <c r="AA51" s="1407"/>
      <c r="AB51" s="1407"/>
      <c r="AC51" s="1407"/>
      <c r="AD51" s="1407"/>
      <c r="AE51" s="1407"/>
      <c r="AF51" s="1407"/>
      <c r="AG51" s="1407"/>
      <c r="AH51" s="1407"/>
      <c r="AI51" s="1407"/>
      <c r="AJ51" s="1407"/>
    </row>
    <row r="52" spans="1:47" ht="15.75" x14ac:dyDescent="0.25">
      <c r="B52" s="2313"/>
      <c r="C52" s="1477">
        <f t="shared" ref="C52:C56" si="1">C44</f>
        <v>2016</v>
      </c>
      <c r="D52" s="1485">
        <f>'Forklift INPUTS'!H26-'Forklift INPUTS'!I26+'Forklift INPUTS'!J26</f>
        <v>0</v>
      </c>
      <c r="E52" s="1485">
        <f>E51+D52</f>
        <v>0</v>
      </c>
      <c r="F52" s="1486">
        <f>'Forklift INPUTS'!H35-'Forklift INPUTS'!I35+'Forklift INPUTS'!J35</f>
        <v>0</v>
      </c>
      <c r="G52" s="1486">
        <f>G51+F52</f>
        <v>0</v>
      </c>
      <c r="H52" s="1407"/>
      <c r="I52" s="1407"/>
      <c r="J52" s="1407"/>
      <c r="K52" s="1407"/>
      <c r="L52" s="1473"/>
      <c r="M52" s="1407"/>
      <c r="N52" s="1407"/>
      <c r="O52" s="1407"/>
      <c r="P52" s="1407"/>
      <c r="Q52" s="1407"/>
      <c r="R52" s="1407"/>
      <c r="S52" s="1407"/>
      <c r="T52" s="1407"/>
      <c r="U52" s="1407"/>
      <c r="V52" s="1407"/>
      <c r="W52" s="1407"/>
      <c r="X52" s="1407"/>
      <c r="Y52" s="1407"/>
      <c r="Z52" s="1407"/>
      <c r="AA52" s="1407"/>
      <c r="AB52" s="1407"/>
      <c r="AC52" s="1407"/>
      <c r="AD52" s="1407"/>
      <c r="AE52" s="1407"/>
      <c r="AF52" s="1407"/>
      <c r="AG52" s="1407"/>
      <c r="AH52" s="1407"/>
      <c r="AI52" s="1407"/>
      <c r="AJ52" s="1407"/>
    </row>
    <row r="53" spans="1:47" ht="15.75" x14ac:dyDescent="0.25">
      <c r="B53" s="2313"/>
      <c r="C53" s="1477">
        <f t="shared" si="1"/>
        <v>2017</v>
      </c>
      <c r="D53" s="1485">
        <f>'Forklift INPUTS'!H27-'Forklift INPUTS'!I27+'Forklift INPUTS'!J27</f>
        <v>0</v>
      </c>
      <c r="E53" s="1485">
        <f>E52+D53</f>
        <v>0</v>
      </c>
      <c r="F53" s="1486">
        <f>'Forklift INPUTS'!H36-'Forklift INPUTS'!I36+'Forklift INPUTS'!J36</f>
        <v>0</v>
      </c>
      <c r="G53" s="1486">
        <f t="shared" ref="G53:G56" si="2">G52+F53</f>
        <v>0</v>
      </c>
      <c r="H53" s="1407"/>
      <c r="I53" s="1407"/>
      <c r="J53" s="1407"/>
      <c r="K53" s="1407"/>
      <c r="L53" s="1473"/>
      <c r="M53" s="1407"/>
      <c r="N53" s="1407"/>
      <c r="O53" s="1407"/>
      <c r="P53" s="1407"/>
      <c r="Q53" s="1407"/>
      <c r="R53" s="1407"/>
      <c r="S53" s="1407"/>
      <c r="T53" s="1407"/>
      <c r="U53" s="1407"/>
      <c r="V53" s="1407"/>
      <c r="W53" s="1407"/>
      <c r="X53" s="1407"/>
      <c r="Y53" s="1407"/>
      <c r="Z53" s="1407"/>
      <c r="AA53" s="1407"/>
      <c r="AB53" s="1407"/>
      <c r="AC53" s="1407"/>
      <c r="AD53" s="1407"/>
      <c r="AE53" s="1407"/>
      <c r="AF53" s="1407"/>
      <c r="AG53" s="1407"/>
      <c r="AH53" s="1407"/>
      <c r="AI53" s="1407"/>
      <c r="AJ53" s="1407"/>
    </row>
    <row r="54" spans="1:47" ht="15.75" x14ac:dyDescent="0.25">
      <c r="B54" s="2313"/>
      <c r="C54" s="1477">
        <f t="shared" si="1"/>
        <v>2018</v>
      </c>
      <c r="D54" s="1485">
        <f>'Forklift INPUTS'!H28-'Forklift INPUTS'!I28+'Forklift INPUTS'!J28</f>
        <v>0</v>
      </c>
      <c r="E54" s="1485">
        <f>E53+D54</f>
        <v>0</v>
      </c>
      <c r="F54" s="1486">
        <f>'Forklift INPUTS'!H37-'Forklift INPUTS'!I37+'Forklift INPUTS'!J37</f>
        <v>0</v>
      </c>
      <c r="G54" s="1486">
        <f t="shared" si="2"/>
        <v>0</v>
      </c>
      <c r="H54" s="1407"/>
      <c r="I54" s="1407"/>
      <c r="J54" s="1407"/>
      <c r="K54" s="1407"/>
      <c r="L54" s="1473"/>
      <c r="M54" s="1407"/>
      <c r="N54" s="1407"/>
      <c r="O54" s="1407"/>
      <c r="P54" s="1407"/>
      <c r="Q54" s="1407"/>
      <c r="R54" s="1487"/>
      <c r="S54" s="1487"/>
      <c r="T54" s="1487"/>
      <c r="U54" s="1487"/>
      <c r="V54" s="1487"/>
      <c r="W54" s="1487"/>
      <c r="X54" s="1488"/>
      <c r="Y54" s="1488"/>
      <c r="Z54" s="1488"/>
      <c r="AA54" s="1488"/>
      <c r="AB54" s="1488"/>
      <c r="AC54" s="1488"/>
      <c r="AD54" s="1488"/>
      <c r="AE54" s="1488"/>
      <c r="AF54" s="1488"/>
      <c r="AG54" s="1488"/>
      <c r="AH54" s="1488"/>
      <c r="AI54" s="1407"/>
      <c r="AJ54" s="1407"/>
    </row>
    <row r="55" spans="1:47" ht="16.5" customHeight="1" x14ac:dyDescent="0.25">
      <c r="B55" s="2313"/>
      <c r="C55" s="1477">
        <f t="shared" si="1"/>
        <v>2019</v>
      </c>
      <c r="D55" s="1485">
        <f>'Forklift INPUTS'!H29-'Forklift INPUTS'!I29+'Forklift INPUTS'!J29</f>
        <v>0</v>
      </c>
      <c r="E55" s="1485">
        <f>E54+D55</f>
        <v>0</v>
      </c>
      <c r="F55" s="1486">
        <f>'Forklift INPUTS'!H38-'Forklift INPUTS'!I38+'Forklift INPUTS'!J38</f>
        <v>0</v>
      </c>
      <c r="G55" s="1486">
        <f t="shared" si="2"/>
        <v>0</v>
      </c>
      <c r="H55" s="1407"/>
      <c r="I55" s="1407"/>
      <c r="J55" s="1407"/>
      <c r="K55" s="1407"/>
      <c r="L55" s="1473"/>
      <c r="M55" s="1407"/>
      <c r="N55" s="1407"/>
      <c r="O55" s="1407"/>
      <c r="P55" s="1407"/>
      <c r="Q55" s="1407"/>
      <c r="R55" s="1487"/>
      <c r="S55" s="1487"/>
      <c r="T55" s="1487"/>
      <c r="U55" s="1487"/>
      <c r="V55" s="1487"/>
      <c r="W55" s="1487"/>
      <c r="X55" s="1488"/>
      <c r="Y55" s="1488"/>
      <c r="Z55" s="1488"/>
      <c r="AA55" s="1488"/>
      <c r="AB55" s="1488"/>
      <c r="AC55" s="1488"/>
      <c r="AD55" s="1488"/>
      <c r="AE55" s="1488"/>
      <c r="AF55" s="1488"/>
      <c r="AG55" s="1488"/>
      <c r="AH55" s="1488"/>
      <c r="AI55" s="1407"/>
      <c r="AJ55" s="1407"/>
    </row>
    <row r="56" spans="1:47" s="1491" customFormat="1" ht="15.75" x14ac:dyDescent="0.25">
      <c r="A56" s="1482"/>
      <c r="B56" s="2313"/>
      <c r="C56" s="1477">
        <f t="shared" si="1"/>
        <v>2020</v>
      </c>
      <c r="D56" s="1485">
        <f>'Forklift INPUTS'!H30-'Forklift INPUTS'!I30+'Forklift INPUTS'!J30</f>
        <v>0</v>
      </c>
      <c r="E56" s="1485">
        <f>E55+D56</f>
        <v>0</v>
      </c>
      <c r="F56" s="1486">
        <f>'Forklift INPUTS'!H39-'Forklift INPUTS'!I39+'Forklift INPUTS'!J39</f>
        <v>0</v>
      </c>
      <c r="G56" s="1486">
        <f t="shared" si="2"/>
        <v>0</v>
      </c>
      <c r="H56" s="1482"/>
      <c r="I56" s="1482"/>
      <c r="J56" s="1482"/>
      <c r="K56" s="1482"/>
      <c r="L56" s="1489"/>
      <c r="M56" s="1482"/>
      <c r="N56" s="1482"/>
      <c r="O56" s="1482"/>
      <c r="P56" s="1482"/>
      <c r="Q56" s="1482"/>
      <c r="R56" s="1482"/>
      <c r="S56" s="1482"/>
      <c r="T56" s="1482"/>
      <c r="U56" s="1482"/>
      <c r="V56" s="1482"/>
      <c r="W56" s="1482"/>
      <c r="X56" s="1482"/>
      <c r="Y56" s="1482"/>
      <c r="Z56" s="1482"/>
      <c r="AA56" s="1482"/>
      <c r="AB56" s="1482"/>
      <c r="AC56" s="1490"/>
      <c r="AD56" s="1490"/>
      <c r="AE56" s="1490"/>
      <c r="AF56" s="1490"/>
      <c r="AG56" s="1490"/>
      <c r="AH56" s="1490"/>
      <c r="AI56" s="1482"/>
      <c r="AJ56" s="1482"/>
    </row>
    <row r="57" spans="1:47" s="1482" customFormat="1" ht="15.75" x14ac:dyDescent="0.25">
      <c r="B57" s="1492"/>
      <c r="L57" s="1489"/>
      <c r="AC57" s="1490"/>
      <c r="AD57" s="1490"/>
      <c r="AE57" s="1490"/>
      <c r="AF57" s="1490"/>
      <c r="AG57" s="1490"/>
      <c r="AH57" s="1490"/>
    </row>
    <row r="58" spans="1:47" s="1494" customFormat="1" ht="31.5" customHeight="1" x14ac:dyDescent="0.25">
      <c r="A58" s="1383"/>
      <c r="B58" s="2313" t="s">
        <v>1758</v>
      </c>
      <c r="C58" s="1474" t="str">
        <f>C50</f>
        <v>Year</v>
      </c>
      <c r="D58" s="2314" t="s">
        <v>1596</v>
      </c>
      <c r="E58" s="2314"/>
      <c r="F58" s="2314" t="s">
        <v>2077</v>
      </c>
      <c r="G58" s="2314"/>
      <c r="H58" s="1383"/>
      <c r="I58" s="1383"/>
      <c r="J58" s="1383"/>
      <c r="K58" s="1383"/>
      <c r="L58" s="1384"/>
      <c r="M58" s="1383"/>
      <c r="N58" s="1383"/>
      <c r="O58" s="1383"/>
      <c r="P58" s="1383"/>
      <c r="Q58" s="1383"/>
      <c r="R58" s="1383"/>
      <c r="S58" s="1383"/>
      <c r="T58" s="1383"/>
      <c r="U58" s="1383"/>
      <c r="V58" s="1383"/>
      <c r="W58" s="1383"/>
      <c r="X58" s="1383"/>
      <c r="Y58" s="1383"/>
      <c r="Z58" s="1383"/>
      <c r="AA58" s="1383"/>
      <c r="AB58" s="1383"/>
      <c r="AC58" s="1493"/>
      <c r="AD58" s="1493"/>
      <c r="AE58" s="1493"/>
      <c r="AF58" s="1493"/>
      <c r="AG58" s="1493"/>
      <c r="AH58" s="1493"/>
      <c r="AI58" s="1383"/>
      <c r="AJ58" s="1383"/>
    </row>
    <row r="59" spans="1:47" s="1494" customFormat="1" ht="15.75" customHeight="1" x14ac:dyDescent="0.25">
      <c r="A59" s="1383"/>
      <c r="B59" s="2313"/>
      <c r="C59" s="1477">
        <f>C51</f>
        <v>2015</v>
      </c>
      <c r="D59" s="1495">
        <f>'Forklift INPUTS'!J83</f>
        <v>0</v>
      </c>
      <c r="E59" s="1496"/>
      <c r="F59" s="1495">
        <f>D59+'Forklift INPUTS'!J120</f>
        <v>0</v>
      </c>
      <c r="G59" s="1496"/>
      <c r="H59" s="1383"/>
      <c r="I59" s="1383"/>
      <c r="J59" s="1383"/>
      <c r="K59" s="1383"/>
      <c r="L59" s="1384"/>
      <c r="M59" s="1383"/>
      <c r="N59" s="1383"/>
      <c r="O59" s="1383"/>
      <c r="P59" s="1383"/>
      <c r="Q59" s="1383"/>
      <c r="R59" s="1383"/>
      <c r="S59" s="1383"/>
      <c r="T59" s="1383"/>
      <c r="U59" s="1383"/>
      <c r="V59" s="1383"/>
      <c r="W59" s="1383"/>
      <c r="X59" s="1383"/>
      <c r="Y59" s="1383"/>
      <c r="Z59" s="1383"/>
      <c r="AA59" s="1383"/>
      <c r="AB59" s="1383"/>
      <c r="AC59" s="1493"/>
      <c r="AD59" s="1493"/>
      <c r="AE59" s="1493"/>
      <c r="AF59" s="1493"/>
      <c r="AG59" s="1493"/>
      <c r="AH59" s="1493"/>
      <c r="AI59" s="1383"/>
      <c r="AJ59" s="1383"/>
    </row>
    <row r="60" spans="1:47" s="1494" customFormat="1" ht="15.75" customHeight="1" x14ac:dyDescent="0.25">
      <c r="A60" s="1383"/>
      <c r="B60" s="2313"/>
      <c r="C60" s="1477">
        <f t="shared" ref="C60:C64" si="3">C52</f>
        <v>2016</v>
      </c>
      <c r="D60" s="1495">
        <f>'Forklift INPUTS'!J84</f>
        <v>0</v>
      </c>
      <c r="E60" s="1496"/>
      <c r="F60" s="1495">
        <f>F59+D60</f>
        <v>0</v>
      </c>
      <c r="G60" s="1496"/>
      <c r="H60" s="1383"/>
      <c r="I60" s="1383"/>
      <c r="J60" s="1383"/>
      <c r="K60" s="1383"/>
      <c r="L60" s="1384"/>
      <c r="M60" s="1383"/>
      <c r="N60" s="1383"/>
      <c r="O60" s="1383"/>
      <c r="P60" s="1383"/>
      <c r="Q60" s="1383"/>
      <c r="R60" s="1383"/>
      <c r="S60" s="1383"/>
      <c r="T60" s="1383"/>
      <c r="U60" s="1383"/>
      <c r="V60" s="1383"/>
      <c r="W60" s="1383"/>
      <c r="X60" s="1383"/>
      <c r="Y60" s="1383"/>
      <c r="Z60" s="1383"/>
      <c r="AA60" s="1383"/>
      <c r="AB60" s="1383"/>
      <c r="AC60" s="1493"/>
      <c r="AD60" s="1493"/>
      <c r="AE60" s="1493"/>
      <c r="AF60" s="1493"/>
      <c r="AG60" s="1493"/>
      <c r="AH60" s="1493"/>
      <c r="AI60" s="1383"/>
      <c r="AJ60" s="1383"/>
    </row>
    <row r="61" spans="1:47" s="1494" customFormat="1" ht="15.75" customHeight="1" x14ac:dyDescent="0.25">
      <c r="A61" s="1383"/>
      <c r="B61" s="2313"/>
      <c r="C61" s="1477">
        <f t="shared" si="3"/>
        <v>2017</v>
      </c>
      <c r="D61" s="1495">
        <f>'Forklift INPUTS'!J85</f>
        <v>0</v>
      </c>
      <c r="E61" s="1496"/>
      <c r="F61" s="1495">
        <f>F60+D61</f>
        <v>0</v>
      </c>
      <c r="G61" s="1496"/>
      <c r="H61" s="1383"/>
      <c r="I61" s="1383"/>
      <c r="J61" s="1383"/>
      <c r="K61" s="1383"/>
      <c r="L61" s="1384"/>
      <c r="M61" s="1383"/>
      <c r="N61" s="1383"/>
      <c r="O61" s="1383"/>
      <c r="P61" s="1383"/>
      <c r="Q61" s="1383"/>
      <c r="R61" s="1383"/>
      <c r="S61" s="1383"/>
      <c r="T61" s="1383"/>
      <c r="U61" s="1383"/>
      <c r="V61" s="1383"/>
      <c r="W61" s="1383"/>
      <c r="X61" s="1383"/>
      <c r="Y61" s="1383"/>
      <c r="Z61" s="1383"/>
      <c r="AA61" s="1383"/>
      <c r="AB61" s="1383"/>
      <c r="AC61" s="1493"/>
      <c r="AD61" s="1493"/>
      <c r="AE61" s="1493"/>
      <c r="AF61" s="1493"/>
      <c r="AG61" s="1493"/>
      <c r="AH61" s="1493"/>
      <c r="AI61" s="1383"/>
      <c r="AJ61" s="1383"/>
    </row>
    <row r="62" spans="1:47" s="1494" customFormat="1" ht="15.75" customHeight="1" x14ac:dyDescent="0.25">
      <c r="A62" s="1383"/>
      <c r="B62" s="2313"/>
      <c r="C62" s="1477">
        <f t="shared" si="3"/>
        <v>2018</v>
      </c>
      <c r="D62" s="1495">
        <f>'Forklift INPUTS'!J86</f>
        <v>0</v>
      </c>
      <c r="E62" s="1496"/>
      <c r="F62" s="1495">
        <f>F61+D62</f>
        <v>0</v>
      </c>
      <c r="G62" s="1496"/>
      <c r="H62" s="1383"/>
      <c r="I62" s="1383"/>
      <c r="J62" s="1383"/>
      <c r="K62" s="1383"/>
      <c r="L62" s="1384"/>
      <c r="M62" s="1383"/>
      <c r="N62" s="1383"/>
      <c r="O62" s="1383"/>
      <c r="P62" s="1383"/>
      <c r="Q62" s="1383"/>
      <c r="R62" s="1383"/>
      <c r="S62" s="1383"/>
      <c r="T62" s="1383"/>
      <c r="U62" s="1383"/>
      <c r="V62" s="1383"/>
      <c r="W62" s="1383"/>
      <c r="X62" s="1383"/>
      <c r="Y62" s="1383"/>
      <c r="Z62" s="1383"/>
      <c r="AA62" s="1383"/>
      <c r="AB62" s="1383"/>
      <c r="AC62" s="1493"/>
      <c r="AD62" s="1493"/>
      <c r="AE62" s="1493"/>
      <c r="AF62" s="1493"/>
      <c r="AG62" s="1493"/>
      <c r="AH62" s="1493"/>
      <c r="AI62" s="1383"/>
      <c r="AJ62" s="1383"/>
    </row>
    <row r="63" spans="1:47" ht="16.5" customHeight="1" x14ac:dyDescent="0.25">
      <c r="B63" s="2313"/>
      <c r="C63" s="1477">
        <f t="shared" si="3"/>
        <v>2019</v>
      </c>
      <c r="D63" s="1495">
        <f>'Forklift INPUTS'!J87</f>
        <v>0</v>
      </c>
      <c r="E63" s="1496"/>
      <c r="F63" s="1495">
        <f>F62+D63</f>
        <v>0</v>
      </c>
      <c r="G63" s="1496"/>
      <c r="H63" s="1407"/>
      <c r="I63" s="1407"/>
      <c r="J63" s="1407"/>
      <c r="K63" s="1407"/>
      <c r="L63" s="1473"/>
      <c r="M63" s="1407"/>
      <c r="N63" s="1407"/>
      <c r="O63" s="1407"/>
      <c r="P63" s="1407"/>
      <c r="Q63" s="1407"/>
      <c r="R63" s="1487"/>
      <c r="S63" s="1487"/>
      <c r="T63" s="1487"/>
      <c r="U63" s="1487"/>
      <c r="V63" s="1487"/>
      <c r="W63" s="1487"/>
      <c r="X63" s="1488"/>
      <c r="Y63" s="1488"/>
      <c r="Z63" s="1488"/>
      <c r="AA63" s="1488"/>
      <c r="AB63" s="1488"/>
      <c r="AC63" s="1488"/>
      <c r="AD63" s="1488"/>
      <c r="AE63" s="1488"/>
      <c r="AF63" s="1488"/>
      <c r="AG63" s="1488"/>
      <c r="AH63" s="1488"/>
      <c r="AI63" s="1407"/>
      <c r="AJ63" s="1407"/>
    </row>
    <row r="64" spans="1:47" ht="16.5" customHeight="1" x14ac:dyDescent="0.25">
      <c r="B64" s="2322"/>
      <c r="C64" s="1477">
        <f t="shared" si="3"/>
        <v>2020</v>
      </c>
      <c r="D64" s="1495">
        <f>'Forklift INPUTS'!J88</f>
        <v>0</v>
      </c>
      <c r="E64" s="1496"/>
      <c r="F64" s="1495">
        <f>F63+D64</f>
        <v>0</v>
      </c>
      <c r="G64" s="1496"/>
      <c r="H64" s="1410"/>
      <c r="I64" s="1410"/>
      <c r="J64" s="1410"/>
      <c r="K64" s="1410"/>
      <c r="L64" s="1411"/>
      <c r="M64" s="1407"/>
      <c r="N64" s="1407"/>
      <c r="O64" s="1407"/>
      <c r="P64" s="1407"/>
      <c r="Q64" s="1407"/>
      <c r="R64" s="1487"/>
      <c r="S64" s="1487"/>
      <c r="T64" s="1487"/>
      <c r="U64" s="1487"/>
      <c r="V64" s="1487"/>
      <c r="W64" s="1487"/>
      <c r="X64" s="1488"/>
      <c r="Y64" s="1488"/>
      <c r="Z64" s="1488"/>
      <c r="AA64" s="1488"/>
      <c r="AB64" s="1488"/>
      <c r="AC64" s="1488"/>
      <c r="AD64" s="1488"/>
      <c r="AE64" s="1488"/>
      <c r="AF64" s="1488"/>
      <c r="AG64" s="1488"/>
      <c r="AH64" s="1488"/>
      <c r="AI64" s="1407"/>
      <c r="AJ64" s="1407"/>
      <c r="AK64" s="1497"/>
      <c r="AL64" s="1497"/>
      <c r="AM64" s="1497"/>
      <c r="AN64" s="1497"/>
      <c r="AO64" s="1497"/>
      <c r="AP64" s="1497"/>
      <c r="AQ64" s="1497"/>
      <c r="AR64" s="1497"/>
      <c r="AS64" s="1497"/>
      <c r="AT64" s="1497"/>
      <c r="AU64" s="1497"/>
    </row>
    <row r="65" spans="1:52" s="1407" customFormat="1" x14ac:dyDescent="0.25">
      <c r="R65" s="1487"/>
      <c r="S65" s="1487"/>
      <c r="T65" s="1487"/>
      <c r="U65" s="1487"/>
      <c r="V65" s="1487"/>
      <c r="W65" s="1487"/>
      <c r="X65" s="1488"/>
      <c r="Y65" s="1488"/>
      <c r="Z65" s="1488"/>
      <c r="AA65" s="1488"/>
      <c r="AB65" s="1488"/>
      <c r="AC65" s="1488"/>
      <c r="AD65" s="1488"/>
      <c r="AE65" s="1488"/>
      <c r="AF65" s="1488"/>
      <c r="AG65" s="1488"/>
      <c r="AH65" s="1488"/>
      <c r="AK65" s="1498"/>
      <c r="AL65" s="1498"/>
      <c r="AM65" s="1498"/>
      <c r="AN65" s="1498"/>
      <c r="AO65" s="1498"/>
      <c r="AP65" s="1498"/>
      <c r="AQ65" s="1498"/>
      <c r="AR65" s="1498"/>
      <c r="AS65" s="1498"/>
      <c r="AT65" s="1498"/>
      <c r="AU65" s="1498"/>
    </row>
    <row r="66" spans="1:52" s="1407" customFormat="1" x14ac:dyDescent="0.25">
      <c r="R66" s="1487"/>
      <c r="S66" s="1487"/>
      <c r="T66" s="1487"/>
      <c r="U66" s="1487"/>
      <c r="V66" s="1487"/>
      <c r="W66" s="1487"/>
      <c r="X66" s="1488"/>
      <c r="Y66" s="1488"/>
      <c r="Z66" s="1488"/>
      <c r="AA66" s="1488"/>
      <c r="AB66" s="1488"/>
      <c r="AC66" s="1488"/>
      <c r="AD66" s="1488"/>
      <c r="AE66" s="1488"/>
      <c r="AF66" s="1488"/>
      <c r="AG66" s="1488"/>
      <c r="AH66" s="1488"/>
      <c r="AK66" s="1498"/>
      <c r="AL66" s="1498"/>
      <c r="AM66" s="1498"/>
      <c r="AN66" s="1498"/>
      <c r="AO66" s="1498"/>
      <c r="AP66" s="1498"/>
      <c r="AQ66" s="1498"/>
      <c r="AR66" s="1498"/>
      <c r="AS66" s="1498"/>
      <c r="AT66" s="1498"/>
      <c r="AU66" s="1498"/>
    </row>
    <row r="67" spans="1:52" s="1500" customFormat="1" ht="21" x14ac:dyDescent="0.35">
      <c r="A67" s="1407"/>
      <c r="B67" s="1499" t="str">
        <f>F6&amp; " Economic Impacts"</f>
        <v>Gross Economic Impacts</v>
      </c>
      <c r="R67" s="1501"/>
      <c r="S67" s="1501"/>
      <c r="T67" s="1501"/>
      <c r="U67" s="1501"/>
      <c r="V67" s="1501"/>
      <c r="W67" s="1501"/>
      <c r="X67" s="1502"/>
      <c r="Y67" s="1502"/>
      <c r="Z67" s="1502"/>
      <c r="AA67" s="1502"/>
      <c r="AB67" s="1502"/>
      <c r="AC67" s="1502"/>
      <c r="AD67" s="1502"/>
      <c r="AE67" s="1502"/>
      <c r="AF67" s="1502"/>
      <c r="AG67" s="1502"/>
      <c r="AH67" s="1502"/>
      <c r="AK67" s="1503"/>
      <c r="AL67" s="1503"/>
      <c r="AM67" s="1503"/>
      <c r="AN67" s="1503"/>
      <c r="AO67" s="1503"/>
      <c r="AP67" s="1503"/>
      <c r="AQ67" s="1503"/>
      <c r="AR67" s="1503"/>
      <c r="AS67" s="1503"/>
      <c r="AT67" s="1503"/>
      <c r="AU67" s="1503"/>
    </row>
    <row r="68" spans="1:52" s="1407" customFormat="1" x14ac:dyDescent="0.25">
      <c r="R68" s="1487"/>
      <c r="S68" s="1487"/>
      <c r="T68" s="1487"/>
      <c r="U68" s="1487"/>
      <c r="V68" s="1487"/>
      <c r="W68" s="1487"/>
      <c r="X68" s="1488"/>
      <c r="Y68" s="1488"/>
      <c r="Z68" s="1488"/>
      <c r="AA68" s="1488"/>
      <c r="AB68" s="1488"/>
      <c r="AC68" s="1488"/>
      <c r="AD68" s="1488"/>
      <c r="AE68" s="1488"/>
      <c r="AF68" s="1488"/>
      <c r="AG68" s="1488"/>
      <c r="AH68" s="1488"/>
      <c r="AK68" s="1498"/>
      <c r="AL68" s="1498"/>
      <c r="AM68" s="1498"/>
      <c r="AN68" s="1498"/>
      <c r="AO68" s="1498"/>
      <c r="AP68" s="1498"/>
      <c r="AQ68" s="1498"/>
      <c r="AR68" s="1498"/>
      <c r="AS68" s="1498"/>
      <c r="AT68" s="1498"/>
      <c r="AU68" s="1498"/>
    </row>
    <row r="69" spans="1:52" s="1520" customFormat="1" ht="16.5" customHeight="1" x14ac:dyDescent="0.25">
      <c r="A69" s="1504"/>
      <c r="B69" s="2307" t="str">
        <f>IF($F$6=Lists!$C$4, "Net Forklift Fuel Cell vs. Battery Employment (Job-years)", B102)</f>
        <v>Gross Forklift Fuel Cell-related Employment (Job-years)</v>
      </c>
      <c r="C69" s="1505"/>
      <c r="D69" s="1506" t="s">
        <v>1749</v>
      </c>
      <c r="E69" s="1507"/>
      <c r="F69" s="1507"/>
      <c r="G69" s="1507"/>
      <c r="H69" s="1507"/>
      <c r="I69" s="1508"/>
      <c r="J69" s="1505"/>
      <c r="K69" s="1509" t="str">
        <f>IF('Forklift INPUTS'!$E$7=Lists!$C$4, "Forklift Fuel Cell vs. Battery Mfg., Development, Sales, and Shipping (Class I/II and III combined)", K102)</f>
        <v>Forklift Fuel Cell Manufacturing, Development, Sales, and Shipping (Class I/II and III combined)</v>
      </c>
      <c r="L69" s="1510"/>
      <c r="M69" s="1510"/>
      <c r="N69" s="1510"/>
      <c r="O69" s="1510"/>
      <c r="P69" s="1511"/>
      <c r="Q69" s="1505"/>
      <c r="R69" s="1512" t="str">
        <f>IF('Forklift INPUTS'!$E$7=Lists!$C$4, "Forklift Fuel Cell Hydrogen Fueling vs. Battery Charging Infrastructure Installations", R102)</f>
        <v>Hydrogen Fueling Infrastructure Installations</v>
      </c>
      <c r="S69" s="1513"/>
      <c r="T69" s="1513"/>
      <c r="U69" s="1513"/>
      <c r="V69" s="1513"/>
      <c r="W69" s="1511"/>
      <c r="X69" s="1505"/>
      <c r="Y69" s="1514" t="str">
        <f>IF('Forklift INPUTS'!$E$7=Lists!$C$4, "Forklift Fuel Cell Hydrogen Fuel vs. Battery Electricity Impacts", Y102)</f>
        <v>Hydrogen Fuel Production and Delivery</v>
      </c>
      <c r="Z69" s="1515"/>
      <c r="AA69" s="1515"/>
      <c r="AB69" s="1515"/>
      <c r="AC69" s="1515"/>
      <c r="AD69" s="1511"/>
      <c r="AE69" s="1505"/>
      <c r="AF69" s="1516" t="str">
        <f>IF('Forklift INPUTS'!$E$7=Lists!$C$4, "Forklift Fuel Cell and Infrastructure vs. Battery and Infrastructure Maintenance Impacts", AF102)</f>
        <v>Fuel Cell and Infrastructure Maintenance</v>
      </c>
      <c r="AG69" s="1517"/>
      <c r="AH69" s="1517"/>
      <c r="AI69" s="1517"/>
      <c r="AJ69" s="1518"/>
      <c r="AK69" s="1519"/>
      <c r="AL69" s="1519"/>
      <c r="AM69" s="1519"/>
      <c r="AN69" s="1519"/>
      <c r="AO69" s="1519"/>
      <c r="AP69" s="1519"/>
      <c r="AQ69" s="1519"/>
      <c r="AR69" s="1519"/>
      <c r="AS69" s="1519"/>
      <c r="AT69" s="1519"/>
      <c r="AU69" s="1519"/>
    </row>
    <row r="70" spans="1:52" s="1520" customFormat="1" ht="16.5" x14ac:dyDescent="0.25">
      <c r="A70" s="1504"/>
      <c r="B70" s="2308"/>
      <c r="C70" s="1521"/>
      <c r="D70" s="1506" t="str">
        <f>B69</f>
        <v>Gross Forklift Fuel Cell-related Employment (Job-years)</v>
      </c>
      <c r="E70" s="1507"/>
      <c r="F70" s="1507"/>
      <c r="G70" s="1507"/>
      <c r="H70" s="1507"/>
      <c r="I70" s="1508"/>
      <c r="J70" s="1521"/>
      <c r="K70" s="1509" t="str">
        <f>D70</f>
        <v>Gross Forklift Fuel Cell-related Employment (Job-years)</v>
      </c>
      <c r="L70" s="1522"/>
      <c r="M70" s="1510"/>
      <c r="N70" s="1510"/>
      <c r="O70" s="1510"/>
      <c r="P70" s="1511"/>
      <c r="Q70" s="1521"/>
      <c r="R70" s="1512" t="str">
        <f>K70</f>
        <v>Gross Forklift Fuel Cell-related Employment (Job-years)</v>
      </c>
      <c r="S70" s="1523"/>
      <c r="T70" s="1513"/>
      <c r="U70" s="1513"/>
      <c r="V70" s="1513"/>
      <c r="W70" s="1511"/>
      <c r="X70" s="1521"/>
      <c r="Y70" s="1514" t="str">
        <f>R70</f>
        <v>Gross Forklift Fuel Cell-related Employment (Job-years)</v>
      </c>
      <c r="Z70" s="1524"/>
      <c r="AA70" s="1515"/>
      <c r="AB70" s="1515"/>
      <c r="AC70" s="1515"/>
      <c r="AD70" s="1511"/>
      <c r="AE70" s="1521"/>
      <c r="AF70" s="1516" t="str">
        <f>Y70</f>
        <v>Gross Forklift Fuel Cell-related Employment (Job-years)</v>
      </c>
      <c r="AG70" s="1525"/>
      <c r="AH70" s="1517"/>
      <c r="AI70" s="1517"/>
      <c r="AJ70" s="1518"/>
      <c r="AK70" s="1519"/>
      <c r="AL70" s="1519"/>
      <c r="AM70" s="1519"/>
      <c r="AN70" s="1519"/>
      <c r="AO70" s="1519"/>
      <c r="AP70" s="1519"/>
      <c r="AQ70" s="1519"/>
      <c r="AR70" s="1519"/>
      <c r="AS70" s="1519"/>
      <c r="AT70" s="1519"/>
      <c r="AU70" s="1519"/>
    </row>
    <row r="71" spans="1:52" s="1543" customFormat="1" ht="64.5" customHeight="1" x14ac:dyDescent="0.25">
      <c r="A71" s="1526"/>
      <c r="B71" s="2308"/>
      <c r="C71" s="1527" t="s">
        <v>433</v>
      </c>
      <c r="D71" s="1528" t="str">
        <f>D$166&amp;" "&amp;D$167</f>
        <v>Gross Forklift Fuel Cell-related Direct</v>
      </c>
      <c r="E71" s="1528" t="str">
        <f>E$166&amp;" "&amp;E$167</f>
        <v>Gross Forklift Fuel Cell-related Indirect</v>
      </c>
      <c r="F71" s="1528" t="str">
        <f>F$166&amp;" "&amp;F$167</f>
        <v>Gross Forklift Fuel Cell-related Induced</v>
      </c>
      <c r="G71" s="1529" t="str">
        <f>G$166&amp;" "&amp;G$167</f>
        <v>Gross Forklift Fuel Cell-related Supply Chain</v>
      </c>
      <c r="H71" s="1529" t="str">
        <f>H$166&amp;" "&amp;H$167</f>
        <v>Gross Forklift Fuel Cell-related Total</v>
      </c>
      <c r="I71" s="1530"/>
      <c r="J71" s="1527" t="s">
        <v>433</v>
      </c>
      <c r="K71" s="1531" t="str">
        <f>K$166&amp;" "&amp;K$167</f>
        <v>Gross Forklift Fuel Cell Direct</v>
      </c>
      <c r="L71" s="1531" t="str">
        <f>L$166&amp;" "&amp;L$167</f>
        <v>Gross Forklift Fuel Cell Indirect</v>
      </c>
      <c r="M71" s="1531" t="str">
        <f>M$166&amp;" "&amp;M$167</f>
        <v>Gross Forklift Fuel Cell Induced</v>
      </c>
      <c r="N71" s="1532" t="str">
        <f>N$166&amp;" "&amp;N$167</f>
        <v>Gross Forklift Fuel Cell Supply Chain</v>
      </c>
      <c r="O71" s="1532" t="str">
        <f>O$166&amp;" "&amp;O$167</f>
        <v>Gross Forklift Fuel Cell Total</v>
      </c>
      <c r="P71" s="1533"/>
      <c r="Q71" s="1527" t="s">
        <v>433</v>
      </c>
      <c r="R71" s="1534" t="str">
        <f>R$166&amp;" "&amp;R$167</f>
        <v>Gross On-site H2 Infr. Direct</v>
      </c>
      <c r="S71" s="1534" t="str">
        <f>S$166&amp;" "&amp;S$167</f>
        <v>Gross On-site H2 Infr. Indirect</v>
      </c>
      <c r="T71" s="1534" t="str">
        <f>T$166&amp;" "&amp;T$167</f>
        <v>Gross On-site H2 Infr. Induced</v>
      </c>
      <c r="U71" s="1535" t="str">
        <f>U$166&amp;" "&amp;U$167</f>
        <v>Gross On-site H2 Infr. Supply Chain</v>
      </c>
      <c r="V71" s="1535" t="str">
        <f>V$166&amp;" "&amp;V$167</f>
        <v>Gross On-site H2 Infr. Total</v>
      </c>
      <c r="W71" s="1533"/>
      <c r="X71" s="1527" t="s">
        <v>433</v>
      </c>
      <c r="Y71" s="1536" t="str">
        <f>Y$166&amp;" "&amp;Y$167</f>
        <v>Gross Hydrogen Fuel Direct</v>
      </c>
      <c r="Z71" s="1536" t="str">
        <f>Z$166&amp;" "&amp;Z$167</f>
        <v>Gross Hydrogen Fuel Indirect</v>
      </c>
      <c r="AA71" s="1536" t="str">
        <f>AA$166&amp;" "&amp;AA$167</f>
        <v>Gross Hydrogen Fuel Induced</v>
      </c>
      <c r="AB71" s="1537" t="str">
        <f>AB$166&amp;" "&amp;AB$167</f>
        <v>Gross Hydrogen Fuel Supply Chain</v>
      </c>
      <c r="AC71" s="1537" t="str">
        <f>AC$166&amp;" "&amp;AC$167</f>
        <v>Gross Hydrogen Fuel Total</v>
      </c>
      <c r="AD71" s="1533"/>
      <c r="AE71" s="1527" t="s">
        <v>433</v>
      </c>
      <c r="AF71" s="1538" t="str">
        <f>AF$166&amp;" "&amp;AF$167</f>
        <v>Gross FC and Infr. Maint. Direct</v>
      </c>
      <c r="AG71" s="1538" t="str">
        <f>AG$166&amp;" "&amp;AG$167</f>
        <v>Gross FC and Infr. Maint. Indirect</v>
      </c>
      <c r="AH71" s="1538" t="str">
        <f>AH$166&amp;" "&amp;AH$167</f>
        <v>Gross FC and Infr. Maint. Induced</v>
      </c>
      <c r="AI71" s="1539" t="str">
        <f>AI$166&amp;" "&amp;AI$167</f>
        <v>Gross FC and Infr. Maint. Supply Chain</v>
      </c>
      <c r="AJ71" s="1539" t="str">
        <f>AJ$166&amp;" "&amp;AJ$167</f>
        <v>Gross FC and Infr. Maint. Total</v>
      </c>
      <c r="AK71" s="1540"/>
      <c r="AL71" s="1541"/>
      <c r="AM71" s="1540"/>
      <c r="AN71" s="1540"/>
      <c r="AO71" s="1540"/>
      <c r="AP71" s="1540"/>
      <c r="AQ71" s="1540"/>
      <c r="AR71" s="1540"/>
      <c r="AS71" s="1540"/>
      <c r="AT71" s="1540"/>
      <c r="AU71" s="1540"/>
      <c r="AV71" s="1542"/>
      <c r="AX71" s="1544"/>
      <c r="AY71" s="1544"/>
      <c r="AZ71" s="1544"/>
    </row>
    <row r="72" spans="1:52" s="1562" customFormat="1" ht="15" customHeight="1" x14ac:dyDescent="0.25">
      <c r="A72" s="1545"/>
      <c r="B72" s="2308"/>
      <c r="C72" s="1546">
        <v>2015</v>
      </c>
      <c r="D72" s="1547" t="e">
        <f>D105+D138</f>
        <v>#N/A</v>
      </c>
      <c r="E72" s="1547" t="e">
        <f t="shared" ref="E72:F72" si="4">E105+E138</f>
        <v>#N/A</v>
      </c>
      <c r="F72" s="1547" t="e">
        <f t="shared" si="4"/>
        <v>#N/A</v>
      </c>
      <c r="G72" s="1547" t="e">
        <f>D72+E72</f>
        <v>#N/A</v>
      </c>
      <c r="H72" s="1548" t="e">
        <f>D72+E72+F72</f>
        <v>#N/A</v>
      </c>
      <c r="I72" s="1549"/>
      <c r="J72" s="1546">
        <v>2015</v>
      </c>
      <c r="K72" s="1550" t="e">
        <f>K105+K138</f>
        <v>#N/A</v>
      </c>
      <c r="L72" s="1550" t="e">
        <f t="shared" ref="L72:M72" si="5">L105+L138</f>
        <v>#N/A</v>
      </c>
      <c r="M72" s="1550" t="e">
        <f t="shared" si="5"/>
        <v>#N/A</v>
      </c>
      <c r="N72" s="1550" t="e">
        <f>K72+L72</f>
        <v>#N/A</v>
      </c>
      <c r="O72" s="1551" t="e">
        <f>K72+L72+M72</f>
        <v>#N/A</v>
      </c>
      <c r="P72" s="1552"/>
      <c r="Q72" s="1546">
        <v>2015</v>
      </c>
      <c r="R72" s="1553" t="e">
        <f>R105+R138</f>
        <v>#N/A</v>
      </c>
      <c r="S72" s="1553" t="e">
        <f t="shared" ref="S72:T72" si="6">S105+S138</f>
        <v>#N/A</v>
      </c>
      <c r="T72" s="1553" t="e">
        <f t="shared" si="6"/>
        <v>#N/A</v>
      </c>
      <c r="U72" s="1553" t="e">
        <f>R72+S72</f>
        <v>#N/A</v>
      </c>
      <c r="V72" s="1554" t="e">
        <f>R72+S72+T72</f>
        <v>#N/A</v>
      </c>
      <c r="W72" s="1552"/>
      <c r="X72" s="1546">
        <v>2015</v>
      </c>
      <c r="Y72" s="1555" t="e">
        <f>Y105+Y138</f>
        <v>#N/A</v>
      </c>
      <c r="Z72" s="1555" t="e">
        <f t="shared" ref="Z72:AA72" si="7">Z105+Z138</f>
        <v>#N/A</v>
      </c>
      <c r="AA72" s="1555" t="e">
        <f t="shared" si="7"/>
        <v>#N/A</v>
      </c>
      <c r="AB72" s="1555" t="e">
        <f>Y72+Z72</f>
        <v>#N/A</v>
      </c>
      <c r="AC72" s="1556" t="e">
        <f>Y72+Z72+AA72</f>
        <v>#N/A</v>
      </c>
      <c r="AD72" s="1552"/>
      <c r="AE72" s="1546">
        <v>2015</v>
      </c>
      <c r="AF72" s="1557" t="e">
        <f>AF105+AF138</f>
        <v>#N/A</v>
      </c>
      <c r="AG72" s="1557" t="e">
        <f t="shared" ref="AG72:AH72" si="8">AG105+AG138</f>
        <v>#N/A</v>
      </c>
      <c r="AH72" s="1557" t="e">
        <f t="shared" si="8"/>
        <v>#N/A</v>
      </c>
      <c r="AI72" s="1557" t="e">
        <f>AF72+AG72</f>
        <v>#N/A</v>
      </c>
      <c r="AJ72" s="1558" t="e">
        <f>AF72+AG72+AH72</f>
        <v>#N/A</v>
      </c>
      <c r="AK72" s="1559"/>
      <c r="AL72" s="1559"/>
      <c r="AM72" s="1560"/>
      <c r="AN72" s="1560"/>
      <c r="AO72" s="1560"/>
      <c r="AP72" s="1560"/>
      <c r="AQ72" s="1560"/>
      <c r="AR72" s="1560"/>
      <c r="AS72" s="1560"/>
      <c r="AT72" s="1560"/>
      <c r="AU72" s="1560"/>
      <c r="AV72" s="1561"/>
      <c r="AX72" s="1563"/>
      <c r="AY72" s="1563"/>
      <c r="AZ72" s="1563"/>
    </row>
    <row r="73" spans="1:52" s="1562" customFormat="1" ht="15" customHeight="1" x14ac:dyDescent="0.25">
      <c r="A73" s="1545"/>
      <c r="B73" s="2308"/>
      <c r="C73" s="1546">
        <v>2016</v>
      </c>
      <c r="D73" s="1547" t="e">
        <f t="shared" ref="D73:F73" si="9">D106+D139</f>
        <v>#N/A</v>
      </c>
      <c r="E73" s="1547" t="e">
        <f t="shared" si="9"/>
        <v>#N/A</v>
      </c>
      <c r="F73" s="1547" t="e">
        <f t="shared" si="9"/>
        <v>#N/A</v>
      </c>
      <c r="G73" s="1547" t="e">
        <f t="shared" ref="G73:G77" si="10">D73+E73</f>
        <v>#N/A</v>
      </c>
      <c r="H73" s="1548" t="e">
        <f t="shared" ref="H73:H77" si="11">D73+E73+F73</f>
        <v>#N/A</v>
      </c>
      <c r="I73" s="1549"/>
      <c r="J73" s="1546">
        <v>2016</v>
      </c>
      <c r="K73" s="1550" t="e">
        <f t="shared" ref="K73:M73" si="12">K106+K139</f>
        <v>#N/A</v>
      </c>
      <c r="L73" s="1550" t="e">
        <f t="shared" si="12"/>
        <v>#N/A</v>
      </c>
      <c r="M73" s="1550" t="e">
        <f t="shared" si="12"/>
        <v>#N/A</v>
      </c>
      <c r="N73" s="1550" t="e">
        <f t="shared" ref="N73:N77" si="13">K73+L73</f>
        <v>#N/A</v>
      </c>
      <c r="O73" s="1551" t="e">
        <f t="shared" ref="O73:O77" si="14">K73+L73+M73</f>
        <v>#N/A</v>
      </c>
      <c r="P73" s="1552"/>
      <c r="Q73" s="1546">
        <v>2016</v>
      </c>
      <c r="R73" s="1553" t="e">
        <f t="shared" ref="R73:T73" si="15">R106+R139</f>
        <v>#N/A</v>
      </c>
      <c r="S73" s="1553" t="e">
        <f t="shared" si="15"/>
        <v>#N/A</v>
      </c>
      <c r="T73" s="1553" t="e">
        <f t="shared" si="15"/>
        <v>#N/A</v>
      </c>
      <c r="U73" s="1553" t="e">
        <f t="shared" ref="U73:U77" si="16">R73+S73</f>
        <v>#N/A</v>
      </c>
      <c r="V73" s="1554" t="e">
        <f t="shared" ref="V73:V77" si="17">R73+S73+T73</f>
        <v>#N/A</v>
      </c>
      <c r="W73" s="1552"/>
      <c r="X73" s="1546">
        <v>2016</v>
      </c>
      <c r="Y73" s="1555" t="e">
        <f t="shared" ref="Y73:AA73" si="18">Y106+Y139</f>
        <v>#N/A</v>
      </c>
      <c r="Z73" s="1555" t="e">
        <f t="shared" si="18"/>
        <v>#N/A</v>
      </c>
      <c r="AA73" s="1555" t="e">
        <f t="shared" si="18"/>
        <v>#N/A</v>
      </c>
      <c r="AB73" s="1555" t="e">
        <f t="shared" ref="AB73:AB77" si="19">Y73+Z73</f>
        <v>#N/A</v>
      </c>
      <c r="AC73" s="1556" t="e">
        <f t="shared" ref="AC73:AC77" si="20">Y73+Z73+AA73</f>
        <v>#N/A</v>
      </c>
      <c r="AD73" s="1552"/>
      <c r="AE73" s="1546">
        <v>2016</v>
      </c>
      <c r="AF73" s="1557" t="e">
        <f t="shared" ref="AF73:AH73" si="21">AF106+AF139</f>
        <v>#N/A</v>
      </c>
      <c r="AG73" s="1557" t="e">
        <f t="shared" si="21"/>
        <v>#N/A</v>
      </c>
      <c r="AH73" s="1557" t="e">
        <f t="shared" si="21"/>
        <v>#N/A</v>
      </c>
      <c r="AI73" s="1557" t="e">
        <f t="shared" ref="AI73:AI77" si="22">AF73+AG73</f>
        <v>#N/A</v>
      </c>
      <c r="AJ73" s="1558" t="e">
        <f t="shared" ref="AJ73:AJ77" si="23">AF73+AG73+AH73</f>
        <v>#N/A</v>
      </c>
      <c r="AK73" s="1559"/>
      <c r="AL73" s="1559"/>
      <c r="AM73" s="1560"/>
      <c r="AN73" s="1560"/>
      <c r="AO73" s="1560"/>
      <c r="AP73" s="1560"/>
      <c r="AQ73" s="1560"/>
      <c r="AR73" s="1560"/>
      <c r="AS73" s="1560"/>
      <c r="AT73" s="1560"/>
      <c r="AU73" s="1560"/>
      <c r="AV73" s="1561"/>
      <c r="AX73" s="1563"/>
      <c r="AY73" s="1563"/>
      <c r="AZ73" s="1563"/>
    </row>
    <row r="74" spans="1:52" s="1562" customFormat="1" ht="15" customHeight="1" x14ac:dyDescent="0.25">
      <c r="A74" s="1545"/>
      <c r="B74" s="2308"/>
      <c r="C74" s="1546">
        <v>2017</v>
      </c>
      <c r="D74" s="1547" t="e">
        <f t="shared" ref="D74:F74" si="24">D107+D140</f>
        <v>#N/A</v>
      </c>
      <c r="E74" s="1547" t="e">
        <f t="shared" si="24"/>
        <v>#N/A</v>
      </c>
      <c r="F74" s="1547" t="e">
        <f t="shared" si="24"/>
        <v>#N/A</v>
      </c>
      <c r="G74" s="1547" t="e">
        <f t="shared" si="10"/>
        <v>#N/A</v>
      </c>
      <c r="H74" s="1548" t="e">
        <f t="shared" si="11"/>
        <v>#N/A</v>
      </c>
      <c r="I74" s="1549"/>
      <c r="J74" s="1546">
        <v>2017</v>
      </c>
      <c r="K74" s="1550" t="e">
        <f t="shared" ref="K74:M74" si="25">K107+K140</f>
        <v>#N/A</v>
      </c>
      <c r="L74" s="1550" t="e">
        <f t="shared" si="25"/>
        <v>#N/A</v>
      </c>
      <c r="M74" s="1550" t="e">
        <f t="shared" si="25"/>
        <v>#N/A</v>
      </c>
      <c r="N74" s="1550" t="e">
        <f t="shared" si="13"/>
        <v>#N/A</v>
      </c>
      <c r="O74" s="1551" t="e">
        <f t="shared" si="14"/>
        <v>#N/A</v>
      </c>
      <c r="P74" s="1552"/>
      <c r="Q74" s="1546">
        <v>2017</v>
      </c>
      <c r="R74" s="1553" t="e">
        <f t="shared" ref="R74:T74" si="26">R107+R140</f>
        <v>#N/A</v>
      </c>
      <c r="S74" s="1553" t="e">
        <f t="shared" si="26"/>
        <v>#N/A</v>
      </c>
      <c r="T74" s="1553" t="e">
        <f t="shared" si="26"/>
        <v>#N/A</v>
      </c>
      <c r="U74" s="1553" t="e">
        <f t="shared" si="16"/>
        <v>#N/A</v>
      </c>
      <c r="V74" s="1554" t="e">
        <f t="shared" si="17"/>
        <v>#N/A</v>
      </c>
      <c r="W74" s="1552"/>
      <c r="X74" s="1546">
        <v>2017</v>
      </c>
      <c r="Y74" s="1555" t="e">
        <f t="shared" ref="Y74:AA74" si="27">Y107+Y140</f>
        <v>#N/A</v>
      </c>
      <c r="Z74" s="1555" t="e">
        <f t="shared" si="27"/>
        <v>#N/A</v>
      </c>
      <c r="AA74" s="1555" t="e">
        <f t="shared" si="27"/>
        <v>#N/A</v>
      </c>
      <c r="AB74" s="1555" t="e">
        <f t="shared" si="19"/>
        <v>#N/A</v>
      </c>
      <c r="AC74" s="1556" t="e">
        <f t="shared" si="20"/>
        <v>#N/A</v>
      </c>
      <c r="AD74" s="1552"/>
      <c r="AE74" s="1546">
        <v>2017</v>
      </c>
      <c r="AF74" s="1557" t="e">
        <f t="shared" ref="AF74:AH74" si="28">AF107+AF140</f>
        <v>#N/A</v>
      </c>
      <c r="AG74" s="1557" t="e">
        <f t="shared" si="28"/>
        <v>#N/A</v>
      </c>
      <c r="AH74" s="1557" t="e">
        <f t="shared" si="28"/>
        <v>#N/A</v>
      </c>
      <c r="AI74" s="1557" t="e">
        <f t="shared" si="22"/>
        <v>#N/A</v>
      </c>
      <c r="AJ74" s="1558" t="e">
        <f t="shared" si="23"/>
        <v>#N/A</v>
      </c>
      <c r="AK74" s="1559"/>
      <c r="AL74" s="1559"/>
      <c r="AM74" s="1560"/>
      <c r="AN74" s="1560"/>
      <c r="AO74" s="1560"/>
      <c r="AP74" s="1560"/>
      <c r="AQ74" s="1560"/>
      <c r="AR74" s="1560"/>
      <c r="AS74" s="1560"/>
      <c r="AT74" s="1560"/>
      <c r="AU74" s="1560"/>
      <c r="AV74" s="1561"/>
      <c r="AX74" s="1563"/>
      <c r="AY74" s="1563"/>
      <c r="AZ74" s="1563"/>
    </row>
    <row r="75" spans="1:52" s="1562" customFormat="1" ht="15" customHeight="1" x14ac:dyDescent="0.25">
      <c r="A75" s="1545"/>
      <c r="B75" s="2308"/>
      <c r="C75" s="1546">
        <v>2018</v>
      </c>
      <c r="D75" s="1547" t="e">
        <f t="shared" ref="D75:F75" si="29">D108+D141</f>
        <v>#N/A</v>
      </c>
      <c r="E75" s="1547" t="e">
        <f t="shared" si="29"/>
        <v>#N/A</v>
      </c>
      <c r="F75" s="1547" t="e">
        <f t="shared" si="29"/>
        <v>#N/A</v>
      </c>
      <c r="G75" s="1547" t="e">
        <f t="shared" si="10"/>
        <v>#N/A</v>
      </c>
      <c r="H75" s="1548" t="e">
        <f t="shared" si="11"/>
        <v>#N/A</v>
      </c>
      <c r="I75" s="1549"/>
      <c r="J75" s="1546">
        <v>2018</v>
      </c>
      <c r="K75" s="1550" t="e">
        <f t="shared" ref="K75:M75" si="30">K108+K141</f>
        <v>#N/A</v>
      </c>
      <c r="L75" s="1550" t="e">
        <f t="shared" si="30"/>
        <v>#N/A</v>
      </c>
      <c r="M75" s="1550" t="e">
        <f t="shared" si="30"/>
        <v>#N/A</v>
      </c>
      <c r="N75" s="1550" t="e">
        <f t="shared" si="13"/>
        <v>#N/A</v>
      </c>
      <c r="O75" s="1551" t="e">
        <f t="shared" si="14"/>
        <v>#N/A</v>
      </c>
      <c r="P75" s="1552"/>
      <c r="Q75" s="1546">
        <v>2018</v>
      </c>
      <c r="R75" s="1553" t="e">
        <f t="shared" ref="R75:T75" si="31">R108+R141</f>
        <v>#N/A</v>
      </c>
      <c r="S75" s="1553" t="e">
        <f t="shared" si="31"/>
        <v>#N/A</v>
      </c>
      <c r="T75" s="1553" t="e">
        <f t="shared" si="31"/>
        <v>#N/A</v>
      </c>
      <c r="U75" s="1553" t="e">
        <f t="shared" si="16"/>
        <v>#N/A</v>
      </c>
      <c r="V75" s="1554" t="e">
        <f t="shared" si="17"/>
        <v>#N/A</v>
      </c>
      <c r="W75" s="1552"/>
      <c r="X75" s="1546">
        <v>2018</v>
      </c>
      <c r="Y75" s="1555" t="e">
        <f t="shared" ref="Y75:AA75" si="32">Y108+Y141</f>
        <v>#N/A</v>
      </c>
      <c r="Z75" s="1555" t="e">
        <f t="shared" si="32"/>
        <v>#N/A</v>
      </c>
      <c r="AA75" s="1555" t="e">
        <f t="shared" si="32"/>
        <v>#N/A</v>
      </c>
      <c r="AB75" s="1555" t="e">
        <f t="shared" si="19"/>
        <v>#N/A</v>
      </c>
      <c r="AC75" s="1556" t="e">
        <f t="shared" si="20"/>
        <v>#N/A</v>
      </c>
      <c r="AD75" s="1552"/>
      <c r="AE75" s="1546">
        <v>2018</v>
      </c>
      <c r="AF75" s="1557" t="e">
        <f t="shared" ref="AF75:AH75" si="33">AF108+AF141</f>
        <v>#N/A</v>
      </c>
      <c r="AG75" s="1557" t="e">
        <f t="shared" si="33"/>
        <v>#N/A</v>
      </c>
      <c r="AH75" s="1557" t="e">
        <f t="shared" si="33"/>
        <v>#N/A</v>
      </c>
      <c r="AI75" s="1557" t="e">
        <f t="shared" si="22"/>
        <v>#N/A</v>
      </c>
      <c r="AJ75" s="1558" t="e">
        <f t="shared" si="23"/>
        <v>#N/A</v>
      </c>
      <c r="AK75" s="1559"/>
      <c r="AL75" s="1559"/>
      <c r="AM75" s="1560"/>
      <c r="AN75" s="1560"/>
      <c r="AO75" s="1560"/>
      <c r="AP75" s="1560"/>
      <c r="AQ75" s="1560"/>
      <c r="AR75" s="1560"/>
      <c r="AS75" s="1560"/>
      <c r="AT75" s="1560"/>
      <c r="AU75" s="1560"/>
      <c r="AV75" s="1561"/>
      <c r="AX75" s="1563"/>
      <c r="AY75" s="1563"/>
      <c r="AZ75" s="1563"/>
    </row>
    <row r="76" spans="1:52" s="1562" customFormat="1" ht="15" customHeight="1" x14ac:dyDescent="0.25">
      <c r="A76" s="1545"/>
      <c r="B76" s="2308"/>
      <c r="C76" s="1546">
        <v>2019</v>
      </c>
      <c r="D76" s="1547" t="e">
        <f t="shared" ref="D76:F76" si="34">D109+D142</f>
        <v>#N/A</v>
      </c>
      <c r="E76" s="1547" t="e">
        <f t="shared" si="34"/>
        <v>#N/A</v>
      </c>
      <c r="F76" s="1547" t="e">
        <f t="shared" si="34"/>
        <v>#N/A</v>
      </c>
      <c r="G76" s="1547" t="e">
        <f t="shared" si="10"/>
        <v>#N/A</v>
      </c>
      <c r="H76" s="1548" t="e">
        <f t="shared" si="11"/>
        <v>#N/A</v>
      </c>
      <c r="I76" s="1549"/>
      <c r="J76" s="1546">
        <v>2019</v>
      </c>
      <c r="K76" s="1550" t="e">
        <f t="shared" ref="K76:M76" si="35">K109+K142</f>
        <v>#N/A</v>
      </c>
      <c r="L76" s="1550" t="e">
        <f t="shared" si="35"/>
        <v>#N/A</v>
      </c>
      <c r="M76" s="1550" t="e">
        <f t="shared" si="35"/>
        <v>#N/A</v>
      </c>
      <c r="N76" s="1550" t="e">
        <f t="shared" si="13"/>
        <v>#N/A</v>
      </c>
      <c r="O76" s="1551" t="e">
        <f t="shared" si="14"/>
        <v>#N/A</v>
      </c>
      <c r="P76" s="1552"/>
      <c r="Q76" s="1546">
        <v>2019</v>
      </c>
      <c r="R76" s="1553" t="e">
        <f t="shared" ref="R76:T76" si="36">R109+R142</f>
        <v>#N/A</v>
      </c>
      <c r="S76" s="1553" t="e">
        <f t="shared" si="36"/>
        <v>#N/A</v>
      </c>
      <c r="T76" s="1553" t="e">
        <f t="shared" si="36"/>
        <v>#N/A</v>
      </c>
      <c r="U76" s="1553" t="e">
        <f t="shared" si="16"/>
        <v>#N/A</v>
      </c>
      <c r="V76" s="1554" t="e">
        <f t="shared" si="17"/>
        <v>#N/A</v>
      </c>
      <c r="W76" s="1552"/>
      <c r="X76" s="1546">
        <v>2019</v>
      </c>
      <c r="Y76" s="1555" t="e">
        <f t="shared" ref="Y76:AA76" si="37">Y109+Y142</f>
        <v>#N/A</v>
      </c>
      <c r="Z76" s="1555" t="e">
        <f t="shared" si="37"/>
        <v>#N/A</v>
      </c>
      <c r="AA76" s="1555" t="e">
        <f t="shared" si="37"/>
        <v>#N/A</v>
      </c>
      <c r="AB76" s="1555" t="e">
        <f t="shared" si="19"/>
        <v>#N/A</v>
      </c>
      <c r="AC76" s="1556" t="e">
        <f t="shared" si="20"/>
        <v>#N/A</v>
      </c>
      <c r="AD76" s="1552"/>
      <c r="AE76" s="1546">
        <v>2019</v>
      </c>
      <c r="AF76" s="1557" t="e">
        <f t="shared" ref="AF76:AH76" si="38">AF109+AF142</f>
        <v>#N/A</v>
      </c>
      <c r="AG76" s="1557" t="e">
        <f t="shared" si="38"/>
        <v>#N/A</v>
      </c>
      <c r="AH76" s="1557" t="e">
        <f t="shared" si="38"/>
        <v>#N/A</v>
      </c>
      <c r="AI76" s="1557" t="e">
        <f t="shared" si="22"/>
        <v>#N/A</v>
      </c>
      <c r="AJ76" s="1558" t="e">
        <f t="shared" si="23"/>
        <v>#N/A</v>
      </c>
      <c r="AK76" s="1559"/>
      <c r="AL76" s="1559"/>
      <c r="AM76" s="1560"/>
      <c r="AN76" s="1560"/>
      <c r="AO76" s="1560"/>
      <c r="AP76" s="1560"/>
      <c r="AQ76" s="1560"/>
      <c r="AR76" s="1560"/>
      <c r="AS76" s="1560"/>
      <c r="AT76" s="1560"/>
      <c r="AU76" s="1560"/>
      <c r="AV76" s="1561"/>
      <c r="AX76" s="1563"/>
      <c r="AY76" s="1563"/>
      <c r="AZ76" s="1563"/>
    </row>
    <row r="77" spans="1:52" s="1562" customFormat="1" ht="15" customHeight="1" x14ac:dyDescent="0.25">
      <c r="A77" s="1545"/>
      <c r="B77" s="2309"/>
      <c r="C77" s="1546">
        <v>2020</v>
      </c>
      <c r="D77" s="1547" t="e">
        <f t="shared" ref="D77:F77" si="39">D110+D143</f>
        <v>#N/A</v>
      </c>
      <c r="E77" s="1547" t="e">
        <f t="shared" si="39"/>
        <v>#N/A</v>
      </c>
      <c r="F77" s="1547" t="e">
        <f t="shared" si="39"/>
        <v>#N/A</v>
      </c>
      <c r="G77" s="1547" t="e">
        <f t="shared" si="10"/>
        <v>#N/A</v>
      </c>
      <c r="H77" s="1548" t="e">
        <f t="shared" si="11"/>
        <v>#N/A</v>
      </c>
      <c r="I77" s="1549"/>
      <c r="J77" s="1546">
        <v>2020</v>
      </c>
      <c r="K77" s="1550" t="e">
        <f t="shared" ref="K77:M77" si="40">K110+K143</f>
        <v>#N/A</v>
      </c>
      <c r="L77" s="1550" t="e">
        <f t="shared" si="40"/>
        <v>#N/A</v>
      </c>
      <c r="M77" s="1550" t="e">
        <f t="shared" si="40"/>
        <v>#N/A</v>
      </c>
      <c r="N77" s="1550" t="e">
        <f t="shared" si="13"/>
        <v>#N/A</v>
      </c>
      <c r="O77" s="1551" t="e">
        <f t="shared" si="14"/>
        <v>#N/A</v>
      </c>
      <c r="P77" s="1552"/>
      <c r="Q77" s="1546">
        <v>2020</v>
      </c>
      <c r="R77" s="1553" t="e">
        <f t="shared" ref="R77:T77" si="41">R110+R143</f>
        <v>#N/A</v>
      </c>
      <c r="S77" s="1553" t="e">
        <f t="shared" si="41"/>
        <v>#N/A</v>
      </c>
      <c r="T77" s="1553" t="e">
        <f t="shared" si="41"/>
        <v>#N/A</v>
      </c>
      <c r="U77" s="1553" t="e">
        <f t="shared" si="16"/>
        <v>#N/A</v>
      </c>
      <c r="V77" s="1554" t="e">
        <f t="shared" si="17"/>
        <v>#N/A</v>
      </c>
      <c r="W77" s="1552"/>
      <c r="X77" s="1546">
        <v>2020</v>
      </c>
      <c r="Y77" s="1555" t="e">
        <f t="shared" ref="Y77:AA77" si="42">Y110+Y143</f>
        <v>#N/A</v>
      </c>
      <c r="Z77" s="1555" t="e">
        <f t="shared" si="42"/>
        <v>#N/A</v>
      </c>
      <c r="AA77" s="1555" t="e">
        <f t="shared" si="42"/>
        <v>#N/A</v>
      </c>
      <c r="AB77" s="1555" t="e">
        <f t="shared" si="19"/>
        <v>#N/A</v>
      </c>
      <c r="AC77" s="1556" t="e">
        <f t="shared" si="20"/>
        <v>#N/A</v>
      </c>
      <c r="AD77" s="1552"/>
      <c r="AE77" s="1546">
        <v>2020</v>
      </c>
      <c r="AF77" s="1557" t="e">
        <f t="shared" ref="AF77:AH77" si="43">AF110+AF143</f>
        <v>#N/A</v>
      </c>
      <c r="AG77" s="1557" t="e">
        <f t="shared" si="43"/>
        <v>#N/A</v>
      </c>
      <c r="AH77" s="1557" t="e">
        <f t="shared" si="43"/>
        <v>#N/A</v>
      </c>
      <c r="AI77" s="1557" t="e">
        <f t="shared" si="22"/>
        <v>#N/A</v>
      </c>
      <c r="AJ77" s="1558" t="e">
        <f t="shared" si="23"/>
        <v>#N/A</v>
      </c>
      <c r="AK77" s="1559"/>
      <c r="AL77" s="1559"/>
      <c r="AM77" s="1560"/>
      <c r="AN77" s="1560"/>
      <c r="AO77" s="1560"/>
      <c r="AP77" s="1560"/>
      <c r="AQ77" s="1560"/>
      <c r="AR77" s="1560"/>
      <c r="AS77" s="1560"/>
      <c r="AT77" s="1560"/>
      <c r="AU77" s="1560"/>
      <c r="AV77" s="1561"/>
      <c r="AX77" s="1563"/>
      <c r="AY77" s="1563"/>
      <c r="AZ77" s="1563"/>
    </row>
    <row r="78" spans="1:52" s="1545" customFormat="1" ht="15.75" x14ac:dyDescent="0.25">
      <c r="B78" s="1564"/>
      <c r="C78" s="1565"/>
      <c r="D78" s="1565"/>
      <c r="E78" s="1566"/>
      <c r="F78" s="1566"/>
      <c r="G78" s="1566"/>
      <c r="H78" s="1566"/>
      <c r="I78" s="1566"/>
      <c r="J78" s="1566"/>
      <c r="K78" s="1567"/>
      <c r="L78" s="1567"/>
      <c r="M78" s="1567"/>
      <c r="N78" s="1567"/>
      <c r="O78" s="1567"/>
      <c r="P78" s="1567"/>
      <c r="Q78" s="1567"/>
      <c r="R78" s="1567"/>
      <c r="S78" s="1567"/>
      <c r="T78" s="1567"/>
      <c r="U78" s="1567"/>
      <c r="V78" s="1565"/>
      <c r="W78" s="1565"/>
      <c r="X78" s="1565"/>
      <c r="Y78" s="1565"/>
      <c r="Z78" s="1565"/>
      <c r="AA78" s="1565"/>
      <c r="AB78" s="1565"/>
      <c r="AC78" s="1565"/>
      <c r="AD78" s="1565"/>
      <c r="AE78" s="1565"/>
      <c r="AF78" s="1565"/>
      <c r="AG78" s="1565"/>
      <c r="AH78" s="1565"/>
      <c r="AI78" s="1565"/>
      <c r="AJ78" s="1565"/>
      <c r="AK78" s="1568"/>
      <c r="AL78" s="1568"/>
      <c r="AM78" s="1568"/>
      <c r="AN78" s="1568"/>
      <c r="AO78" s="1568"/>
      <c r="AP78" s="1568"/>
      <c r="AQ78" s="1568"/>
      <c r="AR78" s="1568"/>
      <c r="AS78" s="1568"/>
      <c r="AT78" s="1568"/>
      <c r="AU78" s="1568"/>
    </row>
    <row r="79" spans="1:52" s="1584" customFormat="1" ht="16.5" customHeight="1" x14ac:dyDescent="0.25">
      <c r="A79" s="1569"/>
      <c r="B79" s="2307" t="str">
        <f>IF($F$6=Lists!$C$4, "Net Forklift Fuel Cell-related Earnings (Thousands of 2010$)", B112)</f>
        <v>Gross Forklift Fuel Cell-related Earnings (Thousands of 2010$)</v>
      </c>
      <c r="C79" s="1570"/>
      <c r="D79" s="1571" t="str">
        <f>D$69</f>
        <v>Total (Manufacturing, Installation, Fuel, and Maintenance)</v>
      </c>
      <c r="E79" s="1572"/>
      <c r="F79" s="1572"/>
      <c r="G79" s="1572"/>
      <c r="H79" s="1572"/>
      <c r="I79" s="1573"/>
      <c r="J79" s="1505"/>
      <c r="K79" s="1574" t="str">
        <f>K69</f>
        <v>Forklift Fuel Cell Manufacturing, Development, Sales, and Shipping (Class I/II and III combined)</v>
      </c>
      <c r="L79" s="1575"/>
      <c r="M79" s="1575"/>
      <c r="N79" s="1575"/>
      <c r="O79" s="1575"/>
      <c r="P79" s="1576"/>
      <c r="Q79" s="1505"/>
      <c r="R79" s="1577" t="str">
        <f>R69</f>
        <v>Hydrogen Fueling Infrastructure Installations</v>
      </c>
      <c r="S79" s="1578"/>
      <c r="T79" s="1578"/>
      <c r="U79" s="1578"/>
      <c r="V79" s="1578"/>
      <c r="W79" s="1576"/>
      <c r="X79" s="1505"/>
      <c r="Y79" s="1579" t="str">
        <f>Y69</f>
        <v>Hydrogen Fuel Production and Delivery</v>
      </c>
      <c r="Z79" s="1580"/>
      <c r="AA79" s="1580"/>
      <c r="AB79" s="1580"/>
      <c r="AC79" s="1580"/>
      <c r="AD79" s="1576"/>
      <c r="AE79" s="1505"/>
      <c r="AF79" s="1581" t="str">
        <f>AF69</f>
        <v>Fuel Cell and Infrastructure Maintenance</v>
      </c>
      <c r="AG79" s="1582"/>
      <c r="AH79" s="1582"/>
      <c r="AI79" s="1582"/>
      <c r="AJ79" s="1582"/>
      <c r="AK79" s="1583"/>
      <c r="AL79" s="1583"/>
      <c r="AM79" s="1583"/>
      <c r="AN79" s="1583"/>
      <c r="AO79" s="1583"/>
      <c r="AP79" s="1583"/>
      <c r="AQ79" s="1583"/>
      <c r="AR79" s="1583"/>
      <c r="AS79" s="1583"/>
      <c r="AT79" s="1583"/>
      <c r="AU79" s="1583"/>
    </row>
    <row r="80" spans="1:52" s="1584" customFormat="1" ht="16.5" x14ac:dyDescent="0.25">
      <c r="A80" s="1569"/>
      <c r="B80" s="2308"/>
      <c r="C80" s="1585"/>
      <c r="D80" s="1571" t="str">
        <f>IF('Forklift INPUTS'!$E$7=Lists!$C$4, "Net Earnings (Thousands of 2010$)", "Gross Earnings (Thousands of 2010$)")</f>
        <v>Gross Earnings (Thousands of 2010$)</v>
      </c>
      <c r="E80" s="1586"/>
      <c r="F80" s="1572"/>
      <c r="G80" s="1572"/>
      <c r="H80" s="1572"/>
      <c r="I80" s="1573"/>
      <c r="J80" s="1521"/>
      <c r="K80" s="1509" t="str">
        <f>D80</f>
        <v>Gross Earnings (Thousands of 2010$)</v>
      </c>
      <c r="L80" s="1587"/>
      <c r="M80" s="1575"/>
      <c r="N80" s="1575"/>
      <c r="O80" s="1575"/>
      <c r="P80" s="1576"/>
      <c r="Q80" s="1521"/>
      <c r="R80" s="1512" t="str">
        <f>K80</f>
        <v>Gross Earnings (Thousands of 2010$)</v>
      </c>
      <c r="S80" s="1588"/>
      <c r="T80" s="1578"/>
      <c r="U80" s="1578"/>
      <c r="V80" s="1578"/>
      <c r="W80" s="1576"/>
      <c r="X80" s="1521"/>
      <c r="Y80" s="1514" t="str">
        <f>R80</f>
        <v>Gross Earnings (Thousands of 2010$)</v>
      </c>
      <c r="Z80" s="1524"/>
      <c r="AA80" s="1580"/>
      <c r="AB80" s="1580"/>
      <c r="AC80" s="1580"/>
      <c r="AD80" s="1576"/>
      <c r="AE80" s="1521"/>
      <c r="AF80" s="1516" t="str">
        <f>Y80</f>
        <v>Gross Earnings (Thousands of 2010$)</v>
      </c>
      <c r="AG80" s="1525"/>
      <c r="AH80" s="1582"/>
      <c r="AI80" s="1582"/>
      <c r="AJ80" s="1582"/>
      <c r="AK80" s="1583"/>
      <c r="AL80" s="1583"/>
      <c r="AM80" s="1583"/>
      <c r="AN80" s="1583"/>
      <c r="AO80" s="1583"/>
      <c r="AP80" s="1583"/>
      <c r="AQ80" s="1583"/>
      <c r="AR80" s="1583"/>
      <c r="AS80" s="1583"/>
      <c r="AT80" s="1583"/>
      <c r="AU80" s="1583"/>
    </row>
    <row r="81" spans="1:48" s="1590" customFormat="1" ht="67.5" customHeight="1" x14ac:dyDescent="0.25">
      <c r="A81" s="1589"/>
      <c r="B81" s="2308"/>
      <c r="C81" s="1585" t="str">
        <f t="shared" ref="C81:C87" si="44">C71</f>
        <v>Year</v>
      </c>
      <c r="D81" s="1528" t="str">
        <f>D$166&amp;" "&amp;D$167</f>
        <v>Gross Forklift Fuel Cell-related Direct</v>
      </c>
      <c r="E81" s="1528" t="str">
        <f>E$166&amp;" "&amp;E$167</f>
        <v>Gross Forklift Fuel Cell-related Indirect</v>
      </c>
      <c r="F81" s="1528" t="str">
        <f>F$166&amp;" "&amp;F$167</f>
        <v>Gross Forklift Fuel Cell-related Induced</v>
      </c>
      <c r="G81" s="1529" t="str">
        <f>G$166&amp;" "&amp;G$167</f>
        <v>Gross Forklift Fuel Cell-related Supply Chain</v>
      </c>
      <c r="H81" s="1529" t="str">
        <f>H$166&amp;" "&amp;H$167</f>
        <v>Gross Forklift Fuel Cell-related Total</v>
      </c>
      <c r="I81" s="1530"/>
      <c r="J81" s="1527" t="s">
        <v>433</v>
      </c>
      <c r="K81" s="1531" t="str">
        <f>K$166&amp;" "&amp;K$167</f>
        <v>Gross Forklift Fuel Cell Direct</v>
      </c>
      <c r="L81" s="1531" t="str">
        <f>L$166&amp;" "&amp;L$167</f>
        <v>Gross Forklift Fuel Cell Indirect</v>
      </c>
      <c r="M81" s="1531" t="str">
        <f>M$166&amp;" "&amp;M$167</f>
        <v>Gross Forklift Fuel Cell Induced</v>
      </c>
      <c r="N81" s="1532" t="str">
        <f>N$166&amp;" "&amp;N$167</f>
        <v>Gross Forklift Fuel Cell Supply Chain</v>
      </c>
      <c r="O81" s="1532" t="str">
        <f>O$166&amp;" "&amp;O$167</f>
        <v>Gross Forklift Fuel Cell Total</v>
      </c>
      <c r="P81" s="1533"/>
      <c r="Q81" s="1527" t="s">
        <v>433</v>
      </c>
      <c r="R81" s="1534" t="str">
        <f>R$166&amp;" "&amp;R$167</f>
        <v>Gross On-site H2 Infr. Direct</v>
      </c>
      <c r="S81" s="1534" t="str">
        <f>S$166&amp;" "&amp;S$167</f>
        <v>Gross On-site H2 Infr. Indirect</v>
      </c>
      <c r="T81" s="1534" t="str">
        <f>T$166&amp;" "&amp;T$167</f>
        <v>Gross On-site H2 Infr. Induced</v>
      </c>
      <c r="U81" s="1535" t="str">
        <f>U$166&amp;" "&amp;U$167</f>
        <v>Gross On-site H2 Infr. Supply Chain</v>
      </c>
      <c r="V81" s="1535" t="str">
        <f>V$166&amp;" "&amp;V$167</f>
        <v>Gross On-site H2 Infr. Total</v>
      </c>
      <c r="W81" s="1533"/>
      <c r="X81" s="1527" t="s">
        <v>433</v>
      </c>
      <c r="Y81" s="1536" t="str">
        <f>Y$166&amp;" "&amp;Y$167</f>
        <v>Gross Hydrogen Fuel Direct</v>
      </c>
      <c r="Z81" s="1536" t="str">
        <f>Z$166&amp;" "&amp;Z$167</f>
        <v>Gross Hydrogen Fuel Indirect</v>
      </c>
      <c r="AA81" s="1536" t="str">
        <f>AA$166&amp;" "&amp;AA$167</f>
        <v>Gross Hydrogen Fuel Induced</v>
      </c>
      <c r="AB81" s="1537" t="str">
        <f>AB$166&amp;" "&amp;AB$167</f>
        <v>Gross Hydrogen Fuel Supply Chain</v>
      </c>
      <c r="AC81" s="1537" t="str">
        <f>AC$166&amp;" "&amp;AC$167</f>
        <v>Gross Hydrogen Fuel Total</v>
      </c>
      <c r="AD81" s="1533"/>
      <c r="AE81" s="1527" t="s">
        <v>433</v>
      </c>
      <c r="AF81" s="1538" t="str">
        <f>AF$166&amp;" "&amp;AF$167</f>
        <v>Gross FC and Infr. Maint. Direct</v>
      </c>
      <c r="AG81" s="1538" t="str">
        <f>AG$166&amp;" "&amp;AG$167</f>
        <v>Gross FC and Infr. Maint. Indirect</v>
      </c>
      <c r="AH81" s="1538" t="str">
        <f>AH$166&amp;" "&amp;AH$167</f>
        <v>Gross FC and Infr. Maint. Induced</v>
      </c>
      <c r="AI81" s="1539" t="str">
        <f>AI$166&amp;" "&amp;AI$167</f>
        <v>Gross FC and Infr. Maint. Supply Chain</v>
      </c>
      <c r="AJ81" s="1539" t="str">
        <f>AJ$166&amp;" "&amp;AJ$167</f>
        <v>Gross FC and Infr. Maint. Total</v>
      </c>
      <c r="AK81" s="1541"/>
      <c r="AL81" s="1540"/>
      <c r="AM81" s="1540"/>
      <c r="AN81" s="1540"/>
      <c r="AO81" s="1540"/>
      <c r="AP81" s="1540"/>
      <c r="AQ81" s="1540"/>
      <c r="AR81" s="1540"/>
      <c r="AS81" s="1540"/>
      <c r="AT81" s="1540"/>
      <c r="AU81" s="1540"/>
      <c r="AV81" s="1542"/>
    </row>
    <row r="82" spans="1:48" s="1562" customFormat="1" ht="15" customHeight="1" x14ac:dyDescent="0.25">
      <c r="A82" s="1545"/>
      <c r="B82" s="2308"/>
      <c r="C82" s="1546">
        <f t="shared" si="44"/>
        <v>2015</v>
      </c>
      <c r="D82" s="1591" t="e">
        <f>D115+D148</f>
        <v>#N/A</v>
      </c>
      <c r="E82" s="1591" t="e">
        <f t="shared" ref="E82:F82" si="45">E115+E148</f>
        <v>#N/A</v>
      </c>
      <c r="F82" s="1591" t="e">
        <f t="shared" si="45"/>
        <v>#N/A</v>
      </c>
      <c r="G82" s="1591" t="e">
        <f>D82+E82</f>
        <v>#N/A</v>
      </c>
      <c r="H82" s="1592" t="e">
        <f>D82+E82+F82</f>
        <v>#N/A</v>
      </c>
      <c r="I82" s="1593"/>
      <c r="J82" s="1546">
        <v>2015</v>
      </c>
      <c r="K82" s="1594" t="e">
        <f>K115+K148</f>
        <v>#N/A</v>
      </c>
      <c r="L82" s="1594" t="e">
        <f t="shared" ref="L82:M82" si="46">L115+L148</f>
        <v>#N/A</v>
      </c>
      <c r="M82" s="1594" t="e">
        <f t="shared" si="46"/>
        <v>#N/A</v>
      </c>
      <c r="N82" s="1594" t="e">
        <f>K82+L82</f>
        <v>#N/A</v>
      </c>
      <c r="O82" s="1595" t="e">
        <f>K82+L82+M82</f>
        <v>#N/A</v>
      </c>
      <c r="P82" s="1596"/>
      <c r="Q82" s="1546">
        <v>2015</v>
      </c>
      <c r="R82" s="1597" t="e">
        <f>R115+R148</f>
        <v>#N/A</v>
      </c>
      <c r="S82" s="1597" t="e">
        <f t="shared" ref="S82:T82" si="47">S115+S148</f>
        <v>#N/A</v>
      </c>
      <c r="T82" s="1597" t="e">
        <f t="shared" si="47"/>
        <v>#N/A</v>
      </c>
      <c r="U82" s="1597" t="e">
        <f>R82+S82</f>
        <v>#N/A</v>
      </c>
      <c r="V82" s="1598" t="e">
        <f>R82+S82+T82</f>
        <v>#N/A</v>
      </c>
      <c r="W82" s="1596"/>
      <c r="X82" s="1546">
        <v>2015</v>
      </c>
      <c r="Y82" s="1599" t="e">
        <f>Y115+Y148</f>
        <v>#N/A</v>
      </c>
      <c r="Z82" s="1599" t="e">
        <f t="shared" ref="Z82:AA82" si="48">Z115+Z148</f>
        <v>#N/A</v>
      </c>
      <c r="AA82" s="1599" t="e">
        <f t="shared" si="48"/>
        <v>#N/A</v>
      </c>
      <c r="AB82" s="1599" t="e">
        <f>Y82+Z82</f>
        <v>#N/A</v>
      </c>
      <c r="AC82" s="1600" t="e">
        <f>Y82+Z82+AA82</f>
        <v>#N/A</v>
      </c>
      <c r="AD82" s="1596"/>
      <c r="AE82" s="1546">
        <v>2015</v>
      </c>
      <c r="AF82" s="1601" t="e">
        <f>AF115+AF148</f>
        <v>#N/A</v>
      </c>
      <c r="AG82" s="1601" t="e">
        <f t="shared" ref="AG82:AH82" si="49">AG115+AG148</f>
        <v>#N/A</v>
      </c>
      <c r="AH82" s="1601" t="e">
        <f t="shared" si="49"/>
        <v>#N/A</v>
      </c>
      <c r="AI82" s="1601" t="e">
        <f>AF82+AG82</f>
        <v>#N/A</v>
      </c>
      <c r="AJ82" s="1602" t="e">
        <f>AF82+AG82+AH82</f>
        <v>#N/A</v>
      </c>
      <c r="AK82" s="1559"/>
      <c r="AL82" s="1559"/>
      <c r="AM82" s="1603"/>
      <c r="AN82" s="1603"/>
      <c r="AO82" s="1603"/>
      <c r="AP82" s="1603"/>
      <c r="AQ82" s="1603"/>
      <c r="AR82" s="1603"/>
      <c r="AS82" s="1603"/>
      <c r="AT82" s="1603"/>
      <c r="AU82" s="1603"/>
      <c r="AV82" s="1604"/>
    </row>
    <row r="83" spans="1:48" s="1562" customFormat="1" ht="15" customHeight="1" x14ac:dyDescent="0.25">
      <c r="A83" s="1545"/>
      <c r="B83" s="2308"/>
      <c r="C83" s="1546">
        <f t="shared" si="44"/>
        <v>2016</v>
      </c>
      <c r="D83" s="1591" t="e">
        <f t="shared" ref="D83:F83" si="50">D116+D149</f>
        <v>#N/A</v>
      </c>
      <c r="E83" s="1591" t="e">
        <f t="shared" si="50"/>
        <v>#N/A</v>
      </c>
      <c r="F83" s="1591" t="e">
        <f t="shared" si="50"/>
        <v>#N/A</v>
      </c>
      <c r="G83" s="1591" t="e">
        <f t="shared" ref="G83:G87" si="51">D83+E83</f>
        <v>#N/A</v>
      </c>
      <c r="H83" s="1592" t="e">
        <f t="shared" ref="H83:H87" si="52">D83+E83+F83</f>
        <v>#N/A</v>
      </c>
      <c r="I83" s="1593"/>
      <c r="J83" s="1546">
        <v>2016</v>
      </c>
      <c r="K83" s="1594" t="e">
        <f t="shared" ref="K83:M83" si="53">K116+K149</f>
        <v>#N/A</v>
      </c>
      <c r="L83" s="1594" t="e">
        <f t="shared" si="53"/>
        <v>#N/A</v>
      </c>
      <c r="M83" s="1594" t="e">
        <f t="shared" si="53"/>
        <v>#N/A</v>
      </c>
      <c r="N83" s="1594" t="e">
        <f t="shared" ref="N83:N87" si="54">K83+L83</f>
        <v>#N/A</v>
      </c>
      <c r="O83" s="1595" t="e">
        <f t="shared" ref="O83:O87" si="55">K83+L83+M83</f>
        <v>#N/A</v>
      </c>
      <c r="P83" s="1596"/>
      <c r="Q83" s="1546">
        <v>2016</v>
      </c>
      <c r="R83" s="1597" t="e">
        <f t="shared" ref="R83:T83" si="56">R116+R149</f>
        <v>#N/A</v>
      </c>
      <c r="S83" s="1597" t="e">
        <f t="shared" si="56"/>
        <v>#N/A</v>
      </c>
      <c r="T83" s="1597" t="e">
        <f t="shared" si="56"/>
        <v>#N/A</v>
      </c>
      <c r="U83" s="1597" t="e">
        <f t="shared" ref="U83:U87" si="57">R83+S83</f>
        <v>#N/A</v>
      </c>
      <c r="V83" s="1598" t="e">
        <f t="shared" ref="V83:V87" si="58">R83+S83+T83</f>
        <v>#N/A</v>
      </c>
      <c r="W83" s="1596"/>
      <c r="X83" s="1546">
        <v>2016</v>
      </c>
      <c r="Y83" s="1599" t="e">
        <f t="shared" ref="Y83:AA83" si="59">Y116+Y149</f>
        <v>#N/A</v>
      </c>
      <c r="Z83" s="1599" t="e">
        <f t="shared" si="59"/>
        <v>#N/A</v>
      </c>
      <c r="AA83" s="1599" t="e">
        <f t="shared" si="59"/>
        <v>#N/A</v>
      </c>
      <c r="AB83" s="1599" t="e">
        <f t="shared" ref="AB83:AB87" si="60">Y83+Z83</f>
        <v>#N/A</v>
      </c>
      <c r="AC83" s="1600" t="e">
        <f t="shared" ref="AC83:AC87" si="61">Y83+Z83+AA83</f>
        <v>#N/A</v>
      </c>
      <c r="AD83" s="1596"/>
      <c r="AE83" s="1546">
        <v>2016</v>
      </c>
      <c r="AF83" s="1601" t="e">
        <f t="shared" ref="AF83:AH83" si="62">AF116+AF149</f>
        <v>#N/A</v>
      </c>
      <c r="AG83" s="1601" t="e">
        <f t="shared" si="62"/>
        <v>#N/A</v>
      </c>
      <c r="AH83" s="1601" t="e">
        <f t="shared" si="62"/>
        <v>#N/A</v>
      </c>
      <c r="AI83" s="1601" t="e">
        <f t="shared" ref="AI83:AI87" si="63">AF83+AG83</f>
        <v>#N/A</v>
      </c>
      <c r="AJ83" s="1602" t="e">
        <f t="shared" ref="AJ83:AJ87" si="64">AF83+AG83+AH83</f>
        <v>#N/A</v>
      </c>
      <c r="AK83" s="1559"/>
      <c r="AL83" s="1559"/>
      <c r="AM83" s="1603"/>
      <c r="AN83" s="1603"/>
      <c r="AO83" s="1603"/>
      <c r="AP83" s="1603"/>
      <c r="AQ83" s="1603"/>
      <c r="AR83" s="1603"/>
      <c r="AS83" s="1603"/>
      <c r="AT83" s="1603"/>
      <c r="AU83" s="1603"/>
      <c r="AV83" s="1604"/>
    </row>
    <row r="84" spans="1:48" s="1562" customFormat="1" ht="15" customHeight="1" x14ac:dyDescent="0.25">
      <c r="A84" s="1545"/>
      <c r="B84" s="2308"/>
      <c r="C84" s="1546">
        <f t="shared" si="44"/>
        <v>2017</v>
      </c>
      <c r="D84" s="1591" t="e">
        <f t="shared" ref="D84:F84" si="65">D117+D150</f>
        <v>#N/A</v>
      </c>
      <c r="E84" s="1591" t="e">
        <f t="shared" si="65"/>
        <v>#N/A</v>
      </c>
      <c r="F84" s="1591" t="e">
        <f t="shared" si="65"/>
        <v>#N/A</v>
      </c>
      <c r="G84" s="1591" t="e">
        <f t="shared" si="51"/>
        <v>#N/A</v>
      </c>
      <c r="H84" s="1592" t="e">
        <f t="shared" si="52"/>
        <v>#N/A</v>
      </c>
      <c r="I84" s="1593"/>
      <c r="J84" s="1546">
        <v>2017</v>
      </c>
      <c r="K84" s="1594" t="e">
        <f t="shared" ref="K84:M84" si="66">K117+K150</f>
        <v>#N/A</v>
      </c>
      <c r="L84" s="1594" t="e">
        <f t="shared" si="66"/>
        <v>#N/A</v>
      </c>
      <c r="M84" s="1594" t="e">
        <f t="shared" si="66"/>
        <v>#N/A</v>
      </c>
      <c r="N84" s="1594" t="e">
        <f t="shared" si="54"/>
        <v>#N/A</v>
      </c>
      <c r="O84" s="1595" t="e">
        <f t="shared" si="55"/>
        <v>#N/A</v>
      </c>
      <c r="P84" s="1596"/>
      <c r="Q84" s="1546">
        <v>2017</v>
      </c>
      <c r="R84" s="1597" t="e">
        <f t="shared" ref="R84:T84" si="67">R117+R150</f>
        <v>#N/A</v>
      </c>
      <c r="S84" s="1597" t="e">
        <f t="shared" si="67"/>
        <v>#N/A</v>
      </c>
      <c r="T84" s="1597" t="e">
        <f t="shared" si="67"/>
        <v>#N/A</v>
      </c>
      <c r="U84" s="1597" t="e">
        <f t="shared" si="57"/>
        <v>#N/A</v>
      </c>
      <c r="V84" s="1598" t="e">
        <f t="shared" si="58"/>
        <v>#N/A</v>
      </c>
      <c r="W84" s="1596"/>
      <c r="X84" s="1546">
        <v>2017</v>
      </c>
      <c r="Y84" s="1599" t="e">
        <f t="shared" ref="Y84:AA84" si="68">Y117+Y150</f>
        <v>#N/A</v>
      </c>
      <c r="Z84" s="1599" t="e">
        <f t="shared" si="68"/>
        <v>#N/A</v>
      </c>
      <c r="AA84" s="1599" t="e">
        <f t="shared" si="68"/>
        <v>#N/A</v>
      </c>
      <c r="AB84" s="1599" t="e">
        <f t="shared" si="60"/>
        <v>#N/A</v>
      </c>
      <c r="AC84" s="1600" t="e">
        <f t="shared" si="61"/>
        <v>#N/A</v>
      </c>
      <c r="AD84" s="1596"/>
      <c r="AE84" s="1546">
        <v>2017</v>
      </c>
      <c r="AF84" s="1601" t="e">
        <f t="shared" ref="AF84:AH84" si="69">AF117+AF150</f>
        <v>#N/A</v>
      </c>
      <c r="AG84" s="1601" t="e">
        <f t="shared" si="69"/>
        <v>#N/A</v>
      </c>
      <c r="AH84" s="1601" t="e">
        <f t="shared" si="69"/>
        <v>#N/A</v>
      </c>
      <c r="AI84" s="1601" t="e">
        <f t="shared" si="63"/>
        <v>#N/A</v>
      </c>
      <c r="AJ84" s="1602" t="e">
        <f t="shared" si="64"/>
        <v>#N/A</v>
      </c>
      <c r="AK84" s="1559"/>
      <c r="AL84" s="1559"/>
      <c r="AM84" s="1603"/>
      <c r="AN84" s="1603"/>
      <c r="AO84" s="1603"/>
      <c r="AP84" s="1603"/>
      <c r="AQ84" s="1603"/>
      <c r="AR84" s="1603"/>
      <c r="AS84" s="1603"/>
      <c r="AT84" s="1603"/>
      <c r="AU84" s="1603"/>
      <c r="AV84" s="1604"/>
    </row>
    <row r="85" spans="1:48" s="1562" customFormat="1" ht="15" customHeight="1" x14ac:dyDescent="0.25">
      <c r="A85" s="1545"/>
      <c r="B85" s="2308"/>
      <c r="C85" s="1546">
        <f t="shared" si="44"/>
        <v>2018</v>
      </c>
      <c r="D85" s="1591" t="e">
        <f t="shared" ref="D85:F85" si="70">D118+D151</f>
        <v>#N/A</v>
      </c>
      <c r="E85" s="1591" t="e">
        <f t="shared" si="70"/>
        <v>#N/A</v>
      </c>
      <c r="F85" s="1591" t="e">
        <f t="shared" si="70"/>
        <v>#N/A</v>
      </c>
      <c r="G85" s="1591" t="e">
        <f t="shared" si="51"/>
        <v>#N/A</v>
      </c>
      <c r="H85" s="1592" t="e">
        <f t="shared" si="52"/>
        <v>#N/A</v>
      </c>
      <c r="I85" s="1593"/>
      <c r="J85" s="1546">
        <v>2018</v>
      </c>
      <c r="K85" s="1594" t="e">
        <f t="shared" ref="K85:M85" si="71">K118+K151</f>
        <v>#N/A</v>
      </c>
      <c r="L85" s="1594" t="e">
        <f t="shared" si="71"/>
        <v>#N/A</v>
      </c>
      <c r="M85" s="1594" t="e">
        <f t="shared" si="71"/>
        <v>#N/A</v>
      </c>
      <c r="N85" s="1594" t="e">
        <f t="shared" si="54"/>
        <v>#N/A</v>
      </c>
      <c r="O85" s="1595" t="e">
        <f t="shared" si="55"/>
        <v>#N/A</v>
      </c>
      <c r="P85" s="1596"/>
      <c r="Q85" s="1546">
        <v>2018</v>
      </c>
      <c r="R85" s="1597" t="e">
        <f t="shared" ref="R85:T85" si="72">R118+R151</f>
        <v>#N/A</v>
      </c>
      <c r="S85" s="1597" t="e">
        <f t="shared" si="72"/>
        <v>#N/A</v>
      </c>
      <c r="T85" s="1597" t="e">
        <f t="shared" si="72"/>
        <v>#N/A</v>
      </c>
      <c r="U85" s="1597" t="e">
        <f t="shared" si="57"/>
        <v>#N/A</v>
      </c>
      <c r="V85" s="1598" t="e">
        <f t="shared" si="58"/>
        <v>#N/A</v>
      </c>
      <c r="W85" s="1596"/>
      <c r="X85" s="1546">
        <v>2018</v>
      </c>
      <c r="Y85" s="1599" t="e">
        <f t="shared" ref="Y85:AA85" si="73">Y118+Y151</f>
        <v>#N/A</v>
      </c>
      <c r="Z85" s="1599" t="e">
        <f t="shared" si="73"/>
        <v>#N/A</v>
      </c>
      <c r="AA85" s="1599" t="e">
        <f t="shared" si="73"/>
        <v>#N/A</v>
      </c>
      <c r="AB85" s="1599" t="e">
        <f t="shared" si="60"/>
        <v>#N/A</v>
      </c>
      <c r="AC85" s="1600" t="e">
        <f t="shared" si="61"/>
        <v>#N/A</v>
      </c>
      <c r="AD85" s="1596"/>
      <c r="AE85" s="1546">
        <v>2018</v>
      </c>
      <c r="AF85" s="1601" t="e">
        <f t="shared" ref="AF85:AH85" si="74">AF118+AF151</f>
        <v>#N/A</v>
      </c>
      <c r="AG85" s="1601" t="e">
        <f t="shared" si="74"/>
        <v>#N/A</v>
      </c>
      <c r="AH85" s="1601" t="e">
        <f t="shared" si="74"/>
        <v>#N/A</v>
      </c>
      <c r="AI85" s="1601" t="e">
        <f t="shared" si="63"/>
        <v>#N/A</v>
      </c>
      <c r="AJ85" s="1602" t="e">
        <f t="shared" si="64"/>
        <v>#N/A</v>
      </c>
      <c r="AK85" s="1559"/>
      <c r="AL85" s="1559"/>
      <c r="AM85" s="1603"/>
      <c r="AN85" s="1603"/>
      <c r="AO85" s="1603"/>
      <c r="AP85" s="1603"/>
      <c r="AQ85" s="1603"/>
      <c r="AR85" s="1603"/>
      <c r="AS85" s="1603"/>
      <c r="AT85" s="1603"/>
      <c r="AU85" s="1603"/>
      <c r="AV85" s="1604"/>
    </row>
    <row r="86" spans="1:48" s="1562" customFormat="1" ht="15" customHeight="1" x14ac:dyDescent="0.25">
      <c r="A86" s="1545"/>
      <c r="B86" s="2308"/>
      <c r="C86" s="1546">
        <f t="shared" si="44"/>
        <v>2019</v>
      </c>
      <c r="D86" s="1591" t="e">
        <f t="shared" ref="D86:F86" si="75">D119+D152</f>
        <v>#N/A</v>
      </c>
      <c r="E86" s="1591" t="e">
        <f t="shared" si="75"/>
        <v>#N/A</v>
      </c>
      <c r="F86" s="1591" t="e">
        <f t="shared" si="75"/>
        <v>#N/A</v>
      </c>
      <c r="G86" s="1591" t="e">
        <f t="shared" si="51"/>
        <v>#N/A</v>
      </c>
      <c r="H86" s="1592" t="e">
        <f t="shared" si="52"/>
        <v>#N/A</v>
      </c>
      <c r="I86" s="1593"/>
      <c r="J86" s="1546">
        <v>2019</v>
      </c>
      <c r="K86" s="1594" t="e">
        <f t="shared" ref="K86:M86" si="76">K119+K152</f>
        <v>#N/A</v>
      </c>
      <c r="L86" s="1594" t="e">
        <f t="shared" si="76"/>
        <v>#N/A</v>
      </c>
      <c r="M86" s="1594" t="e">
        <f t="shared" si="76"/>
        <v>#N/A</v>
      </c>
      <c r="N86" s="1594" t="e">
        <f t="shared" si="54"/>
        <v>#N/A</v>
      </c>
      <c r="O86" s="1595" t="e">
        <f t="shared" si="55"/>
        <v>#N/A</v>
      </c>
      <c r="P86" s="1596"/>
      <c r="Q86" s="1546">
        <v>2019</v>
      </c>
      <c r="R86" s="1597" t="e">
        <f t="shared" ref="R86:T86" si="77">R119+R152</f>
        <v>#N/A</v>
      </c>
      <c r="S86" s="1597" t="e">
        <f t="shared" si="77"/>
        <v>#N/A</v>
      </c>
      <c r="T86" s="1597" t="e">
        <f t="shared" si="77"/>
        <v>#N/A</v>
      </c>
      <c r="U86" s="1597" t="e">
        <f t="shared" si="57"/>
        <v>#N/A</v>
      </c>
      <c r="V86" s="1598" t="e">
        <f t="shared" si="58"/>
        <v>#N/A</v>
      </c>
      <c r="W86" s="1596"/>
      <c r="X86" s="1546">
        <v>2019</v>
      </c>
      <c r="Y86" s="1599" t="e">
        <f t="shared" ref="Y86:AA86" si="78">Y119+Y152</f>
        <v>#N/A</v>
      </c>
      <c r="Z86" s="1599" t="e">
        <f t="shared" si="78"/>
        <v>#N/A</v>
      </c>
      <c r="AA86" s="1599" t="e">
        <f t="shared" si="78"/>
        <v>#N/A</v>
      </c>
      <c r="AB86" s="1599" t="e">
        <f t="shared" si="60"/>
        <v>#N/A</v>
      </c>
      <c r="AC86" s="1600" t="e">
        <f t="shared" si="61"/>
        <v>#N/A</v>
      </c>
      <c r="AD86" s="1596"/>
      <c r="AE86" s="1546">
        <v>2019</v>
      </c>
      <c r="AF86" s="1601" t="e">
        <f t="shared" ref="AF86:AH86" si="79">AF119+AF152</f>
        <v>#N/A</v>
      </c>
      <c r="AG86" s="1601" t="e">
        <f t="shared" si="79"/>
        <v>#N/A</v>
      </c>
      <c r="AH86" s="1601" t="e">
        <f t="shared" si="79"/>
        <v>#N/A</v>
      </c>
      <c r="AI86" s="1601" t="e">
        <f t="shared" si="63"/>
        <v>#N/A</v>
      </c>
      <c r="AJ86" s="1602" t="e">
        <f t="shared" si="64"/>
        <v>#N/A</v>
      </c>
      <c r="AK86" s="1559"/>
      <c r="AL86" s="1559"/>
      <c r="AM86" s="1603"/>
      <c r="AN86" s="1603"/>
      <c r="AO86" s="1603"/>
      <c r="AP86" s="1603"/>
      <c r="AQ86" s="1603"/>
      <c r="AR86" s="1603"/>
      <c r="AS86" s="1603"/>
      <c r="AT86" s="1603"/>
      <c r="AU86" s="1603"/>
      <c r="AV86" s="1604"/>
    </row>
    <row r="87" spans="1:48" s="1562" customFormat="1" ht="15" customHeight="1" x14ac:dyDescent="0.25">
      <c r="A87" s="1545"/>
      <c r="B87" s="2309"/>
      <c r="C87" s="1546">
        <f t="shared" si="44"/>
        <v>2020</v>
      </c>
      <c r="D87" s="1591" t="e">
        <f t="shared" ref="D87:F87" si="80">D120+D153</f>
        <v>#N/A</v>
      </c>
      <c r="E87" s="1591" t="e">
        <f t="shared" si="80"/>
        <v>#N/A</v>
      </c>
      <c r="F87" s="1591" t="e">
        <f t="shared" si="80"/>
        <v>#N/A</v>
      </c>
      <c r="G87" s="1591" t="e">
        <f t="shared" si="51"/>
        <v>#N/A</v>
      </c>
      <c r="H87" s="1592" t="e">
        <f t="shared" si="52"/>
        <v>#N/A</v>
      </c>
      <c r="I87" s="1593"/>
      <c r="J87" s="1546">
        <v>2020</v>
      </c>
      <c r="K87" s="1594" t="e">
        <f t="shared" ref="K87:M87" si="81">K120+K153</f>
        <v>#N/A</v>
      </c>
      <c r="L87" s="1594" t="e">
        <f t="shared" si="81"/>
        <v>#N/A</v>
      </c>
      <c r="M87" s="1594" t="e">
        <f t="shared" si="81"/>
        <v>#N/A</v>
      </c>
      <c r="N87" s="1594" t="e">
        <f t="shared" si="54"/>
        <v>#N/A</v>
      </c>
      <c r="O87" s="1595" t="e">
        <f t="shared" si="55"/>
        <v>#N/A</v>
      </c>
      <c r="P87" s="1596"/>
      <c r="Q87" s="1546">
        <v>2020</v>
      </c>
      <c r="R87" s="1597" t="e">
        <f t="shared" ref="R87:T87" si="82">R120+R153</f>
        <v>#N/A</v>
      </c>
      <c r="S87" s="1597" t="e">
        <f t="shared" si="82"/>
        <v>#N/A</v>
      </c>
      <c r="T87" s="1597" t="e">
        <f t="shared" si="82"/>
        <v>#N/A</v>
      </c>
      <c r="U87" s="1597" t="e">
        <f t="shared" si="57"/>
        <v>#N/A</v>
      </c>
      <c r="V87" s="1598" t="e">
        <f t="shared" si="58"/>
        <v>#N/A</v>
      </c>
      <c r="W87" s="1596"/>
      <c r="X87" s="1546">
        <v>2020</v>
      </c>
      <c r="Y87" s="1599" t="e">
        <f t="shared" ref="Y87:AA87" si="83">Y120+Y153</f>
        <v>#N/A</v>
      </c>
      <c r="Z87" s="1599" t="e">
        <f t="shared" si="83"/>
        <v>#N/A</v>
      </c>
      <c r="AA87" s="1599" t="e">
        <f t="shared" si="83"/>
        <v>#N/A</v>
      </c>
      <c r="AB87" s="1599" t="e">
        <f t="shared" si="60"/>
        <v>#N/A</v>
      </c>
      <c r="AC87" s="1600" t="e">
        <f t="shared" si="61"/>
        <v>#N/A</v>
      </c>
      <c r="AD87" s="1596"/>
      <c r="AE87" s="1546">
        <v>2020</v>
      </c>
      <c r="AF87" s="1601" t="e">
        <f t="shared" ref="AF87:AH87" si="84">AF120+AF153</f>
        <v>#N/A</v>
      </c>
      <c r="AG87" s="1601" t="e">
        <f t="shared" si="84"/>
        <v>#N/A</v>
      </c>
      <c r="AH87" s="1601" t="e">
        <f t="shared" si="84"/>
        <v>#N/A</v>
      </c>
      <c r="AI87" s="1601" t="e">
        <f t="shared" si="63"/>
        <v>#N/A</v>
      </c>
      <c r="AJ87" s="1602" t="e">
        <f t="shared" si="64"/>
        <v>#N/A</v>
      </c>
      <c r="AK87" s="1559"/>
      <c r="AL87" s="1559"/>
      <c r="AM87" s="1603"/>
      <c r="AN87" s="1603"/>
      <c r="AO87" s="1603"/>
      <c r="AP87" s="1603"/>
      <c r="AQ87" s="1603"/>
      <c r="AR87" s="1603"/>
      <c r="AS87" s="1603"/>
      <c r="AT87" s="1603"/>
      <c r="AU87" s="1603"/>
      <c r="AV87" s="1604"/>
    </row>
    <row r="88" spans="1:48" s="1545" customFormat="1" ht="15.75" x14ac:dyDescent="0.25">
      <c r="B88" s="1564"/>
      <c r="C88" s="1565"/>
      <c r="D88" s="1565"/>
      <c r="E88" s="1566"/>
      <c r="F88" s="1566"/>
      <c r="G88" s="1566"/>
      <c r="H88" s="1566"/>
      <c r="I88" s="1566"/>
      <c r="J88" s="1566"/>
      <c r="K88" s="1565"/>
      <c r="L88" s="1567"/>
      <c r="M88" s="1567"/>
      <c r="N88" s="1567"/>
      <c r="O88" s="1567"/>
      <c r="P88" s="1567"/>
      <c r="Q88" s="1567"/>
      <c r="R88" s="1567"/>
      <c r="S88" s="1567"/>
      <c r="T88" s="1567"/>
      <c r="U88" s="1567"/>
      <c r="V88" s="1565"/>
      <c r="W88" s="1565"/>
      <c r="X88" s="1565"/>
      <c r="Y88" s="1565"/>
      <c r="Z88" s="1565"/>
      <c r="AA88" s="1565"/>
      <c r="AB88" s="1565"/>
      <c r="AC88" s="1565"/>
      <c r="AD88" s="1565"/>
      <c r="AE88" s="1565"/>
      <c r="AF88" s="1565"/>
      <c r="AG88" s="1565"/>
      <c r="AH88" s="1565"/>
      <c r="AI88" s="1565"/>
      <c r="AJ88" s="1565"/>
      <c r="AK88" s="1568"/>
      <c r="AL88" s="1568"/>
      <c r="AM88" s="1568"/>
      <c r="AN88" s="1568"/>
      <c r="AO88" s="1568"/>
      <c r="AP88" s="1568"/>
      <c r="AQ88" s="1568"/>
      <c r="AR88" s="1568"/>
      <c r="AS88" s="1568"/>
      <c r="AT88" s="1568"/>
      <c r="AU88" s="1568"/>
    </row>
    <row r="89" spans="1:48" s="1584" customFormat="1" ht="16.5" customHeight="1" x14ac:dyDescent="0.25">
      <c r="A89" s="1569"/>
      <c r="B89" s="2307" t="str">
        <f>IF($F$6=Lists!$C$4, "Net Forklift Fuel Cell-related Output (Thousands of 2010$)", B122)</f>
        <v>Gross Forklift Fuel Cell-related Output (Thousands of 2010$)</v>
      </c>
      <c r="C89" s="1570"/>
      <c r="D89" s="1571" t="str">
        <f>D$69</f>
        <v>Total (Manufacturing, Installation, Fuel, and Maintenance)</v>
      </c>
      <c r="E89" s="1572"/>
      <c r="F89" s="1572"/>
      <c r="G89" s="1572"/>
      <c r="H89" s="1572"/>
      <c r="I89" s="1573"/>
      <c r="J89" s="1505"/>
      <c r="K89" s="1574" t="str">
        <f>K79</f>
        <v>Forklift Fuel Cell Manufacturing, Development, Sales, and Shipping (Class I/II and III combined)</v>
      </c>
      <c r="L89" s="1575"/>
      <c r="M89" s="1575"/>
      <c r="N89" s="1575"/>
      <c r="O89" s="1575"/>
      <c r="P89" s="1576"/>
      <c r="Q89" s="1505"/>
      <c r="R89" s="1577" t="str">
        <f>R79</f>
        <v>Hydrogen Fueling Infrastructure Installations</v>
      </c>
      <c r="S89" s="1578"/>
      <c r="T89" s="1578"/>
      <c r="U89" s="1578"/>
      <c r="V89" s="1578"/>
      <c r="W89" s="1576"/>
      <c r="X89" s="1505"/>
      <c r="Y89" s="1579" t="str">
        <f>Y79</f>
        <v>Hydrogen Fuel Production and Delivery</v>
      </c>
      <c r="Z89" s="1580"/>
      <c r="AA89" s="1580"/>
      <c r="AB89" s="1580"/>
      <c r="AC89" s="1580"/>
      <c r="AD89" s="1576"/>
      <c r="AE89" s="1505"/>
      <c r="AF89" s="1581" t="str">
        <f>AF79</f>
        <v>Fuel Cell and Infrastructure Maintenance</v>
      </c>
      <c r="AG89" s="1582"/>
      <c r="AH89" s="1582"/>
      <c r="AI89" s="1582"/>
      <c r="AJ89" s="1582"/>
      <c r="AK89" s="1583"/>
      <c r="AL89" s="1583"/>
      <c r="AM89" s="1583"/>
      <c r="AN89" s="1583"/>
      <c r="AO89" s="1583"/>
      <c r="AP89" s="1583"/>
      <c r="AQ89" s="1583"/>
      <c r="AR89" s="1583"/>
      <c r="AS89" s="1583"/>
      <c r="AT89" s="1583"/>
      <c r="AU89" s="1583"/>
    </row>
    <row r="90" spans="1:48" s="1584" customFormat="1" ht="16.5" x14ac:dyDescent="0.25">
      <c r="A90" s="1569"/>
      <c r="B90" s="2308"/>
      <c r="C90" s="1585"/>
      <c r="D90" s="1571" t="str">
        <f>IF('Forklift INPUTS'!$E$7=Lists!$C$4, "Net Output (Thousands of 2010$)", "Gross Output (Thousands of 2010$)")</f>
        <v>Gross Output (Thousands of 2010$)</v>
      </c>
      <c r="E90" s="1586"/>
      <c r="F90" s="1572"/>
      <c r="G90" s="1572"/>
      <c r="H90" s="1572"/>
      <c r="I90" s="1573"/>
      <c r="J90" s="1521"/>
      <c r="K90" s="1509" t="str">
        <f>D90</f>
        <v>Gross Output (Thousands of 2010$)</v>
      </c>
      <c r="L90" s="1587"/>
      <c r="M90" s="1575"/>
      <c r="N90" s="1575"/>
      <c r="O90" s="1575"/>
      <c r="P90" s="1576"/>
      <c r="Q90" s="1521"/>
      <c r="R90" s="1512" t="str">
        <f>K90</f>
        <v>Gross Output (Thousands of 2010$)</v>
      </c>
      <c r="S90" s="1588"/>
      <c r="T90" s="1578"/>
      <c r="U90" s="1578"/>
      <c r="V90" s="1578"/>
      <c r="W90" s="1576"/>
      <c r="X90" s="1521"/>
      <c r="Y90" s="1514" t="str">
        <f>R90</f>
        <v>Gross Output (Thousands of 2010$)</v>
      </c>
      <c r="Z90" s="1524"/>
      <c r="AA90" s="1580"/>
      <c r="AB90" s="1580"/>
      <c r="AC90" s="1580"/>
      <c r="AD90" s="1576"/>
      <c r="AE90" s="1521"/>
      <c r="AF90" s="1516" t="str">
        <f>Y90</f>
        <v>Gross Output (Thousands of 2010$)</v>
      </c>
      <c r="AG90" s="1525"/>
      <c r="AH90" s="1582"/>
      <c r="AI90" s="1582"/>
      <c r="AJ90" s="1582"/>
      <c r="AK90" s="1583"/>
      <c r="AL90" s="1583"/>
      <c r="AM90" s="1583"/>
      <c r="AN90" s="1583"/>
      <c r="AO90" s="1583"/>
      <c r="AP90" s="1583"/>
      <c r="AQ90" s="1583"/>
      <c r="AR90" s="1583"/>
      <c r="AS90" s="1583"/>
      <c r="AT90" s="1583"/>
      <c r="AU90" s="1583"/>
    </row>
    <row r="91" spans="1:48" s="1590" customFormat="1" ht="66" customHeight="1" x14ac:dyDescent="0.25">
      <c r="A91" s="1589"/>
      <c r="B91" s="2308"/>
      <c r="C91" s="1585" t="str">
        <f t="shared" ref="C91:C97" si="85">C81</f>
        <v>Year</v>
      </c>
      <c r="D91" s="1528" t="str">
        <f>D$166&amp;" "&amp;D$167</f>
        <v>Gross Forklift Fuel Cell-related Direct</v>
      </c>
      <c r="E91" s="1528" t="str">
        <f>E$166&amp;" "&amp;E$167</f>
        <v>Gross Forklift Fuel Cell-related Indirect</v>
      </c>
      <c r="F91" s="1528" t="str">
        <f>F$166&amp;" "&amp;F$167</f>
        <v>Gross Forklift Fuel Cell-related Induced</v>
      </c>
      <c r="G91" s="1529" t="str">
        <f>G$166&amp;" "&amp;G$167</f>
        <v>Gross Forklift Fuel Cell-related Supply Chain</v>
      </c>
      <c r="H91" s="1529" t="str">
        <f>H$166&amp;" "&amp;H$167</f>
        <v>Gross Forklift Fuel Cell-related Total</v>
      </c>
      <c r="I91" s="1530"/>
      <c r="J91" s="1527" t="s">
        <v>433</v>
      </c>
      <c r="K91" s="1531" t="str">
        <f>K$166&amp;" "&amp;K$167</f>
        <v>Gross Forklift Fuel Cell Direct</v>
      </c>
      <c r="L91" s="1531" t="str">
        <f>L$166&amp;" "&amp;L$167</f>
        <v>Gross Forklift Fuel Cell Indirect</v>
      </c>
      <c r="M91" s="1531" t="str">
        <f>M$166&amp;" "&amp;M$167</f>
        <v>Gross Forklift Fuel Cell Induced</v>
      </c>
      <c r="N91" s="1532" t="str">
        <f>N$166&amp;" "&amp;N$167</f>
        <v>Gross Forklift Fuel Cell Supply Chain</v>
      </c>
      <c r="O91" s="1532" t="str">
        <f>O$166&amp;" "&amp;O$167</f>
        <v>Gross Forklift Fuel Cell Total</v>
      </c>
      <c r="P91" s="1533"/>
      <c r="Q91" s="1527" t="s">
        <v>433</v>
      </c>
      <c r="R91" s="1534" t="str">
        <f>R$166&amp;" "&amp;R$167</f>
        <v>Gross On-site H2 Infr. Direct</v>
      </c>
      <c r="S91" s="1534" t="str">
        <f>S$166&amp;" "&amp;S$167</f>
        <v>Gross On-site H2 Infr. Indirect</v>
      </c>
      <c r="T91" s="1534" t="str">
        <f>T$166&amp;" "&amp;T$167</f>
        <v>Gross On-site H2 Infr. Induced</v>
      </c>
      <c r="U91" s="1535" t="str">
        <f>U$166&amp;" "&amp;U$167</f>
        <v>Gross On-site H2 Infr. Supply Chain</v>
      </c>
      <c r="V91" s="1535" t="str">
        <f>V$166&amp;" "&amp;V$167</f>
        <v>Gross On-site H2 Infr. Total</v>
      </c>
      <c r="W91" s="1533"/>
      <c r="X91" s="1527" t="s">
        <v>433</v>
      </c>
      <c r="Y91" s="1536" t="str">
        <f>Y$166&amp;" "&amp;Y$167</f>
        <v>Gross Hydrogen Fuel Direct</v>
      </c>
      <c r="Z91" s="1536" t="str">
        <f>Z$166&amp;" "&amp;Z$167</f>
        <v>Gross Hydrogen Fuel Indirect</v>
      </c>
      <c r="AA91" s="1536" t="str">
        <f>AA$166&amp;" "&amp;AA$167</f>
        <v>Gross Hydrogen Fuel Induced</v>
      </c>
      <c r="AB91" s="1537" t="str">
        <f>AB$166&amp;" "&amp;AB$167</f>
        <v>Gross Hydrogen Fuel Supply Chain</v>
      </c>
      <c r="AC91" s="1537" t="str">
        <f>AC$166&amp;" "&amp;AC$167</f>
        <v>Gross Hydrogen Fuel Total</v>
      </c>
      <c r="AD91" s="1533"/>
      <c r="AE91" s="1527" t="s">
        <v>433</v>
      </c>
      <c r="AF91" s="1538" t="str">
        <f>AF$166&amp;" "&amp;AF$167</f>
        <v>Gross FC and Infr. Maint. Direct</v>
      </c>
      <c r="AG91" s="1538" t="str">
        <f>AG$166&amp;" "&amp;AG$167</f>
        <v>Gross FC and Infr. Maint. Indirect</v>
      </c>
      <c r="AH91" s="1538" t="str">
        <f>AH$166&amp;" "&amp;AH$167</f>
        <v>Gross FC and Infr. Maint. Induced</v>
      </c>
      <c r="AI91" s="1539" t="str">
        <f>AI$166&amp;" "&amp;AI$167</f>
        <v>Gross FC and Infr. Maint. Supply Chain</v>
      </c>
      <c r="AJ91" s="1539" t="str">
        <f>AJ$166&amp;" "&amp;AJ$167</f>
        <v>Gross FC and Infr. Maint. Total</v>
      </c>
      <c r="AK91" s="1541"/>
      <c r="AL91" s="1541"/>
      <c r="AM91" s="1541"/>
      <c r="AN91" s="1541"/>
      <c r="AO91" s="1541"/>
      <c r="AP91" s="1541"/>
      <c r="AQ91" s="1541"/>
      <c r="AR91" s="1541"/>
      <c r="AS91" s="1541"/>
      <c r="AT91" s="1541"/>
      <c r="AU91" s="1541"/>
    </row>
    <row r="92" spans="1:48" s="1562" customFormat="1" ht="15" customHeight="1" x14ac:dyDescent="0.25">
      <c r="A92" s="1545"/>
      <c r="B92" s="2308"/>
      <c r="C92" s="1546">
        <f t="shared" si="85"/>
        <v>2015</v>
      </c>
      <c r="D92" s="1591" t="e">
        <f>D125+D158</f>
        <v>#N/A</v>
      </c>
      <c r="E92" s="1591" t="e">
        <f t="shared" ref="E92:F92" si="86">E125+E158</f>
        <v>#N/A</v>
      </c>
      <c r="F92" s="1591" t="e">
        <f t="shared" si="86"/>
        <v>#N/A</v>
      </c>
      <c r="G92" s="1591" t="e">
        <f>D92+E92</f>
        <v>#N/A</v>
      </c>
      <c r="H92" s="1592" t="e">
        <f>D92+E92+F92</f>
        <v>#N/A</v>
      </c>
      <c r="I92" s="1593"/>
      <c r="J92" s="1546">
        <v>2015</v>
      </c>
      <c r="K92" s="1594" t="e">
        <f>K125+K158</f>
        <v>#N/A</v>
      </c>
      <c r="L92" s="1594" t="e">
        <f t="shared" ref="L92:M92" si="87">L125+L158</f>
        <v>#N/A</v>
      </c>
      <c r="M92" s="1594" t="e">
        <f t="shared" si="87"/>
        <v>#N/A</v>
      </c>
      <c r="N92" s="1594" t="e">
        <f>K92+L92</f>
        <v>#N/A</v>
      </c>
      <c r="O92" s="1595" t="e">
        <f>K92+L92+M92</f>
        <v>#N/A</v>
      </c>
      <c r="P92" s="1596"/>
      <c r="Q92" s="1546">
        <v>2015</v>
      </c>
      <c r="R92" s="1597" t="e">
        <f>R125+R158</f>
        <v>#N/A</v>
      </c>
      <c r="S92" s="1597" t="e">
        <f t="shared" ref="S92:T92" si="88">S125+S158</f>
        <v>#N/A</v>
      </c>
      <c r="T92" s="1597" t="e">
        <f t="shared" si="88"/>
        <v>#N/A</v>
      </c>
      <c r="U92" s="1597" t="e">
        <f>R92+S92</f>
        <v>#N/A</v>
      </c>
      <c r="V92" s="1598" t="e">
        <f>R92+S92+T92</f>
        <v>#N/A</v>
      </c>
      <c r="W92" s="1596"/>
      <c r="X92" s="1546">
        <v>2015</v>
      </c>
      <c r="Y92" s="1599" t="e">
        <f>Y125+Y158</f>
        <v>#N/A</v>
      </c>
      <c r="Z92" s="1599" t="e">
        <f t="shared" ref="Z92:AA92" si="89">Z125+Z158</f>
        <v>#N/A</v>
      </c>
      <c r="AA92" s="1599" t="e">
        <f t="shared" si="89"/>
        <v>#N/A</v>
      </c>
      <c r="AB92" s="1599" t="e">
        <f>Y92+Z92</f>
        <v>#N/A</v>
      </c>
      <c r="AC92" s="1600" t="e">
        <f>Y92+Z92+AA92</f>
        <v>#N/A</v>
      </c>
      <c r="AD92" s="1596"/>
      <c r="AE92" s="1546">
        <v>2015</v>
      </c>
      <c r="AF92" s="1601" t="e">
        <f>AF125+AF158</f>
        <v>#N/A</v>
      </c>
      <c r="AG92" s="1601" t="e">
        <f t="shared" ref="AG92:AH92" si="90">AG125+AG158</f>
        <v>#N/A</v>
      </c>
      <c r="AH92" s="1601" t="e">
        <f t="shared" si="90"/>
        <v>#N/A</v>
      </c>
      <c r="AI92" s="1601" t="e">
        <f>AF92+AG92</f>
        <v>#N/A</v>
      </c>
      <c r="AJ92" s="1602" t="e">
        <f>AF92+AG92+AH92</f>
        <v>#N/A</v>
      </c>
      <c r="AK92" s="1559"/>
      <c r="AL92" s="1559"/>
      <c r="AM92" s="1559"/>
      <c r="AN92" s="1559"/>
      <c r="AO92" s="1559"/>
      <c r="AP92" s="1559"/>
      <c r="AQ92" s="1559"/>
      <c r="AR92" s="1559"/>
      <c r="AS92" s="1559"/>
      <c r="AT92" s="1559"/>
      <c r="AU92" s="1559"/>
    </row>
    <row r="93" spans="1:48" s="1562" customFormat="1" ht="15" customHeight="1" x14ac:dyDescent="0.25">
      <c r="A93" s="1545"/>
      <c r="B93" s="2308"/>
      <c r="C93" s="1546">
        <f t="shared" si="85"/>
        <v>2016</v>
      </c>
      <c r="D93" s="1591" t="e">
        <f t="shared" ref="D93:F93" si="91">D126+D159</f>
        <v>#N/A</v>
      </c>
      <c r="E93" s="1591" t="e">
        <f t="shared" si="91"/>
        <v>#N/A</v>
      </c>
      <c r="F93" s="1591" t="e">
        <f t="shared" si="91"/>
        <v>#N/A</v>
      </c>
      <c r="G93" s="1591" t="e">
        <f t="shared" ref="G93:G97" si="92">D93+E93</f>
        <v>#N/A</v>
      </c>
      <c r="H93" s="1592" t="e">
        <f t="shared" ref="H93:H97" si="93">D93+E93+F93</f>
        <v>#N/A</v>
      </c>
      <c r="I93" s="1593"/>
      <c r="J93" s="1546">
        <v>2016</v>
      </c>
      <c r="K93" s="1594" t="e">
        <f t="shared" ref="K93:M93" si="94">K126+K159</f>
        <v>#N/A</v>
      </c>
      <c r="L93" s="1594" t="e">
        <f t="shared" si="94"/>
        <v>#N/A</v>
      </c>
      <c r="M93" s="1594" t="e">
        <f t="shared" si="94"/>
        <v>#N/A</v>
      </c>
      <c r="N93" s="1594" t="e">
        <f t="shared" ref="N93:N97" si="95">K93+L93</f>
        <v>#N/A</v>
      </c>
      <c r="O93" s="1595" t="e">
        <f t="shared" ref="O93:O97" si="96">K93+L93+M93</f>
        <v>#N/A</v>
      </c>
      <c r="P93" s="1596"/>
      <c r="Q93" s="1546">
        <v>2016</v>
      </c>
      <c r="R93" s="1597" t="e">
        <f t="shared" ref="R93:T93" si="97">R126+R159</f>
        <v>#N/A</v>
      </c>
      <c r="S93" s="1597" t="e">
        <f t="shared" si="97"/>
        <v>#N/A</v>
      </c>
      <c r="T93" s="1597" t="e">
        <f t="shared" si="97"/>
        <v>#N/A</v>
      </c>
      <c r="U93" s="1597" t="e">
        <f t="shared" ref="U93:U97" si="98">R93+S93</f>
        <v>#N/A</v>
      </c>
      <c r="V93" s="1598" t="e">
        <f t="shared" ref="V93:V97" si="99">R93+S93+T93</f>
        <v>#N/A</v>
      </c>
      <c r="W93" s="1596"/>
      <c r="X93" s="1546">
        <v>2016</v>
      </c>
      <c r="Y93" s="1599" t="e">
        <f t="shared" ref="Y93:AA93" si="100">Y126+Y159</f>
        <v>#N/A</v>
      </c>
      <c r="Z93" s="1599" t="e">
        <f t="shared" si="100"/>
        <v>#N/A</v>
      </c>
      <c r="AA93" s="1599" t="e">
        <f t="shared" si="100"/>
        <v>#N/A</v>
      </c>
      <c r="AB93" s="1599" t="e">
        <f t="shared" ref="AB93:AB97" si="101">Y93+Z93</f>
        <v>#N/A</v>
      </c>
      <c r="AC93" s="1600" t="e">
        <f t="shared" ref="AC93:AC97" si="102">Y93+Z93+AA93</f>
        <v>#N/A</v>
      </c>
      <c r="AD93" s="1596"/>
      <c r="AE93" s="1546">
        <v>2016</v>
      </c>
      <c r="AF93" s="1601" t="e">
        <f t="shared" ref="AF93:AH93" si="103">AF126+AF159</f>
        <v>#N/A</v>
      </c>
      <c r="AG93" s="1601" t="e">
        <f t="shared" si="103"/>
        <v>#N/A</v>
      </c>
      <c r="AH93" s="1601" t="e">
        <f t="shared" si="103"/>
        <v>#N/A</v>
      </c>
      <c r="AI93" s="1601" t="e">
        <f t="shared" ref="AI93:AI97" si="104">AF93+AG93</f>
        <v>#N/A</v>
      </c>
      <c r="AJ93" s="1602" t="e">
        <f t="shared" ref="AJ93:AJ97" si="105">AF93+AG93+AH93</f>
        <v>#N/A</v>
      </c>
      <c r="AK93" s="1559"/>
      <c r="AL93" s="1559"/>
      <c r="AM93" s="1559"/>
      <c r="AN93" s="1559"/>
      <c r="AO93" s="1559"/>
      <c r="AP93" s="1559"/>
      <c r="AQ93" s="1559"/>
      <c r="AR93" s="1559"/>
      <c r="AS93" s="1559"/>
      <c r="AT93" s="1559"/>
      <c r="AU93" s="1559"/>
    </row>
    <row r="94" spans="1:48" s="1562" customFormat="1" ht="15" customHeight="1" x14ac:dyDescent="0.25">
      <c r="A94" s="1545"/>
      <c r="B94" s="2308"/>
      <c r="C94" s="1546">
        <f t="shared" si="85"/>
        <v>2017</v>
      </c>
      <c r="D94" s="1591" t="e">
        <f t="shared" ref="D94:F94" si="106">D127+D160</f>
        <v>#N/A</v>
      </c>
      <c r="E94" s="1591" t="e">
        <f t="shared" si="106"/>
        <v>#N/A</v>
      </c>
      <c r="F94" s="1591" t="e">
        <f t="shared" si="106"/>
        <v>#N/A</v>
      </c>
      <c r="G94" s="1591" t="e">
        <f t="shared" si="92"/>
        <v>#N/A</v>
      </c>
      <c r="H94" s="1592" t="e">
        <f t="shared" si="93"/>
        <v>#N/A</v>
      </c>
      <c r="I94" s="1593"/>
      <c r="J94" s="1546">
        <v>2017</v>
      </c>
      <c r="K94" s="1594" t="e">
        <f t="shared" ref="K94:M94" si="107">K127+K160</f>
        <v>#N/A</v>
      </c>
      <c r="L94" s="1594" t="e">
        <f t="shared" si="107"/>
        <v>#N/A</v>
      </c>
      <c r="M94" s="1594" t="e">
        <f t="shared" si="107"/>
        <v>#N/A</v>
      </c>
      <c r="N94" s="1594" t="e">
        <f t="shared" si="95"/>
        <v>#N/A</v>
      </c>
      <c r="O94" s="1595" t="e">
        <f t="shared" si="96"/>
        <v>#N/A</v>
      </c>
      <c r="P94" s="1596"/>
      <c r="Q94" s="1546">
        <v>2017</v>
      </c>
      <c r="R94" s="1597" t="e">
        <f t="shared" ref="R94:T94" si="108">R127+R160</f>
        <v>#N/A</v>
      </c>
      <c r="S94" s="1597" t="e">
        <f t="shared" si="108"/>
        <v>#N/A</v>
      </c>
      <c r="T94" s="1597" t="e">
        <f t="shared" si="108"/>
        <v>#N/A</v>
      </c>
      <c r="U94" s="1597" t="e">
        <f t="shared" si="98"/>
        <v>#N/A</v>
      </c>
      <c r="V94" s="1598" t="e">
        <f t="shared" si="99"/>
        <v>#N/A</v>
      </c>
      <c r="W94" s="1596"/>
      <c r="X94" s="1546">
        <v>2017</v>
      </c>
      <c r="Y94" s="1599" t="e">
        <f t="shared" ref="Y94:AA94" si="109">Y127+Y160</f>
        <v>#N/A</v>
      </c>
      <c r="Z94" s="1599" t="e">
        <f t="shared" si="109"/>
        <v>#N/A</v>
      </c>
      <c r="AA94" s="1599" t="e">
        <f t="shared" si="109"/>
        <v>#N/A</v>
      </c>
      <c r="AB94" s="1599" t="e">
        <f t="shared" si="101"/>
        <v>#N/A</v>
      </c>
      <c r="AC94" s="1600" t="e">
        <f t="shared" si="102"/>
        <v>#N/A</v>
      </c>
      <c r="AD94" s="1596"/>
      <c r="AE94" s="1546">
        <v>2017</v>
      </c>
      <c r="AF94" s="1601" t="e">
        <f t="shared" ref="AF94:AH94" si="110">AF127+AF160</f>
        <v>#N/A</v>
      </c>
      <c r="AG94" s="1601" t="e">
        <f t="shared" si="110"/>
        <v>#N/A</v>
      </c>
      <c r="AH94" s="1601" t="e">
        <f t="shared" si="110"/>
        <v>#N/A</v>
      </c>
      <c r="AI94" s="1601" t="e">
        <f t="shared" si="104"/>
        <v>#N/A</v>
      </c>
      <c r="AJ94" s="1602" t="e">
        <f t="shared" si="105"/>
        <v>#N/A</v>
      </c>
      <c r="AK94" s="1559"/>
      <c r="AL94" s="1559"/>
      <c r="AM94" s="1559"/>
      <c r="AN94" s="1559"/>
      <c r="AO94" s="1559"/>
      <c r="AP94" s="1559"/>
      <c r="AQ94" s="1559"/>
      <c r="AR94" s="1559"/>
      <c r="AS94" s="1559"/>
      <c r="AT94" s="1559"/>
      <c r="AU94" s="1559"/>
    </row>
    <row r="95" spans="1:48" s="1562" customFormat="1" ht="15" customHeight="1" x14ac:dyDescent="0.25">
      <c r="A95" s="1545"/>
      <c r="B95" s="2308"/>
      <c r="C95" s="1546">
        <f t="shared" si="85"/>
        <v>2018</v>
      </c>
      <c r="D95" s="1591" t="e">
        <f t="shared" ref="D95:F95" si="111">D128+D161</f>
        <v>#N/A</v>
      </c>
      <c r="E95" s="1591" t="e">
        <f t="shared" si="111"/>
        <v>#N/A</v>
      </c>
      <c r="F95" s="1591" t="e">
        <f t="shared" si="111"/>
        <v>#N/A</v>
      </c>
      <c r="G95" s="1591" t="e">
        <f t="shared" si="92"/>
        <v>#N/A</v>
      </c>
      <c r="H95" s="1592" t="e">
        <f t="shared" si="93"/>
        <v>#N/A</v>
      </c>
      <c r="I95" s="1593"/>
      <c r="J95" s="1546">
        <v>2018</v>
      </c>
      <c r="K95" s="1594" t="e">
        <f t="shared" ref="K95:M95" si="112">K128+K161</f>
        <v>#N/A</v>
      </c>
      <c r="L95" s="1594" t="e">
        <f t="shared" si="112"/>
        <v>#N/A</v>
      </c>
      <c r="M95" s="1594" t="e">
        <f t="shared" si="112"/>
        <v>#N/A</v>
      </c>
      <c r="N95" s="1594" t="e">
        <f t="shared" si="95"/>
        <v>#N/A</v>
      </c>
      <c r="O95" s="1595" t="e">
        <f t="shared" si="96"/>
        <v>#N/A</v>
      </c>
      <c r="P95" s="1596"/>
      <c r="Q95" s="1546">
        <v>2018</v>
      </c>
      <c r="R95" s="1597" t="e">
        <f t="shared" ref="R95:T95" si="113">R128+R161</f>
        <v>#N/A</v>
      </c>
      <c r="S95" s="1597" t="e">
        <f t="shared" si="113"/>
        <v>#N/A</v>
      </c>
      <c r="T95" s="1597" t="e">
        <f t="shared" si="113"/>
        <v>#N/A</v>
      </c>
      <c r="U95" s="1597" t="e">
        <f t="shared" si="98"/>
        <v>#N/A</v>
      </c>
      <c r="V95" s="1598" t="e">
        <f t="shared" si="99"/>
        <v>#N/A</v>
      </c>
      <c r="W95" s="1596"/>
      <c r="X95" s="1546">
        <v>2018</v>
      </c>
      <c r="Y95" s="1599" t="e">
        <f t="shared" ref="Y95:AA95" si="114">Y128+Y161</f>
        <v>#N/A</v>
      </c>
      <c r="Z95" s="1599" t="e">
        <f t="shared" si="114"/>
        <v>#N/A</v>
      </c>
      <c r="AA95" s="1599" t="e">
        <f t="shared" si="114"/>
        <v>#N/A</v>
      </c>
      <c r="AB95" s="1599" t="e">
        <f t="shared" si="101"/>
        <v>#N/A</v>
      </c>
      <c r="AC95" s="1600" t="e">
        <f t="shared" si="102"/>
        <v>#N/A</v>
      </c>
      <c r="AD95" s="1596"/>
      <c r="AE95" s="1546">
        <v>2018</v>
      </c>
      <c r="AF95" s="1601" t="e">
        <f t="shared" ref="AF95:AH95" si="115">AF128+AF161</f>
        <v>#N/A</v>
      </c>
      <c r="AG95" s="1601" t="e">
        <f t="shared" si="115"/>
        <v>#N/A</v>
      </c>
      <c r="AH95" s="1601" t="e">
        <f t="shared" si="115"/>
        <v>#N/A</v>
      </c>
      <c r="AI95" s="1601" t="e">
        <f t="shared" si="104"/>
        <v>#N/A</v>
      </c>
      <c r="AJ95" s="1602" t="e">
        <f t="shared" si="105"/>
        <v>#N/A</v>
      </c>
      <c r="AK95" s="1559"/>
      <c r="AL95" s="1559"/>
      <c r="AM95" s="1559"/>
      <c r="AN95" s="1559"/>
      <c r="AO95" s="1559"/>
      <c r="AP95" s="1559"/>
      <c r="AQ95" s="1559"/>
      <c r="AR95" s="1559"/>
      <c r="AS95" s="1559"/>
      <c r="AT95" s="1559"/>
      <c r="AU95" s="1559"/>
    </row>
    <row r="96" spans="1:48" s="1562" customFormat="1" ht="15" customHeight="1" x14ac:dyDescent="0.25">
      <c r="A96" s="1545"/>
      <c r="B96" s="2308"/>
      <c r="C96" s="1546">
        <f t="shared" si="85"/>
        <v>2019</v>
      </c>
      <c r="D96" s="1591" t="e">
        <f t="shared" ref="D96:F96" si="116">D129+D162</f>
        <v>#N/A</v>
      </c>
      <c r="E96" s="1591" t="e">
        <f t="shared" si="116"/>
        <v>#N/A</v>
      </c>
      <c r="F96" s="1591" t="e">
        <f t="shared" si="116"/>
        <v>#N/A</v>
      </c>
      <c r="G96" s="1591" t="e">
        <f t="shared" si="92"/>
        <v>#N/A</v>
      </c>
      <c r="H96" s="1592" t="e">
        <f t="shared" si="93"/>
        <v>#N/A</v>
      </c>
      <c r="I96" s="1593"/>
      <c r="J96" s="1546">
        <v>2019</v>
      </c>
      <c r="K96" s="1594" t="e">
        <f t="shared" ref="K96:M96" si="117">K129+K162</f>
        <v>#N/A</v>
      </c>
      <c r="L96" s="1594" t="e">
        <f t="shared" si="117"/>
        <v>#N/A</v>
      </c>
      <c r="M96" s="1594" t="e">
        <f t="shared" si="117"/>
        <v>#N/A</v>
      </c>
      <c r="N96" s="1594" t="e">
        <f t="shared" si="95"/>
        <v>#N/A</v>
      </c>
      <c r="O96" s="1595" t="e">
        <f t="shared" si="96"/>
        <v>#N/A</v>
      </c>
      <c r="P96" s="1596"/>
      <c r="Q96" s="1546">
        <v>2019</v>
      </c>
      <c r="R96" s="1597" t="e">
        <f t="shared" ref="R96:T96" si="118">R129+R162</f>
        <v>#N/A</v>
      </c>
      <c r="S96" s="1597" t="e">
        <f t="shared" si="118"/>
        <v>#N/A</v>
      </c>
      <c r="T96" s="1597" t="e">
        <f t="shared" si="118"/>
        <v>#N/A</v>
      </c>
      <c r="U96" s="1597" t="e">
        <f t="shared" si="98"/>
        <v>#N/A</v>
      </c>
      <c r="V96" s="1598" t="e">
        <f t="shared" si="99"/>
        <v>#N/A</v>
      </c>
      <c r="W96" s="1596"/>
      <c r="X96" s="1546">
        <v>2019</v>
      </c>
      <c r="Y96" s="1599" t="e">
        <f t="shared" ref="Y96:AA96" si="119">Y129+Y162</f>
        <v>#N/A</v>
      </c>
      <c r="Z96" s="1599" t="e">
        <f t="shared" si="119"/>
        <v>#N/A</v>
      </c>
      <c r="AA96" s="1599" t="e">
        <f t="shared" si="119"/>
        <v>#N/A</v>
      </c>
      <c r="AB96" s="1599" t="e">
        <f t="shared" si="101"/>
        <v>#N/A</v>
      </c>
      <c r="AC96" s="1600" t="e">
        <f t="shared" si="102"/>
        <v>#N/A</v>
      </c>
      <c r="AD96" s="1596"/>
      <c r="AE96" s="1546">
        <v>2019</v>
      </c>
      <c r="AF96" s="1601" t="e">
        <f t="shared" ref="AF96:AH96" si="120">AF129+AF162</f>
        <v>#N/A</v>
      </c>
      <c r="AG96" s="1601" t="e">
        <f t="shared" si="120"/>
        <v>#N/A</v>
      </c>
      <c r="AH96" s="1601" t="e">
        <f t="shared" si="120"/>
        <v>#N/A</v>
      </c>
      <c r="AI96" s="1601" t="e">
        <f t="shared" si="104"/>
        <v>#N/A</v>
      </c>
      <c r="AJ96" s="1602" t="e">
        <f t="shared" si="105"/>
        <v>#N/A</v>
      </c>
      <c r="AK96" s="1559"/>
      <c r="AL96" s="1559"/>
      <c r="AM96" s="1559"/>
      <c r="AN96" s="1559"/>
      <c r="AO96" s="1559"/>
      <c r="AP96" s="1559"/>
      <c r="AQ96" s="1559"/>
      <c r="AR96" s="1559"/>
      <c r="AS96" s="1559"/>
      <c r="AT96" s="1559"/>
      <c r="AU96" s="1559"/>
    </row>
    <row r="97" spans="1:52" s="1562" customFormat="1" ht="15" customHeight="1" x14ac:dyDescent="0.25">
      <c r="A97" s="1545"/>
      <c r="B97" s="2309"/>
      <c r="C97" s="1546">
        <f t="shared" si="85"/>
        <v>2020</v>
      </c>
      <c r="D97" s="1591" t="e">
        <f t="shared" ref="D97:F97" si="121">D130+D163</f>
        <v>#N/A</v>
      </c>
      <c r="E97" s="1591" t="e">
        <f t="shared" si="121"/>
        <v>#N/A</v>
      </c>
      <c r="F97" s="1591" t="e">
        <f t="shared" si="121"/>
        <v>#N/A</v>
      </c>
      <c r="G97" s="1591" t="e">
        <f t="shared" si="92"/>
        <v>#N/A</v>
      </c>
      <c r="H97" s="1592" t="e">
        <f t="shared" si="93"/>
        <v>#N/A</v>
      </c>
      <c r="I97" s="1593"/>
      <c r="J97" s="1546">
        <v>2020</v>
      </c>
      <c r="K97" s="1594" t="e">
        <f t="shared" ref="K97:M97" si="122">K130+K163</f>
        <v>#N/A</v>
      </c>
      <c r="L97" s="1594" t="e">
        <f t="shared" si="122"/>
        <v>#N/A</v>
      </c>
      <c r="M97" s="1594" t="e">
        <f t="shared" si="122"/>
        <v>#N/A</v>
      </c>
      <c r="N97" s="1594" t="e">
        <f t="shared" si="95"/>
        <v>#N/A</v>
      </c>
      <c r="O97" s="1595" t="e">
        <f t="shared" si="96"/>
        <v>#N/A</v>
      </c>
      <c r="P97" s="1596"/>
      <c r="Q97" s="1546">
        <v>2020</v>
      </c>
      <c r="R97" s="1597" t="e">
        <f t="shared" ref="R97:T97" si="123">R130+R163</f>
        <v>#N/A</v>
      </c>
      <c r="S97" s="1597" t="e">
        <f t="shared" si="123"/>
        <v>#N/A</v>
      </c>
      <c r="T97" s="1597" t="e">
        <f t="shared" si="123"/>
        <v>#N/A</v>
      </c>
      <c r="U97" s="1597" t="e">
        <f t="shared" si="98"/>
        <v>#N/A</v>
      </c>
      <c r="V97" s="1598" t="e">
        <f t="shared" si="99"/>
        <v>#N/A</v>
      </c>
      <c r="W97" s="1596"/>
      <c r="X97" s="1546">
        <v>2020</v>
      </c>
      <c r="Y97" s="1599" t="e">
        <f t="shared" ref="Y97:AA97" si="124">Y130+Y163</f>
        <v>#N/A</v>
      </c>
      <c r="Z97" s="1599" t="e">
        <f t="shared" si="124"/>
        <v>#N/A</v>
      </c>
      <c r="AA97" s="1599" t="e">
        <f t="shared" si="124"/>
        <v>#N/A</v>
      </c>
      <c r="AB97" s="1599" t="e">
        <f t="shared" si="101"/>
        <v>#N/A</v>
      </c>
      <c r="AC97" s="1600" t="e">
        <f t="shared" si="102"/>
        <v>#N/A</v>
      </c>
      <c r="AD97" s="1596"/>
      <c r="AE97" s="1546">
        <v>2020</v>
      </c>
      <c r="AF97" s="1601" t="e">
        <f t="shared" ref="AF97:AH97" si="125">AF130+AF163</f>
        <v>#N/A</v>
      </c>
      <c r="AG97" s="1601" t="e">
        <f t="shared" si="125"/>
        <v>#N/A</v>
      </c>
      <c r="AH97" s="1601" t="e">
        <f t="shared" si="125"/>
        <v>#N/A</v>
      </c>
      <c r="AI97" s="1601" t="e">
        <f t="shared" si="104"/>
        <v>#N/A</v>
      </c>
      <c r="AJ97" s="1602" t="e">
        <f t="shared" si="105"/>
        <v>#N/A</v>
      </c>
      <c r="AK97" s="1559"/>
      <c r="AL97" s="1559"/>
      <c r="AM97" s="1559"/>
      <c r="AN97" s="1559"/>
      <c r="AO97" s="1559"/>
      <c r="AP97" s="1559"/>
      <c r="AQ97" s="1559"/>
      <c r="AR97" s="1559"/>
      <c r="AS97" s="1559"/>
      <c r="AT97" s="1559"/>
      <c r="AU97" s="1559"/>
    </row>
    <row r="98" spans="1:52" s="1605" customFormat="1" x14ac:dyDescent="0.25">
      <c r="E98" s="1606"/>
      <c r="F98" s="1606"/>
      <c r="G98" s="1606"/>
      <c r="H98" s="1606"/>
      <c r="I98" s="1606"/>
      <c r="K98" s="1607"/>
      <c r="L98" s="1607"/>
      <c r="M98" s="1607"/>
      <c r="N98" s="1607"/>
      <c r="O98" s="1607"/>
      <c r="P98" s="1607"/>
      <c r="Q98" s="1608"/>
      <c r="R98" s="1607"/>
      <c r="S98" s="1607"/>
      <c r="T98" s="1607"/>
      <c r="U98" s="1607"/>
    </row>
    <row r="99" spans="1:52" s="1605" customFormat="1" x14ac:dyDescent="0.25">
      <c r="E99" s="1606"/>
      <c r="F99" s="1606"/>
      <c r="G99" s="1606"/>
      <c r="H99" s="1606"/>
      <c r="I99" s="1606"/>
      <c r="K99" s="1607"/>
      <c r="L99" s="1607"/>
      <c r="M99" s="1607"/>
      <c r="N99" s="1607"/>
      <c r="O99" s="1607"/>
      <c r="P99" s="1607"/>
      <c r="Q99" s="1608"/>
      <c r="R99" s="1607"/>
      <c r="S99" s="1607"/>
      <c r="T99" s="1607"/>
      <c r="U99" s="1607"/>
    </row>
    <row r="100" spans="1:52" s="1500" customFormat="1" ht="21" x14ac:dyDescent="0.35">
      <c r="A100" s="1407"/>
      <c r="B100" s="1499" t="str">
        <f>IF($F$6=Lists!$C$4,"Gross Economic Impacts","For a Gross analysis only, the tables below are equivalent to those in Rows "&amp;ROW(C69)&amp;":"&amp;ROW(C97)&amp;".")</f>
        <v>For a Gross analysis only, the tables below are equivalent to those in Rows 69:97.</v>
      </c>
      <c r="R100" s="1501"/>
      <c r="S100" s="1501"/>
      <c r="T100" s="1501"/>
      <c r="U100" s="1501"/>
      <c r="V100" s="1501"/>
      <c r="W100" s="1501"/>
      <c r="X100" s="1502"/>
      <c r="Y100" s="1502"/>
      <c r="Z100" s="1502"/>
      <c r="AA100" s="1502"/>
      <c r="AB100" s="1502"/>
      <c r="AC100" s="1502"/>
      <c r="AD100" s="1502"/>
      <c r="AE100" s="1502"/>
      <c r="AF100" s="1502"/>
      <c r="AG100" s="1502"/>
      <c r="AH100" s="1502"/>
    </row>
    <row r="101" spans="1:52" s="1605" customFormat="1" x14ac:dyDescent="0.25">
      <c r="R101" s="1606"/>
      <c r="S101" s="1606"/>
      <c r="T101" s="1606"/>
      <c r="U101" s="1606"/>
      <c r="X101" s="1607"/>
      <c r="Y101" s="1607"/>
      <c r="Z101" s="1607"/>
      <c r="AA101" s="1607"/>
      <c r="AB101" s="1607"/>
      <c r="AC101" s="1607"/>
      <c r="AD101" s="1607"/>
      <c r="AE101" s="1607"/>
      <c r="AF101" s="1607"/>
      <c r="AG101" s="1607"/>
      <c r="AH101" s="1607"/>
    </row>
    <row r="102" spans="1:52" s="1520" customFormat="1" ht="16.5" customHeight="1" x14ac:dyDescent="0.25">
      <c r="A102" s="1504"/>
      <c r="B102" s="2307" t="s">
        <v>1750</v>
      </c>
      <c r="C102" s="1505"/>
      <c r="D102" s="1571" t="str">
        <f>D$69</f>
        <v>Total (Manufacturing, Installation, Fuel, and Maintenance)</v>
      </c>
      <c r="E102" s="1507"/>
      <c r="F102" s="1507"/>
      <c r="G102" s="1507"/>
      <c r="H102" s="1507"/>
      <c r="I102" s="1508"/>
      <c r="J102" s="1505"/>
      <c r="K102" s="1509" t="s">
        <v>1924</v>
      </c>
      <c r="L102" s="1510"/>
      <c r="M102" s="1510"/>
      <c r="N102" s="1510"/>
      <c r="O102" s="1510"/>
      <c r="P102" s="1511"/>
      <c r="Q102" s="1505"/>
      <c r="R102" s="1512" t="s">
        <v>1488</v>
      </c>
      <c r="S102" s="1513"/>
      <c r="T102" s="1513"/>
      <c r="U102" s="1513"/>
      <c r="V102" s="1513"/>
      <c r="W102" s="1511"/>
      <c r="X102" s="1505"/>
      <c r="Y102" s="1514" t="s">
        <v>1489</v>
      </c>
      <c r="Z102" s="1515"/>
      <c r="AA102" s="1515"/>
      <c r="AB102" s="1515"/>
      <c r="AC102" s="1515"/>
      <c r="AD102" s="1511"/>
      <c r="AE102" s="1505"/>
      <c r="AF102" s="1516" t="s">
        <v>1490</v>
      </c>
      <c r="AG102" s="1517"/>
      <c r="AH102" s="1517"/>
      <c r="AI102" s="1517"/>
      <c r="AJ102" s="1518"/>
      <c r="AK102" s="1519"/>
      <c r="AL102" s="1519"/>
      <c r="AM102" s="1519"/>
      <c r="AN102" s="1519"/>
      <c r="AO102" s="1519"/>
      <c r="AP102" s="1519"/>
      <c r="AQ102" s="1519"/>
      <c r="AR102" s="1519"/>
      <c r="AS102" s="1519"/>
      <c r="AT102" s="1519"/>
      <c r="AU102" s="1519"/>
    </row>
    <row r="103" spans="1:52" s="1520" customFormat="1" ht="16.5" x14ac:dyDescent="0.25">
      <c r="A103" s="1504"/>
      <c r="B103" s="2308"/>
      <c r="C103" s="1521"/>
      <c r="D103" s="1506" t="str">
        <f>B102</f>
        <v>Gross Forklift Fuel Cell-related Employment (Job-years)</v>
      </c>
      <c r="E103" s="1507"/>
      <c r="F103" s="1507"/>
      <c r="G103" s="1507"/>
      <c r="H103" s="1507"/>
      <c r="I103" s="1508"/>
      <c r="J103" s="1521"/>
      <c r="K103" s="1509" t="str">
        <f>D103</f>
        <v>Gross Forklift Fuel Cell-related Employment (Job-years)</v>
      </c>
      <c r="L103" s="1522"/>
      <c r="M103" s="1510"/>
      <c r="N103" s="1510"/>
      <c r="O103" s="1510"/>
      <c r="P103" s="1511"/>
      <c r="Q103" s="1521"/>
      <c r="R103" s="1512" t="str">
        <f>K103</f>
        <v>Gross Forklift Fuel Cell-related Employment (Job-years)</v>
      </c>
      <c r="S103" s="1523"/>
      <c r="T103" s="1513"/>
      <c r="U103" s="1513"/>
      <c r="V103" s="1513"/>
      <c r="W103" s="1511"/>
      <c r="X103" s="1521"/>
      <c r="Y103" s="1514" t="str">
        <f>R103</f>
        <v>Gross Forklift Fuel Cell-related Employment (Job-years)</v>
      </c>
      <c r="Z103" s="1524"/>
      <c r="AA103" s="1515"/>
      <c r="AB103" s="1515"/>
      <c r="AC103" s="1515"/>
      <c r="AD103" s="1511"/>
      <c r="AE103" s="1521"/>
      <c r="AF103" s="1516" t="str">
        <f>Y103</f>
        <v>Gross Forklift Fuel Cell-related Employment (Job-years)</v>
      </c>
      <c r="AG103" s="1525"/>
      <c r="AH103" s="1517"/>
      <c r="AI103" s="1517"/>
      <c r="AJ103" s="1518"/>
      <c r="AK103" s="1519"/>
      <c r="AL103" s="1519"/>
      <c r="AM103" s="1519"/>
      <c r="AN103" s="1519"/>
      <c r="AO103" s="1519"/>
      <c r="AP103" s="1519"/>
      <c r="AQ103" s="1519"/>
      <c r="AR103" s="1519"/>
      <c r="AS103" s="1519"/>
      <c r="AT103" s="1519"/>
      <c r="AU103" s="1519"/>
    </row>
    <row r="104" spans="1:52" s="1543" customFormat="1" ht="47.25" customHeight="1" x14ac:dyDescent="0.25">
      <c r="A104" s="1526"/>
      <c r="B104" s="2308"/>
      <c r="C104" s="1527" t="s">
        <v>433</v>
      </c>
      <c r="D104" s="1528" t="str">
        <f>D$169&amp;" "&amp;D$170</f>
        <v>Gross Forklift Fuel Cell-related Direct</v>
      </c>
      <c r="E104" s="1528" t="str">
        <f>E$169&amp;" "&amp;E$170</f>
        <v>Gross Forklift Fuel Cell-related Indirect</v>
      </c>
      <c r="F104" s="1528" t="str">
        <f>F$169&amp;" "&amp;F$170</f>
        <v>Gross Forklift Fuel Cell-related Induced</v>
      </c>
      <c r="G104" s="1529" t="str">
        <f>G$169&amp;" "&amp;G$170</f>
        <v>Gross Forklift Fuel Cell-related Supply Chain</v>
      </c>
      <c r="H104" s="1529" t="str">
        <f>H$169&amp;" "&amp;H$170</f>
        <v>Gross Forklift Fuel Cell-related Total</v>
      </c>
      <c r="I104" s="1530"/>
      <c r="J104" s="1527" t="s">
        <v>433</v>
      </c>
      <c r="K104" s="1531" t="str">
        <f>K$169&amp;" "&amp;K$170</f>
        <v>Gross Forklift Fuel Cell Direct</v>
      </c>
      <c r="L104" s="1531" t="str">
        <f>L$169&amp;" "&amp;L$170</f>
        <v>Gross Forklift Fuel Cell Indirect</v>
      </c>
      <c r="M104" s="1531" t="str">
        <f>M$169&amp;" "&amp;M$170</f>
        <v>Gross Forklift Fuel Cell Induced</v>
      </c>
      <c r="N104" s="1532" t="str">
        <f>N$169&amp;" "&amp;N$170</f>
        <v>Gross Forklift Fuel Cell Supply Chain</v>
      </c>
      <c r="O104" s="1532" t="str">
        <f>O$169&amp;" "&amp;O$170</f>
        <v>Gross Forklift Fuel Cell Total</v>
      </c>
      <c r="P104" s="1533"/>
      <c r="Q104" s="1527" t="s">
        <v>433</v>
      </c>
      <c r="R104" s="1534" t="str">
        <f>R$169&amp;" "&amp;R$170</f>
        <v>Gross On-site H2 Infr. Direct</v>
      </c>
      <c r="S104" s="1534" t="str">
        <f>S$169&amp;" "&amp;S$170</f>
        <v>Gross On-site H2 Infr. Indirect</v>
      </c>
      <c r="T104" s="1534" t="str">
        <f>T$169&amp;" "&amp;T$170</f>
        <v>Gross On-site H2 Infr. Induced</v>
      </c>
      <c r="U104" s="1535" t="str">
        <f>U$169&amp;" "&amp;U$170</f>
        <v>Gross On-site H2 Infr. Supply Chain</v>
      </c>
      <c r="V104" s="1535" t="str">
        <f>V$169&amp;" "&amp;V$170</f>
        <v>Gross On-site H2 Infr. Total</v>
      </c>
      <c r="W104" s="1533"/>
      <c r="X104" s="1527" t="s">
        <v>433</v>
      </c>
      <c r="Y104" s="1536" t="str">
        <f>Y$169&amp;" "&amp;Y$170</f>
        <v>Gross Hydrogen Fuel Direct</v>
      </c>
      <c r="Z104" s="1536" t="str">
        <f>Z$169&amp;" "&amp;Z$170</f>
        <v>Gross Hydrogen Fuel Indirect</v>
      </c>
      <c r="AA104" s="1536" t="str">
        <f>AA$169&amp;" "&amp;AA$170</f>
        <v>Gross Hydrogen Fuel Induced</v>
      </c>
      <c r="AB104" s="1537" t="str">
        <f>AB$169&amp;" "&amp;AB$170</f>
        <v>Gross Hydrogen Fuel Supply Chain</v>
      </c>
      <c r="AC104" s="1537" t="str">
        <f>AC$169&amp;" "&amp;AC$170</f>
        <v>Gross Hydrogen Fuel Total</v>
      </c>
      <c r="AD104" s="1533"/>
      <c r="AE104" s="1527" t="s">
        <v>433</v>
      </c>
      <c r="AF104" s="1538" t="str">
        <f>AF$169&amp;" "&amp;AF$170</f>
        <v>Gross FC and Infr. Maint. Direct</v>
      </c>
      <c r="AG104" s="1538" t="str">
        <f>AG$169&amp;" "&amp;AG$170</f>
        <v>Gross FC and Infr. Maint. Indirect</v>
      </c>
      <c r="AH104" s="1538" t="str">
        <f>AH$169&amp;" "&amp;AH$170</f>
        <v>Gross FC and Infr. Maint. Induced</v>
      </c>
      <c r="AI104" s="1539" t="str">
        <f>AI$169&amp;" "&amp;AI$170</f>
        <v>Gross FC and Infr. Maint. Supply Chain</v>
      </c>
      <c r="AJ104" s="1539" t="str">
        <f>AJ$169&amp;" "&amp;AJ$170</f>
        <v>Gross FC and Infr. Maint. Total</v>
      </c>
      <c r="AK104" s="1540"/>
      <c r="AL104" s="1541"/>
      <c r="AM104" s="1540"/>
      <c r="AN104" s="1540"/>
      <c r="AO104" s="1540"/>
      <c r="AP104" s="1540"/>
      <c r="AQ104" s="1540"/>
      <c r="AR104" s="1540"/>
      <c r="AS104" s="1540"/>
      <c r="AT104" s="1540"/>
      <c r="AU104" s="1540"/>
      <c r="AV104" s="1542"/>
      <c r="AX104" s="1544"/>
      <c r="AY104" s="1544"/>
      <c r="AZ104" s="1544"/>
    </row>
    <row r="105" spans="1:52" s="1562" customFormat="1" ht="15.75" x14ac:dyDescent="0.25">
      <c r="A105" s="1545"/>
      <c r="B105" s="2308"/>
      <c r="C105" s="1546">
        <v>2015</v>
      </c>
      <c r="D105" s="1547" t="e">
        <f t="shared" ref="D105:F110" si="126">K105+R105+Y105+AF105</f>
        <v>#N/A</v>
      </c>
      <c r="E105" s="1547" t="e">
        <f t="shared" si="126"/>
        <v>#N/A</v>
      </c>
      <c r="F105" s="1547" t="e">
        <f t="shared" si="126"/>
        <v>#N/A</v>
      </c>
      <c r="G105" s="1547" t="e">
        <f t="shared" ref="G105:G110" si="127">D105+E105</f>
        <v>#N/A</v>
      </c>
      <c r="H105" s="1548" t="e">
        <f t="shared" ref="H105:H110" si="128">D105+E105+F105</f>
        <v>#N/A</v>
      </c>
      <c r="I105" s="1549"/>
      <c r="J105" s="1546">
        <v>2015</v>
      </c>
      <c r="K105" s="1550" t="e">
        <f>'Forklift INPUTS'!K390</f>
        <v>#N/A</v>
      </c>
      <c r="L105" s="1550" t="e">
        <f>'Forklift INPUTS'!L390</f>
        <v>#N/A</v>
      </c>
      <c r="M105" s="1550" t="e">
        <f>'Forklift INPUTS'!M390</f>
        <v>#N/A</v>
      </c>
      <c r="N105" s="1550" t="e">
        <f t="shared" ref="N105:N110" si="129">K105+L105</f>
        <v>#N/A</v>
      </c>
      <c r="O105" s="1551" t="e">
        <f t="shared" ref="O105:O110" si="130">K105+L105+M105</f>
        <v>#N/A</v>
      </c>
      <c r="P105" s="1552"/>
      <c r="Q105" s="1546">
        <v>2015</v>
      </c>
      <c r="R105" s="1553" t="e">
        <f>'Forklift INPUTS'!K413</f>
        <v>#N/A</v>
      </c>
      <c r="S105" s="1553" t="e">
        <f>'Forklift INPUTS'!L413</f>
        <v>#N/A</v>
      </c>
      <c r="T105" s="1553" t="e">
        <f>'Forklift INPUTS'!M413</f>
        <v>#N/A</v>
      </c>
      <c r="U105" s="1553" t="e">
        <f t="shared" ref="U105:U110" si="131">R105+S105</f>
        <v>#N/A</v>
      </c>
      <c r="V105" s="1554" t="e">
        <f t="shared" ref="V105:V110" si="132">R105+S105+T105</f>
        <v>#N/A</v>
      </c>
      <c r="W105" s="1552"/>
      <c r="X105" s="1546">
        <v>2015</v>
      </c>
      <c r="Y105" s="1555" t="e">
        <f>'Forklift INPUTS'!K427+'Forklift INPUTS'!K439</f>
        <v>#N/A</v>
      </c>
      <c r="Z105" s="1555" t="e">
        <f>'Forklift INPUTS'!L427+'Forklift INPUTS'!L439</f>
        <v>#N/A</v>
      </c>
      <c r="AA105" s="1555" t="e">
        <f>'Forklift INPUTS'!M427+'Forklift INPUTS'!M439</f>
        <v>#N/A</v>
      </c>
      <c r="AB105" s="1555" t="e">
        <f t="shared" ref="AB105:AB110" si="133">Y105+Z105</f>
        <v>#N/A</v>
      </c>
      <c r="AC105" s="1556" t="e">
        <f t="shared" ref="AC105:AC110" si="134">Y105+Z105+AA105</f>
        <v>#N/A</v>
      </c>
      <c r="AD105" s="1552"/>
      <c r="AE105" s="1546">
        <v>2015</v>
      </c>
      <c r="AF105" s="1557" t="e">
        <f>'Forklift INPUTS'!K452+'Forklift INPUTS'!K463</f>
        <v>#N/A</v>
      </c>
      <c r="AG105" s="1557" t="e">
        <f>'Forklift INPUTS'!L452+'Forklift INPUTS'!L463</f>
        <v>#N/A</v>
      </c>
      <c r="AH105" s="1557" t="e">
        <f>'Forklift INPUTS'!M452+'Forklift INPUTS'!M463</f>
        <v>#N/A</v>
      </c>
      <c r="AI105" s="1557" t="e">
        <f t="shared" ref="AI105:AI110" si="135">AF105+AG105</f>
        <v>#N/A</v>
      </c>
      <c r="AJ105" s="1558" t="e">
        <f t="shared" ref="AJ105:AJ110" si="136">AF105+AG105+AH105</f>
        <v>#N/A</v>
      </c>
      <c r="AK105" s="1559"/>
      <c r="AL105" s="1559"/>
      <c r="AM105" s="1560"/>
      <c r="AN105" s="1560"/>
      <c r="AO105" s="1560"/>
      <c r="AP105" s="1560"/>
      <c r="AQ105" s="1560"/>
      <c r="AR105" s="1560"/>
      <c r="AS105" s="1560"/>
      <c r="AT105" s="1560"/>
      <c r="AU105" s="1560"/>
      <c r="AV105" s="1561"/>
      <c r="AX105" s="1563"/>
      <c r="AY105" s="1563"/>
      <c r="AZ105" s="1563"/>
    </row>
    <row r="106" spans="1:52" s="1562" customFormat="1" ht="15.75" x14ac:dyDescent="0.25">
      <c r="A106" s="1545"/>
      <c r="B106" s="2308"/>
      <c r="C106" s="1546">
        <v>2016</v>
      </c>
      <c r="D106" s="1547" t="e">
        <f t="shared" si="126"/>
        <v>#N/A</v>
      </c>
      <c r="E106" s="1547" t="e">
        <f t="shared" si="126"/>
        <v>#N/A</v>
      </c>
      <c r="F106" s="1547" t="e">
        <f t="shared" si="126"/>
        <v>#N/A</v>
      </c>
      <c r="G106" s="1547" t="e">
        <f t="shared" si="127"/>
        <v>#N/A</v>
      </c>
      <c r="H106" s="1548" t="e">
        <f t="shared" si="128"/>
        <v>#N/A</v>
      </c>
      <c r="I106" s="1549"/>
      <c r="J106" s="1546">
        <v>2016</v>
      </c>
      <c r="K106" s="1550" t="e">
        <f>'Forklift INPUTS'!K391</f>
        <v>#N/A</v>
      </c>
      <c r="L106" s="1550" t="e">
        <f>'Forklift INPUTS'!L391</f>
        <v>#N/A</v>
      </c>
      <c r="M106" s="1550" t="e">
        <f>'Forklift INPUTS'!M391</f>
        <v>#N/A</v>
      </c>
      <c r="N106" s="1550" t="e">
        <f t="shared" si="129"/>
        <v>#N/A</v>
      </c>
      <c r="O106" s="1551" t="e">
        <f t="shared" si="130"/>
        <v>#N/A</v>
      </c>
      <c r="P106" s="1552"/>
      <c r="Q106" s="1546">
        <v>2016</v>
      </c>
      <c r="R106" s="1553" t="e">
        <f>'Forklift INPUTS'!K414</f>
        <v>#N/A</v>
      </c>
      <c r="S106" s="1553" t="e">
        <f>'Forklift INPUTS'!L414</f>
        <v>#N/A</v>
      </c>
      <c r="T106" s="1553" t="e">
        <f>'Forklift INPUTS'!M414</f>
        <v>#N/A</v>
      </c>
      <c r="U106" s="1553" t="e">
        <f t="shared" si="131"/>
        <v>#N/A</v>
      </c>
      <c r="V106" s="1554" t="e">
        <f t="shared" si="132"/>
        <v>#N/A</v>
      </c>
      <c r="W106" s="1552"/>
      <c r="X106" s="1546">
        <v>2016</v>
      </c>
      <c r="Y106" s="1555" t="e">
        <f>'Forklift INPUTS'!K428+'Forklift INPUTS'!K440</f>
        <v>#N/A</v>
      </c>
      <c r="Z106" s="1555" t="e">
        <f>'Forklift INPUTS'!L428+'Forklift INPUTS'!L440</f>
        <v>#N/A</v>
      </c>
      <c r="AA106" s="1555" t="e">
        <f>'Forklift INPUTS'!M428+'Forklift INPUTS'!M440</f>
        <v>#N/A</v>
      </c>
      <c r="AB106" s="1555" t="e">
        <f t="shared" si="133"/>
        <v>#N/A</v>
      </c>
      <c r="AC106" s="1556" t="e">
        <f t="shared" si="134"/>
        <v>#N/A</v>
      </c>
      <c r="AD106" s="1552"/>
      <c r="AE106" s="1546">
        <v>2016</v>
      </c>
      <c r="AF106" s="1557" t="e">
        <f>'Forklift INPUTS'!K453+'Forklift INPUTS'!K464</f>
        <v>#N/A</v>
      </c>
      <c r="AG106" s="1557" t="e">
        <f>'Forklift INPUTS'!L453+'Forklift INPUTS'!L464</f>
        <v>#N/A</v>
      </c>
      <c r="AH106" s="1557" t="e">
        <f>'Forklift INPUTS'!M453+'Forklift INPUTS'!M464</f>
        <v>#N/A</v>
      </c>
      <c r="AI106" s="1557" t="e">
        <f t="shared" si="135"/>
        <v>#N/A</v>
      </c>
      <c r="AJ106" s="1558" t="e">
        <f t="shared" si="136"/>
        <v>#N/A</v>
      </c>
      <c r="AK106" s="1559"/>
      <c r="AL106" s="1559"/>
      <c r="AM106" s="1560"/>
      <c r="AN106" s="1560"/>
      <c r="AO106" s="1560"/>
      <c r="AP106" s="1560"/>
      <c r="AQ106" s="1560"/>
      <c r="AR106" s="1560"/>
      <c r="AS106" s="1560"/>
      <c r="AT106" s="1560"/>
      <c r="AU106" s="1560"/>
      <c r="AV106" s="1561"/>
      <c r="AX106" s="1563"/>
      <c r="AY106" s="1563"/>
      <c r="AZ106" s="1563"/>
    </row>
    <row r="107" spans="1:52" s="1562" customFormat="1" ht="15.75" x14ac:dyDescent="0.25">
      <c r="A107" s="1545"/>
      <c r="B107" s="2308"/>
      <c r="C107" s="1546">
        <v>2017</v>
      </c>
      <c r="D107" s="1547" t="e">
        <f t="shared" si="126"/>
        <v>#N/A</v>
      </c>
      <c r="E107" s="1547" t="e">
        <f t="shared" si="126"/>
        <v>#N/A</v>
      </c>
      <c r="F107" s="1547" t="e">
        <f t="shared" si="126"/>
        <v>#N/A</v>
      </c>
      <c r="G107" s="1547" t="e">
        <f t="shared" si="127"/>
        <v>#N/A</v>
      </c>
      <c r="H107" s="1548" t="e">
        <f t="shared" si="128"/>
        <v>#N/A</v>
      </c>
      <c r="I107" s="1549"/>
      <c r="J107" s="1546">
        <v>2017</v>
      </c>
      <c r="K107" s="1550" t="e">
        <f>'Forklift INPUTS'!K392</f>
        <v>#N/A</v>
      </c>
      <c r="L107" s="1550" t="e">
        <f>'Forklift INPUTS'!L392</f>
        <v>#N/A</v>
      </c>
      <c r="M107" s="1550" t="e">
        <f>'Forklift INPUTS'!M392</f>
        <v>#N/A</v>
      </c>
      <c r="N107" s="1550" t="e">
        <f t="shared" si="129"/>
        <v>#N/A</v>
      </c>
      <c r="O107" s="1551" t="e">
        <f t="shared" si="130"/>
        <v>#N/A</v>
      </c>
      <c r="P107" s="1552"/>
      <c r="Q107" s="1546">
        <v>2017</v>
      </c>
      <c r="R107" s="1553" t="e">
        <f>'Forklift INPUTS'!K415</f>
        <v>#N/A</v>
      </c>
      <c r="S107" s="1553" t="e">
        <f>'Forklift INPUTS'!L415</f>
        <v>#N/A</v>
      </c>
      <c r="T107" s="1553" t="e">
        <f>'Forklift INPUTS'!M415</f>
        <v>#N/A</v>
      </c>
      <c r="U107" s="1553" t="e">
        <f t="shared" si="131"/>
        <v>#N/A</v>
      </c>
      <c r="V107" s="1554" t="e">
        <f t="shared" si="132"/>
        <v>#N/A</v>
      </c>
      <c r="W107" s="1552"/>
      <c r="X107" s="1546">
        <v>2017</v>
      </c>
      <c r="Y107" s="1555" t="e">
        <f>'Forklift INPUTS'!K429+'Forklift INPUTS'!K441</f>
        <v>#N/A</v>
      </c>
      <c r="Z107" s="1555" t="e">
        <f>'Forklift INPUTS'!L429+'Forklift INPUTS'!L441</f>
        <v>#N/A</v>
      </c>
      <c r="AA107" s="1555" t="e">
        <f>'Forklift INPUTS'!M429+'Forklift INPUTS'!M441</f>
        <v>#N/A</v>
      </c>
      <c r="AB107" s="1555" t="e">
        <f t="shared" si="133"/>
        <v>#N/A</v>
      </c>
      <c r="AC107" s="1556" t="e">
        <f t="shared" si="134"/>
        <v>#N/A</v>
      </c>
      <c r="AD107" s="1552"/>
      <c r="AE107" s="1546">
        <v>2017</v>
      </c>
      <c r="AF107" s="1557" t="e">
        <f>'Forklift INPUTS'!K454+'Forklift INPUTS'!K465</f>
        <v>#N/A</v>
      </c>
      <c r="AG107" s="1557" t="e">
        <f>'Forklift INPUTS'!L454+'Forklift INPUTS'!L465</f>
        <v>#N/A</v>
      </c>
      <c r="AH107" s="1557" t="e">
        <f>'Forklift INPUTS'!M454+'Forklift INPUTS'!M465</f>
        <v>#N/A</v>
      </c>
      <c r="AI107" s="1557" t="e">
        <f t="shared" si="135"/>
        <v>#N/A</v>
      </c>
      <c r="AJ107" s="1558" t="e">
        <f t="shared" si="136"/>
        <v>#N/A</v>
      </c>
      <c r="AK107" s="1559"/>
      <c r="AL107" s="1559"/>
      <c r="AM107" s="1560"/>
      <c r="AN107" s="1560"/>
      <c r="AO107" s="1560"/>
      <c r="AP107" s="1560"/>
      <c r="AQ107" s="1560"/>
      <c r="AR107" s="1560"/>
      <c r="AS107" s="1560"/>
      <c r="AT107" s="1560"/>
      <c r="AU107" s="1560"/>
      <c r="AV107" s="1561"/>
      <c r="AX107" s="1563"/>
      <c r="AY107" s="1563"/>
      <c r="AZ107" s="1563"/>
    </row>
    <row r="108" spans="1:52" s="1562" customFormat="1" ht="15.75" x14ac:dyDescent="0.25">
      <c r="A108" s="1545"/>
      <c r="B108" s="2308"/>
      <c r="C108" s="1546">
        <v>2018</v>
      </c>
      <c r="D108" s="1547" t="e">
        <f t="shared" si="126"/>
        <v>#N/A</v>
      </c>
      <c r="E108" s="1547" t="e">
        <f t="shared" si="126"/>
        <v>#N/A</v>
      </c>
      <c r="F108" s="1547" t="e">
        <f t="shared" si="126"/>
        <v>#N/A</v>
      </c>
      <c r="G108" s="1547" t="e">
        <f t="shared" si="127"/>
        <v>#N/A</v>
      </c>
      <c r="H108" s="1548" t="e">
        <f t="shared" si="128"/>
        <v>#N/A</v>
      </c>
      <c r="I108" s="1549"/>
      <c r="J108" s="1546">
        <v>2018</v>
      </c>
      <c r="K108" s="1550" t="e">
        <f>'Forklift INPUTS'!K393</f>
        <v>#N/A</v>
      </c>
      <c r="L108" s="1550" t="e">
        <f>'Forklift INPUTS'!L393</f>
        <v>#N/A</v>
      </c>
      <c r="M108" s="1550" t="e">
        <f>'Forklift INPUTS'!M393</f>
        <v>#N/A</v>
      </c>
      <c r="N108" s="1550" t="e">
        <f t="shared" si="129"/>
        <v>#N/A</v>
      </c>
      <c r="O108" s="1551" t="e">
        <f t="shared" si="130"/>
        <v>#N/A</v>
      </c>
      <c r="P108" s="1552"/>
      <c r="Q108" s="1546">
        <v>2018</v>
      </c>
      <c r="R108" s="1553" t="e">
        <f>'Forklift INPUTS'!K416</f>
        <v>#N/A</v>
      </c>
      <c r="S108" s="1553" t="e">
        <f>'Forklift INPUTS'!L416</f>
        <v>#N/A</v>
      </c>
      <c r="T108" s="1553" t="e">
        <f>'Forklift INPUTS'!M416</f>
        <v>#N/A</v>
      </c>
      <c r="U108" s="1553" t="e">
        <f t="shared" si="131"/>
        <v>#N/A</v>
      </c>
      <c r="V108" s="1554" t="e">
        <f t="shared" si="132"/>
        <v>#N/A</v>
      </c>
      <c r="W108" s="1552"/>
      <c r="X108" s="1546">
        <v>2018</v>
      </c>
      <c r="Y108" s="1555" t="e">
        <f>'Forklift INPUTS'!K430+'Forklift INPUTS'!K442</f>
        <v>#N/A</v>
      </c>
      <c r="Z108" s="1555" t="e">
        <f>'Forklift INPUTS'!L430+'Forklift INPUTS'!L442</f>
        <v>#N/A</v>
      </c>
      <c r="AA108" s="1555" t="e">
        <f>'Forklift INPUTS'!M430+'Forklift INPUTS'!M442</f>
        <v>#N/A</v>
      </c>
      <c r="AB108" s="1555" t="e">
        <f t="shared" si="133"/>
        <v>#N/A</v>
      </c>
      <c r="AC108" s="1556" t="e">
        <f t="shared" si="134"/>
        <v>#N/A</v>
      </c>
      <c r="AD108" s="1552"/>
      <c r="AE108" s="1546">
        <v>2018</v>
      </c>
      <c r="AF108" s="1557" t="e">
        <f>'Forklift INPUTS'!K455+'Forklift INPUTS'!K466</f>
        <v>#N/A</v>
      </c>
      <c r="AG108" s="1557" t="e">
        <f>'Forklift INPUTS'!L455+'Forklift INPUTS'!L466</f>
        <v>#N/A</v>
      </c>
      <c r="AH108" s="1557" t="e">
        <f>'Forklift INPUTS'!M455+'Forklift INPUTS'!M466</f>
        <v>#N/A</v>
      </c>
      <c r="AI108" s="1557" t="e">
        <f t="shared" si="135"/>
        <v>#N/A</v>
      </c>
      <c r="AJ108" s="1558" t="e">
        <f t="shared" si="136"/>
        <v>#N/A</v>
      </c>
      <c r="AK108" s="1559"/>
      <c r="AL108" s="1559"/>
      <c r="AM108" s="1560"/>
      <c r="AN108" s="1560"/>
      <c r="AO108" s="1560"/>
      <c r="AP108" s="1560"/>
      <c r="AQ108" s="1560"/>
      <c r="AR108" s="1560"/>
      <c r="AS108" s="1560"/>
      <c r="AT108" s="1560"/>
      <c r="AU108" s="1560"/>
      <c r="AV108" s="1561"/>
      <c r="AX108" s="1563"/>
      <c r="AY108" s="1563"/>
      <c r="AZ108" s="1563"/>
    </row>
    <row r="109" spans="1:52" s="1562" customFormat="1" ht="15.75" x14ac:dyDescent="0.25">
      <c r="A109" s="1545"/>
      <c r="B109" s="2308"/>
      <c r="C109" s="1546">
        <v>2019</v>
      </c>
      <c r="D109" s="1547" t="e">
        <f t="shared" si="126"/>
        <v>#N/A</v>
      </c>
      <c r="E109" s="1547" t="e">
        <f t="shared" si="126"/>
        <v>#N/A</v>
      </c>
      <c r="F109" s="1547" t="e">
        <f t="shared" si="126"/>
        <v>#N/A</v>
      </c>
      <c r="G109" s="1547" t="e">
        <f t="shared" si="127"/>
        <v>#N/A</v>
      </c>
      <c r="H109" s="1548" t="e">
        <f t="shared" si="128"/>
        <v>#N/A</v>
      </c>
      <c r="I109" s="1549"/>
      <c r="J109" s="1546">
        <v>2019</v>
      </c>
      <c r="K109" s="1550" t="e">
        <f>'Forklift INPUTS'!K394</f>
        <v>#N/A</v>
      </c>
      <c r="L109" s="1550" t="e">
        <f>'Forklift INPUTS'!L394</f>
        <v>#N/A</v>
      </c>
      <c r="M109" s="1550" t="e">
        <f>'Forklift INPUTS'!M394</f>
        <v>#N/A</v>
      </c>
      <c r="N109" s="1550" t="e">
        <f t="shared" si="129"/>
        <v>#N/A</v>
      </c>
      <c r="O109" s="1551" t="e">
        <f t="shared" si="130"/>
        <v>#N/A</v>
      </c>
      <c r="P109" s="1552"/>
      <c r="Q109" s="1546">
        <v>2019</v>
      </c>
      <c r="R109" s="1553" t="e">
        <f>'Forklift INPUTS'!K417</f>
        <v>#N/A</v>
      </c>
      <c r="S109" s="1553" t="e">
        <f>'Forklift INPUTS'!L417</f>
        <v>#N/A</v>
      </c>
      <c r="T109" s="1553" t="e">
        <f>'Forklift INPUTS'!M417</f>
        <v>#N/A</v>
      </c>
      <c r="U109" s="1553" t="e">
        <f t="shared" si="131"/>
        <v>#N/A</v>
      </c>
      <c r="V109" s="1554" t="e">
        <f t="shared" si="132"/>
        <v>#N/A</v>
      </c>
      <c r="W109" s="1552"/>
      <c r="X109" s="1546">
        <v>2019</v>
      </c>
      <c r="Y109" s="1555" t="e">
        <f>'Forklift INPUTS'!K431+'Forklift INPUTS'!K443</f>
        <v>#N/A</v>
      </c>
      <c r="Z109" s="1555" t="e">
        <f>'Forklift INPUTS'!L431+'Forklift INPUTS'!L443</f>
        <v>#N/A</v>
      </c>
      <c r="AA109" s="1555" t="e">
        <f>'Forklift INPUTS'!M431+'Forklift INPUTS'!M443</f>
        <v>#N/A</v>
      </c>
      <c r="AB109" s="1555" t="e">
        <f t="shared" si="133"/>
        <v>#N/A</v>
      </c>
      <c r="AC109" s="1556" t="e">
        <f t="shared" si="134"/>
        <v>#N/A</v>
      </c>
      <c r="AD109" s="1552"/>
      <c r="AE109" s="1546">
        <v>2019</v>
      </c>
      <c r="AF109" s="1557" t="e">
        <f>'Forklift INPUTS'!K456+'Forklift INPUTS'!K467</f>
        <v>#N/A</v>
      </c>
      <c r="AG109" s="1557" t="e">
        <f>'Forklift INPUTS'!L456+'Forklift INPUTS'!L467</f>
        <v>#N/A</v>
      </c>
      <c r="AH109" s="1557" t="e">
        <f>'Forklift INPUTS'!M456+'Forklift INPUTS'!M467</f>
        <v>#N/A</v>
      </c>
      <c r="AI109" s="1557" t="e">
        <f t="shared" si="135"/>
        <v>#N/A</v>
      </c>
      <c r="AJ109" s="1558" t="e">
        <f t="shared" si="136"/>
        <v>#N/A</v>
      </c>
      <c r="AK109" s="1559"/>
      <c r="AL109" s="1559"/>
      <c r="AM109" s="1560"/>
      <c r="AN109" s="1560"/>
      <c r="AO109" s="1560"/>
      <c r="AP109" s="1560"/>
      <c r="AQ109" s="1560"/>
      <c r="AR109" s="1560"/>
      <c r="AS109" s="1560"/>
      <c r="AT109" s="1560"/>
      <c r="AU109" s="1560"/>
      <c r="AV109" s="1561"/>
      <c r="AX109" s="1563"/>
      <c r="AY109" s="1563"/>
      <c r="AZ109" s="1563"/>
    </row>
    <row r="110" spans="1:52" s="1562" customFormat="1" ht="15.75" x14ac:dyDescent="0.25">
      <c r="A110" s="1545"/>
      <c r="B110" s="2309"/>
      <c r="C110" s="1546">
        <v>2020</v>
      </c>
      <c r="D110" s="1547" t="e">
        <f t="shared" si="126"/>
        <v>#N/A</v>
      </c>
      <c r="E110" s="1547" t="e">
        <f t="shared" si="126"/>
        <v>#N/A</v>
      </c>
      <c r="F110" s="1547" t="e">
        <f t="shared" si="126"/>
        <v>#N/A</v>
      </c>
      <c r="G110" s="1547" t="e">
        <f t="shared" si="127"/>
        <v>#N/A</v>
      </c>
      <c r="H110" s="1548" t="e">
        <f t="shared" si="128"/>
        <v>#N/A</v>
      </c>
      <c r="I110" s="1549"/>
      <c r="J110" s="1546">
        <v>2020</v>
      </c>
      <c r="K110" s="1550" t="e">
        <f>'Forklift INPUTS'!K395</f>
        <v>#N/A</v>
      </c>
      <c r="L110" s="1550" t="e">
        <f>'Forklift INPUTS'!L395</f>
        <v>#N/A</v>
      </c>
      <c r="M110" s="1550" t="e">
        <f>'Forklift INPUTS'!M395</f>
        <v>#N/A</v>
      </c>
      <c r="N110" s="1550" t="e">
        <f t="shared" si="129"/>
        <v>#N/A</v>
      </c>
      <c r="O110" s="1551" t="e">
        <f t="shared" si="130"/>
        <v>#N/A</v>
      </c>
      <c r="P110" s="1552"/>
      <c r="Q110" s="1546">
        <v>2020</v>
      </c>
      <c r="R110" s="1553" t="e">
        <f>'Forklift INPUTS'!K418</f>
        <v>#N/A</v>
      </c>
      <c r="S110" s="1553" t="e">
        <f>'Forklift INPUTS'!L418</f>
        <v>#N/A</v>
      </c>
      <c r="T110" s="1553" t="e">
        <f>'Forklift INPUTS'!M418</f>
        <v>#N/A</v>
      </c>
      <c r="U110" s="1553" t="e">
        <f t="shared" si="131"/>
        <v>#N/A</v>
      </c>
      <c r="V110" s="1554" t="e">
        <f t="shared" si="132"/>
        <v>#N/A</v>
      </c>
      <c r="W110" s="1552"/>
      <c r="X110" s="1546">
        <v>2020</v>
      </c>
      <c r="Y110" s="1555" t="e">
        <f>'Forklift INPUTS'!K432+'Forklift INPUTS'!K444</f>
        <v>#N/A</v>
      </c>
      <c r="Z110" s="1555" t="e">
        <f>'Forklift INPUTS'!L432+'Forklift INPUTS'!L444</f>
        <v>#N/A</v>
      </c>
      <c r="AA110" s="1555" t="e">
        <f>'Forklift INPUTS'!M432+'Forklift INPUTS'!M444</f>
        <v>#N/A</v>
      </c>
      <c r="AB110" s="1555" t="e">
        <f t="shared" si="133"/>
        <v>#N/A</v>
      </c>
      <c r="AC110" s="1556" t="e">
        <f t="shared" si="134"/>
        <v>#N/A</v>
      </c>
      <c r="AD110" s="1552"/>
      <c r="AE110" s="1546">
        <v>2020</v>
      </c>
      <c r="AF110" s="1557" t="e">
        <f>'Forklift INPUTS'!K457+'Forklift INPUTS'!K468</f>
        <v>#N/A</v>
      </c>
      <c r="AG110" s="1557" t="e">
        <f>'Forklift INPUTS'!L457+'Forklift INPUTS'!L468</f>
        <v>#N/A</v>
      </c>
      <c r="AH110" s="1557" t="e">
        <f>'Forklift INPUTS'!M457+'Forklift INPUTS'!M468</f>
        <v>#N/A</v>
      </c>
      <c r="AI110" s="1557" t="e">
        <f t="shared" si="135"/>
        <v>#N/A</v>
      </c>
      <c r="AJ110" s="1558" t="e">
        <f t="shared" si="136"/>
        <v>#N/A</v>
      </c>
      <c r="AK110" s="1559"/>
      <c r="AL110" s="1559"/>
      <c r="AM110" s="1560"/>
      <c r="AN110" s="1560"/>
      <c r="AO110" s="1560"/>
      <c r="AP110" s="1560"/>
      <c r="AQ110" s="1560"/>
      <c r="AR110" s="1560"/>
      <c r="AS110" s="1560"/>
      <c r="AT110" s="1560"/>
      <c r="AU110" s="1560"/>
      <c r="AV110" s="1561"/>
      <c r="AX110" s="1563"/>
      <c r="AY110" s="1563"/>
      <c r="AZ110" s="1563"/>
    </row>
    <row r="111" spans="1:52" s="1545" customFormat="1" ht="15.75" x14ac:dyDescent="0.25">
      <c r="B111" s="1564"/>
      <c r="C111" s="1565"/>
      <c r="D111" s="1565"/>
      <c r="E111" s="1566"/>
      <c r="F111" s="1566"/>
      <c r="G111" s="1566"/>
      <c r="H111" s="1566"/>
      <c r="I111" s="1566"/>
      <c r="J111" s="1566"/>
      <c r="K111" s="1567"/>
      <c r="L111" s="1567"/>
      <c r="M111" s="1567"/>
      <c r="N111" s="1567"/>
      <c r="O111" s="1567"/>
      <c r="P111" s="1567"/>
      <c r="Q111" s="1567"/>
      <c r="R111" s="1567"/>
      <c r="S111" s="1567"/>
      <c r="T111" s="1567"/>
      <c r="U111" s="1567"/>
      <c r="V111" s="1565"/>
      <c r="W111" s="1565"/>
      <c r="X111" s="1565"/>
      <c r="Y111" s="1565"/>
      <c r="Z111" s="1565"/>
      <c r="AA111" s="1565"/>
      <c r="AB111" s="1565"/>
      <c r="AC111" s="1565"/>
      <c r="AD111" s="1565"/>
      <c r="AE111" s="1565"/>
      <c r="AF111" s="1565"/>
      <c r="AG111" s="1565"/>
      <c r="AH111" s="1565"/>
      <c r="AI111" s="1565"/>
      <c r="AJ111" s="1565"/>
      <c r="AK111" s="1568"/>
      <c r="AL111" s="1568"/>
      <c r="AM111" s="1568"/>
      <c r="AN111" s="1568"/>
      <c r="AO111" s="1568"/>
      <c r="AP111" s="1568"/>
      <c r="AQ111" s="1568"/>
      <c r="AR111" s="1568"/>
      <c r="AS111" s="1568"/>
      <c r="AT111" s="1568"/>
      <c r="AU111" s="1568"/>
    </row>
    <row r="112" spans="1:52" s="1584" customFormat="1" ht="16.5" customHeight="1" x14ac:dyDescent="0.25">
      <c r="A112" s="1569"/>
      <c r="B112" s="2307" t="s">
        <v>1751</v>
      </c>
      <c r="C112" s="1570"/>
      <c r="D112" s="1571" t="str">
        <f>D$69</f>
        <v>Total (Manufacturing, Installation, Fuel, and Maintenance)</v>
      </c>
      <c r="E112" s="1572"/>
      <c r="F112" s="1572"/>
      <c r="G112" s="1572"/>
      <c r="H112" s="1572"/>
      <c r="I112" s="1573"/>
      <c r="J112" s="1505"/>
      <c r="K112" s="1574" t="str">
        <f>K102</f>
        <v>Forklift Fuel Cell Manufacturing, Development, Sales, and Shipping (Class I/II and III combined)</v>
      </c>
      <c r="L112" s="1575"/>
      <c r="M112" s="1575"/>
      <c r="N112" s="1575"/>
      <c r="O112" s="1575"/>
      <c r="P112" s="1576"/>
      <c r="Q112" s="1505"/>
      <c r="R112" s="1577" t="str">
        <f>R102</f>
        <v>Hydrogen Fueling Infrastructure Installations</v>
      </c>
      <c r="S112" s="1578"/>
      <c r="T112" s="1578"/>
      <c r="U112" s="1578"/>
      <c r="V112" s="1578"/>
      <c r="W112" s="1576"/>
      <c r="X112" s="1505"/>
      <c r="Y112" s="1579" t="str">
        <f>Y102</f>
        <v>Hydrogen Fuel Production and Delivery</v>
      </c>
      <c r="Z112" s="1580"/>
      <c r="AA112" s="1580"/>
      <c r="AB112" s="1580"/>
      <c r="AC112" s="1580"/>
      <c r="AD112" s="1576"/>
      <c r="AE112" s="1505"/>
      <c r="AF112" s="1581" t="str">
        <f>AF102</f>
        <v>Fuel Cell and Infrastructure Maintenance</v>
      </c>
      <c r="AG112" s="1582"/>
      <c r="AH112" s="1582"/>
      <c r="AI112" s="1582"/>
      <c r="AJ112" s="1582"/>
      <c r="AK112" s="1583"/>
      <c r="AL112" s="1583"/>
      <c r="AM112" s="1583"/>
      <c r="AN112" s="1583"/>
      <c r="AO112" s="1583"/>
      <c r="AP112" s="1583"/>
      <c r="AQ112" s="1583"/>
      <c r="AR112" s="1583"/>
      <c r="AS112" s="1583"/>
      <c r="AT112" s="1583"/>
      <c r="AU112" s="1583"/>
    </row>
    <row r="113" spans="1:48" s="1584" customFormat="1" ht="16.5" x14ac:dyDescent="0.25">
      <c r="A113" s="1569"/>
      <c r="B113" s="2308"/>
      <c r="C113" s="1585"/>
      <c r="D113" s="1571" t="str">
        <f>B112</f>
        <v>Gross Forklift Fuel Cell-related Earnings (Thousands of 2010$)</v>
      </c>
      <c r="E113" s="1586"/>
      <c r="F113" s="1572"/>
      <c r="G113" s="1572"/>
      <c r="H113" s="1572"/>
      <c r="I113" s="1573"/>
      <c r="J113" s="1521"/>
      <c r="K113" s="1509" t="str">
        <f>D113</f>
        <v>Gross Forklift Fuel Cell-related Earnings (Thousands of 2010$)</v>
      </c>
      <c r="L113" s="1587"/>
      <c r="M113" s="1575"/>
      <c r="N113" s="1575"/>
      <c r="O113" s="1575"/>
      <c r="P113" s="1576"/>
      <c r="Q113" s="1521"/>
      <c r="R113" s="1512" t="str">
        <f>K113</f>
        <v>Gross Forklift Fuel Cell-related Earnings (Thousands of 2010$)</v>
      </c>
      <c r="S113" s="1588"/>
      <c r="T113" s="1578"/>
      <c r="U113" s="1578"/>
      <c r="V113" s="1578"/>
      <c r="W113" s="1576"/>
      <c r="X113" s="1521"/>
      <c r="Y113" s="1514" t="str">
        <f>R113</f>
        <v>Gross Forklift Fuel Cell-related Earnings (Thousands of 2010$)</v>
      </c>
      <c r="Z113" s="1524"/>
      <c r="AA113" s="1580"/>
      <c r="AB113" s="1580"/>
      <c r="AC113" s="1580"/>
      <c r="AD113" s="1576"/>
      <c r="AE113" s="1521"/>
      <c r="AF113" s="1516" t="str">
        <f>Y113</f>
        <v>Gross Forklift Fuel Cell-related Earnings (Thousands of 2010$)</v>
      </c>
      <c r="AG113" s="1525"/>
      <c r="AH113" s="1582"/>
      <c r="AI113" s="1582"/>
      <c r="AJ113" s="1582"/>
      <c r="AK113" s="1583"/>
      <c r="AL113" s="1583"/>
      <c r="AM113" s="1583"/>
      <c r="AN113" s="1583"/>
      <c r="AO113" s="1583"/>
      <c r="AP113" s="1583"/>
      <c r="AQ113" s="1583"/>
      <c r="AR113" s="1583"/>
      <c r="AS113" s="1583"/>
      <c r="AT113" s="1583"/>
      <c r="AU113" s="1583"/>
    </row>
    <row r="114" spans="1:48" s="1590" customFormat="1" ht="46.5" customHeight="1" x14ac:dyDescent="0.25">
      <c r="A114" s="1589"/>
      <c r="B114" s="2308"/>
      <c r="C114" s="1585" t="str">
        <f t="shared" ref="C114:C120" si="137">C104</f>
        <v>Year</v>
      </c>
      <c r="D114" s="1528" t="str">
        <f>D$169&amp;" "&amp;D$170</f>
        <v>Gross Forklift Fuel Cell-related Direct</v>
      </c>
      <c r="E114" s="1528" t="str">
        <f>E$169&amp;" "&amp;E$170</f>
        <v>Gross Forklift Fuel Cell-related Indirect</v>
      </c>
      <c r="F114" s="1528" t="str">
        <f>F$169&amp;" "&amp;F$170</f>
        <v>Gross Forklift Fuel Cell-related Induced</v>
      </c>
      <c r="G114" s="1529" t="str">
        <f>G$169&amp;" "&amp;G$170</f>
        <v>Gross Forklift Fuel Cell-related Supply Chain</v>
      </c>
      <c r="H114" s="1529" t="str">
        <f>H$169&amp;" "&amp;H$170</f>
        <v>Gross Forklift Fuel Cell-related Total</v>
      </c>
      <c r="I114" s="1530"/>
      <c r="J114" s="1527" t="s">
        <v>433</v>
      </c>
      <c r="K114" s="1531" t="str">
        <f>K$169&amp;" "&amp;K$170</f>
        <v>Gross Forklift Fuel Cell Direct</v>
      </c>
      <c r="L114" s="1531" t="str">
        <f>L$169&amp;" "&amp;L$170</f>
        <v>Gross Forklift Fuel Cell Indirect</v>
      </c>
      <c r="M114" s="1531" t="str">
        <f>M$169&amp;" "&amp;M$170</f>
        <v>Gross Forklift Fuel Cell Induced</v>
      </c>
      <c r="N114" s="1532" t="str">
        <f>N$169&amp;" "&amp;N$170</f>
        <v>Gross Forklift Fuel Cell Supply Chain</v>
      </c>
      <c r="O114" s="1532" t="str">
        <f>O$169&amp;" "&amp;O$170</f>
        <v>Gross Forklift Fuel Cell Total</v>
      </c>
      <c r="P114" s="1533"/>
      <c r="Q114" s="1527" t="s">
        <v>433</v>
      </c>
      <c r="R114" s="1534" t="str">
        <f>R$169&amp;" "&amp;R$170</f>
        <v>Gross On-site H2 Infr. Direct</v>
      </c>
      <c r="S114" s="1534" t="str">
        <f>S$169&amp;" "&amp;S$170</f>
        <v>Gross On-site H2 Infr. Indirect</v>
      </c>
      <c r="T114" s="1534" t="str">
        <f>T$169&amp;" "&amp;T$170</f>
        <v>Gross On-site H2 Infr. Induced</v>
      </c>
      <c r="U114" s="1535" t="str">
        <f>U$169&amp;" "&amp;U$170</f>
        <v>Gross On-site H2 Infr. Supply Chain</v>
      </c>
      <c r="V114" s="1535" t="str">
        <f>V$169&amp;" "&amp;V$170</f>
        <v>Gross On-site H2 Infr. Total</v>
      </c>
      <c r="W114" s="1533"/>
      <c r="X114" s="1527" t="s">
        <v>433</v>
      </c>
      <c r="Y114" s="1536" t="str">
        <f>Y$169&amp;" "&amp;Y$170</f>
        <v>Gross Hydrogen Fuel Direct</v>
      </c>
      <c r="Z114" s="1536" t="str">
        <f>Z$169&amp;" "&amp;Z$170</f>
        <v>Gross Hydrogen Fuel Indirect</v>
      </c>
      <c r="AA114" s="1536" t="str">
        <f>AA$169&amp;" "&amp;AA$170</f>
        <v>Gross Hydrogen Fuel Induced</v>
      </c>
      <c r="AB114" s="1537" t="str">
        <f>AB$169&amp;" "&amp;AB$170</f>
        <v>Gross Hydrogen Fuel Supply Chain</v>
      </c>
      <c r="AC114" s="1537" t="str">
        <f>AC$169&amp;" "&amp;AC$170</f>
        <v>Gross Hydrogen Fuel Total</v>
      </c>
      <c r="AD114" s="1533"/>
      <c r="AE114" s="1527" t="s">
        <v>433</v>
      </c>
      <c r="AF114" s="1538" t="str">
        <f>AF$169&amp;" "&amp;AF$170</f>
        <v>Gross FC and Infr. Maint. Direct</v>
      </c>
      <c r="AG114" s="1538" t="str">
        <f>AG$169&amp;" "&amp;AG$170</f>
        <v>Gross FC and Infr. Maint. Indirect</v>
      </c>
      <c r="AH114" s="1538" t="str">
        <f>AH$169&amp;" "&amp;AH$170</f>
        <v>Gross FC and Infr. Maint. Induced</v>
      </c>
      <c r="AI114" s="1539" t="str">
        <f>AI$169&amp;" "&amp;AI$170</f>
        <v>Gross FC and Infr. Maint. Supply Chain</v>
      </c>
      <c r="AJ114" s="1539" t="str">
        <f>AJ$169&amp;" "&amp;AJ$170</f>
        <v>Gross FC and Infr. Maint. Total</v>
      </c>
      <c r="AK114" s="1541"/>
      <c r="AL114" s="1540"/>
      <c r="AM114" s="1540"/>
      <c r="AN114" s="1540"/>
      <c r="AO114" s="1540"/>
      <c r="AP114" s="1540"/>
      <c r="AQ114" s="1540"/>
      <c r="AR114" s="1540"/>
      <c r="AS114" s="1540"/>
      <c r="AT114" s="1540"/>
      <c r="AU114" s="1540"/>
      <c r="AV114" s="1542"/>
    </row>
    <row r="115" spans="1:48" s="1562" customFormat="1" ht="15.75" x14ac:dyDescent="0.25">
      <c r="A115" s="1545"/>
      <c r="B115" s="2308"/>
      <c r="C115" s="1546">
        <f t="shared" si="137"/>
        <v>2015</v>
      </c>
      <c r="D115" s="1591" t="e">
        <f t="shared" ref="D115:F120" si="138">K115+R115+Y115+AF115</f>
        <v>#N/A</v>
      </c>
      <c r="E115" s="1591" t="e">
        <f t="shared" si="138"/>
        <v>#N/A</v>
      </c>
      <c r="F115" s="1591" t="e">
        <f t="shared" si="138"/>
        <v>#N/A</v>
      </c>
      <c r="G115" s="1591" t="e">
        <f t="shared" ref="G115:G120" si="139">D115+E115</f>
        <v>#N/A</v>
      </c>
      <c r="H115" s="1592" t="e">
        <f t="shared" ref="H115:H120" si="140">D115+E115+F115</f>
        <v>#N/A</v>
      </c>
      <c r="I115" s="1593"/>
      <c r="J115" s="1546">
        <v>2015</v>
      </c>
      <c r="K115" s="1594" t="e">
        <f>'Forklift INPUTS'!Q390/'Forklift INPUTS'!$C$593/1000</f>
        <v>#N/A</v>
      </c>
      <c r="L115" s="1594" t="e">
        <f>'Forklift INPUTS'!R390/'Forklift INPUTS'!$C$593/1000</f>
        <v>#N/A</v>
      </c>
      <c r="M115" s="1594" t="e">
        <f>'Forklift INPUTS'!S390/'Forklift INPUTS'!$C$593/1000</f>
        <v>#N/A</v>
      </c>
      <c r="N115" s="1594" t="e">
        <f t="shared" ref="N115:N120" si="141">K115+L115</f>
        <v>#N/A</v>
      </c>
      <c r="O115" s="1595" t="e">
        <f t="shared" ref="O115:O120" si="142">K115+L115+M115</f>
        <v>#N/A</v>
      </c>
      <c r="P115" s="1596"/>
      <c r="Q115" s="1546">
        <v>2015</v>
      </c>
      <c r="R115" s="1597" t="e">
        <f>'Forklift INPUTS'!Q413/'Forklift INPUTS'!$C$593/1000</f>
        <v>#N/A</v>
      </c>
      <c r="S115" s="1597" t="e">
        <f>'Forklift INPUTS'!R413/'Forklift INPUTS'!$C$593/1000</f>
        <v>#N/A</v>
      </c>
      <c r="T115" s="1597" t="e">
        <f>'Forklift INPUTS'!S413/'Forklift INPUTS'!$C$593/1000</f>
        <v>#N/A</v>
      </c>
      <c r="U115" s="1597" t="e">
        <f t="shared" ref="U115:U120" si="143">R115+S115</f>
        <v>#N/A</v>
      </c>
      <c r="V115" s="1598" t="e">
        <f t="shared" ref="V115:V120" si="144">R115+S115+T115</f>
        <v>#N/A</v>
      </c>
      <c r="W115" s="1596"/>
      <c r="X115" s="1546">
        <v>2015</v>
      </c>
      <c r="Y115" s="1599" t="e">
        <f>('Forklift INPUTS'!Q427+'Forklift INPUTS'!Q439)/'Forklift INPUTS'!$C$593/1000</f>
        <v>#N/A</v>
      </c>
      <c r="Z115" s="1599" t="e">
        <f>('Forklift INPUTS'!R427+'Forklift INPUTS'!R439)/'Forklift INPUTS'!$C$593/1000</f>
        <v>#N/A</v>
      </c>
      <c r="AA115" s="1599" t="e">
        <f>('Forklift INPUTS'!S427+'Forklift INPUTS'!S439)/'Forklift INPUTS'!$C$593/1000</f>
        <v>#N/A</v>
      </c>
      <c r="AB115" s="1599" t="e">
        <f t="shared" ref="AB115:AB120" si="145">Y115+Z115</f>
        <v>#N/A</v>
      </c>
      <c r="AC115" s="1600" t="e">
        <f t="shared" ref="AC115:AC120" si="146">Y115+Z115+AA115</f>
        <v>#N/A</v>
      </c>
      <c r="AD115" s="1596"/>
      <c r="AE115" s="1546">
        <v>2015</v>
      </c>
      <c r="AF115" s="1601" t="e">
        <f>('Forklift INPUTS'!Q452+'Forklift INPUTS'!Q463)/'Forklift INPUTS'!$C$593/1000</f>
        <v>#N/A</v>
      </c>
      <c r="AG115" s="1601" t="e">
        <f>('Forklift INPUTS'!R452+'Forklift INPUTS'!R463)/'Forklift INPUTS'!$C$593/1000</f>
        <v>#N/A</v>
      </c>
      <c r="AH115" s="1601" t="e">
        <f>('Forklift INPUTS'!S452+'Forklift INPUTS'!S463)/'Forklift INPUTS'!$C$593/1000</f>
        <v>#N/A</v>
      </c>
      <c r="AI115" s="1601" t="e">
        <f t="shared" ref="AI115:AI120" si="147">AF115+AG115</f>
        <v>#N/A</v>
      </c>
      <c r="AJ115" s="1602" t="e">
        <f t="shared" ref="AJ115:AJ120" si="148">AF115+AG115+AH115</f>
        <v>#N/A</v>
      </c>
      <c r="AK115" s="1559"/>
      <c r="AL115" s="1559"/>
      <c r="AM115" s="1603"/>
      <c r="AN115" s="1603"/>
      <c r="AO115" s="1603"/>
      <c r="AP115" s="1603"/>
      <c r="AQ115" s="1603"/>
      <c r="AR115" s="1603"/>
      <c r="AS115" s="1603"/>
      <c r="AT115" s="1603"/>
      <c r="AU115" s="1603"/>
      <c r="AV115" s="1604"/>
    </row>
    <row r="116" spans="1:48" s="1562" customFormat="1" ht="15.75" x14ac:dyDescent="0.25">
      <c r="A116" s="1545"/>
      <c r="B116" s="2308"/>
      <c r="C116" s="1546">
        <f t="shared" si="137"/>
        <v>2016</v>
      </c>
      <c r="D116" s="1591" t="e">
        <f t="shared" si="138"/>
        <v>#N/A</v>
      </c>
      <c r="E116" s="1591" t="e">
        <f t="shared" si="138"/>
        <v>#N/A</v>
      </c>
      <c r="F116" s="1591" t="e">
        <f t="shared" si="138"/>
        <v>#N/A</v>
      </c>
      <c r="G116" s="1591" t="e">
        <f t="shared" si="139"/>
        <v>#N/A</v>
      </c>
      <c r="H116" s="1592" t="e">
        <f t="shared" si="140"/>
        <v>#N/A</v>
      </c>
      <c r="I116" s="1593"/>
      <c r="J116" s="1546">
        <v>2016</v>
      </c>
      <c r="K116" s="1594" t="e">
        <f>'Forklift INPUTS'!Q391/'Forklift INPUTS'!$C$593/1000</f>
        <v>#N/A</v>
      </c>
      <c r="L116" s="1594" t="e">
        <f>'Forklift INPUTS'!R391/'Forklift INPUTS'!$C$593/1000</f>
        <v>#N/A</v>
      </c>
      <c r="M116" s="1594" t="e">
        <f>'Forklift INPUTS'!S391/'Forklift INPUTS'!$C$593/1000</f>
        <v>#N/A</v>
      </c>
      <c r="N116" s="1594" t="e">
        <f t="shared" si="141"/>
        <v>#N/A</v>
      </c>
      <c r="O116" s="1595" t="e">
        <f t="shared" si="142"/>
        <v>#N/A</v>
      </c>
      <c r="P116" s="1596"/>
      <c r="Q116" s="1546">
        <v>2016</v>
      </c>
      <c r="R116" s="1597" t="e">
        <f>'Forklift INPUTS'!Q414/'Forklift INPUTS'!$C$593/1000</f>
        <v>#N/A</v>
      </c>
      <c r="S116" s="1597" t="e">
        <f>'Forklift INPUTS'!R414/'Forklift INPUTS'!$C$593/1000</f>
        <v>#N/A</v>
      </c>
      <c r="T116" s="1597" t="e">
        <f>'Forklift INPUTS'!S414/'Forklift INPUTS'!$C$593/1000</f>
        <v>#N/A</v>
      </c>
      <c r="U116" s="1597" t="e">
        <f t="shared" si="143"/>
        <v>#N/A</v>
      </c>
      <c r="V116" s="1598" t="e">
        <f t="shared" si="144"/>
        <v>#N/A</v>
      </c>
      <c r="W116" s="1596"/>
      <c r="X116" s="1546">
        <v>2016</v>
      </c>
      <c r="Y116" s="1599" t="e">
        <f>('Forklift INPUTS'!Q428+'Forklift INPUTS'!Q440)/'Forklift INPUTS'!$C$593/1000</f>
        <v>#N/A</v>
      </c>
      <c r="Z116" s="1599" t="e">
        <f>('Forklift INPUTS'!R428+'Forklift INPUTS'!R440)/'Forklift INPUTS'!$C$593/1000</f>
        <v>#N/A</v>
      </c>
      <c r="AA116" s="1599" t="e">
        <f>('Forklift INPUTS'!S428+'Forklift INPUTS'!S440)/'Forklift INPUTS'!$C$593/1000</f>
        <v>#N/A</v>
      </c>
      <c r="AB116" s="1599" t="e">
        <f t="shared" si="145"/>
        <v>#N/A</v>
      </c>
      <c r="AC116" s="1600" t="e">
        <f t="shared" si="146"/>
        <v>#N/A</v>
      </c>
      <c r="AD116" s="1596"/>
      <c r="AE116" s="1546">
        <v>2016</v>
      </c>
      <c r="AF116" s="1601" t="e">
        <f>('Forklift INPUTS'!Q453+'Forklift INPUTS'!Q464)/'Forklift INPUTS'!$C$593/1000</f>
        <v>#N/A</v>
      </c>
      <c r="AG116" s="1601" t="e">
        <f>('Forklift INPUTS'!R453+'Forklift INPUTS'!R464)/'Forklift INPUTS'!$C$593/1000</f>
        <v>#N/A</v>
      </c>
      <c r="AH116" s="1601" t="e">
        <f>('Forklift INPUTS'!S453+'Forklift INPUTS'!S464)/'Forklift INPUTS'!$C$593/1000</f>
        <v>#N/A</v>
      </c>
      <c r="AI116" s="1601" t="e">
        <f t="shared" si="147"/>
        <v>#N/A</v>
      </c>
      <c r="AJ116" s="1602" t="e">
        <f t="shared" si="148"/>
        <v>#N/A</v>
      </c>
      <c r="AK116" s="1559"/>
      <c r="AL116" s="1559"/>
      <c r="AM116" s="1603"/>
      <c r="AN116" s="1603"/>
      <c r="AO116" s="1603"/>
      <c r="AP116" s="1603"/>
      <c r="AQ116" s="1603"/>
      <c r="AR116" s="1603"/>
      <c r="AS116" s="1603"/>
      <c r="AT116" s="1603"/>
      <c r="AU116" s="1603"/>
      <c r="AV116" s="1604"/>
    </row>
    <row r="117" spans="1:48" s="1562" customFormat="1" ht="15.75" x14ac:dyDescent="0.25">
      <c r="A117" s="1545"/>
      <c r="B117" s="2308"/>
      <c r="C117" s="1546">
        <f t="shared" si="137"/>
        <v>2017</v>
      </c>
      <c r="D117" s="1591" t="e">
        <f t="shared" si="138"/>
        <v>#N/A</v>
      </c>
      <c r="E117" s="1591" t="e">
        <f t="shared" si="138"/>
        <v>#N/A</v>
      </c>
      <c r="F117" s="1591" t="e">
        <f t="shared" si="138"/>
        <v>#N/A</v>
      </c>
      <c r="G117" s="1591" t="e">
        <f t="shared" si="139"/>
        <v>#N/A</v>
      </c>
      <c r="H117" s="1592" t="e">
        <f t="shared" si="140"/>
        <v>#N/A</v>
      </c>
      <c r="I117" s="1593"/>
      <c r="J117" s="1546">
        <v>2017</v>
      </c>
      <c r="K117" s="1594" t="e">
        <f>'Forklift INPUTS'!Q392/'Forklift INPUTS'!$C$593/1000</f>
        <v>#N/A</v>
      </c>
      <c r="L117" s="1594" t="e">
        <f>'Forklift INPUTS'!R392/'Forklift INPUTS'!$C$593/1000</f>
        <v>#N/A</v>
      </c>
      <c r="M117" s="1594" t="e">
        <f>'Forklift INPUTS'!S392/'Forklift INPUTS'!$C$593/1000</f>
        <v>#N/A</v>
      </c>
      <c r="N117" s="1594" t="e">
        <f t="shared" si="141"/>
        <v>#N/A</v>
      </c>
      <c r="O117" s="1595" t="e">
        <f t="shared" si="142"/>
        <v>#N/A</v>
      </c>
      <c r="P117" s="1596"/>
      <c r="Q117" s="1546">
        <v>2017</v>
      </c>
      <c r="R117" s="1597" t="e">
        <f>'Forklift INPUTS'!Q415/'Forklift INPUTS'!$C$593/1000</f>
        <v>#N/A</v>
      </c>
      <c r="S117" s="1597" t="e">
        <f>'Forklift INPUTS'!R415/'Forklift INPUTS'!$C$593/1000</f>
        <v>#N/A</v>
      </c>
      <c r="T117" s="1597" t="e">
        <f>'Forklift INPUTS'!S415/'Forklift INPUTS'!$C$593/1000</f>
        <v>#N/A</v>
      </c>
      <c r="U117" s="1597" t="e">
        <f t="shared" si="143"/>
        <v>#N/A</v>
      </c>
      <c r="V117" s="1598" t="e">
        <f t="shared" si="144"/>
        <v>#N/A</v>
      </c>
      <c r="W117" s="1596"/>
      <c r="X117" s="1546">
        <v>2017</v>
      </c>
      <c r="Y117" s="1599" t="e">
        <f>('Forklift INPUTS'!Q429+'Forklift INPUTS'!Q441)/'Forklift INPUTS'!$C$593/1000</f>
        <v>#N/A</v>
      </c>
      <c r="Z117" s="1599" t="e">
        <f>('Forklift INPUTS'!R429+'Forklift INPUTS'!R441)/'Forklift INPUTS'!$C$593/1000</f>
        <v>#N/A</v>
      </c>
      <c r="AA117" s="1599" t="e">
        <f>('Forklift INPUTS'!S429+'Forklift INPUTS'!S441)/'Forklift INPUTS'!$C$593/1000</f>
        <v>#N/A</v>
      </c>
      <c r="AB117" s="1599" t="e">
        <f t="shared" si="145"/>
        <v>#N/A</v>
      </c>
      <c r="AC117" s="1600" t="e">
        <f t="shared" si="146"/>
        <v>#N/A</v>
      </c>
      <c r="AD117" s="1596"/>
      <c r="AE117" s="1546">
        <v>2017</v>
      </c>
      <c r="AF117" s="1601" t="e">
        <f>('Forklift INPUTS'!Q454+'Forklift INPUTS'!Q465)/'Forklift INPUTS'!$C$593/1000</f>
        <v>#N/A</v>
      </c>
      <c r="AG117" s="1601" t="e">
        <f>('Forklift INPUTS'!R454+'Forklift INPUTS'!R465)/'Forklift INPUTS'!$C$593/1000</f>
        <v>#N/A</v>
      </c>
      <c r="AH117" s="1601" t="e">
        <f>('Forklift INPUTS'!S454+'Forklift INPUTS'!S465)/'Forklift INPUTS'!$C$593/1000</f>
        <v>#N/A</v>
      </c>
      <c r="AI117" s="1601" t="e">
        <f t="shared" si="147"/>
        <v>#N/A</v>
      </c>
      <c r="AJ117" s="1602" t="e">
        <f t="shared" si="148"/>
        <v>#N/A</v>
      </c>
      <c r="AK117" s="1559"/>
      <c r="AL117" s="1559"/>
      <c r="AM117" s="1603"/>
      <c r="AN117" s="1603"/>
      <c r="AO117" s="1603"/>
      <c r="AP117" s="1603"/>
      <c r="AQ117" s="1603"/>
      <c r="AR117" s="1603"/>
      <c r="AS117" s="1603"/>
      <c r="AT117" s="1603"/>
      <c r="AU117" s="1603"/>
      <c r="AV117" s="1604"/>
    </row>
    <row r="118" spans="1:48" s="1562" customFormat="1" ht="15.75" x14ac:dyDescent="0.25">
      <c r="A118" s="1545"/>
      <c r="B118" s="2308"/>
      <c r="C118" s="1546">
        <f t="shared" si="137"/>
        <v>2018</v>
      </c>
      <c r="D118" s="1591" t="e">
        <f t="shared" si="138"/>
        <v>#N/A</v>
      </c>
      <c r="E118" s="1591" t="e">
        <f t="shared" si="138"/>
        <v>#N/A</v>
      </c>
      <c r="F118" s="1591" t="e">
        <f t="shared" si="138"/>
        <v>#N/A</v>
      </c>
      <c r="G118" s="1591" t="e">
        <f t="shared" si="139"/>
        <v>#N/A</v>
      </c>
      <c r="H118" s="1592" t="e">
        <f t="shared" si="140"/>
        <v>#N/A</v>
      </c>
      <c r="I118" s="1593"/>
      <c r="J118" s="1546">
        <v>2018</v>
      </c>
      <c r="K118" s="1594" t="e">
        <f>'Forklift INPUTS'!Q393/'Forklift INPUTS'!$C$593/1000</f>
        <v>#N/A</v>
      </c>
      <c r="L118" s="1594" t="e">
        <f>'Forklift INPUTS'!R393/'Forklift INPUTS'!$C$593/1000</f>
        <v>#N/A</v>
      </c>
      <c r="M118" s="1594" t="e">
        <f>'Forklift INPUTS'!S393/'Forklift INPUTS'!$C$593/1000</f>
        <v>#N/A</v>
      </c>
      <c r="N118" s="1594" t="e">
        <f t="shared" si="141"/>
        <v>#N/A</v>
      </c>
      <c r="O118" s="1595" t="e">
        <f t="shared" si="142"/>
        <v>#N/A</v>
      </c>
      <c r="P118" s="1596"/>
      <c r="Q118" s="1546">
        <v>2018</v>
      </c>
      <c r="R118" s="1597" t="e">
        <f>'Forklift INPUTS'!Q416/'Forklift INPUTS'!$C$593/1000</f>
        <v>#N/A</v>
      </c>
      <c r="S118" s="1597" t="e">
        <f>'Forklift INPUTS'!R416/'Forklift INPUTS'!$C$593/1000</f>
        <v>#N/A</v>
      </c>
      <c r="T118" s="1597" t="e">
        <f>'Forklift INPUTS'!S416/'Forklift INPUTS'!$C$593/1000</f>
        <v>#N/A</v>
      </c>
      <c r="U118" s="1597" t="e">
        <f t="shared" si="143"/>
        <v>#N/A</v>
      </c>
      <c r="V118" s="1598" t="e">
        <f t="shared" si="144"/>
        <v>#N/A</v>
      </c>
      <c r="W118" s="1596"/>
      <c r="X118" s="1546">
        <v>2018</v>
      </c>
      <c r="Y118" s="1599" t="e">
        <f>('Forklift INPUTS'!Q430+'Forklift INPUTS'!Q442)/'Forklift INPUTS'!$C$593/1000</f>
        <v>#N/A</v>
      </c>
      <c r="Z118" s="1599" t="e">
        <f>('Forklift INPUTS'!R430+'Forklift INPUTS'!R442)/'Forklift INPUTS'!$C$593/1000</f>
        <v>#N/A</v>
      </c>
      <c r="AA118" s="1599" t="e">
        <f>('Forklift INPUTS'!S430+'Forklift INPUTS'!S442)/'Forklift INPUTS'!$C$593/1000</f>
        <v>#N/A</v>
      </c>
      <c r="AB118" s="1599" t="e">
        <f t="shared" si="145"/>
        <v>#N/A</v>
      </c>
      <c r="AC118" s="1600" t="e">
        <f t="shared" si="146"/>
        <v>#N/A</v>
      </c>
      <c r="AD118" s="1596"/>
      <c r="AE118" s="1546">
        <v>2018</v>
      </c>
      <c r="AF118" s="1601" t="e">
        <f>('Forklift INPUTS'!Q455+'Forklift INPUTS'!Q466)/'Forklift INPUTS'!$C$593/1000</f>
        <v>#N/A</v>
      </c>
      <c r="AG118" s="1601" t="e">
        <f>('Forklift INPUTS'!R455+'Forklift INPUTS'!R466)/'Forklift INPUTS'!$C$593/1000</f>
        <v>#N/A</v>
      </c>
      <c r="AH118" s="1601" t="e">
        <f>('Forklift INPUTS'!S455+'Forklift INPUTS'!S466)/'Forklift INPUTS'!$C$593/1000</f>
        <v>#N/A</v>
      </c>
      <c r="AI118" s="1601" t="e">
        <f t="shared" si="147"/>
        <v>#N/A</v>
      </c>
      <c r="AJ118" s="1602" t="e">
        <f t="shared" si="148"/>
        <v>#N/A</v>
      </c>
      <c r="AK118" s="1559"/>
      <c r="AL118" s="1559"/>
      <c r="AM118" s="1603"/>
      <c r="AN118" s="1603"/>
      <c r="AO118" s="1603"/>
      <c r="AP118" s="1603"/>
      <c r="AQ118" s="1603"/>
      <c r="AR118" s="1603"/>
      <c r="AS118" s="1603"/>
      <c r="AT118" s="1603"/>
      <c r="AU118" s="1603"/>
      <c r="AV118" s="1604"/>
    </row>
    <row r="119" spans="1:48" s="1562" customFormat="1" ht="15.75" x14ac:dyDescent="0.25">
      <c r="A119" s="1545"/>
      <c r="B119" s="2308"/>
      <c r="C119" s="1546">
        <f t="shared" si="137"/>
        <v>2019</v>
      </c>
      <c r="D119" s="1591" t="e">
        <f t="shared" si="138"/>
        <v>#N/A</v>
      </c>
      <c r="E119" s="1591" t="e">
        <f t="shared" si="138"/>
        <v>#N/A</v>
      </c>
      <c r="F119" s="1591" t="e">
        <f t="shared" si="138"/>
        <v>#N/A</v>
      </c>
      <c r="G119" s="1591" t="e">
        <f t="shared" si="139"/>
        <v>#N/A</v>
      </c>
      <c r="H119" s="1592" t="e">
        <f t="shared" si="140"/>
        <v>#N/A</v>
      </c>
      <c r="I119" s="1593"/>
      <c r="J119" s="1546">
        <v>2019</v>
      </c>
      <c r="K119" s="1594" t="e">
        <f>'Forklift INPUTS'!Q394/'Forklift INPUTS'!$C$593/1000</f>
        <v>#N/A</v>
      </c>
      <c r="L119" s="1594" t="e">
        <f>'Forklift INPUTS'!R394/'Forklift INPUTS'!$C$593/1000</f>
        <v>#N/A</v>
      </c>
      <c r="M119" s="1594" t="e">
        <f>'Forklift INPUTS'!S394/'Forklift INPUTS'!$C$593/1000</f>
        <v>#N/A</v>
      </c>
      <c r="N119" s="1594" t="e">
        <f t="shared" si="141"/>
        <v>#N/A</v>
      </c>
      <c r="O119" s="1595" t="e">
        <f t="shared" si="142"/>
        <v>#N/A</v>
      </c>
      <c r="P119" s="1596"/>
      <c r="Q119" s="1546">
        <v>2019</v>
      </c>
      <c r="R119" s="1597" t="e">
        <f>'Forklift INPUTS'!Q417/'Forklift INPUTS'!$C$593/1000</f>
        <v>#N/A</v>
      </c>
      <c r="S119" s="1597" t="e">
        <f>'Forklift INPUTS'!R417/'Forklift INPUTS'!$C$593/1000</f>
        <v>#N/A</v>
      </c>
      <c r="T119" s="1597" t="e">
        <f>'Forklift INPUTS'!S417/'Forklift INPUTS'!$C$593/1000</f>
        <v>#N/A</v>
      </c>
      <c r="U119" s="1597" t="e">
        <f t="shared" si="143"/>
        <v>#N/A</v>
      </c>
      <c r="V119" s="1598" t="e">
        <f t="shared" si="144"/>
        <v>#N/A</v>
      </c>
      <c r="W119" s="1596"/>
      <c r="X119" s="1546">
        <v>2019</v>
      </c>
      <c r="Y119" s="1599" t="e">
        <f>('Forklift INPUTS'!Q431+'Forklift INPUTS'!Q443)/'Forklift INPUTS'!$C$593/1000</f>
        <v>#N/A</v>
      </c>
      <c r="Z119" s="1599" t="e">
        <f>('Forklift INPUTS'!R431+'Forklift INPUTS'!R443)/'Forklift INPUTS'!$C$593/1000</f>
        <v>#N/A</v>
      </c>
      <c r="AA119" s="1599" t="e">
        <f>('Forklift INPUTS'!S431+'Forklift INPUTS'!S443)/'Forklift INPUTS'!$C$593/1000</f>
        <v>#N/A</v>
      </c>
      <c r="AB119" s="1599" t="e">
        <f t="shared" si="145"/>
        <v>#N/A</v>
      </c>
      <c r="AC119" s="1600" t="e">
        <f t="shared" si="146"/>
        <v>#N/A</v>
      </c>
      <c r="AD119" s="1596"/>
      <c r="AE119" s="1546">
        <v>2019</v>
      </c>
      <c r="AF119" s="1601" t="e">
        <f>('Forklift INPUTS'!Q456+'Forklift INPUTS'!Q467)/'Forklift INPUTS'!$C$593/1000</f>
        <v>#N/A</v>
      </c>
      <c r="AG119" s="1601" t="e">
        <f>('Forklift INPUTS'!R456+'Forklift INPUTS'!R467)/'Forklift INPUTS'!$C$593/1000</f>
        <v>#N/A</v>
      </c>
      <c r="AH119" s="1601" t="e">
        <f>('Forklift INPUTS'!S456+'Forklift INPUTS'!S467)/'Forklift INPUTS'!$C$593/1000</f>
        <v>#N/A</v>
      </c>
      <c r="AI119" s="1601" t="e">
        <f t="shared" si="147"/>
        <v>#N/A</v>
      </c>
      <c r="AJ119" s="1602" t="e">
        <f t="shared" si="148"/>
        <v>#N/A</v>
      </c>
      <c r="AK119" s="1559"/>
      <c r="AL119" s="1559"/>
      <c r="AM119" s="1603"/>
      <c r="AN119" s="1603"/>
      <c r="AO119" s="1603"/>
      <c r="AP119" s="1603"/>
      <c r="AQ119" s="1603"/>
      <c r="AR119" s="1603"/>
      <c r="AS119" s="1603"/>
      <c r="AT119" s="1603"/>
      <c r="AU119" s="1603"/>
      <c r="AV119" s="1604"/>
    </row>
    <row r="120" spans="1:48" s="1562" customFormat="1" ht="15.75" x14ac:dyDescent="0.25">
      <c r="A120" s="1545"/>
      <c r="B120" s="2309"/>
      <c r="C120" s="1546">
        <f t="shared" si="137"/>
        <v>2020</v>
      </c>
      <c r="D120" s="1591" t="e">
        <f t="shared" si="138"/>
        <v>#N/A</v>
      </c>
      <c r="E120" s="1591" t="e">
        <f t="shared" si="138"/>
        <v>#N/A</v>
      </c>
      <c r="F120" s="1591" t="e">
        <f t="shared" si="138"/>
        <v>#N/A</v>
      </c>
      <c r="G120" s="1591" t="e">
        <f t="shared" si="139"/>
        <v>#N/A</v>
      </c>
      <c r="H120" s="1592" t="e">
        <f t="shared" si="140"/>
        <v>#N/A</v>
      </c>
      <c r="I120" s="1593"/>
      <c r="J120" s="1546">
        <v>2020</v>
      </c>
      <c r="K120" s="1594" t="e">
        <f>'Forklift INPUTS'!Q395/'Forklift INPUTS'!$C$593/1000</f>
        <v>#N/A</v>
      </c>
      <c r="L120" s="1594" t="e">
        <f>'Forklift INPUTS'!R395/'Forklift INPUTS'!$C$593/1000</f>
        <v>#N/A</v>
      </c>
      <c r="M120" s="1594" t="e">
        <f>'Forklift INPUTS'!S395/'Forklift INPUTS'!$C$593/1000</f>
        <v>#N/A</v>
      </c>
      <c r="N120" s="1594" t="e">
        <f t="shared" si="141"/>
        <v>#N/A</v>
      </c>
      <c r="O120" s="1595" t="e">
        <f t="shared" si="142"/>
        <v>#N/A</v>
      </c>
      <c r="P120" s="1596"/>
      <c r="Q120" s="1546">
        <v>2020</v>
      </c>
      <c r="R120" s="1597" t="e">
        <f>'Forklift INPUTS'!Q418/'Forklift INPUTS'!$C$593/1000</f>
        <v>#N/A</v>
      </c>
      <c r="S120" s="1597" t="e">
        <f>'Forklift INPUTS'!R418/'Forklift INPUTS'!$C$593/1000</f>
        <v>#N/A</v>
      </c>
      <c r="T120" s="1597" t="e">
        <f>'Forklift INPUTS'!S418/'Forklift INPUTS'!$C$593/1000</f>
        <v>#N/A</v>
      </c>
      <c r="U120" s="1597" t="e">
        <f t="shared" si="143"/>
        <v>#N/A</v>
      </c>
      <c r="V120" s="1598" t="e">
        <f t="shared" si="144"/>
        <v>#N/A</v>
      </c>
      <c r="W120" s="1596"/>
      <c r="X120" s="1546">
        <v>2020</v>
      </c>
      <c r="Y120" s="1599" t="e">
        <f>('Forklift INPUTS'!Q432+'Forklift INPUTS'!Q444)/'Forklift INPUTS'!$C$593/1000</f>
        <v>#N/A</v>
      </c>
      <c r="Z120" s="1599" t="e">
        <f>('Forklift INPUTS'!R432+'Forklift INPUTS'!R444)/'Forklift INPUTS'!$C$593/1000</f>
        <v>#N/A</v>
      </c>
      <c r="AA120" s="1599" t="e">
        <f>('Forklift INPUTS'!S432+'Forklift INPUTS'!S444)/'Forklift INPUTS'!$C$593/1000</f>
        <v>#N/A</v>
      </c>
      <c r="AB120" s="1599" t="e">
        <f t="shared" si="145"/>
        <v>#N/A</v>
      </c>
      <c r="AC120" s="1600" t="e">
        <f t="shared" si="146"/>
        <v>#N/A</v>
      </c>
      <c r="AD120" s="1596"/>
      <c r="AE120" s="1546">
        <v>2020</v>
      </c>
      <c r="AF120" s="1601" t="e">
        <f>('Forklift INPUTS'!Q457+'Forklift INPUTS'!Q468)/'Forklift INPUTS'!$C$593/1000</f>
        <v>#N/A</v>
      </c>
      <c r="AG120" s="1601" t="e">
        <f>('Forklift INPUTS'!R457+'Forklift INPUTS'!R468)/'Forklift INPUTS'!$C$593/1000</f>
        <v>#N/A</v>
      </c>
      <c r="AH120" s="1601" t="e">
        <f>('Forklift INPUTS'!S457+'Forklift INPUTS'!S468)/'Forklift INPUTS'!$C$593/1000</f>
        <v>#N/A</v>
      </c>
      <c r="AI120" s="1601" t="e">
        <f t="shared" si="147"/>
        <v>#N/A</v>
      </c>
      <c r="AJ120" s="1602" t="e">
        <f t="shared" si="148"/>
        <v>#N/A</v>
      </c>
      <c r="AK120" s="1559"/>
      <c r="AL120" s="1559"/>
      <c r="AM120" s="1603"/>
      <c r="AN120" s="1603"/>
      <c r="AO120" s="1603"/>
      <c r="AP120" s="1603"/>
      <c r="AQ120" s="1603"/>
      <c r="AR120" s="1603"/>
      <c r="AS120" s="1603"/>
      <c r="AT120" s="1603"/>
      <c r="AU120" s="1603"/>
      <c r="AV120" s="1604"/>
    </row>
    <row r="121" spans="1:48" s="1545" customFormat="1" ht="15.75" x14ac:dyDescent="0.25">
      <c r="B121" s="1564"/>
      <c r="C121" s="1565"/>
      <c r="D121" s="1565"/>
      <c r="E121" s="1566"/>
      <c r="F121" s="1566"/>
      <c r="G121" s="1566"/>
      <c r="H121" s="1566"/>
      <c r="I121" s="1566"/>
      <c r="J121" s="1566"/>
      <c r="K121" s="1565"/>
      <c r="L121" s="1567"/>
      <c r="M121" s="1567"/>
      <c r="N121" s="1567"/>
      <c r="O121" s="1567"/>
      <c r="P121" s="1567"/>
      <c r="Q121" s="1567"/>
      <c r="R121" s="1567"/>
      <c r="S121" s="1567"/>
      <c r="T121" s="1567"/>
      <c r="U121" s="1567"/>
      <c r="V121" s="1565"/>
      <c r="W121" s="1565"/>
      <c r="X121" s="1565"/>
      <c r="Y121" s="1565"/>
      <c r="Z121" s="1565"/>
      <c r="AA121" s="1565"/>
      <c r="AB121" s="1565"/>
      <c r="AC121" s="1565"/>
      <c r="AD121" s="1565"/>
      <c r="AE121" s="1565"/>
      <c r="AF121" s="1565"/>
      <c r="AG121" s="1565"/>
      <c r="AH121" s="1565"/>
      <c r="AI121" s="1565"/>
      <c r="AJ121" s="1565"/>
      <c r="AK121" s="1568"/>
      <c r="AL121" s="1568"/>
      <c r="AM121" s="1568"/>
      <c r="AN121" s="1568"/>
      <c r="AO121" s="1568"/>
      <c r="AP121" s="1568"/>
      <c r="AQ121" s="1568"/>
      <c r="AR121" s="1568"/>
      <c r="AS121" s="1568"/>
      <c r="AT121" s="1568"/>
      <c r="AU121" s="1568"/>
    </row>
    <row r="122" spans="1:48" s="1584" customFormat="1" ht="16.5" customHeight="1" x14ac:dyDescent="0.25">
      <c r="A122" s="1569"/>
      <c r="B122" s="2307" t="s">
        <v>1754</v>
      </c>
      <c r="C122" s="1570"/>
      <c r="D122" s="1571" t="str">
        <f>D$69</f>
        <v>Total (Manufacturing, Installation, Fuel, and Maintenance)</v>
      </c>
      <c r="E122" s="1572"/>
      <c r="F122" s="1572"/>
      <c r="G122" s="1572"/>
      <c r="H122" s="1572"/>
      <c r="I122" s="1573"/>
      <c r="J122" s="1505"/>
      <c r="K122" s="1574" t="str">
        <f>K112</f>
        <v>Forklift Fuel Cell Manufacturing, Development, Sales, and Shipping (Class I/II and III combined)</v>
      </c>
      <c r="L122" s="1575"/>
      <c r="M122" s="1575"/>
      <c r="N122" s="1575"/>
      <c r="O122" s="1575"/>
      <c r="P122" s="1576"/>
      <c r="Q122" s="1505"/>
      <c r="R122" s="1577" t="str">
        <f>R112</f>
        <v>Hydrogen Fueling Infrastructure Installations</v>
      </c>
      <c r="S122" s="1578"/>
      <c r="T122" s="1578"/>
      <c r="U122" s="1578"/>
      <c r="V122" s="1578"/>
      <c r="W122" s="1576"/>
      <c r="X122" s="1505"/>
      <c r="Y122" s="1579" t="str">
        <f>Y112</f>
        <v>Hydrogen Fuel Production and Delivery</v>
      </c>
      <c r="Z122" s="1580"/>
      <c r="AA122" s="1580"/>
      <c r="AB122" s="1580"/>
      <c r="AC122" s="1580"/>
      <c r="AD122" s="1576"/>
      <c r="AE122" s="1505"/>
      <c r="AF122" s="1581" t="str">
        <f>AF112</f>
        <v>Fuel Cell and Infrastructure Maintenance</v>
      </c>
      <c r="AG122" s="1582"/>
      <c r="AH122" s="1582"/>
      <c r="AI122" s="1582"/>
      <c r="AJ122" s="1582"/>
      <c r="AK122" s="1583"/>
      <c r="AL122" s="1583"/>
      <c r="AM122" s="1583"/>
      <c r="AN122" s="1583"/>
      <c r="AO122" s="1583"/>
      <c r="AP122" s="1583"/>
      <c r="AQ122" s="1583"/>
      <c r="AR122" s="1583"/>
      <c r="AS122" s="1583"/>
      <c r="AT122" s="1583"/>
      <c r="AU122" s="1583"/>
    </row>
    <row r="123" spans="1:48" s="1584" customFormat="1" ht="16.5" x14ac:dyDescent="0.25">
      <c r="A123" s="1569"/>
      <c r="B123" s="2308"/>
      <c r="C123" s="1585"/>
      <c r="D123" s="1571" t="str">
        <f>B122</f>
        <v>Gross Forklift Fuel Cell-related Output (Thousands of 2010$)</v>
      </c>
      <c r="E123" s="1586"/>
      <c r="F123" s="1572"/>
      <c r="G123" s="1572"/>
      <c r="H123" s="1572"/>
      <c r="I123" s="1573"/>
      <c r="J123" s="1521"/>
      <c r="K123" s="1509" t="str">
        <f>D123</f>
        <v>Gross Forklift Fuel Cell-related Output (Thousands of 2010$)</v>
      </c>
      <c r="L123" s="1587"/>
      <c r="M123" s="1575"/>
      <c r="N123" s="1575"/>
      <c r="O123" s="1575"/>
      <c r="P123" s="1576"/>
      <c r="Q123" s="1521"/>
      <c r="R123" s="1512" t="str">
        <f>K123</f>
        <v>Gross Forklift Fuel Cell-related Output (Thousands of 2010$)</v>
      </c>
      <c r="S123" s="1588"/>
      <c r="T123" s="1578"/>
      <c r="U123" s="1578"/>
      <c r="V123" s="1578"/>
      <c r="W123" s="1576"/>
      <c r="X123" s="1521"/>
      <c r="Y123" s="1514" t="str">
        <f>R123</f>
        <v>Gross Forklift Fuel Cell-related Output (Thousands of 2010$)</v>
      </c>
      <c r="Z123" s="1524"/>
      <c r="AA123" s="1580"/>
      <c r="AB123" s="1580"/>
      <c r="AC123" s="1580"/>
      <c r="AD123" s="1576"/>
      <c r="AE123" s="1521"/>
      <c r="AF123" s="1516" t="str">
        <f>Y123</f>
        <v>Gross Forklift Fuel Cell-related Output (Thousands of 2010$)</v>
      </c>
      <c r="AG123" s="1525"/>
      <c r="AH123" s="1582"/>
      <c r="AI123" s="1582"/>
      <c r="AJ123" s="1582"/>
      <c r="AK123" s="1583"/>
      <c r="AL123" s="1583"/>
      <c r="AM123" s="1583"/>
      <c r="AN123" s="1583"/>
      <c r="AO123" s="1583"/>
      <c r="AP123" s="1583"/>
      <c r="AQ123" s="1583"/>
      <c r="AR123" s="1583"/>
      <c r="AS123" s="1583"/>
      <c r="AT123" s="1583"/>
      <c r="AU123" s="1583"/>
    </row>
    <row r="124" spans="1:48" s="1590" customFormat="1" ht="48" customHeight="1" x14ac:dyDescent="0.25">
      <c r="A124" s="1589"/>
      <c r="B124" s="2308"/>
      <c r="C124" s="1585" t="str">
        <f t="shared" ref="C124:C130" si="149">C114</f>
        <v>Year</v>
      </c>
      <c r="D124" s="1528" t="str">
        <f>D$169&amp;" "&amp;D$170</f>
        <v>Gross Forklift Fuel Cell-related Direct</v>
      </c>
      <c r="E124" s="1528" t="str">
        <f>E$169&amp;" "&amp;E$170</f>
        <v>Gross Forklift Fuel Cell-related Indirect</v>
      </c>
      <c r="F124" s="1528" t="str">
        <f>F$169&amp;" "&amp;F$170</f>
        <v>Gross Forklift Fuel Cell-related Induced</v>
      </c>
      <c r="G124" s="1529" t="str">
        <f>G$169&amp;" "&amp;G$170</f>
        <v>Gross Forklift Fuel Cell-related Supply Chain</v>
      </c>
      <c r="H124" s="1529" t="str">
        <f>H$169&amp;" "&amp;H$170</f>
        <v>Gross Forklift Fuel Cell-related Total</v>
      </c>
      <c r="I124" s="1530"/>
      <c r="J124" s="1527" t="s">
        <v>433</v>
      </c>
      <c r="K124" s="1531" t="str">
        <f>K$169&amp;" "&amp;K$170</f>
        <v>Gross Forklift Fuel Cell Direct</v>
      </c>
      <c r="L124" s="1531" t="str">
        <f>L$169&amp;" "&amp;L$170</f>
        <v>Gross Forklift Fuel Cell Indirect</v>
      </c>
      <c r="M124" s="1531" t="str">
        <f>M$169&amp;" "&amp;M$170</f>
        <v>Gross Forklift Fuel Cell Induced</v>
      </c>
      <c r="N124" s="1532" t="str">
        <f>N$169&amp;" "&amp;N$170</f>
        <v>Gross Forklift Fuel Cell Supply Chain</v>
      </c>
      <c r="O124" s="1532" t="str">
        <f>O$169&amp;" "&amp;O$170</f>
        <v>Gross Forklift Fuel Cell Total</v>
      </c>
      <c r="P124" s="1533"/>
      <c r="Q124" s="1527" t="s">
        <v>433</v>
      </c>
      <c r="R124" s="1534" t="str">
        <f>R$169&amp;" "&amp;R$170</f>
        <v>Gross On-site H2 Infr. Direct</v>
      </c>
      <c r="S124" s="1534" t="str">
        <f>S$169&amp;" "&amp;S$170</f>
        <v>Gross On-site H2 Infr. Indirect</v>
      </c>
      <c r="T124" s="1534" t="str">
        <f>T$169&amp;" "&amp;T$170</f>
        <v>Gross On-site H2 Infr. Induced</v>
      </c>
      <c r="U124" s="1535" t="str">
        <f>U$169&amp;" "&amp;U$170</f>
        <v>Gross On-site H2 Infr. Supply Chain</v>
      </c>
      <c r="V124" s="1535" t="str">
        <f>V$169&amp;" "&amp;V$170</f>
        <v>Gross On-site H2 Infr. Total</v>
      </c>
      <c r="W124" s="1533"/>
      <c r="X124" s="1527" t="s">
        <v>433</v>
      </c>
      <c r="Y124" s="1536" t="str">
        <f>Y$169&amp;" "&amp;Y$170</f>
        <v>Gross Hydrogen Fuel Direct</v>
      </c>
      <c r="Z124" s="1536" t="str">
        <f>Z$169&amp;" "&amp;Z$170</f>
        <v>Gross Hydrogen Fuel Indirect</v>
      </c>
      <c r="AA124" s="1536" t="str">
        <f>AA$169&amp;" "&amp;AA$170</f>
        <v>Gross Hydrogen Fuel Induced</v>
      </c>
      <c r="AB124" s="1537" t="str">
        <f>AB$169&amp;" "&amp;AB$170</f>
        <v>Gross Hydrogen Fuel Supply Chain</v>
      </c>
      <c r="AC124" s="1537" t="str">
        <f>AC$169&amp;" "&amp;AC$170</f>
        <v>Gross Hydrogen Fuel Total</v>
      </c>
      <c r="AD124" s="1533"/>
      <c r="AE124" s="1527" t="s">
        <v>433</v>
      </c>
      <c r="AF124" s="1538" t="str">
        <f>AF$169&amp;" "&amp;AF$170</f>
        <v>Gross FC and Infr. Maint. Direct</v>
      </c>
      <c r="AG124" s="1538" t="str">
        <f>AG$169&amp;" "&amp;AG$170</f>
        <v>Gross FC and Infr. Maint. Indirect</v>
      </c>
      <c r="AH124" s="1538" t="str">
        <f>AH$169&amp;" "&amp;AH$170</f>
        <v>Gross FC and Infr. Maint. Induced</v>
      </c>
      <c r="AI124" s="1539" t="str">
        <f>AI$169&amp;" "&amp;AI$170</f>
        <v>Gross FC and Infr. Maint. Supply Chain</v>
      </c>
      <c r="AJ124" s="1539" t="str">
        <f>AJ$169&amp;" "&amp;AJ$170</f>
        <v>Gross FC and Infr. Maint. Total</v>
      </c>
      <c r="AK124" s="1541"/>
      <c r="AL124" s="1541"/>
      <c r="AM124" s="1541"/>
      <c r="AN124" s="1541"/>
      <c r="AO124" s="1541"/>
      <c r="AP124" s="1541"/>
      <c r="AQ124" s="1541"/>
      <c r="AR124" s="1541"/>
      <c r="AS124" s="1541"/>
      <c r="AT124" s="1541"/>
      <c r="AU124" s="1541"/>
    </row>
    <row r="125" spans="1:48" s="1562" customFormat="1" ht="15.75" x14ac:dyDescent="0.25">
      <c r="A125" s="1545"/>
      <c r="B125" s="2308"/>
      <c r="C125" s="1546">
        <f t="shared" si="149"/>
        <v>2015</v>
      </c>
      <c r="D125" s="1591" t="e">
        <f t="shared" ref="D125:F130" si="150">K125+R125+Y125+AF125</f>
        <v>#N/A</v>
      </c>
      <c r="E125" s="1591" t="e">
        <f t="shared" si="150"/>
        <v>#N/A</v>
      </c>
      <c r="F125" s="1591" t="e">
        <f t="shared" si="150"/>
        <v>#N/A</v>
      </c>
      <c r="G125" s="1591" t="e">
        <f t="shared" ref="G125:G130" si="151">D125+E125</f>
        <v>#N/A</v>
      </c>
      <c r="H125" s="1592" t="e">
        <f t="shared" ref="H125:H130" si="152">D125+E125+F125</f>
        <v>#N/A</v>
      </c>
      <c r="I125" s="1593"/>
      <c r="J125" s="1546">
        <v>2015</v>
      </c>
      <c r="K125" s="1594" t="e">
        <f>'Forklift INPUTS'!W390/'Forklift INPUTS'!$C$593/1000</f>
        <v>#N/A</v>
      </c>
      <c r="L125" s="1594" t="e">
        <f>'Forklift INPUTS'!X390/'Forklift INPUTS'!$C$593/1000</f>
        <v>#N/A</v>
      </c>
      <c r="M125" s="1594" t="e">
        <f>'Forklift INPUTS'!Y390/'Forklift INPUTS'!$C$593/1000</f>
        <v>#N/A</v>
      </c>
      <c r="N125" s="1594" t="e">
        <f t="shared" ref="N125:N130" si="153">K125+L125</f>
        <v>#N/A</v>
      </c>
      <c r="O125" s="1595" t="e">
        <f t="shared" ref="O125:O130" si="154">K125+L125+M125</f>
        <v>#N/A</v>
      </c>
      <c r="P125" s="1596"/>
      <c r="Q125" s="1546">
        <v>2015</v>
      </c>
      <c r="R125" s="1597" t="e">
        <f>'Forklift INPUTS'!W413/'Forklift INPUTS'!$C$593/1000</f>
        <v>#N/A</v>
      </c>
      <c r="S125" s="1597" t="e">
        <f>'Forklift INPUTS'!X413/'Forklift INPUTS'!$C$593/1000</f>
        <v>#N/A</v>
      </c>
      <c r="T125" s="1597" t="e">
        <f>'Forklift INPUTS'!Y413/'Forklift INPUTS'!$C$593/1000</f>
        <v>#N/A</v>
      </c>
      <c r="U125" s="1597" t="e">
        <f t="shared" ref="U125:U130" si="155">R125+S125</f>
        <v>#N/A</v>
      </c>
      <c r="V125" s="1598" t="e">
        <f t="shared" ref="V125:V130" si="156">R125+S125+T125</f>
        <v>#N/A</v>
      </c>
      <c r="W125" s="1596"/>
      <c r="X125" s="1546">
        <v>2015</v>
      </c>
      <c r="Y125" s="1599" t="e">
        <f>('Forklift INPUTS'!W427+'Forklift INPUTS'!W439)/'Forklift INPUTS'!$C$593/1000</f>
        <v>#N/A</v>
      </c>
      <c r="Z125" s="1599" t="e">
        <f>('Forklift INPUTS'!X427+'Forklift INPUTS'!X439)/'Forklift INPUTS'!$C$593/1000</f>
        <v>#N/A</v>
      </c>
      <c r="AA125" s="1599" t="e">
        <f>('Forklift INPUTS'!Y427+'Forklift INPUTS'!Y439)/'Forklift INPUTS'!$C$593/1000</f>
        <v>#N/A</v>
      </c>
      <c r="AB125" s="1599" t="e">
        <f t="shared" ref="AB125:AB130" si="157">Y125+Z125</f>
        <v>#N/A</v>
      </c>
      <c r="AC125" s="1600" t="e">
        <f t="shared" ref="AC125:AC130" si="158">Y125+Z125+AA125</f>
        <v>#N/A</v>
      </c>
      <c r="AD125" s="1596"/>
      <c r="AE125" s="1546">
        <v>2015</v>
      </c>
      <c r="AF125" s="1601" t="e">
        <f>('Forklift INPUTS'!W452+'Forklift INPUTS'!W463)/'Forklift INPUTS'!$C$593/1000</f>
        <v>#N/A</v>
      </c>
      <c r="AG125" s="1601" t="e">
        <f>('Forklift INPUTS'!X452+'Forklift INPUTS'!X463)/'Forklift INPUTS'!$C$593/1000</f>
        <v>#N/A</v>
      </c>
      <c r="AH125" s="1601" t="e">
        <f>('Forklift INPUTS'!Y452+'Forklift INPUTS'!Y463)/'Forklift INPUTS'!$C$593/1000</f>
        <v>#N/A</v>
      </c>
      <c r="AI125" s="1601" t="e">
        <f t="shared" ref="AI125:AI130" si="159">AF125+AG125</f>
        <v>#N/A</v>
      </c>
      <c r="AJ125" s="1602" t="e">
        <f t="shared" ref="AJ125:AJ130" si="160">AF125+AG125+AH125</f>
        <v>#N/A</v>
      </c>
      <c r="AK125" s="1559"/>
      <c r="AL125" s="1559"/>
      <c r="AM125" s="1559"/>
      <c r="AN125" s="1559"/>
      <c r="AO125" s="1559"/>
      <c r="AP125" s="1559"/>
      <c r="AQ125" s="1559"/>
      <c r="AR125" s="1559"/>
      <c r="AS125" s="1559"/>
      <c r="AT125" s="1559"/>
      <c r="AU125" s="1559"/>
    </row>
    <row r="126" spans="1:48" s="1562" customFormat="1" ht="15.75" x14ac:dyDescent="0.25">
      <c r="A126" s="1545"/>
      <c r="B126" s="2308"/>
      <c r="C126" s="1546">
        <f t="shared" si="149"/>
        <v>2016</v>
      </c>
      <c r="D126" s="1591" t="e">
        <f t="shared" si="150"/>
        <v>#N/A</v>
      </c>
      <c r="E126" s="1591" t="e">
        <f t="shared" si="150"/>
        <v>#N/A</v>
      </c>
      <c r="F126" s="1591" t="e">
        <f t="shared" si="150"/>
        <v>#N/A</v>
      </c>
      <c r="G126" s="1591" t="e">
        <f t="shared" si="151"/>
        <v>#N/A</v>
      </c>
      <c r="H126" s="1592" t="e">
        <f t="shared" si="152"/>
        <v>#N/A</v>
      </c>
      <c r="I126" s="1593"/>
      <c r="J126" s="1546">
        <v>2016</v>
      </c>
      <c r="K126" s="1594">
        <f>'Forklift INPUTS'!W391/'Forklift INPUTS'!$C$593/1000</f>
        <v>0</v>
      </c>
      <c r="L126" s="1594" t="e">
        <f>'Forklift INPUTS'!X391/'Forklift INPUTS'!$C$593/1000</f>
        <v>#N/A</v>
      </c>
      <c r="M126" s="1594" t="e">
        <f>'Forklift INPUTS'!Y391/'Forklift INPUTS'!$C$593/1000</f>
        <v>#N/A</v>
      </c>
      <c r="N126" s="1594" t="e">
        <f t="shared" si="153"/>
        <v>#N/A</v>
      </c>
      <c r="O126" s="1595" t="e">
        <f t="shared" si="154"/>
        <v>#N/A</v>
      </c>
      <c r="P126" s="1596"/>
      <c r="Q126" s="1546">
        <v>2016</v>
      </c>
      <c r="R126" s="1597" t="e">
        <f>'Forklift INPUTS'!W414/'Forklift INPUTS'!$C$593/1000</f>
        <v>#N/A</v>
      </c>
      <c r="S126" s="1597" t="e">
        <f>'Forklift INPUTS'!X414/'Forklift INPUTS'!$C$593/1000</f>
        <v>#N/A</v>
      </c>
      <c r="T126" s="1597" t="e">
        <f>'Forklift INPUTS'!Y414/'Forklift INPUTS'!$C$593/1000</f>
        <v>#N/A</v>
      </c>
      <c r="U126" s="1597" t="e">
        <f t="shared" si="155"/>
        <v>#N/A</v>
      </c>
      <c r="V126" s="1598" t="e">
        <f t="shared" si="156"/>
        <v>#N/A</v>
      </c>
      <c r="W126" s="1596"/>
      <c r="X126" s="1546">
        <v>2016</v>
      </c>
      <c r="Y126" s="1599" t="e">
        <f>('Forklift INPUTS'!W428+'Forklift INPUTS'!W440)/'Forklift INPUTS'!$C$593/1000</f>
        <v>#N/A</v>
      </c>
      <c r="Z126" s="1599" t="e">
        <f>('Forklift INPUTS'!X428+'Forklift INPUTS'!X440)/'Forklift INPUTS'!$C$593/1000</f>
        <v>#N/A</v>
      </c>
      <c r="AA126" s="1599" t="e">
        <f>('Forklift INPUTS'!Y428+'Forklift INPUTS'!Y440)/'Forklift INPUTS'!$C$593/1000</f>
        <v>#N/A</v>
      </c>
      <c r="AB126" s="1599" t="e">
        <f t="shared" si="157"/>
        <v>#N/A</v>
      </c>
      <c r="AC126" s="1600" t="e">
        <f t="shared" si="158"/>
        <v>#N/A</v>
      </c>
      <c r="AD126" s="1596"/>
      <c r="AE126" s="1546">
        <v>2016</v>
      </c>
      <c r="AF126" s="1601" t="e">
        <f>('Forklift INPUTS'!W453+'Forklift INPUTS'!W464)/'Forklift INPUTS'!$C$593/1000</f>
        <v>#N/A</v>
      </c>
      <c r="AG126" s="1601" t="e">
        <f>('Forklift INPUTS'!X453+'Forklift INPUTS'!X464)/'Forklift INPUTS'!$C$593/1000</f>
        <v>#N/A</v>
      </c>
      <c r="AH126" s="1601" t="e">
        <f>('Forklift INPUTS'!Y453+'Forklift INPUTS'!Y464)/'Forklift INPUTS'!$C$593/1000</f>
        <v>#N/A</v>
      </c>
      <c r="AI126" s="1601" t="e">
        <f t="shared" si="159"/>
        <v>#N/A</v>
      </c>
      <c r="AJ126" s="1602" t="e">
        <f t="shared" si="160"/>
        <v>#N/A</v>
      </c>
      <c r="AK126" s="1559"/>
      <c r="AL126" s="1559"/>
      <c r="AM126" s="1559"/>
      <c r="AN126" s="1559"/>
      <c r="AO126" s="1559"/>
      <c r="AP126" s="1559"/>
      <c r="AQ126" s="1559"/>
      <c r="AR126" s="1559"/>
      <c r="AS126" s="1559"/>
      <c r="AT126" s="1559"/>
      <c r="AU126" s="1559"/>
    </row>
    <row r="127" spans="1:48" s="1562" customFormat="1" ht="15.75" x14ac:dyDescent="0.25">
      <c r="A127" s="1545"/>
      <c r="B127" s="2308"/>
      <c r="C127" s="1546">
        <f t="shared" si="149"/>
        <v>2017</v>
      </c>
      <c r="D127" s="1591" t="e">
        <f t="shared" si="150"/>
        <v>#N/A</v>
      </c>
      <c r="E127" s="1591" t="e">
        <f t="shared" si="150"/>
        <v>#N/A</v>
      </c>
      <c r="F127" s="1591" t="e">
        <f t="shared" si="150"/>
        <v>#N/A</v>
      </c>
      <c r="G127" s="1591" t="e">
        <f t="shared" si="151"/>
        <v>#N/A</v>
      </c>
      <c r="H127" s="1592" t="e">
        <f t="shared" si="152"/>
        <v>#N/A</v>
      </c>
      <c r="I127" s="1593"/>
      <c r="J127" s="1546">
        <v>2017</v>
      </c>
      <c r="K127" s="1594">
        <f>'Forklift INPUTS'!W392/'Forklift INPUTS'!$C$593/1000</f>
        <v>0</v>
      </c>
      <c r="L127" s="1594" t="e">
        <f>'Forklift INPUTS'!X392/'Forklift INPUTS'!$C$593/1000</f>
        <v>#N/A</v>
      </c>
      <c r="M127" s="1594" t="e">
        <f>'Forklift INPUTS'!Y392/'Forklift INPUTS'!$C$593/1000</f>
        <v>#N/A</v>
      </c>
      <c r="N127" s="1594" t="e">
        <f t="shared" si="153"/>
        <v>#N/A</v>
      </c>
      <c r="O127" s="1595" t="e">
        <f t="shared" si="154"/>
        <v>#N/A</v>
      </c>
      <c r="P127" s="1596"/>
      <c r="Q127" s="1546">
        <v>2017</v>
      </c>
      <c r="R127" s="1597" t="e">
        <f>'Forklift INPUTS'!W415/'Forklift INPUTS'!$C$593/1000</f>
        <v>#N/A</v>
      </c>
      <c r="S127" s="1597" t="e">
        <f>'Forklift INPUTS'!X415/'Forklift INPUTS'!$C$593/1000</f>
        <v>#N/A</v>
      </c>
      <c r="T127" s="1597" t="e">
        <f>'Forklift INPUTS'!Y415/'Forklift INPUTS'!$C$593/1000</f>
        <v>#N/A</v>
      </c>
      <c r="U127" s="1597" t="e">
        <f t="shared" si="155"/>
        <v>#N/A</v>
      </c>
      <c r="V127" s="1598" t="e">
        <f t="shared" si="156"/>
        <v>#N/A</v>
      </c>
      <c r="W127" s="1596"/>
      <c r="X127" s="1546">
        <v>2017</v>
      </c>
      <c r="Y127" s="1599" t="e">
        <f>('Forklift INPUTS'!W429+'Forklift INPUTS'!W441)/'Forklift INPUTS'!$C$593/1000</f>
        <v>#N/A</v>
      </c>
      <c r="Z127" s="1599" t="e">
        <f>('Forklift INPUTS'!X429+'Forklift INPUTS'!X441)/'Forklift INPUTS'!$C$593/1000</f>
        <v>#N/A</v>
      </c>
      <c r="AA127" s="1599" t="e">
        <f>('Forklift INPUTS'!Y429+'Forklift INPUTS'!Y441)/'Forklift INPUTS'!$C$593/1000</f>
        <v>#N/A</v>
      </c>
      <c r="AB127" s="1599" t="e">
        <f t="shared" si="157"/>
        <v>#N/A</v>
      </c>
      <c r="AC127" s="1600" t="e">
        <f t="shared" si="158"/>
        <v>#N/A</v>
      </c>
      <c r="AD127" s="1596"/>
      <c r="AE127" s="1546">
        <v>2017</v>
      </c>
      <c r="AF127" s="1601" t="e">
        <f>('Forklift INPUTS'!W454+'Forklift INPUTS'!W465)/'Forklift INPUTS'!$C$593/1000</f>
        <v>#N/A</v>
      </c>
      <c r="AG127" s="1601" t="e">
        <f>('Forklift INPUTS'!X454+'Forklift INPUTS'!X465)/'Forklift INPUTS'!$C$593/1000</f>
        <v>#N/A</v>
      </c>
      <c r="AH127" s="1601" t="e">
        <f>('Forklift INPUTS'!Y454+'Forklift INPUTS'!Y465)/'Forklift INPUTS'!$C$593/1000</f>
        <v>#N/A</v>
      </c>
      <c r="AI127" s="1601" t="e">
        <f t="shared" si="159"/>
        <v>#N/A</v>
      </c>
      <c r="AJ127" s="1602" t="e">
        <f t="shared" si="160"/>
        <v>#N/A</v>
      </c>
      <c r="AK127" s="1559"/>
      <c r="AL127" s="1559"/>
      <c r="AM127" s="1559"/>
      <c r="AN127" s="1559"/>
      <c r="AO127" s="1559"/>
      <c r="AP127" s="1559"/>
      <c r="AQ127" s="1559"/>
      <c r="AR127" s="1559"/>
      <c r="AS127" s="1559"/>
      <c r="AT127" s="1559"/>
      <c r="AU127" s="1559"/>
    </row>
    <row r="128" spans="1:48" s="1562" customFormat="1" ht="15.75" x14ac:dyDescent="0.25">
      <c r="A128" s="1545"/>
      <c r="B128" s="2308"/>
      <c r="C128" s="1546">
        <f t="shared" si="149"/>
        <v>2018</v>
      </c>
      <c r="D128" s="1591" t="e">
        <f t="shared" si="150"/>
        <v>#N/A</v>
      </c>
      <c r="E128" s="1591" t="e">
        <f t="shared" si="150"/>
        <v>#N/A</v>
      </c>
      <c r="F128" s="1591" t="e">
        <f t="shared" si="150"/>
        <v>#N/A</v>
      </c>
      <c r="G128" s="1591" t="e">
        <f t="shared" si="151"/>
        <v>#N/A</v>
      </c>
      <c r="H128" s="1592" t="e">
        <f t="shared" si="152"/>
        <v>#N/A</v>
      </c>
      <c r="I128" s="1593"/>
      <c r="J128" s="1546">
        <v>2018</v>
      </c>
      <c r="K128" s="1594">
        <f>'Forklift INPUTS'!W393/'Forklift INPUTS'!$C$593/1000</f>
        <v>0</v>
      </c>
      <c r="L128" s="1594" t="e">
        <f>'Forklift INPUTS'!X393/'Forklift INPUTS'!$C$593/1000</f>
        <v>#N/A</v>
      </c>
      <c r="M128" s="1594" t="e">
        <f>'Forklift INPUTS'!Y393/'Forklift INPUTS'!$C$593/1000</f>
        <v>#N/A</v>
      </c>
      <c r="N128" s="1594" t="e">
        <f t="shared" si="153"/>
        <v>#N/A</v>
      </c>
      <c r="O128" s="1595" t="e">
        <f t="shared" si="154"/>
        <v>#N/A</v>
      </c>
      <c r="P128" s="1596"/>
      <c r="Q128" s="1546">
        <v>2018</v>
      </c>
      <c r="R128" s="1597" t="e">
        <f>'Forklift INPUTS'!W416/'Forklift INPUTS'!$C$593/1000</f>
        <v>#N/A</v>
      </c>
      <c r="S128" s="1597" t="e">
        <f>'Forklift INPUTS'!X416/'Forklift INPUTS'!$C$593/1000</f>
        <v>#N/A</v>
      </c>
      <c r="T128" s="1597" t="e">
        <f>'Forklift INPUTS'!Y416/'Forklift INPUTS'!$C$593/1000</f>
        <v>#N/A</v>
      </c>
      <c r="U128" s="1597" t="e">
        <f t="shared" si="155"/>
        <v>#N/A</v>
      </c>
      <c r="V128" s="1598" t="e">
        <f t="shared" si="156"/>
        <v>#N/A</v>
      </c>
      <c r="W128" s="1596"/>
      <c r="X128" s="1546">
        <v>2018</v>
      </c>
      <c r="Y128" s="1599" t="e">
        <f>('Forklift INPUTS'!W430+'Forklift INPUTS'!W442)/'Forklift INPUTS'!$C$593/1000</f>
        <v>#N/A</v>
      </c>
      <c r="Z128" s="1599" t="e">
        <f>('Forklift INPUTS'!X430+'Forklift INPUTS'!X442)/'Forklift INPUTS'!$C$593/1000</f>
        <v>#N/A</v>
      </c>
      <c r="AA128" s="1599" t="e">
        <f>('Forklift INPUTS'!Y430+'Forklift INPUTS'!Y442)/'Forklift INPUTS'!$C$593/1000</f>
        <v>#N/A</v>
      </c>
      <c r="AB128" s="1599" t="e">
        <f t="shared" si="157"/>
        <v>#N/A</v>
      </c>
      <c r="AC128" s="1600" t="e">
        <f t="shared" si="158"/>
        <v>#N/A</v>
      </c>
      <c r="AD128" s="1596"/>
      <c r="AE128" s="1546">
        <v>2018</v>
      </c>
      <c r="AF128" s="1601" t="e">
        <f>('Forklift INPUTS'!W455+'Forklift INPUTS'!W466)/'Forklift INPUTS'!$C$593/1000</f>
        <v>#N/A</v>
      </c>
      <c r="AG128" s="1601" t="e">
        <f>('Forklift INPUTS'!X455+'Forklift INPUTS'!X466)/'Forklift INPUTS'!$C$593/1000</f>
        <v>#N/A</v>
      </c>
      <c r="AH128" s="1601" t="e">
        <f>('Forklift INPUTS'!Y455+'Forklift INPUTS'!Y466)/'Forklift INPUTS'!$C$593/1000</f>
        <v>#N/A</v>
      </c>
      <c r="AI128" s="1601" t="e">
        <f t="shared" si="159"/>
        <v>#N/A</v>
      </c>
      <c r="AJ128" s="1602" t="e">
        <f t="shared" si="160"/>
        <v>#N/A</v>
      </c>
      <c r="AK128" s="1559"/>
      <c r="AL128" s="1559"/>
      <c r="AM128" s="1559"/>
      <c r="AN128" s="1559"/>
      <c r="AO128" s="1559"/>
      <c r="AP128" s="1559"/>
      <c r="AQ128" s="1559"/>
      <c r="AR128" s="1559"/>
      <c r="AS128" s="1559"/>
      <c r="AT128" s="1559"/>
      <c r="AU128" s="1559"/>
    </row>
    <row r="129" spans="1:47" s="1562" customFormat="1" ht="15.75" x14ac:dyDescent="0.25">
      <c r="A129" s="1545"/>
      <c r="B129" s="2308"/>
      <c r="C129" s="1546">
        <f t="shared" si="149"/>
        <v>2019</v>
      </c>
      <c r="D129" s="1591" t="e">
        <f t="shared" si="150"/>
        <v>#N/A</v>
      </c>
      <c r="E129" s="1591" t="e">
        <f t="shared" si="150"/>
        <v>#N/A</v>
      </c>
      <c r="F129" s="1591" t="e">
        <f t="shared" si="150"/>
        <v>#N/A</v>
      </c>
      <c r="G129" s="1591" t="e">
        <f t="shared" si="151"/>
        <v>#N/A</v>
      </c>
      <c r="H129" s="1592" t="e">
        <f t="shared" si="152"/>
        <v>#N/A</v>
      </c>
      <c r="I129" s="1593"/>
      <c r="J129" s="1546">
        <v>2019</v>
      </c>
      <c r="K129" s="1594">
        <f>'Forklift INPUTS'!W394/'Forklift INPUTS'!$C$593/1000</f>
        <v>0</v>
      </c>
      <c r="L129" s="1594" t="e">
        <f>'Forklift INPUTS'!X394/'Forklift INPUTS'!$C$593/1000</f>
        <v>#N/A</v>
      </c>
      <c r="M129" s="1594" t="e">
        <f>'Forklift INPUTS'!Y394/'Forklift INPUTS'!$C$593/1000</f>
        <v>#N/A</v>
      </c>
      <c r="N129" s="1594" t="e">
        <f t="shared" si="153"/>
        <v>#N/A</v>
      </c>
      <c r="O129" s="1595" t="e">
        <f t="shared" si="154"/>
        <v>#N/A</v>
      </c>
      <c r="P129" s="1596"/>
      <c r="Q129" s="1546">
        <v>2019</v>
      </c>
      <c r="R129" s="1597" t="e">
        <f>'Forklift INPUTS'!W417/'Forklift INPUTS'!$C$593/1000</f>
        <v>#N/A</v>
      </c>
      <c r="S129" s="1597" t="e">
        <f>'Forklift INPUTS'!X417/'Forklift INPUTS'!$C$593/1000</f>
        <v>#N/A</v>
      </c>
      <c r="T129" s="1597" t="e">
        <f>'Forklift INPUTS'!Y417/'Forklift INPUTS'!$C$593/1000</f>
        <v>#N/A</v>
      </c>
      <c r="U129" s="1597" t="e">
        <f t="shared" si="155"/>
        <v>#N/A</v>
      </c>
      <c r="V129" s="1598" t="e">
        <f t="shared" si="156"/>
        <v>#N/A</v>
      </c>
      <c r="W129" s="1596"/>
      <c r="X129" s="1546">
        <v>2019</v>
      </c>
      <c r="Y129" s="1599" t="e">
        <f>('Forklift INPUTS'!W431+'Forklift INPUTS'!W443)/'Forklift INPUTS'!$C$593/1000</f>
        <v>#N/A</v>
      </c>
      <c r="Z129" s="1599" t="e">
        <f>('Forklift INPUTS'!X431+'Forklift INPUTS'!X443)/'Forklift INPUTS'!$C$593/1000</f>
        <v>#N/A</v>
      </c>
      <c r="AA129" s="1599" t="e">
        <f>('Forklift INPUTS'!Y431+'Forklift INPUTS'!Y443)/'Forklift INPUTS'!$C$593/1000</f>
        <v>#N/A</v>
      </c>
      <c r="AB129" s="1599" t="e">
        <f t="shared" si="157"/>
        <v>#N/A</v>
      </c>
      <c r="AC129" s="1600" t="e">
        <f t="shared" si="158"/>
        <v>#N/A</v>
      </c>
      <c r="AD129" s="1596"/>
      <c r="AE129" s="1546">
        <v>2019</v>
      </c>
      <c r="AF129" s="1601" t="e">
        <f>('Forklift INPUTS'!W456+'Forklift INPUTS'!W467)/'Forklift INPUTS'!$C$593/1000</f>
        <v>#N/A</v>
      </c>
      <c r="AG129" s="1601" t="e">
        <f>('Forklift INPUTS'!X456+'Forklift INPUTS'!X467)/'Forklift INPUTS'!$C$593/1000</f>
        <v>#N/A</v>
      </c>
      <c r="AH129" s="1601" t="e">
        <f>('Forklift INPUTS'!Y456+'Forklift INPUTS'!Y467)/'Forklift INPUTS'!$C$593/1000</f>
        <v>#N/A</v>
      </c>
      <c r="AI129" s="1601" t="e">
        <f t="shared" si="159"/>
        <v>#N/A</v>
      </c>
      <c r="AJ129" s="1602" t="e">
        <f t="shared" si="160"/>
        <v>#N/A</v>
      </c>
      <c r="AK129" s="1559"/>
      <c r="AL129" s="1559"/>
      <c r="AM129" s="1559"/>
      <c r="AN129" s="1559"/>
      <c r="AO129" s="1559"/>
      <c r="AP129" s="1559"/>
      <c r="AQ129" s="1559"/>
      <c r="AR129" s="1559"/>
      <c r="AS129" s="1559"/>
      <c r="AT129" s="1559"/>
      <c r="AU129" s="1559"/>
    </row>
    <row r="130" spans="1:47" s="1562" customFormat="1" ht="15.75" x14ac:dyDescent="0.25">
      <c r="A130" s="1545"/>
      <c r="B130" s="2309"/>
      <c r="C130" s="1546">
        <f t="shared" si="149"/>
        <v>2020</v>
      </c>
      <c r="D130" s="1591" t="e">
        <f t="shared" si="150"/>
        <v>#N/A</v>
      </c>
      <c r="E130" s="1591" t="e">
        <f t="shared" si="150"/>
        <v>#N/A</v>
      </c>
      <c r="F130" s="1591" t="e">
        <f t="shared" si="150"/>
        <v>#N/A</v>
      </c>
      <c r="G130" s="1591" t="e">
        <f t="shared" si="151"/>
        <v>#N/A</v>
      </c>
      <c r="H130" s="1592" t="e">
        <f t="shared" si="152"/>
        <v>#N/A</v>
      </c>
      <c r="I130" s="1593"/>
      <c r="J130" s="1546">
        <v>2020</v>
      </c>
      <c r="K130" s="1594">
        <f>'Forklift INPUTS'!W395/'Forklift INPUTS'!$C$593/1000</f>
        <v>0</v>
      </c>
      <c r="L130" s="1594" t="e">
        <f>'Forklift INPUTS'!X395/'Forklift INPUTS'!$C$593/1000</f>
        <v>#N/A</v>
      </c>
      <c r="M130" s="1594" t="e">
        <f>'Forklift INPUTS'!Y395/'Forklift INPUTS'!$C$593/1000</f>
        <v>#N/A</v>
      </c>
      <c r="N130" s="1594" t="e">
        <f t="shared" si="153"/>
        <v>#N/A</v>
      </c>
      <c r="O130" s="1595" t="e">
        <f t="shared" si="154"/>
        <v>#N/A</v>
      </c>
      <c r="P130" s="1596"/>
      <c r="Q130" s="1546">
        <v>2020</v>
      </c>
      <c r="R130" s="1597" t="e">
        <f>'Forklift INPUTS'!W418/'Forklift INPUTS'!$C$593/1000</f>
        <v>#N/A</v>
      </c>
      <c r="S130" s="1597" t="e">
        <f>'Forklift INPUTS'!X418/'Forklift INPUTS'!$C$593/1000</f>
        <v>#N/A</v>
      </c>
      <c r="T130" s="1597" t="e">
        <f>'Forklift INPUTS'!Y418/'Forklift INPUTS'!$C$593/1000</f>
        <v>#N/A</v>
      </c>
      <c r="U130" s="1597" t="e">
        <f t="shared" si="155"/>
        <v>#N/A</v>
      </c>
      <c r="V130" s="1598" t="e">
        <f t="shared" si="156"/>
        <v>#N/A</v>
      </c>
      <c r="W130" s="1596"/>
      <c r="X130" s="1546">
        <v>2020</v>
      </c>
      <c r="Y130" s="1599" t="e">
        <f>('Forklift INPUTS'!W432+'Forklift INPUTS'!W444)/'Forklift INPUTS'!$C$593/1000</f>
        <v>#N/A</v>
      </c>
      <c r="Z130" s="1599" t="e">
        <f>('Forklift INPUTS'!X432+'Forklift INPUTS'!X444)/'Forklift INPUTS'!$C$593/1000</f>
        <v>#N/A</v>
      </c>
      <c r="AA130" s="1599" t="e">
        <f>('Forklift INPUTS'!Y432+'Forklift INPUTS'!Y444)/'Forklift INPUTS'!$C$593/1000</f>
        <v>#N/A</v>
      </c>
      <c r="AB130" s="1599" t="e">
        <f t="shared" si="157"/>
        <v>#N/A</v>
      </c>
      <c r="AC130" s="1600" t="e">
        <f t="shared" si="158"/>
        <v>#N/A</v>
      </c>
      <c r="AD130" s="1596"/>
      <c r="AE130" s="1546">
        <v>2020</v>
      </c>
      <c r="AF130" s="1601" t="e">
        <f>('Forklift INPUTS'!W457+'Forklift INPUTS'!W468)/'Forklift INPUTS'!$C$593/1000</f>
        <v>#N/A</v>
      </c>
      <c r="AG130" s="1601" t="e">
        <f>('Forklift INPUTS'!X457+'Forklift INPUTS'!X468)/'Forklift INPUTS'!$C$593/1000</f>
        <v>#N/A</v>
      </c>
      <c r="AH130" s="1601" t="e">
        <f>('Forklift INPUTS'!Y457+'Forklift INPUTS'!Y468)/'Forklift INPUTS'!$C$593/1000</f>
        <v>#N/A</v>
      </c>
      <c r="AI130" s="1601" t="e">
        <f t="shared" si="159"/>
        <v>#N/A</v>
      </c>
      <c r="AJ130" s="1602" t="e">
        <f t="shared" si="160"/>
        <v>#N/A</v>
      </c>
      <c r="AK130" s="1559"/>
      <c r="AL130" s="1559"/>
      <c r="AM130" s="1559"/>
      <c r="AN130" s="1559"/>
      <c r="AO130" s="1559"/>
      <c r="AP130" s="1559"/>
      <c r="AQ130" s="1559"/>
      <c r="AR130" s="1559"/>
      <c r="AS130" s="1559"/>
      <c r="AT130" s="1559"/>
      <c r="AU130" s="1559"/>
    </row>
    <row r="131" spans="1:47" s="1605" customFormat="1" x14ac:dyDescent="0.25">
      <c r="E131" s="1606"/>
      <c r="F131" s="1606"/>
      <c r="G131" s="1606"/>
      <c r="H131" s="1606"/>
      <c r="I131" s="1606"/>
      <c r="K131" s="1607"/>
      <c r="L131" s="1607"/>
      <c r="M131" s="1607"/>
      <c r="N131" s="1607"/>
      <c r="O131" s="1607"/>
      <c r="P131" s="1607"/>
      <c r="Q131" s="1608"/>
      <c r="R131" s="1607"/>
      <c r="S131" s="1607"/>
      <c r="T131" s="1607"/>
      <c r="U131" s="1607"/>
    </row>
    <row r="132" spans="1:47" s="1605" customFormat="1" x14ac:dyDescent="0.25">
      <c r="E132" s="1606"/>
      <c r="F132" s="1606"/>
      <c r="G132" s="1606"/>
      <c r="H132" s="1606"/>
      <c r="I132" s="1606"/>
      <c r="K132" s="1607"/>
      <c r="L132" s="1607"/>
      <c r="M132" s="1607"/>
      <c r="N132" s="1607"/>
      <c r="O132" s="1607"/>
      <c r="P132" s="1607"/>
      <c r="Q132" s="1608"/>
      <c r="R132" s="1607"/>
      <c r="S132" s="1607"/>
      <c r="T132" s="1607"/>
      <c r="U132" s="1607"/>
    </row>
    <row r="133" spans="1:47" s="1500" customFormat="1" ht="21" x14ac:dyDescent="0.35">
      <c r="A133" s="1407"/>
      <c r="B133" s="1499" t="str">
        <f>IF($F$6=Lists!$C$4,"Displaced Economic Impacts", "The tables below are only relevant for a Net analysis.")</f>
        <v>The tables below are only relevant for a Net analysis.</v>
      </c>
      <c r="R133" s="1501"/>
      <c r="S133" s="1501"/>
      <c r="T133" s="1501"/>
      <c r="U133" s="1501"/>
      <c r="V133" s="1501"/>
      <c r="W133" s="1501"/>
      <c r="X133" s="1502"/>
      <c r="Y133" s="1502"/>
      <c r="Z133" s="1502"/>
      <c r="AA133" s="1502"/>
      <c r="AB133" s="1502"/>
      <c r="AC133" s="1502"/>
      <c r="AD133" s="1502"/>
      <c r="AE133" s="1502"/>
      <c r="AF133" s="1502"/>
      <c r="AG133" s="1502"/>
      <c r="AH133" s="1502"/>
    </row>
    <row r="134" spans="1:47" s="1407" customFormat="1" x14ac:dyDescent="0.25">
      <c r="Q134" s="1487"/>
      <c r="R134" s="1487"/>
      <c r="S134" s="1487"/>
      <c r="T134" s="1487"/>
      <c r="U134" s="1609"/>
      <c r="X134" s="1488"/>
      <c r="Y134" s="1488"/>
      <c r="Z134" s="1488"/>
      <c r="AA134" s="1610"/>
      <c r="AB134" s="1488"/>
      <c r="AC134" s="1488"/>
      <c r="AD134" s="1488"/>
      <c r="AE134" s="1488"/>
      <c r="AF134" s="1488"/>
      <c r="AG134" s="1610"/>
    </row>
    <row r="135" spans="1:47" ht="16.5" customHeight="1" x14ac:dyDescent="0.25">
      <c r="A135" s="1504"/>
      <c r="B135" s="2307" t="s">
        <v>1755</v>
      </c>
      <c r="C135" s="1505"/>
      <c r="D135" s="1571" t="str">
        <f>D$69</f>
        <v>Total (Manufacturing, Installation, Fuel, and Maintenance)</v>
      </c>
      <c r="E135" s="1507"/>
      <c r="F135" s="1507"/>
      <c r="G135" s="1507"/>
      <c r="H135" s="1507"/>
      <c r="I135" s="1508"/>
      <c r="J135" s="1505"/>
      <c r="K135" s="1509" t="s">
        <v>1925</v>
      </c>
      <c r="L135" s="1510"/>
      <c r="M135" s="1510"/>
      <c r="N135" s="1510"/>
      <c r="O135" s="1510"/>
      <c r="P135" s="1511"/>
      <c r="Q135" s="1505"/>
      <c r="R135" s="1512" t="s">
        <v>1709</v>
      </c>
      <c r="S135" s="1513"/>
      <c r="T135" s="1513"/>
      <c r="U135" s="1513"/>
      <c r="V135" s="1513"/>
      <c r="W135" s="1511"/>
      <c r="X135" s="1505"/>
      <c r="Y135" s="1514" t="s">
        <v>1712</v>
      </c>
      <c r="Z135" s="1515"/>
      <c r="AA135" s="1515"/>
      <c r="AB135" s="1515"/>
      <c r="AC135" s="1515"/>
      <c r="AD135" s="1511"/>
      <c r="AE135" s="1505"/>
      <c r="AF135" s="1516" t="s">
        <v>1705</v>
      </c>
      <c r="AG135" s="1517"/>
      <c r="AH135" s="1517"/>
      <c r="AI135" s="1517"/>
      <c r="AJ135" s="1518"/>
    </row>
    <row r="136" spans="1:47" s="1611" customFormat="1" ht="16.5" x14ac:dyDescent="0.25">
      <c r="A136" s="1504"/>
      <c r="B136" s="2308"/>
      <c r="C136" s="1521"/>
      <c r="D136" s="1506" t="str">
        <f>B135</f>
        <v>Displaced Domestic Forklift Battery-related Employment (Job-years)</v>
      </c>
      <c r="E136" s="1507"/>
      <c r="F136" s="1507"/>
      <c r="G136" s="1507"/>
      <c r="H136" s="1507"/>
      <c r="I136" s="1508"/>
      <c r="J136" s="1521"/>
      <c r="K136" s="1509" t="str">
        <f>D136</f>
        <v>Displaced Domestic Forklift Battery-related Employment (Job-years)</v>
      </c>
      <c r="L136" s="1522"/>
      <c r="M136" s="1510"/>
      <c r="N136" s="1510"/>
      <c r="O136" s="1510"/>
      <c r="P136" s="1511"/>
      <c r="Q136" s="1521"/>
      <c r="R136" s="1512" t="str">
        <f>K136</f>
        <v>Displaced Domestic Forklift Battery-related Employment (Job-years)</v>
      </c>
      <c r="S136" s="1523"/>
      <c r="T136" s="1513"/>
      <c r="U136" s="1513"/>
      <c r="V136" s="1513"/>
      <c r="W136" s="1511"/>
      <c r="X136" s="1521"/>
      <c r="Y136" s="1514" t="str">
        <f>R136</f>
        <v>Displaced Domestic Forklift Battery-related Employment (Job-years)</v>
      </c>
      <c r="Z136" s="1524"/>
      <c r="AA136" s="1515"/>
      <c r="AB136" s="1515"/>
      <c r="AC136" s="1515"/>
      <c r="AD136" s="1511"/>
      <c r="AE136" s="1521"/>
      <c r="AF136" s="1516" t="str">
        <f>Y136</f>
        <v>Displaced Domestic Forklift Battery-related Employment (Job-years)</v>
      </c>
      <c r="AG136" s="1525"/>
      <c r="AH136" s="1517"/>
      <c r="AI136" s="1517"/>
      <c r="AJ136" s="1518"/>
    </row>
    <row r="137" spans="1:47" ht="63.75" customHeight="1" x14ac:dyDescent="0.25">
      <c r="A137" s="1526"/>
      <c r="B137" s="2308"/>
      <c r="C137" s="1527" t="s">
        <v>433</v>
      </c>
      <c r="D137" s="1528" t="str">
        <f>D$172&amp;" "&amp;D$173</f>
        <v>Displaced Forklift Battery-related Direct</v>
      </c>
      <c r="E137" s="1528" t="str">
        <f>E$172&amp;" "&amp;E$173</f>
        <v>Displaced Forklift Battery-related Indirect</v>
      </c>
      <c r="F137" s="1528" t="str">
        <f>F$172&amp;" "&amp;F$173</f>
        <v>Displaced Forklift Battery-related Induced</v>
      </c>
      <c r="G137" s="1529" t="str">
        <f>G$172&amp;" "&amp;G$173</f>
        <v>Displaced Forklift Battery-related Supply Chain</v>
      </c>
      <c r="H137" s="1529" t="str">
        <f>H$172&amp;" "&amp;H$173</f>
        <v>Displaced Forklift Battery-related Total</v>
      </c>
      <c r="I137" s="1530"/>
      <c r="J137" s="1527" t="s">
        <v>433</v>
      </c>
      <c r="K137" s="1531" t="str">
        <f>K$172&amp;" "&amp;K$173</f>
        <v>Displaced Forklift Battery Direct</v>
      </c>
      <c r="L137" s="1531" t="str">
        <f>L$172&amp;" "&amp;L$173</f>
        <v>Displaced Forklift Battery Indirect</v>
      </c>
      <c r="M137" s="1531" t="str">
        <f>M$172&amp;" "&amp;M$173</f>
        <v>Displaced Forklift Battery Induced</v>
      </c>
      <c r="N137" s="1532" t="str">
        <f>N$172&amp;" "&amp;N$173</f>
        <v>Displaced Forklift Battery Supply Chain</v>
      </c>
      <c r="O137" s="1532" t="str">
        <f>O$172&amp;" "&amp;O$173</f>
        <v>Displaced Forklift Battery Total</v>
      </c>
      <c r="P137" s="1533"/>
      <c r="Q137" s="1527" t="s">
        <v>433</v>
      </c>
      <c r="R137" s="1534" t="str">
        <f>R$172&amp;" "&amp;R$173</f>
        <v>Displaced On-site Battery Infrastructure Direct</v>
      </c>
      <c r="S137" s="1534" t="str">
        <f>S$172&amp;" "&amp;S$173</f>
        <v>Displaced On-site Battery Infrastructure Indirect</v>
      </c>
      <c r="T137" s="1534" t="str">
        <f>T$172&amp;" "&amp;T$173</f>
        <v>Displaced On-site Battery Infrastructure Induced</v>
      </c>
      <c r="U137" s="1535" t="str">
        <f>U$172&amp;" "&amp;U$173</f>
        <v>Displaced On-site Battery Infrastructure Supply Chain</v>
      </c>
      <c r="V137" s="1535" t="str">
        <f>V$172&amp;" "&amp;V$173</f>
        <v>Displaced On-site Battery Infrastructure Total</v>
      </c>
      <c r="W137" s="1533"/>
      <c r="X137" s="1527" t="s">
        <v>433</v>
      </c>
      <c r="Y137" s="1536" t="str">
        <f>Y$172&amp;" "&amp;Y$173</f>
        <v>Displaced Electricity Direct</v>
      </c>
      <c r="Z137" s="1536" t="str">
        <f>Z$172&amp;" "&amp;Z$173</f>
        <v>Displaced Electricity Indirect</v>
      </c>
      <c r="AA137" s="1536" t="str">
        <f>AA$172&amp;" "&amp;AA$173</f>
        <v>Displaced Electricity Induced</v>
      </c>
      <c r="AB137" s="1537" t="str">
        <f>AB$172&amp;" "&amp;AB$173</f>
        <v>Displaced Electricity Supply Chain</v>
      </c>
      <c r="AC137" s="1537" t="str">
        <f>AC$172&amp;" "&amp;AC$173</f>
        <v>Displaced Electricity Total</v>
      </c>
      <c r="AD137" s="1533"/>
      <c r="AE137" s="1527" t="s">
        <v>433</v>
      </c>
      <c r="AF137" s="1538" t="str">
        <f>AF$172&amp;" "&amp;AF$173</f>
        <v>Displaced Battery and Infr. Maint. Direct</v>
      </c>
      <c r="AG137" s="1538" t="str">
        <f>AG$172&amp;" "&amp;AG$173</f>
        <v>Displaced Battery and Infr. Maint. Indirect</v>
      </c>
      <c r="AH137" s="1538" t="str">
        <f>AH$172&amp;" "&amp;AH$173</f>
        <v>Displaced Battery and Infr. Maint. Induced</v>
      </c>
      <c r="AI137" s="1539" t="str">
        <f>AI$172&amp;" "&amp;AI$173</f>
        <v>Displaced Battery and Infr. Maint. Supply Chain</v>
      </c>
      <c r="AJ137" s="1539" t="str">
        <f>AJ$172&amp;" "&amp;AJ$173</f>
        <v>Displaced Battery and Infr. Maint. Total</v>
      </c>
    </row>
    <row r="138" spans="1:47" ht="15.75" x14ac:dyDescent="0.25">
      <c r="A138" s="1545"/>
      <c r="B138" s="2308"/>
      <c r="C138" s="1546">
        <v>2015</v>
      </c>
      <c r="D138" s="1547" t="e">
        <f t="shared" ref="D138:F143" si="161">K138+R138+Y138+AF138</f>
        <v>#N/A</v>
      </c>
      <c r="E138" s="1547" t="e">
        <f t="shared" si="161"/>
        <v>#N/A</v>
      </c>
      <c r="F138" s="1547" t="e">
        <f t="shared" si="161"/>
        <v>#N/A</v>
      </c>
      <c r="G138" s="1547" t="e">
        <f t="shared" ref="G138:G143" si="162">D138+E138</f>
        <v>#N/A</v>
      </c>
      <c r="H138" s="1548" t="e">
        <f t="shared" ref="H138:H143" si="163">D138+E138+F138</f>
        <v>#N/A</v>
      </c>
      <c r="I138" s="1549"/>
      <c r="J138" s="1546">
        <v>2015</v>
      </c>
      <c r="K138" s="1550" t="e">
        <f>-'Forklift INPUTS'!K496</f>
        <v>#N/A</v>
      </c>
      <c r="L138" s="1550" t="e">
        <f>-'Forklift INPUTS'!L496</f>
        <v>#N/A</v>
      </c>
      <c r="M138" s="1550" t="e">
        <f>-'Forklift INPUTS'!M496</f>
        <v>#N/A</v>
      </c>
      <c r="N138" s="1550" t="e">
        <f t="shared" ref="N138:N143" si="164">K138+L138</f>
        <v>#N/A</v>
      </c>
      <c r="O138" s="1551" t="e">
        <f t="shared" ref="O138:O143" si="165">K138+L138+M138</f>
        <v>#N/A</v>
      </c>
      <c r="P138" s="1552"/>
      <c r="Q138" s="1546">
        <v>2015</v>
      </c>
      <c r="R138" s="1553" t="e">
        <f>-'Forklift INPUTS'!K515</f>
        <v>#N/A</v>
      </c>
      <c r="S138" s="1553" t="e">
        <f>-'Forklift INPUTS'!L515</f>
        <v>#N/A</v>
      </c>
      <c r="T138" s="1553" t="e">
        <f>-'Forklift INPUTS'!M515</f>
        <v>#N/A</v>
      </c>
      <c r="U138" s="1553" t="e">
        <f t="shared" ref="U138:U143" si="166">R138+S138</f>
        <v>#N/A</v>
      </c>
      <c r="V138" s="1554" t="e">
        <f t="shared" ref="V138:V143" si="167">R138+S138+T138</f>
        <v>#N/A</v>
      </c>
      <c r="W138" s="1552"/>
      <c r="X138" s="1546">
        <v>2015</v>
      </c>
      <c r="Y138" s="1555" t="e">
        <f>-'Forklift INPUTS'!K528</f>
        <v>#N/A</v>
      </c>
      <c r="Z138" s="1555" t="e">
        <f>-'Forklift INPUTS'!L528</f>
        <v>#N/A</v>
      </c>
      <c r="AA138" s="1555" t="e">
        <f>-'Forklift INPUTS'!M528</f>
        <v>#N/A</v>
      </c>
      <c r="AB138" s="1555" t="e">
        <f t="shared" ref="AB138:AB143" si="168">Y138+Z138</f>
        <v>#N/A</v>
      </c>
      <c r="AC138" s="1556" t="e">
        <f t="shared" ref="AC138:AC143" si="169">Y138+Z138+AA138</f>
        <v>#N/A</v>
      </c>
      <c r="AD138" s="1552"/>
      <c r="AE138" s="1546">
        <v>2015</v>
      </c>
      <c r="AF138" s="1557" t="e">
        <f>-'Forklift INPUTS'!K543</f>
        <v>#N/A</v>
      </c>
      <c r="AG138" s="1557" t="e">
        <f>-'Forklift INPUTS'!L543</f>
        <v>#N/A</v>
      </c>
      <c r="AH138" s="1557" t="e">
        <f>-'Forklift INPUTS'!M543</f>
        <v>#N/A</v>
      </c>
      <c r="AI138" s="1557" t="e">
        <f t="shared" ref="AI138:AI143" si="170">AF138+AG138</f>
        <v>#N/A</v>
      </c>
      <c r="AJ138" s="1558" t="e">
        <f t="shared" ref="AJ138:AJ143" si="171">AF138+AG138+AH138</f>
        <v>#N/A</v>
      </c>
    </row>
    <row r="139" spans="1:47" ht="15.75" x14ac:dyDescent="0.25">
      <c r="A139" s="1545"/>
      <c r="B139" s="2308"/>
      <c r="C139" s="1546">
        <v>2016</v>
      </c>
      <c r="D139" s="1547" t="e">
        <f t="shared" si="161"/>
        <v>#N/A</v>
      </c>
      <c r="E139" s="1547" t="e">
        <f t="shared" si="161"/>
        <v>#N/A</v>
      </c>
      <c r="F139" s="1547" t="e">
        <f t="shared" si="161"/>
        <v>#N/A</v>
      </c>
      <c r="G139" s="1547" t="e">
        <f t="shared" si="162"/>
        <v>#N/A</v>
      </c>
      <c r="H139" s="1548" t="e">
        <f t="shared" si="163"/>
        <v>#N/A</v>
      </c>
      <c r="I139" s="1549"/>
      <c r="J139" s="1546">
        <v>2016</v>
      </c>
      <c r="K139" s="1550" t="e">
        <f>-'Forklift INPUTS'!K497</f>
        <v>#N/A</v>
      </c>
      <c r="L139" s="1550" t="e">
        <f>-'Forklift INPUTS'!L497</f>
        <v>#N/A</v>
      </c>
      <c r="M139" s="1550" t="e">
        <f>-'Forklift INPUTS'!M497</f>
        <v>#N/A</v>
      </c>
      <c r="N139" s="1550" t="e">
        <f t="shared" si="164"/>
        <v>#N/A</v>
      </c>
      <c r="O139" s="1551" t="e">
        <f t="shared" si="165"/>
        <v>#N/A</v>
      </c>
      <c r="P139" s="1552"/>
      <c r="Q139" s="1546">
        <v>2016</v>
      </c>
      <c r="R139" s="1553" t="e">
        <f>-'Forklift INPUTS'!K516</f>
        <v>#N/A</v>
      </c>
      <c r="S139" s="1553" t="e">
        <f>-'Forklift INPUTS'!L516</f>
        <v>#N/A</v>
      </c>
      <c r="T139" s="1553" t="e">
        <f>-'Forklift INPUTS'!M516</f>
        <v>#N/A</v>
      </c>
      <c r="U139" s="1553" t="e">
        <f t="shared" si="166"/>
        <v>#N/A</v>
      </c>
      <c r="V139" s="1554" t="e">
        <f t="shared" si="167"/>
        <v>#N/A</v>
      </c>
      <c r="W139" s="1552"/>
      <c r="X139" s="1546">
        <v>2016</v>
      </c>
      <c r="Y139" s="1555" t="e">
        <f>-'Forklift INPUTS'!K529</f>
        <v>#N/A</v>
      </c>
      <c r="Z139" s="1555" t="e">
        <f>-'Forklift INPUTS'!L529</f>
        <v>#N/A</v>
      </c>
      <c r="AA139" s="1555" t="e">
        <f>-'Forklift INPUTS'!M529</f>
        <v>#N/A</v>
      </c>
      <c r="AB139" s="1555" t="e">
        <f t="shared" si="168"/>
        <v>#N/A</v>
      </c>
      <c r="AC139" s="1556" t="e">
        <f t="shared" si="169"/>
        <v>#N/A</v>
      </c>
      <c r="AD139" s="1552"/>
      <c r="AE139" s="1546">
        <v>2016</v>
      </c>
      <c r="AF139" s="1557" t="e">
        <f>-'Forklift INPUTS'!K544</f>
        <v>#N/A</v>
      </c>
      <c r="AG139" s="1557" t="e">
        <f>-'Forklift INPUTS'!L544</f>
        <v>#N/A</v>
      </c>
      <c r="AH139" s="1557" t="e">
        <f>-'Forklift INPUTS'!M544</f>
        <v>#N/A</v>
      </c>
      <c r="AI139" s="1557" t="e">
        <f t="shared" si="170"/>
        <v>#N/A</v>
      </c>
      <c r="AJ139" s="1558" t="e">
        <f t="shared" si="171"/>
        <v>#N/A</v>
      </c>
    </row>
    <row r="140" spans="1:47" ht="15.75" x14ac:dyDescent="0.25">
      <c r="A140" s="1545"/>
      <c r="B140" s="2308"/>
      <c r="C140" s="1546">
        <v>2017</v>
      </c>
      <c r="D140" s="1547" t="e">
        <f t="shared" si="161"/>
        <v>#N/A</v>
      </c>
      <c r="E140" s="1547" t="e">
        <f t="shared" si="161"/>
        <v>#N/A</v>
      </c>
      <c r="F140" s="1547" t="e">
        <f t="shared" si="161"/>
        <v>#N/A</v>
      </c>
      <c r="G140" s="1547" t="e">
        <f t="shared" si="162"/>
        <v>#N/A</v>
      </c>
      <c r="H140" s="1548" t="e">
        <f t="shared" si="163"/>
        <v>#N/A</v>
      </c>
      <c r="I140" s="1549"/>
      <c r="J140" s="1546">
        <v>2017</v>
      </c>
      <c r="K140" s="1550" t="e">
        <f>-'Forklift INPUTS'!K498</f>
        <v>#N/A</v>
      </c>
      <c r="L140" s="1550" t="e">
        <f>-'Forklift INPUTS'!L498</f>
        <v>#N/A</v>
      </c>
      <c r="M140" s="1550" t="e">
        <f>-'Forklift INPUTS'!M498</f>
        <v>#N/A</v>
      </c>
      <c r="N140" s="1550" t="e">
        <f t="shared" si="164"/>
        <v>#N/A</v>
      </c>
      <c r="O140" s="1551" t="e">
        <f t="shared" si="165"/>
        <v>#N/A</v>
      </c>
      <c r="P140" s="1552"/>
      <c r="Q140" s="1546">
        <v>2017</v>
      </c>
      <c r="R140" s="1553" t="e">
        <f>-'Forklift INPUTS'!K517</f>
        <v>#N/A</v>
      </c>
      <c r="S140" s="1553" t="e">
        <f>-'Forklift INPUTS'!L517</f>
        <v>#N/A</v>
      </c>
      <c r="T140" s="1553" t="e">
        <f>-'Forklift INPUTS'!M517</f>
        <v>#N/A</v>
      </c>
      <c r="U140" s="1553" t="e">
        <f t="shared" si="166"/>
        <v>#N/A</v>
      </c>
      <c r="V140" s="1554" t="e">
        <f t="shared" si="167"/>
        <v>#N/A</v>
      </c>
      <c r="W140" s="1552"/>
      <c r="X140" s="1546">
        <v>2017</v>
      </c>
      <c r="Y140" s="1555" t="e">
        <f>-'Forklift INPUTS'!K530</f>
        <v>#N/A</v>
      </c>
      <c r="Z140" s="1555" t="e">
        <f>-'Forklift INPUTS'!L530</f>
        <v>#N/A</v>
      </c>
      <c r="AA140" s="1555" t="e">
        <f>-'Forklift INPUTS'!M530</f>
        <v>#N/A</v>
      </c>
      <c r="AB140" s="1555" t="e">
        <f t="shared" si="168"/>
        <v>#N/A</v>
      </c>
      <c r="AC140" s="1556" t="e">
        <f t="shared" si="169"/>
        <v>#N/A</v>
      </c>
      <c r="AD140" s="1552"/>
      <c r="AE140" s="1546">
        <v>2017</v>
      </c>
      <c r="AF140" s="1557" t="e">
        <f>-'Forklift INPUTS'!K545</f>
        <v>#N/A</v>
      </c>
      <c r="AG140" s="1557" t="e">
        <f>-'Forklift INPUTS'!L545</f>
        <v>#N/A</v>
      </c>
      <c r="AH140" s="1557" t="e">
        <f>-'Forklift INPUTS'!M545</f>
        <v>#N/A</v>
      </c>
      <c r="AI140" s="1557" t="e">
        <f t="shared" si="170"/>
        <v>#N/A</v>
      </c>
      <c r="AJ140" s="1558" t="e">
        <f t="shared" si="171"/>
        <v>#N/A</v>
      </c>
    </row>
    <row r="141" spans="1:47" ht="15.75" x14ac:dyDescent="0.25">
      <c r="A141" s="1545"/>
      <c r="B141" s="2308"/>
      <c r="C141" s="1546">
        <v>2018</v>
      </c>
      <c r="D141" s="1547" t="e">
        <f t="shared" si="161"/>
        <v>#N/A</v>
      </c>
      <c r="E141" s="1547" t="e">
        <f t="shared" si="161"/>
        <v>#N/A</v>
      </c>
      <c r="F141" s="1547" t="e">
        <f t="shared" si="161"/>
        <v>#N/A</v>
      </c>
      <c r="G141" s="1547" t="e">
        <f t="shared" si="162"/>
        <v>#N/A</v>
      </c>
      <c r="H141" s="1548" t="e">
        <f t="shared" si="163"/>
        <v>#N/A</v>
      </c>
      <c r="I141" s="1549"/>
      <c r="J141" s="1546">
        <v>2018</v>
      </c>
      <c r="K141" s="1550" t="e">
        <f>-'Forklift INPUTS'!K499</f>
        <v>#N/A</v>
      </c>
      <c r="L141" s="1550" t="e">
        <f>-'Forklift INPUTS'!L499</f>
        <v>#N/A</v>
      </c>
      <c r="M141" s="1550" t="e">
        <f>-'Forklift INPUTS'!M499</f>
        <v>#N/A</v>
      </c>
      <c r="N141" s="1550" t="e">
        <f t="shared" si="164"/>
        <v>#N/A</v>
      </c>
      <c r="O141" s="1551" t="e">
        <f t="shared" si="165"/>
        <v>#N/A</v>
      </c>
      <c r="P141" s="1552"/>
      <c r="Q141" s="1546">
        <v>2018</v>
      </c>
      <c r="R141" s="1553" t="e">
        <f>-'Forklift INPUTS'!K518</f>
        <v>#N/A</v>
      </c>
      <c r="S141" s="1553" t="e">
        <f>-'Forklift INPUTS'!L518</f>
        <v>#N/A</v>
      </c>
      <c r="T141" s="1553" t="e">
        <f>-'Forklift INPUTS'!M518</f>
        <v>#N/A</v>
      </c>
      <c r="U141" s="1553" t="e">
        <f t="shared" si="166"/>
        <v>#N/A</v>
      </c>
      <c r="V141" s="1554" t="e">
        <f t="shared" si="167"/>
        <v>#N/A</v>
      </c>
      <c r="W141" s="1552"/>
      <c r="X141" s="1546">
        <v>2018</v>
      </c>
      <c r="Y141" s="1555" t="e">
        <f>-'Forklift INPUTS'!K531</f>
        <v>#N/A</v>
      </c>
      <c r="Z141" s="1555" t="e">
        <f>-'Forklift INPUTS'!L531</f>
        <v>#N/A</v>
      </c>
      <c r="AA141" s="1555" t="e">
        <f>-'Forklift INPUTS'!M531</f>
        <v>#N/A</v>
      </c>
      <c r="AB141" s="1555" t="e">
        <f t="shared" si="168"/>
        <v>#N/A</v>
      </c>
      <c r="AC141" s="1556" t="e">
        <f t="shared" si="169"/>
        <v>#N/A</v>
      </c>
      <c r="AD141" s="1552"/>
      <c r="AE141" s="1546">
        <v>2018</v>
      </c>
      <c r="AF141" s="1557" t="e">
        <f>-'Forklift INPUTS'!K546</f>
        <v>#N/A</v>
      </c>
      <c r="AG141" s="1557" t="e">
        <f>-'Forklift INPUTS'!L546</f>
        <v>#N/A</v>
      </c>
      <c r="AH141" s="1557" t="e">
        <f>-'Forklift INPUTS'!M546</f>
        <v>#N/A</v>
      </c>
      <c r="AI141" s="1557" t="e">
        <f t="shared" si="170"/>
        <v>#N/A</v>
      </c>
      <c r="AJ141" s="1558" t="e">
        <f t="shared" si="171"/>
        <v>#N/A</v>
      </c>
    </row>
    <row r="142" spans="1:47" ht="15.75" x14ac:dyDescent="0.25">
      <c r="A142" s="1545"/>
      <c r="B142" s="2308"/>
      <c r="C142" s="1546">
        <v>2019</v>
      </c>
      <c r="D142" s="1547" t="e">
        <f t="shared" si="161"/>
        <v>#N/A</v>
      </c>
      <c r="E142" s="1547" t="e">
        <f t="shared" si="161"/>
        <v>#N/A</v>
      </c>
      <c r="F142" s="1547" t="e">
        <f t="shared" si="161"/>
        <v>#N/A</v>
      </c>
      <c r="G142" s="1547" t="e">
        <f t="shared" si="162"/>
        <v>#N/A</v>
      </c>
      <c r="H142" s="1548" t="e">
        <f t="shared" si="163"/>
        <v>#N/A</v>
      </c>
      <c r="I142" s="1549"/>
      <c r="J142" s="1546">
        <v>2019</v>
      </c>
      <c r="K142" s="1550" t="e">
        <f>-'Forklift INPUTS'!K500</f>
        <v>#N/A</v>
      </c>
      <c r="L142" s="1550" t="e">
        <f>-'Forklift INPUTS'!L500</f>
        <v>#N/A</v>
      </c>
      <c r="M142" s="1550" t="e">
        <f>-'Forklift INPUTS'!M500</f>
        <v>#N/A</v>
      </c>
      <c r="N142" s="1550" t="e">
        <f t="shared" si="164"/>
        <v>#N/A</v>
      </c>
      <c r="O142" s="1551" t="e">
        <f t="shared" si="165"/>
        <v>#N/A</v>
      </c>
      <c r="P142" s="1552"/>
      <c r="Q142" s="1546">
        <v>2019</v>
      </c>
      <c r="R142" s="1553" t="e">
        <f>-'Forklift INPUTS'!K519</f>
        <v>#N/A</v>
      </c>
      <c r="S142" s="1553" t="e">
        <f>-'Forklift INPUTS'!L519</f>
        <v>#N/A</v>
      </c>
      <c r="T142" s="1553" t="e">
        <f>-'Forklift INPUTS'!M519</f>
        <v>#N/A</v>
      </c>
      <c r="U142" s="1553" t="e">
        <f t="shared" si="166"/>
        <v>#N/A</v>
      </c>
      <c r="V142" s="1554" t="e">
        <f t="shared" si="167"/>
        <v>#N/A</v>
      </c>
      <c r="W142" s="1552"/>
      <c r="X142" s="1546">
        <v>2019</v>
      </c>
      <c r="Y142" s="1555" t="e">
        <f>-'Forklift INPUTS'!K532</f>
        <v>#N/A</v>
      </c>
      <c r="Z142" s="1555" t="e">
        <f>-'Forklift INPUTS'!L532</f>
        <v>#N/A</v>
      </c>
      <c r="AA142" s="1555" t="e">
        <f>-'Forklift INPUTS'!M532</f>
        <v>#N/A</v>
      </c>
      <c r="AB142" s="1555" t="e">
        <f t="shared" si="168"/>
        <v>#N/A</v>
      </c>
      <c r="AC142" s="1556" t="e">
        <f t="shared" si="169"/>
        <v>#N/A</v>
      </c>
      <c r="AD142" s="1552"/>
      <c r="AE142" s="1546">
        <v>2019</v>
      </c>
      <c r="AF142" s="1557" t="e">
        <f>-'Forklift INPUTS'!K547</f>
        <v>#N/A</v>
      </c>
      <c r="AG142" s="1557" t="e">
        <f>-'Forklift INPUTS'!L547</f>
        <v>#N/A</v>
      </c>
      <c r="AH142" s="1557" t="e">
        <f>-'Forklift INPUTS'!M547</f>
        <v>#N/A</v>
      </c>
      <c r="AI142" s="1557" t="e">
        <f t="shared" si="170"/>
        <v>#N/A</v>
      </c>
      <c r="AJ142" s="1558" t="e">
        <f t="shared" si="171"/>
        <v>#N/A</v>
      </c>
    </row>
    <row r="143" spans="1:47" ht="15.75" x14ac:dyDescent="0.25">
      <c r="A143" s="1545"/>
      <c r="B143" s="2309"/>
      <c r="C143" s="1546">
        <v>2020</v>
      </c>
      <c r="D143" s="1547" t="e">
        <f t="shared" si="161"/>
        <v>#N/A</v>
      </c>
      <c r="E143" s="1547" t="e">
        <f t="shared" si="161"/>
        <v>#N/A</v>
      </c>
      <c r="F143" s="1547" t="e">
        <f t="shared" si="161"/>
        <v>#N/A</v>
      </c>
      <c r="G143" s="1547" t="e">
        <f t="shared" si="162"/>
        <v>#N/A</v>
      </c>
      <c r="H143" s="1548" t="e">
        <f t="shared" si="163"/>
        <v>#N/A</v>
      </c>
      <c r="I143" s="1549"/>
      <c r="J143" s="1546">
        <v>2020</v>
      </c>
      <c r="K143" s="1550" t="e">
        <f>-'Forklift INPUTS'!K501</f>
        <v>#N/A</v>
      </c>
      <c r="L143" s="1550" t="e">
        <f>-'Forklift INPUTS'!L501</f>
        <v>#N/A</v>
      </c>
      <c r="M143" s="1550" t="e">
        <f>-'Forklift INPUTS'!M501</f>
        <v>#N/A</v>
      </c>
      <c r="N143" s="1550" t="e">
        <f t="shared" si="164"/>
        <v>#N/A</v>
      </c>
      <c r="O143" s="1551" t="e">
        <f t="shared" si="165"/>
        <v>#N/A</v>
      </c>
      <c r="P143" s="1552"/>
      <c r="Q143" s="1546">
        <v>2020</v>
      </c>
      <c r="R143" s="1553" t="e">
        <f>-'Forklift INPUTS'!K520</f>
        <v>#N/A</v>
      </c>
      <c r="S143" s="1553" t="e">
        <f>-'Forklift INPUTS'!L520</f>
        <v>#N/A</v>
      </c>
      <c r="T143" s="1553" t="e">
        <f>-'Forklift INPUTS'!M520</f>
        <v>#N/A</v>
      </c>
      <c r="U143" s="1553" t="e">
        <f t="shared" si="166"/>
        <v>#N/A</v>
      </c>
      <c r="V143" s="1554" t="e">
        <f t="shared" si="167"/>
        <v>#N/A</v>
      </c>
      <c r="W143" s="1552"/>
      <c r="X143" s="1546">
        <v>2020</v>
      </c>
      <c r="Y143" s="1555" t="e">
        <f>-'Forklift INPUTS'!K533</f>
        <v>#N/A</v>
      </c>
      <c r="Z143" s="1555" t="e">
        <f>-'Forklift INPUTS'!L533</f>
        <v>#N/A</v>
      </c>
      <c r="AA143" s="1555" t="e">
        <f>-'Forklift INPUTS'!M533</f>
        <v>#N/A</v>
      </c>
      <c r="AB143" s="1555" t="e">
        <f t="shared" si="168"/>
        <v>#N/A</v>
      </c>
      <c r="AC143" s="1556" t="e">
        <f t="shared" si="169"/>
        <v>#N/A</v>
      </c>
      <c r="AD143" s="1552"/>
      <c r="AE143" s="1546">
        <v>2020</v>
      </c>
      <c r="AF143" s="1557" t="e">
        <f>-'Forklift INPUTS'!K548</f>
        <v>#N/A</v>
      </c>
      <c r="AG143" s="1557" t="e">
        <f>-'Forklift INPUTS'!L548</f>
        <v>#N/A</v>
      </c>
      <c r="AH143" s="1557" t="e">
        <f>-'Forklift INPUTS'!M548</f>
        <v>#N/A</v>
      </c>
      <c r="AI143" s="1557" t="e">
        <f t="shared" si="170"/>
        <v>#N/A</v>
      </c>
      <c r="AJ143" s="1558" t="e">
        <f t="shared" si="171"/>
        <v>#N/A</v>
      </c>
    </row>
    <row r="144" spans="1:47" s="1407" customFormat="1" ht="15.75" x14ac:dyDescent="0.25">
      <c r="A144" s="1545"/>
      <c r="B144" s="1564"/>
      <c r="C144" s="1565"/>
      <c r="D144" s="1565"/>
      <c r="E144" s="1566"/>
      <c r="F144" s="1566"/>
      <c r="G144" s="1566"/>
      <c r="H144" s="1566"/>
      <c r="I144" s="1566"/>
      <c r="J144" s="1566"/>
      <c r="K144" s="1567"/>
      <c r="L144" s="1567"/>
      <c r="M144" s="1567"/>
      <c r="N144" s="1567"/>
      <c r="O144" s="1567"/>
      <c r="P144" s="1567"/>
      <c r="Q144" s="1567"/>
      <c r="R144" s="1567"/>
      <c r="S144" s="1567"/>
      <c r="T144" s="1567"/>
      <c r="U144" s="1567"/>
      <c r="V144" s="1565"/>
      <c r="W144" s="1565"/>
      <c r="X144" s="1565"/>
      <c r="Y144" s="1565"/>
      <c r="Z144" s="1565"/>
      <c r="AA144" s="1565"/>
      <c r="AB144" s="1565"/>
      <c r="AC144" s="1565"/>
      <c r="AD144" s="1565"/>
      <c r="AE144" s="1565"/>
      <c r="AF144" s="1565"/>
      <c r="AG144" s="1565"/>
      <c r="AH144" s="1565"/>
      <c r="AI144" s="1565"/>
      <c r="AJ144" s="1565"/>
    </row>
    <row r="145" spans="1:36" ht="16.5" customHeight="1" x14ac:dyDescent="0.25">
      <c r="A145" s="1569"/>
      <c r="B145" s="2307" t="s">
        <v>1756</v>
      </c>
      <c r="C145" s="1570"/>
      <c r="D145" s="1571" t="str">
        <f>D$69</f>
        <v>Total (Manufacturing, Installation, Fuel, and Maintenance)</v>
      </c>
      <c r="E145" s="1572"/>
      <c r="F145" s="1572"/>
      <c r="G145" s="1572"/>
      <c r="H145" s="1572"/>
      <c r="I145" s="1573"/>
      <c r="J145" s="1505"/>
      <c r="K145" s="1574" t="str">
        <f>K135</f>
        <v>Displaced Forklift Battery Mfg., Development, Sales, and Shipping (Class I/II and III combined)</v>
      </c>
      <c r="L145" s="1575"/>
      <c r="M145" s="1575"/>
      <c r="N145" s="1575"/>
      <c r="O145" s="1575"/>
      <c r="P145" s="1576"/>
      <c r="Q145" s="1505"/>
      <c r="R145" s="1577" t="str">
        <f>R135</f>
        <v>Battery Charging and Infrastructure Installations</v>
      </c>
      <c r="S145" s="1578"/>
      <c r="T145" s="1578"/>
      <c r="U145" s="1578"/>
      <c r="V145" s="1578"/>
      <c r="W145" s="1576"/>
      <c r="X145" s="1505"/>
      <c r="Y145" s="1579" t="str">
        <f>Y135</f>
        <v>Electricity Production and Delivery</v>
      </c>
      <c r="Z145" s="1580"/>
      <c r="AA145" s="1580"/>
      <c r="AB145" s="1580"/>
      <c r="AC145" s="1580"/>
      <c r="AD145" s="1576"/>
      <c r="AE145" s="1505"/>
      <c r="AF145" s="1581" t="str">
        <f>AF135</f>
        <v>Battery and Battery-related Infrastructure Maintenance</v>
      </c>
      <c r="AG145" s="1582"/>
      <c r="AH145" s="1582"/>
      <c r="AI145" s="1582"/>
      <c r="AJ145" s="1582"/>
    </row>
    <row r="146" spans="1:36" ht="16.5" x14ac:dyDescent="0.25">
      <c r="A146" s="1569"/>
      <c r="B146" s="2308"/>
      <c r="C146" s="1585"/>
      <c r="D146" s="1571" t="str">
        <f>B145</f>
        <v>Displaced Domestic Forklift Battery-related Earnings (Thousands of 2010$)</v>
      </c>
      <c r="E146" s="1586"/>
      <c r="F146" s="1572"/>
      <c r="G146" s="1572"/>
      <c r="H146" s="1572"/>
      <c r="I146" s="1573"/>
      <c r="J146" s="1521"/>
      <c r="K146" s="1509" t="str">
        <f>D146</f>
        <v>Displaced Domestic Forklift Battery-related Earnings (Thousands of 2010$)</v>
      </c>
      <c r="L146" s="1587"/>
      <c r="M146" s="1575"/>
      <c r="N146" s="1575"/>
      <c r="O146" s="1575"/>
      <c r="P146" s="1576"/>
      <c r="Q146" s="1521"/>
      <c r="R146" s="1512" t="str">
        <f>K146</f>
        <v>Displaced Domestic Forklift Battery-related Earnings (Thousands of 2010$)</v>
      </c>
      <c r="S146" s="1588"/>
      <c r="T146" s="1578"/>
      <c r="U146" s="1578"/>
      <c r="V146" s="1578"/>
      <c r="W146" s="1576"/>
      <c r="X146" s="1521"/>
      <c r="Y146" s="1514" t="str">
        <f>R146</f>
        <v>Displaced Domestic Forklift Battery-related Earnings (Thousands of 2010$)</v>
      </c>
      <c r="Z146" s="1524"/>
      <c r="AA146" s="1580"/>
      <c r="AB146" s="1580"/>
      <c r="AC146" s="1580"/>
      <c r="AD146" s="1576"/>
      <c r="AE146" s="1521"/>
      <c r="AF146" s="1516" t="str">
        <f>Y146</f>
        <v>Displaced Domestic Forklift Battery-related Earnings (Thousands of 2010$)</v>
      </c>
      <c r="AG146" s="1525"/>
      <c r="AH146" s="1582"/>
      <c r="AI146" s="1582"/>
      <c r="AJ146" s="1582"/>
    </row>
    <row r="147" spans="1:36" ht="61.5" customHeight="1" x14ac:dyDescent="0.25">
      <c r="A147" s="1589"/>
      <c r="B147" s="2308"/>
      <c r="C147" s="1585" t="str">
        <f t="shared" ref="C147:C153" si="172">C137</f>
        <v>Year</v>
      </c>
      <c r="D147" s="1528" t="str">
        <f>D$172&amp;" "&amp;D$173</f>
        <v>Displaced Forklift Battery-related Direct</v>
      </c>
      <c r="E147" s="1528" t="str">
        <f>E$172&amp;" "&amp;E$173</f>
        <v>Displaced Forklift Battery-related Indirect</v>
      </c>
      <c r="F147" s="1528" t="str">
        <f>F$172&amp;" "&amp;F$173</f>
        <v>Displaced Forklift Battery-related Induced</v>
      </c>
      <c r="G147" s="1529" t="str">
        <f>G$172&amp;" "&amp;G$173</f>
        <v>Displaced Forklift Battery-related Supply Chain</v>
      </c>
      <c r="H147" s="1529" t="str">
        <f>H$172&amp;" "&amp;H$173</f>
        <v>Displaced Forklift Battery-related Total</v>
      </c>
      <c r="I147" s="1530"/>
      <c r="J147" s="1527" t="s">
        <v>433</v>
      </c>
      <c r="K147" s="1531" t="str">
        <f>K$172&amp;" "&amp;K$173</f>
        <v>Displaced Forklift Battery Direct</v>
      </c>
      <c r="L147" s="1531" t="str">
        <f>L$172&amp;" "&amp;L$173</f>
        <v>Displaced Forklift Battery Indirect</v>
      </c>
      <c r="M147" s="1531" t="str">
        <f>M$172&amp;" "&amp;M$173</f>
        <v>Displaced Forklift Battery Induced</v>
      </c>
      <c r="N147" s="1532" t="str">
        <f>N$172&amp;" "&amp;N$173</f>
        <v>Displaced Forklift Battery Supply Chain</v>
      </c>
      <c r="O147" s="1532" t="str">
        <f>O$172&amp;" "&amp;O$173</f>
        <v>Displaced Forklift Battery Total</v>
      </c>
      <c r="P147" s="1533"/>
      <c r="Q147" s="1527" t="s">
        <v>433</v>
      </c>
      <c r="R147" s="1534" t="str">
        <f>R$172&amp;" "&amp;R$173</f>
        <v>Displaced On-site Battery Infrastructure Direct</v>
      </c>
      <c r="S147" s="1534" t="str">
        <f>S$172&amp;" "&amp;S$173</f>
        <v>Displaced On-site Battery Infrastructure Indirect</v>
      </c>
      <c r="T147" s="1534" t="str">
        <f>T$172&amp;" "&amp;T$173</f>
        <v>Displaced On-site Battery Infrastructure Induced</v>
      </c>
      <c r="U147" s="1535" t="str">
        <f>U$172&amp;" "&amp;U$173</f>
        <v>Displaced On-site Battery Infrastructure Supply Chain</v>
      </c>
      <c r="V147" s="1535" t="str">
        <f>V$172&amp;" "&amp;V$173</f>
        <v>Displaced On-site Battery Infrastructure Total</v>
      </c>
      <c r="W147" s="1533"/>
      <c r="X147" s="1527" t="s">
        <v>433</v>
      </c>
      <c r="Y147" s="1536" t="str">
        <f>Y$172&amp;" "&amp;Y$173</f>
        <v>Displaced Electricity Direct</v>
      </c>
      <c r="Z147" s="1536" t="str">
        <f>Z$172&amp;" "&amp;Z$173</f>
        <v>Displaced Electricity Indirect</v>
      </c>
      <c r="AA147" s="1536" t="str">
        <f>AA$172&amp;" "&amp;AA$173</f>
        <v>Displaced Electricity Induced</v>
      </c>
      <c r="AB147" s="1537" t="str">
        <f>AB$172&amp;" "&amp;AB$173</f>
        <v>Displaced Electricity Supply Chain</v>
      </c>
      <c r="AC147" s="1537" t="str">
        <f>AC$172&amp;" "&amp;AC$173</f>
        <v>Displaced Electricity Total</v>
      </c>
      <c r="AD147" s="1533"/>
      <c r="AE147" s="1527" t="s">
        <v>433</v>
      </c>
      <c r="AF147" s="1538" t="str">
        <f>AF$172&amp;" "&amp;AF$173</f>
        <v>Displaced Battery and Infr. Maint. Direct</v>
      </c>
      <c r="AG147" s="1538" t="str">
        <f>AG$172&amp;" "&amp;AG$173</f>
        <v>Displaced Battery and Infr. Maint. Indirect</v>
      </c>
      <c r="AH147" s="1538" t="str">
        <f>AH$172&amp;" "&amp;AH$173</f>
        <v>Displaced Battery and Infr. Maint. Induced</v>
      </c>
      <c r="AI147" s="1539" t="str">
        <f>AI$172&amp;" "&amp;AI$173</f>
        <v>Displaced Battery and Infr. Maint. Supply Chain</v>
      </c>
      <c r="AJ147" s="1539" t="str">
        <f>AJ$172&amp;" "&amp;AJ$173</f>
        <v>Displaced Battery and Infr. Maint. Total</v>
      </c>
    </row>
    <row r="148" spans="1:36" ht="15.75" x14ac:dyDescent="0.25">
      <c r="A148" s="1545"/>
      <c r="B148" s="2308"/>
      <c r="C148" s="1546">
        <f t="shared" si="172"/>
        <v>2015</v>
      </c>
      <c r="D148" s="1591" t="e">
        <f t="shared" ref="D148:F153" si="173">K148+R148+Y148+AF148</f>
        <v>#N/A</v>
      </c>
      <c r="E148" s="1591" t="e">
        <f t="shared" si="173"/>
        <v>#N/A</v>
      </c>
      <c r="F148" s="1591" t="e">
        <f t="shared" si="173"/>
        <v>#N/A</v>
      </c>
      <c r="G148" s="1591" t="e">
        <f t="shared" ref="G148:G153" si="174">D148+E148</f>
        <v>#N/A</v>
      </c>
      <c r="H148" s="1592" t="e">
        <f t="shared" ref="H148:H153" si="175">D148+E148+F148</f>
        <v>#N/A</v>
      </c>
      <c r="I148" s="1593"/>
      <c r="J148" s="1546">
        <v>2015</v>
      </c>
      <c r="K148" s="1594" t="e">
        <f>-'Forklift INPUTS'!Q496/'Forklift INPUTS'!$C$593/1000</f>
        <v>#N/A</v>
      </c>
      <c r="L148" s="1594" t="e">
        <f>-'Forklift INPUTS'!R496/'Forklift INPUTS'!$C$593/1000</f>
        <v>#N/A</v>
      </c>
      <c r="M148" s="1594" t="e">
        <f>-'Forklift INPUTS'!S496/'Forklift INPUTS'!$C$593/1000</f>
        <v>#N/A</v>
      </c>
      <c r="N148" s="1594" t="e">
        <f t="shared" ref="N148:N153" si="176">K148+L148</f>
        <v>#N/A</v>
      </c>
      <c r="O148" s="1595" t="e">
        <f t="shared" ref="O148:O153" si="177">K148+L148+M148</f>
        <v>#N/A</v>
      </c>
      <c r="P148" s="1596"/>
      <c r="Q148" s="1546">
        <v>2015</v>
      </c>
      <c r="R148" s="1597" t="e">
        <f>-'Forklift INPUTS'!Q515/'Forklift INPUTS'!$C$593/1000</f>
        <v>#N/A</v>
      </c>
      <c r="S148" s="1597" t="e">
        <f>-'Forklift INPUTS'!R515/'Forklift INPUTS'!$C$593/1000</f>
        <v>#N/A</v>
      </c>
      <c r="T148" s="1597" t="e">
        <f>-'Forklift INPUTS'!S515/'Forklift INPUTS'!$C$593/1000</f>
        <v>#N/A</v>
      </c>
      <c r="U148" s="1597" t="e">
        <f t="shared" ref="U148:U153" si="178">R148+S148</f>
        <v>#N/A</v>
      </c>
      <c r="V148" s="1598" t="e">
        <f t="shared" ref="V148:V153" si="179">R148+S148+T148</f>
        <v>#N/A</v>
      </c>
      <c r="W148" s="1596"/>
      <c r="X148" s="1546">
        <v>2015</v>
      </c>
      <c r="Y148" s="1599" t="e">
        <f>-'Forklift INPUTS'!Q528/'Forklift INPUTS'!$C$593/1000</f>
        <v>#N/A</v>
      </c>
      <c r="Z148" s="1599" t="e">
        <f>-'Forklift INPUTS'!R528/'Forklift INPUTS'!$C$593/1000</f>
        <v>#N/A</v>
      </c>
      <c r="AA148" s="1599" t="e">
        <f>-'Forklift INPUTS'!S528/'Forklift INPUTS'!$C$593/1000</f>
        <v>#N/A</v>
      </c>
      <c r="AB148" s="1599" t="e">
        <f t="shared" ref="AB148:AB153" si="180">Y148+Z148</f>
        <v>#N/A</v>
      </c>
      <c r="AC148" s="1600" t="e">
        <f t="shared" ref="AC148:AC153" si="181">Y148+Z148+AA148</f>
        <v>#N/A</v>
      </c>
      <c r="AD148" s="1596"/>
      <c r="AE148" s="1546">
        <v>2015</v>
      </c>
      <c r="AF148" s="1601" t="e">
        <f>-'Forklift INPUTS'!Q543/'Forklift INPUTS'!$C$593/1000</f>
        <v>#N/A</v>
      </c>
      <c r="AG148" s="1601" t="e">
        <f>-'Forklift INPUTS'!R543/'Forklift INPUTS'!$C$593/1000</f>
        <v>#N/A</v>
      </c>
      <c r="AH148" s="1601" t="e">
        <f>-'Forklift INPUTS'!S543/'Forklift INPUTS'!$C$593/1000</f>
        <v>#N/A</v>
      </c>
      <c r="AI148" s="1601" t="e">
        <f t="shared" ref="AI148:AI153" si="182">AF148+AG148</f>
        <v>#N/A</v>
      </c>
      <c r="AJ148" s="1602" t="e">
        <f t="shared" ref="AJ148:AJ153" si="183">AF148+AG148+AH148</f>
        <v>#N/A</v>
      </c>
    </row>
    <row r="149" spans="1:36" ht="15.75" x14ac:dyDescent="0.25">
      <c r="A149" s="1545"/>
      <c r="B149" s="2308"/>
      <c r="C149" s="1546">
        <f t="shared" si="172"/>
        <v>2016</v>
      </c>
      <c r="D149" s="1591" t="e">
        <f t="shared" si="173"/>
        <v>#N/A</v>
      </c>
      <c r="E149" s="1591" t="e">
        <f t="shared" si="173"/>
        <v>#N/A</v>
      </c>
      <c r="F149" s="1591" t="e">
        <f t="shared" si="173"/>
        <v>#N/A</v>
      </c>
      <c r="G149" s="1591" t="e">
        <f t="shared" si="174"/>
        <v>#N/A</v>
      </c>
      <c r="H149" s="1592" t="e">
        <f t="shared" si="175"/>
        <v>#N/A</v>
      </c>
      <c r="I149" s="1593"/>
      <c r="J149" s="1546">
        <v>2016</v>
      </c>
      <c r="K149" s="1594" t="e">
        <f>-'Forklift INPUTS'!Q497/'Forklift INPUTS'!$C$593/1000</f>
        <v>#N/A</v>
      </c>
      <c r="L149" s="1594" t="e">
        <f>-'Forklift INPUTS'!R497/'Forklift INPUTS'!$C$593/1000</f>
        <v>#N/A</v>
      </c>
      <c r="M149" s="1594" t="e">
        <f>-'Forklift INPUTS'!S497/'Forklift INPUTS'!$C$593/1000</f>
        <v>#N/A</v>
      </c>
      <c r="N149" s="1594" t="e">
        <f t="shared" si="176"/>
        <v>#N/A</v>
      </c>
      <c r="O149" s="1595" t="e">
        <f t="shared" si="177"/>
        <v>#N/A</v>
      </c>
      <c r="P149" s="1596"/>
      <c r="Q149" s="1546">
        <v>2016</v>
      </c>
      <c r="R149" s="1597" t="e">
        <f>-'Forklift INPUTS'!Q516/'Forklift INPUTS'!$C$593/1000</f>
        <v>#N/A</v>
      </c>
      <c r="S149" s="1597" t="e">
        <f>-'Forklift INPUTS'!R516/'Forklift INPUTS'!$C$593/1000</f>
        <v>#N/A</v>
      </c>
      <c r="T149" s="1597" t="e">
        <f>-'Forklift INPUTS'!S516/'Forklift INPUTS'!$C$593/1000</f>
        <v>#N/A</v>
      </c>
      <c r="U149" s="1597" t="e">
        <f t="shared" si="178"/>
        <v>#N/A</v>
      </c>
      <c r="V149" s="1598" t="e">
        <f t="shared" si="179"/>
        <v>#N/A</v>
      </c>
      <c r="W149" s="1596"/>
      <c r="X149" s="1546">
        <v>2016</v>
      </c>
      <c r="Y149" s="1599" t="e">
        <f>-'Forklift INPUTS'!Q529/'Forklift INPUTS'!$C$593/1000</f>
        <v>#N/A</v>
      </c>
      <c r="Z149" s="1599" t="e">
        <f>-'Forklift INPUTS'!R529/'Forklift INPUTS'!$C$593/1000</f>
        <v>#N/A</v>
      </c>
      <c r="AA149" s="1599" t="e">
        <f>-'Forklift INPUTS'!S529/'Forklift INPUTS'!$C$593/1000</f>
        <v>#N/A</v>
      </c>
      <c r="AB149" s="1599" t="e">
        <f t="shared" si="180"/>
        <v>#N/A</v>
      </c>
      <c r="AC149" s="1600" t="e">
        <f t="shared" si="181"/>
        <v>#N/A</v>
      </c>
      <c r="AD149" s="1596"/>
      <c r="AE149" s="1546">
        <v>2016</v>
      </c>
      <c r="AF149" s="1601" t="e">
        <f>-'Forklift INPUTS'!Q544/'Forklift INPUTS'!$C$593/1000</f>
        <v>#N/A</v>
      </c>
      <c r="AG149" s="1601" t="e">
        <f>-'Forklift INPUTS'!R544/'Forklift INPUTS'!$C$593/1000</f>
        <v>#N/A</v>
      </c>
      <c r="AH149" s="1601" t="e">
        <f>-'Forklift INPUTS'!S544/'Forklift INPUTS'!$C$593/1000</f>
        <v>#N/A</v>
      </c>
      <c r="AI149" s="1601" t="e">
        <f t="shared" si="182"/>
        <v>#N/A</v>
      </c>
      <c r="AJ149" s="1602" t="e">
        <f t="shared" si="183"/>
        <v>#N/A</v>
      </c>
    </row>
    <row r="150" spans="1:36" ht="15.75" x14ac:dyDescent="0.25">
      <c r="A150" s="1545"/>
      <c r="B150" s="2308"/>
      <c r="C150" s="1546">
        <f t="shared" si="172"/>
        <v>2017</v>
      </c>
      <c r="D150" s="1591" t="e">
        <f t="shared" si="173"/>
        <v>#N/A</v>
      </c>
      <c r="E150" s="1591" t="e">
        <f t="shared" si="173"/>
        <v>#N/A</v>
      </c>
      <c r="F150" s="1591" t="e">
        <f t="shared" si="173"/>
        <v>#N/A</v>
      </c>
      <c r="G150" s="1591" t="e">
        <f t="shared" si="174"/>
        <v>#N/A</v>
      </c>
      <c r="H150" s="1592" t="e">
        <f t="shared" si="175"/>
        <v>#N/A</v>
      </c>
      <c r="I150" s="1593"/>
      <c r="J150" s="1546">
        <v>2017</v>
      </c>
      <c r="K150" s="1594" t="e">
        <f>-'Forklift INPUTS'!Q498/'Forklift INPUTS'!$C$593/1000</f>
        <v>#N/A</v>
      </c>
      <c r="L150" s="1594" t="e">
        <f>-'Forklift INPUTS'!R498/'Forklift INPUTS'!$C$593/1000</f>
        <v>#N/A</v>
      </c>
      <c r="M150" s="1594" t="e">
        <f>-'Forklift INPUTS'!S498/'Forklift INPUTS'!$C$593/1000</f>
        <v>#N/A</v>
      </c>
      <c r="N150" s="1594" t="e">
        <f t="shared" si="176"/>
        <v>#N/A</v>
      </c>
      <c r="O150" s="1595" t="e">
        <f t="shared" si="177"/>
        <v>#N/A</v>
      </c>
      <c r="P150" s="1596"/>
      <c r="Q150" s="1546">
        <v>2017</v>
      </c>
      <c r="R150" s="1597" t="e">
        <f>-'Forklift INPUTS'!Q517/'Forklift INPUTS'!$C$593/1000</f>
        <v>#N/A</v>
      </c>
      <c r="S150" s="1597" t="e">
        <f>-'Forklift INPUTS'!R517/'Forklift INPUTS'!$C$593/1000</f>
        <v>#N/A</v>
      </c>
      <c r="T150" s="1597" t="e">
        <f>-'Forklift INPUTS'!S517/'Forklift INPUTS'!$C$593/1000</f>
        <v>#N/A</v>
      </c>
      <c r="U150" s="1597" t="e">
        <f t="shared" si="178"/>
        <v>#N/A</v>
      </c>
      <c r="V150" s="1598" t="e">
        <f t="shared" si="179"/>
        <v>#N/A</v>
      </c>
      <c r="W150" s="1596"/>
      <c r="X150" s="1546">
        <v>2017</v>
      </c>
      <c r="Y150" s="1599" t="e">
        <f>-'Forklift INPUTS'!Q530/'Forklift INPUTS'!$C$593/1000</f>
        <v>#N/A</v>
      </c>
      <c r="Z150" s="1599" t="e">
        <f>-'Forklift INPUTS'!R530/'Forklift INPUTS'!$C$593/1000</f>
        <v>#N/A</v>
      </c>
      <c r="AA150" s="1599" t="e">
        <f>-'Forklift INPUTS'!S530/'Forklift INPUTS'!$C$593/1000</f>
        <v>#N/A</v>
      </c>
      <c r="AB150" s="1599" t="e">
        <f t="shared" si="180"/>
        <v>#N/A</v>
      </c>
      <c r="AC150" s="1600" t="e">
        <f t="shared" si="181"/>
        <v>#N/A</v>
      </c>
      <c r="AD150" s="1596"/>
      <c r="AE150" s="1546">
        <v>2017</v>
      </c>
      <c r="AF150" s="1601" t="e">
        <f>-'Forklift INPUTS'!Q545/'Forklift INPUTS'!$C$593/1000</f>
        <v>#N/A</v>
      </c>
      <c r="AG150" s="1601" t="e">
        <f>-'Forklift INPUTS'!R545/'Forklift INPUTS'!$C$593/1000</f>
        <v>#N/A</v>
      </c>
      <c r="AH150" s="1601" t="e">
        <f>-'Forklift INPUTS'!S545/'Forklift INPUTS'!$C$593/1000</f>
        <v>#N/A</v>
      </c>
      <c r="AI150" s="1601" t="e">
        <f t="shared" si="182"/>
        <v>#N/A</v>
      </c>
      <c r="AJ150" s="1602" t="e">
        <f t="shared" si="183"/>
        <v>#N/A</v>
      </c>
    </row>
    <row r="151" spans="1:36" ht="15.75" x14ac:dyDescent="0.25">
      <c r="A151" s="1545"/>
      <c r="B151" s="2308"/>
      <c r="C151" s="1546">
        <f t="shared" si="172"/>
        <v>2018</v>
      </c>
      <c r="D151" s="1591" t="e">
        <f t="shared" si="173"/>
        <v>#N/A</v>
      </c>
      <c r="E151" s="1591" t="e">
        <f t="shared" si="173"/>
        <v>#N/A</v>
      </c>
      <c r="F151" s="1591" t="e">
        <f t="shared" si="173"/>
        <v>#N/A</v>
      </c>
      <c r="G151" s="1591" t="e">
        <f t="shared" si="174"/>
        <v>#N/A</v>
      </c>
      <c r="H151" s="1592" t="e">
        <f t="shared" si="175"/>
        <v>#N/A</v>
      </c>
      <c r="I151" s="1593"/>
      <c r="J151" s="1546">
        <v>2018</v>
      </c>
      <c r="K151" s="1594" t="e">
        <f>-'Forklift INPUTS'!Q499/'Forklift INPUTS'!$C$593/1000</f>
        <v>#N/A</v>
      </c>
      <c r="L151" s="1594" t="e">
        <f>-'Forklift INPUTS'!R499/'Forklift INPUTS'!$C$593/1000</f>
        <v>#N/A</v>
      </c>
      <c r="M151" s="1594" t="e">
        <f>-'Forklift INPUTS'!S499/'Forklift INPUTS'!$C$593/1000</f>
        <v>#N/A</v>
      </c>
      <c r="N151" s="1594" t="e">
        <f t="shared" si="176"/>
        <v>#N/A</v>
      </c>
      <c r="O151" s="1595" t="e">
        <f t="shared" si="177"/>
        <v>#N/A</v>
      </c>
      <c r="P151" s="1596"/>
      <c r="Q151" s="1546">
        <v>2018</v>
      </c>
      <c r="R151" s="1597" t="e">
        <f>-'Forklift INPUTS'!Q518/'Forklift INPUTS'!$C$593/1000</f>
        <v>#N/A</v>
      </c>
      <c r="S151" s="1597" t="e">
        <f>-'Forklift INPUTS'!R518/'Forklift INPUTS'!$C$593/1000</f>
        <v>#N/A</v>
      </c>
      <c r="T151" s="1597" t="e">
        <f>-'Forklift INPUTS'!S518/'Forklift INPUTS'!$C$593/1000</f>
        <v>#N/A</v>
      </c>
      <c r="U151" s="1597" t="e">
        <f t="shared" si="178"/>
        <v>#N/A</v>
      </c>
      <c r="V151" s="1598" t="e">
        <f t="shared" si="179"/>
        <v>#N/A</v>
      </c>
      <c r="W151" s="1596"/>
      <c r="X151" s="1546">
        <v>2018</v>
      </c>
      <c r="Y151" s="1599" t="e">
        <f>-'Forklift INPUTS'!Q531/'Forklift INPUTS'!$C$593/1000</f>
        <v>#N/A</v>
      </c>
      <c r="Z151" s="1599" t="e">
        <f>-'Forklift INPUTS'!R531/'Forklift INPUTS'!$C$593/1000</f>
        <v>#N/A</v>
      </c>
      <c r="AA151" s="1599" t="e">
        <f>-'Forklift INPUTS'!S531/'Forklift INPUTS'!$C$593/1000</f>
        <v>#N/A</v>
      </c>
      <c r="AB151" s="1599" t="e">
        <f t="shared" si="180"/>
        <v>#N/A</v>
      </c>
      <c r="AC151" s="1600" t="e">
        <f t="shared" si="181"/>
        <v>#N/A</v>
      </c>
      <c r="AD151" s="1596"/>
      <c r="AE151" s="1546">
        <v>2018</v>
      </c>
      <c r="AF151" s="1601" t="e">
        <f>-'Forklift INPUTS'!Q546/'Forklift INPUTS'!$C$593/1000</f>
        <v>#N/A</v>
      </c>
      <c r="AG151" s="1601" t="e">
        <f>-'Forklift INPUTS'!R546/'Forklift INPUTS'!$C$593/1000</f>
        <v>#N/A</v>
      </c>
      <c r="AH151" s="1601" t="e">
        <f>-'Forklift INPUTS'!S546/'Forklift INPUTS'!$C$593/1000</f>
        <v>#N/A</v>
      </c>
      <c r="AI151" s="1601" t="e">
        <f t="shared" si="182"/>
        <v>#N/A</v>
      </c>
      <c r="AJ151" s="1602" t="e">
        <f t="shared" si="183"/>
        <v>#N/A</v>
      </c>
    </row>
    <row r="152" spans="1:36" ht="15.75" x14ac:dyDescent="0.25">
      <c r="A152" s="1545"/>
      <c r="B152" s="2308"/>
      <c r="C152" s="1546">
        <f t="shared" si="172"/>
        <v>2019</v>
      </c>
      <c r="D152" s="1591" t="e">
        <f t="shared" si="173"/>
        <v>#N/A</v>
      </c>
      <c r="E152" s="1591" t="e">
        <f t="shared" si="173"/>
        <v>#N/A</v>
      </c>
      <c r="F152" s="1591" t="e">
        <f t="shared" si="173"/>
        <v>#N/A</v>
      </c>
      <c r="G152" s="1591" t="e">
        <f t="shared" si="174"/>
        <v>#N/A</v>
      </c>
      <c r="H152" s="1592" t="e">
        <f t="shared" si="175"/>
        <v>#N/A</v>
      </c>
      <c r="I152" s="1593"/>
      <c r="J152" s="1546">
        <v>2019</v>
      </c>
      <c r="K152" s="1594" t="e">
        <f>-'Forklift INPUTS'!Q500/'Forklift INPUTS'!$C$593/1000</f>
        <v>#N/A</v>
      </c>
      <c r="L152" s="1594" t="e">
        <f>-'Forklift INPUTS'!R500/'Forklift INPUTS'!$C$593/1000</f>
        <v>#N/A</v>
      </c>
      <c r="M152" s="1594" t="e">
        <f>-'Forklift INPUTS'!S500/'Forklift INPUTS'!$C$593/1000</f>
        <v>#N/A</v>
      </c>
      <c r="N152" s="1594" t="e">
        <f t="shared" si="176"/>
        <v>#N/A</v>
      </c>
      <c r="O152" s="1595" t="e">
        <f t="shared" si="177"/>
        <v>#N/A</v>
      </c>
      <c r="P152" s="1596"/>
      <c r="Q152" s="1546">
        <v>2019</v>
      </c>
      <c r="R152" s="1597" t="e">
        <f>-'Forklift INPUTS'!Q519/'Forklift INPUTS'!$C$593/1000</f>
        <v>#N/A</v>
      </c>
      <c r="S152" s="1597" t="e">
        <f>-'Forklift INPUTS'!R519/'Forklift INPUTS'!$C$593/1000</f>
        <v>#N/A</v>
      </c>
      <c r="T152" s="1597" t="e">
        <f>-'Forklift INPUTS'!S519/'Forklift INPUTS'!$C$593/1000</f>
        <v>#N/A</v>
      </c>
      <c r="U152" s="1597" t="e">
        <f t="shared" si="178"/>
        <v>#N/A</v>
      </c>
      <c r="V152" s="1598" t="e">
        <f t="shared" si="179"/>
        <v>#N/A</v>
      </c>
      <c r="W152" s="1596"/>
      <c r="X152" s="1546">
        <v>2019</v>
      </c>
      <c r="Y152" s="1599" t="e">
        <f>-'Forklift INPUTS'!Q532/'Forklift INPUTS'!$C$593/1000</f>
        <v>#N/A</v>
      </c>
      <c r="Z152" s="1599" t="e">
        <f>-'Forklift INPUTS'!R532/'Forklift INPUTS'!$C$593/1000</f>
        <v>#N/A</v>
      </c>
      <c r="AA152" s="1599" t="e">
        <f>-'Forklift INPUTS'!S532/'Forklift INPUTS'!$C$593/1000</f>
        <v>#N/A</v>
      </c>
      <c r="AB152" s="1599" t="e">
        <f t="shared" si="180"/>
        <v>#N/A</v>
      </c>
      <c r="AC152" s="1600" t="e">
        <f t="shared" si="181"/>
        <v>#N/A</v>
      </c>
      <c r="AD152" s="1596"/>
      <c r="AE152" s="1546">
        <v>2019</v>
      </c>
      <c r="AF152" s="1601" t="e">
        <f>-'Forklift INPUTS'!Q547/'Forklift INPUTS'!$C$593/1000</f>
        <v>#N/A</v>
      </c>
      <c r="AG152" s="1601" t="e">
        <f>-'Forklift INPUTS'!R547/'Forklift INPUTS'!$C$593/1000</f>
        <v>#N/A</v>
      </c>
      <c r="AH152" s="1601" t="e">
        <f>-'Forklift INPUTS'!S547/'Forklift INPUTS'!$C$593/1000</f>
        <v>#N/A</v>
      </c>
      <c r="AI152" s="1601" t="e">
        <f t="shared" si="182"/>
        <v>#N/A</v>
      </c>
      <c r="AJ152" s="1602" t="e">
        <f t="shared" si="183"/>
        <v>#N/A</v>
      </c>
    </row>
    <row r="153" spans="1:36" ht="15.75" x14ac:dyDescent="0.25">
      <c r="A153" s="1545"/>
      <c r="B153" s="2309"/>
      <c r="C153" s="1546">
        <f t="shared" si="172"/>
        <v>2020</v>
      </c>
      <c r="D153" s="1591" t="e">
        <f t="shared" si="173"/>
        <v>#N/A</v>
      </c>
      <c r="E153" s="1591" t="e">
        <f t="shared" si="173"/>
        <v>#N/A</v>
      </c>
      <c r="F153" s="1591" t="e">
        <f t="shared" si="173"/>
        <v>#N/A</v>
      </c>
      <c r="G153" s="1591" t="e">
        <f t="shared" si="174"/>
        <v>#N/A</v>
      </c>
      <c r="H153" s="1592" t="e">
        <f t="shared" si="175"/>
        <v>#N/A</v>
      </c>
      <c r="I153" s="1593"/>
      <c r="J153" s="1546">
        <v>2020</v>
      </c>
      <c r="K153" s="1594" t="e">
        <f>-'Forklift INPUTS'!Q501/'Forklift INPUTS'!$C$593/1000</f>
        <v>#N/A</v>
      </c>
      <c r="L153" s="1594" t="e">
        <f>-'Forklift INPUTS'!R501/'Forklift INPUTS'!$C$593/1000</f>
        <v>#N/A</v>
      </c>
      <c r="M153" s="1594" t="e">
        <f>-'Forklift INPUTS'!S501/'Forklift INPUTS'!$C$593/1000</f>
        <v>#N/A</v>
      </c>
      <c r="N153" s="1594" t="e">
        <f t="shared" si="176"/>
        <v>#N/A</v>
      </c>
      <c r="O153" s="1595" t="e">
        <f t="shared" si="177"/>
        <v>#N/A</v>
      </c>
      <c r="P153" s="1596"/>
      <c r="Q153" s="1546">
        <v>2020</v>
      </c>
      <c r="R153" s="1597" t="e">
        <f>-'Forklift INPUTS'!Q520/'Forklift INPUTS'!$C$593/1000</f>
        <v>#N/A</v>
      </c>
      <c r="S153" s="1597" t="e">
        <f>-'Forklift INPUTS'!R520/'Forklift INPUTS'!$C$593/1000</f>
        <v>#N/A</v>
      </c>
      <c r="T153" s="1597" t="e">
        <f>-'Forklift INPUTS'!S520/'Forklift INPUTS'!$C$593/1000</f>
        <v>#N/A</v>
      </c>
      <c r="U153" s="1597" t="e">
        <f t="shared" si="178"/>
        <v>#N/A</v>
      </c>
      <c r="V153" s="1598" t="e">
        <f t="shared" si="179"/>
        <v>#N/A</v>
      </c>
      <c r="W153" s="1596"/>
      <c r="X153" s="1546">
        <v>2020</v>
      </c>
      <c r="Y153" s="1599" t="e">
        <f>-'Forklift INPUTS'!Q533/'Forklift INPUTS'!$C$593/1000</f>
        <v>#N/A</v>
      </c>
      <c r="Z153" s="1599" t="e">
        <f>-'Forklift INPUTS'!R533/'Forklift INPUTS'!$C$593/1000</f>
        <v>#N/A</v>
      </c>
      <c r="AA153" s="1599" t="e">
        <f>-'Forklift INPUTS'!S533/'Forklift INPUTS'!$C$593/1000</f>
        <v>#N/A</v>
      </c>
      <c r="AB153" s="1599" t="e">
        <f t="shared" si="180"/>
        <v>#N/A</v>
      </c>
      <c r="AC153" s="1600" t="e">
        <f t="shared" si="181"/>
        <v>#N/A</v>
      </c>
      <c r="AD153" s="1596"/>
      <c r="AE153" s="1546">
        <v>2020</v>
      </c>
      <c r="AF153" s="1601" t="e">
        <f>-'Forklift INPUTS'!Q548/'Forklift INPUTS'!$C$593/1000</f>
        <v>#N/A</v>
      </c>
      <c r="AG153" s="1601" t="e">
        <f>-'Forklift INPUTS'!R548/'Forklift INPUTS'!$C$593/1000</f>
        <v>#N/A</v>
      </c>
      <c r="AH153" s="1601" t="e">
        <f>-'Forklift INPUTS'!S548/'Forklift INPUTS'!$C$593/1000</f>
        <v>#N/A</v>
      </c>
      <c r="AI153" s="1601" t="e">
        <f t="shared" si="182"/>
        <v>#N/A</v>
      </c>
      <c r="AJ153" s="1602" t="e">
        <f t="shared" si="183"/>
        <v>#N/A</v>
      </c>
    </row>
    <row r="154" spans="1:36" s="1407" customFormat="1" ht="15.75" x14ac:dyDescent="0.25">
      <c r="A154" s="1545"/>
      <c r="B154" s="1564"/>
      <c r="C154" s="1565"/>
      <c r="D154" s="1565"/>
      <c r="E154" s="1566"/>
      <c r="F154" s="1566"/>
      <c r="G154" s="1566"/>
      <c r="H154" s="1566"/>
      <c r="I154" s="1566"/>
      <c r="J154" s="1566"/>
      <c r="K154" s="1565"/>
      <c r="L154" s="1567"/>
      <c r="M154" s="1567"/>
      <c r="N154" s="1567"/>
      <c r="O154" s="1567"/>
      <c r="P154" s="1567"/>
      <c r="Q154" s="1567"/>
      <c r="R154" s="1567"/>
      <c r="S154" s="1567"/>
      <c r="T154" s="1567"/>
      <c r="U154" s="1567"/>
      <c r="V154" s="1565"/>
      <c r="W154" s="1565"/>
      <c r="X154" s="1565"/>
      <c r="Y154" s="1565"/>
      <c r="Z154" s="1565"/>
      <c r="AA154" s="1565"/>
      <c r="AB154" s="1565"/>
      <c r="AC154" s="1565"/>
      <c r="AD154" s="1565"/>
      <c r="AE154" s="1565"/>
      <c r="AF154" s="1565"/>
      <c r="AG154" s="1565"/>
      <c r="AH154" s="1565"/>
      <c r="AI154" s="1565"/>
      <c r="AJ154" s="1565"/>
    </row>
    <row r="155" spans="1:36" ht="16.5" customHeight="1" x14ac:dyDescent="0.25">
      <c r="A155" s="1569"/>
      <c r="B155" s="2307" t="s">
        <v>1757</v>
      </c>
      <c r="C155" s="1570"/>
      <c r="D155" s="1571" t="str">
        <f>D$69</f>
        <v>Total (Manufacturing, Installation, Fuel, and Maintenance)</v>
      </c>
      <c r="E155" s="1572"/>
      <c r="F155" s="1572"/>
      <c r="G155" s="1572"/>
      <c r="H155" s="1572"/>
      <c r="I155" s="1573"/>
      <c r="J155" s="1505"/>
      <c r="K155" s="1574" t="str">
        <f>K145</f>
        <v>Displaced Forklift Battery Mfg., Development, Sales, and Shipping (Class I/II and III combined)</v>
      </c>
      <c r="L155" s="1575"/>
      <c r="M155" s="1575"/>
      <c r="N155" s="1575"/>
      <c r="O155" s="1575"/>
      <c r="P155" s="1576"/>
      <c r="Q155" s="1505"/>
      <c r="R155" s="1577" t="str">
        <f>R145</f>
        <v>Battery Charging and Infrastructure Installations</v>
      </c>
      <c r="S155" s="1578"/>
      <c r="T155" s="1578"/>
      <c r="U155" s="1578"/>
      <c r="V155" s="1578"/>
      <c r="W155" s="1576"/>
      <c r="X155" s="1505"/>
      <c r="Y155" s="1579" t="str">
        <f>Y145</f>
        <v>Electricity Production and Delivery</v>
      </c>
      <c r="Z155" s="1580"/>
      <c r="AA155" s="1580"/>
      <c r="AB155" s="1580"/>
      <c r="AC155" s="1580"/>
      <c r="AD155" s="1576"/>
      <c r="AE155" s="1505"/>
      <c r="AF155" s="1581" t="str">
        <f>AF145</f>
        <v>Battery and Battery-related Infrastructure Maintenance</v>
      </c>
      <c r="AG155" s="1582"/>
      <c r="AH155" s="1582"/>
      <c r="AI155" s="1582"/>
      <c r="AJ155" s="1582"/>
    </row>
    <row r="156" spans="1:36" ht="16.5" x14ac:dyDescent="0.25">
      <c r="A156" s="1569"/>
      <c r="B156" s="2308"/>
      <c r="C156" s="1585"/>
      <c r="D156" s="1571" t="str">
        <f>B155</f>
        <v>Displaced Domestic Forklift Battery-related Earnings (Output of 2010$)</v>
      </c>
      <c r="E156" s="1586"/>
      <c r="F156" s="1572"/>
      <c r="G156" s="1572"/>
      <c r="H156" s="1572"/>
      <c r="I156" s="1573"/>
      <c r="J156" s="1521"/>
      <c r="K156" s="1509" t="str">
        <f>D156</f>
        <v>Displaced Domestic Forklift Battery-related Earnings (Output of 2010$)</v>
      </c>
      <c r="L156" s="1587"/>
      <c r="M156" s="1575"/>
      <c r="N156" s="1575"/>
      <c r="O156" s="1575"/>
      <c r="P156" s="1576"/>
      <c r="Q156" s="1521"/>
      <c r="R156" s="1512" t="str">
        <f>K156</f>
        <v>Displaced Domestic Forklift Battery-related Earnings (Output of 2010$)</v>
      </c>
      <c r="S156" s="1588"/>
      <c r="T156" s="1578"/>
      <c r="U156" s="1578"/>
      <c r="V156" s="1578"/>
      <c r="W156" s="1576"/>
      <c r="X156" s="1521"/>
      <c r="Y156" s="1514" t="str">
        <f>R156</f>
        <v>Displaced Domestic Forklift Battery-related Earnings (Output of 2010$)</v>
      </c>
      <c r="Z156" s="1524"/>
      <c r="AA156" s="1580"/>
      <c r="AB156" s="1580"/>
      <c r="AC156" s="1580"/>
      <c r="AD156" s="1576"/>
      <c r="AE156" s="1521"/>
      <c r="AF156" s="1516" t="str">
        <f>Y156</f>
        <v>Displaced Domestic Forklift Battery-related Earnings (Output of 2010$)</v>
      </c>
      <c r="AG156" s="1525"/>
      <c r="AH156" s="1582"/>
      <c r="AI156" s="1582"/>
      <c r="AJ156" s="1582"/>
    </row>
    <row r="157" spans="1:36" ht="62.25" customHeight="1" x14ac:dyDescent="0.25">
      <c r="A157" s="1589"/>
      <c r="B157" s="2308"/>
      <c r="C157" s="1585" t="str">
        <f t="shared" ref="C157:C163" si="184">C147</f>
        <v>Year</v>
      </c>
      <c r="D157" s="1528" t="str">
        <f>D$172&amp;" "&amp;D$173</f>
        <v>Displaced Forklift Battery-related Direct</v>
      </c>
      <c r="E157" s="1528" t="str">
        <f>E$172&amp;" "&amp;E$173</f>
        <v>Displaced Forklift Battery-related Indirect</v>
      </c>
      <c r="F157" s="1528" t="str">
        <f>F$172&amp;" "&amp;F$173</f>
        <v>Displaced Forklift Battery-related Induced</v>
      </c>
      <c r="G157" s="1529" t="str">
        <f>G$172&amp;" "&amp;G$173</f>
        <v>Displaced Forklift Battery-related Supply Chain</v>
      </c>
      <c r="H157" s="1529" t="str">
        <f>H$172&amp;" "&amp;H$173</f>
        <v>Displaced Forklift Battery-related Total</v>
      </c>
      <c r="I157" s="1530"/>
      <c r="J157" s="1527" t="s">
        <v>433</v>
      </c>
      <c r="K157" s="1531" t="str">
        <f>K$172&amp;" "&amp;K$173</f>
        <v>Displaced Forklift Battery Direct</v>
      </c>
      <c r="L157" s="1531" t="str">
        <f>L$172&amp;" "&amp;L$173</f>
        <v>Displaced Forklift Battery Indirect</v>
      </c>
      <c r="M157" s="1531" t="str">
        <f>M$172&amp;" "&amp;M$173</f>
        <v>Displaced Forklift Battery Induced</v>
      </c>
      <c r="N157" s="1532" t="str">
        <f>N$172&amp;" "&amp;N$173</f>
        <v>Displaced Forklift Battery Supply Chain</v>
      </c>
      <c r="O157" s="1532" t="str">
        <f>O$172&amp;" "&amp;O$173</f>
        <v>Displaced Forklift Battery Total</v>
      </c>
      <c r="P157" s="1533"/>
      <c r="Q157" s="1527" t="s">
        <v>433</v>
      </c>
      <c r="R157" s="1534" t="str">
        <f>R$172&amp;" "&amp;R$173</f>
        <v>Displaced On-site Battery Infrastructure Direct</v>
      </c>
      <c r="S157" s="1534" t="str">
        <f>S$172&amp;" "&amp;S$173</f>
        <v>Displaced On-site Battery Infrastructure Indirect</v>
      </c>
      <c r="T157" s="1534" t="str">
        <f>T$172&amp;" "&amp;T$173</f>
        <v>Displaced On-site Battery Infrastructure Induced</v>
      </c>
      <c r="U157" s="1535" t="str">
        <f>U$172&amp;" "&amp;U$173</f>
        <v>Displaced On-site Battery Infrastructure Supply Chain</v>
      </c>
      <c r="V157" s="1535" t="str">
        <f>V$172&amp;" "&amp;V$173</f>
        <v>Displaced On-site Battery Infrastructure Total</v>
      </c>
      <c r="W157" s="1533"/>
      <c r="X157" s="1527" t="s">
        <v>433</v>
      </c>
      <c r="Y157" s="1536" t="str">
        <f>Y$172&amp;" "&amp;Y$173</f>
        <v>Displaced Electricity Direct</v>
      </c>
      <c r="Z157" s="1536" t="str">
        <f>Z$172&amp;" "&amp;Z$173</f>
        <v>Displaced Electricity Indirect</v>
      </c>
      <c r="AA157" s="1536" t="str">
        <f>AA$172&amp;" "&amp;AA$173</f>
        <v>Displaced Electricity Induced</v>
      </c>
      <c r="AB157" s="1537" t="str">
        <f>AB$172&amp;" "&amp;AB$173</f>
        <v>Displaced Electricity Supply Chain</v>
      </c>
      <c r="AC157" s="1537" t="str">
        <f>AC$172&amp;" "&amp;AC$173</f>
        <v>Displaced Electricity Total</v>
      </c>
      <c r="AD157" s="1533"/>
      <c r="AE157" s="1527" t="s">
        <v>433</v>
      </c>
      <c r="AF157" s="1538" t="str">
        <f>AF$172&amp;" "&amp;AF$173</f>
        <v>Displaced Battery and Infr. Maint. Direct</v>
      </c>
      <c r="AG157" s="1538" t="str">
        <f>AG$172&amp;" "&amp;AG$173</f>
        <v>Displaced Battery and Infr. Maint. Indirect</v>
      </c>
      <c r="AH157" s="1538" t="str">
        <f>AH$172&amp;" "&amp;AH$173</f>
        <v>Displaced Battery and Infr. Maint. Induced</v>
      </c>
      <c r="AI157" s="1539" t="str">
        <f>AI$172&amp;" "&amp;AI$173</f>
        <v>Displaced Battery and Infr. Maint. Supply Chain</v>
      </c>
      <c r="AJ157" s="1539" t="str">
        <f>AJ$172&amp;" "&amp;AJ$173</f>
        <v>Displaced Battery and Infr. Maint. Total</v>
      </c>
    </row>
    <row r="158" spans="1:36" ht="15.75" x14ac:dyDescent="0.25">
      <c r="A158" s="1545"/>
      <c r="B158" s="2308"/>
      <c r="C158" s="1546">
        <f t="shared" si="184"/>
        <v>2015</v>
      </c>
      <c r="D158" s="1591" t="e">
        <f t="shared" ref="D158:F163" si="185">K158+R158+Y158+AF158</f>
        <v>#N/A</v>
      </c>
      <c r="E158" s="1591" t="e">
        <f t="shared" si="185"/>
        <v>#N/A</v>
      </c>
      <c r="F158" s="1591" t="e">
        <f t="shared" si="185"/>
        <v>#N/A</v>
      </c>
      <c r="G158" s="1591" t="e">
        <f t="shared" ref="G158:G163" si="186">D158+E158</f>
        <v>#N/A</v>
      </c>
      <c r="H158" s="1592" t="e">
        <f t="shared" ref="H158:H163" si="187">D158+E158+F158</f>
        <v>#N/A</v>
      </c>
      <c r="I158" s="1593"/>
      <c r="J158" s="1546">
        <v>2015</v>
      </c>
      <c r="K158" s="1594" t="e">
        <f>-'Forklift INPUTS'!W496/'Forklift INPUTS'!$C$593/1000</f>
        <v>#N/A</v>
      </c>
      <c r="L158" s="1594" t="e">
        <f>-'Forklift INPUTS'!X496/'Forklift INPUTS'!$C$593/1000</f>
        <v>#N/A</v>
      </c>
      <c r="M158" s="1594" t="e">
        <f>-'Forklift INPUTS'!Y496/'Forklift INPUTS'!$C$593/1000</f>
        <v>#N/A</v>
      </c>
      <c r="N158" s="1594" t="e">
        <f t="shared" ref="N158:N163" si="188">K158+L158</f>
        <v>#N/A</v>
      </c>
      <c r="O158" s="1595" t="e">
        <f t="shared" ref="O158:O163" si="189">K158+L158+M158</f>
        <v>#N/A</v>
      </c>
      <c r="P158" s="1596"/>
      <c r="Q158" s="1546">
        <v>2015</v>
      </c>
      <c r="R158" s="1597" t="e">
        <f>-'Forklift INPUTS'!W515/'Forklift INPUTS'!$C$593/1000</f>
        <v>#N/A</v>
      </c>
      <c r="S158" s="1597" t="e">
        <f>-'Forklift INPUTS'!X515/'Forklift INPUTS'!$C$593/1000</f>
        <v>#N/A</v>
      </c>
      <c r="T158" s="1597" t="e">
        <f>-'Forklift INPUTS'!Y515/'Forklift INPUTS'!$C$593/1000</f>
        <v>#N/A</v>
      </c>
      <c r="U158" s="1597" t="e">
        <f t="shared" ref="U158:U163" si="190">R158+S158</f>
        <v>#N/A</v>
      </c>
      <c r="V158" s="1598" t="e">
        <f t="shared" ref="V158:V163" si="191">R158+S158+T158</f>
        <v>#N/A</v>
      </c>
      <c r="W158" s="1596"/>
      <c r="X158" s="1546">
        <v>2015</v>
      </c>
      <c r="Y158" s="1599" t="e">
        <f>-'Forklift INPUTS'!W528/'Forklift INPUTS'!$C$593/1000</f>
        <v>#N/A</v>
      </c>
      <c r="Z158" s="1599" t="e">
        <f>-'Forklift INPUTS'!X528/'Forklift INPUTS'!$C$593/1000</f>
        <v>#N/A</v>
      </c>
      <c r="AA158" s="1599" t="e">
        <f>-'Forklift INPUTS'!Y528/'Forklift INPUTS'!$C$593/1000</f>
        <v>#N/A</v>
      </c>
      <c r="AB158" s="1599" t="e">
        <f t="shared" ref="AB158:AB163" si="192">Y158+Z158</f>
        <v>#N/A</v>
      </c>
      <c r="AC158" s="1600" t="e">
        <f t="shared" ref="AC158:AC163" si="193">Y158+Z158+AA158</f>
        <v>#N/A</v>
      </c>
      <c r="AD158" s="1596"/>
      <c r="AE158" s="1546">
        <v>2015</v>
      </c>
      <c r="AF158" s="1601" t="e">
        <f>-'Forklift INPUTS'!W543/'Forklift INPUTS'!$C$593/1000</f>
        <v>#N/A</v>
      </c>
      <c r="AG158" s="1601" t="e">
        <f>-'Forklift INPUTS'!X543/'Forklift INPUTS'!$C$593/1000</f>
        <v>#N/A</v>
      </c>
      <c r="AH158" s="1601" t="e">
        <f>-'Forklift INPUTS'!Y543/'Forklift INPUTS'!$C$593/1000</f>
        <v>#N/A</v>
      </c>
      <c r="AI158" s="1601" t="e">
        <f t="shared" ref="AI158:AI163" si="194">AF158+AG158</f>
        <v>#N/A</v>
      </c>
      <c r="AJ158" s="1602" t="e">
        <f t="shared" ref="AJ158:AJ163" si="195">AF158+AG158+AH158</f>
        <v>#N/A</v>
      </c>
    </row>
    <row r="159" spans="1:36" ht="15.75" x14ac:dyDescent="0.25">
      <c r="A159" s="1545"/>
      <c r="B159" s="2308"/>
      <c r="C159" s="1546">
        <f t="shared" si="184"/>
        <v>2016</v>
      </c>
      <c r="D159" s="1591" t="e">
        <f t="shared" si="185"/>
        <v>#N/A</v>
      </c>
      <c r="E159" s="1591" t="e">
        <f t="shared" si="185"/>
        <v>#N/A</v>
      </c>
      <c r="F159" s="1591" t="e">
        <f t="shared" si="185"/>
        <v>#N/A</v>
      </c>
      <c r="G159" s="1591" t="e">
        <f t="shared" si="186"/>
        <v>#N/A</v>
      </c>
      <c r="H159" s="1592" t="e">
        <f t="shared" si="187"/>
        <v>#N/A</v>
      </c>
      <c r="I159" s="1593"/>
      <c r="J159" s="1546">
        <v>2016</v>
      </c>
      <c r="K159" s="1594" t="e">
        <f>-'Forklift INPUTS'!W497/'Forklift INPUTS'!$C$593/1000</f>
        <v>#N/A</v>
      </c>
      <c r="L159" s="1594" t="e">
        <f>-'Forklift INPUTS'!X497/'Forklift INPUTS'!$C$593/1000</f>
        <v>#N/A</v>
      </c>
      <c r="M159" s="1594" t="e">
        <f>-'Forklift INPUTS'!Y497/'Forklift INPUTS'!$C$593/1000</f>
        <v>#N/A</v>
      </c>
      <c r="N159" s="1594" t="e">
        <f t="shared" si="188"/>
        <v>#N/A</v>
      </c>
      <c r="O159" s="1595" t="e">
        <f t="shared" si="189"/>
        <v>#N/A</v>
      </c>
      <c r="P159" s="1596"/>
      <c r="Q159" s="1546">
        <v>2016</v>
      </c>
      <c r="R159" s="1597" t="e">
        <f>-'Forklift INPUTS'!W516/'Forklift INPUTS'!$C$593/1000</f>
        <v>#N/A</v>
      </c>
      <c r="S159" s="1597" t="e">
        <f>-'Forklift INPUTS'!X516/'Forklift INPUTS'!$C$593/1000</f>
        <v>#N/A</v>
      </c>
      <c r="T159" s="1597" t="e">
        <f>-'Forklift INPUTS'!Y516/'Forklift INPUTS'!$C$593/1000</f>
        <v>#N/A</v>
      </c>
      <c r="U159" s="1597" t="e">
        <f t="shared" si="190"/>
        <v>#N/A</v>
      </c>
      <c r="V159" s="1598" t="e">
        <f t="shared" si="191"/>
        <v>#N/A</v>
      </c>
      <c r="W159" s="1596"/>
      <c r="X159" s="1546">
        <v>2016</v>
      </c>
      <c r="Y159" s="1599" t="e">
        <f>-'Forklift INPUTS'!W529/'Forklift INPUTS'!$C$593/1000</f>
        <v>#N/A</v>
      </c>
      <c r="Z159" s="1599" t="e">
        <f>-'Forklift INPUTS'!X529/'Forklift INPUTS'!$C$593/1000</f>
        <v>#N/A</v>
      </c>
      <c r="AA159" s="1599" t="e">
        <f>-'Forklift INPUTS'!Y529/'Forklift INPUTS'!$C$593/1000</f>
        <v>#N/A</v>
      </c>
      <c r="AB159" s="1599" t="e">
        <f t="shared" si="192"/>
        <v>#N/A</v>
      </c>
      <c r="AC159" s="1600" t="e">
        <f t="shared" si="193"/>
        <v>#N/A</v>
      </c>
      <c r="AD159" s="1596"/>
      <c r="AE159" s="1546">
        <v>2016</v>
      </c>
      <c r="AF159" s="1601" t="e">
        <f>-'Forklift INPUTS'!W544/'Forklift INPUTS'!$C$593/1000</f>
        <v>#N/A</v>
      </c>
      <c r="AG159" s="1601" t="e">
        <f>-'Forklift INPUTS'!X544/'Forklift INPUTS'!$C$593/1000</f>
        <v>#N/A</v>
      </c>
      <c r="AH159" s="1601" t="e">
        <f>-'Forklift INPUTS'!Y544/'Forklift INPUTS'!$C$593/1000</f>
        <v>#N/A</v>
      </c>
      <c r="AI159" s="1601" t="e">
        <f t="shared" si="194"/>
        <v>#N/A</v>
      </c>
      <c r="AJ159" s="1602" t="e">
        <f t="shared" si="195"/>
        <v>#N/A</v>
      </c>
    </row>
    <row r="160" spans="1:36" ht="15.75" x14ac:dyDescent="0.25">
      <c r="A160" s="1545"/>
      <c r="B160" s="2308"/>
      <c r="C160" s="1546">
        <f t="shared" si="184"/>
        <v>2017</v>
      </c>
      <c r="D160" s="1591" t="e">
        <f t="shared" si="185"/>
        <v>#N/A</v>
      </c>
      <c r="E160" s="1591" t="e">
        <f t="shared" si="185"/>
        <v>#N/A</v>
      </c>
      <c r="F160" s="1591" t="e">
        <f t="shared" si="185"/>
        <v>#N/A</v>
      </c>
      <c r="G160" s="1591" t="e">
        <f t="shared" si="186"/>
        <v>#N/A</v>
      </c>
      <c r="H160" s="1592" t="e">
        <f t="shared" si="187"/>
        <v>#N/A</v>
      </c>
      <c r="I160" s="1593"/>
      <c r="J160" s="1546">
        <v>2017</v>
      </c>
      <c r="K160" s="1594" t="e">
        <f>-'Forklift INPUTS'!W498/'Forklift INPUTS'!$C$593/1000</f>
        <v>#N/A</v>
      </c>
      <c r="L160" s="1594" t="e">
        <f>-'Forklift INPUTS'!X498/'Forklift INPUTS'!$C$593/1000</f>
        <v>#N/A</v>
      </c>
      <c r="M160" s="1594" t="e">
        <f>-'Forklift INPUTS'!Y498/'Forklift INPUTS'!$C$593/1000</f>
        <v>#N/A</v>
      </c>
      <c r="N160" s="1594" t="e">
        <f t="shared" si="188"/>
        <v>#N/A</v>
      </c>
      <c r="O160" s="1595" t="e">
        <f t="shared" si="189"/>
        <v>#N/A</v>
      </c>
      <c r="P160" s="1596"/>
      <c r="Q160" s="1546">
        <v>2017</v>
      </c>
      <c r="R160" s="1597" t="e">
        <f>-'Forklift INPUTS'!W517/'Forklift INPUTS'!$C$593/1000</f>
        <v>#N/A</v>
      </c>
      <c r="S160" s="1597" t="e">
        <f>-'Forklift INPUTS'!X517/'Forklift INPUTS'!$C$593/1000</f>
        <v>#N/A</v>
      </c>
      <c r="T160" s="1597" t="e">
        <f>-'Forklift INPUTS'!Y517/'Forklift INPUTS'!$C$593/1000</f>
        <v>#N/A</v>
      </c>
      <c r="U160" s="1597" t="e">
        <f t="shared" si="190"/>
        <v>#N/A</v>
      </c>
      <c r="V160" s="1598" t="e">
        <f t="shared" si="191"/>
        <v>#N/A</v>
      </c>
      <c r="W160" s="1596"/>
      <c r="X160" s="1546">
        <v>2017</v>
      </c>
      <c r="Y160" s="1599" t="e">
        <f>-'Forklift INPUTS'!W530/'Forklift INPUTS'!$C$593/1000</f>
        <v>#N/A</v>
      </c>
      <c r="Z160" s="1599" t="e">
        <f>-'Forklift INPUTS'!X530/'Forklift INPUTS'!$C$593/1000</f>
        <v>#N/A</v>
      </c>
      <c r="AA160" s="1599" t="e">
        <f>-'Forklift INPUTS'!Y530/'Forklift INPUTS'!$C$593/1000</f>
        <v>#N/A</v>
      </c>
      <c r="AB160" s="1599" t="e">
        <f t="shared" si="192"/>
        <v>#N/A</v>
      </c>
      <c r="AC160" s="1600" t="e">
        <f t="shared" si="193"/>
        <v>#N/A</v>
      </c>
      <c r="AD160" s="1596"/>
      <c r="AE160" s="1546">
        <v>2017</v>
      </c>
      <c r="AF160" s="1601" t="e">
        <f>-'Forklift INPUTS'!W545/'Forklift INPUTS'!$C$593/1000</f>
        <v>#N/A</v>
      </c>
      <c r="AG160" s="1601" t="e">
        <f>-'Forklift INPUTS'!X545/'Forklift INPUTS'!$C$593/1000</f>
        <v>#N/A</v>
      </c>
      <c r="AH160" s="1601" t="e">
        <f>-'Forklift INPUTS'!Y545/'Forklift INPUTS'!$C$593/1000</f>
        <v>#N/A</v>
      </c>
      <c r="AI160" s="1601" t="e">
        <f t="shared" si="194"/>
        <v>#N/A</v>
      </c>
      <c r="AJ160" s="1602" t="e">
        <f t="shared" si="195"/>
        <v>#N/A</v>
      </c>
    </row>
    <row r="161" spans="1:36" ht="15.75" x14ac:dyDescent="0.25">
      <c r="A161" s="1545"/>
      <c r="B161" s="2308"/>
      <c r="C161" s="1546">
        <f t="shared" si="184"/>
        <v>2018</v>
      </c>
      <c r="D161" s="1591" t="e">
        <f t="shared" si="185"/>
        <v>#N/A</v>
      </c>
      <c r="E161" s="1591" t="e">
        <f t="shared" si="185"/>
        <v>#N/A</v>
      </c>
      <c r="F161" s="1591" t="e">
        <f t="shared" si="185"/>
        <v>#N/A</v>
      </c>
      <c r="G161" s="1591" t="e">
        <f t="shared" si="186"/>
        <v>#N/A</v>
      </c>
      <c r="H161" s="1592" t="e">
        <f t="shared" si="187"/>
        <v>#N/A</v>
      </c>
      <c r="I161" s="1593"/>
      <c r="J161" s="1546">
        <v>2018</v>
      </c>
      <c r="K161" s="1594" t="e">
        <f>-'Forklift INPUTS'!W499/'Forklift INPUTS'!$C$593/1000</f>
        <v>#N/A</v>
      </c>
      <c r="L161" s="1594" t="e">
        <f>-'Forklift INPUTS'!X499/'Forklift INPUTS'!$C$593/1000</f>
        <v>#N/A</v>
      </c>
      <c r="M161" s="1594" t="e">
        <f>-'Forklift INPUTS'!Y499/'Forklift INPUTS'!$C$593/1000</f>
        <v>#N/A</v>
      </c>
      <c r="N161" s="1594" t="e">
        <f t="shared" si="188"/>
        <v>#N/A</v>
      </c>
      <c r="O161" s="1595" t="e">
        <f t="shared" si="189"/>
        <v>#N/A</v>
      </c>
      <c r="P161" s="1596"/>
      <c r="Q161" s="1546">
        <v>2018</v>
      </c>
      <c r="R161" s="1597" t="e">
        <f>-'Forklift INPUTS'!W518/'Forklift INPUTS'!$C$593/1000</f>
        <v>#N/A</v>
      </c>
      <c r="S161" s="1597" t="e">
        <f>-'Forklift INPUTS'!X518/'Forklift INPUTS'!$C$593/1000</f>
        <v>#N/A</v>
      </c>
      <c r="T161" s="1597" t="e">
        <f>-'Forklift INPUTS'!Y518/'Forklift INPUTS'!$C$593/1000</f>
        <v>#N/A</v>
      </c>
      <c r="U161" s="1597" t="e">
        <f t="shared" si="190"/>
        <v>#N/A</v>
      </c>
      <c r="V161" s="1598" t="e">
        <f t="shared" si="191"/>
        <v>#N/A</v>
      </c>
      <c r="W161" s="1596"/>
      <c r="X161" s="1546">
        <v>2018</v>
      </c>
      <c r="Y161" s="1599" t="e">
        <f>-'Forklift INPUTS'!W531/'Forklift INPUTS'!$C$593/1000</f>
        <v>#N/A</v>
      </c>
      <c r="Z161" s="1599" t="e">
        <f>-'Forklift INPUTS'!X531/'Forklift INPUTS'!$C$593/1000</f>
        <v>#N/A</v>
      </c>
      <c r="AA161" s="1599" t="e">
        <f>-'Forklift INPUTS'!Y531/'Forklift INPUTS'!$C$593/1000</f>
        <v>#N/A</v>
      </c>
      <c r="AB161" s="1599" t="e">
        <f t="shared" si="192"/>
        <v>#N/A</v>
      </c>
      <c r="AC161" s="1600" t="e">
        <f t="shared" si="193"/>
        <v>#N/A</v>
      </c>
      <c r="AD161" s="1596"/>
      <c r="AE161" s="1546">
        <v>2018</v>
      </c>
      <c r="AF161" s="1601" t="e">
        <f>-'Forklift INPUTS'!W546/'Forklift INPUTS'!$C$593/1000</f>
        <v>#N/A</v>
      </c>
      <c r="AG161" s="1601" t="e">
        <f>-'Forklift INPUTS'!X546/'Forklift INPUTS'!$C$593/1000</f>
        <v>#N/A</v>
      </c>
      <c r="AH161" s="1601" t="e">
        <f>-'Forklift INPUTS'!Y546/'Forklift INPUTS'!$C$593/1000</f>
        <v>#N/A</v>
      </c>
      <c r="AI161" s="1601" t="e">
        <f t="shared" si="194"/>
        <v>#N/A</v>
      </c>
      <c r="AJ161" s="1602" t="e">
        <f t="shared" si="195"/>
        <v>#N/A</v>
      </c>
    </row>
    <row r="162" spans="1:36" ht="15.75" x14ac:dyDescent="0.25">
      <c r="A162" s="1545"/>
      <c r="B162" s="2308"/>
      <c r="C162" s="1546">
        <f t="shared" si="184"/>
        <v>2019</v>
      </c>
      <c r="D162" s="1591" t="e">
        <f t="shared" si="185"/>
        <v>#N/A</v>
      </c>
      <c r="E162" s="1591" t="e">
        <f t="shared" si="185"/>
        <v>#N/A</v>
      </c>
      <c r="F162" s="1591" t="e">
        <f t="shared" si="185"/>
        <v>#N/A</v>
      </c>
      <c r="G162" s="1591" t="e">
        <f t="shared" si="186"/>
        <v>#N/A</v>
      </c>
      <c r="H162" s="1592" t="e">
        <f t="shared" si="187"/>
        <v>#N/A</v>
      </c>
      <c r="I162" s="1593"/>
      <c r="J162" s="1546">
        <v>2019</v>
      </c>
      <c r="K162" s="1594" t="e">
        <f>-'Forklift INPUTS'!W500/'Forklift INPUTS'!$C$593/1000</f>
        <v>#N/A</v>
      </c>
      <c r="L162" s="1594" t="e">
        <f>-'Forklift INPUTS'!X500/'Forklift INPUTS'!$C$593/1000</f>
        <v>#N/A</v>
      </c>
      <c r="M162" s="1594" t="e">
        <f>-'Forklift INPUTS'!Y500/'Forklift INPUTS'!$C$593/1000</f>
        <v>#N/A</v>
      </c>
      <c r="N162" s="1594" t="e">
        <f t="shared" si="188"/>
        <v>#N/A</v>
      </c>
      <c r="O162" s="1595" t="e">
        <f t="shared" si="189"/>
        <v>#N/A</v>
      </c>
      <c r="P162" s="1596"/>
      <c r="Q162" s="1546">
        <v>2019</v>
      </c>
      <c r="R162" s="1597" t="e">
        <f>-'Forklift INPUTS'!W519/'Forklift INPUTS'!$C$593/1000</f>
        <v>#N/A</v>
      </c>
      <c r="S162" s="1597" t="e">
        <f>-'Forklift INPUTS'!X519/'Forklift INPUTS'!$C$593/1000</f>
        <v>#N/A</v>
      </c>
      <c r="T162" s="1597" t="e">
        <f>-'Forklift INPUTS'!Y519/'Forklift INPUTS'!$C$593/1000</f>
        <v>#N/A</v>
      </c>
      <c r="U162" s="1597" t="e">
        <f t="shared" si="190"/>
        <v>#N/A</v>
      </c>
      <c r="V162" s="1598" t="e">
        <f t="shared" si="191"/>
        <v>#N/A</v>
      </c>
      <c r="W162" s="1596"/>
      <c r="X162" s="1546">
        <v>2019</v>
      </c>
      <c r="Y162" s="1599" t="e">
        <f>-'Forklift INPUTS'!W532/'Forklift INPUTS'!$C$593/1000</f>
        <v>#N/A</v>
      </c>
      <c r="Z162" s="1599" t="e">
        <f>-'Forklift INPUTS'!X532/'Forklift INPUTS'!$C$593/1000</f>
        <v>#N/A</v>
      </c>
      <c r="AA162" s="1599" t="e">
        <f>-'Forklift INPUTS'!Y532/'Forklift INPUTS'!$C$593/1000</f>
        <v>#N/A</v>
      </c>
      <c r="AB162" s="1599" t="e">
        <f t="shared" si="192"/>
        <v>#N/A</v>
      </c>
      <c r="AC162" s="1600" t="e">
        <f t="shared" si="193"/>
        <v>#N/A</v>
      </c>
      <c r="AD162" s="1596"/>
      <c r="AE162" s="1546">
        <v>2019</v>
      </c>
      <c r="AF162" s="1601" t="e">
        <f>-'Forklift INPUTS'!W547/'Forklift INPUTS'!$C$593/1000</f>
        <v>#N/A</v>
      </c>
      <c r="AG162" s="1601" t="e">
        <f>-'Forklift INPUTS'!X547/'Forklift INPUTS'!$C$593/1000</f>
        <v>#N/A</v>
      </c>
      <c r="AH162" s="1601" t="e">
        <f>-'Forklift INPUTS'!Y547/'Forklift INPUTS'!$C$593/1000</f>
        <v>#N/A</v>
      </c>
      <c r="AI162" s="1601" t="e">
        <f t="shared" si="194"/>
        <v>#N/A</v>
      </c>
      <c r="AJ162" s="1602" t="e">
        <f t="shared" si="195"/>
        <v>#N/A</v>
      </c>
    </row>
    <row r="163" spans="1:36" ht="15.75" x14ac:dyDescent="0.25">
      <c r="A163" s="1545"/>
      <c r="B163" s="2309"/>
      <c r="C163" s="1546">
        <f t="shared" si="184"/>
        <v>2020</v>
      </c>
      <c r="D163" s="1591" t="e">
        <f t="shared" si="185"/>
        <v>#N/A</v>
      </c>
      <c r="E163" s="1591" t="e">
        <f t="shared" si="185"/>
        <v>#N/A</v>
      </c>
      <c r="F163" s="1591" t="e">
        <f t="shared" si="185"/>
        <v>#N/A</v>
      </c>
      <c r="G163" s="1591" t="e">
        <f t="shared" si="186"/>
        <v>#N/A</v>
      </c>
      <c r="H163" s="1592" t="e">
        <f t="shared" si="187"/>
        <v>#N/A</v>
      </c>
      <c r="I163" s="1593"/>
      <c r="J163" s="1546">
        <v>2020</v>
      </c>
      <c r="K163" s="1594" t="e">
        <f>-'Forklift INPUTS'!W501/'Forklift INPUTS'!$C$593/1000</f>
        <v>#N/A</v>
      </c>
      <c r="L163" s="1594" t="e">
        <f>-'Forklift INPUTS'!X501/'Forklift INPUTS'!$C$593/1000</f>
        <v>#N/A</v>
      </c>
      <c r="M163" s="1594" t="e">
        <f>-'Forklift INPUTS'!Y501/'Forklift INPUTS'!$C$593/1000</f>
        <v>#N/A</v>
      </c>
      <c r="N163" s="1594" t="e">
        <f t="shared" si="188"/>
        <v>#N/A</v>
      </c>
      <c r="O163" s="1595" t="e">
        <f t="shared" si="189"/>
        <v>#N/A</v>
      </c>
      <c r="P163" s="1596"/>
      <c r="Q163" s="1546">
        <v>2020</v>
      </c>
      <c r="R163" s="1597" t="e">
        <f>-'Forklift INPUTS'!W520/'Forklift INPUTS'!$C$593/1000</f>
        <v>#N/A</v>
      </c>
      <c r="S163" s="1597" t="e">
        <f>-'Forklift INPUTS'!X520/'Forklift INPUTS'!$C$593/1000</f>
        <v>#N/A</v>
      </c>
      <c r="T163" s="1597" t="e">
        <f>-'Forklift INPUTS'!Y520/'Forklift INPUTS'!$C$593/1000</f>
        <v>#N/A</v>
      </c>
      <c r="U163" s="1597" t="e">
        <f t="shared" si="190"/>
        <v>#N/A</v>
      </c>
      <c r="V163" s="1598" t="e">
        <f t="shared" si="191"/>
        <v>#N/A</v>
      </c>
      <c r="W163" s="1596"/>
      <c r="X163" s="1546">
        <v>2020</v>
      </c>
      <c r="Y163" s="1599" t="e">
        <f>-'Forklift INPUTS'!W533/'Forklift INPUTS'!$C$593/1000</f>
        <v>#N/A</v>
      </c>
      <c r="Z163" s="1599" t="e">
        <f>-'Forklift INPUTS'!X533/'Forklift INPUTS'!$C$593/1000</f>
        <v>#N/A</v>
      </c>
      <c r="AA163" s="1599" t="e">
        <f>-'Forklift INPUTS'!Y533/'Forklift INPUTS'!$C$593/1000</f>
        <v>#N/A</v>
      </c>
      <c r="AB163" s="1599" t="e">
        <f t="shared" si="192"/>
        <v>#N/A</v>
      </c>
      <c r="AC163" s="1600" t="e">
        <f t="shared" si="193"/>
        <v>#N/A</v>
      </c>
      <c r="AD163" s="1596"/>
      <c r="AE163" s="1546">
        <v>2020</v>
      </c>
      <c r="AF163" s="1601" t="e">
        <f>-'Forklift INPUTS'!W548/'Forklift INPUTS'!$C$593/1000</f>
        <v>#N/A</v>
      </c>
      <c r="AG163" s="1601" t="e">
        <f>-'Forklift INPUTS'!X548/'Forklift INPUTS'!$C$593/1000</f>
        <v>#N/A</v>
      </c>
      <c r="AH163" s="1601" t="e">
        <f>-'Forklift INPUTS'!Y548/'Forklift INPUTS'!$C$593/1000</f>
        <v>#N/A</v>
      </c>
      <c r="AI163" s="1601" t="e">
        <f t="shared" si="194"/>
        <v>#N/A</v>
      </c>
      <c r="AJ163" s="1602" t="e">
        <f t="shared" si="195"/>
        <v>#N/A</v>
      </c>
    </row>
    <row r="164" spans="1:36" x14ac:dyDescent="0.25">
      <c r="A164" s="1605"/>
      <c r="B164" s="1612"/>
      <c r="C164" s="1612"/>
      <c r="D164" s="1612"/>
      <c r="E164" s="1613"/>
      <c r="F164" s="1613"/>
      <c r="G164" s="1613"/>
      <c r="H164" s="1613"/>
      <c r="I164" s="1613"/>
      <c r="J164" s="1612"/>
      <c r="K164" s="1614"/>
      <c r="L164" s="1614"/>
      <c r="M164" s="1614"/>
      <c r="N164" s="1614"/>
      <c r="O164" s="1614"/>
      <c r="P164" s="1614"/>
      <c r="Q164" s="1615"/>
      <c r="R164" s="1614"/>
      <c r="S164" s="1614"/>
      <c r="T164" s="1614"/>
      <c r="U164" s="1614"/>
      <c r="V164" s="1612"/>
      <c r="W164" s="1612"/>
      <c r="X164" s="1612"/>
      <c r="Y164" s="1612"/>
      <c r="Z164" s="1612"/>
      <c r="AA164" s="1612"/>
      <c r="AB164" s="1612"/>
      <c r="AC164" s="1612"/>
      <c r="AD164" s="1612"/>
      <c r="AE164" s="1612"/>
      <c r="AF164" s="1612"/>
      <c r="AG164" s="1612"/>
      <c r="AH164" s="1612"/>
      <c r="AI164" s="1612"/>
      <c r="AJ164" s="1612"/>
    </row>
    <row r="165" spans="1:36" s="1846" customFormat="1" x14ac:dyDescent="0.25">
      <c r="B165" s="1847" t="s">
        <v>2111</v>
      </c>
      <c r="R165" s="1848"/>
      <c r="S165" s="1848"/>
      <c r="T165" s="1848"/>
      <c r="U165" s="1848"/>
      <c r="V165" s="1848"/>
      <c r="W165" s="1848"/>
      <c r="X165" s="1849"/>
      <c r="Y165" s="1849"/>
      <c r="Z165" s="1849"/>
      <c r="AA165" s="1849"/>
      <c r="AB165" s="1849"/>
      <c r="AC165" s="1849"/>
      <c r="AD165" s="1849"/>
      <c r="AE165" s="1849"/>
      <c r="AF165" s="1849"/>
      <c r="AG165" s="1849"/>
      <c r="AH165" s="1849"/>
    </row>
    <row r="166" spans="1:36" s="1846" customFormat="1" x14ac:dyDescent="0.25">
      <c r="D166" s="1849" t="str">
        <f>IF($F$6=Lists!$C$4, "Net Forklift Power Source-related",D169)</f>
        <v>Gross Forklift Fuel Cell-related</v>
      </c>
      <c r="E166" s="1846" t="str">
        <f>D166</f>
        <v>Gross Forklift Fuel Cell-related</v>
      </c>
      <c r="F166" s="1846" t="str">
        <f t="shared" ref="F166:H166" si="196">E166</f>
        <v>Gross Forklift Fuel Cell-related</v>
      </c>
      <c r="G166" s="1846" t="str">
        <f t="shared" si="196"/>
        <v>Gross Forklift Fuel Cell-related</v>
      </c>
      <c r="H166" s="1846" t="str">
        <f t="shared" si="196"/>
        <v>Gross Forklift Fuel Cell-related</v>
      </c>
      <c r="K166" s="1849" t="str">
        <f>IF($F$6=Lists!$C$4, "Net Forklift Power Source",K169)</f>
        <v>Gross Forklift Fuel Cell</v>
      </c>
      <c r="L166" s="1849" t="str">
        <f>K166</f>
        <v>Gross Forklift Fuel Cell</v>
      </c>
      <c r="M166" s="1849" t="str">
        <f t="shared" ref="M166:O166" si="197">L166</f>
        <v>Gross Forklift Fuel Cell</v>
      </c>
      <c r="N166" s="1849" t="str">
        <f t="shared" si="197"/>
        <v>Gross Forklift Fuel Cell</v>
      </c>
      <c r="O166" s="1849" t="str">
        <f t="shared" si="197"/>
        <v>Gross Forklift Fuel Cell</v>
      </c>
      <c r="P166" s="1849"/>
      <c r="Q166" s="1850"/>
      <c r="R166" s="1849" t="str">
        <f>IF($F$6=Lists!$C$4, "Net On-site Infrastructure", R169)</f>
        <v>Gross On-site H2 Infr.</v>
      </c>
      <c r="S166" s="1849" t="str">
        <f>R166</f>
        <v>Gross On-site H2 Infr.</v>
      </c>
      <c r="T166" s="1849" t="str">
        <f t="shared" ref="T166:V166" si="198">S166</f>
        <v>Gross On-site H2 Infr.</v>
      </c>
      <c r="U166" s="1849" t="str">
        <f t="shared" si="198"/>
        <v>Gross On-site H2 Infr.</v>
      </c>
      <c r="V166" s="1849" t="str">
        <f t="shared" si="198"/>
        <v>Gross On-site H2 Infr.</v>
      </c>
      <c r="W166" s="1849"/>
      <c r="Y166" s="1849" t="str">
        <f>IF($F$6=Lists!$C$4, "Net Fuel/Electricity",Y169)</f>
        <v>Gross Hydrogen Fuel</v>
      </c>
      <c r="Z166" s="1849" t="str">
        <f>Y166</f>
        <v>Gross Hydrogen Fuel</v>
      </c>
      <c r="AA166" s="1849" t="str">
        <f t="shared" ref="AA166:AC166" si="199">Z166</f>
        <v>Gross Hydrogen Fuel</v>
      </c>
      <c r="AB166" s="1849" t="str">
        <f t="shared" si="199"/>
        <v>Gross Hydrogen Fuel</v>
      </c>
      <c r="AC166" s="1849" t="str">
        <f t="shared" si="199"/>
        <v>Gross Hydrogen Fuel</v>
      </c>
      <c r="AD166" s="1849"/>
      <c r="AF166" s="1849" t="str">
        <f>IF($F$6=Lists!$C$4, "Net Maintenance", AF169)</f>
        <v>Gross FC and Infr. Maint.</v>
      </c>
      <c r="AG166" s="1849" t="str">
        <f>AF166</f>
        <v>Gross FC and Infr. Maint.</v>
      </c>
      <c r="AH166" s="1849" t="str">
        <f t="shared" ref="AH166:AJ166" si="200">AG166</f>
        <v>Gross FC and Infr. Maint.</v>
      </c>
      <c r="AI166" s="1849" t="str">
        <f t="shared" si="200"/>
        <v>Gross FC and Infr. Maint.</v>
      </c>
      <c r="AJ166" s="1849" t="str">
        <f t="shared" si="200"/>
        <v>Gross FC and Infr. Maint.</v>
      </c>
    </row>
    <row r="167" spans="1:36" s="1851" customFormat="1" x14ac:dyDescent="0.25">
      <c r="D167" s="1851" t="s">
        <v>410</v>
      </c>
      <c r="E167" s="1851" t="s">
        <v>411</v>
      </c>
      <c r="F167" s="1851" t="s">
        <v>418</v>
      </c>
      <c r="G167" s="1851" t="s">
        <v>1442</v>
      </c>
      <c r="H167" s="1851" t="s">
        <v>448</v>
      </c>
      <c r="K167" s="1851" t="str">
        <f>D167</f>
        <v>Direct</v>
      </c>
      <c r="L167" s="1851" t="str">
        <f>E167</f>
        <v>Indirect</v>
      </c>
      <c r="M167" s="1851" t="str">
        <f>F167</f>
        <v>Induced</v>
      </c>
      <c r="N167" s="1851" t="str">
        <f>G167</f>
        <v>Supply Chain</v>
      </c>
      <c r="O167" s="1851" t="s">
        <v>448</v>
      </c>
      <c r="R167" s="1851" t="str">
        <f>K167</f>
        <v>Direct</v>
      </c>
      <c r="S167" s="1851" t="str">
        <f t="shared" ref="S167" si="201">L167</f>
        <v>Indirect</v>
      </c>
      <c r="T167" s="1851" t="str">
        <f t="shared" ref="T167" si="202">M167</f>
        <v>Induced</v>
      </c>
      <c r="U167" s="1851" t="str">
        <f t="shared" ref="U167" si="203">N167</f>
        <v>Supply Chain</v>
      </c>
      <c r="V167" s="1851" t="str">
        <f t="shared" ref="V167" si="204">O167</f>
        <v>Total</v>
      </c>
      <c r="Y167" s="1851" t="str">
        <f>R167</f>
        <v>Direct</v>
      </c>
      <c r="Z167" s="1851" t="str">
        <f t="shared" ref="Z167" si="205">S167</f>
        <v>Indirect</v>
      </c>
      <c r="AA167" s="1851" t="str">
        <f t="shared" ref="AA167" si="206">T167</f>
        <v>Induced</v>
      </c>
      <c r="AB167" s="1851" t="str">
        <f t="shared" ref="AB167" si="207">U167</f>
        <v>Supply Chain</v>
      </c>
      <c r="AC167" s="1851" t="str">
        <f t="shared" ref="AC167" si="208">V167</f>
        <v>Total</v>
      </c>
      <c r="AF167" s="1851" t="str">
        <f>Y167</f>
        <v>Direct</v>
      </c>
      <c r="AG167" s="1851" t="str">
        <f t="shared" ref="AG167" si="209">Z167</f>
        <v>Indirect</v>
      </c>
      <c r="AH167" s="1851" t="str">
        <f t="shared" ref="AH167" si="210">AA167</f>
        <v>Induced</v>
      </c>
      <c r="AI167" s="1851" t="str">
        <f t="shared" ref="AI167" si="211">AB167</f>
        <v>Supply Chain</v>
      </c>
      <c r="AJ167" s="1851" t="str">
        <f t="shared" ref="AJ167" si="212">AC167</f>
        <v>Total</v>
      </c>
    </row>
    <row r="168" spans="1:36" s="1846" customFormat="1" x14ac:dyDescent="0.25">
      <c r="R168" s="1848"/>
      <c r="S168" s="1848"/>
      <c r="T168" s="1848"/>
      <c r="U168" s="1848"/>
      <c r="V168" s="1848"/>
      <c r="W168" s="1848"/>
      <c r="X168" s="1849"/>
      <c r="Y168" s="1849"/>
      <c r="Z168" s="1849"/>
      <c r="AA168" s="1849"/>
      <c r="AB168" s="1849"/>
      <c r="AC168" s="1849"/>
      <c r="AD168" s="1849"/>
      <c r="AE168" s="1849"/>
      <c r="AF168" s="1849"/>
      <c r="AG168" s="1849"/>
      <c r="AH168" s="1849"/>
    </row>
    <row r="169" spans="1:36" s="1846" customFormat="1" x14ac:dyDescent="0.25">
      <c r="B169" s="1847" t="s">
        <v>1706</v>
      </c>
      <c r="D169" s="1846" t="s">
        <v>2105</v>
      </c>
      <c r="E169" s="1846" t="str">
        <f>D169</f>
        <v>Gross Forklift Fuel Cell-related</v>
      </c>
      <c r="F169" s="1846" t="str">
        <f>E169</f>
        <v>Gross Forklift Fuel Cell-related</v>
      </c>
      <c r="G169" s="1846" t="str">
        <f>F169</f>
        <v>Gross Forklift Fuel Cell-related</v>
      </c>
      <c r="H169" s="1846" t="str">
        <f>G169</f>
        <v>Gross Forklift Fuel Cell-related</v>
      </c>
      <c r="K169" s="1849" t="s">
        <v>2099</v>
      </c>
      <c r="L169" s="1849" t="str">
        <f>K169</f>
        <v>Gross Forklift Fuel Cell</v>
      </c>
      <c r="M169" s="1849" t="str">
        <f>L169</f>
        <v>Gross Forklift Fuel Cell</v>
      </c>
      <c r="N169" s="1849" t="str">
        <f>M169</f>
        <v>Gross Forklift Fuel Cell</v>
      </c>
      <c r="O169" s="1849" t="str">
        <f>N169</f>
        <v>Gross Forklift Fuel Cell</v>
      </c>
      <c r="P169" s="1849"/>
      <c r="Q169" s="1850"/>
      <c r="R169" s="1849" t="s">
        <v>2101</v>
      </c>
      <c r="S169" s="1849" t="str">
        <f>R169</f>
        <v>Gross On-site H2 Infr.</v>
      </c>
      <c r="T169" s="1849" t="str">
        <f>S169</f>
        <v>Gross On-site H2 Infr.</v>
      </c>
      <c r="U169" s="1849" t="str">
        <f>T169</f>
        <v>Gross On-site H2 Infr.</v>
      </c>
      <c r="V169" s="1849" t="str">
        <f>U169</f>
        <v>Gross On-site H2 Infr.</v>
      </c>
      <c r="W169" s="1849"/>
      <c r="Y169" s="1849" t="s">
        <v>2102</v>
      </c>
      <c r="Z169" s="1849" t="str">
        <f>Y169</f>
        <v>Gross Hydrogen Fuel</v>
      </c>
      <c r="AA169" s="1849" t="str">
        <f>Z169</f>
        <v>Gross Hydrogen Fuel</v>
      </c>
      <c r="AB169" s="1849" t="str">
        <f>AA169</f>
        <v>Gross Hydrogen Fuel</v>
      </c>
      <c r="AC169" s="1849" t="str">
        <f>AB169</f>
        <v>Gross Hydrogen Fuel</v>
      </c>
      <c r="AD169" s="1849"/>
      <c r="AF169" s="1849" t="s">
        <v>2108</v>
      </c>
      <c r="AG169" s="1849" t="str">
        <f>AF169</f>
        <v>Gross FC and Infr. Maint.</v>
      </c>
      <c r="AH169" s="1849" t="str">
        <f>AG169</f>
        <v>Gross FC and Infr. Maint.</v>
      </c>
      <c r="AI169" s="1849" t="str">
        <f>AH169</f>
        <v>Gross FC and Infr. Maint.</v>
      </c>
      <c r="AJ169" s="1849" t="str">
        <f>AI169</f>
        <v>Gross FC and Infr. Maint.</v>
      </c>
    </row>
    <row r="170" spans="1:36" s="1851" customFormat="1" x14ac:dyDescent="0.25">
      <c r="D170" s="1851" t="s">
        <v>410</v>
      </c>
      <c r="E170" s="1851" t="s">
        <v>411</v>
      </c>
      <c r="F170" s="1851" t="s">
        <v>418</v>
      </c>
      <c r="G170" s="1851" t="s">
        <v>1442</v>
      </c>
      <c r="H170" s="1851" t="s">
        <v>448</v>
      </c>
      <c r="K170" s="1851" t="str">
        <f>D170</f>
        <v>Direct</v>
      </c>
      <c r="L170" s="1851" t="str">
        <f>E170</f>
        <v>Indirect</v>
      </c>
      <c r="M170" s="1851" t="str">
        <f>F170</f>
        <v>Induced</v>
      </c>
      <c r="N170" s="1851" t="str">
        <f>G170</f>
        <v>Supply Chain</v>
      </c>
      <c r="O170" s="1851" t="s">
        <v>448</v>
      </c>
      <c r="R170" s="1851" t="str">
        <f>K170</f>
        <v>Direct</v>
      </c>
      <c r="S170" s="1851" t="str">
        <f>L170</f>
        <v>Indirect</v>
      </c>
      <c r="T170" s="1851" t="str">
        <f>M170</f>
        <v>Induced</v>
      </c>
      <c r="U170" s="1851" t="str">
        <f>N170</f>
        <v>Supply Chain</v>
      </c>
      <c r="V170" s="1851" t="str">
        <f>O170</f>
        <v>Total</v>
      </c>
      <c r="Y170" s="1851" t="str">
        <f>R170</f>
        <v>Direct</v>
      </c>
      <c r="Z170" s="1851" t="str">
        <f>S170</f>
        <v>Indirect</v>
      </c>
      <c r="AA170" s="1851" t="str">
        <f>T170</f>
        <v>Induced</v>
      </c>
      <c r="AB170" s="1851" t="str">
        <f>U170</f>
        <v>Supply Chain</v>
      </c>
      <c r="AC170" s="1851" t="str">
        <f>V170</f>
        <v>Total</v>
      </c>
      <c r="AF170" s="1851" t="str">
        <f>Y170</f>
        <v>Direct</v>
      </c>
      <c r="AG170" s="1851" t="str">
        <f>Z170</f>
        <v>Indirect</v>
      </c>
      <c r="AH170" s="1851" t="str">
        <f>AA170</f>
        <v>Induced</v>
      </c>
      <c r="AI170" s="1851" t="str">
        <f>AB170</f>
        <v>Supply Chain</v>
      </c>
      <c r="AJ170" s="1851" t="str">
        <f>AC170</f>
        <v>Total</v>
      </c>
    </row>
    <row r="171" spans="1:36" s="1846" customFormat="1" x14ac:dyDescent="0.25">
      <c r="R171" s="1848"/>
      <c r="S171" s="1848"/>
      <c r="T171" s="1848"/>
      <c r="U171" s="1848"/>
      <c r="V171" s="1848"/>
      <c r="W171" s="1848"/>
      <c r="X171" s="1849"/>
      <c r="Y171" s="1849"/>
      <c r="Z171" s="1849"/>
      <c r="AA171" s="1849"/>
      <c r="AB171" s="1849"/>
      <c r="AC171" s="1849"/>
      <c r="AD171" s="1849"/>
      <c r="AE171" s="1849"/>
      <c r="AF171" s="1849"/>
      <c r="AG171" s="1849"/>
      <c r="AH171" s="1849"/>
    </row>
    <row r="172" spans="1:36" s="1846" customFormat="1" x14ac:dyDescent="0.25">
      <c r="B172" s="1847" t="s">
        <v>1711</v>
      </c>
      <c r="D172" s="1846" t="s">
        <v>2106</v>
      </c>
      <c r="E172" s="1846" t="str">
        <f>D172</f>
        <v>Displaced Forklift Battery-related</v>
      </c>
      <c r="F172" s="1846" t="str">
        <f>E172</f>
        <v>Displaced Forklift Battery-related</v>
      </c>
      <c r="G172" s="1846" t="str">
        <f>F172</f>
        <v>Displaced Forklift Battery-related</v>
      </c>
      <c r="H172" s="1846" t="str">
        <f>G172</f>
        <v>Displaced Forklift Battery-related</v>
      </c>
      <c r="K172" s="1849" t="s">
        <v>2100</v>
      </c>
      <c r="L172" s="1849" t="str">
        <f>K172</f>
        <v>Displaced Forklift Battery</v>
      </c>
      <c r="M172" s="1849" t="str">
        <f>L172</f>
        <v>Displaced Forklift Battery</v>
      </c>
      <c r="N172" s="1849" t="str">
        <f>M172</f>
        <v>Displaced Forklift Battery</v>
      </c>
      <c r="O172" s="1849" t="str">
        <f>N172</f>
        <v>Displaced Forklift Battery</v>
      </c>
      <c r="P172" s="1849"/>
      <c r="Q172" s="1850"/>
      <c r="R172" s="1849" t="s">
        <v>2107</v>
      </c>
      <c r="S172" s="1849" t="str">
        <f>R172</f>
        <v>Displaced On-site Battery Infrastructure</v>
      </c>
      <c r="T172" s="1849" t="str">
        <f>S172</f>
        <v>Displaced On-site Battery Infrastructure</v>
      </c>
      <c r="U172" s="1849" t="str">
        <f>T172</f>
        <v>Displaced On-site Battery Infrastructure</v>
      </c>
      <c r="V172" s="1849" t="str">
        <f>U172</f>
        <v>Displaced On-site Battery Infrastructure</v>
      </c>
      <c r="W172" s="1849"/>
      <c r="Y172" s="1849" t="s">
        <v>1881</v>
      </c>
      <c r="Z172" s="1849" t="str">
        <f>Y172</f>
        <v>Displaced Electricity</v>
      </c>
      <c r="AA172" s="1849" t="str">
        <f>Z172</f>
        <v>Displaced Electricity</v>
      </c>
      <c r="AB172" s="1849" t="str">
        <f>AA172</f>
        <v>Displaced Electricity</v>
      </c>
      <c r="AC172" s="1849" t="str">
        <f>AB172</f>
        <v>Displaced Electricity</v>
      </c>
      <c r="AD172" s="1849"/>
      <c r="AF172" s="1849" t="s">
        <v>2109</v>
      </c>
      <c r="AG172" s="1849" t="str">
        <f>AF172</f>
        <v>Displaced Battery and Infr. Maint.</v>
      </c>
      <c r="AH172" s="1849" t="str">
        <f>AG172</f>
        <v>Displaced Battery and Infr. Maint.</v>
      </c>
      <c r="AI172" s="1849" t="str">
        <f>AH172</f>
        <v>Displaced Battery and Infr. Maint.</v>
      </c>
      <c r="AJ172" s="1849" t="str">
        <f>AI172</f>
        <v>Displaced Battery and Infr. Maint.</v>
      </c>
    </row>
    <row r="173" spans="1:36" s="1846" customFormat="1" x14ac:dyDescent="0.25">
      <c r="A173" s="1851"/>
      <c r="B173" s="1851"/>
      <c r="C173" s="1851"/>
      <c r="D173" s="1851" t="s">
        <v>410</v>
      </c>
      <c r="E173" s="1851" t="s">
        <v>411</v>
      </c>
      <c r="F173" s="1851" t="s">
        <v>418</v>
      </c>
      <c r="G173" s="1851" t="s">
        <v>1442</v>
      </c>
      <c r="H173" s="1851" t="s">
        <v>448</v>
      </c>
      <c r="I173" s="1851"/>
      <c r="J173" s="1851"/>
      <c r="K173" s="1851" t="str">
        <f>D173</f>
        <v>Direct</v>
      </c>
      <c r="L173" s="1851" t="str">
        <f>E173</f>
        <v>Indirect</v>
      </c>
      <c r="M173" s="1851" t="str">
        <f>F173</f>
        <v>Induced</v>
      </c>
      <c r="N173" s="1851" t="str">
        <f>G173</f>
        <v>Supply Chain</v>
      </c>
      <c r="O173" s="1851" t="s">
        <v>448</v>
      </c>
      <c r="P173" s="1851"/>
      <c r="Q173" s="1851"/>
      <c r="R173" s="1851" t="str">
        <f>K173</f>
        <v>Direct</v>
      </c>
      <c r="S173" s="1851" t="str">
        <f>L173</f>
        <v>Indirect</v>
      </c>
      <c r="T173" s="1851" t="str">
        <f>M173</f>
        <v>Induced</v>
      </c>
      <c r="U173" s="1851" t="str">
        <f>N173</f>
        <v>Supply Chain</v>
      </c>
      <c r="V173" s="1851" t="str">
        <f>O173</f>
        <v>Total</v>
      </c>
      <c r="W173" s="1851"/>
      <c r="X173" s="1851"/>
      <c r="Y173" s="1851" t="str">
        <f>R173</f>
        <v>Direct</v>
      </c>
      <c r="Z173" s="1851" t="str">
        <f>S173</f>
        <v>Indirect</v>
      </c>
      <c r="AA173" s="1851" t="str">
        <f>T173</f>
        <v>Induced</v>
      </c>
      <c r="AB173" s="1851" t="str">
        <f>U173</f>
        <v>Supply Chain</v>
      </c>
      <c r="AC173" s="1851" t="str">
        <f>V173</f>
        <v>Total</v>
      </c>
      <c r="AD173" s="1851"/>
      <c r="AE173" s="1851"/>
      <c r="AF173" s="1851" t="str">
        <f>Y173</f>
        <v>Direct</v>
      </c>
      <c r="AG173" s="1851" t="str">
        <f>Z173</f>
        <v>Indirect</v>
      </c>
      <c r="AH173" s="1851" t="str">
        <f>AA173</f>
        <v>Induced</v>
      </c>
      <c r="AI173" s="1851" t="str">
        <f>AB173</f>
        <v>Supply Chain</v>
      </c>
      <c r="AJ173" s="1851" t="str">
        <f>AC173</f>
        <v>Total</v>
      </c>
    </row>
    <row r="174" spans="1:36" s="1846" customFormat="1" x14ac:dyDescent="0.25">
      <c r="R174" s="1848"/>
      <c r="S174" s="1848"/>
      <c r="T174" s="1848"/>
      <c r="U174" s="1848"/>
      <c r="V174" s="1848"/>
      <c r="W174" s="1848"/>
      <c r="X174" s="1849"/>
      <c r="Y174" s="1849"/>
      <c r="Z174" s="1849"/>
      <c r="AA174" s="1849"/>
      <c r="AB174" s="1849"/>
      <c r="AC174" s="1849"/>
      <c r="AD174" s="1849"/>
      <c r="AE174" s="1849"/>
      <c r="AF174" s="1849"/>
      <c r="AG174" s="1849"/>
      <c r="AH174" s="1849"/>
    </row>
    <row r="175" spans="1:36" s="1846" customFormat="1" x14ac:dyDescent="0.25">
      <c r="R175" s="1848"/>
      <c r="S175" s="1848"/>
      <c r="T175" s="1848"/>
      <c r="U175" s="1848"/>
      <c r="V175" s="1848"/>
      <c r="W175" s="1848"/>
      <c r="X175" s="1849"/>
      <c r="Y175" s="1849"/>
      <c r="Z175" s="1849"/>
      <c r="AA175" s="1849"/>
      <c r="AB175" s="1849"/>
      <c r="AC175" s="1849"/>
      <c r="AD175" s="1849"/>
      <c r="AE175" s="1849"/>
      <c r="AF175" s="1849"/>
      <c r="AG175" s="1849"/>
      <c r="AH175" s="1849"/>
    </row>
    <row r="176" spans="1:36" s="1846" customFormat="1" x14ac:dyDescent="0.25">
      <c r="R176" s="1848"/>
      <c r="S176" s="1848"/>
      <c r="T176" s="1848"/>
      <c r="U176" s="1848"/>
      <c r="V176" s="1848"/>
      <c r="W176" s="1848"/>
      <c r="X176" s="1849"/>
      <c r="Y176" s="1849"/>
      <c r="Z176" s="1849"/>
      <c r="AA176" s="1849"/>
      <c r="AB176" s="1849"/>
      <c r="AC176" s="1849"/>
      <c r="AD176" s="1849"/>
      <c r="AE176" s="1849"/>
      <c r="AF176" s="1849"/>
      <c r="AG176" s="1849"/>
      <c r="AH176" s="1849"/>
    </row>
    <row r="177" spans="2:34" s="1846" customFormat="1" x14ac:dyDescent="0.25">
      <c r="B177" s="1847" t="s">
        <v>2112</v>
      </c>
      <c r="R177" s="1848"/>
      <c r="S177" s="1848"/>
      <c r="T177" s="1848"/>
      <c r="U177" s="1848"/>
      <c r="V177" s="1848"/>
      <c r="W177" s="1848"/>
      <c r="X177" s="1849"/>
      <c r="Y177" s="1849"/>
      <c r="Z177" s="1849"/>
      <c r="AA177" s="1849"/>
      <c r="AB177" s="1849"/>
      <c r="AC177" s="1849"/>
      <c r="AD177" s="1849"/>
      <c r="AE177" s="1849"/>
      <c r="AF177" s="1849"/>
      <c r="AG177" s="1849"/>
      <c r="AH177" s="1849"/>
    </row>
    <row r="178" spans="2:34" s="1846" customFormat="1" x14ac:dyDescent="0.25">
      <c r="R178" s="1848"/>
      <c r="S178" s="1848"/>
      <c r="T178" s="1848"/>
      <c r="U178" s="1848"/>
      <c r="V178" s="1848"/>
      <c r="W178" s="1848"/>
      <c r="X178" s="1849"/>
      <c r="Y178" s="1849"/>
      <c r="Z178" s="1849"/>
      <c r="AA178" s="1849"/>
      <c r="AB178" s="1849"/>
      <c r="AC178" s="1849"/>
      <c r="AD178" s="1849"/>
      <c r="AE178" s="1849"/>
      <c r="AF178" s="1849"/>
      <c r="AG178" s="1849"/>
      <c r="AH178" s="1849"/>
    </row>
    <row r="179" spans="2:34" s="1846" customFormat="1" x14ac:dyDescent="0.25">
      <c r="D179" s="1846" t="str">
        <f t="shared" ref="D179" si="213">D69</f>
        <v>Total (Manufacturing, Installation, Fuel, and Maintenance)</v>
      </c>
      <c r="J179" s="1846" t="str">
        <f t="shared" ref="J179" si="214">D102</f>
        <v>Total (Manufacturing, Installation, Fuel, and Maintenance)</v>
      </c>
      <c r="P179" s="1846" t="str">
        <f t="shared" ref="P179:T194" si="215">D135</f>
        <v>Total (Manufacturing, Installation, Fuel, and Maintenance)</v>
      </c>
      <c r="V179" s="1848"/>
      <c r="W179" s="1848"/>
      <c r="X179" s="1849"/>
      <c r="Y179" s="1849"/>
      <c r="Z179" s="1849"/>
      <c r="AA179" s="1849"/>
      <c r="AB179" s="1849"/>
      <c r="AC179" s="1849"/>
      <c r="AD179" s="1849"/>
      <c r="AE179" s="1849"/>
      <c r="AF179" s="1849"/>
      <c r="AG179" s="1849"/>
      <c r="AH179" s="1849"/>
    </row>
    <row r="180" spans="2:34" s="1846" customFormat="1" x14ac:dyDescent="0.25">
      <c r="D180" s="1846" t="str">
        <f t="shared" ref="D180" si="216">D70</f>
        <v>Gross Forklift Fuel Cell-related Employment (Job-years)</v>
      </c>
      <c r="J180" s="1846" t="str">
        <f t="shared" ref="J180:J207" si="217">D103</f>
        <v>Gross Forklift Fuel Cell-related Employment (Job-years)</v>
      </c>
      <c r="P180" s="1846" t="str">
        <f t="shared" si="215"/>
        <v>Displaced Domestic Forklift Battery-related Employment (Job-years)</v>
      </c>
      <c r="V180" s="1848"/>
      <c r="W180" s="1848"/>
      <c r="X180" s="1849"/>
      <c r="Y180" s="1849"/>
      <c r="Z180" s="1849"/>
      <c r="AA180" s="1849"/>
      <c r="AB180" s="1849"/>
      <c r="AC180" s="1849"/>
      <c r="AD180" s="1849"/>
      <c r="AE180" s="1849"/>
      <c r="AF180" s="1849"/>
      <c r="AG180" s="1849"/>
      <c r="AH180" s="1849"/>
    </row>
    <row r="181" spans="2:34" s="1846" customFormat="1" x14ac:dyDescent="0.25">
      <c r="C181" s="1846" t="str">
        <f t="shared" ref="C181:H181" si="218">C71</f>
        <v>Year</v>
      </c>
      <c r="D181" s="1846" t="str">
        <f t="shared" si="218"/>
        <v>Gross Forklift Fuel Cell-related Direct</v>
      </c>
      <c r="E181" s="1846" t="str">
        <f t="shared" si="218"/>
        <v>Gross Forklift Fuel Cell-related Indirect</v>
      </c>
      <c r="F181" s="1846" t="str">
        <f t="shared" si="218"/>
        <v>Gross Forklift Fuel Cell-related Induced</v>
      </c>
      <c r="G181" s="1846" t="str">
        <f t="shared" si="218"/>
        <v>Gross Forklift Fuel Cell-related Supply Chain</v>
      </c>
      <c r="H181" s="1846" t="str">
        <f t="shared" si="218"/>
        <v>Gross Forklift Fuel Cell-related Total</v>
      </c>
      <c r="I181" s="1846" t="str">
        <f t="shared" ref="I181:I207" si="219">C104</f>
        <v>Year</v>
      </c>
      <c r="J181" s="1846" t="str">
        <f t="shared" si="217"/>
        <v>Gross Forklift Fuel Cell-related Direct</v>
      </c>
      <c r="K181" s="1846" t="str">
        <f t="shared" ref="K181:K207" si="220">E104</f>
        <v>Gross Forklift Fuel Cell-related Indirect</v>
      </c>
      <c r="L181" s="1846" t="str">
        <f t="shared" ref="L181:L207" si="221">F104</f>
        <v>Gross Forklift Fuel Cell-related Induced</v>
      </c>
      <c r="M181" s="1846" t="str">
        <f t="shared" ref="M181:M207" si="222">G104</f>
        <v>Gross Forklift Fuel Cell-related Supply Chain</v>
      </c>
      <c r="N181" s="1846" t="str">
        <f t="shared" ref="N181:N207" si="223">H104</f>
        <v>Gross Forklift Fuel Cell-related Total</v>
      </c>
      <c r="O181" s="1846" t="str">
        <f t="shared" ref="O181:O207" si="224">C137</f>
        <v>Year</v>
      </c>
      <c r="P181" s="1846" t="str">
        <f t="shared" si="215"/>
        <v>Displaced Forklift Battery-related Direct</v>
      </c>
      <c r="Q181" s="1846" t="str">
        <f t="shared" si="215"/>
        <v>Displaced Forklift Battery-related Indirect</v>
      </c>
      <c r="R181" s="1846" t="str">
        <f t="shared" si="215"/>
        <v>Displaced Forklift Battery-related Induced</v>
      </c>
      <c r="S181" s="1846" t="str">
        <f t="shared" si="215"/>
        <v>Displaced Forklift Battery-related Supply Chain</v>
      </c>
      <c r="T181" s="1846" t="str">
        <f t="shared" si="215"/>
        <v>Displaced Forklift Battery-related Total</v>
      </c>
      <c r="V181" s="1848"/>
      <c r="W181" s="1848"/>
      <c r="X181" s="1849"/>
      <c r="Y181" s="1849"/>
      <c r="Z181" s="1849"/>
      <c r="AA181" s="1849"/>
      <c r="AB181" s="1849"/>
      <c r="AC181" s="1849"/>
      <c r="AD181" s="1849"/>
      <c r="AE181" s="1849"/>
      <c r="AF181" s="1849"/>
      <c r="AG181" s="1849"/>
      <c r="AH181" s="1849"/>
    </row>
    <row r="182" spans="2:34" s="1846" customFormat="1" x14ac:dyDescent="0.25">
      <c r="C182" s="1846">
        <f t="shared" ref="C182:H182" si="225">C72</f>
        <v>2015</v>
      </c>
      <c r="D182" s="1852" t="e">
        <f t="shared" si="225"/>
        <v>#N/A</v>
      </c>
      <c r="E182" s="1852" t="e">
        <f t="shared" si="225"/>
        <v>#N/A</v>
      </c>
      <c r="F182" s="1852" t="e">
        <f t="shared" si="225"/>
        <v>#N/A</v>
      </c>
      <c r="G182" s="1852" t="e">
        <f t="shared" si="225"/>
        <v>#N/A</v>
      </c>
      <c r="H182" s="1852" t="e">
        <f t="shared" si="225"/>
        <v>#N/A</v>
      </c>
      <c r="I182" s="1846">
        <f t="shared" si="219"/>
        <v>2015</v>
      </c>
      <c r="J182" s="1852" t="e">
        <f t="shared" si="217"/>
        <v>#N/A</v>
      </c>
      <c r="K182" s="1852" t="e">
        <f t="shared" si="220"/>
        <v>#N/A</v>
      </c>
      <c r="L182" s="1852" t="e">
        <f t="shared" si="221"/>
        <v>#N/A</v>
      </c>
      <c r="M182" s="1852" t="e">
        <f t="shared" si="222"/>
        <v>#N/A</v>
      </c>
      <c r="N182" s="1852" t="e">
        <f t="shared" si="223"/>
        <v>#N/A</v>
      </c>
      <c r="O182" s="1846">
        <f t="shared" si="224"/>
        <v>2015</v>
      </c>
      <c r="P182" s="1852" t="e">
        <f t="shared" si="215"/>
        <v>#N/A</v>
      </c>
      <c r="Q182" s="1852" t="e">
        <f t="shared" si="215"/>
        <v>#N/A</v>
      </c>
      <c r="R182" s="1852" t="e">
        <f t="shared" si="215"/>
        <v>#N/A</v>
      </c>
      <c r="S182" s="1852" t="e">
        <f t="shared" si="215"/>
        <v>#N/A</v>
      </c>
      <c r="T182" s="1852" t="e">
        <f t="shared" si="215"/>
        <v>#N/A</v>
      </c>
      <c r="V182" s="1848"/>
      <c r="W182" s="1848"/>
      <c r="X182" s="1849"/>
      <c r="Y182" s="1849"/>
      <c r="Z182" s="1849"/>
      <c r="AA182" s="1849"/>
      <c r="AB182" s="1849"/>
      <c r="AC182" s="1849"/>
      <c r="AD182" s="1849"/>
      <c r="AE182" s="1849"/>
      <c r="AF182" s="1849"/>
      <c r="AG182" s="1849"/>
      <c r="AH182" s="1849"/>
    </row>
    <row r="183" spans="2:34" s="1846" customFormat="1" x14ac:dyDescent="0.25">
      <c r="C183" s="1846">
        <f t="shared" ref="C183:H183" si="226">C73</f>
        <v>2016</v>
      </c>
      <c r="D183" s="1852" t="e">
        <f t="shared" si="226"/>
        <v>#N/A</v>
      </c>
      <c r="E183" s="1852" t="e">
        <f t="shared" si="226"/>
        <v>#N/A</v>
      </c>
      <c r="F183" s="1852" t="e">
        <f t="shared" si="226"/>
        <v>#N/A</v>
      </c>
      <c r="G183" s="1852" t="e">
        <f t="shared" si="226"/>
        <v>#N/A</v>
      </c>
      <c r="H183" s="1852" t="e">
        <f t="shared" si="226"/>
        <v>#N/A</v>
      </c>
      <c r="I183" s="1846">
        <f t="shared" si="219"/>
        <v>2016</v>
      </c>
      <c r="J183" s="1852" t="e">
        <f t="shared" si="217"/>
        <v>#N/A</v>
      </c>
      <c r="K183" s="1852" t="e">
        <f t="shared" si="220"/>
        <v>#N/A</v>
      </c>
      <c r="L183" s="1852" t="e">
        <f t="shared" si="221"/>
        <v>#N/A</v>
      </c>
      <c r="M183" s="1852" t="e">
        <f t="shared" si="222"/>
        <v>#N/A</v>
      </c>
      <c r="N183" s="1852" t="e">
        <f t="shared" si="223"/>
        <v>#N/A</v>
      </c>
      <c r="O183" s="1846">
        <f t="shared" si="224"/>
        <v>2016</v>
      </c>
      <c r="P183" s="1852" t="e">
        <f t="shared" si="215"/>
        <v>#N/A</v>
      </c>
      <c r="Q183" s="1852" t="e">
        <f t="shared" si="215"/>
        <v>#N/A</v>
      </c>
      <c r="R183" s="1852" t="e">
        <f t="shared" si="215"/>
        <v>#N/A</v>
      </c>
      <c r="S183" s="1852" t="e">
        <f t="shared" si="215"/>
        <v>#N/A</v>
      </c>
      <c r="T183" s="1852" t="e">
        <f t="shared" si="215"/>
        <v>#N/A</v>
      </c>
      <c r="V183" s="1848"/>
      <c r="W183" s="1848"/>
      <c r="X183" s="1849"/>
      <c r="Y183" s="1849"/>
      <c r="Z183" s="1849"/>
      <c r="AA183" s="1849"/>
      <c r="AB183" s="1849"/>
      <c r="AC183" s="1849"/>
      <c r="AD183" s="1849"/>
      <c r="AE183" s="1849"/>
      <c r="AF183" s="1849"/>
      <c r="AG183" s="1849"/>
      <c r="AH183" s="1849"/>
    </row>
    <row r="184" spans="2:34" s="1846" customFormat="1" x14ac:dyDescent="0.25">
      <c r="C184" s="1846">
        <f t="shared" ref="C184:H184" si="227">C74</f>
        <v>2017</v>
      </c>
      <c r="D184" s="1852" t="e">
        <f t="shared" si="227"/>
        <v>#N/A</v>
      </c>
      <c r="E184" s="1852" t="e">
        <f t="shared" si="227"/>
        <v>#N/A</v>
      </c>
      <c r="F184" s="1852" t="e">
        <f t="shared" si="227"/>
        <v>#N/A</v>
      </c>
      <c r="G184" s="1852" t="e">
        <f t="shared" si="227"/>
        <v>#N/A</v>
      </c>
      <c r="H184" s="1852" t="e">
        <f t="shared" si="227"/>
        <v>#N/A</v>
      </c>
      <c r="I184" s="1846">
        <f t="shared" si="219"/>
        <v>2017</v>
      </c>
      <c r="J184" s="1852" t="e">
        <f t="shared" si="217"/>
        <v>#N/A</v>
      </c>
      <c r="K184" s="1852" t="e">
        <f t="shared" si="220"/>
        <v>#N/A</v>
      </c>
      <c r="L184" s="1852" t="e">
        <f t="shared" si="221"/>
        <v>#N/A</v>
      </c>
      <c r="M184" s="1852" t="e">
        <f t="shared" si="222"/>
        <v>#N/A</v>
      </c>
      <c r="N184" s="1852" t="e">
        <f t="shared" si="223"/>
        <v>#N/A</v>
      </c>
      <c r="O184" s="1846">
        <f t="shared" si="224"/>
        <v>2017</v>
      </c>
      <c r="P184" s="1852" t="e">
        <f t="shared" si="215"/>
        <v>#N/A</v>
      </c>
      <c r="Q184" s="1852" t="e">
        <f t="shared" si="215"/>
        <v>#N/A</v>
      </c>
      <c r="R184" s="1852" t="e">
        <f t="shared" si="215"/>
        <v>#N/A</v>
      </c>
      <c r="S184" s="1852" t="e">
        <f t="shared" si="215"/>
        <v>#N/A</v>
      </c>
      <c r="T184" s="1852" t="e">
        <f t="shared" si="215"/>
        <v>#N/A</v>
      </c>
      <c r="V184" s="1848"/>
      <c r="W184" s="1848"/>
      <c r="X184" s="1849"/>
      <c r="Y184" s="1849"/>
      <c r="Z184" s="1849"/>
      <c r="AA184" s="1849"/>
      <c r="AB184" s="1849"/>
      <c r="AC184" s="1849"/>
      <c r="AD184" s="1849"/>
      <c r="AE184" s="1849"/>
      <c r="AF184" s="1849"/>
      <c r="AG184" s="1849"/>
      <c r="AH184" s="1849"/>
    </row>
    <row r="185" spans="2:34" s="1846" customFormat="1" x14ac:dyDescent="0.25">
      <c r="C185" s="1846">
        <f t="shared" ref="C185:H185" si="228">C75</f>
        <v>2018</v>
      </c>
      <c r="D185" s="1852" t="e">
        <f t="shared" si="228"/>
        <v>#N/A</v>
      </c>
      <c r="E185" s="1852" t="e">
        <f t="shared" si="228"/>
        <v>#N/A</v>
      </c>
      <c r="F185" s="1852" t="e">
        <f t="shared" si="228"/>
        <v>#N/A</v>
      </c>
      <c r="G185" s="1852" t="e">
        <f t="shared" si="228"/>
        <v>#N/A</v>
      </c>
      <c r="H185" s="1852" t="e">
        <f t="shared" si="228"/>
        <v>#N/A</v>
      </c>
      <c r="I185" s="1846">
        <f t="shared" si="219"/>
        <v>2018</v>
      </c>
      <c r="J185" s="1852" t="e">
        <f t="shared" si="217"/>
        <v>#N/A</v>
      </c>
      <c r="K185" s="1852" t="e">
        <f t="shared" si="220"/>
        <v>#N/A</v>
      </c>
      <c r="L185" s="1852" t="e">
        <f t="shared" si="221"/>
        <v>#N/A</v>
      </c>
      <c r="M185" s="1852" t="e">
        <f t="shared" si="222"/>
        <v>#N/A</v>
      </c>
      <c r="N185" s="1852" t="e">
        <f t="shared" si="223"/>
        <v>#N/A</v>
      </c>
      <c r="O185" s="1846">
        <f t="shared" si="224"/>
        <v>2018</v>
      </c>
      <c r="P185" s="1852" t="e">
        <f t="shared" si="215"/>
        <v>#N/A</v>
      </c>
      <c r="Q185" s="1852" t="e">
        <f t="shared" si="215"/>
        <v>#N/A</v>
      </c>
      <c r="R185" s="1852" t="e">
        <f t="shared" si="215"/>
        <v>#N/A</v>
      </c>
      <c r="S185" s="1852" t="e">
        <f t="shared" si="215"/>
        <v>#N/A</v>
      </c>
      <c r="T185" s="1852" t="e">
        <f t="shared" si="215"/>
        <v>#N/A</v>
      </c>
      <c r="V185" s="1848"/>
      <c r="W185" s="1848"/>
      <c r="X185" s="1849"/>
      <c r="Y185" s="1849"/>
      <c r="Z185" s="1849"/>
      <c r="AA185" s="1849"/>
      <c r="AB185" s="1849"/>
      <c r="AC185" s="1849"/>
      <c r="AD185" s="1849"/>
      <c r="AE185" s="1849"/>
      <c r="AF185" s="1849"/>
      <c r="AG185" s="1849"/>
      <c r="AH185" s="1849"/>
    </row>
    <row r="186" spans="2:34" s="1846" customFormat="1" x14ac:dyDescent="0.25">
      <c r="C186" s="1846">
        <f t="shared" ref="C186:H186" si="229">C76</f>
        <v>2019</v>
      </c>
      <c r="D186" s="1852" t="e">
        <f t="shared" si="229"/>
        <v>#N/A</v>
      </c>
      <c r="E186" s="1852" t="e">
        <f t="shared" si="229"/>
        <v>#N/A</v>
      </c>
      <c r="F186" s="1852" t="e">
        <f t="shared" si="229"/>
        <v>#N/A</v>
      </c>
      <c r="G186" s="1852" t="e">
        <f t="shared" si="229"/>
        <v>#N/A</v>
      </c>
      <c r="H186" s="1852" t="e">
        <f t="shared" si="229"/>
        <v>#N/A</v>
      </c>
      <c r="I186" s="1846">
        <f t="shared" si="219"/>
        <v>2019</v>
      </c>
      <c r="J186" s="1852" t="e">
        <f t="shared" si="217"/>
        <v>#N/A</v>
      </c>
      <c r="K186" s="1852" t="e">
        <f t="shared" si="220"/>
        <v>#N/A</v>
      </c>
      <c r="L186" s="1852" t="e">
        <f t="shared" si="221"/>
        <v>#N/A</v>
      </c>
      <c r="M186" s="1852" t="e">
        <f t="shared" si="222"/>
        <v>#N/A</v>
      </c>
      <c r="N186" s="1852" t="e">
        <f t="shared" si="223"/>
        <v>#N/A</v>
      </c>
      <c r="O186" s="1846">
        <f t="shared" si="224"/>
        <v>2019</v>
      </c>
      <c r="P186" s="1852" t="e">
        <f t="shared" si="215"/>
        <v>#N/A</v>
      </c>
      <c r="Q186" s="1852" t="e">
        <f t="shared" si="215"/>
        <v>#N/A</v>
      </c>
      <c r="R186" s="1852" t="e">
        <f t="shared" si="215"/>
        <v>#N/A</v>
      </c>
      <c r="S186" s="1852" t="e">
        <f t="shared" si="215"/>
        <v>#N/A</v>
      </c>
      <c r="T186" s="1852" t="e">
        <f t="shared" si="215"/>
        <v>#N/A</v>
      </c>
      <c r="V186" s="1848"/>
      <c r="W186" s="1848"/>
      <c r="X186" s="1849"/>
      <c r="Y186" s="1849"/>
      <c r="Z186" s="1849"/>
      <c r="AA186" s="1849"/>
      <c r="AB186" s="1849"/>
      <c r="AC186" s="1849"/>
      <c r="AD186" s="1849"/>
      <c r="AE186" s="1849"/>
      <c r="AF186" s="1849"/>
      <c r="AG186" s="1849"/>
      <c r="AH186" s="1849"/>
    </row>
    <row r="187" spans="2:34" s="1846" customFormat="1" x14ac:dyDescent="0.25">
      <c r="C187" s="1846">
        <f t="shared" ref="C187:H187" si="230">C77</f>
        <v>2020</v>
      </c>
      <c r="D187" s="1852" t="e">
        <f t="shared" si="230"/>
        <v>#N/A</v>
      </c>
      <c r="E187" s="1852" t="e">
        <f t="shared" si="230"/>
        <v>#N/A</v>
      </c>
      <c r="F187" s="1852" t="e">
        <f t="shared" si="230"/>
        <v>#N/A</v>
      </c>
      <c r="G187" s="1852" t="e">
        <f t="shared" si="230"/>
        <v>#N/A</v>
      </c>
      <c r="H187" s="1852" t="e">
        <f t="shared" si="230"/>
        <v>#N/A</v>
      </c>
      <c r="I187" s="1846">
        <f t="shared" si="219"/>
        <v>2020</v>
      </c>
      <c r="J187" s="1852" t="e">
        <f t="shared" si="217"/>
        <v>#N/A</v>
      </c>
      <c r="K187" s="1852" t="e">
        <f t="shared" si="220"/>
        <v>#N/A</v>
      </c>
      <c r="L187" s="1852" t="e">
        <f t="shared" si="221"/>
        <v>#N/A</v>
      </c>
      <c r="M187" s="1852" t="e">
        <f t="shared" si="222"/>
        <v>#N/A</v>
      </c>
      <c r="N187" s="1852" t="e">
        <f t="shared" si="223"/>
        <v>#N/A</v>
      </c>
      <c r="O187" s="1846">
        <f t="shared" si="224"/>
        <v>2020</v>
      </c>
      <c r="P187" s="1852" t="e">
        <f t="shared" si="215"/>
        <v>#N/A</v>
      </c>
      <c r="Q187" s="1852" t="e">
        <f t="shared" si="215"/>
        <v>#N/A</v>
      </c>
      <c r="R187" s="1852" t="e">
        <f t="shared" si="215"/>
        <v>#N/A</v>
      </c>
      <c r="S187" s="1852" t="e">
        <f t="shared" si="215"/>
        <v>#N/A</v>
      </c>
      <c r="T187" s="1852" t="e">
        <f t="shared" si="215"/>
        <v>#N/A</v>
      </c>
      <c r="V187" s="1848"/>
      <c r="W187" s="1848"/>
      <c r="X187" s="1849"/>
      <c r="Y187" s="1849"/>
      <c r="Z187" s="1849"/>
      <c r="AA187" s="1849"/>
      <c r="AB187" s="1849"/>
      <c r="AC187" s="1849"/>
      <c r="AD187" s="1849"/>
      <c r="AE187" s="1849"/>
      <c r="AF187" s="1849"/>
      <c r="AG187" s="1849"/>
      <c r="AH187" s="1849"/>
    </row>
    <row r="188" spans="2:34" s="1846" customFormat="1" x14ac:dyDescent="0.25">
      <c r="V188" s="1848"/>
      <c r="W188" s="1848"/>
      <c r="X188" s="1849"/>
      <c r="Y188" s="1849"/>
      <c r="Z188" s="1849"/>
      <c r="AA188" s="1849"/>
      <c r="AB188" s="1849"/>
      <c r="AC188" s="1849"/>
      <c r="AD188" s="1849"/>
      <c r="AE188" s="1849"/>
      <c r="AF188" s="1849"/>
      <c r="AG188" s="1849"/>
      <c r="AH188" s="1849"/>
    </row>
    <row r="189" spans="2:34" s="1846" customFormat="1" x14ac:dyDescent="0.25">
      <c r="D189" s="1846" t="str">
        <f t="shared" ref="D189" si="231">D79</f>
        <v>Total (Manufacturing, Installation, Fuel, and Maintenance)</v>
      </c>
      <c r="J189" s="1846" t="str">
        <f t="shared" si="217"/>
        <v>Total (Manufacturing, Installation, Fuel, and Maintenance)</v>
      </c>
      <c r="P189" s="1846" t="str">
        <f t="shared" si="215"/>
        <v>Total (Manufacturing, Installation, Fuel, and Maintenance)</v>
      </c>
      <c r="V189" s="1848"/>
      <c r="W189" s="1848"/>
      <c r="X189" s="1849"/>
      <c r="Y189" s="1849"/>
      <c r="Z189" s="1849"/>
      <c r="AA189" s="1849"/>
      <c r="AB189" s="1849"/>
      <c r="AC189" s="1849"/>
      <c r="AD189" s="1849"/>
      <c r="AE189" s="1849"/>
      <c r="AF189" s="1849"/>
      <c r="AG189" s="1849"/>
      <c r="AH189" s="1849"/>
    </row>
    <row r="190" spans="2:34" s="1846" customFormat="1" x14ac:dyDescent="0.25">
      <c r="D190" s="1846" t="str">
        <f t="shared" ref="D190" si="232">D80</f>
        <v>Gross Earnings (Thousands of 2010$)</v>
      </c>
      <c r="J190" s="1846" t="str">
        <f t="shared" si="217"/>
        <v>Gross Forklift Fuel Cell-related Earnings (Thousands of 2010$)</v>
      </c>
      <c r="P190" s="1846" t="str">
        <f t="shared" si="215"/>
        <v>Displaced Domestic Forklift Battery-related Earnings (Thousands of 2010$)</v>
      </c>
      <c r="V190" s="1848"/>
      <c r="W190" s="1848"/>
      <c r="X190" s="1849"/>
      <c r="Y190" s="1849"/>
      <c r="Z190" s="1849"/>
      <c r="AA190" s="1849"/>
      <c r="AB190" s="1849"/>
      <c r="AC190" s="1849"/>
      <c r="AD190" s="1849"/>
      <c r="AE190" s="1849"/>
      <c r="AF190" s="1849"/>
      <c r="AG190" s="1849"/>
      <c r="AH190" s="1849"/>
    </row>
    <row r="191" spans="2:34" s="1846" customFormat="1" x14ac:dyDescent="0.25">
      <c r="C191" s="1846" t="str">
        <f t="shared" ref="C191:H191" si="233">C81</f>
        <v>Year</v>
      </c>
      <c r="D191" s="1846" t="str">
        <f t="shared" si="233"/>
        <v>Gross Forklift Fuel Cell-related Direct</v>
      </c>
      <c r="E191" s="1846" t="str">
        <f t="shared" si="233"/>
        <v>Gross Forklift Fuel Cell-related Indirect</v>
      </c>
      <c r="F191" s="1846" t="str">
        <f t="shared" si="233"/>
        <v>Gross Forklift Fuel Cell-related Induced</v>
      </c>
      <c r="G191" s="1846" t="str">
        <f t="shared" si="233"/>
        <v>Gross Forklift Fuel Cell-related Supply Chain</v>
      </c>
      <c r="H191" s="1846" t="str">
        <f t="shared" si="233"/>
        <v>Gross Forklift Fuel Cell-related Total</v>
      </c>
      <c r="I191" s="1846" t="str">
        <f t="shared" si="219"/>
        <v>Year</v>
      </c>
      <c r="J191" s="1846" t="str">
        <f t="shared" si="217"/>
        <v>Gross Forklift Fuel Cell-related Direct</v>
      </c>
      <c r="K191" s="1846" t="str">
        <f t="shared" si="220"/>
        <v>Gross Forklift Fuel Cell-related Indirect</v>
      </c>
      <c r="L191" s="1846" t="str">
        <f t="shared" si="221"/>
        <v>Gross Forklift Fuel Cell-related Induced</v>
      </c>
      <c r="M191" s="1846" t="str">
        <f t="shared" si="222"/>
        <v>Gross Forklift Fuel Cell-related Supply Chain</v>
      </c>
      <c r="N191" s="1846" t="str">
        <f t="shared" si="223"/>
        <v>Gross Forklift Fuel Cell-related Total</v>
      </c>
      <c r="O191" s="1846" t="str">
        <f t="shared" si="224"/>
        <v>Year</v>
      </c>
      <c r="P191" s="1846" t="str">
        <f t="shared" si="215"/>
        <v>Displaced Forklift Battery-related Direct</v>
      </c>
      <c r="Q191" s="1846" t="str">
        <f t="shared" si="215"/>
        <v>Displaced Forklift Battery-related Indirect</v>
      </c>
      <c r="R191" s="1846" t="str">
        <f t="shared" si="215"/>
        <v>Displaced Forklift Battery-related Induced</v>
      </c>
      <c r="S191" s="1846" t="str">
        <f t="shared" si="215"/>
        <v>Displaced Forklift Battery-related Supply Chain</v>
      </c>
      <c r="T191" s="1846" t="str">
        <f t="shared" si="215"/>
        <v>Displaced Forklift Battery-related Total</v>
      </c>
      <c r="V191" s="1848"/>
      <c r="W191" s="1848"/>
      <c r="X191" s="1849"/>
      <c r="Y191" s="1849"/>
      <c r="Z191" s="1849"/>
      <c r="AA191" s="1849"/>
      <c r="AB191" s="1849"/>
      <c r="AC191" s="1849"/>
      <c r="AD191" s="1849"/>
      <c r="AE191" s="1849"/>
      <c r="AF191" s="1849"/>
      <c r="AG191" s="1849"/>
      <c r="AH191" s="1849"/>
    </row>
    <row r="192" spans="2:34" s="1846" customFormat="1" x14ac:dyDescent="0.25">
      <c r="C192" s="1846">
        <f t="shared" ref="C192:H192" si="234">C82</f>
        <v>2015</v>
      </c>
      <c r="D192" s="1853" t="e">
        <f t="shared" si="234"/>
        <v>#N/A</v>
      </c>
      <c r="E192" s="1853" t="e">
        <f t="shared" si="234"/>
        <v>#N/A</v>
      </c>
      <c r="F192" s="1853" t="e">
        <f t="shared" si="234"/>
        <v>#N/A</v>
      </c>
      <c r="G192" s="1853" t="e">
        <f t="shared" si="234"/>
        <v>#N/A</v>
      </c>
      <c r="H192" s="1853" t="e">
        <f t="shared" si="234"/>
        <v>#N/A</v>
      </c>
      <c r="I192" s="1846">
        <f t="shared" si="219"/>
        <v>2015</v>
      </c>
      <c r="J192" s="1853" t="e">
        <f t="shared" si="217"/>
        <v>#N/A</v>
      </c>
      <c r="K192" s="1853" t="e">
        <f t="shared" si="220"/>
        <v>#N/A</v>
      </c>
      <c r="L192" s="1853" t="e">
        <f t="shared" si="221"/>
        <v>#N/A</v>
      </c>
      <c r="M192" s="1853" t="e">
        <f t="shared" si="222"/>
        <v>#N/A</v>
      </c>
      <c r="N192" s="1853" t="e">
        <f t="shared" si="223"/>
        <v>#N/A</v>
      </c>
      <c r="O192" s="1846">
        <f t="shared" si="224"/>
        <v>2015</v>
      </c>
      <c r="P192" s="1854" t="e">
        <f t="shared" si="215"/>
        <v>#N/A</v>
      </c>
      <c r="Q192" s="1853" t="e">
        <f t="shared" si="215"/>
        <v>#N/A</v>
      </c>
      <c r="R192" s="1853" t="e">
        <f t="shared" si="215"/>
        <v>#N/A</v>
      </c>
      <c r="S192" s="1853" t="e">
        <f t="shared" si="215"/>
        <v>#N/A</v>
      </c>
      <c r="T192" s="1853" t="e">
        <f t="shared" si="215"/>
        <v>#N/A</v>
      </c>
      <c r="V192" s="1848"/>
      <c r="W192" s="1848"/>
      <c r="X192" s="1849"/>
      <c r="Y192" s="1849"/>
      <c r="Z192" s="1849"/>
      <c r="AA192" s="1849"/>
      <c r="AB192" s="1849"/>
      <c r="AC192" s="1849"/>
      <c r="AD192" s="1849"/>
      <c r="AE192" s="1849"/>
      <c r="AF192" s="1849"/>
      <c r="AG192" s="1849"/>
      <c r="AH192" s="1849"/>
    </row>
    <row r="193" spans="3:34" s="1846" customFormat="1" x14ac:dyDescent="0.25">
      <c r="C193" s="1846">
        <f t="shared" ref="C193:H193" si="235">C83</f>
        <v>2016</v>
      </c>
      <c r="D193" s="1853" t="e">
        <f t="shared" si="235"/>
        <v>#N/A</v>
      </c>
      <c r="E193" s="1853" t="e">
        <f t="shared" si="235"/>
        <v>#N/A</v>
      </c>
      <c r="F193" s="1853" t="e">
        <f t="shared" si="235"/>
        <v>#N/A</v>
      </c>
      <c r="G193" s="1853" t="e">
        <f t="shared" si="235"/>
        <v>#N/A</v>
      </c>
      <c r="H193" s="1853" t="e">
        <f t="shared" si="235"/>
        <v>#N/A</v>
      </c>
      <c r="I193" s="1846">
        <f t="shared" si="219"/>
        <v>2016</v>
      </c>
      <c r="J193" s="1853" t="e">
        <f t="shared" si="217"/>
        <v>#N/A</v>
      </c>
      <c r="K193" s="1853" t="e">
        <f t="shared" si="220"/>
        <v>#N/A</v>
      </c>
      <c r="L193" s="1853" t="e">
        <f t="shared" si="221"/>
        <v>#N/A</v>
      </c>
      <c r="M193" s="1853" t="e">
        <f t="shared" si="222"/>
        <v>#N/A</v>
      </c>
      <c r="N193" s="1853" t="e">
        <f t="shared" si="223"/>
        <v>#N/A</v>
      </c>
      <c r="O193" s="1846">
        <f t="shared" si="224"/>
        <v>2016</v>
      </c>
      <c r="P193" s="1854" t="e">
        <f t="shared" si="215"/>
        <v>#N/A</v>
      </c>
      <c r="Q193" s="1853" t="e">
        <f t="shared" si="215"/>
        <v>#N/A</v>
      </c>
      <c r="R193" s="1853" t="e">
        <f t="shared" si="215"/>
        <v>#N/A</v>
      </c>
      <c r="S193" s="1853" t="e">
        <f t="shared" si="215"/>
        <v>#N/A</v>
      </c>
      <c r="T193" s="1853" t="e">
        <f t="shared" si="215"/>
        <v>#N/A</v>
      </c>
      <c r="V193" s="1848"/>
      <c r="W193" s="1848"/>
      <c r="X193" s="1849"/>
      <c r="Y193" s="1849"/>
      <c r="Z193" s="1849"/>
      <c r="AA193" s="1849"/>
      <c r="AB193" s="1849"/>
      <c r="AC193" s="1849"/>
      <c r="AD193" s="1849"/>
      <c r="AE193" s="1849"/>
      <c r="AF193" s="1849"/>
      <c r="AG193" s="1849"/>
      <c r="AH193" s="1849"/>
    </row>
    <row r="194" spans="3:34" s="1846" customFormat="1" x14ac:dyDescent="0.25">
      <c r="C194" s="1846">
        <f t="shared" ref="C194:H194" si="236">C84</f>
        <v>2017</v>
      </c>
      <c r="D194" s="1853" t="e">
        <f t="shared" si="236"/>
        <v>#N/A</v>
      </c>
      <c r="E194" s="1853" t="e">
        <f t="shared" si="236"/>
        <v>#N/A</v>
      </c>
      <c r="F194" s="1853" t="e">
        <f t="shared" si="236"/>
        <v>#N/A</v>
      </c>
      <c r="G194" s="1853" t="e">
        <f t="shared" si="236"/>
        <v>#N/A</v>
      </c>
      <c r="H194" s="1853" t="e">
        <f t="shared" si="236"/>
        <v>#N/A</v>
      </c>
      <c r="I194" s="1846">
        <f t="shared" si="219"/>
        <v>2017</v>
      </c>
      <c r="J194" s="1853" t="e">
        <f t="shared" si="217"/>
        <v>#N/A</v>
      </c>
      <c r="K194" s="1853" t="e">
        <f t="shared" si="220"/>
        <v>#N/A</v>
      </c>
      <c r="L194" s="1853" t="e">
        <f t="shared" si="221"/>
        <v>#N/A</v>
      </c>
      <c r="M194" s="1853" t="e">
        <f t="shared" si="222"/>
        <v>#N/A</v>
      </c>
      <c r="N194" s="1853" t="e">
        <f t="shared" si="223"/>
        <v>#N/A</v>
      </c>
      <c r="O194" s="1846">
        <f t="shared" si="224"/>
        <v>2017</v>
      </c>
      <c r="P194" s="1854" t="e">
        <f t="shared" si="215"/>
        <v>#N/A</v>
      </c>
      <c r="Q194" s="1853" t="e">
        <f t="shared" si="215"/>
        <v>#N/A</v>
      </c>
      <c r="R194" s="1853" t="e">
        <f t="shared" si="215"/>
        <v>#N/A</v>
      </c>
      <c r="S194" s="1853" t="e">
        <f t="shared" si="215"/>
        <v>#N/A</v>
      </c>
      <c r="T194" s="1853" t="e">
        <f t="shared" si="215"/>
        <v>#N/A</v>
      </c>
      <c r="V194" s="1848"/>
      <c r="W194" s="1848"/>
      <c r="X194" s="1849"/>
      <c r="Y194" s="1849"/>
      <c r="Z194" s="1849"/>
      <c r="AA194" s="1849"/>
      <c r="AB194" s="1849"/>
      <c r="AC194" s="1849"/>
      <c r="AD194" s="1849"/>
      <c r="AE194" s="1849"/>
      <c r="AF194" s="1849"/>
      <c r="AG194" s="1849"/>
      <c r="AH194" s="1849"/>
    </row>
    <row r="195" spans="3:34" s="1846" customFormat="1" x14ac:dyDescent="0.25">
      <c r="C195" s="1846">
        <f t="shared" ref="C195:H195" si="237">C85</f>
        <v>2018</v>
      </c>
      <c r="D195" s="1853" t="e">
        <f t="shared" si="237"/>
        <v>#N/A</v>
      </c>
      <c r="E195" s="1853" t="e">
        <f t="shared" si="237"/>
        <v>#N/A</v>
      </c>
      <c r="F195" s="1853" t="e">
        <f t="shared" si="237"/>
        <v>#N/A</v>
      </c>
      <c r="G195" s="1853" t="e">
        <f t="shared" si="237"/>
        <v>#N/A</v>
      </c>
      <c r="H195" s="1853" t="e">
        <f t="shared" si="237"/>
        <v>#N/A</v>
      </c>
      <c r="I195" s="1846">
        <f t="shared" si="219"/>
        <v>2018</v>
      </c>
      <c r="J195" s="1853" t="e">
        <f t="shared" si="217"/>
        <v>#N/A</v>
      </c>
      <c r="K195" s="1853" t="e">
        <f t="shared" si="220"/>
        <v>#N/A</v>
      </c>
      <c r="L195" s="1853" t="e">
        <f t="shared" si="221"/>
        <v>#N/A</v>
      </c>
      <c r="M195" s="1853" t="e">
        <f t="shared" si="222"/>
        <v>#N/A</v>
      </c>
      <c r="N195" s="1853" t="e">
        <f t="shared" si="223"/>
        <v>#N/A</v>
      </c>
      <c r="O195" s="1846">
        <f t="shared" si="224"/>
        <v>2018</v>
      </c>
      <c r="P195" s="1854" t="e">
        <f t="shared" ref="P195:P207" si="238">D151</f>
        <v>#N/A</v>
      </c>
      <c r="Q195" s="1853" t="e">
        <f t="shared" ref="Q195:Q207" si="239">E151</f>
        <v>#N/A</v>
      </c>
      <c r="R195" s="1853" t="e">
        <f t="shared" ref="R195:R207" si="240">F151</f>
        <v>#N/A</v>
      </c>
      <c r="S195" s="1853" t="e">
        <f t="shared" ref="S195:S207" si="241">G151</f>
        <v>#N/A</v>
      </c>
      <c r="T195" s="1853" t="e">
        <f t="shared" ref="T195:T207" si="242">H151</f>
        <v>#N/A</v>
      </c>
      <c r="V195" s="1848"/>
      <c r="W195" s="1848"/>
      <c r="X195" s="1849"/>
      <c r="Y195" s="1849"/>
      <c r="Z195" s="1849"/>
      <c r="AA195" s="1849"/>
      <c r="AB195" s="1849"/>
      <c r="AC195" s="1849"/>
      <c r="AD195" s="1849"/>
      <c r="AE195" s="1849"/>
      <c r="AF195" s="1849"/>
      <c r="AG195" s="1849"/>
      <c r="AH195" s="1849"/>
    </row>
    <row r="196" spans="3:34" s="1846" customFormat="1" x14ac:dyDescent="0.25">
      <c r="C196" s="1846">
        <f t="shared" ref="C196:H196" si="243">C86</f>
        <v>2019</v>
      </c>
      <c r="D196" s="1853" t="e">
        <f t="shared" si="243"/>
        <v>#N/A</v>
      </c>
      <c r="E196" s="1853" t="e">
        <f t="shared" si="243"/>
        <v>#N/A</v>
      </c>
      <c r="F196" s="1853" t="e">
        <f t="shared" si="243"/>
        <v>#N/A</v>
      </c>
      <c r="G196" s="1853" t="e">
        <f t="shared" si="243"/>
        <v>#N/A</v>
      </c>
      <c r="H196" s="1853" t="e">
        <f t="shared" si="243"/>
        <v>#N/A</v>
      </c>
      <c r="I196" s="1846">
        <f t="shared" si="219"/>
        <v>2019</v>
      </c>
      <c r="J196" s="1853" t="e">
        <f t="shared" si="217"/>
        <v>#N/A</v>
      </c>
      <c r="K196" s="1853" t="e">
        <f t="shared" si="220"/>
        <v>#N/A</v>
      </c>
      <c r="L196" s="1853" t="e">
        <f t="shared" si="221"/>
        <v>#N/A</v>
      </c>
      <c r="M196" s="1853" t="e">
        <f t="shared" si="222"/>
        <v>#N/A</v>
      </c>
      <c r="N196" s="1853" t="e">
        <f t="shared" si="223"/>
        <v>#N/A</v>
      </c>
      <c r="O196" s="1846">
        <f t="shared" si="224"/>
        <v>2019</v>
      </c>
      <c r="P196" s="1854" t="e">
        <f t="shared" si="238"/>
        <v>#N/A</v>
      </c>
      <c r="Q196" s="1853" t="e">
        <f t="shared" si="239"/>
        <v>#N/A</v>
      </c>
      <c r="R196" s="1853" t="e">
        <f t="shared" si="240"/>
        <v>#N/A</v>
      </c>
      <c r="S196" s="1853" t="e">
        <f t="shared" si="241"/>
        <v>#N/A</v>
      </c>
      <c r="T196" s="1853" t="e">
        <f t="shared" si="242"/>
        <v>#N/A</v>
      </c>
      <c r="V196" s="1848"/>
      <c r="W196" s="1848"/>
      <c r="X196" s="1849"/>
      <c r="Y196" s="1849"/>
      <c r="Z196" s="1849"/>
      <c r="AA196" s="1849"/>
      <c r="AB196" s="1849"/>
      <c r="AC196" s="1849"/>
      <c r="AD196" s="1849"/>
      <c r="AE196" s="1849"/>
      <c r="AF196" s="1849"/>
      <c r="AG196" s="1849"/>
      <c r="AH196" s="1849"/>
    </row>
    <row r="197" spans="3:34" s="1846" customFormat="1" x14ac:dyDescent="0.25">
      <c r="C197" s="1846">
        <f t="shared" ref="C197:H197" si="244">C87</f>
        <v>2020</v>
      </c>
      <c r="D197" s="1853" t="e">
        <f t="shared" si="244"/>
        <v>#N/A</v>
      </c>
      <c r="E197" s="1853" t="e">
        <f t="shared" si="244"/>
        <v>#N/A</v>
      </c>
      <c r="F197" s="1853" t="e">
        <f t="shared" si="244"/>
        <v>#N/A</v>
      </c>
      <c r="G197" s="1853" t="e">
        <f t="shared" si="244"/>
        <v>#N/A</v>
      </c>
      <c r="H197" s="1853" t="e">
        <f t="shared" si="244"/>
        <v>#N/A</v>
      </c>
      <c r="I197" s="1846">
        <f t="shared" si="219"/>
        <v>2020</v>
      </c>
      <c r="J197" s="1853" t="e">
        <f t="shared" si="217"/>
        <v>#N/A</v>
      </c>
      <c r="K197" s="1853" t="e">
        <f t="shared" si="220"/>
        <v>#N/A</v>
      </c>
      <c r="L197" s="1853" t="e">
        <f t="shared" si="221"/>
        <v>#N/A</v>
      </c>
      <c r="M197" s="1853" t="e">
        <f t="shared" si="222"/>
        <v>#N/A</v>
      </c>
      <c r="N197" s="1853" t="e">
        <f t="shared" si="223"/>
        <v>#N/A</v>
      </c>
      <c r="O197" s="1846">
        <f t="shared" si="224"/>
        <v>2020</v>
      </c>
      <c r="P197" s="1854" t="e">
        <f t="shared" si="238"/>
        <v>#N/A</v>
      </c>
      <c r="Q197" s="1853" t="e">
        <f t="shared" si="239"/>
        <v>#N/A</v>
      </c>
      <c r="R197" s="1853" t="e">
        <f t="shared" si="240"/>
        <v>#N/A</v>
      </c>
      <c r="S197" s="1853" t="e">
        <f t="shared" si="241"/>
        <v>#N/A</v>
      </c>
      <c r="T197" s="1853" t="e">
        <f t="shared" si="242"/>
        <v>#N/A</v>
      </c>
      <c r="V197" s="1848"/>
      <c r="W197" s="1848"/>
      <c r="X197" s="1849"/>
      <c r="Y197" s="1849"/>
      <c r="Z197" s="1849"/>
      <c r="AA197" s="1849"/>
      <c r="AB197" s="1849"/>
      <c r="AC197" s="1849"/>
      <c r="AD197" s="1849"/>
      <c r="AE197" s="1849"/>
      <c r="AF197" s="1849"/>
      <c r="AG197" s="1849"/>
      <c r="AH197" s="1849"/>
    </row>
    <row r="198" spans="3:34" s="1846" customFormat="1" x14ac:dyDescent="0.25">
      <c r="D198" s="1854"/>
      <c r="E198" s="1854"/>
      <c r="F198" s="1854"/>
      <c r="G198" s="1854"/>
      <c r="H198" s="1854"/>
      <c r="J198" s="1854"/>
      <c r="K198" s="1854"/>
      <c r="L198" s="1854"/>
      <c r="M198" s="1854"/>
      <c r="N198" s="1854"/>
      <c r="P198" s="1854"/>
      <c r="Q198" s="1854"/>
      <c r="R198" s="1854"/>
      <c r="S198" s="1854"/>
      <c r="T198" s="1854"/>
      <c r="V198" s="1848"/>
      <c r="W198" s="1848"/>
      <c r="X198" s="1849"/>
      <c r="Y198" s="1849"/>
      <c r="Z198" s="1849"/>
      <c r="AA198" s="1849"/>
      <c r="AB198" s="1849"/>
      <c r="AC198" s="1849"/>
      <c r="AD198" s="1849"/>
      <c r="AE198" s="1849"/>
      <c r="AF198" s="1849"/>
      <c r="AG198" s="1849"/>
      <c r="AH198" s="1849"/>
    </row>
    <row r="199" spans="3:34" s="1846" customFormat="1" x14ac:dyDescent="0.25">
      <c r="D199" s="1854" t="str">
        <f t="shared" ref="D199" si="245">D89</f>
        <v>Total (Manufacturing, Installation, Fuel, and Maintenance)</v>
      </c>
      <c r="E199" s="1854"/>
      <c r="F199" s="1854"/>
      <c r="G199" s="1854"/>
      <c r="H199" s="1854"/>
      <c r="J199" s="1854" t="str">
        <f t="shared" si="217"/>
        <v>Total (Manufacturing, Installation, Fuel, and Maintenance)</v>
      </c>
      <c r="K199" s="1854"/>
      <c r="L199" s="1854"/>
      <c r="M199" s="1854"/>
      <c r="N199" s="1854"/>
      <c r="P199" s="1854" t="str">
        <f t="shared" si="238"/>
        <v>Total (Manufacturing, Installation, Fuel, and Maintenance)</v>
      </c>
      <c r="Q199" s="1854"/>
      <c r="R199" s="1854"/>
      <c r="S199" s="1854"/>
      <c r="T199" s="1854"/>
      <c r="V199" s="1848"/>
      <c r="W199" s="1848"/>
      <c r="X199" s="1849"/>
      <c r="Y199" s="1849"/>
      <c r="Z199" s="1849"/>
      <c r="AA199" s="1849"/>
      <c r="AB199" s="1849"/>
      <c r="AC199" s="1849"/>
      <c r="AD199" s="1849"/>
      <c r="AE199" s="1849"/>
      <c r="AF199" s="1849"/>
      <c r="AG199" s="1849"/>
      <c r="AH199" s="1849"/>
    </row>
    <row r="200" spans="3:34" s="1846" customFormat="1" x14ac:dyDescent="0.25">
      <c r="D200" s="1854" t="str">
        <f t="shared" ref="D200" si="246">D90</f>
        <v>Gross Output (Thousands of 2010$)</v>
      </c>
      <c r="E200" s="1854"/>
      <c r="F200" s="1854"/>
      <c r="G200" s="1854"/>
      <c r="H200" s="1854"/>
      <c r="J200" s="1854" t="str">
        <f t="shared" si="217"/>
        <v>Gross Forklift Fuel Cell-related Output (Thousands of 2010$)</v>
      </c>
      <c r="K200" s="1854"/>
      <c r="L200" s="1854"/>
      <c r="M200" s="1854"/>
      <c r="N200" s="1854"/>
      <c r="P200" s="1854" t="str">
        <f t="shared" si="238"/>
        <v>Displaced Domestic Forklift Battery-related Earnings (Output of 2010$)</v>
      </c>
      <c r="Q200" s="1854"/>
      <c r="R200" s="1854"/>
      <c r="S200" s="1854"/>
      <c r="T200" s="1854"/>
      <c r="V200" s="1848"/>
      <c r="W200" s="1848"/>
      <c r="X200" s="1849"/>
      <c r="Y200" s="1849"/>
      <c r="Z200" s="1849"/>
      <c r="AA200" s="1849"/>
      <c r="AB200" s="1849"/>
      <c r="AC200" s="1849"/>
      <c r="AD200" s="1849"/>
      <c r="AE200" s="1849"/>
      <c r="AF200" s="1849"/>
      <c r="AG200" s="1849"/>
      <c r="AH200" s="1849"/>
    </row>
    <row r="201" spans="3:34" s="1846" customFormat="1" x14ac:dyDescent="0.25">
      <c r="C201" s="1846" t="str">
        <f t="shared" ref="C201:H201" si="247">C91</f>
        <v>Year</v>
      </c>
      <c r="D201" s="1854" t="str">
        <f t="shared" si="247"/>
        <v>Gross Forklift Fuel Cell-related Direct</v>
      </c>
      <c r="E201" s="1854" t="str">
        <f t="shared" si="247"/>
        <v>Gross Forklift Fuel Cell-related Indirect</v>
      </c>
      <c r="F201" s="1854" t="str">
        <f t="shared" si="247"/>
        <v>Gross Forklift Fuel Cell-related Induced</v>
      </c>
      <c r="G201" s="1854" t="str">
        <f t="shared" si="247"/>
        <v>Gross Forklift Fuel Cell-related Supply Chain</v>
      </c>
      <c r="H201" s="1854" t="str">
        <f t="shared" si="247"/>
        <v>Gross Forklift Fuel Cell-related Total</v>
      </c>
      <c r="I201" s="1846" t="str">
        <f t="shared" si="219"/>
        <v>Year</v>
      </c>
      <c r="J201" s="1854" t="str">
        <f t="shared" si="217"/>
        <v>Gross Forklift Fuel Cell-related Direct</v>
      </c>
      <c r="K201" s="1854" t="str">
        <f t="shared" si="220"/>
        <v>Gross Forklift Fuel Cell-related Indirect</v>
      </c>
      <c r="L201" s="1854" t="str">
        <f t="shared" si="221"/>
        <v>Gross Forklift Fuel Cell-related Induced</v>
      </c>
      <c r="M201" s="1854" t="str">
        <f t="shared" si="222"/>
        <v>Gross Forklift Fuel Cell-related Supply Chain</v>
      </c>
      <c r="N201" s="1854" t="str">
        <f t="shared" si="223"/>
        <v>Gross Forklift Fuel Cell-related Total</v>
      </c>
      <c r="O201" s="1846" t="str">
        <f t="shared" si="224"/>
        <v>Year</v>
      </c>
      <c r="P201" s="1854" t="str">
        <f t="shared" si="238"/>
        <v>Displaced Forklift Battery-related Direct</v>
      </c>
      <c r="Q201" s="1854" t="str">
        <f t="shared" si="239"/>
        <v>Displaced Forklift Battery-related Indirect</v>
      </c>
      <c r="R201" s="1854" t="str">
        <f t="shared" si="240"/>
        <v>Displaced Forklift Battery-related Induced</v>
      </c>
      <c r="S201" s="1854" t="str">
        <f t="shared" si="241"/>
        <v>Displaced Forklift Battery-related Supply Chain</v>
      </c>
      <c r="T201" s="1854" t="str">
        <f t="shared" si="242"/>
        <v>Displaced Forklift Battery-related Total</v>
      </c>
      <c r="V201" s="1848"/>
      <c r="W201" s="1848"/>
      <c r="X201" s="1849"/>
      <c r="Y201" s="1849"/>
      <c r="Z201" s="1849"/>
      <c r="AA201" s="1849"/>
      <c r="AB201" s="1849"/>
      <c r="AC201" s="1849"/>
      <c r="AD201" s="1849"/>
      <c r="AE201" s="1849"/>
      <c r="AF201" s="1849"/>
      <c r="AG201" s="1849"/>
      <c r="AH201" s="1849"/>
    </row>
    <row r="202" spans="3:34" s="1846" customFormat="1" x14ac:dyDescent="0.25">
      <c r="C202" s="1846">
        <f t="shared" ref="C202:H202" si="248">C92</f>
        <v>2015</v>
      </c>
      <c r="D202" s="1853" t="e">
        <f t="shared" si="248"/>
        <v>#N/A</v>
      </c>
      <c r="E202" s="1853" t="e">
        <f t="shared" si="248"/>
        <v>#N/A</v>
      </c>
      <c r="F202" s="1853" t="e">
        <f t="shared" si="248"/>
        <v>#N/A</v>
      </c>
      <c r="G202" s="1853" t="e">
        <f t="shared" si="248"/>
        <v>#N/A</v>
      </c>
      <c r="H202" s="1853" t="e">
        <f t="shared" si="248"/>
        <v>#N/A</v>
      </c>
      <c r="I202" s="1846">
        <f t="shared" si="219"/>
        <v>2015</v>
      </c>
      <c r="J202" s="1853" t="e">
        <f t="shared" si="217"/>
        <v>#N/A</v>
      </c>
      <c r="K202" s="1853" t="e">
        <f t="shared" si="220"/>
        <v>#N/A</v>
      </c>
      <c r="L202" s="1853" t="e">
        <f t="shared" si="221"/>
        <v>#N/A</v>
      </c>
      <c r="M202" s="1853" t="e">
        <f t="shared" si="222"/>
        <v>#N/A</v>
      </c>
      <c r="N202" s="1853" t="e">
        <f t="shared" si="223"/>
        <v>#N/A</v>
      </c>
      <c r="O202" s="1846">
        <f t="shared" si="224"/>
        <v>2015</v>
      </c>
      <c r="P202" s="1854" t="e">
        <f t="shared" si="238"/>
        <v>#N/A</v>
      </c>
      <c r="Q202" s="1853" t="e">
        <f t="shared" si="239"/>
        <v>#N/A</v>
      </c>
      <c r="R202" s="1853" t="e">
        <f t="shared" si="240"/>
        <v>#N/A</v>
      </c>
      <c r="S202" s="1853" t="e">
        <f t="shared" si="241"/>
        <v>#N/A</v>
      </c>
      <c r="T202" s="1853" t="e">
        <f t="shared" si="242"/>
        <v>#N/A</v>
      </c>
      <c r="V202" s="1848"/>
      <c r="W202" s="1848"/>
      <c r="X202" s="1849"/>
      <c r="Y202" s="1849"/>
      <c r="Z202" s="1849"/>
      <c r="AA202" s="1849"/>
      <c r="AB202" s="1849"/>
      <c r="AC202" s="1849"/>
      <c r="AD202" s="1849"/>
      <c r="AE202" s="1849"/>
      <c r="AF202" s="1849"/>
      <c r="AG202" s="1849"/>
      <c r="AH202" s="1849"/>
    </row>
    <row r="203" spans="3:34" s="1846" customFormat="1" x14ac:dyDescent="0.25">
      <c r="C203" s="1846">
        <f t="shared" ref="C203:H203" si="249">C93</f>
        <v>2016</v>
      </c>
      <c r="D203" s="1853" t="e">
        <f t="shared" si="249"/>
        <v>#N/A</v>
      </c>
      <c r="E203" s="1853" t="e">
        <f t="shared" si="249"/>
        <v>#N/A</v>
      </c>
      <c r="F203" s="1853" t="e">
        <f t="shared" si="249"/>
        <v>#N/A</v>
      </c>
      <c r="G203" s="1853" t="e">
        <f t="shared" si="249"/>
        <v>#N/A</v>
      </c>
      <c r="H203" s="1853" t="e">
        <f t="shared" si="249"/>
        <v>#N/A</v>
      </c>
      <c r="I203" s="1846">
        <f t="shared" si="219"/>
        <v>2016</v>
      </c>
      <c r="J203" s="1853" t="e">
        <f t="shared" si="217"/>
        <v>#N/A</v>
      </c>
      <c r="K203" s="1853" t="e">
        <f t="shared" si="220"/>
        <v>#N/A</v>
      </c>
      <c r="L203" s="1853" t="e">
        <f t="shared" si="221"/>
        <v>#N/A</v>
      </c>
      <c r="M203" s="1853" t="e">
        <f t="shared" si="222"/>
        <v>#N/A</v>
      </c>
      <c r="N203" s="1853" t="e">
        <f t="shared" si="223"/>
        <v>#N/A</v>
      </c>
      <c r="O203" s="1846">
        <f t="shared" si="224"/>
        <v>2016</v>
      </c>
      <c r="P203" s="1854" t="e">
        <f t="shared" si="238"/>
        <v>#N/A</v>
      </c>
      <c r="Q203" s="1853" t="e">
        <f t="shared" si="239"/>
        <v>#N/A</v>
      </c>
      <c r="R203" s="1853" t="e">
        <f t="shared" si="240"/>
        <v>#N/A</v>
      </c>
      <c r="S203" s="1853" t="e">
        <f t="shared" si="241"/>
        <v>#N/A</v>
      </c>
      <c r="T203" s="1853" t="e">
        <f t="shared" si="242"/>
        <v>#N/A</v>
      </c>
      <c r="V203" s="1848"/>
      <c r="W203" s="1848"/>
      <c r="X203" s="1849"/>
      <c r="Y203" s="1849"/>
      <c r="Z203" s="1849"/>
      <c r="AA203" s="1849"/>
      <c r="AB203" s="1849"/>
      <c r="AC203" s="1849"/>
      <c r="AD203" s="1849"/>
      <c r="AE203" s="1849"/>
      <c r="AF203" s="1849"/>
      <c r="AG203" s="1849"/>
      <c r="AH203" s="1849"/>
    </row>
    <row r="204" spans="3:34" s="1846" customFormat="1" x14ac:dyDescent="0.25">
      <c r="C204" s="1846">
        <f t="shared" ref="C204:H204" si="250">C94</f>
        <v>2017</v>
      </c>
      <c r="D204" s="1853" t="e">
        <f t="shared" si="250"/>
        <v>#N/A</v>
      </c>
      <c r="E204" s="1853" t="e">
        <f t="shared" si="250"/>
        <v>#N/A</v>
      </c>
      <c r="F204" s="1853" t="e">
        <f t="shared" si="250"/>
        <v>#N/A</v>
      </c>
      <c r="G204" s="1853" t="e">
        <f t="shared" si="250"/>
        <v>#N/A</v>
      </c>
      <c r="H204" s="1853" t="e">
        <f t="shared" si="250"/>
        <v>#N/A</v>
      </c>
      <c r="I204" s="1846">
        <f t="shared" si="219"/>
        <v>2017</v>
      </c>
      <c r="J204" s="1853" t="e">
        <f t="shared" si="217"/>
        <v>#N/A</v>
      </c>
      <c r="K204" s="1853" t="e">
        <f t="shared" si="220"/>
        <v>#N/A</v>
      </c>
      <c r="L204" s="1853" t="e">
        <f t="shared" si="221"/>
        <v>#N/A</v>
      </c>
      <c r="M204" s="1853" t="e">
        <f t="shared" si="222"/>
        <v>#N/A</v>
      </c>
      <c r="N204" s="1853" t="e">
        <f t="shared" si="223"/>
        <v>#N/A</v>
      </c>
      <c r="O204" s="1846">
        <f t="shared" si="224"/>
        <v>2017</v>
      </c>
      <c r="P204" s="1854" t="e">
        <f t="shared" si="238"/>
        <v>#N/A</v>
      </c>
      <c r="Q204" s="1853" t="e">
        <f t="shared" si="239"/>
        <v>#N/A</v>
      </c>
      <c r="R204" s="1853" t="e">
        <f t="shared" si="240"/>
        <v>#N/A</v>
      </c>
      <c r="S204" s="1853" t="e">
        <f t="shared" si="241"/>
        <v>#N/A</v>
      </c>
      <c r="T204" s="1853" t="e">
        <f t="shared" si="242"/>
        <v>#N/A</v>
      </c>
      <c r="V204" s="1848"/>
      <c r="W204" s="1848"/>
      <c r="X204" s="1849"/>
      <c r="Y204" s="1849"/>
      <c r="Z204" s="1849"/>
      <c r="AA204" s="1849"/>
      <c r="AB204" s="1849"/>
      <c r="AC204" s="1849"/>
      <c r="AD204" s="1849"/>
      <c r="AE204" s="1849"/>
      <c r="AF204" s="1849"/>
      <c r="AG204" s="1849"/>
      <c r="AH204" s="1849"/>
    </row>
    <row r="205" spans="3:34" s="1846" customFormat="1" x14ac:dyDescent="0.25">
      <c r="C205" s="1846">
        <f t="shared" ref="C205:H205" si="251">C95</f>
        <v>2018</v>
      </c>
      <c r="D205" s="1853" t="e">
        <f t="shared" si="251"/>
        <v>#N/A</v>
      </c>
      <c r="E205" s="1853" t="e">
        <f t="shared" si="251"/>
        <v>#N/A</v>
      </c>
      <c r="F205" s="1853" t="e">
        <f t="shared" si="251"/>
        <v>#N/A</v>
      </c>
      <c r="G205" s="1853" t="e">
        <f t="shared" si="251"/>
        <v>#N/A</v>
      </c>
      <c r="H205" s="1853" t="e">
        <f t="shared" si="251"/>
        <v>#N/A</v>
      </c>
      <c r="I205" s="1846">
        <f t="shared" si="219"/>
        <v>2018</v>
      </c>
      <c r="J205" s="1853" t="e">
        <f t="shared" si="217"/>
        <v>#N/A</v>
      </c>
      <c r="K205" s="1853" t="e">
        <f t="shared" si="220"/>
        <v>#N/A</v>
      </c>
      <c r="L205" s="1853" t="e">
        <f t="shared" si="221"/>
        <v>#N/A</v>
      </c>
      <c r="M205" s="1853" t="e">
        <f t="shared" si="222"/>
        <v>#N/A</v>
      </c>
      <c r="N205" s="1853" t="e">
        <f t="shared" si="223"/>
        <v>#N/A</v>
      </c>
      <c r="O205" s="1846">
        <f t="shared" si="224"/>
        <v>2018</v>
      </c>
      <c r="P205" s="1854" t="e">
        <f t="shared" si="238"/>
        <v>#N/A</v>
      </c>
      <c r="Q205" s="1853" t="e">
        <f t="shared" si="239"/>
        <v>#N/A</v>
      </c>
      <c r="R205" s="1853" t="e">
        <f t="shared" si="240"/>
        <v>#N/A</v>
      </c>
      <c r="S205" s="1853" t="e">
        <f t="shared" si="241"/>
        <v>#N/A</v>
      </c>
      <c r="T205" s="1853" t="e">
        <f t="shared" si="242"/>
        <v>#N/A</v>
      </c>
      <c r="V205" s="1848"/>
      <c r="W205" s="1848"/>
      <c r="X205" s="1849"/>
      <c r="Y205" s="1849"/>
      <c r="Z205" s="1849"/>
      <c r="AA205" s="1849"/>
      <c r="AB205" s="1849"/>
      <c r="AC205" s="1849"/>
      <c r="AD205" s="1849"/>
      <c r="AE205" s="1849"/>
      <c r="AF205" s="1849"/>
      <c r="AG205" s="1849"/>
      <c r="AH205" s="1849"/>
    </row>
    <row r="206" spans="3:34" s="1846" customFormat="1" x14ac:dyDescent="0.25">
      <c r="C206" s="1846">
        <f t="shared" ref="C206:H206" si="252">C96</f>
        <v>2019</v>
      </c>
      <c r="D206" s="1853" t="e">
        <f t="shared" si="252"/>
        <v>#N/A</v>
      </c>
      <c r="E206" s="1853" t="e">
        <f t="shared" si="252"/>
        <v>#N/A</v>
      </c>
      <c r="F206" s="1853" t="e">
        <f t="shared" si="252"/>
        <v>#N/A</v>
      </c>
      <c r="G206" s="1853" t="e">
        <f t="shared" si="252"/>
        <v>#N/A</v>
      </c>
      <c r="H206" s="1853" t="e">
        <f t="shared" si="252"/>
        <v>#N/A</v>
      </c>
      <c r="I206" s="1846">
        <f t="shared" si="219"/>
        <v>2019</v>
      </c>
      <c r="J206" s="1853" t="e">
        <f t="shared" si="217"/>
        <v>#N/A</v>
      </c>
      <c r="K206" s="1853" t="e">
        <f t="shared" si="220"/>
        <v>#N/A</v>
      </c>
      <c r="L206" s="1853" t="e">
        <f t="shared" si="221"/>
        <v>#N/A</v>
      </c>
      <c r="M206" s="1853" t="e">
        <f t="shared" si="222"/>
        <v>#N/A</v>
      </c>
      <c r="N206" s="1853" t="e">
        <f t="shared" si="223"/>
        <v>#N/A</v>
      </c>
      <c r="O206" s="1846">
        <f t="shared" si="224"/>
        <v>2019</v>
      </c>
      <c r="P206" s="1854" t="e">
        <f t="shared" si="238"/>
        <v>#N/A</v>
      </c>
      <c r="Q206" s="1853" t="e">
        <f t="shared" si="239"/>
        <v>#N/A</v>
      </c>
      <c r="R206" s="1853" t="e">
        <f t="shared" si="240"/>
        <v>#N/A</v>
      </c>
      <c r="S206" s="1853" t="e">
        <f t="shared" si="241"/>
        <v>#N/A</v>
      </c>
      <c r="T206" s="1853" t="e">
        <f t="shared" si="242"/>
        <v>#N/A</v>
      </c>
      <c r="V206" s="1848"/>
      <c r="W206" s="1848"/>
      <c r="X206" s="1849"/>
      <c r="Y206" s="1849"/>
      <c r="Z206" s="1849"/>
      <c r="AA206" s="1849"/>
      <c r="AB206" s="1849"/>
      <c r="AC206" s="1849"/>
      <c r="AD206" s="1849"/>
      <c r="AE206" s="1849"/>
      <c r="AF206" s="1849"/>
      <c r="AG206" s="1849"/>
      <c r="AH206" s="1849"/>
    </row>
    <row r="207" spans="3:34" s="1846" customFormat="1" x14ac:dyDescent="0.25">
      <c r="C207" s="1846">
        <f t="shared" ref="C207:H207" si="253">C97</f>
        <v>2020</v>
      </c>
      <c r="D207" s="1853" t="e">
        <f t="shared" si="253"/>
        <v>#N/A</v>
      </c>
      <c r="E207" s="1853" t="e">
        <f t="shared" si="253"/>
        <v>#N/A</v>
      </c>
      <c r="F207" s="1853" t="e">
        <f t="shared" si="253"/>
        <v>#N/A</v>
      </c>
      <c r="G207" s="1853" t="e">
        <f t="shared" si="253"/>
        <v>#N/A</v>
      </c>
      <c r="H207" s="1853" t="e">
        <f t="shared" si="253"/>
        <v>#N/A</v>
      </c>
      <c r="I207" s="1846">
        <f t="shared" si="219"/>
        <v>2020</v>
      </c>
      <c r="J207" s="1853" t="e">
        <f t="shared" si="217"/>
        <v>#N/A</v>
      </c>
      <c r="K207" s="1853" t="e">
        <f t="shared" si="220"/>
        <v>#N/A</v>
      </c>
      <c r="L207" s="1853" t="e">
        <f t="shared" si="221"/>
        <v>#N/A</v>
      </c>
      <c r="M207" s="1853" t="e">
        <f t="shared" si="222"/>
        <v>#N/A</v>
      </c>
      <c r="N207" s="1853" t="e">
        <f t="shared" si="223"/>
        <v>#N/A</v>
      </c>
      <c r="O207" s="1846">
        <f t="shared" si="224"/>
        <v>2020</v>
      </c>
      <c r="P207" s="1854" t="e">
        <f t="shared" si="238"/>
        <v>#N/A</v>
      </c>
      <c r="Q207" s="1853" t="e">
        <f t="shared" si="239"/>
        <v>#N/A</v>
      </c>
      <c r="R207" s="1853" t="e">
        <f t="shared" si="240"/>
        <v>#N/A</v>
      </c>
      <c r="S207" s="1853" t="e">
        <f t="shared" si="241"/>
        <v>#N/A</v>
      </c>
      <c r="T207" s="1853" t="e">
        <f t="shared" si="242"/>
        <v>#N/A</v>
      </c>
      <c r="V207" s="1848"/>
      <c r="W207" s="1848"/>
      <c r="X207" s="1849"/>
      <c r="Y207" s="1849"/>
      <c r="Z207" s="1849"/>
      <c r="AA207" s="1849"/>
      <c r="AB207" s="1849"/>
      <c r="AC207" s="1849"/>
      <c r="AD207" s="1849"/>
      <c r="AE207" s="1849"/>
      <c r="AF207" s="1849"/>
      <c r="AG207" s="1849"/>
      <c r="AH207" s="1849"/>
    </row>
  </sheetData>
  <sheetProtection password="C411" sheet="1" objects="1" scenarios="1"/>
  <mergeCells count="26">
    <mergeCell ref="B79:B87"/>
    <mergeCell ref="B19:L19"/>
    <mergeCell ref="B39:B40"/>
    <mergeCell ref="B1:L1"/>
    <mergeCell ref="B17:F17"/>
    <mergeCell ref="I29:L29"/>
    <mergeCell ref="B58:B64"/>
    <mergeCell ref="B69:B77"/>
    <mergeCell ref="I25:L27"/>
    <mergeCell ref="I28:L28"/>
    <mergeCell ref="B155:B163"/>
    <mergeCell ref="B112:B120"/>
    <mergeCell ref="G12:L17"/>
    <mergeCell ref="B3:L3"/>
    <mergeCell ref="B122:B130"/>
    <mergeCell ref="B135:B143"/>
    <mergeCell ref="B145:B153"/>
    <mergeCell ref="G11:L11"/>
    <mergeCell ref="B4:E4"/>
    <mergeCell ref="B34:B38"/>
    <mergeCell ref="B102:B110"/>
    <mergeCell ref="D58:E58"/>
    <mergeCell ref="B42:B48"/>
    <mergeCell ref="B50:B56"/>
    <mergeCell ref="F58:G58"/>
    <mergeCell ref="B89:B97"/>
  </mergeCells>
  <pageMargins left="0.7" right="0.7" top="0.75" bottom="0.75" header="0.3" footer="0.3"/>
  <pageSetup scale="1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647873" r:id="rId4" name="Button 1">
              <controlPr defaultSize="0" print="0" autoFill="0" autoPict="0" macro="[0]!Forklift_inputs">
                <anchor moveWithCells="1">
                  <from>
                    <xdr:col>1</xdr:col>
                    <xdr:colOff>200025</xdr:colOff>
                    <xdr:row>1</xdr:row>
                    <xdr:rowOff>209550</xdr:rowOff>
                  </from>
                  <to>
                    <xdr:col>3</xdr:col>
                    <xdr:colOff>361950</xdr:colOff>
                    <xdr:row>1</xdr:row>
                    <xdr:rowOff>476250</xdr:rowOff>
                  </to>
                </anchor>
              </controlPr>
            </control>
          </mc:Choice>
        </mc:AlternateContent>
        <mc:AlternateContent xmlns:mc="http://schemas.openxmlformats.org/markup-compatibility/2006">
          <mc:Choice Requires="x14">
            <control shapeId="13647874" r:id="rId5" name="Button 2">
              <controlPr defaultSize="0" print="0" autoFill="0" autoPict="0" macro="[0]!Forklift_charts">
                <anchor moveWithCells="1">
                  <from>
                    <xdr:col>4</xdr:col>
                    <xdr:colOff>1047750</xdr:colOff>
                    <xdr:row>1</xdr:row>
                    <xdr:rowOff>171450</xdr:rowOff>
                  </from>
                  <to>
                    <xdr:col>7</xdr:col>
                    <xdr:colOff>228600</xdr:colOff>
                    <xdr:row>1</xdr:row>
                    <xdr:rowOff>495300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9FF66"/>
  </sheetPr>
  <dimension ref="A1:AK680"/>
  <sheetViews>
    <sheetView zoomScale="90" zoomScaleNormal="90" workbookViewId="0">
      <selection activeCell="B1" sqref="B1:J1"/>
    </sheetView>
  </sheetViews>
  <sheetFormatPr defaultColWidth="9" defaultRowHeight="15" x14ac:dyDescent="0.25"/>
  <cols>
    <col min="1" max="1" width="1.7109375" style="13" customWidth="1"/>
    <col min="2" max="2" width="16.140625" style="13" customWidth="1"/>
    <col min="3" max="3" width="16.42578125" style="13" customWidth="1"/>
    <col min="4" max="4" width="24" style="13" customWidth="1"/>
    <col min="5" max="5" width="26.140625" style="13" customWidth="1"/>
    <col min="6" max="6" width="22.85546875" style="13" customWidth="1"/>
    <col min="7" max="7" width="20.85546875" style="13" customWidth="1"/>
    <col min="8" max="8" width="24.140625" style="13" customWidth="1"/>
    <col min="9" max="9" width="23" style="13" customWidth="1"/>
    <col min="10" max="10" width="20.85546875" style="13" customWidth="1"/>
    <col min="11" max="11" width="19.5703125" style="13" customWidth="1"/>
    <col min="12" max="12" width="26.85546875" style="13" customWidth="1"/>
    <col min="13" max="13" width="17.5703125" style="13" customWidth="1"/>
    <col min="14" max="14" width="15.5703125" style="13" customWidth="1"/>
    <col min="15" max="15" width="28.140625" style="13" customWidth="1"/>
    <col min="16" max="16" width="16.42578125" style="13" customWidth="1"/>
    <col min="17" max="17" width="16.85546875" style="13" customWidth="1"/>
    <col min="18" max="18" width="15.5703125" style="13" customWidth="1"/>
    <col min="19" max="19" width="18.28515625" style="12" customWidth="1"/>
    <col min="20" max="20" width="23.140625" style="13" customWidth="1"/>
    <col min="21" max="21" width="20.7109375" style="14" customWidth="1"/>
    <col min="22" max="22" width="13.85546875" style="13" customWidth="1"/>
    <col min="23" max="23" width="16.140625" style="13" bestFit="1" customWidth="1"/>
    <col min="24" max="24" width="15.28515625" style="13" customWidth="1"/>
    <col min="25" max="36" width="10.5703125" style="13" customWidth="1"/>
    <col min="37" max="16384" width="9" style="13"/>
  </cols>
  <sheetData>
    <row r="1" spans="1:21" ht="36.75" customHeight="1" x14ac:dyDescent="0.25">
      <c r="A1" s="816"/>
      <c r="B1" s="2332" t="s">
        <v>1603</v>
      </c>
      <c r="C1" s="2333"/>
      <c r="D1" s="2333"/>
      <c r="E1" s="2333"/>
      <c r="F1" s="2333"/>
      <c r="G1" s="2333"/>
      <c r="H1" s="2333"/>
      <c r="I1" s="2333"/>
      <c r="J1" s="2334"/>
      <c r="K1" s="817"/>
      <c r="L1" s="817"/>
      <c r="M1" s="817"/>
      <c r="N1" s="817"/>
      <c r="O1" s="817"/>
      <c r="P1" s="821"/>
      <c r="S1" s="13"/>
      <c r="U1" s="13"/>
    </row>
    <row r="2" spans="1:21" s="814" customFormat="1" ht="45.75" customHeight="1" x14ac:dyDescent="0.25">
      <c r="A2" s="818"/>
      <c r="B2" s="826"/>
      <c r="C2" s="819"/>
      <c r="D2" s="819"/>
      <c r="E2" s="819"/>
      <c r="F2" s="819"/>
      <c r="G2" s="819"/>
      <c r="H2" s="819"/>
      <c r="I2" s="819"/>
      <c r="J2" s="827"/>
      <c r="K2" s="819"/>
      <c r="L2" s="819"/>
      <c r="M2" s="819"/>
      <c r="N2" s="819"/>
      <c r="O2" s="819"/>
      <c r="P2" s="819"/>
    </row>
    <row r="3" spans="1:21" ht="30.75" customHeight="1" x14ac:dyDescent="0.25">
      <c r="A3" s="818"/>
      <c r="B3" s="2063" t="s">
        <v>422</v>
      </c>
      <c r="C3" s="2064"/>
      <c r="D3" s="2064"/>
      <c r="E3" s="2064"/>
      <c r="F3" s="2064"/>
      <c r="G3" s="2064"/>
      <c r="H3" s="2064"/>
      <c r="I3" s="2064"/>
      <c r="J3" s="2065"/>
      <c r="K3" s="819"/>
      <c r="L3" s="819"/>
      <c r="M3" s="819"/>
      <c r="N3" s="819"/>
      <c r="O3" s="819"/>
      <c r="P3" s="822"/>
      <c r="S3" s="13"/>
      <c r="U3" s="13"/>
    </row>
    <row r="4" spans="1:21" s="121" customFormat="1" x14ac:dyDescent="0.25">
      <c r="A4" s="818"/>
      <c r="B4" s="828"/>
      <c r="C4" s="825"/>
      <c r="D4" s="814"/>
      <c r="E4" s="814"/>
      <c r="F4" s="814"/>
      <c r="G4" s="814"/>
      <c r="H4" s="814"/>
      <c r="I4" s="814"/>
      <c r="J4" s="829"/>
      <c r="K4" s="819"/>
      <c r="L4" s="819"/>
      <c r="M4" s="819"/>
      <c r="N4" s="819"/>
      <c r="O4" s="819"/>
      <c r="P4" s="819"/>
    </row>
    <row r="5" spans="1:21" ht="18.75" customHeight="1" x14ac:dyDescent="0.3">
      <c r="A5" s="818"/>
      <c r="B5" s="2514" t="s">
        <v>1965</v>
      </c>
      <c r="C5" s="2515"/>
      <c r="D5" s="2515"/>
      <c r="E5" s="2515"/>
      <c r="F5" s="2515"/>
      <c r="G5" s="2515"/>
      <c r="H5" s="2515"/>
      <c r="I5" s="2515"/>
      <c r="J5" s="2516"/>
      <c r="K5" s="819"/>
      <c r="L5" s="819"/>
      <c r="M5" s="819"/>
      <c r="N5" s="819"/>
      <c r="O5" s="819"/>
      <c r="P5" s="822"/>
      <c r="S5" s="13"/>
      <c r="U5" s="13"/>
    </row>
    <row r="6" spans="1:21" ht="16.5" x14ac:dyDescent="0.25">
      <c r="A6" s="818"/>
      <c r="B6" s="2520" t="str">
        <f>'Forklift INPUTS'!B6</f>
        <v>Step 1a - Select State or Region</v>
      </c>
      <c r="C6" s="2521"/>
      <c r="D6" s="2522"/>
      <c r="E6" s="2172" t="str">
        <f>Please</f>
        <v>&lt;Please select&gt;</v>
      </c>
      <c r="F6" s="2173"/>
      <c r="G6" s="854"/>
      <c r="H6" s="855"/>
      <c r="I6" s="855"/>
      <c r="J6" s="856"/>
      <c r="K6" s="819"/>
      <c r="L6" s="819"/>
      <c r="M6" s="819"/>
      <c r="N6" s="819"/>
      <c r="O6" s="819"/>
      <c r="P6" s="822"/>
      <c r="S6" s="13"/>
      <c r="U6" s="13"/>
    </row>
    <row r="7" spans="1:21" ht="16.5" x14ac:dyDescent="0.25">
      <c r="A7" s="818"/>
      <c r="B7" s="2520" t="str">
        <f>'Forklift INPUTS'!B7</f>
        <v>Step 1b - Gross or Net Analysis</v>
      </c>
      <c r="C7" s="2521"/>
      <c r="D7" s="2522"/>
      <c r="E7" s="2192" t="str">
        <f>Please</f>
        <v>&lt;Please select&gt;</v>
      </c>
      <c r="F7" s="2193"/>
      <c r="G7" s="1160" t="str">
        <f>'Forklift INPUTS'!G7</f>
        <v>Gross analysis available for all regions.  Net analysis available only for national analysis.</v>
      </c>
      <c r="H7" s="855"/>
      <c r="I7" s="855"/>
      <c r="J7" s="856"/>
      <c r="K7" s="819"/>
      <c r="L7" s="819"/>
      <c r="M7" s="819"/>
      <c r="N7" s="819"/>
      <c r="O7" s="819"/>
      <c r="P7" s="822"/>
      <c r="S7" s="13"/>
      <c r="U7" s="13"/>
    </row>
    <row r="8" spans="1:21" s="121" customFormat="1" ht="14.45" customHeight="1" x14ac:dyDescent="0.25">
      <c r="A8" s="818"/>
      <c r="B8" s="830"/>
      <c r="C8" s="815"/>
      <c r="D8" s="815"/>
      <c r="E8" s="815"/>
      <c r="F8" s="815"/>
      <c r="G8" s="815"/>
      <c r="H8" s="815"/>
      <c r="I8" s="815"/>
      <c r="J8" s="831"/>
      <c r="K8" s="819"/>
      <c r="L8" s="819"/>
      <c r="M8" s="819"/>
      <c r="N8" s="819"/>
      <c r="O8" s="819"/>
      <c r="P8" s="819"/>
    </row>
    <row r="9" spans="1:21" ht="18.75" x14ac:dyDescent="0.25">
      <c r="A9" s="818"/>
      <c r="B9" s="2523" t="s">
        <v>1966</v>
      </c>
      <c r="C9" s="2524"/>
      <c r="D9" s="2524"/>
      <c r="E9" s="2524"/>
      <c r="F9" s="2524"/>
      <c r="G9" s="2524"/>
      <c r="H9" s="2524"/>
      <c r="I9" s="2524"/>
      <c r="J9" s="2525"/>
      <c r="K9" s="819"/>
      <c r="L9" s="819"/>
      <c r="M9" s="819"/>
      <c r="N9" s="819"/>
      <c r="O9" s="819"/>
      <c r="P9" s="822"/>
      <c r="S9" s="13"/>
      <c r="U9" s="13"/>
    </row>
    <row r="10" spans="1:21" ht="16.5" x14ac:dyDescent="0.25">
      <c r="A10" s="818"/>
      <c r="B10" s="2526" t="s">
        <v>1967</v>
      </c>
      <c r="C10" s="2527"/>
      <c r="D10" s="2528"/>
      <c r="E10" s="1238" t="str">
        <f>'Forklift INPUTS'!E10</f>
        <v>User-specified value</v>
      </c>
      <c r="F10" s="600" t="str">
        <f>'Forklift INPUTS'!F10</f>
        <v>Default</v>
      </c>
      <c r="G10" s="2341" t="s">
        <v>451</v>
      </c>
      <c r="H10" s="2342"/>
      <c r="I10" s="2343"/>
      <c r="J10" s="785" t="s">
        <v>509</v>
      </c>
      <c r="K10" s="819"/>
      <c r="L10" s="819"/>
      <c r="M10" s="819"/>
      <c r="N10" s="819"/>
      <c r="O10" s="819"/>
      <c r="P10" s="822"/>
      <c r="S10" s="13"/>
      <c r="U10" s="13"/>
    </row>
    <row r="11" spans="1:21" ht="15.75" x14ac:dyDescent="0.25">
      <c r="A11" s="818"/>
      <c r="B11" s="2549" t="s">
        <v>1814</v>
      </c>
      <c r="C11" s="2550"/>
      <c r="D11" s="2550"/>
      <c r="E11" s="1951"/>
      <c r="F11" s="341">
        <v>5</v>
      </c>
      <c r="G11" s="1161" t="s">
        <v>2155</v>
      </c>
      <c r="H11" s="1162"/>
      <c r="I11" s="1163"/>
      <c r="J11" s="786">
        <f>IF(E11="",F11,IF(E11&lt;0.5,0.5,IF(E11&gt;15,15,E11)))</f>
        <v>5</v>
      </c>
      <c r="K11" s="819"/>
      <c r="L11" s="819"/>
      <c r="M11" s="819"/>
      <c r="N11" s="819"/>
      <c r="O11" s="819"/>
      <c r="P11" s="822"/>
      <c r="S11" s="13"/>
      <c r="U11" s="13"/>
    </row>
    <row r="12" spans="1:21" ht="15.75" x14ac:dyDescent="0.25">
      <c r="A12" s="818"/>
      <c r="B12" s="1904" t="s">
        <v>1804</v>
      </c>
      <c r="C12" s="1905"/>
      <c r="D12" s="1906"/>
      <c r="E12" s="1951"/>
      <c r="F12" s="341">
        <v>3</v>
      </c>
      <c r="G12" s="1161" t="s">
        <v>2156</v>
      </c>
      <c r="H12" s="1162"/>
      <c r="I12" s="1163"/>
      <c r="J12" s="786">
        <f>IF(E12="",J11*F12/F11,IF(E12&gt;J11,J11,IF(E12&lt;0,0,E12)))</f>
        <v>3</v>
      </c>
      <c r="K12" s="819"/>
      <c r="L12" s="819"/>
      <c r="M12" s="819"/>
      <c r="N12" s="819"/>
      <c r="O12" s="819"/>
      <c r="P12" s="822"/>
      <c r="S12" s="13"/>
      <c r="U12" s="13"/>
    </row>
    <row r="13" spans="1:21" ht="15.75" x14ac:dyDescent="0.25">
      <c r="A13" s="818"/>
      <c r="B13" s="2553" t="s">
        <v>1747</v>
      </c>
      <c r="C13" s="2554"/>
      <c r="D13" s="2555"/>
      <c r="E13" s="1951"/>
      <c r="F13" s="341">
        <v>48</v>
      </c>
      <c r="G13" s="1161" t="s">
        <v>1958</v>
      </c>
      <c r="H13" s="1162"/>
      <c r="I13" s="1163"/>
      <c r="J13" s="786">
        <f>IF(E13="",F13,IF(E13&lt;0,0,E13))</f>
        <v>48</v>
      </c>
      <c r="K13" s="819"/>
      <c r="L13" s="819"/>
      <c r="M13" s="819"/>
      <c r="N13" s="819"/>
      <c r="O13" s="819"/>
      <c r="P13" s="822"/>
      <c r="S13" s="13"/>
      <c r="U13" s="13"/>
    </row>
    <row r="14" spans="1:21" ht="15.75" x14ac:dyDescent="0.25">
      <c r="A14" s="818"/>
      <c r="B14" s="2352" t="s">
        <v>1805</v>
      </c>
      <c r="C14" s="2353"/>
      <c r="D14" s="2354"/>
      <c r="E14" s="1951"/>
      <c r="F14" s="341">
        <v>20</v>
      </c>
      <c r="G14" s="1161" t="s">
        <v>1767</v>
      </c>
      <c r="H14" s="1162"/>
      <c r="I14" s="1163"/>
      <c r="J14" s="786">
        <f>IF(E14="",F14,IF(E14&lt;0,0,E14))</f>
        <v>20</v>
      </c>
      <c r="K14" s="819"/>
      <c r="L14" s="819"/>
      <c r="M14" s="819"/>
      <c r="N14" s="819"/>
      <c r="O14" s="819"/>
      <c r="P14" s="822"/>
      <c r="S14" s="13"/>
      <c r="U14" s="13"/>
    </row>
    <row r="15" spans="1:21" ht="15.75" x14ac:dyDescent="0.25">
      <c r="A15" s="818"/>
      <c r="B15" s="1904" t="s">
        <v>1961</v>
      </c>
      <c r="C15" s="1905"/>
      <c r="D15" s="1906"/>
      <c r="E15" s="1951"/>
      <c r="F15" s="341">
        <v>4</v>
      </c>
      <c r="G15" s="1161" t="s">
        <v>1962</v>
      </c>
      <c r="H15" s="1162"/>
      <c r="I15" s="1163"/>
      <c r="J15" s="786">
        <f>IF(E15="",F15,IF(E15&lt;0,0,E15))</f>
        <v>4</v>
      </c>
      <c r="K15" s="819"/>
      <c r="L15" s="819"/>
      <c r="M15" s="819"/>
      <c r="N15" s="819"/>
      <c r="O15" s="819"/>
      <c r="P15" s="822"/>
      <c r="S15" s="13"/>
      <c r="U15" s="13"/>
    </row>
    <row r="16" spans="1:21" s="121" customFormat="1" ht="15.75" x14ac:dyDescent="0.25">
      <c r="A16" s="818"/>
      <c r="B16" s="830"/>
      <c r="C16" s="815"/>
      <c r="D16" s="815"/>
      <c r="E16" s="815"/>
      <c r="F16" s="815"/>
      <c r="G16" s="815"/>
      <c r="H16" s="815"/>
      <c r="I16" s="815"/>
      <c r="J16" s="831"/>
      <c r="K16" s="819"/>
      <c r="L16" s="819"/>
      <c r="M16" s="819"/>
      <c r="N16" s="819"/>
      <c r="O16" s="819"/>
      <c r="P16" s="819"/>
    </row>
    <row r="17" spans="1:21" ht="18.75" x14ac:dyDescent="0.25">
      <c r="A17" s="818"/>
      <c r="B17" s="2359" t="str">
        <f>IF(E6=Please,"Step 3 - Backup Power Fuel Cell Units Manufactured, Exported, and Imported","Step 3 - Backup Power Fuel Cell Units Manufactured, Exported, and Imported for "&amp;State&amp;" (Step 3a is available only for national analysis)")</f>
        <v>Step 3 - Backup Power Fuel Cell Units Manufactured, Exported, and Imported</v>
      </c>
      <c r="C17" s="2360"/>
      <c r="D17" s="2360"/>
      <c r="E17" s="2360"/>
      <c r="F17" s="2360"/>
      <c r="G17" s="2360"/>
      <c r="H17" s="2360"/>
      <c r="I17" s="2360"/>
      <c r="J17" s="2361"/>
      <c r="K17" s="819"/>
      <c r="L17" s="819"/>
      <c r="M17" s="819"/>
      <c r="N17" s="819"/>
      <c r="O17" s="819"/>
      <c r="P17" s="822"/>
      <c r="S17" s="13"/>
      <c r="U17" s="13"/>
    </row>
    <row r="18" spans="1:21" ht="16.5" x14ac:dyDescent="0.25">
      <c r="A18" s="818"/>
      <c r="B18" s="2556" t="s">
        <v>1670</v>
      </c>
      <c r="C18" s="2557"/>
      <c r="D18" s="2557"/>
      <c r="E18" s="2557"/>
      <c r="F18" s="2557"/>
      <c r="G18" s="2557"/>
      <c r="H18" s="2557"/>
      <c r="I18" s="2557"/>
      <c r="J18" s="2558"/>
      <c r="K18" s="819"/>
      <c r="L18" s="819"/>
      <c r="M18" s="819"/>
      <c r="N18" s="819"/>
      <c r="O18" s="819"/>
      <c r="P18" s="822"/>
      <c r="S18" s="13"/>
      <c r="U18" s="13"/>
    </row>
    <row r="19" spans="1:21" ht="16.5" customHeight="1" x14ac:dyDescent="0.25">
      <c r="A19" s="818"/>
      <c r="B19" s="2517" t="str">
        <f>'Forklift INPUTS'!B16</f>
        <v>Step 3a - Units or Market Penetration Approach</v>
      </c>
      <c r="C19" s="2518"/>
      <c r="D19" s="2519"/>
      <c r="E19" s="2535" t="str">
        <f>'Forklift INPUTS'!E16</f>
        <v>Selection will impact entries in Step 3c</v>
      </c>
      <c r="F19" s="2536"/>
      <c r="G19" s="2367" t="str">
        <f>IF(E6&lt;&gt;RIMS_lists!C1, Lists!D8, "Estimated maximum potential annual national backup power market for telecommunications applications - 15,000-20,000 units/year (5 kW unit equivalents). "&amp;Lists!D8)</f>
        <v>Please see Market Forecasts sheet for estimated US Backup power shipments for telecommunications applications.</v>
      </c>
      <c r="H19" s="2368"/>
      <c r="I19" s="2368"/>
      <c r="J19" s="2369"/>
      <c r="K19" s="819"/>
      <c r="L19" s="819"/>
      <c r="M19" s="819"/>
      <c r="N19" s="819"/>
      <c r="O19" s="819"/>
      <c r="P19" s="822"/>
      <c r="S19" s="13"/>
      <c r="U19" s="13"/>
    </row>
    <row r="20" spans="1:21" ht="28.5" customHeight="1" x14ac:dyDescent="0.25">
      <c r="A20" s="818"/>
      <c r="B20" s="2529" t="str">
        <f>IF(E6=RIMS_lists!C1,"For fuel cells entered in 3c, select…"&amp;Lists!B14&amp;" or "&amp;Lists!B15&amp;".", "Step 3a is available only for national analysis.")</f>
        <v>Step 3a is available only for national analysis.</v>
      </c>
      <c r="C20" s="2530"/>
      <c r="D20" s="2531"/>
      <c r="E20" s="2211" t="str">
        <f>Please</f>
        <v>&lt;Please select&gt;</v>
      </c>
      <c r="F20" s="2250"/>
      <c r="G20" s="2370"/>
      <c r="H20" s="2371"/>
      <c r="I20" s="2371"/>
      <c r="J20" s="2372"/>
      <c r="K20" s="819"/>
      <c r="L20" s="819"/>
      <c r="M20" s="819"/>
      <c r="N20" s="819"/>
      <c r="O20" s="819"/>
      <c r="P20" s="822"/>
      <c r="S20" s="13"/>
      <c r="U20" s="13"/>
    </row>
    <row r="21" spans="1:21" ht="28.5" customHeight="1" x14ac:dyDescent="0.25">
      <c r="A21" s="818"/>
      <c r="B21" s="2532"/>
      <c r="C21" s="2533"/>
      <c r="D21" s="2534"/>
      <c r="E21" s="2251"/>
      <c r="F21" s="2252"/>
      <c r="G21" s="2373"/>
      <c r="H21" s="2374"/>
      <c r="I21" s="2374"/>
      <c r="J21" s="2375"/>
      <c r="K21" s="819"/>
      <c r="L21" s="819"/>
      <c r="M21" s="819"/>
      <c r="N21" s="819"/>
      <c r="O21" s="819"/>
      <c r="P21" s="822"/>
      <c r="S21" s="13"/>
      <c r="U21" s="13"/>
    </row>
    <row r="22" spans="1:21" ht="16.5" customHeight="1" x14ac:dyDescent="0.25">
      <c r="A22" s="818"/>
      <c r="B22" s="2517" t="str">
        <f>'Forklift INPUTS'!B19</f>
        <v>Step 3b - Export Units or Percentage</v>
      </c>
      <c r="C22" s="2518"/>
      <c r="D22" s="2519"/>
      <c r="E22" s="2535" t="str">
        <f>E19</f>
        <v>Selection will impact entries in Step 3c</v>
      </c>
      <c r="F22" s="2536"/>
      <c r="G22" s="2367" t="str">
        <f>IF(E6=Please, "", IF(E6=RIMS_lists!C1, Lists!E5, "Exports are units manufactured in "&amp;State&amp;", but installed in another region or country. Imported units are manufactured outside "&amp;State&amp;", but installedin "&amp;State&amp;". Installed units = Manufactured units - Exported units + Imported Units (see Results sheets). If the user is only analyzing installations, units should be entered in the Imports column."))</f>
        <v/>
      </c>
      <c r="H22" s="2368"/>
      <c r="I22" s="2368"/>
      <c r="J22" s="2369"/>
      <c r="K22" s="819"/>
      <c r="L22" s="819"/>
      <c r="M22" s="819"/>
      <c r="N22" s="819"/>
      <c r="O22" s="819"/>
      <c r="P22" s="822"/>
      <c r="S22" s="13"/>
      <c r="U22" s="13"/>
    </row>
    <row r="23" spans="1:21" ht="27.75" customHeight="1" x14ac:dyDescent="0.25">
      <c r="A23" s="818"/>
      <c r="B23" s="2529" t="str">
        <f>"For fuel cells entered in 3c, select . . . "&amp;Lists!E3&amp;" or "&amp;Lists!E4&amp;"."</f>
        <v>For fuel cells entered in 3c, select . . . NUMBER of fuel cell units exported out of region or PERCENTAGE of fuel cell units manufactured in region exported out of region.</v>
      </c>
      <c r="C23" s="2530"/>
      <c r="D23" s="2531"/>
      <c r="E23" s="2211" t="str">
        <f>Please</f>
        <v>&lt;Please select&gt;</v>
      </c>
      <c r="F23" s="2250"/>
      <c r="G23" s="2370"/>
      <c r="H23" s="2371"/>
      <c r="I23" s="2371"/>
      <c r="J23" s="2372"/>
      <c r="K23" s="819"/>
      <c r="L23" s="819"/>
      <c r="M23" s="819"/>
      <c r="N23" s="819"/>
      <c r="O23" s="819"/>
      <c r="P23" s="822"/>
      <c r="S23" s="13"/>
      <c r="U23" s="13"/>
    </row>
    <row r="24" spans="1:21" ht="27.75" customHeight="1" x14ac:dyDescent="0.25">
      <c r="A24" s="818"/>
      <c r="B24" s="2532"/>
      <c r="C24" s="2533"/>
      <c r="D24" s="2534"/>
      <c r="E24" s="2251"/>
      <c r="F24" s="2252"/>
      <c r="G24" s="2373"/>
      <c r="H24" s="2374"/>
      <c r="I24" s="2374"/>
      <c r="J24" s="2375"/>
      <c r="K24" s="819"/>
      <c r="L24" s="819"/>
      <c r="M24" s="819"/>
      <c r="N24" s="819"/>
      <c r="O24" s="819"/>
      <c r="P24" s="822"/>
      <c r="S24" s="13"/>
      <c r="U24" s="13"/>
    </row>
    <row r="25" spans="1:21" ht="16.5" x14ac:dyDescent="0.25">
      <c r="A25" s="818"/>
      <c r="B25" s="2376" t="s">
        <v>1963</v>
      </c>
      <c r="C25" s="2377"/>
      <c r="D25" s="2378"/>
      <c r="E25" s="2552" t="str">
        <f>IF(AND($E$6=RIMS_lists!C1, $E$20=Lists!B15), "Manufactured in region            ( % of backup shipments)", "Manufactured in region (units)")</f>
        <v>Manufactured in region (units)</v>
      </c>
      <c r="F25" s="2387" t="str">
        <f>IF(E23=Lists!E4, "Exported out of region ( % of manufacturing)", "Exported out of region (units)")</f>
        <v>Exported out of region (units)</v>
      </c>
      <c r="G25" s="2551" t="s">
        <v>510</v>
      </c>
      <c r="H25" s="2552" t="s">
        <v>506</v>
      </c>
      <c r="I25" s="2387" t="s">
        <v>507</v>
      </c>
      <c r="J25" s="2362" t="s">
        <v>508</v>
      </c>
      <c r="K25" s="819"/>
      <c r="L25" s="819"/>
      <c r="M25" s="819"/>
      <c r="N25" s="819"/>
      <c r="O25" s="819"/>
      <c r="P25" s="822"/>
      <c r="S25" s="13"/>
      <c r="U25" s="13"/>
    </row>
    <row r="26" spans="1:21" ht="15" customHeight="1" x14ac:dyDescent="0.25">
      <c r="A26" s="818"/>
      <c r="B26" s="2355" t="s">
        <v>567</v>
      </c>
      <c r="C26" s="2356"/>
      <c r="D26" s="2363" t="s">
        <v>433</v>
      </c>
      <c r="E26" s="2552"/>
      <c r="F26" s="2387"/>
      <c r="G26" s="2551"/>
      <c r="H26" s="2552"/>
      <c r="I26" s="2387"/>
      <c r="J26" s="2362"/>
      <c r="K26" s="819"/>
      <c r="L26" s="819"/>
      <c r="M26" s="819"/>
      <c r="N26" s="819"/>
      <c r="O26" s="819"/>
      <c r="P26" s="822"/>
      <c r="S26" s="13"/>
      <c r="U26" s="13"/>
    </row>
    <row r="27" spans="1:21" ht="15.75" customHeight="1" x14ac:dyDescent="0.25">
      <c r="A27" s="818"/>
      <c r="B27" s="2357"/>
      <c r="C27" s="2358"/>
      <c r="D27" s="2364"/>
      <c r="E27" s="1343" t="s">
        <v>429</v>
      </c>
      <c r="F27" s="1344" t="str">
        <f>E27</f>
        <v>User-specified value</v>
      </c>
      <c r="G27" s="1345" t="str">
        <f>E27</f>
        <v>User-specified value</v>
      </c>
      <c r="H27" s="2365" t="s">
        <v>505</v>
      </c>
      <c r="I27" s="2365"/>
      <c r="J27" s="2366"/>
      <c r="K27" s="819"/>
      <c r="L27" s="819"/>
      <c r="M27" s="819"/>
      <c r="N27" s="819"/>
      <c r="O27" s="819"/>
      <c r="P27" s="822"/>
      <c r="S27" s="13"/>
      <c r="U27" s="13"/>
    </row>
    <row r="28" spans="1:21" ht="15.75" customHeight="1" x14ac:dyDescent="0.25">
      <c r="A28" s="818"/>
      <c r="B28" s="2357"/>
      <c r="C28" s="2358"/>
      <c r="D28" s="1176">
        <v>2015</v>
      </c>
      <c r="E28" s="1930"/>
      <c r="F28" s="1929"/>
      <c r="G28" s="1930"/>
      <c r="H28" s="342">
        <f>ROUNDUP(IF($E$6=Please,0,IF(OR($E$6&lt;&gt;RIMS_lists!$C$1,$E$20&lt;&gt;Lists!$B$15),E28,IF(AND($E$6=RIMS_lists!$C$1,$E$20=Lists!$B$15,E28&lt;=1),E28*Markets!D16,0))),0)</f>
        <v>0</v>
      </c>
      <c r="I28" s="574">
        <f>IF(F28="",0,IF($E$23&lt;&gt;Lists!$E$4, MIN(F28,H28), IF(AND($E$23=Lists!$E$4,F28&gt;=0,F28&lt;=1),F28*H28,0)))</f>
        <v>0</v>
      </c>
      <c r="J28" s="832">
        <f t="shared" ref="J28:J33" si="0">IF($E$6=Please, 0,G28)</f>
        <v>0</v>
      </c>
      <c r="K28" s="819"/>
      <c r="L28" s="819"/>
      <c r="M28" s="819"/>
      <c r="N28" s="819"/>
      <c r="O28" s="819"/>
      <c r="P28" s="822"/>
      <c r="S28" s="13"/>
      <c r="U28" s="13"/>
    </row>
    <row r="29" spans="1:21" ht="15.75" customHeight="1" x14ac:dyDescent="0.25">
      <c r="A29" s="818"/>
      <c r="B29" s="2357" t="str">
        <f>avgSize&amp;" kW Fuel Cells"</f>
        <v>5 kW Fuel Cells</v>
      </c>
      <c r="C29" s="2358"/>
      <c r="D29" s="1176">
        <f>D28+1</f>
        <v>2016</v>
      </c>
      <c r="E29" s="1930"/>
      <c r="F29" s="1929"/>
      <c r="G29" s="1930"/>
      <c r="H29" s="342">
        <f>ROUNDUP(IF($E$6=Please,0,IF(OR($E$6&lt;&gt;RIMS_lists!$C$1,$E$20&lt;&gt;Lists!$B$15),E29,IF(AND($E$6=RIMS_lists!$C$1,$E$20=Lists!$B$15,E29&lt;=1),E29*Markets!D17,0))),0)</f>
        <v>0</v>
      </c>
      <c r="I29" s="574">
        <f>IF(F29="",0,IF($E$23&lt;&gt;Lists!$E$4, MIN(F29,H29), IF(AND($E$23=Lists!$E$4,F29&gt;=0,F29&lt;=1),F29*H29,0)))</f>
        <v>0</v>
      </c>
      <c r="J29" s="832">
        <f t="shared" si="0"/>
        <v>0</v>
      </c>
      <c r="K29" s="819"/>
      <c r="L29" s="819"/>
      <c r="M29" s="819"/>
      <c r="N29" s="819"/>
      <c r="O29" s="819"/>
      <c r="P29" s="822"/>
      <c r="S29" s="13"/>
      <c r="U29" s="13"/>
    </row>
    <row r="30" spans="1:21" ht="15.75" customHeight="1" x14ac:dyDescent="0.25">
      <c r="A30" s="818"/>
      <c r="B30" s="2357"/>
      <c r="C30" s="2358"/>
      <c r="D30" s="1176">
        <f>D29+1</f>
        <v>2017</v>
      </c>
      <c r="E30" s="1930"/>
      <c r="F30" s="1929"/>
      <c r="G30" s="1930"/>
      <c r="H30" s="342">
        <f>ROUNDUP(IF($E$6=Please,0,IF(OR($E$6&lt;&gt;RIMS_lists!$C$1,$E$20&lt;&gt;Lists!$B$15),E30,IF(AND($E$6=RIMS_lists!$C$1,$E$20=Lists!$B$15,E30&lt;=1),E30*Markets!D18,0))),0)</f>
        <v>0</v>
      </c>
      <c r="I30" s="574">
        <f>IF(F30="",0,IF($E$23&lt;&gt;Lists!$E$4, MIN(F30,H30), IF(AND($E$23=Lists!$E$4,F30&gt;=0,F30&lt;=1),F30*H30,0)))</f>
        <v>0</v>
      </c>
      <c r="J30" s="832">
        <f t="shared" si="0"/>
        <v>0</v>
      </c>
      <c r="K30" s="819"/>
      <c r="L30" s="819"/>
      <c r="M30" s="819"/>
      <c r="N30" s="819"/>
      <c r="O30" s="819"/>
      <c r="P30" s="822"/>
      <c r="S30" s="13"/>
      <c r="U30" s="13"/>
    </row>
    <row r="31" spans="1:21" ht="15.75" x14ac:dyDescent="0.25">
      <c r="A31" s="818"/>
      <c r="B31" s="2383" t="str">
        <f>IF($E$6&lt;&gt;Please, "Manufactured, Imported, and Exported for "&amp;$E$6, "Manufactured, Imported, and Exported")</f>
        <v>Manufactured, Imported, and Exported</v>
      </c>
      <c r="C31" s="2384"/>
      <c r="D31" s="1176">
        <f>D30+1</f>
        <v>2018</v>
      </c>
      <c r="E31" s="1930"/>
      <c r="F31" s="1929"/>
      <c r="G31" s="1930"/>
      <c r="H31" s="342">
        <f>ROUNDUP(IF($E$6=Please,0,IF(OR($E$6&lt;&gt;RIMS_lists!$C$1,$E$20&lt;&gt;Lists!$B$15),E31,IF(AND($E$6=RIMS_lists!$C$1,$E$20=Lists!$B$15,E31&lt;=1),E31*Markets!D19,0))),0)</f>
        <v>0</v>
      </c>
      <c r="I31" s="574">
        <f>IF(F31="",0,IF($E$23&lt;&gt;Lists!$E$4, MIN(F31,H31), IF(AND($E$23=Lists!$E$4,F31&gt;=0,F31&lt;=1),F31*H31,0)))</f>
        <v>0</v>
      </c>
      <c r="J31" s="832">
        <f t="shared" si="0"/>
        <v>0</v>
      </c>
      <c r="K31" s="819"/>
      <c r="L31" s="819"/>
      <c r="M31" s="819"/>
      <c r="N31" s="819"/>
      <c r="O31" s="819"/>
      <c r="P31" s="822"/>
      <c r="S31" s="13"/>
      <c r="U31" s="13"/>
    </row>
    <row r="32" spans="1:21" ht="15.75" x14ac:dyDescent="0.25">
      <c r="A32" s="818"/>
      <c r="B32" s="2383"/>
      <c r="C32" s="2384"/>
      <c r="D32" s="1176">
        <f>D31+1</f>
        <v>2019</v>
      </c>
      <c r="E32" s="1930"/>
      <c r="F32" s="1929"/>
      <c r="G32" s="1930"/>
      <c r="H32" s="342">
        <f>ROUNDUP(IF($E$6=Please,0,IF(OR($E$6&lt;&gt;RIMS_lists!$C$1,$E$20&lt;&gt;Lists!$B$15),E32,IF(AND($E$6=RIMS_lists!$C$1,$E$20=Lists!$B$15,E32&lt;=1),E32*Markets!D20,0))),0)</f>
        <v>0</v>
      </c>
      <c r="I32" s="574">
        <f>IF(F32="",0,IF($E$23&lt;&gt;Lists!$E$4, MIN(F32,H32), IF(AND($E$23=Lists!$E$4,F32&gt;=0,F32&lt;=1),F32*H32,0)))</f>
        <v>0</v>
      </c>
      <c r="J32" s="832">
        <f t="shared" si="0"/>
        <v>0</v>
      </c>
      <c r="K32" s="819"/>
      <c r="L32" s="819"/>
      <c r="M32" s="819"/>
      <c r="N32" s="819"/>
      <c r="O32" s="819"/>
      <c r="P32" s="822"/>
      <c r="S32" s="13"/>
      <c r="U32" s="13"/>
    </row>
    <row r="33" spans="1:21" ht="15.75" x14ac:dyDescent="0.25">
      <c r="A33" s="818"/>
      <c r="B33" s="2385"/>
      <c r="C33" s="2386"/>
      <c r="D33" s="1176">
        <f>D32+1</f>
        <v>2020</v>
      </c>
      <c r="E33" s="1930"/>
      <c r="F33" s="1929"/>
      <c r="G33" s="1930"/>
      <c r="H33" s="342">
        <f>ROUNDUP(IF($E$6=Please,0,IF(OR($E$6&lt;&gt;RIMS_lists!$C$1,$E$20&lt;&gt;Lists!$B$15),E33,IF(AND($E$6=RIMS_lists!$C$1,$E$20=Lists!$B$15,E33&lt;=1),E33*Markets!D21,0))),0)</f>
        <v>0</v>
      </c>
      <c r="I33" s="574">
        <f>IF(F33="",0,IF($E$23&lt;&gt;Lists!$E$4, MIN(F33,H33), IF(AND($E$23=Lists!$E$4,F33&gt;=0,F33&lt;=1),F33*H33,0)))</f>
        <v>0</v>
      </c>
      <c r="J33" s="832">
        <f t="shared" si="0"/>
        <v>0</v>
      </c>
      <c r="K33" s="819"/>
      <c r="L33" s="819"/>
      <c r="M33" s="819"/>
      <c r="N33" s="819"/>
      <c r="O33" s="819"/>
      <c r="P33" s="822"/>
      <c r="S33" s="13"/>
      <c r="U33" s="13"/>
    </row>
    <row r="34" spans="1:21" s="814" customFormat="1" ht="52.5" customHeight="1" x14ac:dyDescent="0.25">
      <c r="A34" s="818"/>
      <c r="B34" s="826"/>
      <c r="C34" s="819"/>
      <c r="D34" s="819"/>
      <c r="E34" s="819"/>
      <c r="F34" s="819"/>
      <c r="G34" s="819"/>
      <c r="H34" s="819"/>
      <c r="I34" s="819"/>
      <c r="J34" s="827"/>
      <c r="K34" s="819"/>
      <c r="L34" s="819"/>
      <c r="M34" s="819"/>
      <c r="N34" s="819"/>
      <c r="O34" s="819"/>
      <c r="P34" s="819"/>
    </row>
    <row r="35" spans="1:21" ht="30" customHeight="1" x14ac:dyDescent="0.25">
      <c r="A35" s="818"/>
      <c r="B35" s="2063" t="str">
        <f>'Forklift INPUTS'!B41</f>
        <v>OPTIONAL USER INPUT FIELDS</v>
      </c>
      <c r="C35" s="2064"/>
      <c r="D35" s="2064"/>
      <c r="E35" s="2064"/>
      <c r="F35" s="2064"/>
      <c r="G35" s="2064"/>
      <c r="H35" s="2064"/>
      <c r="I35" s="2064"/>
      <c r="J35" s="2065"/>
      <c r="K35" s="819"/>
      <c r="L35" s="819"/>
      <c r="M35" s="819"/>
      <c r="N35" s="819"/>
      <c r="O35" s="819"/>
      <c r="P35" s="822"/>
      <c r="S35" s="13"/>
      <c r="U35" s="13"/>
    </row>
    <row r="36" spans="1:21" s="121" customFormat="1" x14ac:dyDescent="0.25">
      <c r="A36" s="818"/>
      <c r="B36" s="826"/>
      <c r="C36" s="819"/>
      <c r="D36" s="819"/>
      <c r="E36" s="819"/>
      <c r="F36" s="819"/>
      <c r="G36" s="819"/>
      <c r="H36" s="819"/>
      <c r="I36" s="819"/>
      <c r="J36" s="827"/>
      <c r="K36" s="819"/>
      <c r="L36" s="819"/>
      <c r="M36" s="819"/>
      <c r="N36" s="819"/>
      <c r="O36" s="819"/>
      <c r="P36" s="819"/>
    </row>
    <row r="37" spans="1:21" ht="30" customHeight="1" x14ac:dyDescent="0.25">
      <c r="A37" s="818"/>
      <c r="B37" s="2481" t="str">
        <f>'Forklift INPUTS'!B43</f>
        <v>All dollar values are in 2010$. All user-specified entries must be entered in 2010$.</v>
      </c>
      <c r="C37" s="2482"/>
      <c r="D37" s="2482"/>
      <c r="E37" s="2482"/>
      <c r="F37" s="2482"/>
      <c r="G37" s="2482"/>
      <c r="H37" s="2482"/>
      <c r="I37" s="2482"/>
      <c r="J37" s="2483"/>
      <c r="K37" s="819"/>
      <c r="L37" s="819"/>
      <c r="M37" s="819"/>
      <c r="N37" s="819"/>
      <c r="O37" s="819"/>
      <c r="P37" s="822"/>
      <c r="S37" s="13"/>
      <c r="U37" s="13"/>
    </row>
    <row r="38" spans="1:21" s="121" customFormat="1" x14ac:dyDescent="0.25">
      <c r="A38" s="818"/>
      <c r="B38" s="833"/>
      <c r="C38" s="814"/>
      <c r="D38" s="814"/>
      <c r="E38" s="814"/>
      <c r="F38" s="814"/>
      <c r="G38" s="814"/>
      <c r="H38" s="814"/>
      <c r="I38" s="814"/>
      <c r="J38" s="829"/>
      <c r="K38" s="819"/>
      <c r="L38" s="819"/>
      <c r="M38" s="819"/>
      <c r="N38" s="819"/>
      <c r="O38" s="819"/>
      <c r="P38" s="819"/>
    </row>
    <row r="39" spans="1:21" s="121" customFormat="1" ht="18.75" x14ac:dyDescent="0.25">
      <c r="A39" s="818"/>
      <c r="B39" s="2388" t="str">
        <f>IF(SUM($H$28:$H$33)=0,"Step 4 is available only if backup power fuel cell units are being manufactured within the selected region","Step 4 - Backup Power Fuel Cell Retail Prices and Manufacturing Costs (all prices and cost are in $/kW)")</f>
        <v>Step 4 is available only if backup power fuel cell units are being manufactured within the selected region</v>
      </c>
      <c r="C39" s="2389"/>
      <c r="D39" s="2389"/>
      <c r="E39" s="2389"/>
      <c r="F39" s="2389"/>
      <c r="G39" s="2389"/>
      <c r="H39" s="2389"/>
      <c r="I39" s="2389"/>
      <c r="J39" s="2390"/>
      <c r="K39" s="819"/>
      <c r="L39" s="819"/>
      <c r="M39" s="819"/>
      <c r="N39" s="819"/>
      <c r="O39" s="819"/>
      <c r="P39" s="819"/>
    </row>
    <row r="40" spans="1:21" s="121" customFormat="1" ht="41.25" customHeight="1" x14ac:dyDescent="0.25">
      <c r="A40" s="818"/>
      <c r="B40" s="2540" t="s">
        <v>2048</v>
      </c>
      <c r="C40" s="2541"/>
      <c r="D40" s="2541"/>
      <c r="E40" s="2541"/>
      <c r="F40" s="2541"/>
      <c r="G40" s="2541"/>
      <c r="H40" s="2541"/>
      <c r="I40" s="2541"/>
      <c r="J40" s="2542"/>
      <c r="K40" s="819"/>
      <c r="L40" s="819"/>
      <c r="M40" s="819"/>
      <c r="N40" s="819"/>
      <c r="O40" s="819"/>
      <c r="P40" s="819"/>
    </row>
    <row r="41" spans="1:21" ht="33.75" customHeight="1" x14ac:dyDescent="0.25">
      <c r="A41" s="818"/>
      <c r="B41" s="2537" t="str">
        <f>'Forklift INPUTS'!B47</f>
        <v>Enter Retail Prices and Manfacturing Costs for Each Year (2015-2020)</v>
      </c>
      <c r="C41" s="2538"/>
      <c r="D41" s="2539"/>
      <c r="E41" s="1175" t="str">
        <f>'Forklift INPUTS'!E47</f>
        <v>Retail Price ($/kW)</v>
      </c>
      <c r="F41" s="1237" t="str">
        <f>'Forklift INPUTS'!F47</f>
        <v>Mfg. Cost ($/kW)</v>
      </c>
      <c r="G41" s="1175" t="str">
        <f>'Forklift INPUTS'!G47</f>
        <v>Retail Price ($/kW)</v>
      </c>
      <c r="H41" s="1237" t="str">
        <f>'Forklift INPUTS'!H47</f>
        <v>Mfg. Cost ($/kW)</v>
      </c>
      <c r="I41" s="1175" t="str">
        <f>'Forklift INPUTS'!I47</f>
        <v>Retail Price ($/kW)</v>
      </c>
      <c r="J41" s="1237" t="str">
        <f>'Forklift INPUTS'!J47</f>
        <v>Mfg. Cost ($/kW)</v>
      </c>
      <c r="K41" s="819"/>
      <c r="L41" s="819"/>
      <c r="M41" s="819"/>
      <c r="N41" s="819"/>
      <c r="O41" s="819"/>
      <c r="P41" s="822"/>
      <c r="S41" s="13"/>
      <c r="U41" s="13"/>
    </row>
    <row r="42" spans="1:21" ht="15" customHeight="1" x14ac:dyDescent="0.25">
      <c r="A42" s="818"/>
      <c r="B42" s="2492" t="s">
        <v>567</v>
      </c>
      <c r="C42" s="2493"/>
      <c r="D42" s="1175" t="str">
        <f>'Forklift INPUTS'!D48</f>
        <v>Year</v>
      </c>
      <c r="E42" s="1239" t="str">
        <f>'Forklift INPUTS'!E48</f>
        <v>User-specified value</v>
      </c>
      <c r="F42" s="1239" t="str">
        <f>'Forklift INPUTS'!F48</f>
        <v>User-specified value</v>
      </c>
      <c r="G42" s="1240" t="s">
        <v>504</v>
      </c>
      <c r="H42" s="1241" t="s">
        <v>504</v>
      </c>
      <c r="I42" s="2484" t="str">
        <f>'Forklift INPUTS'!I48</f>
        <v>Values used in model calculations</v>
      </c>
      <c r="J42" s="2485"/>
      <c r="K42" s="819"/>
      <c r="L42" s="819"/>
      <c r="M42" s="819"/>
      <c r="N42" s="819"/>
      <c r="O42" s="819"/>
      <c r="P42" s="822"/>
      <c r="S42" s="13"/>
      <c r="U42" s="13"/>
    </row>
    <row r="43" spans="1:21" ht="15.75" customHeight="1" x14ac:dyDescent="0.25">
      <c r="A43" s="818"/>
      <c r="B43" s="2492"/>
      <c r="C43" s="2493"/>
      <c r="D43" s="1177">
        <f>'Forklift INPUTS'!D49</f>
        <v>2015</v>
      </c>
      <c r="E43" s="1988"/>
      <c r="F43" s="1988"/>
      <c r="G43" s="1001">
        <f t="shared" ref="G43:G48" si="1">H43*(price_initial/costPerKwInitial)</f>
        <v>1650</v>
      </c>
      <c r="H43" s="1001">
        <f>MROUND((costPerKwInitial*((G559/$G$554)^Costs!$B$34)*(IF(F559&lt;=FullScale,((F559/productionCostLevel)^scaleElasticity),((FullScale/productionCostLevel)^scaleElasticity)))*((1-technologicalProgressRate)^(D43-Costs!$B$46))), 10)</f>
        <v>1100</v>
      </c>
      <c r="I43" s="1002">
        <f>IF(SUM($H$28:$H$33)=0,0,IF(E43&lt;0,0,IF(E43&lt;&gt;"",E43,IF(I177=0,0,J43*(I177/J177)))))</f>
        <v>0</v>
      </c>
      <c r="J43" s="789">
        <f>IF(SUM($H$28:$H$33)=0,0,IF(F43&lt;0,0,IF(F43&lt;&gt;"",F43,IF(E43&lt;&gt;"",E43/(I177/J177),H43))))</f>
        <v>0</v>
      </c>
      <c r="K43" s="823"/>
      <c r="L43" s="819"/>
      <c r="M43" s="819"/>
      <c r="N43" s="819"/>
      <c r="O43" s="819"/>
      <c r="P43" s="822"/>
      <c r="S43" s="13"/>
      <c r="U43" s="13"/>
    </row>
    <row r="44" spans="1:21" ht="15.75" x14ac:dyDescent="0.25">
      <c r="A44" s="818"/>
      <c r="B44" s="2492"/>
      <c r="C44" s="2493"/>
      <c r="D44" s="1177">
        <f>'Forklift INPUTS'!D50</f>
        <v>2016</v>
      </c>
      <c r="E44" s="1988"/>
      <c r="F44" s="1988"/>
      <c r="G44" s="1001">
        <f t="shared" si="1"/>
        <v>1575</v>
      </c>
      <c r="H44" s="1001">
        <f>MROUND((MIN(H43, costPerKwInitial*((G560/$G$554)^Costs!$B$34)*(IF(F560&lt;=FullScale,((F560/productionCostLevel)^scaleElasticity),((FullScale/productionCostLevel)^scaleElasticity)))*((1-technologicalProgressRate)^(D44-Costs!$B$46)))), 10)</f>
        <v>1050</v>
      </c>
      <c r="I44" s="1002">
        <f>IF(SUM($H$28:$H$33)=0,0,IF(E44&lt;0,0,IF(E44&lt;&gt;"",E44,IF(I43=0,0,J44*(I43/J43)))))</f>
        <v>0</v>
      </c>
      <c r="J44" s="789">
        <f t="array" ref="J44">IF(SUM($H$28:$H$33)=0,0,IF(F44&lt;0,0,IF(F44&lt;&gt;"",F44,IF(E44&lt;&gt;"",E44/(I43/J43),IF(OR(OR(F43:F$43&lt;&gt;""),OR(E43:E$43&lt;&gt;"")),J43*H44/H43,H44)))))</f>
        <v>0</v>
      </c>
      <c r="K44" s="823"/>
      <c r="L44" s="819"/>
      <c r="M44" s="819"/>
      <c r="N44" s="819"/>
      <c r="O44" s="819"/>
      <c r="P44" s="822"/>
      <c r="S44" s="13"/>
      <c r="U44" s="13"/>
    </row>
    <row r="45" spans="1:21" ht="15.75" customHeight="1" x14ac:dyDescent="0.3">
      <c r="A45" s="818"/>
      <c r="B45" s="2494" t="str">
        <f>avgSize&amp;" kW Fuel Cell Units"</f>
        <v>5 kW Fuel Cell Units</v>
      </c>
      <c r="C45" s="2495"/>
      <c r="D45" s="1177">
        <f>'Forklift INPUTS'!D51</f>
        <v>2017</v>
      </c>
      <c r="E45" s="1988"/>
      <c r="F45" s="1988"/>
      <c r="G45" s="1001">
        <f t="shared" si="1"/>
        <v>1515</v>
      </c>
      <c r="H45" s="1001">
        <f>MROUND((MIN(H44, costPerKwInitial*((G561/$G$554)^Costs!$B$34)*(IF(F561&lt;=FullScale,((F561/productionCostLevel)^scaleElasticity),((FullScale/productionCostLevel)^scaleElasticity)))*((1-technologicalProgressRate)^(D45-Costs!$B$46)))), 10)</f>
        <v>1010</v>
      </c>
      <c r="I45" s="1002">
        <f t="shared" ref="I45:I48" si="2">IF(SUM($H$28:$H$33)=0,0,IF(E45&lt;0,0,IF(E45&lt;&gt;"",E45,IF(I44=0,0,J45*(I44/J44)))))</f>
        <v>0</v>
      </c>
      <c r="J45" s="789">
        <f t="array" ref="J45">IF(SUM($H$28:$H$33)=0,0,IF(F45&lt;0,0,IF(F45&lt;&gt;"",F45,IF(E45&lt;&gt;"",E45/(I44/J44),IF(OR(OR(F$43:F44&lt;&gt;""),OR(E$43:E44&lt;&gt;"")),J44*H45/H44,H45)))))</f>
        <v>0</v>
      </c>
      <c r="K45" s="823"/>
      <c r="L45" s="819"/>
      <c r="M45" s="819"/>
      <c r="N45" s="819"/>
      <c r="O45" s="819"/>
      <c r="P45" s="822"/>
      <c r="S45" s="13"/>
      <c r="U45" s="13"/>
    </row>
    <row r="46" spans="1:21" ht="15.75" x14ac:dyDescent="0.25">
      <c r="A46" s="818"/>
      <c r="B46" s="2379" t="s">
        <v>545</v>
      </c>
      <c r="C46" s="2380"/>
      <c r="D46" s="1177">
        <f>'Forklift INPUTS'!D52</f>
        <v>2018</v>
      </c>
      <c r="E46" s="1988"/>
      <c r="F46" s="1988"/>
      <c r="G46" s="1001">
        <f t="shared" si="1"/>
        <v>1455</v>
      </c>
      <c r="H46" s="1001">
        <f>MROUND((MIN(H45, costPerKwInitial*((G562/$G$554)^Costs!$B$34)*(IF(F562&lt;=FullScale,((F562/productionCostLevel)^scaleElasticity),((FullScale/productionCostLevel)^scaleElasticity)))*((1-technologicalProgressRate)^(D46-Costs!$B$46)))), 10)</f>
        <v>970</v>
      </c>
      <c r="I46" s="1002">
        <f t="shared" si="2"/>
        <v>0</v>
      </c>
      <c r="J46" s="789">
        <f t="array" ref="J46">IF(SUM($H$28:$H$33)=0,0,IF(F46&lt;0,0,IF(F46&lt;&gt;"",F46,IF(E46&lt;&gt;"",E46/(I45/J45),IF(OR(OR(F$43:F45&lt;&gt;""),OR(E$43:E45&lt;&gt;"")),J45*H46/H45,H46)))))</f>
        <v>0</v>
      </c>
      <c r="K46" s="823"/>
      <c r="L46" s="819"/>
      <c r="M46" s="819"/>
      <c r="N46" s="819"/>
      <c r="O46" s="819"/>
      <c r="P46" s="822"/>
      <c r="S46" s="13"/>
      <c r="U46" s="13"/>
    </row>
    <row r="47" spans="1:21" ht="15.75" x14ac:dyDescent="0.25">
      <c r="A47" s="818"/>
      <c r="B47" s="2379"/>
      <c r="C47" s="2380"/>
      <c r="D47" s="1177">
        <f>'Forklift INPUTS'!D53</f>
        <v>2019</v>
      </c>
      <c r="E47" s="1988"/>
      <c r="F47" s="1988"/>
      <c r="G47" s="1001">
        <f t="shared" si="1"/>
        <v>1410</v>
      </c>
      <c r="H47" s="1001">
        <f>MROUND((MIN(H46, costPerKwInitial*((G563/$G$554)^Costs!$B$34)*(IF(F563&lt;=FullScale,((F563/productionCostLevel)^scaleElasticity),((FullScale/productionCostLevel)^scaleElasticity)))*((1-technologicalProgressRate)^(D47-Costs!$B$46)))), 10)</f>
        <v>940</v>
      </c>
      <c r="I47" s="1002">
        <f t="shared" si="2"/>
        <v>0</v>
      </c>
      <c r="J47" s="789">
        <f t="array" ref="J47">IF(SUM($H$28:$H$33)=0,0,IF(F47&lt;0,0,IF(F47&lt;&gt;"",F47,IF(E47&lt;&gt;"",E47/(I46/J46),IF(OR(OR(F$43:F46&lt;&gt;""),OR(E$43:E46&lt;&gt;"")),J46*H47/H46,H47)))))</f>
        <v>0</v>
      </c>
      <c r="K47" s="823"/>
      <c r="L47" s="819"/>
      <c r="M47" s="819"/>
      <c r="N47" s="819"/>
      <c r="O47" s="819"/>
      <c r="P47" s="822"/>
      <c r="S47" s="13"/>
      <c r="U47" s="13"/>
    </row>
    <row r="48" spans="1:21" ht="15.75" x14ac:dyDescent="0.25">
      <c r="A48" s="818"/>
      <c r="B48" s="2381"/>
      <c r="C48" s="2382"/>
      <c r="D48" s="1177">
        <f>'Forklift INPUTS'!D54</f>
        <v>2020</v>
      </c>
      <c r="E48" s="1988"/>
      <c r="F48" s="1988"/>
      <c r="G48" s="1001">
        <f t="shared" si="1"/>
        <v>1365</v>
      </c>
      <c r="H48" s="1001">
        <f>MROUND((MIN(H47, costPerKwInitial*((G564/$G$554)^Costs!$B$34)*(IF(F564&lt;=FullScale,((F564/productionCostLevel)^scaleElasticity),((FullScale/productionCostLevel)^scaleElasticity)))*((1-technologicalProgressRate)^(D48-Costs!$B$46)))), 10)</f>
        <v>910</v>
      </c>
      <c r="I48" s="1002">
        <f t="shared" si="2"/>
        <v>0</v>
      </c>
      <c r="J48" s="789">
        <f t="array" ref="J48">IF(SUM($H$28:$H$33)=0,0,IF(F48&lt;0,0,IF(F48&lt;&gt;"",F48,IF(E48&lt;&gt;"",E48/(I47/J47),IF(OR(OR(F$43:F47&lt;&gt;""),OR(E$43:E47&lt;&gt;"")),J47*H48/H47,H48)))))</f>
        <v>0</v>
      </c>
      <c r="K48" s="823"/>
      <c r="L48" s="819"/>
      <c r="M48" s="819"/>
      <c r="N48" s="819"/>
      <c r="O48" s="819"/>
      <c r="P48" s="822"/>
      <c r="S48" s="13"/>
      <c r="U48" s="13"/>
    </row>
    <row r="49" spans="1:21" s="814" customFormat="1" ht="21.75" customHeight="1" x14ac:dyDescent="0.25">
      <c r="A49" s="818"/>
      <c r="B49" s="839"/>
      <c r="C49" s="820"/>
      <c r="D49" s="820"/>
      <c r="E49" s="820"/>
      <c r="F49" s="820"/>
      <c r="G49" s="820"/>
      <c r="H49" s="820"/>
      <c r="I49" s="820"/>
      <c r="J49" s="840"/>
      <c r="K49" s="819"/>
      <c r="L49" s="819"/>
      <c r="M49" s="819"/>
      <c r="N49" s="819"/>
      <c r="O49" s="819"/>
      <c r="P49" s="819"/>
    </row>
    <row r="50" spans="1:21" s="814" customFormat="1" ht="21.75" customHeight="1" x14ac:dyDescent="0.25">
      <c r="A50" s="818"/>
      <c r="B50" s="2388" t="str">
        <f>"Step 5 - Backup Power Fuel Cell Shipping Expense ($/Fuel Cell Unit)"</f>
        <v>Step 5 - Backup Power Fuel Cell Shipping Expense ($/Fuel Cell Unit)</v>
      </c>
      <c r="C50" s="2389"/>
      <c r="D50" s="2389"/>
      <c r="E50" s="2389"/>
      <c r="F50" s="2389"/>
      <c r="G50" s="2389"/>
      <c r="H50" s="2389"/>
      <c r="I50" s="2389"/>
      <c r="J50" s="2390"/>
      <c r="K50" s="819"/>
      <c r="L50" s="819"/>
      <c r="M50" s="819"/>
      <c r="N50" s="819"/>
      <c r="O50" s="819"/>
      <c r="P50" s="819"/>
    </row>
    <row r="51" spans="1:21" s="814" customFormat="1" ht="21.75" customHeight="1" x14ac:dyDescent="0.25">
      <c r="A51" s="818"/>
      <c r="B51" s="2543" t="s">
        <v>1890</v>
      </c>
      <c r="C51" s="2544"/>
      <c r="D51" s="2545"/>
      <c r="E51" s="1244" t="str">
        <f>E$10</f>
        <v>User-specified value</v>
      </c>
      <c r="F51" s="1245" t="str">
        <f>F$10</f>
        <v>Default</v>
      </c>
      <c r="G51" s="1153" t="s">
        <v>451</v>
      </c>
      <c r="H51" s="1154"/>
      <c r="I51" s="1155"/>
      <c r="J51" s="1156" t="str">
        <f>J$10</f>
        <v>Value used in model</v>
      </c>
      <c r="K51" s="819"/>
      <c r="L51" s="819"/>
      <c r="M51" s="819"/>
      <c r="N51" s="819"/>
      <c r="O51" s="819"/>
      <c r="P51" s="819"/>
    </row>
    <row r="52" spans="1:21" s="814" customFormat="1" ht="44.25" customHeight="1" x14ac:dyDescent="0.25">
      <c r="A52" s="818"/>
      <c r="B52" s="1159" t="s">
        <v>1909</v>
      </c>
      <c r="C52" s="1158"/>
      <c r="D52" s="1158"/>
      <c r="E52" s="1931"/>
      <c r="F52" s="1157">
        <f>MROUND(G43*avgSize*D598, 50)</f>
        <v>400</v>
      </c>
      <c r="G52" s="2546" t="s">
        <v>2052</v>
      </c>
      <c r="H52" s="2547"/>
      <c r="I52" s="2548"/>
      <c r="J52" s="789">
        <f>IF(E52="",F52,IF(E52&lt;0,0,E52))</f>
        <v>400</v>
      </c>
      <c r="K52" s="819"/>
      <c r="L52" s="819"/>
      <c r="M52" s="819"/>
      <c r="N52" s="819"/>
      <c r="O52" s="819"/>
      <c r="P52" s="819"/>
    </row>
    <row r="53" spans="1:21" s="814" customFormat="1" ht="21.75" customHeight="1" x14ac:dyDescent="0.25">
      <c r="A53" s="818"/>
      <c r="B53" s="1150"/>
      <c r="C53" s="1151"/>
      <c r="D53" s="1151"/>
      <c r="E53" s="1151"/>
      <c r="F53" s="1151"/>
      <c r="G53" s="1151"/>
      <c r="H53" s="1151"/>
      <c r="I53" s="1151"/>
      <c r="J53" s="1152"/>
      <c r="K53" s="819"/>
      <c r="L53" s="819"/>
      <c r="M53" s="819"/>
      <c r="N53" s="819"/>
      <c r="O53" s="819"/>
      <c r="P53" s="819"/>
    </row>
    <row r="54" spans="1:21" ht="18.75" x14ac:dyDescent="0.25">
      <c r="A54" s="818"/>
      <c r="B54" s="2388" t="s">
        <v>1971</v>
      </c>
      <c r="C54" s="2389"/>
      <c r="D54" s="2389"/>
      <c r="E54" s="2389"/>
      <c r="F54" s="2389"/>
      <c r="G54" s="2389"/>
      <c r="H54" s="2389"/>
      <c r="I54" s="2389"/>
      <c r="J54" s="2390"/>
      <c r="K54" s="819"/>
      <c r="L54" s="819"/>
      <c r="M54" s="819"/>
      <c r="N54" s="819"/>
      <c r="O54" s="819"/>
      <c r="P54" s="822"/>
      <c r="S54" s="13"/>
      <c r="U54" s="13"/>
    </row>
    <row r="55" spans="1:21" ht="16.5" x14ac:dyDescent="0.25">
      <c r="A55" s="818"/>
      <c r="B55" s="841" t="s">
        <v>1871</v>
      </c>
      <c r="C55" s="781"/>
      <c r="D55" s="781"/>
      <c r="E55" s="781"/>
      <c r="F55" s="781"/>
      <c r="G55" s="782"/>
      <c r="H55" s="782"/>
      <c r="I55" s="782"/>
      <c r="J55" s="842"/>
      <c r="K55" s="819"/>
      <c r="L55" s="819"/>
      <c r="M55" s="819"/>
      <c r="N55" s="819"/>
      <c r="O55" s="819"/>
      <c r="P55" s="822"/>
      <c r="S55" s="13"/>
      <c r="U55" s="13"/>
    </row>
    <row r="56" spans="1:21" ht="16.5" customHeight="1" x14ac:dyDescent="0.25">
      <c r="A56" s="818"/>
      <c r="B56" s="2394" t="s">
        <v>1789</v>
      </c>
      <c r="C56" s="2395"/>
      <c r="D56" s="2396"/>
      <c r="E56" s="1246" t="str">
        <f>'Forklift INPUTS'!E71</f>
        <v>User-specified value</v>
      </c>
      <c r="F56" s="1247" t="str">
        <f>'Forklift INPUTS'!F71</f>
        <v>Default</v>
      </c>
      <c r="G56" s="2341" t="s">
        <v>451</v>
      </c>
      <c r="H56" s="2342"/>
      <c r="I56" s="2343"/>
      <c r="J56" s="843" t="str">
        <f>'Forklift INPUTS'!J71</f>
        <v>Value used in model</v>
      </c>
      <c r="K56" s="819"/>
      <c r="L56" s="819"/>
      <c r="M56" s="819"/>
      <c r="N56" s="819"/>
      <c r="O56" s="819"/>
      <c r="P56" s="822"/>
      <c r="S56" s="13"/>
      <c r="U56" s="13"/>
    </row>
    <row r="57" spans="1:21" ht="15.75" x14ac:dyDescent="0.25">
      <c r="A57" s="818"/>
      <c r="B57" s="868" t="s">
        <v>1787</v>
      </c>
      <c r="C57" s="869"/>
      <c r="D57" s="870"/>
      <c r="E57" s="1933"/>
      <c r="F57" s="608">
        <v>8000</v>
      </c>
      <c r="G57" s="2426" t="s">
        <v>1980</v>
      </c>
      <c r="H57" s="2427"/>
      <c r="I57" s="2427"/>
      <c r="J57" s="789">
        <f>IF(E57="",F57,IF(E57&lt;0,F57,E57))</f>
        <v>8000</v>
      </c>
      <c r="K57" s="819"/>
      <c r="L57" s="819"/>
      <c r="M57" s="819"/>
      <c r="N57" s="819"/>
      <c r="O57" s="819"/>
      <c r="P57" s="822"/>
      <c r="S57" s="13"/>
      <c r="U57" s="13"/>
    </row>
    <row r="58" spans="1:21" ht="15.75" x14ac:dyDescent="0.25">
      <c r="A58" s="818"/>
      <c r="B58" s="868" t="s">
        <v>1788</v>
      </c>
      <c r="C58" s="869"/>
      <c r="D58" s="870"/>
      <c r="E58" s="1933"/>
      <c r="F58" s="608">
        <v>10000</v>
      </c>
      <c r="G58" s="2429"/>
      <c r="H58" s="2430"/>
      <c r="I58" s="2430"/>
      <c r="J58" s="789">
        <f t="shared" ref="J58:J60" si="3">IF(E58="",F58,IF(E58&lt;0,F58,E58))</f>
        <v>10000</v>
      </c>
      <c r="K58" s="819"/>
      <c r="L58" s="819"/>
      <c r="M58" s="819"/>
      <c r="N58" s="819"/>
      <c r="O58" s="819"/>
      <c r="P58" s="822"/>
      <c r="S58" s="13"/>
      <c r="U58" s="13"/>
    </row>
    <row r="59" spans="1:21" ht="15.75" x14ac:dyDescent="0.25">
      <c r="A59" s="818"/>
      <c r="B59" s="868" t="s">
        <v>1944</v>
      </c>
      <c r="C59" s="869"/>
      <c r="D59" s="870"/>
      <c r="E59" s="1933"/>
      <c r="F59" s="318">
        <f>MAX(5000,MROUND(D606*1000, 500))</f>
        <v>15500</v>
      </c>
      <c r="G59" s="2429"/>
      <c r="H59" s="2430"/>
      <c r="I59" s="2430"/>
      <c r="J59" s="789">
        <f t="shared" si="3"/>
        <v>15500</v>
      </c>
      <c r="K59" s="819"/>
      <c r="L59" s="819"/>
      <c r="M59" s="819"/>
      <c r="N59" s="819"/>
      <c r="O59" s="819"/>
      <c r="P59" s="822"/>
      <c r="S59" s="13"/>
      <c r="U59" s="13"/>
    </row>
    <row r="60" spans="1:21" ht="15.75" x14ac:dyDescent="0.25">
      <c r="A60" s="818"/>
      <c r="B60" s="868" t="s">
        <v>1984</v>
      </c>
      <c r="C60" s="869"/>
      <c r="D60" s="870"/>
      <c r="E60" s="1933"/>
      <c r="F60" s="318">
        <v>0</v>
      </c>
      <c r="G60" s="2429"/>
      <c r="H60" s="2430"/>
      <c r="I60" s="2430"/>
      <c r="J60" s="789">
        <f t="shared" si="3"/>
        <v>0</v>
      </c>
      <c r="K60" s="819"/>
      <c r="L60" s="819"/>
      <c r="M60" s="819"/>
      <c r="N60" s="819"/>
      <c r="O60" s="819"/>
      <c r="P60" s="822"/>
      <c r="S60" s="13"/>
      <c r="U60" s="13"/>
    </row>
    <row r="61" spans="1:21" ht="15.75" x14ac:dyDescent="0.25">
      <c r="A61" s="818"/>
      <c r="B61" s="871" t="s">
        <v>2065</v>
      </c>
      <c r="C61" s="869"/>
      <c r="D61" s="870"/>
      <c r="E61" s="602" t="s">
        <v>1557</v>
      </c>
      <c r="F61" s="1248">
        <f>SUM(F57:F60)</f>
        <v>33500</v>
      </c>
      <c r="G61" s="2432"/>
      <c r="H61" s="2433"/>
      <c r="I61" s="2433"/>
      <c r="J61" s="1249">
        <f>SUM(J57:J60)</f>
        <v>33500</v>
      </c>
      <c r="K61" s="819"/>
      <c r="L61" s="819"/>
      <c r="M61" s="819"/>
      <c r="N61" s="819"/>
      <c r="O61" s="819"/>
      <c r="P61" s="822"/>
      <c r="S61" s="13"/>
      <c r="U61" s="13"/>
    </row>
    <row r="62" spans="1:21" s="814" customFormat="1" ht="21" customHeight="1" x14ac:dyDescent="0.25">
      <c r="A62" s="818"/>
      <c r="B62" s="839"/>
      <c r="C62" s="820"/>
      <c r="D62" s="820"/>
      <c r="E62" s="820"/>
      <c r="F62" s="820"/>
      <c r="G62" s="820"/>
      <c r="H62" s="820"/>
      <c r="I62" s="820"/>
      <c r="J62" s="840"/>
      <c r="K62" s="819"/>
      <c r="L62" s="819"/>
      <c r="M62" s="819"/>
      <c r="N62" s="819"/>
      <c r="O62" s="819"/>
      <c r="P62" s="819"/>
    </row>
    <row r="63" spans="1:21" ht="18.75" x14ac:dyDescent="0.25">
      <c r="A63" s="818"/>
      <c r="B63" s="2388" t="s">
        <v>1972</v>
      </c>
      <c r="C63" s="2389"/>
      <c r="D63" s="2389"/>
      <c r="E63" s="2389"/>
      <c r="F63" s="2389"/>
      <c r="G63" s="2389"/>
      <c r="H63" s="2389"/>
      <c r="I63" s="2389"/>
      <c r="J63" s="2390"/>
      <c r="K63" s="819"/>
      <c r="L63" s="819"/>
      <c r="M63" s="819"/>
      <c r="N63" s="819"/>
      <c r="O63" s="819"/>
      <c r="P63" s="822"/>
      <c r="S63" s="13"/>
      <c r="U63" s="13"/>
    </row>
    <row r="64" spans="1:21" ht="16.5" x14ac:dyDescent="0.25">
      <c r="A64" s="818"/>
      <c r="B64" s="841" t="s">
        <v>1872</v>
      </c>
      <c r="C64" s="781"/>
      <c r="D64" s="781"/>
      <c r="E64" s="781"/>
      <c r="F64" s="781"/>
      <c r="G64" s="782"/>
      <c r="H64" s="782"/>
      <c r="I64" s="782"/>
      <c r="J64" s="842"/>
      <c r="K64" s="819"/>
      <c r="L64" s="819"/>
      <c r="M64" s="819"/>
      <c r="N64" s="819"/>
      <c r="O64" s="819"/>
      <c r="P64" s="822"/>
      <c r="S64" s="13"/>
      <c r="U64" s="13"/>
    </row>
    <row r="65" spans="1:21" ht="16.5" customHeight="1" x14ac:dyDescent="0.25">
      <c r="A65" s="818"/>
      <c r="B65" s="2394" t="s">
        <v>1930</v>
      </c>
      <c r="C65" s="2395"/>
      <c r="D65" s="2396"/>
      <c r="E65" s="1246" t="str">
        <f>'Forklift INPUTS'!E91</f>
        <v>User-specified value</v>
      </c>
      <c r="F65" s="1247" t="str">
        <f>'Forklift INPUTS'!F91</f>
        <v>Default</v>
      </c>
      <c r="G65" s="2341" t="s">
        <v>451</v>
      </c>
      <c r="H65" s="2342"/>
      <c r="I65" s="2343"/>
      <c r="J65" s="843" t="str">
        <f>'Forklift INPUTS'!J91</f>
        <v>Value used in model</v>
      </c>
      <c r="K65" s="819"/>
      <c r="L65" s="819"/>
      <c r="M65" s="819"/>
      <c r="N65" s="819"/>
      <c r="O65" s="819"/>
      <c r="P65" s="822"/>
      <c r="S65" s="13"/>
      <c r="U65" s="13"/>
    </row>
    <row r="66" spans="1:21" ht="22.5" customHeight="1" x14ac:dyDescent="0.25">
      <c r="A66" s="818"/>
      <c r="B66" s="1195" t="str">
        <f>'Forklift INPUTS'!B92</f>
        <v>Cost of hydrogen production ($/kg)</v>
      </c>
      <c r="C66" s="1196"/>
      <c r="D66" s="1197"/>
      <c r="E66" s="1952"/>
      <c r="F66" s="285">
        <f>'Forklift INPUTS'!F92</f>
        <v>3</v>
      </c>
      <c r="G66" s="2367" t="s">
        <v>1929</v>
      </c>
      <c r="H66" s="2368"/>
      <c r="I66" s="2511"/>
      <c r="J66" s="793">
        <f>IF(E66="",F66,IF(E66&lt;0,0,E66))</f>
        <v>3</v>
      </c>
      <c r="K66" s="819"/>
      <c r="L66" s="819"/>
      <c r="M66" s="819"/>
      <c r="N66" s="819"/>
      <c r="O66" s="819"/>
      <c r="P66" s="822"/>
      <c r="S66" s="13"/>
      <c r="U66" s="13"/>
    </row>
    <row r="67" spans="1:21" ht="22.5" customHeight="1" x14ac:dyDescent="0.25">
      <c r="A67" s="818"/>
      <c r="B67" s="1195" t="str">
        <f>'Forklift INPUTS'!B93</f>
        <v>Price of delivered hydrogen ($/kg)</v>
      </c>
      <c r="C67" s="1196"/>
      <c r="D67" s="1197"/>
      <c r="E67" s="1952"/>
      <c r="F67" s="285">
        <v>30</v>
      </c>
      <c r="G67" s="2370"/>
      <c r="H67" s="2371"/>
      <c r="I67" s="2512"/>
      <c r="J67" s="793">
        <f>IF(E67="",J66+F67-F66,IF(E67&lt;J66,J66,E67))</f>
        <v>30</v>
      </c>
      <c r="K67" s="819"/>
      <c r="L67" s="819"/>
      <c r="M67" s="819"/>
      <c r="N67" s="819"/>
      <c r="O67" s="819"/>
      <c r="P67" s="822"/>
      <c r="S67" s="13"/>
      <c r="U67" s="13"/>
    </row>
    <row r="68" spans="1:21" ht="22.5" customHeight="1" x14ac:dyDescent="0.25">
      <c r="A68" s="818"/>
      <c r="B68" s="1195" t="s">
        <v>1584</v>
      </c>
      <c r="C68" s="1196"/>
      <c r="D68" s="1197"/>
      <c r="E68" s="1953"/>
      <c r="F68" s="388">
        <v>6.5000000000000002E-2</v>
      </c>
      <c r="G68" s="2370"/>
      <c r="H68" s="2371"/>
      <c r="I68" s="2512"/>
      <c r="J68" s="844">
        <f>IF(E68="",F68,IF(E68&lt;0,0,E68))</f>
        <v>6.5000000000000002E-2</v>
      </c>
      <c r="K68" s="819"/>
      <c r="L68" s="819"/>
      <c r="M68" s="819"/>
      <c r="N68" s="819"/>
      <c r="O68" s="819"/>
      <c r="P68" s="822"/>
      <c r="S68" s="13"/>
      <c r="U68" s="13"/>
    </row>
    <row r="69" spans="1:21" ht="22.5" customHeight="1" x14ac:dyDescent="0.25">
      <c r="A69" s="818"/>
      <c r="B69" s="2391" t="s">
        <v>1970</v>
      </c>
      <c r="C69" s="2392"/>
      <c r="D69" s="2393"/>
      <c r="E69" s="1954"/>
      <c r="F69" s="1248">
        <f>F67*$D$606</f>
        <v>468.00000000000006</v>
      </c>
      <c r="G69" s="2370"/>
      <c r="H69" s="2371"/>
      <c r="I69" s="2512"/>
      <c r="J69" s="1250">
        <f>IF(E69="",J67*$E$606,IF(E69&lt;0,0,E69))</f>
        <v>468.00000000000006</v>
      </c>
      <c r="K69" s="819"/>
      <c r="L69" s="819"/>
      <c r="M69" s="819"/>
      <c r="N69" s="819"/>
      <c r="O69" s="819"/>
      <c r="P69" s="822"/>
      <c r="S69" s="13"/>
      <c r="U69" s="13"/>
    </row>
    <row r="70" spans="1:21" ht="22.5" customHeight="1" x14ac:dyDescent="0.25">
      <c r="A70" s="818"/>
      <c r="B70" s="2391" t="s">
        <v>2086</v>
      </c>
      <c r="C70" s="2392"/>
      <c r="D70" s="2393"/>
      <c r="E70" s="1954"/>
      <c r="F70" s="1248">
        <f>F67*$D$607</f>
        <v>140.39999999999998</v>
      </c>
      <c r="G70" s="2373"/>
      <c r="H70" s="2374"/>
      <c r="I70" s="2513"/>
      <c r="J70" s="1250">
        <f>IF(E70="",J67*$E$607,IF(E70&lt;0,0,E70))</f>
        <v>140.39999999999998</v>
      </c>
      <c r="K70" s="824"/>
      <c r="L70" s="819"/>
      <c r="M70" s="819"/>
      <c r="N70" s="819"/>
      <c r="O70" s="819"/>
      <c r="P70" s="822"/>
      <c r="S70" s="13"/>
      <c r="U70" s="13"/>
    </row>
    <row r="71" spans="1:21" s="814" customFormat="1" ht="22.5" customHeight="1" x14ac:dyDescent="0.25">
      <c r="A71" s="818"/>
      <c r="B71" s="833"/>
      <c r="J71" s="829"/>
      <c r="K71" s="819"/>
      <c r="L71" s="819"/>
      <c r="M71" s="819"/>
      <c r="N71" s="819"/>
      <c r="O71" s="819"/>
      <c r="P71" s="819"/>
    </row>
    <row r="72" spans="1:21" ht="18.75" x14ac:dyDescent="0.25">
      <c r="A72" s="818"/>
      <c r="B72" s="2388" t="s">
        <v>1973</v>
      </c>
      <c r="C72" s="2389"/>
      <c r="D72" s="2389"/>
      <c r="E72" s="2389"/>
      <c r="F72" s="2389"/>
      <c r="G72" s="2389"/>
      <c r="H72" s="2389"/>
      <c r="I72" s="2389"/>
      <c r="J72" s="2390"/>
      <c r="K72" s="819"/>
      <c r="L72" s="819"/>
      <c r="M72" s="819"/>
      <c r="N72" s="819"/>
      <c r="O72" s="819"/>
      <c r="P72" s="822"/>
      <c r="S72" s="13"/>
      <c r="U72" s="13"/>
    </row>
    <row r="73" spans="1:21" ht="16.5" x14ac:dyDescent="0.25">
      <c r="A73" s="818"/>
      <c r="B73" s="841" t="s">
        <v>1873</v>
      </c>
      <c r="C73" s="781"/>
      <c r="D73" s="781"/>
      <c r="E73" s="781"/>
      <c r="F73" s="781"/>
      <c r="G73" s="782"/>
      <c r="H73" s="782"/>
      <c r="I73" s="782"/>
      <c r="J73" s="842"/>
      <c r="K73" s="819"/>
      <c r="L73" s="819"/>
      <c r="M73" s="819"/>
      <c r="N73" s="819"/>
      <c r="O73" s="819"/>
      <c r="P73" s="822"/>
      <c r="S73" s="13"/>
      <c r="U73" s="13"/>
    </row>
    <row r="74" spans="1:21" ht="16.5" x14ac:dyDescent="0.25">
      <c r="A74" s="818"/>
      <c r="B74" s="2394" t="s">
        <v>1808</v>
      </c>
      <c r="C74" s="2395"/>
      <c r="D74" s="2396"/>
      <c r="E74" s="1246" t="str">
        <f>'Forklift INPUTS'!E109</f>
        <v>User-specified value</v>
      </c>
      <c r="F74" s="1247" t="str">
        <f>'Forklift INPUTS'!F109</f>
        <v>Default</v>
      </c>
      <c r="G74" s="2496" t="str">
        <f>'Forklift INPUTS'!G109</f>
        <v>Notes</v>
      </c>
      <c r="H74" s="2497"/>
      <c r="I74" s="2498"/>
      <c r="J74" s="843" t="str">
        <f>'Forklift INPUTS'!J109</f>
        <v>Value used in model</v>
      </c>
      <c r="K74" s="819"/>
      <c r="L74" s="819"/>
      <c r="M74" s="819"/>
      <c r="N74" s="819"/>
      <c r="O74" s="819"/>
      <c r="P74" s="822"/>
      <c r="S74" s="13"/>
      <c r="U74" s="13"/>
    </row>
    <row r="75" spans="1:21" ht="15.75" x14ac:dyDescent="0.25">
      <c r="A75" s="818"/>
      <c r="B75" s="868" t="s">
        <v>1993</v>
      </c>
      <c r="C75" s="869"/>
      <c r="D75" s="870"/>
      <c r="E75" s="1955"/>
      <c r="F75" s="610">
        <f>4*1*1*90</f>
        <v>360</v>
      </c>
      <c r="G75" s="2335" t="s">
        <v>1987</v>
      </c>
      <c r="H75" s="2336"/>
      <c r="I75" s="2405"/>
      <c r="J75" s="845">
        <f>IF(E75="",F75,IF(E75&lt;0,0,E75))</f>
        <v>360</v>
      </c>
      <c r="K75" s="819"/>
      <c r="L75" s="819"/>
      <c r="M75" s="819"/>
      <c r="N75" s="819"/>
      <c r="O75" s="819"/>
      <c r="P75" s="822"/>
      <c r="S75" s="13"/>
      <c r="U75" s="13"/>
    </row>
    <row r="76" spans="1:21" ht="15.75" x14ac:dyDescent="0.25">
      <c r="A76" s="818"/>
      <c r="B76" s="868" t="s">
        <v>1994</v>
      </c>
      <c r="C76" s="869"/>
      <c r="D76" s="870"/>
      <c r="E76" s="1955"/>
      <c r="F76" s="610">
        <v>90</v>
      </c>
      <c r="G76" s="2337"/>
      <c r="H76" s="2338"/>
      <c r="I76" s="2406"/>
      <c r="J76" s="845">
        <f>IF(E76="",F76,IF(E76&lt;0,0,E76))</f>
        <v>90</v>
      </c>
      <c r="K76" s="819"/>
      <c r="L76" s="819"/>
      <c r="M76" s="819"/>
      <c r="N76" s="819"/>
      <c r="O76" s="819"/>
      <c r="P76" s="822"/>
      <c r="S76" s="13"/>
      <c r="U76" s="13"/>
    </row>
    <row r="77" spans="1:21" ht="15.75" x14ac:dyDescent="0.25">
      <c r="A77" s="818"/>
      <c r="B77" s="871" t="s">
        <v>2066</v>
      </c>
      <c r="C77" s="869"/>
      <c r="D77" s="870"/>
      <c r="E77" s="602" t="s">
        <v>1557</v>
      </c>
      <c r="F77" s="1251">
        <f>F75+F76</f>
        <v>450</v>
      </c>
      <c r="G77" s="2339"/>
      <c r="H77" s="2340"/>
      <c r="I77" s="2407"/>
      <c r="J77" s="1252">
        <f>J75+J76</f>
        <v>450</v>
      </c>
      <c r="K77" s="819"/>
      <c r="L77" s="819"/>
      <c r="M77" s="819"/>
      <c r="N77" s="819"/>
      <c r="O77" s="819"/>
      <c r="P77" s="822"/>
      <c r="S77" s="13"/>
      <c r="U77" s="13"/>
    </row>
    <row r="78" spans="1:21" s="819" customFormat="1" ht="52.5" customHeight="1" x14ac:dyDescent="0.25">
      <c r="A78" s="818"/>
      <c r="B78" s="826"/>
      <c r="J78" s="827"/>
    </row>
    <row r="79" spans="1:21" ht="14.45" customHeight="1" x14ac:dyDescent="0.25">
      <c r="A79" s="818"/>
      <c r="B79" s="2499" t="s">
        <v>1492</v>
      </c>
      <c r="C79" s="2500"/>
      <c r="D79" s="2500"/>
      <c r="E79" s="2500"/>
      <c r="F79" s="2500"/>
      <c r="G79" s="2500"/>
      <c r="H79" s="2500"/>
      <c r="I79" s="2500"/>
      <c r="J79" s="2501"/>
      <c r="K79" s="819"/>
      <c r="L79" s="819"/>
      <c r="M79" s="819"/>
      <c r="N79" s="819"/>
      <c r="O79" s="819"/>
      <c r="P79" s="822"/>
      <c r="S79" s="13"/>
      <c r="U79" s="13"/>
    </row>
    <row r="80" spans="1:21" ht="15" customHeight="1" x14ac:dyDescent="0.25">
      <c r="A80" s="818"/>
      <c r="B80" s="2502"/>
      <c r="C80" s="2503"/>
      <c r="D80" s="2503"/>
      <c r="E80" s="2503"/>
      <c r="F80" s="2503"/>
      <c r="G80" s="2503"/>
      <c r="H80" s="2503"/>
      <c r="I80" s="2503"/>
      <c r="J80" s="2504"/>
      <c r="K80" s="819"/>
      <c r="L80" s="819"/>
      <c r="M80" s="819"/>
      <c r="N80" s="819"/>
      <c r="O80" s="819"/>
      <c r="P80" s="822"/>
      <c r="S80" s="13"/>
      <c r="U80" s="13"/>
    </row>
    <row r="81" spans="1:21" s="121" customFormat="1" x14ac:dyDescent="0.25">
      <c r="A81" s="818"/>
      <c r="B81" s="835"/>
      <c r="J81" s="836"/>
      <c r="K81" s="819"/>
      <c r="L81" s="819"/>
      <c r="M81" s="819"/>
      <c r="N81" s="819"/>
      <c r="O81" s="819"/>
      <c r="P81" s="819"/>
    </row>
    <row r="82" spans="1:21" ht="18.75" x14ac:dyDescent="0.25">
      <c r="A82" s="818"/>
      <c r="B82" s="2388" t="str">
        <f>IF(AND($E$6=RIMS_lists!$C$1, $E$7=Lists!$C$4),"Step 9 is available for Gross Analysis only",  "Step 9 (For Gross Analysis) - Total Existing Operational Backup Power Fuel Cells in "&amp;State&amp;" at the beginning of 2015" )</f>
        <v>Step 9 (For Gross Analysis) - Total Existing Operational Backup Power Fuel Cells in &lt;Please select&gt; at the beginning of 2015</v>
      </c>
      <c r="C82" s="2389"/>
      <c r="D82" s="2389"/>
      <c r="E82" s="2389"/>
      <c r="F82" s="2389"/>
      <c r="G82" s="2389"/>
      <c r="H82" s="2389"/>
      <c r="I82" s="2389"/>
      <c r="J82" s="2390"/>
      <c r="K82" s="819"/>
      <c r="L82" s="819"/>
      <c r="M82" s="819"/>
      <c r="N82" s="819"/>
      <c r="O82" s="819"/>
      <c r="P82" s="822"/>
      <c r="S82" s="13"/>
      <c r="U82" s="13"/>
    </row>
    <row r="83" spans="1:21" ht="16.5" x14ac:dyDescent="0.25">
      <c r="A83" s="818"/>
      <c r="B83" s="2508" t="s">
        <v>1974</v>
      </c>
      <c r="C83" s="2509"/>
      <c r="D83" s="2510"/>
      <c r="E83" s="1242" t="str">
        <f>E$10</f>
        <v>User-specified value</v>
      </c>
      <c r="F83" s="1243" t="str">
        <f>F$10</f>
        <v>Default</v>
      </c>
      <c r="G83" s="2341" t="s">
        <v>451</v>
      </c>
      <c r="H83" s="2342"/>
      <c r="I83" s="2343"/>
      <c r="J83" s="795" t="str">
        <f>J$10</f>
        <v>Value used in model</v>
      </c>
      <c r="K83" s="819"/>
      <c r="L83" s="819"/>
      <c r="M83" s="819"/>
      <c r="N83" s="819"/>
      <c r="O83" s="819"/>
      <c r="P83" s="822"/>
      <c r="S83" s="13"/>
      <c r="U83" s="13"/>
    </row>
    <row r="84" spans="1:21" ht="45.75" customHeight="1" x14ac:dyDescent="0.25">
      <c r="A84" s="818"/>
      <c r="B84" s="2399" t="s">
        <v>1975</v>
      </c>
      <c r="C84" s="2400"/>
      <c r="D84" s="2401"/>
      <c r="E84" s="1941"/>
      <c r="F84" s="371">
        <v>0</v>
      </c>
      <c r="G84" s="2505" t="s">
        <v>1869</v>
      </c>
      <c r="H84" s="2506"/>
      <c r="I84" s="2507"/>
      <c r="J84" s="794">
        <f>IF(AND($E$6=RIMS_lists!$C$1,$E$7=Lists!$C$4),0,IF(E84&lt;0,0,IF(E84="",F84,E84)))</f>
        <v>0</v>
      </c>
      <c r="K84" s="819"/>
      <c r="L84" s="819"/>
      <c r="M84" s="819"/>
      <c r="N84" s="819"/>
      <c r="O84" s="819"/>
      <c r="P84" s="822"/>
      <c r="S84" s="13"/>
      <c r="U84" s="13"/>
    </row>
    <row r="85" spans="1:21" s="814" customFormat="1" ht="45" customHeight="1" x14ac:dyDescent="0.25">
      <c r="A85" s="818"/>
      <c r="B85" s="833"/>
      <c r="J85" s="829"/>
      <c r="K85" s="819"/>
      <c r="L85" s="819"/>
      <c r="M85" s="819"/>
      <c r="N85" s="819"/>
      <c r="O85" s="819"/>
      <c r="P85" s="819"/>
    </row>
    <row r="86" spans="1:21" ht="18.75" x14ac:dyDescent="0.25">
      <c r="A86" s="818"/>
      <c r="B86" s="2388" t="str">
        <f>IF(AND($E$6=RIMS_lists!$C$1, $E$7=Lists!$C$4),  "Step 10 (For Net Analysis) - Displaced Backup Power Technologies", "Step 10 is available for Net Analysis only")</f>
        <v>Step 10 is available for Net Analysis only</v>
      </c>
      <c r="C86" s="2389"/>
      <c r="D86" s="2389"/>
      <c r="E86" s="2389"/>
      <c r="F86" s="2389"/>
      <c r="G86" s="2389"/>
      <c r="H86" s="2389"/>
      <c r="I86" s="2389"/>
      <c r="J86" s="2390"/>
      <c r="K86" s="819"/>
      <c r="L86" s="819"/>
      <c r="M86" s="819"/>
      <c r="N86" s="819"/>
      <c r="O86" s="819"/>
      <c r="P86" s="822"/>
      <c r="S86" s="13"/>
      <c r="U86" s="13"/>
    </row>
    <row r="87" spans="1:21" ht="31.5" customHeight="1" x14ac:dyDescent="0.25">
      <c r="A87" s="818"/>
      <c r="B87" s="2344" t="s">
        <v>1976</v>
      </c>
      <c r="C87" s="2345"/>
      <c r="D87" s="2346"/>
      <c r="E87" s="1244" t="str">
        <f>E$10</f>
        <v>User-specified value</v>
      </c>
      <c r="F87" s="1245" t="str">
        <f>F$10</f>
        <v>Default</v>
      </c>
      <c r="G87" s="2341" t="s">
        <v>451</v>
      </c>
      <c r="H87" s="2342"/>
      <c r="I87" s="2343"/>
      <c r="J87" s="1165" t="str">
        <f>J$10</f>
        <v>Value used in model</v>
      </c>
      <c r="K87" s="819"/>
      <c r="L87" s="819"/>
      <c r="M87" s="819"/>
      <c r="N87" s="819"/>
      <c r="O87" s="819"/>
      <c r="P87" s="822"/>
      <c r="S87" s="13"/>
      <c r="U87" s="13"/>
    </row>
    <row r="88" spans="1:21" ht="16.5" customHeight="1" x14ac:dyDescent="0.25">
      <c r="A88" s="818"/>
      <c r="B88" s="2408" t="s">
        <v>1978</v>
      </c>
      <c r="C88" s="2409"/>
      <c r="D88" s="2409"/>
      <c r="E88" s="2414" t="str">
        <f>BuP_disp_def</f>
        <v>Use default alternative technology</v>
      </c>
      <c r="F88" s="2417" t="str">
        <f>IF(runtime&lt;=8, Lists!F13, Lists!F14)</f>
        <v>Diesel genset systems are displaced</v>
      </c>
      <c r="G88" s="2336" t="s">
        <v>1998</v>
      </c>
      <c r="H88" s="2336"/>
      <c r="I88" s="2336"/>
      <c r="J88" s="2402" t="str">
        <f>IF(E88=Lists!F12, F88, E88)</f>
        <v>Diesel genset systems are displaced</v>
      </c>
      <c r="K88" s="819"/>
      <c r="L88" s="819"/>
      <c r="M88" s="819"/>
      <c r="N88" s="819"/>
      <c r="O88" s="819"/>
      <c r="P88" s="822"/>
      <c r="S88" s="13"/>
      <c r="U88" s="13"/>
    </row>
    <row r="89" spans="1:21" ht="16.5" customHeight="1" x14ac:dyDescent="0.25">
      <c r="A89" s="818"/>
      <c r="B89" s="2410"/>
      <c r="C89" s="2411"/>
      <c r="D89" s="2411"/>
      <c r="E89" s="2415"/>
      <c r="F89" s="2418"/>
      <c r="G89" s="2338"/>
      <c r="H89" s="2338"/>
      <c r="I89" s="2338"/>
      <c r="J89" s="2403"/>
      <c r="K89" s="819"/>
      <c r="L89" s="819"/>
      <c r="M89" s="819"/>
      <c r="N89" s="819"/>
      <c r="O89" s="819"/>
      <c r="P89" s="822"/>
      <c r="S89" s="13"/>
      <c r="U89" s="13"/>
    </row>
    <row r="90" spans="1:21" ht="15.75" customHeight="1" x14ac:dyDescent="0.25">
      <c r="A90" s="818"/>
      <c r="B90" s="2412"/>
      <c r="C90" s="2413"/>
      <c r="D90" s="2413"/>
      <c r="E90" s="2416"/>
      <c r="F90" s="2419"/>
      <c r="G90" s="2338"/>
      <c r="H90" s="2338"/>
      <c r="I90" s="2338"/>
      <c r="J90" s="2404"/>
      <c r="K90" s="819"/>
      <c r="L90" s="819"/>
      <c r="M90" s="819"/>
      <c r="N90" s="819"/>
      <c r="O90" s="819"/>
      <c r="P90" s="822"/>
      <c r="S90" s="13"/>
      <c r="U90" s="13"/>
    </row>
    <row r="91" spans="1:21" ht="33" customHeight="1" x14ac:dyDescent="0.25">
      <c r="A91" s="818"/>
      <c r="B91" s="2349" t="str">
        <f>IF(E88=Lists!F15, "What percentage of sites would have used a battery-system for backup? (Gensets are assumed to comprise remaining %)", "This question is available only if a mix of each technology is selected in the dropdown above.")</f>
        <v>This question is available only if a mix of each technology is selected in the dropdown above.</v>
      </c>
      <c r="C91" s="2350"/>
      <c r="D91" s="2351"/>
      <c r="E91" s="1956"/>
      <c r="F91" s="601" t="s">
        <v>1680</v>
      </c>
      <c r="G91" s="2338"/>
      <c r="H91" s="2338"/>
      <c r="I91" s="2338"/>
      <c r="J91" s="846" t="str">
        <f>IF(J88=Lists!F13, "100% Batteries", IF(J88=Lists!F14, "100% Gensets", IF(AND(J88=Lists!F15, E91=""), "50% Batteries;             50% Gensets", E91*100&amp;"% Batteries;        "&amp;(1-E91)*100&amp;"% Gensets")))</f>
        <v>100% Gensets</v>
      </c>
      <c r="K91" s="819"/>
      <c r="L91" s="819"/>
      <c r="M91" s="819"/>
      <c r="N91" s="819"/>
      <c r="O91" s="819"/>
      <c r="P91" s="822"/>
      <c r="S91" s="13"/>
      <c r="U91" s="13"/>
    </row>
    <row r="92" spans="1:21" ht="31.5" customHeight="1" x14ac:dyDescent="0.25">
      <c r="A92" s="818"/>
      <c r="B92" s="2344" t="s">
        <v>1911</v>
      </c>
      <c r="C92" s="2345"/>
      <c r="D92" s="2346"/>
      <c r="E92" s="1244" t="str">
        <f>E$10</f>
        <v>User-specified value</v>
      </c>
      <c r="F92" s="1245" t="str">
        <f>F$10</f>
        <v>Default</v>
      </c>
      <c r="G92" s="2338"/>
      <c r="H92" s="2338"/>
      <c r="I92" s="2338"/>
      <c r="J92" s="1165" t="str">
        <f>J$10</f>
        <v>Value used in model</v>
      </c>
      <c r="K92" s="819"/>
      <c r="L92" s="819"/>
      <c r="M92" s="819"/>
      <c r="N92" s="819"/>
      <c r="O92" s="819"/>
      <c r="P92" s="822"/>
      <c r="S92" s="13"/>
      <c r="U92" s="13"/>
    </row>
    <row r="93" spans="1:21" ht="33.75" customHeight="1" x14ac:dyDescent="0.25">
      <c r="A93" s="818"/>
      <c r="B93" s="2347" t="s">
        <v>1745</v>
      </c>
      <c r="C93" s="2348"/>
      <c r="D93" s="2348"/>
      <c r="E93" s="1957"/>
      <c r="F93" s="604">
        <f>'Forklift INPUTS'!F126</f>
        <v>0.65</v>
      </c>
      <c r="G93" s="2338"/>
      <c r="H93" s="2338"/>
      <c r="I93" s="2338"/>
      <c r="J93" s="847">
        <f>IF(OR($E$6&lt;&gt;RIMS_lists!$C$1,$E$7&lt;&gt;Lists!$C$4,$J$88=Lists!$F$14),0,IF(E93&lt;0,0,IF(E93&gt;1,1,IF(E93="",F93,E93))))</f>
        <v>0</v>
      </c>
      <c r="K93" s="819"/>
      <c r="L93" s="819"/>
      <c r="M93" s="819"/>
      <c r="N93" s="819"/>
      <c r="O93" s="819"/>
      <c r="P93" s="822"/>
      <c r="S93" s="13"/>
      <c r="U93" s="13"/>
    </row>
    <row r="94" spans="1:21" ht="32.25" customHeight="1" x14ac:dyDescent="0.25">
      <c r="A94" s="818"/>
      <c r="B94" s="2347" t="str">
        <f>IF(SUM($I$28:$I$33)=0,"This item is only relevant if fuel cell units are being exported from the United States to a foreign market","What percentage of the Batteries for backup power installed outside the United States are manufactured in the US ?")</f>
        <v>This item is only relevant if fuel cell units are being exported from the United States to a foreign market</v>
      </c>
      <c r="C94" s="2348"/>
      <c r="D94" s="2348"/>
      <c r="E94" s="1957"/>
      <c r="F94" s="604">
        <f>'Forklift INPUTS'!F127</f>
        <v>0</v>
      </c>
      <c r="G94" s="2338"/>
      <c r="H94" s="2338"/>
      <c r="I94" s="2338"/>
      <c r="J94" s="847">
        <f>IF(OR($E$6&lt;&gt;RIMS_lists!$C$1,$E$7&lt;&gt;Lists!$C$4,SUM($I$28:$I$33)=0,$J$88=Lists!$F$14),0,IF(E94&lt;0,0,IF(E94&gt;1,1,IF(E94="",F94,E94))))</f>
        <v>0</v>
      </c>
      <c r="K94" s="819"/>
      <c r="L94" s="819"/>
      <c r="M94" s="819"/>
      <c r="N94" s="819"/>
      <c r="O94" s="819"/>
      <c r="P94" s="822"/>
      <c r="S94" s="13"/>
      <c r="U94" s="13"/>
    </row>
    <row r="95" spans="1:21" ht="30.75" customHeight="1" x14ac:dyDescent="0.25">
      <c r="A95" s="818"/>
      <c r="B95" s="2435" t="s">
        <v>1746</v>
      </c>
      <c r="C95" s="2436"/>
      <c r="D95" s="2437"/>
      <c r="E95" s="1957"/>
      <c r="F95" s="611">
        <f>MROUND((11.1-5.6)/13.1, 0.005)</f>
        <v>0.42</v>
      </c>
      <c r="G95" s="2338"/>
      <c r="H95" s="2338"/>
      <c r="I95" s="2338"/>
      <c r="J95" s="847">
        <f>IF(OR($E$6&lt;&gt;RIMS_lists!$C$1,$E$7&lt;&gt;Lists!$C$4,$J$88=Lists!$F$13),0,IF(E95&lt;0,0,IF(E95&gt;1,1,IF(E95="",F95,E95))))</f>
        <v>0</v>
      </c>
      <c r="K95" s="819"/>
      <c r="L95" s="819"/>
      <c r="M95" s="819"/>
      <c r="N95" s="819"/>
      <c r="O95" s="819"/>
      <c r="P95" s="822"/>
      <c r="S95" s="13"/>
      <c r="U95" s="13"/>
    </row>
    <row r="96" spans="1:21" ht="32.25" customHeight="1" x14ac:dyDescent="0.25">
      <c r="A96" s="818"/>
      <c r="B96" s="2435" t="str">
        <f>IF(SUM($I$28:$I$33)=0,"This item is only relevant if fuel cell units are being exported from the United States to a foreign market","What percentage of Gensets for backup power installed outside the United States are manufactured in the US ?")</f>
        <v>This item is only relevant if fuel cell units are being exported from the United States to a foreign market</v>
      </c>
      <c r="C96" s="2436"/>
      <c r="D96" s="2436"/>
      <c r="E96" s="1957"/>
      <c r="F96" s="611">
        <v>0</v>
      </c>
      <c r="G96" s="2340"/>
      <c r="H96" s="2340"/>
      <c r="I96" s="2340"/>
      <c r="J96" s="847">
        <f>IF(OR($E$6&lt;&gt;RIMS_lists!$C$1,$E$7&lt;&gt;Lists!$C$4,SUM($I$28:$I$33)=0,$J$88=Lists!$F$13),0,IF(E96&lt;0,0,IF(E96&gt;1,1,IF(E96="",F96,E96))))</f>
        <v>0</v>
      </c>
      <c r="K96" s="819"/>
      <c r="L96" s="819"/>
      <c r="M96" s="819"/>
      <c r="N96" s="819"/>
      <c r="O96" s="819"/>
      <c r="P96" s="822"/>
      <c r="S96" s="13"/>
      <c r="U96" s="13"/>
    </row>
    <row r="97" spans="1:21" ht="33" customHeight="1" x14ac:dyDescent="0.25">
      <c r="A97" s="818"/>
      <c r="B97" s="2438" t="s">
        <v>1885</v>
      </c>
      <c r="C97" s="2439"/>
      <c r="D97" s="2440"/>
      <c r="E97" s="1244" t="str">
        <f>E$10</f>
        <v>User-specified value</v>
      </c>
      <c r="F97" s="1245" t="str">
        <f>F$10</f>
        <v>Default</v>
      </c>
      <c r="G97" s="2441" t="s">
        <v>451</v>
      </c>
      <c r="H97" s="2442"/>
      <c r="I97" s="2443"/>
      <c r="J97" s="1165" t="str">
        <f>J$10</f>
        <v>Value used in model</v>
      </c>
      <c r="K97" s="819"/>
      <c r="L97" s="819"/>
      <c r="M97" s="819"/>
      <c r="N97" s="819"/>
      <c r="O97" s="819"/>
      <c r="P97" s="822"/>
      <c r="S97" s="13"/>
      <c r="U97" s="13"/>
    </row>
    <row r="98" spans="1:21" ht="15.75" x14ac:dyDescent="0.25">
      <c r="A98" s="818"/>
      <c r="B98" s="860" t="s">
        <v>1919</v>
      </c>
      <c r="C98" s="861"/>
      <c r="D98" s="862"/>
      <c r="E98" s="1958"/>
      <c r="F98" s="1248">
        <f>J12*1000*runtime*0.17</f>
        <v>24480</v>
      </c>
      <c r="G98" s="2423" t="s">
        <v>1748</v>
      </c>
      <c r="H98" s="2424"/>
      <c r="I98" s="2425"/>
      <c r="J98" s="1255">
        <f>IF(OR($E$6&lt;&gt;RIMS_lists!$C$1,$E$7&lt;&gt;Lists!$C$4,$J$88=Lists!$F$14),0,IF(E98&lt;0,0,IF(E98="",F98,E98)))</f>
        <v>0</v>
      </c>
      <c r="K98" s="819"/>
      <c r="L98" s="819"/>
      <c r="M98" s="819"/>
      <c r="N98" s="819"/>
      <c r="O98" s="819"/>
      <c r="P98" s="822"/>
      <c r="S98" s="13"/>
      <c r="U98" s="13"/>
    </row>
    <row r="99" spans="1:21" ht="15.75" x14ac:dyDescent="0.25">
      <c r="A99" s="818"/>
      <c r="B99" s="860" t="s">
        <v>1918</v>
      </c>
      <c r="C99" s="861"/>
      <c r="D99" s="862"/>
      <c r="E99" s="1959"/>
      <c r="F99" s="1248">
        <f>MROUND(F98*D598, 50)</f>
        <v>1200</v>
      </c>
      <c r="G99" s="1164" t="s">
        <v>1945</v>
      </c>
      <c r="H99" s="1901"/>
      <c r="I99" s="1903"/>
      <c r="J99" s="1255">
        <f>IF(OR($E$6&lt;&gt;RIMS_lists!$C$1,$E$7&lt;&gt;Lists!$C$4,$J$88=Lists!$F$14),0,IF(E99&lt;0,0,IF(E99="",F99,E99)))</f>
        <v>0</v>
      </c>
      <c r="K99" s="819"/>
      <c r="L99" s="819"/>
      <c r="M99" s="819"/>
      <c r="N99" s="819"/>
      <c r="O99" s="819"/>
      <c r="P99" s="822"/>
      <c r="S99" s="13"/>
      <c r="U99" s="13"/>
    </row>
    <row r="100" spans="1:21" ht="15.75" x14ac:dyDescent="0.25">
      <c r="A100" s="818"/>
      <c r="B100" s="863" t="s">
        <v>1718</v>
      </c>
      <c r="C100" s="861"/>
      <c r="D100" s="862"/>
      <c r="E100" s="1960"/>
      <c r="F100" s="603">
        <v>0</v>
      </c>
      <c r="G100" s="2426" t="s">
        <v>1886</v>
      </c>
      <c r="H100" s="2427"/>
      <c r="I100" s="2428"/>
      <c r="J100" s="848">
        <f>IF(OR($E$6&lt;&gt;RIMS_lists!$C$1,$E$7&lt;&gt;Lists!$C$4,$J$88=Lists!$F$14),0,IF(E100&lt;0,0,IF(E100="",F100,E100)))</f>
        <v>0</v>
      </c>
      <c r="K100" s="819"/>
      <c r="L100" s="819"/>
      <c r="M100" s="819"/>
      <c r="N100" s="819"/>
      <c r="O100" s="819"/>
      <c r="P100" s="822"/>
      <c r="S100" s="13"/>
      <c r="U100" s="13"/>
    </row>
    <row r="101" spans="1:21" ht="15.75" x14ac:dyDescent="0.25">
      <c r="A101" s="818"/>
      <c r="B101" s="863" t="s">
        <v>1685</v>
      </c>
      <c r="C101" s="861"/>
      <c r="D101" s="862"/>
      <c r="E101" s="1960"/>
      <c r="F101" s="603">
        <v>0</v>
      </c>
      <c r="G101" s="2429"/>
      <c r="H101" s="2430"/>
      <c r="I101" s="2431"/>
      <c r="J101" s="848">
        <f>IF(OR($E$6&lt;&gt;RIMS_lists!$C$1,$E$7&lt;&gt;Lists!$C$4,$J$88=Lists!$F$14),0,IF(E101&lt;0,0,IF(E101="",F101,E101)))</f>
        <v>0</v>
      </c>
      <c r="K101" s="819"/>
      <c r="L101" s="819"/>
      <c r="M101" s="819"/>
      <c r="N101" s="819"/>
      <c r="O101" s="819"/>
      <c r="P101" s="822"/>
      <c r="S101" s="13"/>
      <c r="U101" s="13"/>
    </row>
    <row r="102" spans="1:21" ht="15.75" x14ac:dyDescent="0.25">
      <c r="A102" s="818"/>
      <c r="B102" s="863" t="s">
        <v>1796</v>
      </c>
      <c r="C102" s="861"/>
      <c r="D102" s="862"/>
      <c r="E102" s="1960"/>
      <c r="F102" s="603">
        <v>0</v>
      </c>
      <c r="G102" s="2429"/>
      <c r="H102" s="2430"/>
      <c r="I102" s="2431"/>
      <c r="J102" s="848">
        <f>IF(OR($E$6&lt;&gt;RIMS_lists!$C$1,$E$7&lt;&gt;Lists!$C$4,$J$88=Lists!$F$14),0,IF(E102&lt;0,0,IF(E102="",F102,E102)))</f>
        <v>0</v>
      </c>
      <c r="K102" s="819"/>
      <c r="L102" s="819"/>
      <c r="M102" s="819"/>
      <c r="N102" s="819"/>
      <c r="O102" s="819"/>
      <c r="P102" s="822"/>
      <c r="S102" s="13"/>
      <c r="U102" s="13"/>
    </row>
    <row r="103" spans="1:21" ht="15.75" x14ac:dyDescent="0.25">
      <c r="A103" s="818"/>
      <c r="B103" s="860" t="s">
        <v>1801</v>
      </c>
      <c r="C103" s="861"/>
      <c r="D103" s="862"/>
      <c r="E103" s="602" t="s">
        <v>1557</v>
      </c>
      <c r="F103" s="1253">
        <v>0</v>
      </c>
      <c r="G103" s="2432"/>
      <c r="H103" s="2433"/>
      <c r="I103" s="2434"/>
      <c r="J103" s="1254">
        <f>IF(OR($E$6&lt;&gt;RIMS_lists!$C$1,$E$7&lt;&gt;Lists!$C$4),0,SUM(J100:J102))</f>
        <v>0</v>
      </c>
      <c r="K103" s="819"/>
      <c r="L103" s="819"/>
      <c r="M103" s="819"/>
      <c r="N103" s="819"/>
      <c r="O103" s="819"/>
      <c r="P103" s="822"/>
      <c r="S103" s="13"/>
      <c r="U103" s="13"/>
    </row>
    <row r="104" spans="1:21" ht="15.75" x14ac:dyDescent="0.25">
      <c r="A104" s="818"/>
      <c r="B104" s="863" t="s">
        <v>1742</v>
      </c>
      <c r="C104" s="861"/>
      <c r="D104" s="862"/>
      <c r="E104" s="1961"/>
      <c r="F104" s="1359">
        <f>'Forklift INPUTS'!F145</f>
        <v>9.5000000000000001E-2</v>
      </c>
      <c r="G104" s="2426" t="s">
        <v>1910</v>
      </c>
      <c r="H104" s="2427"/>
      <c r="I104" s="2428"/>
      <c r="J104" s="849">
        <f>IF(OR($E$6&lt;&gt;RIMS_lists!$C$1,$E$7&lt;&gt;Lists!$C$4,$J$88=Lists!$F$14),0,IF(E104&lt;0,0,IF(E104="",F104,E104)))</f>
        <v>0</v>
      </c>
      <c r="K104" s="819"/>
      <c r="L104" s="819"/>
      <c r="M104" s="819"/>
      <c r="N104" s="819"/>
      <c r="O104" s="819"/>
      <c r="P104" s="822"/>
      <c r="S104" s="13"/>
      <c r="U104" s="13"/>
    </row>
    <row r="105" spans="1:21" ht="15.75" x14ac:dyDescent="0.25">
      <c r="A105" s="818"/>
      <c r="B105" s="863" t="s">
        <v>1682</v>
      </c>
      <c r="C105" s="861"/>
      <c r="D105" s="862"/>
      <c r="E105" s="1962"/>
      <c r="F105" s="609">
        <f>J12/0.72</f>
        <v>4.166666666666667</v>
      </c>
      <c r="G105" s="2429"/>
      <c r="H105" s="2430"/>
      <c r="I105" s="2431"/>
      <c r="J105" s="850">
        <f>IF(OR($E$6&lt;&gt;RIMS_lists!$C$1,$E$7&lt;&gt;Lists!$C$4,$J$88=Lists!$F$14),0,IF(E105&lt;0,0,IF(E105="",F105,E105)))</f>
        <v>0</v>
      </c>
      <c r="K105" s="819"/>
      <c r="L105" s="819"/>
      <c r="M105" s="819"/>
      <c r="N105" s="819"/>
      <c r="O105" s="819"/>
      <c r="P105" s="822"/>
      <c r="S105" s="13"/>
      <c r="U105" s="13"/>
    </row>
    <row r="106" spans="1:21" ht="15.75" x14ac:dyDescent="0.25">
      <c r="A106" s="818"/>
      <c r="B106" s="860" t="s">
        <v>1913</v>
      </c>
      <c r="C106" s="861"/>
      <c r="D106" s="862"/>
      <c r="E106" s="602" t="s">
        <v>1557</v>
      </c>
      <c r="F106" s="1248">
        <f>J14*F104*F105</f>
        <v>7.916666666666667</v>
      </c>
      <c r="G106" s="2432"/>
      <c r="H106" s="2433"/>
      <c r="I106" s="2434"/>
      <c r="J106" s="1255">
        <f>IF(OR($E$6&lt;&gt;RIMS_lists!$C$1,$E$7&lt;&gt;Lists!$C$4,$J$88=Lists!$F$14),0,annualusage*J104*J105)</f>
        <v>0</v>
      </c>
      <c r="K106" s="819"/>
      <c r="L106" s="819"/>
      <c r="M106" s="819"/>
      <c r="N106" s="819"/>
      <c r="O106" s="819"/>
      <c r="P106" s="822"/>
      <c r="S106" s="13"/>
      <c r="U106" s="13"/>
    </row>
    <row r="107" spans="1:21" ht="15.75" x14ac:dyDescent="0.25">
      <c r="A107" s="818"/>
      <c r="B107" s="863" t="s">
        <v>1797</v>
      </c>
      <c r="C107" s="861"/>
      <c r="D107" s="862"/>
      <c r="E107" s="1960"/>
      <c r="F107" s="605">
        <f>4*1*4*90</f>
        <v>1440</v>
      </c>
      <c r="G107" s="2335" t="s">
        <v>1986</v>
      </c>
      <c r="H107" s="2336"/>
      <c r="I107" s="2405"/>
      <c r="J107" s="848">
        <f>IF(OR($E$6&lt;&gt;RIMS_lists!$C$1,$E$7&lt;&gt;Lists!$C$4,$J$88=Lists!$F$14),0,IF(E107&lt;0,0,IF(E107="",F107,E107)))</f>
        <v>0</v>
      </c>
      <c r="K107" s="819"/>
      <c r="L107" s="819"/>
      <c r="M107" s="819"/>
      <c r="N107" s="819"/>
      <c r="O107" s="819"/>
      <c r="P107" s="822"/>
      <c r="S107" s="13"/>
      <c r="U107" s="13"/>
    </row>
    <row r="108" spans="1:21" ht="15.75" customHeight="1" x14ac:dyDescent="0.25">
      <c r="A108" s="818"/>
      <c r="B108" s="863" t="s">
        <v>1798</v>
      </c>
      <c r="C108" s="861"/>
      <c r="D108" s="862"/>
      <c r="E108" s="1960"/>
      <c r="F108" s="605">
        <f>0.5*1*4*90</f>
        <v>180</v>
      </c>
      <c r="G108" s="2337"/>
      <c r="H108" s="2338"/>
      <c r="I108" s="2406"/>
      <c r="J108" s="848">
        <f>IF(OR($E$6&lt;&gt;RIMS_lists!$C$1,$E$7&lt;&gt;Lists!$C$4,$J$88=Lists!$F$14),0,IF(E108&lt;0,0,IF(E108="",F108,E108)))</f>
        <v>0</v>
      </c>
      <c r="K108" s="819"/>
      <c r="L108" s="819"/>
      <c r="M108" s="819"/>
      <c r="N108" s="819"/>
      <c r="O108" s="819"/>
      <c r="P108" s="822"/>
      <c r="S108" s="13"/>
      <c r="U108" s="13"/>
    </row>
    <row r="109" spans="1:21" ht="32.25" customHeight="1" x14ac:dyDescent="0.25">
      <c r="A109" s="818"/>
      <c r="B109" s="2453" t="s">
        <v>1979</v>
      </c>
      <c r="C109" s="2454"/>
      <c r="D109" s="2455"/>
      <c r="E109" s="602" t="s">
        <v>1557</v>
      </c>
      <c r="F109" s="1248">
        <f>F107+F108</f>
        <v>1620</v>
      </c>
      <c r="G109" s="2447"/>
      <c r="H109" s="2448"/>
      <c r="I109" s="2449"/>
      <c r="J109" s="1256">
        <f>IF(OR($E$6&lt;&gt;RIMS_lists!$C$1,$E$7&lt;&gt;Lists!$C$4,$J$88=Lists!$F$14),0,J107+J108)</f>
        <v>0</v>
      </c>
      <c r="K109" s="819"/>
      <c r="L109" s="819"/>
      <c r="M109" s="819"/>
      <c r="N109" s="819"/>
      <c r="O109" s="819"/>
      <c r="P109" s="822"/>
      <c r="S109" s="13"/>
      <c r="U109" s="13"/>
    </row>
    <row r="110" spans="1:21" ht="33" customHeight="1" x14ac:dyDescent="0.25">
      <c r="A110" s="818"/>
      <c r="B110" s="2420" t="s">
        <v>1927</v>
      </c>
      <c r="C110" s="2421"/>
      <c r="D110" s="2422"/>
      <c r="E110" s="1244" t="str">
        <f>E$10</f>
        <v>User-specified value</v>
      </c>
      <c r="F110" s="1245" t="str">
        <f>F$10</f>
        <v>Default</v>
      </c>
      <c r="G110" s="2341" t="s">
        <v>451</v>
      </c>
      <c r="H110" s="2342"/>
      <c r="I110" s="2343"/>
      <c r="J110" s="1165" t="str">
        <f>J$10</f>
        <v>Value used in model</v>
      </c>
      <c r="K110" s="819"/>
      <c r="L110" s="819"/>
      <c r="M110" s="819"/>
      <c r="N110" s="819"/>
      <c r="O110" s="819"/>
      <c r="P110" s="822"/>
    </row>
    <row r="111" spans="1:21" ht="15.75" x14ac:dyDescent="0.25">
      <c r="A111" s="818"/>
      <c r="B111" s="864" t="s">
        <v>1947</v>
      </c>
      <c r="C111" s="865"/>
      <c r="D111" s="866"/>
      <c r="E111" s="1960"/>
      <c r="F111" s="1248">
        <f>IF(avgSize&lt;10, 12500, 20000)</f>
        <v>12500</v>
      </c>
      <c r="G111" s="2329" t="s">
        <v>1951</v>
      </c>
      <c r="H111" s="2330"/>
      <c r="I111" s="2331"/>
      <c r="J111" s="1254">
        <f>IF(OR($E$6&lt;&gt;RIMS_lists!$C$1,$E$7&lt;&gt;Lists!$C$4,$J$88=Lists!$F$13),0,IF(E111&lt;0,0,IF(E111="",F111,E111)))</f>
        <v>0</v>
      </c>
      <c r="K111" s="819"/>
      <c r="L111" s="819"/>
      <c r="M111" s="819"/>
      <c r="N111" s="819"/>
      <c r="O111" s="819"/>
      <c r="P111" s="822"/>
    </row>
    <row r="112" spans="1:21" ht="15.75" x14ac:dyDescent="0.25">
      <c r="A112" s="818"/>
      <c r="B112" s="864" t="s">
        <v>1946</v>
      </c>
      <c r="C112" s="865"/>
      <c r="D112" s="866"/>
      <c r="E112" s="1960"/>
      <c r="F112" s="1248">
        <f>MROUND(F111*D598, 50)</f>
        <v>650</v>
      </c>
      <c r="G112" s="1164" t="str">
        <f>G99</f>
        <v>Assumes 5% of retail price. See user guide for additional information.</v>
      </c>
      <c r="H112" s="976"/>
      <c r="I112" s="977"/>
      <c r="J112" s="1254">
        <f>IF(OR($E$6&lt;&gt;RIMS_lists!$C$1,$E$7&lt;&gt;Lists!$C$4,$J$88=Lists!$F$13),0,IF(E112&lt;0,0,IF(E112="",F112,E112)))</f>
        <v>0</v>
      </c>
      <c r="K112" s="819"/>
      <c r="L112" s="819"/>
      <c r="M112" s="819"/>
      <c r="N112" s="819"/>
      <c r="O112" s="819"/>
      <c r="P112" s="822"/>
    </row>
    <row r="113" spans="1:16" ht="15.75" x14ac:dyDescent="0.25">
      <c r="A113" s="818"/>
      <c r="B113" s="864" t="s">
        <v>1983</v>
      </c>
      <c r="C113" s="865"/>
      <c r="D113" s="866"/>
      <c r="E113" s="1960"/>
      <c r="F113" s="1248">
        <f>F60</f>
        <v>0</v>
      </c>
      <c r="G113" s="1164" t="s">
        <v>1981</v>
      </c>
      <c r="H113" s="976"/>
      <c r="I113" s="977"/>
      <c r="J113" s="1254">
        <f>IF(OR($E$6&lt;&gt;RIMS_lists!$C$1,$E$7&lt;&gt;Lists!$C$4,$J$88=Lists!$F$13),0,IF(E113&lt;0,0,IF(E113="",F113,E113)))</f>
        <v>0</v>
      </c>
      <c r="K113" s="819"/>
      <c r="L113" s="819"/>
      <c r="M113" s="819"/>
      <c r="N113" s="819"/>
      <c r="O113" s="819"/>
      <c r="P113" s="822"/>
    </row>
    <row r="114" spans="1:16" ht="15.75" x14ac:dyDescent="0.25">
      <c r="A114" s="818"/>
      <c r="B114" s="867" t="s">
        <v>1813</v>
      </c>
      <c r="C114" s="865"/>
      <c r="D114" s="866"/>
      <c r="E114" s="1960"/>
      <c r="F114" s="1335">
        <v>0</v>
      </c>
      <c r="G114" s="2335" t="s">
        <v>1799</v>
      </c>
      <c r="H114" s="2336"/>
      <c r="I114" s="2405"/>
      <c r="J114" s="848">
        <f>IF(OR($E$6&lt;&gt;RIMS_lists!$C$1,$E$7&lt;&gt;Lists!$C$4,$J$88=Lists!$F$13),0,IF(E114&lt;0,0,IF(E114="",F114,E114)))</f>
        <v>0</v>
      </c>
      <c r="K114" s="819"/>
      <c r="L114" s="819"/>
      <c r="M114" s="819"/>
      <c r="N114" s="819"/>
      <c r="O114" s="819"/>
      <c r="P114" s="822"/>
    </row>
    <row r="115" spans="1:16" ht="15.75" x14ac:dyDescent="0.25">
      <c r="A115" s="818"/>
      <c r="B115" s="867" t="s">
        <v>1686</v>
      </c>
      <c r="C115" s="865"/>
      <c r="D115" s="866"/>
      <c r="E115" s="1960"/>
      <c r="F115" s="1335">
        <v>0</v>
      </c>
      <c r="G115" s="2337"/>
      <c r="H115" s="2338"/>
      <c r="I115" s="2406"/>
      <c r="J115" s="848">
        <f>IF(OR($E$6&lt;&gt;RIMS_lists!$C$1,$E$7&lt;&gt;Lists!$C$4,$J$88=Lists!$F$13),0,IF(E115&lt;0,0,IF(E115="",F115,E115)))</f>
        <v>0</v>
      </c>
      <c r="K115" s="819"/>
      <c r="L115" s="819"/>
      <c r="M115" s="819"/>
      <c r="N115" s="819"/>
      <c r="O115" s="819"/>
      <c r="P115" s="822"/>
    </row>
    <row r="116" spans="1:16" ht="15.75" x14ac:dyDescent="0.25">
      <c r="A116" s="818"/>
      <c r="B116" s="867" t="s">
        <v>1800</v>
      </c>
      <c r="C116" s="865"/>
      <c r="D116" s="866"/>
      <c r="E116" s="1960"/>
      <c r="F116" s="1335">
        <v>0</v>
      </c>
      <c r="G116" s="2337"/>
      <c r="H116" s="2338"/>
      <c r="I116" s="2406"/>
      <c r="J116" s="848">
        <f>IF(OR($E$6&lt;&gt;RIMS_lists!$C$1,$E$7&lt;&gt;Lists!$C$4,$J$88=Lists!$F$13),0,IF(E116&lt;0,0,IF(E116="",F116,E116)))</f>
        <v>0</v>
      </c>
      <c r="K116" s="819"/>
      <c r="L116" s="819"/>
      <c r="M116" s="819"/>
      <c r="N116" s="819"/>
      <c r="O116" s="819"/>
      <c r="P116" s="822"/>
    </row>
    <row r="117" spans="1:16" ht="15.75" x14ac:dyDescent="0.25">
      <c r="A117" s="818"/>
      <c r="B117" s="864" t="s">
        <v>1948</v>
      </c>
      <c r="C117" s="865"/>
      <c r="D117" s="866"/>
      <c r="E117" s="602" t="s">
        <v>1557</v>
      </c>
      <c r="F117" s="1336">
        <v>0</v>
      </c>
      <c r="G117" s="2339"/>
      <c r="H117" s="2340"/>
      <c r="I117" s="2407"/>
      <c r="J117" s="1254">
        <f>IF(OR($E$6&lt;&gt;RIMS_lists!$C$1,$E$7&lt;&gt;Lists!$C$4),0,SUM(J114:J116))</f>
        <v>0</v>
      </c>
      <c r="K117" s="819"/>
      <c r="L117" s="819"/>
      <c r="M117" s="819"/>
      <c r="N117" s="819"/>
      <c r="O117" s="819"/>
      <c r="P117" s="822"/>
    </row>
    <row r="118" spans="1:16" ht="15.75" x14ac:dyDescent="0.25">
      <c r="A118" s="818"/>
      <c r="B118" s="867" t="s">
        <v>1687</v>
      </c>
      <c r="C118" s="865"/>
      <c r="D118" s="866"/>
      <c r="E118" s="1961"/>
      <c r="F118" s="770">
        <v>3.4</v>
      </c>
      <c r="G118" s="2335" t="s">
        <v>1982</v>
      </c>
      <c r="H118" s="2336"/>
      <c r="I118" s="2336"/>
      <c r="J118" s="849">
        <f>IF(OR($E$6&lt;&gt;RIMS_lists!$C$1,$E$7&lt;&gt;Lists!$C$4,$J$88=Lists!$F$13),0,IF(E118&lt;0,0,IF(E118="",F118,E118)))</f>
        <v>0</v>
      </c>
      <c r="K118" s="819"/>
      <c r="L118" s="819"/>
      <c r="M118" s="819"/>
      <c r="N118" s="819"/>
      <c r="O118" s="819"/>
      <c r="P118" s="822"/>
    </row>
    <row r="119" spans="1:16" ht="15.75" customHeight="1" x14ac:dyDescent="0.25">
      <c r="A119" s="818"/>
      <c r="B119" s="867" t="s">
        <v>1683</v>
      </c>
      <c r="C119" s="865"/>
      <c r="D119" s="866"/>
      <c r="E119" s="1961"/>
      <c r="F119" s="770">
        <f>F118*2</f>
        <v>6.8</v>
      </c>
      <c r="G119" s="2337"/>
      <c r="H119" s="2338"/>
      <c r="I119" s="2338"/>
      <c r="J119" s="793">
        <f>IF(OR($E$6&lt;&gt;RIMS_lists!$C$1,$E$7&lt;&gt;Lists!$C$4,$J$88=Lists!$F$13),0,IF(E119="",J118+F119-F118,IF(E119&lt;J118,J118,E119)))</f>
        <v>0</v>
      </c>
      <c r="K119" s="819"/>
      <c r="L119" s="819"/>
      <c r="M119" s="819"/>
      <c r="N119" s="819"/>
      <c r="O119" s="819"/>
      <c r="P119" s="822"/>
    </row>
    <row r="120" spans="1:16" ht="15.75" x14ac:dyDescent="0.25">
      <c r="A120" s="818"/>
      <c r="B120" s="867" t="s">
        <v>1928</v>
      </c>
      <c r="C120" s="865"/>
      <c r="D120" s="866"/>
      <c r="E120" s="1963"/>
      <c r="F120" s="1259">
        <f xml:space="preserve"> 0.12</f>
        <v>0.12</v>
      </c>
      <c r="G120" s="2337"/>
      <c r="H120" s="2338"/>
      <c r="I120" s="2338"/>
      <c r="J120" s="851">
        <f>IF(OR($E$6&lt;&gt;RIMS_lists!$C$1,$E$7&lt;&gt;Lists!$C$4,$J$88=Lists!$F$13),0,IF(E120&lt;0,0,IF(E120="",F120,E120)))</f>
        <v>0</v>
      </c>
      <c r="K120" s="819"/>
      <c r="L120" s="819"/>
      <c r="M120" s="819"/>
      <c r="N120" s="819"/>
      <c r="O120" s="819"/>
      <c r="P120" s="822"/>
    </row>
    <row r="121" spans="1:16" ht="15.75" x14ac:dyDescent="0.25">
      <c r="A121" s="818"/>
      <c r="B121" s="867" t="str">
        <f>B15</f>
        <v>Annual testing run-time (total hours/year)</v>
      </c>
      <c r="C121" s="865"/>
      <c r="D121" s="866"/>
      <c r="E121" s="1964"/>
      <c r="F121" s="771">
        <f>52*0.5</f>
        <v>26</v>
      </c>
      <c r="G121" s="2337"/>
      <c r="H121" s="2338"/>
      <c r="I121" s="2338"/>
      <c r="J121" s="852">
        <f>IF(OR($E$6&lt;&gt;RIMS_lists!$C$1,$E$7&lt;&gt;Lists!$C$4,$J$88=Lists!$F$13),0,IF(E121&lt;0,0,IF(E121="",F121,E121)))</f>
        <v>0</v>
      </c>
      <c r="K121" s="819"/>
      <c r="L121" s="819"/>
      <c r="M121" s="819"/>
      <c r="N121" s="819"/>
      <c r="O121" s="819"/>
      <c r="P121" s="822"/>
    </row>
    <row r="122" spans="1:16" ht="15.75" x14ac:dyDescent="0.25">
      <c r="A122" s="818"/>
      <c r="B122" s="864" t="s">
        <v>1794</v>
      </c>
      <c r="C122" s="865"/>
      <c r="D122" s="866"/>
      <c r="E122" s="1945"/>
      <c r="F122" s="1248">
        <f>avgSize*runtime*F119*F120</f>
        <v>195.84</v>
      </c>
      <c r="G122" s="2337"/>
      <c r="H122" s="2338"/>
      <c r="I122" s="2338"/>
      <c r="J122" s="1255">
        <f>IF(OR($E$6&lt;&gt;RIMS_lists!$C$1,$E$7&lt;&gt;Lists!$C$4,$J$88=Lists!$F$13),0,IF(E122&lt;0,0,IF(E122&lt;&gt;"",E122,avgSize*runtime*J119*J120)))</f>
        <v>0</v>
      </c>
      <c r="K122" s="819"/>
      <c r="L122" s="819"/>
      <c r="M122" s="819"/>
      <c r="N122" s="819"/>
      <c r="O122" s="819"/>
      <c r="P122" s="822"/>
    </row>
    <row r="123" spans="1:16" ht="15.75" x14ac:dyDescent="0.25">
      <c r="A123" s="818"/>
      <c r="B123" s="864" t="s">
        <v>1795</v>
      </c>
      <c r="C123" s="865"/>
      <c r="D123" s="866"/>
      <c r="E123" s="1945"/>
      <c r="F123" s="1248">
        <f>J12*(annualusage+F121)*F119*F120</f>
        <v>112.60799999999999</v>
      </c>
      <c r="G123" s="2339"/>
      <c r="H123" s="2340"/>
      <c r="I123" s="2340"/>
      <c r="J123" s="1255">
        <f>IF(OR($E$6&lt;&gt;RIMS_lists!$C$1,$E$7&lt;&gt;Lists!$C$4,$J$88=Lists!$F$13),0,IF(E123&lt;0,0,IF(E123&lt;&gt;"",E123,J12*(annualusage+J121)*J119*J120)))</f>
        <v>0</v>
      </c>
      <c r="K123" s="819"/>
      <c r="L123" s="819"/>
      <c r="M123" s="819"/>
      <c r="N123" s="819"/>
      <c r="O123" s="819"/>
      <c r="P123" s="822"/>
    </row>
    <row r="124" spans="1:16" ht="15.75" x14ac:dyDescent="0.25">
      <c r="A124" s="818"/>
      <c r="B124" s="867" t="s">
        <v>1792</v>
      </c>
      <c r="C124" s="865"/>
      <c r="D124" s="866"/>
      <c r="E124" s="1959"/>
      <c r="F124" s="605">
        <f>4*1*4*90</f>
        <v>1440</v>
      </c>
      <c r="G124" s="2335" t="s">
        <v>1985</v>
      </c>
      <c r="H124" s="2336"/>
      <c r="I124" s="2405"/>
      <c r="J124" s="848">
        <f>IF(OR($E$6&lt;&gt;RIMS_lists!$C$1,$E$7&lt;&gt;Lists!$C$4,$J$88=Lists!$F$13),0,IF(E124&lt;0,0,IF(E124="",F124,E124)))</f>
        <v>0</v>
      </c>
      <c r="K124" s="819"/>
      <c r="L124" s="819"/>
      <c r="M124" s="819"/>
      <c r="N124" s="819"/>
      <c r="O124" s="819"/>
      <c r="P124" s="822"/>
    </row>
    <row r="125" spans="1:16" ht="15.75" x14ac:dyDescent="0.25">
      <c r="A125" s="818"/>
      <c r="B125" s="867" t="s">
        <v>1793</v>
      </c>
      <c r="C125" s="865"/>
      <c r="D125" s="866"/>
      <c r="E125" s="1959"/>
      <c r="F125" s="605">
        <f>3*1*4*90</f>
        <v>1080</v>
      </c>
      <c r="G125" s="2337"/>
      <c r="H125" s="2338"/>
      <c r="I125" s="2406"/>
      <c r="J125" s="848">
        <f>IF(OR($E$6&lt;&gt;RIMS_lists!$C$1,$E$7&lt;&gt;Lists!$C$4,$J$88=Lists!$F$13),0,IF(E125&lt;0,0,IF(E125="",F125,E125)))</f>
        <v>0</v>
      </c>
      <c r="K125" s="819"/>
      <c r="L125" s="819"/>
      <c r="M125" s="819"/>
      <c r="N125" s="819"/>
      <c r="O125" s="819"/>
      <c r="P125" s="822"/>
    </row>
    <row r="126" spans="1:16" ht="31.5" customHeight="1" x14ac:dyDescent="0.25">
      <c r="A126" s="818"/>
      <c r="B126" s="2450" t="s">
        <v>1802</v>
      </c>
      <c r="C126" s="2451"/>
      <c r="D126" s="2452"/>
      <c r="E126" s="853" t="s">
        <v>1557</v>
      </c>
      <c r="F126" s="1257">
        <f>F124+F125</f>
        <v>2520</v>
      </c>
      <c r="G126" s="2444"/>
      <c r="H126" s="2445"/>
      <c r="I126" s="2446"/>
      <c r="J126" s="1258">
        <f>IF(OR($E$6&lt;&gt;RIMS_lists!$C$1,$E$7&lt;&gt;Lists!$C$4,$J$88=Lists!$F$13),0,SUM(J124:J125))</f>
        <v>0</v>
      </c>
      <c r="K126" s="819"/>
      <c r="L126" s="819"/>
      <c r="M126" s="819"/>
      <c r="N126" s="819"/>
      <c r="O126" s="819"/>
      <c r="P126" s="822"/>
    </row>
    <row r="127" spans="1:16" s="817" customFormat="1" ht="15.75" x14ac:dyDescent="0.25">
      <c r="A127" s="818"/>
      <c r="B127" s="872"/>
      <c r="C127" s="872"/>
      <c r="D127" s="872"/>
      <c r="E127" s="872"/>
      <c r="F127" s="872"/>
      <c r="G127" s="872"/>
      <c r="H127" s="872"/>
      <c r="I127" s="872"/>
      <c r="J127" s="872"/>
      <c r="K127" s="819"/>
      <c r="L127" s="819"/>
      <c r="M127" s="819"/>
      <c r="N127" s="819"/>
      <c r="O127" s="819"/>
      <c r="P127" s="819"/>
    </row>
    <row r="128" spans="1:16" s="819" customFormat="1" ht="15.75" x14ac:dyDescent="0.25">
      <c r="A128" s="818"/>
      <c r="B128" s="872"/>
      <c r="C128" s="872"/>
      <c r="D128" s="872"/>
      <c r="E128" s="872"/>
      <c r="F128" s="872"/>
      <c r="G128" s="872"/>
      <c r="H128" s="872"/>
      <c r="I128" s="872"/>
      <c r="J128" s="872"/>
    </row>
    <row r="129" spans="1:10" s="819" customFormat="1" ht="15.75" x14ac:dyDescent="0.25">
      <c r="A129" s="818"/>
      <c r="B129" s="872"/>
      <c r="C129" s="872"/>
      <c r="D129" s="872"/>
      <c r="E129" s="872"/>
      <c r="F129" s="872"/>
      <c r="G129" s="872"/>
      <c r="H129" s="872"/>
      <c r="I129" s="872"/>
      <c r="J129" s="872"/>
    </row>
    <row r="130" spans="1:10" s="819" customFormat="1" ht="15.75" x14ac:dyDescent="0.25">
      <c r="A130" s="818"/>
      <c r="B130" s="872"/>
      <c r="C130" s="872"/>
      <c r="D130" s="872"/>
      <c r="E130" s="872"/>
      <c r="F130" s="872"/>
      <c r="G130" s="872"/>
      <c r="H130" s="872"/>
      <c r="I130" s="872"/>
      <c r="J130" s="872"/>
    </row>
    <row r="131" spans="1:10" s="819" customFormat="1" ht="15.75" x14ac:dyDescent="0.25">
      <c r="A131" s="818"/>
      <c r="B131" s="872"/>
      <c r="C131" s="872"/>
      <c r="D131" s="872"/>
      <c r="E131" s="872"/>
      <c r="F131" s="872"/>
      <c r="G131" s="872"/>
      <c r="H131" s="872"/>
      <c r="I131" s="872"/>
      <c r="J131" s="872"/>
    </row>
    <row r="132" spans="1:10" s="819" customFormat="1" ht="15.75" x14ac:dyDescent="0.25">
      <c r="A132" s="818"/>
      <c r="B132" s="872"/>
      <c r="C132" s="872"/>
      <c r="D132" s="872"/>
      <c r="E132" s="872"/>
      <c r="F132" s="872"/>
      <c r="G132" s="872"/>
      <c r="H132" s="872"/>
      <c r="I132" s="872"/>
      <c r="J132" s="872"/>
    </row>
    <row r="133" spans="1:10" s="819" customFormat="1" ht="15.75" x14ac:dyDescent="0.25">
      <c r="A133" s="818"/>
      <c r="B133" s="872"/>
      <c r="C133" s="872"/>
      <c r="D133" s="872"/>
      <c r="E133" s="872"/>
      <c r="F133" s="872"/>
      <c r="G133" s="872"/>
      <c r="H133" s="872"/>
      <c r="I133" s="872"/>
      <c r="J133" s="872"/>
    </row>
    <row r="134" spans="1:10" s="819" customFormat="1" ht="15.75" x14ac:dyDescent="0.25">
      <c r="A134" s="818"/>
      <c r="B134" s="872"/>
      <c r="C134" s="872"/>
      <c r="D134" s="872"/>
      <c r="E134" s="872"/>
      <c r="F134" s="872"/>
      <c r="G134" s="872"/>
      <c r="H134" s="872"/>
      <c r="I134" s="872"/>
      <c r="J134" s="872"/>
    </row>
    <row r="135" spans="1:10" s="819" customFormat="1" ht="15.75" x14ac:dyDescent="0.25">
      <c r="A135" s="818"/>
      <c r="B135" s="872"/>
      <c r="C135" s="872"/>
      <c r="D135" s="872"/>
      <c r="E135" s="872"/>
      <c r="F135" s="872"/>
      <c r="G135" s="872"/>
      <c r="H135" s="872"/>
      <c r="I135" s="872"/>
      <c r="J135" s="872"/>
    </row>
    <row r="136" spans="1:10" s="819" customFormat="1" ht="15.75" x14ac:dyDescent="0.25">
      <c r="A136" s="818"/>
      <c r="B136" s="872"/>
      <c r="C136" s="872"/>
      <c r="D136" s="872"/>
      <c r="E136" s="872"/>
      <c r="F136" s="872"/>
      <c r="G136" s="872"/>
      <c r="H136" s="872"/>
      <c r="I136" s="872"/>
      <c r="J136" s="872"/>
    </row>
    <row r="137" spans="1:10" s="819" customFormat="1" ht="15.75" x14ac:dyDescent="0.25">
      <c r="A137" s="818"/>
      <c r="B137" s="872"/>
      <c r="C137" s="872"/>
      <c r="D137" s="872"/>
      <c r="E137" s="872"/>
      <c r="F137" s="872"/>
      <c r="G137" s="872"/>
      <c r="H137" s="872"/>
      <c r="I137" s="872"/>
      <c r="J137" s="872"/>
    </row>
    <row r="138" spans="1:10" s="819" customFormat="1" ht="15.75" x14ac:dyDescent="0.25">
      <c r="A138" s="818"/>
      <c r="B138" s="872"/>
      <c r="C138" s="872"/>
      <c r="D138" s="872"/>
      <c r="E138" s="872"/>
      <c r="F138" s="872"/>
      <c r="G138" s="872"/>
      <c r="H138" s="872"/>
      <c r="I138" s="872"/>
      <c r="J138" s="872"/>
    </row>
    <row r="139" spans="1:10" s="819" customFormat="1" ht="15.75" x14ac:dyDescent="0.25">
      <c r="A139" s="818"/>
      <c r="B139" s="872"/>
      <c r="C139" s="872"/>
      <c r="D139" s="872"/>
      <c r="E139" s="872"/>
      <c r="F139" s="872"/>
      <c r="G139" s="872"/>
      <c r="H139" s="872"/>
      <c r="I139" s="872"/>
      <c r="J139" s="872"/>
    </row>
    <row r="140" spans="1:10" s="819" customFormat="1" ht="15.75" x14ac:dyDescent="0.25">
      <c r="A140" s="818"/>
      <c r="B140" s="872"/>
      <c r="C140" s="872"/>
      <c r="D140" s="872"/>
      <c r="E140" s="872"/>
      <c r="F140" s="872"/>
      <c r="G140" s="872"/>
      <c r="H140" s="872"/>
      <c r="I140" s="872"/>
      <c r="J140" s="872"/>
    </row>
    <row r="141" spans="1:10" s="819" customFormat="1" ht="15.75" x14ac:dyDescent="0.25">
      <c r="A141" s="818"/>
      <c r="B141" s="872"/>
      <c r="C141" s="872"/>
      <c r="D141" s="872"/>
      <c r="E141" s="872"/>
      <c r="F141" s="872"/>
      <c r="G141" s="872"/>
      <c r="H141" s="872"/>
      <c r="I141" s="872"/>
      <c r="J141" s="872"/>
    </row>
    <row r="142" spans="1:10" s="819" customFormat="1" ht="15.75" x14ac:dyDescent="0.25">
      <c r="A142" s="818"/>
      <c r="B142" s="872"/>
      <c r="C142" s="872"/>
      <c r="D142" s="872"/>
      <c r="E142" s="872"/>
      <c r="F142" s="872"/>
      <c r="G142" s="872"/>
      <c r="H142" s="872"/>
      <c r="I142" s="872"/>
      <c r="J142" s="872"/>
    </row>
    <row r="143" spans="1:10" s="819" customFormat="1" ht="15.75" x14ac:dyDescent="0.25">
      <c r="A143" s="818"/>
      <c r="B143" s="872"/>
      <c r="C143" s="872"/>
      <c r="D143" s="872"/>
      <c r="E143" s="872"/>
      <c r="F143" s="872"/>
      <c r="G143" s="872"/>
      <c r="H143" s="872"/>
      <c r="I143" s="872"/>
      <c r="J143" s="872"/>
    </row>
    <row r="144" spans="1:10" s="819" customFormat="1" ht="15.75" x14ac:dyDescent="0.25">
      <c r="A144" s="818"/>
      <c r="B144" s="872"/>
      <c r="C144" s="872"/>
      <c r="D144" s="872"/>
      <c r="E144" s="872"/>
      <c r="F144" s="872"/>
      <c r="G144" s="872"/>
      <c r="H144" s="872"/>
      <c r="I144" s="872"/>
      <c r="J144" s="872"/>
    </row>
    <row r="145" spans="1:10" s="819" customFormat="1" ht="15.75" x14ac:dyDescent="0.25">
      <c r="A145" s="818"/>
      <c r="B145" s="872"/>
      <c r="C145" s="872"/>
      <c r="D145" s="872"/>
      <c r="E145" s="872"/>
      <c r="F145" s="872"/>
      <c r="G145" s="872"/>
      <c r="H145" s="872"/>
      <c r="I145" s="872"/>
      <c r="J145" s="872"/>
    </row>
    <row r="146" spans="1:10" s="819" customFormat="1" ht="15.75" x14ac:dyDescent="0.25">
      <c r="A146" s="818"/>
      <c r="B146" s="872"/>
      <c r="C146" s="872"/>
      <c r="D146" s="872"/>
      <c r="E146" s="872"/>
      <c r="F146" s="872"/>
      <c r="G146" s="872"/>
      <c r="H146" s="872"/>
      <c r="I146" s="872"/>
      <c r="J146" s="872"/>
    </row>
    <row r="147" spans="1:10" s="819" customFormat="1" ht="15.75" x14ac:dyDescent="0.25">
      <c r="A147" s="818"/>
      <c r="B147" s="872"/>
      <c r="C147" s="872"/>
      <c r="D147" s="872"/>
      <c r="E147" s="872"/>
      <c r="F147" s="872"/>
      <c r="G147" s="872"/>
      <c r="H147" s="872"/>
      <c r="I147" s="872"/>
      <c r="J147" s="872"/>
    </row>
    <row r="148" spans="1:10" s="819" customFormat="1" ht="15.75" x14ac:dyDescent="0.25">
      <c r="A148" s="818"/>
      <c r="B148" s="872"/>
      <c r="C148" s="872"/>
      <c r="D148" s="872"/>
      <c r="E148" s="872"/>
      <c r="F148" s="872"/>
      <c r="G148" s="872"/>
      <c r="H148" s="872"/>
      <c r="I148" s="872"/>
      <c r="J148" s="872"/>
    </row>
    <row r="149" spans="1:10" s="819" customFormat="1" ht="15.75" x14ac:dyDescent="0.25">
      <c r="A149" s="818"/>
      <c r="B149" s="872"/>
      <c r="C149" s="872"/>
      <c r="D149" s="872"/>
      <c r="E149" s="872"/>
      <c r="F149" s="872"/>
      <c r="G149" s="872"/>
      <c r="H149" s="872"/>
      <c r="I149" s="872"/>
      <c r="J149" s="872"/>
    </row>
    <row r="150" spans="1:10" s="819" customFormat="1" ht="15.75" x14ac:dyDescent="0.25">
      <c r="A150" s="818"/>
      <c r="B150" s="872"/>
      <c r="C150" s="872"/>
      <c r="D150" s="872"/>
      <c r="E150" s="872"/>
      <c r="F150" s="872"/>
      <c r="G150" s="872"/>
      <c r="H150" s="872"/>
      <c r="I150" s="872"/>
      <c r="J150" s="872"/>
    </row>
    <row r="151" spans="1:10" s="819" customFormat="1" ht="15.75" x14ac:dyDescent="0.25">
      <c r="A151" s="818"/>
      <c r="B151" s="872"/>
      <c r="C151" s="872"/>
      <c r="D151" s="872"/>
      <c r="E151" s="872"/>
      <c r="F151" s="872"/>
      <c r="G151" s="872"/>
      <c r="H151" s="872"/>
      <c r="I151" s="872"/>
      <c r="J151" s="872"/>
    </row>
    <row r="152" spans="1:10" s="819" customFormat="1" ht="15.75" x14ac:dyDescent="0.25">
      <c r="A152" s="818"/>
      <c r="B152" s="872"/>
      <c r="C152" s="872"/>
      <c r="D152" s="872"/>
      <c r="E152" s="872"/>
      <c r="F152" s="872"/>
      <c r="G152" s="872"/>
      <c r="H152" s="872"/>
      <c r="I152" s="872"/>
      <c r="J152" s="872"/>
    </row>
    <row r="153" spans="1:10" s="819" customFormat="1" ht="15.75" x14ac:dyDescent="0.25">
      <c r="A153" s="818"/>
      <c r="B153" s="872"/>
      <c r="C153" s="872"/>
      <c r="D153" s="872"/>
      <c r="E153" s="872"/>
      <c r="F153" s="872"/>
      <c r="G153" s="872"/>
      <c r="H153" s="872"/>
      <c r="I153" s="872"/>
      <c r="J153" s="872"/>
    </row>
    <row r="154" spans="1:10" s="819" customFormat="1" ht="15.75" x14ac:dyDescent="0.25">
      <c r="A154" s="818"/>
      <c r="B154" s="872"/>
      <c r="C154" s="872"/>
      <c r="D154" s="872"/>
      <c r="E154" s="872"/>
      <c r="F154" s="872"/>
      <c r="G154" s="872"/>
      <c r="H154" s="872"/>
      <c r="I154" s="872"/>
      <c r="J154" s="872"/>
    </row>
    <row r="155" spans="1:10" s="819" customFormat="1" ht="15.75" x14ac:dyDescent="0.25">
      <c r="A155" s="818"/>
      <c r="B155" s="872"/>
      <c r="C155" s="872"/>
      <c r="D155" s="872"/>
      <c r="E155" s="872"/>
      <c r="F155" s="872"/>
      <c r="G155" s="872"/>
      <c r="H155" s="872"/>
      <c r="I155" s="872"/>
      <c r="J155" s="872"/>
    </row>
    <row r="156" spans="1:10" s="819" customFormat="1" ht="15.75" x14ac:dyDescent="0.25">
      <c r="A156" s="818"/>
      <c r="B156" s="872"/>
      <c r="C156" s="872"/>
      <c r="D156" s="872"/>
      <c r="E156" s="872"/>
      <c r="F156" s="872"/>
      <c r="G156" s="872"/>
      <c r="H156" s="872"/>
      <c r="I156" s="872"/>
      <c r="J156" s="872"/>
    </row>
    <row r="157" spans="1:10" s="819" customFormat="1" ht="15.75" x14ac:dyDescent="0.25">
      <c r="A157" s="818"/>
      <c r="B157" s="872"/>
      <c r="C157" s="872"/>
      <c r="D157" s="872"/>
      <c r="E157" s="872"/>
      <c r="F157" s="872"/>
      <c r="G157" s="872"/>
      <c r="H157" s="872"/>
      <c r="I157" s="872"/>
      <c r="J157" s="872"/>
    </row>
    <row r="158" spans="1:10" s="819" customFormat="1" ht="15.75" x14ac:dyDescent="0.25">
      <c r="A158" s="818"/>
      <c r="B158" s="872"/>
      <c r="C158" s="872"/>
      <c r="D158" s="872"/>
      <c r="E158" s="872"/>
      <c r="F158" s="872"/>
      <c r="G158" s="872"/>
      <c r="H158" s="872"/>
      <c r="I158" s="872"/>
      <c r="J158" s="872"/>
    </row>
    <row r="159" spans="1:10" s="819" customFormat="1" ht="15.75" x14ac:dyDescent="0.25">
      <c r="A159" s="818"/>
      <c r="B159" s="872"/>
      <c r="C159" s="872"/>
      <c r="D159" s="872"/>
      <c r="E159" s="872"/>
      <c r="F159" s="872"/>
      <c r="G159" s="872"/>
      <c r="H159" s="872"/>
      <c r="I159" s="872"/>
      <c r="J159" s="872"/>
    </row>
    <row r="160" spans="1:10" s="819" customFormat="1" ht="15.75" x14ac:dyDescent="0.25">
      <c r="A160" s="818"/>
      <c r="B160" s="872"/>
      <c r="C160" s="872"/>
      <c r="D160" s="872"/>
      <c r="E160" s="872"/>
      <c r="F160" s="872"/>
      <c r="G160" s="872"/>
      <c r="H160" s="872"/>
      <c r="I160" s="872"/>
      <c r="J160" s="872"/>
    </row>
    <row r="161" spans="1:10" s="819" customFormat="1" ht="15.75" x14ac:dyDescent="0.25">
      <c r="A161" s="818"/>
      <c r="B161" s="872"/>
      <c r="C161" s="872"/>
      <c r="D161" s="872"/>
      <c r="E161" s="872"/>
      <c r="F161" s="872"/>
      <c r="G161" s="872"/>
      <c r="H161" s="872"/>
      <c r="I161" s="872"/>
      <c r="J161" s="872"/>
    </row>
    <row r="162" spans="1:10" s="819" customFormat="1" ht="15.75" x14ac:dyDescent="0.25">
      <c r="A162" s="818"/>
      <c r="B162" s="872"/>
      <c r="C162" s="872"/>
      <c r="D162" s="872"/>
      <c r="E162" s="872"/>
      <c r="F162" s="872"/>
      <c r="G162" s="872"/>
      <c r="H162" s="872"/>
      <c r="I162" s="872"/>
      <c r="J162" s="872"/>
    </row>
    <row r="163" spans="1:10" s="819" customFormat="1" ht="15.75" x14ac:dyDescent="0.25">
      <c r="A163" s="818"/>
      <c r="B163" s="872"/>
      <c r="C163" s="872"/>
      <c r="D163" s="872"/>
      <c r="E163" s="872"/>
      <c r="F163" s="872"/>
      <c r="G163" s="872"/>
      <c r="H163" s="872"/>
      <c r="I163" s="872"/>
      <c r="J163" s="872"/>
    </row>
    <row r="164" spans="1:10" s="819" customFormat="1" ht="15.75" x14ac:dyDescent="0.25">
      <c r="A164" s="818"/>
      <c r="B164" s="872"/>
      <c r="C164" s="872"/>
      <c r="D164" s="872"/>
      <c r="E164" s="872"/>
      <c r="F164" s="872"/>
      <c r="G164" s="872"/>
      <c r="H164" s="872"/>
      <c r="I164" s="872"/>
      <c r="J164" s="872"/>
    </row>
    <row r="165" spans="1:10" s="819" customFormat="1" ht="15.75" x14ac:dyDescent="0.25">
      <c r="A165" s="818"/>
      <c r="B165" s="872"/>
      <c r="C165" s="872"/>
      <c r="D165" s="872"/>
      <c r="E165" s="872"/>
      <c r="F165" s="872"/>
      <c r="G165" s="872"/>
      <c r="H165" s="872"/>
      <c r="I165" s="872"/>
      <c r="J165" s="872"/>
    </row>
    <row r="166" spans="1:10" s="819" customFormat="1" ht="15.75" x14ac:dyDescent="0.25">
      <c r="A166" s="818"/>
      <c r="B166" s="872"/>
      <c r="C166" s="872"/>
      <c r="D166" s="872"/>
      <c r="E166" s="872"/>
      <c r="F166" s="872"/>
      <c r="G166" s="872"/>
      <c r="H166" s="872"/>
      <c r="I166" s="872"/>
      <c r="J166" s="872"/>
    </row>
    <row r="167" spans="1:10" s="819" customFormat="1" ht="18.75" hidden="1" x14ac:dyDescent="0.25">
      <c r="A167" s="818"/>
      <c r="B167" s="2486" t="str">
        <f>IF(SUM($H$28:$H$33)=0, "Step 4 is only applicable if Backup Power Fuel Cell units are being manufactured within the selected region", "Step 4 - Number of Backup Power Fuel Cell Manufacturers in "&amp;State)</f>
        <v>Step 4 is only applicable if Backup Power Fuel Cell units are being manufactured within the selected region</v>
      </c>
      <c r="C167" s="2487"/>
      <c r="D167" s="2487"/>
      <c r="E167" s="2487"/>
      <c r="F167" s="2487"/>
      <c r="G167" s="2487"/>
      <c r="H167" s="2487"/>
      <c r="I167" s="2487"/>
      <c r="J167" s="2488"/>
    </row>
    <row r="168" spans="1:10" s="819" customFormat="1" ht="16.5" hidden="1" x14ac:dyDescent="0.25">
      <c r="A168" s="818"/>
      <c r="B168" s="2489" t="s">
        <v>1464</v>
      </c>
      <c r="C168" s="2490"/>
      <c r="D168" s="2491"/>
      <c r="E168" s="344" t="s">
        <v>429</v>
      </c>
      <c r="F168" s="597" t="s">
        <v>504</v>
      </c>
      <c r="G168" s="2341" t="s">
        <v>451</v>
      </c>
      <c r="H168" s="2342"/>
      <c r="I168" s="2343"/>
      <c r="J168" s="788" t="s">
        <v>509</v>
      </c>
    </row>
    <row r="169" spans="1:10" s="819" customFormat="1" ht="15.75" hidden="1" x14ac:dyDescent="0.25">
      <c r="A169" s="818"/>
      <c r="B169" s="834" t="s">
        <v>1503</v>
      </c>
      <c r="C169" s="345"/>
      <c r="D169" s="346"/>
      <c r="E169" s="1913"/>
      <c r="F169" s="596">
        <f>Costs!B39</f>
        <v>3</v>
      </c>
      <c r="G169" s="857"/>
      <c r="H169" s="858"/>
      <c r="I169" s="859"/>
      <c r="J169" s="794">
        <f xml:space="preserve"> IF(OR(E169="", E169&lt;1), F169,E169)</f>
        <v>3</v>
      </c>
    </row>
    <row r="170" spans="1:10" s="819" customFormat="1" ht="15.75" hidden="1" x14ac:dyDescent="0.25">
      <c r="A170" s="818"/>
      <c r="B170" s="872"/>
      <c r="C170" s="872"/>
      <c r="D170" s="872"/>
      <c r="E170" s="872"/>
      <c r="F170" s="872"/>
      <c r="G170" s="872"/>
      <c r="H170" s="872"/>
      <c r="I170" s="872"/>
      <c r="J170" s="872"/>
    </row>
    <row r="171" spans="1:10" s="819" customFormat="1" hidden="1" x14ac:dyDescent="0.25">
      <c r="A171" s="818"/>
    </row>
    <row r="172" spans="1:10" s="819" customFormat="1" ht="16.5" hidden="1" x14ac:dyDescent="0.25">
      <c r="A172" s="818"/>
      <c r="B172" s="2376" t="str">
        <f>'Forklift INPUTS'!B46:J46</f>
        <v>Retail Price = Manufacturing Cost + 50% unless the user specifies both price and cost. Manufacturing Cost cannont exceed Retail Price. Please see user guide for Manufacturing Cost methodology. Retail prices should NOT include any taxes, subsidies, tax credits, shipping, or installation expenses.</v>
      </c>
      <c r="C172" s="2377"/>
      <c r="D172" s="2377"/>
      <c r="E172" s="2377"/>
      <c r="F172" s="2377"/>
      <c r="G172" s="2377"/>
      <c r="H172" s="2377"/>
      <c r="I172" s="2377"/>
      <c r="J172" s="2464"/>
    </row>
    <row r="173" spans="1:10" s="819" customFormat="1" hidden="1" x14ac:dyDescent="0.25">
      <c r="A173" s="818"/>
      <c r="B173" s="2471" t="str">
        <f>'Forklift INPUTS'!B200</f>
        <v>Choose Forklift Fuel Cell Retail Price and Manufacturing Cost method</v>
      </c>
      <c r="C173" s="2472"/>
      <c r="D173" s="2473"/>
      <c r="E173" s="2477" t="str">
        <f>PriceCost_def</f>
        <v>Use default Retail Prices and Manufacturing Costs</v>
      </c>
      <c r="F173" s="2478"/>
      <c r="G173" s="2458" t="str">
        <f>'Forklift INPUTS'!G200</f>
        <v>Retail Price = Mfg. Cost + 50% unless the user specifies both price and cost. Manufacturing Cost cannont exceed Retail Price. Please see user guide for price and cost methodology.</v>
      </c>
      <c r="H173" s="2459"/>
      <c r="I173" s="2459"/>
      <c r="J173" s="2460"/>
    </row>
    <row r="174" spans="1:10" s="819" customFormat="1" hidden="1" x14ac:dyDescent="0.25">
      <c r="A174" s="818"/>
      <c r="B174" s="2474"/>
      <c r="C174" s="2475"/>
      <c r="D174" s="2476"/>
      <c r="E174" s="2479"/>
      <c r="F174" s="2480"/>
      <c r="G174" s="2461"/>
      <c r="H174" s="2462"/>
      <c r="I174" s="2462"/>
      <c r="J174" s="2463"/>
    </row>
    <row r="175" spans="1:10" s="819" customFormat="1" ht="15.75" hidden="1" x14ac:dyDescent="0.25">
      <c r="A175" s="818"/>
      <c r="B175" s="2465" t="str">
        <f>'Forklift INPUTS'!B202</f>
        <v>Enter Initial Retail Prices and Manufacturing Costs</v>
      </c>
      <c r="C175" s="2466"/>
      <c r="D175" s="2467"/>
      <c r="E175" s="347" t="str">
        <f>'Forklift INPUTS'!E202</f>
        <v>Retail Price ($/kW)</v>
      </c>
      <c r="F175" s="347" t="str">
        <f>'Forklift INPUTS'!F202</f>
        <v>Mfg. Cost ($/kW)</v>
      </c>
      <c r="G175" s="284" t="str">
        <f>'Forklift INPUTS'!G202</f>
        <v>Retail Price ($/kW)</v>
      </c>
      <c r="H175" s="284" t="str">
        <f>'Forklift INPUTS'!H202</f>
        <v>Mfg. Cost ($/kW)</v>
      </c>
      <c r="I175" s="343" t="str">
        <f>'Forklift INPUTS'!I202</f>
        <v>Retail Price ($/kW)</v>
      </c>
      <c r="J175" s="837" t="str">
        <f>'Forklift INPUTS'!J202</f>
        <v>Mfg. Cost ($/kW)</v>
      </c>
    </row>
    <row r="176" spans="1:10" s="819" customFormat="1" ht="15.75" hidden="1" x14ac:dyDescent="0.25">
      <c r="A176" s="818"/>
      <c r="B176" s="2468"/>
      <c r="C176" s="2469"/>
      <c r="D176" s="2470"/>
      <c r="E176" s="348" t="str">
        <f>'Forklift INPUTS'!E203</f>
        <v>User-specified value</v>
      </c>
      <c r="F176" s="348" t="str">
        <f>'Forklift INPUTS'!F203</f>
        <v>User-specified value</v>
      </c>
      <c r="G176" s="284" t="str">
        <f>'Forklift INPUTS'!G203</f>
        <v>Default value</v>
      </c>
      <c r="H176" s="284" t="str">
        <f>'Forklift INPUTS'!H203</f>
        <v>Default value</v>
      </c>
      <c r="I176" s="2456" t="str">
        <f>'Forklift INPUTS'!I203</f>
        <v>Values used in model calculations</v>
      </c>
      <c r="J176" s="2457"/>
    </row>
    <row r="177" spans="1:37" s="819" customFormat="1" ht="15.75" hidden="1" x14ac:dyDescent="0.25">
      <c r="A177" s="818"/>
      <c r="B177" s="838" t="s">
        <v>1504</v>
      </c>
      <c r="C177" s="349"/>
      <c r="D177" s="349"/>
      <c r="E177" s="1916"/>
      <c r="F177" s="1916"/>
      <c r="G177" s="1003">
        <f>(1+Costs!$B$58)*H177</f>
        <v>2070</v>
      </c>
      <c r="H177" s="1004">
        <f>MROUND(Costs!$B$10, 10)</f>
        <v>1380</v>
      </c>
      <c r="I177" s="1005">
        <f>IF(E177&lt;&gt;"", E177, J177*(1+Costs!$B$58))</f>
        <v>2070</v>
      </c>
      <c r="J177" s="789">
        <f>IF(F177&lt;&gt;"",F177,IF(E177&lt;&gt;"",E177/(1+Costs!$B$58),H177))</f>
        <v>1380</v>
      </c>
    </row>
    <row r="178" spans="1:37" s="819" customFormat="1" ht="15.75" hidden="1" x14ac:dyDescent="0.25">
      <c r="A178" s="818"/>
      <c r="B178" s="872"/>
      <c r="C178" s="872"/>
      <c r="D178" s="872"/>
      <c r="E178" s="872"/>
      <c r="F178" s="872"/>
      <c r="G178" s="872"/>
      <c r="H178" s="872"/>
      <c r="I178" s="872"/>
      <c r="J178" s="872"/>
    </row>
    <row r="179" spans="1:37" hidden="1" x14ac:dyDescent="0.25">
      <c r="C179" s="6"/>
      <c r="D179" s="6"/>
      <c r="M179" s="15"/>
    </row>
    <row r="180" spans="1:37" s="219" customFormat="1" ht="14.45" hidden="1" customHeight="1" x14ac:dyDescent="0.25">
      <c r="A180" s="130"/>
      <c r="B180" s="2397" t="s">
        <v>424</v>
      </c>
      <c r="C180" s="2398"/>
      <c r="D180" s="2398"/>
      <c r="E180" s="2398"/>
      <c r="F180" s="1902"/>
      <c r="G180" s="1902"/>
      <c r="H180" s="1902"/>
      <c r="I180" s="1902"/>
      <c r="J180" s="1902"/>
      <c r="K180" s="1902"/>
      <c r="L180" s="1902"/>
      <c r="M180" s="1902"/>
      <c r="N180" s="1902"/>
      <c r="O180" s="1902"/>
      <c r="P180" s="1902"/>
      <c r="Q180" s="1902"/>
      <c r="R180" s="519"/>
      <c r="T180" s="221"/>
      <c r="Y180" s="520"/>
      <c r="Z180" s="520"/>
      <c r="AA180" s="520"/>
      <c r="AB180" s="520"/>
      <c r="AC180" s="520"/>
      <c r="AD180" s="520"/>
      <c r="AE180" s="520"/>
      <c r="AF180" s="520"/>
      <c r="AG180" s="520"/>
      <c r="AH180" s="520"/>
      <c r="AI180" s="520"/>
      <c r="AJ180" s="520"/>
    </row>
    <row r="181" spans="1:37" s="222" customFormat="1" ht="14.45" hidden="1" customHeight="1" x14ac:dyDescent="0.25">
      <c r="D181" s="223"/>
      <c r="E181" s="223"/>
      <c r="F181" s="225"/>
      <c r="G181" s="225"/>
      <c r="H181" s="316"/>
      <c r="I181" s="226"/>
      <c r="J181" s="226"/>
      <c r="K181" s="227"/>
      <c r="L181" s="227"/>
      <c r="M181" s="227"/>
      <c r="N181" s="226"/>
      <c r="O181" s="226"/>
      <c r="P181" s="226"/>
      <c r="Q181" s="281"/>
      <c r="R181" s="281"/>
      <c r="S181" s="281"/>
      <c r="T181" s="226"/>
      <c r="U181" s="226"/>
      <c r="V181" s="226"/>
      <c r="W181" s="281"/>
      <c r="X181" s="281"/>
      <c r="Y181" s="281"/>
      <c r="Z181" s="521"/>
      <c r="AA181" s="521"/>
      <c r="AB181" s="521"/>
      <c r="AC181" s="521"/>
      <c r="AD181" s="521"/>
      <c r="AE181" s="521"/>
      <c r="AF181" s="521"/>
      <c r="AG181" s="521"/>
      <c r="AH181" s="521"/>
      <c r="AI181" s="521"/>
      <c r="AJ181" s="521"/>
      <c r="AK181" s="521"/>
    </row>
    <row r="182" spans="1:37" s="222" customFormat="1" ht="14.45" hidden="1" customHeight="1" x14ac:dyDescent="0.25">
      <c r="A182" s="415"/>
      <c r="B182" s="415"/>
      <c r="C182" s="415"/>
      <c r="D182" s="412" t="s">
        <v>1044</v>
      </c>
      <c r="E182" s="412"/>
      <c r="F182" s="412"/>
      <c r="G182" s="415"/>
      <c r="H182" s="415"/>
      <c r="I182" s="415"/>
      <c r="J182" s="415"/>
      <c r="K182" s="415"/>
      <c r="L182" s="415"/>
      <c r="M182" s="415"/>
      <c r="N182" s="415"/>
      <c r="O182" s="415"/>
      <c r="P182" s="415"/>
      <c r="Q182" s="415"/>
      <c r="R182" s="415"/>
      <c r="S182" s="415"/>
      <c r="T182" s="415"/>
      <c r="U182" s="415"/>
      <c r="V182" s="415"/>
      <c r="W182" s="415"/>
      <c r="X182" s="415"/>
      <c r="Y182" s="415"/>
      <c r="Z182" s="640"/>
      <c r="AA182" s="640"/>
      <c r="AB182" s="640"/>
      <c r="AC182" s="640"/>
      <c r="AD182" s="640"/>
      <c r="AE182" s="640"/>
      <c r="AF182" s="640"/>
      <c r="AG182" s="640"/>
      <c r="AH182" s="640"/>
      <c r="AI182" s="640"/>
      <c r="AJ182" s="640"/>
      <c r="AK182" s="640"/>
    </row>
    <row r="183" spans="1:37" s="222" customFormat="1" ht="14.45" hidden="1" customHeight="1" x14ac:dyDescent="0.25">
      <c r="A183" s="415"/>
      <c r="B183" s="1187" t="s">
        <v>1565</v>
      </c>
      <c r="C183" s="1190"/>
      <c r="D183" s="417" t="s">
        <v>1571</v>
      </c>
      <c r="E183" s="415"/>
      <c r="F183" s="415"/>
      <c r="G183" s="412"/>
      <c r="H183" s="412"/>
      <c r="I183" s="412"/>
      <c r="J183" s="412"/>
      <c r="K183" s="412"/>
      <c r="L183" s="412"/>
      <c r="M183" s="412"/>
      <c r="N183" s="412"/>
      <c r="O183" s="412"/>
      <c r="P183" s="412"/>
      <c r="Q183" s="412"/>
      <c r="R183" s="412"/>
      <c r="S183" s="412"/>
      <c r="T183" s="412"/>
      <c r="U183" s="415"/>
      <c r="V183" s="415"/>
      <c r="W183" s="415"/>
      <c r="X183" s="415"/>
      <c r="Y183" s="415"/>
      <c r="Z183" s="640"/>
      <c r="AA183" s="640"/>
      <c r="AB183" s="640"/>
      <c r="AC183" s="640"/>
      <c r="AD183" s="640"/>
      <c r="AE183" s="640"/>
      <c r="AF183" s="640"/>
      <c r="AG183" s="640"/>
      <c r="AH183" s="640"/>
      <c r="AI183" s="640"/>
      <c r="AJ183" s="640"/>
      <c r="AK183" s="640"/>
    </row>
    <row r="184" spans="1:37" s="222" customFormat="1" ht="14.45" hidden="1" customHeight="1" x14ac:dyDescent="0.25">
      <c r="A184" s="417"/>
      <c r="B184" s="417"/>
      <c r="C184" s="417"/>
      <c r="D184" s="419" t="s">
        <v>412</v>
      </c>
      <c r="E184" s="419" t="s">
        <v>10</v>
      </c>
      <c r="F184" s="419" t="s">
        <v>428</v>
      </c>
      <c r="G184" s="419" t="s">
        <v>2253</v>
      </c>
      <c r="H184" s="417" t="s">
        <v>583</v>
      </c>
      <c r="I184" s="417" t="s">
        <v>584</v>
      </c>
      <c r="J184" s="417" t="s">
        <v>585</v>
      </c>
      <c r="K184" s="417" t="s">
        <v>586</v>
      </c>
      <c r="L184" s="417" t="s">
        <v>413</v>
      </c>
      <c r="M184" s="417" t="s">
        <v>414</v>
      </c>
      <c r="N184" s="417" t="s">
        <v>592</v>
      </c>
      <c r="O184" s="417" t="s">
        <v>587</v>
      </c>
      <c r="P184" s="417" t="s">
        <v>588</v>
      </c>
      <c r="Q184" s="417" t="s">
        <v>589</v>
      </c>
      <c r="R184" s="417" t="s">
        <v>590</v>
      </c>
      <c r="S184" s="417" t="s">
        <v>591</v>
      </c>
      <c r="T184" s="417" t="s">
        <v>593</v>
      </c>
      <c r="U184" s="417" t="s">
        <v>594</v>
      </c>
      <c r="V184" s="417" t="s">
        <v>595</v>
      </c>
      <c r="W184" s="417" t="s">
        <v>596</v>
      </c>
      <c r="X184" s="417" t="s">
        <v>597</v>
      </c>
      <c r="Y184" s="417" t="s">
        <v>598</v>
      </c>
      <c r="Z184" s="640"/>
      <c r="AA184" s="640"/>
      <c r="AB184" s="640"/>
      <c r="AC184" s="640"/>
      <c r="AD184" s="640"/>
      <c r="AE184" s="640"/>
      <c r="AF184" s="640"/>
      <c r="AG184" s="640"/>
      <c r="AH184" s="640"/>
      <c r="AI184" s="640"/>
      <c r="AJ184" s="640"/>
      <c r="AK184" s="640"/>
    </row>
    <row r="185" spans="1:37" s="222" customFormat="1" ht="14.45" hidden="1" customHeight="1" x14ac:dyDescent="0.25">
      <c r="A185" s="415"/>
      <c r="B185" s="415" t="str">
        <f>'PEM sectors'!A4</f>
        <v>Stack</v>
      </c>
      <c r="C185" s="415" t="str">
        <f>'PEM sectors'!B4</f>
        <v>Cathode side gasket</v>
      </c>
      <c r="D185" s="415">
        <f t="shared" ref="D185:D197" si="4">IF(OR(State="AK", State="HI", State="WY"), 336300, 334419)</f>
        <v>334419</v>
      </c>
      <c r="E185" s="415" t="str">
        <f t="shared" ref="E185:E197" si="5">IF(OR(State="AK", State="HI", State="WY"), "Motor vehicle parts manufacturing", "Other electronic component manufacturing")</f>
        <v>Other electronic component manufacturing</v>
      </c>
      <c r="F185" s="420">
        <f>'PEM sectors'!E4</f>
        <v>1.492169373549884E-3</v>
      </c>
      <c r="G185" s="420">
        <f>F185</f>
        <v>1.492169373549884E-3</v>
      </c>
      <c r="H185" s="421" t="e">
        <f>$G185*(INDEX(tier_emp_mult, MATCH($D185, tier_emp_code,0), MATCH(State, R_emp, 0)))/(INDEX(tier_earn_mult, MATCH($D185, tier_earn_code,0), MATCH(State, R_earn, 0)))/1000000</f>
        <v>#N/A</v>
      </c>
      <c r="I185" s="422"/>
      <c r="J185" s="422"/>
      <c r="K185" s="423" t="e">
        <f t="shared" ref="K185:K198" si="6">H185</f>
        <v>#N/A</v>
      </c>
      <c r="L185" s="423"/>
      <c r="M185" s="423" t="e">
        <f>$G185*((INDEX(typeII_emp_mult, MATCH($D185, typeII_emp_code,0), MATCH(State, R_emp, 0)))-(INDEX(typeI_emp_mult, MATCH($D185, typeI_emp_code,0), MATCH(State, R_emp, 0))))/(INDEX(tier_earn_mult, MATCH($D185, tier_earn_code,0), MATCH(State, R_earn, 0)))/1000000</f>
        <v>#N/A</v>
      </c>
      <c r="N185" s="422"/>
      <c r="O185" s="425"/>
      <c r="P185" s="425"/>
      <c r="Q185" s="426"/>
      <c r="R185" s="426"/>
      <c r="S185" s="422" t="e">
        <f t="shared" ref="S185:S197" si="7">$G185*((INDEX(typeII_earn_mult, MATCH($D185, typeII_earn_code,0), MATCH(State, R_earn, 0)))-(INDEX(typeI_earn_mult, MATCH($D185, typeI_earn_code,0), MATCH(State, R_earn, 0))))/(INDEX(tier_earn_mult, MATCH($D185, tier_earn_code,0), MATCH(State, R_earn, 0)))</f>
        <v>#N/A</v>
      </c>
      <c r="T185" s="426"/>
      <c r="U185" s="422"/>
      <c r="V185" s="422"/>
      <c r="W185" s="426"/>
      <c r="X185" s="426"/>
      <c r="Y185" s="447" t="e">
        <f t="shared" ref="Y185:Y197" si="8">$G185*((INDEX(typeII_out_mult, MATCH($D185, typeII_out_code,0), MATCH(State, R_out, 0)))-(INDEX(typeI_out_mult, MATCH($D185, typeI_out_code,0), MATCH(State, R_out, 0))))/(INDEX(tier_earn_mult, MATCH($D185, tier_earn_code,0), MATCH(State, R_earn, 0)))</f>
        <v>#N/A</v>
      </c>
      <c r="Z185" s="640"/>
      <c r="AA185" s="640"/>
      <c r="AB185" s="640"/>
      <c r="AC185" s="640"/>
      <c r="AD185" s="640"/>
      <c r="AE185" s="640"/>
      <c r="AF185" s="640"/>
      <c r="AG185" s="640"/>
      <c r="AH185" s="640"/>
      <c r="AI185" s="640"/>
      <c r="AJ185" s="640"/>
      <c r="AK185" s="640"/>
    </row>
    <row r="186" spans="1:37" s="222" customFormat="1" ht="14.45" hidden="1" customHeight="1" x14ac:dyDescent="0.25">
      <c r="A186" s="415"/>
      <c r="B186" s="415" t="str">
        <f>'PEM sectors'!A5</f>
        <v>Stack</v>
      </c>
      <c r="C186" s="415" t="str">
        <f>'PEM sectors'!B5</f>
        <v>Anode side gasket</v>
      </c>
      <c r="D186" s="415">
        <f t="shared" si="4"/>
        <v>334419</v>
      </c>
      <c r="E186" s="415" t="str">
        <f t="shared" si="5"/>
        <v>Other electronic component manufacturing</v>
      </c>
      <c r="F186" s="420">
        <f>'PEM sectors'!E5</f>
        <v>1.4327146171693734E-3</v>
      </c>
      <c r="G186" s="420">
        <f t="shared" ref="G186:G197" si="9">F186</f>
        <v>1.4327146171693734E-3</v>
      </c>
      <c r="H186" s="421" t="e">
        <f t="shared" ref="H186:H197" si="10">$G186*(INDEX(tier_emp_mult, MATCH($D186, tier_emp_code,0), MATCH(State, R_emp, 0)))/(INDEX(tier_earn_mult, MATCH($D186, tier_earn_code,0), MATCH(State, R_earn, 0)))/1000000</f>
        <v>#N/A</v>
      </c>
      <c r="I186" s="422"/>
      <c r="J186" s="422"/>
      <c r="K186" s="423" t="e">
        <f t="shared" si="6"/>
        <v>#N/A</v>
      </c>
      <c r="L186" s="423"/>
      <c r="M186" s="423" t="e">
        <f t="shared" ref="M186:M197" si="11">$G186*((INDEX(typeII_emp_mult, MATCH($D186, typeII_emp_code,0), MATCH(State, R_emp, 0)))-(INDEX(typeI_emp_mult, MATCH($D186, typeI_emp_code,0), MATCH(State, R_emp, 0))))/(INDEX(tier_earn_mult, MATCH($D186, tier_earn_code,0), MATCH(State, R_earn, 0)))/1000000</f>
        <v>#N/A</v>
      </c>
      <c r="N186" s="422"/>
      <c r="O186" s="425"/>
      <c r="P186" s="425"/>
      <c r="Q186" s="426"/>
      <c r="R186" s="426"/>
      <c r="S186" s="422" t="e">
        <f t="shared" si="7"/>
        <v>#N/A</v>
      </c>
      <c r="T186" s="426"/>
      <c r="U186" s="422"/>
      <c r="V186" s="422"/>
      <c r="W186" s="426"/>
      <c r="X186" s="426"/>
      <c r="Y186" s="447" t="e">
        <f t="shared" si="8"/>
        <v>#N/A</v>
      </c>
      <c r="Z186" s="640"/>
      <c r="AA186" s="640"/>
      <c r="AB186" s="640"/>
      <c r="AC186" s="640"/>
      <c r="AD186" s="640"/>
      <c r="AE186" s="640"/>
      <c r="AF186" s="640"/>
      <c r="AG186" s="640"/>
      <c r="AH186" s="640"/>
      <c r="AI186" s="640"/>
      <c r="AJ186" s="640"/>
      <c r="AK186" s="640"/>
    </row>
    <row r="187" spans="1:37" s="222" customFormat="1" ht="14.45" hidden="1" customHeight="1" x14ac:dyDescent="0.25">
      <c r="A187" s="415"/>
      <c r="B187" s="415" t="str">
        <f>'PEM sectors'!A6</f>
        <v>Stack</v>
      </c>
      <c r="C187" s="415" t="str">
        <f>'PEM sectors'!B6</f>
        <v>Cooling gasket</v>
      </c>
      <c r="D187" s="415">
        <f t="shared" si="4"/>
        <v>334419</v>
      </c>
      <c r="E187" s="415" t="str">
        <f t="shared" si="5"/>
        <v>Other electronic component manufacturing</v>
      </c>
      <c r="F187" s="420">
        <f>'PEM sectors'!E6</f>
        <v>1.492169373549884E-3</v>
      </c>
      <c r="G187" s="420">
        <f t="shared" si="9"/>
        <v>1.492169373549884E-3</v>
      </c>
      <c r="H187" s="421" t="e">
        <f t="shared" si="10"/>
        <v>#N/A</v>
      </c>
      <c r="I187" s="422"/>
      <c r="J187" s="422"/>
      <c r="K187" s="423" t="e">
        <f t="shared" si="6"/>
        <v>#N/A</v>
      </c>
      <c r="L187" s="423"/>
      <c r="M187" s="423" t="e">
        <f t="shared" si="11"/>
        <v>#N/A</v>
      </c>
      <c r="N187" s="422"/>
      <c r="O187" s="425"/>
      <c r="P187" s="425"/>
      <c r="Q187" s="426"/>
      <c r="R187" s="426"/>
      <c r="S187" s="422" t="e">
        <f t="shared" si="7"/>
        <v>#N/A</v>
      </c>
      <c r="T187" s="426"/>
      <c r="U187" s="422"/>
      <c r="V187" s="422"/>
      <c r="W187" s="426"/>
      <c r="X187" s="426"/>
      <c r="Y187" s="447" t="e">
        <f t="shared" si="8"/>
        <v>#N/A</v>
      </c>
      <c r="Z187" s="640"/>
      <c r="AA187" s="640"/>
      <c r="AB187" s="640"/>
      <c r="AC187" s="640"/>
      <c r="AD187" s="640"/>
      <c r="AE187" s="640"/>
      <c r="AF187" s="640"/>
      <c r="AG187" s="640"/>
      <c r="AH187" s="640"/>
      <c r="AI187" s="640"/>
      <c r="AJ187" s="640"/>
      <c r="AK187" s="640"/>
    </row>
    <row r="188" spans="1:37" s="222" customFormat="1" ht="14.45" hidden="1" customHeight="1" x14ac:dyDescent="0.25">
      <c r="A188" s="415"/>
      <c r="B188" s="415" t="str">
        <f>'PEM sectors'!A7</f>
        <v>Stack</v>
      </c>
      <c r="C188" s="415" t="str">
        <f>'PEM sectors'!B7</f>
        <v>End gaskets</v>
      </c>
      <c r="D188" s="415">
        <f t="shared" si="4"/>
        <v>334419</v>
      </c>
      <c r="E188" s="415" t="str">
        <f t="shared" si="5"/>
        <v>Other electronic component manufacturing</v>
      </c>
      <c r="F188" s="420">
        <f>'PEM sectors'!E7</f>
        <v>3.0452436194895588E-5</v>
      </c>
      <c r="G188" s="420">
        <f t="shared" si="9"/>
        <v>3.0452436194895588E-5</v>
      </c>
      <c r="H188" s="421" t="e">
        <f t="shared" si="10"/>
        <v>#N/A</v>
      </c>
      <c r="I188" s="422"/>
      <c r="J188" s="422"/>
      <c r="K188" s="423" t="e">
        <f t="shared" si="6"/>
        <v>#N/A</v>
      </c>
      <c r="L188" s="423"/>
      <c r="M188" s="423" t="e">
        <f t="shared" si="11"/>
        <v>#N/A</v>
      </c>
      <c r="N188" s="422"/>
      <c r="O188" s="425"/>
      <c r="P188" s="425"/>
      <c r="Q188" s="426"/>
      <c r="R188" s="426"/>
      <c r="S188" s="422" t="e">
        <f t="shared" si="7"/>
        <v>#N/A</v>
      </c>
      <c r="T188" s="426"/>
      <c r="U188" s="422"/>
      <c r="V188" s="422"/>
      <c r="W188" s="426"/>
      <c r="X188" s="426"/>
      <c r="Y188" s="447" t="e">
        <f t="shared" si="8"/>
        <v>#N/A</v>
      </c>
      <c r="Z188" s="640"/>
      <c r="AA188" s="640"/>
      <c r="AB188" s="640"/>
      <c r="AC188" s="640"/>
      <c r="AD188" s="640"/>
      <c r="AE188" s="640"/>
      <c r="AF188" s="640"/>
      <c r="AG188" s="640"/>
      <c r="AH188" s="640"/>
      <c r="AI188" s="640"/>
      <c r="AJ188" s="640"/>
      <c r="AK188" s="640"/>
    </row>
    <row r="189" spans="1:37" s="222" customFormat="1" ht="15.75" hidden="1" x14ac:dyDescent="0.25">
      <c r="A189" s="415"/>
      <c r="B189" s="415" t="str">
        <f>'PEM sectors'!A8</f>
        <v>Stack</v>
      </c>
      <c r="C189" s="415" t="str">
        <f>'PEM sectors'!B8</f>
        <v>End plates</v>
      </c>
      <c r="D189" s="415">
        <f t="shared" si="4"/>
        <v>334419</v>
      </c>
      <c r="E189" s="415" t="str">
        <f t="shared" si="5"/>
        <v>Other electronic component manufacturing</v>
      </c>
      <c r="F189" s="420">
        <f>'PEM sectors'!E8</f>
        <v>6.4965197215777258E-4</v>
      </c>
      <c r="G189" s="420">
        <f t="shared" si="9"/>
        <v>6.4965197215777258E-4</v>
      </c>
      <c r="H189" s="421" t="e">
        <f t="shared" si="10"/>
        <v>#N/A</v>
      </c>
      <c r="I189" s="422"/>
      <c r="J189" s="422"/>
      <c r="K189" s="423" t="e">
        <f t="shared" si="6"/>
        <v>#N/A</v>
      </c>
      <c r="L189" s="423"/>
      <c r="M189" s="423" t="e">
        <f t="shared" si="11"/>
        <v>#N/A</v>
      </c>
      <c r="N189" s="422"/>
      <c r="O189" s="425"/>
      <c r="P189" s="425"/>
      <c r="Q189" s="426"/>
      <c r="R189" s="426"/>
      <c r="S189" s="422" t="e">
        <f t="shared" si="7"/>
        <v>#N/A</v>
      </c>
      <c r="T189" s="426"/>
      <c r="U189" s="422"/>
      <c r="V189" s="422"/>
      <c r="W189" s="426"/>
      <c r="X189" s="426"/>
      <c r="Y189" s="447" t="e">
        <f t="shared" si="8"/>
        <v>#N/A</v>
      </c>
      <c r="Z189" s="640"/>
      <c r="AA189" s="640"/>
      <c r="AB189" s="640"/>
      <c r="AC189" s="640"/>
      <c r="AD189" s="640"/>
      <c r="AE189" s="640"/>
      <c r="AF189" s="640"/>
      <c r="AG189" s="640"/>
      <c r="AH189" s="640"/>
      <c r="AI189" s="640"/>
      <c r="AJ189" s="640"/>
      <c r="AK189" s="640"/>
    </row>
    <row r="190" spans="1:37" s="222" customFormat="1" ht="14.45" hidden="1" customHeight="1" x14ac:dyDescent="0.25">
      <c r="A190" s="415"/>
      <c r="B190" s="415" t="str">
        <f>'PEM sectors'!A9</f>
        <v>Stack</v>
      </c>
      <c r="C190" s="415" t="str">
        <f>'PEM sectors'!B9</f>
        <v xml:space="preserve">Bipolar plates </v>
      </c>
      <c r="D190" s="415">
        <f t="shared" si="4"/>
        <v>334419</v>
      </c>
      <c r="E190" s="415" t="str">
        <f t="shared" si="5"/>
        <v>Other electronic component manufacturing</v>
      </c>
      <c r="F190" s="420">
        <f>'PEM sectors'!E9</f>
        <v>4.1250000000000002E-2</v>
      </c>
      <c r="G190" s="420">
        <f t="shared" si="9"/>
        <v>4.1250000000000002E-2</v>
      </c>
      <c r="H190" s="421" t="e">
        <f t="shared" si="10"/>
        <v>#N/A</v>
      </c>
      <c r="I190" s="422"/>
      <c r="J190" s="422"/>
      <c r="K190" s="423" t="e">
        <f t="shared" si="6"/>
        <v>#N/A</v>
      </c>
      <c r="L190" s="423"/>
      <c r="M190" s="423" t="e">
        <f t="shared" si="11"/>
        <v>#N/A</v>
      </c>
      <c r="N190" s="422"/>
      <c r="O190" s="425"/>
      <c r="P190" s="425"/>
      <c r="Q190" s="426"/>
      <c r="R190" s="426"/>
      <c r="S190" s="422" t="e">
        <f t="shared" si="7"/>
        <v>#N/A</v>
      </c>
      <c r="T190" s="426"/>
      <c r="U190" s="422"/>
      <c r="V190" s="422"/>
      <c r="W190" s="426"/>
      <c r="X190" s="426"/>
      <c r="Y190" s="447" t="e">
        <f t="shared" si="8"/>
        <v>#N/A</v>
      </c>
      <c r="Z190" s="640"/>
      <c r="AA190" s="640"/>
      <c r="AB190" s="640"/>
      <c r="AC190" s="640"/>
      <c r="AD190" s="640"/>
      <c r="AE190" s="640"/>
      <c r="AF190" s="640"/>
      <c r="AG190" s="640"/>
      <c r="AH190" s="640"/>
      <c r="AI190" s="640"/>
      <c r="AJ190" s="640"/>
      <c r="AK190" s="640"/>
    </row>
    <row r="191" spans="1:37" s="222" customFormat="1" ht="14.45" hidden="1" customHeight="1" x14ac:dyDescent="0.25">
      <c r="A191" s="415"/>
      <c r="B191" s="415" t="str">
        <f>'PEM sectors'!A10</f>
        <v>Stack</v>
      </c>
      <c r="C191" s="415" t="str">
        <f>'PEM sectors'!B10</f>
        <v>Tie rods and hardware</v>
      </c>
      <c r="D191" s="415">
        <f t="shared" si="4"/>
        <v>334419</v>
      </c>
      <c r="E191" s="415" t="str">
        <f t="shared" si="5"/>
        <v>Other electronic component manufacturing</v>
      </c>
      <c r="F191" s="420">
        <f>'PEM sectors'!E10</f>
        <v>0</v>
      </c>
      <c r="G191" s="420">
        <f t="shared" si="9"/>
        <v>0</v>
      </c>
      <c r="H191" s="421" t="e">
        <f t="shared" si="10"/>
        <v>#N/A</v>
      </c>
      <c r="I191" s="422"/>
      <c r="J191" s="422"/>
      <c r="K191" s="423" t="e">
        <f t="shared" si="6"/>
        <v>#N/A</v>
      </c>
      <c r="L191" s="423"/>
      <c r="M191" s="423" t="e">
        <f t="shared" si="11"/>
        <v>#N/A</v>
      </c>
      <c r="N191" s="422"/>
      <c r="O191" s="425"/>
      <c r="P191" s="425"/>
      <c r="Q191" s="426"/>
      <c r="R191" s="426"/>
      <c r="S191" s="422" t="e">
        <f t="shared" si="7"/>
        <v>#N/A</v>
      </c>
      <c r="T191" s="426"/>
      <c r="U191" s="422"/>
      <c r="V191" s="422"/>
      <c r="W191" s="426"/>
      <c r="X191" s="426"/>
      <c r="Y191" s="447" t="e">
        <f t="shared" si="8"/>
        <v>#N/A</v>
      </c>
      <c r="Z191" s="640"/>
      <c r="AA191" s="640"/>
      <c r="AB191" s="640"/>
      <c r="AC191" s="640"/>
      <c r="AD191" s="640"/>
      <c r="AE191" s="640"/>
      <c r="AF191" s="640"/>
      <c r="AG191" s="640"/>
      <c r="AH191" s="640"/>
      <c r="AI191" s="640"/>
      <c r="AJ191" s="640"/>
      <c r="AK191" s="640"/>
    </row>
    <row r="192" spans="1:37" s="222" customFormat="1" ht="14.45" hidden="1" customHeight="1" x14ac:dyDescent="0.25">
      <c r="A192" s="415"/>
      <c r="B192" s="415" t="str">
        <f>'PEM sectors'!A11</f>
        <v>Stack (MEA)</v>
      </c>
      <c r="C192" s="415" t="str">
        <f>'PEM sectors'!B11</f>
        <v>Carbon Cloth</v>
      </c>
      <c r="D192" s="415">
        <f t="shared" si="4"/>
        <v>334419</v>
      </c>
      <c r="E192" s="415" t="str">
        <f t="shared" si="5"/>
        <v>Other electronic component manufacturing</v>
      </c>
      <c r="F192" s="420">
        <f>'PEM sectors'!E11</f>
        <v>3.9153132250580045E-3</v>
      </c>
      <c r="G192" s="420">
        <f t="shared" si="9"/>
        <v>3.9153132250580045E-3</v>
      </c>
      <c r="H192" s="421" t="e">
        <f t="shared" si="10"/>
        <v>#N/A</v>
      </c>
      <c r="I192" s="422"/>
      <c r="J192" s="422"/>
      <c r="K192" s="423" t="e">
        <f t="shared" si="6"/>
        <v>#N/A</v>
      </c>
      <c r="L192" s="423"/>
      <c r="M192" s="423" t="e">
        <f t="shared" si="11"/>
        <v>#N/A</v>
      </c>
      <c r="N192" s="422"/>
      <c r="O192" s="425"/>
      <c r="P192" s="425"/>
      <c r="Q192" s="426"/>
      <c r="R192" s="426"/>
      <c r="S192" s="422" t="e">
        <f t="shared" si="7"/>
        <v>#N/A</v>
      </c>
      <c r="T192" s="426"/>
      <c r="U192" s="422"/>
      <c r="V192" s="422"/>
      <c r="W192" s="426"/>
      <c r="X192" s="426"/>
      <c r="Y192" s="447" t="e">
        <f t="shared" si="8"/>
        <v>#N/A</v>
      </c>
      <c r="Z192" s="640"/>
      <c r="AA192" s="640"/>
      <c r="AB192" s="640"/>
      <c r="AC192" s="640"/>
      <c r="AD192" s="640"/>
      <c r="AE192" s="640"/>
      <c r="AF192" s="640"/>
      <c r="AG192" s="640"/>
      <c r="AH192" s="640"/>
      <c r="AI192" s="640"/>
      <c r="AJ192" s="640"/>
      <c r="AK192" s="640"/>
    </row>
    <row r="193" spans="1:37" s="222" customFormat="1" ht="14.45" hidden="1" customHeight="1" x14ac:dyDescent="0.25">
      <c r="A193" s="415"/>
      <c r="B193" s="415" t="str">
        <f>'PEM sectors'!A12</f>
        <v>Stack (MEA)</v>
      </c>
      <c r="C193" s="415" t="str">
        <f>'PEM sectors'!B12</f>
        <v>Teflon</v>
      </c>
      <c r="D193" s="415">
        <f t="shared" si="4"/>
        <v>334419</v>
      </c>
      <c r="E193" s="415" t="str">
        <f t="shared" si="5"/>
        <v>Other electronic component manufacturing</v>
      </c>
      <c r="F193" s="420">
        <f>'PEM sectors'!E12</f>
        <v>0</v>
      </c>
      <c r="G193" s="420">
        <f t="shared" si="9"/>
        <v>0</v>
      </c>
      <c r="H193" s="421" t="e">
        <f t="shared" si="10"/>
        <v>#N/A</v>
      </c>
      <c r="I193" s="422"/>
      <c r="J193" s="422"/>
      <c r="K193" s="423" t="e">
        <f t="shared" si="6"/>
        <v>#N/A</v>
      </c>
      <c r="L193" s="423"/>
      <c r="M193" s="423" t="e">
        <f t="shared" si="11"/>
        <v>#N/A</v>
      </c>
      <c r="N193" s="422"/>
      <c r="O193" s="425"/>
      <c r="P193" s="425"/>
      <c r="Q193" s="426"/>
      <c r="R193" s="426"/>
      <c r="S193" s="422" t="e">
        <f t="shared" si="7"/>
        <v>#N/A</v>
      </c>
      <c r="T193" s="426"/>
      <c r="U193" s="422"/>
      <c r="V193" s="422"/>
      <c r="W193" s="426"/>
      <c r="X193" s="426"/>
      <c r="Y193" s="447" t="e">
        <f t="shared" si="8"/>
        <v>#N/A</v>
      </c>
      <c r="Z193" s="640"/>
      <c r="AA193" s="640"/>
      <c r="AB193" s="640"/>
      <c r="AC193" s="640"/>
      <c r="AD193" s="640"/>
      <c r="AE193" s="640"/>
      <c r="AF193" s="640"/>
      <c r="AG193" s="640"/>
      <c r="AH193" s="640"/>
      <c r="AI193" s="640"/>
      <c r="AJ193" s="640"/>
      <c r="AK193" s="640"/>
    </row>
    <row r="194" spans="1:37" s="222" customFormat="1" ht="14.45" hidden="1" customHeight="1" x14ac:dyDescent="0.25">
      <c r="A194" s="415"/>
      <c r="B194" s="415" t="str">
        <f>'PEM sectors'!A13</f>
        <v>Stack (MEA)</v>
      </c>
      <c r="C194" s="415" t="str">
        <f>'PEM sectors'!B13</f>
        <v>PFSA (Nafion)</v>
      </c>
      <c r="D194" s="415">
        <f t="shared" si="4"/>
        <v>334419</v>
      </c>
      <c r="E194" s="415" t="str">
        <f t="shared" si="5"/>
        <v>Other electronic component manufacturing</v>
      </c>
      <c r="F194" s="420">
        <f>'PEM sectors'!E13</f>
        <v>0</v>
      </c>
      <c r="G194" s="420">
        <f t="shared" si="9"/>
        <v>0</v>
      </c>
      <c r="H194" s="421" t="e">
        <f t="shared" si="10"/>
        <v>#N/A</v>
      </c>
      <c r="I194" s="422"/>
      <c r="J194" s="422"/>
      <c r="K194" s="423" t="e">
        <f t="shared" si="6"/>
        <v>#N/A</v>
      </c>
      <c r="L194" s="423"/>
      <c r="M194" s="423" t="e">
        <f t="shared" si="11"/>
        <v>#N/A</v>
      </c>
      <c r="N194" s="422"/>
      <c r="O194" s="425"/>
      <c r="P194" s="425"/>
      <c r="Q194" s="426"/>
      <c r="R194" s="426"/>
      <c r="S194" s="422" t="e">
        <f t="shared" si="7"/>
        <v>#N/A</v>
      </c>
      <c r="T194" s="426"/>
      <c r="U194" s="422"/>
      <c r="V194" s="422"/>
      <c r="W194" s="426"/>
      <c r="X194" s="426"/>
      <c r="Y194" s="447" t="e">
        <f t="shared" si="8"/>
        <v>#N/A</v>
      </c>
      <c r="Z194" s="640"/>
      <c r="AA194" s="640"/>
      <c r="AB194" s="640"/>
      <c r="AC194" s="640"/>
      <c r="AD194" s="640"/>
      <c r="AE194" s="640"/>
      <c r="AF194" s="640"/>
      <c r="AG194" s="640"/>
      <c r="AH194" s="640"/>
      <c r="AI194" s="640"/>
      <c r="AJ194" s="640"/>
      <c r="AK194" s="640"/>
    </row>
    <row r="195" spans="1:37" s="222" customFormat="1" ht="14.45" hidden="1" customHeight="1" x14ac:dyDescent="0.25">
      <c r="A195" s="415"/>
      <c r="B195" s="415" t="str">
        <f>'PEM sectors'!A14</f>
        <v>Stack (MEA)</v>
      </c>
      <c r="C195" s="415" t="str">
        <f>'PEM sectors'!B14</f>
        <v>Platinum</v>
      </c>
      <c r="D195" s="415">
        <f t="shared" si="4"/>
        <v>334419</v>
      </c>
      <c r="E195" s="415" t="str">
        <f t="shared" si="5"/>
        <v>Other electronic component manufacturing</v>
      </c>
      <c r="F195" s="420">
        <f>'PEM sectors'!E14</f>
        <v>0</v>
      </c>
      <c r="G195" s="420">
        <f t="shared" si="9"/>
        <v>0</v>
      </c>
      <c r="H195" s="421" t="e">
        <f t="shared" si="10"/>
        <v>#N/A</v>
      </c>
      <c r="I195" s="422"/>
      <c r="J195" s="422"/>
      <c r="K195" s="423" t="e">
        <f t="shared" si="6"/>
        <v>#N/A</v>
      </c>
      <c r="L195" s="423"/>
      <c r="M195" s="423" t="e">
        <f t="shared" si="11"/>
        <v>#N/A</v>
      </c>
      <c r="N195" s="422"/>
      <c r="O195" s="425"/>
      <c r="P195" s="425"/>
      <c r="Q195" s="426"/>
      <c r="R195" s="426"/>
      <c r="S195" s="422" t="e">
        <f t="shared" si="7"/>
        <v>#N/A</v>
      </c>
      <c r="T195" s="426"/>
      <c r="U195" s="422"/>
      <c r="V195" s="422"/>
      <c r="W195" s="426"/>
      <c r="X195" s="426"/>
      <c r="Y195" s="447" t="e">
        <f t="shared" si="8"/>
        <v>#N/A</v>
      </c>
      <c r="Z195" s="640"/>
      <c r="AA195" s="640"/>
      <c r="AB195" s="640"/>
      <c r="AC195" s="640"/>
      <c r="AD195" s="640"/>
      <c r="AE195" s="640"/>
      <c r="AF195" s="640"/>
      <c r="AG195" s="640"/>
      <c r="AH195" s="640"/>
      <c r="AI195" s="640"/>
      <c r="AJ195" s="640"/>
      <c r="AK195" s="640"/>
    </row>
    <row r="196" spans="1:37" s="222" customFormat="1" ht="14.45" hidden="1" customHeight="1" x14ac:dyDescent="0.25">
      <c r="A196" s="415"/>
      <c r="B196" s="415" t="str">
        <f>'PEM sectors'!A15</f>
        <v>Stack (MEA)</v>
      </c>
      <c r="C196" s="415" t="str">
        <f>'PEM sectors'!B15</f>
        <v>MEA mfg</v>
      </c>
      <c r="D196" s="415">
        <f t="shared" si="4"/>
        <v>334419</v>
      </c>
      <c r="E196" s="415" t="str">
        <f t="shared" si="5"/>
        <v>Other electronic component manufacturing</v>
      </c>
      <c r="F196" s="420">
        <f>'PEM sectors'!E15</f>
        <v>6.17314385150812E-3</v>
      </c>
      <c r="G196" s="420">
        <f t="shared" si="9"/>
        <v>6.17314385150812E-3</v>
      </c>
      <c r="H196" s="421" t="e">
        <f t="shared" si="10"/>
        <v>#N/A</v>
      </c>
      <c r="I196" s="422"/>
      <c r="J196" s="422"/>
      <c r="K196" s="423" t="e">
        <f t="shared" si="6"/>
        <v>#N/A</v>
      </c>
      <c r="L196" s="423"/>
      <c r="M196" s="423" t="e">
        <f t="shared" si="11"/>
        <v>#N/A</v>
      </c>
      <c r="N196" s="422"/>
      <c r="O196" s="425"/>
      <c r="P196" s="425"/>
      <c r="Q196" s="426"/>
      <c r="R196" s="426"/>
      <c r="S196" s="422" t="e">
        <f t="shared" si="7"/>
        <v>#N/A</v>
      </c>
      <c r="T196" s="426"/>
      <c r="U196" s="422"/>
      <c r="V196" s="422"/>
      <c r="W196" s="426"/>
      <c r="X196" s="426"/>
      <c r="Y196" s="447" t="e">
        <f t="shared" si="8"/>
        <v>#N/A</v>
      </c>
      <c r="Z196" s="640"/>
      <c r="AA196" s="640"/>
      <c r="AB196" s="640"/>
      <c r="AC196" s="640"/>
      <c r="AD196" s="640"/>
      <c r="AE196" s="640"/>
      <c r="AF196" s="640"/>
      <c r="AG196" s="640"/>
      <c r="AH196" s="640"/>
      <c r="AI196" s="640"/>
      <c r="AJ196" s="640"/>
      <c r="AK196" s="640"/>
    </row>
    <row r="197" spans="1:37" s="222" customFormat="1" ht="14.45" hidden="1" customHeight="1" x14ac:dyDescent="0.25">
      <c r="A197" s="415"/>
      <c r="B197" s="415" t="str">
        <f>'PEM sectors'!A18</f>
        <v>Stack</v>
      </c>
      <c r="C197" s="415" t="str">
        <f>'PEM sectors'!B18</f>
        <v>Stack assembly</v>
      </c>
      <c r="D197" s="415">
        <f t="shared" si="4"/>
        <v>334419</v>
      </c>
      <c r="E197" s="415" t="str">
        <f t="shared" si="5"/>
        <v>Other electronic component manufacturing</v>
      </c>
      <c r="F197" s="420">
        <f>'PEM sectors'!E18</f>
        <v>5.9454756380510438E-3</v>
      </c>
      <c r="G197" s="420">
        <f t="shared" si="9"/>
        <v>5.9454756380510438E-3</v>
      </c>
      <c r="H197" s="421" t="e">
        <f t="shared" si="10"/>
        <v>#N/A</v>
      </c>
      <c r="I197" s="422"/>
      <c r="J197" s="422"/>
      <c r="K197" s="423" t="e">
        <f t="shared" si="6"/>
        <v>#N/A</v>
      </c>
      <c r="L197" s="423"/>
      <c r="M197" s="423" t="e">
        <f t="shared" si="11"/>
        <v>#N/A</v>
      </c>
      <c r="N197" s="422"/>
      <c r="O197" s="425"/>
      <c r="P197" s="425"/>
      <c r="Q197" s="426"/>
      <c r="R197" s="426"/>
      <c r="S197" s="422" t="e">
        <f t="shared" si="7"/>
        <v>#N/A</v>
      </c>
      <c r="T197" s="426"/>
      <c r="U197" s="422"/>
      <c r="V197" s="422"/>
      <c r="W197" s="426"/>
      <c r="X197" s="426"/>
      <c r="Y197" s="447" t="e">
        <f t="shared" si="8"/>
        <v>#N/A</v>
      </c>
      <c r="Z197" s="640"/>
      <c r="AA197" s="640"/>
      <c r="AB197" s="640"/>
      <c r="AC197" s="640"/>
      <c r="AD197" s="640"/>
      <c r="AE197" s="640"/>
      <c r="AF197" s="640"/>
      <c r="AG197" s="640"/>
      <c r="AH197" s="640"/>
      <c r="AI197" s="640"/>
      <c r="AJ197" s="640"/>
      <c r="AK197" s="640"/>
    </row>
    <row r="198" spans="1:37" s="222" customFormat="1" ht="14.45" hidden="1" customHeight="1" x14ac:dyDescent="0.25">
      <c r="A198" s="415"/>
      <c r="B198" s="415"/>
      <c r="C198" s="415"/>
      <c r="D198" s="415"/>
      <c r="E198" s="452" t="s">
        <v>448</v>
      </c>
      <c r="F198" s="429">
        <f>SUM(F185:F197)</f>
        <v>6.2381090487238978E-2</v>
      </c>
      <c r="G198" s="429">
        <f>SUM(G185:G197)</f>
        <v>6.2381090487238978E-2</v>
      </c>
      <c r="H198" s="681" t="e">
        <f>SUM(H185:H197)</f>
        <v>#N/A</v>
      </c>
      <c r="I198" s="412"/>
      <c r="J198" s="412"/>
      <c r="K198" s="423" t="e">
        <f t="shared" si="6"/>
        <v>#N/A</v>
      </c>
      <c r="L198" s="423"/>
      <c r="M198" s="681" t="e">
        <f>SUM(M185:M197)</f>
        <v>#N/A</v>
      </c>
      <c r="N198" s="412"/>
      <c r="O198" s="412"/>
      <c r="P198" s="412"/>
      <c r="Q198" s="412"/>
      <c r="R198" s="412"/>
      <c r="S198" s="681" t="e">
        <f>SUM(S185:S197)</f>
        <v>#N/A</v>
      </c>
      <c r="T198" s="412"/>
      <c r="U198" s="681"/>
      <c r="V198" s="681"/>
      <c r="W198" s="415"/>
      <c r="X198" s="415"/>
      <c r="Y198" s="681" t="e">
        <f>SUM(Y185:Y197)</f>
        <v>#N/A</v>
      </c>
      <c r="Z198" s="640"/>
      <c r="AA198" s="640"/>
      <c r="AB198" s="640"/>
      <c r="AC198" s="640"/>
      <c r="AD198" s="640"/>
      <c r="AE198" s="640"/>
      <c r="AF198" s="640"/>
      <c r="AG198" s="640"/>
      <c r="AH198" s="640"/>
      <c r="AI198" s="640"/>
      <c r="AJ198" s="640"/>
      <c r="AK198" s="640"/>
    </row>
    <row r="199" spans="1:37" s="222" customFormat="1" ht="14.45" hidden="1" customHeight="1" x14ac:dyDescent="0.25">
      <c r="A199" s="415"/>
      <c r="B199" s="415"/>
      <c r="C199" s="415"/>
      <c r="D199" s="415"/>
      <c r="E199" s="415"/>
      <c r="F199" s="412"/>
      <c r="G199" s="412"/>
      <c r="H199" s="412"/>
      <c r="I199" s="412"/>
      <c r="J199" s="412"/>
      <c r="K199" s="412"/>
      <c r="L199" s="412"/>
      <c r="M199" s="412"/>
      <c r="N199" s="412"/>
      <c r="O199" s="412"/>
      <c r="P199" s="412"/>
      <c r="Q199" s="412"/>
      <c r="R199" s="412"/>
      <c r="S199" s="412"/>
      <c r="T199" s="412"/>
      <c r="U199" s="415"/>
      <c r="V199" s="415"/>
      <c r="W199" s="415"/>
      <c r="X199" s="415"/>
      <c r="Y199" s="415"/>
      <c r="Z199" s="640"/>
      <c r="AA199" s="640"/>
      <c r="AB199" s="640"/>
      <c r="AC199" s="640"/>
      <c r="AD199" s="640"/>
      <c r="AE199" s="640"/>
      <c r="AF199" s="640"/>
      <c r="AG199" s="640"/>
      <c r="AH199" s="640"/>
      <c r="AI199" s="640"/>
      <c r="AJ199" s="640"/>
      <c r="AK199" s="640"/>
    </row>
    <row r="200" spans="1:37" s="222" customFormat="1" ht="14.45" hidden="1" customHeight="1" x14ac:dyDescent="0.25">
      <c r="A200" s="415"/>
      <c r="B200" s="415"/>
      <c r="C200" s="415"/>
      <c r="D200" s="415"/>
      <c r="E200" s="415">
        <v>2015</v>
      </c>
      <c r="F200" s="682">
        <f t="shared" ref="F200:F205" si="12">F$198*F582</f>
        <v>0</v>
      </c>
      <c r="G200" s="682">
        <f t="shared" ref="G200:H205" si="13">G$198*$G582</f>
        <v>0</v>
      </c>
      <c r="H200" s="683" t="e">
        <f t="shared" si="13"/>
        <v>#N/A</v>
      </c>
      <c r="I200" s="683"/>
      <c r="J200" s="683"/>
      <c r="K200" s="683" t="e">
        <f t="shared" ref="K200:K205" si="14">K$198*$G582</f>
        <v>#N/A</v>
      </c>
      <c r="L200" s="683"/>
      <c r="M200" s="683" t="e">
        <f t="shared" ref="M200:M205" si="15">M$198*$G582</f>
        <v>#N/A</v>
      </c>
      <c r="N200" s="682">
        <f>G200</f>
        <v>0</v>
      </c>
      <c r="O200" s="682"/>
      <c r="P200" s="682"/>
      <c r="Q200" s="682">
        <f>N200</f>
        <v>0</v>
      </c>
      <c r="R200" s="682"/>
      <c r="S200" s="682" t="e">
        <f t="shared" ref="S200:S205" si="16">S$198*$G582</f>
        <v>#N/A</v>
      </c>
      <c r="T200" s="682">
        <f>N200</f>
        <v>0</v>
      </c>
      <c r="U200" s="682"/>
      <c r="V200" s="682"/>
      <c r="W200" s="682">
        <f>N200</f>
        <v>0</v>
      </c>
      <c r="X200" s="682"/>
      <c r="Y200" s="682" t="e">
        <f t="shared" ref="Y200:Y205" si="17">Y$198*$G582</f>
        <v>#N/A</v>
      </c>
      <c r="Z200" s="640"/>
      <c r="AA200" s="640"/>
      <c r="AB200" s="640"/>
      <c r="AC200" s="640"/>
      <c r="AD200" s="640"/>
      <c r="AE200" s="640"/>
      <c r="AF200" s="640"/>
      <c r="AG200" s="640"/>
      <c r="AH200" s="640"/>
      <c r="AI200" s="640"/>
      <c r="AJ200" s="640"/>
      <c r="AK200" s="640"/>
    </row>
    <row r="201" spans="1:37" s="222" customFormat="1" ht="14.45" hidden="1" customHeight="1" x14ac:dyDescent="0.25">
      <c r="A201" s="415"/>
      <c r="B201" s="415"/>
      <c r="C201" s="415"/>
      <c r="D201" s="415"/>
      <c r="E201" s="415">
        <v>2016</v>
      </c>
      <c r="F201" s="682">
        <f t="shared" si="12"/>
        <v>0</v>
      </c>
      <c r="G201" s="682">
        <f t="shared" si="13"/>
        <v>0</v>
      </c>
      <c r="H201" s="683" t="e">
        <f t="shared" si="13"/>
        <v>#N/A</v>
      </c>
      <c r="I201" s="683"/>
      <c r="J201" s="683"/>
      <c r="K201" s="683" t="e">
        <f t="shared" si="14"/>
        <v>#N/A</v>
      </c>
      <c r="L201" s="683"/>
      <c r="M201" s="683" t="e">
        <f t="shared" si="15"/>
        <v>#N/A</v>
      </c>
      <c r="N201" s="682">
        <f t="shared" ref="N201:N205" si="18">G201</f>
        <v>0</v>
      </c>
      <c r="O201" s="682"/>
      <c r="P201" s="682"/>
      <c r="Q201" s="682">
        <f t="shared" ref="Q201:Q205" si="19">N201</f>
        <v>0</v>
      </c>
      <c r="R201" s="682"/>
      <c r="S201" s="682" t="e">
        <f t="shared" si="16"/>
        <v>#N/A</v>
      </c>
      <c r="T201" s="682">
        <f t="shared" ref="T201:T205" si="20">N201</f>
        <v>0</v>
      </c>
      <c r="U201" s="682"/>
      <c r="V201" s="682"/>
      <c r="W201" s="682">
        <f t="shared" ref="W201:W205" si="21">N201</f>
        <v>0</v>
      </c>
      <c r="X201" s="682"/>
      <c r="Y201" s="682" t="e">
        <f t="shared" si="17"/>
        <v>#N/A</v>
      </c>
      <c r="Z201" s="640"/>
      <c r="AA201" s="640"/>
      <c r="AB201" s="640"/>
      <c r="AC201" s="640"/>
      <c r="AD201" s="640"/>
      <c r="AE201" s="640"/>
      <c r="AF201" s="640"/>
      <c r="AG201" s="640"/>
      <c r="AH201" s="640"/>
      <c r="AI201" s="640"/>
      <c r="AJ201" s="640"/>
      <c r="AK201" s="640"/>
    </row>
    <row r="202" spans="1:37" s="222" customFormat="1" ht="14.45" hidden="1" customHeight="1" x14ac:dyDescent="0.25">
      <c r="A202" s="415"/>
      <c r="B202" s="415"/>
      <c r="C202" s="415"/>
      <c r="D202" s="415"/>
      <c r="E202" s="415">
        <v>2017</v>
      </c>
      <c r="F202" s="682">
        <f t="shared" si="12"/>
        <v>0</v>
      </c>
      <c r="G202" s="682">
        <f t="shared" si="13"/>
        <v>0</v>
      </c>
      <c r="H202" s="683" t="e">
        <f t="shared" si="13"/>
        <v>#N/A</v>
      </c>
      <c r="I202" s="683"/>
      <c r="J202" s="683"/>
      <c r="K202" s="683" t="e">
        <f t="shared" si="14"/>
        <v>#N/A</v>
      </c>
      <c r="L202" s="683"/>
      <c r="M202" s="683" t="e">
        <f t="shared" si="15"/>
        <v>#N/A</v>
      </c>
      <c r="N202" s="682">
        <f t="shared" si="18"/>
        <v>0</v>
      </c>
      <c r="O202" s="682"/>
      <c r="P202" s="682"/>
      <c r="Q202" s="682">
        <f t="shared" si="19"/>
        <v>0</v>
      </c>
      <c r="R202" s="682"/>
      <c r="S202" s="682" t="e">
        <f t="shared" si="16"/>
        <v>#N/A</v>
      </c>
      <c r="T202" s="682">
        <f t="shared" si="20"/>
        <v>0</v>
      </c>
      <c r="U202" s="682"/>
      <c r="V202" s="682"/>
      <c r="W202" s="682">
        <f t="shared" si="21"/>
        <v>0</v>
      </c>
      <c r="X202" s="682"/>
      <c r="Y202" s="682" t="e">
        <f t="shared" si="17"/>
        <v>#N/A</v>
      </c>
      <c r="Z202" s="640"/>
      <c r="AA202" s="640"/>
      <c r="AB202" s="640"/>
      <c r="AC202" s="640"/>
      <c r="AD202" s="640"/>
      <c r="AE202" s="640"/>
      <c r="AF202" s="640"/>
      <c r="AG202" s="640"/>
      <c r="AH202" s="640"/>
      <c r="AI202" s="640"/>
      <c r="AJ202" s="640"/>
      <c r="AK202" s="640"/>
    </row>
    <row r="203" spans="1:37" s="222" customFormat="1" ht="14.45" hidden="1" customHeight="1" x14ac:dyDescent="0.25">
      <c r="A203" s="415"/>
      <c r="B203" s="415"/>
      <c r="C203" s="415"/>
      <c r="D203" s="415"/>
      <c r="E203" s="415">
        <v>2018</v>
      </c>
      <c r="F203" s="682">
        <f t="shared" si="12"/>
        <v>0</v>
      </c>
      <c r="G203" s="682">
        <f t="shared" si="13"/>
        <v>0</v>
      </c>
      <c r="H203" s="683" t="e">
        <f t="shared" si="13"/>
        <v>#N/A</v>
      </c>
      <c r="I203" s="683"/>
      <c r="J203" s="683"/>
      <c r="K203" s="683" t="e">
        <f t="shared" si="14"/>
        <v>#N/A</v>
      </c>
      <c r="L203" s="683"/>
      <c r="M203" s="683" t="e">
        <f t="shared" si="15"/>
        <v>#N/A</v>
      </c>
      <c r="N203" s="682">
        <f t="shared" si="18"/>
        <v>0</v>
      </c>
      <c r="O203" s="682"/>
      <c r="P203" s="682"/>
      <c r="Q203" s="682">
        <f t="shared" si="19"/>
        <v>0</v>
      </c>
      <c r="R203" s="682"/>
      <c r="S203" s="682" t="e">
        <f t="shared" si="16"/>
        <v>#N/A</v>
      </c>
      <c r="T203" s="682">
        <f t="shared" si="20"/>
        <v>0</v>
      </c>
      <c r="U203" s="682"/>
      <c r="V203" s="682"/>
      <c r="W203" s="682">
        <f t="shared" si="21"/>
        <v>0</v>
      </c>
      <c r="X203" s="682"/>
      <c r="Y203" s="682" t="e">
        <f t="shared" si="17"/>
        <v>#N/A</v>
      </c>
      <c r="Z203" s="640"/>
      <c r="AA203" s="640"/>
      <c r="AB203" s="640"/>
      <c r="AC203" s="640"/>
      <c r="AD203" s="640"/>
      <c r="AE203" s="640"/>
      <c r="AF203" s="640"/>
      <c r="AG203" s="640"/>
      <c r="AH203" s="640"/>
      <c r="AI203" s="640"/>
      <c r="AJ203" s="640"/>
      <c r="AK203" s="640"/>
    </row>
    <row r="204" spans="1:37" s="222" customFormat="1" ht="14.45" hidden="1" customHeight="1" x14ac:dyDescent="0.25">
      <c r="A204" s="415"/>
      <c r="B204" s="415"/>
      <c r="C204" s="415"/>
      <c r="D204" s="415"/>
      <c r="E204" s="415">
        <v>2019</v>
      </c>
      <c r="F204" s="682">
        <f t="shared" si="12"/>
        <v>0</v>
      </c>
      <c r="G204" s="682">
        <f t="shared" si="13"/>
        <v>0</v>
      </c>
      <c r="H204" s="683" t="e">
        <f t="shared" si="13"/>
        <v>#N/A</v>
      </c>
      <c r="I204" s="683"/>
      <c r="J204" s="683"/>
      <c r="K204" s="683" t="e">
        <f t="shared" si="14"/>
        <v>#N/A</v>
      </c>
      <c r="L204" s="683"/>
      <c r="M204" s="683" t="e">
        <f t="shared" si="15"/>
        <v>#N/A</v>
      </c>
      <c r="N204" s="682">
        <f t="shared" si="18"/>
        <v>0</v>
      </c>
      <c r="O204" s="682"/>
      <c r="P204" s="682"/>
      <c r="Q204" s="682">
        <f t="shared" si="19"/>
        <v>0</v>
      </c>
      <c r="R204" s="682"/>
      <c r="S204" s="682" t="e">
        <f t="shared" si="16"/>
        <v>#N/A</v>
      </c>
      <c r="T204" s="682">
        <f t="shared" si="20"/>
        <v>0</v>
      </c>
      <c r="U204" s="682"/>
      <c r="V204" s="682"/>
      <c r="W204" s="682">
        <f t="shared" si="21"/>
        <v>0</v>
      </c>
      <c r="X204" s="682"/>
      <c r="Y204" s="682" t="e">
        <f t="shared" si="17"/>
        <v>#N/A</v>
      </c>
      <c r="Z204" s="640"/>
      <c r="AA204" s="640"/>
      <c r="AB204" s="640"/>
      <c r="AC204" s="640"/>
      <c r="AD204" s="640"/>
      <c r="AE204" s="640"/>
      <c r="AF204" s="640"/>
      <c r="AG204" s="640"/>
      <c r="AH204" s="640"/>
      <c r="AI204" s="640"/>
      <c r="AJ204" s="640"/>
      <c r="AK204" s="640"/>
    </row>
    <row r="205" spans="1:37" s="222" customFormat="1" ht="14.45" hidden="1" customHeight="1" x14ac:dyDescent="0.25">
      <c r="A205" s="415"/>
      <c r="B205" s="415"/>
      <c r="C205" s="415"/>
      <c r="D205" s="415"/>
      <c r="E205" s="415">
        <v>2020</v>
      </c>
      <c r="F205" s="682">
        <f t="shared" si="12"/>
        <v>0</v>
      </c>
      <c r="G205" s="682">
        <f t="shared" si="13"/>
        <v>0</v>
      </c>
      <c r="H205" s="683" t="e">
        <f t="shared" si="13"/>
        <v>#N/A</v>
      </c>
      <c r="I205" s="683"/>
      <c r="J205" s="683"/>
      <c r="K205" s="683" t="e">
        <f t="shared" si="14"/>
        <v>#N/A</v>
      </c>
      <c r="L205" s="683"/>
      <c r="M205" s="683" t="e">
        <f t="shared" si="15"/>
        <v>#N/A</v>
      </c>
      <c r="N205" s="682">
        <f t="shared" si="18"/>
        <v>0</v>
      </c>
      <c r="O205" s="682"/>
      <c r="P205" s="682"/>
      <c r="Q205" s="682">
        <f t="shared" si="19"/>
        <v>0</v>
      </c>
      <c r="R205" s="682"/>
      <c r="S205" s="682" t="e">
        <f t="shared" si="16"/>
        <v>#N/A</v>
      </c>
      <c r="T205" s="682">
        <f t="shared" si="20"/>
        <v>0</v>
      </c>
      <c r="U205" s="682"/>
      <c r="V205" s="682"/>
      <c r="W205" s="682">
        <f t="shared" si="21"/>
        <v>0</v>
      </c>
      <c r="X205" s="682"/>
      <c r="Y205" s="682" t="e">
        <f t="shared" si="17"/>
        <v>#N/A</v>
      </c>
      <c r="Z205" s="640"/>
      <c r="AA205" s="640"/>
      <c r="AB205" s="640"/>
      <c r="AC205" s="640"/>
      <c r="AD205" s="640"/>
      <c r="AE205" s="640"/>
      <c r="AF205" s="640"/>
      <c r="AG205" s="640"/>
      <c r="AH205" s="640"/>
      <c r="AI205" s="640"/>
      <c r="AJ205" s="640"/>
      <c r="AK205" s="640"/>
    </row>
    <row r="206" spans="1:37" s="222" customFormat="1" ht="14.45" hidden="1" customHeight="1" x14ac:dyDescent="0.25">
      <c r="A206" s="415"/>
      <c r="B206" s="415"/>
      <c r="C206" s="415"/>
      <c r="D206" s="415"/>
      <c r="E206" s="415"/>
      <c r="F206" s="412"/>
      <c r="G206" s="412"/>
      <c r="H206" s="412"/>
      <c r="I206" s="412"/>
      <c r="J206" s="412"/>
      <c r="K206" s="412"/>
      <c r="L206" s="412"/>
      <c r="M206" s="412"/>
      <c r="N206" s="412"/>
      <c r="O206" s="412"/>
      <c r="P206" s="412"/>
      <c r="Q206" s="412"/>
      <c r="R206" s="412"/>
      <c r="S206" s="412"/>
      <c r="T206" s="412"/>
      <c r="U206" s="415"/>
      <c r="V206" s="415"/>
      <c r="W206" s="415"/>
      <c r="X206" s="415"/>
      <c r="Y206" s="415"/>
      <c r="Z206" s="640"/>
      <c r="AA206" s="640"/>
      <c r="AB206" s="640"/>
      <c r="AC206" s="640"/>
      <c r="AD206" s="640"/>
      <c r="AE206" s="640"/>
      <c r="AF206" s="640"/>
      <c r="AG206" s="640"/>
      <c r="AH206" s="640"/>
      <c r="AI206" s="640"/>
      <c r="AJ206" s="640"/>
      <c r="AK206" s="640"/>
    </row>
    <row r="207" spans="1:37" s="222" customFormat="1" ht="14.45" hidden="1" customHeight="1" x14ac:dyDescent="0.25">
      <c r="A207" s="415"/>
      <c r="B207" s="1187" t="s">
        <v>1566</v>
      </c>
      <c r="C207" s="1190"/>
      <c r="D207" s="412" t="s">
        <v>1572</v>
      </c>
      <c r="E207" s="412"/>
      <c r="F207" s="412"/>
      <c r="G207" s="412"/>
      <c r="H207" s="412"/>
      <c r="I207" s="412"/>
      <c r="J207" s="412"/>
      <c r="K207" s="412"/>
      <c r="L207" s="412"/>
      <c r="M207" s="412"/>
      <c r="N207" s="412"/>
      <c r="O207" s="412"/>
      <c r="P207" s="412"/>
      <c r="Q207" s="412"/>
      <c r="R207" s="412"/>
      <c r="S207" s="412"/>
      <c r="T207" s="412"/>
      <c r="U207" s="415"/>
      <c r="V207" s="415"/>
      <c r="W207" s="415"/>
      <c r="X207" s="415"/>
      <c r="Y207" s="415"/>
      <c r="Z207" s="640"/>
      <c r="AA207" s="640"/>
      <c r="AB207" s="640"/>
      <c r="AC207" s="640"/>
      <c r="AD207" s="640"/>
      <c r="AE207" s="640"/>
      <c r="AF207" s="640"/>
      <c r="AG207" s="640"/>
      <c r="AH207" s="640"/>
      <c r="AI207" s="640"/>
      <c r="AJ207" s="640"/>
      <c r="AK207" s="640"/>
    </row>
    <row r="208" spans="1:37" s="222" customFormat="1" ht="14.45" hidden="1" customHeight="1" x14ac:dyDescent="0.25">
      <c r="A208" s="417"/>
      <c r="B208" s="417"/>
      <c r="C208" s="417"/>
      <c r="D208" s="419" t="s">
        <v>412</v>
      </c>
      <c r="E208" s="419" t="s">
        <v>10</v>
      </c>
      <c r="F208" s="419" t="s">
        <v>428</v>
      </c>
      <c r="G208" s="419" t="str">
        <f>G$184</f>
        <v>Cost in 2008 dollars</v>
      </c>
      <c r="H208" s="417" t="s">
        <v>583</v>
      </c>
      <c r="I208" s="417" t="s">
        <v>584</v>
      </c>
      <c r="J208" s="417" t="s">
        <v>585</v>
      </c>
      <c r="K208" s="417" t="s">
        <v>586</v>
      </c>
      <c r="L208" s="417" t="s">
        <v>413</v>
      </c>
      <c r="M208" s="417" t="s">
        <v>414</v>
      </c>
      <c r="N208" s="417" t="s">
        <v>592</v>
      </c>
      <c r="O208" s="417" t="s">
        <v>587</v>
      </c>
      <c r="P208" s="417" t="s">
        <v>588</v>
      </c>
      <c r="Q208" s="417" t="s">
        <v>589</v>
      </c>
      <c r="R208" s="417" t="s">
        <v>590</v>
      </c>
      <c r="S208" s="417" t="s">
        <v>591</v>
      </c>
      <c r="T208" s="417" t="s">
        <v>593</v>
      </c>
      <c r="U208" s="417" t="s">
        <v>594</v>
      </c>
      <c r="V208" s="417" t="s">
        <v>595</v>
      </c>
      <c r="W208" s="417" t="s">
        <v>596</v>
      </c>
      <c r="X208" s="417" t="s">
        <v>597</v>
      </c>
      <c r="Y208" s="417" t="s">
        <v>598</v>
      </c>
      <c r="Z208" s="640"/>
      <c r="AA208" s="640"/>
      <c r="AB208" s="640"/>
      <c r="AC208" s="640"/>
      <c r="AD208" s="640"/>
      <c r="AE208" s="640"/>
      <c r="AF208" s="640"/>
      <c r="AG208" s="640"/>
      <c r="AH208" s="640"/>
      <c r="AI208" s="640"/>
      <c r="AJ208" s="640"/>
      <c r="AK208" s="640"/>
    </row>
    <row r="209" spans="1:37" s="222" customFormat="1" ht="14.45" hidden="1" customHeight="1" x14ac:dyDescent="0.25">
      <c r="A209" s="415"/>
      <c r="B209" s="415" t="str">
        <f>B185</f>
        <v>Stack</v>
      </c>
      <c r="C209" s="415" t="str">
        <f>'PEM sectors'!B4</f>
        <v>Cathode side gasket</v>
      </c>
      <c r="D209" s="415">
        <f>'PEM sectors'!C4</f>
        <v>339991</v>
      </c>
      <c r="E209" s="415" t="str">
        <f>'PEM sectors'!D4</f>
        <v xml:space="preserve">Gasket, packing, and sealing device manufacturing </v>
      </c>
      <c r="F209" s="684">
        <f>'PEM sectors'!F4</f>
        <v>3.9791183294663572E-3</v>
      </c>
      <c r="G209" s="420">
        <f>F209</f>
        <v>3.9791183294663572E-3</v>
      </c>
      <c r="H209" s="435" t="e">
        <f t="shared" ref="H209:H221" si="22">$G209*INDEX(tier_emp_mult, MATCH($D209, tier_emp_code,0), MATCH(State, R_emp, 0))/1000000</f>
        <v>#N/A</v>
      </c>
      <c r="I209" s="436" t="e">
        <f t="shared" ref="I209:I221" si="23">$G209*INDEX(typeI_emp_mult, MATCH($D209, typeI_emp_code,0), MATCH(State, R_emp, 0))/1000000</f>
        <v>#N/A</v>
      </c>
      <c r="J209" s="436" t="e">
        <f t="shared" ref="J209:J221" si="24">$G209*INDEX(typeII_emp_mult, MATCH($D209, typeII_emp_code,0), MATCH(State, R_emp, 0))/1000000</f>
        <v>#N/A</v>
      </c>
      <c r="K209" s="437" t="e">
        <f>H209</f>
        <v>#N/A</v>
      </c>
      <c r="L209" s="437" t="e">
        <f>I209-H209</f>
        <v>#N/A</v>
      </c>
      <c r="M209" s="437" t="e">
        <f>J209-I209</f>
        <v>#N/A</v>
      </c>
      <c r="N209" s="436" t="e">
        <f t="shared" ref="N209:N221" si="25">$G209*INDEX(tier_earn_mult, MATCH($D209, tier_earn_code,0), MATCH(State, R_earn, 0))</f>
        <v>#N/A</v>
      </c>
      <c r="O209" s="436" t="e">
        <f t="shared" ref="O209:O221" si="26">$G209*INDEX(typeI_earn_mult, MATCH($D209, typeI_earn_code,0), MATCH(State, R_earn, 0))</f>
        <v>#N/A</v>
      </c>
      <c r="P209" s="436" t="e">
        <f t="shared" ref="P209:P221" si="27">$G209*INDEX(typeII_earn_mult, MATCH($D209, typeII_earn_code,0), MATCH(State, R_earn, 0))</f>
        <v>#N/A</v>
      </c>
      <c r="Q209" s="438" t="e">
        <f>N209</f>
        <v>#N/A</v>
      </c>
      <c r="R209" s="438" t="e">
        <f>O209-N209</f>
        <v>#N/A</v>
      </c>
      <c r="S209" s="438" t="e">
        <f>P209-O209</f>
        <v>#N/A</v>
      </c>
      <c r="T209" s="436" t="e">
        <f t="shared" ref="T209:T221" si="28">$G209*INDEX(tier_out_mult, MATCH($D209, tier_out_code,0), MATCH(State, R_out, 0))</f>
        <v>#N/A</v>
      </c>
      <c r="U209" s="436" t="e">
        <f t="shared" ref="U209:U221" si="29">$G209*INDEX(typeI_out_mult, MATCH($D209, typeI_out_code,0), MATCH(State, R_out, 0))</f>
        <v>#N/A</v>
      </c>
      <c r="V209" s="436" t="e">
        <f t="shared" ref="V209:V221" si="30">$G209*INDEX(typeII_out_mult, MATCH($D209, typeII_out_code,0), MATCH(State, R_out, 0))</f>
        <v>#N/A</v>
      </c>
      <c r="W209" s="438" t="e">
        <f>T209</f>
        <v>#N/A</v>
      </c>
      <c r="X209" s="438" t="e">
        <f>U209-T209</f>
        <v>#N/A</v>
      </c>
      <c r="Y209" s="438" t="e">
        <f>V209-U209</f>
        <v>#N/A</v>
      </c>
      <c r="Z209" s="640"/>
      <c r="AA209" s="640"/>
      <c r="AB209" s="640"/>
      <c r="AC209" s="640"/>
      <c r="AD209" s="640"/>
      <c r="AE209" s="640"/>
      <c r="AF209" s="640"/>
      <c r="AG209" s="640"/>
      <c r="AH209" s="640"/>
      <c r="AI209" s="640"/>
      <c r="AJ209" s="640"/>
      <c r="AK209" s="640"/>
    </row>
    <row r="210" spans="1:37" s="222" customFormat="1" ht="14.45" hidden="1" customHeight="1" x14ac:dyDescent="0.25">
      <c r="A210" s="415"/>
      <c r="B210" s="415" t="str">
        <f t="shared" ref="B210:E221" si="31">B186</f>
        <v>Stack</v>
      </c>
      <c r="C210" s="415" t="str">
        <f>'PEM sectors'!B5</f>
        <v>Anode side gasket</v>
      </c>
      <c r="D210" s="415">
        <f>'PEM sectors'!C5</f>
        <v>339991</v>
      </c>
      <c r="E210" s="415" t="str">
        <f>'PEM sectors'!D5</f>
        <v xml:space="preserve">Gasket, packing, and sealing device manufacturing </v>
      </c>
      <c r="F210" s="684">
        <f>'PEM sectors'!F5</f>
        <v>4.0719257540603251E-3</v>
      </c>
      <c r="G210" s="420">
        <f t="shared" ref="G210:G220" si="32">F210</f>
        <v>4.0719257540603251E-3</v>
      </c>
      <c r="H210" s="435" t="e">
        <f t="shared" si="22"/>
        <v>#N/A</v>
      </c>
      <c r="I210" s="436" t="e">
        <f t="shared" si="23"/>
        <v>#N/A</v>
      </c>
      <c r="J210" s="436" t="e">
        <f t="shared" si="24"/>
        <v>#N/A</v>
      </c>
      <c r="K210" s="437" t="e">
        <f t="shared" ref="K210:K222" si="33">H210</f>
        <v>#N/A</v>
      </c>
      <c r="L210" s="437" t="e">
        <f t="shared" ref="L210:M222" si="34">I210-H210</f>
        <v>#N/A</v>
      </c>
      <c r="M210" s="437" t="e">
        <f t="shared" si="34"/>
        <v>#N/A</v>
      </c>
      <c r="N210" s="436" t="e">
        <f t="shared" si="25"/>
        <v>#N/A</v>
      </c>
      <c r="O210" s="436" t="e">
        <f t="shared" si="26"/>
        <v>#N/A</v>
      </c>
      <c r="P210" s="436" t="e">
        <f t="shared" si="27"/>
        <v>#N/A</v>
      </c>
      <c r="Q210" s="438" t="e">
        <f t="shared" ref="Q210:Q222" si="35">N210</f>
        <v>#N/A</v>
      </c>
      <c r="R210" s="438" t="e">
        <f t="shared" ref="R210:S222" si="36">O210-N210</f>
        <v>#N/A</v>
      </c>
      <c r="S210" s="438" t="e">
        <f t="shared" si="36"/>
        <v>#N/A</v>
      </c>
      <c r="T210" s="436" t="e">
        <f t="shared" si="28"/>
        <v>#N/A</v>
      </c>
      <c r="U210" s="436" t="e">
        <f t="shared" si="29"/>
        <v>#N/A</v>
      </c>
      <c r="V210" s="436" t="e">
        <f t="shared" si="30"/>
        <v>#N/A</v>
      </c>
      <c r="W210" s="438" t="e">
        <f t="shared" ref="W210:W222" si="37">T210</f>
        <v>#N/A</v>
      </c>
      <c r="X210" s="438" t="e">
        <f t="shared" ref="X210:Y222" si="38">U210-T210</f>
        <v>#N/A</v>
      </c>
      <c r="Y210" s="438" t="e">
        <f t="shared" si="38"/>
        <v>#N/A</v>
      </c>
      <c r="Z210" s="640"/>
      <c r="AA210" s="640"/>
      <c r="AB210" s="640"/>
      <c r="AC210" s="640"/>
      <c r="AD210" s="640"/>
      <c r="AE210" s="640"/>
      <c r="AF210" s="640"/>
      <c r="AG210" s="640"/>
      <c r="AH210" s="640"/>
      <c r="AI210" s="640"/>
      <c r="AJ210" s="640"/>
      <c r="AK210" s="640"/>
    </row>
    <row r="211" spans="1:37" s="222" customFormat="1" ht="14.45" hidden="1" customHeight="1" x14ac:dyDescent="0.25">
      <c r="A211" s="415"/>
      <c r="B211" s="415" t="str">
        <f t="shared" si="31"/>
        <v>Stack</v>
      </c>
      <c r="C211" s="415" t="str">
        <f>'PEM sectors'!B6</f>
        <v>Cooling gasket</v>
      </c>
      <c r="D211" s="415">
        <f>'PEM sectors'!C6</f>
        <v>339991</v>
      </c>
      <c r="E211" s="415" t="str">
        <f>'PEM sectors'!D6</f>
        <v xml:space="preserve">Gasket, packing, and sealing device manufacturing </v>
      </c>
      <c r="F211" s="684">
        <f>'PEM sectors'!F6</f>
        <v>3.9791183294663572E-3</v>
      </c>
      <c r="G211" s="420">
        <f t="shared" si="32"/>
        <v>3.9791183294663572E-3</v>
      </c>
      <c r="H211" s="435" t="e">
        <f t="shared" si="22"/>
        <v>#N/A</v>
      </c>
      <c r="I211" s="436" t="e">
        <f t="shared" si="23"/>
        <v>#N/A</v>
      </c>
      <c r="J211" s="436" t="e">
        <f t="shared" si="24"/>
        <v>#N/A</v>
      </c>
      <c r="K211" s="437" t="e">
        <f t="shared" si="33"/>
        <v>#N/A</v>
      </c>
      <c r="L211" s="437" t="e">
        <f t="shared" si="34"/>
        <v>#N/A</v>
      </c>
      <c r="M211" s="437" t="e">
        <f t="shared" si="34"/>
        <v>#N/A</v>
      </c>
      <c r="N211" s="436" t="e">
        <f t="shared" si="25"/>
        <v>#N/A</v>
      </c>
      <c r="O211" s="436" t="e">
        <f t="shared" si="26"/>
        <v>#N/A</v>
      </c>
      <c r="P211" s="436" t="e">
        <f t="shared" si="27"/>
        <v>#N/A</v>
      </c>
      <c r="Q211" s="438" t="e">
        <f t="shared" si="35"/>
        <v>#N/A</v>
      </c>
      <c r="R211" s="438" t="e">
        <f t="shared" si="36"/>
        <v>#N/A</v>
      </c>
      <c r="S211" s="438" t="e">
        <f t="shared" si="36"/>
        <v>#N/A</v>
      </c>
      <c r="T211" s="436" t="e">
        <f t="shared" si="28"/>
        <v>#N/A</v>
      </c>
      <c r="U211" s="436" t="e">
        <f t="shared" si="29"/>
        <v>#N/A</v>
      </c>
      <c r="V211" s="436" t="e">
        <f t="shared" si="30"/>
        <v>#N/A</v>
      </c>
      <c r="W211" s="438" t="e">
        <f t="shared" si="37"/>
        <v>#N/A</v>
      </c>
      <c r="X211" s="438" t="e">
        <f t="shared" si="38"/>
        <v>#N/A</v>
      </c>
      <c r="Y211" s="438" t="e">
        <f t="shared" si="38"/>
        <v>#N/A</v>
      </c>
      <c r="Z211" s="640"/>
      <c r="AA211" s="640"/>
      <c r="AB211" s="640"/>
      <c r="AC211" s="640"/>
      <c r="AD211" s="640"/>
      <c r="AE211" s="640"/>
      <c r="AF211" s="640"/>
      <c r="AG211" s="640"/>
      <c r="AH211" s="640"/>
      <c r="AI211" s="640"/>
      <c r="AJ211" s="640"/>
      <c r="AK211" s="640"/>
    </row>
    <row r="212" spans="1:37" s="222" customFormat="1" ht="15.75" hidden="1" x14ac:dyDescent="0.25">
      <c r="A212" s="415"/>
      <c r="B212" s="415" t="str">
        <f t="shared" si="31"/>
        <v>Stack</v>
      </c>
      <c r="C212" s="415" t="str">
        <f>'PEM sectors'!B7</f>
        <v>End gaskets</v>
      </c>
      <c r="D212" s="415">
        <f>'PEM sectors'!C7</f>
        <v>339991</v>
      </c>
      <c r="E212" s="415" t="str">
        <f>'PEM sectors'!D7</f>
        <v xml:space="preserve">Gasket, packing, and sealing device manufacturing </v>
      </c>
      <c r="F212" s="684">
        <f>'PEM sectors'!F7</f>
        <v>8.1206496519721586E-5</v>
      </c>
      <c r="G212" s="420">
        <f t="shared" si="32"/>
        <v>8.1206496519721586E-5</v>
      </c>
      <c r="H212" s="435" t="e">
        <f t="shared" si="22"/>
        <v>#N/A</v>
      </c>
      <c r="I212" s="436" t="e">
        <f t="shared" si="23"/>
        <v>#N/A</v>
      </c>
      <c r="J212" s="436" t="e">
        <f t="shared" si="24"/>
        <v>#N/A</v>
      </c>
      <c r="K212" s="437" t="e">
        <f t="shared" si="33"/>
        <v>#N/A</v>
      </c>
      <c r="L212" s="437" t="e">
        <f t="shared" si="34"/>
        <v>#N/A</v>
      </c>
      <c r="M212" s="437" t="e">
        <f t="shared" si="34"/>
        <v>#N/A</v>
      </c>
      <c r="N212" s="436" t="e">
        <f t="shared" si="25"/>
        <v>#N/A</v>
      </c>
      <c r="O212" s="436" t="e">
        <f t="shared" si="26"/>
        <v>#N/A</v>
      </c>
      <c r="P212" s="436" t="e">
        <f t="shared" si="27"/>
        <v>#N/A</v>
      </c>
      <c r="Q212" s="438" t="e">
        <f t="shared" si="35"/>
        <v>#N/A</v>
      </c>
      <c r="R212" s="438" t="e">
        <f t="shared" si="36"/>
        <v>#N/A</v>
      </c>
      <c r="S212" s="438" t="e">
        <f t="shared" si="36"/>
        <v>#N/A</v>
      </c>
      <c r="T212" s="436" t="e">
        <f t="shared" si="28"/>
        <v>#N/A</v>
      </c>
      <c r="U212" s="436" t="e">
        <f t="shared" si="29"/>
        <v>#N/A</v>
      </c>
      <c r="V212" s="436" t="e">
        <f t="shared" si="30"/>
        <v>#N/A</v>
      </c>
      <c r="W212" s="438" t="e">
        <f t="shared" si="37"/>
        <v>#N/A</v>
      </c>
      <c r="X212" s="438" t="e">
        <f t="shared" si="38"/>
        <v>#N/A</v>
      </c>
      <c r="Y212" s="438" t="e">
        <f t="shared" si="38"/>
        <v>#N/A</v>
      </c>
      <c r="Z212" s="640"/>
      <c r="AA212" s="640"/>
      <c r="AB212" s="640"/>
      <c r="AC212" s="640"/>
      <c r="AD212" s="640"/>
      <c r="AE212" s="640"/>
      <c r="AF212" s="640"/>
      <c r="AG212" s="640"/>
      <c r="AH212" s="640"/>
      <c r="AI212" s="640"/>
      <c r="AJ212" s="640"/>
      <c r="AK212" s="640"/>
    </row>
    <row r="213" spans="1:37" s="228" customFormat="1" ht="15.75" hidden="1" x14ac:dyDescent="0.25">
      <c r="A213" s="415"/>
      <c r="B213" s="415" t="str">
        <f t="shared" si="31"/>
        <v>Stack</v>
      </c>
      <c r="C213" s="415" t="str">
        <f>'PEM sectors'!B8</f>
        <v>End plates</v>
      </c>
      <c r="D213" s="415" t="str">
        <f>'PEM sectors'!C8</f>
        <v>33131B</v>
      </c>
      <c r="E213" s="415" t="str">
        <f>'PEM sectors'!D8</f>
        <v>Aluminum product manufacturing from purchased aluminum</v>
      </c>
      <c r="F213" s="684">
        <f>'PEM sectors'!F8</f>
        <v>1.8677494199535963E-3</v>
      </c>
      <c r="G213" s="420">
        <f t="shared" si="32"/>
        <v>1.8677494199535963E-3</v>
      </c>
      <c r="H213" s="435" t="e">
        <f t="shared" si="22"/>
        <v>#N/A</v>
      </c>
      <c r="I213" s="436" t="e">
        <f t="shared" si="23"/>
        <v>#N/A</v>
      </c>
      <c r="J213" s="436" t="e">
        <f t="shared" si="24"/>
        <v>#N/A</v>
      </c>
      <c r="K213" s="437" t="e">
        <f t="shared" si="33"/>
        <v>#N/A</v>
      </c>
      <c r="L213" s="437" t="e">
        <f t="shared" si="34"/>
        <v>#N/A</v>
      </c>
      <c r="M213" s="437" t="e">
        <f t="shared" si="34"/>
        <v>#N/A</v>
      </c>
      <c r="N213" s="436" t="e">
        <f t="shared" si="25"/>
        <v>#N/A</v>
      </c>
      <c r="O213" s="436" t="e">
        <f t="shared" si="26"/>
        <v>#N/A</v>
      </c>
      <c r="P213" s="436" t="e">
        <f t="shared" si="27"/>
        <v>#N/A</v>
      </c>
      <c r="Q213" s="438" t="e">
        <f t="shared" si="35"/>
        <v>#N/A</v>
      </c>
      <c r="R213" s="438" t="e">
        <f t="shared" si="36"/>
        <v>#N/A</v>
      </c>
      <c r="S213" s="438" t="e">
        <f t="shared" si="36"/>
        <v>#N/A</v>
      </c>
      <c r="T213" s="436" t="e">
        <f t="shared" si="28"/>
        <v>#N/A</v>
      </c>
      <c r="U213" s="436" t="e">
        <f t="shared" si="29"/>
        <v>#N/A</v>
      </c>
      <c r="V213" s="436" t="e">
        <f t="shared" si="30"/>
        <v>#N/A</v>
      </c>
      <c r="W213" s="438" t="e">
        <f t="shared" si="37"/>
        <v>#N/A</v>
      </c>
      <c r="X213" s="438" t="e">
        <f t="shared" si="38"/>
        <v>#N/A</v>
      </c>
      <c r="Y213" s="438" t="e">
        <f t="shared" si="38"/>
        <v>#N/A</v>
      </c>
      <c r="Z213" s="640"/>
      <c r="AA213" s="640"/>
      <c r="AB213" s="640"/>
      <c r="AC213" s="640"/>
      <c r="AD213" s="640"/>
      <c r="AE213" s="640"/>
      <c r="AF213" s="640"/>
      <c r="AG213" s="640"/>
      <c r="AH213" s="640"/>
      <c r="AI213" s="640"/>
      <c r="AJ213" s="640"/>
      <c r="AK213" s="640"/>
    </row>
    <row r="214" spans="1:37" s="229" customFormat="1" ht="15.75" hidden="1" x14ac:dyDescent="0.25">
      <c r="A214" s="415"/>
      <c r="B214" s="415" t="str">
        <f t="shared" si="31"/>
        <v>Stack</v>
      </c>
      <c r="C214" s="415" t="str">
        <f>'PEM sectors'!B9</f>
        <v xml:space="preserve">Bipolar plates </v>
      </c>
      <c r="D214" s="415">
        <f>'PEM sectors'!C9</f>
        <v>335991</v>
      </c>
      <c r="E214" s="415" t="str">
        <f>'PEM sectors'!D9</f>
        <v xml:space="preserve">Carbon and graphite product manufacturing </v>
      </c>
      <c r="F214" s="684">
        <f>'PEM sectors'!F9</f>
        <v>0.05</v>
      </c>
      <c r="G214" s="420">
        <f t="shared" si="32"/>
        <v>0.05</v>
      </c>
      <c r="H214" s="435" t="e">
        <f t="shared" si="22"/>
        <v>#N/A</v>
      </c>
      <c r="I214" s="436" t="e">
        <f t="shared" si="23"/>
        <v>#N/A</v>
      </c>
      <c r="J214" s="436" t="e">
        <f t="shared" si="24"/>
        <v>#N/A</v>
      </c>
      <c r="K214" s="437" t="e">
        <f t="shared" si="33"/>
        <v>#N/A</v>
      </c>
      <c r="L214" s="437" t="e">
        <f t="shared" si="34"/>
        <v>#N/A</v>
      </c>
      <c r="M214" s="437" t="e">
        <f t="shared" si="34"/>
        <v>#N/A</v>
      </c>
      <c r="N214" s="436" t="e">
        <f t="shared" si="25"/>
        <v>#N/A</v>
      </c>
      <c r="O214" s="436" t="e">
        <f t="shared" si="26"/>
        <v>#N/A</v>
      </c>
      <c r="P214" s="436" t="e">
        <f t="shared" si="27"/>
        <v>#N/A</v>
      </c>
      <c r="Q214" s="438" t="e">
        <f t="shared" si="35"/>
        <v>#N/A</v>
      </c>
      <c r="R214" s="438" t="e">
        <f t="shared" si="36"/>
        <v>#N/A</v>
      </c>
      <c r="S214" s="438" t="e">
        <f t="shared" si="36"/>
        <v>#N/A</v>
      </c>
      <c r="T214" s="436" t="e">
        <f t="shared" si="28"/>
        <v>#N/A</v>
      </c>
      <c r="U214" s="436" t="e">
        <f t="shared" si="29"/>
        <v>#N/A</v>
      </c>
      <c r="V214" s="436" t="e">
        <f t="shared" si="30"/>
        <v>#N/A</v>
      </c>
      <c r="W214" s="438" t="e">
        <f t="shared" si="37"/>
        <v>#N/A</v>
      </c>
      <c r="X214" s="438" t="e">
        <f t="shared" si="38"/>
        <v>#N/A</v>
      </c>
      <c r="Y214" s="438" t="e">
        <f t="shared" si="38"/>
        <v>#N/A</v>
      </c>
      <c r="Z214" s="640"/>
      <c r="AA214" s="640"/>
      <c r="AB214" s="640"/>
      <c r="AC214" s="640"/>
      <c r="AD214" s="640"/>
      <c r="AE214" s="640"/>
      <c r="AF214" s="640"/>
      <c r="AG214" s="640"/>
      <c r="AH214" s="640"/>
      <c r="AI214" s="640"/>
      <c r="AJ214" s="640"/>
      <c r="AK214" s="640"/>
    </row>
    <row r="215" spans="1:37" s="228" customFormat="1" ht="15.75" hidden="1" x14ac:dyDescent="0.25">
      <c r="A215" s="415"/>
      <c r="B215" s="415" t="str">
        <f t="shared" si="31"/>
        <v>Stack</v>
      </c>
      <c r="C215" s="415" t="str">
        <f>'PEM sectors'!B10</f>
        <v>Tie rods and hardware</v>
      </c>
      <c r="D215" s="415">
        <f>'PEM sectors'!C10</f>
        <v>331200</v>
      </c>
      <c r="E215" s="415" t="str">
        <f>'PEM sectors'!D10</f>
        <v xml:space="preserve">Steel product manufacturing from purchased steel </v>
      </c>
      <c r="F215" s="684">
        <f>'PEM sectors'!F10</f>
        <v>5.8004640371229696E-3</v>
      </c>
      <c r="G215" s="420">
        <f t="shared" si="32"/>
        <v>5.8004640371229696E-3</v>
      </c>
      <c r="H215" s="435" t="e">
        <f t="shared" si="22"/>
        <v>#N/A</v>
      </c>
      <c r="I215" s="436" t="e">
        <f t="shared" si="23"/>
        <v>#N/A</v>
      </c>
      <c r="J215" s="436" t="e">
        <f t="shared" si="24"/>
        <v>#N/A</v>
      </c>
      <c r="K215" s="437" t="e">
        <f t="shared" si="33"/>
        <v>#N/A</v>
      </c>
      <c r="L215" s="437" t="e">
        <f t="shared" si="34"/>
        <v>#N/A</v>
      </c>
      <c r="M215" s="437" t="e">
        <f t="shared" si="34"/>
        <v>#N/A</v>
      </c>
      <c r="N215" s="436" t="e">
        <f t="shared" si="25"/>
        <v>#N/A</v>
      </c>
      <c r="O215" s="436" t="e">
        <f t="shared" si="26"/>
        <v>#N/A</v>
      </c>
      <c r="P215" s="436" t="e">
        <f t="shared" si="27"/>
        <v>#N/A</v>
      </c>
      <c r="Q215" s="438" t="e">
        <f t="shared" si="35"/>
        <v>#N/A</v>
      </c>
      <c r="R215" s="438" t="e">
        <f t="shared" si="36"/>
        <v>#N/A</v>
      </c>
      <c r="S215" s="438" t="e">
        <f t="shared" si="36"/>
        <v>#N/A</v>
      </c>
      <c r="T215" s="436" t="e">
        <f t="shared" si="28"/>
        <v>#N/A</v>
      </c>
      <c r="U215" s="436" t="e">
        <f t="shared" si="29"/>
        <v>#N/A</v>
      </c>
      <c r="V215" s="436" t="e">
        <f t="shared" si="30"/>
        <v>#N/A</v>
      </c>
      <c r="W215" s="438" t="e">
        <f t="shared" si="37"/>
        <v>#N/A</v>
      </c>
      <c r="X215" s="438" t="e">
        <f t="shared" si="38"/>
        <v>#N/A</v>
      </c>
      <c r="Y215" s="438" t="e">
        <f t="shared" si="38"/>
        <v>#N/A</v>
      </c>
      <c r="Z215" s="640"/>
      <c r="AA215" s="640"/>
      <c r="AB215" s="640"/>
      <c r="AC215" s="640"/>
      <c r="AD215" s="640"/>
      <c r="AE215" s="640"/>
      <c r="AF215" s="640"/>
      <c r="AG215" s="640"/>
      <c r="AH215" s="640"/>
      <c r="AI215" s="640"/>
      <c r="AJ215" s="640"/>
      <c r="AK215" s="640"/>
    </row>
    <row r="216" spans="1:37" s="228" customFormat="1" ht="15.75" hidden="1" x14ac:dyDescent="0.25">
      <c r="A216" s="415"/>
      <c r="B216" s="415" t="str">
        <f t="shared" si="31"/>
        <v>Stack (MEA)</v>
      </c>
      <c r="C216" s="415" t="str">
        <f>'PEM sectors'!B11</f>
        <v>Carbon Cloth</v>
      </c>
      <c r="D216" s="415">
        <f>'PEM sectors'!C11</f>
        <v>335991</v>
      </c>
      <c r="E216" s="415" t="str">
        <f>'PEM sectors'!D11</f>
        <v xml:space="preserve">Carbon and graphite product manufacturing </v>
      </c>
      <c r="F216" s="684">
        <f>'PEM sectors'!F11</f>
        <v>2.6537122969837589E-2</v>
      </c>
      <c r="G216" s="420">
        <f t="shared" si="32"/>
        <v>2.6537122969837589E-2</v>
      </c>
      <c r="H216" s="435" t="e">
        <f t="shared" si="22"/>
        <v>#N/A</v>
      </c>
      <c r="I216" s="436" t="e">
        <f t="shared" si="23"/>
        <v>#N/A</v>
      </c>
      <c r="J216" s="436" t="e">
        <f t="shared" si="24"/>
        <v>#N/A</v>
      </c>
      <c r="K216" s="437" t="e">
        <f t="shared" si="33"/>
        <v>#N/A</v>
      </c>
      <c r="L216" s="437" t="e">
        <f t="shared" si="34"/>
        <v>#N/A</v>
      </c>
      <c r="M216" s="437" t="e">
        <f t="shared" si="34"/>
        <v>#N/A</v>
      </c>
      <c r="N216" s="436" t="e">
        <f t="shared" si="25"/>
        <v>#N/A</v>
      </c>
      <c r="O216" s="436" t="e">
        <f t="shared" si="26"/>
        <v>#N/A</v>
      </c>
      <c r="P216" s="436" t="e">
        <f t="shared" si="27"/>
        <v>#N/A</v>
      </c>
      <c r="Q216" s="438" t="e">
        <f t="shared" si="35"/>
        <v>#N/A</v>
      </c>
      <c r="R216" s="438" t="e">
        <f t="shared" si="36"/>
        <v>#N/A</v>
      </c>
      <c r="S216" s="438" t="e">
        <f t="shared" si="36"/>
        <v>#N/A</v>
      </c>
      <c r="T216" s="436" t="e">
        <f t="shared" si="28"/>
        <v>#N/A</v>
      </c>
      <c r="U216" s="436" t="e">
        <f t="shared" si="29"/>
        <v>#N/A</v>
      </c>
      <c r="V216" s="436" t="e">
        <f t="shared" si="30"/>
        <v>#N/A</v>
      </c>
      <c r="W216" s="438" t="e">
        <f t="shared" si="37"/>
        <v>#N/A</v>
      </c>
      <c r="X216" s="438" t="e">
        <f t="shared" si="38"/>
        <v>#N/A</v>
      </c>
      <c r="Y216" s="438" t="e">
        <f t="shared" si="38"/>
        <v>#N/A</v>
      </c>
      <c r="Z216" s="640"/>
      <c r="AA216" s="640"/>
      <c r="AB216" s="640"/>
      <c r="AC216" s="640"/>
      <c r="AD216" s="640"/>
      <c r="AE216" s="640"/>
      <c r="AF216" s="640"/>
      <c r="AG216" s="640"/>
      <c r="AH216" s="640"/>
      <c r="AI216" s="640"/>
      <c r="AJ216" s="640"/>
      <c r="AK216" s="640"/>
    </row>
    <row r="217" spans="1:37" s="228" customFormat="1" ht="15.75" hidden="1" x14ac:dyDescent="0.25">
      <c r="A217" s="415"/>
      <c r="B217" s="415" t="str">
        <f t="shared" si="31"/>
        <v>Stack (MEA)</v>
      </c>
      <c r="C217" s="415" t="str">
        <f>'PEM sectors'!B12</f>
        <v>Teflon</v>
      </c>
      <c r="D217" s="415">
        <f>'PEM sectors'!C12</f>
        <v>325211</v>
      </c>
      <c r="E217" s="415" t="str">
        <f>'PEM sectors'!D12</f>
        <v xml:space="preserve">Plastics material and resin manufacturing </v>
      </c>
      <c r="F217" s="684">
        <f>'PEM sectors'!F12</f>
        <v>0</v>
      </c>
      <c r="G217" s="420">
        <f t="shared" si="32"/>
        <v>0</v>
      </c>
      <c r="H217" s="435" t="e">
        <f t="shared" si="22"/>
        <v>#N/A</v>
      </c>
      <c r="I217" s="436" t="e">
        <f t="shared" si="23"/>
        <v>#N/A</v>
      </c>
      <c r="J217" s="436" t="e">
        <f t="shared" si="24"/>
        <v>#N/A</v>
      </c>
      <c r="K217" s="437" t="e">
        <f t="shared" si="33"/>
        <v>#N/A</v>
      </c>
      <c r="L217" s="437" t="e">
        <f t="shared" si="34"/>
        <v>#N/A</v>
      </c>
      <c r="M217" s="437" t="e">
        <f t="shared" si="34"/>
        <v>#N/A</v>
      </c>
      <c r="N217" s="436" t="e">
        <f t="shared" si="25"/>
        <v>#N/A</v>
      </c>
      <c r="O217" s="436" t="e">
        <f t="shared" si="26"/>
        <v>#N/A</v>
      </c>
      <c r="P217" s="436" t="e">
        <f t="shared" si="27"/>
        <v>#N/A</v>
      </c>
      <c r="Q217" s="438" t="e">
        <f t="shared" si="35"/>
        <v>#N/A</v>
      </c>
      <c r="R217" s="438" t="e">
        <f t="shared" si="36"/>
        <v>#N/A</v>
      </c>
      <c r="S217" s="438" t="e">
        <f t="shared" si="36"/>
        <v>#N/A</v>
      </c>
      <c r="T217" s="436" t="e">
        <f t="shared" si="28"/>
        <v>#N/A</v>
      </c>
      <c r="U217" s="436" t="e">
        <f t="shared" si="29"/>
        <v>#N/A</v>
      </c>
      <c r="V217" s="436" t="e">
        <f t="shared" si="30"/>
        <v>#N/A</v>
      </c>
      <c r="W217" s="438" t="e">
        <f t="shared" si="37"/>
        <v>#N/A</v>
      </c>
      <c r="X217" s="438" t="e">
        <f t="shared" si="38"/>
        <v>#N/A</v>
      </c>
      <c r="Y217" s="438" t="e">
        <f t="shared" si="38"/>
        <v>#N/A</v>
      </c>
      <c r="Z217" s="640"/>
      <c r="AA217" s="640"/>
      <c r="AB217" s="640"/>
      <c r="AC217" s="640"/>
      <c r="AD217" s="640"/>
      <c r="AE217" s="640"/>
      <c r="AF217" s="640"/>
      <c r="AG217" s="640"/>
      <c r="AH217" s="640"/>
      <c r="AI217" s="640"/>
      <c r="AJ217" s="640"/>
      <c r="AK217" s="640"/>
    </row>
    <row r="218" spans="1:37" s="228" customFormat="1" ht="15.75" hidden="1" x14ac:dyDescent="0.25">
      <c r="A218" s="415"/>
      <c r="B218" s="415" t="str">
        <f t="shared" si="31"/>
        <v>Stack (MEA)</v>
      </c>
      <c r="C218" s="415" t="str">
        <f>'PEM sectors'!B13</f>
        <v>PFSA (Nafion)</v>
      </c>
      <c r="D218" s="415">
        <f>'PEM sectors'!C13</f>
        <v>325211</v>
      </c>
      <c r="E218" s="415" t="str">
        <f>'PEM sectors'!D13</f>
        <v xml:space="preserve">Plastics material and resin manufacturing </v>
      </c>
      <c r="F218" s="684">
        <f>'PEM sectors'!F13</f>
        <v>9.1357308584686769E-2</v>
      </c>
      <c r="G218" s="420">
        <f t="shared" si="32"/>
        <v>9.1357308584686769E-2</v>
      </c>
      <c r="H218" s="435" t="e">
        <f t="shared" si="22"/>
        <v>#N/A</v>
      </c>
      <c r="I218" s="436" t="e">
        <f t="shared" si="23"/>
        <v>#N/A</v>
      </c>
      <c r="J218" s="436" t="e">
        <f t="shared" si="24"/>
        <v>#N/A</v>
      </c>
      <c r="K218" s="437" t="e">
        <f t="shared" si="33"/>
        <v>#N/A</v>
      </c>
      <c r="L218" s="437" t="e">
        <f t="shared" si="34"/>
        <v>#N/A</v>
      </c>
      <c r="M218" s="437" t="e">
        <f t="shared" si="34"/>
        <v>#N/A</v>
      </c>
      <c r="N218" s="436" t="e">
        <f t="shared" si="25"/>
        <v>#N/A</v>
      </c>
      <c r="O218" s="436" t="e">
        <f t="shared" si="26"/>
        <v>#N/A</v>
      </c>
      <c r="P218" s="436" t="e">
        <f t="shared" si="27"/>
        <v>#N/A</v>
      </c>
      <c r="Q218" s="438" t="e">
        <f t="shared" si="35"/>
        <v>#N/A</v>
      </c>
      <c r="R218" s="438" t="e">
        <f t="shared" si="36"/>
        <v>#N/A</v>
      </c>
      <c r="S218" s="438" t="e">
        <f t="shared" si="36"/>
        <v>#N/A</v>
      </c>
      <c r="T218" s="436" t="e">
        <f t="shared" si="28"/>
        <v>#N/A</v>
      </c>
      <c r="U218" s="436" t="e">
        <f t="shared" si="29"/>
        <v>#N/A</v>
      </c>
      <c r="V218" s="436" t="e">
        <f t="shared" si="30"/>
        <v>#N/A</v>
      </c>
      <c r="W218" s="438" t="e">
        <f t="shared" si="37"/>
        <v>#N/A</v>
      </c>
      <c r="X218" s="438" t="e">
        <f t="shared" si="38"/>
        <v>#N/A</v>
      </c>
      <c r="Y218" s="438" t="e">
        <f t="shared" si="38"/>
        <v>#N/A</v>
      </c>
      <c r="Z218" s="640"/>
      <c r="AA218" s="640"/>
      <c r="AB218" s="640"/>
      <c r="AC218" s="640"/>
      <c r="AD218" s="640"/>
      <c r="AE218" s="640"/>
      <c r="AF218" s="640"/>
      <c r="AG218" s="640"/>
      <c r="AH218" s="640"/>
      <c r="AI218" s="640"/>
      <c r="AJ218" s="640"/>
      <c r="AK218" s="640"/>
    </row>
    <row r="219" spans="1:37" s="228" customFormat="1" ht="14.45" hidden="1" customHeight="1" x14ac:dyDescent="0.25">
      <c r="A219" s="415"/>
      <c r="B219" s="415" t="str">
        <f t="shared" si="31"/>
        <v>Stack (MEA)</v>
      </c>
      <c r="C219" s="415" t="str">
        <f>'PEM sectors'!B14</f>
        <v>Platinum</v>
      </c>
      <c r="D219" s="415">
        <f>'PEM sectors'!C14</f>
        <v>331490</v>
      </c>
      <c r="E219" s="415" t="str">
        <f>'PEM sectors'!D14</f>
        <v xml:space="preserve">Nonferrous metal (except copper and aluminum) rolling, drawing, extruding and alloying </v>
      </c>
      <c r="F219" s="684">
        <f>'PEM sectors'!F14</f>
        <v>7.8306264501160086E-2</v>
      </c>
      <c r="G219" s="420">
        <f t="shared" si="32"/>
        <v>7.8306264501160086E-2</v>
      </c>
      <c r="H219" s="435" t="e">
        <f t="shared" si="22"/>
        <v>#N/A</v>
      </c>
      <c r="I219" s="436" t="e">
        <f t="shared" si="23"/>
        <v>#N/A</v>
      </c>
      <c r="J219" s="436" t="e">
        <f t="shared" si="24"/>
        <v>#N/A</v>
      </c>
      <c r="K219" s="437" t="e">
        <f t="shared" si="33"/>
        <v>#N/A</v>
      </c>
      <c r="L219" s="437" t="e">
        <f t="shared" si="34"/>
        <v>#N/A</v>
      </c>
      <c r="M219" s="437" t="e">
        <f t="shared" si="34"/>
        <v>#N/A</v>
      </c>
      <c r="N219" s="436" t="e">
        <f t="shared" si="25"/>
        <v>#N/A</v>
      </c>
      <c r="O219" s="436" t="e">
        <f t="shared" si="26"/>
        <v>#N/A</v>
      </c>
      <c r="P219" s="436" t="e">
        <f t="shared" si="27"/>
        <v>#N/A</v>
      </c>
      <c r="Q219" s="438" t="e">
        <f t="shared" si="35"/>
        <v>#N/A</v>
      </c>
      <c r="R219" s="438" t="e">
        <f t="shared" si="36"/>
        <v>#N/A</v>
      </c>
      <c r="S219" s="438" t="e">
        <f t="shared" si="36"/>
        <v>#N/A</v>
      </c>
      <c r="T219" s="436" t="e">
        <f t="shared" si="28"/>
        <v>#N/A</v>
      </c>
      <c r="U219" s="436" t="e">
        <f t="shared" si="29"/>
        <v>#N/A</v>
      </c>
      <c r="V219" s="436" t="e">
        <f t="shared" si="30"/>
        <v>#N/A</v>
      </c>
      <c r="W219" s="438" t="e">
        <f t="shared" si="37"/>
        <v>#N/A</v>
      </c>
      <c r="X219" s="438" t="e">
        <f t="shared" si="38"/>
        <v>#N/A</v>
      </c>
      <c r="Y219" s="438" t="e">
        <f t="shared" si="38"/>
        <v>#N/A</v>
      </c>
      <c r="Z219" s="640"/>
      <c r="AA219" s="640"/>
      <c r="AB219" s="640"/>
      <c r="AC219" s="640"/>
      <c r="AD219" s="640"/>
      <c r="AE219" s="640"/>
      <c r="AF219" s="640"/>
      <c r="AG219" s="640"/>
      <c r="AH219" s="640"/>
      <c r="AI219" s="640"/>
      <c r="AJ219" s="640"/>
      <c r="AK219" s="640"/>
    </row>
    <row r="220" spans="1:37" s="228" customFormat="1" ht="14.45" hidden="1" customHeight="1" x14ac:dyDescent="0.25">
      <c r="A220" s="415"/>
      <c r="B220" s="415" t="str">
        <f t="shared" si="31"/>
        <v>Stack (MEA)</v>
      </c>
      <c r="C220" s="415" t="str">
        <f>'PEM sectors'!B15</f>
        <v>MEA mfg</v>
      </c>
      <c r="D220" s="415">
        <f>'PEM sectors'!C15</f>
        <v>334419</v>
      </c>
      <c r="E220" s="415" t="str">
        <f>'PEM sectors'!D15</f>
        <v>Other electronic component manufacturing</v>
      </c>
      <c r="F220" s="684">
        <f>'PEM sectors'!F15</f>
        <v>0</v>
      </c>
      <c r="G220" s="420">
        <f t="shared" si="32"/>
        <v>0</v>
      </c>
      <c r="H220" s="435" t="e">
        <f t="shared" si="22"/>
        <v>#N/A</v>
      </c>
      <c r="I220" s="436" t="e">
        <f t="shared" si="23"/>
        <v>#N/A</v>
      </c>
      <c r="J220" s="436" t="e">
        <f t="shared" si="24"/>
        <v>#N/A</v>
      </c>
      <c r="K220" s="437" t="e">
        <f t="shared" si="33"/>
        <v>#N/A</v>
      </c>
      <c r="L220" s="437" t="e">
        <f t="shared" si="34"/>
        <v>#N/A</v>
      </c>
      <c r="M220" s="437" t="e">
        <f t="shared" si="34"/>
        <v>#N/A</v>
      </c>
      <c r="N220" s="436" t="e">
        <f t="shared" si="25"/>
        <v>#N/A</v>
      </c>
      <c r="O220" s="436" t="e">
        <f t="shared" si="26"/>
        <v>#N/A</v>
      </c>
      <c r="P220" s="436" t="e">
        <f t="shared" si="27"/>
        <v>#N/A</v>
      </c>
      <c r="Q220" s="438" t="e">
        <f t="shared" si="35"/>
        <v>#N/A</v>
      </c>
      <c r="R220" s="438" t="e">
        <f t="shared" si="36"/>
        <v>#N/A</v>
      </c>
      <c r="S220" s="438" t="e">
        <f t="shared" si="36"/>
        <v>#N/A</v>
      </c>
      <c r="T220" s="436" t="e">
        <f t="shared" si="28"/>
        <v>#N/A</v>
      </c>
      <c r="U220" s="436" t="e">
        <f t="shared" si="29"/>
        <v>#N/A</v>
      </c>
      <c r="V220" s="436" t="e">
        <f t="shared" si="30"/>
        <v>#N/A</v>
      </c>
      <c r="W220" s="438" t="e">
        <f t="shared" si="37"/>
        <v>#N/A</v>
      </c>
      <c r="X220" s="438" t="e">
        <f t="shared" si="38"/>
        <v>#N/A</v>
      </c>
      <c r="Y220" s="438" t="e">
        <f t="shared" si="38"/>
        <v>#N/A</v>
      </c>
      <c r="Z220" s="640"/>
      <c r="AA220" s="640"/>
      <c r="AB220" s="640"/>
      <c r="AC220" s="640"/>
      <c r="AD220" s="640"/>
      <c r="AE220" s="640"/>
      <c r="AF220" s="640"/>
      <c r="AG220" s="640"/>
      <c r="AH220" s="640"/>
      <c r="AI220" s="640"/>
      <c r="AJ220" s="640"/>
      <c r="AK220" s="640"/>
    </row>
    <row r="221" spans="1:37" s="228" customFormat="1" ht="14.45" hidden="1" customHeight="1" x14ac:dyDescent="0.25">
      <c r="A221" s="415"/>
      <c r="B221" s="415" t="str">
        <f t="shared" si="31"/>
        <v>Stack</v>
      </c>
      <c r="C221" s="415" t="str">
        <f t="shared" si="31"/>
        <v>Stack assembly</v>
      </c>
      <c r="D221" s="415">
        <f t="shared" si="31"/>
        <v>334419</v>
      </c>
      <c r="E221" s="415" t="str">
        <f t="shared" si="31"/>
        <v>Other electronic component manufacturing</v>
      </c>
      <c r="F221" s="684">
        <f>'PEM sectors'!F18</f>
        <v>0</v>
      </c>
      <c r="G221" s="684">
        <f>'PEM sectors'!G18</f>
        <v>0</v>
      </c>
      <c r="H221" s="435" t="e">
        <f t="shared" si="22"/>
        <v>#N/A</v>
      </c>
      <c r="I221" s="436" t="e">
        <f t="shared" si="23"/>
        <v>#N/A</v>
      </c>
      <c r="J221" s="436" t="e">
        <f t="shared" si="24"/>
        <v>#N/A</v>
      </c>
      <c r="K221" s="437" t="e">
        <f t="shared" si="33"/>
        <v>#N/A</v>
      </c>
      <c r="L221" s="437" t="e">
        <f t="shared" si="34"/>
        <v>#N/A</v>
      </c>
      <c r="M221" s="437" t="e">
        <f t="shared" si="34"/>
        <v>#N/A</v>
      </c>
      <c r="N221" s="436" t="e">
        <f t="shared" si="25"/>
        <v>#N/A</v>
      </c>
      <c r="O221" s="436" t="e">
        <f t="shared" si="26"/>
        <v>#N/A</v>
      </c>
      <c r="P221" s="436" t="e">
        <f t="shared" si="27"/>
        <v>#N/A</v>
      </c>
      <c r="Q221" s="438" t="e">
        <f t="shared" si="35"/>
        <v>#N/A</v>
      </c>
      <c r="R221" s="438" t="e">
        <f t="shared" si="36"/>
        <v>#N/A</v>
      </c>
      <c r="S221" s="438" t="e">
        <f t="shared" si="36"/>
        <v>#N/A</v>
      </c>
      <c r="T221" s="436" t="e">
        <f t="shared" si="28"/>
        <v>#N/A</v>
      </c>
      <c r="U221" s="436" t="e">
        <f t="shared" si="29"/>
        <v>#N/A</v>
      </c>
      <c r="V221" s="436" t="e">
        <f t="shared" si="30"/>
        <v>#N/A</v>
      </c>
      <c r="W221" s="438" t="e">
        <f t="shared" si="37"/>
        <v>#N/A</v>
      </c>
      <c r="X221" s="438" t="e">
        <f t="shared" si="38"/>
        <v>#N/A</v>
      </c>
      <c r="Y221" s="438" t="e">
        <f t="shared" si="38"/>
        <v>#N/A</v>
      </c>
      <c r="Z221" s="640"/>
      <c r="AA221" s="640"/>
      <c r="AB221" s="640"/>
      <c r="AC221" s="640"/>
      <c r="AD221" s="640"/>
      <c r="AE221" s="640"/>
      <c r="AF221" s="640"/>
      <c r="AG221" s="640"/>
      <c r="AH221" s="640"/>
      <c r="AI221" s="640"/>
      <c r="AJ221" s="640"/>
      <c r="AK221" s="640"/>
    </row>
    <row r="222" spans="1:37" s="228" customFormat="1" ht="14.45" hidden="1" customHeight="1" x14ac:dyDescent="0.25">
      <c r="A222" s="415"/>
      <c r="B222" s="415"/>
      <c r="C222" s="415"/>
      <c r="D222" s="415"/>
      <c r="E222" s="452" t="s">
        <v>448</v>
      </c>
      <c r="F222" s="429">
        <f>SUM(F209:F221)</f>
        <v>0.26598027842227379</v>
      </c>
      <c r="G222" s="429">
        <f>SUM(G209:G220)</f>
        <v>0.26598027842227379</v>
      </c>
      <c r="H222" s="435" t="e">
        <f>SUM(H209:H221)</f>
        <v>#N/A</v>
      </c>
      <c r="I222" s="435" t="e">
        <f t="shared" ref="I222:J222" si="39">SUM(I209:I221)</f>
        <v>#N/A</v>
      </c>
      <c r="J222" s="435" t="e">
        <f t="shared" si="39"/>
        <v>#N/A</v>
      </c>
      <c r="K222" s="437" t="e">
        <f t="shared" si="33"/>
        <v>#N/A</v>
      </c>
      <c r="L222" s="437" t="e">
        <f t="shared" si="34"/>
        <v>#N/A</v>
      </c>
      <c r="M222" s="437" t="e">
        <f t="shared" si="34"/>
        <v>#N/A</v>
      </c>
      <c r="N222" s="435" t="e">
        <f>SUM(N209:N221)</f>
        <v>#N/A</v>
      </c>
      <c r="O222" s="435" t="e">
        <f t="shared" ref="O222:P222" si="40">SUM(O209:O221)</f>
        <v>#N/A</v>
      </c>
      <c r="P222" s="435" t="e">
        <f t="shared" si="40"/>
        <v>#N/A</v>
      </c>
      <c r="Q222" s="437" t="e">
        <f t="shared" si="35"/>
        <v>#N/A</v>
      </c>
      <c r="R222" s="437" t="e">
        <f t="shared" si="36"/>
        <v>#N/A</v>
      </c>
      <c r="S222" s="437" t="e">
        <f t="shared" si="36"/>
        <v>#N/A</v>
      </c>
      <c r="T222" s="435" t="e">
        <f>SUM(T209:T221)</f>
        <v>#N/A</v>
      </c>
      <c r="U222" s="435" t="e">
        <f t="shared" ref="U222:V222" si="41">SUM(U209:U221)</f>
        <v>#N/A</v>
      </c>
      <c r="V222" s="435" t="e">
        <f t="shared" si="41"/>
        <v>#N/A</v>
      </c>
      <c r="W222" s="437" t="e">
        <f t="shared" si="37"/>
        <v>#N/A</v>
      </c>
      <c r="X222" s="437" t="e">
        <f t="shared" si="38"/>
        <v>#N/A</v>
      </c>
      <c r="Y222" s="437" t="e">
        <f t="shared" si="38"/>
        <v>#N/A</v>
      </c>
      <c r="Z222" s="640"/>
      <c r="AA222" s="640"/>
      <c r="AB222" s="640"/>
      <c r="AC222" s="640"/>
      <c r="AD222" s="640"/>
      <c r="AE222" s="640"/>
      <c r="AF222" s="640"/>
      <c r="AG222" s="640"/>
      <c r="AH222" s="640"/>
      <c r="AI222" s="640"/>
      <c r="AJ222" s="640"/>
      <c r="AK222" s="640"/>
    </row>
    <row r="223" spans="1:37" s="228" customFormat="1" ht="14.45" hidden="1" customHeight="1" x14ac:dyDescent="0.25">
      <c r="A223" s="415"/>
      <c r="B223" s="415"/>
      <c r="C223" s="415"/>
      <c r="D223" s="412"/>
      <c r="E223" s="415"/>
      <c r="F223" s="412"/>
      <c r="G223" s="412"/>
      <c r="H223" s="412"/>
      <c r="I223" s="412"/>
      <c r="J223" s="412"/>
      <c r="K223" s="412"/>
      <c r="L223" s="412"/>
      <c r="M223" s="412"/>
      <c r="N223" s="412"/>
      <c r="O223" s="412"/>
      <c r="P223" s="412"/>
      <c r="Q223" s="412"/>
      <c r="R223" s="412"/>
      <c r="S223" s="412"/>
      <c r="T223" s="412"/>
      <c r="U223" s="415"/>
      <c r="V223" s="415"/>
      <c r="W223" s="415"/>
      <c r="X223" s="415"/>
      <c r="Y223" s="415"/>
      <c r="Z223" s="640"/>
      <c r="AA223" s="640"/>
      <c r="AB223" s="640"/>
      <c r="AC223" s="640"/>
      <c r="AD223" s="640"/>
      <c r="AE223" s="640"/>
      <c r="AF223" s="640"/>
      <c r="AG223" s="640"/>
      <c r="AH223" s="640"/>
      <c r="AI223" s="640"/>
      <c r="AJ223" s="640"/>
      <c r="AK223" s="640"/>
    </row>
    <row r="224" spans="1:37" s="228" customFormat="1" ht="14.45" hidden="1" customHeight="1" x14ac:dyDescent="0.25">
      <c r="A224" s="415"/>
      <c r="B224" s="415"/>
      <c r="C224" s="415"/>
      <c r="D224" s="412"/>
      <c r="E224" s="415">
        <v>2015</v>
      </c>
      <c r="F224" s="685">
        <f t="shared" ref="F224:F229" si="42">F$222*F582</f>
        <v>0</v>
      </c>
      <c r="G224" s="685">
        <f t="shared" ref="G224:Y224" si="43">G$222*$G582</f>
        <v>0</v>
      </c>
      <c r="H224" s="683" t="e">
        <f t="shared" si="43"/>
        <v>#N/A</v>
      </c>
      <c r="I224" s="683" t="e">
        <f t="shared" si="43"/>
        <v>#N/A</v>
      </c>
      <c r="J224" s="683" t="e">
        <f t="shared" si="43"/>
        <v>#N/A</v>
      </c>
      <c r="K224" s="683" t="e">
        <f t="shared" si="43"/>
        <v>#N/A</v>
      </c>
      <c r="L224" s="683" t="e">
        <f t="shared" si="43"/>
        <v>#N/A</v>
      </c>
      <c r="M224" s="683" t="e">
        <f t="shared" si="43"/>
        <v>#N/A</v>
      </c>
      <c r="N224" s="685" t="e">
        <f t="shared" si="43"/>
        <v>#N/A</v>
      </c>
      <c r="O224" s="685" t="e">
        <f t="shared" si="43"/>
        <v>#N/A</v>
      </c>
      <c r="P224" s="685" t="e">
        <f t="shared" si="43"/>
        <v>#N/A</v>
      </c>
      <c r="Q224" s="685" t="e">
        <f t="shared" si="43"/>
        <v>#N/A</v>
      </c>
      <c r="R224" s="685" t="e">
        <f t="shared" si="43"/>
        <v>#N/A</v>
      </c>
      <c r="S224" s="685" t="e">
        <f t="shared" si="43"/>
        <v>#N/A</v>
      </c>
      <c r="T224" s="685" t="e">
        <f t="shared" si="43"/>
        <v>#N/A</v>
      </c>
      <c r="U224" s="685" t="e">
        <f t="shared" si="43"/>
        <v>#N/A</v>
      </c>
      <c r="V224" s="685" t="e">
        <f t="shared" si="43"/>
        <v>#N/A</v>
      </c>
      <c r="W224" s="685" t="e">
        <f t="shared" si="43"/>
        <v>#N/A</v>
      </c>
      <c r="X224" s="685" t="e">
        <f t="shared" si="43"/>
        <v>#N/A</v>
      </c>
      <c r="Y224" s="685" t="e">
        <f t="shared" si="43"/>
        <v>#N/A</v>
      </c>
      <c r="Z224" s="640"/>
      <c r="AA224" s="640"/>
      <c r="AB224" s="640"/>
      <c r="AC224" s="640"/>
      <c r="AD224" s="640"/>
      <c r="AE224" s="640"/>
      <c r="AF224" s="640"/>
      <c r="AG224" s="640"/>
      <c r="AH224" s="640"/>
      <c r="AI224" s="640"/>
      <c r="AJ224" s="640"/>
      <c r="AK224" s="640"/>
    </row>
    <row r="225" spans="1:37" s="228" customFormat="1" ht="14.45" hidden="1" customHeight="1" x14ac:dyDescent="0.25">
      <c r="A225" s="415"/>
      <c r="B225" s="415"/>
      <c r="C225" s="415"/>
      <c r="D225" s="412"/>
      <c r="E225" s="415">
        <v>2016</v>
      </c>
      <c r="F225" s="685">
        <f t="shared" si="42"/>
        <v>0</v>
      </c>
      <c r="G225" s="685">
        <f t="shared" ref="G225:Y225" si="44">G$222*$G583</f>
        <v>0</v>
      </c>
      <c r="H225" s="683" t="e">
        <f t="shared" si="44"/>
        <v>#N/A</v>
      </c>
      <c r="I225" s="683" t="e">
        <f t="shared" si="44"/>
        <v>#N/A</v>
      </c>
      <c r="J225" s="683" t="e">
        <f t="shared" si="44"/>
        <v>#N/A</v>
      </c>
      <c r="K225" s="683" t="e">
        <f t="shared" si="44"/>
        <v>#N/A</v>
      </c>
      <c r="L225" s="683" t="e">
        <f t="shared" si="44"/>
        <v>#N/A</v>
      </c>
      <c r="M225" s="683" t="e">
        <f t="shared" si="44"/>
        <v>#N/A</v>
      </c>
      <c r="N225" s="685" t="e">
        <f t="shared" si="44"/>
        <v>#N/A</v>
      </c>
      <c r="O225" s="685" t="e">
        <f t="shared" si="44"/>
        <v>#N/A</v>
      </c>
      <c r="P225" s="685" t="e">
        <f t="shared" si="44"/>
        <v>#N/A</v>
      </c>
      <c r="Q225" s="685" t="e">
        <f t="shared" si="44"/>
        <v>#N/A</v>
      </c>
      <c r="R225" s="685" t="e">
        <f t="shared" si="44"/>
        <v>#N/A</v>
      </c>
      <c r="S225" s="685" t="e">
        <f t="shared" si="44"/>
        <v>#N/A</v>
      </c>
      <c r="T225" s="685" t="e">
        <f t="shared" si="44"/>
        <v>#N/A</v>
      </c>
      <c r="U225" s="685" t="e">
        <f t="shared" si="44"/>
        <v>#N/A</v>
      </c>
      <c r="V225" s="685" t="e">
        <f t="shared" si="44"/>
        <v>#N/A</v>
      </c>
      <c r="W225" s="685" t="e">
        <f t="shared" si="44"/>
        <v>#N/A</v>
      </c>
      <c r="X225" s="685" t="e">
        <f t="shared" si="44"/>
        <v>#N/A</v>
      </c>
      <c r="Y225" s="685" t="e">
        <f t="shared" si="44"/>
        <v>#N/A</v>
      </c>
      <c r="Z225" s="640"/>
      <c r="AA225" s="640"/>
      <c r="AB225" s="640"/>
      <c r="AC225" s="640"/>
      <c r="AD225" s="640"/>
      <c r="AE225" s="640"/>
      <c r="AF225" s="640"/>
      <c r="AG225" s="640"/>
      <c r="AH225" s="640"/>
      <c r="AI225" s="640"/>
      <c r="AJ225" s="640"/>
      <c r="AK225" s="640"/>
    </row>
    <row r="226" spans="1:37" s="228" customFormat="1" ht="14.45" hidden="1" customHeight="1" x14ac:dyDescent="0.25">
      <c r="A226" s="415"/>
      <c r="B226" s="415"/>
      <c r="C226" s="415"/>
      <c r="D226" s="412"/>
      <c r="E226" s="415">
        <v>2017</v>
      </c>
      <c r="F226" s="685">
        <f t="shared" si="42"/>
        <v>0</v>
      </c>
      <c r="G226" s="685">
        <f t="shared" ref="G226:Y226" si="45">G$222*$G584</f>
        <v>0</v>
      </c>
      <c r="H226" s="683" t="e">
        <f t="shared" si="45"/>
        <v>#N/A</v>
      </c>
      <c r="I226" s="683" t="e">
        <f t="shared" si="45"/>
        <v>#N/A</v>
      </c>
      <c r="J226" s="683" t="e">
        <f t="shared" si="45"/>
        <v>#N/A</v>
      </c>
      <c r="K226" s="683" t="e">
        <f t="shared" si="45"/>
        <v>#N/A</v>
      </c>
      <c r="L226" s="683" t="e">
        <f t="shared" si="45"/>
        <v>#N/A</v>
      </c>
      <c r="M226" s="683" t="e">
        <f t="shared" si="45"/>
        <v>#N/A</v>
      </c>
      <c r="N226" s="685" t="e">
        <f t="shared" si="45"/>
        <v>#N/A</v>
      </c>
      <c r="O226" s="685" t="e">
        <f t="shared" si="45"/>
        <v>#N/A</v>
      </c>
      <c r="P226" s="685" t="e">
        <f t="shared" si="45"/>
        <v>#N/A</v>
      </c>
      <c r="Q226" s="685" t="e">
        <f t="shared" si="45"/>
        <v>#N/A</v>
      </c>
      <c r="R226" s="685" t="e">
        <f t="shared" si="45"/>
        <v>#N/A</v>
      </c>
      <c r="S226" s="685" t="e">
        <f t="shared" si="45"/>
        <v>#N/A</v>
      </c>
      <c r="T226" s="685" t="e">
        <f t="shared" si="45"/>
        <v>#N/A</v>
      </c>
      <c r="U226" s="685" t="e">
        <f t="shared" si="45"/>
        <v>#N/A</v>
      </c>
      <c r="V226" s="685" t="e">
        <f t="shared" si="45"/>
        <v>#N/A</v>
      </c>
      <c r="W226" s="685" t="e">
        <f t="shared" si="45"/>
        <v>#N/A</v>
      </c>
      <c r="X226" s="685" t="e">
        <f t="shared" si="45"/>
        <v>#N/A</v>
      </c>
      <c r="Y226" s="685" t="e">
        <f t="shared" si="45"/>
        <v>#N/A</v>
      </c>
      <c r="Z226" s="640"/>
      <c r="AA226" s="640"/>
      <c r="AB226" s="640"/>
      <c r="AC226" s="640"/>
      <c r="AD226" s="640"/>
      <c r="AE226" s="640"/>
      <c r="AF226" s="640"/>
      <c r="AG226" s="640"/>
      <c r="AH226" s="640"/>
      <c r="AI226" s="640"/>
      <c r="AJ226" s="640"/>
      <c r="AK226" s="640"/>
    </row>
    <row r="227" spans="1:37" s="228" customFormat="1" ht="14.45" hidden="1" customHeight="1" x14ac:dyDescent="0.25">
      <c r="A227" s="415"/>
      <c r="B227" s="415"/>
      <c r="C227" s="415"/>
      <c r="D227" s="412"/>
      <c r="E227" s="415">
        <v>2018</v>
      </c>
      <c r="F227" s="685">
        <f t="shared" si="42"/>
        <v>0</v>
      </c>
      <c r="G227" s="685">
        <f t="shared" ref="G227:Y227" si="46">G$222*$G585</f>
        <v>0</v>
      </c>
      <c r="H227" s="683" t="e">
        <f t="shared" si="46"/>
        <v>#N/A</v>
      </c>
      <c r="I227" s="683" t="e">
        <f t="shared" si="46"/>
        <v>#N/A</v>
      </c>
      <c r="J227" s="683" t="e">
        <f t="shared" si="46"/>
        <v>#N/A</v>
      </c>
      <c r="K227" s="683" t="e">
        <f t="shared" si="46"/>
        <v>#N/A</v>
      </c>
      <c r="L227" s="683" t="e">
        <f t="shared" si="46"/>
        <v>#N/A</v>
      </c>
      <c r="M227" s="683" t="e">
        <f t="shared" si="46"/>
        <v>#N/A</v>
      </c>
      <c r="N227" s="685" t="e">
        <f t="shared" si="46"/>
        <v>#N/A</v>
      </c>
      <c r="O227" s="685" t="e">
        <f t="shared" si="46"/>
        <v>#N/A</v>
      </c>
      <c r="P227" s="685" t="e">
        <f t="shared" si="46"/>
        <v>#N/A</v>
      </c>
      <c r="Q227" s="685" t="e">
        <f t="shared" si="46"/>
        <v>#N/A</v>
      </c>
      <c r="R227" s="685" t="e">
        <f t="shared" si="46"/>
        <v>#N/A</v>
      </c>
      <c r="S227" s="685" t="e">
        <f t="shared" si="46"/>
        <v>#N/A</v>
      </c>
      <c r="T227" s="685" t="e">
        <f t="shared" si="46"/>
        <v>#N/A</v>
      </c>
      <c r="U227" s="685" t="e">
        <f t="shared" si="46"/>
        <v>#N/A</v>
      </c>
      <c r="V227" s="685" t="e">
        <f t="shared" si="46"/>
        <v>#N/A</v>
      </c>
      <c r="W227" s="685" t="e">
        <f t="shared" si="46"/>
        <v>#N/A</v>
      </c>
      <c r="X227" s="685" t="e">
        <f t="shared" si="46"/>
        <v>#N/A</v>
      </c>
      <c r="Y227" s="685" t="e">
        <f t="shared" si="46"/>
        <v>#N/A</v>
      </c>
      <c r="Z227" s="640"/>
      <c r="AA227" s="640"/>
      <c r="AB227" s="640"/>
      <c r="AC227" s="640"/>
      <c r="AD227" s="640"/>
      <c r="AE227" s="640"/>
      <c r="AF227" s="640"/>
      <c r="AG227" s="640"/>
      <c r="AH227" s="640"/>
      <c r="AI227" s="640"/>
      <c r="AJ227" s="640"/>
      <c r="AK227" s="640"/>
    </row>
    <row r="228" spans="1:37" s="228" customFormat="1" ht="14.45" hidden="1" customHeight="1" x14ac:dyDescent="0.25">
      <c r="A228" s="415"/>
      <c r="B228" s="415"/>
      <c r="C228" s="415"/>
      <c r="D228" s="412"/>
      <c r="E228" s="415">
        <v>2019</v>
      </c>
      <c r="F228" s="685">
        <f t="shared" si="42"/>
        <v>0</v>
      </c>
      <c r="G228" s="685">
        <f t="shared" ref="G228:Y228" si="47">G$222*$G586</f>
        <v>0</v>
      </c>
      <c r="H228" s="683" t="e">
        <f t="shared" si="47"/>
        <v>#N/A</v>
      </c>
      <c r="I228" s="683" t="e">
        <f t="shared" si="47"/>
        <v>#N/A</v>
      </c>
      <c r="J228" s="683" t="e">
        <f t="shared" si="47"/>
        <v>#N/A</v>
      </c>
      <c r="K228" s="683" t="e">
        <f t="shared" si="47"/>
        <v>#N/A</v>
      </c>
      <c r="L228" s="683" t="e">
        <f t="shared" si="47"/>
        <v>#N/A</v>
      </c>
      <c r="M228" s="683" t="e">
        <f t="shared" si="47"/>
        <v>#N/A</v>
      </c>
      <c r="N228" s="685" t="e">
        <f t="shared" si="47"/>
        <v>#N/A</v>
      </c>
      <c r="O228" s="685" t="e">
        <f t="shared" si="47"/>
        <v>#N/A</v>
      </c>
      <c r="P228" s="685" t="e">
        <f t="shared" si="47"/>
        <v>#N/A</v>
      </c>
      <c r="Q228" s="685" t="e">
        <f t="shared" si="47"/>
        <v>#N/A</v>
      </c>
      <c r="R228" s="685" t="e">
        <f t="shared" si="47"/>
        <v>#N/A</v>
      </c>
      <c r="S228" s="685" t="e">
        <f t="shared" si="47"/>
        <v>#N/A</v>
      </c>
      <c r="T228" s="685" t="e">
        <f t="shared" si="47"/>
        <v>#N/A</v>
      </c>
      <c r="U228" s="685" t="e">
        <f t="shared" si="47"/>
        <v>#N/A</v>
      </c>
      <c r="V228" s="685" t="e">
        <f t="shared" si="47"/>
        <v>#N/A</v>
      </c>
      <c r="W228" s="685" t="e">
        <f t="shared" si="47"/>
        <v>#N/A</v>
      </c>
      <c r="X228" s="685" t="e">
        <f t="shared" si="47"/>
        <v>#N/A</v>
      </c>
      <c r="Y228" s="685" t="e">
        <f t="shared" si="47"/>
        <v>#N/A</v>
      </c>
      <c r="Z228" s="640"/>
      <c r="AA228" s="640"/>
      <c r="AB228" s="640"/>
      <c r="AC228" s="640"/>
      <c r="AD228" s="640"/>
      <c r="AE228" s="640"/>
      <c r="AF228" s="640"/>
      <c r="AG228" s="640"/>
      <c r="AH228" s="640"/>
      <c r="AI228" s="640"/>
      <c r="AJ228" s="640"/>
      <c r="AK228" s="640"/>
    </row>
    <row r="229" spans="1:37" s="228" customFormat="1" ht="14.45" hidden="1" customHeight="1" x14ac:dyDescent="0.25">
      <c r="A229" s="415"/>
      <c r="B229" s="415"/>
      <c r="C229" s="415"/>
      <c r="D229" s="412"/>
      <c r="E229" s="415">
        <v>2020</v>
      </c>
      <c r="F229" s="685">
        <f t="shared" si="42"/>
        <v>0</v>
      </c>
      <c r="G229" s="685">
        <f t="shared" ref="G229:Y229" si="48">G$222*$G587</f>
        <v>0</v>
      </c>
      <c r="H229" s="683" t="e">
        <f t="shared" si="48"/>
        <v>#N/A</v>
      </c>
      <c r="I229" s="683" t="e">
        <f t="shared" si="48"/>
        <v>#N/A</v>
      </c>
      <c r="J229" s="683" t="e">
        <f t="shared" si="48"/>
        <v>#N/A</v>
      </c>
      <c r="K229" s="683" t="e">
        <f t="shared" si="48"/>
        <v>#N/A</v>
      </c>
      <c r="L229" s="683" t="e">
        <f t="shared" si="48"/>
        <v>#N/A</v>
      </c>
      <c r="M229" s="683" t="e">
        <f t="shared" si="48"/>
        <v>#N/A</v>
      </c>
      <c r="N229" s="685" t="e">
        <f t="shared" si="48"/>
        <v>#N/A</v>
      </c>
      <c r="O229" s="685" t="e">
        <f t="shared" si="48"/>
        <v>#N/A</v>
      </c>
      <c r="P229" s="685" t="e">
        <f t="shared" si="48"/>
        <v>#N/A</v>
      </c>
      <c r="Q229" s="685" t="e">
        <f t="shared" si="48"/>
        <v>#N/A</v>
      </c>
      <c r="R229" s="685" t="e">
        <f t="shared" si="48"/>
        <v>#N/A</v>
      </c>
      <c r="S229" s="685" t="e">
        <f t="shared" si="48"/>
        <v>#N/A</v>
      </c>
      <c r="T229" s="685" t="e">
        <f t="shared" si="48"/>
        <v>#N/A</v>
      </c>
      <c r="U229" s="685" t="e">
        <f t="shared" si="48"/>
        <v>#N/A</v>
      </c>
      <c r="V229" s="685" t="e">
        <f t="shared" si="48"/>
        <v>#N/A</v>
      </c>
      <c r="W229" s="685" t="e">
        <f t="shared" si="48"/>
        <v>#N/A</v>
      </c>
      <c r="X229" s="685" t="e">
        <f t="shared" si="48"/>
        <v>#N/A</v>
      </c>
      <c r="Y229" s="685" t="e">
        <f t="shared" si="48"/>
        <v>#N/A</v>
      </c>
      <c r="Z229" s="640"/>
      <c r="AA229" s="640"/>
      <c r="AB229" s="640"/>
      <c r="AC229" s="640"/>
      <c r="AD229" s="640"/>
      <c r="AE229" s="640"/>
      <c r="AF229" s="640"/>
      <c r="AG229" s="640"/>
      <c r="AH229" s="640"/>
      <c r="AI229" s="640"/>
      <c r="AJ229" s="640"/>
      <c r="AK229" s="640"/>
    </row>
    <row r="230" spans="1:37" s="228" customFormat="1" ht="15.75" hidden="1" x14ac:dyDescent="0.25">
      <c r="A230" s="415"/>
      <c r="B230" s="415"/>
      <c r="C230" s="415"/>
      <c r="D230" s="412"/>
      <c r="E230" s="415"/>
      <c r="F230" s="412"/>
      <c r="G230" s="412"/>
      <c r="H230" s="412"/>
      <c r="I230" s="412"/>
      <c r="J230" s="412"/>
      <c r="K230" s="412"/>
      <c r="L230" s="412"/>
      <c r="M230" s="412"/>
      <c r="N230" s="412"/>
      <c r="O230" s="412"/>
      <c r="P230" s="412"/>
      <c r="Q230" s="412"/>
      <c r="R230" s="412"/>
      <c r="S230" s="412"/>
      <c r="T230" s="412"/>
      <c r="U230" s="415"/>
      <c r="V230" s="415"/>
      <c r="W230" s="415"/>
      <c r="X230" s="415"/>
      <c r="Y230" s="415"/>
      <c r="Z230" s="640"/>
      <c r="AA230" s="640"/>
      <c r="AB230" s="640"/>
      <c r="AC230" s="640"/>
      <c r="AD230" s="640"/>
      <c r="AE230" s="640"/>
      <c r="AF230" s="640"/>
      <c r="AG230" s="640"/>
      <c r="AH230" s="640"/>
      <c r="AI230" s="640"/>
      <c r="AJ230" s="640"/>
      <c r="AK230" s="640"/>
    </row>
    <row r="231" spans="1:37" s="228" customFormat="1" ht="15.75" hidden="1" x14ac:dyDescent="0.25">
      <c r="A231" s="415"/>
      <c r="B231" s="1187" t="s">
        <v>1567</v>
      </c>
      <c r="C231" s="1190"/>
      <c r="D231" s="412" t="s">
        <v>1573</v>
      </c>
      <c r="E231" s="412"/>
      <c r="F231" s="412"/>
      <c r="G231" s="412"/>
      <c r="H231" s="412"/>
      <c r="I231" s="412"/>
      <c r="J231" s="412"/>
      <c r="K231" s="412"/>
      <c r="L231" s="412"/>
      <c r="M231" s="412"/>
      <c r="N231" s="412"/>
      <c r="O231" s="412"/>
      <c r="P231" s="412"/>
      <c r="Q231" s="412"/>
      <c r="R231" s="412"/>
      <c r="S231" s="412"/>
      <c r="T231" s="412"/>
      <c r="U231" s="415"/>
      <c r="V231" s="415"/>
      <c r="W231" s="415"/>
      <c r="X231" s="415"/>
      <c r="Y231" s="415"/>
      <c r="Z231" s="640"/>
      <c r="AA231" s="640"/>
      <c r="AB231" s="640"/>
      <c r="AC231" s="640"/>
      <c r="AD231" s="640"/>
      <c r="AE231" s="640"/>
      <c r="AF231" s="640"/>
      <c r="AG231" s="640"/>
      <c r="AH231" s="640"/>
      <c r="AI231" s="640"/>
      <c r="AJ231" s="640"/>
      <c r="AK231" s="640"/>
    </row>
    <row r="232" spans="1:37" s="228" customFormat="1" ht="15.75" hidden="1" x14ac:dyDescent="0.25">
      <c r="A232" s="417"/>
      <c r="B232" s="417"/>
      <c r="C232" s="417"/>
      <c r="D232" s="419" t="s">
        <v>412</v>
      </c>
      <c r="E232" s="419" t="s">
        <v>10</v>
      </c>
      <c r="F232" s="419" t="s">
        <v>428</v>
      </c>
      <c r="G232" s="419" t="str">
        <f>G$184</f>
        <v>Cost in 2008 dollars</v>
      </c>
      <c r="H232" s="417" t="s">
        <v>583</v>
      </c>
      <c r="I232" s="417" t="s">
        <v>584</v>
      </c>
      <c r="J232" s="417" t="s">
        <v>585</v>
      </c>
      <c r="K232" s="417" t="s">
        <v>586</v>
      </c>
      <c r="L232" s="417" t="s">
        <v>413</v>
      </c>
      <c r="M232" s="417" t="s">
        <v>414</v>
      </c>
      <c r="N232" s="417" t="s">
        <v>592</v>
      </c>
      <c r="O232" s="417" t="s">
        <v>587</v>
      </c>
      <c r="P232" s="417" t="s">
        <v>588</v>
      </c>
      <c r="Q232" s="417" t="s">
        <v>589</v>
      </c>
      <c r="R232" s="417" t="s">
        <v>590</v>
      </c>
      <c r="S232" s="417" t="s">
        <v>591</v>
      </c>
      <c r="T232" s="417" t="s">
        <v>593</v>
      </c>
      <c r="U232" s="417" t="s">
        <v>594</v>
      </c>
      <c r="V232" s="417" t="s">
        <v>595</v>
      </c>
      <c r="W232" s="417" t="s">
        <v>596</v>
      </c>
      <c r="X232" s="417" t="s">
        <v>597</v>
      </c>
      <c r="Y232" s="417" t="s">
        <v>598</v>
      </c>
      <c r="Z232" s="640"/>
      <c r="AA232" s="640"/>
      <c r="AB232" s="640"/>
      <c r="AC232" s="640"/>
      <c r="AD232" s="640"/>
      <c r="AE232" s="640"/>
      <c r="AF232" s="640"/>
      <c r="AG232" s="640"/>
      <c r="AH232" s="640"/>
      <c r="AI232" s="640"/>
      <c r="AJ232" s="640"/>
      <c r="AK232" s="640"/>
    </row>
    <row r="233" spans="1:37" s="228" customFormat="1" ht="15.75" hidden="1" x14ac:dyDescent="0.25">
      <c r="A233" s="417"/>
      <c r="B233" s="415" t="str">
        <f>'PEM sectors'!A4</f>
        <v>Stack</v>
      </c>
      <c r="C233" s="415" t="str">
        <f>'PEM sectors'!B4</f>
        <v>Cathode side gasket</v>
      </c>
      <c r="D233" s="415">
        <v>333515</v>
      </c>
      <c r="E233" s="415" t="s">
        <v>196</v>
      </c>
      <c r="F233" s="686">
        <f>'PEM sectors'!G4</f>
        <v>1.6342807424593968E-3</v>
      </c>
      <c r="G233" s="420">
        <f>F233</f>
        <v>1.6342807424593968E-3</v>
      </c>
      <c r="H233" s="435" t="e">
        <f t="shared" ref="H233:H245" si="49">$G233*INDEX(tier_emp_mult, MATCH($D233, tier_emp_code,0), MATCH(State, R_emp, 0))/1000000</f>
        <v>#N/A</v>
      </c>
      <c r="I233" s="436" t="e">
        <f t="shared" ref="I233:I245" si="50">$G233*INDEX(typeI_emp_mult, MATCH($D233, typeI_emp_code,0), MATCH(State, R_emp, 0))/1000000</f>
        <v>#N/A</v>
      </c>
      <c r="J233" s="436" t="e">
        <f t="shared" ref="J233:J245" si="51">$G233*INDEX(typeII_emp_mult, MATCH($D233, typeII_emp_code,0), MATCH(State, R_emp, 0))/1000000</f>
        <v>#N/A</v>
      </c>
      <c r="K233" s="437" t="e">
        <f>H233</f>
        <v>#N/A</v>
      </c>
      <c r="L233" s="437" t="e">
        <f>I233-H233</f>
        <v>#N/A</v>
      </c>
      <c r="M233" s="437" t="e">
        <f>J233-I233</f>
        <v>#N/A</v>
      </c>
      <c r="N233" s="436" t="e">
        <f t="shared" ref="N233:N245" si="52">$G233*INDEX(tier_earn_mult, MATCH($D233, tier_earn_code,0), MATCH(State, R_earn, 0))</f>
        <v>#N/A</v>
      </c>
      <c r="O233" s="436" t="e">
        <f t="shared" ref="O233:O245" si="53">$G233*INDEX(typeI_earn_mult, MATCH($D233, typeI_earn_code,0), MATCH(State, R_earn, 0))</f>
        <v>#N/A</v>
      </c>
      <c r="P233" s="436" t="e">
        <f t="shared" ref="P233:P245" si="54">$G233*INDEX(typeII_earn_mult, MATCH($D233, typeII_earn_code,0), MATCH(State, R_earn, 0))</f>
        <v>#N/A</v>
      </c>
      <c r="Q233" s="438" t="e">
        <f>N233</f>
        <v>#N/A</v>
      </c>
      <c r="R233" s="438" t="e">
        <f>O233-N233</f>
        <v>#N/A</v>
      </c>
      <c r="S233" s="438" t="e">
        <f>P233-O233</f>
        <v>#N/A</v>
      </c>
      <c r="T233" s="436" t="e">
        <f t="shared" ref="T233:T245" si="55">$G233*INDEX(tier_out_mult, MATCH($D233, tier_out_code,0), MATCH(State, R_out, 0))</f>
        <v>#N/A</v>
      </c>
      <c r="U233" s="436" t="e">
        <f t="shared" ref="U233:U245" si="56">$G233*INDEX(typeI_out_mult, MATCH($D233, typeI_out_code,0), MATCH(State, R_out, 0))</f>
        <v>#N/A</v>
      </c>
      <c r="V233" s="436" t="e">
        <f t="shared" ref="V233:V245" si="57">$G233*INDEX(typeII_out_mult, MATCH($D233, typeII_out_code,0), MATCH(State, R_out, 0))</f>
        <v>#N/A</v>
      </c>
      <c r="W233" s="438" t="e">
        <f>T233</f>
        <v>#N/A</v>
      </c>
      <c r="X233" s="438" t="e">
        <f>U233-T233</f>
        <v>#N/A</v>
      </c>
      <c r="Y233" s="438" t="e">
        <f>V233-U233</f>
        <v>#N/A</v>
      </c>
      <c r="Z233" s="640"/>
      <c r="AA233" s="640"/>
      <c r="AB233" s="640"/>
      <c r="AC233" s="640"/>
      <c r="AD233" s="640"/>
      <c r="AE233" s="640"/>
      <c r="AF233" s="640"/>
      <c r="AG233" s="640"/>
      <c r="AH233" s="640"/>
      <c r="AI233" s="640"/>
      <c r="AJ233" s="640"/>
      <c r="AK233" s="640"/>
    </row>
    <row r="234" spans="1:37" s="228" customFormat="1" ht="15.75" hidden="1" x14ac:dyDescent="0.25">
      <c r="A234" s="417"/>
      <c r="B234" s="415" t="str">
        <f>'PEM sectors'!A5</f>
        <v>Stack</v>
      </c>
      <c r="C234" s="415" t="str">
        <f>'PEM sectors'!B5</f>
        <v>Anode side gasket</v>
      </c>
      <c r="D234" s="415">
        <v>333515</v>
      </c>
      <c r="E234" s="415" t="s">
        <v>196</v>
      </c>
      <c r="F234" s="686">
        <f>'PEM sectors'!G5</f>
        <v>2.0359628770301626E-3</v>
      </c>
      <c r="G234" s="420">
        <f t="shared" ref="G234:G245" si="58">F234</f>
        <v>2.0359628770301626E-3</v>
      </c>
      <c r="H234" s="435" t="e">
        <f t="shared" si="49"/>
        <v>#N/A</v>
      </c>
      <c r="I234" s="436" t="e">
        <f t="shared" si="50"/>
        <v>#N/A</v>
      </c>
      <c r="J234" s="436" t="e">
        <f t="shared" si="51"/>
        <v>#N/A</v>
      </c>
      <c r="K234" s="437" t="e">
        <f t="shared" ref="K234:K246" si="59">H234</f>
        <v>#N/A</v>
      </c>
      <c r="L234" s="437" t="e">
        <f t="shared" ref="L234:M246" si="60">I234-H234</f>
        <v>#N/A</v>
      </c>
      <c r="M234" s="437" t="e">
        <f t="shared" si="60"/>
        <v>#N/A</v>
      </c>
      <c r="N234" s="436" t="e">
        <f t="shared" si="52"/>
        <v>#N/A</v>
      </c>
      <c r="O234" s="436" t="e">
        <f t="shared" si="53"/>
        <v>#N/A</v>
      </c>
      <c r="P234" s="436" t="e">
        <f t="shared" si="54"/>
        <v>#N/A</v>
      </c>
      <c r="Q234" s="438" t="e">
        <f t="shared" ref="Q234:Q246" si="61">N234</f>
        <v>#N/A</v>
      </c>
      <c r="R234" s="438" t="e">
        <f t="shared" ref="R234:S246" si="62">O234-N234</f>
        <v>#N/A</v>
      </c>
      <c r="S234" s="438" t="e">
        <f t="shared" si="62"/>
        <v>#N/A</v>
      </c>
      <c r="T234" s="436" t="e">
        <f t="shared" si="55"/>
        <v>#N/A</v>
      </c>
      <c r="U234" s="436" t="e">
        <f t="shared" si="56"/>
        <v>#N/A</v>
      </c>
      <c r="V234" s="436" t="e">
        <f t="shared" si="57"/>
        <v>#N/A</v>
      </c>
      <c r="W234" s="438" t="e">
        <f t="shared" ref="W234:W246" si="63">T234</f>
        <v>#N/A</v>
      </c>
      <c r="X234" s="438" t="e">
        <f t="shared" ref="X234:Y246" si="64">U234-T234</f>
        <v>#N/A</v>
      </c>
      <c r="Y234" s="438" t="e">
        <f t="shared" si="64"/>
        <v>#N/A</v>
      </c>
      <c r="Z234" s="640"/>
      <c r="AA234" s="640"/>
      <c r="AB234" s="640"/>
      <c r="AC234" s="640"/>
      <c r="AD234" s="640"/>
      <c r="AE234" s="640"/>
      <c r="AF234" s="640"/>
      <c r="AG234" s="640"/>
      <c r="AH234" s="640"/>
      <c r="AI234" s="640"/>
      <c r="AJ234" s="640"/>
      <c r="AK234" s="640"/>
    </row>
    <row r="235" spans="1:37" s="222" customFormat="1" ht="15.75" hidden="1" x14ac:dyDescent="0.25">
      <c r="A235" s="417"/>
      <c r="B235" s="415" t="str">
        <f>'PEM sectors'!A6</f>
        <v>Stack</v>
      </c>
      <c r="C235" s="415" t="str">
        <f>'PEM sectors'!B6</f>
        <v>Cooling gasket</v>
      </c>
      <c r="D235" s="415">
        <v>333515</v>
      </c>
      <c r="E235" s="415" t="s">
        <v>196</v>
      </c>
      <c r="F235" s="686">
        <f>'PEM sectors'!G6</f>
        <v>1.6342807424593968E-3</v>
      </c>
      <c r="G235" s="420">
        <f t="shared" si="58"/>
        <v>1.6342807424593968E-3</v>
      </c>
      <c r="H235" s="435" t="e">
        <f t="shared" si="49"/>
        <v>#N/A</v>
      </c>
      <c r="I235" s="436" t="e">
        <f t="shared" si="50"/>
        <v>#N/A</v>
      </c>
      <c r="J235" s="436" t="e">
        <f t="shared" si="51"/>
        <v>#N/A</v>
      </c>
      <c r="K235" s="437" t="e">
        <f t="shared" si="59"/>
        <v>#N/A</v>
      </c>
      <c r="L235" s="437" t="e">
        <f t="shared" si="60"/>
        <v>#N/A</v>
      </c>
      <c r="M235" s="437" t="e">
        <f t="shared" si="60"/>
        <v>#N/A</v>
      </c>
      <c r="N235" s="436" t="e">
        <f t="shared" si="52"/>
        <v>#N/A</v>
      </c>
      <c r="O235" s="436" t="e">
        <f t="shared" si="53"/>
        <v>#N/A</v>
      </c>
      <c r="P235" s="436" t="e">
        <f t="shared" si="54"/>
        <v>#N/A</v>
      </c>
      <c r="Q235" s="438" t="e">
        <f t="shared" si="61"/>
        <v>#N/A</v>
      </c>
      <c r="R235" s="438" t="e">
        <f t="shared" si="62"/>
        <v>#N/A</v>
      </c>
      <c r="S235" s="438" t="e">
        <f t="shared" si="62"/>
        <v>#N/A</v>
      </c>
      <c r="T235" s="436" t="e">
        <f t="shared" si="55"/>
        <v>#N/A</v>
      </c>
      <c r="U235" s="436" t="e">
        <f t="shared" si="56"/>
        <v>#N/A</v>
      </c>
      <c r="V235" s="436" t="e">
        <f t="shared" si="57"/>
        <v>#N/A</v>
      </c>
      <c r="W235" s="438" t="e">
        <f t="shared" si="63"/>
        <v>#N/A</v>
      </c>
      <c r="X235" s="438" t="e">
        <f t="shared" si="64"/>
        <v>#N/A</v>
      </c>
      <c r="Y235" s="438" t="e">
        <f t="shared" si="64"/>
        <v>#N/A</v>
      </c>
      <c r="Z235" s="640"/>
      <c r="AA235" s="640"/>
      <c r="AB235" s="640"/>
      <c r="AC235" s="640"/>
      <c r="AD235" s="640"/>
      <c r="AE235" s="640"/>
      <c r="AF235" s="640"/>
      <c r="AG235" s="640"/>
      <c r="AH235" s="640"/>
      <c r="AI235" s="640"/>
      <c r="AJ235" s="640"/>
      <c r="AK235" s="640"/>
    </row>
    <row r="236" spans="1:37" s="223" customFormat="1" ht="15.75" hidden="1" x14ac:dyDescent="0.25">
      <c r="A236" s="417"/>
      <c r="B236" s="415" t="str">
        <f>'PEM sectors'!A7</f>
        <v>Stack</v>
      </c>
      <c r="C236" s="415" t="str">
        <f>'PEM sectors'!B7</f>
        <v>End gaskets</v>
      </c>
      <c r="D236" s="415">
        <v>333515</v>
      </c>
      <c r="E236" s="415" t="s">
        <v>196</v>
      </c>
      <c r="F236" s="686">
        <f>'PEM sectors'!G7</f>
        <v>3.3352668213457076E-5</v>
      </c>
      <c r="G236" s="420">
        <f t="shared" si="58"/>
        <v>3.3352668213457076E-5</v>
      </c>
      <c r="H236" s="435" t="e">
        <f t="shared" si="49"/>
        <v>#N/A</v>
      </c>
      <c r="I236" s="436" t="e">
        <f t="shared" si="50"/>
        <v>#N/A</v>
      </c>
      <c r="J236" s="436" t="e">
        <f t="shared" si="51"/>
        <v>#N/A</v>
      </c>
      <c r="K236" s="437" t="e">
        <f t="shared" si="59"/>
        <v>#N/A</v>
      </c>
      <c r="L236" s="437" t="e">
        <f t="shared" si="60"/>
        <v>#N/A</v>
      </c>
      <c r="M236" s="437" t="e">
        <f t="shared" si="60"/>
        <v>#N/A</v>
      </c>
      <c r="N236" s="436" t="e">
        <f t="shared" si="52"/>
        <v>#N/A</v>
      </c>
      <c r="O236" s="436" t="e">
        <f t="shared" si="53"/>
        <v>#N/A</v>
      </c>
      <c r="P236" s="436" t="e">
        <f t="shared" si="54"/>
        <v>#N/A</v>
      </c>
      <c r="Q236" s="438" t="e">
        <f t="shared" si="61"/>
        <v>#N/A</v>
      </c>
      <c r="R236" s="438" t="e">
        <f t="shared" si="62"/>
        <v>#N/A</v>
      </c>
      <c r="S236" s="438" t="e">
        <f t="shared" si="62"/>
        <v>#N/A</v>
      </c>
      <c r="T236" s="436" t="e">
        <f t="shared" si="55"/>
        <v>#N/A</v>
      </c>
      <c r="U236" s="436" t="e">
        <f t="shared" si="56"/>
        <v>#N/A</v>
      </c>
      <c r="V236" s="436" t="e">
        <f t="shared" si="57"/>
        <v>#N/A</v>
      </c>
      <c r="W236" s="438" t="e">
        <f t="shared" si="63"/>
        <v>#N/A</v>
      </c>
      <c r="X236" s="438" t="e">
        <f t="shared" si="64"/>
        <v>#N/A</v>
      </c>
      <c r="Y236" s="438" t="e">
        <f t="shared" si="64"/>
        <v>#N/A</v>
      </c>
      <c r="Z236" s="640"/>
      <c r="AA236" s="640"/>
      <c r="AB236" s="640"/>
      <c r="AC236" s="640"/>
      <c r="AD236" s="640"/>
      <c r="AE236" s="640"/>
      <c r="AF236" s="640"/>
      <c r="AG236" s="640"/>
      <c r="AH236" s="640"/>
      <c r="AI236" s="640"/>
      <c r="AJ236" s="640"/>
      <c r="AK236" s="640"/>
    </row>
    <row r="237" spans="1:37" s="224" customFormat="1" ht="15.75" hidden="1" x14ac:dyDescent="0.25">
      <c r="A237" s="417"/>
      <c r="B237" s="415" t="str">
        <f>'PEM sectors'!A8</f>
        <v>Stack</v>
      </c>
      <c r="C237" s="415" t="str">
        <f>'PEM sectors'!B8</f>
        <v>End plates</v>
      </c>
      <c r="D237" s="415">
        <v>333515</v>
      </c>
      <c r="E237" s="415" t="s">
        <v>196</v>
      </c>
      <c r="F237" s="686">
        <f>'PEM sectors'!G8</f>
        <v>1.5429234338747099E-3</v>
      </c>
      <c r="G237" s="420">
        <f t="shared" si="58"/>
        <v>1.5429234338747099E-3</v>
      </c>
      <c r="H237" s="435" t="e">
        <f t="shared" si="49"/>
        <v>#N/A</v>
      </c>
      <c r="I237" s="436" t="e">
        <f t="shared" si="50"/>
        <v>#N/A</v>
      </c>
      <c r="J237" s="436" t="e">
        <f t="shared" si="51"/>
        <v>#N/A</v>
      </c>
      <c r="K237" s="437" t="e">
        <f t="shared" si="59"/>
        <v>#N/A</v>
      </c>
      <c r="L237" s="437" t="e">
        <f t="shared" si="60"/>
        <v>#N/A</v>
      </c>
      <c r="M237" s="437" t="e">
        <f t="shared" si="60"/>
        <v>#N/A</v>
      </c>
      <c r="N237" s="436" t="e">
        <f t="shared" si="52"/>
        <v>#N/A</v>
      </c>
      <c r="O237" s="436" t="e">
        <f t="shared" si="53"/>
        <v>#N/A</v>
      </c>
      <c r="P237" s="436" t="e">
        <f t="shared" si="54"/>
        <v>#N/A</v>
      </c>
      <c r="Q237" s="438" t="e">
        <f t="shared" si="61"/>
        <v>#N/A</v>
      </c>
      <c r="R237" s="438" t="e">
        <f t="shared" si="62"/>
        <v>#N/A</v>
      </c>
      <c r="S237" s="438" t="e">
        <f t="shared" si="62"/>
        <v>#N/A</v>
      </c>
      <c r="T237" s="436" t="e">
        <f t="shared" si="55"/>
        <v>#N/A</v>
      </c>
      <c r="U237" s="436" t="e">
        <f t="shared" si="56"/>
        <v>#N/A</v>
      </c>
      <c r="V237" s="436" t="e">
        <f t="shared" si="57"/>
        <v>#N/A</v>
      </c>
      <c r="W237" s="438" t="e">
        <f t="shared" si="63"/>
        <v>#N/A</v>
      </c>
      <c r="X237" s="438" t="e">
        <f t="shared" si="64"/>
        <v>#N/A</v>
      </c>
      <c r="Y237" s="438" t="e">
        <f t="shared" si="64"/>
        <v>#N/A</v>
      </c>
      <c r="Z237" s="640"/>
      <c r="AA237" s="640"/>
      <c r="AB237" s="640"/>
      <c r="AC237" s="640"/>
      <c r="AD237" s="640"/>
      <c r="AE237" s="640"/>
      <c r="AF237" s="640"/>
      <c r="AG237" s="640"/>
      <c r="AH237" s="640"/>
      <c r="AI237" s="640"/>
      <c r="AJ237" s="640"/>
      <c r="AK237" s="640"/>
    </row>
    <row r="238" spans="1:37" s="224" customFormat="1" ht="15.75" hidden="1" x14ac:dyDescent="0.25">
      <c r="A238" s="417"/>
      <c r="B238" s="415" t="str">
        <f>'PEM sectors'!A9</f>
        <v>Stack</v>
      </c>
      <c r="C238" s="415" t="str">
        <f>'PEM sectors'!B9</f>
        <v xml:space="preserve">Bipolar plates </v>
      </c>
      <c r="D238" s="415">
        <v>333515</v>
      </c>
      <c r="E238" s="415" t="s">
        <v>196</v>
      </c>
      <c r="F238" s="686">
        <f>'PEM sectors'!G9</f>
        <v>3.3750000000000002E-2</v>
      </c>
      <c r="G238" s="420">
        <f t="shared" si="58"/>
        <v>3.3750000000000002E-2</v>
      </c>
      <c r="H238" s="435" t="e">
        <f t="shared" si="49"/>
        <v>#N/A</v>
      </c>
      <c r="I238" s="436" t="e">
        <f t="shared" si="50"/>
        <v>#N/A</v>
      </c>
      <c r="J238" s="436" t="e">
        <f t="shared" si="51"/>
        <v>#N/A</v>
      </c>
      <c r="K238" s="437" t="e">
        <f t="shared" si="59"/>
        <v>#N/A</v>
      </c>
      <c r="L238" s="437" t="e">
        <f t="shared" si="60"/>
        <v>#N/A</v>
      </c>
      <c r="M238" s="437" t="e">
        <f t="shared" si="60"/>
        <v>#N/A</v>
      </c>
      <c r="N238" s="436" t="e">
        <f t="shared" si="52"/>
        <v>#N/A</v>
      </c>
      <c r="O238" s="436" t="e">
        <f t="shared" si="53"/>
        <v>#N/A</v>
      </c>
      <c r="P238" s="436" t="e">
        <f t="shared" si="54"/>
        <v>#N/A</v>
      </c>
      <c r="Q238" s="438" t="e">
        <f t="shared" si="61"/>
        <v>#N/A</v>
      </c>
      <c r="R238" s="438" t="e">
        <f t="shared" si="62"/>
        <v>#N/A</v>
      </c>
      <c r="S238" s="438" t="e">
        <f t="shared" si="62"/>
        <v>#N/A</v>
      </c>
      <c r="T238" s="436" t="e">
        <f t="shared" si="55"/>
        <v>#N/A</v>
      </c>
      <c r="U238" s="436" t="e">
        <f t="shared" si="56"/>
        <v>#N/A</v>
      </c>
      <c r="V238" s="436" t="e">
        <f t="shared" si="57"/>
        <v>#N/A</v>
      </c>
      <c r="W238" s="438" t="e">
        <f t="shared" si="63"/>
        <v>#N/A</v>
      </c>
      <c r="X238" s="438" t="e">
        <f t="shared" si="64"/>
        <v>#N/A</v>
      </c>
      <c r="Y238" s="438" t="e">
        <f t="shared" si="64"/>
        <v>#N/A</v>
      </c>
      <c r="Z238" s="640"/>
      <c r="AA238" s="640"/>
      <c r="AB238" s="640"/>
      <c r="AC238" s="640"/>
      <c r="AD238" s="640"/>
      <c r="AE238" s="640"/>
      <c r="AF238" s="640"/>
      <c r="AG238" s="640"/>
      <c r="AH238" s="640"/>
      <c r="AI238" s="640"/>
      <c r="AJ238" s="640"/>
      <c r="AK238" s="640"/>
    </row>
    <row r="239" spans="1:37" s="223" customFormat="1" ht="15.75" hidden="1" x14ac:dyDescent="0.25">
      <c r="A239" s="417"/>
      <c r="B239" s="415" t="str">
        <f>'PEM sectors'!A10</f>
        <v>Stack</v>
      </c>
      <c r="C239" s="415" t="str">
        <f>'PEM sectors'!B10</f>
        <v>Tie rods and hardware</v>
      </c>
      <c r="D239" s="415">
        <v>333515</v>
      </c>
      <c r="E239" s="415" t="s">
        <v>196</v>
      </c>
      <c r="F239" s="686">
        <f>'PEM sectors'!G10</f>
        <v>0</v>
      </c>
      <c r="G239" s="420">
        <f t="shared" si="58"/>
        <v>0</v>
      </c>
      <c r="H239" s="435" t="e">
        <f t="shared" si="49"/>
        <v>#N/A</v>
      </c>
      <c r="I239" s="436" t="e">
        <f t="shared" si="50"/>
        <v>#N/A</v>
      </c>
      <c r="J239" s="436" t="e">
        <f t="shared" si="51"/>
        <v>#N/A</v>
      </c>
      <c r="K239" s="437" t="e">
        <f t="shared" si="59"/>
        <v>#N/A</v>
      </c>
      <c r="L239" s="437" t="e">
        <f t="shared" si="60"/>
        <v>#N/A</v>
      </c>
      <c r="M239" s="437" t="e">
        <f t="shared" si="60"/>
        <v>#N/A</v>
      </c>
      <c r="N239" s="436" t="e">
        <f t="shared" si="52"/>
        <v>#N/A</v>
      </c>
      <c r="O239" s="436" t="e">
        <f t="shared" si="53"/>
        <v>#N/A</v>
      </c>
      <c r="P239" s="436" t="e">
        <f t="shared" si="54"/>
        <v>#N/A</v>
      </c>
      <c r="Q239" s="438" t="e">
        <f t="shared" si="61"/>
        <v>#N/A</v>
      </c>
      <c r="R239" s="438" t="e">
        <f t="shared" si="62"/>
        <v>#N/A</v>
      </c>
      <c r="S239" s="438" t="e">
        <f t="shared" si="62"/>
        <v>#N/A</v>
      </c>
      <c r="T239" s="436" t="e">
        <f t="shared" si="55"/>
        <v>#N/A</v>
      </c>
      <c r="U239" s="436" t="e">
        <f t="shared" si="56"/>
        <v>#N/A</v>
      </c>
      <c r="V239" s="436" t="e">
        <f t="shared" si="57"/>
        <v>#N/A</v>
      </c>
      <c r="W239" s="438" t="e">
        <f t="shared" si="63"/>
        <v>#N/A</v>
      </c>
      <c r="X239" s="438" t="e">
        <f t="shared" si="64"/>
        <v>#N/A</v>
      </c>
      <c r="Y239" s="438" t="e">
        <f t="shared" si="64"/>
        <v>#N/A</v>
      </c>
      <c r="Z239" s="640"/>
      <c r="AA239" s="640"/>
      <c r="AB239" s="640"/>
      <c r="AC239" s="640"/>
      <c r="AD239" s="640"/>
      <c r="AE239" s="640"/>
      <c r="AF239" s="640"/>
      <c r="AG239" s="640"/>
      <c r="AH239" s="640"/>
      <c r="AI239" s="640"/>
      <c r="AJ239" s="640"/>
      <c r="AK239" s="640"/>
    </row>
    <row r="240" spans="1:37" s="223" customFormat="1" ht="15.75" hidden="1" x14ac:dyDescent="0.25">
      <c r="A240" s="417"/>
      <c r="B240" s="415" t="str">
        <f>'PEM sectors'!A11</f>
        <v>Stack (MEA)</v>
      </c>
      <c r="C240" s="415" t="str">
        <f>'PEM sectors'!B11</f>
        <v>Carbon Cloth</v>
      </c>
      <c r="D240" s="415">
        <v>333515</v>
      </c>
      <c r="E240" s="415" t="s">
        <v>196</v>
      </c>
      <c r="F240" s="686">
        <f>'PEM sectors'!G11</f>
        <v>0</v>
      </c>
      <c r="G240" s="420">
        <f t="shared" si="58"/>
        <v>0</v>
      </c>
      <c r="H240" s="435" t="e">
        <f t="shared" si="49"/>
        <v>#N/A</v>
      </c>
      <c r="I240" s="436" t="e">
        <f t="shared" si="50"/>
        <v>#N/A</v>
      </c>
      <c r="J240" s="436" t="e">
        <f t="shared" si="51"/>
        <v>#N/A</v>
      </c>
      <c r="K240" s="437" t="e">
        <f t="shared" si="59"/>
        <v>#N/A</v>
      </c>
      <c r="L240" s="437" t="e">
        <f t="shared" si="60"/>
        <v>#N/A</v>
      </c>
      <c r="M240" s="437" t="e">
        <f t="shared" si="60"/>
        <v>#N/A</v>
      </c>
      <c r="N240" s="436" t="e">
        <f t="shared" si="52"/>
        <v>#N/A</v>
      </c>
      <c r="O240" s="436" t="e">
        <f t="shared" si="53"/>
        <v>#N/A</v>
      </c>
      <c r="P240" s="436" t="e">
        <f t="shared" si="54"/>
        <v>#N/A</v>
      </c>
      <c r="Q240" s="438" t="e">
        <f t="shared" si="61"/>
        <v>#N/A</v>
      </c>
      <c r="R240" s="438" t="e">
        <f t="shared" si="62"/>
        <v>#N/A</v>
      </c>
      <c r="S240" s="438" t="e">
        <f t="shared" si="62"/>
        <v>#N/A</v>
      </c>
      <c r="T240" s="436" t="e">
        <f t="shared" si="55"/>
        <v>#N/A</v>
      </c>
      <c r="U240" s="436" t="e">
        <f t="shared" si="56"/>
        <v>#N/A</v>
      </c>
      <c r="V240" s="436" t="e">
        <f t="shared" si="57"/>
        <v>#N/A</v>
      </c>
      <c r="W240" s="438" t="e">
        <f t="shared" si="63"/>
        <v>#N/A</v>
      </c>
      <c r="X240" s="438" t="e">
        <f t="shared" si="64"/>
        <v>#N/A</v>
      </c>
      <c r="Y240" s="438" t="e">
        <f t="shared" si="64"/>
        <v>#N/A</v>
      </c>
      <c r="Z240" s="640"/>
      <c r="AA240" s="640"/>
      <c r="AB240" s="640"/>
      <c r="AC240" s="640"/>
      <c r="AD240" s="640"/>
      <c r="AE240" s="640"/>
      <c r="AF240" s="640"/>
      <c r="AG240" s="640"/>
      <c r="AH240" s="640"/>
      <c r="AI240" s="640"/>
      <c r="AJ240" s="640"/>
      <c r="AK240" s="640"/>
    </row>
    <row r="241" spans="1:37" s="223" customFormat="1" ht="15.75" hidden="1" x14ac:dyDescent="0.25">
      <c r="A241" s="417"/>
      <c r="B241" s="415" t="str">
        <f>'PEM sectors'!A12</f>
        <v>Stack (MEA)</v>
      </c>
      <c r="C241" s="415" t="str">
        <f>'PEM sectors'!B12</f>
        <v>Teflon</v>
      </c>
      <c r="D241" s="415">
        <v>333515</v>
      </c>
      <c r="E241" s="415" t="s">
        <v>196</v>
      </c>
      <c r="F241" s="686">
        <f>'PEM sectors'!G12</f>
        <v>0</v>
      </c>
      <c r="G241" s="420">
        <f t="shared" si="58"/>
        <v>0</v>
      </c>
      <c r="H241" s="435" t="e">
        <f t="shared" si="49"/>
        <v>#N/A</v>
      </c>
      <c r="I241" s="436" t="e">
        <f t="shared" si="50"/>
        <v>#N/A</v>
      </c>
      <c r="J241" s="436" t="e">
        <f t="shared" si="51"/>
        <v>#N/A</v>
      </c>
      <c r="K241" s="437" t="e">
        <f t="shared" si="59"/>
        <v>#N/A</v>
      </c>
      <c r="L241" s="437" t="e">
        <f t="shared" si="60"/>
        <v>#N/A</v>
      </c>
      <c r="M241" s="437" t="e">
        <f t="shared" si="60"/>
        <v>#N/A</v>
      </c>
      <c r="N241" s="436" t="e">
        <f t="shared" si="52"/>
        <v>#N/A</v>
      </c>
      <c r="O241" s="436" t="e">
        <f t="shared" si="53"/>
        <v>#N/A</v>
      </c>
      <c r="P241" s="436" t="e">
        <f t="shared" si="54"/>
        <v>#N/A</v>
      </c>
      <c r="Q241" s="438" t="e">
        <f t="shared" si="61"/>
        <v>#N/A</v>
      </c>
      <c r="R241" s="438" t="e">
        <f t="shared" si="62"/>
        <v>#N/A</v>
      </c>
      <c r="S241" s="438" t="e">
        <f t="shared" si="62"/>
        <v>#N/A</v>
      </c>
      <c r="T241" s="436" t="e">
        <f t="shared" si="55"/>
        <v>#N/A</v>
      </c>
      <c r="U241" s="436" t="e">
        <f t="shared" si="56"/>
        <v>#N/A</v>
      </c>
      <c r="V241" s="436" t="e">
        <f t="shared" si="57"/>
        <v>#N/A</v>
      </c>
      <c r="W241" s="438" t="e">
        <f t="shared" si="63"/>
        <v>#N/A</v>
      </c>
      <c r="X241" s="438" t="e">
        <f t="shared" si="64"/>
        <v>#N/A</v>
      </c>
      <c r="Y241" s="438" t="e">
        <f t="shared" si="64"/>
        <v>#N/A</v>
      </c>
      <c r="Z241" s="640"/>
      <c r="AA241" s="640"/>
      <c r="AB241" s="640"/>
      <c r="AC241" s="640"/>
      <c r="AD241" s="640"/>
      <c r="AE241" s="640"/>
      <c r="AF241" s="640"/>
      <c r="AG241" s="640"/>
      <c r="AH241" s="640"/>
      <c r="AI241" s="640"/>
      <c r="AJ241" s="640"/>
      <c r="AK241" s="640"/>
    </row>
    <row r="242" spans="1:37" s="223" customFormat="1" ht="15.75" hidden="1" x14ac:dyDescent="0.25">
      <c r="A242" s="417"/>
      <c r="B242" s="415" t="str">
        <f>'PEM sectors'!A13</f>
        <v>Stack (MEA)</v>
      </c>
      <c r="C242" s="415" t="str">
        <f>'PEM sectors'!B13</f>
        <v>PFSA (Nafion)</v>
      </c>
      <c r="D242" s="415">
        <v>333515</v>
      </c>
      <c r="E242" s="415" t="s">
        <v>196</v>
      </c>
      <c r="F242" s="686">
        <f>'PEM sectors'!G13</f>
        <v>0</v>
      </c>
      <c r="G242" s="420">
        <f t="shared" si="58"/>
        <v>0</v>
      </c>
      <c r="H242" s="435" t="e">
        <f t="shared" si="49"/>
        <v>#N/A</v>
      </c>
      <c r="I242" s="436" t="e">
        <f t="shared" si="50"/>
        <v>#N/A</v>
      </c>
      <c r="J242" s="436" t="e">
        <f t="shared" si="51"/>
        <v>#N/A</v>
      </c>
      <c r="K242" s="437" t="e">
        <f t="shared" si="59"/>
        <v>#N/A</v>
      </c>
      <c r="L242" s="437" t="e">
        <f t="shared" si="60"/>
        <v>#N/A</v>
      </c>
      <c r="M242" s="437" t="e">
        <f t="shared" si="60"/>
        <v>#N/A</v>
      </c>
      <c r="N242" s="436" t="e">
        <f t="shared" si="52"/>
        <v>#N/A</v>
      </c>
      <c r="O242" s="436" t="e">
        <f t="shared" si="53"/>
        <v>#N/A</v>
      </c>
      <c r="P242" s="436" t="e">
        <f t="shared" si="54"/>
        <v>#N/A</v>
      </c>
      <c r="Q242" s="438" t="e">
        <f t="shared" si="61"/>
        <v>#N/A</v>
      </c>
      <c r="R242" s="438" t="e">
        <f t="shared" si="62"/>
        <v>#N/A</v>
      </c>
      <c r="S242" s="438" t="e">
        <f t="shared" si="62"/>
        <v>#N/A</v>
      </c>
      <c r="T242" s="436" t="e">
        <f t="shared" si="55"/>
        <v>#N/A</v>
      </c>
      <c r="U242" s="436" t="e">
        <f t="shared" si="56"/>
        <v>#N/A</v>
      </c>
      <c r="V242" s="436" t="e">
        <f t="shared" si="57"/>
        <v>#N/A</v>
      </c>
      <c r="W242" s="438" t="e">
        <f t="shared" si="63"/>
        <v>#N/A</v>
      </c>
      <c r="X242" s="438" t="e">
        <f t="shared" si="64"/>
        <v>#N/A</v>
      </c>
      <c r="Y242" s="438" t="e">
        <f t="shared" si="64"/>
        <v>#N/A</v>
      </c>
      <c r="Z242" s="640"/>
      <c r="AA242" s="640"/>
      <c r="AB242" s="640"/>
      <c r="AC242" s="640"/>
      <c r="AD242" s="640"/>
      <c r="AE242" s="640"/>
      <c r="AF242" s="640"/>
      <c r="AG242" s="640"/>
      <c r="AH242" s="640"/>
      <c r="AI242" s="640"/>
      <c r="AJ242" s="640"/>
      <c r="AK242" s="640"/>
    </row>
    <row r="243" spans="1:37" s="223" customFormat="1" ht="15.75" hidden="1" x14ac:dyDescent="0.25">
      <c r="A243" s="417"/>
      <c r="B243" s="415" t="str">
        <f>'PEM sectors'!A14</f>
        <v>Stack (MEA)</v>
      </c>
      <c r="C243" s="415" t="str">
        <f>'PEM sectors'!B14</f>
        <v>Platinum</v>
      </c>
      <c r="D243" s="415">
        <v>333515</v>
      </c>
      <c r="E243" s="415" t="s">
        <v>196</v>
      </c>
      <c r="F243" s="686">
        <f>'PEM sectors'!G14</f>
        <v>0</v>
      </c>
      <c r="G243" s="420">
        <f t="shared" si="58"/>
        <v>0</v>
      </c>
      <c r="H243" s="435" t="e">
        <f t="shared" si="49"/>
        <v>#N/A</v>
      </c>
      <c r="I243" s="436" t="e">
        <f t="shared" si="50"/>
        <v>#N/A</v>
      </c>
      <c r="J243" s="436" t="e">
        <f t="shared" si="51"/>
        <v>#N/A</v>
      </c>
      <c r="K243" s="437" t="e">
        <f t="shared" si="59"/>
        <v>#N/A</v>
      </c>
      <c r="L243" s="437" t="e">
        <f t="shared" si="60"/>
        <v>#N/A</v>
      </c>
      <c r="M243" s="437" t="e">
        <f t="shared" si="60"/>
        <v>#N/A</v>
      </c>
      <c r="N243" s="436" t="e">
        <f t="shared" si="52"/>
        <v>#N/A</v>
      </c>
      <c r="O243" s="436" t="e">
        <f t="shared" si="53"/>
        <v>#N/A</v>
      </c>
      <c r="P243" s="436" t="e">
        <f t="shared" si="54"/>
        <v>#N/A</v>
      </c>
      <c r="Q243" s="438" t="e">
        <f t="shared" si="61"/>
        <v>#N/A</v>
      </c>
      <c r="R243" s="438" t="e">
        <f t="shared" si="62"/>
        <v>#N/A</v>
      </c>
      <c r="S243" s="438" t="e">
        <f t="shared" si="62"/>
        <v>#N/A</v>
      </c>
      <c r="T243" s="436" t="e">
        <f t="shared" si="55"/>
        <v>#N/A</v>
      </c>
      <c r="U243" s="436" t="e">
        <f t="shared" si="56"/>
        <v>#N/A</v>
      </c>
      <c r="V243" s="436" t="e">
        <f t="shared" si="57"/>
        <v>#N/A</v>
      </c>
      <c r="W243" s="438" t="e">
        <f t="shared" si="63"/>
        <v>#N/A</v>
      </c>
      <c r="X243" s="438" t="e">
        <f t="shared" si="64"/>
        <v>#N/A</v>
      </c>
      <c r="Y243" s="438" t="e">
        <f t="shared" si="64"/>
        <v>#N/A</v>
      </c>
      <c r="Z243" s="640"/>
      <c r="AA243" s="640"/>
      <c r="AB243" s="640"/>
      <c r="AC243" s="640"/>
      <c r="AD243" s="640"/>
      <c r="AE243" s="640"/>
      <c r="AF243" s="640"/>
      <c r="AG243" s="640"/>
      <c r="AH243" s="640"/>
      <c r="AI243" s="640"/>
      <c r="AJ243" s="640"/>
      <c r="AK243" s="640"/>
    </row>
    <row r="244" spans="1:37" s="223" customFormat="1" ht="15.75" hidden="1" x14ac:dyDescent="0.25">
      <c r="A244" s="417"/>
      <c r="B244" s="415" t="str">
        <f>'PEM sectors'!A15</f>
        <v>Stack (MEA)</v>
      </c>
      <c r="C244" s="415" t="str">
        <f>'PEM sectors'!B15</f>
        <v>MEA mfg</v>
      </c>
      <c r="D244" s="415">
        <v>333515</v>
      </c>
      <c r="E244" s="415" t="s">
        <v>196</v>
      </c>
      <c r="F244" s="686">
        <f>'PEM sectors'!G15</f>
        <v>6.2354988399071918E-5</v>
      </c>
      <c r="G244" s="420">
        <f t="shared" si="58"/>
        <v>6.2354988399071918E-5</v>
      </c>
      <c r="H244" s="435" t="e">
        <f t="shared" si="49"/>
        <v>#N/A</v>
      </c>
      <c r="I244" s="436" t="e">
        <f t="shared" si="50"/>
        <v>#N/A</v>
      </c>
      <c r="J244" s="436" t="e">
        <f t="shared" si="51"/>
        <v>#N/A</v>
      </c>
      <c r="K244" s="437" t="e">
        <f t="shared" si="59"/>
        <v>#N/A</v>
      </c>
      <c r="L244" s="437" t="e">
        <f t="shared" si="60"/>
        <v>#N/A</v>
      </c>
      <c r="M244" s="437" t="e">
        <f t="shared" si="60"/>
        <v>#N/A</v>
      </c>
      <c r="N244" s="436" t="e">
        <f t="shared" si="52"/>
        <v>#N/A</v>
      </c>
      <c r="O244" s="436" t="e">
        <f t="shared" si="53"/>
        <v>#N/A</v>
      </c>
      <c r="P244" s="436" t="e">
        <f t="shared" si="54"/>
        <v>#N/A</v>
      </c>
      <c r="Q244" s="438" t="e">
        <f t="shared" si="61"/>
        <v>#N/A</v>
      </c>
      <c r="R244" s="438" t="e">
        <f t="shared" si="62"/>
        <v>#N/A</v>
      </c>
      <c r="S244" s="438" t="e">
        <f t="shared" si="62"/>
        <v>#N/A</v>
      </c>
      <c r="T244" s="436" t="e">
        <f t="shared" si="55"/>
        <v>#N/A</v>
      </c>
      <c r="U244" s="436" t="e">
        <f t="shared" si="56"/>
        <v>#N/A</v>
      </c>
      <c r="V244" s="436" t="e">
        <f t="shared" si="57"/>
        <v>#N/A</v>
      </c>
      <c r="W244" s="438" t="e">
        <f t="shared" si="63"/>
        <v>#N/A</v>
      </c>
      <c r="X244" s="438" t="e">
        <f t="shared" si="64"/>
        <v>#N/A</v>
      </c>
      <c r="Y244" s="438" t="e">
        <f t="shared" si="64"/>
        <v>#N/A</v>
      </c>
      <c r="Z244" s="640"/>
      <c r="AA244" s="640"/>
      <c r="AB244" s="640"/>
      <c r="AC244" s="640"/>
      <c r="AD244" s="640"/>
      <c r="AE244" s="640"/>
      <c r="AF244" s="640"/>
      <c r="AG244" s="640"/>
      <c r="AH244" s="640"/>
      <c r="AI244" s="640"/>
      <c r="AJ244" s="640"/>
      <c r="AK244" s="640"/>
    </row>
    <row r="245" spans="1:37" s="223" customFormat="1" ht="15.75" hidden="1" x14ac:dyDescent="0.25">
      <c r="A245" s="417"/>
      <c r="B245" s="415" t="str">
        <f>B221</f>
        <v>Stack</v>
      </c>
      <c r="C245" s="415" t="str">
        <f t="shared" ref="C245" si="65">C221</f>
        <v>Stack assembly</v>
      </c>
      <c r="D245" s="415">
        <v>333515</v>
      </c>
      <c r="E245" s="415" t="s">
        <v>196</v>
      </c>
      <c r="F245" s="686">
        <f>'PEM sectors'!G18</f>
        <v>0</v>
      </c>
      <c r="G245" s="420">
        <f t="shared" si="58"/>
        <v>0</v>
      </c>
      <c r="H245" s="435" t="e">
        <f t="shared" si="49"/>
        <v>#N/A</v>
      </c>
      <c r="I245" s="436" t="e">
        <f t="shared" si="50"/>
        <v>#N/A</v>
      </c>
      <c r="J245" s="436" t="e">
        <f t="shared" si="51"/>
        <v>#N/A</v>
      </c>
      <c r="K245" s="437" t="e">
        <f t="shared" si="59"/>
        <v>#N/A</v>
      </c>
      <c r="L245" s="437" t="e">
        <f t="shared" si="60"/>
        <v>#N/A</v>
      </c>
      <c r="M245" s="437" t="e">
        <f t="shared" si="60"/>
        <v>#N/A</v>
      </c>
      <c r="N245" s="436" t="e">
        <f t="shared" si="52"/>
        <v>#N/A</v>
      </c>
      <c r="O245" s="436" t="e">
        <f t="shared" si="53"/>
        <v>#N/A</v>
      </c>
      <c r="P245" s="436" t="e">
        <f t="shared" si="54"/>
        <v>#N/A</v>
      </c>
      <c r="Q245" s="438" t="e">
        <f t="shared" si="61"/>
        <v>#N/A</v>
      </c>
      <c r="R245" s="438" t="e">
        <f t="shared" si="62"/>
        <v>#N/A</v>
      </c>
      <c r="S245" s="438" t="e">
        <f t="shared" si="62"/>
        <v>#N/A</v>
      </c>
      <c r="T245" s="436" t="e">
        <f t="shared" si="55"/>
        <v>#N/A</v>
      </c>
      <c r="U245" s="436" t="e">
        <f t="shared" si="56"/>
        <v>#N/A</v>
      </c>
      <c r="V245" s="436" t="e">
        <f t="shared" si="57"/>
        <v>#N/A</v>
      </c>
      <c r="W245" s="438" t="e">
        <f t="shared" si="63"/>
        <v>#N/A</v>
      </c>
      <c r="X245" s="438" t="e">
        <f t="shared" si="64"/>
        <v>#N/A</v>
      </c>
      <c r="Y245" s="438" t="e">
        <f t="shared" si="64"/>
        <v>#N/A</v>
      </c>
      <c r="Z245" s="640"/>
      <c r="AA245" s="640"/>
      <c r="AB245" s="640"/>
      <c r="AC245" s="640"/>
      <c r="AD245" s="640"/>
      <c r="AE245" s="640"/>
      <c r="AF245" s="640"/>
      <c r="AG245" s="640"/>
      <c r="AH245" s="640"/>
      <c r="AI245" s="640"/>
      <c r="AJ245" s="640"/>
      <c r="AK245" s="640"/>
    </row>
    <row r="246" spans="1:37" s="223" customFormat="1" ht="15.75" hidden="1" x14ac:dyDescent="0.25">
      <c r="A246" s="417"/>
      <c r="B246" s="415"/>
      <c r="C246" s="415"/>
      <c r="D246" s="415"/>
      <c r="E246" s="452" t="s">
        <v>448</v>
      </c>
      <c r="F246" s="429">
        <f>SUM(F233:F245)</f>
        <v>4.0693155452436194E-2</v>
      </c>
      <c r="G246" s="429">
        <f>SUM(G233:G245)</f>
        <v>4.0693155452436194E-2</v>
      </c>
      <c r="H246" s="435" t="e">
        <f>SUM(H233:H245)</f>
        <v>#N/A</v>
      </c>
      <c r="I246" s="435" t="e">
        <f t="shared" ref="I246:J246" si="66">SUM(I233:I245)</f>
        <v>#N/A</v>
      </c>
      <c r="J246" s="435" t="e">
        <f t="shared" si="66"/>
        <v>#N/A</v>
      </c>
      <c r="K246" s="437" t="e">
        <f t="shared" si="59"/>
        <v>#N/A</v>
      </c>
      <c r="L246" s="437" t="e">
        <f t="shared" si="60"/>
        <v>#N/A</v>
      </c>
      <c r="M246" s="437" t="e">
        <f t="shared" si="60"/>
        <v>#N/A</v>
      </c>
      <c r="N246" s="435" t="e">
        <f>SUM(N233:N245)</f>
        <v>#N/A</v>
      </c>
      <c r="O246" s="435" t="e">
        <f t="shared" ref="O246:P246" si="67">SUM(O233:O245)</f>
        <v>#N/A</v>
      </c>
      <c r="P246" s="435" t="e">
        <f t="shared" si="67"/>
        <v>#N/A</v>
      </c>
      <c r="Q246" s="437" t="e">
        <f t="shared" si="61"/>
        <v>#N/A</v>
      </c>
      <c r="R246" s="437" t="e">
        <f t="shared" si="62"/>
        <v>#N/A</v>
      </c>
      <c r="S246" s="437" t="e">
        <f t="shared" si="62"/>
        <v>#N/A</v>
      </c>
      <c r="T246" s="435" t="e">
        <f>SUM(T233:T245)</f>
        <v>#N/A</v>
      </c>
      <c r="U246" s="435" t="e">
        <f t="shared" ref="U246:V246" si="68">SUM(U233:U245)</f>
        <v>#N/A</v>
      </c>
      <c r="V246" s="435" t="e">
        <f t="shared" si="68"/>
        <v>#N/A</v>
      </c>
      <c r="W246" s="437" t="e">
        <f t="shared" si="63"/>
        <v>#N/A</v>
      </c>
      <c r="X246" s="437" t="e">
        <f t="shared" si="64"/>
        <v>#N/A</v>
      </c>
      <c r="Y246" s="437" t="e">
        <f t="shared" si="64"/>
        <v>#N/A</v>
      </c>
      <c r="Z246" s="640"/>
      <c r="AA246" s="640"/>
      <c r="AB246" s="640"/>
      <c r="AC246" s="640"/>
      <c r="AD246" s="640"/>
      <c r="AE246" s="640"/>
      <c r="AF246" s="640"/>
      <c r="AG246" s="640"/>
      <c r="AH246" s="640"/>
      <c r="AI246" s="640"/>
      <c r="AJ246" s="640"/>
      <c r="AK246" s="640"/>
    </row>
    <row r="247" spans="1:37" s="223" customFormat="1" ht="15.75" hidden="1" x14ac:dyDescent="0.25">
      <c r="A247" s="417"/>
      <c r="B247" s="415"/>
      <c r="C247" s="415"/>
      <c r="D247" s="415"/>
      <c r="E247" s="415"/>
      <c r="F247" s="686"/>
      <c r="G247" s="420"/>
      <c r="H247" s="435"/>
      <c r="I247" s="436"/>
      <c r="J247" s="436"/>
      <c r="K247" s="437"/>
      <c r="L247" s="437"/>
      <c r="M247" s="437"/>
      <c r="N247" s="436"/>
      <c r="O247" s="436"/>
      <c r="P247" s="436"/>
      <c r="Q247" s="438"/>
      <c r="R247" s="438"/>
      <c r="S247" s="438"/>
      <c r="T247" s="436"/>
      <c r="U247" s="436"/>
      <c r="V247" s="436"/>
      <c r="W247" s="438"/>
      <c r="X247" s="438"/>
      <c r="Y247" s="438"/>
      <c r="Z247" s="640"/>
      <c r="AA247" s="640"/>
      <c r="AB247" s="640"/>
      <c r="AC247" s="640"/>
      <c r="AD247" s="640"/>
      <c r="AE247" s="640"/>
      <c r="AF247" s="640"/>
      <c r="AG247" s="640"/>
      <c r="AH247" s="640"/>
      <c r="AI247" s="640"/>
      <c r="AJ247" s="640"/>
      <c r="AK247" s="640"/>
    </row>
    <row r="248" spans="1:37" s="223" customFormat="1" ht="15.75" hidden="1" x14ac:dyDescent="0.25">
      <c r="A248" s="417"/>
      <c r="B248" s="415"/>
      <c r="C248" s="415"/>
      <c r="D248" s="415"/>
      <c r="E248" s="415">
        <v>2015</v>
      </c>
      <c r="F248" s="687">
        <f t="shared" ref="F248:F253" si="69">F$246*F582</f>
        <v>0</v>
      </c>
      <c r="G248" s="687">
        <f t="shared" ref="G248:Y248" si="70">G$246*$G582</f>
        <v>0</v>
      </c>
      <c r="H248" s="688" t="e">
        <f t="shared" si="70"/>
        <v>#N/A</v>
      </c>
      <c r="I248" s="688" t="e">
        <f t="shared" si="70"/>
        <v>#N/A</v>
      </c>
      <c r="J248" s="688" t="e">
        <f t="shared" si="70"/>
        <v>#N/A</v>
      </c>
      <c r="K248" s="688" t="e">
        <f t="shared" si="70"/>
        <v>#N/A</v>
      </c>
      <c r="L248" s="688" t="e">
        <f t="shared" si="70"/>
        <v>#N/A</v>
      </c>
      <c r="M248" s="688" t="e">
        <f t="shared" si="70"/>
        <v>#N/A</v>
      </c>
      <c r="N248" s="687" t="e">
        <f t="shared" si="70"/>
        <v>#N/A</v>
      </c>
      <c r="O248" s="687" t="e">
        <f t="shared" si="70"/>
        <v>#N/A</v>
      </c>
      <c r="P248" s="687" t="e">
        <f t="shared" si="70"/>
        <v>#N/A</v>
      </c>
      <c r="Q248" s="687" t="e">
        <f t="shared" si="70"/>
        <v>#N/A</v>
      </c>
      <c r="R248" s="687" t="e">
        <f t="shared" si="70"/>
        <v>#N/A</v>
      </c>
      <c r="S248" s="687" t="e">
        <f t="shared" si="70"/>
        <v>#N/A</v>
      </c>
      <c r="T248" s="687" t="e">
        <f t="shared" si="70"/>
        <v>#N/A</v>
      </c>
      <c r="U248" s="687" t="e">
        <f t="shared" si="70"/>
        <v>#N/A</v>
      </c>
      <c r="V248" s="687" t="e">
        <f t="shared" si="70"/>
        <v>#N/A</v>
      </c>
      <c r="W248" s="687" t="e">
        <f t="shared" si="70"/>
        <v>#N/A</v>
      </c>
      <c r="X248" s="687" t="e">
        <f t="shared" si="70"/>
        <v>#N/A</v>
      </c>
      <c r="Y248" s="687" t="e">
        <f t="shared" si="70"/>
        <v>#N/A</v>
      </c>
      <c r="Z248" s="640"/>
      <c r="AA248" s="640"/>
      <c r="AB248" s="640"/>
      <c r="AC248" s="640"/>
      <c r="AD248" s="640"/>
      <c r="AE248" s="640"/>
      <c r="AF248" s="640"/>
      <c r="AG248" s="640"/>
      <c r="AH248" s="640"/>
      <c r="AI248" s="640"/>
      <c r="AJ248" s="640"/>
      <c r="AK248" s="640"/>
    </row>
    <row r="249" spans="1:37" s="223" customFormat="1" ht="15.75" hidden="1" x14ac:dyDescent="0.25">
      <c r="A249" s="417"/>
      <c r="B249" s="415"/>
      <c r="C249" s="415"/>
      <c r="D249" s="415"/>
      <c r="E249" s="415">
        <v>2016</v>
      </c>
      <c r="F249" s="687">
        <f t="shared" si="69"/>
        <v>0</v>
      </c>
      <c r="G249" s="687">
        <f t="shared" ref="G249:Y249" si="71">G$246*$G583</f>
        <v>0</v>
      </c>
      <c r="H249" s="688" t="e">
        <f t="shared" si="71"/>
        <v>#N/A</v>
      </c>
      <c r="I249" s="688" t="e">
        <f t="shared" si="71"/>
        <v>#N/A</v>
      </c>
      <c r="J249" s="688" t="e">
        <f t="shared" si="71"/>
        <v>#N/A</v>
      </c>
      <c r="K249" s="688" t="e">
        <f t="shared" si="71"/>
        <v>#N/A</v>
      </c>
      <c r="L249" s="688" t="e">
        <f t="shared" si="71"/>
        <v>#N/A</v>
      </c>
      <c r="M249" s="688" t="e">
        <f t="shared" si="71"/>
        <v>#N/A</v>
      </c>
      <c r="N249" s="687" t="e">
        <f t="shared" si="71"/>
        <v>#N/A</v>
      </c>
      <c r="O249" s="687" t="e">
        <f t="shared" si="71"/>
        <v>#N/A</v>
      </c>
      <c r="P249" s="687" t="e">
        <f t="shared" si="71"/>
        <v>#N/A</v>
      </c>
      <c r="Q249" s="687" t="e">
        <f t="shared" si="71"/>
        <v>#N/A</v>
      </c>
      <c r="R249" s="687" t="e">
        <f t="shared" si="71"/>
        <v>#N/A</v>
      </c>
      <c r="S249" s="687" t="e">
        <f t="shared" si="71"/>
        <v>#N/A</v>
      </c>
      <c r="T249" s="687" t="e">
        <f t="shared" si="71"/>
        <v>#N/A</v>
      </c>
      <c r="U249" s="687" t="e">
        <f t="shared" si="71"/>
        <v>#N/A</v>
      </c>
      <c r="V249" s="687" t="e">
        <f t="shared" si="71"/>
        <v>#N/A</v>
      </c>
      <c r="W249" s="687" t="e">
        <f t="shared" si="71"/>
        <v>#N/A</v>
      </c>
      <c r="X249" s="687" t="e">
        <f t="shared" si="71"/>
        <v>#N/A</v>
      </c>
      <c r="Y249" s="687" t="e">
        <f t="shared" si="71"/>
        <v>#N/A</v>
      </c>
      <c r="Z249" s="640"/>
      <c r="AA249" s="640"/>
      <c r="AB249" s="640"/>
      <c r="AC249" s="640"/>
      <c r="AD249" s="640"/>
      <c r="AE249" s="640"/>
      <c r="AF249" s="640"/>
      <c r="AG249" s="640"/>
      <c r="AH249" s="640"/>
      <c r="AI249" s="640"/>
      <c r="AJ249" s="640"/>
      <c r="AK249" s="640"/>
    </row>
    <row r="250" spans="1:37" s="228" customFormat="1" ht="15.75" hidden="1" x14ac:dyDescent="0.25">
      <c r="A250" s="417"/>
      <c r="B250" s="415"/>
      <c r="C250" s="415"/>
      <c r="D250" s="415"/>
      <c r="E250" s="415">
        <v>2017</v>
      </c>
      <c r="F250" s="687">
        <f t="shared" si="69"/>
        <v>0</v>
      </c>
      <c r="G250" s="687">
        <f t="shared" ref="G250:Y250" si="72">G$246*$G584</f>
        <v>0</v>
      </c>
      <c r="H250" s="688" t="e">
        <f t="shared" si="72"/>
        <v>#N/A</v>
      </c>
      <c r="I250" s="688" t="e">
        <f t="shared" si="72"/>
        <v>#N/A</v>
      </c>
      <c r="J250" s="688" t="e">
        <f t="shared" si="72"/>
        <v>#N/A</v>
      </c>
      <c r="K250" s="688" t="e">
        <f t="shared" si="72"/>
        <v>#N/A</v>
      </c>
      <c r="L250" s="688" t="e">
        <f t="shared" si="72"/>
        <v>#N/A</v>
      </c>
      <c r="M250" s="688" t="e">
        <f t="shared" si="72"/>
        <v>#N/A</v>
      </c>
      <c r="N250" s="687" t="e">
        <f t="shared" si="72"/>
        <v>#N/A</v>
      </c>
      <c r="O250" s="687" t="e">
        <f t="shared" si="72"/>
        <v>#N/A</v>
      </c>
      <c r="P250" s="687" t="e">
        <f t="shared" si="72"/>
        <v>#N/A</v>
      </c>
      <c r="Q250" s="687" t="e">
        <f t="shared" si="72"/>
        <v>#N/A</v>
      </c>
      <c r="R250" s="687" t="e">
        <f t="shared" si="72"/>
        <v>#N/A</v>
      </c>
      <c r="S250" s="687" t="e">
        <f t="shared" si="72"/>
        <v>#N/A</v>
      </c>
      <c r="T250" s="687" t="e">
        <f t="shared" si="72"/>
        <v>#N/A</v>
      </c>
      <c r="U250" s="687" t="e">
        <f t="shared" si="72"/>
        <v>#N/A</v>
      </c>
      <c r="V250" s="687" t="e">
        <f t="shared" si="72"/>
        <v>#N/A</v>
      </c>
      <c r="W250" s="687" t="e">
        <f t="shared" si="72"/>
        <v>#N/A</v>
      </c>
      <c r="X250" s="687" t="e">
        <f t="shared" si="72"/>
        <v>#N/A</v>
      </c>
      <c r="Y250" s="687" t="e">
        <f t="shared" si="72"/>
        <v>#N/A</v>
      </c>
      <c r="Z250" s="640"/>
      <c r="AA250" s="640"/>
      <c r="AB250" s="640"/>
      <c r="AC250" s="640"/>
      <c r="AD250" s="640"/>
      <c r="AE250" s="640"/>
      <c r="AF250" s="640"/>
      <c r="AG250" s="640"/>
      <c r="AH250" s="640"/>
      <c r="AI250" s="640"/>
      <c r="AJ250" s="640"/>
      <c r="AK250" s="640"/>
    </row>
    <row r="251" spans="1:37" s="229" customFormat="1" ht="15.75" hidden="1" x14ac:dyDescent="0.25">
      <c r="A251" s="417"/>
      <c r="B251" s="415"/>
      <c r="C251" s="415"/>
      <c r="D251" s="415"/>
      <c r="E251" s="415">
        <v>2018</v>
      </c>
      <c r="F251" s="687">
        <f t="shared" si="69"/>
        <v>0</v>
      </c>
      <c r="G251" s="687">
        <f t="shared" ref="G251:Y251" si="73">G$246*$G585</f>
        <v>0</v>
      </c>
      <c r="H251" s="688" t="e">
        <f t="shared" si="73"/>
        <v>#N/A</v>
      </c>
      <c r="I251" s="688" t="e">
        <f t="shared" si="73"/>
        <v>#N/A</v>
      </c>
      <c r="J251" s="688" t="e">
        <f t="shared" si="73"/>
        <v>#N/A</v>
      </c>
      <c r="K251" s="688" t="e">
        <f t="shared" si="73"/>
        <v>#N/A</v>
      </c>
      <c r="L251" s="688" t="e">
        <f t="shared" si="73"/>
        <v>#N/A</v>
      </c>
      <c r="M251" s="688" t="e">
        <f t="shared" si="73"/>
        <v>#N/A</v>
      </c>
      <c r="N251" s="687" t="e">
        <f t="shared" si="73"/>
        <v>#N/A</v>
      </c>
      <c r="O251" s="687" t="e">
        <f t="shared" si="73"/>
        <v>#N/A</v>
      </c>
      <c r="P251" s="687" t="e">
        <f t="shared" si="73"/>
        <v>#N/A</v>
      </c>
      <c r="Q251" s="687" t="e">
        <f t="shared" si="73"/>
        <v>#N/A</v>
      </c>
      <c r="R251" s="687" t="e">
        <f t="shared" si="73"/>
        <v>#N/A</v>
      </c>
      <c r="S251" s="687" t="e">
        <f t="shared" si="73"/>
        <v>#N/A</v>
      </c>
      <c r="T251" s="687" t="e">
        <f t="shared" si="73"/>
        <v>#N/A</v>
      </c>
      <c r="U251" s="687" t="e">
        <f t="shared" si="73"/>
        <v>#N/A</v>
      </c>
      <c r="V251" s="687" t="e">
        <f t="shared" si="73"/>
        <v>#N/A</v>
      </c>
      <c r="W251" s="687" t="e">
        <f t="shared" si="73"/>
        <v>#N/A</v>
      </c>
      <c r="X251" s="687" t="e">
        <f t="shared" si="73"/>
        <v>#N/A</v>
      </c>
      <c r="Y251" s="687" t="e">
        <f t="shared" si="73"/>
        <v>#N/A</v>
      </c>
      <c r="Z251" s="640"/>
      <c r="AA251" s="640"/>
      <c r="AB251" s="640"/>
      <c r="AC251" s="640"/>
      <c r="AD251" s="640"/>
      <c r="AE251" s="640"/>
      <c r="AF251" s="640"/>
      <c r="AG251" s="640"/>
      <c r="AH251" s="640"/>
      <c r="AI251" s="640"/>
      <c r="AJ251" s="640"/>
      <c r="AK251" s="640"/>
    </row>
    <row r="252" spans="1:37" s="228" customFormat="1" ht="15.75" hidden="1" x14ac:dyDescent="0.25">
      <c r="A252" s="417"/>
      <c r="B252" s="415"/>
      <c r="C252" s="415"/>
      <c r="D252" s="415"/>
      <c r="E252" s="415">
        <v>2019</v>
      </c>
      <c r="F252" s="687">
        <f t="shared" si="69"/>
        <v>0</v>
      </c>
      <c r="G252" s="687">
        <f t="shared" ref="G252:Y252" si="74">G$246*$G586</f>
        <v>0</v>
      </c>
      <c r="H252" s="688" t="e">
        <f t="shared" si="74"/>
        <v>#N/A</v>
      </c>
      <c r="I252" s="688" t="e">
        <f t="shared" si="74"/>
        <v>#N/A</v>
      </c>
      <c r="J252" s="688" t="e">
        <f t="shared" si="74"/>
        <v>#N/A</v>
      </c>
      <c r="K252" s="688" t="e">
        <f t="shared" si="74"/>
        <v>#N/A</v>
      </c>
      <c r="L252" s="688" t="e">
        <f t="shared" si="74"/>
        <v>#N/A</v>
      </c>
      <c r="M252" s="688" t="e">
        <f t="shared" si="74"/>
        <v>#N/A</v>
      </c>
      <c r="N252" s="687" t="e">
        <f t="shared" si="74"/>
        <v>#N/A</v>
      </c>
      <c r="O252" s="687" t="e">
        <f t="shared" si="74"/>
        <v>#N/A</v>
      </c>
      <c r="P252" s="687" t="e">
        <f t="shared" si="74"/>
        <v>#N/A</v>
      </c>
      <c r="Q252" s="687" t="e">
        <f t="shared" si="74"/>
        <v>#N/A</v>
      </c>
      <c r="R252" s="687" t="e">
        <f t="shared" si="74"/>
        <v>#N/A</v>
      </c>
      <c r="S252" s="687" t="e">
        <f t="shared" si="74"/>
        <v>#N/A</v>
      </c>
      <c r="T252" s="687" t="e">
        <f t="shared" si="74"/>
        <v>#N/A</v>
      </c>
      <c r="U252" s="687" t="e">
        <f t="shared" si="74"/>
        <v>#N/A</v>
      </c>
      <c r="V252" s="687" t="e">
        <f t="shared" si="74"/>
        <v>#N/A</v>
      </c>
      <c r="W252" s="687" t="e">
        <f t="shared" si="74"/>
        <v>#N/A</v>
      </c>
      <c r="X252" s="687" t="e">
        <f t="shared" si="74"/>
        <v>#N/A</v>
      </c>
      <c r="Y252" s="687" t="e">
        <f t="shared" si="74"/>
        <v>#N/A</v>
      </c>
      <c r="Z252" s="640"/>
      <c r="AA252" s="640"/>
      <c r="AB252" s="640"/>
      <c r="AC252" s="640"/>
      <c r="AD252" s="640"/>
      <c r="AE252" s="640"/>
      <c r="AF252" s="640"/>
      <c r="AG252" s="640"/>
      <c r="AH252" s="640"/>
      <c r="AI252" s="640"/>
      <c r="AJ252" s="640"/>
      <c r="AK252" s="640"/>
    </row>
    <row r="253" spans="1:37" s="228" customFormat="1" ht="15.75" hidden="1" x14ac:dyDescent="0.25">
      <c r="A253" s="417"/>
      <c r="B253" s="415"/>
      <c r="C253" s="415"/>
      <c r="D253" s="415"/>
      <c r="E253" s="415">
        <v>2020</v>
      </c>
      <c r="F253" s="687">
        <f t="shared" si="69"/>
        <v>0</v>
      </c>
      <c r="G253" s="687">
        <f t="shared" ref="G253:Y253" si="75">G$246*$G587</f>
        <v>0</v>
      </c>
      <c r="H253" s="688" t="e">
        <f t="shared" si="75"/>
        <v>#N/A</v>
      </c>
      <c r="I253" s="688" t="e">
        <f t="shared" si="75"/>
        <v>#N/A</v>
      </c>
      <c r="J253" s="688" t="e">
        <f t="shared" si="75"/>
        <v>#N/A</v>
      </c>
      <c r="K253" s="688" t="e">
        <f t="shared" si="75"/>
        <v>#N/A</v>
      </c>
      <c r="L253" s="688" t="e">
        <f t="shared" si="75"/>
        <v>#N/A</v>
      </c>
      <c r="M253" s="688" t="e">
        <f t="shared" si="75"/>
        <v>#N/A</v>
      </c>
      <c r="N253" s="687" t="e">
        <f t="shared" si="75"/>
        <v>#N/A</v>
      </c>
      <c r="O253" s="687" t="e">
        <f t="shared" si="75"/>
        <v>#N/A</v>
      </c>
      <c r="P253" s="687" t="e">
        <f t="shared" si="75"/>
        <v>#N/A</v>
      </c>
      <c r="Q253" s="687" t="e">
        <f t="shared" si="75"/>
        <v>#N/A</v>
      </c>
      <c r="R253" s="687" t="e">
        <f t="shared" si="75"/>
        <v>#N/A</v>
      </c>
      <c r="S253" s="687" t="e">
        <f t="shared" si="75"/>
        <v>#N/A</v>
      </c>
      <c r="T253" s="687" t="e">
        <f t="shared" si="75"/>
        <v>#N/A</v>
      </c>
      <c r="U253" s="687" t="e">
        <f t="shared" si="75"/>
        <v>#N/A</v>
      </c>
      <c r="V253" s="687" t="e">
        <f t="shared" si="75"/>
        <v>#N/A</v>
      </c>
      <c r="W253" s="687" t="e">
        <f t="shared" si="75"/>
        <v>#N/A</v>
      </c>
      <c r="X253" s="687" t="e">
        <f t="shared" si="75"/>
        <v>#N/A</v>
      </c>
      <c r="Y253" s="687" t="e">
        <f t="shared" si="75"/>
        <v>#N/A</v>
      </c>
      <c r="Z253" s="640"/>
      <c r="AA253" s="640"/>
      <c r="AB253" s="640"/>
      <c r="AC253" s="640"/>
      <c r="AD253" s="640"/>
      <c r="AE253" s="640"/>
      <c r="AF253" s="640"/>
      <c r="AG253" s="640"/>
      <c r="AH253" s="640"/>
      <c r="AI253" s="640"/>
      <c r="AJ253" s="640"/>
      <c r="AK253" s="640"/>
    </row>
    <row r="254" spans="1:37" s="228" customFormat="1" ht="15.75" hidden="1" x14ac:dyDescent="0.25">
      <c r="A254" s="415"/>
      <c r="B254" s="415"/>
      <c r="C254" s="415"/>
      <c r="D254" s="522"/>
      <c r="E254" s="417"/>
      <c r="F254" s="446"/>
      <c r="G254" s="446"/>
      <c r="H254" s="415"/>
      <c r="I254" s="415"/>
      <c r="J254" s="415"/>
      <c r="K254" s="415"/>
      <c r="L254" s="415"/>
      <c r="M254" s="415"/>
      <c r="N254" s="447"/>
      <c r="O254" s="447"/>
      <c r="P254" s="447"/>
      <c r="Q254" s="447"/>
      <c r="R254" s="447"/>
      <c r="S254" s="447"/>
      <c r="T254" s="447"/>
      <c r="U254" s="447"/>
      <c r="V254" s="447"/>
      <c r="W254" s="447"/>
      <c r="X254" s="447"/>
      <c r="Y254" s="447"/>
      <c r="Z254" s="640"/>
      <c r="AA254" s="640"/>
      <c r="AB254" s="640"/>
      <c r="AC254" s="640"/>
      <c r="AD254" s="640"/>
      <c r="AE254" s="640"/>
      <c r="AF254" s="640"/>
      <c r="AG254" s="640"/>
      <c r="AH254" s="640"/>
      <c r="AI254" s="640"/>
      <c r="AJ254" s="640"/>
      <c r="AK254" s="640"/>
    </row>
    <row r="255" spans="1:37" s="228" customFormat="1" ht="15.75" hidden="1" x14ac:dyDescent="0.25">
      <c r="A255" s="415"/>
      <c r="B255" s="1187" t="s">
        <v>1568</v>
      </c>
      <c r="C255" s="1190"/>
      <c r="D255" s="448" t="s">
        <v>1045</v>
      </c>
      <c r="E255" s="415"/>
      <c r="F255" s="449"/>
      <c r="G255" s="450"/>
      <c r="H255" s="415"/>
      <c r="I255" s="415"/>
      <c r="J255" s="415"/>
      <c r="K255" s="415"/>
      <c r="L255" s="415"/>
      <c r="M255" s="415"/>
      <c r="N255" s="447"/>
      <c r="O255" s="447"/>
      <c r="P255" s="447"/>
      <c r="Q255" s="447"/>
      <c r="R255" s="447"/>
      <c r="S255" s="447"/>
      <c r="T255" s="447"/>
      <c r="U255" s="447"/>
      <c r="V255" s="447"/>
      <c r="W255" s="447"/>
      <c r="X255" s="447"/>
      <c r="Y255" s="447"/>
      <c r="Z255" s="640"/>
      <c r="AA255" s="640"/>
      <c r="AB255" s="640"/>
      <c r="AC255" s="640"/>
      <c r="AD255" s="640"/>
      <c r="AE255" s="640"/>
      <c r="AF255" s="640"/>
      <c r="AG255" s="640"/>
      <c r="AH255" s="640"/>
      <c r="AI255" s="640"/>
      <c r="AJ255" s="640"/>
      <c r="AK255" s="640"/>
    </row>
    <row r="256" spans="1:37" s="228" customFormat="1" ht="15.75" hidden="1" x14ac:dyDescent="0.25">
      <c r="A256" s="417"/>
      <c r="B256" s="417"/>
      <c r="C256" s="417"/>
      <c r="D256" s="419" t="s">
        <v>412</v>
      </c>
      <c r="E256" s="419" t="s">
        <v>10</v>
      </c>
      <c r="F256" s="450" t="s">
        <v>428</v>
      </c>
      <c r="G256" s="419" t="str">
        <f>G$184</f>
        <v>Cost in 2008 dollars</v>
      </c>
      <c r="H256" s="417" t="s">
        <v>583</v>
      </c>
      <c r="I256" s="417" t="s">
        <v>584</v>
      </c>
      <c r="J256" s="417" t="s">
        <v>585</v>
      </c>
      <c r="K256" s="417" t="s">
        <v>586</v>
      </c>
      <c r="L256" s="417" t="s">
        <v>413</v>
      </c>
      <c r="M256" s="417" t="s">
        <v>414</v>
      </c>
      <c r="N256" s="426" t="s">
        <v>592</v>
      </c>
      <c r="O256" s="426" t="s">
        <v>587</v>
      </c>
      <c r="P256" s="426" t="s">
        <v>588</v>
      </c>
      <c r="Q256" s="426" t="s">
        <v>589</v>
      </c>
      <c r="R256" s="426" t="s">
        <v>590</v>
      </c>
      <c r="S256" s="426" t="s">
        <v>591</v>
      </c>
      <c r="T256" s="426" t="s">
        <v>593</v>
      </c>
      <c r="U256" s="426" t="s">
        <v>594</v>
      </c>
      <c r="V256" s="426" t="s">
        <v>595</v>
      </c>
      <c r="W256" s="426" t="s">
        <v>596</v>
      </c>
      <c r="X256" s="426" t="s">
        <v>597</v>
      </c>
      <c r="Y256" s="426" t="s">
        <v>598</v>
      </c>
      <c r="Z256" s="640"/>
      <c r="AA256" s="640"/>
      <c r="AB256" s="640"/>
      <c r="AC256" s="640"/>
      <c r="AD256" s="640"/>
      <c r="AE256" s="640"/>
      <c r="AF256" s="640"/>
      <c r="AG256" s="640"/>
      <c r="AH256" s="640"/>
      <c r="AI256" s="640"/>
      <c r="AJ256" s="640"/>
      <c r="AK256" s="640"/>
    </row>
    <row r="257" spans="1:37" s="228" customFormat="1" ht="15.75" hidden="1" x14ac:dyDescent="0.25">
      <c r="A257" s="415"/>
      <c r="B257" s="415" t="str">
        <f>'PEM sectors'!A23</f>
        <v>BoP</v>
      </c>
      <c r="C257" s="415" t="str">
        <f>'PEM sectors'!B23</f>
        <v>Air Filter (Cooling Air)</v>
      </c>
      <c r="D257" s="415" t="str">
        <f>'PEM sectors'!C23</f>
        <v>33341A</v>
      </c>
      <c r="E257" s="415" t="str">
        <f>'PEM sectors'!D23</f>
        <v xml:space="preserve">Air purification and ventilation equipment manufacturing </v>
      </c>
      <c r="F257" s="420">
        <f>'PEM sectors'!F23</f>
        <v>4.0603248259860787E-3</v>
      </c>
      <c r="G257" s="420">
        <f>F257</f>
        <v>4.0603248259860787E-3</v>
      </c>
      <c r="H257" s="421" t="e">
        <f t="shared" ref="H257:H278" si="76">$G257*INDEX(tier_emp_mult, MATCH($D257, tier_emp_code,0), MATCH(State, R_emp, 0))/1000000</f>
        <v>#N/A</v>
      </c>
      <c r="I257" s="422" t="e">
        <f t="shared" ref="I257:I278" si="77">$G257*INDEX(typeI_emp_mult, MATCH($D257, typeI_emp_code,0), MATCH(State, R_emp, 0))/1000000</f>
        <v>#N/A</v>
      </c>
      <c r="J257" s="422" t="e">
        <f t="shared" ref="J257:J278" si="78">$G257*INDEX(typeII_emp_mult, MATCH($D257, typeII_emp_code,0), MATCH(State, R_emp, 0))/1000000</f>
        <v>#N/A</v>
      </c>
      <c r="K257" s="423" t="e">
        <f>H257</f>
        <v>#N/A</v>
      </c>
      <c r="L257" s="423" t="e">
        <f>I257-H257</f>
        <v>#N/A</v>
      </c>
      <c r="M257" s="423" t="e">
        <f>J257-I257</f>
        <v>#N/A</v>
      </c>
      <c r="N257" s="422" t="e">
        <f t="shared" ref="N257:N278" si="79">$G257*INDEX(tier_earn_mult, MATCH($D257, tier_earn_code,0), MATCH(State, R_earn, 0))</f>
        <v>#N/A</v>
      </c>
      <c r="O257" s="422" t="e">
        <f t="shared" ref="O257:O278" si="80">$G257*INDEX(typeI_earn_mult, MATCH($D257, typeI_earn_code,0), MATCH(State, R_earn, 0))</f>
        <v>#N/A</v>
      </c>
      <c r="P257" s="422" t="e">
        <f t="shared" ref="P257:P278" si="81">$G257*INDEX(typeII_earn_mult, MATCH($D257, typeII_earn_code,0), MATCH(State, R_earn, 0))</f>
        <v>#N/A</v>
      </c>
      <c r="Q257" s="447" t="e">
        <f>N257</f>
        <v>#N/A</v>
      </c>
      <c r="R257" s="447" t="e">
        <f>O257-N257</f>
        <v>#N/A</v>
      </c>
      <c r="S257" s="447" t="e">
        <f>P257-O257</f>
        <v>#N/A</v>
      </c>
      <c r="T257" s="422" t="e">
        <f t="shared" ref="T257:T278" si="82">$G257*INDEX(tier_out_mult, MATCH($D257, tier_out_code,0), MATCH(State, R_out, 0))</f>
        <v>#N/A</v>
      </c>
      <c r="U257" s="422" t="e">
        <f t="shared" ref="U257:U278" si="83">$G257*INDEX(typeI_out_mult, MATCH($D257, typeI_out_code,0), MATCH(State, R_out, 0))</f>
        <v>#N/A</v>
      </c>
      <c r="V257" s="422" t="e">
        <f t="shared" ref="V257:V278" si="84">$G257*INDEX(typeII_out_mult, MATCH($D257, typeII_out_code,0), MATCH(State, R_out, 0))</f>
        <v>#N/A</v>
      </c>
      <c r="W257" s="447" t="e">
        <f>T257</f>
        <v>#N/A</v>
      </c>
      <c r="X257" s="447" t="e">
        <f>U257-T257</f>
        <v>#N/A</v>
      </c>
      <c r="Y257" s="447" t="e">
        <f>V257-U257</f>
        <v>#N/A</v>
      </c>
      <c r="Z257" s="640"/>
      <c r="AA257" s="640"/>
      <c r="AB257" s="640"/>
      <c r="AC257" s="640"/>
      <c r="AD257" s="640"/>
      <c r="AE257" s="640"/>
      <c r="AF257" s="640"/>
      <c r="AG257" s="640"/>
      <c r="AH257" s="640"/>
      <c r="AI257" s="640"/>
      <c r="AJ257" s="640"/>
      <c r="AK257" s="640"/>
    </row>
    <row r="258" spans="1:37" s="228" customFormat="1" ht="15.75" hidden="1" x14ac:dyDescent="0.25">
      <c r="A258" s="415"/>
      <c r="B258" s="415" t="str">
        <f>'PEM sectors'!A24</f>
        <v>BoP</v>
      </c>
      <c r="C258" s="415" t="str">
        <f>'PEM sectors'!B24</f>
        <v>Air Filter (Cathode Air)</v>
      </c>
      <c r="D258" s="415" t="str">
        <f>'PEM sectors'!C24</f>
        <v>33341A</v>
      </c>
      <c r="E258" s="415" t="str">
        <f>'PEM sectors'!D24</f>
        <v xml:space="preserve">Air purification and ventilation equipment manufacturing </v>
      </c>
      <c r="F258" s="420">
        <f>'PEM sectors'!F24</f>
        <v>1.2035962877030163E-2</v>
      </c>
      <c r="G258" s="420">
        <f t="shared" ref="G258:G279" si="85">F258</f>
        <v>1.2035962877030163E-2</v>
      </c>
      <c r="H258" s="421" t="e">
        <f t="shared" si="76"/>
        <v>#N/A</v>
      </c>
      <c r="I258" s="422" t="e">
        <f t="shared" si="77"/>
        <v>#N/A</v>
      </c>
      <c r="J258" s="422" t="e">
        <f t="shared" si="78"/>
        <v>#N/A</v>
      </c>
      <c r="K258" s="423" t="e">
        <f t="shared" ref="K258:K279" si="86">H258</f>
        <v>#N/A</v>
      </c>
      <c r="L258" s="423" t="e">
        <f t="shared" ref="L258:M278" si="87">I258-H258</f>
        <v>#N/A</v>
      </c>
      <c r="M258" s="423" t="e">
        <f t="shared" si="87"/>
        <v>#N/A</v>
      </c>
      <c r="N258" s="422" t="e">
        <f t="shared" si="79"/>
        <v>#N/A</v>
      </c>
      <c r="O258" s="422" t="e">
        <f t="shared" si="80"/>
        <v>#N/A</v>
      </c>
      <c r="P258" s="422" t="e">
        <f t="shared" si="81"/>
        <v>#N/A</v>
      </c>
      <c r="Q258" s="447" t="e">
        <f t="shared" ref="Q258:Q279" si="88">N258</f>
        <v>#N/A</v>
      </c>
      <c r="R258" s="447" t="e">
        <f t="shared" ref="R258:S278" si="89">O258-N258</f>
        <v>#N/A</v>
      </c>
      <c r="S258" s="447" t="e">
        <f t="shared" si="89"/>
        <v>#N/A</v>
      </c>
      <c r="T258" s="422" t="e">
        <f t="shared" si="82"/>
        <v>#N/A</v>
      </c>
      <c r="U258" s="422" t="e">
        <f t="shared" si="83"/>
        <v>#N/A</v>
      </c>
      <c r="V258" s="422" t="e">
        <f t="shared" si="84"/>
        <v>#N/A</v>
      </c>
      <c r="W258" s="447" t="e">
        <f t="shared" ref="W258:W279" si="90">T258</f>
        <v>#N/A</v>
      </c>
      <c r="X258" s="447" t="e">
        <f t="shared" ref="X258:Y278" si="91">U258-T258</f>
        <v>#N/A</v>
      </c>
      <c r="Y258" s="447" t="e">
        <f t="shared" si="91"/>
        <v>#N/A</v>
      </c>
      <c r="Z258" s="640"/>
      <c r="AA258" s="640"/>
      <c r="AB258" s="640"/>
      <c r="AC258" s="640"/>
      <c r="AD258" s="640"/>
      <c r="AE258" s="640"/>
      <c r="AF258" s="640"/>
      <c r="AG258" s="640"/>
      <c r="AH258" s="640"/>
      <c r="AI258" s="640"/>
      <c r="AJ258" s="640"/>
      <c r="AK258" s="640"/>
    </row>
    <row r="259" spans="1:37" s="228" customFormat="1" ht="15.75" hidden="1" x14ac:dyDescent="0.25">
      <c r="A259" s="415"/>
      <c r="B259" s="415" t="str">
        <f>'PEM sectors'!A25</f>
        <v>BoP</v>
      </c>
      <c r="C259" s="415" t="str">
        <f>'PEM sectors'!B25</f>
        <v>Blower (Cooling Air)</v>
      </c>
      <c r="D259" s="415" t="str">
        <f>'PEM sectors'!C25</f>
        <v>33341A</v>
      </c>
      <c r="E259" s="415" t="str">
        <f>'PEM sectors'!D25</f>
        <v xml:space="preserve">Air purification and ventilation equipment manufacturing </v>
      </c>
      <c r="F259" s="420">
        <f>'PEM sectors'!F25</f>
        <v>2.1751740139211138E-2</v>
      </c>
      <c r="G259" s="420">
        <f t="shared" si="85"/>
        <v>2.1751740139211138E-2</v>
      </c>
      <c r="H259" s="421" t="e">
        <f t="shared" si="76"/>
        <v>#N/A</v>
      </c>
      <c r="I259" s="422" t="e">
        <f t="shared" si="77"/>
        <v>#N/A</v>
      </c>
      <c r="J259" s="422" t="e">
        <f t="shared" si="78"/>
        <v>#N/A</v>
      </c>
      <c r="K259" s="423" t="e">
        <f t="shared" si="86"/>
        <v>#N/A</v>
      </c>
      <c r="L259" s="423" t="e">
        <f t="shared" si="87"/>
        <v>#N/A</v>
      </c>
      <c r="M259" s="423" t="e">
        <f t="shared" si="87"/>
        <v>#N/A</v>
      </c>
      <c r="N259" s="422" t="e">
        <f t="shared" si="79"/>
        <v>#N/A</v>
      </c>
      <c r="O259" s="422" t="e">
        <f t="shared" si="80"/>
        <v>#N/A</v>
      </c>
      <c r="P259" s="422" t="e">
        <f t="shared" si="81"/>
        <v>#N/A</v>
      </c>
      <c r="Q259" s="447" t="e">
        <f t="shared" si="88"/>
        <v>#N/A</v>
      </c>
      <c r="R259" s="447" t="e">
        <f t="shared" si="89"/>
        <v>#N/A</v>
      </c>
      <c r="S259" s="447" t="e">
        <f t="shared" si="89"/>
        <v>#N/A</v>
      </c>
      <c r="T259" s="422" t="e">
        <f t="shared" si="82"/>
        <v>#N/A</v>
      </c>
      <c r="U259" s="422" t="e">
        <f t="shared" si="83"/>
        <v>#N/A</v>
      </c>
      <c r="V259" s="422" t="e">
        <f t="shared" si="84"/>
        <v>#N/A</v>
      </c>
      <c r="W259" s="447" t="e">
        <f t="shared" si="90"/>
        <v>#N/A</v>
      </c>
      <c r="X259" s="447" t="e">
        <f t="shared" si="91"/>
        <v>#N/A</v>
      </c>
      <c r="Y259" s="447" t="e">
        <f t="shared" si="91"/>
        <v>#N/A</v>
      </c>
      <c r="Z259" s="640"/>
      <c r="AA259" s="640"/>
      <c r="AB259" s="640"/>
      <c r="AC259" s="640"/>
      <c r="AD259" s="640"/>
      <c r="AE259" s="640"/>
      <c r="AF259" s="640"/>
      <c r="AG259" s="640"/>
      <c r="AH259" s="640"/>
      <c r="AI259" s="640"/>
      <c r="AJ259" s="640"/>
      <c r="AK259" s="640"/>
    </row>
    <row r="260" spans="1:37" s="228" customFormat="1" ht="15.75" hidden="1" x14ac:dyDescent="0.25">
      <c r="A260" s="415"/>
      <c r="B260" s="415" t="str">
        <f>'PEM sectors'!A26</f>
        <v>BoP</v>
      </c>
      <c r="C260" s="415" t="str">
        <f>'PEM sectors'!B26</f>
        <v>Blower (Cathode Air)</v>
      </c>
      <c r="D260" s="415" t="str">
        <f>'PEM sectors'!C26</f>
        <v>33341A</v>
      </c>
      <c r="E260" s="415" t="str">
        <f>'PEM sectors'!D26</f>
        <v xml:space="preserve">Air purification and ventilation equipment manufacturing </v>
      </c>
      <c r="F260" s="420">
        <f>'PEM sectors'!F26</f>
        <v>4.6403712296983757E-2</v>
      </c>
      <c r="G260" s="420">
        <f t="shared" si="85"/>
        <v>4.6403712296983757E-2</v>
      </c>
      <c r="H260" s="421" t="e">
        <f t="shared" si="76"/>
        <v>#N/A</v>
      </c>
      <c r="I260" s="422" t="e">
        <f t="shared" si="77"/>
        <v>#N/A</v>
      </c>
      <c r="J260" s="422" t="e">
        <f t="shared" si="78"/>
        <v>#N/A</v>
      </c>
      <c r="K260" s="423" t="e">
        <f t="shared" si="86"/>
        <v>#N/A</v>
      </c>
      <c r="L260" s="423" t="e">
        <f t="shared" si="87"/>
        <v>#N/A</v>
      </c>
      <c r="M260" s="423" t="e">
        <f t="shared" si="87"/>
        <v>#N/A</v>
      </c>
      <c r="N260" s="422" t="e">
        <f t="shared" si="79"/>
        <v>#N/A</v>
      </c>
      <c r="O260" s="422" t="e">
        <f t="shared" si="80"/>
        <v>#N/A</v>
      </c>
      <c r="P260" s="422" t="e">
        <f t="shared" si="81"/>
        <v>#N/A</v>
      </c>
      <c r="Q260" s="447" t="e">
        <f t="shared" si="88"/>
        <v>#N/A</v>
      </c>
      <c r="R260" s="447" t="e">
        <f t="shared" si="89"/>
        <v>#N/A</v>
      </c>
      <c r="S260" s="447" t="e">
        <f t="shared" si="89"/>
        <v>#N/A</v>
      </c>
      <c r="T260" s="422" t="e">
        <f t="shared" si="82"/>
        <v>#N/A</v>
      </c>
      <c r="U260" s="422" t="e">
        <f t="shared" si="83"/>
        <v>#N/A</v>
      </c>
      <c r="V260" s="422" t="e">
        <f t="shared" si="84"/>
        <v>#N/A</v>
      </c>
      <c r="W260" s="447" t="e">
        <f t="shared" si="90"/>
        <v>#N/A</v>
      </c>
      <c r="X260" s="447" t="e">
        <f t="shared" si="91"/>
        <v>#N/A</v>
      </c>
      <c r="Y260" s="447" t="e">
        <f t="shared" si="91"/>
        <v>#N/A</v>
      </c>
      <c r="Z260" s="640"/>
      <c r="AA260" s="640"/>
      <c r="AB260" s="640"/>
      <c r="AC260" s="640"/>
      <c r="AD260" s="640"/>
      <c r="AE260" s="640"/>
      <c r="AF260" s="640"/>
      <c r="AG260" s="640"/>
      <c r="AH260" s="640"/>
      <c r="AI260" s="640"/>
      <c r="AJ260" s="640"/>
      <c r="AK260" s="640"/>
    </row>
    <row r="261" spans="1:37" s="228" customFormat="1" ht="15.75" hidden="1" x14ac:dyDescent="0.25">
      <c r="A261" s="415"/>
      <c r="B261" s="415" t="str">
        <f>'PEM sectors'!A27</f>
        <v>BoP</v>
      </c>
      <c r="C261" s="415" t="str">
        <f>'PEM sectors'!B27</f>
        <v>Fan (Cooling Air)</v>
      </c>
      <c r="D261" s="415" t="str">
        <f>'PEM sectors'!C27</f>
        <v>33341A</v>
      </c>
      <c r="E261" s="415" t="str">
        <f>'PEM sectors'!D27</f>
        <v xml:space="preserve">Air purification and ventilation equipment manufacturing </v>
      </c>
      <c r="F261" s="420">
        <f>'PEM sectors'!F27</f>
        <v>2.247679814385151E-2</v>
      </c>
      <c r="G261" s="420">
        <f t="shared" si="85"/>
        <v>2.247679814385151E-2</v>
      </c>
      <c r="H261" s="421" t="e">
        <f t="shared" si="76"/>
        <v>#N/A</v>
      </c>
      <c r="I261" s="422" t="e">
        <f t="shared" si="77"/>
        <v>#N/A</v>
      </c>
      <c r="J261" s="422" t="e">
        <f t="shared" si="78"/>
        <v>#N/A</v>
      </c>
      <c r="K261" s="423" t="e">
        <f t="shared" si="86"/>
        <v>#N/A</v>
      </c>
      <c r="L261" s="423" t="e">
        <f t="shared" si="87"/>
        <v>#N/A</v>
      </c>
      <c r="M261" s="423" t="e">
        <f t="shared" si="87"/>
        <v>#N/A</v>
      </c>
      <c r="N261" s="422" t="e">
        <f t="shared" si="79"/>
        <v>#N/A</v>
      </c>
      <c r="O261" s="422" t="e">
        <f t="shared" si="80"/>
        <v>#N/A</v>
      </c>
      <c r="P261" s="422" t="e">
        <f t="shared" si="81"/>
        <v>#N/A</v>
      </c>
      <c r="Q261" s="447" t="e">
        <f t="shared" si="88"/>
        <v>#N/A</v>
      </c>
      <c r="R261" s="447" t="e">
        <f t="shared" si="89"/>
        <v>#N/A</v>
      </c>
      <c r="S261" s="447" t="e">
        <f t="shared" si="89"/>
        <v>#N/A</v>
      </c>
      <c r="T261" s="422" t="e">
        <f t="shared" si="82"/>
        <v>#N/A</v>
      </c>
      <c r="U261" s="422" t="e">
        <f t="shared" si="83"/>
        <v>#N/A</v>
      </c>
      <c r="V261" s="422" t="e">
        <f t="shared" si="84"/>
        <v>#N/A</v>
      </c>
      <c r="W261" s="447" t="e">
        <f t="shared" si="90"/>
        <v>#N/A</v>
      </c>
      <c r="X261" s="447" t="e">
        <f t="shared" si="91"/>
        <v>#N/A</v>
      </c>
      <c r="Y261" s="447" t="e">
        <f t="shared" si="91"/>
        <v>#N/A</v>
      </c>
      <c r="Z261" s="640"/>
      <c r="AA261" s="640"/>
      <c r="AB261" s="640"/>
      <c r="AC261" s="640"/>
      <c r="AD261" s="640"/>
      <c r="AE261" s="640"/>
      <c r="AF261" s="640"/>
      <c r="AG261" s="640"/>
      <c r="AH261" s="640"/>
      <c r="AI261" s="640"/>
      <c r="AJ261" s="640"/>
      <c r="AK261" s="640"/>
    </row>
    <row r="262" spans="1:37" s="370" customFormat="1" ht="15.75" hidden="1" x14ac:dyDescent="0.25">
      <c r="A262" s="415"/>
      <c r="B262" s="415" t="str">
        <f>'PEM sectors'!A28</f>
        <v>BoP</v>
      </c>
      <c r="C262" s="415" t="str">
        <f>'PEM sectors'!B28</f>
        <v>DC/DC Converter</v>
      </c>
      <c r="D262" s="415">
        <f>'PEM sectors'!C28</f>
        <v>335999</v>
      </c>
      <c r="E262" s="415" t="str">
        <f>'PEM sectors'!D28</f>
        <v xml:space="preserve">All other miscellaneous electrical equipment and component manufacturing </v>
      </c>
      <c r="F262" s="420">
        <f>'PEM sectors'!F28</f>
        <v>0.18126450116009279</v>
      </c>
      <c r="G262" s="420">
        <f t="shared" si="85"/>
        <v>0.18126450116009279</v>
      </c>
      <c r="H262" s="421" t="e">
        <f t="shared" si="76"/>
        <v>#N/A</v>
      </c>
      <c r="I262" s="422" t="e">
        <f t="shared" si="77"/>
        <v>#N/A</v>
      </c>
      <c r="J262" s="422" t="e">
        <f t="shared" si="78"/>
        <v>#N/A</v>
      </c>
      <c r="K262" s="423" t="e">
        <f t="shared" si="86"/>
        <v>#N/A</v>
      </c>
      <c r="L262" s="423" t="e">
        <f t="shared" si="87"/>
        <v>#N/A</v>
      </c>
      <c r="M262" s="423" t="e">
        <f t="shared" si="87"/>
        <v>#N/A</v>
      </c>
      <c r="N262" s="422" t="e">
        <f t="shared" si="79"/>
        <v>#N/A</v>
      </c>
      <c r="O262" s="422" t="e">
        <f t="shared" si="80"/>
        <v>#N/A</v>
      </c>
      <c r="P262" s="422" t="e">
        <f t="shared" si="81"/>
        <v>#N/A</v>
      </c>
      <c r="Q262" s="447" t="e">
        <f t="shared" si="88"/>
        <v>#N/A</v>
      </c>
      <c r="R262" s="447" t="e">
        <f t="shared" si="89"/>
        <v>#N/A</v>
      </c>
      <c r="S262" s="447" t="e">
        <f t="shared" si="89"/>
        <v>#N/A</v>
      </c>
      <c r="T262" s="422" t="e">
        <f t="shared" si="82"/>
        <v>#N/A</v>
      </c>
      <c r="U262" s="422" t="e">
        <f t="shared" si="83"/>
        <v>#N/A</v>
      </c>
      <c r="V262" s="422" t="e">
        <f t="shared" si="84"/>
        <v>#N/A</v>
      </c>
      <c r="W262" s="447" t="e">
        <f t="shared" si="90"/>
        <v>#N/A</v>
      </c>
      <c r="X262" s="447" t="e">
        <f t="shared" si="91"/>
        <v>#N/A</v>
      </c>
      <c r="Y262" s="447" t="e">
        <f t="shared" si="91"/>
        <v>#N/A</v>
      </c>
      <c r="Z262" s="640"/>
      <c r="AA262" s="640"/>
      <c r="AB262" s="640"/>
      <c r="AC262" s="640"/>
      <c r="AD262" s="640"/>
      <c r="AE262" s="640"/>
      <c r="AF262" s="640"/>
      <c r="AG262" s="640"/>
      <c r="AH262" s="640"/>
      <c r="AI262" s="640"/>
      <c r="AJ262" s="640"/>
      <c r="AK262" s="640"/>
    </row>
    <row r="263" spans="1:37" s="369" customFormat="1" ht="15.75" hidden="1" x14ac:dyDescent="0.25">
      <c r="A263" s="415"/>
      <c r="B263" s="415" t="str">
        <f>'PEM sectors'!A29</f>
        <v>BoP</v>
      </c>
      <c r="C263" s="415" t="str">
        <f>'PEM sectors'!B29</f>
        <v>Stack Current Sensor</v>
      </c>
      <c r="D263" s="415">
        <f>'PEM sectors'!C29</f>
        <v>334515</v>
      </c>
      <c r="E263" s="415" t="str">
        <f>'PEM sectors'!D29</f>
        <v xml:space="preserve">Electricity and signal testing instruments manufacturing </v>
      </c>
      <c r="F263" s="420">
        <f>'PEM sectors'!F29</f>
        <v>2.1751740139211136E-3</v>
      </c>
      <c r="G263" s="420">
        <f t="shared" si="85"/>
        <v>2.1751740139211136E-3</v>
      </c>
      <c r="H263" s="421" t="e">
        <f t="shared" si="76"/>
        <v>#N/A</v>
      </c>
      <c r="I263" s="422" t="e">
        <f t="shared" si="77"/>
        <v>#N/A</v>
      </c>
      <c r="J263" s="422" t="e">
        <f t="shared" si="78"/>
        <v>#N/A</v>
      </c>
      <c r="K263" s="423" t="e">
        <f t="shared" si="86"/>
        <v>#N/A</v>
      </c>
      <c r="L263" s="423" t="e">
        <f t="shared" si="87"/>
        <v>#N/A</v>
      </c>
      <c r="M263" s="423" t="e">
        <f t="shared" si="87"/>
        <v>#N/A</v>
      </c>
      <c r="N263" s="422" t="e">
        <f t="shared" si="79"/>
        <v>#N/A</v>
      </c>
      <c r="O263" s="422" t="e">
        <f t="shared" si="80"/>
        <v>#N/A</v>
      </c>
      <c r="P263" s="422" t="e">
        <f t="shared" si="81"/>
        <v>#N/A</v>
      </c>
      <c r="Q263" s="447" t="e">
        <f t="shared" si="88"/>
        <v>#N/A</v>
      </c>
      <c r="R263" s="447" t="e">
        <f t="shared" si="89"/>
        <v>#N/A</v>
      </c>
      <c r="S263" s="447" t="e">
        <f t="shared" si="89"/>
        <v>#N/A</v>
      </c>
      <c r="T263" s="422" t="e">
        <f t="shared" si="82"/>
        <v>#N/A</v>
      </c>
      <c r="U263" s="422" t="e">
        <f t="shared" si="83"/>
        <v>#N/A</v>
      </c>
      <c r="V263" s="422" t="e">
        <f t="shared" si="84"/>
        <v>#N/A</v>
      </c>
      <c r="W263" s="447" t="e">
        <f t="shared" si="90"/>
        <v>#N/A</v>
      </c>
      <c r="X263" s="447" t="e">
        <f t="shared" si="91"/>
        <v>#N/A</v>
      </c>
      <c r="Y263" s="447" t="e">
        <f t="shared" si="91"/>
        <v>#N/A</v>
      </c>
      <c r="Z263" s="640"/>
      <c r="AA263" s="640"/>
      <c r="AB263" s="640"/>
      <c r="AC263" s="640"/>
      <c r="AD263" s="640"/>
      <c r="AE263" s="640"/>
      <c r="AF263" s="640"/>
      <c r="AG263" s="640"/>
      <c r="AH263" s="640"/>
      <c r="AI263" s="640"/>
      <c r="AJ263" s="640"/>
      <c r="AK263" s="640"/>
    </row>
    <row r="264" spans="1:37" s="370" customFormat="1" ht="15.75" hidden="1" x14ac:dyDescent="0.25">
      <c r="A264" s="415"/>
      <c r="B264" s="415" t="str">
        <f>'PEM sectors'!A30</f>
        <v>BoP</v>
      </c>
      <c r="C264" s="415" t="str">
        <f>'PEM sectors'!B30</f>
        <v>Stack Voltage Sensor</v>
      </c>
      <c r="D264" s="415">
        <f>'PEM sectors'!C30</f>
        <v>334515</v>
      </c>
      <c r="E264" s="415" t="str">
        <f>'PEM sectors'!D30</f>
        <v xml:space="preserve">Electricity and signal testing instruments manufacturing </v>
      </c>
      <c r="F264" s="420">
        <f>'PEM sectors'!F30</f>
        <v>8.7006960556844544E-3</v>
      </c>
      <c r="G264" s="420">
        <f t="shared" si="85"/>
        <v>8.7006960556844544E-3</v>
      </c>
      <c r="H264" s="421" t="e">
        <f t="shared" si="76"/>
        <v>#N/A</v>
      </c>
      <c r="I264" s="422" t="e">
        <f t="shared" si="77"/>
        <v>#N/A</v>
      </c>
      <c r="J264" s="422" t="e">
        <f t="shared" si="78"/>
        <v>#N/A</v>
      </c>
      <c r="K264" s="423" t="e">
        <f t="shared" si="86"/>
        <v>#N/A</v>
      </c>
      <c r="L264" s="423" t="e">
        <f t="shared" si="87"/>
        <v>#N/A</v>
      </c>
      <c r="M264" s="423" t="e">
        <f t="shared" si="87"/>
        <v>#N/A</v>
      </c>
      <c r="N264" s="422" t="e">
        <f t="shared" si="79"/>
        <v>#N/A</v>
      </c>
      <c r="O264" s="422" t="e">
        <f t="shared" si="80"/>
        <v>#N/A</v>
      </c>
      <c r="P264" s="422" t="e">
        <f t="shared" si="81"/>
        <v>#N/A</v>
      </c>
      <c r="Q264" s="447" t="e">
        <f t="shared" si="88"/>
        <v>#N/A</v>
      </c>
      <c r="R264" s="447" t="e">
        <f t="shared" si="89"/>
        <v>#N/A</v>
      </c>
      <c r="S264" s="447" t="e">
        <f t="shared" si="89"/>
        <v>#N/A</v>
      </c>
      <c r="T264" s="422" t="e">
        <f t="shared" si="82"/>
        <v>#N/A</v>
      </c>
      <c r="U264" s="422" t="e">
        <f t="shared" si="83"/>
        <v>#N/A</v>
      </c>
      <c r="V264" s="422" t="e">
        <f t="shared" si="84"/>
        <v>#N/A</v>
      </c>
      <c r="W264" s="447" t="e">
        <f t="shared" si="90"/>
        <v>#N/A</v>
      </c>
      <c r="X264" s="447" t="e">
        <f t="shared" si="91"/>
        <v>#N/A</v>
      </c>
      <c r="Y264" s="447" t="e">
        <f t="shared" si="91"/>
        <v>#N/A</v>
      </c>
      <c r="Z264" s="640"/>
      <c r="AA264" s="640"/>
      <c r="AB264" s="640"/>
      <c r="AC264" s="640"/>
      <c r="AD264" s="640"/>
      <c r="AE264" s="640"/>
      <c r="AF264" s="640"/>
      <c r="AG264" s="640"/>
      <c r="AH264" s="640"/>
      <c r="AI264" s="640"/>
      <c r="AJ264" s="640"/>
      <c r="AK264" s="640"/>
    </row>
    <row r="265" spans="1:37" s="370" customFormat="1" ht="15.75" hidden="1" x14ac:dyDescent="0.25">
      <c r="A265" s="415"/>
      <c r="B265" s="415" t="str">
        <f>'PEM sectors'!A31</f>
        <v>BoP</v>
      </c>
      <c r="C265" s="415" t="str">
        <f>'PEM sectors'!B31</f>
        <v>Enclosure Heater</v>
      </c>
      <c r="D265" s="415">
        <f>'PEM sectors'!C31</f>
        <v>333414</v>
      </c>
      <c r="E265" s="415" t="str">
        <f>'PEM sectors'!D31</f>
        <v xml:space="preserve">Heating equipment (except warm air furnaces) manufacturing </v>
      </c>
      <c r="F265" s="420">
        <f>'PEM sectors'!F31</f>
        <v>4.3503480278422272E-3</v>
      </c>
      <c r="G265" s="420">
        <f t="shared" si="85"/>
        <v>4.3503480278422272E-3</v>
      </c>
      <c r="H265" s="421" t="e">
        <f t="shared" si="76"/>
        <v>#N/A</v>
      </c>
      <c r="I265" s="422" t="e">
        <f t="shared" si="77"/>
        <v>#N/A</v>
      </c>
      <c r="J265" s="422" t="e">
        <f t="shared" si="78"/>
        <v>#N/A</v>
      </c>
      <c r="K265" s="423" t="e">
        <f t="shared" si="86"/>
        <v>#N/A</v>
      </c>
      <c r="L265" s="423" t="e">
        <f t="shared" si="87"/>
        <v>#N/A</v>
      </c>
      <c r="M265" s="423" t="e">
        <f t="shared" si="87"/>
        <v>#N/A</v>
      </c>
      <c r="N265" s="422" t="e">
        <f t="shared" si="79"/>
        <v>#N/A</v>
      </c>
      <c r="O265" s="422" t="e">
        <f t="shared" si="80"/>
        <v>#N/A</v>
      </c>
      <c r="P265" s="422" t="e">
        <f t="shared" si="81"/>
        <v>#N/A</v>
      </c>
      <c r="Q265" s="447" t="e">
        <f t="shared" si="88"/>
        <v>#N/A</v>
      </c>
      <c r="R265" s="447" t="e">
        <f t="shared" si="89"/>
        <v>#N/A</v>
      </c>
      <c r="S265" s="447" t="e">
        <f t="shared" si="89"/>
        <v>#N/A</v>
      </c>
      <c r="T265" s="422" t="e">
        <f t="shared" si="82"/>
        <v>#N/A</v>
      </c>
      <c r="U265" s="422" t="e">
        <f t="shared" si="83"/>
        <v>#N/A</v>
      </c>
      <c r="V265" s="422" t="e">
        <f t="shared" si="84"/>
        <v>#N/A</v>
      </c>
      <c r="W265" s="447" t="e">
        <f t="shared" si="90"/>
        <v>#N/A</v>
      </c>
      <c r="X265" s="447" t="e">
        <f t="shared" si="91"/>
        <v>#N/A</v>
      </c>
      <c r="Y265" s="447" t="e">
        <f t="shared" si="91"/>
        <v>#N/A</v>
      </c>
      <c r="Z265" s="640"/>
      <c r="AA265" s="640"/>
      <c r="AB265" s="640"/>
      <c r="AC265" s="640"/>
      <c r="AD265" s="640"/>
      <c r="AE265" s="640"/>
      <c r="AF265" s="640"/>
      <c r="AG265" s="640"/>
      <c r="AH265" s="640"/>
      <c r="AI265" s="640"/>
      <c r="AJ265" s="640"/>
      <c r="AK265" s="640"/>
    </row>
    <row r="266" spans="1:37" s="370" customFormat="1" ht="15.75" hidden="1" x14ac:dyDescent="0.25">
      <c r="A266" s="415"/>
      <c r="B266" s="415" t="str">
        <f>'PEM sectors'!A32</f>
        <v>BoP</v>
      </c>
      <c r="C266" s="415" t="str">
        <f>'PEM sectors'!B32</f>
        <v>Enclosure Heater Relay</v>
      </c>
      <c r="D266" s="415">
        <f>'PEM sectors'!C32</f>
        <v>335314</v>
      </c>
      <c r="E266" s="415" t="str">
        <f>'PEM sectors'!D32</f>
        <v>Relay and industrial control manufacturing</v>
      </c>
      <c r="F266" s="420">
        <f>'PEM sectors'!F32</f>
        <v>4.3503480278422272E-4</v>
      </c>
      <c r="G266" s="420">
        <f t="shared" si="85"/>
        <v>4.3503480278422272E-4</v>
      </c>
      <c r="H266" s="421" t="e">
        <f t="shared" si="76"/>
        <v>#N/A</v>
      </c>
      <c r="I266" s="422" t="e">
        <f t="shared" si="77"/>
        <v>#N/A</v>
      </c>
      <c r="J266" s="422" t="e">
        <f t="shared" si="78"/>
        <v>#N/A</v>
      </c>
      <c r="K266" s="423" t="e">
        <f t="shared" si="86"/>
        <v>#N/A</v>
      </c>
      <c r="L266" s="423" t="e">
        <f t="shared" si="87"/>
        <v>#N/A</v>
      </c>
      <c r="M266" s="423" t="e">
        <f t="shared" si="87"/>
        <v>#N/A</v>
      </c>
      <c r="N266" s="422" t="e">
        <f t="shared" si="79"/>
        <v>#N/A</v>
      </c>
      <c r="O266" s="422" t="e">
        <f t="shared" si="80"/>
        <v>#N/A</v>
      </c>
      <c r="P266" s="422" t="e">
        <f t="shared" si="81"/>
        <v>#N/A</v>
      </c>
      <c r="Q266" s="447" t="e">
        <f t="shared" si="88"/>
        <v>#N/A</v>
      </c>
      <c r="R266" s="447" t="e">
        <f t="shared" si="89"/>
        <v>#N/A</v>
      </c>
      <c r="S266" s="447" t="e">
        <f t="shared" si="89"/>
        <v>#N/A</v>
      </c>
      <c r="T266" s="422" t="e">
        <f t="shared" si="82"/>
        <v>#N/A</v>
      </c>
      <c r="U266" s="422" t="e">
        <f t="shared" si="83"/>
        <v>#N/A</v>
      </c>
      <c r="V266" s="422" t="e">
        <f t="shared" si="84"/>
        <v>#N/A</v>
      </c>
      <c r="W266" s="447" t="e">
        <f t="shared" si="90"/>
        <v>#N/A</v>
      </c>
      <c r="X266" s="447" t="e">
        <f t="shared" si="91"/>
        <v>#N/A</v>
      </c>
      <c r="Y266" s="447" t="e">
        <f t="shared" si="91"/>
        <v>#N/A</v>
      </c>
      <c r="Z266" s="640"/>
      <c r="AA266" s="640"/>
      <c r="AB266" s="640"/>
      <c r="AC266" s="640"/>
      <c r="AD266" s="640"/>
      <c r="AE266" s="640"/>
      <c r="AF266" s="640"/>
      <c r="AG266" s="640"/>
      <c r="AH266" s="640"/>
      <c r="AI266" s="640"/>
      <c r="AJ266" s="640"/>
      <c r="AK266" s="640"/>
    </row>
    <row r="267" spans="1:37" s="370" customFormat="1" ht="15.75" hidden="1" x14ac:dyDescent="0.25">
      <c r="A267" s="415"/>
      <c r="B267" s="415" t="str">
        <f>'PEM sectors'!A33</f>
        <v>BoP</v>
      </c>
      <c r="C267" s="415" t="str">
        <f>'PEM sectors'!B33</f>
        <v>Flow Meter (Cathode Air)</v>
      </c>
      <c r="D267" s="415">
        <f>'PEM sectors'!C33</f>
        <v>334513</v>
      </c>
      <c r="E267" s="415" t="str">
        <f>'PEM sectors'!D33</f>
        <v>Industrial process variable instruments manufacturing</v>
      </c>
      <c r="F267" s="420">
        <f>'PEM sectors'!F33</f>
        <v>1.4356148491879351E-2</v>
      </c>
      <c r="G267" s="420">
        <f t="shared" si="85"/>
        <v>1.4356148491879351E-2</v>
      </c>
      <c r="H267" s="421" t="e">
        <f t="shared" si="76"/>
        <v>#N/A</v>
      </c>
      <c r="I267" s="422" t="e">
        <f t="shared" si="77"/>
        <v>#N/A</v>
      </c>
      <c r="J267" s="422" t="e">
        <f t="shared" si="78"/>
        <v>#N/A</v>
      </c>
      <c r="K267" s="423" t="e">
        <f t="shared" si="86"/>
        <v>#N/A</v>
      </c>
      <c r="L267" s="423" t="e">
        <f t="shared" si="87"/>
        <v>#N/A</v>
      </c>
      <c r="M267" s="423" t="e">
        <f t="shared" si="87"/>
        <v>#N/A</v>
      </c>
      <c r="N267" s="422" t="e">
        <f t="shared" si="79"/>
        <v>#N/A</v>
      </c>
      <c r="O267" s="422" t="e">
        <f t="shared" si="80"/>
        <v>#N/A</v>
      </c>
      <c r="P267" s="422" t="e">
        <f t="shared" si="81"/>
        <v>#N/A</v>
      </c>
      <c r="Q267" s="447" t="e">
        <f t="shared" si="88"/>
        <v>#N/A</v>
      </c>
      <c r="R267" s="447" t="e">
        <f t="shared" si="89"/>
        <v>#N/A</v>
      </c>
      <c r="S267" s="447" t="e">
        <f t="shared" si="89"/>
        <v>#N/A</v>
      </c>
      <c r="T267" s="422" t="e">
        <f t="shared" si="82"/>
        <v>#N/A</v>
      </c>
      <c r="U267" s="422" t="e">
        <f t="shared" si="83"/>
        <v>#N/A</v>
      </c>
      <c r="V267" s="422" t="e">
        <f t="shared" si="84"/>
        <v>#N/A</v>
      </c>
      <c r="W267" s="447" t="e">
        <f t="shared" si="90"/>
        <v>#N/A</v>
      </c>
      <c r="X267" s="447" t="e">
        <f t="shared" si="91"/>
        <v>#N/A</v>
      </c>
      <c r="Y267" s="447" t="e">
        <f t="shared" si="91"/>
        <v>#N/A</v>
      </c>
      <c r="Z267" s="640"/>
      <c r="AA267" s="640"/>
      <c r="AB267" s="640"/>
      <c r="AC267" s="640"/>
      <c r="AD267" s="640"/>
      <c r="AE267" s="640"/>
      <c r="AF267" s="640"/>
      <c r="AG267" s="640"/>
      <c r="AH267" s="640"/>
      <c r="AI267" s="640"/>
      <c r="AJ267" s="640"/>
      <c r="AK267" s="640"/>
    </row>
    <row r="268" spans="1:37" s="370" customFormat="1" ht="15.75" hidden="1" x14ac:dyDescent="0.25">
      <c r="A268" s="415"/>
      <c r="B268" s="415" t="str">
        <f>'PEM sectors'!A34</f>
        <v>BoP</v>
      </c>
      <c r="C268" s="415" t="str">
        <f>'PEM sectors'!B34</f>
        <v>Stack Temperature Sensor(s)</v>
      </c>
      <c r="D268" s="415">
        <f>'PEM sectors'!C34</f>
        <v>334513</v>
      </c>
      <c r="E268" s="415" t="str">
        <f>'PEM sectors'!D34</f>
        <v>Industrial process variable instruments manufacturing</v>
      </c>
      <c r="F268" s="420">
        <f>'PEM sectors'!F34</f>
        <v>2.6102088167053363E-3</v>
      </c>
      <c r="G268" s="420">
        <f t="shared" si="85"/>
        <v>2.6102088167053363E-3</v>
      </c>
      <c r="H268" s="421" t="e">
        <f t="shared" si="76"/>
        <v>#N/A</v>
      </c>
      <c r="I268" s="422" t="e">
        <f t="shared" si="77"/>
        <v>#N/A</v>
      </c>
      <c r="J268" s="422" t="e">
        <f t="shared" si="78"/>
        <v>#N/A</v>
      </c>
      <c r="K268" s="423" t="e">
        <f t="shared" si="86"/>
        <v>#N/A</v>
      </c>
      <c r="L268" s="423" t="e">
        <f t="shared" si="87"/>
        <v>#N/A</v>
      </c>
      <c r="M268" s="423" t="e">
        <f t="shared" si="87"/>
        <v>#N/A</v>
      </c>
      <c r="N268" s="422" t="e">
        <f t="shared" si="79"/>
        <v>#N/A</v>
      </c>
      <c r="O268" s="422" t="e">
        <f t="shared" si="80"/>
        <v>#N/A</v>
      </c>
      <c r="P268" s="422" t="e">
        <f t="shared" si="81"/>
        <v>#N/A</v>
      </c>
      <c r="Q268" s="447" t="e">
        <f t="shared" si="88"/>
        <v>#N/A</v>
      </c>
      <c r="R268" s="447" t="e">
        <f t="shared" si="89"/>
        <v>#N/A</v>
      </c>
      <c r="S268" s="447" t="e">
        <f t="shared" si="89"/>
        <v>#N/A</v>
      </c>
      <c r="T268" s="422" t="e">
        <f t="shared" si="82"/>
        <v>#N/A</v>
      </c>
      <c r="U268" s="422" t="e">
        <f t="shared" si="83"/>
        <v>#N/A</v>
      </c>
      <c r="V268" s="422" t="e">
        <f t="shared" si="84"/>
        <v>#N/A</v>
      </c>
      <c r="W268" s="447" t="e">
        <f t="shared" si="90"/>
        <v>#N/A</v>
      </c>
      <c r="X268" s="447" t="e">
        <f t="shared" si="91"/>
        <v>#N/A</v>
      </c>
      <c r="Y268" s="447" t="e">
        <f t="shared" si="91"/>
        <v>#N/A</v>
      </c>
      <c r="Z268" s="640"/>
      <c r="AA268" s="640"/>
      <c r="AB268" s="640"/>
      <c r="AC268" s="640"/>
      <c r="AD268" s="640"/>
      <c r="AE268" s="640"/>
      <c r="AF268" s="640"/>
      <c r="AG268" s="640"/>
      <c r="AH268" s="640"/>
      <c r="AI268" s="640"/>
      <c r="AJ268" s="640"/>
      <c r="AK268" s="640"/>
    </row>
    <row r="269" spans="1:37" s="370" customFormat="1" ht="15.75" hidden="1" x14ac:dyDescent="0.25">
      <c r="A269" s="415"/>
      <c r="B269" s="415" t="str">
        <f>'PEM sectors'!A35</f>
        <v>BoP</v>
      </c>
      <c r="C269" s="415" t="str">
        <f>'PEM sectors'!B35</f>
        <v>H2 Sensor</v>
      </c>
      <c r="D269" s="415">
        <f>'PEM sectors'!C35</f>
        <v>334513</v>
      </c>
      <c r="E269" s="415" t="str">
        <f>'PEM sectors'!D35</f>
        <v>Industrial process variable instruments manufacturing</v>
      </c>
      <c r="F269" s="420">
        <f>'PEM sectors'!F35</f>
        <v>1.7981438515081206E-2</v>
      </c>
      <c r="G269" s="420">
        <f t="shared" si="85"/>
        <v>1.7981438515081206E-2</v>
      </c>
      <c r="H269" s="421" t="e">
        <f t="shared" si="76"/>
        <v>#N/A</v>
      </c>
      <c r="I269" s="422" t="e">
        <f t="shared" si="77"/>
        <v>#N/A</v>
      </c>
      <c r="J269" s="422" t="e">
        <f t="shared" si="78"/>
        <v>#N/A</v>
      </c>
      <c r="K269" s="423" t="e">
        <f t="shared" si="86"/>
        <v>#N/A</v>
      </c>
      <c r="L269" s="423" t="e">
        <f t="shared" si="87"/>
        <v>#N/A</v>
      </c>
      <c r="M269" s="423" t="e">
        <f t="shared" si="87"/>
        <v>#N/A</v>
      </c>
      <c r="N269" s="422" t="e">
        <f t="shared" si="79"/>
        <v>#N/A</v>
      </c>
      <c r="O269" s="422" t="e">
        <f t="shared" si="80"/>
        <v>#N/A</v>
      </c>
      <c r="P269" s="422" t="e">
        <f t="shared" si="81"/>
        <v>#N/A</v>
      </c>
      <c r="Q269" s="447" t="e">
        <f t="shared" si="88"/>
        <v>#N/A</v>
      </c>
      <c r="R269" s="447" t="e">
        <f t="shared" si="89"/>
        <v>#N/A</v>
      </c>
      <c r="S269" s="447" t="e">
        <f t="shared" si="89"/>
        <v>#N/A</v>
      </c>
      <c r="T269" s="422" t="e">
        <f t="shared" si="82"/>
        <v>#N/A</v>
      </c>
      <c r="U269" s="422" t="e">
        <f t="shared" si="83"/>
        <v>#N/A</v>
      </c>
      <c r="V269" s="422" t="e">
        <f t="shared" si="84"/>
        <v>#N/A</v>
      </c>
      <c r="W269" s="447" t="e">
        <f t="shared" si="90"/>
        <v>#N/A</v>
      </c>
      <c r="X269" s="447" t="e">
        <f t="shared" si="91"/>
        <v>#N/A</v>
      </c>
      <c r="Y269" s="447" t="e">
        <f t="shared" si="91"/>
        <v>#N/A</v>
      </c>
      <c r="Z269" s="640"/>
      <c r="AA269" s="640"/>
      <c r="AB269" s="640"/>
      <c r="AC269" s="640"/>
      <c r="AD269" s="640"/>
      <c r="AE269" s="640"/>
      <c r="AF269" s="640"/>
      <c r="AG269" s="640"/>
      <c r="AH269" s="640"/>
      <c r="AI269" s="640"/>
      <c r="AJ269" s="640"/>
      <c r="AK269" s="640"/>
    </row>
    <row r="270" spans="1:37" s="370" customFormat="1" ht="15.75" hidden="1" x14ac:dyDescent="0.25">
      <c r="A270" s="415"/>
      <c r="B270" s="415" t="str">
        <f>'PEM sectors'!A36</f>
        <v>BoP</v>
      </c>
      <c r="C270" s="415" t="str">
        <f>'PEM sectors'!B36</f>
        <v>Assembly Hardware</v>
      </c>
      <c r="D270" s="415" t="str">
        <f>'PEM sectors'!C36</f>
        <v>33299C</v>
      </c>
      <c r="E270" s="415" t="str">
        <f>'PEM sectors'!D36</f>
        <v>Other fabricated metal manufacturing</v>
      </c>
      <c r="F270" s="420">
        <f>'PEM sectors'!F36</f>
        <v>4.3503480278422272E-3</v>
      </c>
      <c r="G270" s="420">
        <f t="shared" si="85"/>
        <v>4.3503480278422272E-3</v>
      </c>
      <c r="H270" s="421" t="e">
        <f t="shared" si="76"/>
        <v>#N/A</v>
      </c>
      <c r="I270" s="422" t="e">
        <f t="shared" si="77"/>
        <v>#N/A</v>
      </c>
      <c r="J270" s="422" t="e">
        <f t="shared" si="78"/>
        <v>#N/A</v>
      </c>
      <c r="K270" s="423" t="e">
        <f t="shared" si="86"/>
        <v>#N/A</v>
      </c>
      <c r="L270" s="423" t="e">
        <f t="shared" si="87"/>
        <v>#N/A</v>
      </c>
      <c r="M270" s="423" t="e">
        <f t="shared" si="87"/>
        <v>#N/A</v>
      </c>
      <c r="N270" s="422" t="e">
        <f t="shared" si="79"/>
        <v>#N/A</v>
      </c>
      <c r="O270" s="422" t="e">
        <f t="shared" si="80"/>
        <v>#N/A</v>
      </c>
      <c r="P270" s="422" t="e">
        <f t="shared" si="81"/>
        <v>#N/A</v>
      </c>
      <c r="Q270" s="447" t="e">
        <f t="shared" si="88"/>
        <v>#N/A</v>
      </c>
      <c r="R270" s="447" t="e">
        <f t="shared" si="89"/>
        <v>#N/A</v>
      </c>
      <c r="S270" s="447" t="e">
        <f t="shared" si="89"/>
        <v>#N/A</v>
      </c>
      <c r="T270" s="422" t="e">
        <f t="shared" si="82"/>
        <v>#N/A</v>
      </c>
      <c r="U270" s="422" t="e">
        <f t="shared" si="83"/>
        <v>#N/A</v>
      </c>
      <c r="V270" s="422" t="e">
        <f t="shared" si="84"/>
        <v>#N/A</v>
      </c>
      <c r="W270" s="447" t="e">
        <f t="shared" si="90"/>
        <v>#N/A</v>
      </c>
      <c r="X270" s="447" t="e">
        <f t="shared" si="91"/>
        <v>#N/A</v>
      </c>
      <c r="Y270" s="447" t="e">
        <f t="shared" si="91"/>
        <v>#N/A</v>
      </c>
      <c r="Z270" s="640"/>
      <c r="AA270" s="640"/>
      <c r="AB270" s="640"/>
      <c r="AC270" s="640"/>
      <c r="AD270" s="640"/>
      <c r="AE270" s="640"/>
      <c r="AF270" s="640"/>
      <c r="AG270" s="640"/>
      <c r="AH270" s="640"/>
      <c r="AI270" s="640"/>
      <c r="AJ270" s="640"/>
      <c r="AK270" s="640"/>
    </row>
    <row r="271" spans="1:37" s="370" customFormat="1" ht="15.75" hidden="1" x14ac:dyDescent="0.25">
      <c r="A271" s="415"/>
      <c r="B271" s="415" t="str">
        <f>'PEM sectors'!A37</f>
        <v>BoP</v>
      </c>
      <c r="C271" s="415" t="str">
        <f>'PEM sectors'!B37</f>
        <v>Frame</v>
      </c>
      <c r="D271" s="415" t="str">
        <f>'PEM sectors'!C37</f>
        <v>33299C</v>
      </c>
      <c r="E271" s="415" t="str">
        <f>'PEM sectors'!D37</f>
        <v>Other fabricated metal manufacturing</v>
      </c>
      <c r="F271" s="420">
        <f>'PEM sectors'!F37</f>
        <v>3.001740139211137E-2</v>
      </c>
      <c r="G271" s="420">
        <f t="shared" si="85"/>
        <v>3.001740139211137E-2</v>
      </c>
      <c r="H271" s="421" t="e">
        <f t="shared" si="76"/>
        <v>#N/A</v>
      </c>
      <c r="I271" s="422" t="e">
        <f t="shared" si="77"/>
        <v>#N/A</v>
      </c>
      <c r="J271" s="422" t="e">
        <f t="shared" si="78"/>
        <v>#N/A</v>
      </c>
      <c r="K271" s="423" t="e">
        <f t="shared" si="86"/>
        <v>#N/A</v>
      </c>
      <c r="L271" s="423" t="e">
        <f t="shared" si="87"/>
        <v>#N/A</v>
      </c>
      <c r="M271" s="423" t="e">
        <f t="shared" si="87"/>
        <v>#N/A</v>
      </c>
      <c r="N271" s="422" t="e">
        <f t="shared" si="79"/>
        <v>#N/A</v>
      </c>
      <c r="O271" s="422" t="e">
        <f t="shared" si="80"/>
        <v>#N/A</v>
      </c>
      <c r="P271" s="422" t="e">
        <f t="shared" si="81"/>
        <v>#N/A</v>
      </c>
      <c r="Q271" s="447" t="e">
        <f t="shared" si="88"/>
        <v>#N/A</v>
      </c>
      <c r="R271" s="447" t="e">
        <f t="shared" si="89"/>
        <v>#N/A</v>
      </c>
      <c r="S271" s="447" t="e">
        <f t="shared" si="89"/>
        <v>#N/A</v>
      </c>
      <c r="T271" s="422" t="e">
        <f t="shared" si="82"/>
        <v>#N/A</v>
      </c>
      <c r="U271" s="422" t="e">
        <f t="shared" si="83"/>
        <v>#N/A</v>
      </c>
      <c r="V271" s="422" t="e">
        <f t="shared" si="84"/>
        <v>#N/A</v>
      </c>
      <c r="W271" s="447" t="e">
        <f t="shared" si="90"/>
        <v>#N/A</v>
      </c>
      <c r="X271" s="447" t="e">
        <f t="shared" si="91"/>
        <v>#N/A</v>
      </c>
      <c r="Y271" s="447" t="e">
        <f t="shared" si="91"/>
        <v>#N/A</v>
      </c>
      <c r="Z271" s="640"/>
      <c r="AA271" s="640"/>
      <c r="AB271" s="640"/>
      <c r="AC271" s="640"/>
      <c r="AD271" s="640"/>
      <c r="AE271" s="640"/>
      <c r="AF271" s="640"/>
      <c r="AG271" s="640"/>
      <c r="AH271" s="640"/>
      <c r="AI271" s="640"/>
      <c r="AJ271" s="640"/>
      <c r="AK271" s="640"/>
    </row>
    <row r="272" spans="1:37" s="370" customFormat="1" ht="15.75" hidden="1" x14ac:dyDescent="0.25">
      <c r="A272" s="415"/>
      <c r="B272" s="415" t="str">
        <f>'PEM sectors'!A38</f>
        <v>BoP</v>
      </c>
      <c r="C272" s="415" t="str">
        <f>'PEM sectors'!B38</f>
        <v>Assorted Plumbing/Fittings</v>
      </c>
      <c r="D272" s="415">
        <f>'PEM sectors'!C38</f>
        <v>332913</v>
      </c>
      <c r="E272" s="415" t="str">
        <f>'PEM sectors'!D38</f>
        <v>Plumbing fixture fitting and trim manufacturing</v>
      </c>
      <c r="F272" s="420">
        <f>'PEM sectors'!F38</f>
        <v>2.3201856148491878E-2</v>
      </c>
      <c r="G272" s="420">
        <f t="shared" si="85"/>
        <v>2.3201856148491878E-2</v>
      </c>
      <c r="H272" s="421" t="e">
        <f t="shared" si="76"/>
        <v>#N/A</v>
      </c>
      <c r="I272" s="422" t="e">
        <f t="shared" si="77"/>
        <v>#N/A</v>
      </c>
      <c r="J272" s="422" t="e">
        <f t="shared" si="78"/>
        <v>#N/A</v>
      </c>
      <c r="K272" s="423" t="e">
        <f t="shared" si="86"/>
        <v>#N/A</v>
      </c>
      <c r="L272" s="423" t="e">
        <f t="shared" si="87"/>
        <v>#N/A</v>
      </c>
      <c r="M272" s="423" t="e">
        <f t="shared" si="87"/>
        <v>#N/A</v>
      </c>
      <c r="N272" s="422" t="e">
        <f t="shared" si="79"/>
        <v>#N/A</v>
      </c>
      <c r="O272" s="422" t="e">
        <f t="shared" si="80"/>
        <v>#N/A</v>
      </c>
      <c r="P272" s="422" t="e">
        <f t="shared" si="81"/>
        <v>#N/A</v>
      </c>
      <c r="Q272" s="447" t="e">
        <f t="shared" si="88"/>
        <v>#N/A</v>
      </c>
      <c r="R272" s="447" t="e">
        <f t="shared" si="89"/>
        <v>#N/A</v>
      </c>
      <c r="S272" s="447" t="e">
        <f t="shared" si="89"/>
        <v>#N/A</v>
      </c>
      <c r="T272" s="422" t="e">
        <f t="shared" si="82"/>
        <v>#N/A</v>
      </c>
      <c r="U272" s="422" t="e">
        <f t="shared" si="83"/>
        <v>#N/A</v>
      </c>
      <c r="V272" s="422" t="e">
        <f t="shared" si="84"/>
        <v>#N/A</v>
      </c>
      <c r="W272" s="447" t="e">
        <f t="shared" si="90"/>
        <v>#N/A</v>
      </c>
      <c r="X272" s="447" t="e">
        <f t="shared" si="91"/>
        <v>#N/A</v>
      </c>
      <c r="Y272" s="447" t="e">
        <f t="shared" si="91"/>
        <v>#N/A</v>
      </c>
      <c r="Z272" s="640"/>
      <c r="AA272" s="640"/>
      <c r="AB272" s="640"/>
      <c r="AC272" s="640"/>
      <c r="AD272" s="640"/>
      <c r="AE272" s="640"/>
      <c r="AF272" s="640"/>
      <c r="AG272" s="640"/>
      <c r="AH272" s="640"/>
      <c r="AI272" s="640"/>
      <c r="AJ272" s="640"/>
      <c r="AK272" s="640"/>
    </row>
    <row r="273" spans="1:37" s="370" customFormat="1" ht="15.75" hidden="1" x14ac:dyDescent="0.25">
      <c r="A273" s="415"/>
      <c r="B273" s="415" t="str">
        <f>'PEM sectors'!A39</f>
        <v>BoP</v>
      </c>
      <c r="C273" s="415" t="str">
        <f>'PEM sectors'!B39</f>
        <v>Fuel Cell ECU</v>
      </c>
      <c r="D273" s="415">
        <f>'PEM sectors'!C39</f>
        <v>335314</v>
      </c>
      <c r="E273" s="415" t="str">
        <f>'PEM sectors'!D39</f>
        <v>Relay and industrial control manufacturing</v>
      </c>
      <c r="F273" s="420">
        <f>'PEM sectors'!F39</f>
        <v>5.5104408352668215E-2</v>
      </c>
      <c r="G273" s="420">
        <f t="shared" si="85"/>
        <v>5.5104408352668215E-2</v>
      </c>
      <c r="H273" s="421" t="e">
        <f t="shared" si="76"/>
        <v>#N/A</v>
      </c>
      <c r="I273" s="422" t="e">
        <f t="shared" si="77"/>
        <v>#N/A</v>
      </c>
      <c r="J273" s="422" t="e">
        <f t="shared" si="78"/>
        <v>#N/A</v>
      </c>
      <c r="K273" s="423" t="e">
        <f t="shared" si="86"/>
        <v>#N/A</v>
      </c>
      <c r="L273" s="423" t="e">
        <f t="shared" si="87"/>
        <v>#N/A</v>
      </c>
      <c r="M273" s="423" t="e">
        <f t="shared" si="87"/>
        <v>#N/A</v>
      </c>
      <c r="N273" s="422" t="e">
        <f t="shared" si="79"/>
        <v>#N/A</v>
      </c>
      <c r="O273" s="422" t="e">
        <f t="shared" si="80"/>
        <v>#N/A</v>
      </c>
      <c r="P273" s="422" t="e">
        <f t="shared" si="81"/>
        <v>#N/A</v>
      </c>
      <c r="Q273" s="447" t="e">
        <f t="shared" si="88"/>
        <v>#N/A</v>
      </c>
      <c r="R273" s="447" t="e">
        <f t="shared" si="89"/>
        <v>#N/A</v>
      </c>
      <c r="S273" s="447" t="e">
        <f t="shared" si="89"/>
        <v>#N/A</v>
      </c>
      <c r="T273" s="422" t="e">
        <f t="shared" si="82"/>
        <v>#N/A</v>
      </c>
      <c r="U273" s="422" t="e">
        <f t="shared" si="83"/>
        <v>#N/A</v>
      </c>
      <c r="V273" s="422" t="e">
        <f t="shared" si="84"/>
        <v>#N/A</v>
      </c>
      <c r="W273" s="447" t="e">
        <f t="shared" si="90"/>
        <v>#N/A</v>
      </c>
      <c r="X273" s="447" t="e">
        <f t="shared" si="91"/>
        <v>#N/A</v>
      </c>
      <c r="Y273" s="447" t="e">
        <f t="shared" si="91"/>
        <v>#N/A</v>
      </c>
      <c r="Z273" s="640"/>
      <c r="AA273" s="640"/>
      <c r="AB273" s="640"/>
      <c r="AC273" s="640"/>
      <c r="AD273" s="640"/>
      <c r="AE273" s="640"/>
      <c r="AF273" s="640"/>
      <c r="AG273" s="640"/>
      <c r="AH273" s="640"/>
      <c r="AI273" s="640"/>
      <c r="AJ273" s="640"/>
      <c r="AK273" s="640"/>
    </row>
    <row r="274" spans="1:37" s="370" customFormat="1" ht="15.75" hidden="1" x14ac:dyDescent="0.25">
      <c r="A274" s="415"/>
      <c r="B274" s="415" t="str">
        <f>'PEM sectors'!A40</f>
        <v>BoP</v>
      </c>
      <c r="C274" s="415" t="str">
        <f>'PEM sectors'!B40</f>
        <v>Relief Valve</v>
      </c>
      <c r="D274" s="415" t="str">
        <f>'PEM sectors'!C40</f>
        <v>33291A</v>
      </c>
      <c r="E274" s="415" t="str">
        <f>'PEM sectors'!D40</f>
        <v>Valve and fittings other than plumbing</v>
      </c>
      <c r="F274" s="420">
        <f>'PEM sectors'!F40</f>
        <v>1.8851508120649653E-2</v>
      </c>
      <c r="G274" s="420">
        <f t="shared" si="85"/>
        <v>1.8851508120649653E-2</v>
      </c>
      <c r="H274" s="421" t="e">
        <f t="shared" si="76"/>
        <v>#N/A</v>
      </c>
      <c r="I274" s="422" t="e">
        <f t="shared" si="77"/>
        <v>#N/A</v>
      </c>
      <c r="J274" s="422" t="e">
        <f t="shared" si="78"/>
        <v>#N/A</v>
      </c>
      <c r="K274" s="423" t="e">
        <f t="shared" si="86"/>
        <v>#N/A</v>
      </c>
      <c r="L274" s="423" t="e">
        <f t="shared" si="87"/>
        <v>#N/A</v>
      </c>
      <c r="M274" s="423" t="e">
        <f t="shared" si="87"/>
        <v>#N/A</v>
      </c>
      <c r="N274" s="422" t="e">
        <f t="shared" si="79"/>
        <v>#N/A</v>
      </c>
      <c r="O274" s="422" t="e">
        <f t="shared" si="80"/>
        <v>#N/A</v>
      </c>
      <c r="P274" s="422" t="e">
        <f t="shared" si="81"/>
        <v>#N/A</v>
      </c>
      <c r="Q274" s="447" t="e">
        <f t="shared" si="88"/>
        <v>#N/A</v>
      </c>
      <c r="R274" s="447" t="e">
        <f t="shared" si="89"/>
        <v>#N/A</v>
      </c>
      <c r="S274" s="447" t="e">
        <f t="shared" si="89"/>
        <v>#N/A</v>
      </c>
      <c r="T274" s="422" t="e">
        <f t="shared" si="82"/>
        <v>#N/A</v>
      </c>
      <c r="U274" s="422" t="e">
        <f t="shared" si="83"/>
        <v>#N/A</v>
      </c>
      <c r="V274" s="422" t="e">
        <f t="shared" si="84"/>
        <v>#N/A</v>
      </c>
      <c r="W274" s="447" t="e">
        <f t="shared" si="90"/>
        <v>#N/A</v>
      </c>
      <c r="X274" s="447" t="e">
        <f t="shared" si="91"/>
        <v>#N/A</v>
      </c>
      <c r="Y274" s="447" t="e">
        <f t="shared" si="91"/>
        <v>#N/A</v>
      </c>
      <c r="Z274" s="640"/>
      <c r="AA274" s="640"/>
      <c r="AB274" s="640"/>
      <c r="AC274" s="640"/>
      <c r="AD274" s="640"/>
      <c r="AE274" s="640"/>
      <c r="AF274" s="640"/>
      <c r="AG274" s="640"/>
      <c r="AH274" s="640"/>
      <c r="AI274" s="640"/>
      <c r="AJ274" s="640"/>
      <c r="AK274" s="640"/>
    </row>
    <row r="275" spans="1:37" s="223" customFormat="1" ht="15.75" hidden="1" x14ac:dyDescent="0.25">
      <c r="A275" s="415"/>
      <c r="B275" s="415" t="str">
        <f>'PEM sectors'!A41</f>
        <v>BoP</v>
      </c>
      <c r="C275" s="415" t="str">
        <f>'PEM sectors'!B41</f>
        <v>Anode Purge Valve</v>
      </c>
      <c r="D275" s="415" t="str">
        <f>'PEM sectors'!C41</f>
        <v>33291A</v>
      </c>
      <c r="E275" s="415" t="str">
        <f>'PEM sectors'!D41</f>
        <v>Valve and fittings other than plumbing</v>
      </c>
      <c r="F275" s="420">
        <f>'PEM sectors'!F41</f>
        <v>5.8004640371229696E-3</v>
      </c>
      <c r="G275" s="420">
        <f t="shared" si="85"/>
        <v>5.8004640371229696E-3</v>
      </c>
      <c r="H275" s="421" t="e">
        <f t="shared" si="76"/>
        <v>#N/A</v>
      </c>
      <c r="I275" s="422" t="e">
        <f t="shared" si="77"/>
        <v>#N/A</v>
      </c>
      <c r="J275" s="422" t="e">
        <f t="shared" si="78"/>
        <v>#N/A</v>
      </c>
      <c r="K275" s="423" t="e">
        <f t="shared" si="86"/>
        <v>#N/A</v>
      </c>
      <c r="L275" s="423" t="e">
        <f t="shared" si="87"/>
        <v>#N/A</v>
      </c>
      <c r="M275" s="423" t="e">
        <f t="shared" si="87"/>
        <v>#N/A</v>
      </c>
      <c r="N275" s="422" t="e">
        <f t="shared" si="79"/>
        <v>#N/A</v>
      </c>
      <c r="O275" s="422" t="e">
        <f t="shared" si="80"/>
        <v>#N/A</v>
      </c>
      <c r="P275" s="422" t="e">
        <f t="shared" si="81"/>
        <v>#N/A</v>
      </c>
      <c r="Q275" s="447" t="e">
        <f t="shared" si="88"/>
        <v>#N/A</v>
      </c>
      <c r="R275" s="447" t="e">
        <f t="shared" si="89"/>
        <v>#N/A</v>
      </c>
      <c r="S275" s="447" t="e">
        <f t="shared" si="89"/>
        <v>#N/A</v>
      </c>
      <c r="T275" s="422" t="e">
        <f t="shared" si="82"/>
        <v>#N/A</v>
      </c>
      <c r="U275" s="422" t="e">
        <f t="shared" si="83"/>
        <v>#N/A</v>
      </c>
      <c r="V275" s="422" t="e">
        <f t="shared" si="84"/>
        <v>#N/A</v>
      </c>
      <c r="W275" s="447" t="e">
        <f t="shared" si="90"/>
        <v>#N/A</v>
      </c>
      <c r="X275" s="447" t="e">
        <f t="shared" si="91"/>
        <v>#N/A</v>
      </c>
      <c r="Y275" s="447" t="e">
        <f t="shared" si="91"/>
        <v>#N/A</v>
      </c>
      <c r="Z275" s="640"/>
      <c r="AA275" s="640"/>
      <c r="AB275" s="640"/>
      <c r="AC275" s="640"/>
      <c r="AD275" s="640"/>
      <c r="AE275" s="640"/>
      <c r="AF275" s="640"/>
      <c r="AG275" s="640"/>
      <c r="AH275" s="640"/>
      <c r="AI275" s="640"/>
      <c r="AJ275" s="640"/>
      <c r="AK275" s="640"/>
    </row>
    <row r="276" spans="1:37" s="224" customFormat="1" ht="15.75" hidden="1" x14ac:dyDescent="0.25">
      <c r="A276" s="415"/>
      <c r="B276" s="415" t="str">
        <f>'PEM sectors'!A42</f>
        <v>BoP</v>
      </c>
      <c r="C276" s="415" t="str">
        <f>'PEM sectors'!B42</f>
        <v>H2 Shutoff Valve</v>
      </c>
      <c r="D276" s="415" t="str">
        <f>'PEM sectors'!C42</f>
        <v>33291A</v>
      </c>
      <c r="E276" s="415" t="str">
        <f>'PEM sectors'!D42</f>
        <v>Valve and fittings other than plumbing</v>
      </c>
      <c r="F276" s="420">
        <f>'PEM sectors'!F42</f>
        <v>7.9756380510440841E-3</v>
      </c>
      <c r="G276" s="420">
        <f t="shared" si="85"/>
        <v>7.9756380510440841E-3</v>
      </c>
      <c r="H276" s="421" t="e">
        <f t="shared" si="76"/>
        <v>#N/A</v>
      </c>
      <c r="I276" s="422" t="e">
        <f t="shared" si="77"/>
        <v>#N/A</v>
      </c>
      <c r="J276" s="422" t="e">
        <f t="shared" si="78"/>
        <v>#N/A</v>
      </c>
      <c r="K276" s="423" t="e">
        <f t="shared" si="86"/>
        <v>#N/A</v>
      </c>
      <c r="L276" s="423" t="e">
        <f t="shared" si="87"/>
        <v>#N/A</v>
      </c>
      <c r="M276" s="423" t="e">
        <f t="shared" si="87"/>
        <v>#N/A</v>
      </c>
      <c r="N276" s="422" t="e">
        <f t="shared" si="79"/>
        <v>#N/A</v>
      </c>
      <c r="O276" s="422" t="e">
        <f t="shared" si="80"/>
        <v>#N/A</v>
      </c>
      <c r="P276" s="422" t="e">
        <f t="shared" si="81"/>
        <v>#N/A</v>
      </c>
      <c r="Q276" s="447" t="e">
        <f t="shared" si="88"/>
        <v>#N/A</v>
      </c>
      <c r="R276" s="447" t="e">
        <f t="shared" si="89"/>
        <v>#N/A</v>
      </c>
      <c r="S276" s="447" t="e">
        <f t="shared" si="89"/>
        <v>#N/A</v>
      </c>
      <c r="T276" s="422" t="e">
        <f t="shared" si="82"/>
        <v>#N/A</v>
      </c>
      <c r="U276" s="422" t="e">
        <f t="shared" si="83"/>
        <v>#N/A</v>
      </c>
      <c r="V276" s="422" t="e">
        <f t="shared" si="84"/>
        <v>#N/A</v>
      </c>
      <c r="W276" s="447" t="e">
        <f t="shared" si="90"/>
        <v>#N/A</v>
      </c>
      <c r="X276" s="447" t="e">
        <f t="shared" si="91"/>
        <v>#N/A</v>
      </c>
      <c r="Y276" s="447" t="e">
        <f t="shared" si="91"/>
        <v>#N/A</v>
      </c>
      <c r="Z276" s="640"/>
      <c r="AA276" s="640"/>
      <c r="AB276" s="640"/>
      <c r="AC276" s="640"/>
      <c r="AD276" s="640"/>
      <c r="AE276" s="640"/>
      <c r="AF276" s="640"/>
      <c r="AG276" s="640"/>
      <c r="AH276" s="640"/>
      <c r="AI276" s="640"/>
      <c r="AJ276" s="640"/>
      <c r="AK276" s="640"/>
    </row>
    <row r="277" spans="1:37" s="689" customFormat="1" ht="15.75" hidden="1" x14ac:dyDescent="0.25">
      <c r="A277" s="415"/>
      <c r="B277" s="415" t="str">
        <f>'PEM sectors'!A43</f>
        <v>BoP</v>
      </c>
      <c r="C277" s="415" t="str">
        <f>'PEM sectors'!B43</f>
        <v>Buss Bar</v>
      </c>
      <c r="D277" s="415">
        <f>'PEM sectors'!C43</f>
        <v>335930</v>
      </c>
      <c r="E277" s="415" t="str">
        <f>'PEM sectors'!D43</f>
        <v>Wiring device manufacturing</v>
      </c>
      <c r="F277" s="420">
        <f>'PEM sectors'!F43</f>
        <v>2.3201856148491878E-3</v>
      </c>
      <c r="G277" s="420">
        <f t="shared" si="85"/>
        <v>2.3201856148491878E-3</v>
      </c>
      <c r="H277" s="421" t="e">
        <f t="shared" si="76"/>
        <v>#N/A</v>
      </c>
      <c r="I277" s="422" t="e">
        <f t="shared" si="77"/>
        <v>#N/A</v>
      </c>
      <c r="J277" s="422" t="e">
        <f t="shared" si="78"/>
        <v>#N/A</v>
      </c>
      <c r="K277" s="423" t="e">
        <f t="shared" si="86"/>
        <v>#N/A</v>
      </c>
      <c r="L277" s="423" t="e">
        <f t="shared" si="87"/>
        <v>#N/A</v>
      </c>
      <c r="M277" s="423" t="e">
        <f t="shared" si="87"/>
        <v>#N/A</v>
      </c>
      <c r="N277" s="422" t="e">
        <f t="shared" si="79"/>
        <v>#N/A</v>
      </c>
      <c r="O277" s="422" t="e">
        <f t="shared" si="80"/>
        <v>#N/A</v>
      </c>
      <c r="P277" s="422" t="e">
        <f t="shared" si="81"/>
        <v>#N/A</v>
      </c>
      <c r="Q277" s="447" t="e">
        <f t="shared" si="88"/>
        <v>#N/A</v>
      </c>
      <c r="R277" s="447" t="e">
        <f t="shared" si="89"/>
        <v>#N/A</v>
      </c>
      <c r="S277" s="447" t="e">
        <f t="shared" si="89"/>
        <v>#N/A</v>
      </c>
      <c r="T277" s="422" t="e">
        <f t="shared" si="82"/>
        <v>#N/A</v>
      </c>
      <c r="U277" s="422" t="e">
        <f t="shared" si="83"/>
        <v>#N/A</v>
      </c>
      <c r="V277" s="422" t="e">
        <f t="shared" si="84"/>
        <v>#N/A</v>
      </c>
      <c r="W277" s="447" t="e">
        <f t="shared" si="90"/>
        <v>#N/A</v>
      </c>
      <c r="X277" s="447" t="e">
        <f t="shared" si="91"/>
        <v>#N/A</v>
      </c>
      <c r="Y277" s="447" t="e">
        <f t="shared" si="91"/>
        <v>#N/A</v>
      </c>
      <c r="Z277" s="640"/>
      <c r="AA277" s="640"/>
      <c r="AB277" s="640"/>
      <c r="AC277" s="640"/>
      <c r="AD277" s="640"/>
      <c r="AE277" s="640"/>
      <c r="AF277" s="640"/>
      <c r="AG277" s="640"/>
      <c r="AH277" s="640"/>
      <c r="AI277" s="640"/>
      <c r="AJ277" s="640"/>
      <c r="AK277" s="640"/>
    </row>
    <row r="278" spans="1:37" s="223" customFormat="1" ht="15.75" hidden="1" x14ac:dyDescent="0.25">
      <c r="A278" s="415"/>
      <c r="B278" s="415" t="str">
        <f>'PEM sectors'!A44</f>
        <v>BoP</v>
      </c>
      <c r="C278" s="415" t="str">
        <f>'PEM sectors'!B44</f>
        <v>Wiring and Connectors</v>
      </c>
      <c r="D278" s="415">
        <f>'PEM sectors'!C44</f>
        <v>335930</v>
      </c>
      <c r="E278" s="415" t="str">
        <f>'PEM sectors'!D44</f>
        <v>Wiring device manufacturing</v>
      </c>
      <c r="F278" s="420">
        <f>'PEM sectors'!F44</f>
        <v>7.250580046403712E-3</v>
      </c>
      <c r="G278" s="420">
        <f t="shared" si="85"/>
        <v>7.250580046403712E-3</v>
      </c>
      <c r="H278" s="421" t="e">
        <f t="shared" si="76"/>
        <v>#N/A</v>
      </c>
      <c r="I278" s="422" t="e">
        <f t="shared" si="77"/>
        <v>#N/A</v>
      </c>
      <c r="J278" s="422" t="e">
        <f t="shared" si="78"/>
        <v>#N/A</v>
      </c>
      <c r="K278" s="423" t="e">
        <f t="shared" si="86"/>
        <v>#N/A</v>
      </c>
      <c r="L278" s="423" t="e">
        <f t="shared" si="87"/>
        <v>#N/A</v>
      </c>
      <c r="M278" s="423" t="e">
        <f t="shared" si="87"/>
        <v>#N/A</v>
      </c>
      <c r="N278" s="422" t="e">
        <f t="shared" si="79"/>
        <v>#N/A</v>
      </c>
      <c r="O278" s="422" t="e">
        <f t="shared" si="80"/>
        <v>#N/A</v>
      </c>
      <c r="P278" s="422" t="e">
        <f t="shared" si="81"/>
        <v>#N/A</v>
      </c>
      <c r="Q278" s="447" t="e">
        <f t="shared" si="88"/>
        <v>#N/A</v>
      </c>
      <c r="R278" s="447" t="e">
        <f t="shared" si="89"/>
        <v>#N/A</v>
      </c>
      <c r="S278" s="447" t="e">
        <f t="shared" si="89"/>
        <v>#N/A</v>
      </c>
      <c r="T278" s="422" t="e">
        <f t="shared" si="82"/>
        <v>#N/A</v>
      </c>
      <c r="U278" s="422" t="e">
        <f t="shared" si="83"/>
        <v>#N/A</v>
      </c>
      <c r="V278" s="422" t="e">
        <f t="shared" si="84"/>
        <v>#N/A</v>
      </c>
      <c r="W278" s="447" t="e">
        <f t="shared" si="90"/>
        <v>#N/A</v>
      </c>
      <c r="X278" s="447" t="e">
        <f t="shared" si="91"/>
        <v>#N/A</v>
      </c>
      <c r="Y278" s="447" t="e">
        <f t="shared" si="91"/>
        <v>#N/A</v>
      </c>
      <c r="Z278" s="640"/>
      <c r="AA278" s="640"/>
      <c r="AB278" s="640"/>
      <c r="AC278" s="640"/>
      <c r="AD278" s="640"/>
      <c r="AE278" s="640"/>
      <c r="AF278" s="640"/>
      <c r="AG278" s="640"/>
      <c r="AH278" s="640"/>
      <c r="AI278" s="640"/>
      <c r="AJ278" s="640"/>
      <c r="AK278" s="640"/>
    </row>
    <row r="279" spans="1:37" s="223" customFormat="1" ht="15.75" hidden="1" x14ac:dyDescent="0.25">
      <c r="A279" s="415"/>
      <c r="B279" s="415"/>
      <c r="C279" s="415"/>
      <c r="D279" s="417"/>
      <c r="E279" s="417" t="s">
        <v>423</v>
      </c>
      <c r="F279" s="452">
        <f>SUM(F257:F278)</f>
        <v>0.49347447795823673</v>
      </c>
      <c r="G279" s="420">
        <f t="shared" si="85"/>
        <v>0.49347447795823673</v>
      </c>
      <c r="H279" s="422" t="e">
        <f>SUM(H257:H278)</f>
        <v>#N/A</v>
      </c>
      <c r="I279" s="422" t="e">
        <f>SUM(I257:I278)</f>
        <v>#N/A</v>
      </c>
      <c r="J279" s="422" t="e">
        <f>SUM(J257:J278)</f>
        <v>#N/A</v>
      </c>
      <c r="K279" s="423" t="e">
        <f t="shared" si="86"/>
        <v>#N/A</v>
      </c>
      <c r="L279" s="423" t="e">
        <f t="shared" ref="L279:M279" si="92">I279-H279</f>
        <v>#N/A</v>
      </c>
      <c r="M279" s="423" t="e">
        <f t="shared" si="92"/>
        <v>#N/A</v>
      </c>
      <c r="N279" s="422" t="e">
        <f>SUM(N257:N278)</f>
        <v>#N/A</v>
      </c>
      <c r="O279" s="422" t="e">
        <f>SUM(O257:O278)</f>
        <v>#N/A</v>
      </c>
      <c r="P279" s="422" t="e">
        <f>SUM(P257:P278)</f>
        <v>#N/A</v>
      </c>
      <c r="Q279" s="447" t="e">
        <f t="shared" si="88"/>
        <v>#N/A</v>
      </c>
      <c r="R279" s="447" t="e">
        <f t="shared" ref="R279:S279" si="93">O279-N279</f>
        <v>#N/A</v>
      </c>
      <c r="S279" s="447" t="e">
        <f t="shared" si="93"/>
        <v>#N/A</v>
      </c>
      <c r="T279" s="422" t="e">
        <f>SUM(T257:T278)</f>
        <v>#N/A</v>
      </c>
      <c r="U279" s="422" t="e">
        <f>SUM(U257:U278)</f>
        <v>#N/A</v>
      </c>
      <c r="V279" s="422" t="e">
        <f>SUM(V257:V278)</f>
        <v>#N/A</v>
      </c>
      <c r="W279" s="447" t="e">
        <f t="shared" si="90"/>
        <v>#N/A</v>
      </c>
      <c r="X279" s="447" t="e">
        <f t="shared" ref="X279:Y279" si="94">U279-T279</f>
        <v>#N/A</v>
      </c>
      <c r="Y279" s="447" t="e">
        <f t="shared" si="94"/>
        <v>#N/A</v>
      </c>
      <c r="Z279" s="640"/>
      <c r="AA279" s="640"/>
      <c r="AB279" s="640"/>
      <c r="AC279" s="640"/>
      <c r="AD279" s="640"/>
      <c r="AE279" s="640"/>
      <c r="AF279" s="640"/>
      <c r="AG279" s="640"/>
      <c r="AH279" s="640"/>
      <c r="AI279" s="640"/>
      <c r="AJ279" s="640"/>
      <c r="AK279" s="640"/>
    </row>
    <row r="280" spans="1:37" s="223" customFormat="1" ht="15.75" hidden="1" x14ac:dyDescent="0.25">
      <c r="A280" s="415"/>
      <c r="B280" s="415"/>
      <c r="C280" s="415"/>
      <c r="D280" s="454"/>
      <c r="E280" s="454"/>
      <c r="F280" s="454"/>
      <c r="G280" s="454"/>
      <c r="H280" s="415"/>
      <c r="I280" s="415"/>
      <c r="J280" s="415"/>
      <c r="K280" s="415"/>
      <c r="L280" s="415"/>
      <c r="M280" s="415"/>
      <c r="N280" s="447"/>
      <c r="O280" s="447"/>
      <c r="P280" s="447"/>
      <c r="Q280" s="447"/>
      <c r="R280" s="447"/>
      <c r="S280" s="447"/>
      <c r="T280" s="447"/>
      <c r="U280" s="447"/>
      <c r="V280" s="447"/>
      <c r="W280" s="447"/>
      <c r="X280" s="447"/>
      <c r="Y280" s="447"/>
      <c r="Z280" s="640"/>
      <c r="AA280" s="640"/>
      <c r="AB280" s="640"/>
      <c r="AC280" s="640"/>
      <c r="AD280" s="640"/>
      <c r="AE280" s="640"/>
      <c r="AF280" s="640"/>
      <c r="AG280" s="640"/>
      <c r="AH280" s="640"/>
      <c r="AI280" s="640"/>
      <c r="AJ280" s="640"/>
      <c r="AK280" s="640"/>
    </row>
    <row r="281" spans="1:37" s="223" customFormat="1" ht="15.75" hidden="1" x14ac:dyDescent="0.25">
      <c r="A281" s="415"/>
      <c r="B281" s="415"/>
      <c r="C281" s="415"/>
      <c r="D281" s="522"/>
      <c r="E281" s="455" t="s">
        <v>449</v>
      </c>
      <c r="F281" s="446"/>
      <c r="G281" s="446"/>
      <c r="H281" s="415"/>
      <c r="I281" s="415"/>
      <c r="J281" s="415"/>
      <c r="K281" s="415"/>
      <c r="L281" s="415"/>
      <c r="M281" s="415"/>
      <c r="N281" s="447"/>
      <c r="O281" s="447"/>
      <c r="P281" s="447"/>
      <c r="Q281" s="447"/>
      <c r="R281" s="447"/>
      <c r="S281" s="447"/>
      <c r="T281" s="447"/>
      <c r="U281" s="447"/>
      <c r="V281" s="447"/>
      <c r="W281" s="447"/>
      <c r="X281" s="447"/>
      <c r="Y281" s="447"/>
      <c r="Z281" s="640"/>
      <c r="AA281" s="640"/>
      <c r="AB281" s="640"/>
      <c r="AC281" s="640"/>
      <c r="AD281" s="640"/>
      <c r="AE281" s="640"/>
      <c r="AF281" s="640"/>
      <c r="AG281" s="640"/>
      <c r="AH281" s="640"/>
      <c r="AI281" s="640"/>
      <c r="AJ281" s="640"/>
      <c r="AK281" s="640"/>
    </row>
    <row r="282" spans="1:37" s="223" customFormat="1" ht="15.75" hidden="1" x14ac:dyDescent="0.25">
      <c r="A282" s="415"/>
      <c r="B282" s="415"/>
      <c r="C282" s="415"/>
      <c r="D282" s="522"/>
      <c r="E282" s="415">
        <v>2015</v>
      </c>
      <c r="F282" s="456">
        <f>F$279*TotalProdCosts_2015</f>
        <v>0</v>
      </c>
      <c r="G282" s="456">
        <f t="shared" ref="G282:J287" si="95">G$279*$G582</f>
        <v>0</v>
      </c>
      <c r="H282" s="457" t="e">
        <f t="shared" si="95"/>
        <v>#N/A</v>
      </c>
      <c r="I282" s="457" t="e">
        <f t="shared" si="95"/>
        <v>#N/A</v>
      </c>
      <c r="J282" s="457" t="e">
        <f t="shared" si="95"/>
        <v>#N/A</v>
      </c>
      <c r="K282" s="423" t="e">
        <f t="shared" ref="K282:K287" si="96">H282</f>
        <v>#N/A</v>
      </c>
      <c r="L282" s="423" t="e">
        <f t="shared" ref="L282:M287" si="97">I282-H282</f>
        <v>#N/A</v>
      </c>
      <c r="M282" s="423" t="e">
        <f t="shared" si="97"/>
        <v>#N/A</v>
      </c>
      <c r="N282" s="438" t="e">
        <f t="shared" ref="N282:P287" si="98">N$279*$G582</f>
        <v>#N/A</v>
      </c>
      <c r="O282" s="438" t="e">
        <f t="shared" si="98"/>
        <v>#N/A</v>
      </c>
      <c r="P282" s="438" t="e">
        <f t="shared" si="98"/>
        <v>#N/A</v>
      </c>
      <c r="Q282" s="447" t="e">
        <f t="shared" ref="Q282:Q287" si="99">N282</f>
        <v>#N/A</v>
      </c>
      <c r="R282" s="447" t="e">
        <f t="shared" ref="R282:S287" si="100">O282-N282</f>
        <v>#N/A</v>
      </c>
      <c r="S282" s="447" t="e">
        <f t="shared" si="100"/>
        <v>#N/A</v>
      </c>
      <c r="T282" s="438" t="e">
        <f t="shared" ref="T282:V287" si="101">T$279*$G582</f>
        <v>#N/A</v>
      </c>
      <c r="U282" s="438" t="e">
        <f t="shared" si="101"/>
        <v>#N/A</v>
      </c>
      <c r="V282" s="438" t="e">
        <f t="shared" si="101"/>
        <v>#N/A</v>
      </c>
      <c r="W282" s="447" t="e">
        <f t="shared" ref="W282:W287" si="102">T282</f>
        <v>#N/A</v>
      </c>
      <c r="X282" s="447" t="e">
        <f t="shared" ref="X282:Y287" si="103">U282-T282</f>
        <v>#N/A</v>
      </c>
      <c r="Y282" s="447" t="e">
        <f t="shared" si="103"/>
        <v>#N/A</v>
      </c>
      <c r="Z282" s="640"/>
      <c r="AA282" s="640"/>
      <c r="AB282" s="640"/>
      <c r="AC282" s="640"/>
      <c r="AD282" s="640"/>
      <c r="AE282" s="640"/>
      <c r="AF282" s="640"/>
      <c r="AG282" s="640"/>
      <c r="AH282" s="640"/>
      <c r="AI282" s="640"/>
      <c r="AJ282" s="640"/>
      <c r="AK282" s="640"/>
    </row>
    <row r="283" spans="1:37" s="223" customFormat="1" ht="15.75" hidden="1" x14ac:dyDescent="0.25">
      <c r="A283" s="415"/>
      <c r="B283" s="415"/>
      <c r="C283" s="415"/>
      <c r="D283" s="522"/>
      <c r="E283" s="415">
        <v>2016</v>
      </c>
      <c r="F283" s="458">
        <f>F$279*TotalProdCosts_2016</f>
        <v>0</v>
      </c>
      <c r="G283" s="456">
        <f t="shared" si="95"/>
        <v>0</v>
      </c>
      <c r="H283" s="457" t="e">
        <f t="shared" si="95"/>
        <v>#N/A</v>
      </c>
      <c r="I283" s="457" t="e">
        <f t="shared" si="95"/>
        <v>#N/A</v>
      </c>
      <c r="J283" s="457" t="e">
        <f t="shared" si="95"/>
        <v>#N/A</v>
      </c>
      <c r="K283" s="423" t="e">
        <f t="shared" si="96"/>
        <v>#N/A</v>
      </c>
      <c r="L283" s="423" t="e">
        <f t="shared" si="97"/>
        <v>#N/A</v>
      </c>
      <c r="M283" s="423" t="e">
        <f t="shared" si="97"/>
        <v>#N/A</v>
      </c>
      <c r="N283" s="438" t="e">
        <f t="shared" si="98"/>
        <v>#N/A</v>
      </c>
      <c r="O283" s="438" t="e">
        <f t="shared" si="98"/>
        <v>#N/A</v>
      </c>
      <c r="P283" s="438" t="e">
        <f t="shared" si="98"/>
        <v>#N/A</v>
      </c>
      <c r="Q283" s="447" t="e">
        <f t="shared" si="99"/>
        <v>#N/A</v>
      </c>
      <c r="R283" s="447" t="e">
        <f t="shared" si="100"/>
        <v>#N/A</v>
      </c>
      <c r="S283" s="447" t="e">
        <f t="shared" si="100"/>
        <v>#N/A</v>
      </c>
      <c r="T283" s="438" t="e">
        <f t="shared" si="101"/>
        <v>#N/A</v>
      </c>
      <c r="U283" s="438" t="e">
        <f t="shared" si="101"/>
        <v>#N/A</v>
      </c>
      <c r="V283" s="438" t="e">
        <f t="shared" si="101"/>
        <v>#N/A</v>
      </c>
      <c r="W283" s="447" t="e">
        <f t="shared" si="102"/>
        <v>#N/A</v>
      </c>
      <c r="X283" s="447" t="e">
        <f t="shared" si="103"/>
        <v>#N/A</v>
      </c>
      <c r="Y283" s="447" t="e">
        <f t="shared" si="103"/>
        <v>#N/A</v>
      </c>
      <c r="Z283" s="640"/>
      <c r="AA283" s="640"/>
      <c r="AB283" s="640"/>
      <c r="AC283" s="640"/>
      <c r="AD283" s="640"/>
      <c r="AE283" s="640"/>
      <c r="AF283" s="640"/>
      <c r="AG283" s="640"/>
      <c r="AH283" s="640"/>
      <c r="AI283" s="640"/>
      <c r="AJ283" s="640"/>
      <c r="AK283" s="640"/>
    </row>
    <row r="284" spans="1:37" s="223" customFormat="1" ht="15.75" hidden="1" x14ac:dyDescent="0.25">
      <c r="A284" s="415"/>
      <c r="B284" s="415"/>
      <c r="C284" s="415"/>
      <c r="D284" s="522"/>
      <c r="E284" s="415">
        <v>2017</v>
      </c>
      <c r="F284" s="458">
        <f>F$279*TotalProdCosts_2017</f>
        <v>0</v>
      </c>
      <c r="G284" s="456">
        <f t="shared" si="95"/>
        <v>0</v>
      </c>
      <c r="H284" s="457" t="e">
        <f t="shared" si="95"/>
        <v>#N/A</v>
      </c>
      <c r="I284" s="457" t="e">
        <f t="shared" si="95"/>
        <v>#N/A</v>
      </c>
      <c r="J284" s="457" t="e">
        <f t="shared" si="95"/>
        <v>#N/A</v>
      </c>
      <c r="K284" s="423" t="e">
        <f t="shared" si="96"/>
        <v>#N/A</v>
      </c>
      <c r="L284" s="423" t="e">
        <f t="shared" si="97"/>
        <v>#N/A</v>
      </c>
      <c r="M284" s="423" t="e">
        <f t="shared" si="97"/>
        <v>#N/A</v>
      </c>
      <c r="N284" s="438" t="e">
        <f t="shared" si="98"/>
        <v>#N/A</v>
      </c>
      <c r="O284" s="438" t="e">
        <f t="shared" si="98"/>
        <v>#N/A</v>
      </c>
      <c r="P284" s="438" t="e">
        <f t="shared" si="98"/>
        <v>#N/A</v>
      </c>
      <c r="Q284" s="447" t="e">
        <f t="shared" si="99"/>
        <v>#N/A</v>
      </c>
      <c r="R284" s="447" t="e">
        <f t="shared" si="100"/>
        <v>#N/A</v>
      </c>
      <c r="S284" s="447" t="e">
        <f t="shared" si="100"/>
        <v>#N/A</v>
      </c>
      <c r="T284" s="438" t="e">
        <f t="shared" si="101"/>
        <v>#N/A</v>
      </c>
      <c r="U284" s="438" t="e">
        <f t="shared" si="101"/>
        <v>#N/A</v>
      </c>
      <c r="V284" s="438" t="e">
        <f t="shared" si="101"/>
        <v>#N/A</v>
      </c>
      <c r="W284" s="447" t="e">
        <f t="shared" si="102"/>
        <v>#N/A</v>
      </c>
      <c r="X284" s="447" t="e">
        <f t="shared" si="103"/>
        <v>#N/A</v>
      </c>
      <c r="Y284" s="447" t="e">
        <f t="shared" si="103"/>
        <v>#N/A</v>
      </c>
      <c r="Z284" s="640"/>
      <c r="AA284" s="640"/>
      <c r="AB284" s="640"/>
      <c r="AC284" s="640"/>
      <c r="AD284" s="640"/>
      <c r="AE284" s="640"/>
      <c r="AF284" s="640"/>
      <c r="AG284" s="640"/>
      <c r="AH284" s="640"/>
      <c r="AI284" s="640"/>
      <c r="AJ284" s="640"/>
      <c r="AK284" s="640"/>
    </row>
    <row r="285" spans="1:37" s="223" customFormat="1" ht="15.75" hidden="1" x14ac:dyDescent="0.25">
      <c r="A285" s="415"/>
      <c r="B285" s="415"/>
      <c r="C285" s="415"/>
      <c r="D285" s="522"/>
      <c r="E285" s="415">
        <v>2018</v>
      </c>
      <c r="F285" s="458">
        <f>F$279*TotalProdCosts_2018</f>
        <v>0</v>
      </c>
      <c r="G285" s="456">
        <f t="shared" si="95"/>
        <v>0</v>
      </c>
      <c r="H285" s="457" t="e">
        <f t="shared" si="95"/>
        <v>#N/A</v>
      </c>
      <c r="I285" s="457" t="e">
        <f t="shared" si="95"/>
        <v>#N/A</v>
      </c>
      <c r="J285" s="457" t="e">
        <f t="shared" si="95"/>
        <v>#N/A</v>
      </c>
      <c r="K285" s="423" t="e">
        <f t="shared" si="96"/>
        <v>#N/A</v>
      </c>
      <c r="L285" s="423" t="e">
        <f t="shared" si="97"/>
        <v>#N/A</v>
      </c>
      <c r="M285" s="423" t="e">
        <f t="shared" si="97"/>
        <v>#N/A</v>
      </c>
      <c r="N285" s="438" t="e">
        <f t="shared" si="98"/>
        <v>#N/A</v>
      </c>
      <c r="O285" s="438" t="e">
        <f t="shared" si="98"/>
        <v>#N/A</v>
      </c>
      <c r="P285" s="438" t="e">
        <f t="shared" si="98"/>
        <v>#N/A</v>
      </c>
      <c r="Q285" s="447" t="e">
        <f t="shared" si="99"/>
        <v>#N/A</v>
      </c>
      <c r="R285" s="447" t="e">
        <f t="shared" si="100"/>
        <v>#N/A</v>
      </c>
      <c r="S285" s="447" t="e">
        <f t="shared" si="100"/>
        <v>#N/A</v>
      </c>
      <c r="T285" s="438" t="e">
        <f t="shared" si="101"/>
        <v>#N/A</v>
      </c>
      <c r="U285" s="438" t="e">
        <f t="shared" si="101"/>
        <v>#N/A</v>
      </c>
      <c r="V285" s="438" t="e">
        <f t="shared" si="101"/>
        <v>#N/A</v>
      </c>
      <c r="W285" s="447" t="e">
        <f t="shared" si="102"/>
        <v>#N/A</v>
      </c>
      <c r="X285" s="447" t="e">
        <f t="shared" si="103"/>
        <v>#N/A</v>
      </c>
      <c r="Y285" s="447" t="e">
        <f t="shared" si="103"/>
        <v>#N/A</v>
      </c>
      <c r="Z285" s="640"/>
      <c r="AA285" s="640"/>
      <c r="AB285" s="640"/>
      <c r="AC285" s="640"/>
      <c r="AD285" s="640"/>
      <c r="AE285" s="640"/>
      <c r="AF285" s="640"/>
      <c r="AG285" s="640"/>
      <c r="AH285" s="640"/>
      <c r="AI285" s="640"/>
      <c r="AJ285" s="640"/>
      <c r="AK285" s="640"/>
    </row>
    <row r="286" spans="1:37" s="223" customFormat="1" ht="15.75" hidden="1" x14ac:dyDescent="0.25">
      <c r="A286" s="415"/>
      <c r="B286" s="415"/>
      <c r="C286" s="415"/>
      <c r="D286" s="522"/>
      <c r="E286" s="415">
        <v>2019</v>
      </c>
      <c r="F286" s="458">
        <f>F$279*TotalProdCosts_2019</f>
        <v>0</v>
      </c>
      <c r="G286" s="456">
        <f t="shared" si="95"/>
        <v>0</v>
      </c>
      <c r="H286" s="457" t="e">
        <f t="shared" si="95"/>
        <v>#N/A</v>
      </c>
      <c r="I286" s="457" t="e">
        <f t="shared" si="95"/>
        <v>#N/A</v>
      </c>
      <c r="J286" s="457" t="e">
        <f t="shared" si="95"/>
        <v>#N/A</v>
      </c>
      <c r="K286" s="423" t="e">
        <f t="shared" si="96"/>
        <v>#N/A</v>
      </c>
      <c r="L286" s="423" t="e">
        <f t="shared" si="97"/>
        <v>#N/A</v>
      </c>
      <c r="M286" s="423" t="e">
        <f t="shared" si="97"/>
        <v>#N/A</v>
      </c>
      <c r="N286" s="438" t="e">
        <f t="shared" si="98"/>
        <v>#N/A</v>
      </c>
      <c r="O286" s="438" t="e">
        <f t="shared" si="98"/>
        <v>#N/A</v>
      </c>
      <c r="P286" s="438" t="e">
        <f t="shared" si="98"/>
        <v>#N/A</v>
      </c>
      <c r="Q286" s="447" t="e">
        <f t="shared" si="99"/>
        <v>#N/A</v>
      </c>
      <c r="R286" s="447" t="e">
        <f t="shared" si="100"/>
        <v>#N/A</v>
      </c>
      <c r="S286" s="447" t="e">
        <f t="shared" si="100"/>
        <v>#N/A</v>
      </c>
      <c r="T286" s="438" t="e">
        <f t="shared" si="101"/>
        <v>#N/A</v>
      </c>
      <c r="U286" s="438" t="e">
        <f t="shared" si="101"/>
        <v>#N/A</v>
      </c>
      <c r="V286" s="438" t="e">
        <f t="shared" si="101"/>
        <v>#N/A</v>
      </c>
      <c r="W286" s="447" t="e">
        <f t="shared" si="102"/>
        <v>#N/A</v>
      </c>
      <c r="X286" s="447" t="e">
        <f t="shared" si="103"/>
        <v>#N/A</v>
      </c>
      <c r="Y286" s="447" t="e">
        <f t="shared" si="103"/>
        <v>#N/A</v>
      </c>
      <c r="Z286" s="640"/>
      <c r="AA286" s="640"/>
      <c r="AB286" s="640"/>
      <c r="AC286" s="640"/>
      <c r="AD286" s="640"/>
      <c r="AE286" s="640"/>
      <c r="AF286" s="640"/>
      <c r="AG286" s="640"/>
      <c r="AH286" s="640"/>
      <c r="AI286" s="640"/>
      <c r="AJ286" s="640"/>
      <c r="AK286" s="640"/>
    </row>
    <row r="287" spans="1:37" s="223" customFormat="1" ht="15.75" hidden="1" x14ac:dyDescent="0.25">
      <c r="A287" s="415"/>
      <c r="B287" s="415"/>
      <c r="C287" s="415"/>
      <c r="D287" s="522"/>
      <c r="E287" s="415">
        <v>2020</v>
      </c>
      <c r="F287" s="458">
        <f>F$279*TotalProdCosts_2020</f>
        <v>0</v>
      </c>
      <c r="G287" s="456">
        <f t="shared" si="95"/>
        <v>0</v>
      </c>
      <c r="H287" s="457" t="e">
        <f t="shared" si="95"/>
        <v>#N/A</v>
      </c>
      <c r="I287" s="457" t="e">
        <f t="shared" si="95"/>
        <v>#N/A</v>
      </c>
      <c r="J287" s="457" t="e">
        <f t="shared" si="95"/>
        <v>#N/A</v>
      </c>
      <c r="K287" s="423" t="e">
        <f t="shared" si="96"/>
        <v>#N/A</v>
      </c>
      <c r="L287" s="423" t="e">
        <f t="shared" si="97"/>
        <v>#N/A</v>
      </c>
      <c r="M287" s="423" t="e">
        <f t="shared" si="97"/>
        <v>#N/A</v>
      </c>
      <c r="N287" s="438" t="e">
        <f t="shared" si="98"/>
        <v>#N/A</v>
      </c>
      <c r="O287" s="438" t="e">
        <f t="shared" si="98"/>
        <v>#N/A</v>
      </c>
      <c r="P287" s="438" t="e">
        <f t="shared" si="98"/>
        <v>#N/A</v>
      </c>
      <c r="Q287" s="447" t="e">
        <f t="shared" si="99"/>
        <v>#N/A</v>
      </c>
      <c r="R287" s="447" t="e">
        <f t="shared" si="100"/>
        <v>#N/A</v>
      </c>
      <c r="S287" s="447" t="e">
        <f t="shared" si="100"/>
        <v>#N/A</v>
      </c>
      <c r="T287" s="438" t="e">
        <f t="shared" si="101"/>
        <v>#N/A</v>
      </c>
      <c r="U287" s="438" t="e">
        <f t="shared" si="101"/>
        <v>#N/A</v>
      </c>
      <c r="V287" s="438" t="e">
        <f t="shared" si="101"/>
        <v>#N/A</v>
      </c>
      <c r="W287" s="447" t="e">
        <f t="shared" si="102"/>
        <v>#N/A</v>
      </c>
      <c r="X287" s="447" t="e">
        <f t="shared" si="103"/>
        <v>#N/A</v>
      </c>
      <c r="Y287" s="447" t="e">
        <f t="shared" si="103"/>
        <v>#N/A</v>
      </c>
      <c r="Z287" s="640"/>
      <c r="AA287" s="640"/>
      <c r="AB287" s="640"/>
      <c r="AC287" s="640"/>
      <c r="AD287" s="640"/>
      <c r="AE287" s="640"/>
      <c r="AF287" s="640"/>
      <c r="AG287" s="640"/>
      <c r="AH287" s="640"/>
      <c r="AI287" s="640"/>
      <c r="AJ287" s="640"/>
      <c r="AK287" s="640"/>
    </row>
    <row r="288" spans="1:37" s="231" customFormat="1" ht="15.75" hidden="1" x14ac:dyDescent="0.25">
      <c r="A288" s="415"/>
      <c r="B288" s="415"/>
      <c r="C288" s="415"/>
      <c r="D288" s="522"/>
      <c r="E288" s="415"/>
      <c r="F288" s="458"/>
      <c r="G288" s="456"/>
      <c r="H288" s="457"/>
      <c r="I288" s="457"/>
      <c r="J288" s="457"/>
      <c r="K288" s="457"/>
      <c r="L288" s="457"/>
      <c r="M288" s="457"/>
      <c r="N288" s="447"/>
      <c r="O288" s="447"/>
      <c r="P288" s="447"/>
      <c r="Q288" s="447"/>
      <c r="R288" s="447"/>
      <c r="S288" s="447"/>
      <c r="T288" s="447"/>
      <c r="U288" s="447"/>
      <c r="V288" s="447"/>
      <c r="W288" s="447"/>
      <c r="X288" s="447"/>
      <c r="Y288" s="447"/>
      <c r="Z288" s="640"/>
      <c r="AA288" s="640"/>
      <c r="AB288" s="640"/>
      <c r="AC288" s="640"/>
      <c r="AD288" s="640"/>
      <c r="AE288" s="640"/>
      <c r="AF288" s="640"/>
      <c r="AG288" s="640"/>
      <c r="AH288" s="640"/>
      <c r="AI288" s="640"/>
      <c r="AJ288" s="640"/>
      <c r="AK288" s="640"/>
    </row>
    <row r="289" spans="1:37" s="231" customFormat="1" ht="15.75" hidden="1" x14ac:dyDescent="0.25">
      <c r="A289" s="415"/>
      <c r="B289" s="415"/>
      <c r="C289" s="415"/>
      <c r="D289" s="522"/>
      <c r="E289" s="417"/>
      <c r="F289" s="446"/>
      <c r="G289" s="446"/>
      <c r="H289" s="415"/>
      <c r="I289" s="415"/>
      <c r="J289" s="415"/>
      <c r="K289" s="415"/>
      <c r="L289" s="415"/>
      <c r="M289" s="415"/>
      <c r="N289" s="447"/>
      <c r="O289" s="447"/>
      <c r="P289" s="447"/>
      <c r="Q289" s="447"/>
      <c r="R289" s="447"/>
      <c r="S289" s="447"/>
      <c r="T289" s="447"/>
      <c r="U289" s="447"/>
      <c r="V289" s="447"/>
      <c r="W289" s="447"/>
      <c r="X289" s="447"/>
      <c r="Y289" s="447"/>
      <c r="Z289" s="640"/>
      <c r="AA289" s="640"/>
      <c r="AB289" s="640"/>
      <c r="AC289" s="640"/>
      <c r="AD289" s="640"/>
      <c r="AE289" s="640"/>
      <c r="AF289" s="640"/>
      <c r="AG289" s="640"/>
      <c r="AH289" s="640"/>
      <c r="AI289" s="640"/>
      <c r="AJ289" s="640"/>
      <c r="AK289" s="640"/>
    </row>
    <row r="290" spans="1:37" s="267" customFormat="1" ht="15.75" hidden="1" x14ac:dyDescent="0.25">
      <c r="A290" s="415"/>
      <c r="B290" s="1187" t="s">
        <v>1565</v>
      </c>
      <c r="C290" s="1190"/>
      <c r="D290" s="459" t="s">
        <v>1569</v>
      </c>
      <c r="E290" s="415"/>
      <c r="F290" s="412"/>
      <c r="G290" s="412"/>
      <c r="H290" s="415"/>
      <c r="I290" s="415"/>
      <c r="J290" s="415"/>
      <c r="K290" s="415"/>
      <c r="L290" s="415"/>
      <c r="M290" s="415"/>
      <c r="N290" s="447"/>
      <c r="O290" s="447"/>
      <c r="P290" s="447"/>
      <c r="Q290" s="447"/>
      <c r="R290" s="447"/>
      <c r="S290" s="447"/>
      <c r="T290" s="447"/>
      <c r="U290" s="447"/>
      <c r="V290" s="447"/>
      <c r="W290" s="447"/>
      <c r="X290" s="447"/>
      <c r="Y290" s="447"/>
      <c r="Z290" s="640"/>
      <c r="AA290" s="640"/>
      <c r="AB290" s="640"/>
      <c r="AC290" s="640"/>
      <c r="AD290" s="640"/>
      <c r="AE290" s="640"/>
      <c r="AF290" s="640"/>
      <c r="AG290" s="640"/>
      <c r="AH290" s="640"/>
      <c r="AI290" s="640"/>
      <c r="AJ290" s="640"/>
      <c r="AK290" s="640"/>
    </row>
    <row r="291" spans="1:37" s="231" customFormat="1" ht="15.75" hidden="1" x14ac:dyDescent="0.25">
      <c r="A291" s="417"/>
      <c r="B291" s="417"/>
      <c r="C291" s="417"/>
      <c r="D291" s="419" t="s">
        <v>412</v>
      </c>
      <c r="E291" s="419" t="s">
        <v>10</v>
      </c>
      <c r="F291" s="419" t="s">
        <v>428</v>
      </c>
      <c r="G291" s="419" t="str">
        <f>G$184</f>
        <v>Cost in 2008 dollars</v>
      </c>
      <c r="H291" s="417" t="s">
        <v>583</v>
      </c>
      <c r="I291" s="417" t="s">
        <v>584</v>
      </c>
      <c r="J291" s="417" t="s">
        <v>585</v>
      </c>
      <c r="K291" s="417" t="s">
        <v>586</v>
      </c>
      <c r="L291" s="417" t="s">
        <v>413</v>
      </c>
      <c r="M291" s="417" t="s">
        <v>414</v>
      </c>
      <c r="N291" s="426" t="s">
        <v>592</v>
      </c>
      <c r="O291" s="426" t="s">
        <v>587</v>
      </c>
      <c r="P291" s="426" t="s">
        <v>588</v>
      </c>
      <c r="Q291" s="426" t="s">
        <v>589</v>
      </c>
      <c r="R291" s="426" t="s">
        <v>590</v>
      </c>
      <c r="S291" s="426" t="s">
        <v>591</v>
      </c>
      <c r="T291" s="426" t="s">
        <v>593</v>
      </c>
      <c r="U291" s="426" t="s">
        <v>594</v>
      </c>
      <c r="V291" s="426" t="s">
        <v>595</v>
      </c>
      <c r="W291" s="426" t="s">
        <v>596</v>
      </c>
      <c r="X291" s="426" t="s">
        <v>597</v>
      </c>
      <c r="Y291" s="426" t="s">
        <v>598</v>
      </c>
      <c r="Z291" s="640"/>
      <c r="AA291" s="640"/>
      <c r="AB291" s="640"/>
      <c r="AC291" s="640"/>
      <c r="AD291" s="640"/>
      <c r="AE291" s="640"/>
      <c r="AF291" s="640"/>
      <c r="AG291" s="640"/>
      <c r="AH291" s="640"/>
      <c r="AI291" s="640"/>
      <c r="AJ291" s="640"/>
      <c r="AK291" s="640"/>
    </row>
    <row r="292" spans="1:37" s="231" customFormat="1" ht="15.75" hidden="1" x14ac:dyDescent="0.25">
      <c r="A292" s="415"/>
      <c r="B292" s="415" t="str">
        <f>'PEM sectors'!A59</f>
        <v>System assembly, testing conditioning</v>
      </c>
      <c r="C292" s="415"/>
      <c r="D292" s="415">
        <f>IF(OR(State="AK", State="HI", State="WY"), 336300, 334419)</f>
        <v>334419</v>
      </c>
      <c r="E292" s="415" t="str">
        <f>IF(OR(State="AK", State="HI", State="WY"), "Motor vehicle parts manufacturing", "Other electronic component manufacturing")</f>
        <v>Other electronic component manufacturing</v>
      </c>
      <c r="F292" s="420">
        <f>'PEM sectors'!E59</f>
        <v>4.6113689095127613E-2</v>
      </c>
      <c r="G292" s="461">
        <f t="shared" ref="G292" si="104">F292</f>
        <v>4.6113689095127613E-2</v>
      </c>
      <c r="H292" s="421" t="e">
        <f>$G292*(INDEX(tier_emp_mult, MATCH($D292, tier_emp_code,0), MATCH(State, R_emp, 0)))/(INDEX(tier_earn_mult, MATCH($D292, tier_earn_code,0), MATCH(State, R_earn, 0)))/1000000</f>
        <v>#N/A</v>
      </c>
      <c r="I292" s="422"/>
      <c r="J292" s="422"/>
      <c r="K292" s="423" t="e">
        <f t="shared" ref="K292" si="105">H292</f>
        <v>#N/A</v>
      </c>
      <c r="L292" s="423"/>
      <c r="M292" s="423" t="e">
        <f>$G292*((INDEX(typeII_emp_mult, MATCH($D292, typeII_emp_code,0), MATCH(State, R_emp, 0)))-(INDEX(typeI_emp_mult, MATCH($D292, typeI_emp_code,0), MATCH(State, R_emp, 0))))/(INDEX(tier_earn_mult, MATCH($D292, tier_earn_code,0), MATCH(State, R_earn, 0)))/1000000</f>
        <v>#N/A</v>
      </c>
      <c r="N292" s="422"/>
      <c r="O292" s="425"/>
      <c r="P292" s="425"/>
      <c r="Q292" s="426"/>
      <c r="R292" s="426"/>
      <c r="S292" s="422" t="e">
        <f>$G292*((INDEX(typeII_earn_mult, MATCH($D292, typeII_earn_code,0), MATCH(State, R_earn, 0)))-(INDEX(typeI_earn_mult, MATCH($D292, typeI_earn_code,0), MATCH(State, R_earn, 0))))/(INDEX(tier_earn_mult, MATCH($D292, tier_earn_code,0), MATCH(State, R_earn, 0)))</f>
        <v>#N/A</v>
      </c>
      <c r="T292" s="426"/>
      <c r="U292" s="422" t="e">
        <f>$G292*INDEX(typeI_out_mult, MATCH($D292, typeI_out_code,0), MATCH(State, R_out, 0))</f>
        <v>#N/A</v>
      </c>
      <c r="V292" s="422" t="e">
        <f>$G292*INDEX(typeII_out_mult, MATCH($D292, typeII_out_code,0), MATCH(State, R_out, 0))</f>
        <v>#N/A</v>
      </c>
      <c r="W292" s="426"/>
      <c r="X292" s="426"/>
      <c r="Y292" s="447" t="e">
        <f>$G292*((INDEX(typeII_out_mult, MATCH($D292, typeII_out_code,0), MATCH(State, R_out, 0)))-(INDEX(typeI_out_mult, MATCH($D292, typeI_out_code,0), MATCH(State, R_out, 0))))/(INDEX(tier_earn_mult, MATCH($D292, tier_earn_code,0), MATCH(State, R_earn, 0)))</f>
        <v>#N/A</v>
      </c>
      <c r="Z292" s="640"/>
      <c r="AA292" s="640"/>
      <c r="AB292" s="640"/>
      <c r="AC292" s="640"/>
      <c r="AD292" s="640"/>
      <c r="AE292" s="640"/>
      <c r="AF292" s="640"/>
      <c r="AG292" s="640"/>
      <c r="AH292" s="640"/>
      <c r="AI292" s="640"/>
      <c r="AJ292" s="640"/>
      <c r="AK292" s="640"/>
    </row>
    <row r="293" spans="1:37" s="231" customFormat="1" ht="15.75" hidden="1" x14ac:dyDescent="0.25">
      <c r="A293" s="415"/>
      <c r="B293" s="415"/>
      <c r="C293" s="415"/>
      <c r="D293" s="412" t="s">
        <v>534</v>
      </c>
      <c r="E293" s="412"/>
      <c r="F293" s="412"/>
      <c r="G293" s="412"/>
      <c r="H293" s="415"/>
      <c r="I293" s="415"/>
      <c r="J293" s="415"/>
      <c r="K293" s="415"/>
      <c r="L293" s="415"/>
      <c r="M293" s="415"/>
      <c r="N293" s="447"/>
      <c r="O293" s="447"/>
      <c r="P293" s="447"/>
      <c r="Q293" s="447"/>
      <c r="R293" s="447"/>
      <c r="S293" s="447"/>
      <c r="T293" s="447"/>
      <c r="U293" s="447"/>
      <c r="V293" s="447"/>
      <c r="W293" s="447"/>
      <c r="X293" s="447"/>
      <c r="Y293" s="447"/>
      <c r="Z293" s="640"/>
      <c r="AA293" s="640"/>
      <c r="AB293" s="640"/>
      <c r="AC293" s="640"/>
      <c r="AD293" s="640"/>
      <c r="AE293" s="640"/>
      <c r="AF293" s="640"/>
      <c r="AG293" s="640"/>
      <c r="AH293" s="640"/>
      <c r="AI293" s="640"/>
      <c r="AJ293" s="640"/>
      <c r="AK293" s="640"/>
    </row>
    <row r="294" spans="1:37" s="231" customFormat="1" ht="15.75" hidden="1" x14ac:dyDescent="0.25">
      <c r="A294" s="415"/>
      <c r="B294" s="415"/>
      <c r="C294" s="415"/>
      <c r="D294" s="522"/>
      <c r="E294" s="415">
        <v>2015</v>
      </c>
      <c r="F294" s="456">
        <f>F$292*TotalProdCosts_2015</f>
        <v>0</v>
      </c>
      <c r="G294" s="456">
        <f t="shared" ref="G294:H299" si="106">G$292*$G582</f>
        <v>0</v>
      </c>
      <c r="H294" s="457" t="e">
        <f t="shared" si="106"/>
        <v>#N/A</v>
      </c>
      <c r="I294" s="457"/>
      <c r="J294" s="457"/>
      <c r="K294" s="423" t="e">
        <f t="shared" ref="K294:K299" si="107">H294</f>
        <v>#N/A</v>
      </c>
      <c r="L294" s="423"/>
      <c r="M294" s="457" t="e">
        <f t="shared" ref="M294:M299" si="108">M$292*$G582</f>
        <v>#N/A</v>
      </c>
      <c r="N294" s="447">
        <f>G294</f>
        <v>0</v>
      </c>
      <c r="O294" s="447"/>
      <c r="P294" s="447"/>
      <c r="Q294" s="447">
        <f>N294</f>
        <v>0</v>
      </c>
      <c r="R294" s="447"/>
      <c r="S294" s="456" t="e">
        <f t="shared" ref="S294:S299" si="109">S$292*$G582</f>
        <v>#N/A</v>
      </c>
      <c r="T294" s="447">
        <f>Q294</f>
        <v>0</v>
      </c>
      <c r="U294" s="447"/>
      <c r="V294" s="447"/>
      <c r="W294" s="447">
        <f>T294</f>
        <v>0</v>
      </c>
      <c r="X294" s="447"/>
      <c r="Y294" s="456" t="e">
        <f t="shared" ref="Y294:Y299" si="110">Y$292*$G582</f>
        <v>#N/A</v>
      </c>
      <c r="Z294" s="640"/>
      <c r="AA294" s="640"/>
      <c r="AB294" s="640"/>
      <c r="AC294" s="640"/>
      <c r="AD294" s="640"/>
      <c r="AE294" s="640"/>
      <c r="AF294" s="640"/>
      <c r="AG294" s="640"/>
      <c r="AH294" s="640"/>
      <c r="AI294" s="640"/>
      <c r="AJ294" s="640"/>
      <c r="AK294" s="640"/>
    </row>
    <row r="295" spans="1:37" s="231" customFormat="1" ht="15.75" hidden="1" x14ac:dyDescent="0.25">
      <c r="A295" s="415"/>
      <c r="B295" s="415"/>
      <c r="C295" s="415"/>
      <c r="D295" s="522"/>
      <c r="E295" s="415">
        <v>2016</v>
      </c>
      <c r="F295" s="456">
        <f>F$292*TotalProdCosts_2016</f>
        <v>0</v>
      </c>
      <c r="G295" s="456">
        <f t="shared" si="106"/>
        <v>0</v>
      </c>
      <c r="H295" s="457" t="e">
        <f t="shared" si="106"/>
        <v>#N/A</v>
      </c>
      <c r="I295" s="457"/>
      <c r="J295" s="457"/>
      <c r="K295" s="423" t="e">
        <f t="shared" si="107"/>
        <v>#N/A</v>
      </c>
      <c r="L295" s="423"/>
      <c r="M295" s="457" t="e">
        <f t="shared" si="108"/>
        <v>#N/A</v>
      </c>
      <c r="N295" s="447">
        <f t="shared" ref="N295:N299" si="111">G295</f>
        <v>0</v>
      </c>
      <c r="O295" s="447"/>
      <c r="P295" s="447"/>
      <c r="Q295" s="447">
        <f t="shared" ref="Q295:Q299" si="112">N295</f>
        <v>0</v>
      </c>
      <c r="R295" s="447"/>
      <c r="S295" s="456" t="e">
        <f t="shared" si="109"/>
        <v>#N/A</v>
      </c>
      <c r="T295" s="447">
        <f t="shared" ref="T295:T299" si="113">Q295</f>
        <v>0</v>
      </c>
      <c r="U295" s="447"/>
      <c r="V295" s="447"/>
      <c r="W295" s="447">
        <f t="shared" ref="W295:W299" si="114">T295</f>
        <v>0</v>
      </c>
      <c r="X295" s="447"/>
      <c r="Y295" s="456" t="e">
        <f t="shared" si="110"/>
        <v>#N/A</v>
      </c>
      <c r="Z295" s="640"/>
      <c r="AA295" s="640"/>
      <c r="AB295" s="640"/>
      <c r="AC295" s="640"/>
      <c r="AD295" s="640"/>
      <c r="AE295" s="640"/>
      <c r="AF295" s="640"/>
      <c r="AG295" s="640"/>
      <c r="AH295" s="640"/>
      <c r="AI295" s="640"/>
      <c r="AJ295" s="640"/>
      <c r="AK295" s="640"/>
    </row>
    <row r="296" spans="1:37" s="231" customFormat="1" ht="15.75" hidden="1" x14ac:dyDescent="0.25">
      <c r="A296" s="415"/>
      <c r="B296" s="415"/>
      <c r="C296" s="415"/>
      <c r="D296" s="522"/>
      <c r="E296" s="415">
        <v>2017</v>
      </c>
      <c r="F296" s="456">
        <f>F$292*TotalProdCosts_2017</f>
        <v>0</v>
      </c>
      <c r="G296" s="456">
        <f t="shared" si="106"/>
        <v>0</v>
      </c>
      <c r="H296" s="457" t="e">
        <f t="shared" si="106"/>
        <v>#N/A</v>
      </c>
      <c r="I296" s="457"/>
      <c r="J296" s="457"/>
      <c r="K296" s="423" t="e">
        <f t="shared" si="107"/>
        <v>#N/A</v>
      </c>
      <c r="L296" s="423"/>
      <c r="M296" s="457" t="e">
        <f t="shared" si="108"/>
        <v>#N/A</v>
      </c>
      <c r="N296" s="447">
        <f t="shared" si="111"/>
        <v>0</v>
      </c>
      <c r="O296" s="447"/>
      <c r="P296" s="447"/>
      <c r="Q296" s="447">
        <f t="shared" si="112"/>
        <v>0</v>
      </c>
      <c r="R296" s="447"/>
      <c r="S296" s="456" t="e">
        <f t="shared" si="109"/>
        <v>#N/A</v>
      </c>
      <c r="T296" s="447">
        <f t="shared" si="113"/>
        <v>0</v>
      </c>
      <c r="U296" s="447"/>
      <c r="V296" s="447"/>
      <c r="W296" s="447">
        <f t="shared" si="114"/>
        <v>0</v>
      </c>
      <c r="X296" s="447"/>
      <c r="Y296" s="456" t="e">
        <f t="shared" si="110"/>
        <v>#N/A</v>
      </c>
      <c r="Z296" s="640"/>
      <c r="AA296" s="640"/>
      <c r="AB296" s="640"/>
      <c r="AC296" s="640"/>
      <c r="AD296" s="640"/>
      <c r="AE296" s="640"/>
      <c r="AF296" s="640"/>
      <c r="AG296" s="640"/>
      <c r="AH296" s="640"/>
      <c r="AI296" s="640"/>
      <c r="AJ296" s="640"/>
      <c r="AK296" s="640"/>
    </row>
    <row r="297" spans="1:37" s="231" customFormat="1" ht="15.75" hidden="1" x14ac:dyDescent="0.25">
      <c r="A297" s="415"/>
      <c r="B297" s="415"/>
      <c r="C297" s="415"/>
      <c r="D297" s="522"/>
      <c r="E297" s="415">
        <v>2018</v>
      </c>
      <c r="F297" s="456">
        <f>F$292*TotalProdCosts_2018</f>
        <v>0</v>
      </c>
      <c r="G297" s="456">
        <f t="shared" si="106"/>
        <v>0</v>
      </c>
      <c r="H297" s="457" t="e">
        <f t="shared" si="106"/>
        <v>#N/A</v>
      </c>
      <c r="I297" s="457"/>
      <c r="J297" s="457"/>
      <c r="K297" s="423" t="e">
        <f t="shared" si="107"/>
        <v>#N/A</v>
      </c>
      <c r="L297" s="423"/>
      <c r="M297" s="457" t="e">
        <f t="shared" si="108"/>
        <v>#N/A</v>
      </c>
      <c r="N297" s="447">
        <f t="shared" si="111"/>
        <v>0</v>
      </c>
      <c r="O297" s="447"/>
      <c r="P297" s="447"/>
      <c r="Q297" s="447">
        <f t="shared" si="112"/>
        <v>0</v>
      </c>
      <c r="R297" s="447"/>
      <c r="S297" s="456" t="e">
        <f t="shared" si="109"/>
        <v>#N/A</v>
      </c>
      <c r="T297" s="447">
        <f t="shared" si="113"/>
        <v>0</v>
      </c>
      <c r="U297" s="447"/>
      <c r="V297" s="447"/>
      <c r="W297" s="447">
        <f t="shared" si="114"/>
        <v>0</v>
      </c>
      <c r="X297" s="447"/>
      <c r="Y297" s="456" t="e">
        <f t="shared" si="110"/>
        <v>#N/A</v>
      </c>
      <c r="Z297" s="640"/>
      <c r="AA297" s="640"/>
      <c r="AB297" s="640"/>
      <c r="AC297" s="640"/>
      <c r="AD297" s="640"/>
      <c r="AE297" s="640"/>
      <c r="AF297" s="640"/>
      <c r="AG297" s="640"/>
      <c r="AH297" s="640"/>
      <c r="AI297" s="640"/>
      <c r="AJ297" s="640"/>
      <c r="AK297" s="640"/>
    </row>
    <row r="298" spans="1:37" s="231" customFormat="1" ht="15.75" hidden="1" x14ac:dyDescent="0.25">
      <c r="A298" s="415"/>
      <c r="B298" s="415"/>
      <c r="C298" s="415"/>
      <c r="D298" s="522"/>
      <c r="E298" s="415">
        <v>2019</v>
      </c>
      <c r="F298" s="456">
        <f>F$292*TotalProdCosts_2019</f>
        <v>0</v>
      </c>
      <c r="G298" s="456">
        <f t="shared" si="106"/>
        <v>0</v>
      </c>
      <c r="H298" s="457" t="e">
        <f t="shared" si="106"/>
        <v>#N/A</v>
      </c>
      <c r="I298" s="457"/>
      <c r="J298" s="457"/>
      <c r="K298" s="423" t="e">
        <f t="shared" si="107"/>
        <v>#N/A</v>
      </c>
      <c r="L298" s="423"/>
      <c r="M298" s="457" t="e">
        <f t="shared" si="108"/>
        <v>#N/A</v>
      </c>
      <c r="N298" s="447">
        <f t="shared" si="111"/>
        <v>0</v>
      </c>
      <c r="O298" s="447"/>
      <c r="P298" s="447"/>
      <c r="Q298" s="447">
        <f t="shared" si="112"/>
        <v>0</v>
      </c>
      <c r="R298" s="447"/>
      <c r="S298" s="456" t="e">
        <f t="shared" si="109"/>
        <v>#N/A</v>
      </c>
      <c r="T298" s="447">
        <f t="shared" si="113"/>
        <v>0</v>
      </c>
      <c r="U298" s="447"/>
      <c r="V298" s="447"/>
      <c r="W298" s="447">
        <f t="shared" si="114"/>
        <v>0</v>
      </c>
      <c r="X298" s="447"/>
      <c r="Y298" s="456" t="e">
        <f t="shared" si="110"/>
        <v>#N/A</v>
      </c>
      <c r="Z298" s="640"/>
      <c r="AA298" s="640"/>
      <c r="AB298" s="640"/>
      <c r="AC298" s="640"/>
      <c r="AD298" s="640"/>
      <c r="AE298" s="640"/>
      <c r="AF298" s="640"/>
      <c r="AG298" s="640"/>
      <c r="AH298" s="640"/>
      <c r="AI298" s="640"/>
      <c r="AJ298" s="640"/>
      <c r="AK298" s="640"/>
    </row>
    <row r="299" spans="1:37" s="231" customFormat="1" ht="15.75" hidden="1" x14ac:dyDescent="0.25">
      <c r="A299" s="415"/>
      <c r="B299" s="415"/>
      <c r="C299" s="415"/>
      <c r="D299" s="522"/>
      <c r="E299" s="415">
        <v>2020</v>
      </c>
      <c r="F299" s="456">
        <f>F$292*TotalProdCosts_2020</f>
        <v>0</v>
      </c>
      <c r="G299" s="456">
        <f t="shared" si="106"/>
        <v>0</v>
      </c>
      <c r="H299" s="457" t="e">
        <f t="shared" si="106"/>
        <v>#N/A</v>
      </c>
      <c r="I299" s="457"/>
      <c r="J299" s="457"/>
      <c r="K299" s="423" t="e">
        <f t="shared" si="107"/>
        <v>#N/A</v>
      </c>
      <c r="L299" s="423"/>
      <c r="M299" s="457" t="e">
        <f t="shared" si="108"/>
        <v>#N/A</v>
      </c>
      <c r="N299" s="447">
        <f t="shared" si="111"/>
        <v>0</v>
      </c>
      <c r="O299" s="447"/>
      <c r="P299" s="447"/>
      <c r="Q299" s="447">
        <f t="shared" si="112"/>
        <v>0</v>
      </c>
      <c r="R299" s="447"/>
      <c r="S299" s="456" t="e">
        <f t="shared" si="109"/>
        <v>#N/A</v>
      </c>
      <c r="T299" s="447">
        <f t="shared" si="113"/>
        <v>0</v>
      </c>
      <c r="U299" s="447"/>
      <c r="V299" s="447"/>
      <c r="W299" s="447">
        <f t="shared" si="114"/>
        <v>0</v>
      </c>
      <c r="X299" s="447"/>
      <c r="Y299" s="456" t="e">
        <f t="shared" si="110"/>
        <v>#N/A</v>
      </c>
      <c r="Z299" s="640"/>
      <c r="AA299" s="640"/>
      <c r="AB299" s="640"/>
      <c r="AC299" s="640"/>
      <c r="AD299" s="640"/>
      <c r="AE299" s="640"/>
      <c r="AF299" s="640"/>
      <c r="AG299" s="640"/>
      <c r="AH299" s="640"/>
      <c r="AI299" s="640"/>
      <c r="AJ299" s="640"/>
      <c r="AK299" s="640"/>
    </row>
    <row r="300" spans="1:37" s="231" customFormat="1" ht="15.75" hidden="1" x14ac:dyDescent="0.25">
      <c r="A300" s="415"/>
      <c r="B300" s="415"/>
      <c r="C300" s="415"/>
      <c r="D300" s="522"/>
      <c r="E300" s="415"/>
      <c r="F300" s="456"/>
      <c r="G300" s="456"/>
      <c r="H300" s="457"/>
      <c r="I300" s="457"/>
      <c r="J300" s="457"/>
      <c r="K300" s="457"/>
      <c r="L300" s="457"/>
      <c r="M300" s="457"/>
      <c r="N300" s="447"/>
      <c r="O300" s="447"/>
      <c r="P300" s="447"/>
      <c r="Q300" s="447"/>
      <c r="R300" s="447"/>
      <c r="S300" s="447"/>
      <c r="T300" s="447"/>
      <c r="U300" s="447"/>
      <c r="V300" s="447"/>
      <c r="W300" s="447"/>
      <c r="X300" s="447"/>
      <c r="Y300" s="447"/>
      <c r="Z300" s="640"/>
      <c r="AA300" s="640"/>
      <c r="AB300" s="640"/>
      <c r="AC300" s="640"/>
      <c r="AD300" s="640"/>
      <c r="AE300" s="640"/>
      <c r="AF300" s="640"/>
      <c r="AG300" s="640"/>
      <c r="AH300" s="640"/>
      <c r="AI300" s="640"/>
      <c r="AJ300" s="640"/>
      <c r="AK300" s="640"/>
    </row>
    <row r="301" spans="1:37" s="231" customFormat="1" ht="15.75" hidden="1" x14ac:dyDescent="0.25">
      <c r="A301" s="415"/>
      <c r="B301" s="1187" t="s">
        <v>1570</v>
      </c>
      <c r="C301" s="1190"/>
      <c r="D301" s="417" t="s">
        <v>1480</v>
      </c>
      <c r="E301" s="415"/>
      <c r="F301" s="415"/>
      <c r="G301" s="415"/>
      <c r="H301" s="415"/>
      <c r="I301" s="415"/>
      <c r="J301" s="415"/>
      <c r="K301" s="415"/>
      <c r="L301" s="415"/>
      <c r="M301" s="415"/>
      <c r="N301" s="447"/>
      <c r="O301" s="447"/>
      <c r="P301" s="447"/>
      <c r="Q301" s="447"/>
      <c r="R301" s="447"/>
      <c r="S301" s="447"/>
      <c r="T301" s="447"/>
      <c r="U301" s="447"/>
      <c r="V301" s="447"/>
      <c r="W301" s="447"/>
      <c r="X301" s="447"/>
      <c r="Y301" s="447"/>
      <c r="Z301" s="640"/>
      <c r="AA301" s="640"/>
      <c r="AB301" s="640"/>
      <c r="AC301" s="640"/>
      <c r="AD301" s="640"/>
      <c r="AE301" s="640"/>
      <c r="AF301" s="640"/>
      <c r="AG301" s="640"/>
      <c r="AH301" s="640"/>
      <c r="AI301" s="640"/>
      <c r="AJ301" s="640"/>
      <c r="AK301" s="640"/>
    </row>
    <row r="302" spans="1:37" s="231" customFormat="1" ht="15.75" hidden="1" x14ac:dyDescent="0.25">
      <c r="A302" s="417"/>
      <c r="B302" s="417"/>
      <c r="C302" s="417"/>
      <c r="D302" s="417" t="s">
        <v>412</v>
      </c>
      <c r="E302" s="417" t="s">
        <v>10</v>
      </c>
      <c r="F302" s="417" t="s">
        <v>428</v>
      </c>
      <c r="G302" s="419" t="str">
        <f>G$184</f>
        <v>Cost in 2008 dollars</v>
      </c>
      <c r="H302" s="417" t="s">
        <v>583</v>
      </c>
      <c r="I302" s="417" t="s">
        <v>584</v>
      </c>
      <c r="J302" s="417" t="s">
        <v>585</v>
      </c>
      <c r="K302" s="417" t="s">
        <v>586</v>
      </c>
      <c r="L302" s="417" t="s">
        <v>413</v>
      </c>
      <c r="M302" s="417" t="s">
        <v>414</v>
      </c>
      <c r="N302" s="426" t="s">
        <v>592</v>
      </c>
      <c r="O302" s="426" t="s">
        <v>587</v>
      </c>
      <c r="P302" s="426" t="s">
        <v>588</v>
      </c>
      <c r="Q302" s="426" t="s">
        <v>589</v>
      </c>
      <c r="R302" s="426" t="s">
        <v>590</v>
      </c>
      <c r="S302" s="426" t="s">
        <v>591</v>
      </c>
      <c r="T302" s="426" t="s">
        <v>593</v>
      </c>
      <c r="U302" s="426" t="s">
        <v>594</v>
      </c>
      <c r="V302" s="426" t="s">
        <v>595</v>
      </c>
      <c r="W302" s="426" t="s">
        <v>596</v>
      </c>
      <c r="X302" s="426" t="s">
        <v>597</v>
      </c>
      <c r="Y302" s="426" t="s">
        <v>598</v>
      </c>
      <c r="Z302" s="640"/>
      <c r="AA302" s="640"/>
      <c r="AB302" s="640"/>
      <c r="AC302" s="640"/>
      <c r="AD302" s="640"/>
      <c r="AE302" s="640"/>
      <c r="AF302" s="640"/>
      <c r="AG302" s="640"/>
      <c r="AH302" s="640"/>
      <c r="AI302" s="640"/>
      <c r="AJ302" s="640"/>
      <c r="AK302" s="640"/>
    </row>
    <row r="303" spans="1:37" s="231" customFormat="1" ht="15.75" hidden="1" x14ac:dyDescent="0.25">
      <c r="A303" s="417"/>
      <c r="B303" s="415" t="str">
        <f>'PEM sectors'!A49</f>
        <v>Capital O&amp;M</v>
      </c>
      <c r="C303" s="415" t="str">
        <f>'PEM sectors'!B49</f>
        <v>Forklift maintenance and battery recharge</v>
      </c>
      <c r="D303" s="415">
        <f>'PEM sectors'!C49</f>
        <v>811300</v>
      </c>
      <c r="E303" s="415" t="str">
        <f>'PEM sectors'!D49</f>
        <v>Commercial and industrial machinery and equipment repair and maintenance</v>
      </c>
      <c r="F303" s="420">
        <f>'PEM sectors'!R49</f>
        <v>7.250580046403712E-5</v>
      </c>
      <c r="G303" s="420">
        <f>F303</f>
        <v>7.250580046403712E-5</v>
      </c>
      <c r="H303" s="421" t="e">
        <f>$G303*INDEX(tier_emp_mult, MATCH($D303, tier_emp_code,0), MATCH(State, R_emp, 0))/1000000</f>
        <v>#N/A</v>
      </c>
      <c r="I303" s="422" t="e">
        <f>$G303*INDEX(typeI_emp_mult, MATCH($D303, typeI_emp_code,0), MATCH(State, R_emp, 0))/1000000</f>
        <v>#N/A</v>
      </c>
      <c r="J303" s="422" t="e">
        <f>$G303*INDEX(typeII_emp_mult, MATCH($D303, typeII_emp_code,0), MATCH(State, R_emp, 0))/1000000</f>
        <v>#N/A</v>
      </c>
      <c r="K303" s="423" t="e">
        <f>H303</f>
        <v>#N/A</v>
      </c>
      <c r="L303" s="423" t="e">
        <f>I303-H303</f>
        <v>#N/A</v>
      </c>
      <c r="M303" s="423" t="e">
        <f>J303-I303</f>
        <v>#N/A</v>
      </c>
      <c r="N303" s="463" t="e">
        <f>$G303*INDEX(tier_earn_mult, MATCH($D303, tier_earn_code,0), MATCH(State, R_earn, 0))</f>
        <v>#N/A</v>
      </c>
      <c r="O303" s="422" t="e">
        <f>$G303*INDEX(typeI_earn_mult, MATCH($D303, typeI_earn_code,0), MATCH(State, R_earn, 0))</f>
        <v>#N/A</v>
      </c>
      <c r="P303" s="422" t="e">
        <f>$G303*INDEX(typeII_earn_mult, MATCH($D303, typeII_earn_code,0), MATCH(State, R_earn, 0))</f>
        <v>#N/A</v>
      </c>
      <c r="Q303" s="447" t="e">
        <f>N303</f>
        <v>#N/A</v>
      </c>
      <c r="R303" s="447" t="e">
        <f>O303-N303</f>
        <v>#N/A</v>
      </c>
      <c r="S303" s="447" t="e">
        <f>P303-O303</f>
        <v>#N/A</v>
      </c>
      <c r="T303" s="422" t="e">
        <f>$G303*INDEX(tier_out_mult, MATCH($D303, tier_out_code,0), MATCH(State, R_out, 0))</f>
        <v>#N/A</v>
      </c>
      <c r="U303" s="422" t="e">
        <f>$G303*INDEX(typeI_out_mult, MATCH($D303, typeI_out_code,0), MATCH(State, R_out, 0))</f>
        <v>#N/A</v>
      </c>
      <c r="V303" s="422" t="e">
        <f>$G303*INDEX(typeII_out_mult, MATCH($D303, typeII_out_code,0), MATCH(State, R_out, 0))</f>
        <v>#N/A</v>
      </c>
      <c r="W303" s="447" t="e">
        <f>T303</f>
        <v>#N/A</v>
      </c>
      <c r="X303" s="447" t="e">
        <f>U303-T303</f>
        <v>#N/A</v>
      </c>
      <c r="Y303" s="447" t="e">
        <f>V303-U303</f>
        <v>#N/A</v>
      </c>
      <c r="Z303" s="640"/>
      <c r="AA303" s="640"/>
      <c r="AB303" s="640"/>
      <c r="AC303" s="640"/>
      <c r="AD303" s="640"/>
      <c r="AE303" s="640"/>
      <c r="AF303" s="640"/>
      <c r="AG303" s="640"/>
      <c r="AH303" s="640"/>
      <c r="AI303" s="640"/>
      <c r="AJ303" s="640"/>
      <c r="AK303" s="640"/>
    </row>
    <row r="304" spans="1:37" s="231" customFormat="1" ht="15.75" hidden="1" x14ac:dyDescent="0.25">
      <c r="A304" s="417"/>
      <c r="B304" s="415" t="str">
        <f>'PEM sectors'!A50</f>
        <v>Capital O&amp;M</v>
      </c>
      <c r="C304" s="415" t="str">
        <f>'PEM sectors'!B50</f>
        <v>Forklift maintenance and battery recharge</v>
      </c>
      <c r="D304" s="415">
        <f>'PEM sectors'!C50</f>
        <v>811300</v>
      </c>
      <c r="E304" s="415" t="str">
        <f>'PEM sectors'!D50</f>
        <v>Commercial and industrial machinery and equipment repair and maintenance</v>
      </c>
      <c r="F304" s="420">
        <f>'PEM sectors'!R50</f>
        <v>7.250580046403712E-5</v>
      </c>
      <c r="G304" s="420">
        <f t="shared" ref="G304:G306" si="115">F304</f>
        <v>7.250580046403712E-5</v>
      </c>
      <c r="H304" s="421" t="e">
        <f>$G304*INDEX(tier_emp_mult, MATCH($D304, tier_emp_code,0), MATCH(State, R_emp, 0))/1000000</f>
        <v>#N/A</v>
      </c>
      <c r="I304" s="422" t="e">
        <f>$G304*INDEX(typeI_emp_mult, MATCH($D304, typeI_emp_code,0), MATCH(State, R_emp, 0))/1000000</f>
        <v>#N/A</v>
      </c>
      <c r="J304" s="422" t="e">
        <f>$G304*INDEX(typeII_emp_mult, MATCH($D304, typeII_emp_code,0), MATCH(State, R_emp, 0))/1000000</f>
        <v>#N/A</v>
      </c>
      <c r="K304" s="423" t="e">
        <f t="shared" ref="K304:K307" si="116">H304</f>
        <v>#N/A</v>
      </c>
      <c r="L304" s="423" t="e">
        <f t="shared" ref="L304:M307" si="117">I304-H304</f>
        <v>#N/A</v>
      </c>
      <c r="M304" s="423" t="e">
        <f t="shared" si="117"/>
        <v>#N/A</v>
      </c>
      <c r="N304" s="422" t="e">
        <f>$G304*INDEX(tier_earn_mult, MATCH($D304, tier_earn_code,0), MATCH(State, R_earn, 0))</f>
        <v>#N/A</v>
      </c>
      <c r="O304" s="422" t="e">
        <f>$G304*INDEX(typeI_earn_mult, MATCH($D304, typeI_earn_code,0), MATCH(State, R_earn, 0))</f>
        <v>#N/A</v>
      </c>
      <c r="P304" s="422" t="e">
        <f>$G304*INDEX(typeII_earn_mult, MATCH($D304, typeII_earn_code,0), MATCH(State, R_earn, 0))</f>
        <v>#N/A</v>
      </c>
      <c r="Q304" s="447" t="e">
        <f t="shared" ref="Q304:Q307" si="118">N304</f>
        <v>#N/A</v>
      </c>
      <c r="R304" s="447" t="e">
        <f t="shared" ref="R304:S307" si="119">O304-N304</f>
        <v>#N/A</v>
      </c>
      <c r="S304" s="447" t="e">
        <f t="shared" si="119"/>
        <v>#N/A</v>
      </c>
      <c r="T304" s="422" t="e">
        <f>$G304*INDEX(tier_out_mult, MATCH($D304, tier_out_code,0), MATCH(State, R_out, 0))</f>
        <v>#N/A</v>
      </c>
      <c r="U304" s="422" t="e">
        <f>$G304*INDEX(typeI_out_mult, MATCH($D304, typeI_out_code,0), MATCH(State, R_out, 0))</f>
        <v>#N/A</v>
      </c>
      <c r="V304" s="422" t="e">
        <f>$G304*INDEX(typeII_out_mult, MATCH($D304, typeII_out_code,0), MATCH(State, R_out, 0))</f>
        <v>#N/A</v>
      </c>
      <c r="W304" s="447" t="e">
        <f t="shared" ref="W304:W307" si="120">T304</f>
        <v>#N/A</v>
      </c>
      <c r="X304" s="447" t="e">
        <f t="shared" ref="X304:Y307" si="121">U304-T304</f>
        <v>#N/A</v>
      </c>
      <c r="Y304" s="447" t="e">
        <f t="shared" si="121"/>
        <v>#N/A</v>
      </c>
      <c r="Z304" s="640"/>
      <c r="AA304" s="640"/>
      <c r="AB304" s="640"/>
      <c r="AC304" s="640"/>
      <c r="AD304" s="640"/>
      <c r="AE304" s="640"/>
      <c r="AF304" s="640"/>
      <c r="AG304" s="640"/>
      <c r="AH304" s="640"/>
      <c r="AI304" s="640"/>
      <c r="AJ304" s="640"/>
      <c r="AK304" s="640"/>
    </row>
    <row r="305" spans="1:25" s="640" customFormat="1" ht="15.75" hidden="1" x14ac:dyDescent="0.25">
      <c r="A305" s="417"/>
      <c r="B305" s="415" t="str">
        <f>'PEM sectors'!A51</f>
        <v>Capital O&amp;M</v>
      </c>
      <c r="C305" s="415" t="str">
        <f>'PEM sectors'!B51</f>
        <v>Crane maintenance</v>
      </c>
      <c r="D305" s="415">
        <f>'PEM sectors'!C51</f>
        <v>811300</v>
      </c>
      <c r="E305" s="415" t="str">
        <f>'PEM sectors'!D51</f>
        <v>Commercial and industrial machinery and equipment repair and maintenance</v>
      </c>
      <c r="F305" s="420">
        <f>'PEM sectors'!R51</f>
        <v>7.1780742459396751E-4</v>
      </c>
      <c r="G305" s="420">
        <f t="shared" si="115"/>
        <v>7.1780742459396751E-4</v>
      </c>
      <c r="H305" s="421" t="e">
        <f>$G305*INDEX(tier_emp_mult, MATCH($D305, tier_emp_code,0), MATCH(State, R_emp, 0))/1000000</f>
        <v>#N/A</v>
      </c>
      <c r="I305" s="422" t="e">
        <f>$G305*INDEX(typeI_emp_mult, MATCH($D305, typeI_emp_code,0), MATCH(State, R_emp, 0))/1000000</f>
        <v>#N/A</v>
      </c>
      <c r="J305" s="422" t="e">
        <f>$G305*INDEX(typeII_emp_mult, MATCH($D305, typeII_emp_code,0), MATCH(State, R_emp, 0))/1000000</f>
        <v>#N/A</v>
      </c>
      <c r="K305" s="423" t="e">
        <f t="shared" si="116"/>
        <v>#N/A</v>
      </c>
      <c r="L305" s="423" t="e">
        <f t="shared" si="117"/>
        <v>#N/A</v>
      </c>
      <c r="M305" s="423" t="e">
        <f t="shared" si="117"/>
        <v>#N/A</v>
      </c>
      <c r="N305" s="422" t="e">
        <f>$G305*INDEX(tier_earn_mult, MATCH($D305, tier_earn_code,0), MATCH(State, R_earn, 0))</f>
        <v>#N/A</v>
      </c>
      <c r="O305" s="422" t="e">
        <f>$G305*INDEX(typeI_earn_mult, MATCH($D305, typeI_earn_code,0), MATCH(State, R_earn, 0))</f>
        <v>#N/A</v>
      </c>
      <c r="P305" s="422" t="e">
        <f>$G305*INDEX(typeII_earn_mult, MATCH($D305, typeII_earn_code,0), MATCH(State, R_earn, 0))</f>
        <v>#N/A</v>
      </c>
      <c r="Q305" s="447" t="e">
        <f t="shared" si="118"/>
        <v>#N/A</v>
      </c>
      <c r="R305" s="447" t="e">
        <f t="shared" si="119"/>
        <v>#N/A</v>
      </c>
      <c r="S305" s="447" t="e">
        <f t="shared" si="119"/>
        <v>#N/A</v>
      </c>
      <c r="T305" s="422" t="e">
        <f>$G305*INDEX(tier_out_mult, MATCH($D305, tier_out_code,0), MATCH(State, R_out, 0))</f>
        <v>#N/A</v>
      </c>
      <c r="U305" s="422" t="e">
        <f>$G305*INDEX(typeI_out_mult, MATCH($D305, typeI_out_code,0), MATCH(State, R_out, 0))</f>
        <v>#N/A</v>
      </c>
      <c r="V305" s="422" t="e">
        <f>$G305*INDEX(typeII_out_mult, MATCH($D305, typeII_out_code,0), MATCH(State, R_out, 0))</f>
        <v>#N/A</v>
      </c>
      <c r="W305" s="447" t="e">
        <f t="shared" si="120"/>
        <v>#N/A</v>
      </c>
      <c r="X305" s="447" t="e">
        <f t="shared" si="121"/>
        <v>#N/A</v>
      </c>
      <c r="Y305" s="447" t="e">
        <f t="shared" si="121"/>
        <v>#N/A</v>
      </c>
    </row>
    <row r="306" spans="1:25" s="640" customFormat="1" ht="15.75" hidden="1" x14ac:dyDescent="0.25">
      <c r="A306" s="417"/>
      <c r="B306" s="415" t="str">
        <f>'PEM sectors'!A52</f>
        <v>Capital O&amp;M</v>
      </c>
      <c r="C306" s="415" t="str">
        <f>'PEM sectors'!B52</f>
        <v>Average line O&amp;M</v>
      </c>
      <c r="D306" s="415">
        <f>'PEM sectors'!C52</f>
        <v>811300</v>
      </c>
      <c r="E306" s="415" t="str">
        <f>'PEM sectors'!D52</f>
        <v>Commercial and industrial machinery and equipment repair and maintenance</v>
      </c>
      <c r="F306" s="420">
        <f>'PEM sectors'!R52</f>
        <v>4.4683512180974473E-2</v>
      </c>
      <c r="G306" s="420">
        <f t="shared" si="115"/>
        <v>4.4683512180974473E-2</v>
      </c>
      <c r="H306" s="421" t="e">
        <f>$G306*INDEX(tier_emp_mult, MATCH($D306, tier_emp_code,0), MATCH(State, R_emp, 0))/1000000</f>
        <v>#N/A</v>
      </c>
      <c r="I306" s="422" t="e">
        <f>$G306*INDEX(typeI_emp_mult, MATCH($D306, typeI_emp_code,0), MATCH(State, R_emp, 0))/1000000</f>
        <v>#N/A</v>
      </c>
      <c r="J306" s="422" t="e">
        <f>$G306*INDEX(typeII_emp_mult, MATCH($D306, typeII_emp_code,0), MATCH(State, R_emp, 0))/1000000</f>
        <v>#N/A</v>
      </c>
      <c r="K306" s="423" t="e">
        <f t="shared" si="116"/>
        <v>#N/A</v>
      </c>
      <c r="L306" s="423" t="e">
        <f t="shared" si="117"/>
        <v>#N/A</v>
      </c>
      <c r="M306" s="423" t="e">
        <f t="shared" si="117"/>
        <v>#N/A</v>
      </c>
      <c r="N306" s="422" t="e">
        <f>$G306*INDEX(tier_earn_mult, MATCH($D306, tier_earn_code,0), MATCH(State, R_earn, 0))</f>
        <v>#N/A</v>
      </c>
      <c r="O306" s="422" t="e">
        <f>$G306*INDEX(typeI_earn_mult, MATCH($D306, typeI_earn_code,0), MATCH(State, R_earn, 0))</f>
        <v>#N/A</v>
      </c>
      <c r="P306" s="422" t="e">
        <f>$G306*INDEX(typeII_earn_mult, MATCH($D306, typeII_earn_code,0), MATCH(State, R_earn, 0))</f>
        <v>#N/A</v>
      </c>
      <c r="Q306" s="447" t="e">
        <f t="shared" si="118"/>
        <v>#N/A</v>
      </c>
      <c r="R306" s="447" t="e">
        <f t="shared" si="119"/>
        <v>#N/A</v>
      </c>
      <c r="S306" s="447" t="e">
        <f t="shared" si="119"/>
        <v>#N/A</v>
      </c>
      <c r="T306" s="422" t="e">
        <f>$G306*INDEX(tier_out_mult, MATCH($D306, tier_out_code,0), MATCH(State, R_out, 0))</f>
        <v>#N/A</v>
      </c>
      <c r="U306" s="422" t="e">
        <f>$G306*INDEX(typeI_out_mult, MATCH($D306, typeI_out_code,0), MATCH(State, R_out, 0))</f>
        <v>#N/A</v>
      </c>
      <c r="V306" s="422" t="e">
        <f>$G306*INDEX(typeII_out_mult, MATCH($D306, typeII_out_code,0), MATCH(State, R_out, 0))</f>
        <v>#N/A</v>
      </c>
      <c r="W306" s="447" t="e">
        <f t="shared" si="120"/>
        <v>#N/A</v>
      </c>
      <c r="X306" s="447" t="e">
        <f t="shared" si="121"/>
        <v>#N/A</v>
      </c>
      <c r="Y306" s="447" t="e">
        <f t="shared" si="121"/>
        <v>#N/A</v>
      </c>
    </row>
    <row r="307" spans="1:25" s="640" customFormat="1" ht="15.75" hidden="1" x14ac:dyDescent="0.25">
      <c r="A307" s="415"/>
      <c r="B307" s="415"/>
      <c r="C307" s="415"/>
      <c r="D307" s="468"/>
      <c r="E307" s="690" t="s">
        <v>448</v>
      </c>
      <c r="F307" s="466">
        <f>SUM(F303:F306)</f>
        <v>4.5546331206496517E-2</v>
      </c>
      <c r="G307" s="466">
        <f>F307</f>
        <v>4.5546331206496517E-2</v>
      </c>
      <c r="H307" s="421" t="e">
        <f>SUM(H303:H306)</f>
        <v>#N/A</v>
      </c>
      <c r="I307" s="421" t="e">
        <f t="shared" ref="I307:J307" si="122">SUM(I303:I306)</f>
        <v>#N/A</v>
      </c>
      <c r="J307" s="421" t="e">
        <f t="shared" si="122"/>
        <v>#N/A</v>
      </c>
      <c r="K307" s="423" t="e">
        <f t="shared" si="116"/>
        <v>#N/A</v>
      </c>
      <c r="L307" s="423" t="e">
        <f t="shared" si="117"/>
        <v>#N/A</v>
      </c>
      <c r="M307" s="423" t="e">
        <f t="shared" si="117"/>
        <v>#N/A</v>
      </c>
      <c r="N307" s="422" t="e">
        <f>SUM(N303:N306)</f>
        <v>#N/A</v>
      </c>
      <c r="O307" s="422" t="e">
        <f t="shared" ref="O307:P307" si="123">SUM(O303:O306)</f>
        <v>#N/A</v>
      </c>
      <c r="P307" s="422" t="e">
        <f t="shared" si="123"/>
        <v>#N/A</v>
      </c>
      <c r="Q307" s="447" t="e">
        <f t="shared" si="118"/>
        <v>#N/A</v>
      </c>
      <c r="R307" s="447" t="e">
        <f t="shared" si="119"/>
        <v>#N/A</v>
      </c>
      <c r="S307" s="447" t="e">
        <f t="shared" si="119"/>
        <v>#N/A</v>
      </c>
      <c r="T307" s="421" t="e">
        <f>SUM(T303:T306)</f>
        <v>#N/A</v>
      </c>
      <c r="U307" s="421" t="e">
        <f t="shared" ref="U307:V307" si="124">SUM(U303:U306)</f>
        <v>#N/A</v>
      </c>
      <c r="V307" s="421" t="e">
        <f t="shared" si="124"/>
        <v>#N/A</v>
      </c>
      <c r="W307" s="447" t="e">
        <f t="shared" si="120"/>
        <v>#N/A</v>
      </c>
      <c r="X307" s="447" t="e">
        <f t="shared" si="121"/>
        <v>#N/A</v>
      </c>
      <c r="Y307" s="447" t="e">
        <f t="shared" si="121"/>
        <v>#N/A</v>
      </c>
    </row>
    <row r="308" spans="1:25" s="640" customFormat="1" ht="15.75" hidden="1" x14ac:dyDescent="0.25">
      <c r="A308" s="415"/>
      <c r="B308" s="415"/>
      <c r="C308" s="415"/>
      <c r="D308" s="417"/>
      <c r="E308" s="417"/>
      <c r="F308" s="415"/>
      <c r="G308" s="415"/>
      <c r="H308" s="415"/>
      <c r="I308" s="415"/>
      <c r="J308" s="415"/>
      <c r="K308" s="415"/>
      <c r="L308" s="415"/>
      <c r="M308" s="415"/>
      <c r="N308" s="447"/>
      <c r="O308" s="447"/>
      <c r="P308" s="447"/>
      <c r="Q308" s="447"/>
      <c r="R308" s="447"/>
      <c r="S308" s="447"/>
      <c r="T308" s="447"/>
      <c r="U308" s="447"/>
      <c r="V308" s="447"/>
      <c r="W308" s="447"/>
      <c r="X308" s="447"/>
      <c r="Y308" s="447"/>
    </row>
    <row r="309" spans="1:25" s="640" customFormat="1" ht="15.75" hidden="1" x14ac:dyDescent="0.25">
      <c r="A309" s="415"/>
      <c r="B309" s="415"/>
      <c r="C309" s="415"/>
      <c r="D309" s="415"/>
      <c r="E309" s="417">
        <f t="shared" ref="E309:E314" si="125">E294</f>
        <v>2015</v>
      </c>
      <c r="F309" s="467">
        <f>F$307*TotalProdCosts_2015</f>
        <v>0</v>
      </c>
      <c r="G309" s="467">
        <f t="shared" ref="G309:J314" si="126">G$307*$G582</f>
        <v>0</v>
      </c>
      <c r="H309" s="463" t="e">
        <f t="shared" si="126"/>
        <v>#N/A</v>
      </c>
      <c r="I309" s="463" t="e">
        <f t="shared" si="126"/>
        <v>#N/A</v>
      </c>
      <c r="J309" s="463" t="e">
        <f t="shared" si="126"/>
        <v>#N/A</v>
      </c>
      <c r="K309" s="423" t="e">
        <f t="shared" ref="K309:K314" si="127">H309</f>
        <v>#N/A</v>
      </c>
      <c r="L309" s="423" t="e">
        <f t="shared" ref="L309:M314" si="128">I309-H309</f>
        <v>#N/A</v>
      </c>
      <c r="M309" s="423" t="e">
        <f t="shared" si="128"/>
        <v>#N/A</v>
      </c>
      <c r="N309" s="447" t="e">
        <f t="shared" ref="N309:P314" si="129">N$307*$G582</f>
        <v>#N/A</v>
      </c>
      <c r="O309" s="447" t="e">
        <f t="shared" si="129"/>
        <v>#N/A</v>
      </c>
      <c r="P309" s="447" t="e">
        <f t="shared" si="129"/>
        <v>#N/A</v>
      </c>
      <c r="Q309" s="447" t="e">
        <f>N309</f>
        <v>#N/A</v>
      </c>
      <c r="R309" s="447" t="e">
        <f>O309-N309</f>
        <v>#N/A</v>
      </c>
      <c r="S309" s="447" t="e">
        <f>P309-O309</f>
        <v>#N/A</v>
      </c>
      <c r="T309" s="447" t="e">
        <f t="shared" ref="T309:V314" si="130">T$307*$G582</f>
        <v>#N/A</v>
      </c>
      <c r="U309" s="447" t="e">
        <f t="shared" si="130"/>
        <v>#N/A</v>
      </c>
      <c r="V309" s="447" t="e">
        <f t="shared" si="130"/>
        <v>#N/A</v>
      </c>
      <c r="W309" s="447" t="e">
        <f>T309</f>
        <v>#N/A</v>
      </c>
      <c r="X309" s="447" t="e">
        <f>U309-T309</f>
        <v>#N/A</v>
      </c>
      <c r="Y309" s="447" t="e">
        <f>V309-U309</f>
        <v>#N/A</v>
      </c>
    </row>
    <row r="310" spans="1:25" s="640" customFormat="1" ht="15.75" hidden="1" x14ac:dyDescent="0.25">
      <c r="A310" s="415"/>
      <c r="B310" s="415"/>
      <c r="C310" s="415"/>
      <c r="D310" s="415"/>
      <c r="E310" s="417">
        <f t="shared" si="125"/>
        <v>2016</v>
      </c>
      <c r="F310" s="467">
        <f>F$307*TotalProdCosts_2016</f>
        <v>0</v>
      </c>
      <c r="G310" s="467">
        <f t="shared" si="126"/>
        <v>0</v>
      </c>
      <c r="H310" s="463" t="e">
        <f t="shared" si="126"/>
        <v>#N/A</v>
      </c>
      <c r="I310" s="463" t="e">
        <f t="shared" si="126"/>
        <v>#N/A</v>
      </c>
      <c r="J310" s="463" t="e">
        <f t="shared" si="126"/>
        <v>#N/A</v>
      </c>
      <c r="K310" s="423" t="e">
        <f t="shared" si="127"/>
        <v>#N/A</v>
      </c>
      <c r="L310" s="423" t="e">
        <f t="shared" si="128"/>
        <v>#N/A</v>
      </c>
      <c r="M310" s="423" t="e">
        <f t="shared" si="128"/>
        <v>#N/A</v>
      </c>
      <c r="N310" s="447" t="e">
        <f t="shared" si="129"/>
        <v>#N/A</v>
      </c>
      <c r="O310" s="447" t="e">
        <f t="shared" si="129"/>
        <v>#N/A</v>
      </c>
      <c r="P310" s="447" t="e">
        <f t="shared" si="129"/>
        <v>#N/A</v>
      </c>
      <c r="Q310" s="447" t="e">
        <f t="shared" ref="Q310:Q314" si="131">N310</f>
        <v>#N/A</v>
      </c>
      <c r="R310" s="447" t="e">
        <f t="shared" ref="R310:S314" si="132">O310-N310</f>
        <v>#N/A</v>
      </c>
      <c r="S310" s="447" t="e">
        <f t="shared" si="132"/>
        <v>#N/A</v>
      </c>
      <c r="T310" s="447" t="e">
        <f t="shared" si="130"/>
        <v>#N/A</v>
      </c>
      <c r="U310" s="447" t="e">
        <f t="shared" si="130"/>
        <v>#N/A</v>
      </c>
      <c r="V310" s="447" t="e">
        <f t="shared" si="130"/>
        <v>#N/A</v>
      </c>
      <c r="W310" s="447" t="e">
        <f t="shared" ref="W310:W314" si="133">T310</f>
        <v>#N/A</v>
      </c>
      <c r="X310" s="447" t="e">
        <f t="shared" ref="X310:Y314" si="134">U310-T310</f>
        <v>#N/A</v>
      </c>
      <c r="Y310" s="447" t="e">
        <f t="shared" si="134"/>
        <v>#N/A</v>
      </c>
    </row>
    <row r="311" spans="1:25" s="640" customFormat="1" ht="15.75" hidden="1" x14ac:dyDescent="0.25">
      <c r="A311" s="415"/>
      <c r="B311" s="415"/>
      <c r="C311" s="415"/>
      <c r="D311" s="415"/>
      <c r="E311" s="417">
        <f t="shared" si="125"/>
        <v>2017</v>
      </c>
      <c r="F311" s="467">
        <f>F$307*TotalProdCosts_2017</f>
        <v>0</v>
      </c>
      <c r="G311" s="467">
        <f t="shared" si="126"/>
        <v>0</v>
      </c>
      <c r="H311" s="463" t="e">
        <f t="shared" si="126"/>
        <v>#N/A</v>
      </c>
      <c r="I311" s="463" t="e">
        <f t="shared" si="126"/>
        <v>#N/A</v>
      </c>
      <c r="J311" s="463" t="e">
        <f t="shared" si="126"/>
        <v>#N/A</v>
      </c>
      <c r="K311" s="423" t="e">
        <f t="shared" si="127"/>
        <v>#N/A</v>
      </c>
      <c r="L311" s="423" t="e">
        <f t="shared" si="128"/>
        <v>#N/A</v>
      </c>
      <c r="M311" s="423" t="e">
        <f t="shared" si="128"/>
        <v>#N/A</v>
      </c>
      <c r="N311" s="447" t="e">
        <f t="shared" si="129"/>
        <v>#N/A</v>
      </c>
      <c r="O311" s="447" t="e">
        <f t="shared" si="129"/>
        <v>#N/A</v>
      </c>
      <c r="P311" s="447" t="e">
        <f t="shared" si="129"/>
        <v>#N/A</v>
      </c>
      <c r="Q311" s="447" t="e">
        <f t="shared" si="131"/>
        <v>#N/A</v>
      </c>
      <c r="R311" s="447" t="e">
        <f t="shared" si="132"/>
        <v>#N/A</v>
      </c>
      <c r="S311" s="447" t="e">
        <f t="shared" si="132"/>
        <v>#N/A</v>
      </c>
      <c r="T311" s="447" t="e">
        <f t="shared" si="130"/>
        <v>#N/A</v>
      </c>
      <c r="U311" s="447" t="e">
        <f t="shared" si="130"/>
        <v>#N/A</v>
      </c>
      <c r="V311" s="447" t="e">
        <f t="shared" si="130"/>
        <v>#N/A</v>
      </c>
      <c r="W311" s="447" t="e">
        <f t="shared" si="133"/>
        <v>#N/A</v>
      </c>
      <c r="X311" s="447" t="e">
        <f t="shared" si="134"/>
        <v>#N/A</v>
      </c>
      <c r="Y311" s="447" t="e">
        <f t="shared" si="134"/>
        <v>#N/A</v>
      </c>
    </row>
    <row r="312" spans="1:25" s="640" customFormat="1" ht="15.75" hidden="1" x14ac:dyDescent="0.25">
      <c r="A312" s="415"/>
      <c r="B312" s="415"/>
      <c r="C312" s="415"/>
      <c r="D312" s="415"/>
      <c r="E312" s="417">
        <f t="shared" si="125"/>
        <v>2018</v>
      </c>
      <c r="F312" s="467">
        <f>F$307*TotalProdCosts_2018</f>
        <v>0</v>
      </c>
      <c r="G312" s="467">
        <f t="shared" si="126"/>
        <v>0</v>
      </c>
      <c r="H312" s="463" t="e">
        <f t="shared" si="126"/>
        <v>#N/A</v>
      </c>
      <c r="I312" s="463" t="e">
        <f t="shared" si="126"/>
        <v>#N/A</v>
      </c>
      <c r="J312" s="463" t="e">
        <f t="shared" si="126"/>
        <v>#N/A</v>
      </c>
      <c r="K312" s="423" t="e">
        <f t="shared" si="127"/>
        <v>#N/A</v>
      </c>
      <c r="L312" s="423" t="e">
        <f t="shared" si="128"/>
        <v>#N/A</v>
      </c>
      <c r="M312" s="423" t="e">
        <f t="shared" si="128"/>
        <v>#N/A</v>
      </c>
      <c r="N312" s="447" t="e">
        <f t="shared" si="129"/>
        <v>#N/A</v>
      </c>
      <c r="O312" s="447" t="e">
        <f t="shared" si="129"/>
        <v>#N/A</v>
      </c>
      <c r="P312" s="447" t="e">
        <f t="shared" si="129"/>
        <v>#N/A</v>
      </c>
      <c r="Q312" s="447" t="e">
        <f t="shared" si="131"/>
        <v>#N/A</v>
      </c>
      <c r="R312" s="447" t="e">
        <f t="shared" si="132"/>
        <v>#N/A</v>
      </c>
      <c r="S312" s="447" t="e">
        <f t="shared" si="132"/>
        <v>#N/A</v>
      </c>
      <c r="T312" s="447" t="e">
        <f t="shared" si="130"/>
        <v>#N/A</v>
      </c>
      <c r="U312" s="447" t="e">
        <f t="shared" si="130"/>
        <v>#N/A</v>
      </c>
      <c r="V312" s="447" t="e">
        <f t="shared" si="130"/>
        <v>#N/A</v>
      </c>
      <c r="W312" s="447" t="e">
        <f t="shared" si="133"/>
        <v>#N/A</v>
      </c>
      <c r="X312" s="447" t="e">
        <f t="shared" si="134"/>
        <v>#N/A</v>
      </c>
      <c r="Y312" s="447" t="e">
        <f t="shared" si="134"/>
        <v>#N/A</v>
      </c>
    </row>
    <row r="313" spans="1:25" s="640" customFormat="1" ht="15.75" hidden="1" x14ac:dyDescent="0.25">
      <c r="A313" s="415"/>
      <c r="B313" s="415"/>
      <c r="C313" s="415"/>
      <c r="D313" s="415"/>
      <c r="E313" s="417">
        <f t="shared" si="125"/>
        <v>2019</v>
      </c>
      <c r="F313" s="467">
        <f>F$307*TotalProdCosts_2019</f>
        <v>0</v>
      </c>
      <c r="G313" s="467">
        <f t="shared" si="126"/>
        <v>0</v>
      </c>
      <c r="H313" s="463" t="e">
        <f t="shared" si="126"/>
        <v>#N/A</v>
      </c>
      <c r="I313" s="463" t="e">
        <f t="shared" si="126"/>
        <v>#N/A</v>
      </c>
      <c r="J313" s="463" t="e">
        <f t="shared" si="126"/>
        <v>#N/A</v>
      </c>
      <c r="K313" s="423" t="e">
        <f t="shared" si="127"/>
        <v>#N/A</v>
      </c>
      <c r="L313" s="423" t="e">
        <f t="shared" si="128"/>
        <v>#N/A</v>
      </c>
      <c r="M313" s="423" t="e">
        <f t="shared" si="128"/>
        <v>#N/A</v>
      </c>
      <c r="N313" s="447" t="e">
        <f t="shared" si="129"/>
        <v>#N/A</v>
      </c>
      <c r="O313" s="447" t="e">
        <f t="shared" si="129"/>
        <v>#N/A</v>
      </c>
      <c r="P313" s="447" t="e">
        <f t="shared" si="129"/>
        <v>#N/A</v>
      </c>
      <c r="Q313" s="447" t="e">
        <f t="shared" si="131"/>
        <v>#N/A</v>
      </c>
      <c r="R313" s="447" t="e">
        <f t="shared" si="132"/>
        <v>#N/A</v>
      </c>
      <c r="S313" s="447" t="e">
        <f t="shared" si="132"/>
        <v>#N/A</v>
      </c>
      <c r="T313" s="447" t="e">
        <f t="shared" si="130"/>
        <v>#N/A</v>
      </c>
      <c r="U313" s="447" t="e">
        <f t="shared" si="130"/>
        <v>#N/A</v>
      </c>
      <c r="V313" s="447" t="e">
        <f t="shared" si="130"/>
        <v>#N/A</v>
      </c>
      <c r="W313" s="447" t="e">
        <f t="shared" si="133"/>
        <v>#N/A</v>
      </c>
      <c r="X313" s="447" t="e">
        <f t="shared" si="134"/>
        <v>#N/A</v>
      </c>
      <c r="Y313" s="447" t="e">
        <f t="shared" si="134"/>
        <v>#N/A</v>
      </c>
    </row>
    <row r="314" spans="1:25" s="640" customFormat="1" ht="15.75" hidden="1" x14ac:dyDescent="0.25">
      <c r="A314" s="415"/>
      <c r="B314" s="415"/>
      <c r="C314" s="415"/>
      <c r="D314" s="415"/>
      <c r="E314" s="417">
        <f t="shared" si="125"/>
        <v>2020</v>
      </c>
      <c r="F314" s="467">
        <f>F$307*TotalProdCosts_2020</f>
        <v>0</v>
      </c>
      <c r="G314" s="467">
        <f t="shared" si="126"/>
        <v>0</v>
      </c>
      <c r="H314" s="463" t="e">
        <f t="shared" si="126"/>
        <v>#N/A</v>
      </c>
      <c r="I314" s="463" t="e">
        <f t="shared" si="126"/>
        <v>#N/A</v>
      </c>
      <c r="J314" s="463" t="e">
        <f t="shared" si="126"/>
        <v>#N/A</v>
      </c>
      <c r="K314" s="423" t="e">
        <f t="shared" si="127"/>
        <v>#N/A</v>
      </c>
      <c r="L314" s="423" t="e">
        <f t="shared" si="128"/>
        <v>#N/A</v>
      </c>
      <c r="M314" s="423" t="e">
        <f t="shared" si="128"/>
        <v>#N/A</v>
      </c>
      <c r="N314" s="447" t="e">
        <f t="shared" si="129"/>
        <v>#N/A</v>
      </c>
      <c r="O314" s="447" t="e">
        <f t="shared" si="129"/>
        <v>#N/A</v>
      </c>
      <c r="P314" s="447" t="e">
        <f t="shared" si="129"/>
        <v>#N/A</v>
      </c>
      <c r="Q314" s="447" t="e">
        <f t="shared" si="131"/>
        <v>#N/A</v>
      </c>
      <c r="R314" s="447" t="e">
        <f t="shared" si="132"/>
        <v>#N/A</v>
      </c>
      <c r="S314" s="447" t="e">
        <f t="shared" si="132"/>
        <v>#N/A</v>
      </c>
      <c r="T314" s="447" t="e">
        <f t="shared" si="130"/>
        <v>#N/A</v>
      </c>
      <c r="U314" s="447" t="e">
        <f t="shared" si="130"/>
        <v>#N/A</v>
      </c>
      <c r="V314" s="447" t="e">
        <f t="shared" si="130"/>
        <v>#N/A</v>
      </c>
      <c r="W314" s="447" t="e">
        <f t="shared" si="133"/>
        <v>#N/A</v>
      </c>
      <c r="X314" s="447" t="e">
        <f t="shared" si="134"/>
        <v>#N/A</v>
      </c>
      <c r="Y314" s="447" t="e">
        <f t="shared" si="134"/>
        <v>#N/A</v>
      </c>
    </row>
    <row r="315" spans="1:25" s="640" customFormat="1" ht="15.75" hidden="1" x14ac:dyDescent="0.25">
      <c r="A315" s="415"/>
      <c r="B315" s="415"/>
      <c r="C315" s="415"/>
      <c r="D315" s="415"/>
      <c r="E315" s="417"/>
      <c r="F315" s="415"/>
      <c r="G315" s="415"/>
      <c r="H315" s="415"/>
      <c r="I315" s="415"/>
      <c r="J315" s="415"/>
      <c r="K315" s="415"/>
      <c r="L315" s="415"/>
      <c r="M315" s="415"/>
      <c r="N315" s="447"/>
      <c r="O315" s="447"/>
      <c r="P315" s="447"/>
      <c r="Q315" s="447"/>
      <c r="R315" s="447"/>
      <c r="S315" s="447"/>
      <c r="T315" s="447"/>
      <c r="U315" s="447"/>
      <c r="V315" s="447"/>
      <c r="W315" s="447"/>
      <c r="X315" s="447"/>
      <c r="Y315" s="447"/>
    </row>
    <row r="316" spans="1:25" s="640" customFormat="1" ht="15.75" hidden="1" x14ac:dyDescent="0.25">
      <c r="A316" s="415"/>
      <c r="B316" s="415"/>
      <c r="C316" s="415"/>
      <c r="D316" s="415"/>
      <c r="E316" s="415"/>
      <c r="F316" s="415"/>
      <c r="G316" s="415"/>
      <c r="H316" s="415"/>
      <c r="I316" s="415"/>
      <c r="J316" s="415"/>
      <c r="K316" s="415"/>
      <c r="L316" s="415"/>
      <c r="M316" s="415"/>
      <c r="N316" s="447"/>
      <c r="O316" s="447"/>
      <c r="P316" s="447"/>
      <c r="Q316" s="447"/>
      <c r="R316" s="447"/>
      <c r="S316" s="447"/>
      <c r="T316" s="447"/>
      <c r="U316" s="447"/>
      <c r="V316" s="447"/>
      <c r="W316" s="447"/>
      <c r="X316" s="447"/>
      <c r="Y316" s="447"/>
    </row>
    <row r="317" spans="1:25" s="640" customFormat="1" ht="15.75" hidden="1" x14ac:dyDescent="0.25">
      <c r="A317" s="415"/>
      <c r="B317" s="1189" t="s">
        <v>1519</v>
      </c>
      <c r="C317" s="1190"/>
      <c r="D317" s="417" t="s">
        <v>1481</v>
      </c>
      <c r="E317" s="415"/>
      <c r="F317" s="415"/>
      <c r="G317" s="415"/>
      <c r="H317" s="415"/>
      <c r="I317" s="415"/>
      <c r="J317" s="415"/>
      <c r="K317" s="415"/>
      <c r="L317" s="415"/>
      <c r="M317" s="415"/>
      <c r="N317" s="447"/>
      <c r="O317" s="447"/>
      <c r="P317" s="447"/>
      <c r="Q317" s="447"/>
      <c r="R317" s="447"/>
      <c r="S317" s="447"/>
      <c r="T317" s="447"/>
      <c r="U317" s="447"/>
      <c r="V317" s="447"/>
      <c r="W317" s="447"/>
      <c r="X317" s="447"/>
      <c r="Y317" s="447"/>
    </row>
    <row r="318" spans="1:25" s="640" customFormat="1" ht="15.75" hidden="1" x14ac:dyDescent="0.25">
      <c r="A318" s="417"/>
      <c r="B318" s="417"/>
      <c r="C318" s="417"/>
      <c r="D318" s="417" t="s">
        <v>412</v>
      </c>
      <c r="E318" s="417" t="s">
        <v>10</v>
      </c>
      <c r="F318" s="417" t="s">
        <v>428</v>
      </c>
      <c r="G318" s="419" t="str">
        <f>G$184</f>
        <v>Cost in 2008 dollars</v>
      </c>
      <c r="H318" s="417" t="s">
        <v>583</v>
      </c>
      <c r="I318" s="417" t="s">
        <v>584</v>
      </c>
      <c r="J318" s="417" t="s">
        <v>585</v>
      </c>
      <c r="K318" s="417" t="s">
        <v>586</v>
      </c>
      <c r="L318" s="417" t="s">
        <v>413</v>
      </c>
      <c r="M318" s="417" t="s">
        <v>414</v>
      </c>
      <c r="N318" s="426" t="s">
        <v>592</v>
      </c>
      <c r="O318" s="426" t="s">
        <v>587</v>
      </c>
      <c r="P318" s="426" t="s">
        <v>588</v>
      </c>
      <c r="Q318" s="426" t="s">
        <v>589</v>
      </c>
      <c r="R318" s="426" t="s">
        <v>590</v>
      </c>
      <c r="S318" s="426" t="s">
        <v>591</v>
      </c>
      <c r="T318" s="426" t="s">
        <v>593</v>
      </c>
      <c r="U318" s="426" t="s">
        <v>594</v>
      </c>
      <c r="V318" s="426" t="s">
        <v>595</v>
      </c>
      <c r="W318" s="426" t="s">
        <v>596</v>
      </c>
      <c r="X318" s="426" t="s">
        <v>597</v>
      </c>
      <c r="Y318" s="426" t="s">
        <v>598</v>
      </c>
    </row>
    <row r="319" spans="1:25" s="640" customFormat="1" ht="15.75" hidden="1" x14ac:dyDescent="0.25">
      <c r="A319" s="415"/>
      <c r="B319" s="415" t="str">
        <f>'PEM sectors'!A53</f>
        <v>Capital O&amp;M</v>
      </c>
      <c r="C319" s="415" t="str">
        <f>'PEM sectors'!B53</f>
        <v>Insurance &amp; property tax</v>
      </c>
      <c r="D319" s="468">
        <f>'PEM sectors'!C53</f>
        <v>524100</v>
      </c>
      <c r="E319" s="415" t="str">
        <f>'PEM sectors'!D53</f>
        <v>Insurance carriers</v>
      </c>
      <c r="F319" s="466">
        <f>'PEM sectors'!R53</f>
        <v>1.7953607888631092E-2</v>
      </c>
      <c r="G319" s="466">
        <f t="shared" ref="G319:G320" si="135">F319</f>
        <v>1.7953607888631092E-2</v>
      </c>
      <c r="H319" s="421" t="e">
        <f>$G319*INDEX(tier_emp_mult, MATCH($D319, tier_emp_code,0), MATCH(State, R_emp, 0))/1000000</f>
        <v>#N/A</v>
      </c>
      <c r="I319" s="422" t="e">
        <f>$G319*INDEX(typeI_emp_mult, MATCH($D319, typeI_emp_code,0), MATCH(State, R_emp, 0))/1000000</f>
        <v>#N/A</v>
      </c>
      <c r="J319" s="422" t="e">
        <f>$G319*INDEX(typeII_emp_mult, MATCH($D319, typeII_emp_code,0), MATCH(State, R_emp, 0))/1000000</f>
        <v>#N/A</v>
      </c>
      <c r="K319" s="423" t="e">
        <f t="shared" ref="K319:K321" si="136">H319</f>
        <v>#N/A</v>
      </c>
      <c r="L319" s="423" t="e">
        <f t="shared" ref="L319:M321" si="137">I319-H319</f>
        <v>#N/A</v>
      </c>
      <c r="M319" s="423" t="e">
        <f t="shared" si="137"/>
        <v>#N/A</v>
      </c>
      <c r="N319" s="422" t="e">
        <f>$G319*INDEX(tier_earn_mult, MATCH($D319, tier_earn_code,0), MATCH(State, R_earn, 0))</f>
        <v>#N/A</v>
      </c>
      <c r="O319" s="422" t="e">
        <f>$G319*INDEX(typeI_earn_mult, MATCH($D319, typeI_earn_code,0), MATCH(State, R_earn, 0))</f>
        <v>#N/A</v>
      </c>
      <c r="P319" s="422" t="e">
        <f>$G319*INDEX(typeII_earn_mult, MATCH($D319, typeII_earn_code,0), MATCH(State, R_earn, 0))</f>
        <v>#N/A</v>
      </c>
      <c r="Q319" s="447" t="e">
        <f t="shared" ref="Q319:Q320" si="138">N319</f>
        <v>#N/A</v>
      </c>
      <c r="R319" s="447" t="e">
        <f t="shared" ref="R319:S320" si="139">O319-N319</f>
        <v>#N/A</v>
      </c>
      <c r="S319" s="447" t="e">
        <f t="shared" si="139"/>
        <v>#N/A</v>
      </c>
      <c r="T319" s="422" t="e">
        <f>$G319*INDEX(tier_out_mult, MATCH($D319, tier_out_code,0), MATCH(State, R_out, 0))</f>
        <v>#N/A</v>
      </c>
      <c r="U319" s="422" t="e">
        <f>$G319*INDEX(typeI_out_mult, MATCH($D319, typeI_out_code,0), MATCH(State, R_out, 0))</f>
        <v>#N/A</v>
      </c>
      <c r="V319" s="422" t="e">
        <f>$G319*INDEX(typeII_out_mult, MATCH($D319, typeII_out_code,0), MATCH(State, R_out, 0))</f>
        <v>#N/A</v>
      </c>
      <c r="W319" s="447" t="e">
        <f t="shared" ref="W319:W320" si="140">T319</f>
        <v>#N/A</v>
      </c>
      <c r="X319" s="447" t="e">
        <f t="shared" ref="X319:Y320" si="141">U319-T319</f>
        <v>#N/A</v>
      </c>
      <c r="Y319" s="447" t="e">
        <f t="shared" si="141"/>
        <v>#N/A</v>
      </c>
    </row>
    <row r="320" spans="1:25" s="640" customFormat="1" ht="15.75" hidden="1" x14ac:dyDescent="0.25">
      <c r="A320" s="415"/>
      <c r="B320" s="415" t="str">
        <f>'PEM sectors'!A55</f>
        <v>Capital (amt)</v>
      </c>
      <c r="C320" s="415" t="str">
        <f>'PEM sectors'!B55</f>
        <v>Amortized capital</v>
      </c>
      <c r="D320" s="468" t="str">
        <f>'PEM sectors'!C55</f>
        <v>52A000</v>
      </c>
      <c r="E320" s="415" t="str">
        <f>'PEM sectors'!D55</f>
        <v>Monetary authorities and depository credit intermediation</v>
      </c>
      <c r="F320" s="466">
        <f>'PEM sectors'!R55</f>
        <v>1.4806325406032484E-2</v>
      </c>
      <c r="G320" s="466">
        <f t="shared" si="135"/>
        <v>1.4806325406032484E-2</v>
      </c>
      <c r="H320" s="421" t="e">
        <f>$G320*INDEX(tier_emp_mult, MATCH($D320, tier_emp_code,0), MATCH(State, R_emp, 0))/1000000</f>
        <v>#N/A</v>
      </c>
      <c r="I320" s="422" t="e">
        <f>$G320*INDEX(typeI_emp_mult, MATCH($D320, typeI_emp_code,0), MATCH(State, R_emp, 0))/1000000</f>
        <v>#N/A</v>
      </c>
      <c r="J320" s="422" t="e">
        <f>$G320*INDEX(typeII_emp_mult, MATCH($D320, typeII_emp_code,0), MATCH(State, R_emp, 0))/1000000</f>
        <v>#N/A</v>
      </c>
      <c r="K320" s="423" t="e">
        <f t="shared" si="136"/>
        <v>#N/A</v>
      </c>
      <c r="L320" s="423" t="e">
        <f t="shared" si="137"/>
        <v>#N/A</v>
      </c>
      <c r="M320" s="423" t="e">
        <f t="shared" si="137"/>
        <v>#N/A</v>
      </c>
      <c r="N320" s="422" t="e">
        <f>$G320*INDEX(tier_earn_mult, MATCH($D320, tier_earn_code,0), MATCH(State, R_earn, 0))</f>
        <v>#N/A</v>
      </c>
      <c r="O320" s="422" t="e">
        <f>$G320*INDEX(typeI_earn_mult, MATCH($D320, typeI_earn_code,0), MATCH(State, R_earn, 0))</f>
        <v>#N/A</v>
      </c>
      <c r="P320" s="422" t="e">
        <f>$G320*INDEX(typeII_earn_mult, MATCH($D320, typeII_earn_code,0), MATCH(State, R_earn, 0))</f>
        <v>#N/A</v>
      </c>
      <c r="Q320" s="447" t="e">
        <f t="shared" si="138"/>
        <v>#N/A</v>
      </c>
      <c r="R320" s="447" t="e">
        <f t="shared" si="139"/>
        <v>#N/A</v>
      </c>
      <c r="S320" s="447" t="e">
        <f t="shared" si="139"/>
        <v>#N/A</v>
      </c>
      <c r="T320" s="422" t="e">
        <f>$G320*INDEX(tier_out_mult, MATCH($D320, tier_out_code,0), MATCH(State, R_out, 0))</f>
        <v>#N/A</v>
      </c>
      <c r="U320" s="422" t="e">
        <f>$G320*INDEX(typeI_out_mult, MATCH($D320, typeI_out_code,0), MATCH(State, R_out, 0))</f>
        <v>#N/A</v>
      </c>
      <c r="V320" s="422" t="e">
        <f>$G320*INDEX(typeII_out_mult, MATCH($D320, typeII_out_code,0), MATCH(State, R_out, 0))</f>
        <v>#N/A</v>
      </c>
      <c r="W320" s="447" t="e">
        <f t="shared" si="140"/>
        <v>#N/A</v>
      </c>
      <c r="X320" s="447" t="e">
        <f t="shared" si="141"/>
        <v>#N/A</v>
      </c>
      <c r="Y320" s="447" t="e">
        <f t="shared" si="141"/>
        <v>#N/A</v>
      </c>
    </row>
    <row r="321" spans="1:25" s="640" customFormat="1" ht="15.75" hidden="1" x14ac:dyDescent="0.25">
      <c r="A321" s="415"/>
      <c r="B321" s="415"/>
      <c r="C321" s="415"/>
      <c r="D321" s="415"/>
      <c r="E321" s="417" t="s">
        <v>448</v>
      </c>
      <c r="F321" s="466">
        <f>SUM(F319:F320)</f>
        <v>3.2759933294663576E-2</v>
      </c>
      <c r="G321" s="466">
        <f>SUM(G319:G320)</f>
        <v>3.2759933294663576E-2</v>
      </c>
      <c r="H321" s="422" t="e">
        <f>SUM(H319:H320)</f>
        <v>#N/A</v>
      </c>
      <c r="I321" s="422" t="e">
        <f>SUM(I319:I320)</f>
        <v>#N/A</v>
      </c>
      <c r="J321" s="422" t="e">
        <f>SUM(J319:J320)</f>
        <v>#N/A</v>
      </c>
      <c r="K321" s="423" t="e">
        <f t="shared" si="136"/>
        <v>#N/A</v>
      </c>
      <c r="L321" s="423" t="e">
        <f t="shared" si="137"/>
        <v>#N/A</v>
      </c>
      <c r="M321" s="423" t="e">
        <f t="shared" si="137"/>
        <v>#N/A</v>
      </c>
      <c r="N321" s="422" t="e">
        <f t="shared" ref="N321:Y321" si="142">SUM(N319:N320)</f>
        <v>#N/A</v>
      </c>
      <c r="O321" s="422" t="e">
        <f t="shared" si="142"/>
        <v>#N/A</v>
      </c>
      <c r="P321" s="422" t="e">
        <f t="shared" si="142"/>
        <v>#N/A</v>
      </c>
      <c r="Q321" s="447" t="e">
        <f t="shared" si="142"/>
        <v>#N/A</v>
      </c>
      <c r="R321" s="447" t="e">
        <f t="shared" si="142"/>
        <v>#N/A</v>
      </c>
      <c r="S321" s="447" t="e">
        <f t="shared" si="142"/>
        <v>#N/A</v>
      </c>
      <c r="T321" s="422" t="e">
        <f t="shared" si="142"/>
        <v>#N/A</v>
      </c>
      <c r="U321" s="422" t="e">
        <f t="shared" si="142"/>
        <v>#N/A</v>
      </c>
      <c r="V321" s="422" t="e">
        <f t="shared" si="142"/>
        <v>#N/A</v>
      </c>
      <c r="W321" s="447" t="e">
        <f t="shared" si="142"/>
        <v>#N/A</v>
      </c>
      <c r="X321" s="447" t="e">
        <f t="shared" si="142"/>
        <v>#N/A</v>
      </c>
      <c r="Y321" s="447" t="e">
        <f t="shared" si="142"/>
        <v>#N/A</v>
      </c>
    </row>
    <row r="322" spans="1:25" s="640" customFormat="1" ht="15.75" hidden="1" x14ac:dyDescent="0.25">
      <c r="A322" s="415"/>
      <c r="B322" s="415"/>
      <c r="C322" s="415"/>
      <c r="D322" s="417"/>
      <c r="E322" s="417"/>
      <c r="F322" s="415"/>
      <c r="G322" s="415"/>
      <c r="H322" s="415"/>
      <c r="I322" s="415"/>
      <c r="J322" s="415"/>
      <c r="K322" s="415"/>
      <c r="L322" s="415"/>
      <c r="M322" s="415"/>
      <c r="N322" s="447"/>
      <c r="O322" s="447"/>
      <c r="P322" s="447"/>
      <c r="Q322" s="447"/>
      <c r="R322" s="447"/>
      <c r="S322" s="447"/>
      <c r="T322" s="447"/>
      <c r="U322" s="447"/>
      <c r="V322" s="447"/>
      <c r="W322" s="447"/>
      <c r="X322" s="447"/>
      <c r="Y322" s="447"/>
    </row>
    <row r="323" spans="1:25" s="640" customFormat="1" ht="15.75" hidden="1" x14ac:dyDescent="0.25">
      <c r="A323" s="415"/>
      <c r="B323" s="415"/>
      <c r="C323" s="415"/>
      <c r="D323" s="415"/>
      <c r="E323" s="417">
        <f t="shared" ref="E323:E328" si="143">E309</f>
        <v>2015</v>
      </c>
      <c r="F323" s="467">
        <f>F$321*TotalProdCosts_2015</f>
        <v>0</v>
      </c>
      <c r="G323" s="467">
        <f t="shared" ref="G323:J328" si="144">G$321*$G582</f>
        <v>0</v>
      </c>
      <c r="H323" s="463" t="e">
        <f t="shared" si="144"/>
        <v>#N/A</v>
      </c>
      <c r="I323" s="463" t="e">
        <f t="shared" si="144"/>
        <v>#N/A</v>
      </c>
      <c r="J323" s="463" t="e">
        <f t="shared" si="144"/>
        <v>#N/A</v>
      </c>
      <c r="K323" s="423" t="e">
        <f t="shared" ref="K323:K328" si="145">H323</f>
        <v>#N/A</v>
      </c>
      <c r="L323" s="423" t="e">
        <f t="shared" ref="L323:M328" si="146">I323-H323</f>
        <v>#N/A</v>
      </c>
      <c r="M323" s="423" t="e">
        <f t="shared" si="146"/>
        <v>#N/A</v>
      </c>
      <c r="N323" s="467" t="e">
        <f t="shared" ref="N323:P328" si="147">N$321*$G582</f>
        <v>#N/A</v>
      </c>
      <c r="O323" s="467" t="e">
        <f t="shared" si="147"/>
        <v>#N/A</v>
      </c>
      <c r="P323" s="467" t="e">
        <f t="shared" si="147"/>
        <v>#N/A</v>
      </c>
      <c r="Q323" s="447" t="e">
        <f>N323</f>
        <v>#N/A</v>
      </c>
      <c r="R323" s="447" t="e">
        <f>O323-N323</f>
        <v>#N/A</v>
      </c>
      <c r="S323" s="447" t="e">
        <f>P323-O323</f>
        <v>#N/A</v>
      </c>
      <c r="T323" s="467" t="e">
        <f t="shared" ref="T323:V328" si="148">T$321*$G582</f>
        <v>#N/A</v>
      </c>
      <c r="U323" s="467" t="e">
        <f t="shared" si="148"/>
        <v>#N/A</v>
      </c>
      <c r="V323" s="467" t="e">
        <f t="shared" si="148"/>
        <v>#N/A</v>
      </c>
      <c r="W323" s="447" t="e">
        <f>T323</f>
        <v>#N/A</v>
      </c>
      <c r="X323" s="447" t="e">
        <f>U323-T323</f>
        <v>#N/A</v>
      </c>
      <c r="Y323" s="447" t="e">
        <f>V323-U323</f>
        <v>#N/A</v>
      </c>
    </row>
    <row r="324" spans="1:25" s="640" customFormat="1" ht="15.75" hidden="1" x14ac:dyDescent="0.25">
      <c r="A324" s="415"/>
      <c r="B324" s="415"/>
      <c r="C324" s="415"/>
      <c r="D324" s="415"/>
      <c r="E324" s="417">
        <f t="shared" si="143"/>
        <v>2016</v>
      </c>
      <c r="F324" s="467">
        <f>F$321*TotalProdCosts_2016</f>
        <v>0</v>
      </c>
      <c r="G324" s="467">
        <f t="shared" si="144"/>
        <v>0</v>
      </c>
      <c r="H324" s="463" t="e">
        <f t="shared" si="144"/>
        <v>#N/A</v>
      </c>
      <c r="I324" s="463" t="e">
        <f t="shared" si="144"/>
        <v>#N/A</v>
      </c>
      <c r="J324" s="463" t="e">
        <f t="shared" si="144"/>
        <v>#N/A</v>
      </c>
      <c r="K324" s="423" t="e">
        <f t="shared" si="145"/>
        <v>#N/A</v>
      </c>
      <c r="L324" s="423" t="e">
        <f t="shared" si="146"/>
        <v>#N/A</v>
      </c>
      <c r="M324" s="423" t="e">
        <f t="shared" si="146"/>
        <v>#N/A</v>
      </c>
      <c r="N324" s="467" t="e">
        <f t="shared" si="147"/>
        <v>#N/A</v>
      </c>
      <c r="O324" s="467" t="e">
        <f t="shared" si="147"/>
        <v>#N/A</v>
      </c>
      <c r="P324" s="467" t="e">
        <f t="shared" si="147"/>
        <v>#N/A</v>
      </c>
      <c r="Q324" s="447" t="e">
        <f t="shared" ref="Q324:Q328" si="149">N324</f>
        <v>#N/A</v>
      </c>
      <c r="R324" s="447" t="e">
        <f t="shared" ref="R324:S328" si="150">O324-N324</f>
        <v>#N/A</v>
      </c>
      <c r="S324" s="447" t="e">
        <f t="shared" si="150"/>
        <v>#N/A</v>
      </c>
      <c r="T324" s="467" t="e">
        <f t="shared" si="148"/>
        <v>#N/A</v>
      </c>
      <c r="U324" s="467" t="e">
        <f t="shared" si="148"/>
        <v>#N/A</v>
      </c>
      <c r="V324" s="467" t="e">
        <f t="shared" si="148"/>
        <v>#N/A</v>
      </c>
      <c r="W324" s="447" t="e">
        <f t="shared" ref="W324:W328" si="151">T324</f>
        <v>#N/A</v>
      </c>
      <c r="X324" s="447" t="e">
        <f t="shared" ref="X324:Y328" si="152">U324-T324</f>
        <v>#N/A</v>
      </c>
      <c r="Y324" s="447" t="e">
        <f t="shared" si="152"/>
        <v>#N/A</v>
      </c>
    </row>
    <row r="325" spans="1:25" s="640" customFormat="1" ht="15.75" hidden="1" x14ac:dyDescent="0.25">
      <c r="A325" s="415"/>
      <c r="B325" s="415"/>
      <c r="C325" s="415"/>
      <c r="D325" s="415"/>
      <c r="E325" s="417">
        <f t="shared" si="143"/>
        <v>2017</v>
      </c>
      <c r="F325" s="467">
        <f>F$321*TotalProdCosts_2017</f>
        <v>0</v>
      </c>
      <c r="G325" s="467">
        <f t="shared" si="144"/>
        <v>0</v>
      </c>
      <c r="H325" s="463" t="e">
        <f t="shared" si="144"/>
        <v>#N/A</v>
      </c>
      <c r="I325" s="463" t="e">
        <f t="shared" si="144"/>
        <v>#N/A</v>
      </c>
      <c r="J325" s="463" t="e">
        <f t="shared" si="144"/>
        <v>#N/A</v>
      </c>
      <c r="K325" s="423" t="e">
        <f t="shared" si="145"/>
        <v>#N/A</v>
      </c>
      <c r="L325" s="423" t="e">
        <f t="shared" si="146"/>
        <v>#N/A</v>
      </c>
      <c r="M325" s="423" t="e">
        <f t="shared" si="146"/>
        <v>#N/A</v>
      </c>
      <c r="N325" s="467" t="e">
        <f t="shared" si="147"/>
        <v>#N/A</v>
      </c>
      <c r="O325" s="467" t="e">
        <f t="shared" si="147"/>
        <v>#N/A</v>
      </c>
      <c r="P325" s="467" t="e">
        <f t="shared" si="147"/>
        <v>#N/A</v>
      </c>
      <c r="Q325" s="447" t="e">
        <f t="shared" si="149"/>
        <v>#N/A</v>
      </c>
      <c r="R325" s="447" t="e">
        <f t="shared" si="150"/>
        <v>#N/A</v>
      </c>
      <c r="S325" s="447" t="e">
        <f t="shared" si="150"/>
        <v>#N/A</v>
      </c>
      <c r="T325" s="467" t="e">
        <f t="shared" si="148"/>
        <v>#N/A</v>
      </c>
      <c r="U325" s="467" t="e">
        <f t="shared" si="148"/>
        <v>#N/A</v>
      </c>
      <c r="V325" s="467" t="e">
        <f t="shared" si="148"/>
        <v>#N/A</v>
      </c>
      <c r="W325" s="447" t="e">
        <f t="shared" si="151"/>
        <v>#N/A</v>
      </c>
      <c r="X325" s="447" t="e">
        <f t="shared" si="152"/>
        <v>#N/A</v>
      </c>
      <c r="Y325" s="447" t="e">
        <f t="shared" si="152"/>
        <v>#N/A</v>
      </c>
    </row>
    <row r="326" spans="1:25" s="640" customFormat="1" ht="15.75" hidden="1" x14ac:dyDescent="0.25">
      <c r="A326" s="415"/>
      <c r="B326" s="415"/>
      <c r="C326" s="415"/>
      <c r="D326" s="415"/>
      <c r="E326" s="417">
        <f t="shared" si="143"/>
        <v>2018</v>
      </c>
      <c r="F326" s="467">
        <f>F$321*TotalProdCosts_2018</f>
        <v>0</v>
      </c>
      <c r="G326" s="467">
        <f t="shared" si="144"/>
        <v>0</v>
      </c>
      <c r="H326" s="463" t="e">
        <f t="shared" si="144"/>
        <v>#N/A</v>
      </c>
      <c r="I326" s="463" t="e">
        <f t="shared" si="144"/>
        <v>#N/A</v>
      </c>
      <c r="J326" s="463" t="e">
        <f t="shared" si="144"/>
        <v>#N/A</v>
      </c>
      <c r="K326" s="423" t="e">
        <f t="shared" si="145"/>
        <v>#N/A</v>
      </c>
      <c r="L326" s="423" t="e">
        <f t="shared" si="146"/>
        <v>#N/A</v>
      </c>
      <c r="M326" s="423" t="e">
        <f t="shared" si="146"/>
        <v>#N/A</v>
      </c>
      <c r="N326" s="467" t="e">
        <f t="shared" si="147"/>
        <v>#N/A</v>
      </c>
      <c r="O326" s="467" t="e">
        <f t="shared" si="147"/>
        <v>#N/A</v>
      </c>
      <c r="P326" s="467" t="e">
        <f t="shared" si="147"/>
        <v>#N/A</v>
      </c>
      <c r="Q326" s="447" t="e">
        <f t="shared" si="149"/>
        <v>#N/A</v>
      </c>
      <c r="R326" s="447" t="e">
        <f t="shared" si="150"/>
        <v>#N/A</v>
      </c>
      <c r="S326" s="447" t="e">
        <f t="shared" si="150"/>
        <v>#N/A</v>
      </c>
      <c r="T326" s="467" t="e">
        <f t="shared" si="148"/>
        <v>#N/A</v>
      </c>
      <c r="U326" s="467" t="e">
        <f t="shared" si="148"/>
        <v>#N/A</v>
      </c>
      <c r="V326" s="467" t="e">
        <f t="shared" si="148"/>
        <v>#N/A</v>
      </c>
      <c r="W326" s="447" t="e">
        <f t="shared" si="151"/>
        <v>#N/A</v>
      </c>
      <c r="X326" s="447" t="e">
        <f t="shared" si="152"/>
        <v>#N/A</v>
      </c>
      <c r="Y326" s="447" t="e">
        <f t="shared" si="152"/>
        <v>#N/A</v>
      </c>
    </row>
    <row r="327" spans="1:25" s="640" customFormat="1" ht="15.75" hidden="1" x14ac:dyDescent="0.25">
      <c r="A327" s="415"/>
      <c r="B327" s="415"/>
      <c r="C327" s="415"/>
      <c r="D327" s="415"/>
      <c r="E327" s="417">
        <f t="shared" si="143"/>
        <v>2019</v>
      </c>
      <c r="F327" s="467">
        <f>F$321*TotalProdCosts_2019</f>
        <v>0</v>
      </c>
      <c r="G327" s="467">
        <f t="shared" si="144"/>
        <v>0</v>
      </c>
      <c r="H327" s="463" t="e">
        <f t="shared" si="144"/>
        <v>#N/A</v>
      </c>
      <c r="I327" s="463" t="e">
        <f t="shared" si="144"/>
        <v>#N/A</v>
      </c>
      <c r="J327" s="463" t="e">
        <f t="shared" si="144"/>
        <v>#N/A</v>
      </c>
      <c r="K327" s="423" t="e">
        <f t="shared" si="145"/>
        <v>#N/A</v>
      </c>
      <c r="L327" s="423" t="e">
        <f t="shared" si="146"/>
        <v>#N/A</v>
      </c>
      <c r="M327" s="423" t="e">
        <f t="shared" si="146"/>
        <v>#N/A</v>
      </c>
      <c r="N327" s="467" t="e">
        <f t="shared" si="147"/>
        <v>#N/A</v>
      </c>
      <c r="O327" s="467" t="e">
        <f t="shared" si="147"/>
        <v>#N/A</v>
      </c>
      <c r="P327" s="467" t="e">
        <f t="shared" si="147"/>
        <v>#N/A</v>
      </c>
      <c r="Q327" s="447" t="e">
        <f t="shared" si="149"/>
        <v>#N/A</v>
      </c>
      <c r="R327" s="447" t="e">
        <f t="shared" si="150"/>
        <v>#N/A</v>
      </c>
      <c r="S327" s="447" t="e">
        <f t="shared" si="150"/>
        <v>#N/A</v>
      </c>
      <c r="T327" s="467" t="e">
        <f t="shared" si="148"/>
        <v>#N/A</v>
      </c>
      <c r="U327" s="467" t="e">
        <f t="shared" si="148"/>
        <v>#N/A</v>
      </c>
      <c r="V327" s="467" t="e">
        <f t="shared" si="148"/>
        <v>#N/A</v>
      </c>
      <c r="W327" s="447" t="e">
        <f t="shared" si="151"/>
        <v>#N/A</v>
      </c>
      <c r="X327" s="447" t="e">
        <f t="shared" si="152"/>
        <v>#N/A</v>
      </c>
      <c r="Y327" s="447" t="e">
        <f t="shared" si="152"/>
        <v>#N/A</v>
      </c>
    </row>
    <row r="328" spans="1:25" s="640" customFormat="1" ht="15.75" hidden="1" x14ac:dyDescent="0.25">
      <c r="A328" s="415"/>
      <c r="B328" s="415"/>
      <c r="C328" s="415"/>
      <c r="D328" s="415"/>
      <c r="E328" s="417">
        <f t="shared" si="143"/>
        <v>2020</v>
      </c>
      <c r="F328" s="467">
        <f>F$321*TotalProdCosts_2020</f>
        <v>0</v>
      </c>
      <c r="G328" s="467">
        <f t="shared" si="144"/>
        <v>0</v>
      </c>
      <c r="H328" s="463" t="e">
        <f t="shared" si="144"/>
        <v>#N/A</v>
      </c>
      <c r="I328" s="463" t="e">
        <f t="shared" si="144"/>
        <v>#N/A</v>
      </c>
      <c r="J328" s="463" t="e">
        <f t="shared" si="144"/>
        <v>#N/A</v>
      </c>
      <c r="K328" s="423" t="e">
        <f t="shared" si="145"/>
        <v>#N/A</v>
      </c>
      <c r="L328" s="423" t="e">
        <f t="shared" si="146"/>
        <v>#N/A</v>
      </c>
      <c r="M328" s="423" t="e">
        <f t="shared" si="146"/>
        <v>#N/A</v>
      </c>
      <c r="N328" s="467" t="e">
        <f t="shared" si="147"/>
        <v>#N/A</v>
      </c>
      <c r="O328" s="467" t="e">
        <f t="shared" si="147"/>
        <v>#N/A</v>
      </c>
      <c r="P328" s="467" t="e">
        <f t="shared" si="147"/>
        <v>#N/A</v>
      </c>
      <c r="Q328" s="447" t="e">
        <f t="shared" si="149"/>
        <v>#N/A</v>
      </c>
      <c r="R328" s="447" t="e">
        <f t="shared" si="150"/>
        <v>#N/A</v>
      </c>
      <c r="S328" s="447" t="e">
        <f t="shared" si="150"/>
        <v>#N/A</v>
      </c>
      <c r="T328" s="467" t="e">
        <f t="shared" si="148"/>
        <v>#N/A</v>
      </c>
      <c r="U328" s="467" t="e">
        <f t="shared" si="148"/>
        <v>#N/A</v>
      </c>
      <c r="V328" s="467" t="e">
        <f t="shared" si="148"/>
        <v>#N/A</v>
      </c>
      <c r="W328" s="447" t="e">
        <f t="shared" si="151"/>
        <v>#N/A</v>
      </c>
      <c r="X328" s="447" t="e">
        <f t="shared" si="152"/>
        <v>#N/A</v>
      </c>
      <c r="Y328" s="447" t="e">
        <f t="shared" si="152"/>
        <v>#N/A</v>
      </c>
    </row>
    <row r="329" spans="1:25" s="640" customFormat="1" ht="15.75" hidden="1" x14ac:dyDescent="0.25">
      <c r="A329" s="415"/>
      <c r="B329" s="415"/>
      <c r="C329" s="415"/>
      <c r="D329" s="415"/>
      <c r="E329" s="417"/>
      <c r="F329" s="415"/>
      <c r="G329" s="415"/>
      <c r="H329" s="415"/>
      <c r="I329" s="415"/>
      <c r="J329" s="415"/>
      <c r="K329" s="415"/>
      <c r="L329" s="415"/>
      <c r="M329" s="415"/>
      <c r="N329" s="447"/>
      <c r="O329" s="447"/>
      <c r="P329" s="447"/>
      <c r="Q329" s="447"/>
      <c r="R329" s="447"/>
      <c r="S329" s="447"/>
      <c r="T329" s="447"/>
      <c r="U329" s="447"/>
      <c r="V329" s="447"/>
      <c r="W329" s="447"/>
      <c r="X329" s="447"/>
      <c r="Y329" s="447"/>
    </row>
    <row r="330" spans="1:25" s="640" customFormat="1" ht="15.75" hidden="1" x14ac:dyDescent="0.25">
      <c r="A330" s="415"/>
      <c r="B330" s="415"/>
      <c r="C330" s="415"/>
      <c r="D330" s="415"/>
      <c r="E330" s="417"/>
      <c r="F330" s="415"/>
      <c r="G330" s="415"/>
      <c r="H330" s="415"/>
      <c r="I330" s="415"/>
      <c r="J330" s="415"/>
      <c r="K330" s="415"/>
      <c r="L330" s="415"/>
      <c r="M330" s="415"/>
      <c r="N330" s="447"/>
      <c r="O330" s="447"/>
      <c r="P330" s="447"/>
      <c r="Q330" s="447"/>
      <c r="R330" s="447"/>
      <c r="S330" s="447"/>
      <c r="T330" s="447"/>
      <c r="U330" s="447"/>
      <c r="V330" s="447"/>
      <c r="W330" s="447"/>
      <c r="X330" s="447"/>
      <c r="Y330" s="447"/>
    </row>
    <row r="331" spans="1:25" s="640" customFormat="1" ht="15.75" hidden="1" x14ac:dyDescent="0.25">
      <c r="A331" s="415"/>
      <c r="B331" s="1187" t="s">
        <v>1570</v>
      </c>
      <c r="C331" s="1190"/>
      <c r="D331" s="412" t="s">
        <v>535</v>
      </c>
      <c r="E331" s="412"/>
      <c r="F331" s="449"/>
      <c r="G331" s="412"/>
      <c r="H331" s="415"/>
      <c r="I331" s="415"/>
      <c r="J331" s="415"/>
      <c r="K331" s="415"/>
      <c r="L331" s="415"/>
      <c r="M331" s="415"/>
      <c r="N331" s="447"/>
      <c r="O331" s="447"/>
      <c r="P331" s="447"/>
      <c r="Q331" s="447"/>
      <c r="R331" s="447"/>
      <c r="S331" s="447"/>
      <c r="T331" s="447"/>
      <c r="U331" s="447"/>
      <c r="V331" s="447"/>
      <c r="W331" s="447"/>
      <c r="X331" s="447"/>
      <c r="Y331" s="447"/>
    </row>
    <row r="332" spans="1:25" s="640" customFormat="1" ht="15.75" hidden="1" x14ac:dyDescent="0.25">
      <c r="A332" s="417"/>
      <c r="B332" s="417"/>
      <c r="C332" s="417"/>
      <c r="D332" s="419" t="s">
        <v>412</v>
      </c>
      <c r="E332" s="419" t="s">
        <v>10</v>
      </c>
      <c r="F332" s="419" t="s">
        <v>428</v>
      </c>
      <c r="G332" s="419" t="str">
        <f>G$184</f>
        <v>Cost in 2008 dollars</v>
      </c>
      <c r="H332" s="417" t="s">
        <v>583</v>
      </c>
      <c r="I332" s="417" t="s">
        <v>584</v>
      </c>
      <c r="J332" s="417" t="s">
        <v>585</v>
      </c>
      <c r="K332" s="417" t="s">
        <v>586</v>
      </c>
      <c r="L332" s="417" t="s">
        <v>413</v>
      </c>
      <c r="M332" s="417" t="s">
        <v>414</v>
      </c>
      <c r="N332" s="426" t="s">
        <v>592</v>
      </c>
      <c r="O332" s="426" t="s">
        <v>587</v>
      </c>
      <c r="P332" s="426" t="s">
        <v>588</v>
      </c>
      <c r="Q332" s="426" t="s">
        <v>589</v>
      </c>
      <c r="R332" s="426" t="s">
        <v>590</v>
      </c>
      <c r="S332" s="426" t="s">
        <v>591</v>
      </c>
      <c r="T332" s="426" t="s">
        <v>593</v>
      </c>
      <c r="U332" s="426" t="s">
        <v>594</v>
      </c>
      <c r="V332" s="426" t="s">
        <v>595</v>
      </c>
      <c r="W332" s="426" t="s">
        <v>596</v>
      </c>
      <c r="X332" s="426" t="s">
        <v>597</v>
      </c>
      <c r="Y332" s="426" t="s">
        <v>598</v>
      </c>
    </row>
    <row r="333" spans="1:25" s="640" customFormat="1" ht="15.75" hidden="1" x14ac:dyDescent="0.25">
      <c r="A333" s="468"/>
      <c r="B333" s="468"/>
      <c r="C333" s="468"/>
      <c r="D333" s="692">
        <v>541700</v>
      </c>
      <c r="E333" s="693" t="s">
        <v>315</v>
      </c>
      <c r="F333" s="694">
        <v>0.4</v>
      </c>
      <c r="G333" s="474">
        <f>F333</f>
        <v>0.4</v>
      </c>
      <c r="H333" s="475" t="e">
        <f>$G333*INDEX(tier_emp_mult, MATCH($D333, tier_emp_code,0), MATCH(State, R_emp, 0))/1000000</f>
        <v>#N/A</v>
      </c>
      <c r="I333" s="436" t="e">
        <f>$G333*INDEX(typeI_emp_mult, MATCH($D333, typeI_emp_code,0), MATCH(State, R_emp, 0))/1000000</f>
        <v>#N/A</v>
      </c>
      <c r="J333" s="436" t="e">
        <f>$G333*INDEX(typeII_emp_mult, MATCH($D333, typeII_emp_code,0), MATCH(State, R_emp, 0))/1000000</f>
        <v>#N/A</v>
      </c>
      <c r="K333" s="437" t="e">
        <f>H333</f>
        <v>#N/A</v>
      </c>
      <c r="L333" s="437" t="e">
        <f t="shared" ref="L333:M334" si="153">I333-H333</f>
        <v>#N/A</v>
      </c>
      <c r="M333" s="437" t="e">
        <f t="shared" si="153"/>
        <v>#N/A</v>
      </c>
      <c r="N333" s="436" t="e">
        <f>$G333*INDEX(tier_earn_mult, MATCH($D333, tier_earn_code,0), MATCH(State, R_earn, 0))</f>
        <v>#N/A</v>
      </c>
      <c r="O333" s="436" t="e">
        <f>$G333*INDEX(typeI_earn_mult, MATCH($D333, typeI_earn_code,0), MATCH(State, R_earn, 0))</f>
        <v>#N/A</v>
      </c>
      <c r="P333" s="436" t="e">
        <f>$G333*INDEX(typeII_earn_mult, MATCH($D333, typeII_earn_code,0), MATCH(State, R_earn, 0))</f>
        <v>#N/A</v>
      </c>
      <c r="Q333" s="438" t="e">
        <f>N333</f>
        <v>#N/A</v>
      </c>
      <c r="R333" s="438" t="e">
        <f t="shared" ref="R333:S334" si="154">O333-N333</f>
        <v>#N/A</v>
      </c>
      <c r="S333" s="438" t="e">
        <f t="shared" si="154"/>
        <v>#N/A</v>
      </c>
      <c r="T333" s="436" t="e">
        <f>$G333*INDEX(tier_out_mult, MATCH($D333, tier_out_code,0), MATCH(State, R_out, 0))</f>
        <v>#N/A</v>
      </c>
      <c r="U333" s="436" t="e">
        <f>$G333*INDEX(typeI_out_mult, MATCH($D333, typeI_out_code,0), MATCH(State, R_out, 0))</f>
        <v>#N/A</v>
      </c>
      <c r="V333" s="436" t="e">
        <f>$G333*INDEX(typeII_out_mult, MATCH($D333, typeII_out_code,0), MATCH(State, R_out, 0))</f>
        <v>#N/A</v>
      </c>
      <c r="W333" s="438" t="e">
        <f>T333</f>
        <v>#N/A</v>
      </c>
      <c r="X333" s="438" t="e">
        <f t="shared" ref="X333:Y334" si="155">U333-T333</f>
        <v>#N/A</v>
      </c>
      <c r="Y333" s="438" t="e">
        <f t="shared" si="155"/>
        <v>#N/A</v>
      </c>
    </row>
    <row r="334" spans="1:25" s="640" customFormat="1" ht="15.75" hidden="1" x14ac:dyDescent="0.25">
      <c r="A334" s="415"/>
      <c r="B334" s="415"/>
      <c r="C334" s="415"/>
      <c r="D334" s="522">
        <v>561100</v>
      </c>
      <c r="E334" s="415" t="s">
        <v>323</v>
      </c>
      <c r="F334" s="474">
        <v>0.6</v>
      </c>
      <c r="G334" s="474">
        <f t="shared" ref="G334" si="156">F334</f>
        <v>0.6</v>
      </c>
      <c r="H334" s="475" t="e">
        <f>$G334*INDEX(tier_emp_mult, MATCH($D334, tier_emp_code,0), MATCH(State, R_emp, 0))/1000000</f>
        <v>#N/A</v>
      </c>
      <c r="I334" s="436" t="e">
        <f>$G334*INDEX(typeI_emp_mult, MATCH($D334, typeI_emp_code,0), MATCH(State, R_emp, 0))/1000000</f>
        <v>#N/A</v>
      </c>
      <c r="J334" s="436" t="e">
        <f>$G334*INDEX(typeII_emp_mult, MATCH($D334, typeII_emp_code,0), MATCH(State, R_emp, 0))/1000000</f>
        <v>#N/A</v>
      </c>
      <c r="K334" s="437" t="e">
        <f>H334</f>
        <v>#N/A</v>
      </c>
      <c r="L334" s="437" t="e">
        <f t="shared" si="153"/>
        <v>#N/A</v>
      </c>
      <c r="M334" s="437" t="e">
        <f t="shared" si="153"/>
        <v>#N/A</v>
      </c>
      <c r="N334" s="436" t="e">
        <f>$G334*INDEX(tier_earn_mult, MATCH($D334, tier_earn_code,0), MATCH(State, R_earn, 0))</f>
        <v>#N/A</v>
      </c>
      <c r="O334" s="436" t="e">
        <f>$G334*INDEX(typeI_earn_mult, MATCH($D334, typeI_earn_code,0), MATCH(State, R_earn, 0))</f>
        <v>#N/A</v>
      </c>
      <c r="P334" s="436" t="e">
        <f>$G334*INDEX(typeII_earn_mult, MATCH($D334, typeII_earn_code,0), MATCH(State, R_earn, 0))</f>
        <v>#N/A</v>
      </c>
      <c r="Q334" s="438" t="e">
        <f>N334</f>
        <v>#N/A</v>
      </c>
      <c r="R334" s="438" t="e">
        <f t="shared" si="154"/>
        <v>#N/A</v>
      </c>
      <c r="S334" s="438" t="e">
        <f t="shared" si="154"/>
        <v>#N/A</v>
      </c>
      <c r="T334" s="436" t="e">
        <f>$G334*INDEX(tier_out_mult, MATCH($D334, tier_out_code,0), MATCH(State, R_out, 0))</f>
        <v>#N/A</v>
      </c>
      <c r="U334" s="436" t="e">
        <f>$G334*INDEX(typeI_out_mult, MATCH($D334, typeI_out_code,0), MATCH(State, R_out, 0))</f>
        <v>#N/A</v>
      </c>
      <c r="V334" s="436" t="e">
        <f>$G334*INDEX(typeII_out_mult, MATCH($D334, typeII_out_code,0), MATCH(State, R_out, 0))</f>
        <v>#N/A</v>
      </c>
      <c r="W334" s="438" t="e">
        <f>T334</f>
        <v>#N/A</v>
      </c>
      <c r="X334" s="438" t="e">
        <f t="shared" si="155"/>
        <v>#N/A</v>
      </c>
      <c r="Y334" s="438" t="e">
        <f t="shared" si="155"/>
        <v>#N/A</v>
      </c>
    </row>
    <row r="335" spans="1:25" s="640" customFormat="1" ht="15.75" hidden="1" x14ac:dyDescent="0.25">
      <c r="A335" s="415"/>
      <c r="B335" s="415"/>
      <c r="C335" s="415"/>
      <c r="D335" s="522"/>
      <c r="E335" s="415"/>
      <c r="F335" s="474"/>
      <c r="G335" s="474"/>
      <c r="H335" s="475"/>
      <c r="I335" s="436"/>
      <c r="J335" s="436"/>
      <c r="K335" s="437"/>
      <c r="L335" s="437"/>
      <c r="M335" s="437"/>
      <c r="N335" s="436"/>
      <c r="O335" s="436"/>
      <c r="P335" s="436"/>
      <c r="Q335" s="438"/>
      <c r="R335" s="438"/>
      <c r="S335" s="438"/>
      <c r="T335" s="436"/>
      <c r="U335" s="436"/>
      <c r="V335" s="436"/>
      <c r="W335" s="438"/>
      <c r="X335" s="438"/>
      <c r="Y335" s="438"/>
    </row>
    <row r="336" spans="1:25" s="640" customFormat="1" ht="15.75" hidden="1" x14ac:dyDescent="0.25">
      <c r="A336" s="415"/>
      <c r="B336" s="415"/>
      <c r="C336" s="415"/>
      <c r="D336" s="522"/>
      <c r="E336" s="417" t="s">
        <v>1050</v>
      </c>
      <c r="F336" s="474">
        <f>SUM(F333:F335)</f>
        <v>1</v>
      </c>
      <c r="G336" s="474">
        <f>F336</f>
        <v>1</v>
      </c>
      <c r="H336" s="422" t="e">
        <f>SUM(H333:H335)</f>
        <v>#N/A</v>
      </c>
      <c r="I336" s="422" t="e">
        <f t="shared" ref="I336:Y336" si="157">SUM(I333:I335)</f>
        <v>#N/A</v>
      </c>
      <c r="J336" s="422" t="e">
        <f t="shared" si="157"/>
        <v>#N/A</v>
      </c>
      <c r="K336" s="422" t="e">
        <f t="shared" si="157"/>
        <v>#N/A</v>
      </c>
      <c r="L336" s="422" t="e">
        <f t="shared" si="157"/>
        <v>#N/A</v>
      </c>
      <c r="M336" s="422" t="e">
        <f t="shared" si="157"/>
        <v>#N/A</v>
      </c>
      <c r="N336" s="422" t="e">
        <f t="shared" si="157"/>
        <v>#N/A</v>
      </c>
      <c r="O336" s="422" t="e">
        <f t="shared" si="157"/>
        <v>#N/A</v>
      </c>
      <c r="P336" s="422" t="e">
        <f t="shared" si="157"/>
        <v>#N/A</v>
      </c>
      <c r="Q336" s="422" t="e">
        <f t="shared" si="157"/>
        <v>#N/A</v>
      </c>
      <c r="R336" s="422" t="e">
        <f t="shared" si="157"/>
        <v>#N/A</v>
      </c>
      <c r="S336" s="422" t="e">
        <f t="shared" si="157"/>
        <v>#N/A</v>
      </c>
      <c r="T336" s="422" t="e">
        <f t="shared" si="157"/>
        <v>#N/A</v>
      </c>
      <c r="U336" s="422" t="e">
        <f t="shared" si="157"/>
        <v>#N/A</v>
      </c>
      <c r="V336" s="422" t="e">
        <f t="shared" si="157"/>
        <v>#N/A</v>
      </c>
      <c r="W336" s="422" t="e">
        <f t="shared" si="157"/>
        <v>#N/A</v>
      </c>
      <c r="X336" s="422" t="e">
        <f t="shared" si="157"/>
        <v>#N/A</v>
      </c>
      <c r="Y336" s="422" t="e">
        <f t="shared" si="157"/>
        <v>#N/A</v>
      </c>
    </row>
    <row r="337" spans="1:25" s="640" customFormat="1" ht="15.75" hidden="1" x14ac:dyDescent="0.25">
      <c r="A337" s="415"/>
      <c r="B337" s="415"/>
      <c r="C337" s="415"/>
      <c r="D337" s="412" t="s">
        <v>536</v>
      </c>
      <c r="E337" s="412"/>
      <c r="F337" s="412"/>
      <c r="G337" s="412"/>
      <c r="H337" s="415"/>
      <c r="I337" s="415"/>
      <c r="J337" s="415"/>
      <c r="K337" s="415"/>
      <c r="L337" s="415"/>
      <c r="M337" s="415"/>
      <c r="N337" s="447"/>
      <c r="O337" s="447"/>
      <c r="P337" s="447"/>
      <c r="Q337" s="447"/>
      <c r="R337" s="447"/>
      <c r="S337" s="447"/>
      <c r="T337" s="447"/>
      <c r="U337" s="447"/>
      <c r="V337" s="447"/>
      <c r="W337" s="447"/>
      <c r="X337" s="447"/>
      <c r="Y337" s="447"/>
    </row>
    <row r="338" spans="1:25" s="640" customFormat="1" ht="15.75" hidden="1" x14ac:dyDescent="0.25">
      <c r="A338" s="415"/>
      <c r="B338" s="415"/>
      <c r="C338" s="415"/>
      <c r="D338" s="415"/>
      <c r="E338" s="415">
        <v>2015</v>
      </c>
      <c r="F338" s="467">
        <f t="shared" ref="F338:G343" si="158">F590</f>
        <v>0</v>
      </c>
      <c r="G338" s="467">
        <f t="shared" si="158"/>
        <v>0</v>
      </c>
      <c r="H338" s="457" t="e">
        <f t="shared" ref="H338:J343" si="159">H$336*$G338</f>
        <v>#N/A</v>
      </c>
      <c r="I338" s="457" t="e">
        <f t="shared" si="159"/>
        <v>#N/A</v>
      </c>
      <c r="J338" s="457" t="e">
        <f t="shared" si="159"/>
        <v>#N/A</v>
      </c>
      <c r="K338" s="476" t="e">
        <f t="shared" ref="K338:K343" si="160">H338</f>
        <v>#N/A</v>
      </c>
      <c r="L338" s="476" t="e">
        <f t="shared" ref="L338:M343" si="161">I338-H338</f>
        <v>#N/A</v>
      </c>
      <c r="M338" s="476" t="e">
        <f t="shared" si="161"/>
        <v>#N/A</v>
      </c>
      <c r="N338" s="477" t="e">
        <f t="shared" ref="N338:P343" si="162">N$336*$G338</f>
        <v>#N/A</v>
      </c>
      <c r="O338" s="477" t="e">
        <f t="shared" si="162"/>
        <v>#N/A</v>
      </c>
      <c r="P338" s="477" t="e">
        <f t="shared" si="162"/>
        <v>#N/A</v>
      </c>
      <c r="Q338" s="477" t="e">
        <f t="shared" ref="Q338:Q343" si="163">N338</f>
        <v>#N/A</v>
      </c>
      <c r="R338" s="477" t="e">
        <f t="shared" ref="R338:S343" si="164">O338-N338</f>
        <v>#N/A</v>
      </c>
      <c r="S338" s="477" t="e">
        <f t="shared" si="164"/>
        <v>#N/A</v>
      </c>
      <c r="T338" s="477" t="e">
        <f t="shared" ref="T338:V343" si="165">T$336*$G338</f>
        <v>#N/A</v>
      </c>
      <c r="U338" s="477" t="e">
        <f t="shared" si="165"/>
        <v>#N/A</v>
      </c>
      <c r="V338" s="477" t="e">
        <f t="shared" si="165"/>
        <v>#N/A</v>
      </c>
      <c r="W338" s="477" t="e">
        <f t="shared" ref="W338:W343" si="166">T338</f>
        <v>#N/A</v>
      </c>
      <c r="X338" s="477" t="e">
        <f t="shared" ref="X338:Y343" si="167">U338-T338</f>
        <v>#N/A</v>
      </c>
      <c r="Y338" s="477" t="e">
        <f t="shared" si="167"/>
        <v>#N/A</v>
      </c>
    </row>
    <row r="339" spans="1:25" s="640" customFormat="1" ht="15.75" hidden="1" x14ac:dyDescent="0.25">
      <c r="A339" s="415"/>
      <c r="B339" s="415"/>
      <c r="C339" s="415"/>
      <c r="D339" s="415"/>
      <c r="E339" s="415">
        <v>2016</v>
      </c>
      <c r="F339" s="467">
        <f t="shared" si="158"/>
        <v>0</v>
      </c>
      <c r="G339" s="467">
        <f t="shared" si="158"/>
        <v>0</v>
      </c>
      <c r="H339" s="457" t="e">
        <f t="shared" si="159"/>
        <v>#N/A</v>
      </c>
      <c r="I339" s="457" t="e">
        <f t="shared" si="159"/>
        <v>#N/A</v>
      </c>
      <c r="J339" s="457" t="e">
        <f t="shared" si="159"/>
        <v>#N/A</v>
      </c>
      <c r="K339" s="476" t="e">
        <f t="shared" si="160"/>
        <v>#N/A</v>
      </c>
      <c r="L339" s="476" t="e">
        <f t="shared" si="161"/>
        <v>#N/A</v>
      </c>
      <c r="M339" s="476" t="e">
        <f t="shared" si="161"/>
        <v>#N/A</v>
      </c>
      <c r="N339" s="477" t="e">
        <f t="shared" si="162"/>
        <v>#N/A</v>
      </c>
      <c r="O339" s="477" t="e">
        <f t="shared" si="162"/>
        <v>#N/A</v>
      </c>
      <c r="P339" s="477" t="e">
        <f t="shared" si="162"/>
        <v>#N/A</v>
      </c>
      <c r="Q339" s="477" t="e">
        <f t="shared" si="163"/>
        <v>#N/A</v>
      </c>
      <c r="R339" s="477" t="e">
        <f t="shared" si="164"/>
        <v>#N/A</v>
      </c>
      <c r="S339" s="477" t="e">
        <f t="shared" si="164"/>
        <v>#N/A</v>
      </c>
      <c r="T339" s="477" t="e">
        <f t="shared" si="165"/>
        <v>#N/A</v>
      </c>
      <c r="U339" s="477" t="e">
        <f t="shared" si="165"/>
        <v>#N/A</v>
      </c>
      <c r="V339" s="477" t="e">
        <f t="shared" si="165"/>
        <v>#N/A</v>
      </c>
      <c r="W339" s="477" t="e">
        <f t="shared" si="166"/>
        <v>#N/A</v>
      </c>
      <c r="X339" s="477" t="e">
        <f t="shared" si="167"/>
        <v>#N/A</v>
      </c>
      <c r="Y339" s="477" t="e">
        <f t="shared" si="167"/>
        <v>#N/A</v>
      </c>
    </row>
    <row r="340" spans="1:25" s="640" customFormat="1" ht="15.75" hidden="1" x14ac:dyDescent="0.25">
      <c r="A340" s="415"/>
      <c r="B340" s="415"/>
      <c r="C340" s="415"/>
      <c r="D340" s="415"/>
      <c r="E340" s="415">
        <v>2017</v>
      </c>
      <c r="F340" s="467">
        <f t="shared" si="158"/>
        <v>0</v>
      </c>
      <c r="G340" s="467">
        <f t="shared" si="158"/>
        <v>0</v>
      </c>
      <c r="H340" s="457" t="e">
        <f t="shared" si="159"/>
        <v>#N/A</v>
      </c>
      <c r="I340" s="457" t="e">
        <f t="shared" si="159"/>
        <v>#N/A</v>
      </c>
      <c r="J340" s="457" t="e">
        <f t="shared" si="159"/>
        <v>#N/A</v>
      </c>
      <c r="K340" s="476" t="e">
        <f t="shared" si="160"/>
        <v>#N/A</v>
      </c>
      <c r="L340" s="476" t="e">
        <f t="shared" si="161"/>
        <v>#N/A</v>
      </c>
      <c r="M340" s="476" t="e">
        <f t="shared" si="161"/>
        <v>#N/A</v>
      </c>
      <c r="N340" s="477" t="e">
        <f t="shared" si="162"/>
        <v>#N/A</v>
      </c>
      <c r="O340" s="477" t="e">
        <f t="shared" si="162"/>
        <v>#N/A</v>
      </c>
      <c r="P340" s="477" t="e">
        <f t="shared" si="162"/>
        <v>#N/A</v>
      </c>
      <c r="Q340" s="477" t="e">
        <f t="shared" si="163"/>
        <v>#N/A</v>
      </c>
      <c r="R340" s="477" t="e">
        <f t="shared" si="164"/>
        <v>#N/A</v>
      </c>
      <c r="S340" s="477" t="e">
        <f t="shared" si="164"/>
        <v>#N/A</v>
      </c>
      <c r="T340" s="477" t="e">
        <f t="shared" si="165"/>
        <v>#N/A</v>
      </c>
      <c r="U340" s="477" t="e">
        <f t="shared" si="165"/>
        <v>#N/A</v>
      </c>
      <c r="V340" s="477" t="e">
        <f t="shared" si="165"/>
        <v>#N/A</v>
      </c>
      <c r="W340" s="477" t="e">
        <f t="shared" si="166"/>
        <v>#N/A</v>
      </c>
      <c r="X340" s="477" t="e">
        <f t="shared" si="167"/>
        <v>#N/A</v>
      </c>
      <c r="Y340" s="477" t="e">
        <f t="shared" si="167"/>
        <v>#N/A</v>
      </c>
    </row>
    <row r="341" spans="1:25" s="640" customFormat="1" ht="15.75" hidden="1" x14ac:dyDescent="0.25">
      <c r="A341" s="415"/>
      <c r="B341" s="415"/>
      <c r="C341" s="415"/>
      <c r="D341" s="415"/>
      <c r="E341" s="415">
        <v>2018</v>
      </c>
      <c r="F341" s="467">
        <f t="shared" si="158"/>
        <v>0</v>
      </c>
      <c r="G341" s="467">
        <f t="shared" si="158"/>
        <v>0</v>
      </c>
      <c r="H341" s="457" t="e">
        <f t="shared" si="159"/>
        <v>#N/A</v>
      </c>
      <c r="I341" s="457" t="e">
        <f t="shared" si="159"/>
        <v>#N/A</v>
      </c>
      <c r="J341" s="457" t="e">
        <f t="shared" si="159"/>
        <v>#N/A</v>
      </c>
      <c r="K341" s="476" t="e">
        <f t="shared" si="160"/>
        <v>#N/A</v>
      </c>
      <c r="L341" s="476" t="e">
        <f t="shared" si="161"/>
        <v>#N/A</v>
      </c>
      <c r="M341" s="476" t="e">
        <f t="shared" si="161"/>
        <v>#N/A</v>
      </c>
      <c r="N341" s="477" t="e">
        <f t="shared" si="162"/>
        <v>#N/A</v>
      </c>
      <c r="O341" s="477" t="e">
        <f t="shared" si="162"/>
        <v>#N/A</v>
      </c>
      <c r="P341" s="477" t="e">
        <f t="shared" si="162"/>
        <v>#N/A</v>
      </c>
      <c r="Q341" s="477" t="e">
        <f t="shared" si="163"/>
        <v>#N/A</v>
      </c>
      <c r="R341" s="477" t="e">
        <f t="shared" si="164"/>
        <v>#N/A</v>
      </c>
      <c r="S341" s="477" t="e">
        <f t="shared" si="164"/>
        <v>#N/A</v>
      </c>
      <c r="T341" s="477" t="e">
        <f t="shared" si="165"/>
        <v>#N/A</v>
      </c>
      <c r="U341" s="477" t="e">
        <f t="shared" si="165"/>
        <v>#N/A</v>
      </c>
      <c r="V341" s="477" t="e">
        <f t="shared" si="165"/>
        <v>#N/A</v>
      </c>
      <c r="W341" s="477" t="e">
        <f t="shared" si="166"/>
        <v>#N/A</v>
      </c>
      <c r="X341" s="477" t="e">
        <f t="shared" si="167"/>
        <v>#N/A</v>
      </c>
      <c r="Y341" s="477" t="e">
        <f t="shared" si="167"/>
        <v>#N/A</v>
      </c>
    </row>
    <row r="342" spans="1:25" s="640" customFormat="1" ht="15.75" hidden="1" x14ac:dyDescent="0.25">
      <c r="A342" s="415"/>
      <c r="B342" s="415"/>
      <c r="C342" s="415"/>
      <c r="D342" s="415"/>
      <c r="E342" s="415">
        <v>2019</v>
      </c>
      <c r="F342" s="467">
        <f t="shared" si="158"/>
        <v>0</v>
      </c>
      <c r="G342" s="467">
        <f t="shared" si="158"/>
        <v>0</v>
      </c>
      <c r="H342" s="457" t="e">
        <f t="shared" si="159"/>
        <v>#N/A</v>
      </c>
      <c r="I342" s="457" t="e">
        <f t="shared" si="159"/>
        <v>#N/A</v>
      </c>
      <c r="J342" s="457" t="e">
        <f t="shared" si="159"/>
        <v>#N/A</v>
      </c>
      <c r="K342" s="476" t="e">
        <f t="shared" si="160"/>
        <v>#N/A</v>
      </c>
      <c r="L342" s="476" t="e">
        <f t="shared" si="161"/>
        <v>#N/A</v>
      </c>
      <c r="M342" s="476" t="e">
        <f t="shared" si="161"/>
        <v>#N/A</v>
      </c>
      <c r="N342" s="477" t="e">
        <f t="shared" si="162"/>
        <v>#N/A</v>
      </c>
      <c r="O342" s="477" t="e">
        <f t="shared" si="162"/>
        <v>#N/A</v>
      </c>
      <c r="P342" s="477" t="e">
        <f t="shared" si="162"/>
        <v>#N/A</v>
      </c>
      <c r="Q342" s="477" t="e">
        <f t="shared" si="163"/>
        <v>#N/A</v>
      </c>
      <c r="R342" s="477" t="e">
        <f t="shared" si="164"/>
        <v>#N/A</v>
      </c>
      <c r="S342" s="477" t="e">
        <f t="shared" si="164"/>
        <v>#N/A</v>
      </c>
      <c r="T342" s="477" t="e">
        <f t="shared" si="165"/>
        <v>#N/A</v>
      </c>
      <c r="U342" s="477" t="e">
        <f t="shared" si="165"/>
        <v>#N/A</v>
      </c>
      <c r="V342" s="477" t="e">
        <f t="shared" si="165"/>
        <v>#N/A</v>
      </c>
      <c r="W342" s="477" t="e">
        <f t="shared" si="166"/>
        <v>#N/A</v>
      </c>
      <c r="X342" s="477" t="e">
        <f t="shared" si="167"/>
        <v>#N/A</v>
      </c>
      <c r="Y342" s="477" t="e">
        <f t="shared" si="167"/>
        <v>#N/A</v>
      </c>
    </row>
    <row r="343" spans="1:25" s="640" customFormat="1" ht="15.75" hidden="1" x14ac:dyDescent="0.25">
      <c r="A343" s="415"/>
      <c r="B343" s="415"/>
      <c r="C343" s="415"/>
      <c r="D343" s="415"/>
      <c r="E343" s="415">
        <v>2020</v>
      </c>
      <c r="F343" s="467">
        <f t="shared" si="158"/>
        <v>0</v>
      </c>
      <c r="G343" s="467">
        <f t="shared" si="158"/>
        <v>0</v>
      </c>
      <c r="H343" s="457" t="e">
        <f t="shared" si="159"/>
        <v>#N/A</v>
      </c>
      <c r="I343" s="457" t="e">
        <f t="shared" si="159"/>
        <v>#N/A</v>
      </c>
      <c r="J343" s="457" t="e">
        <f t="shared" si="159"/>
        <v>#N/A</v>
      </c>
      <c r="K343" s="476" t="e">
        <f t="shared" si="160"/>
        <v>#N/A</v>
      </c>
      <c r="L343" s="476" t="e">
        <f t="shared" si="161"/>
        <v>#N/A</v>
      </c>
      <c r="M343" s="476" t="e">
        <f t="shared" si="161"/>
        <v>#N/A</v>
      </c>
      <c r="N343" s="477" t="e">
        <f t="shared" si="162"/>
        <v>#N/A</v>
      </c>
      <c r="O343" s="477" t="e">
        <f t="shared" si="162"/>
        <v>#N/A</v>
      </c>
      <c r="P343" s="477" t="e">
        <f t="shared" si="162"/>
        <v>#N/A</v>
      </c>
      <c r="Q343" s="477" t="e">
        <f t="shared" si="163"/>
        <v>#N/A</v>
      </c>
      <c r="R343" s="477" t="e">
        <f t="shared" si="164"/>
        <v>#N/A</v>
      </c>
      <c r="S343" s="477" t="e">
        <f t="shared" si="164"/>
        <v>#N/A</v>
      </c>
      <c r="T343" s="477" t="e">
        <f t="shared" si="165"/>
        <v>#N/A</v>
      </c>
      <c r="U343" s="477" t="e">
        <f t="shared" si="165"/>
        <v>#N/A</v>
      </c>
      <c r="V343" s="477" t="e">
        <f t="shared" si="165"/>
        <v>#N/A</v>
      </c>
      <c r="W343" s="477" t="e">
        <f t="shared" si="166"/>
        <v>#N/A</v>
      </c>
      <c r="X343" s="477" t="e">
        <f t="shared" si="167"/>
        <v>#N/A</v>
      </c>
      <c r="Y343" s="477" t="e">
        <f t="shared" si="167"/>
        <v>#N/A</v>
      </c>
    </row>
    <row r="344" spans="1:25" s="640" customFormat="1" ht="15.75" hidden="1" x14ac:dyDescent="0.25">
      <c r="A344" s="415"/>
      <c r="B344" s="415"/>
      <c r="C344" s="415"/>
      <c r="D344" s="415"/>
      <c r="E344" s="415"/>
      <c r="F344" s="415"/>
      <c r="G344" s="415"/>
      <c r="H344" s="415"/>
      <c r="I344" s="415"/>
      <c r="J344" s="415"/>
      <c r="K344" s="415"/>
      <c r="L344" s="415"/>
      <c r="M344" s="415"/>
      <c r="N344" s="447"/>
      <c r="O344" s="447"/>
      <c r="P344" s="447"/>
      <c r="Q344" s="447"/>
      <c r="R344" s="447"/>
      <c r="S344" s="447"/>
      <c r="T344" s="447"/>
      <c r="U344" s="447"/>
      <c r="V344" s="447"/>
      <c r="W344" s="447"/>
      <c r="X344" s="447"/>
      <c r="Y344" s="447"/>
    </row>
    <row r="345" spans="1:25" s="640" customFormat="1" ht="15.75" hidden="1" x14ac:dyDescent="0.25">
      <c r="A345" s="415"/>
      <c r="B345" s="415"/>
      <c r="C345" s="415"/>
      <c r="D345" s="415"/>
      <c r="E345" s="415"/>
      <c r="F345" s="415"/>
      <c r="G345" s="415"/>
      <c r="H345" s="415"/>
      <c r="I345" s="415"/>
      <c r="J345" s="415"/>
      <c r="K345" s="415"/>
      <c r="L345" s="415"/>
      <c r="M345" s="415"/>
      <c r="N345" s="447"/>
      <c r="O345" s="447"/>
      <c r="P345" s="447"/>
      <c r="Q345" s="447"/>
      <c r="R345" s="447"/>
      <c r="S345" s="447"/>
      <c r="T345" s="447"/>
      <c r="U345" s="447"/>
      <c r="V345" s="447"/>
      <c r="W345" s="447"/>
      <c r="X345" s="447"/>
      <c r="Y345" s="447"/>
    </row>
    <row r="346" spans="1:25" s="640" customFormat="1" ht="15.75" hidden="1" x14ac:dyDescent="0.25">
      <c r="A346" s="415"/>
      <c r="B346" s="1187" t="s">
        <v>1570</v>
      </c>
      <c r="C346" s="1190"/>
      <c r="D346" s="1191" t="s">
        <v>1896</v>
      </c>
      <c r="E346" s="415"/>
      <c r="F346" s="415"/>
      <c r="G346" s="415"/>
      <c r="H346" s="415"/>
      <c r="I346" s="415"/>
      <c r="J346" s="415"/>
      <c r="K346" s="415"/>
      <c r="L346" s="415"/>
      <c r="M346" s="415"/>
      <c r="N346" s="447"/>
      <c r="O346" s="447"/>
      <c r="P346" s="447"/>
      <c r="Q346" s="447"/>
      <c r="R346" s="447"/>
      <c r="S346" s="447"/>
      <c r="T346" s="447"/>
      <c r="U346" s="447"/>
      <c r="V346" s="447"/>
      <c r="W346" s="447"/>
      <c r="X346" s="447"/>
      <c r="Y346" s="447"/>
    </row>
    <row r="347" spans="1:25" s="640" customFormat="1" ht="15.75" hidden="1" x14ac:dyDescent="0.25">
      <c r="A347" s="415"/>
      <c r="B347" s="415"/>
      <c r="C347" s="415"/>
      <c r="D347" s="419" t="s">
        <v>412</v>
      </c>
      <c r="E347" s="419" t="s">
        <v>10</v>
      </c>
      <c r="F347" s="419" t="s">
        <v>428</v>
      </c>
      <c r="G347" s="419" t="str">
        <f>$G$256</f>
        <v>Cost in 2008 dollars</v>
      </c>
      <c r="H347" s="417" t="s">
        <v>583</v>
      </c>
      <c r="I347" s="417" t="s">
        <v>584</v>
      </c>
      <c r="J347" s="417" t="s">
        <v>585</v>
      </c>
      <c r="K347" s="417" t="s">
        <v>586</v>
      </c>
      <c r="L347" s="417" t="s">
        <v>413</v>
      </c>
      <c r="M347" s="417" t="s">
        <v>414</v>
      </c>
      <c r="N347" s="426" t="s">
        <v>592</v>
      </c>
      <c r="O347" s="426" t="s">
        <v>587</v>
      </c>
      <c r="P347" s="426" t="s">
        <v>588</v>
      </c>
      <c r="Q347" s="426" t="s">
        <v>589</v>
      </c>
      <c r="R347" s="426" t="s">
        <v>590</v>
      </c>
      <c r="S347" s="426" t="s">
        <v>591</v>
      </c>
      <c r="T347" s="426" t="s">
        <v>593</v>
      </c>
      <c r="U347" s="426" t="s">
        <v>594</v>
      </c>
      <c r="V347" s="426" t="s">
        <v>595</v>
      </c>
      <c r="W347" s="426" t="s">
        <v>596</v>
      </c>
      <c r="X347" s="426" t="s">
        <v>597</v>
      </c>
      <c r="Y347" s="426" t="s">
        <v>598</v>
      </c>
    </row>
    <row r="348" spans="1:25" s="640" customFormat="1" ht="15.75" hidden="1" x14ac:dyDescent="0.25">
      <c r="A348" s="415"/>
      <c r="B348" s="415"/>
      <c r="C348" s="415"/>
      <c r="D348" s="433">
        <v>484000</v>
      </c>
      <c r="E348" s="415" t="s">
        <v>755</v>
      </c>
      <c r="F348" s="1193">
        <f>J52</f>
        <v>400</v>
      </c>
      <c r="G348" s="1192">
        <f>F348*$C$578</f>
        <v>394.94992112117984</v>
      </c>
      <c r="H348" s="475" t="e">
        <f>$G348*INDEX(tier_emp_mult, MATCH($D348, tier_emp_code,0), MATCH(State, R_emp, 0))/1000000</f>
        <v>#N/A</v>
      </c>
      <c r="I348" s="436" t="e">
        <f>$G348*INDEX(typeI_emp_mult, MATCH($D348, typeI_emp_code,0), MATCH(State, R_emp, 0))/1000000</f>
        <v>#N/A</v>
      </c>
      <c r="J348" s="436" t="e">
        <f>$G348*INDEX(typeII_emp_mult, MATCH($D348, typeII_emp_code,0), MATCH(State, R_emp, 0))/1000000</f>
        <v>#N/A</v>
      </c>
      <c r="K348" s="437" t="e">
        <f>H348</f>
        <v>#N/A</v>
      </c>
      <c r="L348" s="437" t="e">
        <f t="shared" ref="L348" si="168">I348-H348</f>
        <v>#N/A</v>
      </c>
      <c r="M348" s="437" t="e">
        <f t="shared" ref="M348" si="169">J348-I348</f>
        <v>#N/A</v>
      </c>
      <c r="N348" s="436" t="e">
        <f>$G348*INDEX(tier_earn_mult, MATCH($D348, tier_earn_code,0), MATCH(State, R_earn, 0))</f>
        <v>#N/A</v>
      </c>
      <c r="O348" s="436" t="e">
        <f>$G348*INDEX(typeI_earn_mult, MATCH($D348, typeI_earn_code,0), MATCH(State, R_earn, 0))</f>
        <v>#N/A</v>
      </c>
      <c r="P348" s="436" t="e">
        <f>$G348*INDEX(typeII_earn_mult, MATCH($D348, typeII_earn_code,0), MATCH(State, R_earn, 0))</f>
        <v>#N/A</v>
      </c>
      <c r="Q348" s="438" t="e">
        <f>N348</f>
        <v>#N/A</v>
      </c>
      <c r="R348" s="438" t="e">
        <f t="shared" ref="R348" si="170">O348-N348</f>
        <v>#N/A</v>
      </c>
      <c r="S348" s="438" t="e">
        <f t="shared" ref="S348" si="171">P348-O348</f>
        <v>#N/A</v>
      </c>
      <c r="T348" s="436" t="e">
        <f>$G348*INDEX(tier_out_mult, MATCH($D348, tier_out_code,0), MATCH(State, R_out, 0))</f>
        <v>#N/A</v>
      </c>
      <c r="U348" s="436" t="e">
        <f>$G348*INDEX(typeI_out_mult, MATCH($D348, typeI_out_code,0), MATCH(State, R_out, 0))</f>
        <v>#N/A</v>
      </c>
      <c r="V348" s="436" t="e">
        <f>$G348*INDEX(typeII_out_mult, MATCH($D348, typeII_out_code,0), MATCH(State, R_out, 0))</f>
        <v>#N/A</v>
      </c>
      <c r="W348" s="438" t="e">
        <f>T348</f>
        <v>#N/A</v>
      </c>
      <c r="X348" s="438" t="e">
        <f t="shared" ref="X348" si="172">U348-T348</f>
        <v>#N/A</v>
      </c>
      <c r="Y348" s="438" t="e">
        <f t="shared" ref="Y348" si="173">V348-U348</f>
        <v>#N/A</v>
      </c>
    </row>
    <row r="349" spans="1:25" s="640" customFormat="1" ht="15.75" hidden="1" x14ac:dyDescent="0.25">
      <c r="A349" s="415"/>
      <c r="B349" s="415"/>
      <c r="C349" s="415"/>
      <c r="D349" s="415"/>
      <c r="E349" s="415"/>
      <c r="F349" s="415"/>
      <c r="G349" s="415"/>
      <c r="H349" s="415"/>
      <c r="I349" s="415"/>
      <c r="J349" s="415"/>
      <c r="K349" s="415"/>
      <c r="L349" s="415"/>
      <c r="M349" s="415"/>
      <c r="N349" s="447"/>
      <c r="O349" s="447"/>
      <c r="P349" s="447"/>
      <c r="Q349" s="447"/>
      <c r="R349" s="447"/>
      <c r="S349" s="447"/>
      <c r="T349" s="447"/>
      <c r="U349" s="447"/>
      <c r="V349" s="447"/>
      <c r="W349" s="447"/>
      <c r="X349" s="447"/>
      <c r="Y349" s="447"/>
    </row>
    <row r="350" spans="1:25" s="640" customFormat="1" ht="15.75" hidden="1" x14ac:dyDescent="0.25">
      <c r="A350" s="415"/>
      <c r="B350" s="415"/>
      <c r="C350" s="415"/>
      <c r="D350" s="415"/>
      <c r="E350" s="415">
        <v>2015</v>
      </c>
      <c r="F350" s="1194">
        <f t="shared" ref="F350:Y350" si="174">($D$599*mfg_2015*F$348)+($D$600*$F569*F$348)</f>
        <v>0</v>
      </c>
      <c r="G350" s="1194">
        <f t="shared" si="174"/>
        <v>0</v>
      </c>
      <c r="H350" s="457" t="e">
        <f t="shared" si="174"/>
        <v>#N/A</v>
      </c>
      <c r="I350" s="457" t="e">
        <f t="shared" si="174"/>
        <v>#N/A</v>
      </c>
      <c r="J350" s="457" t="e">
        <f t="shared" si="174"/>
        <v>#N/A</v>
      </c>
      <c r="K350" s="457" t="e">
        <f t="shared" si="174"/>
        <v>#N/A</v>
      </c>
      <c r="L350" s="457" t="e">
        <f t="shared" si="174"/>
        <v>#N/A</v>
      </c>
      <c r="M350" s="457" t="e">
        <f t="shared" si="174"/>
        <v>#N/A</v>
      </c>
      <c r="N350" s="1194" t="e">
        <f t="shared" si="174"/>
        <v>#N/A</v>
      </c>
      <c r="O350" s="1194" t="e">
        <f t="shared" si="174"/>
        <v>#N/A</v>
      </c>
      <c r="P350" s="1194" t="e">
        <f t="shared" si="174"/>
        <v>#N/A</v>
      </c>
      <c r="Q350" s="1194" t="e">
        <f t="shared" si="174"/>
        <v>#N/A</v>
      </c>
      <c r="R350" s="1194" t="e">
        <f t="shared" si="174"/>
        <v>#N/A</v>
      </c>
      <c r="S350" s="1194" t="e">
        <f t="shared" si="174"/>
        <v>#N/A</v>
      </c>
      <c r="T350" s="1194" t="e">
        <f t="shared" si="174"/>
        <v>#N/A</v>
      </c>
      <c r="U350" s="1194" t="e">
        <f t="shared" si="174"/>
        <v>#N/A</v>
      </c>
      <c r="V350" s="1194" t="e">
        <f t="shared" si="174"/>
        <v>#N/A</v>
      </c>
      <c r="W350" s="1194" t="e">
        <f t="shared" si="174"/>
        <v>#N/A</v>
      </c>
      <c r="X350" s="1194" t="e">
        <f t="shared" si="174"/>
        <v>#N/A</v>
      </c>
      <c r="Y350" s="1194" t="e">
        <f t="shared" si="174"/>
        <v>#N/A</v>
      </c>
    </row>
    <row r="351" spans="1:25" s="640" customFormat="1" ht="15.75" hidden="1" x14ac:dyDescent="0.25">
      <c r="A351" s="415"/>
      <c r="B351" s="415"/>
      <c r="C351" s="415"/>
      <c r="D351" s="415"/>
      <c r="E351" s="415">
        <v>2016</v>
      </c>
      <c r="F351" s="1194">
        <f t="shared" ref="F351:Y351" si="175">($D$599*mfg_2016*F$348)+($D$600*$F570*F$348)</f>
        <v>0</v>
      </c>
      <c r="G351" s="1194">
        <f t="shared" si="175"/>
        <v>0</v>
      </c>
      <c r="H351" s="457" t="e">
        <f t="shared" si="175"/>
        <v>#N/A</v>
      </c>
      <c r="I351" s="457" t="e">
        <f t="shared" si="175"/>
        <v>#N/A</v>
      </c>
      <c r="J351" s="457" t="e">
        <f t="shared" si="175"/>
        <v>#N/A</v>
      </c>
      <c r="K351" s="457" t="e">
        <f t="shared" si="175"/>
        <v>#N/A</v>
      </c>
      <c r="L351" s="457" t="e">
        <f t="shared" si="175"/>
        <v>#N/A</v>
      </c>
      <c r="M351" s="457" t="e">
        <f t="shared" si="175"/>
        <v>#N/A</v>
      </c>
      <c r="N351" s="1194" t="e">
        <f t="shared" si="175"/>
        <v>#N/A</v>
      </c>
      <c r="O351" s="1194" t="e">
        <f t="shared" si="175"/>
        <v>#N/A</v>
      </c>
      <c r="P351" s="1194" t="e">
        <f t="shared" si="175"/>
        <v>#N/A</v>
      </c>
      <c r="Q351" s="1194" t="e">
        <f t="shared" si="175"/>
        <v>#N/A</v>
      </c>
      <c r="R351" s="1194" t="e">
        <f t="shared" si="175"/>
        <v>#N/A</v>
      </c>
      <c r="S351" s="1194" t="e">
        <f t="shared" si="175"/>
        <v>#N/A</v>
      </c>
      <c r="T351" s="1194" t="e">
        <f t="shared" si="175"/>
        <v>#N/A</v>
      </c>
      <c r="U351" s="1194" t="e">
        <f t="shared" si="175"/>
        <v>#N/A</v>
      </c>
      <c r="V351" s="1194" t="e">
        <f t="shared" si="175"/>
        <v>#N/A</v>
      </c>
      <c r="W351" s="1194" t="e">
        <f t="shared" si="175"/>
        <v>#N/A</v>
      </c>
      <c r="X351" s="1194" t="e">
        <f t="shared" si="175"/>
        <v>#N/A</v>
      </c>
      <c r="Y351" s="1194" t="e">
        <f t="shared" si="175"/>
        <v>#N/A</v>
      </c>
    </row>
    <row r="352" spans="1:25" s="640" customFormat="1" ht="15.75" hidden="1" x14ac:dyDescent="0.25">
      <c r="A352" s="415"/>
      <c r="B352" s="415"/>
      <c r="C352" s="415"/>
      <c r="D352" s="415"/>
      <c r="E352" s="415">
        <v>2017</v>
      </c>
      <c r="F352" s="1194">
        <f t="shared" ref="F352:Y352" si="176">($D$599*mfg_2017*F$348)+($D$600*$F571*F$348)</f>
        <v>0</v>
      </c>
      <c r="G352" s="1194">
        <f t="shared" si="176"/>
        <v>0</v>
      </c>
      <c r="H352" s="457" t="e">
        <f t="shared" si="176"/>
        <v>#N/A</v>
      </c>
      <c r="I352" s="457" t="e">
        <f t="shared" si="176"/>
        <v>#N/A</v>
      </c>
      <c r="J352" s="457" t="e">
        <f t="shared" si="176"/>
        <v>#N/A</v>
      </c>
      <c r="K352" s="457" t="e">
        <f t="shared" si="176"/>
        <v>#N/A</v>
      </c>
      <c r="L352" s="457" t="e">
        <f t="shared" si="176"/>
        <v>#N/A</v>
      </c>
      <c r="M352" s="457" t="e">
        <f t="shared" si="176"/>
        <v>#N/A</v>
      </c>
      <c r="N352" s="1194" t="e">
        <f t="shared" si="176"/>
        <v>#N/A</v>
      </c>
      <c r="O352" s="1194" t="e">
        <f t="shared" si="176"/>
        <v>#N/A</v>
      </c>
      <c r="P352" s="1194" t="e">
        <f t="shared" si="176"/>
        <v>#N/A</v>
      </c>
      <c r="Q352" s="1194" t="e">
        <f t="shared" si="176"/>
        <v>#N/A</v>
      </c>
      <c r="R352" s="1194" t="e">
        <f t="shared" si="176"/>
        <v>#N/A</v>
      </c>
      <c r="S352" s="1194" t="e">
        <f t="shared" si="176"/>
        <v>#N/A</v>
      </c>
      <c r="T352" s="1194" t="e">
        <f t="shared" si="176"/>
        <v>#N/A</v>
      </c>
      <c r="U352" s="1194" t="e">
        <f t="shared" si="176"/>
        <v>#N/A</v>
      </c>
      <c r="V352" s="1194" t="e">
        <f t="shared" si="176"/>
        <v>#N/A</v>
      </c>
      <c r="W352" s="1194" t="e">
        <f t="shared" si="176"/>
        <v>#N/A</v>
      </c>
      <c r="X352" s="1194" t="e">
        <f t="shared" si="176"/>
        <v>#N/A</v>
      </c>
      <c r="Y352" s="1194" t="e">
        <f t="shared" si="176"/>
        <v>#N/A</v>
      </c>
    </row>
    <row r="353" spans="1:25" s="640" customFormat="1" ht="15.75" hidden="1" x14ac:dyDescent="0.25">
      <c r="A353" s="415"/>
      <c r="B353" s="415"/>
      <c r="C353" s="415"/>
      <c r="D353" s="415"/>
      <c r="E353" s="415">
        <v>2018</v>
      </c>
      <c r="F353" s="1194">
        <f t="shared" ref="F353:Y353" si="177">($D$599*mfg_2018*F$348)+($D$600*$F572*F$348)</f>
        <v>0</v>
      </c>
      <c r="G353" s="1194">
        <f t="shared" si="177"/>
        <v>0</v>
      </c>
      <c r="H353" s="457" t="e">
        <f t="shared" si="177"/>
        <v>#N/A</v>
      </c>
      <c r="I353" s="457" t="e">
        <f t="shared" si="177"/>
        <v>#N/A</v>
      </c>
      <c r="J353" s="457" t="e">
        <f t="shared" si="177"/>
        <v>#N/A</v>
      </c>
      <c r="K353" s="457" t="e">
        <f t="shared" si="177"/>
        <v>#N/A</v>
      </c>
      <c r="L353" s="457" t="e">
        <f t="shared" si="177"/>
        <v>#N/A</v>
      </c>
      <c r="M353" s="457" t="e">
        <f t="shared" si="177"/>
        <v>#N/A</v>
      </c>
      <c r="N353" s="1194" t="e">
        <f t="shared" si="177"/>
        <v>#N/A</v>
      </c>
      <c r="O353" s="1194" t="e">
        <f t="shared" si="177"/>
        <v>#N/A</v>
      </c>
      <c r="P353" s="1194" t="e">
        <f t="shared" si="177"/>
        <v>#N/A</v>
      </c>
      <c r="Q353" s="1194" t="e">
        <f t="shared" si="177"/>
        <v>#N/A</v>
      </c>
      <c r="R353" s="1194" t="e">
        <f t="shared" si="177"/>
        <v>#N/A</v>
      </c>
      <c r="S353" s="1194" t="e">
        <f t="shared" si="177"/>
        <v>#N/A</v>
      </c>
      <c r="T353" s="1194" t="e">
        <f t="shared" si="177"/>
        <v>#N/A</v>
      </c>
      <c r="U353" s="1194" t="e">
        <f t="shared" si="177"/>
        <v>#N/A</v>
      </c>
      <c r="V353" s="1194" t="e">
        <f t="shared" si="177"/>
        <v>#N/A</v>
      </c>
      <c r="W353" s="1194" t="e">
        <f t="shared" si="177"/>
        <v>#N/A</v>
      </c>
      <c r="X353" s="1194" t="e">
        <f t="shared" si="177"/>
        <v>#N/A</v>
      </c>
      <c r="Y353" s="1194" t="e">
        <f t="shared" si="177"/>
        <v>#N/A</v>
      </c>
    </row>
    <row r="354" spans="1:25" s="640" customFormat="1" ht="15.75" hidden="1" x14ac:dyDescent="0.25">
      <c r="A354" s="415"/>
      <c r="B354" s="415"/>
      <c r="C354" s="415"/>
      <c r="D354" s="415"/>
      <c r="E354" s="415">
        <v>2019</v>
      </c>
      <c r="F354" s="1194">
        <f t="shared" ref="F354:Y354" si="178">($D$599*mfg_2019*F$348)+($D$600*$F573*F$348)</f>
        <v>0</v>
      </c>
      <c r="G354" s="1194">
        <f t="shared" si="178"/>
        <v>0</v>
      </c>
      <c r="H354" s="457" t="e">
        <f t="shared" si="178"/>
        <v>#N/A</v>
      </c>
      <c r="I354" s="457" t="e">
        <f t="shared" si="178"/>
        <v>#N/A</v>
      </c>
      <c r="J354" s="457" t="e">
        <f t="shared" si="178"/>
        <v>#N/A</v>
      </c>
      <c r="K354" s="457" t="e">
        <f t="shared" si="178"/>
        <v>#N/A</v>
      </c>
      <c r="L354" s="457" t="e">
        <f t="shared" si="178"/>
        <v>#N/A</v>
      </c>
      <c r="M354" s="457" t="e">
        <f t="shared" si="178"/>
        <v>#N/A</v>
      </c>
      <c r="N354" s="1194" t="e">
        <f t="shared" si="178"/>
        <v>#N/A</v>
      </c>
      <c r="O354" s="1194" t="e">
        <f t="shared" si="178"/>
        <v>#N/A</v>
      </c>
      <c r="P354" s="1194" t="e">
        <f t="shared" si="178"/>
        <v>#N/A</v>
      </c>
      <c r="Q354" s="1194" t="e">
        <f t="shared" si="178"/>
        <v>#N/A</v>
      </c>
      <c r="R354" s="1194" t="e">
        <f t="shared" si="178"/>
        <v>#N/A</v>
      </c>
      <c r="S354" s="1194" t="e">
        <f t="shared" si="178"/>
        <v>#N/A</v>
      </c>
      <c r="T354" s="1194" t="e">
        <f t="shared" si="178"/>
        <v>#N/A</v>
      </c>
      <c r="U354" s="1194" t="e">
        <f t="shared" si="178"/>
        <v>#N/A</v>
      </c>
      <c r="V354" s="1194" t="e">
        <f t="shared" si="178"/>
        <v>#N/A</v>
      </c>
      <c r="W354" s="1194" t="e">
        <f t="shared" si="178"/>
        <v>#N/A</v>
      </c>
      <c r="X354" s="1194" t="e">
        <f t="shared" si="178"/>
        <v>#N/A</v>
      </c>
      <c r="Y354" s="1194" t="e">
        <f t="shared" si="178"/>
        <v>#N/A</v>
      </c>
    </row>
    <row r="355" spans="1:25" s="640" customFormat="1" ht="15.75" hidden="1" x14ac:dyDescent="0.25">
      <c r="A355" s="415"/>
      <c r="B355" s="415"/>
      <c r="C355" s="415"/>
      <c r="D355" s="415"/>
      <c r="E355" s="415">
        <v>2020</v>
      </c>
      <c r="F355" s="1194">
        <f t="shared" ref="F355:Y355" si="179">($D$599*mfg_2020*F$348)+($D$600*$F574*F$348)</f>
        <v>0</v>
      </c>
      <c r="G355" s="1194">
        <f t="shared" si="179"/>
        <v>0</v>
      </c>
      <c r="H355" s="457" t="e">
        <f t="shared" si="179"/>
        <v>#N/A</v>
      </c>
      <c r="I355" s="457" t="e">
        <f t="shared" si="179"/>
        <v>#N/A</v>
      </c>
      <c r="J355" s="457" t="e">
        <f t="shared" si="179"/>
        <v>#N/A</v>
      </c>
      <c r="K355" s="457" t="e">
        <f t="shared" si="179"/>
        <v>#N/A</v>
      </c>
      <c r="L355" s="457" t="e">
        <f t="shared" si="179"/>
        <v>#N/A</v>
      </c>
      <c r="M355" s="457" t="e">
        <f t="shared" si="179"/>
        <v>#N/A</v>
      </c>
      <c r="N355" s="1194" t="e">
        <f t="shared" si="179"/>
        <v>#N/A</v>
      </c>
      <c r="O355" s="1194" t="e">
        <f t="shared" si="179"/>
        <v>#N/A</v>
      </c>
      <c r="P355" s="1194" t="e">
        <f t="shared" si="179"/>
        <v>#N/A</v>
      </c>
      <c r="Q355" s="1194" t="e">
        <f t="shared" si="179"/>
        <v>#N/A</v>
      </c>
      <c r="R355" s="1194" t="e">
        <f t="shared" si="179"/>
        <v>#N/A</v>
      </c>
      <c r="S355" s="1194" t="e">
        <f t="shared" si="179"/>
        <v>#N/A</v>
      </c>
      <c r="T355" s="1194" t="e">
        <f t="shared" si="179"/>
        <v>#N/A</v>
      </c>
      <c r="U355" s="1194" t="e">
        <f t="shared" si="179"/>
        <v>#N/A</v>
      </c>
      <c r="V355" s="1194" t="e">
        <f t="shared" si="179"/>
        <v>#N/A</v>
      </c>
      <c r="W355" s="1194" t="e">
        <f t="shared" si="179"/>
        <v>#N/A</v>
      </c>
      <c r="X355" s="1194" t="e">
        <f t="shared" si="179"/>
        <v>#N/A</v>
      </c>
      <c r="Y355" s="1194" t="e">
        <f t="shared" si="179"/>
        <v>#N/A</v>
      </c>
    </row>
    <row r="356" spans="1:25" s="640" customFormat="1" ht="15.75" hidden="1" x14ac:dyDescent="0.25">
      <c r="A356" s="415"/>
      <c r="B356" s="415"/>
      <c r="C356" s="415"/>
      <c r="D356" s="415"/>
      <c r="E356" s="415"/>
      <c r="F356" s="415"/>
      <c r="G356" s="415"/>
      <c r="H356" s="415"/>
      <c r="I356" s="415"/>
      <c r="J356" s="415"/>
      <c r="K356" s="415"/>
      <c r="L356" s="415"/>
      <c r="M356" s="415"/>
      <c r="N356" s="447"/>
      <c r="O356" s="447"/>
      <c r="P356" s="447"/>
      <c r="Q356" s="447"/>
      <c r="R356" s="447"/>
      <c r="S356" s="447"/>
      <c r="T356" s="447"/>
      <c r="U356" s="447"/>
      <c r="V356" s="447"/>
      <c r="W356" s="447"/>
      <c r="X356" s="447"/>
      <c r="Y356" s="447"/>
    </row>
    <row r="357" spans="1:25" s="640" customFormat="1" ht="15.75" hidden="1" x14ac:dyDescent="0.25">
      <c r="A357" s="415"/>
      <c r="B357" s="415"/>
      <c r="C357" s="415"/>
      <c r="D357" s="415"/>
      <c r="E357" s="415"/>
      <c r="F357" s="415"/>
      <c r="G357" s="415"/>
      <c r="H357" s="415"/>
      <c r="I357" s="415"/>
      <c r="J357" s="415"/>
      <c r="K357" s="415"/>
      <c r="L357" s="415"/>
      <c r="M357" s="415"/>
      <c r="N357" s="447"/>
      <c r="O357" s="447"/>
      <c r="P357" s="447"/>
      <c r="Q357" s="447"/>
      <c r="R357" s="447"/>
      <c r="S357" s="447"/>
      <c r="T357" s="447"/>
      <c r="U357" s="447"/>
      <c r="V357" s="447"/>
      <c r="W357" s="447"/>
      <c r="X357" s="447"/>
      <c r="Y357" s="447"/>
    </row>
    <row r="358" spans="1:25" s="640" customFormat="1" ht="15.75" hidden="1" x14ac:dyDescent="0.25">
      <c r="A358" s="415"/>
      <c r="B358" s="415"/>
      <c r="C358" s="415"/>
      <c r="D358" s="415"/>
      <c r="E358" s="415"/>
      <c r="F358" s="415"/>
      <c r="G358" s="415"/>
      <c r="H358" s="415"/>
      <c r="I358" s="415"/>
      <c r="J358" s="415"/>
      <c r="K358" s="415"/>
      <c r="L358" s="415"/>
      <c r="M358" s="415"/>
      <c r="N358" s="447"/>
      <c r="O358" s="447"/>
      <c r="P358" s="447"/>
      <c r="Q358" s="447"/>
      <c r="R358" s="447"/>
      <c r="S358" s="447"/>
      <c r="T358" s="447"/>
      <c r="U358" s="447"/>
      <c r="V358" s="447"/>
      <c r="W358" s="447"/>
      <c r="X358" s="447"/>
      <c r="Y358" s="447"/>
    </row>
    <row r="359" spans="1:25" s="640" customFormat="1" ht="15.75" hidden="1" x14ac:dyDescent="0.25">
      <c r="A359" s="415"/>
      <c r="B359" s="415"/>
      <c r="C359" s="415"/>
      <c r="D359" s="415"/>
      <c r="E359" s="415"/>
      <c r="F359" s="415"/>
      <c r="G359" s="415"/>
      <c r="H359" s="415"/>
      <c r="I359" s="415"/>
      <c r="J359" s="415"/>
      <c r="K359" s="415"/>
      <c r="L359" s="415"/>
      <c r="M359" s="415"/>
      <c r="N359" s="447"/>
      <c r="O359" s="447"/>
      <c r="P359" s="447"/>
      <c r="Q359" s="447"/>
      <c r="R359" s="447"/>
      <c r="S359" s="447"/>
      <c r="T359" s="447"/>
      <c r="U359" s="447"/>
      <c r="V359" s="447"/>
      <c r="W359" s="447"/>
      <c r="X359" s="447"/>
      <c r="Y359" s="447"/>
    </row>
    <row r="360" spans="1:25" s="640" customFormat="1" ht="15.75" hidden="1" x14ac:dyDescent="0.25">
      <c r="A360" s="415"/>
      <c r="B360" s="415"/>
      <c r="C360" s="415"/>
      <c r="D360" s="415"/>
      <c r="E360" s="415"/>
      <c r="F360" s="415"/>
      <c r="G360" s="415"/>
      <c r="H360" s="415"/>
      <c r="I360" s="415"/>
      <c r="J360" s="415"/>
      <c r="K360" s="415"/>
      <c r="L360" s="415"/>
      <c r="M360" s="415"/>
      <c r="N360" s="447"/>
      <c r="O360" s="447"/>
      <c r="P360" s="447"/>
      <c r="Q360" s="447"/>
      <c r="R360" s="447"/>
      <c r="S360" s="447"/>
      <c r="T360" s="447"/>
      <c r="U360" s="447"/>
      <c r="V360" s="447"/>
      <c r="W360" s="447"/>
      <c r="X360" s="447"/>
      <c r="Y360" s="447"/>
    </row>
    <row r="361" spans="1:25" s="640" customFormat="1" ht="15.75" hidden="1" x14ac:dyDescent="0.25">
      <c r="A361" s="415"/>
      <c r="B361" s="415"/>
      <c r="C361" s="415"/>
      <c r="D361" s="415"/>
      <c r="E361" s="415"/>
      <c r="F361" s="415"/>
      <c r="G361" s="415"/>
      <c r="H361" s="415"/>
      <c r="I361" s="415"/>
      <c r="J361" s="415"/>
      <c r="K361" s="415"/>
      <c r="L361" s="415"/>
      <c r="M361" s="415"/>
      <c r="N361" s="447"/>
      <c r="O361" s="447"/>
      <c r="P361" s="447"/>
      <c r="Q361" s="447"/>
      <c r="R361" s="447"/>
      <c r="S361" s="447"/>
      <c r="T361" s="447"/>
      <c r="U361" s="447"/>
      <c r="V361" s="447"/>
      <c r="W361" s="447"/>
      <c r="X361" s="447"/>
      <c r="Y361" s="447"/>
    </row>
    <row r="362" spans="1:25" s="640" customFormat="1" ht="15.75" hidden="1" x14ac:dyDescent="0.25">
      <c r="A362" s="415"/>
      <c r="B362" s="415"/>
      <c r="C362" s="415"/>
      <c r="D362" s="415"/>
      <c r="E362" s="415"/>
      <c r="F362" s="415"/>
      <c r="G362" s="415"/>
      <c r="H362" s="415"/>
      <c r="I362" s="415"/>
      <c r="J362" s="415"/>
      <c r="K362" s="415"/>
      <c r="L362" s="415"/>
      <c r="M362" s="415"/>
      <c r="N362" s="447"/>
      <c r="O362" s="447"/>
      <c r="P362" s="447"/>
      <c r="Q362" s="447"/>
      <c r="R362" s="447"/>
      <c r="S362" s="447"/>
      <c r="T362" s="447"/>
      <c r="U362" s="447"/>
      <c r="V362" s="447"/>
      <c r="W362" s="447"/>
      <c r="X362" s="447"/>
      <c r="Y362" s="447"/>
    </row>
    <row r="363" spans="1:25" s="640" customFormat="1" ht="15.75" hidden="1" x14ac:dyDescent="0.25">
      <c r="A363" s="415"/>
      <c r="B363" s="415"/>
      <c r="C363" s="415"/>
      <c r="D363" s="415"/>
      <c r="E363" s="415"/>
      <c r="F363" s="467"/>
      <c r="G363" s="415"/>
      <c r="H363" s="415"/>
      <c r="I363" s="415"/>
      <c r="J363" s="415"/>
      <c r="K363" s="415"/>
      <c r="L363" s="415"/>
      <c r="M363" s="415"/>
      <c r="N363" s="447"/>
      <c r="O363" s="447"/>
      <c r="P363" s="447"/>
      <c r="Q363" s="447"/>
      <c r="R363" s="447"/>
      <c r="S363" s="447"/>
      <c r="T363" s="447"/>
      <c r="U363" s="447"/>
      <c r="V363" s="447"/>
      <c r="W363" s="1216" t="e">
        <f>W200++W224+W248+W282+W294+W309+W323+W338+W350</f>
        <v>#N/A</v>
      </c>
      <c r="X363" s="447"/>
      <c r="Y363" s="447"/>
    </row>
    <row r="364" spans="1:25" s="640" customFormat="1" ht="15.75" hidden="1" x14ac:dyDescent="0.25">
      <c r="A364" s="417"/>
      <c r="B364" s="691" t="s">
        <v>1897</v>
      </c>
      <c r="C364" s="1145"/>
      <c r="D364" s="1146"/>
      <c r="E364" s="417"/>
      <c r="F364" s="417"/>
      <c r="G364" s="417"/>
      <c r="H364" s="417"/>
      <c r="I364" s="417"/>
      <c r="J364" s="417"/>
      <c r="K364" s="417" t="str">
        <f>K332</f>
        <v>Direct employment</v>
      </c>
      <c r="L364" s="417" t="str">
        <f>L332</f>
        <v>Indirect Employment</v>
      </c>
      <c r="M364" s="417" t="str">
        <f>M332</f>
        <v>Induced Employment</v>
      </c>
      <c r="N364" s="417"/>
      <c r="O364" s="417"/>
      <c r="P364" s="417"/>
      <c r="Q364" s="417" t="str">
        <f>Q332</f>
        <v>Direct earnings</v>
      </c>
      <c r="R364" s="417" t="str">
        <f>R332</f>
        <v>Indirect earnings</v>
      </c>
      <c r="S364" s="417" t="str">
        <f>S332</f>
        <v>Induced earnings</v>
      </c>
      <c r="T364" s="426"/>
      <c r="U364" s="426"/>
      <c r="V364" s="426"/>
      <c r="W364" s="426" t="str">
        <f>W332</f>
        <v>Direct output</v>
      </c>
      <c r="X364" s="426" t="str">
        <f>X332</f>
        <v>Indirect output</v>
      </c>
      <c r="Y364" s="426" t="str">
        <f>Y332</f>
        <v>Induced output</v>
      </c>
    </row>
    <row r="365" spans="1:25" s="640" customFormat="1" ht="15.75" hidden="1" x14ac:dyDescent="0.25">
      <c r="A365" s="415"/>
      <c r="B365" s="1144"/>
      <c r="C365" s="1147"/>
      <c r="D365" s="1148"/>
      <c r="E365" s="415"/>
      <c r="F365" s="415"/>
      <c r="G365" s="415"/>
      <c r="H365" s="415"/>
      <c r="I365" s="415"/>
      <c r="J365" s="417">
        <v>2015</v>
      </c>
      <c r="K365" s="423" t="e">
        <f>K200+K294+K309+K338+K350</f>
        <v>#N/A</v>
      </c>
      <c r="L365" s="423" t="e">
        <f>K224+L224+K248+L248+K282+L282+L309+K323+L323+L338+L350</f>
        <v>#N/A</v>
      </c>
      <c r="M365" s="423" t="e">
        <f>M200+M224+M248+M282+M294+M309+M323+M338+M350</f>
        <v>#N/A</v>
      </c>
      <c r="N365" s="415"/>
      <c r="O365" s="415"/>
      <c r="P365" s="415"/>
      <c r="Q365" s="423" t="e">
        <f>Q200+Q294+Q309+Q338+Q350</f>
        <v>#N/A</v>
      </c>
      <c r="R365" s="423" t="e">
        <f>Q224+R224+Q248+R248+Q282+R282+R309+Q323+R323+R338+R350</f>
        <v>#N/A</v>
      </c>
      <c r="S365" s="423" t="e">
        <f>S200+S224+S248+S282+S294+S309+S323+S338+S350</f>
        <v>#N/A</v>
      </c>
      <c r="T365" s="415"/>
      <c r="U365" s="447"/>
      <c r="V365" s="447"/>
      <c r="W365" s="423" t="e">
        <f t="shared" ref="W365:W370" si="180">G582+G590+W350</f>
        <v>#N/A</v>
      </c>
      <c r="X365" s="423" t="e">
        <f>W224+X224+W248+X248+W282+X282+X309+W323+X323+X338+X350</f>
        <v>#N/A</v>
      </c>
      <c r="Y365" s="423" t="e">
        <f>Y200+Y224+Y248+Y282+Y294+Y309+Y323+Y338+Y350</f>
        <v>#N/A</v>
      </c>
    </row>
    <row r="366" spans="1:25" s="640" customFormat="1" ht="15.75" hidden="1" x14ac:dyDescent="0.25">
      <c r="A366" s="415"/>
      <c r="B366" s="1144"/>
      <c r="C366" s="1147"/>
      <c r="D366" s="1148"/>
      <c r="E366" s="415"/>
      <c r="F366" s="415"/>
      <c r="G366" s="415"/>
      <c r="H366" s="415"/>
      <c r="I366" s="415"/>
      <c r="J366" s="417">
        <v>2016</v>
      </c>
      <c r="K366" s="423" t="e">
        <f t="shared" ref="K366:K370" si="181">K201+K295+K310+K339+K351</f>
        <v>#N/A</v>
      </c>
      <c r="L366" s="423" t="e">
        <f t="shared" ref="L366:L370" si="182">K225+L225+K249+L249+K283+L283+L310+K324+L324+L339+L351</f>
        <v>#N/A</v>
      </c>
      <c r="M366" s="423" t="e">
        <f t="shared" ref="M366:M370" si="183">M201+M225+M249+M283+M295+M310+M324+M339+M351</f>
        <v>#N/A</v>
      </c>
      <c r="N366" s="415"/>
      <c r="O366" s="415"/>
      <c r="P366" s="415"/>
      <c r="Q366" s="423" t="e">
        <f t="shared" ref="Q366:Q370" si="184">Q201+Q295+Q310+Q339+Q351</f>
        <v>#N/A</v>
      </c>
      <c r="R366" s="423" t="e">
        <f t="shared" ref="R366:R370" si="185">Q225+R225+Q249+R249+Q283+R283+R310+Q324+R324+R339+R351</f>
        <v>#N/A</v>
      </c>
      <c r="S366" s="423" t="e">
        <f t="shared" ref="S366:S370" si="186">S201+S225+S249+S283+S295+S310+S324+S339+S351</f>
        <v>#N/A</v>
      </c>
      <c r="T366" s="426"/>
      <c r="U366" s="447"/>
      <c r="V366" s="447"/>
      <c r="W366" s="423" t="e">
        <f t="shared" si="180"/>
        <v>#N/A</v>
      </c>
      <c r="X366" s="423" t="e">
        <f t="shared" ref="X366:X370" si="187">W225+X225+W249+X249+W283+X283+X310+W324+X324+X339+X351</f>
        <v>#N/A</v>
      </c>
      <c r="Y366" s="423" t="e">
        <f t="shared" ref="Y366:Y370" si="188">Y201+Y225+Y249+Y283+Y295+Y310+Y324+Y339+Y351</f>
        <v>#N/A</v>
      </c>
    </row>
    <row r="367" spans="1:25" s="640" customFormat="1" ht="15.75" hidden="1" x14ac:dyDescent="0.25">
      <c r="A367" s="415"/>
      <c r="B367" s="1144"/>
      <c r="C367" s="1147"/>
      <c r="D367" s="1148"/>
      <c r="E367" s="415"/>
      <c r="F367" s="415"/>
      <c r="G367" s="415"/>
      <c r="H367" s="415"/>
      <c r="I367" s="415"/>
      <c r="J367" s="417">
        <v>2017</v>
      </c>
      <c r="K367" s="423" t="e">
        <f t="shared" si="181"/>
        <v>#N/A</v>
      </c>
      <c r="L367" s="423" t="e">
        <f t="shared" si="182"/>
        <v>#N/A</v>
      </c>
      <c r="M367" s="423" t="e">
        <f t="shared" si="183"/>
        <v>#N/A</v>
      </c>
      <c r="N367" s="415"/>
      <c r="O367" s="415"/>
      <c r="P367" s="415"/>
      <c r="Q367" s="423" t="e">
        <f t="shared" si="184"/>
        <v>#N/A</v>
      </c>
      <c r="R367" s="423" t="e">
        <f t="shared" si="185"/>
        <v>#N/A</v>
      </c>
      <c r="S367" s="423" t="e">
        <f t="shared" si="186"/>
        <v>#N/A</v>
      </c>
      <c r="T367" s="447"/>
      <c r="U367" s="447"/>
      <c r="V367" s="447"/>
      <c r="W367" s="423" t="e">
        <f t="shared" si="180"/>
        <v>#N/A</v>
      </c>
      <c r="X367" s="423" t="e">
        <f t="shared" si="187"/>
        <v>#N/A</v>
      </c>
      <c r="Y367" s="423" t="e">
        <f t="shared" si="188"/>
        <v>#N/A</v>
      </c>
    </row>
    <row r="368" spans="1:25" s="640" customFormat="1" ht="15.75" hidden="1" x14ac:dyDescent="0.25">
      <c r="A368" s="415"/>
      <c r="B368" s="1144"/>
      <c r="C368" s="1147"/>
      <c r="D368" s="1148"/>
      <c r="E368" s="415"/>
      <c r="F368" s="415"/>
      <c r="G368" s="415"/>
      <c r="H368" s="415"/>
      <c r="I368" s="415"/>
      <c r="J368" s="417">
        <v>2018</v>
      </c>
      <c r="K368" s="423" t="e">
        <f t="shared" si="181"/>
        <v>#N/A</v>
      </c>
      <c r="L368" s="423" t="e">
        <f t="shared" si="182"/>
        <v>#N/A</v>
      </c>
      <c r="M368" s="423" t="e">
        <f t="shared" si="183"/>
        <v>#N/A</v>
      </c>
      <c r="N368" s="415"/>
      <c r="O368" s="415"/>
      <c r="P368" s="415"/>
      <c r="Q368" s="423" t="e">
        <f t="shared" si="184"/>
        <v>#N/A</v>
      </c>
      <c r="R368" s="423" t="e">
        <f t="shared" si="185"/>
        <v>#N/A</v>
      </c>
      <c r="S368" s="423" t="e">
        <f t="shared" si="186"/>
        <v>#N/A</v>
      </c>
      <c r="T368" s="447"/>
      <c r="U368" s="447"/>
      <c r="V368" s="447"/>
      <c r="W368" s="423" t="e">
        <f t="shared" si="180"/>
        <v>#N/A</v>
      </c>
      <c r="X368" s="423" t="e">
        <f t="shared" si="187"/>
        <v>#N/A</v>
      </c>
      <c r="Y368" s="423" t="e">
        <f t="shared" si="188"/>
        <v>#N/A</v>
      </c>
    </row>
    <row r="369" spans="1:37" s="640" customFormat="1" ht="15.75" hidden="1" x14ac:dyDescent="0.25">
      <c r="A369" s="415"/>
      <c r="B369" s="1144"/>
      <c r="C369" s="1147"/>
      <c r="D369" s="1148"/>
      <c r="E369" s="415"/>
      <c r="F369" s="415"/>
      <c r="G369" s="415"/>
      <c r="H369" s="415"/>
      <c r="I369" s="415"/>
      <c r="J369" s="417">
        <v>2019</v>
      </c>
      <c r="K369" s="423" t="e">
        <f t="shared" si="181"/>
        <v>#N/A</v>
      </c>
      <c r="L369" s="423" t="e">
        <f t="shared" si="182"/>
        <v>#N/A</v>
      </c>
      <c r="M369" s="423" t="e">
        <f t="shared" si="183"/>
        <v>#N/A</v>
      </c>
      <c r="N369" s="415"/>
      <c r="O369" s="415"/>
      <c r="P369" s="415"/>
      <c r="Q369" s="423" t="e">
        <f t="shared" si="184"/>
        <v>#N/A</v>
      </c>
      <c r="R369" s="423" t="e">
        <f t="shared" si="185"/>
        <v>#N/A</v>
      </c>
      <c r="S369" s="423" t="e">
        <f t="shared" si="186"/>
        <v>#N/A</v>
      </c>
      <c r="T369" s="447"/>
      <c r="U369" s="447"/>
      <c r="V369" s="447"/>
      <c r="W369" s="423" t="e">
        <f t="shared" si="180"/>
        <v>#N/A</v>
      </c>
      <c r="X369" s="423" t="e">
        <f t="shared" si="187"/>
        <v>#N/A</v>
      </c>
      <c r="Y369" s="423" t="e">
        <f t="shared" si="188"/>
        <v>#N/A</v>
      </c>
    </row>
    <row r="370" spans="1:37" s="640" customFormat="1" ht="15.75" hidden="1" x14ac:dyDescent="0.25">
      <c r="A370" s="415"/>
      <c r="B370" s="1144"/>
      <c r="C370" s="1147"/>
      <c r="D370" s="1148"/>
      <c r="E370" s="415"/>
      <c r="F370" s="415"/>
      <c r="G370" s="415"/>
      <c r="H370" s="415"/>
      <c r="I370" s="415"/>
      <c r="J370" s="417">
        <v>2020</v>
      </c>
      <c r="K370" s="423" t="e">
        <f t="shared" si="181"/>
        <v>#N/A</v>
      </c>
      <c r="L370" s="423" t="e">
        <f t="shared" si="182"/>
        <v>#N/A</v>
      </c>
      <c r="M370" s="423" t="e">
        <f t="shared" si="183"/>
        <v>#N/A</v>
      </c>
      <c r="N370" s="415"/>
      <c r="O370" s="415"/>
      <c r="P370" s="415"/>
      <c r="Q370" s="423" t="e">
        <f t="shared" si="184"/>
        <v>#N/A</v>
      </c>
      <c r="R370" s="423" t="e">
        <f t="shared" si="185"/>
        <v>#N/A</v>
      </c>
      <c r="S370" s="423" t="e">
        <f t="shared" si="186"/>
        <v>#N/A</v>
      </c>
      <c r="T370" s="447"/>
      <c r="U370" s="447"/>
      <c r="V370" s="447"/>
      <c r="W370" s="423" t="e">
        <f t="shared" si="180"/>
        <v>#N/A</v>
      </c>
      <c r="X370" s="423" t="e">
        <f t="shared" si="187"/>
        <v>#N/A</v>
      </c>
      <c r="Y370" s="423" t="e">
        <f t="shared" si="188"/>
        <v>#N/A</v>
      </c>
    </row>
    <row r="371" spans="1:37" s="640" customFormat="1" ht="15.75" hidden="1" x14ac:dyDescent="0.25">
      <c r="A371" s="415"/>
      <c r="B371" s="415"/>
      <c r="C371" s="415"/>
      <c r="D371" s="415"/>
      <c r="E371" s="415"/>
      <c r="F371" s="415"/>
      <c r="G371" s="415"/>
      <c r="H371" s="415"/>
      <c r="I371" s="415"/>
      <c r="J371" s="415"/>
      <c r="K371" s="415"/>
      <c r="L371" s="415"/>
      <c r="M371" s="415"/>
      <c r="N371" s="447"/>
      <c r="O371" s="447"/>
      <c r="P371" s="447"/>
      <c r="Q371" s="447"/>
      <c r="R371" s="447"/>
      <c r="S371" s="447"/>
      <c r="T371" s="447"/>
      <c r="U371" s="447"/>
      <c r="V371" s="447"/>
      <c r="W371" s="447"/>
      <c r="X371" s="447"/>
      <c r="Y371" s="447"/>
    </row>
    <row r="372" spans="1:37" s="640" customFormat="1" ht="15.75" hidden="1" x14ac:dyDescent="0.25"/>
    <row r="373" spans="1:37" s="640" customFormat="1" ht="15.75" hidden="1" x14ac:dyDescent="0.25"/>
    <row r="374" spans="1:37" s="640" customFormat="1" ht="15.75" hidden="1" x14ac:dyDescent="0.25"/>
    <row r="375" spans="1:37" s="640" customFormat="1" ht="15.75" hidden="1" x14ac:dyDescent="0.25"/>
    <row r="376" spans="1:37" s="640" customFormat="1" ht="15.75" hidden="1" x14ac:dyDescent="0.25"/>
    <row r="377" spans="1:37" s="640" customFormat="1" ht="15.75" hidden="1" x14ac:dyDescent="0.25"/>
    <row r="378" spans="1:37" s="640" customFormat="1" ht="15.75" hidden="1" x14ac:dyDescent="0.25"/>
    <row r="379" spans="1:37" s="640" customFormat="1" ht="15.75" hidden="1" x14ac:dyDescent="0.25"/>
    <row r="380" spans="1:37" s="695" customFormat="1" ht="15.75" hidden="1" x14ac:dyDescent="0.25">
      <c r="B380" s="691" t="s">
        <v>1570</v>
      </c>
      <c r="D380" s="696" t="s">
        <v>1465</v>
      </c>
      <c r="E380" s="695" t="s">
        <v>1493</v>
      </c>
    </row>
    <row r="381" spans="1:37" s="696" customFormat="1" ht="15.75" hidden="1" x14ac:dyDescent="0.25">
      <c r="D381" s="696" t="s">
        <v>412</v>
      </c>
      <c r="E381" s="696" t="s">
        <v>10</v>
      </c>
      <c r="F381" s="696" t="s">
        <v>428</v>
      </c>
      <c r="G381" s="696" t="str">
        <f>G$184</f>
        <v>Cost in 2008 dollars</v>
      </c>
      <c r="H381" s="696" t="s">
        <v>583</v>
      </c>
      <c r="I381" s="696" t="s">
        <v>584</v>
      </c>
      <c r="J381" s="696" t="s">
        <v>585</v>
      </c>
      <c r="K381" s="696" t="s">
        <v>586</v>
      </c>
      <c r="L381" s="696" t="s">
        <v>413</v>
      </c>
      <c r="M381" s="696" t="s">
        <v>414</v>
      </c>
      <c r="N381" s="697" t="s">
        <v>592</v>
      </c>
      <c r="O381" s="697" t="s">
        <v>587</v>
      </c>
      <c r="P381" s="697" t="s">
        <v>588</v>
      </c>
      <c r="Q381" s="697" t="s">
        <v>589</v>
      </c>
      <c r="R381" s="697" t="s">
        <v>590</v>
      </c>
      <c r="S381" s="697" t="s">
        <v>591</v>
      </c>
      <c r="T381" s="697" t="s">
        <v>593</v>
      </c>
      <c r="U381" s="697" t="s">
        <v>594</v>
      </c>
      <c r="V381" s="697" t="s">
        <v>595</v>
      </c>
      <c r="W381" s="697" t="s">
        <v>596</v>
      </c>
      <c r="X381" s="697" t="s">
        <v>597</v>
      </c>
      <c r="Y381" s="697" t="s">
        <v>598</v>
      </c>
      <c r="Z381" s="695"/>
      <c r="AA381" s="695"/>
      <c r="AB381" s="695"/>
      <c r="AC381" s="695"/>
      <c r="AD381" s="695"/>
      <c r="AE381" s="695"/>
      <c r="AF381" s="695"/>
      <c r="AG381" s="695"/>
      <c r="AH381" s="695"/>
      <c r="AI381" s="695"/>
      <c r="AJ381" s="695"/>
      <c r="AK381" s="695"/>
    </row>
    <row r="382" spans="1:37" s="696" customFormat="1" ht="15.75" hidden="1" x14ac:dyDescent="0.25">
      <c r="D382" s="695">
        <v>541300</v>
      </c>
      <c r="E382" s="695" t="s">
        <v>308</v>
      </c>
      <c r="F382" s="698">
        <f>J57</f>
        <v>8000</v>
      </c>
      <c r="G382" s="698">
        <f>F382*$C$578</f>
        <v>7898.9984224235968</v>
      </c>
      <c r="H382" s="699" t="e">
        <f>$G382*INDEX(tier_emp_mult, MATCH($D382, tier_emp_code,0), MATCH(State, R_emp, 0))/1000000</f>
        <v>#N/A</v>
      </c>
      <c r="I382" s="700" t="e">
        <f>$G382*INDEX(typeI_emp_mult, MATCH($D382, typeI_emp_code,0), MATCH(State, R_emp, 0))/1000000</f>
        <v>#N/A</v>
      </c>
      <c r="J382" s="700" t="e">
        <f>$G382*INDEX(typeII_emp_mult, MATCH($D382, typeII_emp_code,0), MATCH(State, R_emp, 0))/1000000</f>
        <v>#N/A</v>
      </c>
      <c r="K382" s="701" t="e">
        <f>H382</f>
        <v>#N/A</v>
      </c>
      <c r="L382" s="701" t="e">
        <f t="shared" ref="L382:M385" si="189">I382-H382</f>
        <v>#N/A</v>
      </c>
      <c r="M382" s="701" t="e">
        <f t="shared" si="189"/>
        <v>#N/A</v>
      </c>
      <c r="N382" s="492" t="e">
        <f>$G382*INDEX(tier_earn_mult, MATCH($D382, tier_earn_code,0), MATCH(State, R_earn, 0))</f>
        <v>#N/A</v>
      </c>
      <c r="O382" s="492" t="e">
        <f>$G382*INDEX(typeI_earn_mult, MATCH($D382, typeI_earn_code,0), MATCH(State, R_earn, 0))</f>
        <v>#N/A</v>
      </c>
      <c r="P382" s="492" t="e">
        <f>$G382*INDEX(typeII_earn_mult, MATCH($D382, typeII_earn_code,0), MATCH(State, R_earn, 0))</f>
        <v>#N/A</v>
      </c>
      <c r="Q382" s="492" t="e">
        <f>N382</f>
        <v>#N/A</v>
      </c>
      <c r="R382" s="492" t="e">
        <f t="shared" ref="R382:S385" si="190">O382-N382</f>
        <v>#N/A</v>
      </c>
      <c r="S382" s="492" t="e">
        <f t="shared" si="190"/>
        <v>#N/A</v>
      </c>
      <c r="T382" s="492" t="e">
        <f>$G382*INDEX(tier_out_mult, MATCH($D382, tier_out_code,0), MATCH(State, R_out, 0))</f>
        <v>#N/A</v>
      </c>
      <c r="U382" s="492" t="e">
        <f>$G382*INDEX(typeI_out_mult, MATCH($D382, typeI_out_code,0), MATCH(State, R_out, 0))</f>
        <v>#N/A</v>
      </c>
      <c r="V382" s="492" t="e">
        <f>$G382*INDEX(typeII_out_mult, MATCH($D382, typeII_out_code,0), MATCH(State, R_out, 0))</f>
        <v>#N/A</v>
      </c>
      <c r="W382" s="492" t="e">
        <f>T382</f>
        <v>#N/A</v>
      </c>
      <c r="X382" s="492" t="e">
        <f t="shared" ref="X382:Y385" si="191">U382-T382</f>
        <v>#N/A</v>
      </c>
      <c r="Y382" s="492" t="e">
        <f t="shared" si="191"/>
        <v>#N/A</v>
      </c>
      <c r="Z382" s="695"/>
      <c r="AA382" s="695"/>
      <c r="AB382" s="695"/>
      <c r="AC382" s="695"/>
      <c r="AD382" s="695"/>
      <c r="AE382" s="695"/>
      <c r="AF382" s="695"/>
      <c r="AG382" s="695"/>
      <c r="AH382" s="695"/>
      <c r="AI382" s="695"/>
      <c r="AJ382" s="695"/>
      <c r="AK382" s="695"/>
    </row>
    <row r="383" spans="1:37" s="696" customFormat="1" ht="15.75" hidden="1" x14ac:dyDescent="0.25">
      <c r="D383" s="695">
        <v>230000</v>
      </c>
      <c r="E383" s="695" t="s">
        <v>426</v>
      </c>
      <c r="F383" s="698">
        <f>J58</f>
        <v>10000</v>
      </c>
      <c r="G383" s="698">
        <f>F383*$C$578</f>
        <v>9873.7480280294967</v>
      </c>
      <c r="H383" s="699" t="e">
        <f>$G383*INDEX(tier_emp_mult, MATCH($D383, tier_emp_code,0), MATCH(State, R_emp, 0))/1000000</f>
        <v>#N/A</v>
      </c>
      <c r="I383" s="700" t="e">
        <f>$G383*INDEX(typeI_emp_mult, MATCH($D383, typeI_emp_code,0), MATCH(State, R_emp, 0))/1000000</f>
        <v>#N/A</v>
      </c>
      <c r="J383" s="700" t="e">
        <f>$G383*INDEX(typeII_emp_mult, MATCH($D383, typeII_emp_code,0), MATCH(State, R_emp, 0))/1000000</f>
        <v>#N/A</v>
      </c>
      <c r="K383" s="701" t="e">
        <f>H383</f>
        <v>#N/A</v>
      </c>
      <c r="L383" s="701" t="e">
        <f t="shared" si="189"/>
        <v>#N/A</v>
      </c>
      <c r="M383" s="701" t="e">
        <f t="shared" si="189"/>
        <v>#N/A</v>
      </c>
      <c r="N383" s="492" t="e">
        <f>$G383*INDEX(tier_earn_mult, MATCH($D383, tier_earn_code,0), MATCH(State, R_earn, 0))</f>
        <v>#N/A</v>
      </c>
      <c r="O383" s="492" t="e">
        <f>$G383*INDEX(typeI_earn_mult, MATCH($D383, typeI_earn_code,0), MATCH(State, R_earn, 0))</f>
        <v>#N/A</v>
      </c>
      <c r="P383" s="492" t="e">
        <f>$G383*INDEX(typeII_earn_mult, MATCH($D383, typeII_earn_code,0), MATCH(State, R_earn, 0))</f>
        <v>#N/A</v>
      </c>
      <c r="Q383" s="492" t="e">
        <f>N383</f>
        <v>#N/A</v>
      </c>
      <c r="R383" s="492" t="e">
        <f t="shared" si="190"/>
        <v>#N/A</v>
      </c>
      <c r="S383" s="492" t="e">
        <f t="shared" si="190"/>
        <v>#N/A</v>
      </c>
      <c r="T383" s="492" t="e">
        <f>$G383*INDEX(tier_out_mult, MATCH($D383, tier_out_code,0), MATCH(State, R_out, 0))</f>
        <v>#N/A</v>
      </c>
      <c r="U383" s="492" t="e">
        <f>$G383*INDEX(typeI_out_mult, MATCH($D383, typeI_out_code,0), MATCH(State, R_out, 0))</f>
        <v>#N/A</v>
      </c>
      <c r="V383" s="492" t="e">
        <f>$G383*INDEX(typeII_out_mult, MATCH($D383, typeII_out_code,0), MATCH(State, R_out, 0))</f>
        <v>#N/A</v>
      </c>
      <c r="W383" s="492" t="e">
        <f>T383</f>
        <v>#N/A</v>
      </c>
      <c r="X383" s="492" t="e">
        <f t="shared" si="191"/>
        <v>#N/A</v>
      </c>
      <c r="Y383" s="492" t="e">
        <f t="shared" si="191"/>
        <v>#N/A</v>
      </c>
      <c r="Z383" s="695"/>
      <c r="AA383" s="695"/>
      <c r="AB383" s="695"/>
      <c r="AC383" s="695"/>
      <c r="AD383" s="695"/>
      <c r="AE383" s="695"/>
      <c r="AF383" s="695"/>
      <c r="AG383" s="695"/>
      <c r="AH383" s="695"/>
      <c r="AI383" s="695"/>
      <c r="AJ383" s="695"/>
      <c r="AK383" s="695"/>
    </row>
    <row r="384" spans="1:37" s="696" customFormat="1" ht="15.75" hidden="1" x14ac:dyDescent="0.25">
      <c r="D384" s="695">
        <v>332420</v>
      </c>
      <c r="E384" s="695" t="s">
        <v>613</v>
      </c>
      <c r="F384" s="698">
        <f>J59</f>
        <v>15500</v>
      </c>
      <c r="G384" s="698">
        <f>F384*$C$578</f>
        <v>15304.30944344572</v>
      </c>
      <c r="H384" s="702" t="e">
        <f>$G384*INDEX(tier_emp_mult, MATCH($D384, tier_emp_code,0), MATCH(State, R_emp, 0))/1000000</f>
        <v>#N/A</v>
      </c>
      <c r="I384" s="702" t="e">
        <f>$G384*INDEX(typeI_emp_mult, MATCH($D384, typeI_emp_code,0), MATCH(State, R_emp, 0))/1000000</f>
        <v>#N/A</v>
      </c>
      <c r="J384" s="702" t="e">
        <f>$G384*INDEX(typeII_emp_mult, MATCH($D384, typeII_emp_code,0), MATCH(State, R_emp, 0))/1000000</f>
        <v>#N/A</v>
      </c>
      <c r="K384" s="702" t="e">
        <f>H384</f>
        <v>#N/A</v>
      </c>
      <c r="L384" s="702" t="e">
        <f t="shared" si="189"/>
        <v>#N/A</v>
      </c>
      <c r="M384" s="702" t="e">
        <f t="shared" si="189"/>
        <v>#N/A</v>
      </c>
      <c r="N384" s="492" t="e">
        <f>$G384*INDEX(tier_earn_mult, MATCH($D384, tier_earn_code,0), MATCH(State, R_earn, 0))</f>
        <v>#N/A</v>
      </c>
      <c r="O384" s="492" t="e">
        <f>$G384*INDEX(typeI_earn_mult, MATCH($D384, typeI_earn_code,0), MATCH(State, R_earn, 0))</f>
        <v>#N/A</v>
      </c>
      <c r="P384" s="492" t="e">
        <f>$G384*INDEX(typeII_earn_mult, MATCH($D384, typeII_earn_code,0), MATCH(State, R_earn, 0))</f>
        <v>#N/A</v>
      </c>
      <c r="Q384" s="492" t="e">
        <f>N384</f>
        <v>#N/A</v>
      </c>
      <c r="R384" s="492" t="e">
        <f t="shared" si="190"/>
        <v>#N/A</v>
      </c>
      <c r="S384" s="492" t="e">
        <f t="shared" si="190"/>
        <v>#N/A</v>
      </c>
      <c r="T384" s="492" t="e">
        <f>$G384*INDEX(tier_out_mult, MATCH($D384, tier_out_code,0), MATCH(State, R_out, 0))</f>
        <v>#N/A</v>
      </c>
      <c r="U384" s="492" t="e">
        <f>$G384*INDEX(typeI_out_mult, MATCH($D384, typeI_out_code,0), MATCH(State, R_out, 0))</f>
        <v>#N/A</v>
      </c>
      <c r="V384" s="492" t="e">
        <f>$G384*INDEX(typeII_out_mult, MATCH($D384, typeII_out_code,0), MATCH(State, R_out, 0))</f>
        <v>#N/A</v>
      </c>
      <c r="W384" s="492" t="e">
        <f>T384</f>
        <v>#N/A</v>
      </c>
      <c r="X384" s="492" t="e">
        <f t="shared" si="191"/>
        <v>#N/A</v>
      </c>
      <c r="Y384" s="492" t="e">
        <f t="shared" si="191"/>
        <v>#N/A</v>
      </c>
      <c r="Z384" s="695"/>
      <c r="AA384" s="695"/>
      <c r="AB384" s="695"/>
      <c r="AC384" s="695"/>
      <c r="AD384" s="695"/>
      <c r="AE384" s="695"/>
      <c r="AF384" s="695"/>
      <c r="AG384" s="695"/>
      <c r="AH384" s="695"/>
      <c r="AI384" s="695"/>
      <c r="AJ384" s="695"/>
      <c r="AK384" s="695"/>
    </row>
    <row r="385" spans="2:37" s="696" customFormat="1" ht="15.75" hidden="1" x14ac:dyDescent="0.25">
      <c r="D385" s="695">
        <v>335911</v>
      </c>
      <c r="E385" s="695" t="s">
        <v>240</v>
      </c>
      <c r="F385" s="698">
        <f>J60</f>
        <v>0</v>
      </c>
      <c r="G385" s="698">
        <f>F385*$C$578</f>
        <v>0</v>
      </c>
      <c r="H385" s="702" t="e">
        <f>$G385*INDEX(tier_emp_mult, MATCH($D385, tier_emp_code,0), MATCH(State, R_emp, 0))/1000000</f>
        <v>#N/A</v>
      </c>
      <c r="I385" s="702" t="e">
        <f>$G385*INDEX(typeI_emp_mult, MATCH($D385, typeI_emp_code,0), MATCH(State, R_emp, 0))/1000000</f>
        <v>#N/A</v>
      </c>
      <c r="J385" s="702" t="e">
        <f>$G385*INDEX(typeII_emp_mult, MATCH($D385, typeII_emp_code,0), MATCH(State, R_emp, 0))/1000000</f>
        <v>#N/A</v>
      </c>
      <c r="K385" s="702" t="e">
        <f>H385</f>
        <v>#N/A</v>
      </c>
      <c r="L385" s="702" t="e">
        <f t="shared" si="189"/>
        <v>#N/A</v>
      </c>
      <c r="M385" s="702" t="e">
        <f t="shared" si="189"/>
        <v>#N/A</v>
      </c>
      <c r="N385" s="492" t="e">
        <f>$G385*INDEX(tier_earn_mult, MATCH($D385, tier_earn_code,0), MATCH(State, R_earn, 0))</f>
        <v>#N/A</v>
      </c>
      <c r="O385" s="492" t="e">
        <f>$G385*INDEX(typeI_earn_mult, MATCH($D385, typeI_earn_code,0), MATCH(State, R_earn, 0))</f>
        <v>#N/A</v>
      </c>
      <c r="P385" s="492" t="e">
        <f>$G385*INDEX(typeII_earn_mult, MATCH($D385, typeII_earn_code,0), MATCH(State, R_earn, 0))</f>
        <v>#N/A</v>
      </c>
      <c r="Q385" s="492" t="e">
        <f>N385</f>
        <v>#N/A</v>
      </c>
      <c r="R385" s="492" t="e">
        <f t="shared" si="190"/>
        <v>#N/A</v>
      </c>
      <c r="S385" s="492" t="e">
        <f t="shared" si="190"/>
        <v>#N/A</v>
      </c>
      <c r="T385" s="492" t="e">
        <f>$G385*INDEX(tier_out_mult, MATCH($D385, tier_out_code,0), MATCH(State, R_out, 0))</f>
        <v>#N/A</v>
      </c>
      <c r="U385" s="492" t="e">
        <f>$G385*INDEX(typeI_out_mult, MATCH($D385, typeI_out_code,0), MATCH(State, R_out, 0))</f>
        <v>#N/A</v>
      </c>
      <c r="V385" s="492" t="e">
        <f>$G385*INDEX(typeII_out_mult, MATCH($D385, typeII_out_code,0), MATCH(State, R_out, 0))</f>
        <v>#N/A</v>
      </c>
      <c r="W385" s="492" t="e">
        <f>T385</f>
        <v>#N/A</v>
      </c>
      <c r="X385" s="492" t="e">
        <f t="shared" si="191"/>
        <v>#N/A</v>
      </c>
      <c r="Y385" s="492" t="e">
        <f t="shared" si="191"/>
        <v>#N/A</v>
      </c>
      <c r="Z385" s="695"/>
      <c r="AA385" s="695"/>
      <c r="AB385" s="695"/>
      <c r="AC385" s="695"/>
      <c r="AD385" s="695"/>
      <c r="AE385" s="695"/>
      <c r="AF385" s="695"/>
      <c r="AG385" s="695"/>
      <c r="AH385" s="695"/>
      <c r="AI385" s="695"/>
      <c r="AJ385" s="695"/>
      <c r="AK385" s="695"/>
    </row>
    <row r="386" spans="2:37" s="696" customFormat="1" ht="15.75" hidden="1" x14ac:dyDescent="0.25">
      <c r="Z386" s="695"/>
      <c r="AA386" s="695"/>
      <c r="AB386" s="695"/>
      <c r="AC386" s="695"/>
      <c r="AD386" s="695"/>
      <c r="AE386" s="695"/>
      <c r="AF386" s="695"/>
      <c r="AG386" s="695"/>
      <c r="AH386" s="695"/>
      <c r="AI386" s="695"/>
      <c r="AJ386" s="695"/>
      <c r="AK386" s="695"/>
    </row>
    <row r="387" spans="2:37" s="696" customFormat="1" ht="15.75" hidden="1" x14ac:dyDescent="0.25">
      <c r="D387" s="695"/>
      <c r="E387" s="696" t="s">
        <v>442</v>
      </c>
      <c r="F387" s="698">
        <f>SUM(F382:F386)</f>
        <v>33500</v>
      </c>
      <c r="G387" s="698">
        <f t="shared" ref="G387:Y387" si="192">SUM(G382:G386)</f>
        <v>33077.055893898811</v>
      </c>
      <c r="H387" s="702" t="e">
        <f t="shared" si="192"/>
        <v>#N/A</v>
      </c>
      <c r="I387" s="702" t="e">
        <f t="shared" si="192"/>
        <v>#N/A</v>
      </c>
      <c r="J387" s="702" t="e">
        <f t="shared" si="192"/>
        <v>#N/A</v>
      </c>
      <c r="K387" s="702" t="e">
        <f t="shared" si="192"/>
        <v>#N/A</v>
      </c>
      <c r="L387" s="702" t="e">
        <f t="shared" si="192"/>
        <v>#N/A</v>
      </c>
      <c r="M387" s="702" t="e">
        <f t="shared" si="192"/>
        <v>#N/A</v>
      </c>
      <c r="N387" s="698" t="e">
        <f t="shared" si="192"/>
        <v>#N/A</v>
      </c>
      <c r="O387" s="698" t="e">
        <f t="shared" si="192"/>
        <v>#N/A</v>
      </c>
      <c r="P387" s="698" t="e">
        <f t="shared" si="192"/>
        <v>#N/A</v>
      </c>
      <c r="Q387" s="698" t="e">
        <f t="shared" si="192"/>
        <v>#N/A</v>
      </c>
      <c r="R387" s="698" t="e">
        <f t="shared" si="192"/>
        <v>#N/A</v>
      </c>
      <c r="S387" s="698" t="e">
        <f t="shared" si="192"/>
        <v>#N/A</v>
      </c>
      <c r="T387" s="698" t="e">
        <f t="shared" si="192"/>
        <v>#N/A</v>
      </c>
      <c r="U387" s="698" t="e">
        <f t="shared" si="192"/>
        <v>#N/A</v>
      </c>
      <c r="V387" s="698" t="e">
        <f t="shared" si="192"/>
        <v>#N/A</v>
      </c>
      <c r="W387" s="698" t="e">
        <f t="shared" si="192"/>
        <v>#N/A</v>
      </c>
      <c r="X387" s="698" t="e">
        <f t="shared" si="192"/>
        <v>#N/A</v>
      </c>
      <c r="Y387" s="698" t="e">
        <f t="shared" si="192"/>
        <v>#N/A</v>
      </c>
      <c r="Z387" s="695"/>
      <c r="AA387" s="695"/>
      <c r="AB387" s="695"/>
      <c r="AC387" s="695"/>
      <c r="AD387" s="695"/>
      <c r="AE387" s="695"/>
      <c r="AF387" s="695"/>
      <c r="AG387" s="695"/>
      <c r="AH387" s="695"/>
      <c r="AI387" s="695"/>
      <c r="AJ387" s="695"/>
      <c r="AK387" s="695"/>
    </row>
    <row r="388" spans="2:37" s="696" customFormat="1" ht="15.75" hidden="1" x14ac:dyDescent="0.25">
      <c r="D388" s="695"/>
      <c r="E388" s="695"/>
      <c r="F388" s="695"/>
      <c r="G388" s="695"/>
      <c r="H388" s="695"/>
      <c r="I388" s="695"/>
      <c r="J388" s="695"/>
      <c r="K388" s="695"/>
      <c r="L388" s="695"/>
      <c r="M388" s="695"/>
      <c r="N388" s="695"/>
      <c r="O388" s="695"/>
      <c r="P388" s="695"/>
      <c r="Q388" s="695"/>
      <c r="R388" s="695"/>
      <c r="S388" s="695"/>
      <c r="T388" s="695"/>
      <c r="U388" s="695"/>
      <c r="V388" s="695"/>
      <c r="W388" s="695"/>
      <c r="X388" s="695"/>
      <c r="Y388" s="695"/>
      <c r="Z388" s="695"/>
      <c r="AA388" s="695"/>
      <c r="AB388" s="695"/>
      <c r="AC388" s="695"/>
      <c r="AD388" s="695"/>
      <c r="AE388" s="695"/>
      <c r="AF388" s="695"/>
      <c r="AG388" s="695"/>
      <c r="AH388" s="695"/>
      <c r="AI388" s="695"/>
      <c r="AJ388" s="695"/>
      <c r="AK388" s="695"/>
    </row>
    <row r="389" spans="2:37" s="696" customFormat="1" ht="15.75" hidden="1" x14ac:dyDescent="0.25">
      <c r="D389" s="695"/>
      <c r="E389" s="695"/>
      <c r="F389" s="695"/>
      <c r="G389" s="695"/>
      <c r="H389" s="695"/>
      <c r="I389" s="695"/>
      <c r="J389" s="695"/>
      <c r="K389" s="695"/>
      <c r="L389" s="695"/>
      <c r="M389" s="695"/>
      <c r="N389" s="695"/>
      <c r="O389" s="695"/>
      <c r="P389" s="695"/>
      <c r="Q389" s="695"/>
      <c r="R389" s="695"/>
      <c r="S389" s="695"/>
      <c r="T389" s="695"/>
      <c r="U389" s="695"/>
      <c r="V389" s="695"/>
      <c r="W389" s="695"/>
      <c r="X389" s="695"/>
      <c r="Y389" s="695"/>
      <c r="Z389" s="695"/>
      <c r="AA389" s="695"/>
      <c r="AB389" s="695"/>
      <c r="AC389" s="695"/>
      <c r="AD389" s="695"/>
      <c r="AE389" s="695"/>
      <c r="AF389" s="695"/>
      <c r="AG389" s="695"/>
      <c r="AH389" s="695"/>
      <c r="AI389" s="695"/>
      <c r="AJ389" s="695"/>
      <c r="AK389" s="695"/>
    </row>
    <row r="390" spans="2:37" s="696" customFormat="1" ht="15.75" hidden="1" x14ac:dyDescent="0.25">
      <c r="D390" s="695"/>
      <c r="E390" s="695">
        <v>2015</v>
      </c>
      <c r="F390" s="698">
        <f t="shared" ref="F390:Y390" si="193">F$387*$F569</f>
        <v>0</v>
      </c>
      <c r="G390" s="698">
        <f t="shared" si="193"/>
        <v>0</v>
      </c>
      <c r="H390" s="702" t="e">
        <f t="shared" si="193"/>
        <v>#N/A</v>
      </c>
      <c r="I390" s="702" t="e">
        <f t="shared" si="193"/>
        <v>#N/A</v>
      </c>
      <c r="J390" s="702" t="e">
        <f t="shared" si="193"/>
        <v>#N/A</v>
      </c>
      <c r="K390" s="702" t="e">
        <f t="shared" si="193"/>
        <v>#N/A</v>
      </c>
      <c r="L390" s="702" t="e">
        <f t="shared" si="193"/>
        <v>#N/A</v>
      </c>
      <c r="M390" s="702" t="e">
        <f t="shared" si="193"/>
        <v>#N/A</v>
      </c>
      <c r="N390" s="698" t="e">
        <f t="shared" si="193"/>
        <v>#N/A</v>
      </c>
      <c r="O390" s="698" t="e">
        <f t="shared" si="193"/>
        <v>#N/A</v>
      </c>
      <c r="P390" s="698" t="e">
        <f t="shared" si="193"/>
        <v>#N/A</v>
      </c>
      <c r="Q390" s="698" t="e">
        <f t="shared" si="193"/>
        <v>#N/A</v>
      </c>
      <c r="R390" s="698" t="e">
        <f t="shared" si="193"/>
        <v>#N/A</v>
      </c>
      <c r="S390" s="698" t="e">
        <f t="shared" si="193"/>
        <v>#N/A</v>
      </c>
      <c r="T390" s="698" t="e">
        <f t="shared" si="193"/>
        <v>#N/A</v>
      </c>
      <c r="U390" s="698" t="e">
        <f t="shared" si="193"/>
        <v>#N/A</v>
      </c>
      <c r="V390" s="698" t="e">
        <f t="shared" si="193"/>
        <v>#N/A</v>
      </c>
      <c r="W390" s="698" t="e">
        <f t="shared" si="193"/>
        <v>#N/A</v>
      </c>
      <c r="X390" s="698" t="e">
        <f t="shared" si="193"/>
        <v>#N/A</v>
      </c>
      <c r="Y390" s="698" t="e">
        <f t="shared" si="193"/>
        <v>#N/A</v>
      </c>
      <c r="Z390" s="695"/>
      <c r="AA390" s="695"/>
      <c r="AB390" s="695"/>
      <c r="AC390" s="695"/>
      <c r="AD390" s="695"/>
      <c r="AE390" s="695"/>
      <c r="AF390" s="695"/>
      <c r="AG390" s="695"/>
      <c r="AH390" s="695"/>
      <c r="AI390" s="695"/>
      <c r="AJ390" s="695"/>
      <c r="AK390" s="695"/>
    </row>
    <row r="391" spans="2:37" s="696" customFormat="1" ht="15.75" hidden="1" x14ac:dyDescent="0.25">
      <c r="D391" s="695"/>
      <c r="E391" s="695">
        <v>2016</v>
      </c>
      <c r="F391" s="698">
        <f t="shared" ref="F391:Y391" si="194">F$387*$F570</f>
        <v>0</v>
      </c>
      <c r="G391" s="698">
        <f t="shared" si="194"/>
        <v>0</v>
      </c>
      <c r="H391" s="702" t="e">
        <f t="shared" si="194"/>
        <v>#N/A</v>
      </c>
      <c r="I391" s="702" t="e">
        <f t="shared" si="194"/>
        <v>#N/A</v>
      </c>
      <c r="J391" s="702" t="e">
        <f t="shared" si="194"/>
        <v>#N/A</v>
      </c>
      <c r="K391" s="702" t="e">
        <f t="shared" si="194"/>
        <v>#N/A</v>
      </c>
      <c r="L391" s="702" t="e">
        <f t="shared" si="194"/>
        <v>#N/A</v>
      </c>
      <c r="M391" s="702" t="e">
        <f t="shared" si="194"/>
        <v>#N/A</v>
      </c>
      <c r="N391" s="698" t="e">
        <f t="shared" si="194"/>
        <v>#N/A</v>
      </c>
      <c r="O391" s="698" t="e">
        <f t="shared" si="194"/>
        <v>#N/A</v>
      </c>
      <c r="P391" s="698" t="e">
        <f t="shared" si="194"/>
        <v>#N/A</v>
      </c>
      <c r="Q391" s="698" t="e">
        <f t="shared" si="194"/>
        <v>#N/A</v>
      </c>
      <c r="R391" s="698" t="e">
        <f t="shared" si="194"/>
        <v>#N/A</v>
      </c>
      <c r="S391" s="698" t="e">
        <f t="shared" si="194"/>
        <v>#N/A</v>
      </c>
      <c r="T391" s="698" t="e">
        <f t="shared" si="194"/>
        <v>#N/A</v>
      </c>
      <c r="U391" s="698" t="e">
        <f t="shared" si="194"/>
        <v>#N/A</v>
      </c>
      <c r="V391" s="698" t="e">
        <f t="shared" si="194"/>
        <v>#N/A</v>
      </c>
      <c r="W391" s="698" t="e">
        <f t="shared" si="194"/>
        <v>#N/A</v>
      </c>
      <c r="X391" s="698" t="e">
        <f t="shared" si="194"/>
        <v>#N/A</v>
      </c>
      <c r="Y391" s="698" t="e">
        <f t="shared" si="194"/>
        <v>#N/A</v>
      </c>
      <c r="Z391" s="695"/>
      <c r="AA391" s="695"/>
      <c r="AB391" s="695"/>
      <c r="AC391" s="695"/>
      <c r="AD391" s="695"/>
      <c r="AE391" s="695"/>
      <c r="AF391" s="695"/>
      <c r="AG391" s="695"/>
      <c r="AH391" s="695"/>
      <c r="AI391" s="695"/>
      <c r="AJ391" s="695"/>
      <c r="AK391" s="695"/>
    </row>
    <row r="392" spans="2:37" s="696" customFormat="1" ht="15.75" hidden="1" x14ac:dyDescent="0.25">
      <c r="D392" s="695"/>
      <c r="E392" s="695">
        <v>2017</v>
      </c>
      <c r="F392" s="698">
        <f t="shared" ref="F392:Y392" si="195">F$387*$F571</f>
        <v>0</v>
      </c>
      <c r="G392" s="698">
        <f t="shared" si="195"/>
        <v>0</v>
      </c>
      <c r="H392" s="702" t="e">
        <f t="shared" si="195"/>
        <v>#N/A</v>
      </c>
      <c r="I392" s="702" t="e">
        <f t="shared" si="195"/>
        <v>#N/A</v>
      </c>
      <c r="J392" s="702" t="e">
        <f t="shared" si="195"/>
        <v>#N/A</v>
      </c>
      <c r="K392" s="702" t="e">
        <f t="shared" si="195"/>
        <v>#N/A</v>
      </c>
      <c r="L392" s="702" t="e">
        <f t="shared" si="195"/>
        <v>#N/A</v>
      </c>
      <c r="M392" s="702" t="e">
        <f t="shared" si="195"/>
        <v>#N/A</v>
      </c>
      <c r="N392" s="698" t="e">
        <f t="shared" si="195"/>
        <v>#N/A</v>
      </c>
      <c r="O392" s="698" t="e">
        <f t="shared" si="195"/>
        <v>#N/A</v>
      </c>
      <c r="P392" s="698" t="e">
        <f t="shared" si="195"/>
        <v>#N/A</v>
      </c>
      <c r="Q392" s="698" t="e">
        <f t="shared" si="195"/>
        <v>#N/A</v>
      </c>
      <c r="R392" s="698" t="e">
        <f t="shared" si="195"/>
        <v>#N/A</v>
      </c>
      <c r="S392" s="698" t="e">
        <f t="shared" si="195"/>
        <v>#N/A</v>
      </c>
      <c r="T392" s="698" t="e">
        <f t="shared" si="195"/>
        <v>#N/A</v>
      </c>
      <c r="U392" s="698" t="e">
        <f t="shared" si="195"/>
        <v>#N/A</v>
      </c>
      <c r="V392" s="698" t="e">
        <f t="shared" si="195"/>
        <v>#N/A</v>
      </c>
      <c r="W392" s="698" t="e">
        <f t="shared" si="195"/>
        <v>#N/A</v>
      </c>
      <c r="X392" s="698" t="e">
        <f t="shared" si="195"/>
        <v>#N/A</v>
      </c>
      <c r="Y392" s="698" t="e">
        <f t="shared" si="195"/>
        <v>#N/A</v>
      </c>
      <c r="Z392" s="695"/>
      <c r="AA392" s="695"/>
      <c r="AB392" s="695"/>
      <c r="AC392" s="695"/>
      <c r="AD392" s="695"/>
      <c r="AE392" s="695"/>
      <c r="AF392" s="695"/>
      <c r="AG392" s="695"/>
      <c r="AH392" s="695"/>
      <c r="AI392" s="695"/>
      <c r="AJ392" s="695"/>
      <c r="AK392" s="695"/>
    </row>
    <row r="393" spans="2:37" s="696" customFormat="1" ht="15.75" hidden="1" x14ac:dyDescent="0.25">
      <c r="D393" s="695"/>
      <c r="E393" s="695">
        <v>2018</v>
      </c>
      <c r="F393" s="698">
        <f t="shared" ref="F393:Y393" si="196">F$387*$F572</f>
        <v>0</v>
      </c>
      <c r="G393" s="698">
        <f t="shared" si="196"/>
        <v>0</v>
      </c>
      <c r="H393" s="702" t="e">
        <f t="shared" si="196"/>
        <v>#N/A</v>
      </c>
      <c r="I393" s="702" t="e">
        <f t="shared" si="196"/>
        <v>#N/A</v>
      </c>
      <c r="J393" s="702" t="e">
        <f t="shared" si="196"/>
        <v>#N/A</v>
      </c>
      <c r="K393" s="702" t="e">
        <f t="shared" si="196"/>
        <v>#N/A</v>
      </c>
      <c r="L393" s="702" t="e">
        <f t="shared" si="196"/>
        <v>#N/A</v>
      </c>
      <c r="M393" s="702" t="e">
        <f t="shared" si="196"/>
        <v>#N/A</v>
      </c>
      <c r="N393" s="698" t="e">
        <f t="shared" si="196"/>
        <v>#N/A</v>
      </c>
      <c r="O393" s="698" t="e">
        <f t="shared" si="196"/>
        <v>#N/A</v>
      </c>
      <c r="P393" s="698" t="e">
        <f t="shared" si="196"/>
        <v>#N/A</v>
      </c>
      <c r="Q393" s="698" t="e">
        <f t="shared" si="196"/>
        <v>#N/A</v>
      </c>
      <c r="R393" s="698" t="e">
        <f t="shared" si="196"/>
        <v>#N/A</v>
      </c>
      <c r="S393" s="698" t="e">
        <f t="shared" si="196"/>
        <v>#N/A</v>
      </c>
      <c r="T393" s="698" t="e">
        <f t="shared" si="196"/>
        <v>#N/A</v>
      </c>
      <c r="U393" s="698" t="e">
        <f t="shared" si="196"/>
        <v>#N/A</v>
      </c>
      <c r="V393" s="698" t="e">
        <f t="shared" si="196"/>
        <v>#N/A</v>
      </c>
      <c r="W393" s="698" t="e">
        <f t="shared" si="196"/>
        <v>#N/A</v>
      </c>
      <c r="X393" s="698" t="e">
        <f t="shared" si="196"/>
        <v>#N/A</v>
      </c>
      <c r="Y393" s="698" t="e">
        <f t="shared" si="196"/>
        <v>#N/A</v>
      </c>
      <c r="Z393" s="695"/>
      <c r="AA393" s="695"/>
      <c r="AB393" s="695"/>
      <c r="AC393" s="695"/>
      <c r="AD393" s="695"/>
      <c r="AE393" s="695"/>
      <c r="AF393" s="695"/>
      <c r="AG393" s="695"/>
      <c r="AH393" s="695"/>
      <c r="AI393" s="695"/>
      <c r="AJ393" s="695"/>
      <c r="AK393" s="695"/>
    </row>
    <row r="394" spans="2:37" s="696" customFormat="1" ht="15.75" hidden="1" x14ac:dyDescent="0.25">
      <c r="D394" s="695"/>
      <c r="E394" s="695">
        <v>2019</v>
      </c>
      <c r="F394" s="698">
        <f t="shared" ref="F394:Y394" si="197">F$387*$F573</f>
        <v>0</v>
      </c>
      <c r="G394" s="698">
        <f t="shared" si="197"/>
        <v>0</v>
      </c>
      <c r="H394" s="702" t="e">
        <f t="shared" si="197"/>
        <v>#N/A</v>
      </c>
      <c r="I394" s="702" t="e">
        <f t="shared" si="197"/>
        <v>#N/A</v>
      </c>
      <c r="J394" s="702" t="e">
        <f t="shared" si="197"/>
        <v>#N/A</v>
      </c>
      <c r="K394" s="702" t="e">
        <f t="shared" si="197"/>
        <v>#N/A</v>
      </c>
      <c r="L394" s="702" t="e">
        <f t="shared" si="197"/>
        <v>#N/A</v>
      </c>
      <c r="M394" s="702" t="e">
        <f t="shared" si="197"/>
        <v>#N/A</v>
      </c>
      <c r="N394" s="698" t="e">
        <f t="shared" si="197"/>
        <v>#N/A</v>
      </c>
      <c r="O394" s="698" t="e">
        <f t="shared" si="197"/>
        <v>#N/A</v>
      </c>
      <c r="P394" s="698" t="e">
        <f t="shared" si="197"/>
        <v>#N/A</v>
      </c>
      <c r="Q394" s="698" t="e">
        <f t="shared" si="197"/>
        <v>#N/A</v>
      </c>
      <c r="R394" s="698" t="e">
        <f t="shared" si="197"/>
        <v>#N/A</v>
      </c>
      <c r="S394" s="698" t="e">
        <f t="shared" si="197"/>
        <v>#N/A</v>
      </c>
      <c r="T394" s="698" t="e">
        <f t="shared" si="197"/>
        <v>#N/A</v>
      </c>
      <c r="U394" s="698" t="e">
        <f t="shared" si="197"/>
        <v>#N/A</v>
      </c>
      <c r="V394" s="698" t="e">
        <f t="shared" si="197"/>
        <v>#N/A</v>
      </c>
      <c r="W394" s="698" t="e">
        <f t="shared" si="197"/>
        <v>#N/A</v>
      </c>
      <c r="X394" s="698" t="e">
        <f t="shared" si="197"/>
        <v>#N/A</v>
      </c>
      <c r="Y394" s="698" t="e">
        <f t="shared" si="197"/>
        <v>#N/A</v>
      </c>
      <c r="Z394" s="695"/>
      <c r="AA394" s="695"/>
      <c r="AB394" s="695"/>
      <c r="AC394" s="695"/>
      <c r="AD394" s="695"/>
      <c r="AE394" s="695"/>
      <c r="AF394" s="695"/>
      <c r="AG394" s="695"/>
      <c r="AH394" s="695"/>
      <c r="AI394" s="695"/>
      <c r="AJ394" s="695"/>
      <c r="AK394" s="695"/>
    </row>
    <row r="395" spans="2:37" s="696" customFormat="1" ht="15.75" hidden="1" x14ac:dyDescent="0.25">
      <c r="D395" s="695"/>
      <c r="E395" s="695">
        <v>2020</v>
      </c>
      <c r="F395" s="698">
        <f t="shared" ref="F395:Y395" si="198">F$387*$F574</f>
        <v>0</v>
      </c>
      <c r="G395" s="698">
        <f t="shared" si="198"/>
        <v>0</v>
      </c>
      <c r="H395" s="702" t="e">
        <f t="shared" si="198"/>
        <v>#N/A</v>
      </c>
      <c r="I395" s="702" t="e">
        <f t="shared" si="198"/>
        <v>#N/A</v>
      </c>
      <c r="J395" s="702" t="e">
        <f t="shared" si="198"/>
        <v>#N/A</v>
      </c>
      <c r="K395" s="702" t="e">
        <f t="shared" si="198"/>
        <v>#N/A</v>
      </c>
      <c r="L395" s="702" t="e">
        <f t="shared" si="198"/>
        <v>#N/A</v>
      </c>
      <c r="M395" s="702" t="e">
        <f t="shared" si="198"/>
        <v>#N/A</v>
      </c>
      <c r="N395" s="698" t="e">
        <f t="shared" si="198"/>
        <v>#N/A</v>
      </c>
      <c r="O395" s="698" t="e">
        <f t="shared" si="198"/>
        <v>#N/A</v>
      </c>
      <c r="P395" s="698" t="e">
        <f t="shared" si="198"/>
        <v>#N/A</v>
      </c>
      <c r="Q395" s="698" t="e">
        <f t="shared" si="198"/>
        <v>#N/A</v>
      </c>
      <c r="R395" s="698" t="e">
        <f t="shared" si="198"/>
        <v>#N/A</v>
      </c>
      <c r="S395" s="698" t="e">
        <f t="shared" si="198"/>
        <v>#N/A</v>
      </c>
      <c r="T395" s="698" t="e">
        <f t="shared" si="198"/>
        <v>#N/A</v>
      </c>
      <c r="U395" s="698" t="e">
        <f t="shared" si="198"/>
        <v>#N/A</v>
      </c>
      <c r="V395" s="698" t="e">
        <f t="shared" si="198"/>
        <v>#N/A</v>
      </c>
      <c r="W395" s="698" t="e">
        <f t="shared" si="198"/>
        <v>#N/A</v>
      </c>
      <c r="X395" s="698" t="e">
        <f t="shared" si="198"/>
        <v>#N/A</v>
      </c>
      <c r="Y395" s="698" t="e">
        <f t="shared" si="198"/>
        <v>#N/A</v>
      </c>
      <c r="Z395" s="695"/>
      <c r="AA395" s="695"/>
      <c r="AB395" s="695"/>
      <c r="AC395" s="695"/>
      <c r="AD395" s="695"/>
      <c r="AE395" s="695"/>
      <c r="AF395" s="695"/>
      <c r="AG395" s="695"/>
      <c r="AH395" s="695"/>
      <c r="AI395" s="695"/>
      <c r="AJ395" s="695"/>
      <c r="AK395" s="695"/>
    </row>
    <row r="396" spans="2:37" s="695" customFormat="1" ht="15.75" hidden="1" x14ac:dyDescent="0.25"/>
    <row r="397" spans="2:37" s="640" customFormat="1" ht="15.75" hidden="1" x14ac:dyDescent="0.25">
      <c r="H397" s="703"/>
      <c r="I397" s="703"/>
      <c r="J397" s="703"/>
      <c r="K397" s="703"/>
      <c r="L397" s="703"/>
      <c r="M397" s="703"/>
    </row>
    <row r="398" spans="2:37" s="640" customFormat="1" ht="15.75" hidden="1" x14ac:dyDescent="0.25"/>
    <row r="399" spans="2:37" s="704" customFormat="1" ht="15.75" hidden="1" x14ac:dyDescent="0.25">
      <c r="D399" s="705" t="s">
        <v>1588</v>
      </c>
    </row>
    <row r="400" spans="2:37" s="705" customFormat="1" ht="15.75" hidden="1" x14ac:dyDescent="0.25">
      <c r="B400" s="691" t="s">
        <v>1570</v>
      </c>
      <c r="D400" s="705" t="s">
        <v>412</v>
      </c>
      <c r="E400" s="705" t="s">
        <v>10</v>
      </c>
      <c r="F400" s="705" t="s">
        <v>428</v>
      </c>
      <c r="G400" s="705" t="str">
        <f>G$184</f>
        <v>Cost in 2008 dollars</v>
      </c>
      <c r="H400" s="705" t="s">
        <v>583</v>
      </c>
      <c r="I400" s="705" t="s">
        <v>584</v>
      </c>
      <c r="J400" s="705" t="s">
        <v>585</v>
      </c>
      <c r="K400" s="705" t="s">
        <v>586</v>
      </c>
      <c r="L400" s="705" t="s">
        <v>413</v>
      </c>
      <c r="M400" s="705" t="s">
        <v>414</v>
      </c>
      <c r="N400" s="706" t="s">
        <v>592</v>
      </c>
      <c r="O400" s="706" t="s">
        <v>587</v>
      </c>
      <c r="P400" s="706" t="s">
        <v>588</v>
      </c>
      <c r="Q400" s="706" t="s">
        <v>589</v>
      </c>
      <c r="R400" s="706" t="s">
        <v>590</v>
      </c>
      <c r="S400" s="706" t="s">
        <v>591</v>
      </c>
      <c r="T400" s="706" t="s">
        <v>593</v>
      </c>
      <c r="U400" s="706" t="s">
        <v>594</v>
      </c>
      <c r="V400" s="706" t="s">
        <v>595</v>
      </c>
      <c r="W400" s="706" t="s">
        <v>596</v>
      </c>
      <c r="X400" s="706" t="s">
        <v>597</v>
      </c>
      <c r="Y400" s="706" t="s">
        <v>598</v>
      </c>
      <c r="Z400" s="704"/>
      <c r="AA400" s="704"/>
      <c r="AB400" s="704"/>
      <c r="AC400" s="704"/>
      <c r="AD400" s="704"/>
      <c r="AE400" s="704"/>
      <c r="AF400" s="704"/>
      <c r="AG400" s="704"/>
      <c r="AH400" s="704"/>
      <c r="AI400" s="704"/>
      <c r="AJ400" s="704"/>
      <c r="AK400" s="704"/>
    </row>
    <row r="401" spans="2:37" s="705" customFormat="1" ht="15.75" hidden="1" x14ac:dyDescent="0.25">
      <c r="B401" s="704" t="s">
        <v>1587</v>
      </c>
      <c r="C401" s="704" t="s">
        <v>1501</v>
      </c>
      <c r="D401" s="704">
        <v>484000</v>
      </c>
      <c r="E401" s="704" t="s">
        <v>616</v>
      </c>
      <c r="F401" s="707">
        <f>J69-F413</f>
        <v>421.20000000000005</v>
      </c>
      <c r="G401" s="707">
        <f>F401*$C$578</f>
        <v>415.88226694060245</v>
      </c>
      <c r="H401" s="708" t="e">
        <f>$G401*INDEX(tier_emp_mult, MATCH($D401, tier_emp_code,0), MATCH(State, R_emp, 0))/1000000</f>
        <v>#N/A</v>
      </c>
      <c r="I401" s="709" t="e">
        <f>$G401*INDEX(typeI_emp_mult, MATCH($D401, typeI_emp_code,0), MATCH(State, R_emp, 0))/1000000</f>
        <v>#N/A</v>
      </c>
      <c r="J401" s="709" t="e">
        <f>$G401*INDEX(typeII_emp_mult, MATCH($D401, typeII_emp_code,0), MATCH(State, R_emp, 0))/1000000</f>
        <v>#N/A</v>
      </c>
      <c r="K401" s="710" t="e">
        <f>H401</f>
        <v>#N/A</v>
      </c>
      <c r="L401" s="710" t="e">
        <f>I401-H401</f>
        <v>#N/A</v>
      </c>
      <c r="M401" s="710" t="e">
        <f>J401-I401</f>
        <v>#N/A</v>
      </c>
      <c r="N401" s="711" t="e">
        <f>$G401*INDEX(tier_earn_mult, MATCH($D401, tier_earn_code,0), MATCH(State, R_earn, 0))</f>
        <v>#N/A</v>
      </c>
      <c r="O401" s="711" t="e">
        <f>$G401*INDEX(typeI_earn_mult, MATCH($D401, typeI_earn_code,0), MATCH(State, R_earn, 0))</f>
        <v>#N/A</v>
      </c>
      <c r="P401" s="711" t="e">
        <f>$G401*INDEX(typeII_earn_mult, MATCH($D401, typeII_earn_code,0), MATCH(State, R_earn, 0))</f>
        <v>#N/A</v>
      </c>
      <c r="Q401" s="711" t="e">
        <f>N401</f>
        <v>#N/A</v>
      </c>
      <c r="R401" s="711" t="e">
        <f>O401-N401</f>
        <v>#N/A</v>
      </c>
      <c r="S401" s="711" t="e">
        <f>P401-O401</f>
        <v>#N/A</v>
      </c>
      <c r="T401" s="711" t="e">
        <f>$G401*INDEX(tier_out_mult, MATCH($D401, tier_out_code,0), MATCH(State, R_out, 0))</f>
        <v>#N/A</v>
      </c>
      <c r="U401" s="711" t="e">
        <f>$G401*INDEX(typeI_out_mult, MATCH($D401, typeI_out_code,0), MATCH(State, R_out, 0))</f>
        <v>#N/A</v>
      </c>
      <c r="V401" s="711" t="e">
        <f>$G401*INDEX(typeII_out_mult, MATCH($D401, typeII_out_code,0), MATCH(State, R_out, 0))</f>
        <v>#N/A</v>
      </c>
      <c r="W401" s="711" t="e">
        <f>T401</f>
        <v>#N/A</v>
      </c>
      <c r="X401" s="711" t="e">
        <f>U401-T401</f>
        <v>#N/A</v>
      </c>
      <c r="Y401" s="711" t="e">
        <f>V401-U401</f>
        <v>#N/A</v>
      </c>
      <c r="Z401" s="704"/>
      <c r="AA401" s="704"/>
      <c r="AB401" s="704"/>
      <c r="AC401" s="704"/>
      <c r="AD401" s="704"/>
      <c r="AE401" s="704"/>
      <c r="AF401" s="704"/>
      <c r="AG401" s="704"/>
      <c r="AH401" s="704"/>
      <c r="AI401" s="704"/>
      <c r="AJ401" s="704"/>
      <c r="AK401" s="704"/>
    </row>
    <row r="402" spans="2:37" s="705" customFormat="1" ht="15.75" hidden="1" x14ac:dyDescent="0.25">
      <c r="B402" s="704" t="s">
        <v>1587</v>
      </c>
      <c r="C402" s="704" t="s">
        <v>439</v>
      </c>
      <c r="D402" s="704">
        <v>484000</v>
      </c>
      <c r="E402" s="704" t="s">
        <v>616</v>
      </c>
      <c r="F402" s="707">
        <f>J$70-F414</f>
        <v>126.35999999999999</v>
      </c>
      <c r="G402" s="707">
        <f>F402*$C$578</f>
        <v>124.7646800821807</v>
      </c>
      <c r="H402" s="708" t="e">
        <f>$G402*INDEX(tier_emp_mult, MATCH($D402, tier_emp_code,0), MATCH(State, R_emp, 0))/1000000</f>
        <v>#N/A</v>
      </c>
      <c r="I402" s="709" t="e">
        <f>$G402*INDEX(typeI_emp_mult, MATCH($D402, typeI_emp_code,0), MATCH(State, R_emp, 0))/1000000</f>
        <v>#N/A</v>
      </c>
      <c r="J402" s="709" t="e">
        <f>$G402*INDEX(typeII_emp_mult, MATCH($D402, typeII_emp_code,0), MATCH(State, R_emp, 0))/1000000</f>
        <v>#N/A</v>
      </c>
      <c r="K402" s="710" t="e">
        <f>H402</f>
        <v>#N/A</v>
      </c>
      <c r="L402" s="710" t="e">
        <f>I402-H402</f>
        <v>#N/A</v>
      </c>
      <c r="M402" s="710" t="e">
        <f>J402-I402</f>
        <v>#N/A</v>
      </c>
      <c r="N402" s="711" t="e">
        <f>$G402*INDEX(tier_earn_mult, MATCH($D402, tier_earn_code,0), MATCH(State, R_earn, 0))</f>
        <v>#N/A</v>
      </c>
      <c r="O402" s="711" t="e">
        <f>$G402*INDEX(typeI_earn_mult, MATCH($D402, typeI_earn_code,0), MATCH(State, R_earn, 0))</f>
        <v>#N/A</v>
      </c>
      <c r="P402" s="711" t="e">
        <f>$G402*INDEX(typeII_earn_mult, MATCH($D402, typeII_earn_code,0), MATCH(State, R_earn, 0))</f>
        <v>#N/A</v>
      </c>
      <c r="Q402" s="711" t="e">
        <f>N402</f>
        <v>#N/A</v>
      </c>
      <c r="R402" s="711" t="e">
        <f>O402-N402</f>
        <v>#N/A</v>
      </c>
      <c r="S402" s="711" t="e">
        <f>P402-O402</f>
        <v>#N/A</v>
      </c>
      <c r="T402" s="711" t="e">
        <f>$G402*INDEX(tier_out_mult, MATCH($D402, tier_out_code,0), MATCH(State, R_out, 0))</f>
        <v>#N/A</v>
      </c>
      <c r="U402" s="711" t="e">
        <f>$G402*INDEX(typeI_out_mult, MATCH($D402, typeI_out_code,0), MATCH(State, R_out, 0))</f>
        <v>#N/A</v>
      </c>
      <c r="V402" s="711" t="e">
        <f>$G402*INDEX(typeII_out_mult, MATCH($D402, typeII_out_code,0), MATCH(State, R_out, 0))</f>
        <v>#N/A</v>
      </c>
      <c r="W402" s="711" t="e">
        <f>T402</f>
        <v>#N/A</v>
      </c>
      <c r="X402" s="711" t="e">
        <f>U402-T402</f>
        <v>#N/A</v>
      </c>
      <c r="Y402" s="711" t="e">
        <f>V402-U402</f>
        <v>#N/A</v>
      </c>
      <c r="Z402" s="704"/>
      <c r="AA402" s="704"/>
      <c r="AB402" s="704"/>
      <c r="AC402" s="704"/>
      <c r="AD402" s="704"/>
      <c r="AE402" s="704"/>
      <c r="AF402" s="704"/>
      <c r="AG402" s="704"/>
      <c r="AH402" s="704"/>
      <c r="AI402" s="704"/>
      <c r="AJ402" s="704"/>
      <c r="AK402" s="704"/>
    </row>
    <row r="403" spans="2:37" s="705" customFormat="1" ht="15.75" hidden="1" x14ac:dyDescent="0.25">
      <c r="N403" s="706"/>
      <c r="O403" s="706"/>
      <c r="P403" s="706"/>
      <c r="Q403" s="706"/>
      <c r="R403" s="706"/>
      <c r="S403" s="706"/>
      <c r="T403" s="706"/>
      <c r="U403" s="706"/>
      <c r="V403" s="706"/>
      <c r="W403" s="706"/>
      <c r="X403" s="706"/>
      <c r="Y403" s="706"/>
      <c r="Z403" s="704"/>
      <c r="AA403" s="704"/>
      <c r="AB403" s="704"/>
      <c r="AC403" s="704"/>
      <c r="AD403" s="704"/>
      <c r="AE403" s="704"/>
      <c r="AF403" s="704"/>
      <c r="AG403" s="704"/>
      <c r="AH403" s="704"/>
      <c r="AI403" s="704"/>
      <c r="AJ403" s="704"/>
      <c r="AK403" s="704"/>
    </row>
    <row r="404" spans="2:37" s="705" customFormat="1" ht="15.75" hidden="1" x14ac:dyDescent="0.25">
      <c r="E404" s="705">
        <v>2015</v>
      </c>
      <c r="F404" s="707">
        <f t="shared" ref="F404:Y404" si="199">(F$401*$F569)+(F$402*$H569)</f>
        <v>0</v>
      </c>
      <c r="G404" s="707">
        <f t="shared" si="199"/>
        <v>0</v>
      </c>
      <c r="H404" s="712" t="e">
        <f t="shared" si="199"/>
        <v>#N/A</v>
      </c>
      <c r="I404" s="712" t="e">
        <f t="shared" si="199"/>
        <v>#N/A</v>
      </c>
      <c r="J404" s="712" t="e">
        <f t="shared" si="199"/>
        <v>#N/A</v>
      </c>
      <c r="K404" s="712" t="e">
        <f t="shared" si="199"/>
        <v>#N/A</v>
      </c>
      <c r="L404" s="712" t="e">
        <f t="shared" si="199"/>
        <v>#N/A</v>
      </c>
      <c r="M404" s="712" t="e">
        <f t="shared" si="199"/>
        <v>#N/A</v>
      </c>
      <c r="N404" s="707" t="e">
        <f t="shared" si="199"/>
        <v>#N/A</v>
      </c>
      <c r="O404" s="707" t="e">
        <f t="shared" si="199"/>
        <v>#N/A</v>
      </c>
      <c r="P404" s="707" t="e">
        <f t="shared" si="199"/>
        <v>#N/A</v>
      </c>
      <c r="Q404" s="707" t="e">
        <f t="shared" si="199"/>
        <v>#N/A</v>
      </c>
      <c r="R404" s="707" t="e">
        <f t="shared" si="199"/>
        <v>#N/A</v>
      </c>
      <c r="S404" s="707" t="e">
        <f t="shared" si="199"/>
        <v>#N/A</v>
      </c>
      <c r="T404" s="707" t="e">
        <f t="shared" si="199"/>
        <v>#N/A</v>
      </c>
      <c r="U404" s="707" t="e">
        <f t="shared" si="199"/>
        <v>#N/A</v>
      </c>
      <c r="V404" s="707" t="e">
        <f t="shared" si="199"/>
        <v>#N/A</v>
      </c>
      <c r="W404" s="707" t="e">
        <f t="shared" si="199"/>
        <v>#N/A</v>
      </c>
      <c r="X404" s="707" t="e">
        <f t="shared" si="199"/>
        <v>#N/A</v>
      </c>
      <c r="Y404" s="707" t="e">
        <f t="shared" si="199"/>
        <v>#N/A</v>
      </c>
      <c r="Z404" s="704"/>
      <c r="AA404" s="704"/>
      <c r="AB404" s="704"/>
      <c r="AC404" s="704"/>
      <c r="AD404" s="704"/>
      <c r="AE404" s="704"/>
      <c r="AF404" s="704"/>
      <c r="AG404" s="704"/>
      <c r="AH404" s="704"/>
      <c r="AI404" s="704"/>
      <c r="AJ404" s="704"/>
      <c r="AK404" s="704"/>
    </row>
    <row r="405" spans="2:37" s="705" customFormat="1" ht="15.75" hidden="1" x14ac:dyDescent="0.25">
      <c r="E405" s="705">
        <v>2016</v>
      </c>
      <c r="F405" s="707">
        <f t="shared" ref="F405:Y405" si="200">(F$401*$F570)+(F$402*$H570)</f>
        <v>0</v>
      </c>
      <c r="G405" s="707">
        <f t="shared" si="200"/>
        <v>0</v>
      </c>
      <c r="H405" s="712" t="e">
        <f t="shared" si="200"/>
        <v>#N/A</v>
      </c>
      <c r="I405" s="712" t="e">
        <f t="shared" si="200"/>
        <v>#N/A</v>
      </c>
      <c r="J405" s="712" t="e">
        <f t="shared" si="200"/>
        <v>#N/A</v>
      </c>
      <c r="K405" s="712" t="e">
        <f t="shared" si="200"/>
        <v>#N/A</v>
      </c>
      <c r="L405" s="712" t="e">
        <f t="shared" si="200"/>
        <v>#N/A</v>
      </c>
      <c r="M405" s="712" t="e">
        <f t="shared" si="200"/>
        <v>#N/A</v>
      </c>
      <c r="N405" s="707" t="e">
        <f t="shared" si="200"/>
        <v>#N/A</v>
      </c>
      <c r="O405" s="707" t="e">
        <f t="shared" si="200"/>
        <v>#N/A</v>
      </c>
      <c r="P405" s="707" t="e">
        <f t="shared" si="200"/>
        <v>#N/A</v>
      </c>
      <c r="Q405" s="707" t="e">
        <f t="shared" si="200"/>
        <v>#N/A</v>
      </c>
      <c r="R405" s="707" t="e">
        <f t="shared" si="200"/>
        <v>#N/A</v>
      </c>
      <c r="S405" s="707" t="e">
        <f t="shared" si="200"/>
        <v>#N/A</v>
      </c>
      <c r="T405" s="707" t="e">
        <f t="shared" si="200"/>
        <v>#N/A</v>
      </c>
      <c r="U405" s="707" t="e">
        <f t="shared" si="200"/>
        <v>#N/A</v>
      </c>
      <c r="V405" s="707" t="e">
        <f t="shared" si="200"/>
        <v>#N/A</v>
      </c>
      <c r="W405" s="707" t="e">
        <f t="shared" si="200"/>
        <v>#N/A</v>
      </c>
      <c r="X405" s="707" t="e">
        <f t="shared" si="200"/>
        <v>#N/A</v>
      </c>
      <c r="Y405" s="707" t="e">
        <f t="shared" si="200"/>
        <v>#N/A</v>
      </c>
      <c r="Z405" s="704"/>
      <c r="AA405" s="704"/>
      <c r="AB405" s="704"/>
      <c r="AC405" s="704"/>
      <c r="AD405" s="704"/>
      <c r="AE405" s="704"/>
      <c r="AF405" s="704"/>
      <c r="AG405" s="704"/>
      <c r="AH405" s="704"/>
      <c r="AI405" s="704"/>
      <c r="AJ405" s="704"/>
      <c r="AK405" s="704"/>
    </row>
    <row r="406" spans="2:37" s="705" customFormat="1" ht="15.75" hidden="1" x14ac:dyDescent="0.25">
      <c r="E406" s="705">
        <v>2017</v>
      </c>
      <c r="F406" s="707">
        <f t="shared" ref="F406:Y406" si="201">(F$401*$F571)+(F$402*$H571)</f>
        <v>0</v>
      </c>
      <c r="G406" s="707">
        <f t="shared" si="201"/>
        <v>0</v>
      </c>
      <c r="H406" s="712" t="e">
        <f t="shared" si="201"/>
        <v>#N/A</v>
      </c>
      <c r="I406" s="712" t="e">
        <f t="shared" si="201"/>
        <v>#N/A</v>
      </c>
      <c r="J406" s="712" t="e">
        <f t="shared" si="201"/>
        <v>#N/A</v>
      </c>
      <c r="K406" s="712" t="e">
        <f t="shared" si="201"/>
        <v>#N/A</v>
      </c>
      <c r="L406" s="712" t="e">
        <f t="shared" si="201"/>
        <v>#N/A</v>
      </c>
      <c r="M406" s="712" t="e">
        <f t="shared" si="201"/>
        <v>#N/A</v>
      </c>
      <c r="N406" s="707" t="e">
        <f t="shared" si="201"/>
        <v>#N/A</v>
      </c>
      <c r="O406" s="707" t="e">
        <f t="shared" si="201"/>
        <v>#N/A</v>
      </c>
      <c r="P406" s="707" t="e">
        <f t="shared" si="201"/>
        <v>#N/A</v>
      </c>
      <c r="Q406" s="707" t="e">
        <f t="shared" si="201"/>
        <v>#N/A</v>
      </c>
      <c r="R406" s="707" t="e">
        <f t="shared" si="201"/>
        <v>#N/A</v>
      </c>
      <c r="S406" s="707" t="e">
        <f t="shared" si="201"/>
        <v>#N/A</v>
      </c>
      <c r="T406" s="707" t="e">
        <f t="shared" si="201"/>
        <v>#N/A</v>
      </c>
      <c r="U406" s="707" t="e">
        <f t="shared" si="201"/>
        <v>#N/A</v>
      </c>
      <c r="V406" s="707" t="e">
        <f t="shared" si="201"/>
        <v>#N/A</v>
      </c>
      <c r="W406" s="707" t="e">
        <f t="shared" si="201"/>
        <v>#N/A</v>
      </c>
      <c r="X406" s="707" t="e">
        <f t="shared" si="201"/>
        <v>#N/A</v>
      </c>
      <c r="Y406" s="707" t="e">
        <f t="shared" si="201"/>
        <v>#N/A</v>
      </c>
      <c r="Z406" s="704"/>
      <c r="AA406" s="704"/>
      <c r="AB406" s="704"/>
      <c r="AC406" s="704"/>
      <c r="AD406" s="704"/>
      <c r="AE406" s="704"/>
      <c r="AF406" s="704"/>
      <c r="AG406" s="704"/>
      <c r="AH406" s="704"/>
      <c r="AI406" s="704"/>
      <c r="AJ406" s="704"/>
      <c r="AK406" s="704"/>
    </row>
    <row r="407" spans="2:37" s="705" customFormat="1" ht="15.75" hidden="1" x14ac:dyDescent="0.25">
      <c r="E407" s="705">
        <v>2018</v>
      </c>
      <c r="F407" s="707">
        <f t="shared" ref="F407:Y407" si="202">(F$401*$F572)+(F$402*$H572)</f>
        <v>0</v>
      </c>
      <c r="G407" s="707">
        <f t="shared" si="202"/>
        <v>0</v>
      </c>
      <c r="H407" s="712" t="e">
        <f t="shared" si="202"/>
        <v>#N/A</v>
      </c>
      <c r="I407" s="712" t="e">
        <f t="shared" si="202"/>
        <v>#N/A</v>
      </c>
      <c r="J407" s="712" t="e">
        <f t="shared" si="202"/>
        <v>#N/A</v>
      </c>
      <c r="K407" s="712" t="e">
        <f t="shared" si="202"/>
        <v>#N/A</v>
      </c>
      <c r="L407" s="712" t="e">
        <f t="shared" si="202"/>
        <v>#N/A</v>
      </c>
      <c r="M407" s="712" t="e">
        <f t="shared" si="202"/>
        <v>#N/A</v>
      </c>
      <c r="N407" s="707" t="e">
        <f t="shared" si="202"/>
        <v>#N/A</v>
      </c>
      <c r="O407" s="707" t="e">
        <f t="shared" si="202"/>
        <v>#N/A</v>
      </c>
      <c r="P407" s="707" t="e">
        <f t="shared" si="202"/>
        <v>#N/A</v>
      </c>
      <c r="Q407" s="707" t="e">
        <f t="shared" si="202"/>
        <v>#N/A</v>
      </c>
      <c r="R407" s="707" t="e">
        <f t="shared" si="202"/>
        <v>#N/A</v>
      </c>
      <c r="S407" s="707" t="e">
        <f t="shared" si="202"/>
        <v>#N/A</v>
      </c>
      <c r="T407" s="707" t="e">
        <f t="shared" si="202"/>
        <v>#N/A</v>
      </c>
      <c r="U407" s="707" t="e">
        <f t="shared" si="202"/>
        <v>#N/A</v>
      </c>
      <c r="V407" s="707" t="e">
        <f t="shared" si="202"/>
        <v>#N/A</v>
      </c>
      <c r="W407" s="707" t="e">
        <f t="shared" si="202"/>
        <v>#N/A</v>
      </c>
      <c r="X407" s="707" t="e">
        <f t="shared" si="202"/>
        <v>#N/A</v>
      </c>
      <c r="Y407" s="707" t="e">
        <f t="shared" si="202"/>
        <v>#N/A</v>
      </c>
      <c r="Z407" s="704"/>
      <c r="AA407" s="704"/>
      <c r="AB407" s="704"/>
      <c r="AC407" s="704"/>
      <c r="AD407" s="704"/>
      <c r="AE407" s="704"/>
      <c r="AF407" s="704"/>
      <c r="AG407" s="704"/>
      <c r="AH407" s="704"/>
      <c r="AI407" s="704"/>
      <c r="AJ407" s="704"/>
      <c r="AK407" s="704"/>
    </row>
    <row r="408" spans="2:37" s="705" customFormat="1" ht="15.75" hidden="1" x14ac:dyDescent="0.25">
      <c r="E408" s="705">
        <v>2019</v>
      </c>
      <c r="F408" s="707">
        <f t="shared" ref="F408:Y408" si="203">(F$401*$F573)+(F$402*$H573)</f>
        <v>0</v>
      </c>
      <c r="G408" s="707">
        <f t="shared" si="203"/>
        <v>0</v>
      </c>
      <c r="H408" s="712" t="e">
        <f t="shared" si="203"/>
        <v>#N/A</v>
      </c>
      <c r="I408" s="712" t="e">
        <f t="shared" si="203"/>
        <v>#N/A</v>
      </c>
      <c r="J408" s="712" t="e">
        <f t="shared" si="203"/>
        <v>#N/A</v>
      </c>
      <c r="K408" s="712" t="e">
        <f t="shared" si="203"/>
        <v>#N/A</v>
      </c>
      <c r="L408" s="712" t="e">
        <f t="shared" si="203"/>
        <v>#N/A</v>
      </c>
      <c r="M408" s="712" t="e">
        <f t="shared" si="203"/>
        <v>#N/A</v>
      </c>
      <c r="N408" s="707" t="e">
        <f t="shared" si="203"/>
        <v>#N/A</v>
      </c>
      <c r="O408" s="707" t="e">
        <f t="shared" si="203"/>
        <v>#N/A</v>
      </c>
      <c r="P408" s="707" t="e">
        <f t="shared" si="203"/>
        <v>#N/A</v>
      </c>
      <c r="Q408" s="707" t="e">
        <f t="shared" si="203"/>
        <v>#N/A</v>
      </c>
      <c r="R408" s="707" t="e">
        <f t="shared" si="203"/>
        <v>#N/A</v>
      </c>
      <c r="S408" s="707" t="e">
        <f t="shared" si="203"/>
        <v>#N/A</v>
      </c>
      <c r="T408" s="707" t="e">
        <f t="shared" si="203"/>
        <v>#N/A</v>
      </c>
      <c r="U408" s="707" t="e">
        <f t="shared" si="203"/>
        <v>#N/A</v>
      </c>
      <c r="V408" s="707" t="e">
        <f t="shared" si="203"/>
        <v>#N/A</v>
      </c>
      <c r="W408" s="707" t="e">
        <f t="shared" si="203"/>
        <v>#N/A</v>
      </c>
      <c r="X408" s="707" t="e">
        <f t="shared" si="203"/>
        <v>#N/A</v>
      </c>
      <c r="Y408" s="707" t="e">
        <f t="shared" si="203"/>
        <v>#N/A</v>
      </c>
      <c r="Z408" s="704"/>
      <c r="AA408" s="704"/>
      <c r="AB408" s="704"/>
      <c r="AC408" s="704"/>
      <c r="AD408" s="704"/>
      <c r="AE408" s="704"/>
      <c r="AF408" s="704"/>
      <c r="AG408" s="704"/>
      <c r="AH408" s="704"/>
      <c r="AI408" s="704"/>
      <c r="AJ408" s="704"/>
      <c r="AK408" s="704"/>
    </row>
    <row r="409" spans="2:37" s="705" customFormat="1" ht="15.75" hidden="1" x14ac:dyDescent="0.25">
      <c r="E409" s="705">
        <v>2020</v>
      </c>
      <c r="F409" s="707">
        <f t="shared" ref="F409:Y409" si="204">(F$401*$F574)+(F$402*$H574)</f>
        <v>0</v>
      </c>
      <c r="G409" s="707">
        <f t="shared" si="204"/>
        <v>0</v>
      </c>
      <c r="H409" s="712" t="e">
        <f t="shared" si="204"/>
        <v>#N/A</v>
      </c>
      <c r="I409" s="712" t="e">
        <f t="shared" si="204"/>
        <v>#N/A</v>
      </c>
      <c r="J409" s="712" t="e">
        <f t="shared" si="204"/>
        <v>#N/A</v>
      </c>
      <c r="K409" s="712" t="e">
        <f t="shared" si="204"/>
        <v>#N/A</v>
      </c>
      <c r="L409" s="712" t="e">
        <f t="shared" si="204"/>
        <v>#N/A</v>
      </c>
      <c r="M409" s="712" t="e">
        <f t="shared" si="204"/>
        <v>#N/A</v>
      </c>
      <c r="N409" s="707" t="e">
        <f t="shared" si="204"/>
        <v>#N/A</v>
      </c>
      <c r="O409" s="707" t="e">
        <f t="shared" si="204"/>
        <v>#N/A</v>
      </c>
      <c r="P409" s="707" t="e">
        <f t="shared" si="204"/>
        <v>#N/A</v>
      </c>
      <c r="Q409" s="707" t="e">
        <f t="shared" si="204"/>
        <v>#N/A</v>
      </c>
      <c r="R409" s="707" t="e">
        <f t="shared" si="204"/>
        <v>#N/A</v>
      </c>
      <c r="S409" s="707" t="e">
        <f t="shared" si="204"/>
        <v>#N/A</v>
      </c>
      <c r="T409" s="707" t="e">
        <f t="shared" si="204"/>
        <v>#N/A</v>
      </c>
      <c r="U409" s="707" t="e">
        <f t="shared" si="204"/>
        <v>#N/A</v>
      </c>
      <c r="V409" s="707" t="e">
        <f t="shared" si="204"/>
        <v>#N/A</v>
      </c>
      <c r="W409" s="707" t="e">
        <f t="shared" si="204"/>
        <v>#N/A</v>
      </c>
      <c r="X409" s="707" t="e">
        <f t="shared" si="204"/>
        <v>#N/A</v>
      </c>
      <c r="Y409" s="707" t="e">
        <f t="shared" si="204"/>
        <v>#N/A</v>
      </c>
      <c r="Z409" s="704"/>
      <c r="AA409" s="704"/>
      <c r="AB409" s="704"/>
      <c r="AC409" s="704"/>
      <c r="AD409" s="704"/>
      <c r="AE409" s="704"/>
      <c r="AF409" s="704"/>
      <c r="AG409" s="704"/>
      <c r="AH409" s="704"/>
      <c r="AI409" s="704"/>
      <c r="AJ409" s="704"/>
      <c r="AK409" s="704"/>
    </row>
    <row r="410" spans="2:37" s="705" customFormat="1" ht="15.75" hidden="1" x14ac:dyDescent="0.25">
      <c r="N410" s="706"/>
      <c r="O410" s="706"/>
      <c r="P410" s="706"/>
      <c r="Q410" s="706"/>
      <c r="R410" s="706"/>
      <c r="S410" s="706"/>
      <c r="T410" s="706"/>
      <c r="U410" s="706"/>
      <c r="V410" s="706"/>
      <c r="W410" s="706"/>
      <c r="X410" s="706"/>
      <c r="Y410" s="706"/>
      <c r="Z410" s="704"/>
      <c r="AA410" s="704"/>
      <c r="AB410" s="704"/>
      <c r="AC410" s="704"/>
      <c r="AD410" s="704"/>
      <c r="AE410" s="704"/>
      <c r="AF410" s="704"/>
      <c r="AG410" s="704"/>
      <c r="AH410" s="704"/>
      <c r="AI410" s="704"/>
      <c r="AJ410" s="704"/>
      <c r="AK410" s="704"/>
    </row>
    <row r="411" spans="2:37" s="705" customFormat="1" ht="15.75" hidden="1" x14ac:dyDescent="0.25">
      <c r="D411" s="705" t="s">
        <v>1589</v>
      </c>
      <c r="N411" s="706"/>
      <c r="O411" s="706"/>
      <c r="P411" s="706"/>
      <c r="Q411" s="706"/>
      <c r="R411" s="706"/>
      <c r="S411" s="706"/>
      <c r="T411" s="706"/>
      <c r="U411" s="706"/>
      <c r="V411" s="706"/>
      <c r="W411" s="706"/>
      <c r="X411" s="706"/>
      <c r="Y411" s="706"/>
      <c r="Z411" s="704"/>
      <c r="AA411" s="704"/>
      <c r="AB411" s="704"/>
      <c r="AC411" s="704"/>
      <c r="AD411" s="704"/>
      <c r="AE411" s="704"/>
      <c r="AF411" s="704"/>
      <c r="AG411" s="704"/>
      <c r="AH411" s="704"/>
      <c r="AI411" s="704"/>
      <c r="AJ411" s="704"/>
      <c r="AK411" s="704"/>
    </row>
    <row r="412" spans="2:37" s="705" customFormat="1" ht="15.75" hidden="1" x14ac:dyDescent="0.25">
      <c r="B412" s="691" t="s">
        <v>1570</v>
      </c>
      <c r="D412" s="705" t="s">
        <v>412</v>
      </c>
      <c r="E412" s="705" t="s">
        <v>10</v>
      </c>
      <c r="F412" s="705" t="s">
        <v>428</v>
      </c>
      <c r="G412" s="705" t="str">
        <f>G$184</f>
        <v>Cost in 2008 dollars</v>
      </c>
      <c r="H412" s="705" t="s">
        <v>583</v>
      </c>
      <c r="I412" s="705" t="s">
        <v>584</v>
      </c>
      <c r="J412" s="705" t="s">
        <v>585</v>
      </c>
      <c r="K412" s="705" t="s">
        <v>586</v>
      </c>
      <c r="L412" s="705" t="s">
        <v>413</v>
      </c>
      <c r="M412" s="705" t="s">
        <v>414</v>
      </c>
      <c r="N412" s="706" t="s">
        <v>592</v>
      </c>
      <c r="O412" s="706" t="s">
        <v>587</v>
      </c>
      <c r="P412" s="706" t="s">
        <v>588</v>
      </c>
      <c r="Q412" s="706" t="s">
        <v>589</v>
      </c>
      <c r="R412" s="706" t="s">
        <v>590</v>
      </c>
      <c r="S412" s="706" t="s">
        <v>591</v>
      </c>
      <c r="T412" s="706" t="s">
        <v>593</v>
      </c>
      <c r="U412" s="706" t="s">
        <v>594</v>
      </c>
      <c r="V412" s="706" t="s">
        <v>595</v>
      </c>
      <c r="W412" s="706" t="s">
        <v>596</v>
      </c>
      <c r="X412" s="706" t="s">
        <v>597</v>
      </c>
      <c r="Y412" s="706" t="s">
        <v>598</v>
      </c>
      <c r="Z412" s="704"/>
      <c r="AA412" s="704"/>
      <c r="AB412" s="704"/>
      <c r="AC412" s="704"/>
      <c r="AD412" s="704"/>
      <c r="AE412" s="704"/>
      <c r="AF412" s="704"/>
      <c r="AG412" s="704"/>
      <c r="AH412" s="704"/>
      <c r="AI412" s="704"/>
      <c r="AJ412" s="704"/>
      <c r="AK412" s="704"/>
    </row>
    <row r="413" spans="2:37" s="705" customFormat="1" ht="15.75" hidden="1" x14ac:dyDescent="0.25">
      <c r="B413" s="704" t="s">
        <v>1590</v>
      </c>
      <c r="C413" s="704" t="s">
        <v>1501</v>
      </c>
      <c r="D413" s="704">
        <v>325120</v>
      </c>
      <c r="E413" s="704" t="s">
        <v>103</v>
      </c>
      <c r="F413" s="707">
        <f>(J$66/J$67)*J69</f>
        <v>46.800000000000011</v>
      </c>
      <c r="G413" s="707">
        <f>F413*$C$578</f>
        <v>46.209140771178056</v>
      </c>
      <c r="H413" s="708" t="e">
        <f>$G413*INDEX(tier_emp_mult, MATCH($D413, tier_emp_code,0), MATCH(State, R_emp, 0))/1000000</f>
        <v>#N/A</v>
      </c>
      <c r="I413" s="709" t="e">
        <f>$G413*INDEX(typeI_emp_mult, MATCH($D413, typeI_emp_code,0), MATCH(State, R_emp, 0))/1000000</f>
        <v>#N/A</v>
      </c>
      <c r="J413" s="709" t="e">
        <f>$G413*INDEX(typeII_emp_mult, MATCH($D413, typeII_emp_code,0), MATCH(State, R_emp, 0))/1000000</f>
        <v>#N/A</v>
      </c>
      <c r="K413" s="710" t="e">
        <f>H413</f>
        <v>#N/A</v>
      </c>
      <c r="L413" s="710" t="e">
        <f>I413-H413</f>
        <v>#N/A</v>
      </c>
      <c r="M413" s="710" t="e">
        <f>J413-I413</f>
        <v>#N/A</v>
      </c>
      <c r="N413" s="711" t="e">
        <f>$G413*INDEX(tier_earn_mult, MATCH($D413, tier_earn_code,0), MATCH(State, R_earn, 0))</f>
        <v>#N/A</v>
      </c>
      <c r="O413" s="711" t="e">
        <f>$G413*INDEX(typeI_earn_mult, MATCH($D413, typeI_earn_code,0), MATCH(State, R_earn, 0))</f>
        <v>#N/A</v>
      </c>
      <c r="P413" s="711" t="e">
        <f>$G413*INDEX(typeII_earn_mult, MATCH($D413, typeII_earn_code,0), MATCH(State, R_earn, 0))</f>
        <v>#N/A</v>
      </c>
      <c r="Q413" s="711" t="e">
        <f>N413</f>
        <v>#N/A</v>
      </c>
      <c r="R413" s="711" t="e">
        <f>O413-N413</f>
        <v>#N/A</v>
      </c>
      <c r="S413" s="711" t="e">
        <f>P413-O413</f>
        <v>#N/A</v>
      </c>
      <c r="T413" s="711" t="e">
        <f>$G413*INDEX(tier_out_mult, MATCH($D413, tier_out_code,0), MATCH(State, R_out, 0))</f>
        <v>#N/A</v>
      </c>
      <c r="U413" s="711" t="e">
        <f>$G413*INDEX(typeI_out_mult, MATCH($D413, typeI_out_code,0), MATCH(State, R_out, 0))</f>
        <v>#N/A</v>
      </c>
      <c r="V413" s="711" t="e">
        <f>$G413*INDEX(typeII_out_mult, MATCH($D413, typeII_out_code,0), MATCH(State, R_out, 0))</f>
        <v>#N/A</v>
      </c>
      <c r="W413" s="711" t="e">
        <f>T413</f>
        <v>#N/A</v>
      </c>
      <c r="X413" s="711" t="e">
        <f>U413-T413</f>
        <v>#N/A</v>
      </c>
      <c r="Y413" s="711" t="e">
        <f>V413-U413</f>
        <v>#N/A</v>
      </c>
      <c r="Z413" s="704"/>
      <c r="AA413" s="704"/>
      <c r="AB413" s="704"/>
      <c r="AC413" s="704"/>
      <c r="AD413" s="704"/>
      <c r="AE413" s="704"/>
      <c r="AF413" s="704"/>
      <c r="AG413" s="704"/>
      <c r="AH413" s="704"/>
      <c r="AI413" s="704"/>
      <c r="AJ413" s="704"/>
      <c r="AK413" s="704"/>
    </row>
    <row r="414" spans="2:37" s="705" customFormat="1" ht="15.75" hidden="1" x14ac:dyDescent="0.25">
      <c r="B414" s="704" t="s">
        <v>1590</v>
      </c>
      <c r="C414" s="704" t="s">
        <v>439</v>
      </c>
      <c r="D414" s="704">
        <v>325120</v>
      </c>
      <c r="E414" s="704" t="s">
        <v>103</v>
      </c>
      <c r="F414" s="707">
        <f>(J$66/J$67)*J70</f>
        <v>14.04</v>
      </c>
      <c r="G414" s="707">
        <f>F414*$C$578</f>
        <v>13.862742231353412</v>
      </c>
      <c r="H414" s="708" t="e">
        <f>$G414*INDEX(tier_emp_mult, MATCH($D414, tier_emp_code,0), MATCH(State, R_emp, 0))/1000000</f>
        <v>#N/A</v>
      </c>
      <c r="I414" s="709" t="e">
        <f>$G414*INDEX(typeI_emp_mult, MATCH($D414, typeI_emp_code,0), MATCH(State, R_emp, 0))/1000000</f>
        <v>#N/A</v>
      </c>
      <c r="J414" s="709" t="e">
        <f>$G414*INDEX(typeII_emp_mult, MATCH($D414, typeII_emp_code,0), MATCH(State, R_emp, 0))/1000000</f>
        <v>#N/A</v>
      </c>
      <c r="K414" s="710" t="e">
        <f>H414</f>
        <v>#N/A</v>
      </c>
      <c r="L414" s="710" t="e">
        <f>I414-H414</f>
        <v>#N/A</v>
      </c>
      <c r="M414" s="710" t="e">
        <f>J414-I414</f>
        <v>#N/A</v>
      </c>
      <c r="N414" s="711" t="e">
        <f>$G414*INDEX(tier_earn_mult, MATCH($D414, tier_earn_code,0), MATCH(State, R_earn, 0))</f>
        <v>#N/A</v>
      </c>
      <c r="O414" s="711" t="e">
        <f>$G414*INDEX(typeI_earn_mult, MATCH($D414, typeI_earn_code,0), MATCH(State, R_earn, 0))</f>
        <v>#N/A</v>
      </c>
      <c r="P414" s="711" t="e">
        <f>$G414*INDEX(typeII_earn_mult, MATCH($D414, typeII_earn_code,0), MATCH(State, R_earn, 0))</f>
        <v>#N/A</v>
      </c>
      <c r="Q414" s="711" t="e">
        <f>N414</f>
        <v>#N/A</v>
      </c>
      <c r="R414" s="711" t="e">
        <f>O414-N414</f>
        <v>#N/A</v>
      </c>
      <c r="S414" s="711" t="e">
        <f>P414-O414</f>
        <v>#N/A</v>
      </c>
      <c r="T414" s="711" t="e">
        <f>$G414*INDEX(tier_out_mult, MATCH($D414, tier_out_code,0), MATCH(State, R_out, 0))</f>
        <v>#N/A</v>
      </c>
      <c r="U414" s="711" t="e">
        <f>$G414*INDEX(typeI_out_mult, MATCH($D414, typeI_out_code,0), MATCH(State, R_out, 0))</f>
        <v>#N/A</v>
      </c>
      <c r="V414" s="711" t="e">
        <f>$G414*INDEX(typeII_out_mult, MATCH($D414, typeII_out_code,0), MATCH(State, R_out, 0))</f>
        <v>#N/A</v>
      </c>
      <c r="W414" s="711" t="e">
        <f>T414</f>
        <v>#N/A</v>
      </c>
      <c r="X414" s="711" t="e">
        <f>U414-T414</f>
        <v>#N/A</v>
      </c>
      <c r="Y414" s="711" t="e">
        <f>V414-U414</f>
        <v>#N/A</v>
      </c>
      <c r="Z414" s="704"/>
      <c r="AA414" s="704"/>
      <c r="AB414" s="704"/>
      <c r="AC414" s="704"/>
      <c r="AD414" s="704"/>
      <c r="AE414" s="704"/>
      <c r="AF414" s="704"/>
      <c r="AG414" s="704"/>
      <c r="AH414" s="704"/>
      <c r="AI414" s="704"/>
      <c r="AJ414" s="704"/>
      <c r="AK414" s="704"/>
    </row>
    <row r="415" spans="2:37" s="705" customFormat="1" ht="15.75" hidden="1" x14ac:dyDescent="0.25">
      <c r="N415" s="706"/>
      <c r="O415" s="706"/>
      <c r="P415" s="706"/>
      <c r="Q415" s="706"/>
      <c r="R415" s="706"/>
      <c r="S415" s="706"/>
      <c r="T415" s="706"/>
      <c r="U415" s="706"/>
      <c r="V415" s="706"/>
      <c r="W415" s="706"/>
      <c r="X415" s="706"/>
      <c r="Y415" s="706"/>
      <c r="Z415" s="704"/>
      <c r="AA415" s="704"/>
      <c r="AB415" s="704"/>
      <c r="AC415" s="704"/>
      <c r="AD415" s="704"/>
      <c r="AE415" s="704"/>
      <c r="AF415" s="704"/>
      <c r="AG415" s="704"/>
      <c r="AH415" s="704"/>
      <c r="AI415" s="704"/>
      <c r="AJ415" s="704"/>
      <c r="AK415" s="704"/>
    </row>
    <row r="416" spans="2:37" s="704" customFormat="1" ht="15.75" hidden="1" x14ac:dyDescent="0.25">
      <c r="E416" s="705">
        <v>2015</v>
      </c>
      <c r="F416" s="707">
        <f t="shared" ref="F416:Y416" si="205">(F$413*$F569)+(F$414*$H569)</f>
        <v>0</v>
      </c>
      <c r="G416" s="707">
        <f t="shared" si="205"/>
        <v>0</v>
      </c>
      <c r="H416" s="713" t="e">
        <f t="shared" si="205"/>
        <v>#N/A</v>
      </c>
      <c r="I416" s="713" t="e">
        <f t="shared" si="205"/>
        <v>#N/A</v>
      </c>
      <c r="J416" s="713" t="e">
        <f t="shared" si="205"/>
        <v>#N/A</v>
      </c>
      <c r="K416" s="713" t="e">
        <f t="shared" si="205"/>
        <v>#N/A</v>
      </c>
      <c r="L416" s="713" t="e">
        <f t="shared" si="205"/>
        <v>#N/A</v>
      </c>
      <c r="M416" s="713" t="e">
        <f t="shared" si="205"/>
        <v>#N/A</v>
      </c>
      <c r="N416" s="707" t="e">
        <f t="shared" si="205"/>
        <v>#N/A</v>
      </c>
      <c r="O416" s="707" t="e">
        <f t="shared" si="205"/>
        <v>#N/A</v>
      </c>
      <c r="P416" s="707" t="e">
        <f t="shared" si="205"/>
        <v>#N/A</v>
      </c>
      <c r="Q416" s="707" t="e">
        <f t="shared" si="205"/>
        <v>#N/A</v>
      </c>
      <c r="R416" s="707" t="e">
        <f t="shared" si="205"/>
        <v>#N/A</v>
      </c>
      <c r="S416" s="707" t="e">
        <f t="shared" si="205"/>
        <v>#N/A</v>
      </c>
      <c r="T416" s="707" t="e">
        <f t="shared" si="205"/>
        <v>#N/A</v>
      </c>
      <c r="U416" s="707" t="e">
        <f t="shared" si="205"/>
        <v>#N/A</v>
      </c>
      <c r="V416" s="707" t="e">
        <f t="shared" si="205"/>
        <v>#N/A</v>
      </c>
      <c r="W416" s="707" t="e">
        <f t="shared" si="205"/>
        <v>#N/A</v>
      </c>
      <c r="X416" s="707" t="e">
        <f t="shared" si="205"/>
        <v>#N/A</v>
      </c>
      <c r="Y416" s="707" t="e">
        <f t="shared" si="205"/>
        <v>#N/A</v>
      </c>
    </row>
    <row r="417" spans="2:37" s="704" customFormat="1" ht="15.75" hidden="1" x14ac:dyDescent="0.25">
      <c r="E417" s="705">
        <v>2016</v>
      </c>
      <c r="F417" s="707">
        <f t="shared" ref="F417:Y417" si="206">(F$413*$F570)+(F$414*$H570)</f>
        <v>0</v>
      </c>
      <c r="G417" s="707">
        <f t="shared" si="206"/>
        <v>0</v>
      </c>
      <c r="H417" s="713" t="e">
        <f t="shared" si="206"/>
        <v>#N/A</v>
      </c>
      <c r="I417" s="713" t="e">
        <f t="shared" si="206"/>
        <v>#N/A</v>
      </c>
      <c r="J417" s="713" t="e">
        <f t="shared" si="206"/>
        <v>#N/A</v>
      </c>
      <c r="K417" s="713" t="e">
        <f t="shared" si="206"/>
        <v>#N/A</v>
      </c>
      <c r="L417" s="713" t="e">
        <f t="shared" si="206"/>
        <v>#N/A</v>
      </c>
      <c r="M417" s="713" t="e">
        <f t="shared" si="206"/>
        <v>#N/A</v>
      </c>
      <c r="N417" s="707" t="e">
        <f t="shared" si="206"/>
        <v>#N/A</v>
      </c>
      <c r="O417" s="707" t="e">
        <f t="shared" si="206"/>
        <v>#N/A</v>
      </c>
      <c r="P417" s="707" t="e">
        <f t="shared" si="206"/>
        <v>#N/A</v>
      </c>
      <c r="Q417" s="707" t="e">
        <f t="shared" si="206"/>
        <v>#N/A</v>
      </c>
      <c r="R417" s="707" t="e">
        <f t="shared" si="206"/>
        <v>#N/A</v>
      </c>
      <c r="S417" s="707" t="e">
        <f t="shared" si="206"/>
        <v>#N/A</v>
      </c>
      <c r="T417" s="707" t="e">
        <f t="shared" si="206"/>
        <v>#N/A</v>
      </c>
      <c r="U417" s="707" t="e">
        <f t="shared" si="206"/>
        <v>#N/A</v>
      </c>
      <c r="V417" s="707" t="e">
        <f t="shared" si="206"/>
        <v>#N/A</v>
      </c>
      <c r="W417" s="707" t="e">
        <f t="shared" si="206"/>
        <v>#N/A</v>
      </c>
      <c r="X417" s="707" t="e">
        <f t="shared" si="206"/>
        <v>#N/A</v>
      </c>
      <c r="Y417" s="707" t="e">
        <f t="shared" si="206"/>
        <v>#N/A</v>
      </c>
    </row>
    <row r="418" spans="2:37" s="704" customFormat="1" ht="15.75" hidden="1" x14ac:dyDescent="0.25">
      <c r="E418" s="705">
        <v>2017</v>
      </c>
      <c r="F418" s="707">
        <f t="shared" ref="F418:Y418" si="207">(F$413*$F571)+(F$414*$H571)</f>
        <v>0</v>
      </c>
      <c r="G418" s="707">
        <f t="shared" si="207"/>
        <v>0</v>
      </c>
      <c r="H418" s="713" t="e">
        <f t="shared" si="207"/>
        <v>#N/A</v>
      </c>
      <c r="I418" s="713" t="e">
        <f t="shared" si="207"/>
        <v>#N/A</v>
      </c>
      <c r="J418" s="713" t="e">
        <f t="shared" si="207"/>
        <v>#N/A</v>
      </c>
      <c r="K418" s="713" t="e">
        <f t="shared" si="207"/>
        <v>#N/A</v>
      </c>
      <c r="L418" s="713" t="e">
        <f t="shared" si="207"/>
        <v>#N/A</v>
      </c>
      <c r="M418" s="713" t="e">
        <f t="shared" si="207"/>
        <v>#N/A</v>
      </c>
      <c r="N418" s="707" t="e">
        <f t="shared" si="207"/>
        <v>#N/A</v>
      </c>
      <c r="O418" s="707" t="e">
        <f t="shared" si="207"/>
        <v>#N/A</v>
      </c>
      <c r="P418" s="707" t="e">
        <f t="shared" si="207"/>
        <v>#N/A</v>
      </c>
      <c r="Q418" s="707" t="e">
        <f t="shared" si="207"/>
        <v>#N/A</v>
      </c>
      <c r="R418" s="707" t="e">
        <f t="shared" si="207"/>
        <v>#N/A</v>
      </c>
      <c r="S418" s="707" t="e">
        <f t="shared" si="207"/>
        <v>#N/A</v>
      </c>
      <c r="T418" s="707" t="e">
        <f t="shared" si="207"/>
        <v>#N/A</v>
      </c>
      <c r="U418" s="707" t="e">
        <f t="shared" si="207"/>
        <v>#N/A</v>
      </c>
      <c r="V418" s="707" t="e">
        <f t="shared" si="207"/>
        <v>#N/A</v>
      </c>
      <c r="W418" s="707" t="e">
        <f t="shared" si="207"/>
        <v>#N/A</v>
      </c>
      <c r="X418" s="707" t="e">
        <f t="shared" si="207"/>
        <v>#N/A</v>
      </c>
      <c r="Y418" s="707" t="e">
        <f t="shared" si="207"/>
        <v>#N/A</v>
      </c>
    </row>
    <row r="419" spans="2:37" s="704" customFormat="1" ht="15.75" hidden="1" x14ac:dyDescent="0.25">
      <c r="E419" s="705">
        <v>2018</v>
      </c>
      <c r="F419" s="707">
        <f t="shared" ref="F419:Y419" si="208">(F$413*$F572)+(F$414*$H572)</f>
        <v>0</v>
      </c>
      <c r="G419" s="707">
        <f t="shared" si="208"/>
        <v>0</v>
      </c>
      <c r="H419" s="713" t="e">
        <f t="shared" si="208"/>
        <v>#N/A</v>
      </c>
      <c r="I419" s="713" t="e">
        <f t="shared" si="208"/>
        <v>#N/A</v>
      </c>
      <c r="J419" s="713" t="e">
        <f t="shared" si="208"/>
        <v>#N/A</v>
      </c>
      <c r="K419" s="713" t="e">
        <f t="shared" si="208"/>
        <v>#N/A</v>
      </c>
      <c r="L419" s="713" t="e">
        <f t="shared" si="208"/>
        <v>#N/A</v>
      </c>
      <c r="M419" s="713" t="e">
        <f t="shared" si="208"/>
        <v>#N/A</v>
      </c>
      <c r="N419" s="707" t="e">
        <f t="shared" si="208"/>
        <v>#N/A</v>
      </c>
      <c r="O419" s="707" t="e">
        <f t="shared" si="208"/>
        <v>#N/A</v>
      </c>
      <c r="P419" s="707" t="e">
        <f t="shared" si="208"/>
        <v>#N/A</v>
      </c>
      <c r="Q419" s="707" t="e">
        <f t="shared" si="208"/>
        <v>#N/A</v>
      </c>
      <c r="R419" s="707" t="e">
        <f t="shared" si="208"/>
        <v>#N/A</v>
      </c>
      <c r="S419" s="707" t="e">
        <f t="shared" si="208"/>
        <v>#N/A</v>
      </c>
      <c r="T419" s="707" t="e">
        <f t="shared" si="208"/>
        <v>#N/A</v>
      </c>
      <c r="U419" s="707" t="e">
        <f t="shared" si="208"/>
        <v>#N/A</v>
      </c>
      <c r="V419" s="707" t="e">
        <f t="shared" si="208"/>
        <v>#N/A</v>
      </c>
      <c r="W419" s="707" t="e">
        <f t="shared" si="208"/>
        <v>#N/A</v>
      </c>
      <c r="X419" s="707" t="e">
        <f t="shared" si="208"/>
        <v>#N/A</v>
      </c>
      <c r="Y419" s="707" t="e">
        <f t="shared" si="208"/>
        <v>#N/A</v>
      </c>
    </row>
    <row r="420" spans="2:37" s="704" customFormat="1" ht="15.75" hidden="1" x14ac:dyDescent="0.25">
      <c r="E420" s="705">
        <v>2019</v>
      </c>
      <c r="F420" s="707">
        <f t="shared" ref="F420:Y420" si="209">(F$413*$F573)+(F$414*$H573)</f>
        <v>0</v>
      </c>
      <c r="G420" s="707">
        <f t="shared" si="209"/>
        <v>0</v>
      </c>
      <c r="H420" s="713" t="e">
        <f t="shared" si="209"/>
        <v>#N/A</v>
      </c>
      <c r="I420" s="713" t="e">
        <f t="shared" si="209"/>
        <v>#N/A</v>
      </c>
      <c r="J420" s="713" t="e">
        <f t="shared" si="209"/>
        <v>#N/A</v>
      </c>
      <c r="K420" s="713" t="e">
        <f t="shared" si="209"/>
        <v>#N/A</v>
      </c>
      <c r="L420" s="713" t="e">
        <f t="shared" si="209"/>
        <v>#N/A</v>
      </c>
      <c r="M420" s="713" t="e">
        <f t="shared" si="209"/>
        <v>#N/A</v>
      </c>
      <c r="N420" s="707" t="e">
        <f t="shared" si="209"/>
        <v>#N/A</v>
      </c>
      <c r="O420" s="707" t="e">
        <f t="shared" si="209"/>
        <v>#N/A</v>
      </c>
      <c r="P420" s="707" t="e">
        <f t="shared" si="209"/>
        <v>#N/A</v>
      </c>
      <c r="Q420" s="707" t="e">
        <f t="shared" si="209"/>
        <v>#N/A</v>
      </c>
      <c r="R420" s="707" t="e">
        <f t="shared" si="209"/>
        <v>#N/A</v>
      </c>
      <c r="S420" s="707" t="e">
        <f t="shared" si="209"/>
        <v>#N/A</v>
      </c>
      <c r="T420" s="707" t="e">
        <f t="shared" si="209"/>
        <v>#N/A</v>
      </c>
      <c r="U420" s="707" t="e">
        <f t="shared" si="209"/>
        <v>#N/A</v>
      </c>
      <c r="V420" s="707" t="e">
        <f t="shared" si="209"/>
        <v>#N/A</v>
      </c>
      <c r="W420" s="707" t="e">
        <f t="shared" si="209"/>
        <v>#N/A</v>
      </c>
      <c r="X420" s="707" t="e">
        <f t="shared" si="209"/>
        <v>#N/A</v>
      </c>
      <c r="Y420" s="707" t="e">
        <f t="shared" si="209"/>
        <v>#N/A</v>
      </c>
    </row>
    <row r="421" spans="2:37" s="704" customFormat="1" ht="15.75" hidden="1" x14ac:dyDescent="0.25">
      <c r="E421" s="705">
        <v>2020</v>
      </c>
      <c r="F421" s="707">
        <f t="shared" ref="F421:Y421" si="210">(F$413*$F574)+(F$414*$H574)</f>
        <v>0</v>
      </c>
      <c r="G421" s="707">
        <f t="shared" si="210"/>
        <v>0</v>
      </c>
      <c r="H421" s="713" t="e">
        <f t="shared" si="210"/>
        <v>#N/A</v>
      </c>
      <c r="I421" s="713" t="e">
        <f t="shared" si="210"/>
        <v>#N/A</v>
      </c>
      <c r="J421" s="713" t="e">
        <f t="shared" si="210"/>
        <v>#N/A</v>
      </c>
      <c r="K421" s="713" t="e">
        <f t="shared" si="210"/>
        <v>#N/A</v>
      </c>
      <c r="L421" s="713" t="e">
        <f t="shared" si="210"/>
        <v>#N/A</v>
      </c>
      <c r="M421" s="713" t="e">
        <f t="shared" si="210"/>
        <v>#N/A</v>
      </c>
      <c r="N421" s="707" t="e">
        <f t="shared" si="210"/>
        <v>#N/A</v>
      </c>
      <c r="O421" s="707" t="e">
        <f t="shared" si="210"/>
        <v>#N/A</v>
      </c>
      <c r="P421" s="707" t="e">
        <f t="shared" si="210"/>
        <v>#N/A</v>
      </c>
      <c r="Q421" s="707" t="e">
        <f t="shared" si="210"/>
        <v>#N/A</v>
      </c>
      <c r="R421" s="707" t="e">
        <f t="shared" si="210"/>
        <v>#N/A</v>
      </c>
      <c r="S421" s="707" t="e">
        <f t="shared" si="210"/>
        <v>#N/A</v>
      </c>
      <c r="T421" s="707" t="e">
        <f t="shared" si="210"/>
        <v>#N/A</v>
      </c>
      <c r="U421" s="707" t="e">
        <f t="shared" si="210"/>
        <v>#N/A</v>
      </c>
      <c r="V421" s="707" t="e">
        <f t="shared" si="210"/>
        <v>#N/A</v>
      </c>
      <c r="W421" s="707" t="e">
        <f t="shared" si="210"/>
        <v>#N/A</v>
      </c>
      <c r="X421" s="707" t="e">
        <f t="shared" si="210"/>
        <v>#N/A</v>
      </c>
      <c r="Y421" s="707" t="e">
        <f t="shared" si="210"/>
        <v>#N/A</v>
      </c>
    </row>
    <row r="422" spans="2:37" s="640" customFormat="1" ht="15.75" hidden="1" x14ac:dyDescent="0.25"/>
    <row r="423" spans="2:37" s="640" customFormat="1" ht="15.75" hidden="1" x14ac:dyDescent="0.25"/>
    <row r="424" spans="2:37" s="233" customFormat="1" ht="15.75" hidden="1" x14ac:dyDescent="0.25">
      <c r="B424" s="691" t="s">
        <v>1570</v>
      </c>
      <c r="D424" s="517" t="s">
        <v>1474</v>
      </c>
      <c r="E424" s="517"/>
      <c r="F424" s="517"/>
      <c r="G424" s="517"/>
      <c r="Z424" s="714"/>
      <c r="AA424" s="714"/>
      <c r="AB424" s="714"/>
      <c r="AC424" s="714"/>
      <c r="AD424" s="714"/>
      <c r="AE424" s="714"/>
      <c r="AF424" s="714"/>
      <c r="AG424" s="714"/>
      <c r="AH424" s="714"/>
      <c r="AI424" s="714"/>
      <c r="AJ424" s="714"/>
      <c r="AK424" s="714"/>
    </row>
    <row r="425" spans="2:37" s="232" customFormat="1" ht="15.75" hidden="1" x14ac:dyDescent="0.25">
      <c r="D425" s="517" t="s">
        <v>412</v>
      </c>
      <c r="E425" s="517" t="s">
        <v>10</v>
      </c>
      <c r="F425" s="517" t="s">
        <v>428</v>
      </c>
      <c r="G425" s="517" t="str">
        <f>G$184</f>
        <v>Cost in 2008 dollars</v>
      </c>
      <c r="H425" s="232" t="s">
        <v>583</v>
      </c>
      <c r="I425" s="232" t="s">
        <v>584</v>
      </c>
      <c r="J425" s="232" t="s">
        <v>585</v>
      </c>
      <c r="K425" s="232" t="s">
        <v>586</v>
      </c>
      <c r="L425" s="232" t="s">
        <v>413</v>
      </c>
      <c r="M425" s="232" t="s">
        <v>414</v>
      </c>
      <c r="N425" s="232" t="s">
        <v>592</v>
      </c>
      <c r="O425" s="232" t="s">
        <v>587</v>
      </c>
      <c r="P425" s="232" t="s">
        <v>588</v>
      </c>
      <c r="Q425" s="232" t="s">
        <v>589</v>
      </c>
      <c r="R425" s="232" t="s">
        <v>590</v>
      </c>
      <c r="S425" s="232" t="s">
        <v>591</v>
      </c>
      <c r="T425" s="232" t="s">
        <v>593</v>
      </c>
      <c r="U425" s="232" t="s">
        <v>594</v>
      </c>
      <c r="V425" s="232" t="s">
        <v>595</v>
      </c>
      <c r="W425" s="232" t="s">
        <v>596</v>
      </c>
      <c r="X425" s="232" t="s">
        <v>597</v>
      </c>
      <c r="Y425" s="232" t="s">
        <v>598</v>
      </c>
      <c r="Z425" s="714"/>
      <c r="AA425" s="714"/>
      <c r="AB425" s="714"/>
      <c r="AC425" s="714"/>
      <c r="AD425" s="714"/>
      <c r="AE425" s="714"/>
      <c r="AF425" s="714"/>
      <c r="AG425" s="714"/>
      <c r="AH425" s="714"/>
      <c r="AI425" s="714"/>
      <c r="AJ425" s="714"/>
      <c r="AK425" s="714"/>
    </row>
    <row r="426" spans="2:37" s="232" customFormat="1" ht="15.75" hidden="1" x14ac:dyDescent="0.25">
      <c r="D426" s="715">
        <v>811300</v>
      </c>
      <c r="E426" s="715" t="s">
        <v>351</v>
      </c>
      <c r="F426" s="716">
        <f>J75</f>
        <v>360</v>
      </c>
      <c r="G426" s="234">
        <f>F426*$C$578</f>
        <v>355.45492900906186</v>
      </c>
      <c r="H426" s="270" t="e">
        <f>$G426*INDEX(tier_emp_mult, MATCH($D426, tier_emp_code,0), MATCH(State, R_emp, 0))/1000000</f>
        <v>#N/A</v>
      </c>
      <c r="I426" s="270" t="e">
        <f>$G426*INDEX(typeI_emp_mult, MATCH($D426, typeI_emp_code,0), MATCH(State, R_emp, 0))/1000000</f>
        <v>#N/A</v>
      </c>
      <c r="J426" s="270" t="e">
        <f>$G426*INDEX(typeII_emp_mult, MATCH($D426, typeII_emp_code,0), MATCH(State, R_emp, 0))/1000000</f>
        <v>#N/A</v>
      </c>
      <c r="K426" s="271" t="e">
        <f>H426</f>
        <v>#N/A</v>
      </c>
      <c r="L426" s="271" t="e">
        <f>I426-H426</f>
        <v>#N/A</v>
      </c>
      <c r="M426" s="271" t="e">
        <f>J426-I426</f>
        <v>#N/A</v>
      </c>
      <c r="N426" s="270" t="e">
        <f>$G426*INDEX(tier_earn_mult, MATCH($D426, tier_earn_code,0), MATCH(State, R_earn, 0))</f>
        <v>#N/A</v>
      </c>
      <c r="O426" s="270" t="e">
        <f>$G426*INDEX(typeI_earn_mult, MATCH($D426, typeI_earn_code,0), MATCH(State, R_earn, 0))</f>
        <v>#N/A</v>
      </c>
      <c r="P426" s="270" t="e">
        <f>$G426*INDEX(typeII_earn_mult, MATCH($D426, typeII_earn_code,0), MATCH(State, R_earn, 0))</f>
        <v>#N/A</v>
      </c>
      <c r="Q426" s="283" t="e">
        <f>N426</f>
        <v>#N/A</v>
      </c>
      <c r="R426" s="283" t="e">
        <f>O426-N426</f>
        <v>#N/A</v>
      </c>
      <c r="S426" s="283" t="e">
        <f>P426-O426</f>
        <v>#N/A</v>
      </c>
      <c r="T426" s="270" t="e">
        <f>$G426*INDEX(tier_out_mult, MATCH($D426, tier_out_code,0), MATCH(State, R_out, 0))</f>
        <v>#N/A</v>
      </c>
      <c r="U426" s="270" t="e">
        <f>$G426*INDEX(typeI_out_mult, MATCH($D426, typeI_out_code,0), MATCH(State, R_out, 0))</f>
        <v>#N/A</v>
      </c>
      <c r="V426" s="270" t="e">
        <f>$G426*INDEX(typeII_out_mult, MATCH($D426, typeII_out_code,0), MATCH(State, R_out, 0))</f>
        <v>#N/A</v>
      </c>
      <c r="W426" s="283" t="e">
        <f>T426</f>
        <v>#N/A</v>
      </c>
      <c r="X426" s="283" t="e">
        <f>U426-T426</f>
        <v>#N/A</v>
      </c>
      <c r="Y426" s="283" t="e">
        <f>V426-U426</f>
        <v>#N/A</v>
      </c>
      <c r="Z426" s="714"/>
      <c r="AA426" s="714"/>
      <c r="AB426" s="714"/>
      <c r="AC426" s="714"/>
      <c r="AD426" s="714"/>
      <c r="AE426" s="714"/>
      <c r="AF426" s="714"/>
      <c r="AG426" s="714"/>
      <c r="AH426" s="714"/>
      <c r="AI426" s="714"/>
      <c r="AJ426" s="714"/>
      <c r="AK426" s="714"/>
    </row>
    <row r="427" spans="2:37" s="232" customFormat="1" ht="15.75" hidden="1" x14ac:dyDescent="0.25">
      <c r="D427" s="715">
        <v>811300</v>
      </c>
      <c r="E427" s="715" t="s">
        <v>351</v>
      </c>
      <c r="F427" s="716">
        <f>J76</f>
        <v>90</v>
      </c>
      <c r="G427" s="234">
        <f>F427*$C$578</f>
        <v>88.863732252265464</v>
      </c>
      <c r="H427" s="270" t="e">
        <f>$G427*INDEX(tier_emp_mult, MATCH($D427, tier_emp_code,0), MATCH(State, R_emp, 0))/1000000</f>
        <v>#N/A</v>
      </c>
      <c r="I427" s="270" t="e">
        <f>$G427*INDEX(typeI_emp_mult, MATCH($D427, typeI_emp_code,0), MATCH(State, R_emp, 0))/1000000</f>
        <v>#N/A</v>
      </c>
      <c r="J427" s="270" t="e">
        <f>$G427*INDEX(typeII_emp_mult, MATCH($D427, typeII_emp_code,0), MATCH(State, R_emp, 0))/1000000</f>
        <v>#N/A</v>
      </c>
      <c r="K427" s="271" t="e">
        <f>H427</f>
        <v>#N/A</v>
      </c>
      <c r="L427" s="271" t="e">
        <f>I427-H427</f>
        <v>#N/A</v>
      </c>
      <c r="M427" s="271" t="e">
        <f>J427-I427</f>
        <v>#N/A</v>
      </c>
      <c r="N427" s="270" t="e">
        <f>$G427*INDEX(tier_earn_mult, MATCH($D427, tier_earn_code,0), MATCH(State, R_earn, 0))</f>
        <v>#N/A</v>
      </c>
      <c r="O427" s="270" t="e">
        <f>$G427*INDEX(typeI_earn_mult, MATCH($D427, typeI_earn_code,0), MATCH(State, R_earn, 0))</f>
        <v>#N/A</v>
      </c>
      <c r="P427" s="270" t="e">
        <f>$G427*INDEX(typeII_earn_mult, MATCH($D427, typeII_earn_code,0), MATCH(State, R_earn, 0))</f>
        <v>#N/A</v>
      </c>
      <c r="Q427" s="283" t="e">
        <f>N427</f>
        <v>#N/A</v>
      </c>
      <c r="R427" s="283" t="e">
        <f>O427-N427</f>
        <v>#N/A</v>
      </c>
      <c r="S427" s="283" t="e">
        <f>P427-O427</f>
        <v>#N/A</v>
      </c>
      <c r="T427" s="270" t="e">
        <f>$G427*INDEX(tier_out_mult, MATCH($D427, tier_out_code,0), MATCH(State, R_out, 0))</f>
        <v>#N/A</v>
      </c>
      <c r="U427" s="270" t="e">
        <f>$G427*INDEX(typeI_out_mult, MATCH($D427, typeI_out_code,0), MATCH(State, R_out, 0))</f>
        <v>#N/A</v>
      </c>
      <c r="V427" s="270" t="e">
        <f>$G427*INDEX(typeII_out_mult, MATCH($D427, typeII_out_code,0), MATCH(State, R_out, 0))</f>
        <v>#N/A</v>
      </c>
      <c r="W427" s="283" t="e">
        <f>T427</f>
        <v>#N/A</v>
      </c>
      <c r="X427" s="283" t="e">
        <f>U427-T427</f>
        <v>#N/A</v>
      </c>
      <c r="Y427" s="283" t="e">
        <f>V427-U427</f>
        <v>#N/A</v>
      </c>
      <c r="Z427" s="714"/>
      <c r="AA427" s="714"/>
      <c r="AB427" s="714"/>
      <c r="AC427" s="714"/>
      <c r="AD427" s="714"/>
      <c r="AE427" s="714"/>
      <c r="AF427" s="714"/>
      <c r="AG427" s="714"/>
      <c r="AH427" s="714"/>
      <c r="AI427" s="714"/>
      <c r="AJ427" s="714"/>
      <c r="AK427" s="714"/>
    </row>
    <row r="428" spans="2:37" s="233" customFormat="1" ht="15.75" hidden="1" x14ac:dyDescent="0.25">
      <c r="D428" s="715"/>
      <c r="E428" s="715"/>
      <c r="F428" s="234">
        <f>SUM(F426:F427)</f>
        <v>450</v>
      </c>
      <c r="G428" s="234">
        <f t="shared" ref="G428:Y428" si="211">SUM(G426:G427)</f>
        <v>444.31866126132729</v>
      </c>
      <c r="H428" s="234" t="e">
        <f t="shared" si="211"/>
        <v>#N/A</v>
      </c>
      <c r="I428" s="234" t="e">
        <f t="shared" si="211"/>
        <v>#N/A</v>
      </c>
      <c r="J428" s="234" t="e">
        <f t="shared" si="211"/>
        <v>#N/A</v>
      </c>
      <c r="K428" s="234" t="e">
        <f t="shared" si="211"/>
        <v>#N/A</v>
      </c>
      <c r="L428" s="234" t="e">
        <f t="shared" si="211"/>
        <v>#N/A</v>
      </c>
      <c r="M428" s="234" t="e">
        <f t="shared" si="211"/>
        <v>#N/A</v>
      </c>
      <c r="N428" s="234" t="e">
        <f t="shared" si="211"/>
        <v>#N/A</v>
      </c>
      <c r="O428" s="234" t="e">
        <f t="shared" si="211"/>
        <v>#N/A</v>
      </c>
      <c r="P428" s="234" t="e">
        <f t="shared" si="211"/>
        <v>#N/A</v>
      </c>
      <c r="Q428" s="234" t="e">
        <f t="shared" si="211"/>
        <v>#N/A</v>
      </c>
      <c r="R428" s="234" t="e">
        <f t="shared" si="211"/>
        <v>#N/A</v>
      </c>
      <c r="S428" s="234" t="e">
        <f t="shared" si="211"/>
        <v>#N/A</v>
      </c>
      <c r="T428" s="234" t="e">
        <f t="shared" si="211"/>
        <v>#N/A</v>
      </c>
      <c r="U428" s="234" t="e">
        <f t="shared" si="211"/>
        <v>#N/A</v>
      </c>
      <c r="V428" s="234" t="e">
        <f t="shared" si="211"/>
        <v>#N/A</v>
      </c>
      <c r="W428" s="234" t="e">
        <f t="shared" si="211"/>
        <v>#N/A</v>
      </c>
      <c r="X428" s="234" t="e">
        <f t="shared" si="211"/>
        <v>#N/A</v>
      </c>
      <c r="Y428" s="234" t="e">
        <f t="shared" si="211"/>
        <v>#N/A</v>
      </c>
      <c r="Z428" s="714"/>
      <c r="AA428" s="714"/>
      <c r="AB428" s="714"/>
      <c r="AC428" s="714"/>
      <c r="AD428" s="714"/>
      <c r="AE428" s="714"/>
      <c r="AF428" s="714"/>
      <c r="AG428" s="714"/>
      <c r="AH428" s="714"/>
      <c r="AI428" s="714"/>
      <c r="AJ428" s="714"/>
      <c r="AK428" s="714"/>
    </row>
    <row r="429" spans="2:37" s="714" customFormat="1" ht="15.75" hidden="1" x14ac:dyDescent="0.25"/>
    <row r="430" spans="2:37" s="714" customFormat="1" ht="15.75" hidden="1" x14ac:dyDescent="0.25">
      <c r="D430" s="517" t="s">
        <v>1074</v>
      </c>
      <c r="E430" s="517"/>
      <c r="F430" s="517"/>
      <c r="G430" s="517"/>
      <c r="H430" s="517"/>
      <c r="I430" s="517"/>
      <c r="J430" s="517"/>
      <c r="K430" s="517"/>
      <c r="L430" s="517"/>
      <c r="M430" s="517"/>
      <c r="N430" s="517"/>
      <c r="O430" s="517"/>
      <c r="P430" s="517"/>
      <c r="Q430" s="517"/>
      <c r="R430" s="517"/>
      <c r="S430" s="517"/>
      <c r="T430" s="517"/>
      <c r="U430" s="517"/>
      <c r="V430" s="517"/>
      <c r="W430" s="517"/>
      <c r="X430" s="517"/>
      <c r="Y430" s="517"/>
    </row>
    <row r="431" spans="2:37" s="714" customFormat="1" ht="15.75" hidden="1" x14ac:dyDescent="0.25">
      <c r="D431" s="233"/>
      <c r="E431" s="233">
        <v>2015</v>
      </c>
      <c r="F431" s="235">
        <f t="shared" ref="F431:Y431" si="212">F$428*$H569</f>
        <v>0</v>
      </c>
      <c r="G431" s="235">
        <f t="shared" si="212"/>
        <v>0</v>
      </c>
      <c r="H431" s="236" t="e">
        <f t="shared" si="212"/>
        <v>#N/A</v>
      </c>
      <c r="I431" s="236" t="e">
        <f t="shared" si="212"/>
        <v>#N/A</v>
      </c>
      <c r="J431" s="236" t="e">
        <f t="shared" si="212"/>
        <v>#N/A</v>
      </c>
      <c r="K431" s="236" t="e">
        <f t="shared" si="212"/>
        <v>#N/A</v>
      </c>
      <c r="L431" s="236" t="e">
        <f t="shared" si="212"/>
        <v>#N/A</v>
      </c>
      <c r="M431" s="236" t="e">
        <f t="shared" si="212"/>
        <v>#N/A</v>
      </c>
      <c r="N431" s="235" t="e">
        <f t="shared" si="212"/>
        <v>#N/A</v>
      </c>
      <c r="O431" s="235" t="e">
        <f t="shared" si="212"/>
        <v>#N/A</v>
      </c>
      <c r="P431" s="235" t="e">
        <f t="shared" si="212"/>
        <v>#N/A</v>
      </c>
      <c r="Q431" s="235" t="e">
        <f t="shared" si="212"/>
        <v>#N/A</v>
      </c>
      <c r="R431" s="235" t="e">
        <f t="shared" si="212"/>
        <v>#N/A</v>
      </c>
      <c r="S431" s="235" t="e">
        <f t="shared" si="212"/>
        <v>#N/A</v>
      </c>
      <c r="T431" s="235" t="e">
        <f t="shared" si="212"/>
        <v>#N/A</v>
      </c>
      <c r="U431" s="235" t="e">
        <f t="shared" si="212"/>
        <v>#N/A</v>
      </c>
      <c r="V431" s="235" t="e">
        <f t="shared" si="212"/>
        <v>#N/A</v>
      </c>
      <c r="W431" s="235" t="e">
        <f t="shared" si="212"/>
        <v>#N/A</v>
      </c>
      <c r="X431" s="235" t="e">
        <f t="shared" si="212"/>
        <v>#N/A</v>
      </c>
      <c r="Y431" s="235" t="e">
        <f t="shared" si="212"/>
        <v>#N/A</v>
      </c>
    </row>
    <row r="432" spans="2:37" s="714" customFormat="1" ht="15.75" hidden="1" x14ac:dyDescent="0.25">
      <c r="D432" s="233"/>
      <c r="E432" s="233">
        <v>2016</v>
      </c>
      <c r="F432" s="235">
        <f t="shared" ref="F432:Y432" si="213">F$428*$H570</f>
        <v>0</v>
      </c>
      <c r="G432" s="235">
        <f t="shared" si="213"/>
        <v>0</v>
      </c>
      <c r="H432" s="236" t="e">
        <f t="shared" si="213"/>
        <v>#N/A</v>
      </c>
      <c r="I432" s="236" t="e">
        <f t="shared" si="213"/>
        <v>#N/A</v>
      </c>
      <c r="J432" s="236" t="e">
        <f t="shared" si="213"/>
        <v>#N/A</v>
      </c>
      <c r="K432" s="236" t="e">
        <f t="shared" si="213"/>
        <v>#N/A</v>
      </c>
      <c r="L432" s="236" t="e">
        <f t="shared" si="213"/>
        <v>#N/A</v>
      </c>
      <c r="M432" s="236" t="e">
        <f t="shared" si="213"/>
        <v>#N/A</v>
      </c>
      <c r="N432" s="235" t="e">
        <f t="shared" si="213"/>
        <v>#N/A</v>
      </c>
      <c r="O432" s="235" t="e">
        <f t="shared" si="213"/>
        <v>#N/A</v>
      </c>
      <c r="P432" s="235" t="e">
        <f t="shared" si="213"/>
        <v>#N/A</v>
      </c>
      <c r="Q432" s="235" t="e">
        <f t="shared" si="213"/>
        <v>#N/A</v>
      </c>
      <c r="R432" s="235" t="e">
        <f t="shared" si="213"/>
        <v>#N/A</v>
      </c>
      <c r="S432" s="235" t="e">
        <f t="shared" si="213"/>
        <v>#N/A</v>
      </c>
      <c r="T432" s="235" t="e">
        <f t="shared" si="213"/>
        <v>#N/A</v>
      </c>
      <c r="U432" s="235" t="e">
        <f t="shared" si="213"/>
        <v>#N/A</v>
      </c>
      <c r="V432" s="235" t="e">
        <f t="shared" si="213"/>
        <v>#N/A</v>
      </c>
      <c r="W432" s="235" t="e">
        <f t="shared" si="213"/>
        <v>#N/A</v>
      </c>
      <c r="X432" s="235" t="e">
        <f t="shared" si="213"/>
        <v>#N/A</v>
      </c>
      <c r="Y432" s="235" t="e">
        <f t="shared" si="213"/>
        <v>#N/A</v>
      </c>
    </row>
    <row r="433" spans="1:37" s="714" customFormat="1" ht="16.149999999999999" hidden="1" customHeight="1" x14ac:dyDescent="0.25">
      <c r="D433" s="233"/>
      <c r="E433" s="233">
        <v>2017</v>
      </c>
      <c r="F433" s="235">
        <f t="shared" ref="F433:Y433" si="214">F$428*$H571</f>
        <v>0</v>
      </c>
      <c r="G433" s="235">
        <f t="shared" si="214"/>
        <v>0</v>
      </c>
      <c r="H433" s="236" t="e">
        <f t="shared" si="214"/>
        <v>#N/A</v>
      </c>
      <c r="I433" s="236" t="e">
        <f t="shared" si="214"/>
        <v>#N/A</v>
      </c>
      <c r="J433" s="236" t="e">
        <f t="shared" si="214"/>
        <v>#N/A</v>
      </c>
      <c r="K433" s="236" t="e">
        <f t="shared" si="214"/>
        <v>#N/A</v>
      </c>
      <c r="L433" s="236" t="e">
        <f t="shared" si="214"/>
        <v>#N/A</v>
      </c>
      <c r="M433" s="236" t="e">
        <f t="shared" si="214"/>
        <v>#N/A</v>
      </c>
      <c r="N433" s="235" t="e">
        <f t="shared" si="214"/>
        <v>#N/A</v>
      </c>
      <c r="O433" s="235" t="e">
        <f t="shared" si="214"/>
        <v>#N/A</v>
      </c>
      <c r="P433" s="235" t="e">
        <f t="shared" si="214"/>
        <v>#N/A</v>
      </c>
      <c r="Q433" s="235" t="e">
        <f t="shared" si="214"/>
        <v>#N/A</v>
      </c>
      <c r="R433" s="235" t="e">
        <f t="shared" si="214"/>
        <v>#N/A</v>
      </c>
      <c r="S433" s="235" t="e">
        <f t="shared" si="214"/>
        <v>#N/A</v>
      </c>
      <c r="T433" s="235" t="e">
        <f t="shared" si="214"/>
        <v>#N/A</v>
      </c>
      <c r="U433" s="235" t="e">
        <f t="shared" si="214"/>
        <v>#N/A</v>
      </c>
      <c r="V433" s="235" t="e">
        <f t="shared" si="214"/>
        <v>#N/A</v>
      </c>
      <c r="W433" s="235" t="e">
        <f t="shared" si="214"/>
        <v>#N/A</v>
      </c>
      <c r="X433" s="235" t="e">
        <f t="shared" si="214"/>
        <v>#N/A</v>
      </c>
      <c r="Y433" s="235" t="e">
        <f t="shared" si="214"/>
        <v>#N/A</v>
      </c>
    </row>
    <row r="434" spans="1:37" s="714" customFormat="1" ht="15.75" hidden="1" x14ac:dyDescent="0.25">
      <c r="D434" s="233"/>
      <c r="E434" s="233">
        <v>2018</v>
      </c>
      <c r="F434" s="235">
        <f t="shared" ref="F434:Y434" si="215">F$428*$H572</f>
        <v>0</v>
      </c>
      <c r="G434" s="235">
        <f t="shared" si="215"/>
        <v>0</v>
      </c>
      <c r="H434" s="236" t="e">
        <f t="shared" si="215"/>
        <v>#N/A</v>
      </c>
      <c r="I434" s="236" t="e">
        <f t="shared" si="215"/>
        <v>#N/A</v>
      </c>
      <c r="J434" s="236" t="e">
        <f t="shared" si="215"/>
        <v>#N/A</v>
      </c>
      <c r="K434" s="236" t="e">
        <f t="shared" si="215"/>
        <v>#N/A</v>
      </c>
      <c r="L434" s="236" t="e">
        <f t="shared" si="215"/>
        <v>#N/A</v>
      </c>
      <c r="M434" s="236" t="e">
        <f t="shared" si="215"/>
        <v>#N/A</v>
      </c>
      <c r="N434" s="235" t="e">
        <f t="shared" si="215"/>
        <v>#N/A</v>
      </c>
      <c r="O434" s="235" t="e">
        <f t="shared" si="215"/>
        <v>#N/A</v>
      </c>
      <c r="P434" s="235" t="e">
        <f t="shared" si="215"/>
        <v>#N/A</v>
      </c>
      <c r="Q434" s="235" t="e">
        <f t="shared" si="215"/>
        <v>#N/A</v>
      </c>
      <c r="R434" s="235" t="e">
        <f t="shared" si="215"/>
        <v>#N/A</v>
      </c>
      <c r="S434" s="235" t="e">
        <f t="shared" si="215"/>
        <v>#N/A</v>
      </c>
      <c r="T434" s="235" t="e">
        <f t="shared" si="215"/>
        <v>#N/A</v>
      </c>
      <c r="U434" s="235" t="e">
        <f t="shared" si="215"/>
        <v>#N/A</v>
      </c>
      <c r="V434" s="235" t="e">
        <f t="shared" si="215"/>
        <v>#N/A</v>
      </c>
      <c r="W434" s="235" t="e">
        <f t="shared" si="215"/>
        <v>#N/A</v>
      </c>
      <c r="X434" s="235" t="e">
        <f t="shared" si="215"/>
        <v>#N/A</v>
      </c>
      <c r="Y434" s="235" t="e">
        <f t="shared" si="215"/>
        <v>#N/A</v>
      </c>
    </row>
    <row r="435" spans="1:37" s="714" customFormat="1" ht="15.75" hidden="1" x14ac:dyDescent="0.25">
      <c r="D435" s="233"/>
      <c r="E435" s="233">
        <v>2019</v>
      </c>
      <c r="F435" s="235">
        <f t="shared" ref="F435:Y435" si="216">F$428*$H573</f>
        <v>0</v>
      </c>
      <c r="G435" s="235">
        <f t="shared" si="216"/>
        <v>0</v>
      </c>
      <c r="H435" s="236" t="e">
        <f t="shared" si="216"/>
        <v>#N/A</v>
      </c>
      <c r="I435" s="236" t="e">
        <f t="shared" si="216"/>
        <v>#N/A</v>
      </c>
      <c r="J435" s="236" t="e">
        <f t="shared" si="216"/>
        <v>#N/A</v>
      </c>
      <c r="K435" s="236" t="e">
        <f t="shared" si="216"/>
        <v>#N/A</v>
      </c>
      <c r="L435" s="236" t="e">
        <f t="shared" si="216"/>
        <v>#N/A</v>
      </c>
      <c r="M435" s="236" t="e">
        <f t="shared" si="216"/>
        <v>#N/A</v>
      </c>
      <c r="N435" s="235" t="e">
        <f t="shared" si="216"/>
        <v>#N/A</v>
      </c>
      <c r="O435" s="235" t="e">
        <f t="shared" si="216"/>
        <v>#N/A</v>
      </c>
      <c r="P435" s="235" t="e">
        <f t="shared" si="216"/>
        <v>#N/A</v>
      </c>
      <c r="Q435" s="235" t="e">
        <f t="shared" si="216"/>
        <v>#N/A</v>
      </c>
      <c r="R435" s="235" t="e">
        <f t="shared" si="216"/>
        <v>#N/A</v>
      </c>
      <c r="S435" s="235" t="e">
        <f t="shared" si="216"/>
        <v>#N/A</v>
      </c>
      <c r="T435" s="235" t="e">
        <f t="shared" si="216"/>
        <v>#N/A</v>
      </c>
      <c r="U435" s="235" t="e">
        <f t="shared" si="216"/>
        <v>#N/A</v>
      </c>
      <c r="V435" s="235" t="e">
        <f t="shared" si="216"/>
        <v>#N/A</v>
      </c>
      <c r="W435" s="235" t="e">
        <f t="shared" si="216"/>
        <v>#N/A</v>
      </c>
      <c r="X435" s="235" t="e">
        <f t="shared" si="216"/>
        <v>#N/A</v>
      </c>
      <c r="Y435" s="235" t="e">
        <f t="shared" si="216"/>
        <v>#N/A</v>
      </c>
    </row>
    <row r="436" spans="1:37" s="714" customFormat="1" ht="15.75" hidden="1" x14ac:dyDescent="0.25">
      <c r="D436" s="233"/>
      <c r="E436" s="233">
        <v>2020</v>
      </c>
      <c r="F436" s="235">
        <f t="shared" ref="F436:Y436" si="217">F$428*$H574</f>
        <v>0</v>
      </c>
      <c r="G436" s="235">
        <f t="shared" si="217"/>
        <v>0</v>
      </c>
      <c r="H436" s="236" t="e">
        <f t="shared" si="217"/>
        <v>#N/A</v>
      </c>
      <c r="I436" s="236" t="e">
        <f t="shared" si="217"/>
        <v>#N/A</v>
      </c>
      <c r="J436" s="236" t="e">
        <f t="shared" si="217"/>
        <v>#N/A</v>
      </c>
      <c r="K436" s="236" t="e">
        <f t="shared" si="217"/>
        <v>#N/A</v>
      </c>
      <c r="L436" s="236" t="e">
        <f t="shared" si="217"/>
        <v>#N/A</v>
      </c>
      <c r="M436" s="236" t="e">
        <f t="shared" si="217"/>
        <v>#N/A</v>
      </c>
      <c r="N436" s="235" t="e">
        <f t="shared" si="217"/>
        <v>#N/A</v>
      </c>
      <c r="O436" s="235" t="e">
        <f t="shared" si="217"/>
        <v>#N/A</v>
      </c>
      <c r="P436" s="235" t="e">
        <f t="shared" si="217"/>
        <v>#N/A</v>
      </c>
      <c r="Q436" s="235" t="e">
        <f t="shared" si="217"/>
        <v>#N/A</v>
      </c>
      <c r="R436" s="235" t="e">
        <f t="shared" si="217"/>
        <v>#N/A</v>
      </c>
      <c r="S436" s="235" t="e">
        <f t="shared" si="217"/>
        <v>#N/A</v>
      </c>
      <c r="T436" s="235" t="e">
        <f t="shared" si="217"/>
        <v>#N/A</v>
      </c>
      <c r="U436" s="235" t="e">
        <f t="shared" si="217"/>
        <v>#N/A</v>
      </c>
      <c r="V436" s="235" t="e">
        <f t="shared" si="217"/>
        <v>#N/A</v>
      </c>
      <c r="W436" s="235" t="e">
        <f t="shared" si="217"/>
        <v>#N/A</v>
      </c>
      <c r="X436" s="235" t="e">
        <f t="shared" si="217"/>
        <v>#N/A</v>
      </c>
      <c r="Y436" s="235" t="e">
        <f t="shared" si="217"/>
        <v>#N/A</v>
      </c>
    </row>
    <row r="437" spans="1:37" s="719" customFormat="1" ht="15.75" hidden="1" x14ac:dyDescent="0.25">
      <c r="A437" s="717"/>
      <c r="B437" s="717"/>
      <c r="C437" s="717"/>
      <c r="D437" s="717"/>
      <c r="E437" s="717"/>
      <c r="F437" s="717"/>
      <c r="G437" s="717"/>
      <c r="H437" s="717"/>
      <c r="I437" s="717"/>
      <c r="J437" s="717"/>
      <c r="K437" s="717"/>
      <c r="L437" s="717"/>
      <c r="M437" s="717"/>
      <c r="N437" s="717"/>
      <c r="O437" s="717"/>
      <c r="P437" s="717"/>
      <c r="Q437" s="717"/>
      <c r="R437" s="717"/>
      <c r="S437" s="718"/>
      <c r="T437" s="717"/>
      <c r="V437" s="717"/>
      <c r="W437" s="717"/>
      <c r="X437" s="717"/>
      <c r="Y437" s="717"/>
      <c r="Z437" s="717"/>
      <c r="AA437" s="717"/>
      <c r="AB437" s="717"/>
      <c r="AC437" s="717"/>
      <c r="AD437" s="717"/>
      <c r="AE437" s="717"/>
      <c r="AF437" s="717"/>
      <c r="AG437" s="717"/>
      <c r="AH437" s="717"/>
      <c r="AI437" s="717"/>
      <c r="AJ437" s="717"/>
      <c r="AK437" s="717"/>
    </row>
    <row r="438" spans="1:37" s="720" customFormat="1" ht="15.75" hidden="1" x14ac:dyDescent="0.25">
      <c r="S438" s="721"/>
      <c r="U438" s="722"/>
    </row>
    <row r="439" spans="1:37" s="636" customFormat="1" ht="15.75" hidden="1" x14ac:dyDescent="0.25">
      <c r="B439" s="680" t="s">
        <v>1697</v>
      </c>
      <c r="C439" s="680">
        <f>IF(J88=Lists!F13, 1, IF(J88=Lists!F14, 0, IF(AND(J88=Lists!F15, E91=""), 0.5, E91)))</f>
        <v>0</v>
      </c>
    </row>
    <row r="440" spans="1:37" s="636" customFormat="1" ht="15.75" hidden="1" x14ac:dyDescent="0.25">
      <c r="B440" s="680" t="s">
        <v>1698</v>
      </c>
      <c r="C440" s="680">
        <f>1-C439</f>
        <v>1</v>
      </c>
    </row>
    <row r="441" spans="1:37" s="636" customFormat="1" ht="15.75" hidden="1" x14ac:dyDescent="0.25"/>
    <row r="442" spans="1:37" s="636" customFormat="1" ht="15.75" hidden="1" x14ac:dyDescent="0.25">
      <c r="B442" s="691" t="s">
        <v>1570</v>
      </c>
      <c r="D442" s="625" t="s">
        <v>1699</v>
      </c>
      <c r="E442" s="618"/>
      <c r="F442" s="618"/>
      <c r="G442" s="618"/>
      <c r="H442" s="619"/>
      <c r="I442" s="619"/>
      <c r="J442" s="619"/>
      <c r="K442" s="619"/>
      <c r="L442" s="619"/>
      <c r="M442" s="619"/>
      <c r="N442" s="619"/>
      <c r="O442" s="619"/>
      <c r="P442" s="619"/>
      <c r="Q442" s="619"/>
      <c r="R442" s="619"/>
      <c r="S442" s="619"/>
      <c r="T442" s="619"/>
      <c r="U442" s="619"/>
      <c r="V442" s="619"/>
      <c r="W442" s="619"/>
      <c r="X442" s="619"/>
      <c r="Y442" s="619"/>
    </row>
    <row r="443" spans="1:37" s="636" customFormat="1" ht="15.75" hidden="1" x14ac:dyDescent="0.25">
      <c r="D443" s="618" t="s">
        <v>412</v>
      </c>
      <c r="E443" s="618" t="s">
        <v>10</v>
      </c>
      <c r="F443" s="618" t="s">
        <v>428</v>
      </c>
      <c r="G443" s="618" t="str">
        <f>G$184</f>
        <v>Cost in 2008 dollars</v>
      </c>
      <c r="H443" s="620" t="s">
        <v>583</v>
      </c>
      <c r="I443" s="620" t="s">
        <v>584</v>
      </c>
      <c r="J443" s="620" t="s">
        <v>585</v>
      </c>
      <c r="K443" s="620" t="s">
        <v>586</v>
      </c>
      <c r="L443" s="620" t="s">
        <v>413</v>
      </c>
      <c r="M443" s="620" t="s">
        <v>414</v>
      </c>
      <c r="N443" s="620" t="s">
        <v>592</v>
      </c>
      <c r="O443" s="620" t="s">
        <v>587</v>
      </c>
      <c r="P443" s="620" t="s">
        <v>588</v>
      </c>
      <c r="Q443" s="620" t="s">
        <v>589</v>
      </c>
      <c r="R443" s="620" t="s">
        <v>590</v>
      </c>
      <c r="S443" s="620" t="s">
        <v>591</v>
      </c>
      <c r="T443" s="620" t="s">
        <v>593</v>
      </c>
      <c r="U443" s="620" t="s">
        <v>594</v>
      </c>
      <c r="V443" s="620" t="s">
        <v>595</v>
      </c>
      <c r="W443" s="620" t="s">
        <v>596</v>
      </c>
      <c r="X443" s="620" t="s">
        <v>597</v>
      </c>
      <c r="Y443" s="620" t="s">
        <v>598</v>
      </c>
    </row>
    <row r="444" spans="1:37" s="636" customFormat="1" ht="15.75" hidden="1" x14ac:dyDescent="0.25">
      <c r="C444" s="723" t="s">
        <v>1702</v>
      </c>
      <c r="D444" s="636">
        <v>335911</v>
      </c>
      <c r="E444" s="636" t="s">
        <v>240</v>
      </c>
      <c r="F444" s="637">
        <f>J98</f>
        <v>0</v>
      </c>
      <c r="G444" s="621">
        <f>F444*$C$578</f>
        <v>0</v>
      </c>
      <c r="H444" s="622" t="e">
        <f>$G444*INDEX(tier_emp_mult, MATCH($D444, tier_emp_code,0), MATCH(State, R_emp, 0))/1000000</f>
        <v>#N/A</v>
      </c>
      <c r="I444" s="622" t="e">
        <f>$G444*INDEX(typeI_emp_mult, MATCH($D444, typeI_emp_code,0), MATCH(State, R_emp, 0))/1000000</f>
        <v>#N/A</v>
      </c>
      <c r="J444" s="622" t="e">
        <f>$G444*INDEX(typeII_emp_mult, MATCH($D444, typeII_emp_code,0), MATCH(State, R_emp, 0))/1000000</f>
        <v>#N/A</v>
      </c>
      <c r="K444" s="623" t="e">
        <f>H444</f>
        <v>#N/A</v>
      </c>
      <c r="L444" s="623" t="e">
        <f>I444-H444</f>
        <v>#N/A</v>
      </c>
      <c r="M444" s="623" t="e">
        <f>J444-I444</f>
        <v>#N/A</v>
      </c>
      <c r="N444" s="622" t="e">
        <f>$G444*INDEX(tier_earn_mult, MATCH($D444, tier_earn_code,0), MATCH(State, R_earn, 0))</f>
        <v>#N/A</v>
      </c>
      <c r="O444" s="622" t="e">
        <f>$G444*INDEX(typeI_earn_mult, MATCH($D444, typeI_earn_code,0), MATCH(State, R_earn, 0))</f>
        <v>#N/A</v>
      </c>
      <c r="P444" s="622" t="e">
        <f>$G444*INDEX(typeII_earn_mult, MATCH($D444, typeII_earn_code,0), MATCH(State, R_earn, 0))</f>
        <v>#N/A</v>
      </c>
      <c r="Q444" s="624" t="e">
        <f>N444</f>
        <v>#N/A</v>
      </c>
      <c r="R444" s="624" t="e">
        <f>O444-N444</f>
        <v>#N/A</v>
      </c>
      <c r="S444" s="624" t="e">
        <f>P444-O444</f>
        <v>#N/A</v>
      </c>
      <c r="T444" s="622" t="e">
        <f>$G444*INDEX(tier_out_mult, MATCH($D444, tier_out_code,0), MATCH(State, R_out, 0))</f>
        <v>#N/A</v>
      </c>
      <c r="U444" s="622" t="e">
        <f>$G444*INDEX(typeI_out_mult, MATCH($D444, typeI_out_code,0), MATCH(State, R_out, 0))</f>
        <v>#N/A</v>
      </c>
      <c r="V444" s="622" t="e">
        <f>$G444*INDEX(typeII_out_mult, MATCH($D444, typeII_out_code,0), MATCH(State, R_out, 0))</f>
        <v>#N/A</v>
      </c>
      <c r="W444" s="624" t="e">
        <f>T444</f>
        <v>#N/A</v>
      </c>
      <c r="X444" s="624" t="e">
        <f>U444-T444</f>
        <v>#N/A</v>
      </c>
      <c r="Y444" s="624" t="e">
        <f>V444-U444</f>
        <v>#N/A</v>
      </c>
    </row>
    <row r="445" spans="1:37" s="636" customFormat="1" ht="15.75" hidden="1" x14ac:dyDescent="0.25">
      <c r="C445" s="723" t="s">
        <v>1703</v>
      </c>
      <c r="D445" s="636">
        <v>335312</v>
      </c>
      <c r="E445" s="636" t="s">
        <v>238</v>
      </c>
      <c r="F445" s="638">
        <f>J111</f>
        <v>0</v>
      </c>
      <c r="G445" s="621">
        <f>F445*$C$578</f>
        <v>0</v>
      </c>
      <c r="H445" s="622" t="e">
        <f>$G445*INDEX(tier_emp_mult, MATCH($D445, tier_emp_code,0), MATCH(State, R_emp, 0))/1000000</f>
        <v>#N/A</v>
      </c>
      <c r="I445" s="622" t="e">
        <f>$G445*INDEX(typeI_emp_mult, MATCH($D445, typeI_emp_code,0), MATCH(State, R_emp, 0))/1000000</f>
        <v>#N/A</v>
      </c>
      <c r="J445" s="622" t="e">
        <f>$G445*INDEX(typeII_emp_mult, MATCH($D445, typeII_emp_code,0), MATCH(State, R_emp, 0))/1000000</f>
        <v>#N/A</v>
      </c>
      <c r="K445" s="623" t="e">
        <f>H445</f>
        <v>#N/A</v>
      </c>
      <c r="L445" s="623" t="e">
        <f>I445-H445</f>
        <v>#N/A</v>
      </c>
      <c r="M445" s="623" t="e">
        <f>J445-I445</f>
        <v>#N/A</v>
      </c>
      <c r="N445" s="622" t="e">
        <f>$G445*INDEX(tier_earn_mult, MATCH($D445, tier_earn_code,0), MATCH(State, R_earn, 0))</f>
        <v>#N/A</v>
      </c>
      <c r="O445" s="622" t="e">
        <f>$G445*INDEX(typeI_earn_mult, MATCH($D445, typeI_earn_code,0), MATCH(State, R_earn, 0))</f>
        <v>#N/A</v>
      </c>
      <c r="P445" s="622" t="e">
        <f>$G445*INDEX(typeII_earn_mult, MATCH($D445, typeII_earn_code,0), MATCH(State, R_earn, 0))</f>
        <v>#N/A</v>
      </c>
      <c r="Q445" s="624" t="e">
        <f>N445</f>
        <v>#N/A</v>
      </c>
      <c r="R445" s="624" t="e">
        <f>O445-N445</f>
        <v>#N/A</v>
      </c>
      <c r="S445" s="624" t="e">
        <f>P445-O445</f>
        <v>#N/A</v>
      </c>
      <c r="T445" s="622" t="e">
        <f>$G445*INDEX(tier_out_mult, MATCH($D445, tier_out_code,0), MATCH(State, R_out, 0))</f>
        <v>#N/A</v>
      </c>
      <c r="U445" s="622" t="e">
        <f>$G445*INDEX(typeI_out_mult, MATCH($D445, typeI_out_code,0), MATCH(State, R_out, 0))</f>
        <v>#N/A</v>
      </c>
      <c r="V445" s="622" t="e">
        <f>$G445*INDEX(typeII_out_mult, MATCH($D445, typeII_out_code,0), MATCH(State, R_out, 0))</f>
        <v>#N/A</v>
      </c>
      <c r="W445" s="624" t="e">
        <f>T445</f>
        <v>#N/A</v>
      </c>
      <c r="X445" s="624" t="e">
        <f>U445-T445</f>
        <v>#N/A</v>
      </c>
      <c r="Y445" s="624" t="e">
        <f>V445-U445</f>
        <v>#N/A</v>
      </c>
    </row>
    <row r="446" spans="1:37" s="636" customFormat="1" ht="16.149999999999999" hidden="1" customHeight="1" x14ac:dyDescent="0.25"/>
    <row r="447" spans="1:37" s="636" customFormat="1" ht="15.75" hidden="1" x14ac:dyDescent="0.25"/>
    <row r="448" spans="1:37" s="636" customFormat="1" ht="15.75" hidden="1" x14ac:dyDescent="0.25">
      <c r="E448" s="636">
        <v>2015</v>
      </c>
      <c r="F448" s="637">
        <f t="shared" ref="F448" si="218">($F569*(($C$439*$J$93*F$444)+($C$440*$J$95*F$445)))+(exp_2015*(($C$439*$J$94*F$444)+($C$440*$J$96*F$445)))</f>
        <v>0</v>
      </c>
      <c r="G448" s="637">
        <f t="shared" ref="G448:Y448" si="219">($F569*(($C$439*$J$93*G$444)+($C$440*$J$95*G$445)))+(exp_2015*(($C$439*$J$94*G$444)+($C$440*$J$96*G$445)))</f>
        <v>0</v>
      </c>
      <c r="H448" s="639" t="e">
        <f t="shared" si="219"/>
        <v>#N/A</v>
      </c>
      <c r="I448" s="639" t="e">
        <f t="shared" si="219"/>
        <v>#N/A</v>
      </c>
      <c r="J448" s="639" t="e">
        <f t="shared" si="219"/>
        <v>#N/A</v>
      </c>
      <c r="K448" s="639" t="e">
        <f t="shared" si="219"/>
        <v>#N/A</v>
      </c>
      <c r="L448" s="639" t="e">
        <f t="shared" si="219"/>
        <v>#N/A</v>
      </c>
      <c r="M448" s="639" t="e">
        <f t="shared" si="219"/>
        <v>#N/A</v>
      </c>
      <c r="N448" s="637" t="e">
        <f t="shared" si="219"/>
        <v>#N/A</v>
      </c>
      <c r="O448" s="637" t="e">
        <f t="shared" si="219"/>
        <v>#N/A</v>
      </c>
      <c r="P448" s="637" t="e">
        <f t="shared" si="219"/>
        <v>#N/A</v>
      </c>
      <c r="Q448" s="637" t="e">
        <f t="shared" si="219"/>
        <v>#N/A</v>
      </c>
      <c r="R448" s="637" t="e">
        <f t="shared" si="219"/>
        <v>#N/A</v>
      </c>
      <c r="S448" s="637" t="e">
        <f t="shared" si="219"/>
        <v>#N/A</v>
      </c>
      <c r="T448" s="637" t="e">
        <f t="shared" si="219"/>
        <v>#N/A</v>
      </c>
      <c r="U448" s="637" t="e">
        <f t="shared" si="219"/>
        <v>#N/A</v>
      </c>
      <c r="V448" s="637" t="e">
        <f t="shared" si="219"/>
        <v>#N/A</v>
      </c>
      <c r="W448" s="637" t="e">
        <f t="shared" si="219"/>
        <v>#N/A</v>
      </c>
      <c r="X448" s="637" t="e">
        <f t="shared" si="219"/>
        <v>#N/A</v>
      </c>
      <c r="Y448" s="637" t="e">
        <f t="shared" si="219"/>
        <v>#N/A</v>
      </c>
    </row>
    <row r="449" spans="2:25" s="636" customFormat="1" ht="15.75" hidden="1" x14ac:dyDescent="0.25">
      <c r="E449" s="636">
        <v>2016</v>
      </c>
      <c r="F449" s="637">
        <f t="shared" ref="F449:Y449" si="220">($F570*(($C$439*$J$93*F$444)+($C$440*$J$95*F$445)))+(exp_2016*(($C$439*$J$94*F$444)+($C$440*$J$96*F$445)))</f>
        <v>0</v>
      </c>
      <c r="G449" s="637">
        <f t="shared" si="220"/>
        <v>0</v>
      </c>
      <c r="H449" s="639" t="e">
        <f t="shared" si="220"/>
        <v>#N/A</v>
      </c>
      <c r="I449" s="639" t="e">
        <f t="shared" si="220"/>
        <v>#N/A</v>
      </c>
      <c r="J449" s="639" t="e">
        <f t="shared" si="220"/>
        <v>#N/A</v>
      </c>
      <c r="K449" s="639" t="e">
        <f t="shared" si="220"/>
        <v>#N/A</v>
      </c>
      <c r="L449" s="639" t="e">
        <f t="shared" si="220"/>
        <v>#N/A</v>
      </c>
      <c r="M449" s="639" t="e">
        <f t="shared" si="220"/>
        <v>#N/A</v>
      </c>
      <c r="N449" s="637" t="e">
        <f t="shared" si="220"/>
        <v>#N/A</v>
      </c>
      <c r="O449" s="637" t="e">
        <f t="shared" si="220"/>
        <v>#N/A</v>
      </c>
      <c r="P449" s="637" t="e">
        <f t="shared" si="220"/>
        <v>#N/A</v>
      </c>
      <c r="Q449" s="637" t="e">
        <f t="shared" si="220"/>
        <v>#N/A</v>
      </c>
      <c r="R449" s="637" t="e">
        <f t="shared" si="220"/>
        <v>#N/A</v>
      </c>
      <c r="S449" s="637" t="e">
        <f t="shared" si="220"/>
        <v>#N/A</v>
      </c>
      <c r="T449" s="637" t="e">
        <f t="shared" si="220"/>
        <v>#N/A</v>
      </c>
      <c r="U449" s="637" t="e">
        <f t="shared" si="220"/>
        <v>#N/A</v>
      </c>
      <c r="V449" s="637" t="e">
        <f t="shared" si="220"/>
        <v>#N/A</v>
      </c>
      <c r="W449" s="637" t="e">
        <f t="shared" si="220"/>
        <v>#N/A</v>
      </c>
      <c r="X449" s="637" t="e">
        <f t="shared" si="220"/>
        <v>#N/A</v>
      </c>
      <c r="Y449" s="637" t="e">
        <f t="shared" si="220"/>
        <v>#N/A</v>
      </c>
    </row>
    <row r="450" spans="2:25" s="636" customFormat="1" ht="15.75" hidden="1" x14ac:dyDescent="0.25">
      <c r="E450" s="636">
        <v>2017</v>
      </c>
      <c r="F450" s="637">
        <f t="shared" ref="F450:Y450" si="221">($F571*(($C$439*$J$93*F$444)+($C$440*$J$95*F$445)))+(exp_2017*(($C$439*$J$94*F$444)+($C$440*$J$96*F$445)))</f>
        <v>0</v>
      </c>
      <c r="G450" s="637">
        <f t="shared" si="221"/>
        <v>0</v>
      </c>
      <c r="H450" s="639" t="e">
        <f t="shared" si="221"/>
        <v>#N/A</v>
      </c>
      <c r="I450" s="639" t="e">
        <f t="shared" si="221"/>
        <v>#N/A</v>
      </c>
      <c r="J450" s="639" t="e">
        <f t="shared" si="221"/>
        <v>#N/A</v>
      </c>
      <c r="K450" s="639" t="e">
        <f t="shared" si="221"/>
        <v>#N/A</v>
      </c>
      <c r="L450" s="639" t="e">
        <f t="shared" si="221"/>
        <v>#N/A</v>
      </c>
      <c r="M450" s="639" t="e">
        <f t="shared" si="221"/>
        <v>#N/A</v>
      </c>
      <c r="N450" s="637" t="e">
        <f t="shared" si="221"/>
        <v>#N/A</v>
      </c>
      <c r="O450" s="637" t="e">
        <f t="shared" si="221"/>
        <v>#N/A</v>
      </c>
      <c r="P450" s="637" t="e">
        <f t="shared" si="221"/>
        <v>#N/A</v>
      </c>
      <c r="Q450" s="637" t="e">
        <f t="shared" si="221"/>
        <v>#N/A</v>
      </c>
      <c r="R450" s="637" t="e">
        <f t="shared" si="221"/>
        <v>#N/A</v>
      </c>
      <c r="S450" s="637" t="e">
        <f t="shared" si="221"/>
        <v>#N/A</v>
      </c>
      <c r="T450" s="637" t="e">
        <f t="shared" si="221"/>
        <v>#N/A</v>
      </c>
      <c r="U450" s="637" t="e">
        <f t="shared" si="221"/>
        <v>#N/A</v>
      </c>
      <c r="V450" s="637" t="e">
        <f t="shared" si="221"/>
        <v>#N/A</v>
      </c>
      <c r="W450" s="637" t="e">
        <f t="shared" si="221"/>
        <v>#N/A</v>
      </c>
      <c r="X450" s="637" t="e">
        <f t="shared" si="221"/>
        <v>#N/A</v>
      </c>
      <c r="Y450" s="637" t="e">
        <f t="shared" si="221"/>
        <v>#N/A</v>
      </c>
    </row>
    <row r="451" spans="2:25" s="636" customFormat="1" ht="15.75" hidden="1" x14ac:dyDescent="0.25">
      <c r="E451" s="636">
        <v>2018</v>
      </c>
      <c r="F451" s="637">
        <f t="shared" ref="F451:Y451" si="222">($F572*(($C$439*$J$93*F$444)+($C$440*$J$95*F$445)))+(exp_2018*(($C$439*$J$94*F$444)+($C$440*$J$96*F$445)))</f>
        <v>0</v>
      </c>
      <c r="G451" s="637">
        <f t="shared" si="222"/>
        <v>0</v>
      </c>
      <c r="H451" s="639" t="e">
        <f t="shared" si="222"/>
        <v>#N/A</v>
      </c>
      <c r="I451" s="639" t="e">
        <f t="shared" si="222"/>
        <v>#N/A</v>
      </c>
      <c r="J451" s="639" t="e">
        <f t="shared" si="222"/>
        <v>#N/A</v>
      </c>
      <c r="K451" s="639" t="e">
        <f t="shared" si="222"/>
        <v>#N/A</v>
      </c>
      <c r="L451" s="639" t="e">
        <f t="shared" si="222"/>
        <v>#N/A</v>
      </c>
      <c r="M451" s="639" t="e">
        <f t="shared" si="222"/>
        <v>#N/A</v>
      </c>
      <c r="N451" s="637" t="e">
        <f t="shared" si="222"/>
        <v>#N/A</v>
      </c>
      <c r="O451" s="637" t="e">
        <f t="shared" si="222"/>
        <v>#N/A</v>
      </c>
      <c r="P451" s="637" t="e">
        <f t="shared" si="222"/>
        <v>#N/A</v>
      </c>
      <c r="Q451" s="637" t="e">
        <f t="shared" si="222"/>
        <v>#N/A</v>
      </c>
      <c r="R451" s="637" t="e">
        <f t="shared" si="222"/>
        <v>#N/A</v>
      </c>
      <c r="S451" s="637" t="e">
        <f t="shared" si="222"/>
        <v>#N/A</v>
      </c>
      <c r="T451" s="637" t="e">
        <f t="shared" si="222"/>
        <v>#N/A</v>
      </c>
      <c r="U451" s="637" t="e">
        <f t="shared" si="222"/>
        <v>#N/A</v>
      </c>
      <c r="V451" s="637" t="e">
        <f t="shared" si="222"/>
        <v>#N/A</v>
      </c>
      <c r="W451" s="637" t="e">
        <f t="shared" si="222"/>
        <v>#N/A</v>
      </c>
      <c r="X451" s="637" t="e">
        <f t="shared" si="222"/>
        <v>#N/A</v>
      </c>
      <c r="Y451" s="637" t="e">
        <f t="shared" si="222"/>
        <v>#N/A</v>
      </c>
    </row>
    <row r="452" spans="2:25" s="636" customFormat="1" ht="15.75" hidden="1" x14ac:dyDescent="0.25">
      <c r="E452" s="636">
        <v>2019</v>
      </c>
      <c r="F452" s="637">
        <f t="shared" ref="F452:Y452" si="223">($F573*(($C$439*$J$93*F$444)+($C$440*$J$95*F$445)))+(exp_2019*(($C$439*$J$94*F$444)+($C$440*$J$96*F$445)))</f>
        <v>0</v>
      </c>
      <c r="G452" s="637">
        <f t="shared" si="223"/>
        <v>0</v>
      </c>
      <c r="H452" s="639" t="e">
        <f t="shared" si="223"/>
        <v>#N/A</v>
      </c>
      <c r="I452" s="639" t="e">
        <f t="shared" si="223"/>
        <v>#N/A</v>
      </c>
      <c r="J452" s="639" t="e">
        <f t="shared" si="223"/>
        <v>#N/A</v>
      </c>
      <c r="K452" s="639" t="e">
        <f t="shared" si="223"/>
        <v>#N/A</v>
      </c>
      <c r="L452" s="639" t="e">
        <f t="shared" si="223"/>
        <v>#N/A</v>
      </c>
      <c r="M452" s="639" t="e">
        <f t="shared" si="223"/>
        <v>#N/A</v>
      </c>
      <c r="N452" s="637" t="e">
        <f t="shared" si="223"/>
        <v>#N/A</v>
      </c>
      <c r="O452" s="637" t="e">
        <f t="shared" si="223"/>
        <v>#N/A</v>
      </c>
      <c r="P452" s="637" t="e">
        <f t="shared" si="223"/>
        <v>#N/A</v>
      </c>
      <c r="Q452" s="637" t="e">
        <f t="shared" si="223"/>
        <v>#N/A</v>
      </c>
      <c r="R452" s="637" t="e">
        <f t="shared" si="223"/>
        <v>#N/A</v>
      </c>
      <c r="S452" s="637" t="e">
        <f t="shared" si="223"/>
        <v>#N/A</v>
      </c>
      <c r="T452" s="637" t="e">
        <f t="shared" si="223"/>
        <v>#N/A</v>
      </c>
      <c r="U452" s="637" t="e">
        <f t="shared" si="223"/>
        <v>#N/A</v>
      </c>
      <c r="V452" s="637" t="e">
        <f t="shared" si="223"/>
        <v>#N/A</v>
      </c>
      <c r="W452" s="637" t="e">
        <f t="shared" si="223"/>
        <v>#N/A</v>
      </c>
      <c r="X452" s="637" t="e">
        <f t="shared" si="223"/>
        <v>#N/A</v>
      </c>
      <c r="Y452" s="637" t="e">
        <f t="shared" si="223"/>
        <v>#N/A</v>
      </c>
    </row>
    <row r="453" spans="2:25" s="636" customFormat="1" ht="15.75" hidden="1" x14ac:dyDescent="0.25">
      <c r="E453" s="636">
        <v>2020</v>
      </c>
      <c r="F453" s="637">
        <f t="shared" ref="F453:Y453" si="224">($F574*(($C$439*$J$93*F$444)+($C$440*$J$95*F$445)))+(exp_2020*(($C$439*$J$94*F$444)+($C$440*$J$96*F$445)))</f>
        <v>0</v>
      </c>
      <c r="G453" s="637">
        <f t="shared" si="224"/>
        <v>0</v>
      </c>
      <c r="H453" s="639" t="e">
        <f t="shared" si="224"/>
        <v>#N/A</v>
      </c>
      <c r="I453" s="639" t="e">
        <f t="shared" si="224"/>
        <v>#N/A</v>
      </c>
      <c r="J453" s="639" t="e">
        <f t="shared" si="224"/>
        <v>#N/A</v>
      </c>
      <c r="K453" s="639" t="e">
        <f t="shared" si="224"/>
        <v>#N/A</v>
      </c>
      <c r="L453" s="639" t="e">
        <f t="shared" si="224"/>
        <v>#N/A</v>
      </c>
      <c r="M453" s="639" t="e">
        <f t="shared" si="224"/>
        <v>#N/A</v>
      </c>
      <c r="N453" s="637" t="e">
        <f t="shared" si="224"/>
        <v>#N/A</v>
      </c>
      <c r="O453" s="637" t="e">
        <f t="shared" si="224"/>
        <v>#N/A</v>
      </c>
      <c r="P453" s="637" t="e">
        <f t="shared" si="224"/>
        <v>#N/A</v>
      </c>
      <c r="Q453" s="637" t="e">
        <f t="shared" si="224"/>
        <v>#N/A</v>
      </c>
      <c r="R453" s="637" t="e">
        <f t="shared" si="224"/>
        <v>#N/A</v>
      </c>
      <c r="S453" s="637" t="e">
        <f t="shared" si="224"/>
        <v>#N/A</v>
      </c>
      <c r="T453" s="637" t="e">
        <f t="shared" si="224"/>
        <v>#N/A</v>
      </c>
      <c r="U453" s="637" t="e">
        <f t="shared" si="224"/>
        <v>#N/A</v>
      </c>
      <c r="V453" s="637" t="e">
        <f t="shared" si="224"/>
        <v>#N/A</v>
      </c>
      <c r="W453" s="637" t="e">
        <f t="shared" si="224"/>
        <v>#N/A</v>
      </c>
      <c r="X453" s="637" t="e">
        <f t="shared" si="224"/>
        <v>#N/A</v>
      </c>
      <c r="Y453" s="637" t="e">
        <f t="shared" si="224"/>
        <v>#N/A</v>
      </c>
    </row>
    <row r="454" spans="2:25" s="636" customFormat="1" ht="15.75" hidden="1" x14ac:dyDescent="0.25">
      <c r="F454" s="637"/>
      <c r="G454" s="637"/>
      <c r="H454" s="639"/>
      <c r="I454" s="639"/>
      <c r="J454" s="639"/>
      <c r="K454" s="639"/>
      <c r="L454" s="639"/>
      <c r="M454" s="639"/>
      <c r="N454" s="637"/>
      <c r="O454" s="637"/>
      <c r="P454" s="637"/>
      <c r="Q454" s="637"/>
      <c r="R454" s="637"/>
      <c r="S454" s="637"/>
      <c r="T454" s="637"/>
      <c r="U454" s="637"/>
      <c r="V454" s="637"/>
      <c r="W454" s="637"/>
      <c r="X454" s="637"/>
      <c r="Y454" s="637"/>
    </row>
    <row r="455" spans="2:25" s="636" customFormat="1" ht="15.75" hidden="1" x14ac:dyDescent="0.25">
      <c r="F455" s="637"/>
      <c r="G455" s="637"/>
      <c r="H455" s="639"/>
      <c r="I455" s="639"/>
      <c r="J455" s="639"/>
      <c r="K455" s="639"/>
      <c r="L455" s="639"/>
      <c r="M455" s="639"/>
      <c r="N455" s="637"/>
      <c r="O455" s="637"/>
      <c r="P455" s="637"/>
      <c r="Q455" s="637"/>
      <c r="R455" s="637"/>
      <c r="S455" s="637"/>
      <c r="T455" s="637"/>
      <c r="U455" s="637"/>
      <c r="V455" s="637"/>
      <c r="W455" s="637"/>
      <c r="X455" s="637"/>
      <c r="Y455" s="637"/>
    </row>
    <row r="456" spans="2:25" s="636" customFormat="1" ht="15.75" hidden="1" x14ac:dyDescent="0.25">
      <c r="B456" s="691" t="s">
        <v>1570</v>
      </c>
      <c r="D456" s="625" t="s">
        <v>1904</v>
      </c>
      <c r="F456" s="637"/>
      <c r="G456" s="637"/>
      <c r="H456" s="639"/>
      <c r="I456" s="639"/>
      <c r="J456" s="639"/>
      <c r="K456" s="639"/>
      <c r="L456" s="639"/>
      <c r="M456" s="639"/>
      <c r="N456" s="637"/>
      <c r="O456" s="637"/>
      <c r="P456" s="637"/>
      <c r="Q456" s="637"/>
      <c r="R456" s="637"/>
      <c r="S456" s="637"/>
      <c r="T456" s="637"/>
      <c r="U456" s="637"/>
      <c r="V456" s="637"/>
      <c r="W456" s="637"/>
      <c r="X456" s="637"/>
      <c r="Y456" s="637"/>
    </row>
    <row r="457" spans="2:25" s="636" customFormat="1" ht="15.75" hidden="1" x14ac:dyDescent="0.25">
      <c r="D457" s="618" t="s">
        <v>412</v>
      </c>
      <c r="E457" s="618" t="s">
        <v>10</v>
      </c>
      <c r="F457" s="618" t="s">
        <v>428</v>
      </c>
      <c r="G457" s="618" t="str">
        <f>G$184</f>
        <v>Cost in 2008 dollars</v>
      </c>
      <c r="H457" s="620" t="s">
        <v>583</v>
      </c>
      <c r="I457" s="620" t="s">
        <v>584</v>
      </c>
      <c r="J457" s="620" t="s">
        <v>585</v>
      </c>
      <c r="K457" s="620" t="s">
        <v>586</v>
      </c>
      <c r="L457" s="620" t="s">
        <v>413</v>
      </c>
      <c r="M457" s="620" t="s">
        <v>414</v>
      </c>
      <c r="N457" s="620" t="s">
        <v>592</v>
      </c>
      <c r="O457" s="620" t="s">
        <v>587</v>
      </c>
      <c r="P457" s="620" t="s">
        <v>588</v>
      </c>
      <c r="Q457" s="620" t="s">
        <v>589</v>
      </c>
      <c r="R457" s="620" t="s">
        <v>590</v>
      </c>
      <c r="S457" s="620" t="s">
        <v>591</v>
      </c>
      <c r="T457" s="620" t="s">
        <v>593</v>
      </c>
      <c r="U457" s="620" t="s">
        <v>594</v>
      </c>
      <c r="V457" s="620" t="s">
        <v>595</v>
      </c>
      <c r="W457" s="620" t="s">
        <v>596</v>
      </c>
      <c r="X457" s="620" t="s">
        <v>597</v>
      </c>
      <c r="Y457" s="620" t="s">
        <v>598</v>
      </c>
    </row>
    <row r="458" spans="2:25" s="636" customFormat="1" ht="15.75" hidden="1" x14ac:dyDescent="0.25">
      <c r="C458" s="723" t="s">
        <v>1702</v>
      </c>
      <c r="D458" s="636">
        <v>484000</v>
      </c>
      <c r="E458" s="636" t="s">
        <v>755</v>
      </c>
      <c r="F458" s="637">
        <f>J99</f>
        <v>0</v>
      </c>
      <c r="G458" s="621">
        <f>F458*$C$578</f>
        <v>0</v>
      </c>
      <c r="H458" s="622" t="e">
        <f>$G458*INDEX(tier_emp_mult, MATCH($D458, tier_emp_code,0), MATCH(State, R_emp, 0))/1000000</f>
        <v>#N/A</v>
      </c>
      <c r="I458" s="622" t="e">
        <f>$G458*INDEX(typeI_emp_mult, MATCH($D458, typeI_emp_code,0), MATCH(State, R_emp, 0))/1000000</f>
        <v>#N/A</v>
      </c>
      <c r="J458" s="622" t="e">
        <f>$G458*INDEX(typeII_emp_mult, MATCH($D458, typeII_emp_code,0), MATCH(State, R_emp, 0))/1000000</f>
        <v>#N/A</v>
      </c>
      <c r="K458" s="623" t="e">
        <f>H458</f>
        <v>#N/A</v>
      </c>
      <c r="L458" s="623" t="e">
        <f>I458-H458</f>
        <v>#N/A</v>
      </c>
      <c r="M458" s="623" t="e">
        <f>J458-I458</f>
        <v>#N/A</v>
      </c>
      <c r="N458" s="622" t="e">
        <f>$G458*INDEX(tier_earn_mult, MATCH($D458, tier_earn_code,0), MATCH(State, R_earn, 0))</f>
        <v>#N/A</v>
      </c>
      <c r="O458" s="622" t="e">
        <f>$G458*INDEX(typeI_earn_mult, MATCH($D458, typeI_earn_code,0), MATCH(State, R_earn, 0))</f>
        <v>#N/A</v>
      </c>
      <c r="P458" s="622" t="e">
        <f>$G458*INDEX(typeII_earn_mult, MATCH($D458, typeII_earn_code,0), MATCH(State, R_earn, 0))</f>
        <v>#N/A</v>
      </c>
      <c r="Q458" s="624" t="e">
        <f>N458</f>
        <v>#N/A</v>
      </c>
      <c r="R458" s="624" t="e">
        <f>O458-N458</f>
        <v>#N/A</v>
      </c>
      <c r="S458" s="624" t="e">
        <f>P458-O458</f>
        <v>#N/A</v>
      </c>
      <c r="T458" s="622" t="e">
        <f>$G458*INDEX(tier_out_mult, MATCH($D458, tier_out_code,0), MATCH(State, R_out, 0))</f>
        <v>#N/A</v>
      </c>
      <c r="U458" s="622" t="e">
        <f>$G458*INDEX(typeI_out_mult, MATCH($D458, typeI_out_code,0), MATCH(State, R_out, 0))</f>
        <v>#N/A</v>
      </c>
      <c r="V458" s="622" t="e">
        <f>$G458*INDEX(typeII_out_mult, MATCH($D458, typeII_out_code,0), MATCH(State, R_out, 0))</f>
        <v>#N/A</v>
      </c>
      <c r="W458" s="624" t="e">
        <f>T458</f>
        <v>#N/A</v>
      </c>
      <c r="X458" s="624" t="e">
        <f>U458-T458</f>
        <v>#N/A</v>
      </c>
      <c r="Y458" s="624" t="e">
        <f>V458-U458</f>
        <v>#N/A</v>
      </c>
    </row>
    <row r="459" spans="2:25" s="636" customFormat="1" ht="15.75" hidden="1" x14ac:dyDescent="0.25">
      <c r="C459" s="723" t="s">
        <v>1703</v>
      </c>
      <c r="D459" s="636">
        <v>484000</v>
      </c>
      <c r="E459" s="636" t="s">
        <v>755</v>
      </c>
      <c r="F459" s="638">
        <f>J112</f>
        <v>0</v>
      </c>
      <c r="G459" s="621">
        <f>F459*$C$578</f>
        <v>0</v>
      </c>
      <c r="H459" s="622" t="e">
        <f>$G459*INDEX(tier_emp_mult, MATCH($D459, tier_emp_code,0), MATCH(State, R_emp, 0))/1000000</f>
        <v>#N/A</v>
      </c>
      <c r="I459" s="622" t="e">
        <f>$G459*INDEX(typeI_emp_mult, MATCH($D459, typeI_emp_code,0), MATCH(State, R_emp, 0))/1000000</f>
        <v>#N/A</v>
      </c>
      <c r="J459" s="622" t="e">
        <f>$G459*INDEX(typeII_emp_mult, MATCH($D459, typeII_emp_code,0), MATCH(State, R_emp, 0))/1000000</f>
        <v>#N/A</v>
      </c>
      <c r="K459" s="623" t="e">
        <f>H459</f>
        <v>#N/A</v>
      </c>
      <c r="L459" s="623" t="e">
        <f>I459-H459</f>
        <v>#N/A</v>
      </c>
      <c r="M459" s="623" t="e">
        <f>J459-I459</f>
        <v>#N/A</v>
      </c>
      <c r="N459" s="622" t="e">
        <f>$G459*INDEX(tier_earn_mult, MATCH($D459, tier_earn_code,0), MATCH(State, R_earn, 0))</f>
        <v>#N/A</v>
      </c>
      <c r="O459" s="622" t="e">
        <f>$G459*INDEX(typeI_earn_mult, MATCH($D459, typeI_earn_code,0), MATCH(State, R_earn, 0))</f>
        <v>#N/A</v>
      </c>
      <c r="P459" s="622" t="e">
        <f>$G459*INDEX(typeII_earn_mult, MATCH($D459, typeII_earn_code,0), MATCH(State, R_earn, 0))</f>
        <v>#N/A</v>
      </c>
      <c r="Q459" s="624" t="e">
        <f>N459</f>
        <v>#N/A</v>
      </c>
      <c r="R459" s="624" t="e">
        <f>O459-N459</f>
        <v>#N/A</v>
      </c>
      <c r="S459" s="624" t="e">
        <f>P459-O459</f>
        <v>#N/A</v>
      </c>
      <c r="T459" s="622" t="e">
        <f>$G459*INDEX(tier_out_mult, MATCH($D459, tier_out_code,0), MATCH(State, R_out, 0))</f>
        <v>#N/A</v>
      </c>
      <c r="U459" s="622" t="e">
        <f>$G459*INDEX(typeI_out_mult, MATCH($D459, typeI_out_code,0), MATCH(State, R_out, 0))</f>
        <v>#N/A</v>
      </c>
      <c r="V459" s="622" t="e">
        <f>$G459*INDEX(typeII_out_mult, MATCH($D459, typeII_out_code,0), MATCH(State, R_out, 0))</f>
        <v>#N/A</v>
      </c>
      <c r="W459" s="624" t="e">
        <f>T459</f>
        <v>#N/A</v>
      </c>
      <c r="X459" s="624" t="e">
        <f>U459-T459</f>
        <v>#N/A</v>
      </c>
      <c r="Y459" s="624" t="e">
        <f>V459-U459</f>
        <v>#N/A</v>
      </c>
    </row>
    <row r="460" spans="2:25" s="636" customFormat="1" ht="15.75" hidden="1" x14ac:dyDescent="0.25">
      <c r="F460" s="637"/>
      <c r="G460" s="637"/>
      <c r="H460" s="639"/>
      <c r="I460" s="639"/>
      <c r="J460" s="639"/>
      <c r="K460" s="639"/>
      <c r="L460" s="639"/>
      <c r="M460" s="639"/>
      <c r="N460" s="637"/>
      <c r="O460" s="637"/>
      <c r="P460" s="637"/>
      <c r="Q460" s="637"/>
      <c r="R460" s="637"/>
      <c r="S460" s="637"/>
      <c r="T460" s="637"/>
      <c r="U460" s="637"/>
      <c r="V460" s="637"/>
      <c r="W460" s="637"/>
      <c r="X460" s="637"/>
      <c r="Y460" s="637"/>
    </row>
    <row r="461" spans="2:25" s="636" customFormat="1" ht="15.75" hidden="1" x14ac:dyDescent="0.25">
      <c r="F461" s="637"/>
      <c r="G461" s="637"/>
      <c r="H461" s="639"/>
      <c r="I461" s="639"/>
      <c r="J461" s="639"/>
      <c r="K461" s="639"/>
      <c r="L461" s="639"/>
      <c r="M461" s="639"/>
      <c r="N461" s="637"/>
      <c r="O461" s="637"/>
      <c r="P461" s="637"/>
      <c r="Q461" s="637"/>
      <c r="R461" s="637"/>
      <c r="S461" s="637"/>
      <c r="T461" s="637"/>
      <c r="U461" s="637"/>
      <c r="V461" s="637"/>
      <c r="W461" s="637"/>
      <c r="X461" s="637"/>
      <c r="Y461" s="637"/>
    </row>
    <row r="462" spans="2:25" s="636" customFormat="1" ht="15.75" hidden="1" x14ac:dyDescent="0.25">
      <c r="E462" s="636">
        <v>2015</v>
      </c>
      <c r="F462" s="637">
        <f>(($C$439*F$458)*(($F569*$J$93*1)+($F569*(1-$J$93)*$D$600)+(exp_2015*$J$94*$D$599)))+(($C$440*F$459)*(($F569*$J$95*1)+($F569*(1-$J$95)*$D$600)+(exp_2015*$J$96*$D$599)))</f>
        <v>0</v>
      </c>
      <c r="G462" s="637">
        <f t="shared" ref="G462:Y462" si="225">(($C$439*G$458)*(($F569*$J$93*1)+($F569*(1-$J$93)*$D$600)+(exp_2015*$J$94*$D$599)))+(($C$440*G$459)*(($F569*$J$95*1)+($F569*(1-$J$95)*$D$600)+(exp_2015*$J$96*$D$599)))</f>
        <v>0</v>
      </c>
      <c r="H462" s="639" t="e">
        <f t="shared" si="225"/>
        <v>#N/A</v>
      </c>
      <c r="I462" s="639" t="e">
        <f t="shared" si="225"/>
        <v>#N/A</v>
      </c>
      <c r="J462" s="639" t="e">
        <f t="shared" si="225"/>
        <v>#N/A</v>
      </c>
      <c r="K462" s="639" t="e">
        <f t="shared" si="225"/>
        <v>#N/A</v>
      </c>
      <c r="L462" s="639" t="e">
        <f t="shared" si="225"/>
        <v>#N/A</v>
      </c>
      <c r="M462" s="639" t="e">
        <f t="shared" si="225"/>
        <v>#N/A</v>
      </c>
      <c r="N462" s="637" t="e">
        <f t="shared" si="225"/>
        <v>#N/A</v>
      </c>
      <c r="O462" s="637" t="e">
        <f t="shared" si="225"/>
        <v>#N/A</v>
      </c>
      <c r="P462" s="637" t="e">
        <f t="shared" si="225"/>
        <v>#N/A</v>
      </c>
      <c r="Q462" s="637" t="e">
        <f t="shared" si="225"/>
        <v>#N/A</v>
      </c>
      <c r="R462" s="637" t="e">
        <f t="shared" si="225"/>
        <v>#N/A</v>
      </c>
      <c r="S462" s="637" t="e">
        <f t="shared" si="225"/>
        <v>#N/A</v>
      </c>
      <c r="T462" s="637" t="e">
        <f t="shared" si="225"/>
        <v>#N/A</v>
      </c>
      <c r="U462" s="637" t="e">
        <f t="shared" si="225"/>
        <v>#N/A</v>
      </c>
      <c r="V462" s="637" t="e">
        <f t="shared" si="225"/>
        <v>#N/A</v>
      </c>
      <c r="W462" s="637" t="e">
        <f t="shared" si="225"/>
        <v>#N/A</v>
      </c>
      <c r="X462" s="637" t="e">
        <f t="shared" si="225"/>
        <v>#N/A</v>
      </c>
      <c r="Y462" s="637" t="e">
        <f t="shared" si="225"/>
        <v>#N/A</v>
      </c>
    </row>
    <row r="463" spans="2:25" s="636" customFormat="1" ht="15.75" hidden="1" x14ac:dyDescent="0.25">
      <c r="E463" s="636">
        <v>2016</v>
      </c>
      <c r="F463" s="637">
        <f t="shared" ref="F463:Y463" si="226">(($C$439*F$458)*(($F570*$J$93*1)+($F570*(1-$J$93)*$D$600)+(exp_2016*$J$94*$D$599)))+(($C$440*F$459)*(($F570*$J$95*1)+($F570*(1-$J$95)*$D$600)+(exp_2016*$J$96*$D$599)))</f>
        <v>0</v>
      </c>
      <c r="G463" s="637">
        <f t="shared" si="226"/>
        <v>0</v>
      </c>
      <c r="H463" s="639" t="e">
        <f t="shared" si="226"/>
        <v>#N/A</v>
      </c>
      <c r="I463" s="639" t="e">
        <f t="shared" si="226"/>
        <v>#N/A</v>
      </c>
      <c r="J463" s="639" t="e">
        <f t="shared" si="226"/>
        <v>#N/A</v>
      </c>
      <c r="K463" s="639" t="e">
        <f t="shared" si="226"/>
        <v>#N/A</v>
      </c>
      <c r="L463" s="639" t="e">
        <f t="shared" si="226"/>
        <v>#N/A</v>
      </c>
      <c r="M463" s="639" t="e">
        <f t="shared" si="226"/>
        <v>#N/A</v>
      </c>
      <c r="N463" s="637" t="e">
        <f t="shared" si="226"/>
        <v>#N/A</v>
      </c>
      <c r="O463" s="637" t="e">
        <f t="shared" si="226"/>
        <v>#N/A</v>
      </c>
      <c r="P463" s="637" t="e">
        <f t="shared" si="226"/>
        <v>#N/A</v>
      </c>
      <c r="Q463" s="637" t="e">
        <f t="shared" si="226"/>
        <v>#N/A</v>
      </c>
      <c r="R463" s="637" t="e">
        <f t="shared" si="226"/>
        <v>#N/A</v>
      </c>
      <c r="S463" s="637" t="e">
        <f t="shared" si="226"/>
        <v>#N/A</v>
      </c>
      <c r="T463" s="637" t="e">
        <f t="shared" si="226"/>
        <v>#N/A</v>
      </c>
      <c r="U463" s="637" t="e">
        <f t="shared" si="226"/>
        <v>#N/A</v>
      </c>
      <c r="V463" s="637" t="e">
        <f t="shared" si="226"/>
        <v>#N/A</v>
      </c>
      <c r="W463" s="637" t="e">
        <f t="shared" si="226"/>
        <v>#N/A</v>
      </c>
      <c r="X463" s="637" t="e">
        <f t="shared" si="226"/>
        <v>#N/A</v>
      </c>
      <c r="Y463" s="637" t="e">
        <f t="shared" si="226"/>
        <v>#N/A</v>
      </c>
    </row>
    <row r="464" spans="2:25" s="636" customFormat="1" ht="15.75" hidden="1" x14ac:dyDescent="0.25">
      <c r="E464" s="636">
        <v>2017</v>
      </c>
      <c r="F464" s="637">
        <f t="shared" ref="F464:Y464" si="227">(($C$439*F$458)*(($F571*$J$93*1)+($F571*(1-$J$93)*$D$600)+(exp_2017*$J$94*$D$599)))+(($C$440*F$459)*(($F571*$J$95*1)+($F571*(1-$J$95)*$D$600)+(exp_2017*$J$96*$D$599)))</f>
        <v>0</v>
      </c>
      <c r="G464" s="637">
        <f t="shared" si="227"/>
        <v>0</v>
      </c>
      <c r="H464" s="639" t="e">
        <f t="shared" si="227"/>
        <v>#N/A</v>
      </c>
      <c r="I464" s="639" t="e">
        <f t="shared" si="227"/>
        <v>#N/A</v>
      </c>
      <c r="J464" s="639" t="e">
        <f t="shared" si="227"/>
        <v>#N/A</v>
      </c>
      <c r="K464" s="639" t="e">
        <f t="shared" si="227"/>
        <v>#N/A</v>
      </c>
      <c r="L464" s="639" t="e">
        <f t="shared" si="227"/>
        <v>#N/A</v>
      </c>
      <c r="M464" s="639" t="e">
        <f t="shared" si="227"/>
        <v>#N/A</v>
      </c>
      <c r="N464" s="637" t="e">
        <f t="shared" si="227"/>
        <v>#N/A</v>
      </c>
      <c r="O464" s="637" t="e">
        <f t="shared" si="227"/>
        <v>#N/A</v>
      </c>
      <c r="P464" s="637" t="e">
        <f t="shared" si="227"/>
        <v>#N/A</v>
      </c>
      <c r="Q464" s="637" t="e">
        <f t="shared" si="227"/>
        <v>#N/A</v>
      </c>
      <c r="R464" s="637" t="e">
        <f t="shared" si="227"/>
        <v>#N/A</v>
      </c>
      <c r="S464" s="637" t="e">
        <f t="shared" si="227"/>
        <v>#N/A</v>
      </c>
      <c r="T464" s="637" t="e">
        <f t="shared" si="227"/>
        <v>#N/A</v>
      </c>
      <c r="U464" s="637" t="e">
        <f t="shared" si="227"/>
        <v>#N/A</v>
      </c>
      <c r="V464" s="637" t="e">
        <f t="shared" si="227"/>
        <v>#N/A</v>
      </c>
      <c r="W464" s="637" t="e">
        <f t="shared" si="227"/>
        <v>#N/A</v>
      </c>
      <c r="X464" s="637" t="e">
        <f t="shared" si="227"/>
        <v>#N/A</v>
      </c>
      <c r="Y464" s="637" t="e">
        <f t="shared" si="227"/>
        <v>#N/A</v>
      </c>
    </row>
    <row r="465" spans="2:25" s="636" customFormat="1" ht="15.75" hidden="1" x14ac:dyDescent="0.25">
      <c r="E465" s="636">
        <v>2018</v>
      </c>
      <c r="F465" s="637">
        <f t="shared" ref="F465:Y465" si="228">(($C$439*F$458)*(($F572*$J$93*1)+($F572*(1-$J$93)*$D$600)+(exp_2018*$J$94*$D$599)))+(($C$440*F$459)*(($F572*$J$95*1)+($F572*(1-$J$95)*$D$600)+(exp_2018*$J$96*$D$599)))</f>
        <v>0</v>
      </c>
      <c r="G465" s="637">
        <f t="shared" si="228"/>
        <v>0</v>
      </c>
      <c r="H465" s="639" t="e">
        <f t="shared" si="228"/>
        <v>#N/A</v>
      </c>
      <c r="I465" s="639" t="e">
        <f t="shared" si="228"/>
        <v>#N/A</v>
      </c>
      <c r="J465" s="639" t="e">
        <f t="shared" si="228"/>
        <v>#N/A</v>
      </c>
      <c r="K465" s="639" t="e">
        <f t="shared" si="228"/>
        <v>#N/A</v>
      </c>
      <c r="L465" s="639" t="e">
        <f t="shared" si="228"/>
        <v>#N/A</v>
      </c>
      <c r="M465" s="639" t="e">
        <f t="shared" si="228"/>
        <v>#N/A</v>
      </c>
      <c r="N465" s="637" t="e">
        <f t="shared" si="228"/>
        <v>#N/A</v>
      </c>
      <c r="O465" s="637" t="e">
        <f t="shared" si="228"/>
        <v>#N/A</v>
      </c>
      <c r="P465" s="637" t="e">
        <f t="shared" si="228"/>
        <v>#N/A</v>
      </c>
      <c r="Q465" s="637" t="e">
        <f t="shared" si="228"/>
        <v>#N/A</v>
      </c>
      <c r="R465" s="637" t="e">
        <f t="shared" si="228"/>
        <v>#N/A</v>
      </c>
      <c r="S465" s="637" t="e">
        <f t="shared" si="228"/>
        <v>#N/A</v>
      </c>
      <c r="T465" s="637" t="e">
        <f t="shared" si="228"/>
        <v>#N/A</v>
      </c>
      <c r="U465" s="637" t="e">
        <f t="shared" si="228"/>
        <v>#N/A</v>
      </c>
      <c r="V465" s="637" t="e">
        <f t="shared" si="228"/>
        <v>#N/A</v>
      </c>
      <c r="W465" s="637" t="e">
        <f t="shared" si="228"/>
        <v>#N/A</v>
      </c>
      <c r="X465" s="637" t="e">
        <f t="shared" si="228"/>
        <v>#N/A</v>
      </c>
      <c r="Y465" s="637" t="e">
        <f t="shared" si="228"/>
        <v>#N/A</v>
      </c>
    </row>
    <row r="466" spans="2:25" s="636" customFormat="1" ht="15.75" hidden="1" x14ac:dyDescent="0.25">
      <c r="E466" s="636">
        <v>2019</v>
      </c>
      <c r="F466" s="637">
        <f t="shared" ref="F466:Y466" si="229">(($C$439*F$458)*(($F573*$J$93*1)+($F573*(1-$J$93)*$D$600)+(exp_2019*$J$94*$D$599)))+(($C$440*F$459)*(($F573*$J$95*1)+($F573*(1-$J$95)*$D$600)+(exp_2019*$J$96*$D$599)))</f>
        <v>0</v>
      </c>
      <c r="G466" s="637">
        <f t="shared" si="229"/>
        <v>0</v>
      </c>
      <c r="H466" s="639" t="e">
        <f t="shared" si="229"/>
        <v>#N/A</v>
      </c>
      <c r="I466" s="639" t="e">
        <f t="shared" si="229"/>
        <v>#N/A</v>
      </c>
      <c r="J466" s="639" t="e">
        <f t="shared" si="229"/>
        <v>#N/A</v>
      </c>
      <c r="K466" s="639" t="e">
        <f t="shared" si="229"/>
        <v>#N/A</v>
      </c>
      <c r="L466" s="639" t="e">
        <f t="shared" si="229"/>
        <v>#N/A</v>
      </c>
      <c r="M466" s="639" t="e">
        <f t="shared" si="229"/>
        <v>#N/A</v>
      </c>
      <c r="N466" s="637" t="e">
        <f t="shared" si="229"/>
        <v>#N/A</v>
      </c>
      <c r="O466" s="637" t="e">
        <f t="shared" si="229"/>
        <v>#N/A</v>
      </c>
      <c r="P466" s="637" t="e">
        <f t="shared" si="229"/>
        <v>#N/A</v>
      </c>
      <c r="Q466" s="637" t="e">
        <f t="shared" si="229"/>
        <v>#N/A</v>
      </c>
      <c r="R466" s="637" t="e">
        <f t="shared" si="229"/>
        <v>#N/A</v>
      </c>
      <c r="S466" s="637" t="e">
        <f t="shared" si="229"/>
        <v>#N/A</v>
      </c>
      <c r="T466" s="637" t="e">
        <f t="shared" si="229"/>
        <v>#N/A</v>
      </c>
      <c r="U466" s="637" t="e">
        <f t="shared" si="229"/>
        <v>#N/A</v>
      </c>
      <c r="V466" s="637" t="e">
        <f t="shared" si="229"/>
        <v>#N/A</v>
      </c>
      <c r="W466" s="637" t="e">
        <f t="shared" si="229"/>
        <v>#N/A</v>
      </c>
      <c r="X466" s="637" t="e">
        <f t="shared" si="229"/>
        <v>#N/A</v>
      </c>
      <c r="Y466" s="637" t="e">
        <f t="shared" si="229"/>
        <v>#N/A</v>
      </c>
    </row>
    <row r="467" spans="2:25" s="636" customFormat="1" ht="15.75" hidden="1" x14ac:dyDescent="0.25">
      <c r="E467" s="636">
        <v>2020</v>
      </c>
      <c r="F467" s="637">
        <f t="shared" ref="F467:Y467" si="230">(($C$439*F$458)*(($F574*$J$93*1)+($F574*(1-$J$93)*$D$600)+(exp_2020*$J$94*$D$599)))+(($C$440*F$459)*(($F574*$J$95*1)+($F574*(1-$J$95)*$D$600)+(exp_2020*$J$96*$D$599)))</f>
        <v>0</v>
      </c>
      <c r="G467" s="637">
        <f t="shared" si="230"/>
        <v>0</v>
      </c>
      <c r="H467" s="639" t="e">
        <f t="shared" si="230"/>
        <v>#N/A</v>
      </c>
      <c r="I467" s="639" t="e">
        <f t="shared" si="230"/>
        <v>#N/A</v>
      </c>
      <c r="J467" s="639" t="e">
        <f t="shared" si="230"/>
        <v>#N/A</v>
      </c>
      <c r="K467" s="639" t="e">
        <f t="shared" si="230"/>
        <v>#N/A</v>
      </c>
      <c r="L467" s="639" t="e">
        <f t="shared" si="230"/>
        <v>#N/A</v>
      </c>
      <c r="M467" s="639" t="e">
        <f t="shared" si="230"/>
        <v>#N/A</v>
      </c>
      <c r="N467" s="637" t="e">
        <f t="shared" si="230"/>
        <v>#N/A</v>
      </c>
      <c r="O467" s="637" t="e">
        <f t="shared" si="230"/>
        <v>#N/A</v>
      </c>
      <c r="P467" s="637" t="e">
        <f t="shared" si="230"/>
        <v>#N/A</v>
      </c>
      <c r="Q467" s="637" t="e">
        <f t="shared" si="230"/>
        <v>#N/A</v>
      </c>
      <c r="R467" s="637" t="e">
        <f t="shared" si="230"/>
        <v>#N/A</v>
      </c>
      <c r="S467" s="637" t="e">
        <f t="shared" si="230"/>
        <v>#N/A</v>
      </c>
      <c r="T467" s="637" t="e">
        <f t="shared" si="230"/>
        <v>#N/A</v>
      </c>
      <c r="U467" s="637" t="e">
        <f t="shared" si="230"/>
        <v>#N/A</v>
      </c>
      <c r="V467" s="637" t="e">
        <f t="shared" si="230"/>
        <v>#N/A</v>
      </c>
      <c r="W467" s="637" t="e">
        <f t="shared" si="230"/>
        <v>#N/A</v>
      </c>
      <c r="X467" s="637" t="e">
        <f t="shared" si="230"/>
        <v>#N/A</v>
      </c>
      <c r="Y467" s="637" t="e">
        <f t="shared" si="230"/>
        <v>#N/A</v>
      </c>
    </row>
    <row r="468" spans="2:25" s="636" customFormat="1" ht="15.75" hidden="1" x14ac:dyDescent="0.25">
      <c r="F468" s="637"/>
      <c r="G468" s="637"/>
      <c r="H468" s="639"/>
      <c r="I468" s="639"/>
      <c r="J468" s="639"/>
      <c r="K468" s="639"/>
      <c r="L468" s="639"/>
      <c r="M468" s="639"/>
      <c r="N468" s="637"/>
      <c r="O468" s="637"/>
      <c r="P468" s="637"/>
      <c r="Q468" s="637"/>
      <c r="R468" s="637"/>
      <c r="S468" s="637"/>
      <c r="T468" s="637"/>
      <c r="U468" s="637"/>
      <c r="V468" s="637"/>
      <c r="W468" s="637"/>
      <c r="X468" s="637"/>
      <c r="Y468" s="637"/>
    </row>
    <row r="469" spans="2:25" s="636" customFormat="1" ht="15.75" hidden="1" x14ac:dyDescent="0.25">
      <c r="F469" s="637"/>
      <c r="G469" s="637"/>
      <c r="H469" s="639"/>
      <c r="I469" s="639"/>
      <c r="J469" s="639"/>
      <c r="K469" s="639"/>
      <c r="L469" s="639"/>
      <c r="M469" s="639"/>
      <c r="N469" s="637"/>
      <c r="O469" s="637"/>
      <c r="P469" s="637"/>
      <c r="Q469" s="637"/>
      <c r="R469" s="637"/>
      <c r="S469" s="637"/>
      <c r="T469" s="637"/>
      <c r="U469" s="637"/>
      <c r="V469" s="637"/>
      <c r="W469" s="637"/>
      <c r="X469" s="637"/>
      <c r="Y469" s="637"/>
    </row>
    <row r="470" spans="2:25" s="636" customFormat="1" ht="15.75" hidden="1" x14ac:dyDescent="0.25">
      <c r="F470" s="637"/>
      <c r="G470" s="637"/>
      <c r="H470" s="639"/>
      <c r="I470" s="639"/>
      <c r="J470" s="639"/>
      <c r="K470" s="639"/>
      <c r="L470" s="639"/>
      <c r="M470" s="639"/>
      <c r="N470" s="637"/>
      <c r="O470" s="637"/>
      <c r="P470" s="637"/>
      <c r="Q470" s="637"/>
      <c r="R470" s="637"/>
      <c r="S470" s="637"/>
      <c r="T470" s="637"/>
      <c r="U470" s="637"/>
      <c r="V470" s="637"/>
      <c r="W470" s="637"/>
      <c r="X470" s="637"/>
      <c r="Y470" s="637"/>
    </row>
    <row r="471" spans="2:25" s="636" customFormat="1" ht="15.75" hidden="1" x14ac:dyDescent="0.25">
      <c r="B471" s="691" t="s">
        <v>1897</v>
      </c>
      <c r="C471" s="1145"/>
      <c r="D471" s="1146"/>
      <c r="E471" s="636">
        <v>2015</v>
      </c>
      <c r="F471" s="637">
        <f>F448+F462</f>
        <v>0</v>
      </c>
      <c r="G471" s="637">
        <f t="shared" ref="G471:Y476" si="231">G448+G462</f>
        <v>0</v>
      </c>
      <c r="H471" s="639" t="e">
        <f t="shared" si="231"/>
        <v>#N/A</v>
      </c>
      <c r="I471" s="639" t="e">
        <f t="shared" si="231"/>
        <v>#N/A</v>
      </c>
      <c r="J471" s="639" t="e">
        <f t="shared" si="231"/>
        <v>#N/A</v>
      </c>
      <c r="K471" s="639" t="e">
        <f t="shared" si="231"/>
        <v>#N/A</v>
      </c>
      <c r="L471" s="639" t="e">
        <f t="shared" si="231"/>
        <v>#N/A</v>
      </c>
      <c r="M471" s="639" t="e">
        <f t="shared" si="231"/>
        <v>#N/A</v>
      </c>
      <c r="N471" s="637" t="e">
        <f t="shared" si="231"/>
        <v>#N/A</v>
      </c>
      <c r="O471" s="637" t="e">
        <f t="shared" si="231"/>
        <v>#N/A</v>
      </c>
      <c r="P471" s="637" t="e">
        <f t="shared" si="231"/>
        <v>#N/A</v>
      </c>
      <c r="Q471" s="637" t="e">
        <f t="shared" si="231"/>
        <v>#N/A</v>
      </c>
      <c r="R471" s="637" t="e">
        <f t="shared" si="231"/>
        <v>#N/A</v>
      </c>
      <c r="S471" s="637" t="e">
        <f t="shared" si="231"/>
        <v>#N/A</v>
      </c>
      <c r="T471" s="637" t="e">
        <f t="shared" si="231"/>
        <v>#N/A</v>
      </c>
      <c r="U471" s="637" t="e">
        <f t="shared" si="231"/>
        <v>#N/A</v>
      </c>
      <c r="V471" s="637" t="e">
        <f t="shared" si="231"/>
        <v>#N/A</v>
      </c>
      <c r="W471" s="637" t="e">
        <f t="shared" si="231"/>
        <v>#N/A</v>
      </c>
      <c r="X471" s="637" t="e">
        <f t="shared" si="231"/>
        <v>#N/A</v>
      </c>
      <c r="Y471" s="637" t="e">
        <f t="shared" si="231"/>
        <v>#N/A</v>
      </c>
    </row>
    <row r="472" spans="2:25" s="636" customFormat="1" ht="15.75" hidden="1" x14ac:dyDescent="0.25">
      <c r="B472" s="1144"/>
      <c r="C472" s="1147"/>
      <c r="D472" s="1148"/>
      <c r="E472" s="636">
        <v>2016</v>
      </c>
      <c r="F472" s="637">
        <f t="shared" ref="F472:U476" si="232">F449+F463</f>
        <v>0</v>
      </c>
      <c r="G472" s="637">
        <f t="shared" si="232"/>
        <v>0</v>
      </c>
      <c r="H472" s="639" t="e">
        <f t="shared" si="232"/>
        <v>#N/A</v>
      </c>
      <c r="I472" s="639" t="e">
        <f t="shared" si="232"/>
        <v>#N/A</v>
      </c>
      <c r="J472" s="639" t="e">
        <f t="shared" si="232"/>
        <v>#N/A</v>
      </c>
      <c r="K472" s="639" t="e">
        <f t="shared" si="232"/>
        <v>#N/A</v>
      </c>
      <c r="L472" s="639" t="e">
        <f t="shared" si="232"/>
        <v>#N/A</v>
      </c>
      <c r="M472" s="639" t="e">
        <f t="shared" si="232"/>
        <v>#N/A</v>
      </c>
      <c r="N472" s="637" t="e">
        <f t="shared" si="232"/>
        <v>#N/A</v>
      </c>
      <c r="O472" s="637" t="e">
        <f t="shared" si="232"/>
        <v>#N/A</v>
      </c>
      <c r="P472" s="637" t="e">
        <f t="shared" si="232"/>
        <v>#N/A</v>
      </c>
      <c r="Q472" s="637" t="e">
        <f t="shared" si="232"/>
        <v>#N/A</v>
      </c>
      <c r="R472" s="637" t="e">
        <f t="shared" si="232"/>
        <v>#N/A</v>
      </c>
      <c r="S472" s="637" t="e">
        <f t="shared" si="232"/>
        <v>#N/A</v>
      </c>
      <c r="T472" s="637" t="e">
        <f t="shared" si="232"/>
        <v>#N/A</v>
      </c>
      <c r="U472" s="637" t="e">
        <f t="shared" si="232"/>
        <v>#N/A</v>
      </c>
      <c r="V472" s="637" t="e">
        <f t="shared" si="231"/>
        <v>#N/A</v>
      </c>
      <c r="W472" s="637" t="e">
        <f t="shared" si="231"/>
        <v>#N/A</v>
      </c>
      <c r="X472" s="637" t="e">
        <f t="shared" si="231"/>
        <v>#N/A</v>
      </c>
      <c r="Y472" s="637" t="e">
        <f t="shared" si="231"/>
        <v>#N/A</v>
      </c>
    </row>
    <row r="473" spans="2:25" s="636" customFormat="1" ht="15.75" hidden="1" x14ac:dyDescent="0.25">
      <c r="B473" s="1144"/>
      <c r="C473" s="1147"/>
      <c r="D473" s="1148"/>
      <c r="E473" s="636">
        <v>2017</v>
      </c>
      <c r="F473" s="637">
        <f t="shared" si="232"/>
        <v>0</v>
      </c>
      <c r="G473" s="637">
        <f t="shared" si="231"/>
        <v>0</v>
      </c>
      <c r="H473" s="639" t="e">
        <f t="shared" si="231"/>
        <v>#N/A</v>
      </c>
      <c r="I473" s="639" t="e">
        <f t="shared" si="231"/>
        <v>#N/A</v>
      </c>
      <c r="J473" s="639" t="e">
        <f t="shared" si="231"/>
        <v>#N/A</v>
      </c>
      <c r="K473" s="639" t="e">
        <f t="shared" si="231"/>
        <v>#N/A</v>
      </c>
      <c r="L473" s="639" t="e">
        <f t="shared" si="231"/>
        <v>#N/A</v>
      </c>
      <c r="M473" s="639" t="e">
        <f t="shared" si="231"/>
        <v>#N/A</v>
      </c>
      <c r="N473" s="637" t="e">
        <f t="shared" si="231"/>
        <v>#N/A</v>
      </c>
      <c r="O473" s="637" t="e">
        <f t="shared" si="231"/>
        <v>#N/A</v>
      </c>
      <c r="P473" s="637" t="e">
        <f t="shared" si="231"/>
        <v>#N/A</v>
      </c>
      <c r="Q473" s="637" t="e">
        <f t="shared" si="231"/>
        <v>#N/A</v>
      </c>
      <c r="R473" s="637" t="e">
        <f t="shared" si="231"/>
        <v>#N/A</v>
      </c>
      <c r="S473" s="637" t="e">
        <f t="shared" si="231"/>
        <v>#N/A</v>
      </c>
      <c r="T473" s="637" t="e">
        <f t="shared" si="231"/>
        <v>#N/A</v>
      </c>
      <c r="U473" s="637" t="e">
        <f t="shared" si="231"/>
        <v>#N/A</v>
      </c>
      <c r="V473" s="637" t="e">
        <f t="shared" si="231"/>
        <v>#N/A</v>
      </c>
      <c r="W473" s="637" t="e">
        <f t="shared" si="231"/>
        <v>#N/A</v>
      </c>
      <c r="X473" s="637" t="e">
        <f t="shared" si="231"/>
        <v>#N/A</v>
      </c>
      <c r="Y473" s="637" t="e">
        <f t="shared" si="231"/>
        <v>#N/A</v>
      </c>
    </row>
    <row r="474" spans="2:25" s="636" customFormat="1" ht="15.75" hidden="1" x14ac:dyDescent="0.25">
      <c r="B474" s="1144"/>
      <c r="C474" s="1147"/>
      <c r="D474" s="1148"/>
      <c r="E474" s="636">
        <v>2018</v>
      </c>
      <c r="F474" s="637">
        <f t="shared" si="232"/>
        <v>0</v>
      </c>
      <c r="G474" s="637">
        <f t="shared" si="231"/>
        <v>0</v>
      </c>
      <c r="H474" s="639" t="e">
        <f t="shared" si="231"/>
        <v>#N/A</v>
      </c>
      <c r="I474" s="639" t="e">
        <f t="shared" si="231"/>
        <v>#N/A</v>
      </c>
      <c r="J474" s="639" t="e">
        <f t="shared" si="231"/>
        <v>#N/A</v>
      </c>
      <c r="K474" s="639" t="e">
        <f t="shared" si="231"/>
        <v>#N/A</v>
      </c>
      <c r="L474" s="639" t="e">
        <f t="shared" si="231"/>
        <v>#N/A</v>
      </c>
      <c r="M474" s="639" t="e">
        <f t="shared" si="231"/>
        <v>#N/A</v>
      </c>
      <c r="N474" s="637" t="e">
        <f t="shared" si="231"/>
        <v>#N/A</v>
      </c>
      <c r="O474" s="637" t="e">
        <f t="shared" si="231"/>
        <v>#N/A</v>
      </c>
      <c r="P474" s="637" t="e">
        <f t="shared" si="231"/>
        <v>#N/A</v>
      </c>
      <c r="Q474" s="637" t="e">
        <f t="shared" si="231"/>
        <v>#N/A</v>
      </c>
      <c r="R474" s="637" t="e">
        <f t="shared" si="231"/>
        <v>#N/A</v>
      </c>
      <c r="S474" s="637" t="e">
        <f t="shared" si="231"/>
        <v>#N/A</v>
      </c>
      <c r="T474" s="637" t="e">
        <f t="shared" si="231"/>
        <v>#N/A</v>
      </c>
      <c r="U474" s="637" t="e">
        <f t="shared" si="231"/>
        <v>#N/A</v>
      </c>
      <c r="V474" s="637" t="e">
        <f t="shared" si="231"/>
        <v>#N/A</v>
      </c>
      <c r="W474" s="637" t="e">
        <f t="shared" si="231"/>
        <v>#N/A</v>
      </c>
      <c r="X474" s="637" t="e">
        <f t="shared" si="231"/>
        <v>#N/A</v>
      </c>
      <c r="Y474" s="637" t="e">
        <f t="shared" si="231"/>
        <v>#N/A</v>
      </c>
    </row>
    <row r="475" spans="2:25" s="636" customFormat="1" ht="15.75" hidden="1" x14ac:dyDescent="0.25">
      <c r="B475" s="1144"/>
      <c r="C475" s="1147"/>
      <c r="D475" s="1148"/>
      <c r="E475" s="636">
        <v>2019</v>
      </c>
      <c r="F475" s="637">
        <f t="shared" si="232"/>
        <v>0</v>
      </c>
      <c r="G475" s="637">
        <f t="shared" si="231"/>
        <v>0</v>
      </c>
      <c r="H475" s="639" t="e">
        <f t="shared" si="231"/>
        <v>#N/A</v>
      </c>
      <c r="I475" s="639" t="e">
        <f t="shared" si="231"/>
        <v>#N/A</v>
      </c>
      <c r="J475" s="639" t="e">
        <f t="shared" si="231"/>
        <v>#N/A</v>
      </c>
      <c r="K475" s="639" t="e">
        <f t="shared" si="231"/>
        <v>#N/A</v>
      </c>
      <c r="L475" s="639" t="e">
        <f t="shared" si="231"/>
        <v>#N/A</v>
      </c>
      <c r="M475" s="639" t="e">
        <f t="shared" si="231"/>
        <v>#N/A</v>
      </c>
      <c r="N475" s="637" t="e">
        <f t="shared" si="231"/>
        <v>#N/A</v>
      </c>
      <c r="O475" s="637" t="e">
        <f t="shared" si="231"/>
        <v>#N/A</v>
      </c>
      <c r="P475" s="637" t="e">
        <f t="shared" si="231"/>
        <v>#N/A</v>
      </c>
      <c r="Q475" s="637" t="e">
        <f t="shared" si="231"/>
        <v>#N/A</v>
      </c>
      <c r="R475" s="637" t="e">
        <f t="shared" si="231"/>
        <v>#N/A</v>
      </c>
      <c r="S475" s="637" t="e">
        <f t="shared" si="231"/>
        <v>#N/A</v>
      </c>
      <c r="T475" s="637" t="e">
        <f t="shared" si="231"/>
        <v>#N/A</v>
      </c>
      <c r="U475" s="637" t="e">
        <f t="shared" si="231"/>
        <v>#N/A</v>
      </c>
      <c r="V475" s="637" t="e">
        <f t="shared" si="231"/>
        <v>#N/A</v>
      </c>
      <c r="W475" s="637" t="e">
        <f t="shared" si="231"/>
        <v>#N/A</v>
      </c>
      <c r="X475" s="637" t="e">
        <f t="shared" si="231"/>
        <v>#N/A</v>
      </c>
      <c r="Y475" s="637" t="e">
        <f t="shared" si="231"/>
        <v>#N/A</v>
      </c>
    </row>
    <row r="476" spans="2:25" s="636" customFormat="1" ht="15.75" hidden="1" x14ac:dyDescent="0.25">
      <c r="B476" s="1144"/>
      <c r="C476" s="1147"/>
      <c r="D476" s="1148"/>
      <c r="E476" s="636">
        <v>2020</v>
      </c>
      <c r="F476" s="637">
        <f t="shared" si="232"/>
        <v>0</v>
      </c>
      <c r="G476" s="637">
        <f t="shared" si="231"/>
        <v>0</v>
      </c>
      <c r="H476" s="639" t="e">
        <f t="shared" si="231"/>
        <v>#N/A</v>
      </c>
      <c r="I476" s="639" t="e">
        <f t="shared" si="231"/>
        <v>#N/A</v>
      </c>
      <c r="J476" s="639" t="e">
        <f t="shared" si="231"/>
        <v>#N/A</v>
      </c>
      <c r="K476" s="639" t="e">
        <f t="shared" si="231"/>
        <v>#N/A</v>
      </c>
      <c r="L476" s="639" t="e">
        <f t="shared" si="231"/>
        <v>#N/A</v>
      </c>
      <c r="M476" s="639" t="e">
        <f t="shared" si="231"/>
        <v>#N/A</v>
      </c>
      <c r="N476" s="637" t="e">
        <f t="shared" si="231"/>
        <v>#N/A</v>
      </c>
      <c r="O476" s="637" t="e">
        <f t="shared" si="231"/>
        <v>#N/A</v>
      </c>
      <c r="P476" s="637" t="e">
        <f t="shared" si="231"/>
        <v>#N/A</v>
      </c>
      <c r="Q476" s="637" t="e">
        <f t="shared" si="231"/>
        <v>#N/A</v>
      </c>
      <c r="R476" s="637" t="e">
        <f t="shared" si="231"/>
        <v>#N/A</v>
      </c>
      <c r="S476" s="637" t="e">
        <f t="shared" si="231"/>
        <v>#N/A</v>
      </c>
      <c r="T476" s="637" t="e">
        <f t="shared" si="231"/>
        <v>#N/A</v>
      </c>
      <c r="U476" s="637" t="e">
        <f t="shared" si="231"/>
        <v>#N/A</v>
      </c>
      <c r="V476" s="637" t="e">
        <f t="shared" si="231"/>
        <v>#N/A</v>
      </c>
      <c r="W476" s="637" t="e">
        <f t="shared" si="231"/>
        <v>#N/A</v>
      </c>
      <c r="X476" s="637" t="e">
        <f t="shared" si="231"/>
        <v>#N/A</v>
      </c>
      <c r="Y476" s="637" t="e">
        <f t="shared" si="231"/>
        <v>#N/A</v>
      </c>
    </row>
    <row r="477" spans="2:25" s="636" customFormat="1" ht="15.75" hidden="1" x14ac:dyDescent="0.25">
      <c r="B477" s="1144"/>
      <c r="C477" s="1147"/>
      <c r="D477" s="1148"/>
      <c r="F477" s="637"/>
      <c r="G477" s="637"/>
      <c r="H477" s="639"/>
      <c r="I477" s="639"/>
      <c r="J477" s="639"/>
      <c r="K477" s="639"/>
      <c r="L477" s="639"/>
      <c r="M477" s="639"/>
      <c r="N477" s="637"/>
      <c r="O477" s="637"/>
      <c r="P477" s="637"/>
      <c r="Q477" s="637"/>
      <c r="R477" s="637"/>
      <c r="S477" s="637"/>
      <c r="T477" s="637"/>
      <c r="U477" s="637"/>
      <c r="V477" s="637"/>
      <c r="W477" s="637"/>
      <c r="X477" s="637"/>
      <c r="Y477" s="637"/>
    </row>
    <row r="478" spans="2:25" s="636" customFormat="1" ht="15.75" hidden="1" x14ac:dyDescent="0.25">
      <c r="F478" s="637"/>
      <c r="G478" s="637"/>
      <c r="H478" s="639"/>
      <c r="I478" s="639"/>
      <c r="J478" s="639"/>
      <c r="K478" s="639"/>
      <c r="L478" s="639"/>
      <c r="M478" s="639"/>
      <c r="N478" s="637"/>
      <c r="O478" s="637"/>
      <c r="P478" s="637"/>
      <c r="Q478" s="637"/>
      <c r="R478" s="637"/>
      <c r="S478" s="637"/>
      <c r="T478" s="637"/>
      <c r="U478" s="637"/>
      <c r="V478" s="637"/>
      <c r="W478" s="637"/>
      <c r="X478" s="637"/>
      <c r="Y478" s="637"/>
    </row>
    <row r="479" spans="2:25" s="636" customFormat="1" ht="15.75" hidden="1" x14ac:dyDescent="0.25">
      <c r="F479" s="637"/>
      <c r="G479" s="637"/>
      <c r="H479" s="639"/>
      <c r="I479" s="639"/>
      <c r="J479" s="639"/>
      <c r="K479" s="639"/>
      <c r="L479" s="639"/>
      <c r="M479" s="639"/>
      <c r="N479" s="637"/>
      <c r="O479" s="637"/>
      <c r="P479" s="637"/>
      <c r="Q479" s="637"/>
      <c r="R479" s="637"/>
      <c r="S479" s="637"/>
      <c r="T479" s="637"/>
      <c r="U479" s="637"/>
      <c r="V479" s="637"/>
      <c r="W479" s="637"/>
      <c r="X479" s="637"/>
      <c r="Y479" s="637"/>
    </row>
    <row r="480" spans="2:25" s="636" customFormat="1" ht="15.75" hidden="1" x14ac:dyDescent="0.25">
      <c r="F480" s="637"/>
      <c r="G480" s="637"/>
      <c r="H480" s="639"/>
      <c r="I480" s="639"/>
      <c r="J480" s="639"/>
      <c r="K480" s="639"/>
      <c r="L480" s="639"/>
      <c r="M480" s="639"/>
      <c r="N480" s="637"/>
      <c r="O480" s="637"/>
      <c r="P480" s="637"/>
      <c r="Q480" s="637"/>
      <c r="R480" s="637"/>
      <c r="S480" s="637"/>
      <c r="T480" s="637"/>
      <c r="U480" s="637"/>
      <c r="V480" s="637"/>
      <c r="W480" s="637"/>
      <c r="X480" s="637"/>
      <c r="Y480" s="637"/>
    </row>
    <row r="481" spans="2:25" s="640" customFormat="1" ht="15.75" hidden="1" x14ac:dyDescent="0.25"/>
    <row r="482" spans="2:25" s="641" customFormat="1" ht="15.75" hidden="1" x14ac:dyDescent="0.25">
      <c r="B482" s="691" t="s">
        <v>1570</v>
      </c>
      <c r="D482" s="729" t="s">
        <v>1719</v>
      </c>
      <c r="E482" s="628"/>
      <c r="F482" s="628"/>
      <c r="G482" s="628"/>
      <c r="H482" s="660"/>
      <c r="I482" s="660"/>
      <c r="J482" s="660"/>
      <c r="K482" s="660"/>
      <c r="L482" s="660"/>
      <c r="M482" s="660"/>
      <c r="N482" s="660"/>
      <c r="O482" s="660"/>
      <c r="P482" s="660"/>
      <c r="Q482" s="660"/>
      <c r="R482" s="660"/>
      <c r="S482" s="660"/>
      <c r="T482" s="660"/>
      <c r="U482" s="660"/>
      <c r="V482" s="660"/>
      <c r="W482" s="660"/>
      <c r="X482" s="660"/>
      <c r="Y482" s="660"/>
    </row>
    <row r="483" spans="2:25" s="641" customFormat="1" ht="15.75" hidden="1" x14ac:dyDescent="0.25">
      <c r="D483" s="628" t="s">
        <v>412</v>
      </c>
      <c r="E483" s="628" t="s">
        <v>10</v>
      </c>
      <c r="F483" s="628" t="s">
        <v>428</v>
      </c>
      <c r="G483" s="628" t="str">
        <f>G$184</f>
        <v>Cost in 2008 dollars</v>
      </c>
      <c r="H483" s="629" t="s">
        <v>583</v>
      </c>
      <c r="I483" s="629" t="s">
        <v>584</v>
      </c>
      <c r="J483" s="629" t="s">
        <v>585</v>
      </c>
      <c r="K483" s="629" t="s">
        <v>586</v>
      </c>
      <c r="L483" s="629" t="s">
        <v>413</v>
      </c>
      <c r="M483" s="629" t="s">
        <v>414</v>
      </c>
      <c r="N483" s="629" t="s">
        <v>592</v>
      </c>
      <c r="O483" s="629" t="s">
        <v>587</v>
      </c>
      <c r="P483" s="629" t="s">
        <v>588</v>
      </c>
      <c r="Q483" s="629" t="s">
        <v>589</v>
      </c>
      <c r="R483" s="629" t="s">
        <v>590</v>
      </c>
      <c r="S483" s="629" t="s">
        <v>591</v>
      </c>
      <c r="T483" s="629" t="s">
        <v>593</v>
      </c>
      <c r="U483" s="629" t="s">
        <v>594</v>
      </c>
      <c r="V483" s="629" t="s">
        <v>595</v>
      </c>
      <c r="W483" s="629" t="s">
        <v>596</v>
      </c>
      <c r="X483" s="629" t="s">
        <v>597</v>
      </c>
      <c r="Y483" s="629" t="s">
        <v>598</v>
      </c>
    </row>
    <row r="484" spans="2:25" s="641" customFormat="1" ht="15.75" hidden="1" x14ac:dyDescent="0.25">
      <c r="C484" s="723" t="s">
        <v>1702</v>
      </c>
      <c r="D484" s="641">
        <v>541300</v>
      </c>
      <c r="E484" s="641" t="s">
        <v>308</v>
      </c>
      <c r="F484" s="730">
        <f>J100</f>
        <v>0</v>
      </c>
      <c r="G484" s="630">
        <f>F484*$C$578</f>
        <v>0</v>
      </c>
      <c r="H484" s="631" t="e">
        <f>$G484*INDEX(tier_emp_mult, MATCH($D484, tier_emp_code,0), MATCH(State, R_emp, 0))/1000000</f>
        <v>#N/A</v>
      </c>
      <c r="I484" s="631" t="e">
        <f>$G484*INDEX(typeI_emp_mult, MATCH($D484, typeI_emp_code,0), MATCH(State, R_emp, 0))/1000000</f>
        <v>#N/A</v>
      </c>
      <c r="J484" s="631" t="e">
        <f>$G484*INDEX(typeII_emp_mult, MATCH($D484, typeII_emp_code,0), MATCH(State, R_emp, 0))/1000000</f>
        <v>#N/A</v>
      </c>
      <c r="K484" s="632" t="e">
        <f>H484</f>
        <v>#N/A</v>
      </c>
      <c r="L484" s="632" t="e">
        <f>I484-H484</f>
        <v>#N/A</v>
      </c>
      <c r="M484" s="632" t="e">
        <f>J484-I484</f>
        <v>#N/A</v>
      </c>
      <c r="N484" s="631" t="e">
        <f>$G484*INDEX(tier_earn_mult, MATCH($D484, tier_earn_code,0), MATCH(State, R_earn, 0))</f>
        <v>#N/A</v>
      </c>
      <c r="O484" s="631" t="e">
        <f>$G484*INDEX(typeI_earn_mult, MATCH($D484, typeI_earn_code,0), MATCH(State, R_earn, 0))</f>
        <v>#N/A</v>
      </c>
      <c r="P484" s="631" t="e">
        <f>$G484*INDEX(typeII_earn_mult, MATCH($D484, typeII_earn_code,0), MATCH(State, R_earn, 0))</f>
        <v>#N/A</v>
      </c>
      <c r="Q484" s="633" t="e">
        <f>N484</f>
        <v>#N/A</v>
      </c>
      <c r="R484" s="633" t="e">
        <f>O484-N484</f>
        <v>#N/A</v>
      </c>
      <c r="S484" s="633" t="e">
        <f>P484-O484</f>
        <v>#N/A</v>
      </c>
      <c r="T484" s="631" t="e">
        <f>$G484*INDEX(tier_out_mult, MATCH($D484, tier_out_code,0), MATCH(State, R_out, 0))</f>
        <v>#N/A</v>
      </c>
      <c r="U484" s="631" t="e">
        <f>$G484*INDEX(typeI_out_mult, MATCH($D484, typeI_out_code,0), MATCH(State, R_out, 0))</f>
        <v>#N/A</v>
      </c>
      <c r="V484" s="631" t="e">
        <f>$G484*INDEX(typeII_out_mult, MATCH($D484, typeII_out_code,0), MATCH(State, R_out, 0))</f>
        <v>#N/A</v>
      </c>
      <c r="W484" s="633" t="e">
        <f>T484</f>
        <v>#N/A</v>
      </c>
      <c r="X484" s="633" t="e">
        <f>U484-T484</f>
        <v>#N/A</v>
      </c>
      <c r="Y484" s="633" t="e">
        <f>V484-U484</f>
        <v>#N/A</v>
      </c>
    </row>
    <row r="485" spans="2:25" s="641" customFormat="1" ht="15.75" hidden="1" x14ac:dyDescent="0.25">
      <c r="C485" s="723" t="s">
        <v>1702</v>
      </c>
      <c r="D485" s="641">
        <v>230000</v>
      </c>
      <c r="E485" s="641" t="s">
        <v>426</v>
      </c>
      <c r="F485" s="730">
        <f>J101</f>
        <v>0</v>
      </c>
      <c r="G485" s="630">
        <f>F485*$C$578</f>
        <v>0</v>
      </c>
      <c r="H485" s="631" t="e">
        <f>$G485*INDEX(tier_emp_mult, MATCH($D485, tier_emp_code,0), MATCH(State, R_emp, 0))/1000000</f>
        <v>#N/A</v>
      </c>
      <c r="I485" s="631" t="e">
        <f>$G485*INDEX(typeI_emp_mult, MATCH($D485, typeI_emp_code,0), MATCH(State, R_emp, 0))/1000000</f>
        <v>#N/A</v>
      </c>
      <c r="J485" s="631" t="e">
        <f>$G485*INDEX(typeII_emp_mult, MATCH($D485, typeII_emp_code,0), MATCH(State, R_emp, 0))/1000000</f>
        <v>#N/A</v>
      </c>
      <c r="K485" s="632" t="e">
        <f t="shared" ref="K485:K486" si="233">H485</f>
        <v>#N/A</v>
      </c>
      <c r="L485" s="632" t="e">
        <f t="shared" ref="L485:L486" si="234">I485-H485</f>
        <v>#N/A</v>
      </c>
      <c r="M485" s="632" t="e">
        <f t="shared" ref="M485:M486" si="235">J485-I485</f>
        <v>#N/A</v>
      </c>
      <c r="N485" s="631" t="e">
        <f>$G485*INDEX(tier_earn_mult, MATCH($D485, tier_earn_code,0), MATCH(State, R_earn, 0))</f>
        <v>#N/A</v>
      </c>
      <c r="O485" s="631" t="e">
        <f>$G485*INDEX(typeI_earn_mult, MATCH($D485, typeI_earn_code,0), MATCH(State, R_earn, 0))</f>
        <v>#N/A</v>
      </c>
      <c r="P485" s="631" t="e">
        <f>$G485*INDEX(typeII_earn_mult, MATCH($D485, typeII_earn_code,0), MATCH(State, R_earn, 0))</f>
        <v>#N/A</v>
      </c>
      <c r="Q485" s="633" t="e">
        <f t="shared" ref="Q485:Q486" si="236">N485</f>
        <v>#N/A</v>
      </c>
      <c r="R485" s="633" t="e">
        <f t="shared" ref="R485:R486" si="237">O485-N485</f>
        <v>#N/A</v>
      </c>
      <c r="S485" s="633" t="e">
        <f t="shared" ref="S485:S486" si="238">P485-O485</f>
        <v>#N/A</v>
      </c>
      <c r="T485" s="631" t="e">
        <f>$G485*INDEX(tier_out_mult, MATCH($D485, tier_out_code,0), MATCH(State, R_out, 0))</f>
        <v>#N/A</v>
      </c>
      <c r="U485" s="631" t="e">
        <f>$G485*INDEX(typeI_out_mult, MATCH($D485, typeI_out_code,0), MATCH(State, R_out, 0))</f>
        <v>#N/A</v>
      </c>
      <c r="V485" s="631" t="e">
        <f>$G485*INDEX(typeII_out_mult, MATCH($D485, typeII_out_code,0), MATCH(State, R_out, 0))</f>
        <v>#N/A</v>
      </c>
      <c r="W485" s="633" t="e">
        <f t="shared" ref="W485:W486" si="239">T485</f>
        <v>#N/A</v>
      </c>
      <c r="X485" s="633" t="e">
        <f t="shared" ref="X485:X486" si="240">U485-T485</f>
        <v>#N/A</v>
      </c>
      <c r="Y485" s="633" t="e">
        <f t="shared" ref="Y485:Y486" si="241">V485-U485</f>
        <v>#N/A</v>
      </c>
    </row>
    <row r="486" spans="2:25" s="641" customFormat="1" ht="15.75" hidden="1" x14ac:dyDescent="0.25">
      <c r="C486" s="723" t="s">
        <v>1702</v>
      </c>
      <c r="D486" s="641">
        <v>230000</v>
      </c>
      <c r="E486" s="641" t="s">
        <v>426</v>
      </c>
      <c r="F486" s="730">
        <f>J102</f>
        <v>0</v>
      </c>
      <c r="G486" s="630">
        <f>F486*$C$578</f>
        <v>0</v>
      </c>
      <c r="H486" s="631" t="e">
        <f>$G486*INDEX(tier_emp_mult, MATCH($D486, tier_emp_code,0), MATCH(State, R_emp, 0))/1000000</f>
        <v>#N/A</v>
      </c>
      <c r="I486" s="631" t="e">
        <f>$G486*INDEX(typeI_emp_mult, MATCH($D486, typeI_emp_code,0), MATCH(State, R_emp, 0))/1000000</f>
        <v>#N/A</v>
      </c>
      <c r="J486" s="631" t="e">
        <f>$G486*INDEX(typeII_emp_mult, MATCH($D486, typeII_emp_code,0), MATCH(State, R_emp, 0))/1000000</f>
        <v>#N/A</v>
      </c>
      <c r="K486" s="632" t="e">
        <f t="shared" si="233"/>
        <v>#N/A</v>
      </c>
      <c r="L486" s="632" t="e">
        <f t="shared" si="234"/>
        <v>#N/A</v>
      </c>
      <c r="M486" s="632" t="e">
        <f t="shared" si="235"/>
        <v>#N/A</v>
      </c>
      <c r="N486" s="631" t="e">
        <f>$G486*INDEX(tier_earn_mult, MATCH($D486, tier_earn_code,0), MATCH(State, R_earn, 0))</f>
        <v>#N/A</v>
      </c>
      <c r="O486" s="631" t="e">
        <f>$G486*INDEX(typeI_earn_mult, MATCH($D486, typeI_earn_code,0), MATCH(State, R_earn, 0))</f>
        <v>#N/A</v>
      </c>
      <c r="P486" s="631" t="e">
        <f>$G486*INDEX(typeII_earn_mult, MATCH($D486, typeII_earn_code,0), MATCH(State, R_earn, 0))</f>
        <v>#N/A</v>
      </c>
      <c r="Q486" s="633" t="e">
        <f t="shared" si="236"/>
        <v>#N/A</v>
      </c>
      <c r="R486" s="633" t="e">
        <f t="shared" si="237"/>
        <v>#N/A</v>
      </c>
      <c r="S486" s="633" t="e">
        <f t="shared" si="238"/>
        <v>#N/A</v>
      </c>
      <c r="T486" s="631" t="e">
        <f>$G486*INDEX(tier_out_mult, MATCH($D486, tier_out_code,0), MATCH(State, R_out, 0))</f>
        <v>#N/A</v>
      </c>
      <c r="U486" s="631" t="e">
        <f>$G486*INDEX(typeI_out_mult, MATCH($D486, typeI_out_code,0), MATCH(State, R_out, 0))</f>
        <v>#N/A</v>
      </c>
      <c r="V486" s="631" t="e">
        <f>$G486*INDEX(typeII_out_mult, MATCH($D486, typeII_out_code,0), MATCH(State, R_out, 0))</f>
        <v>#N/A</v>
      </c>
      <c r="W486" s="633" t="e">
        <f t="shared" si="239"/>
        <v>#N/A</v>
      </c>
      <c r="X486" s="633" t="e">
        <f t="shared" si="240"/>
        <v>#N/A</v>
      </c>
      <c r="Y486" s="633" t="e">
        <f t="shared" si="241"/>
        <v>#N/A</v>
      </c>
    </row>
    <row r="487" spans="2:25" s="641" customFormat="1" ht="15.75" hidden="1" x14ac:dyDescent="0.25"/>
    <row r="488" spans="2:25" s="641" customFormat="1" ht="15.75" hidden="1" x14ac:dyDescent="0.25">
      <c r="C488" s="723" t="s">
        <v>1703</v>
      </c>
      <c r="D488" s="641">
        <v>541300</v>
      </c>
      <c r="E488" s="641" t="s">
        <v>308</v>
      </c>
      <c r="F488" s="731">
        <f>J114</f>
        <v>0</v>
      </c>
      <c r="G488" s="630">
        <f>F488*$C$578</f>
        <v>0</v>
      </c>
      <c r="H488" s="631" t="e">
        <f>$G488*INDEX(tier_emp_mult, MATCH($D488, tier_emp_code,0), MATCH(State, R_emp, 0))/1000000</f>
        <v>#N/A</v>
      </c>
      <c r="I488" s="631" t="e">
        <f>$G488*INDEX(typeI_emp_mult, MATCH($D488, typeI_emp_code,0), MATCH(State, R_emp, 0))/1000000</f>
        <v>#N/A</v>
      </c>
      <c r="J488" s="631" t="e">
        <f>$G488*INDEX(typeII_emp_mult, MATCH($D488, typeII_emp_code,0), MATCH(State, R_emp, 0))/1000000</f>
        <v>#N/A</v>
      </c>
      <c r="K488" s="632" t="e">
        <f t="shared" ref="K488" si="242">H488</f>
        <v>#N/A</v>
      </c>
      <c r="L488" s="632" t="e">
        <f t="shared" ref="L488" si="243">I488-H488</f>
        <v>#N/A</v>
      </c>
      <c r="M488" s="632" t="e">
        <f t="shared" ref="M488" si="244">J488-I488</f>
        <v>#N/A</v>
      </c>
      <c r="N488" s="631" t="e">
        <f>$G488*INDEX(tier_earn_mult, MATCH($D488, tier_earn_code,0), MATCH(State, R_earn, 0))</f>
        <v>#N/A</v>
      </c>
      <c r="O488" s="631" t="e">
        <f>$G488*INDEX(typeI_earn_mult, MATCH($D488, typeI_earn_code,0), MATCH(State, R_earn, 0))</f>
        <v>#N/A</v>
      </c>
      <c r="P488" s="631" t="e">
        <f>$G488*INDEX(typeII_earn_mult, MATCH($D488, typeII_earn_code,0), MATCH(State, R_earn, 0))</f>
        <v>#N/A</v>
      </c>
      <c r="Q488" s="633" t="e">
        <f t="shared" ref="Q488" si="245">N488</f>
        <v>#N/A</v>
      </c>
      <c r="R488" s="633" t="e">
        <f t="shared" ref="R488" si="246">O488-N488</f>
        <v>#N/A</v>
      </c>
      <c r="S488" s="633" t="e">
        <f t="shared" ref="S488" si="247">P488-O488</f>
        <v>#N/A</v>
      </c>
      <c r="T488" s="631" t="e">
        <f>$G488*INDEX(tier_out_mult, MATCH($D488, tier_out_code,0), MATCH(State, R_out, 0))</f>
        <v>#N/A</v>
      </c>
      <c r="U488" s="631" t="e">
        <f>$G488*INDEX(typeI_out_mult, MATCH($D488, typeI_out_code,0), MATCH(State, R_out, 0))</f>
        <v>#N/A</v>
      </c>
      <c r="V488" s="631" t="e">
        <f>$G488*INDEX(typeII_out_mult, MATCH($D488, typeII_out_code,0), MATCH(State, R_out, 0))</f>
        <v>#N/A</v>
      </c>
      <c r="W488" s="633" t="e">
        <f t="shared" ref="W488" si="248">T488</f>
        <v>#N/A</v>
      </c>
      <c r="X488" s="633" t="e">
        <f t="shared" ref="X488" si="249">U488-T488</f>
        <v>#N/A</v>
      </c>
      <c r="Y488" s="633" t="e">
        <f t="shared" ref="Y488" si="250">V488-U488</f>
        <v>#N/A</v>
      </c>
    </row>
    <row r="489" spans="2:25" s="641" customFormat="1" ht="15.75" hidden="1" x14ac:dyDescent="0.25">
      <c r="C489" s="723" t="s">
        <v>1703</v>
      </c>
      <c r="D489" s="641">
        <v>230000</v>
      </c>
      <c r="E489" s="641" t="s">
        <v>426</v>
      </c>
      <c r="F489" s="731">
        <f>J115</f>
        <v>0</v>
      </c>
      <c r="G489" s="630">
        <f>F489*$C$578</f>
        <v>0</v>
      </c>
      <c r="H489" s="631" t="e">
        <f>$G489*INDEX(tier_emp_mult, MATCH($D489, tier_emp_code,0), MATCH(State, R_emp, 0))/1000000</f>
        <v>#N/A</v>
      </c>
      <c r="I489" s="631" t="e">
        <f>$G489*INDEX(typeI_emp_mult, MATCH($D489, typeI_emp_code,0), MATCH(State, R_emp, 0))/1000000</f>
        <v>#N/A</v>
      </c>
      <c r="J489" s="631" t="e">
        <f>$G489*INDEX(typeII_emp_mult, MATCH($D489, typeII_emp_code,0), MATCH(State, R_emp, 0))/1000000</f>
        <v>#N/A</v>
      </c>
      <c r="K489" s="632" t="e">
        <f t="shared" ref="K489:K490" si="251">H489</f>
        <v>#N/A</v>
      </c>
      <c r="L489" s="632" t="e">
        <f t="shared" ref="L489:L490" si="252">I489-H489</f>
        <v>#N/A</v>
      </c>
      <c r="M489" s="632" t="e">
        <f t="shared" ref="M489:M490" si="253">J489-I489</f>
        <v>#N/A</v>
      </c>
      <c r="N489" s="631" t="e">
        <f>$G489*INDEX(tier_earn_mult, MATCH($D489, tier_earn_code,0), MATCH(State, R_earn, 0))</f>
        <v>#N/A</v>
      </c>
      <c r="O489" s="631" t="e">
        <f>$G489*INDEX(typeI_earn_mult, MATCH($D489, typeI_earn_code,0), MATCH(State, R_earn, 0))</f>
        <v>#N/A</v>
      </c>
      <c r="P489" s="631" t="e">
        <f>$G489*INDEX(typeII_earn_mult, MATCH($D489, typeII_earn_code,0), MATCH(State, R_earn, 0))</f>
        <v>#N/A</v>
      </c>
      <c r="Q489" s="633" t="e">
        <f t="shared" ref="Q489:Q490" si="254">N489</f>
        <v>#N/A</v>
      </c>
      <c r="R489" s="633" t="e">
        <f t="shared" ref="R489:R490" si="255">O489-N489</f>
        <v>#N/A</v>
      </c>
      <c r="S489" s="633" t="e">
        <f t="shared" ref="S489:S490" si="256">P489-O489</f>
        <v>#N/A</v>
      </c>
      <c r="T489" s="631" t="e">
        <f>$G489*INDEX(tier_out_mult, MATCH($D489, tier_out_code,0), MATCH(State, R_out, 0))</f>
        <v>#N/A</v>
      </c>
      <c r="U489" s="631" t="e">
        <f>$G489*INDEX(typeI_out_mult, MATCH($D489, typeI_out_code,0), MATCH(State, R_out, 0))</f>
        <v>#N/A</v>
      </c>
      <c r="V489" s="631" t="e">
        <f>$G489*INDEX(typeII_out_mult, MATCH($D489, typeII_out_code,0), MATCH(State, R_out, 0))</f>
        <v>#N/A</v>
      </c>
      <c r="W489" s="633" t="e">
        <f t="shared" ref="W489:W490" si="257">T489</f>
        <v>#N/A</v>
      </c>
      <c r="X489" s="633" t="e">
        <f t="shared" ref="X489:X490" si="258">U489-T489</f>
        <v>#N/A</v>
      </c>
      <c r="Y489" s="633" t="e">
        <f t="shared" ref="Y489:Y490" si="259">V489-U489</f>
        <v>#N/A</v>
      </c>
    </row>
    <row r="490" spans="2:25" s="641" customFormat="1" ht="15.75" hidden="1" x14ac:dyDescent="0.25">
      <c r="C490" s="723" t="s">
        <v>1703</v>
      </c>
      <c r="D490" s="641">
        <v>332420</v>
      </c>
      <c r="E490" s="641" t="s">
        <v>169</v>
      </c>
      <c r="F490" s="731">
        <f>J116</f>
        <v>0</v>
      </c>
      <c r="G490" s="630">
        <f>F490*$C$578</f>
        <v>0</v>
      </c>
      <c r="H490" s="631" t="e">
        <f>$G490*INDEX(tier_emp_mult, MATCH($D490, tier_emp_code,0), MATCH(State, R_emp, 0))/1000000</f>
        <v>#N/A</v>
      </c>
      <c r="I490" s="631" t="e">
        <f>$G490*INDEX(typeI_emp_mult, MATCH($D490, typeI_emp_code,0), MATCH(State, R_emp, 0))/1000000</f>
        <v>#N/A</v>
      </c>
      <c r="J490" s="631" t="e">
        <f>$G490*INDEX(typeII_emp_mult, MATCH($D490, typeII_emp_code,0), MATCH(State, R_emp, 0))/1000000</f>
        <v>#N/A</v>
      </c>
      <c r="K490" s="632" t="e">
        <f t="shared" si="251"/>
        <v>#N/A</v>
      </c>
      <c r="L490" s="632" t="e">
        <f t="shared" si="252"/>
        <v>#N/A</v>
      </c>
      <c r="M490" s="632" t="e">
        <f t="shared" si="253"/>
        <v>#N/A</v>
      </c>
      <c r="N490" s="631" t="e">
        <f>$G490*INDEX(tier_earn_mult, MATCH($D490, tier_earn_code,0), MATCH(State, R_earn, 0))</f>
        <v>#N/A</v>
      </c>
      <c r="O490" s="631" t="e">
        <f>$G490*INDEX(typeI_earn_mult, MATCH($D490, typeI_earn_code,0), MATCH(State, R_earn, 0))</f>
        <v>#N/A</v>
      </c>
      <c r="P490" s="631" t="e">
        <f>$G490*INDEX(typeII_earn_mult, MATCH($D490, typeII_earn_code,0), MATCH(State, R_earn, 0))</f>
        <v>#N/A</v>
      </c>
      <c r="Q490" s="633" t="e">
        <f t="shared" si="254"/>
        <v>#N/A</v>
      </c>
      <c r="R490" s="633" t="e">
        <f t="shared" si="255"/>
        <v>#N/A</v>
      </c>
      <c r="S490" s="633" t="e">
        <f t="shared" si="256"/>
        <v>#N/A</v>
      </c>
      <c r="T490" s="631" t="e">
        <f>$G490*INDEX(tier_out_mult, MATCH($D490, tier_out_code,0), MATCH(State, R_out, 0))</f>
        <v>#N/A</v>
      </c>
      <c r="U490" s="631" t="e">
        <f>$G490*INDEX(typeI_out_mult, MATCH($D490, typeI_out_code,0), MATCH(State, R_out, 0))</f>
        <v>#N/A</v>
      </c>
      <c r="V490" s="631" t="e">
        <f>$G490*INDEX(typeII_out_mult, MATCH($D490, typeII_out_code,0), MATCH(State, R_out, 0))</f>
        <v>#N/A</v>
      </c>
      <c r="W490" s="633" t="e">
        <f t="shared" si="257"/>
        <v>#N/A</v>
      </c>
      <c r="X490" s="633" t="e">
        <f t="shared" si="258"/>
        <v>#N/A</v>
      </c>
      <c r="Y490" s="633" t="e">
        <f t="shared" si="259"/>
        <v>#N/A</v>
      </c>
    </row>
    <row r="491" spans="2:25" s="641" customFormat="1" ht="15.75" hidden="1" x14ac:dyDescent="0.25"/>
    <row r="492" spans="2:25" s="641" customFormat="1" ht="15.75" hidden="1" x14ac:dyDescent="0.25">
      <c r="E492" s="641">
        <v>2015</v>
      </c>
      <c r="F492" s="732">
        <f t="shared" ref="F492:Y492" si="260">$F569*(($C$439*SUM(F$484:F$486))+($C$440*SUM(F$488:F$490)))</f>
        <v>0</v>
      </c>
      <c r="G492" s="732">
        <f t="shared" si="260"/>
        <v>0</v>
      </c>
      <c r="H492" s="672" t="e">
        <f t="shared" si="260"/>
        <v>#N/A</v>
      </c>
      <c r="I492" s="672" t="e">
        <f t="shared" si="260"/>
        <v>#N/A</v>
      </c>
      <c r="J492" s="672" t="e">
        <f t="shared" si="260"/>
        <v>#N/A</v>
      </c>
      <c r="K492" s="672" t="e">
        <f t="shared" si="260"/>
        <v>#N/A</v>
      </c>
      <c r="L492" s="672" t="e">
        <f t="shared" si="260"/>
        <v>#N/A</v>
      </c>
      <c r="M492" s="672" t="e">
        <f t="shared" si="260"/>
        <v>#N/A</v>
      </c>
      <c r="N492" s="732" t="e">
        <f t="shared" si="260"/>
        <v>#N/A</v>
      </c>
      <c r="O492" s="732" t="e">
        <f t="shared" si="260"/>
        <v>#N/A</v>
      </c>
      <c r="P492" s="732" t="e">
        <f t="shared" si="260"/>
        <v>#N/A</v>
      </c>
      <c r="Q492" s="732" t="e">
        <f t="shared" si="260"/>
        <v>#N/A</v>
      </c>
      <c r="R492" s="732" t="e">
        <f t="shared" si="260"/>
        <v>#N/A</v>
      </c>
      <c r="S492" s="732" t="e">
        <f t="shared" si="260"/>
        <v>#N/A</v>
      </c>
      <c r="T492" s="732" t="e">
        <f t="shared" si="260"/>
        <v>#N/A</v>
      </c>
      <c r="U492" s="732" t="e">
        <f t="shared" si="260"/>
        <v>#N/A</v>
      </c>
      <c r="V492" s="732" t="e">
        <f t="shared" si="260"/>
        <v>#N/A</v>
      </c>
      <c r="W492" s="732" t="e">
        <f t="shared" si="260"/>
        <v>#N/A</v>
      </c>
      <c r="X492" s="732" t="e">
        <f t="shared" si="260"/>
        <v>#N/A</v>
      </c>
      <c r="Y492" s="732" t="e">
        <f t="shared" si="260"/>
        <v>#N/A</v>
      </c>
    </row>
    <row r="493" spans="2:25" s="641" customFormat="1" ht="15.75" hidden="1" x14ac:dyDescent="0.25">
      <c r="E493" s="641">
        <v>2016</v>
      </c>
      <c r="F493" s="732">
        <f t="shared" ref="F493:Y493" si="261">$F570*(($C$439*SUM(F$484:F$486))+($C$440*SUM(F$488:F$490)))</f>
        <v>0</v>
      </c>
      <c r="G493" s="732">
        <f t="shared" si="261"/>
        <v>0</v>
      </c>
      <c r="H493" s="672" t="e">
        <f t="shared" si="261"/>
        <v>#N/A</v>
      </c>
      <c r="I493" s="672" t="e">
        <f t="shared" si="261"/>
        <v>#N/A</v>
      </c>
      <c r="J493" s="672" t="e">
        <f t="shared" si="261"/>
        <v>#N/A</v>
      </c>
      <c r="K493" s="672" t="e">
        <f t="shared" si="261"/>
        <v>#N/A</v>
      </c>
      <c r="L493" s="672" t="e">
        <f t="shared" si="261"/>
        <v>#N/A</v>
      </c>
      <c r="M493" s="672" t="e">
        <f t="shared" si="261"/>
        <v>#N/A</v>
      </c>
      <c r="N493" s="732" t="e">
        <f t="shared" si="261"/>
        <v>#N/A</v>
      </c>
      <c r="O493" s="732" t="e">
        <f t="shared" si="261"/>
        <v>#N/A</v>
      </c>
      <c r="P493" s="732" t="e">
        <f t="shared" si="261"/>
        <v>#N/A</v>
      </c>
      <c r="Q493" s="732" t="e">
        <f t="shared" si="261"/>
        <v>#N/A</v>
      </c>
      <c r="R493" s="732" t="e">
        <f t="shared" si="261"/>
        <v>#N/A</v>
      </c>
      <c r="S493" s="732" t="e">
        <f t="shared" si="261"/>
        <v>#N/A</v>
      </c>
      <c r="T493" s="732" t="e">
        <f t="shared" si="261"/>
        <v>#N/A</v>
      </c>
      <c r="U493" s="732" t="e">
        <f t="shared" si="261"/>
        <v>#N/A</v>
      </c>
      <c r="V493" s="732" t="e">
        <f t="shared" si="261"/>
        <v>#N/A</v>
      </c>
      <c r="W493" s="732" t="e">
        <f t="shared" si="261"/>
        <v>#N/A</v>
      </c>
      <c r="X493" s="732" t="e">
        <f t="shared" si="261"/>
        <v>#N/A</v>
      </c>
      <c r="Y493" s="732" t="e">
        <f t="shared" si="261"/>
        <v>#N/A</v>
      </c>
    </row>
    <row r="494" spans="2:25" s="641" customFormat="1" ht="15.75" hidden="1" x14ac:dyDescent="0.25">
      <c r="E494" s="641">
        <v>2017</v>
      </c>
      <c r="F494" s="732">
        <f t="shared" ref="F494:Y494" si="262">$F571*(($C$439*SUM(F$484:F$486))+($C$440*SUM(F$488:F$490)))</f>
        <v>0</v>
      </c>
      <c r="G494" s="732">
        <f t="shared" si="262"/>
        <v>0</v>
      </c>
      <c r="H494" s="672" t="e">
        <f t="shared" si="262"/>
        <v>#N/A</v>
      </c>
      <c r="I494" s="672" t="e">
        <f t="shared" si="262"/>
        <v>#N/A</v>
      </c>
      <c r="J494" s="672" t="e">
        <f t="shared" si="262"/>
        <v>#N/A</v>
      </c>
      <c r="K494" s="672" t="e">
        <f t="shared" si="262"/>
        <v>#N/A</v>
      </c>
      <c r="L494" s="672" t="e">
        <f t="shared" si="262"/>
        <v>#N/A</v>
      </c>
      <c r="M494" s="672" t="e">
        <f t="shared" si="262"/>
        <v>#N/A</v>
      </c>
      <c r="N494" s="732" t="e">
        <f t="shared" si="262"/>
        <v>#N/A</v>
      </c>
      <c r="O494" s="732" t="e">
        <f t="shared" si="262"/>
        <v>#N/A</v>
      </c>
      <c r="P494" s="732" t="e">
        <f t="shared" si="262"/>
        <v>#N/A</v>
      </c>
      <c r="Q494" s="732" t="e">
        <f t="shared" si="262"/>
        <v>#N/A</v>
      </c>
      <c r="R494" s="732" t="e">
        <f t="shared" si="262"/>
        <v>#N/A</v>
      </c>
      <c r="S494" s="732" t="e">
        <f t="shared" si="262"/>
        <v>#N/A</v>
      </c>
      <c r="T494" s="732" t="e">
        <f t="shared" si="262"/>
        <v>#N/A</v>
      </c>
      <c r="U494" s="732" t="e">
        <f t="shared" si="262"/>
        <v>#N/A</v>
      </c>
      <c r="V494" s="732" t="e">
        <f t="shared" si="262"/>
        <v>#N/A</v>
      </c>
      <c r="W494" s="732" t="e">
        <f t="shared" si="262"/>
        <v>#N/A</v>
      </c>
      <c r="X494" s="732" t="e">
        <f t="shared" si="262"/>
        <v>#N/A</v>
      </c>
      <c r="Y494" s="732" t="e">
        <f t="shared" si="262"/>
        <v>#N/A</v>
      </c>
    </row>
    <row r="495" spans="2:25" s="641" customFormat="1" ht="15.75" hidden="1" x14ac:dyDescent="0.25">
      <c r="E495" s="641">
        <v>2018</v>
      </c>
      <c r="F495" s="732">
        <f t="shared" ref="F495:Y495" si="263">$F572*(($C$439*SUM(F$484:F$486))+($C$440*SUM(F$488:F$490)))</f>
        <v>0</v>
      </c>
      <c r="G495" s="732">
        <f t="shared" si="263"/>
        <v>0</v>
      </c>
      <c r="H495" s="672" t="e">
        <f t="shared" si="263"/>
        <v>#N/A</v>
      </c>
      <c r="I495" s="672" t="e">
        <f t="shared" si="263"/>
        <v>#N/A</v>
      </c>
      <c r="J495" s="672" t="e">
        <f t="shared" si="263"/>
        <v>#N/A</v>
      </c>
      <c r="K495" s="672" t="e">
        <f t="shared" si="263"/>
        <v>#N/A</v>
      </c>
      <c r="L495" s="672" t="e">
        <f t="shared" si="263"/>
        <v>#N/A</v>
      </c>
      <c r="M495" s="672" t="e">
        <f t="shared" si="263"/>
        <v>#N/A</v>
      </c>
      <c r="N495" s="732" t="e">
        <f t="shared" si="263"/>
        <v>#N/A</v>
      </c>
      <c r="O495" s="732" t="e">
        <f t="shared" si="263"/>
        <v>#N/A</v>
      </c>
      <c r="P495" s="732" t="e">
        <f t="shared" si="263"/>
        <v>#N/A</v>
      </c>
      <c r="Q495" s="732" t="e">
        <f t="shared" si="263"/>
        <v>#N/A</v>
      </c>
      <c r="R495" s="732" t="e">
        <f t="shared" si="263"/>
        <v>#N/A</v>
      </c>
      <c r="S495" s="732" t="e">
        <f t="shared" si="263"/>
        <v>#N/A</v>
      </c>
      <c r="T495" s="732" t="e">
        <f t="shared" si="263"/>
        <v>#N/A</v>
      </c>
      <c r="U495" s="732" t="e">
        <f t="shared" si="263"/>
        <v>#N/A</v>
      </c>
      <c r="V495" s="732" t="e">
        <f t="shared" si="263"/>
        <v>#N/A</v>
      </c>
      <c r="W495" s="732" t="e">
        <f t="shared" si="263"/>
        <v>#N/A</v>
      </c>
      <c r="X495" s="732" t="e">
        <f t="shared" si="263"/>
        <v>#N/A</v>
      </c>
      <c r="Y495" s="732" t="e">
        <f t="shared" si="263"/>
        <v>#N/A</v>
      </c>
    </row>
    <row r="496" spans="2:25" s="641" customFormat="1" ht="15.75" hidden="1" x14ac:dyDescent="0.25">
      <c r="E496" s="641">
        <v>2019</v>
      </c>
      <c r="F496" s="732">
        <f t="shared" ref="F496:Y496" si="264">$F573*(($C$439*SUM(F$484:F$486))+($C$440*SUM(F$488:F$490)))</f>
        <v>0</v>
      </c>
      <c r="G496" s="732">
        <f t="shared" si="264"/>
        <v>0</v>
      </c>
      <c r="H496" s="672" t="e">
        <f t="shared" si="264"/>
        <v>#N/A</v>
      </c>
      <c r="I496" s="672" t="e">
        <f t="shared" si="264"/>
        <v>#N/A</v>
      </c>
      <c r="J496" s="672" t="e">
        <f t="shared" si="264"/>
        <v>#N/A</v>
      </c>
      <c r="K496" s="672" t="e">
        <f t="shared" si="264"/>
        <v>#N/A</v>
      </c>
      <c r="L496" s="672" t="e">
        <f t="shared" si="264"/>
        <v>#N/A</v>
      </c>
      <c r="M496" s="672" t="e">
        <f t="shared" si="264"/>
        <v>#N/A</v>
      </c>
      <c r="N496" s="732" t="e">
        <f t="shared" si="264"/>
        <v>#N/A</v>
      </c>
      <c r="O496" s="732" t="e">
        <f t="shared" si="264"/>
        <v>#N/A</v>
      </c>
      <c r="P496" s="732" t="e">
        <f t="shared" si="264"/>
        <v>#N/A</v>
      </c>
      <c r="Q496" s="732" t="e">
        <f t="shared" si="264"/>
        <v>#N/A</v>
      </c>
      <c r="R496" s="732" t="e">
        <f t="shared" si="264"/>
        <v>#N/A</v>
      </c>
      <c r="S496" s="732" t="e">
        <f t="shared" si="264"/>
        <v>#N/A</v>
      </c>
      <c r="T496" s="732" t="e">
        <f t="shared" si="264"/>
        <v>#N/A</v>
      </c>
      <c r="U496" s="732" t="e">
        <f t="shared" si="264"/>
        <v>#N/A</v>
      </c>
      <c r="V496" s="732" t="e">
        <f t="shared" si="264"/>
        <v>#N/A</v>
      </c>
      <c r="W496" s="732" t="e">
        <f t="shared" si="264"/>
        <v>#N/A</v>
      </c>
      <c r="X496" s="732" t="e">
        <f t="shared" si="264"/>
        <v>#N/A</v>
      </c>
      <c r="Y496" s="732" t="e">
        <f t="shared" si="264"/>
        <v>#N/A</v>
      </c>
    </row>
    <row r="497" spans="2:25" s="641" customFormat="1" ht="15.75" hidden="1" x14ac:dyDescent="0.25">
      <c r="E497" s="641">
        <v>2020</v>
      </c>
      <c r="F497" s="732">
        <f t="shared" ref="F497:Y497" si="265">$F574*(($C$439*SUM(F$484:F$486))+($C$440*SUM(F$488:F$490)))</f>
        <v>0</v>
      </c>
      <c r="G497" s="732">
        <f t="shared" si="265"/>
        <v>0</v>
      </c>
      <c r="H497" s="672" t="e">
        <f t="shared" si="265"/>
        <v>#N/A</v>
      </c>
      <c r="I497" s="672" t="e">
        <f t="shared" si="265"/>
        <v>#N/A</v>
      </c>
      <c r="J497" s="672" t="e">
        <f t="shared" si="265"/>
        <v>#N/A</v>
      </c>
      <c r="K497" s="672" t="e">
        <f t="shared" si="265"/>
        <v>#N/A</v>
      </c>
      <c r="L497" s="672" t="e">
        <f t="shared" si="265"/>
        <v>#N/A</v>
      </c>
      <c r="M497" s="672" t="e">
        <f t="shared" si="265"/>
        <v>#N/A</v>
      </c>
      <c r="N497" s="732" t="e">
        <f t="shared" si="265"/>
        <v>#N/A</v>
      </c>
      <c r="O497" s="732" t="e">
        <f t="shared" si="265"/>
        <v>#N/A</v>
      </c>
      <c r="P497" s="732" t="e">
        <f t="shared" si="265"/>
        <v>#N/A</v>
      </c>
      <c r="Q497" s="732" t="e">
        <f t="shared" si="265"/>
        <v>#N/A</v>
      </c>
      <c r="R497" s="732" t="e">
        <f t="shared" si="265"/>
        <v>#N/A</v>
      </c>
      <c r="S497" s="732" t="e">
        <f t="shared" si="265"/>
        <v>#N/A</v>
      </c>
      <c r="T497" s="732" t="e">
        <f t="shared" si="265"/>
        <v>#N/A</v>
      </c>
      <c r="U497" s="732" t="e">
        <f t="shared" si="265"/>
        <v>#N/A</v>
      </c>
      <c r="V497" s="732" t="e">
        <f t="shared" si="265"/>
        <v>#N/A</v>
      </c>
      <c r="W497" s="732" t="e">
        <f t="shared" si="265"/>
        <v>#N/A</v>
      </c>
      <c r="X497" s="732" t="e">
        <f t="shared" si="265"/>
        <v>#N/A</v>
      </c>
      <c r="Y497" s="732" t="e">
        <f t="shared" si="265"/>
        <v>#N/A</v>
      </c>
    </row>
    <row r="498" spans="2:25" s="640" customFormat="1" ht="15.75" hidden="1" x14ac:dyDescent="0.25"/>
    <row r="499" spans="2:25" s="636" customFormat="1" ht="15.75" hidden="1" x14ac:dyDescent="0.25">
      <c r="B499" s="691" t="s">
        <v>1570</v>
      </c>
      <c r="D499" s="625" t="s">
        <v>1722</v>
      </c>
      <c r="E499" s="618"/>
      <c r="F499" s="618"/>
      <c r="G499" s="618"/>
      <c r="H499" s="619"/>
      <c r="I499" s="619"/>
      <c r="J499" s="619"/>
      <c r="K499" s="619"/>
      <c r="L499" s="619"/>
      <c r="M499" s="619"/>
      <c r="N499" s="619"/>
      <c r="O499" s="619"/>
      <c r="P499" s="619"/>
      <c r="Q499" s="619"/>
      <c r="R499" s="619"/>
      <c r="S499" s="619"/>
      <c r="T499" s="619"/>
      <c r="U499" s="619"/>
      <c r="V499" s="619"/>
      <c r="W499" s="619"/>
      <c r="X499" s="619"/>
      <c r="Y499" s="619"/>
    </row>
    <row r="500" spans="2:25" s="636" customFormat="1" ht="15.75" hidden="1" x14ac:dyDescent="0.25">
      <c r="D500" s="618" t="s">
        <v>412</v>
      </c>
      <c r="E500" s="618" t="s">
        <v>10</v>
      </c>
      <c r="F500" s="618" t="s">
        <v>428</v>
      </c>
      <c r="G500" s="618" t="str">
        <f>G$184</f>
        <v>Cost in 2008 dollars</v>
      </c>
      <c r="H500" s="620" t="s">
        <v>583</v>
      </c>
      <c r="I500" s="620" t="s">
        <v>584</v>
      </c>
      <c r="J500" s="620" t="s">
        <v>585</v>
      </c>
      <c r="K500" s="620" t="s">
        <v>586</v>
      </c>
      <c r="L500" s="620" t="s">
        <v>413</v>
      </c>
      <c r="M500" s="620" t="s">
        <v>414</v>
      </c>
      <c r="N500" s="620" t="s">
        <v>592</v>
      </c>
      <c r="O500" s="620" t="s">
        <v>587</v>
      </c>
      <c r="P500" s="620" t="s">
        <v>588</v>
      </c>
      <c r="Q500" s="620" t="s">
        <v>589</v>
      </c>
      <c r="R500" s="620" t="s">
        <v>590</v>
      </c>
      <c r="S500" s="620" t="s">
        <v>591</v>
      </c>
      <c r="T500" s="620" t="s">
        <v>593</v>
      </c>
      <c r="U500" s="620" t="s">
        <v>594</v>
      </c>
      <c r="V500" s="620" t="s">
        <v>595</v>
      </c>
      <c r="W500" s="620" t="s">
        <v>596</v>
      </c>
      <c r="X500" s="620" t="s">
        <v>597</v>
      </c>
      <c r="Y500" s="620" t="s">
        <v>598</v>
      </c>
    </row>
    <row r="501" spans="2:25" s="636" customFormat="1" ht="15.75" hidden="1" x14ac:dyDescent="0.25">
      <c r="C501" s="723" t="s">
        <v>1702</v>
      </c>
      <c r="D501" s="619" t="s">
        <v>602</v>
      </c>
      <c r="E501" s="619" t="s">
        <v>23</v>
      </c>
      <c r="F501" s="637">
        <f>J106</f>
        <v>0</v>
      </c>
      <c r="G501" s="621">
        <f>F501*$C$578</f>
        <v>0</v>
      </c>
      <c r="H501" s="622" t="e">
        <f>$G501*INDEX(tier_emp_mult, MATCH($D501, tier_emp_code,0), MATCH(State, R_emp, 0))/1000000</f>
        <v>#N/A</v>
      </c>
      <c r="I501" s="622" t="e">
        <f>$G501*INDEX(typeI_emp_mult, MATCH($D501, typeI_emp_code,0), MATCH(State, R_emp, 0))/1000000</f>
        <v>#N/A</v>
      </c>
      <c r="J501" s="622" t="e">
        <f>$G501*INDEX(typeII_emp_mult, MATCH($D501, typeII_emp_code,0), MATCH(State, R_emp, 0))/1000000</f>
        <v>#N/A</v>
      </c>
      <c r="K501" s="623" t="e">
        <f>H501</f>
        <v>#N/A</v>
      </c>
      <c r="L501" s="623" t="e">
        <f>I501-H501</f>
        <v>#N/A</v>
      </c>
      <c r="M501" s="623" t="e">
        <f>J501-I501</f>
        <v>#N/A</v>
      </c>
      <c r="N501" s="622" t="e">
        <f>$G501*INDEX(tier_earn_mult, MATCH($D501, tier_earn_code,0), MATCH(State, R_earn, 0))</f>
        <v>#N/A</v>
      </c>
      <c r="O501" s="622" t="e">
        <f>$G501*INDEX(typeI_earn_mult, MATCH($D501, typeI_earn_code,0), MATCH(State, R_earn, 0))</f>
        <v>#N/A</v>
      </c>
      <c r="P501" s="622" t="e">
        <f>$G501*INDEX(typeII_earn_mult, MATCH($D501, typeII_earn_code,0), MATCH(State, R_earn, 0))</f>
        <v>#N/A</v>
      </c>
      <c r="Q501" s="624" t="e">
        <f>N501</f>
        <v>#N/A</v>
      </c>
      <c r="R501" s="624" t="e">
        <f>O501-N501</f>
        <v>#N/A</v>
      </c>
      <c r="S501" s="624" t="e">
        <f>P501-O501</f>
        <v>#N/A</v>
      </c>
      <c r="T501" s="622" t="e">
        <f>$G501*INDEX(tier_out_mult, MATCH($D501, tier_out_code,0), MATCH(State, R_out, 0))</f>
        <v>#N/A</v>
      </c>
      <c r="U501" s="622" t="e">
        <f>$G501*INDEX(typeI_out_mult, MATCH($D501, typeI_out_code,0), MATCH(State, R_out, 0))</f>
        <v>#N/A</v>
      </c>
      <c r="V501" s="622" t="e">
        <f>$G501*INDEX(typeII_out_mult, MATCH($D501, typeII_out_code,0), MATCH(State, R_out, 0))</f>
        <v>#N/A</v>
      </c>
      <c r="W501" s="624" t="e">
        <f>T501</f>
        <v>#N/A</v>
      </c>
      <c r="X501" s="624" t="e">
        <f>U501-T501</f>
        <v>#N/A</v>
      </c>
      <c r="Y501" s="624" t="e">
        <f>V501-U501</f>
        <v>#N/A</v>
      </c>
    </row>
    <row r="502" spans="2:25" s="636" customFormat="1" ht="15.75" hidden="1" x14ac:dyDescent="0.25"/>
    <row r="503" spans="2:25" s="636" customFormat="1" ht="15.75" hidden="1" x14ac:dyDescent="0.25">
      <c r="C503" s="723" t="s">
        <v>1811</v>
      </c>
      <c r="D503" s="636">
        <v>325120</v>
      </c>
      <c r="E503" s="636" t="s">
        <v>97</v>
      </c>
      <c r="F503" s="733">
        <f>IF(OR($E$6&lt;&gt;RIMS_lists!$C$1,$E$7&lt;&gt;Lists!$C$4),0,$J$118/$J$119*J122)</f>
        <v>0</v>
      </c>
      <c r="G503" s="621">
        <f>F503*$C$578</f>
        <v>0</v>
      </c>
      <c r="H503" s="622" t="e">
        <f>$G503*INDEX(tier_emp_mult, MATCH($D503, tier_emp_code,0), MATCH(State, R_emp, 0))/1000000</f>
        <v>#N/A</v>
      </c>
      <c r="I503" s="622" t="e">
        <f>$G503*INDEX(typeI_emp_mult, MATCH($D503, typeI_emp_code,0), MATCH(State, R_emp, 0))/1000000</f>
        <v>#N/A</v>
      </c>
      <c r="J503" s="622" t="e">
        <f>$G503*INDEX(typeII_emp_mult, MATCH($D503, typeII_emp_code,0), MATCH(State, R_emp, 0))/1000000</f>
        <v>#N/A</v>
      </c>
      <c r="K503" s="623" t="e">
        <f>H503</f>
        <v>#N/A</v>
      </c>
      <c r="L503" s="623" t="e">
        <f>I503-H503</f>
        <v>#N/A</v>
      </c>
      <c r="M503" s="623" t="e">
        <f>J503-I503</f>
        <v>#N/A</v>
      </c>
      <c r="N503" s="622" t="e">
        <f>$G503*INDEX(tier_earn_mult, MATCH($D503, tier_earn_code,0), MATCH(State, R_earn, 0))</f>
        <v>#N/A</v>
      </c>
      <c r="O503" s="622" t="e">
        <f>$G503*INDEX(typeI_earn_mult, MATCH($D503, typeI_earn_code,0), MATCH(State, R_earn, 0))</f>
        <v>#N/A</v>
      </c>
      <c r="P503" s="622" t="e">
        <f>$G503*INDEX(typeII_earn_mult, MATCH($D503, typeII_earn_code,0), MATCH(State, R_earn, 0))</f>
        <v>#N/A</v>
      </c>
      <c r="Q503" s="624" t="e">
        <f>N503</f>
        <v>#N/A</v>
      </c>
      <c r="R503" s="624" t="e">
        <f>O503-N503</f>
        <v>#N/A</v>
      </c>
      <c r="S503" s="624" t="e">
        <f>P503-O503</f>
        <v>#N/A</v>
      </c>
      <c r="T503" s="622" t="e">
        <f>$G503*INDEX(tier_out_mult, MATCH($D503, tier_out_code,0), MATCH(State, R_out, 0))</f>
        <v>#N/A</v>
      </c>
      <c r="U503" s="622" t="e">
        <f>$G503*INDEX(typeI_out_mult, MATCH($D503, typeI_out_code,0), MATCH(State, R_out, 0))</f>
        <v>#N/A</v>
      </c>
      <c r="V503" s="622" t="e">
        <f>$G503*INDEX(typeII_out_mult, MATCH($D503, typeII_out_code,0), MATCH(State, R_out, 0))</f>
        <v>#N/A</v>
      </c>
      <c r="W503" s="624" t="e">
        <f>T503</f>
        <v>#N/A</v>
      </c>
      <c r="X503" s="624" t="e">
        <f>U503-T503</f>
        <v>#N/A</v>
      </c>
      <c r="Y503" s="624" t="e">
        <f>V503-U503</f>
        <v>#N/A</v>
      </c>
    </row>
    <row r="504" spans="2:25" s="636" customFormat="1" ht="15.75" hidden="1" x14ac:dyDescent="0.25">
      <c r="C504" s="723" t="s">
        <v>1811</v>
      </c>
      <c r="D504" s="636">
        <v>484000</v>
      </c>
      <c r="E504" s="636" t="s">
        <v>616</v>
      </c>
      <c r="F504" s="733">
        <f>J122-F503</f>
        <v>0</v>
      </c>
      <c r="G504" s="621">
        <f>F504*$C$578</f>
        <v>0</v>
      </c>
      <c r="H504" s="622" t="e">
        <f>$G504*INDEX(tier_emp_mult, MATCH($D504, tier_emp_code,0), MATCH(State, R_emp, 0))/1000000</f>
        <v>#N/A</v>
      </c>
      <c r="I504" s="622" t="e">
        <f>$G504*INDEX(typeI_emp_mult, MATCH($D504, typeI_emp_code,0), MATCH(State, R_emp, 0))/1000000</f>
        <v>#N/A</v>
      </c>
      <c r="J504" s="622" t="e">
        <f>$G504*INDEX(typeII_emp_mult, MATCH($D504, typeII_emp_code,0), MATCH(State, R_emp, 0))/1000000</f>
        <v>#N/A</v>
      </c>
      <c r="K504" s="623" t="e">
        <f t="shared" ref="K504:K506" si="266">H504</f>
        <v>#N/A</v>
      </c>
      <c r="L504" s="623" t="e">
        <f t="shared" ref="L504:L506" si="267">I504-H504</f>
        <v>#N/A</v>
      </c>
      <c r="M504" s="623" t="e">
        <f t="shared" ref="M504:M506" si="268">J504-I504</f>
        <v>#N/A</v>
      </c>
      <c r="N504" s="622" t="e">
        <f>$G504*INDEX(tier_earn_mult, MATCH($D504, tier_earn_code,0), MATCH(State, R_earn, 0))</f>
        <v>#N/A</v>
      </c>
      <c r="O504" s="622" t="e">
        <f>$G504*INDEX(typeI_earn_mult, MATCH($D504, typeI_earn_code,0), MATCH(State, R_earn, 0))</f>
        <v>#N/A</v>
      </c>
      <c r="P504" s="622" t="e">
        <f>$G504*INDEX(typeII_earn_mult, MATCH($D504, typeII_earn_code,0), MATCH(State, R_earn, 0))</f>
        <v>#N/A</v>
      </c>
      <c r="Q504" s="624" t="e">
        <f t="shared" ref="Q504:Q506" si="269">N504</f>
        <v>#N/A</v>
      </c>
      <c r="R504" s="624" t="e">
        <f t="shared" ref="R504:R506" si="270">O504-N504</f>
        <v>#N/A</v>
      </c>
      <c r="S504" s="624" t="e">
        <f t="shared" ref="S504:S506" si="271">P504-O504</f>
        <v>#N/A</v>
      </c>
      <c r="T504" s="622" t="e">
        <f>$G504*INDEX(tier_out_mult, MATCH($D504, tier_out_code,0), MATCH(State, R_out, 0))</f>
        <v>#N/A</v>
      </c>
      <c r="U504" s="622" t="e">
        <f>$G504*INDEX(typeI_out_mult, MATCH($D504, typeI_out_code,0), MATCH(State, R_out, 0))</f>
        <v>#N/A</v>
      </c>
      <c r="V504" s="622" t="e">
        <f>$G504*INDEX(typeII_out_mult, MATCH($D504, typeII_out_code,0), MATCH(State, R_out, 0))</f>
        <v>#N/A</v>
      </c>
      <c r="W504" s="624" t="e">
        <f t="shared" ref="W504:W506" si="272">T504</f>
        <v>#N/A</v>
      </c>
      <c r="X504" s="624" t="e">
        <f t="shared" ref="X504:X506" si="273">U504-T504</f>
        <v>#N/A</v>
      </c>
      <c r="Y504" s="624" t="e">
        <f t="shared" ref="Y504:Y506" si="274">V504-U504</f>
        <v>#N/A</v>
      </c>
    </row>
    <row r="505" spans="2:25" s="636" customFormat="1" ht="15.75" hidden="1" x14ac:dyDescent="0.25">
      <c r="C505" s="723" t="s">
        <v>1812</v>
      </c>
      <c r="D505" s="636">
        <v>325120</v>
      </c>
      <c r="E505" s="636" t="s">
        <v>97</v>
      </c>
      <c r="F505" s="733">
        <f>IF(OR($E$6&lt;&gt;RIMS_lists!$C$1,$E$7&lt;&gt;Lists!$C$4),0,$J$118/$J$119*J123)</f>
        <v>0</v>
      </c>
      <c r="G505" s="621">
        <f>F505*$C$578</f>
        <v>0</v>
      </c>
      <c r="H505" s="622" t="e">
        <f>$G505*INDEX(tier_emp_mult, MATCH($D505, tier_emp_code,0), MATCH(State, R_emp, 0))/1000000</f>
        <v>#N/A</v>
      </c>
      <c r="I505" s="622" t="e">
        <f>$G505*INDEX(typeI_emp_mult, MATCH($D505, typeI_emp_code,0), MATCH(State, R_emp, 0))/1000000</f>
        <v>#N/A</v>
      </c>
      <c r="J505" s="622" t="e">
        <f>$G505*INDEX(typeII_emp_mult, MATCH($D505, typeII_emp_code,0), MATCH(State, R_emp, 0))/1000000</f>
        <v>#N/A</v>
      </c>
      <c r="K505" s="623" t="e">
        <f t="shared" si="266"/>
        <v>#N/A</v>
      </c>
      <c r="L505" s="623" t="e">
        <f t="shared" si="267"/>
        <v>#N/A</v>
      </c>
      <c r="M505" s="623" t="e">
        <f t="shared" si="268"/>
        <v>#N/A</v>
      </c>
      <c r="N505" s="622" t="e">
        <f>$G505*INDEX(tier_earn_mult, MATCH($D505, tier_earn_code,0), MATCH(State, R_earn, 0))</f>
        <v>#N/A</v>
      </c>
      <c r="O505" s="622" t="e">
        <f>$G505*INDEX(typeI_earn_mult, MATCH($D505, typeI_earn_code,0), MATCH(State, R_earn, 0))</f>
        <v>#N/A</v>
      </c>
      <c r="P505" s="622" t="e">
        <f>$G505*INDEX(typeII_earn_mult, MATCH($D505, typeII_earn_code,0), MATCH(State, R_earn, 0))</f>
        <v>#N/A</v>
      </c>
      <c r="Q505" s="624" t="e">
        <f t="shared" si="269"/>
        <v>#N/A</v>
      </c>
      <c r="R505" s="624" t="e">
        <f t="shared" si="270"/>
        <v>#N/A</v>
      </c>
      <c r="S505" s="624" t="e">
        <f t="shared" si="271"/>
        <v>#N/A</v>
      </c>
      <c r="T505" s="622" t="e">
        <f>$G505*INDEX(tier_out_mult, MATCH($D505, tier_out_code,0), MATCH(State, R_out, 0))</f>
        <v>#N/A</v>
      </c>
      <c r="U505" s="622" t="e">
        <f>$G505*INDEX(typeI_out_mult, MATCH($D505, typeI_out_code,0), MATCH(State, R_out, 0))</f>
        <v>#N/A</v>
      </c>
      <c r="V505" s="622" t="e">
        <f>$G505*INDEX(typeII_out_mult, MATCH($D505, typeII_out_code,0), MATCH(State, R_out, 0))</f>
        <v>#N/A</v>
      </c>
      <c r="W505" s="624" t="e">
        <f t="shared" si="272"/>
        <v>#N/A</v>
      </c>
      <c r="X505" s="624" t="e">
        <f t="shared" si="273"/>
        <v>#N/A</v>
      </c>
      <c r="Y505" s="624" t="e">
        <f t="shared" si="274"/>
        <v>#N/A</v>
      </c>
    </row>
    <row r="506" spans="2:25" s="636" customFormat="1" ht="15.75" hidden="1" x14ac:dyDescent="0.25">
      <c r="C506" s="723" t="s">
        <v>1812</v>
      </c>
      <c r="D506" s="636">
        <v>484000</v>
      </c>
      <c r="E506" s="636" t="s">
        <v>616</v>
      </c>
      <c r="F506" s="733">
        <f>J123-F505</f>
        <v>0</v>
      </c>
      <c r="G506" s="621">
        <f>F506*$C$578</f>
        <v>0</v>
      </c>
      <c r="H506" s="622" t="e">
        <f>$G506*INDEX(tier_emp_mult, MATCH($D506, tier_emp_code,0), MATCH(State, R_emp, 0))/1000000</f>
        <v>#N/A</v>
      </c>
      <c r="I506" s="622" t="e">
        <f>$G506*INDEX(typeI_emp_mult, MATCH($D506, typeI_emp_code,0), MATCH(State, R_emp, 0))/1000000</f>
        <v>#N/A</v>
      </c>
      <c r="J506" s="622" t="e">
        <f>$G506*INDEX(typeII_emp_mult, MATCH($D506, typeII_emp_code,0), MATCH(State, R_emp, 0))/1000000</f>
        <v>#N/A</v>
      </c>
      <c r="K506" s="623" t="e">
        <f t="shared" si="266"/>
        <v>#N/A</v>
      </c>
      <c r="L506" s="623" t="e">
        <f t="shared" si="267"/>
        <v>#N/A</v>
      </c>
      <c r="M506" s="623" t="e">
        <f t="shared" si="268"/>
        <v>#N/A</v>
      </c>
      <c r="N506" s="622" t="e">
        <f>$G506*INDEX(tier_earn_mult, MATCH($D506, tier_earn_code,0), MATCH(State, R_earn, 0))</f>
        <v>#N/A</v>
      </c>
      <c r="O506" s="622" t="e">
        <f>$G506*INDEX(typeI_earn_mult, MATCH($D506, typeI_earn_code,0), MATCH(State, R_earn, 0))</f>
        <v>#N/A</v>
      </c>
      <c r="P506" s="622" t="e">
        <f>$G506*INDEX(typeII_earn_mult, MATCH($D506, typeII_earn_code,0), MATCH(State, R_earn, 0))</f>
        <v>#N/A</v>
      </c>
      <c r="Q506" s="624" t="e">
        <f t="shared" si="269"/>
        <v>#N/A</v>
      </c>
      <c r="R506" s="624" t="e">
        <f t="shared" si="270"/>
        <v>#N/A</v>
      </c>
      <c r="S506" s="624" t="e">
        <f t="shared" si="271"/>
        <v>#N/A</v>
      </c>
      <c r="T506" s="622" t="e">
        <f>$G506*INDEX(tier_out_mult, MATCH($D506, tier_out_code,0), MATCH(State, R_out, 0))</f>
        <v>#N/A</v>
      </c>
      <c r="U506" s="622" t="e">
        <f>$G506*INDEX(typeI_out_mult, MATCH($D506, typeI_out_code,0), MATCH(State, R_out, 0))</f>
        <v>#N/A</v>
      </c>
      <c r="V506" s="622" t="e">
        <f>$G506*INDEX(typeII_out_mult, MATCH($D506, typeII_out_code,0), MATCH(State, R_out, 0))</f>
        <v>#N/A</v>
      </c>
      <c r="W506" s="624" t="e">
        <f t="shared" si="272"/>
        <v>#N/A</v>
      </c>
      <c r="X506" s="624" t="e">
        <f t="shared" si="273"/>
        <v>#N/A</v>
      </c>
      <c r="Y506" s="624" t="e">
        <f t="shared" si="274"/>
        <v>#N/A</v>
      </c>
    </row>
    <row r="507" spans="2:25" s="636" customFormat="1" ht="15.75" hidden="1" x14ac:dyDescent="0.25"/>
    <row r="508" spans="2:25" s="636" customFormat="1" ht="15.75" hidden="1" x14ac:dyDescent="0.25">
      <c r="E508" s="636">
        <v>2015</v>
      </c>
      <c r="F508" s="637">
        <f t="shared" ref="F508:Y508" si="275">($F569*($C$440*(F$503+F$504)))+($H569*($C$439*(F$501)+$C$440*(F$505+F$506)))</f>
        <v>0</v>
      </c>
      <c r="G508" s="637">
        <f t="shared" si="275"/>
        <v>0</v>
      </c>
      <c r="H508" s="639" t="e">
        <f t="shared" si="275"/>
        <v>#N/A</v>
      </c>
      <c r="I508" s="639" t="e">
        <f t="shared" si="275"/>
        <v>#N/A</v>
      </c>
      <c r="J508" s="639" t="e">
        <f t="shared" si="275"/>
        <v>#N/A</v>
      </c>
      <c r="K508" s="639" t="e">
        <f t="shared" si="275"/>
        <v>#N/A</v>
      </c>
      <c r="L508" s="639" t="e">
        <f t="shared" si="275"/>
        <v>#N/A</v>
      </c>
      <c r="M508" s="639" t="e">
        <f t="shared" si="275"/>
        <v>#N/A</v>
      </c>
      <c r="N508" s="637" t="e">
        <f t="shared" si="275"/>
        <v>#N/A</v>
      </c>
      <c r="O508" s="637" t="e">
        <f t="shared" si="275"/>
        <v>#N/A</v>
      </c>
      <c r="P508" s="637" t="e">
        <f t="shared" si="275"/>
        <v>#N/A</v>
      </c>
      <c r="Q508" s="637" t="e">
        <f t="shared" si="275"/>
        <v>#N/A</v>
      </c>
      <c r="R508" s="637" t="e">
        <f t="shared" si="275"/>
        <v>#N/A</v>
      </c>
      <c r="S508" s="637" t="e">
        <f t="shared" si="275"/>
        <v>#N/A</v>
      </c>
      <c r="T508" s="637" t="e">
        <f t="shared" si="275"/>
        <v>#N/A</v>
      </c>
      <c r="U508" s="637" t="e">
        <f t="shared" si="275"/>
        <v>#N/A</v>
      </c>
      <c r="V508" s="637" t="e">
        <f t="shared" si="275"/>
        <v>#N/A</v>
      </c>
      <c r="W508" s="637" t="e">
        <f t="shared" si="275"/>
        <v>#N/A</v>
      </c>
      <c r="X508" s="637" t="e">
        <f t="shared" si="275"/>
        <v>#N/A</v>
      </c>
      <c r="Y508" s="637" t="e">
        <f t="shared" si="275"/>
        <v>#N/A</v>
      </c>
    </row>
    <row r="509" spans="2:25" s="636" customFormat="1" ht="15.75" hidden="1" x14ac:dyDescent="0.25">
      <c r="E509" s="636">
        <v>2016</v>
      </c>
      <c r="F509" s="637">
        <f t="shared" ref="F509:Y509" si="276">($F570*($C$440*(F$503+F$504)))+($H570*($C$439*(F$501)+$C$440*(F$505+F$506)))</f>
        <v>0</v>
      </c>
      <c r="G509" s="637">
        <f t="shared" si="276"/>
        <v>0</v>
      </c>
      <c r="H509" s="639" t="e">
        <f t="shared" si="276"/>
        <v>#N/A</v>
      </c>
      <c r="I509" s="639" t="e">
        <f t="shared" si="276"/>
        <v>#N/A</v>
      </c>
      <c r="J509" s="639" t="e">
        <f t="shared" si="276"/>
        <v>#N/A</v>
      </c>
      <c r="K509" s="639" t="e">
        <f t="shared" si="276"/>
        <v>#N/A</v>
      </c>
      <c r="L509" s="639" t="e">
        <f t="shared" si="276"/>
        <v>#N/A</v>
      </c>
      <c r="M509" s="639" t="e">
        <f t="shared" si="276"/>
        <v>#N/A</v>
      </c>
      <c r="N509" s="637" t="e">
        <f t="shared" si="276"/>
        <v>#N/A</v>
      </c>
      <c r="O509" s="637" t="e">
        <f t="shared" si="276"/>
        <v>#N/A</v>
      </c>
      <c r="P509" s="637" t="e">
        <f t="shared" si="276"/>
        <v>#N/A</v>
      </c>
      <c r="Q509" s="637" t="e">
        <f t="shared" si="276"/>
        <v>#N/A</v>
      </c>
      <c r="R509" s="637" t="e">
        <f t="shared" si="276"/>
        <v>#N/A</v>
      </c>
      <c r="S509" s="637" t="e">
        <f t="shared" si="276"/>
        <v>#N/A</v>
      </c>
      <c r="T509" s="637" t="e">
        <f t="shared" si="276"/>
        <v>#N/A</v>
      </c>
      <c r="U509" s="637" t="e">
        <f t="shared" si="276"/>
        <v>#N/A</v>
      </c>
      <c r="V509" s="637" t="e">
        <f t="shared" si="276"/>
        <v>#N/A</v>
      </c>
      <c r="W509" s="637" t="e">
        <f t="shared" si="276"/>
        <v>#N/A</v>
      </c>
      <c r="X509" s="637" t="e">
        <f t="shared" si="276"/>
        <v>#N/A</v>
      </c>
      <c r="Y509" s="637" t="e">
        <f t="shared" si="276"/>
        <v>#N/A</v>
      </c>
    </row>
    <row r="510" spans="2:25" s="636" customFormat="1" ht="15.75" hidden="1" x14ac:dyDescent="0.25">
      <c r="E510" s="636">
        <v>2017</v>
      </c>
      <c r="F510" s="637">
        <f t="shared" ref="F510:Y510" si="277">($F571*($C$440*(F$503+F$504)))+($H571*($C$439*(F$501)+$C$440*(F$505+F$506)))</f>
        <v>0</v>
      </c>
      <c r="G510" s="637">
        <f t="shared" si="277"/>
        <v>0</v>
      </c>
      <c r="H510" s="639" t="e">
        <f t="shared" si="277"/>
        <v>#N/A</v>
      </c>
      <c r="I510" s="639" t="e">
        <f t="shared" si="277"/>
        <v>#N/A</v>
      </c>
      <c r="J510" s="639" t="e">
        <f t="shared" si="277"/>
        <v>#N/A</v>
      </c>
      <c r="K510" s="639" t="e">
        <f t="shared" si="277"/>
        <v>#N/A</v>
      </c>
      <c r="L510" s="639" t="e">
        <f t="shared" si="277"/>
        <v>#N/A</v>
      </c>
      <c r="M510" s="639" t="e">
        <f t="shared" si="277"/>
        <v>#N/A</v>
      </c>
      <c r="N510" s="637" t="e">
        <f t="shared" si="277"/>
        <v>#N/A</v>
      </c>
      <c r="O510" s="637" t="e">
        <f t="shared" si="277"/>
        <v>#N/A</v>
      </c>
      <c r="P510" s="637" t="e">
        <f t="shared" si="277"/>
        <v>#N/A</v>
      </c>
      <c r="Q510" s="637" t="e">
        <f t="shared" si="277"/>
        <v>#N/A</v>
      </c>
      <c r="R510" s="637" t="e">
        <f t="shared" si="277"/>
        <v>#N/A</v>
      </c>
      <c r="S510" s="637" t="e">
        <f t="shared" si="277"/>
        <v>#N/A</v>
      </c>
      <c r="T510" s="637" t="e">
        <f t="shared" si="277"/>
        <v>#N/A</v>
      </c>
      <c r="U510" s="637" t="e">
        <f t="shared" si="277"/>
        <v>#N/A</v>
      </c>
      <c r="V510" s="637" t="e">
        <f t="shared" si="277"/>
        <v>#N/A</v>
      </c>
      <c r="W510" s="637" t="e">
        <f t="shared" si="277"/>
        <v>#N/A</v>
      </c>
      <c r="X510" s="637" t="e">
        <f t="shared" si="277"/>
        <v>#N/A</v>
      </c>
      <c r="Y510" s="637" t="e">
        <f t="shared" si="277"/>
        <v>#N/A</v>
      </c>
    </row>
    <row r="511" spans="2:25" s="636" customFormat="1" ht="15.75" hidden="1" x14ac:dyDescent="0.25">
      <c r="E511" s="636">
        <v>2018</v>
      </c>
      <c r="F511" s="637">
        <f t="shared" ref="F511:Y511" si="278">($F572*($C$440*(F$503+F$504)))+($H572*($C$439*(F$501)+$C$440*(F$505+F$506)))</f>
        <v>0</v>
      </c>
      <c r="G511" s="637">
        <f t="shared" si="278"/>
        <v>0</v>
      </c>
      <c r="H511" s="639" t="e">
        <f t="shared" si="278"/>
        <v>#N/A</v>
      </c>
      <c r="I511" s="639" t="e">
        <f t="shared" si="278"/>
        <v>#N/A</v>
      </c>
      <c r="J511" s="639" t="e">
        <f t="shared" si="278"/>
        <v>#N/A</v>
      </c>
      <c r="K511" s="639" t="e">
        <f t="shared" si="278"/>
        <v>#N/A</v>
      </c>
      <c r="L511" s="639" t="e">
        <f t="shared" si="278"/>
        <v>#N/A</v>
      </c>
      <c r="M511" s="639" t="e">
        <f t="shared" si="278"/>
        <v>#N/A</v>
      </c>
      <c r="N511" s="637" t="e">
        <f t="shared" si="278"/>
        <v>#N/A</v>
      </c>
      <c r="O511" s="637" t="e">
        <f t="shared" si="278"/>
        <v>#N/A</v>
      </c>
      <c r="P511" s="637" t="e">
        <f t="shared" si="278"/>
        <v>#N/A</v>
      </c>
      <c r="Q511" s="637" t="e">
        <f t="shared" si="278"/>
        <v>#N/A</v>
      </c>
      <c r="R511" s="637" t="e">
        <f t="shared" si="278"/>
        <v>#N/A</v>
      </c>
      <c r="S511" s="637" t="e">
        <f t="shared" si="278"/>
        <v>#N/A</v>
      </c>
      <c r="T511" s="637" t="e">
        <f t="shared" si="278"/>
        <v>#N/A</v>
      </c>
      <c r="U511" s="637" t="e">
        <f t="shared" si="278"/>
        <v>#N/A</v>
      </c>
      <c r="V511" s="637" t="e">
        <f t="shared" si="278"/>
        <v>#N/A</v>
      </c>
      <c r="W511" s="637" t="e">
        <f t="shared" si="278"/>
        <v>#N/A</v>
      </c>
      <c r="X511" s="637" t="e">
        <f t="shared" si="278"/>
        <v>#N/A</v>
      </c>
      <c r="Y511" s="637" t="e">
        <f t="shared" si="278"/>
        <v>#N/A</v>
      </c>
    </row>
    <row r="512" spans="2:25" s="636" customFormat="1" ht="15.75" hidden="1" x14ac:dyDescent="0.25">
      <c r="E512" s="636">
        <v>2019</v>
      </c>
      <c r="F512" s="637">
        <f t="shared" ref="F512:Y512" si="279">($F573*($C$440*(F$503+F$504)))+($H573*($C$439*(F$501)+$C$440*(F$505+F$506)))</f>
        <v>0</v>
      </c>
      <c r="G512" s="637">
        <f t="shared" si="279"/>
        <v>0</v>
      </c>
      <c r="H512" s="639" t="e">
        <f t="shared" si="279"/>
        <v>#N/A</v>
      </c>
      <c r="I512" s="639" t="e">
        <f t="shared" si="279"/>
        <v>#N/A</v>
      </c>
      <c r="J512" s="639" t="e">
        <f t="shared" si="279"/>
        <v>#N/A</v>
      </c>
      <c r="K512" s="639" t="e">
        <f t="shared" si="279"/>
        <v>#N/A</v>
      </c>
      <c r="L512" s="639" t="e">
        <f t="shared" si="279"/>
        <v>#N/A</v>
      </c>
      <c r="M512" s="639" t="e">
        <f t="shared" si="279"/>
        <v>#N/A</v>
      </c>
      <c r="N512" s="637" t="e">
        <f t="shared" si="279"/>
        <v>#N/A</v>
      </c>
      <c r="O512" s="637" t="e">
        <f t="shared" si="279"/>
        <v>#N/A</v>
      </c>
      <c r="P512" s="637" t="e">
        <f t="shared" si="279"/>
        <v>#N/A</v>
      </c>
      <c r="Q512" s="637" t="e">
        <f t="shared" si="279"/>
        <v>#N/A</v>
      </c>
      <c r="R512" s="637" t="e">
        <f t="shared" si="279"/>
        <v>#N/A</v>
      </c>
      <c r="S512" s="637" t="e">
        <f t="shared" si="279"/>
        <v>#N/A</v>
      </c>
      <c r="T512" s="637" t="e">
        <f t="shared" si="279"/>
        <v>#N/A</v>
      </c>
      <c r="U512" s="637" t="e">
        <f t="shared" si="279"/>
        <v>#N/A</v>
      </c>
      <c r="V512" s="637" t="e">
        <f t="shared" si="279"/>
        <v>#N/A</v>
      </c>
      <c r="W512" s="637" t="e">
        <f t="shared" si="279"/>
        <v>#N/A</v>
      </c>
      <c r="X512" s="637" t="e">
        <f t="shared" si="279"/>
        <v>#N/A</v>
      </c>
      <c r="Y512" s="637" t="e">
        <f t="shared" si="279"/>
        <v>#N/A</v>
      </c>
    </row>
    <row r="513" spans="2:25" s="636" customFormat="1" ht="15.75" hidden="1" x14ac:dyDescent="0.25">
      <c r="E513" s="636">
        <v>2020</v>
      </c>
      <c r="F513" s="637">
        <f t="shared" ref="F513:Y513" si="280">($F574*($C$440*(F$503+F$504)))+($H574*($C$439*(F$501)+$C$440*(F$505+F$506)))</f>
        <v>0</v>
      </c>
      <c r="G513" s="637">
        <f t="shared" si="280"/>
        <v>0</v>
      </c>
      <c r="H513" s="639" t="e">
        <f t="shared" si="280"/>
        <v>#N/A</v>
      </c>
      <c r="I513" s="639" t="e">
        <f t="shared" si="280"/>
        <v>#N/A</v>
      </c>
      <c r="J513" s="639" t="e">
        <f t="shared" si="280"/>
        <v>#N/A</v>
      </c>
      <c r="K513" s="639" t="e">
        <f t="shared" si="280"/>
        <v>#N/A</v>
      </c>
      <c r="L513" s="639" t="e">
        <f t="shared" si="280"/>
        <v>#N/A</v>
      </c>
      <c r="M513" s="639" t="e">
        <f t="shared" si="280"/>
        <v>#N/A</v>
      </c>
      <c r="N513" s="637" t="e">
        <f t="shared" si="280"/>
        <v>#N/A</v>
      </c>
      <c r="O513" s="637" t="e">
        <f t="shared" si="280"/>
        <v>#N/A</v>
      </c>
      <c r="P513" s="637" t="e">
        <f t="shared" si="280"/>
        <v>#N/A</v>
      </c>
      <c r="Q513" s="637" t="e">
        <f t="shared" si="280"/>
        <v>#N/A</v>
      </c>
      <c r="R513" s="637" t="e">
        <f t="shared" si="280"/>
        <v>#N/A</v>
      </c>
      <c r="S513" s="637" t="e">
        <f t="shared" si="280"/>
        <v>#N/A</v>
      </c>
      <c r="T513" s="637" t="e">
        <f t="shared" si="280"/>
        <v>#N/A</v>
      </c>
      <c r="U513" s="637" t="e">
        <f t="shared" si="280"/>
        <v>#N/A</v>
      </c>
      <c r="V513" s="637" t="e">
        <f t="shared" si="280"/>
        <v>#N/A</v>
      </c>
      <c r="W513" s="637" t="e">
        <f t="shared" si="280"/>
        <v>#N/A</v>
      </c>
      <c r="X513" s="637" t="e">
        <f t="shared" si="280"/>
        <v>#N/A</v>
      </c>
      <c r="Y513" s="637" t="e">
        <f t="shared" si="280"/>
        <v>#N/A</v>
      </c>
    </row>
    <row r="514" spans="2:25" s="640" customFormat="1" ht="15.75" hidden="1" x14ac:dyDescent="0.25"/>
    <row r="515" spans="2:25" s="640" customFormat="1" ht="15.75" hidden="1" x14ac:dyDescent="0.25"/>
    <row r="516" spans="2:25" s="641" customFormat="1" ht="15.75" hidden="1" x14ac:dyDescent="0.25">
      <c r="B516" s="691" t="s">
        <v>1570</v>
      </c>
      <c r="D516" s="642" t="s">
        <v>1466</v>
      </c>
    </row>
    <row r="517" spans="2:25" s="641" customFormat="1" ht="15.75" hidden="1" x14ac:dyDescent="0.25">
      <c r="D517" s="628" t="s">
        <v>412</v>
      </c>
      <c r="E517" s="628" t="s">
        <v>10</v>
      </c>
      <c r="F517" s="628" t="s">
        <v>428</v>
      </c>
      <c r="G517" s="628" t="str">
        <f>G$184</f>
        <v>Cost in 2008 dollars</v>
      </c>
      <c r="H517" s="629" t="s">
        <v>583</v>
      </c>
      <c r="I517" s="629" t="s">
        <v>584</v>
      </c>
      <c r="J517" s="629" t="s">
        <v>585</v>
      </c>
      <c r="K517" s="629" t="s">
        <v>586</v>
      </c>
      <c r="L517" s="629" t="s">
        <v>413</v>
      </c>
      <c r="M517" s="629" t="s">
        <v>414</v>
      </c>
      <c r="N517" s="629" t="s">
        <v>592</v>
      </c>
      <c r="O517" s="629" t="s">
        <v>587</v>
      </c>
      <c r="P517" s="629" t="s">
        <v>588</v>
      </c>
      <c r="Q517" s="629" t="s">
        <v>589</v>
      </c>
      <c r="R517" s="629" t="s">
        <v>590</v>
      </c>
      <c r="S517" s="629" t="s">
        <v>591</v>
      </c>
      <c r="T517" s="629" t="s">
        <v>593</v>
      </c>
      <c r="U517" s="629" t="s">
        <v>594</v>
      </c>
      <c r="V517" s="629" t="s">
        <v>595</v>
      </c>
      <c r="W517" s="629" t="s">
        <v>596</v>
      </c>
      <c r="X517" s="629" t="s">
        <v>597</v>
      </c>
      <c r="Y517" s="629" t="s">
        <v>598</v>
      </c>
    </row>
    <row r="518" spans="2:25" s="641" customFormat="1" ht="15.75" hidden="1" x14ac:dyDescent="0.25">
      <c r="C518" s="723" t="s">
        <v>1702</v>
      </c>
      <c r="D518" s="634">
        <v>811300</v>
      </c>
      <c r="E518" s="634" t="s">
        <v>351</v>
      </c>
      <c r="F518" s="635">
        <f>J107</f>
        <v>0</v>
      </c>
      <c r="G518" s="630">
        <f>F518*$C$578</f>
        <v>0</v>
      </c>
      <c r="H518" s="631" t="e">
        <f>$G518*INDEX(tier_emp_mult, MATCH($D518, tier_emp_code,0), MATCH(State, R_emp, 0))/1000000</f>
        <v>#N/A</v>
      </c>
      <c r="I518" s="631" t="e">
        <f>$G518*INDEX(typeI_emp_mult, MATCH($D518, typeI_emp_code,0), MATCH(State, R_emp, 0))/1000000</f>
        <v>#N/A</v>
      </c>
      <c r="J518" s="631" t="e">
        <f>$G518*INDEX(typeII_emp_mult, MATCH($D518, typeII_emp_code,0), MATCH(State, R_emp, 0))/1000000</f>
        <v>#N/A</v>
      </c>
      <c r="K518" s="632" t="e">
        <f>H518</f>
        <v>#N/A</v>
      </c>
      <c r="L518" s="632" t="e">
        <f t="shared" ref="L518:M521" si="281">I518-H518</f>
        <v>#N/A</v>
      </c>
      <c r="M518" s="632" t="e">
        <f t="shared" si="281"/>
        <v>#N/A</v>
      </c>
      <c r="N518" s="631" t="e">
        <f>$G518*INDEX(tier_earn_mult, MATCH($D518, tier_earn_code,0), MATCH(State, R_earn, 0))</f>
        <v>#N/A</v>
      </c>
      <c r="O518" s="631" t="e">
        <f>$G518*INDEX(typeI_earn_mult, MATCH($D518, typeI_earn_code,0), MATCH(State, R_earn, 0))</f>
        <v>#N/A</v>
      </c>
      <c r="P518" s="631" t="e">
        <f>$G518*INDEX(typeII_earn_mult, MATCH($D518, typeII_earn_code,0), MATCH(State, R_earn, 0))</f>
        <v>#N/A</v>
      </c>
      <c r="Q518" s="633" t="e">
        <f>N518</f>
        <v>#N/A</v>
      </c>
      <c r="R518" s="633" t="e">
        <f t="shared" ref="R518:S521" si="282">O518-N518</f>
        <v>#N/A</v>
      </c>
      <c r="S518" s="633" t="e">
        <f t="shared" si="282"/>
        <v>#N/A</v>
      </c>
      <c r="T518" s="631" t="e">
        <f>$G518*INDEX(tier_out_mult, MATCH($D518, tier_out_code,0), MATCH(State, R_out, 0))</f>
        <v>#N/A</v>
      </c>
      <c r="U518" s="631" t="e">
        <f>$G518*INDEX(typeI_out_mult, MATCH($D518, typeI_out_code,0), MATCH(State, R_out, 0))</f>
        <v>#N/A</v>
      </c>
      <c r="V518" s="631" t="e">
        <f>$G518*INDEX(typeII_out_mult, MATCH($D518, typeII_out_code,0), MATCH(State, R_out, 0))</f>
        <v>#N/A</v>
      </c>
      <c r="W518" s="633" t="e">
        <f>T518</f>
        <v>#N/A</v>
      </c>
      <c r="X518" s="633" t="e">
        <f t="shared" ref="X518:Y521" si="283">U518-T518</f>
        <v>#N/A</v>
      </c>
      <c r="Y518" s="633" t="e">
        <f t="shared" si="283"/>
        <v>#N/A</v>
      </c>
    </row>
    <row r="519" spans="2:25" s="641" customFormat="1" ht="15.75" hidden="1" x14ac:dyDescent="0.25">
      <c r="C519" s="723" t="s">
        <v>1702</v>
      </c>
      <c r="D519" s="634">
        <v>811300</v>
      </c>
      <c r="E519" s="634" t="s">
        <v>351</v>
      </c>
      <c r="F519" s="635">
        <f>J108</f>
        <v>0</v>
      </c>
      <c r="G519" s="630">
        <f>F519*$C$578</f>
        <v>0</v>
      </c>
      <c r="H519" s="631" t="e">
        <f>$G519*INDEX(tier_emp_mult, MATCH($D519, tier_emp_code,0), MATCH(State, R_emp, 0))/1000000</f>
        <v>#N/A</v>
      </c>
      <c r="I519" s="631" t="e">
        <f>$G519*INDEX(typeI_emp_mult, MATCH($D519, typeI_emp_code,0), MATCH(State, R_emp, 0))/1000000</f>
        <v>#N/A</v>
      </c>
      <c r="J519" s="631" t="e">
        <f>$G519*INDEX(typeII_emp_mult, MATCH($D519, typeII_emp_code,0), MATCH(State, R_emp, 0))/1000000</f>
        <v>#N/A</v>
      </c>
      <c r="K519" s="632" t="e">
        <f>H519</f>
        <v>#N/A</v>
      </c>
      <c r="L519" s="632" t="e">
        <f t="shared" si="281"/>
        <v>#N/A</v>
      </c>
      <c r="M519" s="632" t="e">
        <f t="shared" si="281"/>
        <v>#N/A</v>
      </c>
      <c r="N519" s="631" t="e">
        <f>$G519*INDEX(tier_earn_mult, MATCH($D519, tier_earn_code,0), MATCH(State, R_earn, 0))</f>
        <v>#N/A</v>
      </c>
      <c r="O519" s="631" t="e">
        <f>$G519*INDEX(typeI_earn_mult, MATCH($D519, typeI_earn_code,0), MATCH(State, R_earn, 0))</f>
        <v>#N/A</v>
      </c>
      <c r="P519" s="631" t="e">
        <f>$G519*INDEX(typeII_earn_mult, MATCH($D519, typeII_earn_code,0), MATCH(State, R_earn, 0))</f>
        <v>#N/A</v>
      </c>
      <c r="Q519" s="633" t="e">
        <f>N519</f>
        <v>#N/A</v>
      </c>
      <c r="R519" s="633" t="e">
        <f t="shared" si="282"/>
        <v>#N/A</v>
      </c>
      <c r="S519" s="633" t="e">
        <f t="shared" si="282"/>
        <v>#N/A</v>
      </c>
      <c r="T519" s="631" t="e">
        <f>$G519*INDEX(tier_out_mult, MATCH($D519, tier_out_code,0), MATCH(State, R_out, 0))</f>
        <v>#N/A</v>
      </c>
      <c r="U519" s="631" t="e">
        <f>$G519*INDEX(typeI_out_mult, MATCH($D519, typeI_out_code,0), MATCH(State, R_out, 0))</f>
        <v>#N/A</v>
      </c>
      <c r="V519" s="631" t="e">
        <f>$G519*INDEX(typeII_out_mult, MATCH($D519, typeII_out_code,0), MATCH(State, R_out, 0))</f>
        <v>#N/A</v>
      </c>
      <c r="W519" s="633" t="e">
        <f>T519</f>
        <v>#N/A</v>
      </c>
      <c r="X519" s="633" t="e">
        <f t="shared" si="283"/>
        <v>#N/A</v>
      </c>
      <c r="Y519" s="633" t="e">
        <f t="shared" si="283"/>
        <v>#N/A</v>
      </c>
    </row>
    <row r="520" spans="2:25" s="641" customFormat="1" ht="15.75" hidden="1" x14ac:dyDescent="0.25">
      <c r="C520" s="723" t="s">
        <v>1703</v>
      </c>
      <c r="D520" s="634">
        <v>811300</v>
      </c>
      <c r="E520" s="634" t="s">
        <v>351</v>
      </c>
      <c r="F520" s="635">
        <f>J124</f>
        <v>0</v>
      </c>
      <c r="G520" s="630">
        <f>F520*$C$578</f>
        <v>0</v>
      </c>
      <c r="H520" s="631" t="e">
        <f>$G520*INDEX(tier_emp_mult, MATCH($D520, tier_emp_code,0), MATCH(State, R_emp, 0))/1000000</f>
        <v>#N/A</v>
      </c>
      <c r="I520" s="631" t="e">
        <f>$G520*INDEX(typeI_emp_mult, MATCH($D520, typeI_emp_code,0), MATCH(State, R_emp, 0))/1000000</f>
        <v>#N/A</v>
      </c>
      <c r="J520" s="631" t="e">
        <f>$G520*INDEX(typeII_emp_mult, MATCH($D520, typeII_emp_code,0), MATCH(State, R_emp, 0))/1000000</f>
        <v>#N/A</v>
      </c>
      <c r="K520" s="632" t="e">
        <f>H520</f>
        <v>#N/A</v>
      </c>
      <c r="L520" s="632" t="e">
        <f t="shared" si="281"/>
        <v>#N/A</v>
      </c>
      <c r="M520" s="632" t="e">
        <f t="shared" si="281"/>
        <v>#N/A</v>
      </c>
      <c r="N520" s="631" t="e">
        <f>$G520*INDEX(tier_earn_mult, MATCH($D520, tier_earn_code,0), MATCH(State, R_earn, 0))</f>
        <v>#N/A</v>
      </c>
      <c r="O520" s="631" t="e">
        <f>$G520*INDEX(typeI_earn_mult, MATCH($D520, typeI_earn_code,0), MATCH(State, R_earn, 0))</f>
        <v>#N/A</v>
      </c>
      <c r="P520" s="631" t="e">
        <f>$G520*INDEX(typeII_earn_mult, MATCH($D520, typeII_earn_code,0), MATCH(State, R_earn, 0))</f>
        <v>#N/A</v>
      </c>
      <c r="Q520" s="633" t="e">
        <f>N520</f>
        <v>#N/A</v>
      </c>
      <c r="R520" s="633" t="e">
        <f t="shared" si="282"/>
        <v>#N/A</v>
      </c>
      <c r="S520" s="633" t="e">
        <f t="shared" si="282"/>
        <v>#N/A</v>
      </c>
      <c r="T520" s="631" t="e">
        <f>$G520*INDEX(tier_out_mult, MATCH($D520, tier_out_code,0), MATCH(State, R_out, 0))</f>
        <v>#N/A</v>
      </c>
      <c r="U520" s="631" t="e">
        <f>$G520*INDEX(typeI_out_mult, MATCH($D520, typeI_out_code,0), MATCH(State, R_out, 0))</f>
        <v>#N/A</v>
      </c>
      <c r="V520" s="631" t="e">
        <f>$G520*INDEX(typeII_out_mult, MATCH($D520, typeII_out_code,0), MATCH(State, R_out, 0))</f>
        <v>#N/A</v>
      </c>
      <c r="W520" s="633" t="e">
        <f>T520</f>
        <v>#N/A</v>
      </c>
      <c r="X520" s="633" t="e">
        <f t="shared" si="283"/>
        <v>#N/A</v>
      </c>
      <c r="Y520" s="633" t="e">
        <f t="shared" si="283"/>
        <v>#N/A</v>
      </c>
    </row>
    <row r="521" spans="2:25" s="641" customFormat="1" ht="15.75" hidden="1" x14ac:dyDescent="0.25">
      <c r="C521" s="723" t="s">
        <v>1703</v>
      </c>
      <c r="D521" s="634">
        <v>811300</v>
      </c>
      <c r="E521" s="634" t="s">
        <v>351</v>
      </c>
      <c r="F521" s="635">
        <f>J125</f>
        <v>0</v>
      </c>
      <c r="G521" s="630">
        <f>F521*$C$578</f>
        <v>0</v>
      </c>
      <c r="H521" s="631" t="e">
        <f>$G521*INDEX(tier_emp_mult, MATCH($D521, tier_emp_code,0), MATCH(State, R_emp, 0))/1000000</f>
        <v>#N/A</v>
      </c>
      <c r="I521" s="631" t="e">
        <f>$G521*INDEX(typeI_emp_mult, MATCH($D521, typeI_emp_code,0), MATCH(State, R_emp, 0))/1000000</f>
        <v>#N/A</v>
      </c>
      <c r="J521" s="631" t="e">
        <f>$G521*INDEX(typeII_emp_mult, MATCH($D521, typeII_emp_code,0), MATCH(State, R_emp, 0))/1000000</f>
        <v>#N/A</v>
      </c>
      <c r="K521" s="632" t="e">
        <f>H521</f>
        <v>#N/A</v>
      </c>
      <c r="L521" s="632" t="e">
        <f t="shared" si="281"/>
        <v>#N/A</v>
      </c>
      <c r="M521" s="632" t="e">
        <f t="shared" si="281"/>
        <v>#N/A</v>
      </c>
      <c r="N521" s="631" t="e">
        <f>$G521*INDEX(tier_earn_mult, MATCH($D521, tier_earn_code,0), MATCH(State, R_earn, 0))</f>
        <v>#N/A</v>
      </c>
      <c r="O521" s="631" t="e">
        <f>$G521*INDEX(typeI_earn_mult, MATCH($D521, typeI_earn_code,0), MATCH(State, R_earn, 0))</f>
        <v>#N/A</v>
      </c>
      <c r="P521" s="631" t="e">
        <f>$G521*INDEX(typeII_earn_mult, MATCH($D521, typeII_earn_code,0), MATCH(State, R_earn, 0))</f>
        <v>#N/A</v>
      </c>
      <c r="Q521" s="633" t="e">
        <f>N521</f>
        <v>#N/A</v>
      </c>
      <c r="R521" s="633" t="e">
        <f t="shared" si="282"/>
        <v>#N/A</v>
      </c>
      <c r="S521" s="633" t="e">
        <f t="shared" si="282"/>
        <v>#N/A</v>
      </c>
      <c r="T521" s="631" t="e">
        <f>$G521*INDEX(tier_out_mult, MATCH($D521, tier_out_code,0), MATCH(State, R_out, 0))</f>
        <v>#N/A</v>
      </c>
      <c r="U521" s="631" t="e">
        <f>$G521*INDEX(typeI_out_mult, MATCH($D521, typeI_out_code,0), MATCH(State, R_out, 0))</f>
        <v>#N/A</v>
      </c>
      <c r="V521" s="631" t="e">
        <f>$G521*INDEX(typeII_out_mult, MATCH($D521, typeII_out_code,0), MATCH(State, R_out, 0))</f>
        <v>#N/A</v>
      </c>
      <c r="W521" s="633" t="e">
        <f>T521</f>
        <v>#N/A</v>
      </c>
      <c r="X521" s="633" t="e">
        <f t="shared" si="283"/>
        <v>#N/A</v>
      </c>
      <c r="Y521" s="633" t="e">
        <f t="shared" si="283"/>
        <v>#N/A</v>
      </c>
    </row>
    <row r="522" spans="2:25" s="641" customFormat="1" ht="15.75" hidden="1" x14ac:dyDescent="0.25"/>
    <row r="523" spans="2:25" s="641" customFormat="1" ht="15.75" hidden="1" x14ac:dyDescent="0.25">
      <c r="D523" s="641" t="s">
        <v>448</v>
      </c>
    </row>
    <row r="524" spans="2:25" s="641" customFormat="1" ht="15.75" hidden="1" x14ac:dyDescent="0.25">
      <c r="E524" s="641">
        <v>2015</v>
      </c>
      <c r="F524" s="643">
        <f t="shared" ref="F524:Y524" si="284">($H569*($C$439*(F$518+F$519)+$C$440*(F$520+F$521)))</f>
        <v>0</v>
      </c>
      <c r="G524" s="643">
        <f t="shared" si="284"/>
        <v>0</v>
      </c>
      <c r="H524" s="672" t="e">
        <f t="shared" si="284"/>
        <v>#N/A</v>
      </c>
      <c r="I524" s="672" t="e">
        <f t="shared" si="284"/>
        <v>#N/A</v>
      </c>
      <c r="J524" s="672" t="e">
        <f t="shared" si="284"/>
        <v>#N/A</v>
      </c>
      <c r="K524" s="672" t="e">
        <f t="shared" si="284"/>
        <v>#N/A</v>
      </c>
      <c r="L524" s="672" t="e">
        <f t="shared" si="284"/>
        <v>#N/A</v>
      </c>
      <c r="M524" s="672" t="e">
        <f t="shared" si="284"/>
        <v>#N/A</v>
      </c>
      <c r="N524" s="643" t="e">
        <f t="shared" si="284"/>
        <v>#N/A</v>
      </c>
      <c r="O524" s="643" t="e">
        <f t="shared" si="284"/>
        <v>#N/A</v>
      </c>
      <c r="P524" s="643" t="e">
        <f t="shared" si="284"/>
        <v>#N/A</v>
      </c>
      <c r="Q524" s="643" t="e">
        <f t="shared" si="284"/>
        <v>#N/A</v>
      </c>
      <c r="R524" s="643" t="e">
        <f t="shared" si="284"/>
        <v>#N/A</v>
      </c>
      <c r="S524" s="643" t="e">
        <f t="shared" si="284"/>
        <v>#N/A</v>
      </c>
      <c r="T524" s="643" t="e">
        <f t="shared" si="284"/>
        <v>#N/A</v>
      </c>
      <c r="U524" s="643" t="e">
        <f t="shared" si="284"/>
        <v>#N/A</v>
      </c>
      <c r="V524" s="643" t="e">
        <f t="shared" si="284"/>
        <v>#N/A</v>
      </c>
      <c r="W524" s="643" t="e">
        <f t="shared" si="284"/>
        <v>#N/A</v>
      </c>
      <c r="X524" s="643" t="e">
        <f t="shared" si="284"/>
        <v>#N/A</v>
      </c>
      <c r="Y524" s="643" t="e">
        <f t="shared" si="284"/>
        <v>#N/A</v>
      </c>
    </row>
    <row r="525" spans="2:25" s="641" customFormat="1" ht="15.75" hidden="1" x14ac:dyDescent="0.25">
      <c r="E525" s="641">
        <v>2016</v>
      </c>
      <c r="F525" s="643">
        <f t="shared" ref="F525:Y525" si="285">($H570*($C$439*(F$518+F$519)+$C$440*(F$520+F$521)))</f>
        <v>0</v>
      </c>
      <c r="G525" s="643">
        <f t="shared" si="285"/>
        <v>0</v>
      </c>
      <c r="H525" s="672" t="e">
        <f t="shared" si="285"/>
        <v>#N/A</v>
      </c>
      <c r="I525" s="672" t="e">
        <f t="shared" si="285"/>
        <v>#N/A</v>
      </c>
      <c r="J525" s="672" t="e">
        <f t="shared" si="285"/>
        <v>#N/A</v>
      </c>
      <c r="K525" s="672" t="e">
        <f t="shared" si="285"/>
        <v>#N/A</v>
      </c>
      <c r="L525" s="672" t="e">
        <f t="shared" si="285"/>
        <v>#N/A</v>
      </c>
      <c r="M525" s="672" t="e">
        <f t="shared" si="285"/>
        <v>#N/A</v>
      </c>
      <c r="N525" s="643" t="e">
        <f t="shared" si="285"/>
        <v>#N/A</v>
      </c>
      <c r="O525" s="643" t="e">
        <f t="shared" si="285"/>
        <v>#N/A</v>
      </c>
      <c r="P525" s="643" t="e">
        <f t="shared" si="285"/>
        <v>#N/A</v>
      </c>
      <c r="Q525" s="643" t="e">
        <f t="shared" si="285"/>
        <v>#N/A</v>
      </c>
      <c r="R525" s="643" t="e">
        <f t="shared" si="285"/>
        <v>#N/A</v>
      </c>
      <c r="S525" s="643" t="e">
        <f t="shared" si="285"/>
        <v>#N/A</v>
      </c>
      <c r="T525" s="643" t="e">
        <f t="shared" si="285"/>
        <v>#N/A</v>
      </c>
      <c r="U525" s="643" t="e">
        <f t="shared" si="285"/>
        <v>#N/A</v>
      </c>
      <c r="V525" s="643" t="e">
        <f t="shared" si="285"/>
        <v>#N/A</v>
      </c>
      <c r="W525" s="643" t="e">
        <f t="shared" si="285"/>
        <v>#N/A</v>
      </c>
      <c r="X525" s="643" t="e">
        <f t="shared" si="285"/>
        <v>#N/A</v>
      </c>
      <c r="Y525" s="643" t="e">
        <f t="shared" si="285"/>
        <v>#N/A</v>
      </c>
    </row>
    <row r="526" spans="2:25" s="641" customFormat="1" ht="15.75" hidden="1" x14ac:dyDescent="0.25">
      <c r="E526" s="641">
        <v>2017</v>
      </c>
      <c r="F526" s="643">
        <f t="shared" ref="F526:Y526" si="286">($H571*($C$439*(F$518+F$519)+$C$440*(F$520+F$521)))</f>
        <v>0</v>
      </c>
      <c r="G526" s="643">
        <f t="shared" si="286"/>
        <v>0</v>
      </c>
      <c r="H526" s="672" t="e">
        <f t="shared" si="286"/>
        <v>#N/A</v>
      </c>
      <c r="I526" s="672" t="e">
        <f t="shared" si="286"/>
        <v>#N/A</v>
      </c>
      <c r="J526" s="672" t="e">
        <f t="shared" si="286"/>
        <v>#N/A</v>
      </c>
      <c r="K526" s="672" t="e">
        <f t="shared" si="286"/>
        <v>#N/A</v>
      </c>
      <c r="L526" s="672" t="e">
        <f t="shared" si="286"/>
        <v>#N/A</v>
      </c>
      <c r="M526" s="672" t="e">
        <f t="shared" si="286"/>
        <v>#N/A</v>
      </c>
      <c r="N526" s="643" t="e">
        <f t="shared" si="286"/>
        <v>#N/A</v>
      </c>
      <c r="O526" s="643" t="e">
        <f t="shared" si="286"/>
        <v>#N/A</v>
      </c>
      <c r="P526" s="643" t="e">
        <f t="shared" si="286"/>
        <v>#N/A</v>
      </c>
      <c r="Q526" s="643" t="e">
        <f t="shared" si="286"/>
        <v>#N/A</v>
      </c>
      <c r="R526" s="643" t="e">
        <f t="shared" si="286"/>
        <v>#N/A</v>
      </c>
      <c r="S526" s="643" t="e">
        <f t="shared" si="286"/>
        <v>#N/A</v>
      </c>
      <c r="T526" s="643" t="e">
        <f t="shared" si="286"/>
        <v>#N/A</v>
      </c>
      <c r="U526" s="643" t="e">
        <f t="shared" si="286"/>
        <v>#N/A</v>
      </c>
      <c r="V526" s="643" t="e">
        <f t="shared" si="286"/>
        <v>#N/A</v>
      </c>
      <c r="W526" s="643" t="e">
        <f t="shared" si="286"/>
        <v>#N/A</v>
      </c>
      <c r="X526" s="643" t="e">
        <f t="shared" si="286"/>
        <v>#N/A</v>
      </c>
      <c r="Y526" s="643" t="e">
        <f t="shared" si="286"/>
        <v>#N/A</v>
      </c>
    </row>
    <row r="527" spans="2:25" s="641" customFormat="1" ht="15.75" hidden="1" x14ac:dyDescent="0.25">
      <c r="E527" s="641">
        <v>2018</v>
      </c>
      <c r="F527" s="643">
        <f t="shared" ref="F527:Y527" si="287">($H572*($C$439*(F$518+F$519)+$C$440*(F$520+F$521)))</f>
        <v>0</v>
      </c>
      <c r="G527" s="643">
        <f t="shared" si="287"/>
        <v>0</v>
      </c>
      <c r="H527" s="672" t="e">
        <f t="shared" si="287"/>
        <v>#N/A</v>
      </c>
      <c r="I527" s="672" t="e">
        <f t="shared" si="287"/>
        <v>#N/A</v>
      </c>
      <c r="J527" s="672" t="e">
        <f t="shared" si="287"/>
        <v>#N/A</v>
      </c>
      <c r="K527" s="672" t="e">
        <f t="shared" si="287"/>
        <v>#N/A</v>
      </c>
      <c r="L527" s="672" t="e">
        <f t="shared" si="287"/>
        <v>#N/A</v>
      </c>
      <c r="M527" s="672" t="e">
        <f t="shared" si="287"/>
        <v>#N/A</v>
      </c>
      <c r="N527" s="643" t="e">
        <f t="shared" si="287"/>
        <v>#N/A</v>
      </c>
      <c r="O527" s="643" t="e">
        <f t="shared" si="287"/>
        <v>#N/A</v>
      </c>
      <c r="P527" s="643" t="e">
        <f t="shared" si="287"/>
        <v>#N/A</v>
      </c>
      <c r="Q527" s="643" t="e">
        <f t="shared" si="287"/>
        <v>#N/A</v>
      </c>
      <c r="R527" s="643" t="e">
        <f t="shared" si="287"/>
        <v>#N/A</v>
      </c>
      <c r="S527" s="643" t="e">
        <f t="shared" si="287"/>
        <v>#N/A</v>
      </c>
      <c r="T527" s="643" t="e">
        <f t="shared" si="287"/>
        <v>#N/A</v>
      </c>
      <c r="U527" s="643" t="e">
        <f t="shared" si="287"/>
        <v>#N/A</v>
      </c>
      <c r="V527" s="643" t="e">
        <f t="shared" si="287"/>
        <v>#N/A</v>
      </c>
      <c r="W527" s="643" t="e">
        <f t="shared" si="287"/>
        <v>#N/A</v>
      </c>
      <c r="X527" s="643" t="e">
        <f t="shared" si="287"/>
        <v>#N/A</v>
      </c>
      <c r="Y527" s="643" t="e">
        <f t="shared" si="287"/>
        <v>#N/A</v>
      </c>
    </row>
    <row r="528" spans="2:25" s="641" customFormat="1" ht="15.75" hidden="1" x14ac:dyDescent="0.25">
      <c r="E528" s="641">
        <v>2019</v>
      </c>
      <c r="F528" s="643">
        <f t="shared" ref="F528:Y528" si="288">($H573*($C$439*(F$518+F$519)+$C$440*(F$520+F$521)))</f>
        <v>0</v>
      </c>
      <c r="G528" s="643">
        <f t="shared" si="288"/>
        <v>0</v>
      </c>
      <c r="H528" s="672" t="e">
        <f t="shared" si="288"/>
        <v>#N/A</v>
      </c>
      <c r="I528" s="672" t="e">
        <f t="shared" si="288"/>
        <v>#N/A</v>
      </c>
      <c r="J528" s="672" t="e">
        <f t="shared" si="288"/>
        <v>#N/A</v>
      </c>
      <c r="K528" s="672" t="e">
        <f t="shared" si="288"/>
        <v>#N/A</v>
      </c>
      <c r="L528" s="672" t="e">
        <f t="shared" si="288"/>
        <v>#N/A</v>
      </c>
      <c r="M528" s="672" t="e">
        <f t="shared" si="288"/>
        <v>#N/A</v>
      </c>
      <c r="N528" s="643" t="e">
        <f t="shared" si="288"/>
        <v>#N/A</v>
      </c>
      <c r="O528" s="643" t="e">
        <f t="shared" si="288"/>
        <v>#N/A</v>
      </c>
      <c r="P528" s="643" t="e">
        <f t="shared" si="288"/>
        <v>#N/A</v>
      </c>
      <c r="Q528" s="643" t="e">
        <f t="shared" si="288"/>
        <v>#N/A</v>
      </c>
      <c r="R528" s="643" t="e">
        <f t="shared" si="288"/>
        <v>#N/A</v>
      </c>
      <c r="S528" s="643" t="e">
        <f t="shared" si="288"/>
        <v>#N/A</v>
      </c>
      <c r="T528" s="643" t="e">
        <f t="shared" si="288"/>
        <v>#N/A</v>
      </c>
      <c r="U528" s="643" t="e">
        <f t="shared" si="288"/>
        <v>#N/A</v>
      </c>
      <c r="V528" s="643" t="e">
        <f t="shared" si="288"/>
        <v>#N/A</v>
      </c>
      <c r="W528" s="643" t="e">
        <f t="shared" si="288"/>
        <v>#N/A</v>
      </c>
      <c r="X528" s="643" t="e">
        <f t="shared" si="288"/>
        <v>#N/A</v>
      </c>
      <c r="Y528" s="643" t="e">
        <f t="shared" si="288"/>
        <v>#N/A</v>
      </c>
    </row>
    <row r="529" spans="5:25" s="641" customFormat="1" ht="15.75" hidden="1" x14ac:dyDescent="0.25">
      <c r="E529" s="641">
        <v>2020</v>
      </c>
      <c r="F529" s="643">
        <f t="shared" ref="F529:Y529" si="289">($H574*($C$439*(F$518+F$519)+$C$440*(F$520+F$521)))</f>
        <v>0</v>
      </c>
      <c r="G529" s="643">
        <f t="shared" si="289"/>
        <v>0</v>
      </c>
      <c r="H529" s="672" t="e">
        <f t="shared" si="289"/>
        <v>#N/A</v>
      </c>
      <c r="I529" s="672" t="e">
        <f t="shared" si="289"/>
        <v>#N/A</v>
      </c>
      <c r="J529" s="672" t="e">
        <f t="shared" si="289"/>
        <v>#N/A</v>
      </c>
      <c r="K529" s="672" t="e">
        <f t="shared" si="289"/>
        <v>#N/A</v>
      </c>
      <c r="L529" s="672" t="e">
        <f t="shared" si="289"/>
        <v>#N/A</v>
      </c>
      <c r="M529" s="672" t="e">
        <f t="shared" si="289"/>
        <v>#N/A</v>
      </c>
      <c r="N529" s="643" t="e">
        <f t="shared" si="289"/>
        <v>#N/A</v>
      </c>
      <c r="O529" s="643" t="e">
        <f t="shared" si="289"/>
        <v>#N/A</v>
      </c>
      <c r="P529" s="643" t="e">
        <f t="shared" si="289"/>
        <v>#N/A</v>
      </c>
      <c r="Q529" s="643" t="e">
        <f t="shared" si="289"/>
        <v>#N/A</v>
      </c>
      <c r="R529" s="643" t="e">
        <f t="shared" si="289"/>
        <v>#N/A</v>
      </c>
      <c r="S529" s="643" t="e">
        <f t="shared" si="289"/>
        <v>#N/A</v>
      </c>
      <c r="T529" s="643" t="e">
        <f t="shared" si="289"/>
        <v>#N/A</v>
      </c>
      <c r="U529" s="643" t="e">
        <f t="shared" si="289"/>
        <v>#N/A</v>
      </c>
      <c r="V529" s="643" t="e">
        <f t="shared" si="289"/>
        <v>#N/A</v>
      </c>
      <c r="W529" s="643" t="e">
        <f t="shared" si="289"/>
        <v>#N/A</v>
      </c>
      <c r="X529" s="643" t="e">
        <f t="shared" si="289"/>
        <v>#N/A</v>
      </c>
      <c r="Y529" s="643" t="e">
        <f t="shared" si="289"/>
        <v>#N/A</v>
      </c>
    </row>
    <row r="530" spans="5:25" s="717" customFormat="1" ht="15.75" hidden="1" x14ac:dyDescent="0.25">
      <c r="S530" s="718"/>
      <c r="U530" s="719"/>
    </row>
    <row r="531" spans="5:25" s="350" customFormat="1" ht="15.75" hidden="1" x14ac:dyDescent="0.25">
      <c r="S531" s="724"/>
      <c r="U531" s="725"/>
    </row>
    <row r="532" spans="5:25" s="350" customFormat="1" ht="15.75" hidden="1" x14ac:dyDescent="0.25">
      <c r="S532" s="724"/>
      <c r="U532" s="725"/>
    </row>
    <row r="533" spans="5:25" s="350" customFormat="1" ht="15.75" hidden="1" x14ac:dyDescent="0.25">
      <c r="S533" s="724"/>
      <c r="U533" s="725"/>
    </row>
    <row r="534" spans="5:25" s="350" customFormat="1" ht="15.75" hidden="1" x14ac:dyDescent="0.25">
      <c r="S534" s="724"/>
      <c r="U534" s="725"/>
    </row>
    <row r="535" spans="5:25" s="350" customFormat="1" ht="15.75" hidden="1" x14ac:dyDescent="0.25">
      <c r="S535" s="724"/>
      <c r="U535" s="725"/>
    </row>
    <row r="536" spans="5:25" s="350" customFormat="1" ht="15.75" hidden="1" x14ac:dyDescent="0.25">
      <c r="S536" s="724"/>
      <c r="U536" s="725"/>
    </row>
    <row r="537" spans="5:25" s="350" customFormat="1" ht="15.75" hidden="1" x14ac:dyDescent="0.25">
      <c r="S537" s="724"/>
      <c r="U537" s="725"/>
    </row>
    <row r="538" spans="5:25" s="350" customFormat="1" ht="15.75" hidden="1" x14ac:dyDescent="0.25">
      <c r="S538" s="724"/>
      <c r="U538" s="725"/>
    </row>
    <row r="539" spans="5:25" s="350" customFormat="1" ht="15.75" hidden="1" x14ac:dyDescent="0.25">
      <c r="S539" s="724"/>
      <c r="U539" s="725"/>
    </row>
    <row r="540" spans="5:25" s="350" customFormat="1" ht="15.75" hidden="1" x14ac:dyDescent="0.25">
      <c r="S540" s="724"/>
      <c r="U540" s="725"/>
    </row>
    <row r="541" spans="5:25" s="350" customFormat="1" ht="15.75" hidden="1" x14ac:dyDescent="0.25">
      <c r="S541" s="724"/>
      <c r="U541" s="725"/>
    </row>
    <row r="542" spans="5:25" s="350" customFormat="1" ht="15.75" hidden="1" x14ac:dyDescent="0.25">
      <c r="S542" s="724"/>
      <c r="U542" s="725"/>
    </row>
    <row r="543" spans="5:25" s="350" customFormat="1" ht="15.75" hidden="1" x14ac:dyDescent="0.25">
      <c r="S543" s="724"/>
      <c r="U543" s="725"/>
    </row>
    <row r="544" spans="5:25" s="350" customFormat="1" ht="15.75" hidden="1" x14ac:dyDescent="0.25">
      <c r="S544" s="724"/>
      <c r="U544" s="725"/>
    </row>
    <row r="545" spans="1:24" s="350" customFormat="1" ht="15" hidden="1" customHeight="1" x14ac:dyDescent="0.25">
      <c r="S545" s="724"/>
      <c r="U545" s="725"/>
    </row>
    <row r="546" spans="1:24" s="350" customFormat="1" ht="15" hidden="1" customHeight="1" x14ac:dyDescent="0.25">
      <c r="B546" s="725"/>
      <c r="S546" s="724"/>
      <c r="U546" s="725"/>
    </row>
    <row r="547" spans="1:24" s="350" customFormat="1" ht="15" hidden="1" customHeight="1" x14ac:dyDescent="0.25">
      <c r="B547" s="725"/>
      <c r="S547" s="724"/>
      <c r="U547" s="725"/>
    </row>
    <row r="548" spans="1:24" s="350" customFormat="1" ht="15" hidden="1" customHeight="1" x14ac:dyDescent="0.25">
      <c r="B548" s="725"/>
      <c r="S548" s="724"/>
      <c r="U548" s="725"/>
    </row>
    <row r="549" spans="1:24" s="123" customFormat="1" ht="15.75" hidden="1" x14ac:dyDescent="0.25">
      <c r="A549" s="130"/>
      <c r="B549" s="726" t="s">
        <v>1548</v>
      </c>
      <c r="C549" s="240"/>
      <c r="D549" s="240"/>
      <c r="E549" s="240"/>
      <c r="F549" s="240"/>
      <c r="G549" s="240"/>
      <c r="H549" s="240"/>
      <c r="I549" s="240"/>
      <c r="J549" s="240"/>
      <c r="K549" s="240"/>
      <c r="L549" s="240"/>
      <c r="M549" s="240"/>
      <c r="N549" s="240"/>
      <c r="R549" s="230"/>
      <c r="T549" s="218"/>
      <c r="X549" s="222"/>
    </row>
    <row r="550" spans="1:24" s="350" customFormat="1" ht="15" hidden="1" customHeight="1" x14ac:dyDescent="0.25">
      <c r="B550" s="725"/>
      <c r="S550" s="724"/>
      <c r="U550" s="725"/>
    </row>
    <row r="551" spans="1:24" s="350" customFormat="1" ht="15.75" hidden="1" x14ac:dyDescent="0.25">
      <c r="S551" s="724"/>
      <c r="U551" s="725"/>
    </row>
    <row r="552" spans="1:24" s="350" customFormat="1" ht="15.75" hidden="1" x14ac:dyDescent="0.25">
      <c r="B552" s="275" t="str">
        <f>'Forklift INPUTS'!B558</f>
        <v>5 kW unit equivalents for scale and learning</v>
      </c>
      <c r="C552" s="242"/>
      <c r="D552" s="243"/>
      <c r="E552" s="244"/>
      <c r="F552" s="1894" t="s">
        <v>2195</v>
      </c>
      <c r="G552" s="1895" t="s">
        <v>2194</v>
      </c>
      <c r="S552" s="724"/>
      <c r="U552" s="725"/>
    </row>
    <row r="553" spans="1:24" s="350" customFormat="1" ht="15.75" hidden="1" x14ac:dyDescent="0.25">
      <c r="B553" s="275"/>
      <c r="C553" s="242"/>
      <c r="D553" s="244" t="str">
        <f>'Forklift INPUTS'!D559</f>
        <v>User-specified</v>
      </c>
      <c r="E553" s="244" t="s">
        <v>1459</v>
      </c>
      <c r="F553" s="727" t="s">
        <v>1460</v>
      </c>
      <c r="G553" s="244" t="str">
        <f>'Forklift INPUTS'!G559</f>
        <v>Cumulative 5kW units</v>
      </c>
      <c r="S553" s="724"/>
      <c r="U553" s="725"/>
    </row>
    <row r="554" spans="1:24" s="350" customFormat="1" ht="15.75" hidden="1" x14ac:dyDescent="0.25">
      <c r="B554" s="242"/>
      <c r="C554" s="1236" t="s">
        <v>1952</v>
      </c>
      <c r="D554" s="244"/>
      <c r="E554" s="244"/>
      <c r="F554" s="324">
        <f>productionCostLevel</f>
        <v>2000</v>
      </c>
      <c r="G554" s="324">
        <f>Costs!B48</f>
        <v>3200</v>
      </c>
      <c r="S554" s="724"/>
      <c r="U554" s="725"/>
    </row>
    <row r="555" spans="1:24" s="350" customFormat="1" ht="15.75" hidden="1" x14ac:dyDescent="0.25">
      <c r="B555" s="274"/>
      <c r="C555" s="1236">
        <v>2011</v>
      </c>
      <c r="D555" s="244"/>
      <c r="E555" s="324">
        <f>Costs!$B$49</f>
        <v>3000</v>
      </c>
      <c r="F555" s="728">
        <f t="shared" ref="F555:F564" si="290">(MAX(D555,E555))/$J$169</f>
        <v>1000</v>
      </c>
      <c r="G555" s="324">
        <f>G554+E555</f>
        <v>6200</v>
      </c>
      <c r="S555" s="724"/>
      <c r="U555" s="725"/>
    </row>
    <row r="556" spans="1:24" s="350" customFormat="1" ht="15.75" hidden="1" x14ac:dyDescent="0.25">
      <c r="B556" s="274"/>
      <c r="C556" s="1236">
        <v>2012</v>
      </c>
      <c r="D556" s="244"/>
      <c r="E556" s="324">
        <f>Costs!$B$49</f>
        <v>3000</v>
      </c>
      <c r="F556" s="728">
        <f t="shared" si="290"/>
        <v>1000</v>
      </c>
      <c r="G556" s="324">
        <f>G555+E556</f>
        <v>9200</v>
      </c>
      <c r="S556" s="724"/>
      <c r="U556" s="725"/>
    </row>
    <row r="557" spans="1:24" s="350" customFormat="1" ht="15.75" hidden="1" x14ac:dyDescent="0.25">
      <c r="B557" s="274"/>
      <c r="C557" s="1236">
        <v>2013</v>
      </c>
      <c r="D557" s="244"/>
      <c r="E557" s="324">
        <f>Costs!$B$49</f>
        <v>3000</v>
      </c>
      <c r="F557" s="728">
        <f t="shared" si="290"/>
        <v>1000</v>
      </c>
      <c r="G557" s="324">
        <f>G556+E557</f>
        <v>12200</v>
      </c>
      <c r="S557" s="724"/>
      <c r="U557" s="725"/>
    </row>
    <row r="558" spans="1:24" s="350" customFormat="1" ht="15.75" hidden="1" x14ac:dyDescent="0.25">
      <c r="B558" s="274"/>
      <c r="C558" s="1236">
        <v>2014</v>
      </c>
      <c r="D558" s="244"/>
      <c r="E558" s="324">
        <f>Costs!$B$49</f>
        <v>3000</v>
      </c>
      <c r="F558" s="728">
        <f t="shared" si="290"/>
        <v>1000</v>
      </c>
      <c r="G558" s="324">
        <f>G557+E558</f>
        <v>15200</v>
      </c>
      <c r="S558" s="724"/>
      <c r="U558" s="725"/>
    </row>
    <row r="559" spans="1:24" s="350" customFormat="1" ht="15.75" hidden="1" x14ac:dyDescent="0.25">
      <c r="B559" s="274"/>
      <c r="C559" s="244">
        <f>'Forklift INPUTS'!C565</f>
        <v>2015</v>
      </c>
      <c r="D559" s="358">
        <f>H28*Costs!$C$22</f>
        <v>0</v>
      </c>
      <c r="E559" s="359">
        <f>Costs!$B$50</f>
        <v>3000</v>
      </c>
      <c r="F559" s="728">
        <f t="shared" si="290"/>
        <v>1000</v>
      </c>
      <c r="G559" s="359">
        <f t="shared" ref="G559:G564" si="291">G558+MAX(E559,D559)</f>
        <v>18200</v>
      </c>
      <c r="S559" s="724"/>
      <c r="U559" s="725"/>
    </row>
    <row r="560" spans="1:24" s="350" customFormat="1" ht="15.75" hidden="1" x14ac:dyDescent="0.25">
      <c r="B560" s="274"/>
      <c r="C560" s="244">
        <f>'Forklift INPUTS'!C566</f>
        <v>2016</v>
      </c>
      <c r="D560" s="358">
        <f>H29*Costs!$C$22</f>
        <v>0</v>
      </c>
      <c r="E560" s="359">
        <f>Costs!$B$50</f>
        <v>3000</v>
      </c>
      <c r="F560" s="728">
        <f t="shared" si="290"/>
        <v>1000</v>
      </c>
      <c r="G560" s="359">
        <f t="shared" si="291"/>
        <v>21200</v>
      </c>
      <c r="S560" s="724"/>
      <c r="U560" s="725"/>
    </row>
    <row r="561" spans="2:21" s="350" customFormat="1" ht="15.75" hidden="1" x14ac:dyDescent="0.25">
      <c r="B561" s="274"/>
      <c r="C561" s="244">
        <f>'Forklift INPUTS'!C567</f>
        <v>2017</v>
      </c>
      <c r="D561" s="358">
        <f>H30*Costs!$C$22</f>
        <v>0</v>
      </c>
      <c r="E561" s="359">
        <f>Costs!$B$50</f>
        <v>3000</v>
      </c>
      <c r="F561" s="728">
        <f t="shared" si="290"/>
        <v>1000</v>
      </c>
      <c r="G561" s="359">
        <f t="shared" si="291"/>
        <v>24200</v>
      </c>
      <c r="S561" s="724"/>
      <c r="U561" s="725"/>
    </row>
    <row r="562" spans="2:21" s="350" customFormat="1" ht="15.75" hidden="1" x14ac:dyDescent="0.25">
      <c r="B562" s="274"/>
      <c r="C562" s="244">
        <f>'Forklift INPUTS'!C568</f>
        <v>2018</v>
      </c>
      <c r="D562" s="358">
        <f>H31*Costs!$C$22</f>
        <v>0</v>
      </c>
      <c r="E562" s="359">
        <f>Costs!$B$50</f>
        <v>3000</v>
      </c>
      <c r="F562" s="728">
        <f t="shared" si="290"/>
        <v>1000</v>
      </c>
      <c r="G562" s="359">
        <f t="shared" si="291"/>
        <v>27200</v>
      </c>
      <c r="S562" s="724"/>
      <c r="U562" s="725"/>
    </row>
    <row r="563" spans="2:21" s="350" customFormat="1" ht="15.75" hidden="1" x14ac:dyDescent="0.25">
      <c r="B563" s="274"/>
      <c r="C563" s="244">
        <f>'Forklift INPUTS'!C569</f>
        <v>2019</v>
      </c>
      <c r="D563" s="358">
        <f>H32*Costs!$C$22</f>
        <v>0</v>
      </c>
      <c r="E563" s="359">
        <f>Costs!$B$50</f>
        <v>3000</v>
      </c>
      <c r="F563" s="728">
        <f t="shared" si="290"/>
        <v>1000</v>
      </c>
      <c r="G563" s="359">
        <f t="shared" si="291"/>
        <v>30200</v>
      </c>
      <c r="S563" s="724"/>
      <c r="U563" s="725"/>
    </row>
    <row r="564" spans="2:21" s="350" customFormat="1" ht="15" hidden="1" customHeight="1" x14ac:dyDescent="0.25">
      <c r="B564" s="274"/>
      <c r="C564" s="244">
        <f>'Forklift INPUTS'!C570</f>
        <v>2020</v>
      </c>
      <c r="D564" s="358">
        <f>H33*Costs!$C$22</f>
        <v>0</v>
      </c>
      <c r="E564" s="359">
        <f>Costs!$B$50</f>
        <v>3000</v>
      </c>
      <c r="F564" s="728">
        <f t="shared" si="290"/>
        <v>1000</v>
      </c>
      <c r="G564" s="359">
        <f t="shared" si="291"/>
        <v>33200</v>
      </c>
      <c r="S564" s="724"/>
      <c r="U564" s="725"/>
    </row>
    <row r="565" spans="2:21" s="350" customFormat="1" ht="15.75" hidden="1" x14ac:dyDescent="0.25">
      <c r="S565" s="724"/>
      <c r="U565" s="725"/>
    </row>
    <row r="566" spans="2:21" s="350" customFormat="1" ht="15.75" hidden="1" x14ac:dyDescent="0.25">
      <c r="B566" s="273" t="str">
        <f>'Forklift INPUTS'!B572</f>
        <v>Installations</v>
      </c>
      <c r="C566" s="242"/>
      <c r="D566" s="253" t="str">
        <f>'Forklift INPUTS'!D572</f>
        <v>Installed units (annual)</v>
      </c>
      <c r="E566" s="253" t="str">
        <f>'Forklift INPUTS'!E572</f>
        <v>Installed units (annual)</v>
      </c>
      <c r="F566" s="253" t="str">
        <f>'Forklift INPUTS'!F572</f>
        <v>Installed units (annual)</v>
      </c>
      <c r="G566" s="253" t="s">
        <v>2075</v>
      </c>
      <c r="H566" s="253" t="s">
        <v>2075</v>
      </c>
      <c r="S566" s="724"/>
      <c r="U566" s="725"/>
    </row>
    <row r="567" spans="2:21" s="350" customFormat="1" ht="15.75" hidden="1" x14ac:dyDescent="0.25">
      <c r="B567" s="274"/>
      <c r="C567" s="255"/>
      <c r="D567" s="256" t="str">
        <f>'Forklift INPUTS'!D573</f>
        <v>Domestic (net)</v>
      </c>
      <c r="E567" s="256" t="str">
        <f>'Forklift INPUTS'!E573</f>
        <v>Imported</v>
      </c>
      <c r="F567" s="256" t="str">
        <f>'Forklift INPUTS'!F573</f>
        <v>Net Annual</v>
      </c>
      <c r="G567" s="253" t="s">
        <v>1476</v>
      </c>
      <c r="H567" s="253" t="s">
        <v>1494</v>
      </c>
      <c r="S567" s="724"/>
      <c r="U567" s="725"/>
    </row>
    <row r="568" spans="2:21" s="350" customFormat="1" ht="15.75" hidden="1" x14ac:dyDescent="0.25">
      <c r="B568" s="274"/>
      <c r="C568" s="243" t="s">
        <v>1479</v>
      </c>
      <c r="D568" s="274"/>
      <c r="E568" s="274"/>
      <c r="F568" s="274"/>
      <c r="G568" s="274"/>
      <c r="H568" s="372">
        <f>J84</f>
        <v>0</v>
      </c>
      <c r="S568" s="724"/>
      <c r="U568" s="725"/>
    </row>
    <row r="569" spans="2:21" s="350" customFormat="1" ht="15.75" hidden="1" x14ac:dyDescent="0.25">
      <c r="B569" s="274"/>
      <c r="C569" s="244">
        <f>'Forklift INPUTS'!C575</f>
        <v>2015</v>
      </c>
      <c r="D569" s="245">
        <f t="shared" ref="D569:D574" si="292">H28-I28</f>
        <v>0</v>
      </c>
      <c r="E569" s="245">
        <f t="shared" ref="E569:E574" si="293">J28</f>
        <v>0</v>
      </c>
      <c r="F569" s="245">
        <f>D569+E569</f>
        <v>0</v>
      </c>
      <c r="G569" s="373">
        <f>SUM(F569:F$569)</f>
        <v>0</v>
      </c>
      <c r="H569" s="245">
        <f>H568+F569</f>
        <v>0</v>
      </c>
      <c r="S569" s="724"/>
      <c r="U569" s="725"/>
    </row>
    <row r="570" spans="2:21" s="350" customFormat="1" ht="15.75" hidden="1" x14ac:dyDescent="0.25">
      <c r="B570" s="274"/>
      <c r="C570" s="244">
        <f>'Forklift INPUTS'!C576</f>
        <v>2016</v>
      </c>
      <c r="D570" s="245">
        <f t="shared" si="292"/>
        <v>0</v>
      </c>
      <c r="E570" s="245">
        <f t="shared" si="293"/>
        <v>0</v>
      </c>
      <c r="F570" s="245">
        <f t="shared" ref="F570:F574" si="294">D570+E570</f>
        <v>0</v>
      </c>
      <c r="G570" s="373">
        <f>SUM(F$569:F570)</f>
        <v>0</v>
      </c>
      <c r="H570" s="245">
        <f t="shared" ref="H570:H574" si="295">H569+F570</f>
        <v>0</v>
      </c>
      <c r="S570" s="724"/>
      <c r="U570" s="725"/>
    </row>
    <row r="571" spans="2:21" s="350" customFormat="1" ht="15.75" hidden="1" x14ac:dyDescent="0.25">
      <c r="B571" s="274"/>
      <c r="C571" s="244">
        <f>'Forklift INPUTS'!C577</f>
        <v>2017</v>
      </c>
      <c r="D571" s="245">
        <f t="shared" si="292"/>
        <v>0</v>
      </c>
      <c r="E571" s="245">
        <f t="shared" si="293"/>
        <v>0</v>
      </c>
      <c r="F571" s="245">
        <f t="shared" si="294"/>
        <v>0</v>
      </c>
      <c r="G571" s="373">
        <f>SUM(F$569:F571)</f>
        <v>0</v>
      </c>
      <c r="H571" s="245">
        <f t="shared" si="295"/>
        <v>0</v>
      </c>
      <c r="S571" s="724"/>
      <c r="U571" s="725"/>
    </row>
    <row r="572" spans="2:21" s="350" customFormat="1" ht="15.75" hidden="1" x14ac:dyDescent="0.25">
      <c r="B572" s="274"/>
      <c r="C572" s="244">
        <f>'Forklift INPUTS'!C578</f>
        <v>2018</v>
      </c>
      <c r="D572" s="245">
        <f t="shared" si="292"/>
        <v>0</v>
      </c>
      <c r="E572" s="245">
        <f t="shared" si="293"/>
        <v>0</v>
      </c>
      <c r="F572" s="245">
        <f t="shared" si="294"/>
        <v>0</v>
      </c>
      <c r="G572" s="373">
        <f>SUM(F$569:F572)</f>
        <v>0</v>
      </c>
      <c r="H572" s="245">
        <f t="shared" si="295"/>
        <v>0</v>
      </c>
      <c r="S572" s="724"/>
      <c r="U572" s="725"/>
    </row>
    <row r="573" spans="2:21" s="350" customFormat="1" ht="15.75" hidden="1" x14ac:dyDescent="0.25">
      <c r="B573" s="274"/>
      <c r="C573" s="244">
        <f>'Forklift INPUTS'!C579</f>
        <v>2019</v>
      </c>
      <c r="D573" s="245">
        <f t="shared" si="292"/>
        <v>0</v>
      </c>
      <c r="E573" s="245">
        <f t="shared" si="293"/>
        <v>0</v>
      </c>
      <c r="F573" s="245">
        <f t="shared" si="294"/>
        <v>0</v>
      </c>
      <c r="G573" s="373">
        <f>SUM(F$569:F573)</f>
        <v>0</v>
      </c>
      <c r="H573" s="245">
        <f t="shared" si="295"/>
        <v>0</v>
      </c>
      <c r="S573" s="724"/>
      <c r="U573" s="725"/>
    </row>
    <row r="574" spans="2:21" s="350" customFormat="1" ht="15.75" hidden="1" x14ac:dyDescent="0.25">
      <c r="B574" s="274"/>
      <c r="C574" s="244">
        <f>'Forklift INPUTS'!C580</f>
        <v>2020</v>
      </c>
      <c r="D574" s="245">
        <f t="shared" si="292"/>
        <v>0</v>
      </c>
      <c r="E574" s="245">
        <f t="shared" si="293"/>
        <v>0</v>
      </c>
      <c r="F574" s="245">
        <f t="shared" si="294"/>
        <v>0</v>
      </c>
      <c r="G574" s="373">
        <f>SUM(F$569:F574)</f>
        <v>0</v>
      </c>
      <c r="H574" s="245">
        <f t="shared" si="295"/>
        <v>0</v>
      </c>
      <c r="S574" s="724"/>
      <c r="U574" s="725"/>
    </row>
    <row r="575" spans="2:21" s="350" customFormat="1" ht="15.75" hidden="1" x14ac:dyDescent="0.25">
      <c r="S575" s="724"/>
      <c r="U575" s="725"/>
    </row>
    <row r="576" spans="2:21" s="350" customFormat="1" ht="15.75" hidden="1" x14ac:dyDescent="0.25">
      <c r="S576" s="724"/>
      <c r="U576" s="725"/>
    </row>
    <row r="577" spans="2:21" s="350" customFormat="1" ht="15.75" hidden="1" x14ac:dyDescent="0.25">
      <c r="B577" s="276" t="str">
        <f>'Forklift INPUTS'!B592</f>
        <v>Deflator</v>
      </c>
      <c r="C577" s="244" t="str">
        <f>'Forklift INPUTS'!C592</f>
        <v>RIMS (2008)</v>
      </c>
      <c r="D577" s="244">
        <f>'Forklift INPUTS'!D592</f>
        <v>0</v>
      </c>
      <c r="E577" s="242"/>
      <c r="F577" s="242"/>
      <c r="G577" s="242"/>
      <c r="S577" s="724"/>
      <c r="U577" s="725"/>
    </row>
    <row r="578" spans="2:21" s="350" customFormat="1" ht="15.75" hidden="1" x14ac:dyDescent="0.25">
      <c r="B578" s="274"/>
      <c r="C578" s="242">
        <f>'Forklift INPUTS'!C593</f>
        <v>0.98737480280294965</v>
      </c>
      <c r="D578" s="242">
        <f>'Forklift INPUTS'!D593</f>
        <v>0</v>
      </c>
      <c r="E578" s="242"/>
      <c r="F578" s="242"/>
      <c r="G578" s="242"/>
      <c r="S578" s="724"/>
      <c r="U578" s="725"/>
    </row>
    <row r="579" spans="2:21" s="350" customFormat="1" ht="15.75" hidden="1" x14ac:dyDescent="0.25">
      <c r="B579" s="274"/>
      <c r="C579" s="242"/>
      <c r="D579" s="242"/>
      <c r="E579" s="242"/>
      <c r="F579" s="242"/>
      <c r="G579" s="242"/>
      <c r="S579" s="724"/>
      <c r="U579" s="725"/>
    </row>
    <row r="580" spans="2:21" s="350" customFormat="1" ht="15.75" hidden="1" x14ac:dyDescent="0.25">
      <c r="B580" s="273" t="str">
        <f>'Forklift INPUTS'!B595</f>
        <v>Total mfg costs ($/year)</v>
      </c>
      <c r="C580" s="246"/>
      <c r="D580" s="246"/>
      <c r="E580" s="246"/>
      <c r="F580" s="244"/>
      <c r="G580" s="244"/>
      <c r="S580" s="724"/>
      <c r="U580" s="725"/>
    </row>
    <row r="581" spans="2:21" s="350" customFormat="1" ht="15.75" hidden="1" x14ac:dyDescent="0.25">
      <c r="B581" s="277" t="str">
        <f>'Forklift INPUTS'!B596</f>
        <v>$/kW * kW/unit * units/year</v>
      </c>
      <c r="C581" s="242"/>
      <c r="D581" s="243"/>
      <c r="E581" s="243"/>
      <c r="F581" s="243" t="str">
        <f>'Forklift INPUTS'!F596</f>
        <v>Total</v>
      </c>
      <c r="G581" s="244" t="str">
        <f>'Forklift INPUTS'!G596</f>
        <v>2008 dollars</v>
      </c>
      <c r="S581" s="724"/>
      <c r="U581" s="725"/>
    </row>
    <row r="582" spans="2:21" s="350" customFormat="1" ht="15.75" hidden="1" x14ac:dyDescent="0.25">
      <c r="B582" s="274"/>
      <c r="C582" s="247">
        <f>'Forklift INPUTS'!C597</f>
        <v>2015</v>
      </c>
      <c r="D582" s="286"/>
      <c r="E582" s="248"/>
      <c r="F582" s="248">
        <f>cost_2015*avgSize*mfg_2015</f>
        <v>0</v>
      </c>
      <c r="G582" s="248">
        <f t="shared" ref="G582:G587" si="296">$F582*$C$578</f>
        <v>0</v>
      </c>
      <c r="S582" s="724"/>
      <c r="U582" s="725"/>
    </row>
    <row r="583" spans="2:21" s="350" customFormat="1" ht="15.75" hidden="1" x14ac:dyDescent="0.25">
      <c r="B583" s="274"/>
      <c r="C583" s="247">
        <f>'Forklift INPUTS'!C598</f>
        <v>2016</v>
      </c>
      <c r="D583" s="248"/>
      <c r="E583" s="248"/>
      <c r="F583" s="248">
        <f>cost_2016*avgSize*mfg_2016</f>
        <v>0</v>
      </c>
      <c r="G583" s="248">
        <f t="shared" si="296"/>
        <v>0</v>
      </c>
      <c r="S583" s="724"/>
      <c r="U583" s="725"/>
    </row>
    <row r="584" spans="2:21" s="350" customFormat="1" ht="15.75" hidden="1" x14ac:dyDescent="0.25">
      <c r="B584" s="274"/>
      <c r="C584" s="247">
        <f>'Forklift INPUTS'!C599</f>
        <v>2017</v>
      </c>
      <c r="D584" s="248"/>
      <c r="E584" s="248"/>
      <c r="F584" s="248">
        <f>cost_2017*avgSize*mfg_2017</f>
        <v>0</v>
      </c>
      <c r="G584" s="248">
        <f t="shared" si="296"/>
        <v>0</v>
      </c>
      <c r="S584" s="724"/>
      <c r="U584" s="725"/>
    </row>
    <row r="585" spans="2:21" s="350" customFormat="1" ht="15.75" hidden="1" x14ac:dyDescent="0.25">
      <c r="B585" s="274"/>
      <c r="C585" s="247">
        <f>'Forklift INPUTS'!C600</f>
        <v>2018</v>
      </c>
      <c r="D585" s="248"/>
      <c r="E585" s="248"/>
      <c r="F585" s="248">
        <f>cost_2018*avgSize*mfg_2018</f>
        <v>0</v>
      </c>
      <c r="G585" s="248">
        <f t="shared" si="296"/>
        <v>0</v>
      </c>
      <c r="S585" s="724"/>
      <c r="U585" s="725"/>
    </row>
    <row r="586" spans="2:21" s="350" customFormat="1" ht="15.75" hidden="1" x14ac:dyDescent="0.25">
      <c r="B586" s="274"/>
      <c r="C586" s="247">
        <f>'Forklift INPUTS'!C601</f>
        <v>2019</v>
      </c>
      <c r="D586" s="248"/>
      <c r="E586" s="248"/>
      <c r="F586" s="248">
        <f>cost_2019*avgSize*mfg_2019</f>
        <v>0</v>
      </c>
      <c r="G586" s="248">
        <f t="shared" si="296"/>
        <v>0</v>
      </c>
      <c r="S586" s="724"/>
      <c r="U586" s="725"/>
    </row>
    <row r="587" spans="2:21" s="350" customFormat="1" ht="15.75" hidden="1" x14ac:dyDescent="0.25">
      <c r="B587" s="274"/>
      <c r="C587" s="247">
        <f>'Forklift INPUTS'!C602</f>
        <v>2020</v>
      </c>
      <c r="D587" s="248"/>
      <c r="E587" s="248"/>
      <c r="F587" s="248">
        <f>cost_2020*avgSize*mfg_2020</f>
        <v>0</v>
      </c>
      <c r="G587" s="248">
        <f t="shared" si="296"/>
        <v>0</v>
      </c>
      <c r="S587" s="724"/>
      <c r="U587" s="725"/>
    </row>
    <row r="588" spans="2:21" s="350" customFormat="1" ht="15.75" hidden="1" x14ac:dyDescent="0.25">
      <c r="B588" s="274"/>
      <c r="C588" s="247"/>
      <c r="D588" s="248"/>
      <c r="E588" s="248"/>
      <c r="F588" s="248"/>
      <c r="G588" s="249"/>
      <c r="S588" s="724"/>
      <c r="U588" s="725"/>
    </row>
    <row r="589" spans="2:21" s="350" customFormat="1" ht="15.75" hidden="1" x14ac:dyDescent="0.25">
      <c r="B589" s="273" t="str">
        <f>'Forklift INPUTS'!B604</f>
        <v>Total non mfg costs ($/year)</v>
      </c>
      <c r="C589" s="250"/>
      <c r="D589" s="251"/>
      <c r="E589" s="251"/>
      <c r="F589" s="251" t="str">
        <f>'Forklift INPUTS'!F604</f>
        <v>Total</v>
      </c>
      <c r="G589" s="251" t="str">
        <f>'Forklift INPUTS'!G604</f>
        <v>2008 dollars</v>
      </c>
      <c r="S589" s="724"/>
      <c r="U589" s="725"/>
    </row>
    <row r="590" spans="2:21" s="350" customFormat="1" ht="15.75" hidden="1" x14ac:dyDescent="0.25">
      <c r="B590" s="274"/>
      <c r="C590" s="247">
        <f>'Forklift INPUTS'!C605</f>
        <v>2015</v>
      </c>
      <c r="D590" s="248"/>
      <c r="E590" s="248"/>
      <c r="F590" s="248">
        <f>(price_2015-cost_2015)*avgSize*mfg_2015</f>
        <v>0</v>
      </c>
      <c r="G590" s="248">
        <f t="shared" ref="G590:G595" si="297">$F590*$C$578</f>
        <v>0</v>
      </c>
      <c r="S590" s="724"/>
      <c r="U590" s="725"/>
    </row>
    <row r="591" spans="2:21" s="350" customFormat="1" ht="15.75" hidden="1" x14ac:dyDescent="0.25">
      <c r="B591" s="274"/>
      <c r="C591" s="247">
        <f>'Forklift INPUTS'!C606</f>
        <v>2016</v>
      </c>
      <c r="D591" s="248"/>
      <c r="E591" s="248"/>
      <c r="F591" s="248">
        <f>(price_2016-cost_2016)*avgSize*mfg_2016</f>
        <v>0</v>
      </c>
      <c r="G591" s="248">
        <f t="shared" si="297"/>
        <v>0</v>
      </c>
      <c r="S591" s="724"/>
      <c r="U591" s="725"/>
    </row>
    <row r="592" spans="2:21" s="350" customFormat="1" ht="15.75" hidden="1" x14ac:dyDescent="0.25">
      <c r="B592" s="274"/>
      <c r="C592" s="247">
        <f>'Forklift INPUTS'!C607</f>
        <v>2017</v>
      </c>
      <c r="D592" s="248"/>
      <c r="E592" s="248"/>
      <c r="F592" s="248">
        <f>(price_2017-cost_2017)*avgSize*mfg_2017</f>
        <v>0</v>
      </c>
      <c r="G592" s="248">
        <f t="shared" si="297"/>
        <v>0</v>
      </c>
      <c r="S592" s="724"/>
      <c r="U592" s="725"/>
    </row>
    <row r="593" spans="2:21" s="350" customFormat="1" ht="15.75" hidden="1" x14ac:dyDescent="0.25">
      <c r="B593" s="274"/>
      <c r="C593" s="247">
        <f>'Forklift INPUTS'!C608</f>
        <v>2018</v>
      </c>
      <c r="D593" s="248"/>
      <c r="E593" s="248"/>
      <c r="F593" s="248">
        <f>(price_2018-cost_2018)*avgSize*mfg_2018</f>
        <v>0</v>
      </c>
      <c r="G593" s="248">
        <f t="shared" si="297"/>
        <v>0</v>
      </c>
      <c r="S593" s="724"/>
      <c r="U593" s="725"/>
    </row>
    <row r="594" spans="2:21" s="350" customFormat="1" ht="15.75" hidden="1" x14ac:dyDescent="0.25">
      <c r="B594" s="274"/>
      <c r="C594" s="247">
        <f>'Forklift INPUTS'!C609</f>
        <v>2019</v>
      </c>
      <c r="D594" s="248"/>
      <c r="E594" s="248"/>
      <c r="F594" s="248">
        <f>(price_2019-cost_2019)*avgSize*mfg_2019</f>
        <v>0</v>
      </c>
      <c r="G594" s="248">
        <f t="shared" si="297"/>
        <v>0</v>
      </c>
      <c r="S594" s="724"/>
      <c r="U594" s="725"/>
    </row>
    <row r="595" spans="2:21" s="350" customFormat="1" ht="15.75" hidden="1" x14ac:dyDescent="0.25">
      <c r="B595" s="274"/>
      <c r="C595" s="247">
        <f>'Forklift INPUTS'!C610</f>
        <v>2020</v>
      </c>
      <c r="D595" s="248"/>
      <c r="E595" s="248"/>
      <c r="F595" s="248">
        <f>(price_2020-cost_2020)*avgSize*mfg_2020</f>
        <v>0</v>
      </c>
      <c r="G595" s="248">
        <f t="shared" si="297"/>
        <v>0</v>
      </c>
      <c r="S595" s="724"/>
      <c r="U595" s="725"/>
    </row>
    <row r="596" spans="2:21" s="350" customFormat="1" ht="15.75" hidden="1" x14ac:dyDescent="0.25">
      <c r="S596" s="724"/>
      <c r="U596" s="725"/>
    </row>
    <row r="597" spans="2:21" s="350" customFormat="1" ht="15.75" hidden="1" x14ac:dyDescent="0.25">
      <c r="B597" s="1860" t="s">
        <v>1908</v>
      </c>
      <c r="C597" s="1877"/>
      <c r="D597" s="1877"/>
      <c r="S597" s="724"/>
      <c r="U597" s="725"/>
    </row>
    <row r="598" spans="2:21" s="350" customFormat="1" ht="15.75" hidden="1" x14ac:dyDescent="0.25">
      <c r="B598" s="1877" t="s">
        <v>1920</v>
      </c>
      <c r="C598" s="1877"/>
      <c r="D598" s="1877">
        <v>0.05</v>
      </c>
      <c r="S598" s="724"/>
      <c r="U598" s="725"/>
    </row>
    <row r="599" spans="2:21" s="350" customFormat="1" ht="15.75" hidden="1" x14ac:dyDescent="0.25">
      <c r="B599" s="1877" t="s">
        <v>1906</v>
      </c>
      <c r="C599" s="1877"/>
      <c r="D599" s="1877">
        <v>0.5</v>
      </c>
      <c r="S599" s="724"/>
      <c r="U599" s="725"/>
    </row>
    <row r="600" spans="2:21" s="350" customFormat="1" ht="15.75" hidden="1" x14ac:dyDescent="0.25">
      <c r="B600" s="1877" t="s">
        <v>1905</v>
      </c>
      <c r="C600" s="1877"/>
      <c r="D600" s="1877">
        <v>0.5</v>
      </c>
      <c r="S600" s="724"/>
      <c r="U600" s="725"/>
    </row>
    <row r="601" spans="2:21" s="350" customFormat="1" ht="15.75" hidden="1" x14ac:dyDescent="0.25">
      <c r="S601" s="724"/>
      <c r="U601" s="725"/>
    </row>
    <row r="602" spans="2:21" s="350" customFormat="1" ht="15.75" hidden="1" x14ac:dyDescent="0.25">
      <c r="B602" s="1870" t="s">
        <v>1498</v>
      </c>
      <c r="C602" s="1875"/>
      <c r="D602" s="1875"/>
      <c r="E602" s="1871"/>
      <c r="F602" s="1876"/>
      <c r="S602" s="724"/>
      <c r="U602" s="725"/>
    </row>
    <row r="603" spans="2:21" s="350" customFormat="1" ht="15.75" hidden="1" x14ac:dyDescent="0.25">
      <c r="B603" s="1871" t="s">
        <v>1462</v>
      </c>
      <c r="C603" s="1871"/>
      <c r="D603" s="1871"/>
      <c r="E603" s="1871">
        <f>runtime*avgSize</f>
        <v>240</v>
      </c>
      <c r="F603" s="1871" t="s">
        <v>2180</v>
      </c>
      <c r="S603" s="724"/>
      <c r="U603" s="725"/>
    </row>
    <row r="604" spans="2:21" s="350" customFormat="1" ht="15.75" hidden="1" x14ac:dyDescent="0.25">
      <c r="B604" s="1871" t="s">
        <v>1463</v>
      </c>
      <c r="C604" s="1871"/>
      <c r="D604" s="1871"/>
      <c r="E604" s="1871">
        <f>J12*(annualusage+J15)</f>
        <v>72</v>
      </c>
      <c r="F604" s="1871" t="s">
        <v>2181</v>
      </c>
      <c r="S604" s="724"/>
      <c r="U604" s="725"/>
    </row>
    <row r="605" spans="2:21" s="350" customFormat="1" ht="15.75" hidden="1" x14ac:dyDescent="0.25">
      <c r="B605" s="1871"/>
      <c r="C605" s="1871"/>
      <c r="D605" s="1872" t="s">
        <v>504</v>
      </c>
      <c r="E605" s="1872" t="s">
        <v>509</v>
      </c>
      <c r="F605" s="1871"/>
      <c r="S605" s="724"/>
      <c r="U605" s="725"/>
    </row>
    <row r="606" spans="2:21" s="350" customFormat="1" ht="15.75" hidden="1" x14ac:dyDescent="0.25">
      <c r="B606" s="1871" t="s">
        <v>1500</v>
      </c>
      <c r="C606" s="1871"/>
      <c r="D606" s="1873">
        <f>E603*F68</f>
        <v>15.600000000000001</v>
      </c>
      <c r="E606" s="1873">
        <f>E603*J68</f>
        <v>15.600000000000001</v>
      </c>
      <c r="F606" s="1871" t="s">
        <v>2182</v>
      </c>
      <c r="S606" s="724"/>
      <c r="U606" s="725"/>
    </row>
    <row r="607" spans="2:21" s="350" customFormat="1" ht="15.75" hidden="1" x14ac:dyDescent="0.25">
      <c r="B607" s="1871" t="s">
        <v>1445</v>
      </c>
      <c r="C607" s="1871"/>
      <c r="D607" s="1874">
        <f>E604*F68</f>
        <v>4.68</v>
      </c>
      <c r="E607" s="1874">
        <f>E604*J68</f>
        <v>4.68</v>
      </c>
      <c r="F607" s="1871" t="s">
        <v>2183</v>
      </c>
      <c r="S607" s="724"/>
      <c r="U607" s="725"/>
    </row>
    <row r="608" spans="2:21" s="350" customFormat="1" ht="15.75" hidden="1" x14ac:dyDescent="0.25">
      <c r="B608" s="1217"/>
      <c r="C608" s="1217"/>
      <c r="D608" s="1217"/>
      <c r="E608" s="1217"/>
      <c r="F608" s="1217"/>
      <c r="S608" s="724"/>
      <c r="U608" s="725"/>
    </row>
    <row r="609" spans="2:21" s="350" customFormat="1" ht="15.75" hidden="1" x14ac:dyDescent="0.25">
      <c r="B609" s="1862" t="s">
        <v>1733</v>
      </c>
      <c r="C609" s="1217"/>
      <c r="D609" s="1217"/>
      <c r="E609" s="1217"/>
      <c r="F609" s="1217"/>
      <c r="S609" s="724"/>
      <c r="U609" s="725"/>
    </row>
    <row r="610" spans="2:21" s="350" customFormat="1" ht="15.75" hidden="1" x14ac:dyDescent="0.25">
      <c r="B610" s="1863" t="s">
        <v>1446</v>
      </c>
      <c r="C610" s="1863"/>
      <c r="D610" s="1863"/>
      <c r="E610" s="1864">
        <v>200</v>
      </c>
      <c r="F610" s="1217"/>
      <c r="S610" s="724"/>
      <c r="U610" s="725"/>
    </row>
    <row r="611" spans="2:21" s="350" customFormat="1" ht="15.75" hidden="1" x14ac:dyDescent="0.25">
      <c r="B611" s="1863" t="s">
        <v>1444</v>
      </c>
      <c r="C611" s="1863"/>
      <c r="D611" s="1863"/>
      <c r="E611" s="1863">
        <v>8</v>
      </c>
      <c r="F611" s="1217"/>
      <c r="S611" s="724"/>
      <c r="U611" s="725"/>
    </row>
    <row r="612" spans="2:21" s="350" customFormat="1" ht="15.75" hidden="1" x14ac:dyDescent="0.25">
      <c r="B612" s="1863" t="s">
        <v>1447</v>
      </c>
      <c r="C612" s="1863"/>
      <c r="D612" s="1863"/>
      <c r="E612" s="1865">
        <f>E603/E611</f>
        <v>30</v>
      </c>
      <c r="F612" s="1217"/>
      <c r="S612" s="724"/>
      <c r="U612" s="725"/>
    </row>
    <row r="613" spans="2:21" s="350" customFormat="1" ht="15.75" hidden="1" x14ac:dyDescent="0.25">
      <c r="B613" s="1866" t="s">
        <v>1448</v>
      </c>
      <c r="C613" s="1866"/>
      <c r="D613" s="1866"/>
      <c r="E613" s="1867">
        <v>1200</v>
      </c>
      <c r="F613" s="1217"/>
      <c r="S613" s="724"/>
      <c r="U613" s="725"/>
    </row>
    <row r="614" spans="2:21" s="350" customFormat="1" ht="15.75" hidden="1" x14ac:dyDescent="0.25">
      <c r="B614" s="1866" t="s">
        <v>1449</v>
      </c>
      <c r="C614" s="1866"/>
      <c r="D614" s="1866"/>
      <c r="E614" s="1867">
        <v>6500</v>
      </c>
      <c r="F614" s="1217"/>
      <c r="S614" s="724"/>
      <c r="U614" s="725"/>
    </row>
    <row r="615" spans="2:21" s="350" customFormat="1" ht="15.75" hidden="1" x14ac:dyDescent="0.25">
      <c r="B615" s="1868" t="s">
        <v>1638</v>
      </c>
      <c r="C615" s="1861"/>
      <c r="D615" s="1861"/>
      <c r="E615" s="1861"/>
      <c r="F615" s="1217"/>
      <c r="S615" s="724"/>
      <c r="U615" s="725"/>
    </row>
    <row r="616" spans="2:21" s="350" customFormat="1" ht="15.75" hidden="1" x14ac:dyDescent="0.25">
      <c r="B616" s="1866" t="s">
        <v>1450</v>
      </c>
      <c r="C616" s="1861"/>
      <c r="D616" s="1861"/>
      <c r="E616" s="1869">
        <v>0.6</v>
      </c>
      <c r="F616" s="1217"/>
      <c r="S616" s="724"/>
      <c r="U616" s="725"/>
    </row>
    <row r="617" spans="2:21" s="350" customFormat="1" ht="15.75" hidden="1" x14ac:dyDescent="0.25">
      <c r="S617" s="724"/>
      <c r="U617" s="725"/>
    </row>
    <row r="618" spans="2:21" s="350" customFormat="1" ht="15.75" hidden="1" x14ac:dyDescent="0.25">
      <c r="S618" s="724"/>
      <c r="U618" s="725"/>
    </row>
    <row r="619" spans="2:21" s="350" customFormat="1" ht="15.75" hidden="1" x14ac:dyDescent="0.25">
      <c r="S619" s="724"/>
      <c r="U619" s="725"/>
    </row>
    <row r="620" spans="2:21" s="350" customFormat="1" ht="15.75" hidden="1" x14ac:dyDescent="0.25">
      <c r="S620" s="724"/>
      <c r="U620" s="725"/>
    </row>
    <row r="621" spans="2:21" s="350" customFormat="1" ht="15.75" hidden="1" x14ac:dyDescent="0.25">
      <c r="S621" s="724"/>
      <c r="U621" s="725"/>
    </row>
    <row r="622" spans="2:21" s="350" customFormat="1" ht="15.75" hidden="1" x14ac:dyDescent="0.25">
      <c r="S622" s="724"/>
      <c r="U622" s="725"/>
    </row>
    <row r="623" spans="2:21" s="350" customFormat="1" ht="15.75" hidden="1" x14ac:dyDescent="0.25">
      <c r="S623" s="724"/>
      <c r="U623" s="725"/>
    </row>
    <row r="624" spans="2:21" s="350" customFormat="1" ht="15.75" hidden="1" x14ac:dyDescent="0.25">
      <c r="S624" s="724"/>
      <c r="U624" s="725"/>
    </row>
    <row r="625" spans="2:21" s="350" customFormat="1" ht="15.75" hidden="1" x14ac:dyDescent="0.25">
      <c r="B625" s="1897" t="s">
        <v>2178</v>
      </c>
      <c r="C625" s="1861"/>
      <c r="D625" s="1861"/>
      <c r="E625" s="1861"/>
      <c r="F625" s="1861"/>
      <c r="S625" s="724"/>
      <c r="U625" s="725"/>
    </row>
    <row r="626" spans="2:21" s="350" customFormat="1" ht="15.75" hidden="1" x14ac:dyDescent="0.25">
      <c r="B626" s="1217" t="s">
        <v>1734</v>
      </c>
      <c r="C626" s="1217" t="s">
        <v>1735</v>
      </c>
      <c r="D626" s="1217" t="s">
        <v>1736</v>
      </c>
      <c r="E626" s="1217" t="s">
        <v>1737</v>
      </c>
      <c r="F626" s="1218" t="s">
        <v>1738</v>
      </c>
      <c r="S626" s="724"/>
      <c r="U626" s="725"/>
    </row>
    <row r="627" spans="2:21" s="350" customFormat="1" ht="15.75" hidden="1" x14ac:dyDescent="0.25">
      <c r="B627" s="1217">
        <v>20</v>
      </c>
      <c r="C627" s="1217">
        <v>0.25</v>
      </c>
      <c r="D627" s="1217">
        <f t="shared" ref="D627:D638" si="298">C627*B627</f>
        <v>5</v>
      </c>
      <c r="E627" s="1217">
        <v>0.6</v>
      </c>
      <c r="F627" s="1217">
        <f t="shared" ref="F627:F638" si="299">E627/D627</f>
        <v>0.12</v>
      </c>
      <c r="S627" s="724"/>
      <c r="U627" s="725"/>
    </row>
    <row r="628" spans="2:21" s="350" customFormat="1" ht="15.75" hidden="1" x14ac:dyDescent="0.25">
      <c r="B628" s="1217">
        <v>30</v>
      </c>
      <c r="C628" s="1217">
        <v>0.25</v>
      </c>
      <c r="D628" s="1217">
        <f t="shared" si="298"/>
        <v>7.5</v>
      </c>
      <c r="E628" s="1217">
        <v>1.3</v>
      </c>
      <c r="F628" s="1217">
        <f t="shared" si="299"/>
        <v>0.17333333333333334</v>
      </c>
      <c r="S628" s="724"/>
      <c r="U628" s="725"/>
    </row>
    <row r="629" spans="2:21" s="350" customFormat="1" ht="15.75" hidden="1" x14ac:dyDescent="0.25">
      <c r="B629" s="1217">
        <v>20</v>
      </c>
      <c r="C629" s="1217">
        <v>0.5</v>
      </c>
      <c r="D629" s="1217">
        <f t="shared" si="298"/>
        <v>10</v>
      </c>
      <c r="E629" s="1217">
        <v>0.9</v>
      </c>
      <c r="F629" s="1217">
        <f t="shared" si="299"/>
        <v>0.09</v>
      </c>
      <c r="S629" s="724"/>
      <c r="U629" s="725"/>
    </row>
    <row r="630" spans="2:21" s="350" customFormat="1" ht="15.75" hidden="1" x14ac:dyDescent="0.25">
      <c r="B630" s="1217">
        <v>40</v>
      </c>
      <c r="C630" s="1217">
        <v>0.25</v>
      </c>
      <c r="D630" s="1217">
        <f t="shared" si="298"/>
        <v>10</v>
      </c>
      <c r="E630" s="1217">
        <v>1.6</v>
      </c>
      <c r="F630" s="1217">
        <f t="shared" si="299"/>
        <v>0.16</v>
      </c>
      <c r="S630" s="724"/>
      <c r="U630" s="725"/>
    </row>
    <row r="631" spans="2:21" s="350" customFormat="1" ht="15.75" hidden="1" x14ac:dyDescent="0.25">
      <c r="B631" s="1217">
        <v>30</v>
      </c>
      <c r="C631" s="1217">
        <v>0.5</v>
      </c>
      <c r="D631" s="1217">
        <f t="shared" si="298"/>
        <v>15</v>
      </c>
      <c r="E631" s="1217">
        <v>1.8</v>
      </c>
      <c r="F631" s="1217">
        <f t="shared" si="299"/>
        <v>0.12000000000000001</v>
      </c>
      <c r="S631" s="724"/>
      <c r="U631" s="725"/>
    </row>
    <row r="632" spans="2:21" s="350" customFormat="1" ht="15.75" hidden="1" x14ac:dyDescent="0.25">
      <c r="B632" s="1217">
        <v>20</v>
      </c>
      <c r="C632" s="1217">
        <v>0.75</v>
      </c>
      <c r="D632" s="1217">
        <f t="shared" si="298"/>
        <v>15</v>
      </c>
      <c r="E632" s="1217">
        <v>1.3</v>
      </c>
      <c r="F632" s="1217">
        <f t="shared" si="299"/>
        <v>8.666666666666667E-2</v>
      </c>
      <c r="S632" s="724"/>
      <c r="U632" s="725"/>
    </row>
    <row r="633" spans="2:21" s="350" customFormat="1" ht="15.75" hidden="1" x14ac:dyDescent="0.25">
      <c r="B633" s="1217">
        <v>20</v>
      </c>
      <c r="C633" s="1217">
        <v>1</v>
      </c>
      <c r="D633" s="1217">
        <f t="shared" si="298"/>
        <v>20</v>
      </c>
      <c r="E633" s="1217">
        <v>1.6</v>
      </c>
      <c r="F633" s="1217">
        <f t="shared" si="299"/>
        <v>0.08</v>
      </c>
      <c r="S633" s="724"/>
      <c r="U633" s="725"/>
    </row>
    <row r="634" spans="2:21" s="350" customFormat="1" ht="15.75" hidden="1" x14ac:dyDescent="0.25">
      <c r="B634" s="1217">
        <v>40</v>
      </c>
      <c r="C634" s="1217">
        <v>0.5</v>
      </c>
      <c r="D634" s="1217">
        <f t="shared" si="298"/>
        <v>20</v>
      </c>
      <c r="E634" s="1217">
        <v>2.2999999999999998</v>
      </c>
      <c r="F634" s="1217">
        <f t="shared" si="299"/>
        <v>0.11499999999999999</v>
      </c>
      <c r="S634" s="724"/>
      <c r="U634" s="725"/>
    </row>
    <row r="635" spans="2:21" s="350" customFormat="1" ht="15.75" hidden="1" x14ac:dyDescent="0.25">
      <c r="B635" s="1217">
        <v>30</v>
      </c>
      <c r="C635" s="1217">
        <v>0.75</v>
      </c>
      <c r="D635" s="1217">
        <f t="shared" si="298"/>
        <v>22.5</v>
      </c>
      <c r="E635" s="1217">
        <v>2.4</v>
      </c>
      <c r="F635" s="1217">
        <f t="shared" si="299"/>
        <v>0.10666666666666666</v>
      </c>
      <c r="S635" s="724"/>
      <c r="U635" s="725"/>
    </row>
    <row r="636" spans="2:21" s="350" customFormat="1" ht="15.75" hidden="1" x14ac:dyDescent="0.25">
      <c r="B636" s="1217">
        <v>30</v>
      </c>
      <c r="C636" s="1217">
        <v>1</v>
      </c>
      <c r="D636" s="1217">
        <f t="shared" si="298"/>
        <v>30</v>
      </c>
      <c r="E636" s="1217">
        <v>2.9</v>
      </c>
      <c r="F636" s="1217">
        <f t="shared" si="299"/>
        <v>9.6666666666666665E-2</v>
      </c>
      <c r="S636" s="724"/>
      <c r="U636" s="725"/>
    </row>
    <row r="637" spans="2:21" s="350" customFormat="1" ht="15.75" hidden="1" x14ac:dyDescent="0.25">
      <c r="B637" s="1217">
        <v>40</v>
      </c>
      <c r="C637" s="1217">
        <v>0.75</v>
      </c>
      <c r="D637" s="1217">
        <f t="shared" si="298"/>
        <v>30</v>
      </c>
      <c r="E637" s="1217">
        <v>3.2</v>
      </c>
      <c r="F637" s="1217">
        <f t="shared" si="299"/>
        <v>0.10666666666666667</v>
      </c>
      <c r="S637" s="724"/>
      <c r="U637" s="725"/>
    </row>
    <row r="638" spans="2:21" hidden="1" x14ac:dyDescent="0.25">
      <c r="B638" s="1217">
        <v>40</v>
      </c>
      <c r="C638" s="1217">
        <v>1</v>
      </c>
      <c r="D638" s="1217">
        <f t="shared" si="298"/>
        <v>40</v>
      </c>
      <c r="E638" s="1217">
        <v>4</v>
      </c>
      <c r="F638" s="1217">
        <f t="shared" si="299"/>
        <v>0.1</v>
      </c>
    </row>
    <row r="639" spans="2:21" hidden="1" x14ac:dyDescent="0.25">
      <c r="B639" s="1217"/>
      <c r="C639" s="1217"/>
      <c r="D639" s="1217"/>
      <c r="E639" s="1217"/>
      <c r="F639" s="1217"/>
    </row>
    <row r="640" spans="2:21" hidden="1" x14ac:dyDescent="0.25">
      <c r="C640" s="1217"/>
      <c r="D640" s="1217"/>
      <c r="E640" s="1217"/>
      <c r="F640" s="1217"/>
    </row>
    <row r="641" spans="2:6" hidden="1" x14ac:dyDescent="0.25">
      <c r="B641" s="1217"/>
      <c r="C641" s="1217"/>
      <c r="D641" s="1217"/>
      <c r="E641" s="1217"/>
      <c r="F641" s="1217"/>
    </row>
    <row r="642" spans="2:6" hidden="1" x14ac:dyDescent="0.25">
      <c r="B642" s="1217"/>
      <c r="C642" s="1217"/>
      <c r="D642" s="1217"/>
      <c r="E642" s="1217"/>
      <c r="F642" s="1217"/>
    </row>
    <row r="643" spans="2:6" hidden="1" x14ac:dyDescent="0.25">
      <c r="B643" s="1217"/>
      <c r="C643" s="1217"/>
      <c r="D643" s="1217"/>
      <c r="E643" s="1217"/>
      <c r="F643" s="1217"/>
    </row>
    <row r="644" spans="2:6" hidden="1" x14ac:dyDescent="0.25">
      <c r="B644" s="1217"/>
      <c r="C644" s="1217"/>
      <c r="D644" s="1217"/>
      <c r="E644" s="1217"/>
      <c r="F644" s="1217"/>
    </row>
    <row r="645" spans="2:6" hidden="1" x14ac:dyDescent="0.25">
      <c r="B645" s="1217"/>
      <c r="C645" s="1217"/>
      <c r="D645" s="1217"/>
      <c r="E645" s="1217"/>
      <c r="F645" s="1217"/>
    </row>
    <row r="646" spans="2:6" hidden="1" x14ac:dyDescent="0.25">
      <c r="B646" s="1217"/>
      <c r="C646" s="1217"/>
      <c r="D646" s="1217"/>
      <c r="E646" s="1217"/>
      <c r="F646" s="1217"/>
    </row>
    <row r="647" spans="2:6" hidden="1" x14ac:dyDescent="0.25">
      <c r="B647" s="1217"/>
      <c r="C647" s="1217"/>
      <c r="D647" s="1217"/>
      <c r="E647" s="1217"/>
      <c r="F647" s="1217"/>
    </row>
    <row r="648" spans="2:6" hidden="1" x14ac:dyDescent="0.25">
      <c r="B648" s="1217"/>
      <c r="C648" s="1217"/>
      <c r="D648" s="1217"/>
      <c r="E648" s="1217"/>
      <c r="F648" s="1217"/>
    </row>
    <row r="649" spans="2:6" hidden="1" x14ac:dyDescent="0.25">
      <c r="B649" s="1217"/>
      <c r="C649" s="1217"/>
      <c r="D649" s="1217"/>
      <c r="E649" s="1217"/>
      <c r="F649" s="1217"/>
    </row>
    <row r="650" spans="2:6" hidden="1" x14ac:dyDescent="0.25">
      <c r="B650" s="1217"/>
      <c r="C650" s="1217"/>
      <c r="D650" s="1217"/>
      <c r="E650" s="1217"/>
      <c r="F650" s="1217"/>
    </row>
    <row r="651" spans="2:6" hidden="1" x14ac:dyDescent="0.25">
      <c r="B651" s="1217"/>
      <c r="C651" s="1217"/>
      <c r="D651" s="1217"/>
      <c r="E651" s="1217"/>
      <c r="F651" s="1217"/>
    </row>
    <row r="652" spans="2:6" hidden="1" x14ac:dyDescent="0.25"/>
    <row r="653" spans="2:6" hidden="1" x14ac:dyDescent="0.25"/>
    <row r="654" spans="2:6" hidden="1" x14ac:dyDescent="0.25"/>
    <row r="655" spans="2:6" hidden="1" x14ac:dyDescent="0.25"/>
    <row r="656" spans="2: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sheetData>
  <sheetProtection password="C411" sheet="1" objects="1" scenarios="1" selectLockedCells="1"/>
  <sortState ref="B605:F616">
    <sortCondition ref="D605:D616"/>
  </sortState>
  <mergeCells count="107">
    <mergeCell ref="G52:I52"/>
    <mergeCell ref="B11:D11"/>
    <mergeCell ref="G25:G26"/>
    <mergeCell ref="H25:H26"/>
    <mergeCell ref="E25:E26"/>
    <mergeCell ref="I25:I26"/>
    <mergeCell ref="B13:D13"/>
    <mergeCell ref="B23:D24"/>
    <mergeCell ref="E23:F24"/>
    <mergeCell ref="B29:C30"/>
    <mergeCell ref="B18:J18"/>
    <mergeCell ref="B69:D69"/>
    <mergeCell ref="B63:J63"/>
    <mergeCell ref="B56:D56"/>
    <mergeCell ref="G56:I56"/>
    <mergeCell ref="G66:I70"/>
    <mergeCell ref="B5:J5"/>
    <mergeCell ref="G10:I10"/>
    <mergeCell ref="G19:J21"/>
    <mergeCell ref="B22:D22"/>
    <mergeCell ref="B6:D6"/>
    <mergeCell ref="B9:J9"/>
    <mergeCell ref="B7:D7"/>
    <mergeCell ref="B10:D10"/>
    <mergeCell ref="E6:F6"/>
    <mergeCell ref="E7:F7"/>
    <mergeCell ref="B19:D19"/>
    <mergeCell ref="B20:D21"/>
    <mergeCell ref="E20:F21"/>
    <mergeCell ref="E22:F22"/>
    <mergeCell ref="E19:F19"/>
    <mergeCell ref="B41:D41"/>
    <mergeCell ref="B40:J40"/>
    <mergeCell ref="B50:J50"/>
    <mergeCell ref="B51:D51"/>
    <mergeCell ref="I176:J176"/>
    <mergeCell ref="G173:J174"/>
    <mergeCell ref="B172:J172"/>
    <mergeCell ref="B175:D176"/>
    <mergeCell ref="B173:D174"/>
    <mergeCell ref="E173:F174"/>
    <mergeCell ref="G168:I168"/>
    <mergeCell ref="B35:J35"/>
    <mergeCell ref="B37:J37"/>
    <mergeCell ref="I42:J42"/>
    <mergeCell ref="B167:J167"/>
    <mergeCell ref="G75:I77"/>
    <mergeCell ref="B168:D168"/>
    <mergeCell ref="B39:J39"/>
    <mergeCell ref="B42:C44"/>
    <mergeCell ref="B45:C45"/>
    <mergeCell ref="G74:I74"/>
    <mergeCell ref="G65:I65"/>
    <mergeCell ref="G57:I61"/>
    <mergeCell ref="B79:J80"/>
    <mergeCell ref="B74:D74"/>
    <mergeCell ref="B72:J72"/>
    <mergeCell ref="G84:I84"/>
    <mergeCell ref="B83:D83"/>
    <mergeCell ref="B65:D65"/>
    <mergeCell ref="B180:E180"/>
    <mergeCell ref="B84:D84"/>
    <mergeCell ref="B86:J86"/>
    <mergeCell ref="B87:D87"/>
    <mergeCell ref="J88:J90"/>
    <mergeCell ref="G114:I117"/>
    <mergeCell ref="B88:D90"/>
    <mergeCell ref="E88:E90"/>
    <mergeCell ref="F88:F90"/>
    <mergeCell ref="G88:I96"/>
    <mergeCell ref="B110:D110"/>
    <mergeCell ref="G110:I110"/>
    <mergeCell ref="G98:I98"/>
    <mergeCell ref="G100:I103"/>
    <mergeCell ref="G104:I106"/>
    <mergeCell ref="B95:D95"/>
    <mergeCell ref="B97:D97"/>
    <mergeCell ref="G97:I97"/>
    <mergeCell ref="G124:I126"/>
    <mergeCell ref="G107:I109"/>
    <mergeCell ref="B96:D96"/>
    <mergeCell ref="B126:D126"/>
    <mergeCell ref="B109:D109"/>
    <mergeCell ref="G111:I111"/>
    <mergeCell ref="B1:J1"/>
    <mergeCell ref="B3:J3"/>
    <mergeCell ref="G118:I123"/>
    <mergeCell ref="G87:I87"/>
    <mergeCell ref="B92:D92"/>
    <mergeCell ref="B93:D93"/>
    <mergeCell ref="B94:D94"/>
    <mergeCell ref="B91:D91"/>
    <mergeCell ref="G83:I83"/>
    <mergeCell ref="B14:D14"/>
    <mergeCell ref="B26:C28"/>
    <mergeCell ref="B17:J17"/>
    <mergeCell ref="J25:J26"/>
    <mergeCell ref="D26:D27"/>
    <mergeCell ref="H27:J27"/>
    <mergeCell ref="G22:J24"/>
    <mergeCell ref="B25:D25"/>
    <mergeCell ref="B46:C48"/>
    <mergeCell ref="B31:C33"/>
    <mergeCell ref="F25:F26"/>
    <mergeCell ref="B82:J82"/>
    <mergeCell ref="B54:J54"/>
    <mergeCell ref="B70:D70"/>
  </mergeCells>
  <conditionalFormatting sqref="G11:J15">
    <cfRule type="expression" dxfId="88" priority="147" stopIfTrue="1">
      <formula>OR(oo&gt;15, oo&lt;5)</formula>
    </cfRule>
  </conditionalFormatting>
  <conditionalFormatting sqref="J11:J15 J66:J70 J75:J77 J52 J57:J61">
    <cfRule type="expression" dxfId="87" priority="148" stopIfTrue="1">
      <formula>J11&lt;&gt;F11</formula>
    </cfRule>
  </conditionalFormatting>
  <conditionalFormatting sqref="B25">
    <cfRule type="expression" dxfId="86" priority="140" stopIfTrue="1">
      <formula>COUNTIF($E$28:$G$33, "")&gt;0</formula>
    </cfRule>
  </conditionalFormatting>
  <conditionalFormatting sqref="B10:D10">
    <cfRule type="expression" dxfId="85" priority="101">
      <formula>OR(E11:E15="")</formula>
    </cfRule>
  </conditionalFormatting>
  <conditionalFormatting sqref="B87:D87">
    <cfRule type="expression" dxfId="84" priority="98">
      <formula>E88=""</formula>
    </cfRule>
  </conditionalFormatting>
  <conditionalFormatting sqref="B83:D83">
    <cfRule type="expression" dxfId="83" priority="96">
      <formula>E84=""</formula>
    </cfRule>
  </conditionalFormatting>
  <conditionalFormatting sqref="E20">
    <cfRule type="expression" dxfId="82" priority="582" stopIfTrue="1">
      <formula>AND(AND(#REF!&lt;&gt;"USA-National",#REF!&lt;&gt; B5), E20="Percentage of estimated forklift shipments")</formula>
    </cfRule>
  </conditionalFormatting>
  <conditionalFormatting sqref="J43:J48">
    <cfRule type="expression" dxfId="81" priority="88" stopIfTrue="1">
      <formula>J43&lt;&gt;H43</formula>
    </cfRule>
  </conditionalFormatting>
  <conditionalFormatting sqref="I43:I48">
    <cfRule type="expression" dxfId="80" priority="87" stopIfTrue="1">
      <formula>I43&lt;&gt;G43</formula>
    </cfRule>
  </conditionalFormatting>
  <conditionalFormatting sqref="B56:D56">
    <cfRule type="expression" dxfId="79" priority="78">
      <formula>OR(E57:E60="")</formula>
    </cfRule>
  </conditionalFormatting>
  <conditionalFormatting sqref="J68">
    <cfRule type="expression" dxfId="78" priority="67" stopIfTrue="1">
      <formula>J68&lt;&gt;F68</formula>
    </cfRule>
  </conditionalFormatting>
  <conditionalFormatting sqref="J68">
    <cfRule type="expression" dxfId="77" priority="66" stopIfTrue="1">
      <formula>J68&lt;&gt;F68</formula>
    </cfRule>
  </conditionalFormatting>
  <conditionalFormatting sqref="J84">
    <cfRule type="expression" dxfId="76" priority="63" stopIfTrue="1">
      <formula>J84&lt;&gt;F84</formula>
    </cfRule>
  </conditionalFormatting>
  <conditionalFormatting sqref="J84">
    <cfRule type="expression" dxfId="75" priority="62" stopIfTrue="1">
      <formula>J84&lt;&gt;F84</formula>
    </cfRule>
  </conditionalFormatting>
  <conditionalFormatting sqref="J69">
    <cfRule type="expression" dxfId="74" priority="59" stopIfTrue="1">
      <formula>J69&lt;&gt;F69</formula>
    </cfRule>
  </conditionalFormatting>
  <conditionalFormatting sqref="B20">
    <cfRule type="expression" dxfId="73" priority="614" stopIfTrue="1">
      <formula>AND($E$6&lt;&gt;"USA-National",#REF!&lt;&gt; "Units")</formula>
    </cfRule>
  </conditionalFormatting>
  <conditionalFormatting sqref="B6:B7">
    <cfRule type="expression" dxfId="72" priority="615" stopIfTrue="1">
      <formula>E6=Please</formula>
    </cfRule>
  </conditionalFormatting>
  <conditionalFormatting sqref="B19 B22">
    <cfRule type="expression" dxfId="71" priority="630" stopIfTrue="1">
      <formula>E20=Please</formula>
    </cfRule>
  </conditionalFormatting>
  <conditionalFormatting sqref="F28:F33 I28:I33">
    <cfRule type="expression" dxfId="70" priority="43">
      <formula>AND($F28&gt;1,$F28&lt;&gt;$I28)</formula>
    </cfRule>
  </conditionalFormatting>
  <conditionalFormatting sqref="B92:D92">
    <cfRule type="expression" dxfId="69" priority="40">
      <formula>E93=""</formula>
    </cfRule>
  </conditionalFormatting>
  <conditionalFormatting sqref="B110:D110">
    <cfRule type="expression" dxfId="68" priority="38">
      <formula>E111=""</formula>
    </cfRule>
  </conditionalFormatting>
  <conditionalFormatting sqref="C97">
    <cfRule type="expression" dxfId="67" priority="702">
      <formula>F98=""</formula>
    </cfRule>
  </conditionalFormatting>
  <conditionalFormatting sqref="B74">
    <cfRule type="expression" dxfId="66" priority="703">
      <formula>OR(E75="",E76="")</formula>
    </cfRule>
  </conditionalFormatting>
  <conditionalFormatting sqref="J93:J96 J111:J126 J98:J109">
    <cfRule type="expression" dxfId="65" priority="23" stopIfTrue="1">
      <formula>J93&lt;&gt;F93</formula>
    </cfRule>
  </conditionalFormatting>
  <conditionalFormatting sqref="B39:J48">
    <cfRule type="expression" dxfId="64" priority="7">
      <formula>SUM($H$28:$H$33)=0</formula>
    </cfRule>
  </conditionalFormatting>
  <conditionalFormatting sqref="B94:F94 B96:F96 J94 J96">
    <cfRule type="expression" dxfId="63" priority="12">
      <formula>SUM($I$28:$I$33)=0</formula>
    </cfRule>
  </conditionalFormatting>
  <conditionalFormatting sqref="I41">
    <cfRule type="expression" dxfId="62" priority="11">
      <formula>SUM($H$28:$H$33)=0</formula>
    </cfRule>
  </conditionalFormatting>
  <conditionalFormatting sqref="E41">
    <cfRule type="expression" dxfId="61" priority="10">
      <formula>SUM($H$28:$H$33)=0</formula>
    </cfRule>
  </conditionalFormatting>
  <conditionalFormatting sqref="H41">
    <cfRule type="expression" dxfId="60" priority="9">
      <formula>SUM($H$28:$H$33)=0</formula>
    </cfRule>
  </conditionalFormatting>
  <conditionalFormatting sqref="J41">
    <cfRule type="expression" dxfId="59" priority="8">
      <formula>SUM($H$28:$H$33)=0</formula>
    </cfRule>
  </conditionalFormatting>
  <conditionalFormatting sqref="B41:D41">
    <cfRule type="expression" dxfId="58" priority="17">
      <formula>OR($E$43:$F$48="")</formula>
    </cfRule>
  </conditionalFormatting>
  <conditionalFormatting sqref="B40:J40">
    <cfRule type="expression" dxfId="57" priority="6">
      <formula>AND(AND($H$26:$H$31=0), AND($H$35:$H$40=0))</formula>
    </cfRule>
  </conditionalFormatting>
  <conditionalFormatting sqref="B51:D51">
    <cfRule type="expression" dxfId="56" priority="736">
      <formula>OR(E52="")</formula>
    </cfRule>
  </conditionalFormatting>
  <conditionalFormatting sqref="B65">
    <cfRule type="expression" dxfId="55" priority="3">
      <formula>OR(E66:E70="")</formula>
    </cfRule>
  </conditionalFormatting>
  <dataValidations count="17">
    <dataValidation type="list" allowBlank="1" showInputMessage="1" showErrorMessage="1" sqref="E173">
      <formula1>PriceCost</formula1>
    </dataValidation>
    <dataValidation type="whole" allowBlank="1" showInputMessage="1" showErrorMessage="1" errorTitle="Please enter a different value" error="Non-numeric or negative values, and values exceeding 100,000 may not be entered." sqref="G28:G33">
      <formula1>0</formula1>
      <formula2>100000</formula2>
    </dataValidation>
    <dataValidation type="whole" showInputMessage="1" showErrorMessage="1" errorTitle="Please enter a different value" error="Manufacturing Cost may not exceed Retail Price._x000a__x000a_Manufacturing Cost may not be negative." sqref="F43:F48 F177">
      <formula1>0</formula1>
      <formula2>IF(E43&lt;&gt;"", E43)</formula2>
    </dataValidation>
    <dataValidation type="whole" operator="greaterThanOrEqual" showInputMessage="1" showErrorMessage="1" errorTitle="Please enter a different value" error="Retail Price cannot be lower than Manufacturing Cost._x000a__x000a_Retail Price may not be negative." sqref="E43:E48 E177">
      <formula1>IF(F43="", 0,F43)</formula1>
    </dataValidation>
    <dataValidation type="whole" operator="greaterThanOrEqual" allowBlank="1" showInputMessage="1" showErrorMessage="1" errorTitle="Please enter a different value" error="Only whole numbers may be entered._x000a__x000a_Negative numbers may not be entered." sqref="E57:E60 E84 E98:E102 E107:E108 E111:E116 E124:E125 E75:E76 E69:E70 E52">
      <formula1>0</formula1>
    </dataValidation>
    <dataValidation type="list" allowBlank="1" showInputMessage="1" showErrorMessage="1" sqref="E23">
      <formula1>Reg_exports</formula1>
    </dataValidation>
    <dataValidation type="decimal" allowBlank="1" showInputMessage="1" showErrorMessage="1" errorTitle="Please enter a different value" error="Please enter a value between 1kW and 15kW for fuel cells for backup power applications." sqref="E11">
      <formula1>0.5</formula1>
      <formula2>15</formula2>
    </dataValidation>
    <dataValidation type="decimal" operator="greaterThan" allowBlank="1" showInputMessage="1" showErrorMessage="1" errorTitle="Please enter a different value" error="Price of Hydrogen may not exceed Cost to produce Hydrogen._x000a__x000a_Please enter a higher Price or a lower Cost." sqref="E66">
      <formula1>0</formula1>
    </dataValidation>
    <dataValidation type="decimal" operator="greaterThanOrEqual" allowBlank="1" showInputMessage="1" showErrorMessage="1" errorTitle="Please enter a different value" error="Price of Hydrogen may not exceed Cost to produce Hydrogen._x000a__x000a_Please enter a higher Price or a lower Cost." sqref="E67">
      <formula1>J66</formula1>
    </dataValidation>
    <dataValidation type="decimal" operator="greaterThan" allowBlank="1" showInputMessage="1" showErrorMessage="1" errorTitle="Please enter a different value" error="Non-numeric and negative values may not be entered." sqref="E13:E15">
      <formula1>0</formula1>
    </dataValidation>
    <dataValidation type="decimal" operator="greaterThanOrEqual" allowBlank="1" showInputMessage="1" showErrorMessage="1" errorTitle="Please enter a different value" error="Negative numbers may not be entered." sqref="E68 E104:E105 E118 E120">
      <formula1>0</formula1>
    </dataValidation>
    <dataValidation type="list" allowBlank="1" showInputMessage="1" showErrorMessage="1" sqref="E6">
      <formula1>Regions</formula1>
    </dataValidation>
    <dataValidation type="decimal" allowBlank="1" showInputMessage="1" showErrorMessage="1" errorTitle="Please enter a different value" error="Please enter a percentage between 0 and 100." sqref="E91 E93:E96">
      <formula1>0</formula1>
      <formula2>1</formula2>
    </dataValidation>
    <dataValidation type="decimal" allowBlank="1" showInputMessage="1" showErrorMessage="1" errorTitle="Please enter a different value" error="Negative numbers may not be entered._x000a__x000a_Maximum run time is 8760 hours per year (365 days, 24 hours per day)." sqref="E121">
      <formula1>0</formula1>
      <formula2>8760</formula2>
    </dataValidation>
    <dataValidation type="decimal" allowBlank="1" showInputMessage="1" showErrorMessage="1" errorTitle="Please enter a different value" error="Please enter a value less than or equal to the fuel cell power rating." sqref="E12">
      <formula1>0</formula1>
      <formula2>J11</formula2>
    </dataValidation>
    <dataValidation type="whole" operator="greaterThanOrEqual" allowBlank="1" showInputMessage="1" showErrorMessage="1" errorTitle="Please enter a different value" error="If there is any regional manufacturing, the number of manufacturers must be a whole number greater than or equal to 1." sqref="E169">
      <formula1>1</formula1>
    </dataValidation>
    <dataValidation type="decimal" operator="greaterThanOrEqual" allowBlank="1" showInputMessage="1" showErrorMessage="1" errorTitle="Please enter a different value" error="Delivered price cannot be less than production cost." sqref="E119">
      <formula1>J118</formula1>
    </dataValidation>
  </dataValidations>
  <pageMargins left="0.2" right="0.2" top="0.16"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616768" r:id="rId4" name="Button 4736">
              <controlPr defaultSize="0" print="0" autoFill="0" autoPict="0" macro="[0]!CLEAR_backup">
                <anchor moveWithCells="1">
                  <from>
                    <xdr:col>4</xdr:col>
                    <xdr:colOff>866775</xdr:colOff>
                    <xdr:row>1</xdr:row>
                    <xdr:rowOff>152400</xdr:rowOff>
                  </from>
                  <to>
                    <xdr:col>6</xdr:col>
                    <xdr:colOff>1133475</xdr:colOff>
                    <xdr:row>1</xdr:row>
                    <xdr:rowOff>419100</xdr:rowOff>
                  </to>
                </anchor>
              </controlPr>
            </control>
          </mc:Choice>
        </mc:AlternateContent>
        <mc:AlternateContent xmlns:mc="http://schemas.openxmlformats.org/markup-compatibility/2006">
          <mc:Choice Requires="x14">
            <control shapeId="13616769" r:id="rId5" name="Button 4737">
              <controlPr defaultSize="0" print="0" autoFill="0" autoPict="0" macro="[0]!Backup_charts">
                <anchor moveWithCells="1">
                  <from>
                    <xdr:col>3</xdr:col>
                    <xdr:colOff>1019175</xdr:colOff>
                    <xdr:row>33</xdr:row>
                    <xdr:rowOff>190500</xdr:rowOff>
                  </from>
                  <to>
                    <xdr:col>5</xdr:col>
                    <xdr:colOff>485775</xdr:colOff>
                    <xdr:row>33</xdr:row>
                    <xdr:rowOff>447675</xdr:rowOff>
                  </to>
                </anchor>
              </controlPr>
            </control>
          </mc:Choice>
        </mc:AlternateContent>
        <mc:AlternateContent xmlns:mc="http://schemas.openxmlformats.org/markup-compatibility/2006">
          <mc:Choice Requires="x14">
            <control shapeId="13616770" r:id="rId6" name="Button 4738">
              <controlPr defaultSize="0" print="0" autoFill="0" autoPict="0" macro="[0]!Backup_tables">
                <anchor moveWithCells="1">
                  <from>
                    <xdr:col>5</xdr:col>
                    <xdr:colOff>1209675</xdr:colOff>
                    <xdr:row>33</xdr:row>
                    <xdr:rowOff>190500</xdr:rowOff>
                  </from>
                  <to>
                    <xdr:col>7</xdr:col>
                    <xdr:colOff>1104900</xdr:colOff>
                    <xdr:row>33</xdr:row>
                    <xdr:rowOff>457200</xdr:rowOff>
                  </to>
                </anchor>
              </controlPr>
            </control>
          </mc:Choice>
        </mc:AlternateContent>
        <mc:AlternateContent xmlns:mc="http://schemas.openxmlformats.org/markup-compatibility/2006">
          <mc:Choice Requires="x14">
            <control shapeId="13616771" r:id="rId7" name="Button 4739">
              <controlPr defaultSize="0" print="0" autoFill="0" autoPict="0" macro="[0]!Backup_charts">
                <anchor moveWithCells="1">
                  <from>
                    <xdr:col>3</xdr:col>
                    <xdr:colOff>952500</xdr:colOff>
                    <xdr:row>77</xdr:row>
                    <xdr:rowOff>190500</xdr:rowOff>
                  </from>
                  <to>
                    <xdr:col>5</xdr:col>
                    <xdr:colOff>419100</xdr:colOff>
                    <xdr:row>77</xdr:row>
                    <xdr:rowOff>447675</xdr:rowOff>
                  </to>
                </anchor>
              </controlPr>
            </control>
          </mc:Choice>
        </mc:AlternateContent>
        <mc:AlternateContent xmlns:mc="http://schemas.openxmlformats.org/markup-compatibility/2006">
          <mc:Choice Requires="x14">
            <control shapeId="13616772" r:id="rId8" name="Button 4740">
              <controlPr defaultSize="0" print="0" autoFill="0" autoPict="0" macro="[0]!Backup_tables">
                <anchor moveWithCells="1">
                  <from>
                    <xdr:col>5</xdr:col>
                    <xdr:colOff>1143000</xdr:colOff>
                    <xdr:row>77</xdr:row>
                    <xdr:rowOff>190500</xdr:rowOff>
                  </from>
                  <to>
                    <xdr:col>7</xdr:col>
                    <xdr:colOff>1038225</xdr:colOff>
                    <xdr:row>77</xdr:row>
                    <xdr:rowOff>457200</xdr:rowOff>
                  </to>
                </anchor>
              </controlPr>
            </control>
          </mc:Choice>
        </mc:AlternateContent>
        <mc:AlternateContent xmlns:mc="http://schemas.openxmlformats.org/markup-compatibility/2006">
          <mc:Choice Requires="x14">
            <control shapeId="13616773" r:id="rId9" name="Button 4741">
              <controlPr defaultSize="0" print="0" autoFill="0" autoPict="0" macro="[0]!Backup_charts">
                <anchor moveWithCells="1">
                  <from>
                    <xdr:col>3</xdr:col>
                    <xdr:colOff>895350</xdr:colOff>
                    <xdr:row>84</xdr:row>
                    <xdr:rowOff>171450</xdr:rowOff>
                  </from>
                  <to>
                    <xdr:col>5</xdr:col>
                    <xdr:colOff>361950</xdr:colOff>
                    <xdr:row>84</xdr:row>
                    <xdr:rowOff>428625</xdr:rowOff>
                  </to>
                </anchor>
              </controlPr>
            </control>
          </mc:Choice>
        </mc:AlternateContent>
        <mc:AlternateContent xmlns:mc="http://schemas.openxmlformats.org/markup-compatibility/2006">
          <mc:Choice Requires="x14">
            <control shapeId="13616774" r:id="rId10" name="Button 4742">
              <controlPr defaultSize="0" print="0" autoFill="0" autoPict="0" macro="[0]!Backup_tables">
                <anchor moveWithCells="1">
                  <from>
                    <xdr:col>5</xdr:col>
                    <xdr:colOff>1076325</xdr:colOff>
                    <xdr:row>84</xdr:row>
                    <xdr:rowOff>171450</xdr:rowOff>
                  </from>
                  <to>
                    <xdr:col>7</xdr:col>
                    <xdr:colOff>981075</xdr:colOff>
                    <xdr:row>84</xdr:row>
                    <xdr:rowOff>438150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2" id="{1F4374D3-3EF6-4268-B014-780703EB0C72}">
            <xm:f>OR($E$6&lt;&gt;RIMS_lists!$C$1,$E$7&lt;&gt;Lists!$C$4)</xm:f>
            <x14:dxf>
              <font>
                <color theme="0" tint="-0.499984740745262"/>
              </font>
              <fill>
                <patternFill>
                  <bgColor theme="6" tint="0.59996337778862885"/>
                </patternFill>
              </fill>
            </x14:dxf>
          </x14:cfRule>
          <xm:sqref>B125:F125 B124:G124 J124:J126 B107:G107 B108:F108 J107:J109 B126 E126:F126 B109 E109:F109 B113:J123 B112:E112 G112:J112 B86:J106 B110:J110 B111:G111 J111</xm:sqref>
        </x14:conditionalFormatting>
        <x14:conditionalFormatting xmlns:xm="http://schemas.microsoft.com/office/excel/2006/main">
          <x14:cfRule type="expression" priority="46" id="{B643FC76-2B05-4177-A06B-A22ABDB0CBE0}">
            <xm:f>OR(AND($E$6=RIMS_lists!$C$1,$E$20=Lists!$B$15, $E28&gt;1),AND($E$20&lt;&gt;Lists!$B$15, $E28&lt;1,$E28&lt;&gt;0, $E28&lt;&gt;""))</xm:f>
            <x14:dxf>
              <font>
                <color theme="5"/>
              </font>
              <fill>
                <patternFill>
                  <bgColor rgb="FFFFFF99"/>
                </patternFill>
              </fill>
            </x14:dxf>
          </x14:cfRule>
          <x14:cfRule type="expression" priority="49" id="{5531FDC6-CD92-41EC-9AAB-9EB9DB5255F0}">
            <xm:f>AND($E$6=RIMS_lists!$C$1,$E$20=Lists!$B$15)</xm:f>
            <x14:dxf>
              <numFmt numFmtId="13" formatCode="0%"/>
            </x14:dxf>
          </x14:cfRule>
          <xm:sqref>E28:E33</xm:sqref>
        </x14:conditionalFormatting>
        <x14:conditionalFormatting xmlns:xm="http://schemas.microsoft.com/office/excel/2006/main">
          <x14:cfRule type="expression" priority="45" id="{06E57F00-783B-4A25-A06A-7B42D0CEBE7A}">
            <xm:f>$E$23=Lists!$E$4</xm:f>
            <x14:dxf>
              <numFmt numFmtId="13" formatCode="0%"/>
            </x14:dxf>
          </x14:cfRule>
          <xm:sqref>F28:F33</xm:sqref>
        </x14:conditionalFormatting>
        <x14:conditionalFormatting xmlns:xm="http://schemas.microsoft.com/office/excel/2006/main">
          <x14:cfRule type="expression" priority="44" id="{CCE64807-7AE5-4DF0-B6DF-44E11984BCE7}">
            <xm:f>AND($E$23=Lists!$E$5,F28&gt;1)</xm:f>
            <x14:dxf>
              <font>
                <color theme="5"/>
              </font>
              <fill>
                <patternFill>
                  <bgColor rgb="FFFFFF99"/>
                </patternFill>
              </fill>
            </x14:dxf>
          </x14:cfRule>
          <xm:sqref>F28:F33</xm:sqref>
        </x14:conditionalFormatting>
        <x14:conditionalFormatting xmlns:xm="http://schemas.microsoft.com/office/excel/2006/main">
          <x14:cfRule type="expression" priority="21" id="{CC6C5814-A0CF-45FE-91D8-EF3982B19603}">
            <xm:f>$E$88&lt;&gt;Lists!$F$15</xm:f>
            <x14:dxf>
              <font>
                <color theme="0" tint="-0.499984740745262"/>
              </font>
              <fill>
                <patternFill>
                  <bgColor theme="6" tint="0.59996337778862885"/>
                </patternFill>
              </fill>
            </x14:dxf>
          </x14:cfRule>
          <xm:sqref>B91:F91</xm:sqref>
        </x14:conditionalFormatting>
        <x14:conditionalFormatting xmlns:xm="http://schemas.microsoft.com/office/excel/2006/main">
          <x14:cfRule type="expression" priority="20" id="{DB086801-774B-4E9E-9ECC-F668140F9B26}">
            <xm:f>$J$88=Lists!$F$14</xm:f>
            <x14:dxf>
              <font>
                <color theme="0" tint="-0.499984740745262"/>
              </font>
              <fill>
                <patternFill>
                  <bgColor theme="6" tint="0.59996337778862885"/>
                </patternFill>
              </fill>
            </x14:dxf>
          </x14:cfRule>
          <xm:sqref>B93:F94 J93:J94 B97:J109</xm:sqref>
        </x14:conditionalFormatting>
        <x14:conditionalFormatting xmlns:xm="http://schemas.microsoft.com/office/excel/2006/main">
          <x14:cfRule type="expression" priority="19" id="{71D4AA04-5E27-47E6-93FC-CD42A6E89D0F}">
            <xm:f>$J$88=Lists!$F$13</xm:f>
            <x14:dxf>
              <font>
                <color theme="0" tint="-0.499984740745262"/>
              </font>
              <fill>
                <patternFill>
                  <bgColor theme="6" tint="0.59996337778862885"/>
                </patternFill>
              </fill>
            </x14:dxf>
          </x14:cfRule>
          <xm:sqref>B95:F96 J95:J96 B113:J126 B112:E112 G112:J112 B110:J110 B111:G111 J111</xm:sqref>
        </x14:conditionalFormatting>
        <x14:conditionalFormatting xmlns:xm="http://schemas.microsoft.com/office/excel/2006/main">
          <x14:cfRule type="expression" priority="18" id="{C9FE112B-FFAE-4D08-A71B-96CC6BFB89D9}">
            <xm:f>AND($E$6&lt;&gt;Please,$E$6&lt;&gt;RIMS_lists!$C$1)</xm:f>
            <x14:dxf>
              <font>
                <color theme="0" tint="-0.499984740745262"/>
              </font>
              <fill>
                <patternFill>
                  <bgColor theme="6" tint="0.59996337778862885"/>
                </patternFill>
              </fill>
            </x14:dxf>
          </x14:cfRule>
          <xm:sqref>B7:J7 B19:J19 B21:D21 B20:E20 G20:J21</xm:sqref>
        </x14:conditionalFormatting>
        <x14:conditionalFormatting xmlns:xm="http://schemas.microsoft.com/office/excel/2006/main">
          <x14:cfRule type="expression" priority="16" id="{D9CC7D34-7AE2-4992-AE40-075347C73DB8}">
            <xm:f>AND($E$6=RIMS_lists!$C$1, $E$7=Lists!$C$4)</xm:f>
            <x14:dxf>
              <font>
                <color theme="0" tint="-0.34998626667073579"/>
              </font>
              <fill>
                <patternFill>
                  <bgColor theme="6" tint="0.59996337778862885"/>
                </patternFill>
              </fill>
            </x14:dxf>
          </x14:cfRule>
          <xm:sqref>B82:J84</xm:sqref>
        </x14:conditionalFormatting>
        <x14:conditionalFormatting xmlns:xm="http://schemas.microsoft.com/office/excel/2006/main">
          <x14:cfRule type="expression" priority="1" id="{D5C8762C-A28E-4B09-B7AD-35846F8F5E22}">
            <xm:f>$J$88=Lists!$F$13</xm:f>
            <x14:dxf>
              <font>
                <color theme="0" tint="-0.499984740745262"/>
              </font>
              <fill>
                <patternFill>
                  <bgColor theme="6" tint="0.59996337778862885"/>
                </patternFill>
              </fill>
            </x14:dxf>
          </x14:cfRule>
          <xm:sqref>F112</xm:sqref>
        </x14:conditionalFormatting>
        <x14:conditionalFormatting xmlns:xm="http://schemas.microsoft.com/office/excel/2006/main">
          <x14:cfRule type="expression" priority="2" id="{20BF7F14-7690-440D-BD53-AAF788201F70}">
            <xm:f>OR($E$6&lt;&gt;RIMS_lists!$C$1,$E$7&lt;&gt;Lists!$C$4)</xm:f>
            <x14:dxf>
              <font>
                <color theme="0" tint="-0.499984740745262"/>
              </font>
              <fill>
                <patternFill>
                  <bgColor theme="6" tint="0.59996337778862885"/>
                </patternFill>
              </fill>
            </x14:dxf>
          </x14:cfRule>
          <xm:sqref>F112</xm:sqref>
        </x14:conditionalFormatting>
      </x14:conditionalFormattings>
    </ext>
    <ext xmlns:x14="http://schemas.microsoft.com/office/spreadsheetml/2009/9/main" uri="{CCE6A557-97BC-4b89-ADB6-D9C93CAAB3DF}">
      <x14:dataValidations xmlns:xm="http://schemas.microsoft.com/office/excel/2006/main" count="5">
        <x14:dataValidation type="decimal" allowBlank="1" showInputMessage="1" showErrorMessage="1" errorTitle="Please enter a different value" error="If entering a %, please enter a decimal between 0 and 1 (inclusive)._x000a_To enter values in Units, return to Step 3a and choose the 'Units' option._x000a_Non-numeric or negative values, or values more than 100,000, are not allowed.">
          <x14:formula1>
            <xm:f>0</xm:f>
          </x14:formula1>
          <x14:formula2>
            <xm:f>IF(AND($E$6=RIMS_lists!$C$1,$E$20=Lists!$B$15), 1, 1000000)</xm:f>
          </x14:formula2>
          <xm:sqref>E28:E33</xm:sqref>
        </x14:dataValidation>
        <x14:dataValidation type="list" allowBlank="1" showInputMessage="1" showErrorMessage="1">
          <x14:formula1>
            <xm:f>IF(OR(E6=Please, E7=Please), Please, IF(E6=RIMS_lists!$C$1,USA_backup,Reg_backup))</xm:f>
          </x14:formula1>
          <xm:sqref>E20</xm:sqref>
        </x14:dataValidation>
        <x14:dataValidation type="decimal" allowBlank="1" showInputMessage="1" showErrorMessage="1" errorTitle="Please enter a different value" error="Exports in Units: Regional Exports may not exceed Units Manufactured._x000a__x000a_Exports as Percentage:_x000a_Percent exported may not exceed 100%. Enter a decimal between 0 and 1 (inclusive)._x000a__x000a_To change type, return to Step 3b._x000a__x000a_">
          <x14:formula1>
            <xm:f>0</xm:f>
          </x14:formula1>
          <x14:formula2>
            <xm:f>IF($E$23=Lists!$E$4, 1, H28)</xm:f>
          </x14:formula2>
          <xm:sqref>F28:F33</xm:sqref>
        </x14:dataValidation>
        <x14:dataValidation type="list" allowBlank="1" showInputMessage="1" showErrorMessage="1">
          <x14:formula1>
            <xm:f>IF(State=Please, Please, IF(State=RIMS_lists!$C$1, USA_gross, Reg_gross))</xm:f>
          </x14:formula1>
          <xm:sqref>E7</xm:sqref>
        </x14:dataValidation>
        <x14:dataValidation type="list" allowBlank="1" showInputMessage="1" showErrorMessage="1">
          <x14:formula1>
            <xm:f>Lists!$F$12:$F$15</xm:f>
          </x14:formula1>
          <xm:sqref>E88:E89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FF99"/>
    <pageSetUpPr fitToPage="1"/>
  </sheetPr>
  <dimension ref="B1:I29"/>
  <sheetViews>
    <sheetView zoomScale="90" zoomScaleNormal="90" workbookViewId="0">
      <selection activeCell="B1" sqref="B1:I1"/>
    </sheetView>
  </sheetViews>
  <sheetFormatPr defaultColWidth="9.140625" defaultRowHeight="15.75" x14ac:dyDescent="0.25"/>
  <cols>
    <col min="1" max="1" width="2.140625" style="1372" customWidth="1"/>
    <col min="2" max="2" width="15.28515625" style="1372" customWidth="1"/>
    <col min="3" max="3" width="10.7109375" style="1372" bestFit="1" customWidth="1"/>
    <col min="4" max="4" width="9.140625" style="1372"/>
    <col min="5" max="5" width="27.42578125" style="1372" customWidth="1"/>
    <col min="6" max="6" width="20.5703125" style="1372" customWidth="1"/>
    <col min="7" max="7" width="23.85546875" style="1372" customWidth="1"/>
    <col min="8" max="8" width="28.7109375" style="1372" customWidth="1"/>
    <col min="9" max="9" width="34.85546875" style="1372" customWidth="1"/>
    <col min="10" max="16384" width="9.140625" style="1372"/>
  </cols>
  <sheetData>
    <row r="1" spans="2:9" ht="35.25" customHeight="1" x14ac:dyDescent="0.25">
      <c r="B1" s="2559" t="s">
        <v>1626</v>
      </c>
      <c r="C1" s="2560"/>
      <c r="D1" s="2560"/>
      <c r="E1" s="2560"/>
      <c r="F1" s="2560"/>
      <c r="G1" s="2560"/>
      <c r="H1" s="2560"/>
      <c r="I1" s="2561"/>
    </row>
    <row r="2" spans="2:9" ht="58.5" customHeight="1" x14ac:dyDescent="0.25">
      <c r="B2" s="1374"/>
      <c r="C2" s="1375"/>
      <c r="D2" s="1375"/>
      <c r="E2" s="1618"/>
      <c r="F2" s="1618"/>
      <c r="G2" s="1618"/>
      <c r="H2" s="1619"/>
      <c r="I2" s="1620"/>
    </row>
    <row r="3" spans="2:9" ht="21" x14ac:dyDescent="0.35">
      <c r="B3" s="2297" t="s">
        <v>1551</v>
      </c>
      <c r="C3" s="2298"/>
      <c r="D3" s="2298"/>
      <c r="E3" s="2298"/>
      <c r="F3" s="2298"/>
      <c r="G3" s="2298"/>
      <c r="H3" s="2298"/>
      <c r="I3" s="2299"/>
    </row>
    <row r="4" spans="2:9" ht="31.5" x14ac:dyDescent="0.25">
      <c r="B4" s="2300" t="s">
        <v>957</v>
      </c>
      <c r="C4" s="2300"/>
      <c r="D4" s="2300"/>
      <c r="E4" s="2300"/>
      <c r="F4" s="1621" t="str">
        <f>'Backup RESULTS-Tables'!F4</f>
        <v>Value (dollar values are in 2010$)</v>
      </c>
      <c r="G4" s="1622" t="s">
        <v>433</v>
      </c>
      <c r="H4" s="1623" t="str">
        <f>'Backup RESULTS-Tables'!H4</f>
        <v>BuP Annual Units Mfg.</v>
      </c>
      <c r="I4" s="1624" t="str">
        <f>'Backup RESULTS-Tables'!J4</f>
        <v>BuP Annual Units Installed</v>
      </c>
    </row>
    <row r="5" spans="2:9" x14ac:dyDescent="0.25">
      <c r="B5" s="1382" t="str">
        <f>'Backup RESULTS-Tables'!B5</f>
        <v>Region</v>
      </c>
      <c r="C5" s="1383"/>
      <c r="D5" s="1383"/>
      <c r="E5" s="1384"/>
      <c r="F5" s="1385" t="str">
        <f>'Backup INPUTS'!State</f>
        <v>&lt;Please select&gt;</v>
      </c>
      <c r="G5" s="1384">
        <f>'Backup RESULTS-Tables'!G5</f>
        <v>2015</v>
      </c>
      <c r="H5" s="1387">
        <f>'Backup RESULTS-Tables'!I5</f>
        <v>0</v>
      </c>
      <c r="I5" s="1625">
        <f>'Backup RESULTS-Tables'!K5</f>
        <v>0</v>
      </c>
    </row>
    <row r="6" spans="2:9" x14ac:dyDescent="0.25">
      <c r="B6" s="1382" t="str">
        <f>'Backup RESULTS-Tables'!B6</f>
        <v>Analysis Type</v>
      </c>
      <c r="C6" s="1383"/>
      <c r="D6" s="1383"/>
      <c r="E6" s="1384"/>
      <c r="F6" s="1385" t="str">
        <f>'Backup RESULTS-Tables'!F6</f>
        <v>Gross</v>
      </c>
      <c r="G6" s="1384">
        <f>'Backup RESULTS-Tables'!G6</f>
        <v>2016</v>
      </c>
      <c r="H6" s="1387">
        <f>'Backup RESULTS-Tables'!I6</f>
        <v>0</v>
      </c>
      <c r="I6" s="1625">
        <f>'Backup RESULTS-Tables'!K6</f>
        <v>0</v>
      </c>
    </row>
    <row r="7" spans="2:9" x14ac:dyDescent="0.25">
      <c r="B7" s="1382" t="str">
        <f>'Backup RESULTS-Tables'!B7</f>
        <v>Backup power fuel cell unit size (average kW/unit)</v>
      </c>
      <c r="C7" s="1383"/>
      <c r="D7" s="1383"/>
      <c r="E7" s="1384"/>
      <c r="F7" s="1388">
        <f>'Backup RESULTS-Tables'!F7</f>
        <v>5</v>
      </c>
      <c r="G7" s="1384">
        <f>'Backup RESULTS-Tables'!G7</f>
        <v>2017</v>
      </c>
      <c r="H7" s="1387">
        <f>'Backup RESULTS-Tables'!I7</f>
        <v>0</v>
      </c>
      <c r="I7" s="1625">
        <f>'Backup RESULTS-Tables'!K7</f>
        <v>0</v>
      </c>
    </row>
    <row r="8" spans="2:9" x14ac:dyDescent="0.25">
      <c r="B8" s="1382" t="str">
        <f>'Backup RESULTS-Tables'!B8</f>
        <v>Average power load during operation (average kW)</v>
      </c>
      <c r="C8" s="1383"/>
      <c r="D8" s="1383"/>
      <c r="E8" s="1384"/>
      <c r="F8" s="1388">
        <f>'Backup RESULTS-Tables'!F8</f>
        <v>3</v>
      </c>
      <c r="G8" s="1384">
        <f>'Backup RESULTS-Tables'!G8</f>
        <v>2018</v>
      </c>
      <c r="H8" s="1387">
        <f>'Backup RESULTS-Tables'!I8</f>
        <v>0</v>
      </c>
      <c r="I8" s="1625">
        <f>'Backup RESULTS-Tables'!K8</f>
        <v>0</v>
      </c>
    </row>
    <row r="9" spans="2:9" x14ac:dyDescent="0.25">
      <c r="B9" s="1382" t="str">
        <f>'Backup RESULTS-Tables'!B9</f>
        <v>Hours of required run-time from on-site storage (hours)</v>
      </c>
      <c r="C9" s="1383"/>
      <c r="D9" s="1383"/>
      <c r="E9" s="1384"/>
      <c r="F9" s="1388">
        <f>'Backup RESULTS-Tables'!F9</f>
        <v>48</v>
      </c>
      <c r="G9" s="1384">
        <f>'Backup RESULTS-Tables'!G9</f>
        <v>2019</v>
      </c>
      <c r="H9" s="1387">
        <f>'Backup RESULTS-Tables'!I9</f>
        <v>0</v>
      </c>
      <c r="I9" s="1625">
        <f>'Backup RESULTS-Tables'!K9</f>
        <v>0</v>
      </c>
    </row>
    <row r="10" spans="2:9" x14ac:dyDescent="0.25">
      <c r="B10" s="1382" t="str">
        <f>'Backup RESULTS-Tables'!B10</f>
        <v>Annual backup run-time (total hours/year)</v>
      </c>
      <c r="C10" s="1383"/>
      <c r="D10" s="1383"/>
      <c r="E10" s="1384"/>
      <c r="F10" s="1388">
        <f>'Backup RESULTS-Tables'!F10</f>
        <v>20</v>
      </c>
      <c r="G10" s="1384">
        <f>'Backup RESULTS-Tables'!G10</f>
        <v>2020</v>
      </c>
      <c r="H10" s="1387">
        <f>'Backup RESULTS-Tables'!I10</f>
        <v>0</v>
      </c>
      <c r="I10" s="1625">
        <f>'Backup RESULTS-Tables'!K10</f>
        <v>0</v>
      </c>
    </row>
    <row r="11" spans="2:9" x14ac:dyDescent="0.25">
      <c r="B11" s="1382" t="str">
        <f>'Backup RESULTS-Tables'!B11</f>
        <v>Annual testing run-time (total hours/year)</v>
      </c>
      <c r="C11" s="1383"/>
      <c r="D11" s="1383"/>
      <c r="E11" s="1384"/>
      <c r="F11" s="1388">
        <f>'Backup RESULTS-Tables'!F11</f>
        <v>4</v>
      </c>
      <c r="G11" s="2305" t="str">
        <f>'Backup RESULTS-Tables'!G11</f>
        <v>Notes</v>
      </c>
      <c r="H11" s="2305"/>
      <c r="I11" s="2306"/>
    </row>
    <row r="12" spans="2:9" ht="15.75" customHeight="1" x14ac:dyDescent="0.25">
      <c r="B12" s="1382" t="str">
        <f>'Backup RESULTS-Tables'!B12</f>
        <v>Total fuel cell installation expense ($/installed FC)</v>
      </c>
      <c r="C12" s="1383"/>
      <c r="D12" s="1383"/>
      <c r="E12" s="1384"/>
      <c r="F12" s="1389">
        <f>'Backup RESULTS-Tables'!F12</f>
        <v>33500</v>
      </c>
      <c r="G12" s="2282" t="str">
        <f>'Forklift RESULTS-Charts'!G12</f>
        <v xml:space="preserve">(1) All dollar values are in 2010$. (2) Economic impacts are assumed to occur in the same year that expenditures occur.  For each year's expenditures, the economic impacts include direct, indirect, and induced effects for employment, earnings, and output. (3) Total economic impacts = Direct + Indirect + Induced; Supply chain impacts = Direct + Indirect. (4) Employment includes both full and part-time jobs. (5) Earnings and Output results are in thousands of 2010$. </v>
      </c>
      <c r="H12" s="2283"/>
      <c r="I12" s="2284"/>
    </row>
    <row r="13" spans="2:9" ht="15.75" customHeight="1" x14ac:dyDescent="0.25">
      <c r="B13" s="1382" t="str">
        <f>'Backup RESULTS-Tables'!B13</f>
        <v>Initial (stored) H2 fuel expense ($/installed FC unit)</v>
      </c>
      <c r="C13" s="1383"/>
      <c r="D13" s="1383"/>
      <c r="E13" s="1384"/>
      <c r="F13" s="1389">
        <f>'Backup RESULTS-Tables'!F13</f>
        <v>468.00000000000006</v>
      </c>
      <c r="G13" s="2285"/>
      <c r="H13" s="2286"/>
      <c r="I13" s="2287"/>
    </row>
    <row r="14" spans="2:9" x14ac:dyDescent="0.25">
      <c r="B14" s="1382" t="str">
        <f>'Backup RESULTS-Tables'!B14</f>
        <v>Annual H2 fuel expense ($/operating FC unit/year)</v>
      </c>
      <c r="C14" s="1383"/>
      <c r="D14" s="1383"/>
      <c r="E14" s="1384"/>
      <c r="F14" s="1389">
        <f>'Backup RESULTS-Tables'!F14</f>
        <v>140.39999999999998</v>
      </c>
      <c r="G14" s="2285"/>
      <c r="H14" s="2286"/>
      <c r="I14" s="2287"/>
    </row>
    <row r="15" spans="2:9" x14ac:dyDescent="0.25">
      <c r="B15" s="1402" t="str">
        <f>'Backup RESULTS-Tables'!B15</f>
        <v>Total FC maintenance expense ($/FC/year)</v>
      </c>
      <c r="C15" s="1403"/>
      <c r="D15" s="1403"/>
      <c r="E15" s="1390"/>
      <c r="F15" s="1626">
        <f>'Backup RESULTS-Tables'!F15</f>
        <v>450</v>
      </c>
      <c r="G15" s="2285"/>
      <c r="H15" s="2286"/>
      <c r="I15" s="2287"/>
    </row>
    <row r="16" spans="2:9" ht="36.75" customHeight="1" x14ac:dyDescent="0.25">
      <c r="B16" s="2566" t="str">
        <f>'Backup RESULTS-Tables'!B16</f>
        <v>Please review Step 10 of the 'Backup INPUTS' sheet for assumptions regarding batteries and/or gensets for backup power which impact the net analysis</v>
      </c>
      <c r="C16" s="2568"/>
      <c r="D16" s="2568"/>
      <c r="E16" s="2568"/>
      <c r="F16" s="2567"/>
      <c r="G16" s="2288"/>
      <c r="H16" s="2289"/>
      <c r="I16" s="2290"/>
    </row>
    <row r="18" spans="2:9" ht="21" x14ac:dyDescent="0.35">
      <c r="B18" s="2294" t="s">
        <v>1595</v>
      </c>
      <c r="C18" s="2295"/>
      <c r="D18" s="2295"/>
      <c r="E18" s="2295"/>
      <c r="F18" s="2295"/>
      <c r="G18" s="2295"/>
      <c r="H18" s="2295"/>
      <c r="I18" s="2296"/>
    </row>
    <row r="19" spans="2:9" x14ac:dyDescent="0.25">
      <c r="B19" s="1627" t="s">
        <v>1837</v>
      </c>
      <c r="C19" s="1628"/>
      <c r="D19" s="1628"/>
      <c r="E19" s="1629"/>
      <c r="F19" s="1630" t="s">
        <v>1840</v>
      </c>
      <c r="G19" s="1431" t="s">
        <v>1841</v>
      </c>
      <c r="H19" s="1631" t="s">
        <v>451</v>
      </c>
      <c r="I19" s="1632"/>
    </row>
    <row r="20" spans="2:9" x14ac:dyDescent="0.25">
      <c r="B20" s="1441" t="str">
        <f>'Backup RESULTS-Tables'!B21</f>
        <v>Retail Price and Manufacturing Cost (Backup Power Fuel Cell Unit)</v>
      </c>
      <c r="C20" s="1428"/>
      <c r="D20" s="1383"/>
      <c r="E20" s="1384"/>
      <c r="F20" s="1388" t="str">
        <f>"Rows "&amp;ROW(B30)&amp;":"&amp;ROW(B52)</f>
        <v>Rows 30:52</v>
      </c>
      <c r="G20" s="1400" t="s">
        <v>1850</v>
      </c>
      <c r="H20" s="1382"/>
      <c r="I20" s="1384"/>
    </row>
    <row r="21" spans="2:9" x14ac:dyDescent="0.25">
      <c r="B21" s="1441" t="str">
        <f>'Backup RESULTS-Tables'!B22</f>
        <v>Units Manufactured in Region (Backup Power Fuel Cells)</v>
      </c>
      <c r="C21" s="1428"/>
      <c r="D21" s="1383"/>
      <c r="E21" s="1384"/>
      <c r="F21" s="1388" t="str">
        <f>"Rows "&amp;ROW(B30)&amp;":"&amp;ROW(B52)</f>
        <v>Rows 30:52</v>
      </c>
      <c r="G21" s="1388" t="s">
        <v>1850</v>
      </c>
      <c r="H21" s="1382"/>
      <c r="I21" s="1384"/>
    </row>
    <row r="22" spans="2:9" x14ac:dyDescent="0.25">
      <c r="B22" s="1441" t="str">
        <f>'Backup RESULTS-Tables'!B23</f>
        <v>Units Installed in Region (Backup Power Fuel Cells)</v>
      </c>
      <c r="C22" s="1428"/>
      <c r="D22" s="1383"/>
      <c r="E22" s="1384"/>
      <c r="F22" s="1388" t="str">
        <f>"Rows "&amp;ROW(B55)&amp;":"&amp;ROW(B77)</f>
        <v>Rows 55:77</v>
      </c>
      <c r="G22" s="1388" t="s">
        <v>1850</v>
      </c>
      <c r="H22" s="1382"/>
      <c r="I22" s="1384"/>
    </row>
    <row r="23" spans="2:9" x14ac:dyDescent="0.25">
      <c r="B23" s="1433" t="str">
        <f>'Backup RESULTS-Tables'!B24</f>
        <v>Gross Employment Impacts</v>
      </c>
      <c r="C23" s="1435"/>
      <c r="D23" s="1398"/>
      <c r="E23" s="1416"/>
      <c r="F23" s="1400" t="str">
        <f>"Rows "&amp;ROW(B80)&amp;":"&amp;ROW(B106)</f>
        <v>Rows 80:106</v>
      </c>
      <c r="G23" s="1400" t="s">
        <v>1850</v>
      </c>
      <c r="H23" s="2562" t="str">
        <f>F6&amp;" Economic Impact charts contain detailed Employment, Earnings, and Output results by category (Manufacturing, Installation, Fuel, and Maintenance)."</f>
        <v>Gross Economic Impact charts contain detailed Employment, Earnings, and Output results by category (Manufacturing, Installation, Fuel, and Maintenance).</v>
      </c>
      <c r="I23" s="2563"/>
    </row>
    <row r="24" spans="2:9" x14ac:dyDescent="0.25">
      <c r="B24" s="1441" t="str">
        <f>'Backup RESULTS-Tables'!B25</f>
        <v>Gross Earnings Impacts</v>
      </c>
      <c r="C24" s="1428"/>
      <c r="D24" s="1383"/>
      <c r="E24" s="1384"/>
      <c r="F24" s="1388" t="str">
        <f>"Rows "&amp;ROW(B110)&amp;":"&amp;ROW(B137)</f>
        <v>Rows 110:137</v>
      </c>
      <c r="G24" s="1388" t="s">
        <v>1850</v>
      </c>
      <c r="H24" s="2564"/>
      <c r="I24" s="2565"/>
    </row>
    <row r="25" spans="2:9" x14ac:dyDescent="0.25">
      <c r="B25" s="1448" t="str">
        <f>'Backup RESULTS-Tables'!B26</f>
        <v>Gross Output Impacts</v>
      </c>
      <c r="C25" s="1450"/>
      <c r="D25" s="1403"/>
      <c r="E25" s="1390"/>
      <c r="F25" s="1405" t="str">
        <f>"Rows "&amp;ROW(B141)&amp;":"&amp;ROW(B167)</f>
        <v>Rows 141:167</v>
      </c>
      <c r="G25" s="1405" t="s">
        <v>1850</v>
      </c>
      <c r="H25" s="2566"/>
      <c r="I25" s="2567"/>
    </row>
    <row r="26" spans="2:9" ht="15.75" customHeight="1" x14ac:dyDescent="0.25">
      <c r="B26" s="1397" t="s">
        <v>2148</v>
      </c>
      <c r="C26" s="1435"/>
      <c r="D26" s="1398"/>
      <c r="E26" s="1398"/>
      <c r="F26" s="1400" t="str">
        <f>"Rows "&amp;ROW(B171)&amp;":"&amp;ROW(B198)</f>
        <v>Rows 171:198</v>
      </c>
      <c r="G26" s="1400" t="s">
        <v>1850</v>
      </c>
      <c r="H26" s="2282" t="str">
        <f>'Forklift RESULTS-Charts'!H28</f>
        <v>Net, Gross, and Displaced Economic Impact charts are only relevant for a "Net" analysis.</v>
      </c>
      <c r="I26" s="2284"/>
    </row>
    <row r="27" spans="2:9" x14ac:dyDescent="0.25">
      <c r="B27" s="1382" t="s">
        <v>2149</v>
      </c>
      <c r="C27" s="1428"/>
      <c r="D27" s="1383"/>
      <c r="E27" s="1383"/>
      <c r="F27" s="1388" t="str">
        <f>"Rows "&amp;ROW(B200)&amp;":"&amp;ROW(B227)</f>
        <v>Rows 200:227</v>
      </c>
      <c r="G27" s="1388" t="s">
        <v>1850</v>
      </c>
      <c r="H27" s="2285"/>
      <c r="I27" s="2287"/>
    </row>
    <row r="28" spans="2:9" x14ac:dyDescent="0.25">
      <c r="B28" s="1402" t="s">
        <v>2150</v>
      </c>
      <c r="C28" s="1450"/>
      <c r="D28" s="1403"/>
      <c r="E28" s="1403"/>
      <c r="F28" s="1405" t="str">
        <f>"Rows "&amp;ROW(B229)&amp;":"&amp;ROW(B256)</f>
        <v>Rows 229:256</v>
      </c>
      <c r="G28" s="1405" t="s">
        <v>1850</v>
      </c>
      <c r="H28" s="2288"/>
      <c r="I28" s="2290"/>
    </row>
    <row r="29" spans="2:9" ht="28.5" customHeight="1" x14ac:dyDescent="0.25"/>
  </sheetData>
  <sheetProtection password="C411" sheet="1" scenarios="1"/>
  <mergeCells count="9">
    <mergeCell ref="H26:I28"/>
    <mergeCell ref="B1:I1"/>
    <mergeCell ref="H23:I25"/>
    <mergeCell ref="B18:I18"/>
    <mergeCell ref="B3:I3"/>
    <mergeCell ref="B4:E4"/>
    <mergeCell ref="G11:I11"/>
    <mergeCell ref="G12:I16"/>
    <mergeCell ref="B16:F16"/>
  </mergeCells>
  <pageMargins left="0.7" right="0.7" top="0.75" bottom="0.75" header="0.3" footer="0.3"/>
  <pageSetup scale="69" fitToHeight="0" orientation="landscape" r:id="rId1"/>
  <headerFooter>
    <oddHeader>&amp;L&amp;"Garamond,Bold"&amp;14JOBS FC Beta 1.0&amp;C&amp;"Garamond,Bold"&amp;14Scenario Results&amp;R&amp;"Garamond,Bold"&amp;14Run date:  &amp;D</oddHeader>
    <oddFooter>&amp;L&amp;"Garamond,Bold"&amp;12Scenario inputs provided on page 1 of this report&amp;R&amp;"Garamond,Bold"&amp;12Page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643777" r:id="rId4" name="Button 1">
              <controlPr defaultSize="0" print="0" autoFill="0" autoPict="0" macro="[0]!Backup_tables">
                <anchor moveWithCells="1">
                  <from>
                    <xdr:col>4</xdr:col>
                    <xdr:colOff>695325</xdr:colOff>
                    <xdr:row>1</xdr:row>
                    <xdr:rowOff>257175</xdr:rowOff>
                  </from>
                  <to>
                    <xdr:col>6</xdr:col>
                    <xdr:colOff>104775</xdr:colOff>
                    <xdr:row>1</xdr:row>
                    <xdr:rowOff>514350</xdr:rowOff>
                  </to>
                </anchor>
              </controlPr>
            </control>
          </mc:Choice>
        </mc:AlternateContent>
        <mc:AlternateContent xmlns:mc="http://schemas.openxmlformats.org/markup-compatibility/2006">
          <mc:Choice Requires="x14">
            <control shapeId="13643778" r:id="rId5" name="Button 2">
              <controlPr defaultSize="0" print="0" autoFill="0" autoPict="0" macro="[0]!Backup_inputs">
                <anchor moveWithCells="1">
                  <from>
                    <xdr:col>1</xdr:col>
                    <xdr:colOff>114300</xdr:colOff>
                    <xdr:row>1</xdr:row>
                    <xdr:rowOff>257175</xdr:rowOff>
                  </from>
                  <to>
                    <xdr:col>4</xdr:col>
                    <xdr:colOff>104775</xdr:colOff>
                    <xdr:row>1</xdr:row>
                    <xdr:rowOff>514350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99"/>
  </sheetPr>
  <dimension ref="A1:BA197"/>
  <sheetViews>
    <sheetView zoomScale="90" zoomScaleNormal="90" workbookViewId="0">
      <selection activeCell="B1" sqref="B1:K1"/>
    </sheetView>
  </sheetViews>
  <sheetFormatPr defaultColWidth="9.140625" defaultRowHeight="15" x14ac:dyDescent="0.25"/>
  <cols>
    <col min="1" max="1" width="2.140625" style="1407" customWidth="1"/>
    <col min="2" max="2" width="31" style="1408" customWidth="1"/>
    <col min="3" max="3" width="10.28515625" style="1408" customWidth="1"/>
    <col min="4" max="4" width="16.7109375" style="1408" bestFit="1" customWidth="1"/>
    <col min="5" max="5" width="17.85546875" style="1616" customWidth="1"/>
    <col min="6" max="6" width="22" style="1616" customWidth="1"/>
    <col min="7" max="7" width="20.28515625" style="1616" customWidth="1"/>
    <col min="8" max="8" width="18.140625" style="1616" customWidth="1"/>
    <col min="9" max="9" width="9.5703125" style="1616" customWidth="1"/>
    <col min="10" max="10" width="15.42578125" style="1616" customWidth="1"/>
    <col min="11" max="11" width="17" style="1617" customWidth="1"/>
    <col min="12" max="12" width="18.7109375" style="1617" customWidth="1"/>
    <col min="13" max="13" width="16.7109375" style="1617" customWidth="1"/>
    <col min="14" max="14" width="23.28515625" style="1617" customWidth="1"/>
    <col min="15" max="15" width="20.42578125" style="1617" customWidth="1"/>
    <col min="16" max="16" width="3.7109375" style="1617" customWidth="1"/>
    <col min="17" max="17" width="7.140625" style="1617" customWidth="1"/>
    <col min="18" max="18" width="18.5703125" style="1617" customWidth="1"/>
    <col min="19" max="19" width="18.42578125" style="1617" customWidth="1"/>
    <col min="20" max="20" width="16.5703125" style="1617" customWidth="1"/>
    <col min="21" max="21" width="17.140625" style="1617" customWidth="1"/>
    <col min="22" max="22" width="18.85546875" style="1408" customWidth="1"/>
    <col min="23" max="23" width="4" style="1408" customWidth="1"/>
    <col min="24" max="24" width="8.85546875" style="1408" customWidth="1"/>
    <col min="25" max="25" width="19.28515625" style="1408" customWidth="1"/>
    <col min="26" max="26" width="17.42578125" style="1408" customWidth="1"/>
    <col min="27" max="27" width="16.85546875" style="1408" customWidth="1"/>
    <col min="28" max="28" width="19.5703125" style="1408" customWidth="1"/>
    <col min="29" max="29" width="16.28515625" style="1408" customWidth="1"/>
    <col min="30" max="30" width="3.85546875" style="1408" customWidth="1"/>
    <col min="31" max="31" width="9" style="1408" customWidth="1"/>
    <col min="32" max="32" width="18.7109375" style="1408" customWidth="1"/>
    <col min="33" max="33" width="19.85546875" style="1408" customWidth="1"/>
    <col min="34" max="34" width="20.85546875" style="1408" customWidth="1"/>
    <col min="35" max="35" width="22.7109375" style="1408" customWidth="1"/>
    <col min="36" max="36" width="19.5703125" style="1408" customWidth="1"/>
    <col min="37" max="37" width="3" style="1408" customWidth="1"/>
    <col min="38" max="40" width="9.140625" style="1408"/>
    <col min="41" max="41" width="15.140625" style="1408" customWidth="1"/>
    <col min="42" max="42" width="9.140625" style="1408"/>
    <col min="43" max="43" width="15.7109375" style="1408" customWidth="1"/>
    <col min="44" max="44" width="9.140625" style="1408"/>
    <col min="45" max="45" width="14.28515625" style="1408" customWidth="1"/>
    <col min="46" max="46" width="9.140625" style="1408"/>
    <col min="47" max="47" width="10.5703125" style="1408" customWidth="1"/>
    <col min="48" max="48" width="9.140625" style="1408"/>
    <col min="49" max="49" width="13.85546875" style="1408" customWidth="1"/>
    <col min="50" max="50" width="11" style="1408" customWidth="1"/>
    <col min="51" max="16384" width="9.140625" style="1408"/>
  </cols>
  <sheetData>
    <row r="1" spans="2:21" s="1383" customFormat="1" ht="37.5" customHeight="1" x14ac:dyDescent="0.25">
      <c r="B1" s="2559" t="s">
        <v>2146</v>
      </c>
      <c r="C1" s="2560"/>
      <c r="D1" s="2560"/>
      <c r="E1" s="2560"/>
      <c r="F1" s="2560"/>
      <c r="G1" s="2560"/>
      <c r="H1" s="2560"/>
      <c r="I1" s="2560"/>
      <c r="J1" s="2560"/>
      <c r="K1" s="2561"/>
      <c r="M1" s="1493"/>
      <c r="N1" s="1493"/>
      <c r="O1" s="1493"/>
      <c r="P1" s="1493"/>
      <c r="Q1" s="1493"/>
      <c r="R1" s="1493"/>
      <c r="S1" s="1493"/>
      <c r="T1" s="1493"/>
      <c r="U1" s="1493"/>
    </row>
    <row r="2" spans="2:21" s="1383" customFormat="1" ht="59.25" customHeight="1" x14ac:dyDescent="0.25">
      <c r="B2" s="1374"/>
      <c r="C2" s="1375"/>
      <c r="D2" s="1375"/>
      <c r="E2" s="1618"/>
      <c r="F2" s="1618"/>
      <c r="G2" s="1618"/>
      <c r="H2" s="1618"/>
      <c r="I2" s="1618"/>
      <c r="J2" s="1375"/>
      <c r="K2" s="1633"/>
      <c r="M2" s="1493"/>
      <c r="N2" s="1493"/>
      <c r="O2" s="1493"/>
      <c r="P2" s="1493"/>
      <c r="Q2" s="1493"/>
      <c r="R2" s="1493"/>
      <c r="S2" s="1493"/>
      <c r="T2" s="1493"/>
      <c r="U2" s="1493"/>
    </row>
    <row r="3" spans="2:21" s="1383" customFormat="1" ht="21" x14ac:dyDescent="0.35">
      <c r="B3" s="2297" t="s">
        <v>1551</v>
      </c>
      <c r="C3" s="2298"/>
      <c r="D3" s="2298"/>
      <c r="E3" s="2298"/>
      <c r="F3" s="2298"/>
      <c r="G3" s="2298"/>
      <c r="H3" s="2298"/>
      <c r="I3" s="2298"/>
      <c r="J3" s="2298"/>
      <c r="K3" s="2299"/>
      <c r="M3" s="1493"/>
      <c r="N3" s="1493"/>
      <c r="O3" s="1493"/>
      <c r="P3" s="1493"/>
      <c r="Q3" s="1493"/>
      <c r="R3" s="1493"/>
      <c r="S3" s="1493"/>
      <c r="T3" s="1493"/>
      <c r="U3" s="1493"/>
    </row>
    <row r="4" spans="2:21" s="1383" customFormat="1" ht="30.75" customHeight="1" x14ac:dyDescent="0.25">
      <c r="B4" s="2577" t="s">
        <v>957</v>
      </c>
      <c r="C4" s="2577"/>
      <c r="D4" s="2577"/>
      <c r="E4" s="2577"/>
      <c r="F4" s="1634" t="s">
        <v>1618</v>
      </c>
      <c r="G4" s="1635" t="s">
        <v>433</v>
      </c>
      <c r="H4" s="2573" t="str">
        <f>D40</f>
        <v>BuP Annual Units Mfg.</v>
      </c>
      <c r="I4" s="2574"/>
      <c r="J4" s="2575" t="str">
        <f>D48</f>
        <v>BuP Annual Units Installed</v>
      </c>
      <c r="K4" s="2576"/>
      <c r="M4" s="1493"/>
      <c r="N4" s="1493"/>
      <c r="O4" s="1493"/>
      <c r="P4" s="1493"/>
      <c r="Q4" s="1493"/>
      <c r="R4" s="1493"/>
      <c r="S4" s="1493"/>
      <c r="T4" s="1493"/>
      <c r="U4" s="1493"/>
    </row>
    <row r="5" spans="2:21" s="1383" customFormat="1" ht="15.75" x14ac:dyDescent="0.25">
      <c r="B5" s="1397" t="s">
        <v>1550</v>
      </c>
      <c r="C5" s="1398"/>
      <c r="D5" s="1398"/>
      <c r="E5" s="1416"/>
      <c r="F5" s="1636" t="str">
        <f>'Backup INPUTS'!State</f>
        <v>&lt;Please select&gt;</v>
      </c>
      <c r="G5" s="1382">
        <v>2015</v>
      </c>
      <c r="H5" s="1397"/>
      <c r="I5" s="1637">
        <f t="shared" ref="I5:I10" si="0">D41</f>
        <v>0</v>
      </c>
      <c r="K5" s="1625">
        <f>D49</f>
        <v>0</v>
      </c>
      <c r="M5" s="1493"/>
      <c r="N5" s="1493"/>
      <c r="O5" s="1493"/>
      <c r="P5" s="1493"/>
      <c r="Q5" s="1493"/>
      <c r="R5" s="1493"/>
      <c r="S5" s="1493"/>
      <c r="T5" s="1493"/>
      <c r="U5" s="1493"/>
    </row>
    <row r="6" spans="2:21" s="1383" customFormat="1" ht="15.75" x14ac:dyDescent="0.25">
      <c r="B6" s="1382" t="s">
        <v>1552</v>
      </c>
      <c r="E6" s="1384"/>
      <c r="F6" s="1385" t="str">
        <f>IF(AND('Backup INPUTS'!$E$6=RIMS_lists!$C$1,'Backup INPUTS'!$E$7=Lists!$C$4), Lists!$C$4,Lists!$C$3)</f>
        <v>Gross</v>
      </c>
      <c r="G6" s="1382">
        <v>2016</v>
      </c>
      <c r="H6" s="1382"/>
      <c r="I6" s="1625">
        <f t="shared" si="0"/>
        <v>0</v>
      </c>
      <c r="K6" s="1625">
        <f>D50</f>
        <v>0</v>
      </c>
      <c r="M6" s="1493"/>
      <c r="N6" s="1493"/>
      <c r="O6" s="1493"/>
      <c r="P6" s="1493"/>
      <c r="Q6" s="1493"/>
      <c r="R6" s="1493"/>
      <c r="S6" s="1493"/>
      <c r="T6" s="1493"/>
      <c r="U6" s="1493"/>
    </row>
    <row r="7" spans="2:21" s="1383" customFormat="1" ht="15.75" x14ac:dyDescent="0.25">
      <c r="B7" s="1382" t="str">
        <f>'Backup INPUTS'!B11:D11</f>
        <v>Backup power fuel cell unit size (average kW/unit)</v>
      </c>
      <c r="E7" s="1384"/>
      <c r="F7" s="1383">
        <f>'Backup INPUTS'!avgSize</f>
        <v>5</v>
      </c>
      <c r="G7" s="1382">
        <v>2017</v>
      </c>
      <c r="H7" s="1382"/>
      <c r="I7" s="1625">
        <f t="shared" si="0"/>
        <v>0</v>
      </c>
      <c r="K7" s="1625">
        <f t="shared" ref="K7:K10" si="1">D51</f>
        <v>0</v>
      </c>
      <c r="M7" s="1493"/>
      <c r="N7" s="1493"/>
      <c r="O7" s="1493"/>
      <c r="P7" s="1493"/>
      <c r="Q7" s="1493"/>
      <c r="R7" s="1493"/>
      <c r="S7" s="1493"/>
      <c r="T7" s="1493"/>
      <c r="U7" s="1493"/>
    </row>
    <row r="8" spans="2:21" s="1383" customFormat="1" ht="15.75" x14ac:dyDescent="0.25">
      <c r="B8" s="1382" t="str">
        <f>'Backup INPUTS'!B12</f>
        <v>Average power load during operation (average kW)</v>
      </c>
      <c r="E8" s="1384"/>
      <c r="F8" s="1383">
        <f>'Backup INPUTS'!J12</f>
        <v>3</v>
      </c>
      <c r="G8" s="1382">
        <v>2018</v>
      </c>
      <c r="H8" s="1382"/>
      <c r="I8" s="1625">
        <f t="shared" si="0"/>
        <v>0</v>
      </c>
      <c r="K8" s="1625">
        <f t="shared" si="1"/>
        <v>0</v>
      </c>
      <c r="M8" s="1493"/>
      <c r="N8" s="1493"/>
      <c r="O8" s="1493"/>
      <c r="P8" s="1493"/>
      <c r="Q8" s="1493"/>
      <c r="R8" s="1493"/>
      <c r="S8" s="1493"/>
      <c r="T8" s="1493"/>
      <c r="U8" s="1493"/>
    </row>
    <row r="9" spans="2:21" s="1383" customFormat="1" ht="15.75" x14ac:dyDescent="0.25">
      <c r="B9" s="1382" t="str">
        <f>'Backup INPUTS'!B13:D13</f>
        <v>Hours of required run-time from on-site storage (hours)</v>
      </c>
      <c r="E9" s="1384"/>
      <c r="F9" s="1383">
        <f>runtime</f>
        <v>48</v>
      </c>
      <c r="G9" s="1382">
        <v>2019</v>
      </c>
      <c r="H9" s="1382"/>
      <c r="I9" s="1625">
        <f t="shared" si="0"/>
        <v>0</v>
      </c>
      <c r="K9" s="1625">
        <f t="shared" si="1"/>
        <v>0</v>
      </c>
      <c r="M9" s="1493"/>
      <c r="N9" s="1493"/>
      <c r="O9" s="1493"/>
      <c r="P9" s="1493"/>
      <c r="Q9" s="1493"/>
      <c r="R9" s="1493"/>
      <c r="S9" s="1493"/>
      <c r="T9" s="1493"/>
      <c r="U9" s="1493"/>
    </row>
    <row r="10" spans="2:21" s="1383" customFormat="1" ht="15.75" x14ac:dyDescent="0.25">
      <c r="B10" s="1382" t="str">
        <f>'Backup INPUTS'!B14:D14</f>
        <v>Annual backup run-time (total hours/year)</v>
      </c>
      <c r="E10" s="1384"/>
      <c r="F10" s="1383">
        <f>annualusage</f>
        <v>20</v>
      </c>
      <c r="G10" s="1382">
        <v>2020</v>
      </c>
      <c r="H10" s="1382"/>
      <c r="I10" s="1625">
        <f t="shared" si="0"/>
        <v>0</v>
      </c>
      <c r="K10" s="1625">
        <f t="shared" si="1"/>
        <v>0</v>
      </c>
      <c r="M10" s="1493"/>
      <c r="N10" s="1493"/>
      <c r="O10" s="1493"/>
      <c r="P10" s="1493"/>
      <c r="Q10" s="1493"/>
      <c r="R10" s="1493"/>
      <c r="S10" s="1493"/>
      <c r="T10" s="1493"/>
      <c r="U10" s="1493"/>
    </row>
    <row r="11" spans="2:21" s="1383" customFormat="1" ht="15.75" x14ac:dyDescent="0.25">
      <c r="B11" s="1382" t="str">
        <f>'Backup INPUTS'!B15:D15</f>
        <v>Annual testing run-time (total hours/year)</v>
      </c>
      <c r="E11" s="1384"/>
      <c r="F11" s="1383">
        <f>'Backup INPUTS'!J15</f>
        <v>4</v>
      </c>
      <c r="G11" s="2304" t="str">
        <f>'Forklift RESULTS-Charts'!G11</f>
        <v>Notes</v>
      </c>
      <c r="H11" s="2305"/>
      <c r="I11" s="2305"/>
      <c r="J11" s="2305"/>
      <c r="K11" s="2306"/>
      <c r="M11" s="1493"/>
      <c r="N11" s="1493"/>
      <c r="O11" s="1493"/>
      <c r="P11" s="1493"/>
      <c r="Q11" s="1493"/>
      <c r="R11" s="1493"/>
      <c r="S11" s="1493"/>
      <c r="T11" s="1493"/>
      <c r="U11" s="1493"/>
    </row>
    <row r="12" spans="2:21" s="1383" customFormat="1" ht="15.75" customHeight="1" x14ac:dyDescent="0.25">
      <c r="B12" s="1382" t="str">
        <f>'Backup INPUTS'!B61</f>
        <v>Total fuel cell installation expense ($/installed FC)</v>
      </c>
      <c r="E12" s="1384"/>
      <c r="F12" s="1429">
        <f>'Backup INPUTS'!J61</f>
        <v>33500</v>
      </c>
      <c r="G12" s="2285" t="str">
        <f>'Forklift RESULTS-Charts'!G12</f>
        <v xml:space="preserve">(1) All dollar values are in 2010$. (2) Economic impacts are assumed to occur in the same year that expenditures occur.  For each year's expenditures, the economic impacts include direct, indirect, and induced effects for employment, earnings, and output. (3) Total economic impacts = Direct + Indirect + Induced; Supply chain impacts = Direct + Indirect. (4) Employment includes both full and part-time jobs. (5) Earnings and Output results are in thousands of 2010$. </v>
      </c>
      <c r="H12" s="2286"/>
      <c r="I12" s="2286"/>
      <c r="J12" s="2286"/>
      <c r="K12" s="2287"/>
      <c r="M12" s="1493"/>
      <c r="N12" s="1493"/>
      <c r="O12" s="1493"/>
      <c r="P12" s="1493"/>
      <c r="Q12" s="1493"/>
      <c r="R12" s="1493"/>
      <c r="S12" s="1493"/>
      <c r="T12" s="1493"/>
      <c r="U12" s="1493"/>
    </row>
    <row r="13" spans="2:21" s="1383" customFormat="1" ht="15.75" customHeight="1" x14ac:dyDescent="0.25">
      <c r="B13" s="1382" t="str">
        <f>'Backup INPUTS'!B69</f>
        <v>Initial (stored) H2 fuel expense ($/installed FC unit)</v>
      </c>
      <c r="E13" s="1384"/>
      <c r="F13" s="1429">
        <f>'Backup INPUTS'!J69</f>
        <v>468.00000000000006</v>
      </c>
      <c r="G13" s="2285"/>
      <c r="H13" s="2286"/>
      <c r="I13" s="2286"/>
      <c r="J13" s="2286"/>
      <c r="K13" s="2287"/>
      <c r="M13" s="1493"/>
      <c r="N13" s="1493"/>
      <c r="O13" s="1493"/>
      <c r="P13" s="1493"/>
      <c r="Q13" s="1493"/>
      <c r="R13" s="1493"/>
      <c r="S13" s="1493"/>
      <c r="T13" s="1493"/>
      <c r="U13" s="1493"/>
    </row>
    <row r="14" spans="2:21" s="1383" customFormat="1" ht="15.75" customHeight="1" x14ac:dyDescent="0.25">
      <c r="B14" s="1382" t="str">
        <f>'Backup INPUTS'!B70</f>
        <v>Annual H2 fuel expense ($/operating FC unit/year)</v>
      </c>
      <c r="E14" s="1384"/>
      <c r="F14" s="1429">
        <f>'Backup INPUTS'!J70</f>
        <v>140.39999999999998</v>
      </c>
      <c r="G14" s="2285"/>
      <c r="H14" s="2286"/>
      <c r="I14" s="2286"/>
      <c r="J14" s="2286"/>
      <c r="K14" s="2287"/>
      <c r="M14" s="1493"/>
      <c r="N14" s="1493"/>
      <c r="O14" s="1493"/>
      <c r="P14" s="1493"/>
      <c r="Q14" s="1493"/>
      <c r="R14" s="1493"/>
      <c r="S14" s="1493"/>
      <c r="T14" s="1493"/>
      <c r="U14" s="1493"/>
    </row>
    <row r="15" spans="2:21" s="1383" customFormat="1" ht="15.75" x14ac:dyDescent="0.25">
      <c r="B15" s="1402" t="str">
        <f>'Backup INPUTS'!B77</f>
        <v>Total FC maintenance expense ($/FC/year)</v>
      </c>
      <c r="C15" s="1403"/>
      <c r="D15" s="1403"/>
      <c r="E15" s="1390"/>
      <c r="F15" s="1429">
        <f>'Backup INPUTS'!J77</f>
        <v>450</v>
      </c>
      <c r="G15" s="2285"/>
      <c r="H15" s="2286"/>
      <c r="I15" s="2286"/>
      <c r="J15" s="2286"/>
      <c r="K15" s="2287"/>
      <c r="M15" s="1493"/>
      <c r="N15" s="1493"/>
      <c r="O15" s="1493"/>
      <c r="P15" s="1493"/>
      <c r="Q15" s="1493"/>
      <c r="R15" s="1493"/>
      <c r="S15" s="1493"/>
      <c r="T15" s="1493"/>
      <c r="U15" s="1493"/>
    </row>
    <row r="16" spans="2:21" s="1383" customFormat="1" ht="33.75" customHeight="1" x14ac:dyDescent="0.25">
      <c r="B16" s="2301" t="s">
        <v>1823</v>
      </c>
      <c r="C16" s="2302"/>
      <c r="D16" s="2302"/>
      <c r="E16" s="2302"/>
      <c r="F16" s="2302"/>
      <c r="G16" s="2288"/>
      <c r="H16" s="2289"/>
      <c r="I16" s="2289"/>
      <c r="J16" s="2289"/>
      <c r="K16" s="2290"/>
      <c r="M16" s="1493"/>
      <c r="N16" s="1493"/>
      <c r="O16" s="1493"/>
      <c r="P16" s="1493"/>
      <c r="Q16" s="1493"/>
      <c r="R16" s="1493"/>
      <c r="S16" s="1493"/>
      <c r="T16" s="1493"/>
      <c r="U16" s="1493"/>
    </row>
    <row r="17" spans="1:36" s="1383" customFormat="1" ht="15.75" x14ac:dyDescent="0.25">
      <c r="M17" s="1493"/>
      <c r="N17" s="1493"/>
      <c r="O17" s="1493"/>
      <c r="P17" s="1493"/>
      <c r="Q17" s="1493"/>
      <c r="R17" s="1493"/>
      <c r="S17" s="1493"/>
      <c r="T17" s="1493"/>
      <c r="U17" s="1493"/>
    </row>
    <row r="18" spans="1:36" s="1383" customFormat="1" ht="15.75" x14ac:dyDescent="0.25">
      <c r="M18" s="1493"/>
      <c r="N18" s="1493"/>
      <c r="O18" s="1493"/>
      <c r="P18" s="1493"/>
      <c r="Q18" s="1493"/>
      <c r="R18" s="1493"/>
      <c r="S18" s="1493"/>
      <c r="T18" s="1493"/>
      <c r="U18" s="1493"/>
    </row>
    <row r="19" spans="1:36" s="1383" customFormat="1" ht="21" x14ac:dyDescent="0.35">
      <c r="B19" s="2578" t="s">
        <v>1826</v>
      </c>
      <c r="C19" s="2579"/>
      <c r="D19" s="2579"/>
      <c r="E19" s="2579"/>
      <c r="F19" s="2579"/>
      <c r="G19" s="2579"/>
      <c r="H19" s="2579"/>
      <c r="I19" s="2579"/>
      <c r="J19" s="2579"/>
      <c r="K19" s="2580"/>
      <c r="M19" s="1493"/>
      <c r="N19" s="1493"/>
      <c r="O19" s="1493"/>
      <c r="P19" s="1493"/>
      <c r="Q19" s="1493"/>
      <c r="R19" s="1493"/>
      <c r="S19" s="1493"/>
      <c r="T19" s="1493"/>
      <c r="U19" s="1493"/>
    </row>
    <row r="20" spans="1:36" s="1383" customFormat="1" ht="15.75" x14ac:dyDescent="0.25">
      <c r="B20" s="1392" t="s">
        <v>1817</v>
      </c>
      <c r="C20" s="1393"/>
      <c r="D20" s="1393"/>
      <c r="E20" s="1638"/>
      <c r="F20" s="1394" t="s">
        <v>1842</v>
      </c>
      <c r="G20" s="1392" t="s">
        <v>1840</v>
      </c>
      <c r="H20" s="1632"/>
      <c r="I20" s="1431" t="s">
        <v>451</v>
      </c>
      <c r="J20" s="1638"/>
      <c r="K20" s="1632"/>
      <c r="M20" s="1493"/>
      <c r="N20" s="1493"/>
      <c r="O20" s="1493"/>
      <c r="P20" s="1493"/>
      <c r="Q20" s="1493"/>
      <c r="R20" s="1493"/>
      <c r="S20" s="1493"/>
      <c r="T20" s="1493"/>
      <c r="U20" s="1493"/>
    </row>
    <row r="21" spans="1:36" s="1383" customFormat="1" ht="15.75" customHeight="1" x14ac:dyDescent="0.25">
      <c r="B21" s="1433" t="str">
        <f>B32</f>
        <v>Retail Price and Manufacturing Cost (Backup Power Fuel Cell Unit)</v>
      </c>
      <c r="C21" s="1434"/>
      <c r="D21" s="1435"/>
      <c r="E21" s="1416"/>
      <c r="F21" s="1443" t="str">
        <f>"Rows "&amp;ROW(C32)&amp;":"&amp;ROW(C38)</f>
        <v>Rows 32:38</v>
      </c>
      <c r="G21" s="1639" t="s">
        <v>1851</v>
      </c>
      <c r="H21" s="1384"/>
      <c r="I21" s="1640"/>
      <c r="J21" s="1641"/>
      <c r="K21" s="1642"/>
      <c r="M21" s="1493"/>
      <c r="N21" s="1493"/>
      <c r="O21" s="1493"/>
      <c r="P21" s="1493"/>
      <c r="Q21" s="1493"/>
      <c r="R21" s="1493"/>
      <c r="S21" s="1493"/>
      <c r="T21" s="1493"/>
      <c r="U21" s="1493"/>
    </row>
    <row r="22" spans="1:36" s="1383" customFormat="1" ht="15.75" x14ac:dyDescent="0.25">
      <c r="B22" s="1441" t="str">
        <f>B40</f>
        <v>Units Manufactured in Region (Backup Power Fuel Cells)</v>
      </c>
      <c r="C22" s="1442"/>
      <c r="D22" s="1428"/>
      <c r="E22" s="1384"/>
      <c r="F22" s="1443" t="str">
        <f>"Rows "&amp;ROW(C40)&amp;":"&amp;ROW(C46)</f>
        <v>Rows 40:46</v>
      </c>
      <c r="G22" s="1639" t="s">
        <v>1851</v>
      </c>
      <c r="H22" s="1384"/>
      <c r="I22" s="1492"/>
      <c r="J22" s="1482"/>
      <c r="K22" s="1489"/>
      <c r="M22" s="1493"/>
      <c r="N22" s="1493"/>
      <c r="O22" s="1493"/>
      <c r="P22" s="1493"/>
      <c r="Q22" s="1493"/>
      <c r="R22" s="1493"/>
      <c r="S22" s="1493"/>
      <c r="T22" s="1493"/>
      <c r="U22" s="1493"/>
    </row>
    <row r="23" spans="1:36" s="1383" customFormat="1" ht="15.75" x14ac:dyDescent="0.25">
      <c r="B23" s="1441" t="str">
        <f>B48</f>
        <v>Units Installed in Region (Backup Power Fuel Cells)</v>
      </c>
      <c r="C23" s="1442"/>
      <c r="D23" s="1428"/>
      <c r="E23" s="1384"/>
      <c r="F23" s="1443" t="str">
        <f>"Rows "&amp;ROW(C48)&amp;":"&amp;ROW(C54)</f>
        <v>Rows 48:54</v>
      </c>
      <c r="G23" s="1639" t="s">
        <v>1851</v>
      </c>
      <c r="H23" s="1384"/>
      <c r="I23" s="1492"/>
      <c r="J23" s="1482"/>
      <c r="K23" s="1489"/>
      <c r="M23" s="1493"/>
      <c r="N23" s="1493"/>
      <c r="O23" s="1493"/>
      <c r="P23" s="1493"/>
      <c r="Q23" s="1493"/>
      <c r="R23" s="1493"/>
      <c r="S23" s="1493"/>
      <c r="T23" s="1493"/>
      <c r="U23" s="1493"/>
    </row>
    <row r="24" spans="1:36" s="1383" customFormat="1" ht="23.25" customHeight="1" x14ac:dyDescent="0.25">
      <c r="B24" s="1433" t="str">
        <f>$F$6&amp;" Employment Impacts"</f>
        <v>Gross Employment Impacts</v>
      </c>
      <c r="C24" s="1435"/>
      <c r="D24" s="1435"/>
      <c r="E24" s="1416"/>
      <c r="F24" s="1436" t="str">
        <f>"Rows "&amp;ROW(C59)&amp;":"&amp;ROW(C67)</f>
        <v>Rows 59:67</v>
      </c>
      <c r="G24" s="1643" t="s">
        <v>1851</v>
      </c>
      <c r="H24" s="1416"/>
      <c r="I24" s="2282" t="s">
        <v>1853</v>
      </c>
      <c r="J24" s="2283"/>
      <c r="K24" s="2284"/>
      <c r="M24" s="1493"/>
      <c r="N24" s="1493"/>
      <c r="O24" s="1493"/>
      <c r="P24" s="1493"/>
      <c r="Q24" s="1493"/>
      <c r="R24" s="1493"/>
      <c r="S24" s="1493"/>
      <c r="T24" s="1493"/>
      <c r="U24" s="1493"/>
    </row>
    <row r="25" spans="1:36" s="1383" customFormat="1" ht="23.25" customHeight="1" x14ac:dyDescent="0.25">
      <c r="B25" s="1441" t="str">
        <f>$F$6&amp;" Earnings Impacts"</f>
        <v>Gross Earnings Impacts</v>
      </c>
      <c r="C25" s="1428"/>
      <c r="D25" s="1428"/>
      <c r="E25" s="1384"/>
      <c r="F25" s="1443" t="str">
        <f>"Rows "&amp;ROW(C69)&amp;":"&amp;ROW(C77)</f>
        <v>Rows 69:77</v>
      </c>
      <c r="G25" s="1639" t="s">
        <v>1851</v>
      </c>
      <c r="H25" s="1384"/>
      <c r="I25" s="2285"/>
      <c r="J25" s="2286"/>
      <c r="K25" s="2287"/>
      <c r="M25" s="1493"/>
      <c r="N25" s="1493"/>
      <c r="O25" s="1493"/>
      <c r="P25" s="1493"/>
      <c r="Q25" s="1493"/>
      <c r="R25" s="1493"/>
      <c r="S25" s="1493"/>
      <c r="T25" s="1493"/>
      <c r="U25" s="1493"/>
    </row>
    <row r="26" spans="1:36" s="1383" customFormat="1" ht="23.25" customHeight="1" x14ac:dyDescent="0.25">
      <c r="B26" s="1441" t="str">
        <f>$F$6&amp;" Output Impacts"</f>
        <v>Gross Output Impacts</v>
      </c>
      <c r="C26" s="1428"/>
      <c r="D26" s="1428"/>
      <c r="E26" s="1384"/>
      <c r="F26" s="1443" t="str">
        <f>"Rows "&amp;ROW(C79)&amp;":"&amp;ROW(C87)</f>
        <v>Rows 79:87</v>
      </c>
      <c r="G26" s="1639" t="s">
        <v>1851</v>
      </c>
      <c r="H26" s="1384"/>
      <c r="I26" s="2285"/>
      <c r="J26" s="2286"/>
      <c r="K26" s="2287"/>
      <c r="M26" s="1493"/>
      <c r="N26" s="1493"/>
      <c r="O26" s="1493"/>
      <c r="P26" s="1493"/>
      <c r="Q26" s="1493"/>
      <c r="R26" s="1493"/>
      <c r="S26" s="1493"/>
      <c r="T26" s="1493"/>
      <c r="U26" s="1493"/>
    </row>
    <row r="27" spans="1:36" s="1383" customFormat="1" ht="33.75" customHeight="1" x14ac:dyDescent="0.25">
      <c r="B27" s="1456" t="s">
        <v>1821</v>
      </c>
      <c r="C27" s="1457"/>
      <c r="D27" s="1457"/>
      <c r="E27" s="1644"/>
      <c r="F27" s="1458" t="str">
        <f>"Rows "&amp;ROW(C92)&amp;":"&amp;ROW(C120)</f>
        <v>Rows 92:120</v>
      </c>
      <c r="G27" s="1456" t="s">
        <v>1851</v>
      </c>
      <c r="H27" s="1644"/>
      <c r="I27" s="2581" t="s">
        <v>2153</v>
      </c>
      <c r="J27" s="2582"/>
      <c r="K27" s="2583"/>
      <c r="M27" s="1493"/>
      <c r="N27" s="1493"/>
      <c r="O27" s="1493"/>
      <c r="P27" s="1493"/>
      <c r="Q27" s="1493"/>
      <c r="R27" s="1493"/>
      <c r="S27" s="1493"/>
      <c r="T27" s="1493"/>
      <c r="U27" s="1493"/>
    </row>
    <row r="28" spans="1:36" s="1383" customFormat="1" ht="32.25" customHeight="1" x14ac:dyDescent="0.25">
      <c r="B28" s="1461" t="str">
        <f>'Forklift RESULTS-Tables'!B29</f>
        <v>Displaced Economic Impacts (Employment, Earnings, Output)</v>
      </c>
      <c r="C28" s="1462"/>
      <c r="D28" s="1462"/>
      <c r="E28" s="1645"/>
      <c r="F28" s="1463" t="str">
        <f>"Rows "&amp;ROW(C125)&amp;":"&amp;ROW(C153)</f>
        <v>Rows 125:153</v>
      </c>
      <c r="G28" s="1458" t="s">
        <v>1851</v>
      </c>
      <c r="H28" s="1645"/>
      <c r="I28" s="2288" t="s">
        <v>1860</v>
      </c>
      <c r="J28" s="2289"/>
      <c r="K28" s="2290"/>
      <c r="M28" s="1493"/>
      <c r="N28" s="1493"/>
      <c r="O28" s="1493"/>
      <c r="P28" s="1493"/>
      <c r="Q28" s="1493"/>
      <c r="R28" s="1493"/>
      <c r="S28" s="1493"/>
      <c r="T28" s="1493"/>
      <c r="U28" s="1493"/>
    </row>
    <row r="29" spans="1:36" s="1383" customFormat="1" ht="15.75" x14ac:dyDescent="0.25">
      <c r="G29" s="1646"/>
      <c r="M29" s="1493"/>
      <c r="N29" s="1493"/>
      <c r="O29" s="1493"/>
      <c r="P29" s="1493"/>
      <c r="Q29" s="1493"/>
      <c r="R29" s="1493"/>
      <c r="S29" s="1493"/>
      <c r="T29" s="1493"/>
      <c r="U29" s="1493"/>
    </row>
    <row r="30" spans="1:36" s="1647" customFormat="1" ht="22.5" customHeight="1" x14ac:dyDescent="0.35">
      <c r="A30" s="1383"/>
      <c r="B30" s="1466" t="s">
        <v>1864</v>
      </c>
      <c r="C30" s="1467"/>
      <c r="D30" s="1467"/>
      <c r="E30" s="1467"/>
      <c r="F30" s="1467"/>
      <c r="G30" s="1468"/>
      <c r="H30" s="1469"/>
      <c r="I30" s="1469"/>
      <c r="J30" s="1470"/>
      <c r="K30" s="1472"/>
      <c r="L30" s="1493"/>
      <c r="M30" s="1493"/>
      <c r="N30" s="1493"/>
      <c r="O30" s="1493"/>
      <c r="P30" s="1493"/>
      <c r="Q30" s="1493"/>
      <c r="R30" s="1493"/>
      <c r="S30" s="1493"/>
      <c r="T30" s="1493"/>
      <c r="U30" s="1493"/>
      <c r="V30" s="1383"/>
      <c r="W30" s="1383"/>
      <c r="X30" s="1383"/>
      <c r="Y30" s="1383"/>
      <c r="Z30" s="1383"/>
      <c r="AA30" s="1383"/>
      <c r="AB30" s="1383"/>
      <c r="AC30" s="1383"/>
      <c r="AD30" s="1383"/>
      <c r="AE30" s="1383"/>
      <c r="AF30" s="1383"/>
      <c r="AG30" s="1383"/>
      <c r="AH30" s="1383"/>
      <c r="AI30" s="1383"/>
      <c r="AJ30" s="1383"/>
    </row>
    <row r="31" spans="1:36" s="1383" customFormat="1" ht="15.75" x14ac:dyDescent="0.25">
      <c r="B31" s="1382"/>
      <c r="G31" s="1646"/>
      <c r="H31" s="1429"/>
      <c r="I31" s="1429"/>
      <c r="J31" s="1420"/>
      <c r="K31" s="1648"/>
      <c r="L31" s="1493"/>
      <c r="M31" s="1493"/>
      <c r="N31" s="1493"/>
      <c r="O31" s="1493"/>
      <c r="P31" s="1493"/>
      <c r="Q31" s="1493"/>
      <c r="R31" s="1493"/>
      <c r="S31" s="1493"/>
      <c r="T31" s="1493"/>
      <c r="U31" s="1493"/>
    </row>
    <row r="32" spans="1:36" s="1494" customFormat="1" ht="31.5" customHeight="1" x14ac:dyDescent="0.25">
      <c r="A32" s="1383"/>
      <c r="B32" s="2569" t="s">
        <v>2159</v>
      </c>
      <c r="C32" s="1474" t="s">
        <v>433</v>
      </c>
      <c r="D32" s="1649" t="s">
        <v>1496</v>
      </c>
      <c r="E32" s="1649" t="s">
        <v>1497</v>
      </c>
      <c r="F32" s="1383"/>
      <c r="G32" s="1383"/>
      <c r="H32" s="1383"/>
      <c r="I32" s="1383"/>
      <c r="J32" s="1383"/>
      <c r="K32" s="1648"/>
      <c r="L32" s="1493"/>
      <c r="M32" s="1493"/>
      <c r="N32" s="1493"/>
      <c r="O32" s="1493"/>
      <c r="P32" s="1493"/>
      <c r="Q32" s="1493"/>
      <c r="R32" s="1493"/>
      <c r="S32" s="1493"/>
      <c r="T32" s="1493"/>
      <c r="U32" s="1493"/>
      <c r="V32" s="1383"/>
      <c r="W32" s="1383"/>
      <c r="X32" s="1383"/>
      <c r="Y32" s="1383"/>
      <c r="Z32" s="1383"/>
      <c r="AA32" s="1383"/>
      <c r="AB32" s="1383"/>
      <c r="AC32" s="1383"/>
      <c r="AD32" s="1383"/>
      <c r="AE32" s="1383"/>
      <c r="AF32" s="1383"/>
      <c r="AG32" s="1383"/>
      <c r="AH32" s="1383"/>
      <c r="AI32" s="1383"/>
      <c r="AJ32" s="1383"/>
    </row>
    <row r="33" spans="1:36" s="1494" customFormat="1" ht="15.75" customHeight="1" x14ac:dyDescent="0.25">
      <c r="A33" s="1383"/>
      <c r="B33" s="2313"/>
      <c r="C33" s="1477">
        <v>2015</v>
      </c>
      <c r="D33" s="1989">
        <f>'Backup INPUTS'!avgSize*'Backup INPUTS'!I43</f>
        <v>0</v>
      </c>
      <c r="E33" s="1989">
        <f>'Backup INPUTS'!avgSize*'Backup INPUTS'!J43</f>
        <v>0</v>
      </c>
      <c r="F33" s="1383"/>
      <c r="G33" s="1383"/>
      <c r="H33" s="1383"/>
      <c r="I33" s="1383"/>
      <c r="J33" s="1383"/>
      <c r="K33" s="1648"/>
      <c r="L33" s="1493"/>
      <c r="M33" s="1493"/>
      <c r="N33" s="1493"/>
      <c r="O33" s="1493"/>
      <c r="P33" s="1493"/>
      <c r="Q33" s="1493"/>
      <c r="R33" s="1493"/>
      <c r="S33" s="1493"/>
      <c r="T33" s="1493"/>
      <c r="U33" s="1493"/>
      <c r="V33" s="1383"/>
      <c r="W33" s="1383"/>
      <c r="X33" s="1383"/>
      <c r="Y33" s="1383"/>
      <c r="Z33" s="1383"/>
      <c r="AA33" s="1383"/>
      <c r="AB33" s="1383"/>
      <c r="AC33" s="1383"/>
      <c r="AD33" s="1383"/>
      <c r="AE33" s="1383"/>
      <c r="AF33" s="1383"/>
      <c r="AG33" s="1383"/>
      <c r="AH33" s="1383"/>
      <c r="AI33" s="1383"/>
      <c r="AJ33" s="1383"/>
    </row>
    <row r="34" spans="1:36" s="1494" customFormat="1" ht="15.75" customHeight="1" x14ac:dyDescent="0.25">
      <c r="A34" s="1383"/>
      <c r="B34" s="2313"/>
      <c r="C34" s="1477">
        <v>2016</v>
      </c>
      <c r="D34" s="1989">
        <f>'Backup INPUTS'!avgSize*'Backup INPUTS'!I44</f>
        <v>0</v>
      </c>
      <c r="E34" s="1989">
        <f>'Backup INPUTS'!avgSize*'Backup INPUTS'!J44</f>
        <v>0</v>
      </c>
      <c r="F34" s="1383"/>
      <c r="G34" s="1383"/>
      <c r="H34" s="1383"/>
      <c r="I34" s="1383"/>
      <c r="J34" s="1383"/>
      <c r="K34" s="1648"/>
      <c r="L34" s="1493"/>
      <c r="M34" s="1493"/>
      <c r="N34" s="1493"/>
      <c r="O34" s="1493"/>
      <c r="P34" s="1493"/>
      <c r="Q34" s="1493"/>
      <c r="R34" s="1493"/>
      <c r="S34" s="1493"/>
      <c r="T34" s="1493"/>
      <c r="U34" s="1493"/>
      <c r="V34" s="1383"/>
      <c r="W34" s="1383"/>
      <c r="X34" s="1383"/>
      <c r="Y34" s="1383"/>
      <c r="Z34" s="1383"/>
      <c r="AA34" s="1383"/>
      <c r="AB34" s="1383"/>
      <c r="AC34" s="1383"/>
      <c r="AD34" s="1383"/>
      <c r="AE34" s="1383"/>
      <c r="AF34" s="1383"/>
      <c r="AG34" s="1383"/>
      <c r="AH34" s="1383"/>
      <c r="AI34" s="1383"/>
      <c r="AJ34" s="1383"/>
    </row>
    <row r="35" spans="1:36" s="1494" customFormat="1" ht="15.75" customHeight="1" x14ac:dyDescent="0.25">
      <c r="A35" s="1383"/>
      <c r="B35" s="2313"/>
      <c r="C35" s="1477">
        <v>2017</v>
      </c>
      <c r="D35" s="1989">
        <f>'Backup INPUTS'!avgSize*'Backup INPUTS'!I45</f>
        <v>0</v>
      </c>
      <c r="E35" s="1989">
        <f>'Backup INPUTS'!avgSize*'Backup INPUTS'!J45</f>
        <v>0</v>
      </c>
      <c r="F35" s="1383"/>
      <c r="G35" s="1383"/>
      <c r="H35" s="1383"/>
      <c r="I35" s="1383"/>
      <c r="J35" s="1383"/>
      <c r="K35" s="1648"/>
      <c r="L35" s="1493"/>
      <c r="M35" s="1493"/>
      <c r="N35" s="1493"/>
      <c r="O35" s="1493"/>
      <c r="P35" s="1493"/>
      <c r="Q35" s="1493"/>
      <c r="R35" s="1493"/>
      <c r="S35" s="1493"/>
      <c r="T35" s="1493"/>
      <c r="U35" s="1493"/>
      <c r="V35" s="1383"/>
      <c r="W35" s="1383"/>
      <c r="X35" s="1383"/>
      <c r="Y35" s="1383"/>
      <c r="Z35" s="1383"/>
      <c r="AA35" s="1383"/>
      <c r="AB35" s="1383"/>
      <c r="AC35" s="1383"/>
      <c r="AD35" s="1383"/>
      <c r="AE35" s="1383"/>
      <c r="AF35" s="1383"/>
      <c r="AG35" s="1383"/>
      <c r="AH35" s="1383"/>
      <c r="AI35" s="1383"/>
      <c r="AJ35" s="1383"/>
    </row>
    <row r="36" spans="1:36" s="1494" customFormat="1" ht="15.75" customHeight="1" x14ac:dyDescent="0.25">
      <c r="A36" s="1383"/>
      <c r="B36" s="2313"/>
      <c r="C36" s="1477">
        <v>2018</v>
      </c>
      <c r="D36" s="1989">
        <f>'Backup INPUTS'!avgSize*'Backup INPUTS'!I46</f>
        <v>0</v>
      </c>
      <c r="E36" s="1989">
        <f>'Backup INPUTS'!avgSize*'Backup INPUTS'!J46</f>
        <v>0</v>
      </c>
      <c r="F36" s="1383"/>
      <c r="G36" s="1383"/>
      <c r="H36" s="1383"/>
      <c r="I36" s="1383"/>
      <c r="J36" s="1383"/>
      <c r="K36" s="1648"/>
      <c r="L36" s="1493"/>
      <c r="M36" s="1493"/>
      <c r="N36" s="1493"/>
      <c r="O36" s="1493"/>
      <c r="P36" s="1493"/>
      <c r="Q36" s="1493"/>
      <c r="R36" s="1493"/>
      <c r="S36" s="1493"/>
      <c r="T36" s="1493"/>
      <c r="U36" s="1493"/>
      <c r="V36" s="1383"/>
      <c r="W36" s="1383"/>
      <c r="X36" s="1383"/>
      <c r="Y36" s="1383"/>
      <c r="Z36" s="1383"/>
      <c r="AA36" s="1383"/>
      <c r="AB36" s="1383"/>
      <c r="AC36" s="1383"/>
      <c r="AD36" s="1383"/>
      <c r="AE36" s="1383"/>
      <c r="AF36" s="1383"/>
      <c r="AG36" s="1383"/>
      <c r="AH36" s="1383"/>
      <c r="AI36" s="1383"/>
      <c r="AJ36" s="1383"/>
    </row>
    <row r="37" spans="1:36" s="1494" customFormat="1" ht="15.75" customHeight="1" x14ac:dyDescent="0.25">
      <c r="A37" s="1383"/>
      <c r="B37" s="2313" t="s">
        <v>1617</v>
      </c>
      <c r="C37" s="1477">
        <v>2019</v>
      </c>
      <c r="D37" s="1989">
        <f>'Backup INPUTS'!avgSize*'Backup INPUTS'!I47</f>
        <v>0</v>
      </c>
      <c r="E37" s="1989">
        <f>'Backup INPUTS'!avgSize*'Backup INPUTS'!J47</f>
        <v>0</v>
      </c>
      <c r="F37" s="1383"/>
      <c r="G37" s="1383"/>
      <c r="H37" s="1383"/>
      <c r="I37" s="1383"/>
      <c r="J37" s="1383"/>
      <c r="K37" s="1648"/>
      <c r="L37" s="1493"/>
      <c r="M37" s="1493"/>
      <c r="N37" s="1493"/>
      <c r="O37" s="1493"/>
      <c r="P37" s="1493"/>
      <c r="Q37" s="1493"/>
      <c r="R37" s="1493"/>
      <c r="S37" s="1493"/>
      <c r="T37" s="1493"/>
      <c r="U37" s="1493"/>
      <c r="V37" s="1383"/>
      <c r="W37" s="1383"/>
      <c r="X37" s="1383"/>
      <c r="Y37" s="1383"/>
      <c r="Z37" s="1383"/>
      <c r="AA37" s="1383"/>
      <c r="AB37" s="1383"/>
      <c r="AC37" s="1383"/>
      <c r="AD37" s="1383"/>
      <c r="AE37" s="1383"/>
      <c r="AF37" s="1383"/>
      <c r="AG37" s="1383"/>
      <c r="AH37" s="1383"/>
      <c r="AI37" s="1383"/>
      <c r="AJ37" s="1383"/>
    </row>
    <row r="38" spans="1:36" s="1494" customFormat="1" ht="15.75" customHeight="1" x14ac:dyDescent="0.25">
      <c r="A38" s="1383"/>
      <c r="B38" s="2322"/>
      <c r="C38" s="1477">
        <v>2020</v>
      </c>
      <c r="D38" s="1989">
        <f>'Backup INPUTS'!avgSize*'Backup INPUTS'!I48</f>
        <v>0</v>
      </c>
      <c r="E38" s="1989">
        <f>'Backup INPUTS'!avgSize*'Backup INPUTS'!J48</f>
        <v>0</v>
      </c>
      <c r="F38" s="1383"/>
      <c r="G38" s="1383"/>
      <c r="H38" s="1383"/>
      <c r="I38" s="1383"/>
      <c r="J38" s="1383"/>
      <c r="K38" s="1648"/>
      <c r="L38" s="1493"/>
      <c r="M38" s="1493"/>
      <c r="N38" s="1493"/>
      <c r="O38" s="1493"/>
      <c r="P38" s="1493"/>
      <c r="Q38" s="1493"/>
      <c r="R38" s="1493"/>
      <c r="S38" s="1493"/>
      <c r="T38" s="1493"/>
      <c r="U38" s="1493"/>
      <c r="V38" s="1383"/>
      <c r="W38" s="1383"/>
      <c r="X38" s="1383"/>
      <c r="Y38" s="1383"/>
      <c r="Z38" s="1383"/>
      <c r="AA38" s="1383"/>
      <c r="AB38" s="1383"/>
      <c r="AC38" s="1383"/>
      <c r="AD38" s="1383"/>
      <c r="AE38" s="1383"/>
      <c r="AF38" s="1383"/>
      <c r="AG38" s="1383"/>
      <c r="AH38" s="1383"/>
      <c r="AI38" s="1383"/>
      <c r="AJ38" s="1383"/>
    </row>
    <row r="39" spans="1:36" s="1383" customFormat="1" ht="15.75" x14ac:dyDescent="0.25">
      <c r="B39" s="1382"/>
      <c r="E39" s="1420"/>
      <c r="F39" s="1420"/>
      <c r="G39" s="1420"/>
      <c r="H39" s="1420"/>
      <c r="I39" s="1420"/>
      <c r="J39" s="1420"/>
      <c r="K39" s="1648"/>
      <c r="L39" s="1493"/>
      <c r="M39" s="1493"/>
      <c r="N39" s="1493"/>
      <c r="O39" s="1493"/>
      <c r="P39" s="1493"/>
      <c r="Q39" s="1493"/>
      <c r="R39" s="1493"/>
      <c r="S39" s="1493"/>
      <c r="T39" s="1493"/>
      <c r="U39" s="1493"/>
    </row>
    <row r="40" spans="1:36" s="1494" customFormat="1" ht="47.25" customHeight="1" x14ac:dyDescent="0.25">
      <c r="A40" s="1383"/>
      <c r="B40" s="2569" t="s">
        <v>1824</v>
      </c>
      <c r="C40" s="1474" t="str">
        <f>C32</f>
        <v>Year</v>
      </c>
      <c r="D40" s="1650" t="s">
        <v>1591</v>
      </c>
      <c r="E40" s="1650" t="s">
        <v>1592</v>
      </c>
      <c r="F40" s="1420"/>
      <c r="G40" s="1420"/>
      <c r="H40" s="1420"/>
      <c r="I40" s="1420"/>
      <c r="J40" s="1420"/>
      <c r="K40" s="1648"/>
      <c r="L40" s="1493"/>
      <c r="M40" s="1493"/>
      <c r="N40" s="1493"/>
      <c r="O40" s="1493"/>
      <c r="P40" s="1493"/>
      <c r="Q40" s="1493"/>
      <c r="R40" s="1493"/>
      <c r="S40" s="1493"/>
      <c r="T40" s="1493"/>
      <c r="U40" s="1493"/>
      <c r="V40" s="1383"/>
      <c r="W40" s="1383"/>
      <c r="X40" s="1383"/>
      <c r="Y40" s="1383"/>
      <c r="Z40" s="1383"/>
      <c r="AA40" s="1383"/>
      <c r="AB40" s="1383"/>
      <c r="AC40" s="1383"/>
      <c r="AD40" s="1383"/>
      <c r="AE40" s="1383"/>
      <c r="AF40" s="1383"/>
      <c r="AG40" s="1383"/>
      <c r="AH40" s="1383"/>
      <c r="AI40" s="1383"/>
      <c r="AJ40" s="1383"/>
    </row>
    <row r="41" spans="1:36" s="1494" customFormat="1" ht="15.75" x14ac:dyDescent="0.25">
      <c r="A41" s="1383"/>
      <c r="B41" s="2313"/>
      <c r="C41" s="1477">
        <f>C33</f>
        <v>2015</v>
      </c>
      <c r="D41" s="1651">
        <f>'Backup INPUTS'!H28</f>
        <v>0</v>
      </c>
      <c r="E41" s="1652">
        <f>D41</f>
        <v>0</v>
      </c>
      <c r="F41" s="1420"/>
      <c r="G41" s="1420"/>
      <c r="H41" s="1420"/>
      <c r="I41" s="1420"/>
      <c r="J41" s="1420"/>
      <c r="K41" s="1648"/>
      <c r="L41" s="1493"/>
      <c r="M41" s="1493"/>
      <c r="N41" s="1493"/>
      <c r="O41" s="1493"/>
      <c r="P41" s="1493"/>
      <c r="Q41" s="1493"/>
      <c r="R41" s="1493"/>
      <c r="S41" s="1493"/>
      <c r="T41" s="1493"/>
      <c r="U41" s="1493"/>
      <c r="V41" s="1383"/>
      <c r="W41" s="1383"/>
      <c r="X41" s="1383"/>
      <c r="Y41" s="1383"/>
      <c r="Z41" s="1383"/>
      <c r="AA41" s="1383"/>
      <c r="AB41" s="1383"/>
      <c r="AC41" s="1383"/>
      <c r="AD41" s="1383"/>
      <c r="AE41" s="1383"/>
      <c r="AF41" s="1383"/>
      <c r="AG41" s="1383"/>
      <c r="AH41" s="1383"/>
      <c r="AI41" s="1383"/>
      <c r="AJ41" s="1383"/>
    </row>
    <row r="42" spans="1:36" s="1494" customFormat="1" ht="15.75" x14ac:dyDescent="0.25">
      <c r="A42" s="1383"/>
      <c r="B42" s="2313"/>
      <c r="C42" s="1477">
        <f t="shared" ref="C42:C46" si="2">C34</f>
        <v>2016</v>
      </c>
      <c r="D42" s="1651">
        <f>'Backup INPUTS'!H29</f>
        <v>0</v>
      </c>
      <c r="E42" s="1652">
        <f>D42+E41</f>
        <v>0</v>
      </c>
      <c r="F42" s="1420"/>
      <c r="G42" s="1420"/>
      <c r="H42" s="1420"/>
      <c r="I42" s="1420"/>
      <c r="J42" s="1420"/>
      <c r="K42" s="1648"/>
      <c r="L42" s="1493"/>
      <c r="M42" s="1493"/>
      <c r="N42" s="1493"/>
      <c r="O42" s="1493"/>
      <c r="P42" s="1493"/>
      <c r="Q42" s="1493"/>
      <c r="R42" s="1493"/>
      <c r="S42" s="1493"/>
      <c r="T42" s="1493"/>
      <c r="U42" s="1493"/>
      <c r="V42" s="1383"/>
      <c r="W42" s="1383"/>
      <c r="X42" s="1383"/>
      <c r="Y42" s="1383"/>
      <c r="Z42" s="1383"/>
      <c r="AA42" s="1383"/>
      <c r="AB42" s="1383"/>
      <c r="AC42" s="1383"/>
      <c r="AD42" s="1383"/>
      <c r="AE42" s="1383"/>
      <c r="AF42" s="1383"/>
      <c r="AG42" s="1383"/>
      <c r="AH42" s="1383"/>
      <c r="AI42" s="1383"/>
      <c r="AJ42" s="1383"/>
    </row>
    <row r="43" spans="1:36" s="1494" customFormat="1" ht="15.75" x14ac:dyDescent="0.25">
      <c r="A43" s="1383"/>
      <c r="B43" s="2313"/>
      <c r="C43" s="1477">
        <f t="shared" si="2"/>
        <v>2017</v>
      </c>
      <c r="D43" s="1651">
        <f>'Backup INPUTS'!H30</f>
        <v>0</v>
      </c>
      <c r="E43" s="1652">
        <f>D43+E42</f>
        <v>0</v>
      </c>
      <c r="F43" s="1420"/>
      <c r="G43" s="1420"/>
      <c r="H43" s="1420"/>
      <c r="I43" s="1420"/>
      <c r="J43" s="1420"/>
      <c r="K43" s="1648"/>
      <c r="L43" s="1493"/>
      <c r="M43" s="1493"/>
      <c r="N43" s="1493"/>
      <c r="O43" s="1493"/>
      <c r="P43" s="1493"/>
      <c r="Q43" s="1493"/>
      <c r="R43" s="1493"/>
      <c r="S43" s="1493"/>
      <c r="T43" s="1493"/>
      <c r="U43" s="1493"/>
      <c r="V43" s="1383"/>
      <c r="W43" s="1383"/>
      <c r="X43" s="1383"/>
      <c r="Y43" s="1383"/>
      <c r="Z43" s="1383"/>
      <c r="AA43" s="1383"/>
      <c r="AB43" s="1383"/>
      <c r="AC43" s="1383"/>
      <c r="AD43" s="1383"/>
      <c r="AE43" s="1383"/>
      <c r="AF43" s="1383"/>
      <c r="AG43" s="1383"/>
      <c r="AH43" s="1383"/>
      <c r="AI43" s="1383"/>
      <c r="AJ43" s="1383"/>
    </row>
    <row r="44" spans="1:36" s="1494" customFormat="1" ht="15.75" x14ac:dyDescent="0.25">
      <c r="A44" s="1383"/>
      <c r="B44" s="2313"/>
      <c r="C44" s="1477">
        <f t="shared" si="2"/>
        <v>2018</v>
      </c>
      <c r="D44" s="1651">
        <f>'Backup INPUTS'!H31</f>
        <v>0</v>
      </c>
      <c r="E44" s="1652">
        <f>D44+E43</f>
        <v>0</v>
      </c>
      <c r="F44" s="1420"/>
      <c r="G44" s="1420"/>
      <c r="H44" s="1420"/>
      <c r="I44" s="1420"/>
      <c r="J44" s="1420"/>
      <c r="K44" s="1648"/>
      <c r="L44" s="1493"/>
      <c r="M44" s="1493"/>
      <c r="N44" s="1493"/>
      <c r="O44" s="1493"/>
      <c r="P44" s="1493"/>
      <c r="Q44" s="1493"/>
      <c r="R44" s="1493"/>
      <c r="S44" s="1493"/>
      <c r="T44" s="1493"/>
      <c r="U44" s="1493"/>
      <c r="V44" s="1383"/>
      <c r="W44" s="1383"/>
      <c r="X44" s="1383"/>
      <c r="Y44" s="1383"/>
      <c r="Z44" s="1383"/>
      <c r="AA44" s="1383"/>
      <c r="AB44" s="1383"/>
      <c r="AC44" s="1383"/>
      <c r="AD44" s="1383"/>
      <c r="AE44" s="1383"/>
      <c r="AF44" s="1383"/>
      <c r="AG44" s="1383"/>
      <c r="AH44" s="1383"/>
      <c r="AI44" s="1383"/>
      <c r="AJ44" s="1383"/>
    </row>
    <row r="45" spans="1:36" s="1494" customFormat="1" ht="15.75" x14ac:dyDescent="0.25">
      <c r="A45" s="1383"/>
      <c r="B45" s="2313"/>
      <c r="C45" s="1477">
        <f t="shared" si="2"/>
        <v>2019</v>
      </c>
      <c r="D45" s="1651">
        <f>'Backup INPUTS'!H32</f>
        <v>0</v>
      </c>
      <c r="E45" s="1652">
        <f>D45+E44</f>
        <v>0</v>
      </c>
      <c r="F45" s="1420"/>
      <c r="G45" s="1420"/>
      <c r="H45" s="1420"/>
      <c r="I45" s="1420"/>
      <c r="J45" s="1420"/>
      <c r="K45" s="1648"/>
      <c r="L45" s="1493"/>
      <c r="M45" s="1493"/>
      <c r="N45" s="1493"/>
      <c r="O45" s="1493"/>
      <c r="P45" s="1493"/>
      <c r="Q45" s="1493"/>
      <c r="R45" s="1493"/>
      <c r="S45" s="1493"/>
      <c r="T45" s="1493"/>
      <c r="U45" s="1493"/>
      <c r="V45" s="1383"/>
      <c r="W45" s="1383"/>
      <c r="X45" s="1383"/>
      <c r="Y45" s="1383"/>
      <c r="Z45" s="1383"/>
      <c r="AA45" s="1383"/>
      <c r="AB45" s="1383"/>
      <c r="AC45" s="1383"/>
      <c r="AD45" s="1383"/>
      <c r="AE45" s="1383"/>
      <c r="AF45" s="1383"/>
      <c r="AG45" s="1383"/>
      <c r="AH45" s="1383"/>
      <c r="AI45" s="1383"/>
      <c r="AJ45" s="1383"/>
    </row>
    <row r="46" spans="1:36" s="1494" customFormat="1" ht="15.75" x14ac:dyDescent="0.25">
      <c r="A46" s="1383"/>
      <c r="B46" s="2322"/>
      <c r="C46" s="1477">
        <f t="shared" si="2"/>
        <v>2020</v>
      </c>
      <c r="D46" s="1651">
        <f>'Backup INPUTS'!H33</f>
        <v>0</v>
      </c>
      <c r="E46" s="1652">
        <f>D46+E45</f>
        <v>0</v>
      </c>
      <c r="F46" s="1420"/>
      <c r="G46" s="1420"/>
      <c r="H46" s="1420"/>
      <c r="I46" s="1420"/>
      <c r="J46" s="1420"/>
      <c r="K46" s="1648"/>
      <c r="L46" s="1493"/>
      <c r="M46" s="1493"/>
      <c r="N46" s="1493"/>
      <c r="O46" s="1493"/>
      <c r="P46" s="1493"/>
      <c r="Q46" s="1493"/>
      <c r="R46" s="1493"/>
      <c r="S46" s="1493"/>
      <c r="T46" s="1493"/>
      <c r="U46" s="1493"/>
      <c r="V46" s="1383"/>
      <c r="W46" s="1383"/>
      <c r="X46" s="1383"/>
      <c r="Y46" s="1383"/>
      <c r="Z46" s="1383"/>
      <c r="AA46" s="1383"/>
      <c r="AB46" s="1383"/>
      <c r="AC46" s="1383"/>
      <c r="AD46" s="1383"/>
      <c r="AE46" s="1383"/>
      <c r="AF46" s="1383"/>
      <c r="AG46" s="1383"/>
      <c r="AH46" s="1383"/>
      <c r="AI46" s="1383"/>
      <c r="AJ46" s="1383"/>
    </row>
    <row r="47" spans="1:36" s="1383" customFormat="1" ht="15.75" x14ac:dyDescent="0.25">
      <c r="B47" s="1382"/>
      <c r="E47" s="1420"/>
      <c r="F47" s="1420"/>
      <c r="G47" s="1420"/>
      <c r="H47" s="1420"/>
      <c r="I47" s="1420"/>
      <c r="J47" s="1420"/>
      <c r="K47" s="1648"/>
      <c r="L47" s="1493"/>
      <c r="M47" s="1493"/>
      <c r="N47" s="1493"/>
      <c r="O47" s="1493"/>
      <c r="P47" s="1493"/>
      <c r="Q47" s="1493"/>
      <c r="R47" s="1493"/>
      <c r="S47" s="1493"/>
      <c r="T47" s="1493"/>
      <c r="U47" s="1493"/>
    </row>
    <row r="48" spans="1:36" s="1657" customFormat="1" ht="31.5" customHeight="1" x14ac:dyDescent="0.25">
      <c r="A48" s="1653"/>
      <c r="B48" s="2569" t="s">
        <v>1825</v>
      </c>
      <c r="C48" s="1474" t="str">
        <f>C40</f>
        <v>Year</v>
      </c>
      <c r="D48" s="1650" t="s">
        <v>1593</v>
      </c>
      <c r="E48" s="1650" t="s">
        <v>2084</v>
      </c>
      <c r="F48" s="1653"/>
      <c r="G48" s="1653"/>
      <c r="H48" s="1653"/>
      <c r="I48" s="1653"/>
      <c r="J48" s="1653"/>
      <c r="K48" s="1654"/>
      <c r="L48" s="1653"/>
      <c r="M48" s="1655"/>
      <c r="N48" s="1653"/>
      <c r="O48" s="1653"/>
      <c r="P48" s="1653"/>
      <c r="Q48" s="1656"/>
      <c r="R48" s="1653"/>
      <c r="S48" s="1653"/>
      <c r="T48" s="1656"/>
      <c r="U48" s="1656"/>
      <c r="V48" s="1653"/>
      <c r="W48" s="1653"/>
      <c r="X48" s="1653"/>
      <c r="Y48" s="1653"/>
      <c r="Z48" s="1653"/>
      <c r="AA48" s="1653"/>
      <c r="AB48" s="1653"/>
      <c r="AC48" s="1653"/>
      <c r="AD48" s="1653"/>
      <c r="AE48" s="1653"/>
      <c r="AF48" s="1653"/>
      <c r="AG48" s="1653"/>
      <c r="AH48" s="1653"/>
      <c r="AI48" s="1653"/>
      <c r="AJ48" s="1653"/>
    </row>
    <row r="49" spans="1:53" s="1494" customFormat="1" ht="15.75" x14ac:dyDescent="0.25">
      <c r="A49" s="1383"/>
      <c r="B49" s="2313"/>
      <c r="C49" s="1477">
        <f>C41</f>
        <v>2015</v>
      </c>
      <c r="D49" s="1658">
        <f>'Backup INPUTS'!H28-'Backup INPUTS'!I28+'Backup INPUTS'!J28</f>
        <v>0</v>
      </c>
      <c r="E49" s="1658">
        <f>'Backup INPUTS'!J84+D49</f>
        <v>0</v>
      </c>
      <c r="F49" s="1383"/>
      <c r="G49" s="1383"/>
      <c r="H49" s="1383"/>
      <c r="I49" s="1383"/>
      <c r="J49" s="1383"/>
      <c r="K49" s="1384"/>
      <c r="L49" s="1383"/>
      <c r="M49" s="1659"/>
      <c r="N49" s="1383"/>
      <c r="O49" s="1383"/>
      <c r="P49" s="1383"/>
      <c r="Q49" s="1493"/>
      <c r="R49" s="1383"/>
      <c r="S49" s="1383"/>
      <c r="T49" s="1493"/>
      <c r="U49" s="1493"/>
      <c r="V49" s="1383"/>
      <c r="W49" s="1383"/>
      <c r="X49" s="1383"/>
      <c r="Y49" s="1383"/>
      <c r="Z49" s="1383"/>
      <c r="AA49" s="1383"/>
      <c r="AB49" s="1383"/>
      <c r="AC49" s="1383"/>
      <c r="AD49" s="1383"/>
      <c r="AE49" s="1383"/>
      <c r="AF49" s="1383"/>
      <c r="AG49" s="1383"/>
      <c r="AH49" s="1383"/>
      <c r="AI49" s="1383"/>
      <c r="AJ49" s="1383"/>
    </row>
    <row r="50" spans="1:53" s="1494" customFormat="1" ht="15.75" x14ac:dyDescent="0.25">
      <c r="A50" s="1383"/>
      <c r="B50" s="2313"/>
      <c r="C50" s="1477">
        <f t="shared" ref="C50:C54" si="3">C42</f>
        <v>2016</v>
      </c>
      <c r="D50" s="1658">
        <f>'Backup INPUTS'!H29-'Backup INPUTS'!I29+'Backup INPUTS'!J29</f>
        <v>0</v>
      </c>
      <c r="E50" s="1658">
        <f>E49+D50</f>
        <v>0</v>
      </c>
      <c r="F50" s="1383"/>
      <c r="G50" s="1383"/>
      <c r="H50" s="1383"/>
      <c r="I50" s="1383"/>
      <c r="J50" s="1383"/>
      <c r="K50" s="1384"/>
      <c r="L50" s="1383"/>
      <c r="M50" s="1659"/>
      <c r="N50" s="1383"/>
      <c r="O50" s="1383"/>
      <c r="P50" s="1383"/>
      <c r="Q50" s="1493"/>
      <c r="R50" s="1383"/>
      <c r="S50" s="1383"/>
      <c r="T50" s="1493"/>
      <c r="U50" s="1493"/>
      <c r="V50" s="1383"/>
      <c r="W50" s="1383"/>
      <c r="X50" s="1383"/>
      <c r="Y50" s="1383"/>
      <c r="Z50" s="1383"/>
      <c r="AA50" s="1383"/>
      <c r="AB50" s="1383"/>
      <c r="AC50" s="1383"/>
      <c r="AD50" s="1383"/>
      <c r="AE50" s="1383"/>
      <c r="AF50" s="1383"/>
      <c r="AG50" s="1383"/>
      <c r="AH50" s="1383"/>
      <c r="AI50" s="1383"/>
      <c r="AJ50" s="1383"/>
    </row>
    <row r="51" spans="1:53" s="1494" customFormat="1" ht="15.75" x14ac:dyDescent="0.25">
      <c r="A51" s="1383"/>
      <c r="B51" s="2313"/>
      <c r="C51" s="1477">
        <f t="shared" si="3"/>
        <v>2017</v>
      </c>
      <c r="D51" s="1658">
        <f>'Backup INPUTS'!H30-'Backup INPUTS'!I30+'Backup INPUTS'!J30</f>
        <v>0</v>
      </c>
      <c r="E51" s="1658">
        <f>E50+D51</f>
        <v>0</v>
      </c>
      <c r="F51" s="1383"/>
      <c r="G51" s="1383"/>
      <c r="H51" s="1383"/>
      <c r="I51" s="1383"/>
      <c r="J51" s="1383"/>
      <c r="K51" s="1384"/>
      <c r="L51" s="1383"/>
      <c r="M51" s="1659"/>
      <c r="N51" s="1383"/>
      <c r="O51" s="1383"/>
      <c r="P51" s="1383"/>
      <c r="Q51" s="1493"/>
      <c r="R51" s="1383"/>
      <c r="S51" s="1383"/>
      <c r="T51" s="1493"/>
      <c r="U51" s="1493"/>
      <c r="V51" s="1383"/>
      <c r="W51" s="1383"/>
      <c r="X51" s="1383"/>
      <c r="Y51" s="1383"/>
      <c r="Z51" s="1383"/>
      <c r="AA51" s="1383"/>
      <c r="AB51" s="1383"/>
      <c r="AC51" s="1383"/>
      <c r="AD51" s="1383"/>
      <c r="AE51" s="1383"/>
      <c r="AF51" s="1383"/>
      <c r="AG51" s="1383"/>
      <c r="AH51" s="1383"/>
      <c r="AI51" s="1383"/>
      <c r="AJ51" s="1383"/>
    </row>
    <row r="52" spans="1:53" s="1494" customFormat="1" ht="15.75" x14ac:dyDescent="0.25">
      <c r="A52" s="1383"/>
      <c r="B52" s="2313"/>
      <c r="C52" s="1477">
        <f t="shared" si="3"/>
        <v>2018</v>
      </c>
      <c r="D52" s="1658">
        <f>'Backup INPUTS'!H31-'Backup INPUTS'!I31+'Backup INPUTS'!J31</f>
        <v>0</v>
      </c>
      <c r="E52" s="1658">
        <f>E51+D52</f>
        <v>0</v>
      </c>
      <c r="F52" s="1383"/>
      <c r="G52" s="1383"/>
      <c r="H52" s="1383"/>
      <c r="I52" s="1383"/>
      <c r="J52" s="1383"/>
      <c r="K52" s="1384"/>
      <c r="L52" s="1383"/>
      <c r="M52" s="1659"/>
      <c r="N52" s="1383"/>
      <c r="O52" s="1383"/>
      <c r="P52" s="1383"/>
      <c r="Q52" s="1493"/>
      <c r="R52" s="1383"/>
      <c r="S52" s="1383"/>
      <c r="T52" s="1493"/>
      <c r="U52" s="1493"/>
      <c r="V52" s="1383"/>
      <c r="W52" s="1383"/>
      <c r="X52" s="1383"/>
      <c r="Y52" s="1383"/>
      <c r="Z52" s="1383"/>
      <c r="AA52" s="1383"/>
      <c r="AB52" s="1383"/>
      <c r="AC52" s="1383"/>
      <c r="AD52" s="1383"/>
      <c r="AE52" s="1383"/>
      <c r="AF52" s="1383"/>
      <c r="AG52" s="1383"/>
      <c r="AH52" s="1383"/>
      <c r="AI52" s="1383"/>
      <c r="AJ52" s="1383"/>
    </row>
    <row r="53" spans="1:53" s="1494" customFormat="1" ht="15.75" x14ac:dyDescent="0.25">
      <c r="A53" s="1383"/>
      <c r="B53" s="2313"/>
      <c r="C53" s="1477">
        <f t="shared" si="3"/>
        <v>2019</v>
      </c>
      <c r="D53" s="1658">
        <f>'Backup INPUTS'!H32-'Backup INPUTS'!I32+'Backup INPUTS'!J32</f>
        <v>0</v>
      </c>
      <c r="E53" s="1658">
        <f>E52+D53</f>
        <v>0</v>
      </c>
      <c r="F53" s="1383"/>
      <c r="G53" s="1383"/>
      <c r="H53" s="1383"/>
      <c r="I53" s="1383"/>
      <c r="J53" s="1383"/>
      <c r="K53" s="1384"/>
      <c r="L53" s="1383"/>
      <c r="M53" s="1659"/>
      <c r="N53" s="1383"/>
      <c r="O53" s="1383"/>
      <c r="P53" s="1383"/>
      <c r="Q53" s="1493"/>
      <c r="R53" s="1383"/>
      <c r="S53" s="1383"/>
      <c r="T53" s="1493"/>
      <c r="U53" s="1493"/>
      <c r="V53" s="1383"/>
      <c r="W53" s="1383"/>
      <c r="X53" s="1383"/>
      <c r="Y53" s="1383"/>
      <c r="Z53" s="1383"/>
      <c r="AA53" s="1383"/>
      <c r="AB53" s="1383"/>
      <c r="AC53" s="1383"/>
      <c r="AD53" s="1383"/>
      <c r="AE53" s="1383"/>
      <c r="AF53" s="1383"/>
      <c r="AG53" s="1383"/>
      <c r="AH53" s="1383"/>
      <c r="AI53" s="1383"/>
      <c r="AJ53" s="1383"/>
    </row>
    <row r="54" spans="1:53" s="1494" customFormat="1" ht="15.75" x14ac:dyDescent="0.25">
      <c r="A54" s="1383"/>
      <c r="B54" s="2322"/>
      <c r="C54" s="1477">
        <f t="shared" si="3"/>
        <v>2020</v>
      </c>
      <c r="D54" s="1658">
        <f>'Backup INPUTS'!H33-'Backup INPUTS'!I33+'Backup INPUTS'!J33</f>
        <v>0</v>
      </c>
      <c r="E54" s="1658">
        <f>E53+D54</f>
        <v>0</v>
      </c>
      <c r="F54" s="1403"/>
      <c r="G54" s="1403"/>
      <c r="H54" s="1403"/>
      <c r="I54" s="1403"/>
      <c r="J54" s="1403"/>
      <c r="K54" s="1390"/>
      <c r="L54" s="1383"/>
      <c r="M54" s="1659"/>
      <c r="N54" s="1383"/>
      <c r="O54" s="1383"/>
      <c r="P54" s="1383"/>
      <c r="Q54" s="1493"/>
      <c r="R54" s="1383"/>
      <c r="S54" s="1383"/>
      <c r="T54" s="1493"/>
      <c r="U54" s="1493"/>
      <c r="V54" s="1383"/>
      <c r="W54" s="1383"/>
      <c r="X54" s="1383"/>
      <c r="Y54" s="1383"/>
      <c r="Z54" s="1383"/>
      <c r="AA54" s="1383"/>
      <c r="AB54" s="1383"/>
      <c r="AC54" s="1383"/>
      <c r="AD54" s="1383"/>
      <c r="AE54" s="1383"/>
      <c r="AF54" s="1383"/>
      <c r="AG54" s="1383"/>
      <c r="AH54" s="1383"/>
      <c r="AI54" s="1383"/>
      <c r="AJ54" s="1383"/>
    </row>
    <row r="55" spans="1:53" s="1407" customFormat="1" x14ac:dyDescent="0.25">
      <c r="E55" s="1487"/>
      <c r="F55" s="1487"/>
      <c r="G55" s="1487"/>
      <c r="H55" s="1487"/>
      <c r="I55" s="1487"/>
      <c r="J55" s="1487"/>
      <c r="K55" s="1488"/>
      <c r="L55" s="1488"/>
      <c r="M55" s="1488"/>
      <c r="N55" s="1488"/>
      <c r="O55" s="1488"/>
      <c r="P55" s="1488"/>
      <c r="Q55" s="1488"/>
      <c r="R55" s="1488"/>
      <c r="S55" s="1488"/>
      <c r="T55" s="1488"/>
      <c r="U55" s="1488"/>
    </row>
    <row r="56" spans="1:53" s="1407" customFormat="1" x14ac:dyDescent="0.25">
      <c r="E56" s="1487"/>
      <c r="F56" s="1487"/>
      <c r="G56" s="1487"/>
      <c r="H56" s="1487"/>
      <c r="I56" s="1487"/>
      <c r="J56" s="1487"/>
      <c r="K56" s="1488"/>
      <c r="L56" s="1488"/>
      <c r="M56" s="1488"/>
      <c r="N56" s="1488"/>
      <c r="O56" s="1488"/>
      <c r="P56" s="1488"/>
      <c r="Q56" s="1488"/>
      <c r="R56" s="1488"/>
      <c r="S56" s="1488"/>
      <c r="T56" s="1488"/>
      <c r="U56" s="1488"/>
    </row>
    <row r="57" spans="1:53" s="1647" customFormat="1" ht="21" x14ac:dyDescent="0.35">
      <c r="A57" s="1383"/>
      <c r="B57" s="1499" t="str">
        <f>F6&amp; " Economic Impacts"</f>
        <v>Gross Economic Impacts</v>
      </c>
      <c r="E57" s="1660"/>
      <c r="F57" s="1660"/>
      <c r="G57" s="1660"/>
      <c r="H57" s="1660"/>
      <c r="I57" s="1660"/>
      <c r="J57" s="1660"/>
      <c r="K57" s="1661"/>
      <c r="L57" s="1661"/>
      <c r="M57" s="1661"/>
      <c r="N57" s="1661"/>
      <c r="O57" s="1661"/>
      <c r="P57" s="1661"/>
      <c r="Q57" s="1661"/>
      <c r="R57" s="1661"/>
      <c r="S57" s="1661"/>
      <c r="T57" s="1661"/>
      <c r="U57" s="1661"/>
    </row>
    <row r="58" spans="1:53" s="1407" customFormat="1" x14ac:dyDescent="0.25">
      <c r="E58" s="1487"/>
      <c r="F58" s="1487"/>
      <c r="G58" s="1487"/>
      <c r="H58" s="1487"/>
      <c r="I58" s="1487"/>
      <c r="J58" s="1487"/>
      <c r="K58" s="1488"/>
      <c r="L58" s="1488"/>
      <c r="M58" s="1488"/>
      <c r="N58" s="1488"/>
      <c r="O58" s="1488"/>
      <c r="P58" s="1488"/>
      <c r="Q58" s="1488"/>
      <c r="R58" s="1488"/>
      <c r="S58" s="1488"/>
      <c r="T58" s="1488"/>
      <c r="U58" s="1488"/>
    </row>
    <row r="59" spans="1:53" s="1520" customFormat="1" ht="16.5" customHeight="1" x14ac:dyDescent="0.25">
      <c r="A59" s="1504"/>
      <c r="B59" s="2570" t="str">
        <f>IF($F$6=Lists!$C$4, "Net Backup Power Fuel Cell vs. Alternative Technology Employment (Job-years)", B92)</f>
        <v>Gross Backup Power Fuel Cell-related Employment (Job-years)</v>
      </c>
      <c r="C59" s="1505"/>
      <c r="D59" s="1506" t="s">
        <v>1749</v>
      </c>
      <c r="E59" s="1507"/>
      <c r="F59" s="1507"/>
      <c r="G59" s="1507"/>
      <c r="H59" s="1507"/>
      <c r="I59" s="1508"/>
      <c r="J59" s="1505"/>
      <c r="K59" s="1662" t="str">
        <f>IF('Backup INPUTS'!$E$7=Lists!$C$4, "Backup Power Fuel Cell vs. Alternative Technology Mfg., Development, Sales, and Shipping", K92)</f>
        <v>Backup Power Fuel Cell Manufacturing, Development, Sales, and Shipping</v>
      </c>
      <c r="L59" s="1663"/>
      <c r="M59" s="1663"/>
      <c r="N59" s="1663"/>
      <c r="O59" s="1663"/>
      <c r="P59" s="1511"/>
      <c r="Q59" s="1505"/>
      <c r="R59" s="1512" t="str">
        <f>IF('Backup INPUTS'!$E$7=Lists!$C$4, "Backup Power Fuel Cell vs. Alternative Technology Installation and Fuel Storage", R92)</f>
        <v>Backup Power Fuel Cell Installation and Fuel Storage</v>
      </c>
      <c r="S59" s="1513"/>
      <c r="T59" s="1513"/>
      <c r="U59" s="1513"/>
      <c r="V59" s="1513"/>
      <c r="W59" s="1511"/>
      <c r="X59" s="1505"/>
      <c r="Y59" s="1514" t="str">
        <f>IF('Backup INPUTS'!$E$7=Lists!$C$4, "Backup Power Fuel Cell vs. Alternative Technology Fuel Production and Delivery", Y92)</f>
        <v>Hydrogen Fuel Production and Delivery</v>
      </c>
      <c r="Z59" s="1515"/>
      <c r="AA59" s="1515"/>
      <c r="AB59" s="1515"/>
      <c r="AC59" s="1515"/>
      <c r="AD59" s="1511"/>
      <c r="AE59" s="1505"/>
      <c r="AF59" s="1516" t="str">
        <f>IF('Backup INPUTS'!$E$7=Lists!$C$4, "Backup Power Fuel Cell vs. Alternative Technology Maintenance", AF92)</f>
        <v>Backup Power Fuel Cell and Site Maintenance</v>
      </c>
      <c r="AG59" s="1517"/>
      <c r="AH59" s="1517"/>
      <c r="AI59" s="1517"/>
      <c r="AJ59" s="1518"/>
    </row>
    <row r="60" spans="1:53" s="1674" customFormat="1" ht="16.5" x14ac:dyDescent="0.25">
      <c r="A60" s="1664"/>
      <c r="B60" s="2571"/>
      <c r="C60" s="1665"/>
      <c r="D60" s="1506" t="str">
        <f>B59</f>
        <v>Gross Backup Power Fuel Cell-related Employment (Job-years)</v>
      </c>
      <c r="E60" s="1666"/>
      <c r="F60" s="1666"/>
      <c r="G60" s="1666"/>
      <c r="H60" s="1666"/>
      <c r="I60" s="1667"/>
      <c r="J60" s="1665"/>
      <c r="K60" s="1668" t="str">
        <f>D60</f>
        <v>Gross Backup Power Fuel Cell-related Employment (Job-years)</v>
      </c>
      <c r="L60" s="1669"/>
      <c r="M60" s="1669"/>
      <c r="N60" s="1669"/>
      <c r="O60" s="1669"/>
      <c r="P60" s="1670"/>
      <c r="Q60" s="1665"/>
      <c r="R60" s="1671" t="str">
        <f>K60</f>
        <v>Gross Backup Power Fuel Cell-related Employment (Job-years)</v>
      </c>
      <c r="S60" s="1523"/>
      <c r="T60" s="1523"/>
      <c r="U60" s="1523"/>
      <c r="V60" s="1523"/>
      <c r="W60" s="1670"/>
      <c r="X60" s="1665"/>
      <c r="Y60" s="1672" t="str">
        <f>R60</f>
        <v>Gross Backup Power Fuel Cell-related Employment (Job-years)</v>
      </c>
      <c r="Z60" s="1524"/>
      <c r="AA60" s="1524"/>
      <c r="AB60" s="1524"/>
      <c r="AC60" s="1524"/>
      <c r="AD60" s="1670"/>
      <c r="AE60" s="1665"/>
      <c r="AF60" s="1673" t="str">
        <f>Y60</f>
        <v>Gross Backup Power Fuel Cell-related Employment (Job-years)</v>
      </c>
      <c r="AG60" s="1525"/>
      <c r="AH60" s="1525"/>
      <c r="AI60" s="1525"/>
      <c r="AJ60" s="1673"/>
      <c r="AX60" s="1675"/>
      <c r="AY60" s="1675"/>
      <c r="AZ60" s="1675"/>
    </row>
    <row r="61" spans="1:53" s="1543" customFormat="1" ht="47.25" x14ac:dyDescent="0.25">
      <c r="A61" s="1526"/>
      <c r="B61" s="2571"/>
      <c r="C61" s="1527" t="s">
        <v>433</v>
      </c>
      <c r="D61" s="1528" t="str">
        <f>D$156&amp;" "&amp;D$157</f>
        <v>Gross BuP FC-related Direct</v>
      </c>
      <c r="E61" s="1528" t="str">
        <f>E$156&amp;" "&amp;E$157</f>
        <v>Gross BuP FC-related Indirect</v>
      </c>
      <c r="F61" s="1528" t="str">
        <f>F$156&amp;" "&amp;F$157</f>
        <v>Gross BuP FC-related Induced</v>
      </c>
      <c r="G61" s="1529" t="str">
        <f>G$156&amp;" "&amp;G$157</f>
        <v>Gross BuP FC-related Supply Chain</v>
      </c>
      <c r="H61" s="1529" t="str">
        <f>H$156&amp;" "&amp;H$157</f>
        <v>Gross BuP FC-related Total</v>
      </c>
      <c r="I61" s="1530"/>
      <c r="J61" s="1527" t="str">
        <f>C61</f>
        <v>Year</v>
      </c>
      <c r="K61" s="1676" t="str">
        <f>K$156&amp;" "&amp;K$157</f>
        <v>Gross BuP Fuel Cell Direct</v>
      </c>
      <c r="L61" s="1676" t="str">
        <f>L$156&amp;" "&amp;L$157</f>
        <v>Gross BuP Fuel Cell Indirect</v>
      </c>
      <c r="M61" s="1676" t="str">
        <f>M$156&amp;" "&amp;M$157</f>
        <v>Gross BuP Fuel Cell Induced</v>
      </c>
      <c r="N61" s="1677" t="str">
        <f>N$156&amp;" "&amp;N$157</f>
        <v>Gross BuP Fuel Cell Supply Chain</v>
      </c>
      <c r="O61" s="1677" t="str">
        <f>O$156&amp;" "&amp;O$157</f>
        <v>Gross BuP Fuel Cell Total</v>
      </c>
      <c r="P61" s="1533"/>
      <c r="Q61" s="1527" t="str">
        <f>J61</f>
        <v>Year</v>
      </c>
      <c r="R61" s="1534" t="str">
        <f>R$156&amp;" "&amp;R$157</f>
        <v>Gross BuP FC Installation Direct</v>
      </c>
      <c r="S61" s="1534" t="str">
        <f>S$156&amp;" "&amp;S$157</f>
        <v>Gross BuP FC Installation Indirect</v>
      </c>
      <c r="T61" s="1534" t="str">
        <f>T$156&amp;" "&amp;T$157</f>
        <v>Gross BuP FC Installation Induced</v>
      </c>
      <c r="U61" s="1535" t="str">
        <f>U$156&amp;" "&amp;U$157</f>
        <v>Gross BuP FC Installation Supply Chain</v>
      </c>
      <c r="V61" s="1535" t="str">
        <f>V$156&amp;" "&amp;V$157</f>
        <v>Gross BuP FC Installation Total</v>
      </c>
      <c r="W61" s="1533"/>
      <c r="X61" s="1527" t="str">
        <f>Q61</f>
        <v>Year</v>
      </c>
      <c r="Y61" s="1536" t="str">
        <f>Y$156&amp;" "&amp;Y$157</f>
        <v>Gross BuP FC Fuel Direct</v>
      </c>
      <c r="Z61" s="1536" t="str">
        <f>Z$156&amp;" "&amp;Z$157</f>
        <v>Gross BuP FC Fuel Indirect</v>
      </c>
      <c r="AA61" s="1536" t="str">
        <f>AA$156&amp;" "&amp;AA$157</f>
        <v>Gross BuP FC Fuel Induced</v>
      </c>
      <c r="AB61" s="1537" t="str">
        <f>AB$156&amp;" "&amp;AB$157</f>
        <v>Gross BuP FC Fuel Supply Chain</v>
      </c>
      <c r="AC61" s="1537" t="str">
        <f>AC$156&amp;" "&amp;AC$157</f>
        <v>Gross BuP FC Fuel Total</v>
      </c>
      <c r="AD61" s="1533"/>
      <c r="AE61" s="1527" t="str">
        <f>X61</f>
        <v>Year</v>
      </c>
      <c r="AF61" s="1538" t="str">
        <f>AF$156&amp;" "&amp;AF$157</f>
        <v>Gross BuP FC Maintenance Direct</v>
      </c>
      <c r="AG61" s="1538" t="str">
        <f>AG$156&amp;" "&amp;AG$157</f>
        <v>Gross BuP FC Maintenance Indirect</v>
      </c>
      <c r="AH61" s="1538" t="str">
        <f>AH$156&amp;" "&amp;AH$157</f>
        <v>Gross BuP FC Maintenance Induced</v>
      </c>
      <c r="AI61" s="1539" t="str">
        <f>AI$156&amp;" "&amp;AI$157</f>
        <v>Gross BuP FC Maintenance Supply Chain</v>
      </c>
      <c r="AJ61" s="1539" t="str">
        <f>AJ$156&amp;" "&amp;AJ$157</f>
        <v>Gross BuP FC Maintenance Total</v>
      </c>
      <c r="AL61" s="1520"/>
      <c r="AM61" s="1520"/>
      <c r="AN61" s="1520"/>
      <c r="AO61" s="1520"/>
      <c r="AP61" s="1520"/>
      <c r="AQ61" s="1520"/>
      <c r="AR61" s="1520"/>
      <c r="AS61" s="1520"/>
      <c r="AT61" s="1520"/>
      <c r="AU61" s="1520"/>
      <c r="AV61" s="1520"/>
      <c r="AW61" s="1520"/>
      <c r="AX61" s="1678"/>
      <c r="AY61" s="1678"/>
      <c r="AZ61" s="1678"/>
      <c r="BA61" s="1520"/>
    </row>
    <row r="62" spans="1:53" s="1562" customFormat="1" ht="16.5" x14ac:dyDescent="0.25">
      <c r="A62" s="1545"/>
      <c r="B62" s="2571"/>
      <c r="C62" s="1546">
        <v>2015</v>
      </c>
      <c r="D62" s="1547" t="e">
        <f>D95+D128</f>
        <v>#N/A</v>
      </c>
      <c r="E62" s="1547" t="e">
        <f t="shared" ref="E62:F62" si="4">E95+E128</f>
        <v>#N/A</v>
      </c>
      <c r="F62" s="1547" t="e">
        <f t="shared" si="4"/>
        <v>#N/A</v>
      </c>
      <c r="G62" s="1547" t="e">
        <f>D62+E62</f>
        <v>#N/A</v>
      </c>
      <c r="H62" s="1548" t="e">
        <f>D62+E62+F62</f>
        <v>#N/A</v>
      </c>
      <c r="I62" s="1549"/>
      <c r="J62" s="1546">
        <f>C62</f>
        <v>2015</v>
      </c>
      <c r="K62" s="1679" t="e">
        <f>K95+K128</f>
        <v>#N/A</v>
      </c>
      <c r="L62" s="1679" t="e">
        <f t="shared" ref="L62:M62" si="5">L95+L128</f>
        <v>#N/A</v>
      </c>
      <c r="M62" s="1679" t="e">
        <f t="shared" si="5"/>
        <v>#N/A</v>
      </c>
      <c r="N62" s="1679" t="e">
        <f>K62+L62</f>
        <v>#N/A</v>
      </c>
      <c r="O62" s="1680" t="e">
        <f>K62+L62+M62</f>
        <v>#N/A</v>
      </c>
      <c r="P62" s="1552"/>
      <c r="Q62" s="1546">
        <f>J62</f>
        <v>2015</v>
      </c>
      <c r="R62" s="1553" t="e">
        <f>R95+R128</f>
        <v>#N/A</v>
      </c>
      <c r="S62" s="1553" t="e">
        <f t="shared" ref="S62:T62" si="6">S95+S128</f>
        <v>#N/A</v>
      </c>
      <c r="T62" s="1553" t="e">
        <f t="shared" si="6"/>
        <v>#N/A</v>
      </c>
      <c r="U62" s="1553" t="e">
        <f>R62+S62</f>
        <v>#N/A</v>
      </c>
      <c r="V62" s="1554" t="e">
        <f>R62+S62+T62</f>
        <v>#N/A</v>
      </c>
      <c r="W62" s="1552"/>
      <c r="X62" s="1546">
        <f>Q62</f>
        <v>2015</v>
      </c>
      <c r="Y62" s="1555" t="e">
        <f>Y95+Y128</f>
        <v>#N/A</v>
      </c>
      <c r="Z62" s="1555" t="e">
        <f t="shared" ref="Z62:AA62" si="7">Z95+Z128</f>
        <v>#N/A</v>
      </c>
      <c r="AA62" s="1555" t="e">
        <f t="shared" si="7"/>
        <v>#N/A</v>
      </c>
      <c r="AB62" s="1555" t="e">
        <f>Y62+Z62</f>
        <v>#N/A</v>
      </c>
      <c r="AC62" s="1556" t="e">
        <f>Y62+Z62+AA62</f>
        <v>#N/A</v>
      </c>
      <c r="AD62" s="1552"/>
      <c r="AE62" s="1546">
        <f>X62</f>
        <v>2015</v>
      </c>
      <c r="AF62" s="1557" t="e">
        <f>AF95+AF128</f>
        <v>#N/A</v>
      </c>
      <c r="AG62" s="1557" t="e">
        <f t="shared" ref="AG62:AH62" si="8">AG95+AG128</f>
        <v>#N/A</v>
      </c>
      <c r="AH62" s="1557" t="e">
        <f t="shared" si="8"/>
        <v>#N/A</v>
      </c>
      <c r="AI62" s="1557" t="e">
        <f>AF62+AG62</f>
        <v>#N/A</v>
      </c>
      <c r="AJ62" s="1558" t="e">
        <f>AF62+AG62+AH62</f>
        <v>#N/A</v>
      </c>
      <c r="AL62" s="1681"/>
      <c r="AM62" s="1682" t="e">
        <f>O62+V62+AC62+AJ62</f>
        <v>#N/A</v>
      </c>
      <c r="AN62" s="1681"/>
      <c r="AO62" s="1681"/>
      <c r="AP62" s="1681"/>
      <c r="AQ62" s="1681"/>
      <c r="AR62" s="1681"/>
      <c r="AS62" s="1681"/>
      <c r="AT62" s="1681"/>
      <c r="AU62" s="1681"/>
      <c r="AV62" s="1681"/>
      <c r="AW62" s="1681"/>
      <c r="AX62" s="1683"/>
      <c r="AY62" s="1683"/>
      <c r="AZ62" s="1683"/>
      <c r="BA62" s="1681"/>
    </row>
    <row r="63" spans="1:53" s="1562" customFormat="1" ht="16.5" x14ac:dyDescent="0.25">
      <c r="A63" s="1545"/>
      <c r="B63" s="2571"/>
      <c r="C63" s="1546">
        <v>2016</v>
      </c>
      <c r="D63" s="1547" t="e">
        <f t="shared" ref="D63:F63" si="9">D96+D129</f>
        <v>#N/A</v>
      </c>
      <c r="E63" s="1547" t="e">
        <f t="shared" si="9"/>
        <v>#N/A</v>
      </c>
      <c r="F63" s="1547" t="e">
        <f t="shared" si="9"/>
        <v>#N/A</v>
      </c>
      <c r="G63" s="1547" t="e">
        <f t="shared" ref="G63:G67" si="10">D63+E63</f>
        <v>#N/A</v>
      </c>
      <c r="H63" s="1548" t="e">
        <f t="shared" ref="H63:H67" si="11">D63+E63+F63</f>
        <v>#N/A</v>
      </c>
      <c r="I63" s="1549"/>
      <c r="J63" s="1546">
        <f t="shared" ref="J63:J67" si="12">C63</f>
        <v>2016</v>
      </c>
      <c r="K63" s="1679" t="e">
        <f t="shared" ref="K63:M63" si="13">K96+K129</f>
        <v>#N/A</v>
      </c>
      <c r="L63" s="1679" t="e">
        <f t="shared" si="13"/>
        <v>#N/A</v>
      </c>
      <c r="M63" s="1679" t="e">
        <f t="shared" si="13"/>
        <v>#N/A</v>
      </c>
      <c r="N63" s="1679" t="e">
        <f t="shared" ref="N63:N67" si="14">K63+L63</f>
        <v>#N/A</v>
      </c>
      <c r="O63" s="1680" t="e">
        <f t="shared" ref="O63:O67" si="15">K63+L63+M63</f>
        <v>#N/A</v>
      </c>
      <c r="P63" s="1552"/>
      <c r="Q63" s="1546">
        <f t="shared" ref="Q63:Q67" si="16">J63</f>
        <v>2016</v>
      </c>
      <c r="R63" s="1553" t="e">
        <f t="shared" ref="R63:T63" si="17">R96+R129</f>
        <v>#N/A</v>
      </c>
      <c r="S63" s="1553" t="e">
        <f t="shared" si="17"/>
        <v>#N/A</v>
      </c>
      <c r="T63" s="1553" t="e">
        <f t="shared" si="17"/>
        <v>#N/A</v>
      </c>
      <c r="U63" s="1553" t="e">
        <f t="shared" ref="U63:U67" si="18">R63+S63</f>
        <v>#N/A</v>
      </c>
      <c r="V63" s="1554" t="e">
        <f t="shared" ref="V63:V67" si="19">R63+S63+T63</f>
        <v>#N/A</v>
      </c>
      <c r="W63" s="1552"/>
      <c r="X63" s="1546">
        <f t="shared" ref="X63:X67" si="20">Q63</f>
        <v>2016</v>
      </c>
      <c r="Y63" s="1555" t="e">
        <f t="shared" ref="Y63:AA63" si="21">Y96+Y129</f>
        <v>#N/A</v>
      </c>
      <c r="Z63" s="1555" t="e">
        <f t="shared" si="21"/>
        <v>#N/A</v>
      </c>
      <c r="AA63" s="1555" t="e">
        <f t="shared" si="21"/>
        <v>#N/A</v>
      </c>
      <c r="AB63" s="1555" t="e">
        <f t="shared" ref="AB63:AB67" si="22">Y63+Z63</f>
        <v>#N/A</v>
      </c>
      <c r="AC63" s="1556" t="e">
        <f t="shared" ref="AC63:AC67" si="23">Y63+Z63+AA63</f>
        <v>#N/A</v>
      </c>
      <c r="AD63" s="1552"/>
      <c r="AE63" s="1546">
        <f t="shared" ref="AE63:AE67" si="24">X63</f>
        <v>2016</v>
      </c>
      <c r="AF63" s="1557" t="e">
        <f t="shared" ref="AF63:AH63" si="25">AF96+AF129</f>
        <v>#N/A</v>
      </c>
      <c r="AG63" s="1557" t="e">
        <f t="shared" si="25"/>
        <v>#N/A</v>
      </c>
      <c r="AH63" s="1557" t="e">
        <f t="shared" si="25"/>
        <v>#N/A</v>
      </c>
      <c r="AI63" s="1557" t="e">
        <f t="shared" ref="AI63:AI67" si="26">AF63+AG63</f>
        <v>#N/A</v>
      </c>
      <c r="AJ63" s="1558" t="e">
        <f t="shared" ref="AJ63:AJ67" si="27">AF63+AG63+AH63</f>
        <v>#N/A</v>
      </c>
      <c r="AL63" s="1681"/>
      <c r="AM63" s="1681"/>
      <c r="AN63" s="1681"/>
      <c r="AO63" s="1681"/>
      <c r="AP63" s="1681"/>
      <c r="AQ63" s="1681"/>
      <c r="AR63" s="1681"/>
      <c r="AS63" s="1681"/>
      <c r="AT63" s="1681"/>
      <c r="AU63" s="1681"/>
      <c r="AV63" s="1681"/>
      <c r="AW63" s="1681"/>
      <c r="AX63" s="1683"/>
      <c r="AY63" s="1683"/>
      <c r="AZ63" s="1683"/>
      <c r="BA63" s="1681"/>
    </row>
    <row r="64" spans="1:53" s="1562" customFormat="1" ht="16.5" x14ac:dyDescent="0.25">
      <c r="A64" s="1545"/>
      <c r="B64" s="2571"/>
      <c r="C64" s="1546">
        <v>2017</v>
      </c>
      <c r="D64" s="1547" t="e">
        <f t="shared" ref="D64:F64" si="28">D97+D130</f>
        <v>#N/A</v>
      </c>
      <c r="E64" s="1547" t="e">
        <f t="shared" si="28"/>
        <v>#N/A</v>
      </c>
      <c r="F64" s="1547" t="e">
        <f t="shared" si="28"/>
        <v>#N/A</v>
      </c>
      <c r="G64" s="1547" t="e">
        <f t="shared" si="10"/>
        <v>#N/A</v>
      </c>
      <c r="H64" s="1548" t="e">
        <f t="shared" si="11"/>
        <v>#N/A</v>
      </c>
      <c r="I64" s="1549"/>
      <c r="J64" s="1546">
        <f t="shared" si="12"/>
        <v>2017</v>
      </c>
      <c r="K64" s="1679" t="e">
        <f t="shared" ref="K64:M64" si="29">K97+K130</f>
        <v>#N/A</v>
      </c>
      <c r="L64" s="1679" t="e">
        <f t="shared" si="29"/>
        <v>#N/A</v>
      </c>
      <c r="M64" s="1679" t="e">
        <f t="shared" si="29"/>
        <v>#N/A</v>
      </c>
      <c r="N64" s="1679" t="e">
        <f t="shared" si="14"/>
        <v>#N/A</v>
      </c>
      <c r="O64" s="1680" t="e">
        <f t="shared" si="15"/>
        <v>#N/A</v>
      </c>
      <c r="P64" s="1552"/>
      <c r="Q64" s="1546">
        <f t="shared" si="16"/>
        <v>2017</v>
      </c>
      <c r="R64" s="1553" t="e">
        <f t="shared" ref="R64:T64" si="30">R97+R130</f>
        <v>#N/A</v>
      </c>
      <c r="S64" s="1553" t="e">
        <f t="shared" si="30"/>
        <v>#N/A</v>
      </c>
      <c r="T64" s="1553" t="e">
        <f t="shared" si="30"/>
        <v>#N/A</v>
      </c>
      <c r="U64" s="1553" t="e">
        <f t="shared" si="18"/>
        <v>#N/A</v>
      </c>
      <c r="V64" s="1554" t="e">
        <f t="shared" si="19"/>
        <v>#N/A</v>
      </c>
      <c r="W64" s="1552"/>
      <c r="X64" s="1546">
        <f t="shared" si="20"/>
        <v>2017</v>
      </c>
      <c r="Y64" s="1555" t="e">
        <f t="shared" ref="Y64:AA64" si="31">Y97+Y130</f>
        <v>#N/A</v>
      </c>
      <c r="Z64" s="1555" t="e">
        <f t="shared" si="31"/>
        <v>#N/A</v>
      </c>
      <c r="AA64" s="1555" t="e">
        <f t="shared" si="31"/>
        <v>#N/A</v>
      </c>
      <c r="AB64" s="1555" t="e">
        <f t="shared" si="22"/>
        <v>#N/A</v>
      </c>
      <c r="AC64" s="1556" t="e">
        <f t="shared" si="23"/>
        <v>#N/A</v>
      </c>
      <c r="AD64" s="1552"/>
      <c r="AE64" s="1546">
        <f t="shared" si="24"/>
        <v>2017</v>
      </c>
      <c r="AF64" s="1557" t="e">
        <f t="shared" ref="AF64:AH64" si="32">AF97+AF130</f>
        <v>#N/A</v>
      </c>
      <c r="AG64" s="1557" t="e">
        <f t="shared" si="32"/>
        <v>#N/A</v>
      </c>
      <c r="AH64" s="1557" t="e">
        <f t="shared" si="32"/>
        <v>#N/A</v>
      </c>
      <c r="AI64" s="1557" t="e">
        <f t="shared" si="26"/>
        <v>#N/A</v>
      </c>
      <c r="AJ64" s="1558" t="e">
        <f t="shared" si="27"/>
        <v>#N/A</v>
      </c>
      <c r="AL64" s="1681"/>
      <c r="AM64" s="1681"/>
      <c r="AN64" s="1681"/>
      <c r="AO64" s="1681"/>
      <c r="AP64" s="1681"/>
      <c r="AQ64" s="1681"/>
      <c r="AR64" s="1681"/>
      <c r="AS64" s="1681"/>
      <c r="AT64" s="1681"/>
      <c r="AU64" s="1681"/>
      <c r="AV64" s="1681"/>
      <c r="AW64" s="1681"/>
      <c r="AX64" s="1683"/>
      <c r="AY64" s="1683"/>
      <c r="AZ64" s="1683"/>
      <c r="BA64" s="1681"/>
    </row>
    <row r="65" spans="1:53" s="1562" customFormat="1" ht="16.5" x14ac:dyDescent="0.25">
      <c r="A65" s="1545"/>
      <c r="B65" s="2571"/>
      <c r="C65" s="1546">
        <v>2018</v>
      </c>
      <c r="D65" s="1547" t="e">
        <f t="shared" ref="D65:F65" si="33">D98+D131</f>
        <v>#N/A</v>
      </c>
      <c r="E65" s="1547" t="e">
        <f t="shared" si="33"/>
        <v>#N/A</v>
      </c>
      <c r="F65" s="1547" t="e">
        <f t="shared" si="33"/>
        <v>#N/A</v>
      </c>
      <c r="G65" s="1547" t="e">
        <f t="shared" si="10"/>
        <v>#N/A</v>
      </c>
      <c r="H65" s="1548" t="e">
        <f t="shared" si="11"/>
        <v>#N/A</v>
      </c>
      <c r="I65" s="1549"/>
      <c r="J65" s="1546">
        <f t="shared" si="12"/>
        <v>2018</v>
      </c>
      <c r="K65" s="1679" t="e">
        <f t="shared" ref="K65:M65" si="34">K98+K131</f>
        <v>#N/A</v>
      </c>
      <c r="L65" s="1679" t="e">
        <f t="shared" si="34"/>
        <v>#N/A</v>
      </c>
      <c r="M65" s="1679" t="e">
        <f t="shared" si="34"/>
        <v>#N/A</v>
      </c>
      <c r="N65" s="1679" t="e">
        <f t="shared" si="14"/>
        <v>#N/A</v>
      </c>
      <c r="O65" s="1680" t="e">
        <f t="shared" si="15"/>
        <v>#N/A</v>
      </c>
      <c r="P65" s="1552"/>
      <c r="Q65" s="1546">
        <f t="shared" si="16"/>
        <v>2018</v>
      </c>
      <c r="R65" s="1553" t="e">
        <f t="shared" ref="R65:T65" si="35">R98+R131</f>
        <v>#N/A</v>
      </c>
      <c r="S65" s="1553" t="e">
        <f t="shared" si="35"/>
        <v>#N/A</v>
      </c>
      <c r="T65" s="1553" t="e">
        <f t="shared" si="35"/>
        <v>#N/A</v>
      </c>
      <c r="U65" s="1553" t="e">
        <f t="shared" si="18"/>
        <v>#N/A</v>
      </c>
      <c r="V65" s="1554" t="e">
        <f t="shared" si="19"/>
        <v>#N/A</v>
      </c>
      <c r="W65" s="1552"/>
      <c r="X65" s="1546">
        <f t="shared" si="20"/>
        <v>2018</v>
      </c>
      <c r="Y65" s="1555" t="e">
        <f t="shared" ref="Y65:AA65" si="36">Y98+Y131</f>
        <v>#N/A</v>
      </c>
      <c r="Z65" s="1555" t="e">
        <f t="shared" si="36"/>
        <v>#N/A</v>
      </c>
      <c r="AA65" s="1555" t="e">
        <f t="shared" si="36"/>
        <v>#N/A</v>
      </c>
      <c r="AB65" s="1555" t="e">
        <f t="shared" si="22"/>
        <v>#N/A</v>
      </c>
      <c r="AC65" s="1556" t="e">
        <f t="shared" si="23"/>
        <v>#N/A</v>
      </c>
      <c r="AD65" s="1552"/>
      <c r="AE65" s="1546">
        <f t="shared" si="24"/>
        <v>2018</v>
      </c>
      <c r="AF65" s="1557" t="e">
        <f t="shared" ref="AF65:AH65" si="37">AF98+AF131</f>
        <v>#N/A</v>
      </c>
      <c r="AG65" s="1557" t="e">
        <f t="shared" si="37"/>
        <v>#N/A</v>
      </c>
      <c r="AH65" s="1557" t="e">
        <f t="shared" si="37"/>
        <v>#N/A</v>
      </c>
      <c r="AI65" s="1557" t="e">
        <f t="shared" si="26"/>
        <v>#N/A</v>
      </c>
      <c r="AJ65" s="1558" t="e">
        <f t="shared" si="27"/>
        <v>#N/A</v>
      </c>
      <c r="AL65" s="1681"/>
      <c r="AM65" s="1681"/>
      <c r="AN65" s="1681"/>
      <c r="AO65" s="1681"/>
      <c r="AP65" s="1681"/>
      <c r="AQ65" s="1681"/>
      <c r="AR65" s="1681"/>
      <c r="AS65" s="1681"/>
      <c r="AT65" s="1681"/>
      <c r="AU65" s="1681"/>
      <c r="AV65" s="1681"/>
      <c r="AW65" s="1681"/>
      <c r="AX65" s="1683"/>
      <c r="AY65" s="1683"/>
      <c r="AZ65" s="1683"/>
      <c r="BA65" s="1681"/>
    </row>
    <row r="66" spans="1:53" s="1562" customFormat="1" ht="16.5" x14ac:dyDescent="0.25">
      <c r="A66" s="1545"/>
      <c r="B66" s="2571"/>
      <c r="C66" s="1546">
        <v>2019</v>
      </c>
      <c r="D66" s="1547" t="e">
        <f t="shared" ref="D66:F66" si="38">D99+D132</f>
        <v>#N/A</v>
      </c>
      <c r="E66" s="1547" t="e">
        <f t="shared" si="38"/>
        <v>#N/A</v>
      </c>
      <c r="F66" s="1547" t="e">
        <f t="shared" si="38"/>
        <v>#N/A</v>
      </c>
      <c r="G66" s="1547" t="e">
        <f t="shared" si="10"/>
        <v>#N/A</v>
      </c>
      <c r="H66" s="1548" t="e">
        <f t="shared" si="11"/>
        <v>#N/A</v>
      </c>
      <c r="I66" s="1549"/>
      <c r="J66" s="1546">
        <f t="shared" si="12"/>
        <v>2019</v>
      </c>
      <c r="K66" s="1679" t="e">
        <f t="shared" ref="K66:M66" si="39">K99+K132</f>
        <v>#N/A</v>
      </c>
      <c r="L66" s="1679" t="e">
        <f t="shared" si="39"/>
        <v>#N/A</v>
      </c>
      <c r="M66" s="1679" t="e">
        <f t="shared" si="39"/>
        <v>#N/A</v>
      </c>
      <c r="N66" s="1679" t="e">
        <f t="shared" si="14"/>
        <v>#N/A</v>
      </c>
      <c r="O66" s="1680" t="e">
        <f t="shared" si="15"/>
        <v>#N/A</v>
      </c>
      <c r="P66" s="1552"/>
      <c r="Q66" s="1546">
        <f t="shared" si="16"/>
        <v>2019</v>
      </c>
      <c r="R66" s="1553" t="e">
        <f t="shared" ref="R66:T66" si="40">R99+R132</f>
        <v>#N/A</v>
      </c>
      <c r="S66" s="1553" t="e">
        <f t="shared" si="40"/>
        <v>#N/A</v>
      </c>
      <c r="T66" s="1553" t="e">
        <f t="shared" si="40"/>
        <v>#N/A</v>
      </c>
      <c r="U66" s="1553" t="e">
        <f t="shared" si="18"/>
        <v>#N/A</v>
      </c>
      <c r="V66" s="1554" t="e">
        <f t="shared" si="19"/>
        <v>#N/A</v>
      </c>
      <c r="W66" s="1552"/>
      <c r="X66" s="1546">
        <f t="shared" si="20"/>
        <v>2019</v>
      </c>
      <c r="Y66" s="1555" t="e">
        <f t="shared" ref="Y66:AA66" si="41">Y99+Y132</f>
        <v>#N/A</v>
      </c>
      <c r="Z66" s="1555" t="e">
        <f t="shared" si="41"/>
        <v>#N/A</v>
      </c>
      <c r="AA66" s="1555" t="e">
        <f t="shared" si="41"/>
        <v>#N/A</v>
      </c>
      <c r="AB66" s="1555" t="e">
        <f t="shared" si="22"/>
        <v>#N/A</v>
      </c>
      <c r="AC66" s="1556" t="e">
        <f t="shared" si="23"/>
        <v>#N/A</v>
      </c>
      <c r="AD66" s="1552"/>
      <c r="AE66" s="1546">
        <f t="shared" si="24"/>
        <v>2019</v>
      </c>
      <c r="AF66" s="1557" t="e">
        <f t="shared" ref="AF66:AH66" si="42">AF99+AF132</f>
        <v>#N/A</v>
      </c>
      <c r="AG66" s="1557" t="e">
        <f t="shared" si="42"/>
        <v>#N/A</v>
      </c>
      <c r="AH66" s="1557" t="e">
        <f t="shared" si="42"/>
        <v>#N/A</v>
      </c>
      <c r="AI66" s="1557" t="e">
        <f t="shared" si="26"/>
        <v>#N/A</v>
      </c>
      <c r="AJ66" s="1558" t="e">
        <f t="shared" si="27"/>
        <v>#N/A</v>
      </c>
      <c r="AL66" s="1681"/>
      <c r="AM66" s="1681"/>
      <c r="AN66" s="1681"/>
      <c r="AO66" s="1681"/>
      <c r="AP66" s="1681"/>
      <c r="AQ66" s="1681"/>
      <c r="AR66" s="1681"/>
      <c r="AS66" s="1681"/>
      <c r="AT66" s="1681"/>
      <c r="AU66" s="1681"/>
      <c r="AV66" s="1681"/>
      <c r="AW66" s="1681"/>
      <c r="AX66" s="1683"/>
      <c r="AY66" s="1683"/>
      <c r="AZ66" s="1683"/>
      <c r="BA66" s="1681"/>
    </row>
    <row r="67" spans="1:53" s="1562" customFormat="1" ht="16.5" x14ac:dyDescent="0.25">
      <c r="A67" s="1545"/>
      <c r="B67" s="2572"/>
      <c r="C67" s="1546">
        <v>2020</v>
      </c>
      <c r="D67" s="1547" t="e">
        <f t="shared" ref="D67:F67" si="43">D100+D133</f>
        <v>#N/A</v>
      </c>
      <c r="E67" s="1547" t="e">
        <f t="shared" si="43"/>
        <v>#N/A</v>
      </c>
      <c r="F67" s="1547" t="e">
        <f t="shared" si="43"/>
        <v>#N/A</v>
      </c>
      <c r="G67" s="1547" t="e">
        <f t="shared" si="10"/>
        <v>#N/A</v>
      </c>
      <c r="H67" s="1548" t="e">
        <f t="shared" si="11"/>
        <v>#N/A</v>
      </c>
      <c r="I67" s="1549"/>
      <c r="J67" s="1546">
        <f t="shared" si="12"/>
        <v>2020</v>
      </c>
      <c r="K67" s="1679" t="e">
        <f t="shared" ref="K67:M67" si="44">K100+K133</f>
        <v>#N/A</v>
      </c>
      <c r="L67" s="1679" t="e">
        <f t="shared" si="44"/>
        <v>#N/A</v>
      </c>
      <c r="M67" s="1679" t="e">
        <f t="shared" si="44"/>
        <v>#N/A</v>
      </c>
      <c r="N67" s="1679" t="e">
        <f t="shared" si="14"/>
        <v>#N/A</v>
      </c>
      <c r="O67" s="1680" t="e">
        <f t="shared" si="15"/>
        <v>#N/A</v>
      </c>
      <c r="P67" s="1552"/>
      <c r="Q67" s="1546">
        <f t="shared" si="16"/>
        <v>2020</v>
      </c>
      <c r="R67" s="1553" t="e">
        <f t="shared" ref="R67:T67" si="45">R100+R133</f>
        <v>#N/A</v>
      </c>
      <c r="S67" s="1553" t="e">
        <f t="shared" si="45"/>
        <v>#N/A</v>
      </c>
      <c r="T67" s="1553" t="e">
        <f t="shared" si="45"/>
        <v>#N/A</v>
      </c>
      <c r="U67" s="1553" t="e">
        <f t="shared" si="18"/>
        <v>#N/A</v>
      </c>
      <c r="V67" s="1554" t="e">
        <f t="shared" si="19"/>
        <v>#N/A</v>
      </c>
      <c r="W67" s="1552"/>
      <c r="X67" s="1546">
        <f t="shared" si="20"/>
        <v>2020</v>
      </c>
      <c r="Y67" s="1555" t="e">
        <f t="shared" ref="Y67:AA67" si="46">Y100+Y133</f>
        <v>#N/A</v>
      </c>
      <c r="Z67" s="1555" t="e">
        <f t="shared" si="46"/>
        <v>#N/A</v>
      </c>
      <c r="AA67" s="1555" t="e">
        <f t="shared" si="46"/>
        <v>#N/A</v>
      </c>
      <c r="AB67" s="1555" t="e">
        <f t="shared" si="22"/>
        <v>#N/A</v>
      </c>
      <c r="AC67" s="1556" t="e">
        <f t="shared" si="23"/>
        <v>#N/A</v>
      </c>
      <c r="AD67" s="1552"/>
      <c r="AE67" s="1546">
        <f t="shared" si="24"/>
        <v>2020</v>
      </c>
      <c r="AF67" s="1557" t="e">
        <f t="shared" ref="AF67:AH67" si="47">AF100+AF133</f>
        <v>#N/A</v>
      </c>
      <c r="AG67" s="1557" t="e">
        <f t="shared" si="47"/>
        <v>#N/A</v>
      </c>
      <c r="AH67" s="1557" t="e">
        <f t="shared" si="47"/>
        <v>#N/A</v>
      </c>
      <c r="AI67" s="1557" t="e">
        <f t="shared" si="26"/>
        <v>#N/A</v>
      </c>
      <c r="AJ67" s="1558" t="e">
        <f t="shared" si="27"/>
        <v>#N/A</v>
      </c>
      <c r="AL67" s="1681"/>
      <c r="AM67" s="1682" t="e">
        <f>N67+M67+U67+T67+AB67+AA67+AI67+AH67</f>
        <v>#N/A</v>
      </c>
      <c r="AN67" s="1681"/>
      <c r="AO67" s="1681"/>
      <c r="AP67" s="1681"/>
      <c r="AQ67" s="1681"/>
      <c r="AR67" s="1681"/>
      <c r="AS67" s="1681"/>
      <c r="AT67" s="1681"/>
      <c r="AU67" s="1681"/>
      <c r="AV67" s="1681"/>
      <c r="AW67" s="1681"/>
      <c r="AX67" s="1683"/>
      <c r="AY67" s="1683"/>
      <c r="AZ67" s="1683"/>
      <c r="BA67" s="1681"/>
    </row>
    <row r="68" spans="1:53" s="1545" customFormat="1" ht="16.5" x14ac:dyDescent="0.25">
      <c r="B68" s="1564"/>
      <c r="C68" s="1565"/>
      <c r="D68" s="1565"/>
      <c r="E68" s="1566"/>
      <c r="F68" s="1566"/>
      <c r="G68" s="1566"/>
      <c r="H68" s="1566"/>
      <c r="I68" s="1566"/>
      <c r="J68" s="1565"/>
      <c r="K68" s="1567"/>
      <c r="L68" s="1567"/>
      <c r="M68" s="1567"/>
      <c r="N68" s="1567"/>
      <c r="O68" s="1567"/>
      <c r="P68" s="1567"/>
      <c r="Q68" s="1565"/>
      <c r="R68" s="1567"/>
      <c r="S68" s="1567"/>
      <c r="T68" s="1567"/>
      <c r="U68" s="1567"/>
      <c r="V68" s="1565"/>
      <c r="W68" s="1565"/>
      <c r="X68" s="1565"/>
      <c r="Y68" s="1565"/>
      <c r="Z68" s="1565"/>
      <c r="AA68" s="1565"/>
      <c r="AB68" s="1565"/>
      <c r="AC68" s="1565"/>
      <c r="AD68" s="1565"/>
      <c r="AE68" s="1565"/>
      <c r="AF68" s="1565"/>
      <c r="AG68" s="1565"/>
      <c r="AH68" s="1565"/>
      <c r="AI68" s="1565"/>
      <c r="AJ68" s="1565"/>
      <c r="AL68" s="1684"/>
      <c r="AM68" s="1684"/>
      <c r="AN68" s="1684"/>
      <c r="AO68" s="1684"/>
      <c r="AP68" s="1684"/>
      <c r="AQ68" s="1684"/>
      <c r="AR68" s="1684"/>
      <c r="AS68" s="1684"/>
      <c r="AT68" s="1684"/>
      <c r="AU68" s="1684"/>
      <c r="AV68" s="1684"/>
      <c r="AW68" s="1684"/>
      <c r="AX68" s="1685"/>
      <c r="AY68" s="1685"/>
      <c r="AZ68" s="1685"/>
      <c r="BA68" s="1684"/>
    </row>
    <row r="69" spans="1:53" s="1584" customFormat="1" ht="16.5" customHeight="1" x14ac:dyDescent="0.25">
      <c r="A69" s="1569"/>
      <c r="B69" s="2570" t="str">
        <f>IF($F$6=Lists!$C$4, "Net Backup Power Fuel Cell vs. Alternative Technology Earnings (Thousands of 2010$)", B102)</f>
        <v>Gross Backup Power Fuel Cell Earnings (Thousands of 2010$)</v>
      </c>
      <c r="C69" s="1570"/>
      <c r="D69" s="1571" t="str">
        <f>D$59</f>
        <v>Total (Manufacturing, Installation, Fuel, and Maintenance)</v>
      </c>
      <c r="E69" s="1572"/>
      <c r="F69" s="1572"/>
      <c r="G69" s="1572"/>
      <c r="H69" s="1572"/>
      <c r="I69" s="1573"/>
      <c r="J69" s="1570"/>
      <c r="K69" s="1686" t="str">
        <f>K59</f>
        <v>Backup Power Fuel Cell Manufacturing, Development, Sales, and Shipping</v>
      </c>
      <c r="L69" s="1687"/>
      <c r="M69" s="1687"/>
      <c r="N69" s="1687"/>
      <c r="O69" s="1687"/>
      <c r="P69" s="1576"/>
      <c r="Q69" s="1570"/>
      <c r="R69" s="1577" t="str">
        <f>R59</f>
        <v>Backup Power Fuel Cell Installation and Fuel Storage</v>
      </c>
      <c r="S69" s="1578"/>
      <c r="T69" s="1578"/>
      <c r="U69" s="1578"/>
      <c r="V69" s="1578"/>
      <c r="W69" s="1576"/>
      <c r="X69" s="1570"/>
      <c r="Y69" s="1579" t="str">
        <f>Y59</f>
        <v>Hydrogen Fuel Production and Delivery</v>
      </c>
      <c r="Z69" s="1580"/>
      <c r="AA69" s="1580"/>
      <c r="AB69" s="1580"/>
      <c r="AC69" s="1580"/>
      <c r="AD69" s="1576"/>
      <c r="AE69" s="1570"/>
      <c r="AF69" s="1581" t="str">
        <f>AF59</f>
        <v>Backup Power Fuel Cell and Site Maintenance</v>
      </c>
      <c r="AG69" s="1582"/>
      <c r="AH69" s="1582"/>
      <c r="AI69" s="1582"/>
      <c r="AJ69" s="1582"/>
      <c r="AL69" s="1520"/>
      <c r="AM69" s="1520"/>
      <c r="AN69" s="1520"/>
      <c r="AO69" s="1520"/>
      <c r="AP69" s="1520"/>
      <c r="AQ69" s="1520"/>
      <c r="AR69" s="1520"/>
      <c r="AS69" s="1520"/>
      <c r="AT69" s="1520"/>
      <c r="AU69" s="1520"/>
      <c r="AV69" s="1520"/>
      <c r="AW69" s="1520"/>
      <c r="AX69" s="1678"/>
      <c r="AY69" s="1678"/>
      <c r="AZ69" s="1678"/>
      <c r="BA69" s="1520"/>
    </row>
    <row r="70" spans="1:53" s="1695" customFormat="1" ht="16.5" x14ac:dyDescent="0.25">
      <c r="A70" s="1688"/>
      <c r="B70" s="2571"/>
      <c r="C70" s="1689"/>
      <c r="D70" s="1571" t="str">
        <f>B69</f>
        <v>Gross Backup Power Fuel Cell Earnings (Thousands of 2010$)</v>
      </c>
      <c r="E70" s="1586"/>
      <c r="F70" s="1586"/>
      <c r="G70" s="1586"/>
      <c r="H70" s="1586"/>
      <c r="I70" s="1690"/>
      <c r="J70" s="1689"/>
      <c r="K70" s="1668" t="str">
        <f>D70</f>
        <v>Gross Backup Power Fuel Cell Earnings (Thousands of 2010$)</v>
      </c>
      <c r="L70" s="1669"/>
      <c r="M70" s="1691"/>
      <c r="N70" s="1691"/>
      <c r="O70" s="1691"/>
      <c r="P70" s="1692"/>
      <c r="Q70" s="1689"/>
      <c r="R70" s="1671" t="str">
        <f>K70</f>
        <v>Gross Backup Power Fuel Cell Earnings (Thousands of 2010$)</v>
      </c>
      <c r="S70" s="1523"/>
      <c r="T70" s="1588"/>
      <c r="U70" s="1588"/>
      <c r="V70" s="1588"/>
      <c r="W70" s="1692"/>
      <c r="X70" s="1689"/>
      <c r="Y70" s="1672" t="str">
        <f>R70</f>
        <v>Gross Backup Power Fuel Cell Earnings (Thousands of 2010$)</v>
      </c>
      <c r="Z70" s="1524"/>
      <c r="AA70" s="1693"/>
      <c r="AB70" s="1693"/>
      <c r="AC70" s="1693"/>
      <c r="AD70" s="1692"/>
      <c r="AE70" s="1689"/>
      <c r="AF70" s="1673" t="str">
        <f>Y70</f>
        <v>Gross Backup Power Fuel Cell Earnings (Thousands of 2010$)</v>
      </c>
      <c r="AG70" s="1525"/>
      <c r="AH70" s="1694"/>
      <c r="AI70" s="1694"/>
      <c r="AJ70" s="1694"/>
      <c r="AL70" s="1674"/>
      <c r="AM70" s="1674"/>
      <c r="AN70" s="1674"/>
      <c r="AO70" s="1674"/>
      <c r="AP70" s="1674"/>
      <c r="AQ70" s="1674"/>
      <c r="AR70" s="1674"/>
      <c r="AS70" s="1674"/>
      <c r="AT70" s="1674"/>
      <c r="AU70" s="1674"/>
      <c r="AV70" s="1674"/>
      <c r="AW70" s="1674"/>
      <c r="AX70" s="1675"/>
      <c r="AY70" s="1675"/>
      <c r="AZ70" s="1675"/>
      <c r="BA70" s="1674"/>
    </row>
    <row r="71" spans="1:53" s="1590" customFormat="1" ht="47.25" x14ac:dyDescent="0.25">
      <c r="A71" s="1589"/>
      <c r="B71" s="2571"/>
      <c r="C71" s="1585" t="str">
        <f t="shared" ref="C71:C77" si="48">C61</f>
        <v>Year</v>
      </c>
      <c r="D71" s="1528" t="str">
        <f>D$156&amp;" "&amp;D$157</f>
        <v>Gross BuP FC-related Direct</v>
      </c>
      <c r="E71" s="1528" t="str">
        <f>E$156&amp;" "&amp;E$157</f>
        <v>Gross BuP FC-related Indirect</v>
      </c>
      <c r="F71" s="1528" t="str">
        <f>F$156&amp;" "&amp;F$157</f>
        <v>Gross BuP FC-related Induced</v>
      </c>
      <c r="G71" s="1529" t="str">
        <f>G$156&amp;" "&amp;G$157</f>
        <v>Gross BuP FC-related Supply Chain</v>
      </c>
      <c r="H71" s="1529" t="str">
        <f>H$156&amp;" "&amp;H$157</f>
        <v>Gross BuP FC-related Total</v>
      </c>
      <c r="I71" s="1530"/>
      <c r="J71" s="1527" t="str">
        <f>C71</f>
        <v>Year</v>
      </c>
      <c r="K71" s="1676" t="str">
        <f>K$156&amp;" "&amp;K$157</f>
        <v>Gross BuP Fuel Cell Direct</v>
      </c>
      <c r="L71" s="1676" t="str">
        <f>L$156&amp;" "&amp;L$157</f>
        <v>Gross BuP Fuel Cell Indirect</v>
      </c>
      <c r="M71" s="1676" t="str">
        <f>M$156&amp;" "&amp;M$157</f>
        <v>Gross BuP Fuel Cell Induced</v>
      </c>
      <c r="N71" s="1677" t="str">
        <f>N$156&amp;" "&amp;N$157</f>
        <v>Gross BuP Fuel Cell Supply Chain</v>
      </c>
      <c r="O71" s="1677" t="str">
        <f>O$156&amp;" "&amp;O$157</f>
        <v>Gross BuP Fuel Cell Total</v>
      </c>
      <c r="P71" s="1533"/>
      <c r="Q71" s="1527" t="str">
        <f>J71</f>
        <v>Year</v>
      </c>
      <c r="R71" s="1534" t="str">
        <f>R$156&amp;" "&amp;R$157</f>
        <v>Gross BuP FC Installation Direct</v>
      </c>
      <c r="S71" s="1534" t="str">
        <f>S$156&amp;" "&amp;S$157</f>
        <v>Gross BuP FC Installation Indirect</v>
      </c>
      <c r="T71" s="1534" t="str">
        <f>T$156&amp;" "&amp;T$157</f>
        <v>Gross BuP FC Installation Induced</v>
      </c>
      <c r="U71" s="1535" t="str">
        <f>U$156&amp;" "&amp;U$157</f>
        <v>Gross BuP FC Installation Supply Chain</v>
      </c>
      <c r="V71" s="1535" t="str">
        <f>V$156&amp;" "&amp;V$157</f>
        <v>Gross BuP FC Installation Total</v>
      </c>
      <c r="W71" s="1533"/>
      <c r="X71" s="1527" t="str">
        <f>Q71</f>
        <v>Year</v>
      </c>
      <c r="Y71" s="1536" t="str">
        <f>Y$156&amp;" "&amp;Y$157</f>
        <v>Gross BuP FC Fuel Direct</v>
      </c>
      <c r="Z71" s="1536" t="str">
        <f>Z$156&amp;" "&amp;Z$157</f>
        <v>Gross BuP FC Fuel Indirect</v>
      </c>
      <c r="AA71" s="1536" t="str">
        <f>AA$156&amp;" "&amp;AA$157</f>
        <v>Gross BuP FC Fuel Induced</v>
      </c>
      <c r="AB71" s="1537" t="str">
        <f>AB$156&amp;" "&amp;AB$157</f>
        <v>Gross BuP FC Fuel Supply Chain</v>
      </c>
      <c r="AC71" s="1537" t="str">
        <f>AC$156&amp;" "&amp;AC$157</f>
        <v>Gross BuP FC Fuel Total</v>
      </c>
      <c r="AD71" s="1533"/>
      <c r="AE71" s="1527" t="str">
        <f>X71</f>
        <v>Year</v>
      </c>
      <c r="AF71" s="1538" t="str">
        <f>AF$156&amp;" "&amp;AF$157</f>
        <v>Gross BuP FC Maintenance Direct</v>
      </c>
      <c r="AG71" s="1538" t="str">
        <f>AG$156&amp;" "&amp;AG$157</f>
        <v>Gross BuP FC Maintenance Indirect</v>
      </c>
      <c r="AH71" s="1538" t="str">
        <f>AH$156&amp;" "&amp;AH$157</f>
        <v>Gross BuP FC Maintenance Induced</v>
      </c>
      <c r="AI71" s="1539" t="str">
        <f>AI$156&amp;" "&amp;AI$157</f>
        <v>Gross BuP FC Maintenance Supply Chain</v>
      </c>
      <c r="AJ71" s="1539" t="str">
        <f>AJ$156&amp;" "&amp;AJ$157</f>
        <v>Gross BuP FC Maintenance Total</v>
      </c>
      <c r="AL71" s="1520"/>
      <c r="AM71" s="1520"/>
      <c r="AN71" s="1520"/>
      <c r="AO71" s="1520"/>
      <c r="AP71" s="1520"/>
      <c r="AQ71" s="1520"/>
      <c r="AR71" s="1520"/>
      <c r="AS71" s="1520"/>
      <c r="AT71" s="1520"/>
      <c r="AU71" s="1520"/>
      <c r="AV71" s="1520"/>
      <c r="AW71" s="1520"/>
      <c r="AX71" s="1678"/>
      <c r="AY71" s="1678"/>
      <c r="AZ71" s="1678"/>
      <c r="BA71" s="1520"/>
    </row>
    <row r="72" spans="1:53" s="1562" customFormat="1" ht="16.5" x14ac:dyDescent="0.25">
      <c r="A72" s="1545"/>
      <c r="B72" s="2571"/>
      <c r="C72" s="1546">
        <f t="shared" si="48"/>
        <v>2015</v>
      </c>
      <c r="D72" s="1591" t="e">
        <f>D105+D138</f>
        <v>#N/A</v>
      </c>
      <c r="E72" s="1591" t="e">
        <f t="shared" ref="E72:F72" si="49">E105+E138</f>
        <v>#N/A</v>
      </c>
      <c r="F72" s="1591" t="e">
        <f t="shared" si="49"/>
        <v>#N/A</v>
      </c>
      <c r="G72" s="1591" t="e">
        <f>D72+E72</f>
        <v>#N/A</v>
      </c>
      <c r="H72" s="1592" t="e">
        <f>D72+E72+F72</f>
        <v>#N/A</v>
      </c>
      <c r="I72" s="1593"/>
      <c r="J72" s="1546">
        <f>C72</f>
        <v>2015</v>
      </c>
      <c r="K72" s="1696" t="e">
        <f>K105+K138</f>
        <v>#N/A</v>
      </c>
      <c r="L72" s="1696" t="e">
        <f t="shared" ref="L72:M72" si="50">L105+L138</f>
        <v>#N/A</v>
      </c>
      <c r="M72" s="1696" t="e">
        <f t="shared" si="50"/>
        <v>#N/A</v>
      </c>
      <c r="N72" s="1697" t="e">
        <f>K72+L72</f>
        <v>#N/A</v>
      </c>
      <c r="O72" s="1698" t="e">
        <f>K72+L72+M72</f>
        <v>#N/A</v>
      </c>
      <c r="P72" s="1596"/>
      <c r="Q72" s="1546">
        <f>J72</f>
        <v>2015</v>
      </c>
      <c r="R72" s="1597" t="e">
        <f>R105+R138</f>
        <v>#N/A</v>
      </c>
      <c r="S72" s="1597" t="e">
        <f t="shared" ref="S72:T72" si="51">S105+S138</f>
        <v>#N/A</v>
      </c>
      <c r="T72" s="1597" t="e">
        <f t="shared" si="51"/>
        <v>#N/A</v>
      </c>
      <c r="U72" s="1597" t="e">
        <f>R72+S72</f>
        <v>#N/A</v>
      </c>
      <c r="V72" s="1598" t="e">
        <f>R72+S72+T72</f>
        <v>#N/A</v>
      </c>
      <c r="W72" s="1596"/>
      <c r="X72" s="1546">
        <f>Q72</f>
        <v>2015</v>
      </c>
      <c r="Y72" s="1599" t="e">
        <f>Y105+Y138</f>
        <v>#N/A</v>
      </c>
      <c r="Z72" s="1599" t="e">
        <f t="shared" ref="Z72:AA72" si="52">Z105+Z138</f>
        <v>#N/A</v>
      </c>
      <c r="AA72" s="1599" t="e">
        <f t="shared" si="52"/>
        <v>#N/A</v>
      </c>
      <c r="AB72" s="1599" t="e">
        <f>Y72+Z72</f>
        <v>#N/A</v>
      </c>
      <c r="AC72" s="1600" t="e">
        <f>Y72+Z72+AA72</f>
        <v>#N/A</v>
      </c>
      <c r="AD72" s="1596"/>
      <c r="AE72" s="1546">
        <f>X72</f>
        <v>2015</v>
      </c>
      <c r="AF72" s="1601" t="e">
        <f>AF105+AF138</f>
        <v>#N/A</v>
      </c>
      <c r="AG72" s="1601" t="e">
        <f t="shared" ref="AG72:AH72" si="53">AG105+AG138</f>
        <v>#N/A</v>
      </c>
      <c r="AH72" s="1601" t="e">
        <f t="shared" si="53"/>
        <v>#N/A</v>
      </c>
      <c r="AI72" s="1601" t="e">
        <f>AF72+AG72</f>
        <v>#N/A</v>
      </c>
      <c r="AJ72" s="1602" t="e">
        <f>AF72+AG72+AH72</f>
        <v>#N/A</v>
      </c>
      <c r="AL72" s="1681"/>
      <c r="AM72" s="1681"/>
      <c r="AN72" s="1681"/>
      <c r="AO72" s="1681"/>
      <c r="AP72" s="1681"/>
      <c r="AQ72" s="1681"/>
      <c r="AR72" s="1681"/>
      <c r="AS72" s="1681"/>
      <c r="AT72" s="1681"/>
      <c r="AU72" s="1681"/>
      <c r="AV72" s="1681"/>
      <c r="AW72" s="1681"/>
      <c r="AX72" s="1683"/>
      <c r="AY72" s="1683"/>
      <c r="AZ72" s="1683"/>
      <c r="BA72" s="1681"/>
    </row>
    <row r="73" spans="1:53" s="1562" customFormat="1" ht="16.5" x14ac:dyDescent="0.25">
      <c r="A73" s="1545"/>
      <c r="B73" s="2571"/>
      <c r="C73" s="1546">
        <f t="shared" si="48"/>
        <v>2016</v>
      </c>
      <c r="D73" s="1591" t="e">
        <f t="shared" ref="D73:F73" si="54">D106+D139</f>
        <v>#N/A</v>
      </c>
      <c r="E73" s="1591" t="e">
        <f t="shared" si="54"/>
        <v>#N/A</v>
      </c>
      <c r="F73" s="1591" t="e">
        <f t="shared" si="54"/>
        <v>#N/A</v>
      </c>
      <c r="G73" s="1591" t="e">
        <f t="shared" ref="G73:G77" si="55">D73+E73</f>
        <v>#N/A</v>
      </c>
      <c r="H73" s="1592" t="e">
        <f t="shared" ref="H73:H77" si="56">D73+E73+F73</f>
        <v>#N/A</v>
      </c>
      <c r="I73" s="1593"/>
      <c r="J73" s="1546">
        <f t="shared" ref="J73:J77" si="57">C73</f>
        <v>2016</v>
      </c>
      <c r="K73" s="1696" t="e">
        <f t="shared" ref="K73:M73" si="58">K106+K139</f>
        <v>#N/A</v>
      </c>
      <c r="L73" s="1696" t="e">
        <f t="shared" si="58"/>
        <v>#N/A</v>
      </c>
      <c r="M73" s="1696" t="e">
        <f t="shared" si="58"/>
        <v>#N/A</v>
      </c>
      <c r="N73" s="1697" t="e">
        <f t="shared" ref="N73:N77" si="59">K73+L73</f>
        <v>#N/A</v>
      </c>
      <c r="O73" s="1698" t="e">
        <f t="shared" ref="O73:O77" si="60">K73+L73+M73</f>
        <v>#N/A</v>
      </c>
      <c r="P73" s="1596"/>
      <c r="Q73" s="1546">
        <f t="shared" ref="Q73:Q77" si="61">J73</f>
        <v>2016</v>
      </c>
      <c r="R73" s="1597" t="e">
        <f t="shared" ref="R73:T73" si="62">R106+R139</f>
        <v>#N/A</v>
      </c>
      <c r="S73" s="1597" t="e">
        <f t="shared" si="62"/>
        <v>#N/A</v>
      </c>
      <c r="T73" s="1597" t="e">
        <f t="shared" si="62"/>
        <v>#N/A</v>
      </c>
      <c r="U73" s="1597" t="e">
        <f t="shared" ref="U73:U77" si="63">R73+S73</f>
        <v>#N/A</v>
      </c>
      <c r="V73" s="1598" t="e">
        <f t="shared" ref="V73:V77" si="64">R73+S73+T73</f>
        <v>#N/A</v>
      </c>
      <c r="W73" s="1596"/>
      <c r="X73" s="1546">
        <f t="shared" ref="X73:X77" si="65">Q73</f>
        <v>2016</v>
      </c>
      <c r="Y73" s="1599" t="e">
        <f t="shared" ref="Y73:AA73" si="66">Y106+Y139</f>
        <v>#N/A</v>
      </c>
      <c r="Z73" s="1599" t="e">
        <f t="shared" si="66"/>
        <v>#N/A</v>
      </c>
      <c r="AA73" s="1599" t="e">
        <f t="shared" si="66"/>
        <v>#N/A</v>
      </c>
      <c r="AB73" s="1599" t="e">
        <f t="shared" ref="AB73:AB77" si="67">Y73+Z73</f>
        <v>#N/A</v>
      </c>
      <c r="AC73" s="1600" t="e">
        <f t="shared" ref="AC73:AC77" si="68">Y73+Z73+AA73</f>
        <v>#N/A</v>
      </c>
      <c r="AD73" s="1596"/>
      <c r="AE73" s="1546">
        <f t="shared" ref="AE73:AE77" si="69">X73</f>
        <v>2016</v>
      </c>
      <c r="AF73" s="1601" t="e">
        <f t="shared" ref="AF73:AH73" si="70">AF106+AF139</f>
        <v>#N/A</v>
      </c>
      <c r="AG73" s="1601" t="e">
        <f t="shared" si="70"/>
        <v>#N/A</v>
      </c>
      <c r="AH73" s="1601" t="e">
        <f t="shared" si="70"/>
        <v>#N/A</v>
      </c>
      <c r="AI73" s="1601" t="e">
        <f t="shared" ref="AI73:AI77" si="71">AF73+AG73</f>
        <v>#N/A</v>
      </c>
      <c r="AJ73" s="1602" t="e">
        <f t="shared" ref="AJ73:AJ77" si="72">AF73+AG73+AH73</f>
        <v>#N/A</v>
      </c>
      <c r="AL73" s="1681"/>
      <c r="AM73" s="1681"/>
      <c r="AN73" s="1681"/>
      <c r="AO73" s="1681"/>
      <c r="AP73" s="1681"/>
      <c r="AQ73" s="1681"/>
      <c r="AR73" s="1681"/>
      <c r="AS73" s="1681"/>
      <c r="AT73" s="1681"/>
      <c r="AU73" s="1681"/>
      <c r="AV73" s="1681"/>
      <c r="AW73" s="1681"/>
      <c r="AX73" s="1683"/>
      <c r="AY73" s="1683"/>
      <c r="AZ73" s="1683"/>
      <c r="BA73" s="1681"/>
    </row>
    <row r="74" spans="1:53" s="1562" customFormat="1" ht="16.5" x14ac:dyDescent="0.25">
      <c r="A74" s="1545"/>
      <c r="B74" s="2571"/>
      <c r="C74" s="1546">
        <f t="shared" si="48"/>
        <v>2017</v>
      </c>
      <c r="D74" s="1591" t="e">
        <f t="shared" ref="D74:F74" si="73">D107+D140</f>
        <v>#N/A</v>
      </c>
      <c r="E74" s="1591" t="e">
        <f t="shared" si="73"/>
        <v>#N/A</v>
      </c>
      <c r="F74" s="1591" t="e">
        <f t="shared" si="73"/>
        <v>#N/A</v>
      </c>
      <c r="G74" s="1591" t="e">
        <f t="shared" si="55"/>
        <v>#N/A</v>
      </c>
      <c r="H74" s="1592" t="e">
        <f t="shared" si="56"/>
        <v>#N/A</v>
      </c>
      <c r="I74" s="1593"/>
      <c r="J74" s="1546">
        <f t="shared" si="57"/>
        <v>2017</v>
      </c>
      <c r="K74" s="1696" t="e">
        <f t="shared" ref="K74:M74" si="74">K107+K140</f>
        <v>#N/A</v>
      </c>
      <c r="L74" s="1696" t="e">
        <f t="shared" si="74"/>
        <v>#N/A</v>
      </c>
      <c r="M74" s="1696" t="e">
        <f t="shared" si="74"/>
        <v>#N/A</v>
      </c>
      <c r="N74" s="1697" t="e">
        <f t="shared" si="59"/>
        <v>#N/A</v>
      </c>
      <c r="O74" s="1698" t="e">
        <f t="shared" si="60"/>
        <v>#N/A</v>
      </c>
      <c r="P74" s="1596"/>
      <c r="Q74" s="1546">
        <f t="shared" si="61"/>
        <v>2017</v>
      </c>
      <c r="R74" s="1597" t="e">
        <f t="shared" ref="R74:T74" si="75">R107+R140</f>
        <v>#N/A</v>
      </c>
      <c r="S74" s="1597" t="e">
        <f t="shared" si="75"/>
        <v>#N/A</v>
      </c>
      <c r="T74" s="1597" t="e">
        <f t="shared" si="75"/>
        <v>#N/A</v>
      </c>
      <c r="U74" s="1597" t="e">
        <f t="shared" si="63"/>
        <v>#N/A</v>
      </c>
      <c r="V74" s="1598" t="e">
        <f t="shared" si="64"/>
        <v>#N/A</v>
      </c>
      <c r="W74" s="1596"/>
      <c r="X74" s="1546">
        <f t="shared" si="65"/>
        <v>2017</v>
      </c>
      <c r="Y74" s="1599" t="e">
        <f t="shared" ref="Y74:AA74" si="76">Y107+Y140</f>
        <v>#N/A</v>
      </c>
      <c r="Z74" s="1599" t="e">
        <f t="shared" si="76"/>
        <v>#N/A</v>
      </c>
      <c r="AA74" s="1599" t="e">
        <f t="shared" si="76"/>
        <v>#N/A</v>
      </c>
      <c r="AB74" s="1599" t="e">
        <f t="shared" si="67"/>
        <v>#N/A</v>
      </c>
      <c r="AC74" s="1600" t="e">
        <f t="shared" si="68"/>
        <v>#N/A</v>
      </c>
      <c r="AD74" s="1596"/>
      <c r="AE74" s="1546">
        <f t="shared" si="69"/>
        <v>2017</v>
      </c>
      <c r="AF74" s="1601" t="e">
        <f t="shared" ref="AF74:AH74" si="77">AF107+AF140</f>
        <v>#N/A</v>
      </c>
      <c r="AG74" s="1601" t="e">
        <f t="shared" si="77"/>
        <v>#N/A</v>
      </c>
      <c r="AH74" s="1601" t="e">
        <f t="shared" si="77"/>
        <v>#N/A</v>
      </c>
      <c r="AI74" s="1601" t="e">
        <f t="shared" si="71"/>
        <v>#N/A</v>
      </c>
      <c r="AJ74" s="1602" t="e">
        <f t="shared" si="72"/>
        <v>#N/A</v>
      </c>
      <c r="AL74" s="1681"/>
      <c r="AM74" s="1681"/>
      <c r="AN74" s="1681"/>
      <c r="AO74" s="1681"/>
      <c r="AP74" s="1681"/>
      <c r="AQ74" s="1681"/>
      <c r="AR74" s="1681"/>
      <c r="AS74" s="1681"/>
      <c r="AT74" s="1681"/>
      <c r="AU74" s="1681"/>
      <c r="AV74" s="1681"/>
      <c r="AW74" s="1681"/>
      <c r="AX74" s="1683"/>
      <c r="AY74" s="1683"/>
      <c r="AZ74" s="1683"/>
      <c r="BA74" s="1681"/>
    </row>
    <row r="75" spans="1:53" s="1562" customFormat="1" ht="16.5" x14ac:dyDescent="0.25">
      <c r="A75" s="1545"/>
      <c r="B75" s="2571"/>
      <c r="C75" s="1546">
        <f t="shared" si="48"/>
        <v>2018</v>
      </c>
      <c r="D75" s="1591" t="e">
        <f t="shared" ref="D75:F75" si="78">D108+D141</f>
        <v>#N/A</v>
      </c>
      <c r="E75" s="1591" t="e">
        <f t="shared" si="78"/>
        <v>#N/A</v>
      </c>
      <c r="F75" s="1591" t="e">
        <f t="shared" si="78"/>
        <v>#N/A</v>
      </c>
      <c r="G75" s="1591" t="e">
        <f t="shared" si="55"/>
        <v>#N/A</v>
      </c>
      <c r="H75" s="1592" t="e">
        <f t="shared" si="56"/>
        <v>#N/A</v>
      </c>
      <c r="I75" s="1593"/>
      <c r="J75" s="1546">
        <f t="shared" si="57"/>
        <v>2018</v>
      </c>
      <c r="K75" s="1696" t="e">
        <f t="shared" ref="K75:M75" si="79">K108+K141</f>
        <v>#N/A</v>
      </c>
      <c r="L75" s="1696" t="e">
        <f t="shared" si="79"/>
        <v>#N/A</v>
      </c>
      <c r="M75" s="1696" t="e">
        <f t="shared" si="79"/>
        <v>#N/A</v>
      </c>
      <c r="N75" s="1697" t="e">
        <f t="shared" si="59"/>
        <v>#N/A</v>
      </c>
      <c r="O75" s="1698" t="e">
        <f t="shared" si="60"/>
        <v>#N/A</v>
      </c>
      <c r="P75" s="1596"/>
      <c r="Q75" s="1546">
        <f t="shared" si="61"/>
        <v>2018</v>
      </c>
      <c r="R75" s="1597" t="e">
        <f t="shared" ref="R75:T75" si="80">R108+R141</f>
        <v>#N/A</v>
      </c>
      <c r="S75" s="1597" t="e">
        <f t="shared" si="80"/>
        <v>#N/A</v>
      </c>
      <c r="T75" s="1597" t="e">
        <f t="shared" si="80"/>
        <v>#N/A</v>
      </c>
      <c r="U75" s="1597" t="e">
        <f t="shared" si="63"/>
        <v>#N/A</v>
      </c>
      <c r="V75" s="1598" t="e">
        <f t="shared" si="64"/>
        <v>#N/A</v>
      </c>
      <c r="W75" s="1596"/>
      <c r="X75" s="1546">
        <f t="shared" si="65"/>
        <v>2018</v>
      </c>
      <c r="Y75" s="1599" t="e">
        <f t="shared" ref="Y75:AA75" si="81">Y108+Y141</f>
        <v>#N/A</v>
      </c>
      <c r="Z75" s="1599" t="e">
        <f t="shared" si="81"/>
        <v>#N/A</v>
      </c>
      <c r="AA75" s="1599" t="e">
        <f t="shared" si="81"/>
        <v>#N/A</v>
      </c>
      <c r="AB75" s="1599" t="e">
        <f t="shared" si="67"/>
        <v>#N/A</v>
      </c>
      <c r="AC75" s="1600" t="e">
        <f t="shared" si="68"/>
        <v>#N/A</v>
      </c>
      <c r="AD75" s="1596"/>
      <c r="AE75" s="1546">
        <f t="shared" si="69"/>
        <v>2018</v>
      </c>
      <c r="AF75" s="1601" t="e">
        <f t="shared" ref="AF75:AH75" si="82">AF108+AF141</f>
        <v>#N/A</v>
      </c>
      <c r="AG75" s="1601" t="e">
        <f t="shared" si="82"/>
        <v>#N/A</v>
      </c>
      <c r="AH75" s="1601" t="e">
        <f t="shared" si="82"/>
        <v>#N/A</v>
      </c>
      <c r="AI75" s="1601" t="e">
        <f t="shared" si="71"/>
        <v>#N/A</v>
      </c>
      <c r="AJ75" s="1602" t="e">
        <f t="shared" si="72"/>
        <v>#N/A</v>
      </c>
      <c r="AL75" s="1681"/>
      <c r="AM75" s="1681"/>
      <c r="AN75" s="1681"/>
      <c r="AO75" s="1681"/>
      <c r="AP75" s="1681"/>
      <c r="AQ75" s="1681"/>
      <c r="AR75" s="1681"/>
      <c r="AS75" s="1681"/>
      <c r="AT75" s="1681"/>
      <c r="AU75" s="1681"/>
      <c r="AV75" s="1681"/>
      <c r="AW75" s="1681"/>
      <c r="AX75" s="1683"/>
      <c r="AY75" s="1683"/>
      <c r="AZ75" s="1683"/>
      <c r="BA75" s="1681"/>
    </row>
    <row r="76" spans="1:53" s="1562" customFormat="1" ht="16.5" x14ac:dyDescent="0.25">
      <c r="A76" s="1545"/>
      <c r="B76" s="2571"/>
      <c r="C76" s="1546">
        <f t="shared" si="48"/>
        <v>2019</v>
      </c>
      <c r="D76" s="1591" t="e">
        <f t="shared" ref="D76:F76" si="83">D109+D142</f>
        <v>#N/A</v>
      </c>
      <c r="E76" s="1591" t="e">
        <f t="shared" si="83"/>
        <v>#N/A</v>
      </c>
      <c r="F76" s="1591" t="e">
        <f t="shared" si="83"/>
        <v>#N/A</v>
      </c>
      <c r="G76" s="1591" t="e">
        <f t="shared" si="55"/>
        <v>#N/A</v>
      </c>
      <c r="H76" s="1592" t="e">
        <f t="shared" si="56"/>
        <v>#N/A</v>
      </c>
      <c r="I76" s="1593"/>
      <c r="J76" s="1546">
        <f t="shared" si="57"/>
        <v>2019</v>
      </c>
      <c r="K76" s="1696" t="e">
        <f t="shared" ref="K76:M76" si="84">K109+K142</f>
        <v>#N/A</v>
      </c>
      <c r="L76" s="1696" t="e">
        <f t="shared" si="84"/>
        <v>#N/A</v>
      </c>
      <c r="M76" s="1696" t="e">
        <f t="shared" si="84"/>
        <v>#N/A</v>
      </c>
      <c r="N76" s="1697" t="e">
        <f t="shared" si="59"/>
        <v>#N/A</v>
      </c>
      <c r="O76" s="1698" t="e">
        <f t="shared" si="60"/>
        <v>#N/A</v>
      </c>
      <c r="P76" s="1596"/>
      <c r="Q76" s="1546">
        <f t="shared" si="61"/>
        <v>2019</v>
      </c>
      <c r="R76" s="1597" t="e">
        <f t="shared" ref="R76:T76" si="85">R109+R142</f>
        <v>#N/A</v>
      </c>
      <c r="S76" s="1597" t="e">
        <f t="shared" si="85"/>
        <v>#N/A</v>
      </c>
      <c r="T76" s="1597" t="e">
        <f t="shared" si="85"/>
        <v>#N/A</v>
      </c>
      <c r="U76" s="1597" t="e">
        <f t="shared" si="63"/>
        <v>#N/A</v>
      </c>
      <c r="V76" s="1598" t="e">
        <f t="shared" si="64"/>
        <v>#N/A</v>
      </c>
      <c r="W76" s="1596"/>
      <c r="X76" s="1546">
        <f t="shared" si="65"/>
        <v>2019</v>
      </c>
      <c r="Y76" s="1599" t="e">
        <f t="shared" ref="Y76:AA76" si="86">Y109+Y142</f>
        <v>#N/A</v>
      </c>
      <c r="Z76" s="1599" t="e">
        <f t="shared" si="86"/>
        <v>#N/A</v>
      </c>
      <c r="AA76" s="1599" t="e">
        <f t="shared" si="86"/>
        <v>#N/A</v>
      </c>
      <c r="AB76" s="1599" t="e">
        <f t="shared" si="67"/>
        <v>#N/A</v>
      </c>
      <c r="AC76" s="1600" t="e">
        <f t="shared" si="68"/>
        <v>#N/A</v>
      </c>
      <c r="AD76" s="1596"/>
      <c r="AE76" s="1546">
        <f t="shared" si="69"/>
        <v>2019</v>
      </c>
      <c r="AF76" s="1601" t="e">
        <f t="shared" ref="AF76:AH76" si="87">AF109+AF142</f>
        <v>#N/A</v>
      </c>
      <c r="AG76" s="1601" t="e">
        <f t="shared" si="87"/>
        <v>#N/A</v>
      </c>
      <c r="AH76" s="1601" t="e">
        <f t="shared" si="87"/>
        <v>#N/A</v>
      </c>
      <c r="AI76" s="1601" t="e">
        <f t="shared" si="71"/>
        <v>#N/A</v>
      </c>
      <c r="AJ76" s="1602" t="e">
        <f t="shared" si="72"/>
        <v>#N/A</v>
      </c>
      <c r="AL76" s="1681"/>
      <c r="AM76" s="1681"/>
      <c r="AN76" s="1681"/>
      <c r="AO76" s="1681"/>
      <c r="AP76" s="1681"/>
      <c r="AQ76" s="1681"/>
      <c r="AR76" s="1681"/>
      <c r="AS76" s="1681"/>
      <c r="AT76" s="1681"/>
      <c r="AU76" s="1681"/>
      <c r="AV76" s="1681"/>
      <c r="AW76" s="1681"/>
      <c r="AX76" s="1683"/>
      <c r="AY76" s="1683"/>
      <c r="AZ76" s="1683"/>
      <c r="BA76" s="1681"/>
    </row>
    <row r="77" spans="1:53" s="1562" customFormat="1" ht="16.5" x14ac:dyDescent="0.25">
      <c r="A77" s="1545"/>
      <c r="B77" s="2572"/>
      <c r="C77" s="1546">
        <f t="shared" si="48"/>
        <v>2020</v>
      </c>
      <c r="D77" s="1591" t="e">
        <f t="shared" ref="D77:F77" si="88">D110+D143</f>
        <v>#N/A</v>
      </c>
      <c r="E77" s="1591" t="e">
        <f t="shared" si="88"/>
        <v>#N/A</v>
      </c>
      <c r="F77" s="1591" t="e">
        <f t="shared" si="88"/>
        <v>#N/A</v>
      </c>
      <c r="G77" s="1591" t="e">
        <f t="shared" si="55"/>
        <v>#N/A</v>
      </c>
      <c r="H77" s="1592" t="e">
        <f t="shared" si="56"/>
        <v>#N/A</v>
      </c>
      <c r="I77" s="1593"/>
      <c r="J77" s="1546">
        <f t="shared" si="57"/>
        <v>2020</v>
      </c>
      <c r="K77" s="1696" t="e">
        <f t="shared" ref="K77:M77" si="89">K110+K143</f>
        <v>#N/A</v>
      </c>
      <c r="L77" s="1696" t="e">
        <f t="shared" si="89"/>
        <v>#N/A</v>
      </c>
      <c r="M77" s="1696" t="e">
        <f t="shared" si="89"/>
        <v>#N/A</v>
      </c>
      <c r="N77" s="1697" t="e">
        <f t="shared" si="59"/>
        <v>#N/A</v>
      </c>
      <c r="O77" s="1698" t="e">
        <f t="shared" si="60"/>
        <v>#N/A</v>
      </c>
      <c r="P77" s="1596"/>
      <c r="Q77" s="1546">
        <f t="shared" si="61"/>
        <v>2020</v>
      </c>
      <c r="R77" s="1597" t="e">
        <f t="shared" ref="R77:T77" si="90">R110+R143</f>
        <v>#N/A</v>
      </c>
      <c r="S77" s="1597" t="e">
        <f t="shared" si="90"/>
        <v>#N/A</v>
      </c>
      <c r="T77" s="1597" t="e">
        <f t="shared" si="90"/>
        <v>#N/A</v>
      </c>
      <c r="U77" s="1597" t="e">
        <f t="shared" si="63"/>
        <v>#N/A</v>
      </c>
      <c r="V77" s="1598" t="e">
        <f t="shared" si="64"/>
        <v>#N/A</v>
      </c>
      <c r="W77" s="1596"/>
      <c r="X77" s="1546">
        <f t="shared" si="65"/>
        <v>2020</v>
      </c>
      <c r="Y77" s="1599" t="e">
        <f t="shared" ref="Y77:AA77" si="91">Y110+Y143</f>
        <v>#N/A</v>
      </c>
      <c r="Z77" s="1599" t="e">
        <f t="shared" si="91"/>
        <v>#N/A</v>
      </c>
      <c r="AA77" s="1599" t="e">
        <f t="shared" si="91"/>
        <v>#N/A</v>
      </c>
      <c r="AB77" s="1599" t="e">
        <f t="shared" si="67"/>
        <v>#N/A</v>
      </c>
      <c r="AC77" s="1600" t="e">
        <f t="shared" si="68"/>
        <v>#N/A</v>
      </c>
      <c r="AD77" s="1596"/>
      <c r="AE77" s="1546">
        <f t="shared" si="69"/>
        <v>2020</v>
      </c>
      <c r="AF77" s="1601" t="e">
        <f t="shared" ref="AF77:AH77" si="92">AF110+AF143</f>
        <v>#N/A</v>
      </c>
      <c r="AG77" s="1601" t="e">
        <f t="shared" si="92"/>
        <v>#N/A</v>
      </c>
      <c r="AH77" s="1601" t="e">
        <f t="shared" si="92"/>
        <v>#N/A</v>
      </c>
      <c r="AI77" s="1601" t="e">
        <f t="shared" si="71"/>
        <v>#N/A</v>
      </c>
      <c r="AJ77" s="1602" t="e">
        <f t="shared" si="72"/>
        <v>#N/A</v>
      </c>
      <c r="AL77" s="1681"/>
      <c r="AM77" s="1681"/>
      <c r="AN77" s="1681"/>
      <c r="AO77" s="1681"/>
      <c r="AP77" s="1681"/>
      <c r="AQ77" s="1681"/>
      <c r="AR77" s="1681"/>
      <c r="AS77" s="1681"/>
      <c r="AT77" s="1681"/>
      <c r="AU77" s="1681"/>
      <c r="AV77" s="1681"/>
      <c r="AW77" s="1681"/>
      <c r="AX77" s="1683"/>
      <c r="AY77" s="1683"/>
      <c r="AZ77" s="1683"/>
      <c r="BA77" s="1681"/>
    </row>
    <row r="78" spans="1:53" s="1545" customFormat="1" ht="16.5" x14ac:dyDescent="0.25">
      <c r="B78" s="1564"/>
      <c r="C78" s="1565"/>
      <c r="D78" s="1565"/>
      <c r="E78" s="1566"/>
      <c r="F78" s="1566"/>
      <c r="G78" s="1566"/>
      <c r="H78" s="1566"/>
      <c r="I78" s="1566"/>
      <c r="J78" s="1565"/>
      <c r="K78" s="1565"/>
      <c r="L78" s="1567"/>
      <c r="M78" s="1567"/>
      <c r="N78" s="1567"/>
      <c r="O78" s="1567"/>
      <c r="P78" s="1567"/>
      <c r="Q78" s="1565"/>
      <c r="R78" s="1567"/>
      <c r="S78" s="1567"/>
      <c r="T78" s="1567"/>
      <c r="U78" s="1567"/>
      <c r="V78" s="1565"/>
      <c r="W78" s="1565"/>
      <c r="X78" s="1565"/>
      <c r="Y78" s="1565"/>
      <c r="Z78" s="1565"/>
      <c r="AA78" s="1565"/>
      <c r="AB78" s="1565"/>
      <c r="AC78" s="1565"/>
      <c r="AD78" s="1565"/>
      <c r="AE78" s="1565"/>
      <c r="AF78" s="1565"/>
      <c r="AG78" s="1565"/>
      <c r="AH78" s="1565"/>
      <c r="AI78" s="1565"/>
      <c r="AJ78" s="1565"/>
      <c r="AL78" s="1684"/>
      <c r="AM78" s="1684"/>
      <c r="AN78" s="1684"/>
      <c r="AO78" s="1684"/>
      <c r="AP78" s="1684"/>
      <c r="AQ78" s="1684"/>
      <c r="AR78" s="1684"/>
      <c r="AS78" s="1684"/>
      <c r="AT78" s="1684"/>
      <c r="AU78" s="1684"/>
      <c r="AV78" s="1684"/>
      <c r="AW78" s="1684"/>
      <c r="AX78" s="1685"/>
      <c r="AY78" s="1685"/>
      <c r="AZ78" s="1685"/>
      <c r="BA78" s="1684"/>
    </row>
    <row r="79" spans="1:53" s="1590" customFormat="1" ht="16.5" customHeight="1" x14ac:dyDescent="0.25">
      <c r="A79" s="1589"/>
      <c r="B79" s="2569" t="str">
        <f>IF($F$6=Lists!$C$4, "Net Backup Fuel Cell vs. Alternative Technology Output (Thousands of 2010$)", B112)</f>
        <v>Gross Backup Power Fuel Cell Output (Thousands of 2010$)</v>
      </c>
      <c r="C79" s="1699"/>
      <c r="D79" s="1571" t="str">
        <f>D$59</f>
        <v>Total (Manufacturing, Installation, Fuel, and Maintenance)</v>
      </c>
      <c r="E79" s="1700"/>
      <c r="F79" s="1700"/>
      <c r="G79" s="1700"/>
      <c r="H79" s="1701"/>
      <c r="I79" s="1573"/>
      <c r="J79" s="1570"/>
      <c r="K79" s="1662" t="str">
        <f>K69</f>
        <v>Backup Power Fuel Cell Manufacturing, Development, Sales, and Shipping</v>
      </c>
      <c r="L79" s="1687"/>
      <c r="M79" s="1687"/>
      <c r="N79" s="1687"/>
      <c r="O79" s="1687"/>
      <c r="P79" s="1576"/>
      <c r="Q79" s="1570"/>
      <c r="R79" s="1577" t="str">
        <f>R69</f>
        <v>Backup Power Fuel Cell Installation and Fuel Storage</v>
      </c>
      <c r="S79" s="1578"/>
      <c r="T79" s="1578"/>
      <c r="U79" s="1578"/>
      <c r="V79" s="1578"/>
      <c r="W79" s="1576"/>
      <c r="X79" s="1570"/>
      <c r="Y79" s="1579" t="str">
        <f>Y69</f>
        <v>Hydrogen Fuel Production and Delivery</v>
      </c>
      <c r="Z79" s="1580"/>
      <c r="AA79" s="1580"/>
      <c r="AB79" s="1580"/>
      <c r="AC79" s="1580"/>
      <c r="AD79" s="1576"/>
      <c r="AE79" s="1570"/>
      <c r="AF79" s="1581" t="str">
        <f>AF69</f>
        <v>Backup Power Fuel Cell and Site Maintenance</v>
      </c>
      <c r="AG79" s="1582"/>
      <c r="AH79" s="1582"/>
      <c r="AI79" s="1582"/>
      <c r="AJ79" s="1582"/>
    </row>
    <row r="80" spans="1:53" s="1695" customFormat="1" ht="16.5" x14ac:dyDescent="0.25">
      <c r="A80" s="1688"/>
      <c r="B80" s="2313"/>
      <c r="C80" s="1689"/>
      <c r="D80" s="1571" t="str">
        <f>B79</f>
        <v>Gross Backup Power Fuel Cell Output (Thousands of 2010$)</v>
      </c>
      <c r="E80" s="1586"/>
      <c r="F80" s="1586"/>
      <c r="G80" s="1586"/>
      <c r="H80" s="1586"/>
      <c r="I80" s="1690"/>
      <c r="J80" s="1689"/>
      <c r="K80" s="1668" t="str">
        <f>D80</f>
        <v>Gross Backup Power Fuel Cell Output (Thousands of 2010$)</v>
      </c>
      <c r="L80" s="1669"/>
      <c r="M80" s="1691"/>
      <c r="N80" s="1691"/>
      <c r="O80" s="1691"/>
      <c r="P80" s="1692"/>
      <c r="Q80" s="1689"/>
      <c r="R80" s="1671" t="str">
        <f>K80</f>
        <v>Gross Backup Power Fuel Cell Output (Thousands of 2010$)</v>
      </c>
      <c r="S80" s="1523"/>
      <c r="T80" s="1588"/>
      <c r="U80" s="1588"/>
      <c r="V80" s="1588"/>
      <c r="W80" s="1692"/>
      <c r="X80" s="1689"/>
      <c r="Y80" s="1672" t="str">
        <f>R80</f>
        <v>Gross Backup Power Fuel Cell Output (Thousands of 2010$)</v>
      </c>
      <c r="Z80" s="1524"/>
      <c r="AA80" s="1693"/>
      <c r="AB80" s="1693"/>
      <c r="AC80" s="1693"/>
      <c r="AD80" s="1692"/>
      <c r="AE80" s="1689"/>
      <c r="AF80" s="1673" t="str">
        <f>Y80</f>
        <v>Gross Backup Power Fuel Cell Output (Thousands of 2010$)</v>
      </c>
      <c r="AG80" s="1525"/>
      <c r="AH80" s="1694"/>
      <c r="AI80" s="1694"/>
      <c r="AJ80" s="1694"/>
    </row>
    <row r="81" spans="1:53" s="1590" customFormat="1" ht="47.25" x14ac:dyDescent="0.25">
      <c r="A81" s="1589"/>
      <c r="B81" s="2313"/>
      <c r="C81" s="1585" t="str">
        <f t="shared" ref="C81:C87" si="93">C71</f>
        <v>Year</v>
      </c>
      <c r="D81" s="1528" t="str">
        <f>D$156&amp;" "&amp;D$157</f>
        <v>Gross BuP FC-related Direct</v>
      </c>
      <c r="E81" s="1528" t="str">
        <f>E$156&amp;" "&amp;E$157</f>
        <v>Gross BuP FC-related Indirect</v>
      </c>
      <c r="F81" s="1528" t="str">
        <f>F$156&amp;" "&amp;F$157</f>
        <v>Gross BuP FC-related Induced</v>
      </c>
      <c r="G81" s="1529" t="str">
        <f>G$156&amp;" "&amp;G$157</f>
        <v>Gross BuP FC-related Supply Chain</v>
      </c>
      <c r="H81" s="1529" t="str">
        <f>H$156&amp;" "&amp;H$157</f>
        <v>Gross BuP FC-related Total</v>
      </c>
      <c r="I81" s="1530"/>
      <c r="J81" s="1527" t="str">
        <f>C81</f>
        <v>Year</v>
      </c>
      <c r="K81" s="1676" t="str">
        <f>K$156&amp;" "&amp;K$157</f>
        <v>Gross BuP Fuel Cell Direct</v>
      </c>
      <c r="L81" s="1676" t="str">
        <f>L$156&amp;" "&amp;L$157</f>
        <v>Gross BuP Fuel Cell Indirect</v>
      </c>
      <c r="M81" s="1676" t="str">
        <f>M$156&amp;" "&amp;M$157</f>
        <v>Gross BuP Fuel Cell Induced</v>
      </c>
      <c r="N81" s="1677" t="str">
        <f>N$156&amp;" "&amp;N$157</f>
        <v>Gross BuP Fuel Cell Supply Chain</v>
      </c>
      <c r="O81" s="1677" t="str">
        <f>O$156&amp;" "&amp;O$157</f>
        <v>Gross BuP Fuel Cell Total</v>
      </c>
      <c r="P81" s="1533"/>
      <c r="Q81" s="1527" t="str">
        <f>J81</f>
        <v>Year</v>
      </c>
      <c r="R81" s="1534" t="str">
        <f>R$156&amp;" "&amp;R$157</f>
        <v>Gross BuP FC Installation Direct</v>
      </c>
      <c r="S81" s="1534" t="str">
        <f>S$156&amp;" "&amp;S$157</f>
        <v>Gross BuP FC Installation Indirect</v>
      </c>
      <c r="T81" s="1534" t="str">
        <f>T$156&amp;" "&amp;T$157</f>
        <v>Gross BuP FC Installation Induced</v>
      </c>
      <c r="U81" s="1535" t="str">
        <f>U$156&amp;" "&amp;U$157</f>
        <v>Gross BuP FC Installation Supply Chain</v>
      </c>
      <c r="V81" s="1535" t="str">
        <f>V$156&amp;" "&amp;V$157</f>
        <v>Gross BuP FC Installation Total</v>
      </c>
      <c r="W81" s="1533"/>
      <c r="X81" s="1527" t="str">
        <f>Q81</f>
        <v>Year</v>
      </c>
      <c r="Y81" s="1536" t="str">
        <f>Y$156&amp;" "&amp;Y$157</f>
        <v>Gross BuP FC Fuel Direct</v>
      </c>
      <c r="Z81" s="1536" t="str">
        <f>Z$156&amp;" "&amp;Z$157</f>
        <v>Gross BuP FC Fuel Indirect</v>
      </c>
      <c r="AA81" s="1536" t="str">
        <f>AA$156&amp;" "&amp;AA$157</f>
        <v>Gross BuP FC Fuel Induced</v>
      </c>
      <c r="AB81" s="1537" t="str">
        <f>AB$156&amp;" "&amp;AB$157</f>
        <v>Gross BuP FC Fuel Supply Chain</v>
      </c>
      <c r="AC81" s="1537" t="str">
        <f>AC$156&amp;" "&amp;AC$157</f>
        <v>Gross BuP FC Fuel Total</v>
      </c>
      <c r="AD81" s="1533"/>
      <c r="AE81" s="1527" t="str">
        <f>X81</f>
        <v>Year</v>
      </c>
      <c r="AF81" s="1538" t="str">
        <f>AF$156&amp;" "&amp;AF$157</f>
        <v>Gross BuP FC Maintenance Direct</v>
      </c>
      <c r="AG81" s="1538" t="str">
        <f>AG$156&amp;" "&amp;AG$157</f>
        <v>Gross BuP FC Maintenance Indirect</v>
      </c>
      <c r="AH81" s="1538" t="str">
        <f>AH$156&amp;" "&amp;AH$157</f>
        <v>Gross BuP FC Maintenance Induced</v>
      </c>
      <c r="AI81" s="1539" t="str">
        <f>AI$156&amp;" "&amp;AI$157</f>
        <v>Gross BuP FC Maintenance Supply Chain</v>
      </c>
      <c r="AJ81" s="1539" t="str">
        <f>AJ$156&amp;" "&amp;AJ$157</f>
        <v>Gross BuP FC Maintenance Total</v>
      </c>
    </row>
    <row r="82" spans="1:53" s="1562" customFormat="1" ht="15.75" x14ac:dyDescent="0.25">
      <c r="A82" s="1545"/>
      <c r="B82" s="2313"/>
      <c r="C82" s="1546">
        <f t="shared" si="93"/>
        <v>2015</v>
      </c>
      <c r="D82" s="1591" t="e">
        <f>D115+D148</f>
        <v>#N/A</v>
      </c>
      <c r="E82" s="1591" t="e">
        <f t="shared" ref="E82:F82" si="94">E115+E148</f>
        <v>#N/A</v>
      </c>
      <c r="F82" s="1591" t="e">
        <f t="shared" si="94"/>
        <v>#N/A</v>
      </c>
      <c r="G82" s="1591" t="e">
        <f>D82+E82</f>
        <v>#N/A</v>
      </c>
      <c r="H82" s="1592" t="e">
        <f>D82+E82+F82</f>
        <v>#N/A</v>
      </c>
      <c r="I82" s="1593"/>
      <c r="J82" s="1546">
        <f>C82</f>
        <v>2015</v>
      </c>
      <c r="K82" s="1696" t="e">
        <f>K115+K148</f>
        <v>#N/A</v>
      </c>
      <c r="L82" s="1696" t="e">
        <f t="shared" ref="L82:M82" si="95">L115+L148</f>
        <v>#N/A</v>
      </c>
      <c r="M82" s="1696" t="e">
        <f t="shared" si="95"/>
        <v>#N/A</v>
      </c>
      <c r="N82" s="1697" t="e">
        <f>K82+L82</f>
        <v>#N/A</v>
      </c>
      <c r="O82" s="1698" t="e">
        <f>K82+L82+M82</f>
        <v>#N/A</v>
      </c>
      <c r="P82" s="1596"/>
      <c r="Q82" s="1546">
        <f>J82</f>
        <v>2015</v>
      </c>
      <c r="R82" s="1597" t="e">
        <f>R115+R148</f>
        <v>#N/A</v>
      </c>
      <c r="S82" s="1597" t="e">
        <f t="shared" ref="S82:T82" si="96">S115+S148</f>
        <v>#N/A</v>
      </c>
      <c r="T82" s="1597" t="e">
        <f t="shared" si="96"/>
        <v>#N/A</v>
      </c>
      <c r="U82" s="1597" t="e">
        <f>R82+S82</f>
        <v>#N/A</v>
      </c>
      <c r="V82" s="1598" t="e">
        <f>R82+S82+T82</f>
        <v>#N/A</v>
      </c>
      <c r="W82" s="1596"/>
      <c r="X82" s="1546">
        <f>Q82</f>
        <v>2015</v>
      </c>
      <c r="Y82" s="1599" t="e">
        <f>Y115+Y148</f>
        <v>#N/A</v>
      </c>
      <c r="Z82" s="1599" t="e">
        <f t="shared" ref="Z82:AA82" si="97">Z115+Z148</f>
        <v>#N/A</v>
      </c>
      <c r="AA82" s="1599" t="e">
        <f t="shared" si="97"/>
        <v>#N/A</v>
      </c>
      <c r="AB82" s="1599" t="e">
        <f>Y82+Z82</f>
        <v>#N/A</v>
      </c>
      <c r="AC82" s="1600" t="e">
        <f>Y82+Z82+AA82</f>
        <v>#N/A</v>
      </c>
      <c r="AD82" s="1596"/>
      <c r="AE82" s="1546">
        <f>X82</f>
        <v>2015</v>
      </c>
      <c r="AF82" s="1601" t="e">
        <f>AF115+AF148</f>
        <v>#N/A</v>
      </c>
      <c r="AG82" s="1601" t="e">
        <f t="shared" ref="AG82:AH82" si="98">AG115+AG148</f>
        <v>#N/A</v>
      </c>
      <c r="AH82" s="1601" t="e">
        <f t="shared" si="98"/>
        <v>#N/A</v>
      </c>
      <c r="AI82" s="1601" t="e">
        <f>AF82+AG82</f>
        <v>#N/A</v>
      </c>
      <c r="AJ82" s="1602" t="e">
        <f>AF82+AG82+AH82</f>
        <v>#N/A</v>
      </c>
    </row>
    <row r="83" spans="1:53" s="1562" customFormat="1" ht="15.75" x14ac:dyDescent="0.25">
      <c r="A83" s="1545"/>
      <c r="B83" s="2313"/>
      <c r="C83" s="1546">
        <f t="shared" si="93"/>
        <v>2016</v>
      </c>
      <c r="D83" s="1591" t="e">
        <f t="shared" ref="D83:F83" si="99">D116+D149</f>
        <v>#N/A</v>
      </c>
      <c r="E83" s="1591" t="e">
        <f t="shared" si="99"/>
        <v>#N/A</v>
      </c>
      <c r="F83" s="1591" t="e">
        <f t="shared" si="99"/>
        <v>#N/A</v>
      </c>
      <c r="G83" s="1591" t="e">
        <f t="shared" ref="G83:G87" si="100">D83+E83</f>
        <v>#N/A</v>
      </c>
      <c r="H83" s="1592" t="e">
        <f t="shared" ref="H83:H87" si="101">D83+E83+F83</f>
        <v>#N/A</v>
      </c>
      <c r="I83" s="1593"/>
      <c r="J83" s="1546">
        <f t="shared" ref="J83:J87" si="102">C83</f>
        <v>2016</v>
      </c>
      <c r="K83" s="1696" t="e">
        <f t="shared" ref="K83:M83" si="103">K116+K149</f>
        <v>#N/A</v>
      </c>
      <c r="L83" s="1696" t="e">
        <f t="shared" si="103"/>
        <v>#N/A</v>
      </c>
      <c r="M83" s="1696" t="e">
        <f t="shared" si="103"/>
        <v>#N/A</v>
      </c>
      <c r="N83" s="1697" t="e">
        <f t="shared" ref="N83:N87" si="104">K83+L83</f>
        <v>#N/A</v>
      </c>
      <c r="O83" s="1698" t="e">
        <f t="shared" ref="O83:O87" si="105">K83+L83+M83</f>
        <v>#N/A</v>
      </c>
      <c r="P83" s="1596"/>
      <c r="Q83" s="1546">
        <f t="shared" ref="Q83:Q87" si="106">J83</f>
        <v>2016</v>
      </c>
      <c r="R83" s="1597" t="e">
        <f t="shared" ref="R83:T83" si="107">R116+R149</f>
        <v>#N/A</v>
      </c>
      <c r="S83" s="1597" t="e">
        <f t="shared" si="107"/>
        <v>#N/A</v>
      </c>
      <c r="T83" s="1597" t="e">
        <f t="shared" si="107"/>
        <v>#N/A</v>
      </c>
      <c r="U83" s="1597" t="e">
        <f t="shared" ref="U83:U87" si="108">R83+S83</f>
        <v>#N/A</v>
      </c>
      <c r="V83" s="1598" t="e">
        <f t="shared" ref="V83:V87" si="109">R83+S83+T83</f>
        <v>#N/A</v>
      </c>
      <c r="W83" s="1596"/>
      <c r="X83" s="1546">
        <f t="shared" ref="X83:X87" si="110">Q83</f>
        <v>2016</v>
      </c>
      <c r="Y83" s="1599" t="e">
        <f t="shared" ref="Y83:AA83" si="111">Y116+Y149</f>
        <v>#N/A</v>
      </c>
      <c r="Z83" s="1599" t="e">
        <f t="shared" si="111"/>
        <v>#N/A</v>
      </c>
      <c r="AA83" s="1599" t="e">
        <f t="shared" si="111"/>
        <v>#N/A</v>
      </c>
      <c r="AB83" s="1599" t="e">
        <f t="shared" ref="AB83:AB87" si="112">Y83+Z83</f>
        <v>#N/A</v>
      </c>
      <c r="AC83" s="1600" t="e">
        <f t="shared" ref="AC83:AC87" si="113">Y83+Z83+AA83</f>
        <v>#N/A</v>
      </c>
      <c r="AD83" s="1596"/>
      <c r="AE83" s="1546">
        <f t="shared" ref="AE83:AE87" si="114">X83</f>
        <v>2016</v>
      </c>
      <c r="AF83" s="1601" t="e">
        <f t="shared" ref="AF83:AH83" si="115">AF116+AF149</f>
        <v>#N/A</v>
      </c>
      <c r="AG83" s="1601" t="e">
        <f t="shared" si="115"/>
        <v>#N/A</v>
      </c>
      <c r="AH83" s="1601" t="e">
        <f t="shared" si="115"/>
        <v>#N/A</v>
      </c>
      <c r="AI83" s="1601" t="e">
        <f t="shared" ref="AI83:AI87" si="116">AF83+AG83</f>
        <v>#N/A</v>
      </c>
      <c r="AJ83" s="1602" t="e">
        <f t="shared" ref="AJ83:AJ87" si="117">AF83+AG83+AH83</f>
        <v>#N/A</v>
      </c>
    </row>
    <row r="84" spans="1:53" s="1562" customFormat="1" ht="15.75" x14ac:dyDescent="0.25">
      <c r="A84" s="1545"/>
      <c r="B84" s="2313"/>
      <c r="C84" s="1546">
        <f t="shared" si="93"/>
        <v>2017</v>
      </c>
      <c r="D84" s="1591" t="e">
        <f t="shared" ref="D84:F84" si="118">D117+D150</f>
        <v>#N/A</v>
      </c>
      <c r="E84" s="1591" t="e">
        <f t="shared" si="118"/>
        <v>#N/A</v>
      </c>
      <c r="F84" s="1591" t="e">
        <f t="shared" si="118"/>
        <v>#N/A</v>
      </c>
      <c r="G84" s="1591" t="e">
        <f t="shared" si="100"/>
        <v>#N/A</v>
      </c>
      <c r="H84" s="1592" t="e">
        <f t="shared" si="101"/>
        <v>#N/A</v>
      </c>
      <c r="I84" s="1593"/>
      <c r="J84" s="1546">
        <f t="shared" si="102"/>
        <v>2017</v>
      </c>
      <c r="K84" s="1696" t="e">
        <f t="shared" ref="K84:M84" si="119">K117+K150</f>
        <v>#N/A</v>
      </c>
      <c r="L84" s="1696" t="e">
        <f t="shared" si="119"/>
        <v>#N/A</v>
      </c>
      <c r="M84" s="1696" t="e">
        <f t="shared" si="119"/>
        <v>#N/A</v>
      </c>
      <c r="N84" s="1697" t="e">
        <f t="shared" si="104"/>
        <v>#N/A</v>
      </c>
      <c r="O84" s="1698" t="e">
        <f t="shared" si="105"/>
        <v>#N/A</v>
      </c>
      <c r="P84" s="1596"/>
      <c r="Q84" s="1546">
        <f t="shared" si="106"/>
        <v>2017</v>
      </c>
      <c r="R84" s="1597" t="e">
        <f t="shared" ref="R84:T84" si="120">R117+R150</f>
        <v>#N/A</v>
      </c>
      <c r="S84" s="1597" t="e">
        <f t="shared" si="120"/>
        <v>#N/A</v>
      </c>
      <c r="T84" s="1597" t="e">
        <f t="shared" si="120"/>
        <v>#N/A</v>
      </c>
      <c r="U84" s="1597" t="e">
        <f t="shared" si="108"/>
        <v>#N/A</v>
      </c>
      <c r="V84" s="1598" t="e">
        <f t="shared" si="109"/>
        <v>#N/A</v>
      </c>
      <c r="W84" s="1596"/>
      <c r="X84" s="1546">
        <f t="shared" si="110"/>
        <v>2017</v>
      </c>
      <c r="Y84" s="1599" t="e">
        <f t="shared" ref="Y84:AA84" si="121">Y117+Y150</f>
        <v>#N/A</v>
      </c>
      <c r="Z84" s="1599" t="e">
        <f t="shared" si="121"/>
        <v>#N/A</v>
      </c>
      <c r="AA84" s="1599" t="e">
        <f t="shared" si="121"/>
        <v>#N/A</v>
      </c>
      <c r="AB84" s="1599" t="e">
        <f t="shared" si="112"/>
        <v>#N/A</v>
      </c>
      <c r="AC84" s="1600" t="e">
        <f t="shared" si="113"/>
        <v>#N/A</v>
      </c>
      <c r="AD84" s="1596"/>
      <c r="AE84" s="1546">
        <f t="shared" si="114"/>
        <v>2017</v>
      </c>
      <c r="AF84" s="1601" t="e">
        <f t="shared" ref="AF84:AH84" si="122">AF117+AF150</f>
        <v>#N/A</v>
      </c>
      <c r="AG84" s="1601" t="e">
        <f t="shared" si="122"/>
        <v>#N/A</v>
      </c>
      <c r="AH84" s="1601" t="e">
        <f t="shared" si="122"/>
        <v>#N/A</v>
      </c>
      <c r="AI84" s="1601" t="e">
        <f t="shared" si="116"/>
        <v>#N/A</v>
      </c>
      <c r="AJ84" s="1602" t="e">
        <f t="shared" si="117"/>
        <v>#N/A</v>
      </c>
    </row>
    <row r="85" spans="1:53" s="1562" customFormat="1" ht="15.75" x14ac:dyDescent="0.25">
      <c r="A85" s="1545"/>
      <c r="B85" s="2313"/>
      <c r="C85" s="1546">
        <f t="shared" si="93"/>
        <v>2018</v>
      </c>
      <c r="D85" s="1591" t="e">
        <f t="shared" ref="D85:F85" si="123">D118+D151</f>
        <v>#N/A</v>
      </c>
      <c r="E85" s="1591" t="e">
        <f t="shared" si="123"/>
        <v>#N/A</v>
      </c>
      <c r="F85" s="1591" t="e">
        <f t="shared" si="123"/>
        <v>#N/A</v>
      </c>
      <c r="G85" s="1591" t="e">
        <f t="shared" si="100"/>
        <v>#N/A</v>
      </c>
      <c r="H85" s="1592" t="e">
        <f t="shared" si="101"/>
        <v>#N/A</v>
      </c>
      <c r="I85" s="1593"/>
      <c r="J85" s="1546">
        <f t="shared" si="102"/>
        <v>2018</v>
      </c>
      <c r="K85" s="1696" t="e">
        <f t="shared" ref="K85:M85" si="124">K118+K151</f>
        <v>#N/A</v>
      </c>
      <c r="L85" s="1696" t="e">
        <f t="shared" si="124"/>
        <v>#N/A</v>
      </c>
      <c r="M85" s="1696" t="e">
        <f t="shared" si="124"/>
        <v>#N/A</v>
      </c>
      <c r="N85" s="1697" t="e">
        <f t="shared" si="104"/>
        <v>#N/A</v>
      </c>
      <c r="O85" s="1698" t="e">
        <f t="shared" si="105"/>
        <v>#N/A</v>
      </c>
      <c r="P85" s="1596"/>
      <c r="Q85" s="1546">
        <f t="shared" si="106"/>
        <v>2018</v>
      </c>
      <c r="R85" s="1597" t="e">
        <f t="shared" ref="R85:T85" si="125">R118+R151</f>
        <v>#N/A</v>
      </c>
      <c r="S85" s="1597" t="e">
        <f t="shared" si="125"/>
        <v>#N/A</v>
      </c>
      <c r="T85" s="1597" t="e">
        <f t="shared" si="125"/>
        <v>#N/A</v>
      </c>
      <c r="U85" s="1597" t="e">
        <f t="shared" si="108"/>
        <v>#N/A</v>
      </c>
      <c r="V85" s="1598" t="e">
        <f t="shared" si="109"/>
        <v>#N/A</v>
      </c>
      <c r="W85" s="1596"/>
      <c r="X85" s="1546">
        <f t="shared" si="110"/>
        <v>2018</v>
      </c>
      <c r="Y85" s="1599" t="e">
        <f t="shared" ref="Y85:AA85" si="126">Y118+Y151</f>
        <v>#N/A</v>
      </c>
      <c r="Z85" s="1599" t="e">
        <f t="shared" si="126"/>
        <v>#N/A</v>
      </c>
      <c r="AA85" s="1599" t="e">
        <f t="shared" si="126"/>
        <v>#N/A</v>
      </c>
      <c r="AB85" s="1599" t="e">
        <f t="shared" si="112"/>
        <v>#N/A</v>
      </c>
      <c r="AC85" s="1600" t="e">
        <f t="shared" si="113"/>
        <v>#N/A</v>
      </c>
      <c r="AD85" s="1596"/>
      <c r="AE85" s="1546">
        <f t="shared" si="114"/>
        <v>2018</v>
      </c>
      <c r="AF85" s="1601" t="e">
        <f t="shared" ref="AF85:AH85" si="127">AF118+AF151</f>
        <v>#N/A</v>
      </c>
      <c r="AG85" s="1601" t="e">
        <f t="shared" si="127"/>
        <v>#N/A</v>
      </c>
      <c r="AH85" s="1601" t="e">
        <f t="shared" si="127"/>
        <v>#N/A</v>
      </c>
      <c r="AI85" s="1601" t="e">
        <f t="shared" si="116"/>
        <v>#N/A</v>
      </c>
      <c r="AJ85" s="1602" t="e">
        <f t="shared" si="117"/>
        <v>#N/A</v>
      </c>
    </row>
    <row r="86" spans="1:53" s="1562" customFormat="1" ht="15.75" x14ac:dyDescent="0.25">
      <c r="A86" s="1545"/>
      <c r="B86" s="2313"/>
      <c r="C86" s="1546">
        <f t="shared" si="93"/>
        <v>2019</v>
      </c>
      <c r="D86" s="1591" t="e">
        <f t="shared" ref="D86:F86" si="128">D119+D152</f>
        <v>#N/A</v>
      </c>
      <c r="E86" s="1591" t="e">
        <f t="shared" si="128"/>
        <v>#N/A</v>
      </c>
      <c r="F86" s="1591" t="e">
        <f t="shared" si="128"/>
        <v>#N/A</v>
      </c>
      <c r="G86" s="1591" t="e">
        <f t="shared" si="100"/>
        <v>#N/A</v>
      </c>
      <c r="H86" s="1592" t="e">
        <f t="shared" si="101"/>
        <v>#N/A</v>
      </c>
      <c r="I86" s="1593"/>
      <c r="J86" s="1546">
        <f t="shared" si="102"/>
        <v>2019</v>
      </c>
      <c r="K86" s="1696" t="e">
        <f t="shared" ref="K86:M86" si="129">K119+K152</f>
        <v>#N/A</v>
      </c>
      <c r="L86" s="1696" t="e">
        <f t="shared" si="129"/>
        <v>#N/A</v>
      </c>
      <c r="M86" s="1696" t="e">
        <f t="shared" si="129"/>
        <v>#N/A</v>
      </c>
      <c r="N86" s="1697" t="e">
        <f t="shared" si="104"/>
        <v>#N/A</v>
      </c>
      <c r="O86" s="1698" t="e">
        <f t="shared" si="105"/>
        <v>#N/A</v>
      </c>
      <c r="P86" s="1596"/>
      <c r="Q86" s="1546">
        <f t="shared" si="106"/>
        <v>2019</v>
      </c>
      <c r="R86" s="1597" t="e">
        <f t="shared" ref="R86:T86" si="130">R119+R152</f>
        <v>#N/A</v>
      </c>
      <c r="S86" s="1597" t="e">
        <f t="shared" si="130"/>
        <v>#N/A</v>
      </c>
      <c r="T86" s="1597" t="e">
        <f t="shared" si="130"/>
        <v>#N/A</v>
      </c>
      <c r="U86" s="1597" t="e">
        <f t="shared" si="108"/>
        <v>#N/A</v>
      </c>
      <c r="V86" s="1598" t="e">
        <f t="shared" si="109"/>
        <v>#N/A</v>
      </c>
      <c r="W86" s="1596"/>
      <c r="X86" s="1546">
        <f t="shared" si="110"/>
        <v>2019</v>
      </c>
      <c r="Y86" s="1599" t="e">
        <f t="shared" ref="Y86:AA86" si="131">Y119+Y152</f>
        <v>#N/A</v>
      </c>
      <c r="Z86" s="1599" t="e">
        <f t="shared" si="131"/>
        <v>#N/A</v>
      </c>
      <c r="AA86" s="1599" t="e">
        <f t="shared" si="131"/>
        <v>#N/A</v>
      </c>
      <c r="AB86" s="1599" t="e">
        <f t="shared" si="112"/>
        <v>#N/A</v>
      </c>
      <c r="AC86" s="1600" t="e">
        <f t="shared" si="113"/>
        <v>#N/A</v>
      </c>
      <c r="AD86" s="1596"/>
      <c r="AE86" s="1546">
        <f t="shared" si="114"/>
        <v>2019</v>
      </c>
      <c r="AF86" s="1601" t="e">
        <f t="shared" ref="AF86:AH86" si="132">AF119+AF152</f>
        <v>#N/A</v>
      </c>
      <c r="AG86" s="1601" t="e">
        <f t="shared" si="132"/>
        <v>#N/A</v>
      </c>
      <c r="AH86" s="1601" t="e">
        <f t="shared" si="132"/>
        <v>#N/A</v>
      </c>
      <c r="AI86" s="1601" t="e">
        <f t="shared" si="116"/>
        <v>#N/A</v>
      </c>
      <c r="AJ86" s="1602" t="e">
        <f t="shared" si="117"/>
        <v>#N/A</v>
      </c>
    </row>
    <row r="87" spans="1:53" s="1562" customFormat="1" ht="15.75" x14ac:dyDescent="0.25">
      <c r="A87" s="1545"/>
      <c r="B87" s="2322"/>
      <c r="C87" s="1546">
        <f t="shared" si="93"/>
        <v>2020</v>
      </c>
      <c r="D87" s="1591" t="e">
        <f t="shared" ref="D87:F87" si="133">D120+D153</f>
        <v>#N/A</v>
      </c>
      <c r="E87" s="1591" t="e">
        <f t="shared" si="133"/>
        <v>#N/A</v>
      </c>
      <c r="F87" s="1591" t="e">
        <f t="shared" si="133"/>
        <v>#N/A</v>
      </c>
      <c r="G87" s="1591" t="e">
        <f t="shared" si="100"/>
        <v>#N/A</v>
      </c>
      <c r="H87" s="1592" t="e">
        <f t="shared" si="101"/>
        <v>#N/A</v>
      </c>
      <c r="I87" s="1593"/>
      <c r="J87" s="1546">
        <f t="shared" si="102"/>
        <v>2020</v>
      </c>
      <c r="K87" s="1696" t="e">
        <f t="shared" ref="K87:M87" si="134">K120+K153</f>
        <v>#N/A</v>
      </c>
      <c r="L87" s="1696" t="e">
        <f t="shared" si="134"/>
        <v>#N/A</v>
      </c>
      <c r="M87" s="1696" t="e">
        <f t="shared" si="134"/>
        <v>#N/A</v>
      </c>
      <c r="N87" s="1697" t="e">
        <f t="shared" si="104"/>
        <v>#N/A</v>
      </c>
      <c r="O87" s="1698" t="e">
        <f t="shared" si="105"/>
        <v>#N/A</v>
      </c>
      <c r="P87" s="1596"/>
      <c r="Q87" s="1546">
        <f t="shared" si="106"/>
        <v>2020</v>
      </c>
      <c r="R87" s="1597" t="e">
        <f t="shared" ref="R87:T87" si="135">R120+R153</f>
        <v>#N/A</v>
      </c>
      <c r="S87" s="1597" t="e">
        <f t="shared" si="135"/>
        <v>#N/A</v>
      </c>
      <c r="T87" s="1597" t="e">
        <f t="shared" si="135"/>
        <v>#N/A</v>
      </c>
      <c r="U87" s="1597" t="e">
        <f t="shared" si="108"/>
        <v>#N/A</v>
      </c>
      <c r="V87" s="1598" t="e">
        <f t="shared" si="109"/>
        <v>#N/A</v>
      </c>
      <c r="W87" s="1596"/>
      <c r="X87" s="1546">
        <f t="shared" si="110"/>
        <v>2020</v>
      </c>
      <c r="Y87" s="1599" t="e">
        <f t="shared" ref="Y87:AA87" si="136">Y120+Y153</f>
        <v>#N/A</v>
      </c>
      <c r="Z87" s="1599" t="e">
        <f t="shared" si="136"/>
        <v>#N/A</v>
      </c>
      <c r="AA87" s="1599" t="e">
        <f t="shared" si="136"/>
        <v>#N/A</v>
      </c>
      <c r="AB87" s="1599" t="e">
        <f t="shared" si="112"/>
        <v>#N/A</v>
      </c>
      <c r="AC87" s="1600" t="e">
        <f t="shared" si="113"/>
        <v>#N/A</v>
      </c>
      <c r="AD87" s="1596"/>
      <c r="AE87" s="1546">
        <f t="shared" si="114"/>
        <v>2020</v>
      </c>
      <c r="AF87" s="1601" t="e">
        <f t="shared" ref="AF87:AH87" si="137">AF120+AF153</f>
        <v>#N/A</v>
      </c>
      <c r="AG87" s="1601" t="e">
        <f t="shared" si="137"/>
        <v>#N/A</v>
      </c>
      <c r="AH87" s="1601" t="e">
        <f t="shared" si="137"/>
        <v>#N/A</v>
      </c>
      <c r="AI87" s="1601" t="e">
        <f t="shared" si="116"/>
        <v>#N/A</v>
      </c>
      <c r="AJ87" s="1602" t="e">
        <f t="shared" si="117"/>
        <v>#N/A</v>
      </c>
    </row>
    <row r="88" spans="1:53" s="1407" customFormat="1" ht="15.75" x14ac:dyDescent="0.25">
      <c r="C88" s="1383"/>
      <c r="D88" s="1383"/>
      <c r="E88" s="1420"/>
      <c r="F88" s="1420"/>
      <c r="G88" s="1420"/>
      <c r="H88" s="1420"/>
      <c r="I88" s="1420"/>
      <c r="J88" s="1383"/>
      <c r="K88" s="1493"/>
      <c r="L88" s="1493"/>
      <c r="M88" s="1493"/>
      <c r="N88" s="1493"/>
      <c r="O88" s="1493"/>
      <c r="P88" s="1493"/>
      <c r="Q88" s="1702"/>
      <c r="R88" s="1493"/>
      <c r="S88" s="1493"/>
      <c r="T88" s="1493"/>
      <c r="U88" s="1493"/>
      <c r="V88" s="1383"/>
      <c r="W88" s="1383"/>
      <c r="X88" s="1383"/>
      <c r="Y88" s="1383"/>
      <c r="Z88" s="1383"/>
      <c r="AA88" s="1383"/>
      <c r="AB88" s="1383"/>
      <c r="AC88" s="1383"/>
      <c r="AD88" s="1383"/>
      <c r="AE88" s="1383"/>
      <c r="AF88" s="1383"/>
      <c r="AG88" s="1383"/>
      <c r="AH88" s="1383"/>
      <c r="AI88" s="1383"/>
      <c r="AJ88" s="1383"/>
    </row>
    <row r="89" spans="1:53" s="1407" customFormat="1" ht="15.75" x14ac:dyDescent="0.25">
      <c r="C89" s="1383"/>
      <c r="D89" s="1383"/>
      <c r="E89" s="1420"/>
      <c r="F89" s="1420"/>
      <c r="G89" s="1420"/>
      <c r="H89" s="1420"/>
      <c r="I89" s="1420"/>
      <c r="J89" s="1383"/>
      <c r="K89" s="1493"/>
      <c r="L89" s="1493"/>
      <c r="M89" s="1493"/>
      <c r="N89" s="1493"/>
      <c r="O89" s="1493"/>
      <c r="P89" s="1493"/>
      <c r="Q89" s="1702"/>
      <c r="R89" s="1493"/>
      <c r="S89" s="1493"/>
      <c r="T89" s="1493"/>
      <c r="U89" s="1493"/>
      <c r="V89" s="1383"/>
      <c r="W89" s="1383"/>
      <c r="X89" s="1383"/>
      <c r="Y89" s="1383"/>
      <c r="Z89" s="1383"/>
      <c r="AA89" s="1383"/>
      <c r="AB89" s="1383"/>
      <c r="AC89" s="1383"/>
      <c r="AD89" s="1383"/>
      <c r="AE89" s="1383"/>
      <c r="AF89" s="1383"/>
      <c r="AG89" s="1383"/>
      <c r="AH89" s="1383"/>
      <c r="AI89" s="1383"/>
      <c r="AJ89" s="1383"/>
    </row>
    <row r="90" spans="1:53" s="1500" customFormat="1" ht="21" x14ac:dyDescent="0.35">
      <c r="A90" s="1407"/>
      <c r="B90" s="1499" t="str">
        <f>IF($F$6=Lists!$C$4,"Gross Economic Impacts","For a Gross analysis only, the tables below are equivalent to those in Rows "&amp;ROW(C59)&amp;":"&amp;ROW(C87)&amp;".")</f>
        <v>For a Gross analysis only, the tables below are equivalent to those in Rows 59:87.</v>
      </c>
      <c r="C90" s="1647"/>
      <c r="D90" s="1647"/>
      <c r="E90" s="1660"/>
      <c r="F90" s="1660"/>
      <c r="G90" s="1660"/>
      <c r="H90" s="1660"/>
      <c r="I90" s="1660"/>
      <c r="J90" s="1660"/>
      <c r="K90" s="1661"/>
      <c r="L90" s="1661"/>
      <c r="M90" s="1661"/>
      <c r="N90" s="1661"/>
      <c r="O90" s="1661"/>
      <c r="P90" s="1661"/>
      <c r="Q90" s="1661"/>
      <c r="R90" s="1661"/>
      <c r="S90" s="1661"/>
      <c r="T90" s="1661"/>
      <c r="U90" s="1661"/>
      <c r="V90" s="1647"/>
      <c r="W90" s="1647"/>
      <c r="X90" s="1647"/>
      <c r="Y90" s="1647"/>
      <c r="Z90" s="1647"/>
      <c r="AA90" s="1647"/>
      <c r="AB90" s="1647"/>
      <c r="AC90" s="1647"/>
      <c r="AD90" s="1647"/>
      <c r="AE90" s="1647"/>
      <c r="AF90" s="1647"/>
      <c r="AG90" s="1647"/>
      <c r="AH90" s="1647"/>
      <c r="AI90" s="1647"/>
      <c r="AJ90" s="1647"/>
    </row>
    <row r="91" spans="1:53" s="1407" customFormat="1" ht="15.75" x14ac:dyDescent="0.25">
      <c r="C91" s="1383"/>
      <c r="D91" s="1383"/>
      <c r="E91" s="1420"/>
      <c r="F91" s="1420"/>
      <c r="G91" s="1420"/>
      <c r="H91" s="1420"/>
      <c r="I91" s="1420"/>
      <c r="J91" s="1383"/>
      <c r="K91" s="1493"/>
      <c r="L91" s="1493"/>
      <c r="M91" s="1493"/>
      <c r="N91" s="1493"/>
      <c r="O91" s="1493"/>
      <c r="P91" s="1493"/>
      <c r="Q91" s="1493"/>
      <c r="R91" s="1493"/>
      <c r="S91" s="1493"/>
      <c r="T91" s="1493"/>
      <c r="U91" s="1493"/>
      <c r="V91" s="1383"/>
      <c r="W91" s="1383"/>
      <c r="X91" s="1383"/>
      <c r="Y91" s="1383"/>
      <c r="Z91" s="1383"/>
      <c r="AA91" s="1383"/>
      <c r="AB91" s="1383"/>
      <c r="AC91" s="1383"/>
      <c r="AD91" s="1383"/>
      <c r="AE91" s="1383"/>
      <c r="AF91" s="1383"/>
      <c r="AG91" s="1383"/>
      <c r="AH91" s="1383"/>
      <c r="AI91" s="1383"/>
      <c r="AJ91" s="1383"/>
    </row>
    <row r="92" spans="1:53" s="1520" customFormat="1" ht="16.5" customHeight="1" x14ac:dyDescent="0.25">
      <c r="A92" s="1504"/>
      <c r="B92" s="2570" t="s">
        <v>1759</v>
      </c>
      <c r="C92" s="1505"/>
      <c r="D92" s="1571" t="str">
        <f>D$59</f>
        <v>Total (Manufacturing, Installation, Fuel, and Maintenance)</v>
      </c>
      <c r="E92" s="1507"/>
      <c r="F92" s="1507"/>
      <c r="G92" s="1507"/>
      <c r="H92" s="1507"/>
      <c r="I92" s="1508"/>
      <c r="J92" s="1505"/>
      <c r="K92" s="1662" t="s">
        <v>1923</v>
      </c>
      <c r="L92" s="1663"/>
      <c r="M92" s="1663"/>
      <c r="N92" s="1663"/>
      <c r="O92" s="1663"/>
      <c r="P92" s="1511"/>
      <c r="Q92" s="1505"/>
      <c r="R92" s="1512" t="s">
        <v>1762</v>
      </c>
      <c r="S92" s="1513"/>
      <c r="T92" s="1513"/>
      <c r="U92" s="1513"/>
      <c r="V92" s="1513"/>
      <c r="W92" s="1511"/>
      <c r="X92" s="1505"/>
      <c r="Y92" s="1514" t="s">
        <v>1489</v>
      </c>
      <c r="Z92" s="1515"/>
      <c r="AA92" s="1515"/>
      <c r="AB92" s="1515"/>
      <c r="AC92" s="1515"/>
      <c r="AD92" s="1511"/>
      <c r="AE92" s="1505"/>
      <c r="AF92" s="1516" t="s">
        <v>1495</v>
      </c>
      <c r="AG92" s="1517"/>
      <c r="AH92" s="1517"/>
      <c r="AI92" s="1517"/>
      <c r="AJ92" s="1518"/>
    </row>
    <row r="93" spans="1:53" s="1674" customFormat="1" ht="16.5" x14ac:dyDescent="0.25">
      <c r="A93" s="1664"/>
      <c r="B93" s="2571"/>
      <c r="C93" s="1665"/>
      <c r="D93" s="1506" t="str">
        <f>B92</f>
        <v>Gross Backup Power Fuel Cell-related Employment (Job-years)</v>
      </c>
      <c r="E93" s="1666"/>
      <c r="F93" s="1666"/>
      <c r="G93" s="1666"/>
      <c r="H93" s="1666"/>
      <c r="I93" s="1667"/>
      <c r="J93" s="1665"/>
      <c r="K93" s="1668" t="str">
        <f>D93</f>
        <v>Gross Backup Power Fuel Cell-related Employment (Job-years)</v>
      </c>
      <c r="L93" s="1669"/>
      <c r="M93" s="1669"/>
      <c r="N93" s="1669"/>
      <c r="O93" s="1669"/>
      <c r="P93" s="1670"/>
      <c r="Q93" s="1665"/>
      <c r="R93" s="1671" t="str">
        <f>K93</f>
        <v>Gross Backup Power Fuel Cell-related Employment (Job-years)</v>
      </c>
      <c r="S93" s="1523"/>
      <c r="T93" s="1523"/>
      <c r="U93" s="1523"/>
      <c r="V93" s="1523"/>
      <c r="W93" s="1670"/>
      <c r="X93" s="1665"/>
      <c r="Y93" s="1672" t="str">
        <f>R93</f>
        <v>Gross Backup Power Fuel Cell-related Employment (Job-years)</v>
      </c>
      <c r="Z93" s="1524"/>
      <c r="AA93" s="1524"/>
      <c r="AB93" s="1524"/>
      <c r="AC93" s="1524"/>
      <c r="AD93" s="1670"/>
      <c r="AE93" s="1665"/>
      <c r="AF93" s="1673" t="str">
        <f>Y93</f>
        <v>Gross Backup Power Fuel Cell-related Employment (Job-years)</v>
      </c>
      <c r="AG93" s="1525"/>
      <c r="AH93" s="1525"/>
      <c r="AI93" s="1525"/>
      <c r="AJ93" s="1673"/>
      <c r="AX93" s="1675"/>
      <c r="AY93" s="1675"/>
      <c r="AZ93" s="1675"/>
    </row>
    <row r="94" spans="1:53" s="1543" customFormat="1" ht="47.25" x14ac:dyDescent="0.25">
      <c r="A94" s="1526"/>
      <c r="B94" s="2571"/>
      <c r="C94" s="1527" t="s">
        <v>433</v>
      </c>
      <c r="D94" s="1528" t="str">
        <f>D$159&amp;" "&amp;D$160</f>
        <v>Gross BuP FC-related Direct</v>
      </c>
      <c r="E94" s="1528" t="str">
        <f>E$159&amp;" "&amp;E$160</f>
        <v>Gross BuP FC-related Indirect</v>
      </c>
      <c r="F94" s="1528" t="str">
        <f>F$159&amp;" "&amp;F$160</f>
        <v>Gross BuP FC-related Induced</v>
      </c>
      <c r="G94" s="1529" t="str">
        <f>G$159&amp;" "&amp;G$160</f>
        <v>Gross BuP FC-related Supply Chain</v>
      </c>
      <c r="H94" s="1529" t="str">
        <f>H$159&amp;" "&amp;H$160</f>
        <v>Gross BuP FC-related Total</v>
      </c>
      <c r="I94" s="1530"/>
      <c r="J94" s="1527" t="str">
        <f t="shared" ref="J94:J100" si="138">C94</f>
        <v>Year</v>
      </c>
      <c r="K94" s="1676" t="str">
        <f>K$159&amp;" "&amp;K$160</f>
        <v>Gross BuP Fuel Cell Direct</v>
      </c>
      <c r="L94" s="1676" t="str">
        <f>L$159&amp;" "&amp;L$160</f>
        <v>Gross BuP Fuel Cell Indirect</v>
      </c>
      <c r="M94" s="1676" t="str">
        <f>M$159&amp;" "&amp;M$160</f>
        <v>Gross BuP Fuel Cell Induced</v>
      </c>
      <c r="N94" s="1677" t="str">
        <f>N$159&amp;" "&amp;N$160</f>
        <v>Gross BuP Fuel Cell Supply Chain</v>
      </c>
      <c r="O94" s="1677" t="str">
        <f>O$159&amp;" "&amp;O$160</f>
        <v>Gross BuP Fuel Cell Total</v>
      </c>
      <c r="P94" s="1533"/>
      <c r="Q94" s="1527" t="str">
        <f t="shared" ref="Q94:Q100" si="139">J94</f>
        <v>Year</v>
      </c>
      <c r="R94" s="1534" t="str">
        <f>R$159&amp;" "&amp;R$160</f>
        <v>Gross BuP FC Installation Direct</v>
      </c>
      <c r="S94" s="1534" t="str">
        <f>S$159&amp;" "&amp;S$160</f>
        <v>Gross BuP FC Installation Indirect</v>
      </c>
      <c r="T94" s="1534" t="str">
        <f>T$159&amp;" "&amp;T$160</f>
        <v>Gross BuP FC Installation Induced</v>
      </c>
      <c r="U94" s="1535" t="str">
        <f>U$159&amp;" "&amp;U$160</f>
        <v>Gross BuP FC Installation Supply Chain</v>
      </c>
      <c r="V94" s="1535" t="str">
        <f>V$159&amp;" "&amp;V$160</f>
        <v>Gross BuP FC Installation Total</v>
      </c>
      <c r="W94" s="1533"/>
      <c r="X94" s="1527" t="str">
        <f t="shared" ref="X94:X100" si="140">Q94</f>
        <v>Year</v>
      </c>
      <c r="Y94" s="1536" t="str">
        <f>Y$159&amp;" "&amp;Y$160</f>
        <v>Gross BuP FC Fuel Direct</v>
      </c>
      <c r="Z94" s="1536" t="str">
        <f>Z$159&amp;" "&amp;Z$160</f>
        <v>Gross BuP FC Fuel Indirect</v>
      </c>
      <c r="AA94" s="1536" t="str">
        <f>AA$159&amp;" "&amp;AA$160</f>
        <v>Gross BuP FC Fuel Induced</v>
      </c>
      <c r="AB94" s="1537" t="str">
        <f>AB$159&amp;" "&amp;AB$160</f>
        <v>Gross BuP FC Fuel Supply Chain</v>
      </c>
      <c r="AC94" s="1537" t="str">
        <f>AC$159&amp;" "&amp;AC$160</f>
        <v>Gross BuP FC Fuel Total</v>
      </c>
      <c r="AD94" s="1533"/>
      <c r="AE94" s="1527" t="str">
        <f t="shared" ref="AE94:AE100" si="141">X94</f>
        <v>Year</v>
      </c>
      <c r="AF94" s="1538" t="str">
        <f>AF$159&amp;" "&amp;AF$160</f>
        <v>Gross BuP FC Maintenance Direct</v>
      </c>
      <c r="AG94" s="1538" t="str">
        <f>AG$159&amp;" "&amp;AG$160</f>
        <v>Gross BuP FC Maintenance Indirect</v>
      </c>
      <c r="AH94" s="1538" t="str">
        <f>AH$159&amp;" "&amp;AH$160</f>
        <v>Gross BuP FC Maintenance Induced</v>
      </c>
      <c r="AI94" s="1539" t="str">
        <f>AI$159&amp;" "&amp;AI$160</f>
        <v>Gross BuP FC Maintenance Supply Chain</v>
      </c>
      <c r="AJ94" s="1539" t="str">
        <f>AJ$159&amp;" "&amp;AJ$160</f>
        <v>Gross BuP FC Maintenance Total</v>
      </c>
      <c r="AL94" s="1520"/>
      <c r="AM94" s="1520"/>
      <c r="AN94" s="1520"/>
      <c r="AO94" s="1520"/>
      <c r="AP94" s="1520"/>
      <c r="AQ94" s="1520"/>
      <c r="AR94" s="1520"/>
      <c r="AS94" s="1520"/>
      <c r="AT94" s="1520"/>
      <c r="AU94" s="1520"/>
      <c r="AV94" s="1520"/>
      <c r="AW94" s="1520"/>
      <c r="AX94" s="1678"/>
      <c r="AY94" s="1678"/>
      <c r="AZ94" s="1678"/>
      <c r="BA94" s="1520"/>
    </row>
    <row r="95" spans="1:53" s="1562" customFormat="1" ht="16.5" x14ac:dyDescent="0.25">
      <c r="A95" s="1545"/>
      <c r="B95" s="2571"/>
      <c r="C95" s="1546">
        <v>2015</v>
      </c>
      <c r="D95" s="1547" t="e">
        <f t="shared" ref="D95:F100" si="142">K95+R95+Y95+AF95</f>
        <v>#N/A</v>
      </c>
      <c r="E95" s="1547" t="e">
        <f t="shared" si="142"/>
        <v>#N/A</v>
      </c>
      <c r="F95" s="1547" t="e">
        <f t="shared" si="142"/>
        <v>#N/A</v>
      </c>
      <c r="G95" s="1547" t="e">
        <f t="shared" ref="G95:G100" si="143">D95+E95</f>
        <v>#N/A</v>
      </c>
      <c r="H95" s="1548" t="e">
        <f t="shared" ref="H95:H100" si="144">D95+E95+F95</f>
        <v>#N/A</v>
      </c>
      <c r="I95" s="1549"/>
      <c r="J95" s="1546">
        <f t="shared" si="138"/>
        <v>2015</v>
      </c>
      <c r="K95" s="1679" t="e">
        <f>'Backup INPUTS'!K365</f>
        <v>#N/A</v>
      </c>
      <c r="L95" s="1679" t="e">
        <f>'Backup INPUTS'!L365</f>
        <v>#N/A</v>
      </c>
      <c r="M95" s="1679" t="e">
        <f>'Backup INPUTS'!M365</f>
        <v>#N/A</v>
      </c>
      <c r="N95" s="1679" t="e">
        <f t="shared" ref="N95:N100" si="145">K95+L95</f>
        <v>#N/A</v>
      </c>
      <c r="O95" s="1680" t="e">
        <f t="shared" ref="O95:O100" si="146">K95+L95+M95</f>
        <v>#N/A</v>
      </c>
      <c r="P95" s="1552"/>
      <c r="Q95" s="1546">
        <f t="shared" si="139"/>
        <v>2015</v>
      </c>
      <c r="R95" s="1553" t="e">
        <f>'Backup INPUTS'!K390</f>
        <v>#N/A</v>
      </c>
      <c r="S95" s="1553" t="e">
        <f>'Backup INPUTS'!L390</f>
        <v>#N/A</v>
      </c>
      <c r="T95" s="1553" t="e">
        <f>'Backup INPUTS'!M390</f>
        <v>#N/A</v>
      </c>
      <c r="U95" s="1553" t="e">
        <f t="shared" ref="U95:U100" si="147">R95+S95</f>
        <v>#N/A</v>
      </c>
      <c r="V95" s="1554" t="e">
        <f t="shared" ref="V95:V100" si="148">R95+S95+T95</f>
        <v>#N/A</v>
      </c>
      <c r="W95" s="1552"/>
      <c r="X95" s="1546">
        <f t="shared" si="140"/>
        <v>2015</v>
      </c>
      <c r="Y95" s="1555" t="e">
        <f>'Backup INPUTS'!K404+'Backup INPUTS'!K416</f>
        <v>#N/A</v>
      </c>
      <c r="Z95" s="1555" t="e">
        <f>'Backup INPUTS'!L404+'Backup INPUTS'!L416</f>
        <v>#N/A</v>
      </c>
      <c r="AA95" s="1555" t="e">
        <f>'Backup INPUTS'!M404+'Backup INPUTS'!M416</f>
        <v>#N/A</v>
      </c>
      <c r="AB95" s="1555" t="e">
        <f t="shared" ref="AB95:AB100" si="149">Y95+Z95</f>
        <v>#N/A</v>
      </c>
      <c r="AC95" s="1556" t="e">
        <f t="shared" ref="AC95:AC100" si="150">Y95+Z95+AA95</f>
        <v>#N/A</v>
      </c>
      <c r="AD95" s="1552"/>
      <c r="AE95" s="1546">
        <f t="shared" si="141"/>
        <v>2015</v>
      </c>
      <c r="AF95" s="1557" t="e">
        <f>'Backup INPUTS'!K431</f>
        <v>#N/A</v>
      </c>
      <c r="AG95" s="1557" t="e">
        <f>'Backup INPUTS'!L431</f>
        <v>#N/A</v>
      </c>
      <c r="AH95" s="1557" t="e">
        <f>'Backup INPUTS'!M431</f>
        <v>#N/A</v>
      </c>
      <c r="AI95" s="1557" t="e">
        <f t="shared" ref="AI95:AI100" si="151">AF95+AG95</f>
        <v>#N/A</v>
      </c>
      <c r="AJ95" s="1558" t="e">
        <f t="shared" ref="AJ95:AJ100" si="152">AF95+AG95+AH95</f>
        <v>#N/A</v>
      </c>
      <c r="AL95" s="1682"/>
      <c r="AM95" s="1682" t="e">
        <f>O95+V95+AC95+AJ95</f>
        <v>#N/A</v>
      </c>
      <c r="AN95" s="1681"/>
      <c r="AO95" s="1681"/>
      <c r="AP95" s="1681"/>
      <c r="AQ95" s="1681"/>
      <c r="AR95" s="1681"/>
      <c r="AS95" s="1681"/>
      <c r="AT95" s="1681"/>
      <c r="AU95" s="1681"/>
      <c r="AV95" s="1681"/>
      <c r="AW95" s="1681"/>
      <c r="AX95" s="1683"/>
      <c r="AY95" s="1683"/>
      <c r="AZ95" s="1683"/>
      <c r="BA95" s="1681"/>
    </row>
    <row r="96" spans="1:53" s="1562" customFormat="1" ht="16.5" x14ac:dyDescent="0.25">
      <c r="A96" s="1545"/>
      <c r="B96" s="2571"/>
      <c r="C96" s="1546">
        <v>2016</v>
      </c>
      <c r="D96" s="1547" t="e">
        <f t="shared" si="142"/>
        <v>#N/A</v>
      </c>
      <c r="E96" s="1547" t="e">
        <f t="shared" si="142"/>
        <v>#N/A</v>
      </c>
      <c r="F96" s="1547" t="e">
        <f t="shared" si="142"/>
        <v>#N/A</v>
      </c>
      <c r="G96" s="1547" t="e">
        <f t="shared" si="143"/>
        <v>#N/A</v>
      </c>
      <c r="H96" s="1548" t="e">
        <f t="shared" si="144"/>
        <v>#N/A</v>
      </c>
      <c r="I96" s="1549"/>
      <c r="J96" s="1546">
        <f t="shared" si="138"/>
        <v>2016</v>
      </c>
      <c r="K96" s="1679" t="e">
        <f>'Backup INPUTS'!K366</f>
        <v>#N/A</v>
      </c>
      <c r="L96" s="1679" t="e">
        <f>'Backup INPUTS'!L366</f>
        <v>#N/A</v>
      </c>
      <c r="M96" s="1679" t="e">
        <f>'Backup INPUTS'!M366</f>
        <v>#N/A</v>
      </c>
      <c r="N96" s="1679" t="e">
        <f t="shared" si="145"/>
        <v>#N/A</v>
      </c>
      <c r="O96" s="1680" t="e">
        <f t="shared" si="146"/>
        <v>#N/A</v>
      </c>
      <c r="P96" s="1552"/>
      <c r="Q96" s="1546">
        <f t="shared" si="139"/>
        <v>2016</v>
      </c>
      <c r="R96" s="1553" t="e">
        <f>'Backup INPUTS'!K391</f>
        <v>#N/A</v>
      </c>
      <c r="S96" s="1553" t="e">
        <f>'Backup INPUTS'!L391</f>
        <v>#N/A</v>
      </c>
      <c r="T96" s="1553" t="e">
        <f>'Backup INPUTS'!M391</f>
        <v>#N/A</v>
      </c>
      <c r="U96" s="1553" t="e">
        <f t="shared" si="147"/>
        <v>#N/A</v>
      </c>
      <c r="V96" s="1554" t="e">
        <f t="shared" si="148"/>
        <v>#N/A</v>
      </c>
      <c r="W96" s="1552"/>
      <c r="X96" s="1546">
        <f t="shared" si="140"/>
        <v>2016</v>
      </c>
      <c r="Y96" s="1555" t="e">
        <f>'Backup INPUTS'!K405+'Backup INPUTS'!K417</f>
        <v>#N/A</v>
      </c>
      <c r="Z96" s="1555" t="e">
        <f>'Backup INPUTS'!L405+'Backup INPUTS'!L417</f>
        <v>#N/A</v>
      </c>
      <c r="AA96" s="1555" t="e">
        <f>'Backup INPUTS'!M405+'Backup INPUTS'!M417</f>
        <v>#N/A</v>
      </c>
      <c r="AB96" s="1555" t="e">
        <f t="shared" si="149"/>
        <v>#N/A</v>
      </c>
      <c r="AC96" s="1556" t="e">
        <f t="shared" si="150"/>
        <v>#N/A</v>
      </c>
      <c r="AD96" s="1552"/>
      <c r="AE96" s="1546">
        <f t="shared" si="141"/>
        <v>2016</v>
      </c>
      <c r="AF96" s="1557" t="e">
        <f>'Backup INPUTS'!K432</f>
        <v>#N/A</v>
      </c>
      <c r="AG96" s="1557" t="e">
        <f>'Backup INPUTS'!L432</f>
        <v>#N/A</v>
      </c>
      <c r="AH96" s="1557" t="e">
        <f>'Backup INPUTS'!M432</f>
        <v>#N/A</v>
      </c>
      <c r="AI96" s="1557" t="e">
        <f t="shared" si="151"/>
        <v>#N/A</v>
      </c>
      <c r="AJ96" s="1558" t="e">
        <f t="shared" si="152"/>
        <v>#N/A</v>
      </c>
      <c r="AL96" s="1681"/>
      <c r="AM96" s="1681"/>
      <c r="AN96" s="1681"/>
      <c r="AO96" s="1681"/>
      <c r="AP96" s="1681"/>
      <c r="AQ96" s="1681"/>
      <c r="AR96" s="1681"/>
      <c r="AS96" s="1681"/>
      <c r="AT96" s="1681"/>
      <c r="AU96" s="1681"/>
      <c r="AV96" s="1681"/>
      <c r="AW96" s="1681"/>
      <c r="AX96" s="1683"/>
      <c r="AY96" s="1683"/>
      <c r="AZ96" s="1683"/>
      <c r="BA96" s="1681"/>
    </row>
    <row r="97" spans="1:53" s="1562" customFormat="1" ht="16.5" x14ac:dyDescent="0.25">
      <c r="A97" s="1545"/>
      <c r="B97" s="2571"/>
      <c r="C97" s="1546">
        <v>2017</v>
      </c>
      <c r="D97" s="1547" t="e">
        <f t="shared" si="142"/>
        <v>#N/A</v>
      </c>
      <c r="E97" s="1547" t="e">
        <f t="shared" si="142"/>
        <v>#N/A</v>
      </c>
      <c r="F97" s="1547" t="e">
        <f t="shared" si="142"/>
        <v>#N/A</v>
      </c>
      <c r="G97" s="1547" t="e">
        <f t="shared" si="143"/>
        <v>#N/A</v>
      </c>
      <c r="H97" s="1548" t="e">
        <f t="shared" si="144"/>
        <v>#N/A</v>
      </c>
      <c r="I97" s="1549"/>
      <c r="J97" s="1546">
        <f t="shared" si="138"/>
        <v>2017</v>
      </c>
      <c r="K97" s="1679" t="e">
        <f>'Backup INPUTS'!K367</f>
        <v>#N/A</v>
      </c>
      <c r="L97" s="1679" t="e">
        <f>'Backup INPUTS'!L367</f>
        <v>#N/A</v>
      </c>
      <c r="M97" s="1679" t="e">
        <f>'Backup INPUTS'!M367</f>
        <v>#N/A</v>
      </c>
      <c r="N97" s="1679" t="e">
        <f t="shared" si="145"/>
        <v>#N/A</v>
      </c>
      <c r="O97" s="1680" t="e">
        <f t="shared" si="146"/>
        <v>#N/A</v>
      </c>
      <c r="P97" s="1552"/>
      <c r="Q97" s="1546">
        <f t="shared" si="139"/>
        <v>2017</v>
      </c>
      <c r="R97" s="1553" t="e">
        <f>'Backup INPUTS'!K392</f>
        <v>#N/A</v>
      </c>
      <c r="S97" s="1553" t="e">
        <f>'Backup INPUTS'!L392</f>
        <v>#N/A</v>
      </c>
      <c r="T97" s="1553" t="e">
        <f>'Backup INPUTS'!M392</f>
        <v>#N/A</v>
      </c>
      <c r="U97" s="1553" t="e">
        <f t="shared" si="147"/>
        <v>#N/A</v>
      </c>
      <c r="V97" s="1554" t="e">
        <f t="shared" si="148"/>
        <v>#N/A</v>
      </c>
      <c r="W97" s="1552"/>
      <c r="X97" s="1546">
        <f t="shared" si="140"/>
        <v>2017</v>
      </c>
      <c r="Y97" s="1555" t="e">
        <f>'Backup INPUTS'!K406+'Backup INPUTS'!K418</f>
        <v>#N/A</v>
      </c>
      <c r="Z97" s="1555" t="e">
        <f>'Backup INPUTS'!L406+'Backup INPUTS'!L418</f>
        <v>#N/A</v>
      </c>
      <c r="AA97" s="1555" t="e">
        <f>'Backup INPUTS'!M406+'Backup INPUTS'!M418</f>
        <v>#N/A</v>
      </c>
      <c r="AB97" s="1555" t="e">
        <f t="shared" si="149"/>
        <v>#N/A</v>
      </c>
      <c r="AC97" s="1556" t="e">
        <f t="shared" si="150"/>
        <v>#N/A</v>
      </c>
      <c r="AD97" s="1552"/>
      <c r="AE97" s="1546">
        <f t="shared" si="141"/>
        <v>2017</v>
      </c>
      <c r="AF97" s="1557" t="e">
        <f>'Backup INPUTS'!K433</f>
        <v>#N/A</v>
      </c>
      <c r="AG97" s="1557" t="e">
        <f>'Backup INPUTS'!L433</f>
        <v>#N/A</v>
      </c>
      <c r="AH97" s="1557" t="e">
        <f>'Backup INPUTS'!M433</f>
        <v>#N/A</v>
      </c>
      <c r="AI97" s="1557" t="e">
        <f t="shared" si="151"/>
        <v>#N/A</v>
      </c>
      <c r="AJ97" s="1558" t="e">
        <f t="shared" si="152"/>
        <v>#N/A</v>
      </c>
      <c r="AL97" s="1681"/>
      <c r="AM97" s="1681"/>
      <c r="AN97" s="1681"/>
      <c r="AO97" s="1681"/>
      <c r="AP97" s="1681"/>
      <c r="AQ97" s="1681"/>
      <c r="AR97" s="1681"/>
      <c r="AS97" s="1681"/>
      <c r="AT97" s="1681"/>
      <c r="AU97" s="1681"/>
      <c r="AV97" s="1681"/>
      <c r="AW97" s="1681"/>
      <c r="AX97" s="1683"/>
      <c r="AY97" s="1683"/>
      <c r="AZ97" s="1683"/>
      <c r="BA97" s="1681"/>
    </row>
    <row r="98" spans="1:53" s="1562" customFormat="1" ht="16.5" x14ac:dyDescent="0.25">
      <c r="A98" s="1545"/>
      <c r="B98" s="2571"/>
      <c r="C98" s="1546">
        <v>2018</v>
      </c>
      <c r="D98" s="1547" t="e">
        <f t="shared" si="142"/>
        <v>#N/A</v>
      </c>
      <c r="E98" s="1547" t="e">
        <f t="shared" si="142"/>
        <v>#N/A</v>
      </c>
      <c r="F98" s="1547" t="e">
        <f t="shared" si="142"/>
        <v>#N/A</v>
      </c>
      <c r="G98" s="1547" t="e">
        <f t="shared" si="143"/>
        <v>#N/A</v>
      </c>
      <c r="H98" s="1548" t="e">
        <f t="shared" si="144"/>
        <v>#N/A</v>
      </c>
      <c r="I98" s="1549"/>
      <c r="J98" s="1546">
        <f t="shared" si="138"/>
        <v>2018</v>
      </c>
      <c r="K98" s="1679" t="e">
        <f>'Backup INPUTS'!K368</f>
        <v>#N/A</v>
      </c>
      <c r="L98" s="1679" t="e">
        <f>'Backup INPUTS'!L368</f>
        <v>#N/A</v>
      </c>
      <c r="M98" s="1679" t="e">
        <f>'Backup INPUTS'!M368</f>
        <v>#N/A</v>
      </c>
      <c r="N98" s="1679" t="e">
        <f t="shared" si="145"/>
        <v>#N/A</v>
      </c>
      <c r="O98" s="1680" t="e">
        <f t="shared" si="146"/>
        <v>#N/A</v>
      </c>
      <c r="P98" s="1552"/>
      <c r="Q98" s="1546">
        <f t="shared" si="139"/>
        <v>2018</v>
      </c>
      <c r="R98" s="1553" t="e">
        <f>'Backup INPUTS'!K393</f>
        <v>#N/A</v>
      </c>
      <c r="S98" s="1553" t="e">
        <f>'Backup INPUTS'!L393</f>
        <v>#N/A</v>
      </c>
      <c r="T98" s="1553" t="e">
        <f>'Backup INPUTS'!M393</f>
        <v>#N/A</v>
      </c>
      <c r="U98" s="1553" t="e">
        <f t="shared" si="147"/>
        <v>#N/A</v>
      </c>
      <c r="V98" s="1554" t="e">
        <f t="shared" si="148"/>
        <v>#N/A</v>
      </c>
      <c r="W98" s="1552"/>
      <c r="X98" s="1546">
        <f t="shared" si="140"/>
        <v>2018</v>
      </c>
      <c r="Y98" s="1555" t="e">
        <f>'Backup INPUTS'!K407+'Backup INPUTS'!K419</f>
        <v>#N/A</v>
      </c>
      <c r="Z98" s="1555" t="e">
        <f>'Backup INPUTS'!L407+'Backup INPUTS'!L419</f>
        <v>#N/A</v>
      </c>
      <c r="AA98" s="1555" t="e">
        <f>'Backup INPUTS'!M407+'Backup INPUTS'!M419</f>
        <v>#N/A</v>
      </c>
      <c r="AB98" s="1555" t="e">
        <f t="shared" si="149"/>
        <v>#N/A</v>
      </c>
      <c r="AC98" s="1556" t="e">
        <f t="shared" si="150"/>
        <v>#N/A</v>
      </c>
      <c r="AD98" s="1552"/>
      <c r="AE98" s="1546">
        <f t="shared" si="141"/>
        <v>2018</v>
      </c>
      <c r="AF98" s="1557" t="e">
        <f>'Backup INPUTS'!K434</f>
        <v>#N/A</v>
      </c>
      <c r="AG98" s="1557" t="e">
        <f>'Backup INPUTS'!L434</f>
        <v>#N/A</v>
      </c>
      <c r="AH98" s="1557" t="e">
        <f>'Backup INPUTS'!M434</f>
        <v>#N/A</v>
      </c>
      <c r="AI98" s="1557" t="e">
        <f t="shared" si="151"/>
        <v>#N/A</v>
      </c>
      <c r="AJ98" s="1558" t="e">
        <f t="shared" si="152"/>
        <v>#N/A</v>
      </c>
      <c r="AL98" s="1681"/>
      <c r="AM98" s="1681"/>
      <c r="AN98" s="1681"/>
      <c r="AO98" s="1681"/>
      <c r="AP98" s="1681"/>
      <c r="AQ98" s="1681"/>
      <c r="AR98" s="1681"/>
      <c r="AS98" s="1681"/>
      <c r="AT98" s="1681"/>
      <c r="AU98" s="1681"/>
      <c r="AV98" s="1681"/>
      <c r="AW98" s="1681"/>
      <c r="AX98" s="1683"/>
      <c r="AY98" s="1683"/>
      <c r="AZ98" s="1683"/>
      <c r="BA98" s="1681"/>
    </row>
    <row r="99" spans="1:53" s="1562" customFormat="1" ht="16.5" x14ac:dyDescent="0.25">
      <c r="A99" s="1545"/>
      <c r="B99" s="2571"/>
      <c r="C99" s="1546">
        <v>2019</v>
      </c>
      <c r="D99" s="1547" t="e">
        <f t="shared" si="142"/>
        <v>#N/A</v>
      </c>
      <c r="E99" s="1547" t="e">
        <f t="shared" si="142"/>
        <v>#N/A</v>
      </c>
      <c r="F99" s="1547" t="e">
        <f t="shared" si="142"/>
        <v>#N/A</v>
      </c>
      <c r="G99" s="1547" t="e">
        <f t="shared" si="143"/>
        <v>#N/A</v>
      </c>
      <c r="H99" s="1548" t="e">
        <f t="shared" si="144"/>
        <v>#N/A</v>
      </c>
      <c r="I99" s="1549"/>
      <c r="J99" s="1546">
        <f t="shared" si="138"/>
        <v>2019</v>
      </c>
      <c r="K99" s="1679" t="e">
        <f>'Backup INPUTS'!K369</f>
        <v>#N/A</v>
      </c>
      <c r="L99" s="1679" t="e">
        <f>'Backup INPUTS'!L369</f>
        <v>#N/A</v>
      </c>
      <c r="M99" s="1679" t="e">
        <f>'Backup INPUTS'!M369</f>
        <v>#N/A</v>
      </c>
      <c r="N99" s="1679" t="e">
        <f t="shared" si="145"/>
        <v>#N/A</v>
      </c>
      <c r="O99" s="1680" t="e">
        <f t="shared" si="146"/>
        <v>#N/A</v>
      </c>
      <c r="P99" s="1552"/>
      <c r="Q99" s="1546">
        <f t="shared" si="139"/>
        <v>2019</v>
      </c>
      <c r="R99" s="1553" t="e">
        <f>'Backup INPUTS'!K394</f>
        <v>#N/A</v>
      </c>
      <c r="S99" s="1553" t="e">
        <f>'Backup INPUTS'!L394</f>
        <v>#N/A</v>
      </c>
      <c r="T99" s="1553" t="e">
        <f>'Backup INPUTS'!M394</f>
        <v>#N/A</v>
      </c>
      <c r="U99" s="1553" t="e">
        <f t="shared" si="147"/>
        <v>#N/A</v>
      </c>
      <c r="V99" s="1554" t="e">
        <f t="shared" si="148"/>
        <v>#N/A</v>
      </c>
      <c r="W99" s="1552"/>
      <c r="X99" s="1546">
        <f t="shared" si="140"/>
        <v>2019</v>
      </c>
      <c r="Y99" s="1555" t="e">
        <f>'Backup INPUTS'!K408+'Backup INPUTS'!K420</f>
        <v>#N/A</v>
      </c>
      <c r="Z99" s="1555" t="e">
        <f>'Backup INPUTS'!L408+'Backup INPUTS'!L420</f>
        <v>#N/A</v>
      </c>
      <c r="AA99" s="1555" t="e">
        <f>'Backup INPUTS'!M408+'Backup INPUTS'!M420</f>
        <v>#N/A</v>
      </c>
      <c r="AB99" s="1555" t="e">
        <f t="shared" si="149"/>
        <v>#N/A</v>
      </c>
      <c r="AC99" s="1556" t="e">
        <f t="shared" si="150"/>
        <v>#N/A</v>
      </c>
      <c r="AD99" s="1552"/>
      <c r="AE99" s="1546">
        <f t="shared" si="141"/>
        <v>2019</v>
      </c>
      <c r="AF99" s="1557" t="e">
        <f>'Backup INPUTS'!K435</f>
        <v>#N/A</v>
      </c>
      <c r="AG99" s="1557" t="e">
        <f>'Backup INPUTS'!L435</f>
        <v>#N/A</v>
      </c>
      <c r="AH99" s="1557" t="e">
        <f>'Backup INPUTS'!M435</f>
        <v>#N/A</v>
      </c>
      <c r="AI99" s="1557" t="e">
        <f t="shared" si="151"/>
        <v>#N/A</v>
      </c>
      <c r="AJ99" s="1558" t="e">
        <f t="shared" si="152"/>
        <v>#N/A</v>
      </c>
      <c r="AL99" s="1681"/>
      <c r="AM99" s="1681"/>
      <c r="AN99" s="1681"/>
      <c r="AO99" s="1681"/>
      <c r="AP99" s="1681"/>
      <c r="AQ99" s="1681"/>
      <c r="AR99" s="1681"/>
      <c r="AS99" s="1681"/>
      <c r="AT99" s="1681"/>
      <c r="AU99" s="1681"/>
      <c r="AV99" s="1681"/>
      <c r="AW99" s="1681"/>
      <c r="AX99" s="1683"/>
      <c r="AY99" s="1683"/>
      <c r="AZ99" s="1683"/>
      <c r="BA99" s="1681"/>
    </row>
    <row r="100" spans="1:53" s="1562" customFormat="1" ht="16.5" x14ac:dyDescent="0.25">
      <c r="A100" s="1545"/>
      <c r="B100" s="2572"/>
      <c r="C100" s="1546">
        <v>2020</v>
      </c>
      <c r="D100" s="1547" t="e">
        <f t="shared" si="142"/>
        <v>#N/A</v>
      </c>
      <c r="E100" s="1547" t="e">
        <f t="shared" si="142"/>
        <v>#N/A</v>
      </c>
      <c r="F100" s="1547" t="e">
        <f t="shared" si="142"/>
        <v>#N/A</v>
      </c>
      <c r="G100" s="1547" t="e">
        <f t="shared" si="143"/>
        <v>#N/A</v>
      </c>
      <c r="H100" s="1548" t="e">
        <f t="shared" si="144"/>
        <v>#N/A</v>
      </c>
      <c r="I100" s="1549"/>
      <c r="J100" s="1546">
        <f t="shared" si="138"/>
        <v>2020</v>
      </c>
      <c r="K100" s="1679" t="e">
        <f>'Backup INPUTS'!K370</f>
        <v>#N/A</v>
      </c>
      <c r="L100" s="1679" t="e">
        <f>'Backup INPUTS'!L370</f>
        <v>#N/A</v>
      </c>
      <c r="M100" s="1679" t="e">
        <f>'Backup INPUTS'!M370</f>
        <v>#N/A</v>
      </c>
      <c r="N100" s="1679" t="e">
        <f t="shared" si="145"/>
        <v>#N/A</v>
      </c>
      <c r="O100" s="1680" t="e">
        <f t="shared" si="146"/>
        <v>#N/A</v>
      </c>
      <c r="P100" s="1552"/>
      <c r="Q100" s="1546">
        <f t="shared" si="139"/>
        <v>2020</v>
      </c>
      <c r="R100" s="1553" t="e">
        <f>'Backup INPUTS'!K395</f>
        <v>#N/A</v>
      </c>
      <c r="S100" s="1553" t="e">
        <f>'Backup INPUTS'!L395</f>
        <v>#N/A</v>
      </c>
      <c r="T100" s="1553" t="e">
        <f>'Backup INPUTS'!M395</f>
        <v>#N/A</v>
      </c>
      <c r="U100" s="1553" t="e">
        <f t="shared" si="147"/>
        <v>#N/A</v>
      </c>
      <c r="V100" s="1554" t="e">
        <f t="shared" si="148"/>
        <v>#N/A</v>
      </c>
      <c r="W100" s="1552"/>
      <c r="X100" s="1546">
        <f t="shared" si="140"/>
        <v>2020</v>
      </c>
      <c r="Y100" s="1555" t="e">
        <f>'Backup INPUTS'!K409+'Backup INPUTS'!K421</f>
        <v>#N/A</v>
      </c>
      <c r="Z100" s="1555" t="e">
        <f>'Backup INPUTS'!L409+'Backup INPUTS'!L421</f>
        <v>#N/A</v>
      </c>
      <c r="AA100" s="1555" t="e">
        <f>'Backup INPUTS'!M409+'Backup INPUTS'!M421</f>
        <v>#N/A</v>
      </c>
      <c r="AB100" s="1555" t="e">
        <f t="shared" si="149"/>
        <v>#N/A</v>
      </c>
      <c r="AC100" s="1556" t="e">
        <f t="shared" si="150"/>
        <v>#N/A</v>
      </c>
      <c r="AD100" s="1552"/>
      <c r="AE100" s="1546">
        <f t="shared" si="141"/>
        <v>2020</v>
      </c>
      <c r="AF100" s="1557" t="e">
        <f>'Backup INPUTS'!K436</f>
        <v>#N/A</v>
      </c>
      <c r="AG100" s="1557" t="e">
        <f>'Backup INPUTS'!L436</f>
        <v>#N/A</v>
      </c>
      <c r="AH100" s="1557" t="e">
        <f>'Backup INPUTS'!M436</f>
        <v>#N/A</v>
      </c>
      <c r="AI100" s="1557" t="e">
        <f t="shared" si="151"/>
        <v>#N/A</v>
      </c>
      <c r="AJ100" s="1558" t="e">
        <f t="shared" si="152"/>
        <v>#N/A</v>
      </c>
      <c r="AL100" s="1681"/>
      <c r="AM100" s="1681"/>
      <c r="AN100" s="1681"/>
      <c r="AO100" s="1681"/>
      <c r="AP100" s="1681"/>
      <c r="AQ100" s="1681"/>
      <c r="AR100" s="1681"/>
      <c r="AS100" s="1681"/>
      <c r="AT100" s="1681"/>
      <c r="AU100" s="1681"/>
      <c r="AV100" s="1681"/>
      <c r="AW100" s="1681"/>
      <c r="AX100" s="1683"/>
      <c r="AY100" s="1683"/>
      <c r="AZ100" s="1683"/>
      <c r="BA100" s="1681"/>
    </row>
    <row r="101" spans="1:53" s="1545" customFormat="1" ht="16.5" x14ac:dyDescent="0.25">
      <c r="B101" s="1564"/>
      <c r="C101" s="1565"/>
      <c r="D101" s="1565"/>
      <c r="E101" s="1566"/>
      <c r="F101" s="1566"/>
      <c r="G101" s="1566"/>
      <c r="H101" s="1566"/>
      <c r="I101" s="1566"/>
      <c r="J101" s="1565"/>
      <c r="K101" s="1567"/>
      <c r="L101" s="1567"/>
      <c r="M101" s="1567"/>
      <c r="N101" s="1567"/>
      <c r="O101" s="1567"/>
      <c r="P101" s="1567"/>
      <c r="Q101" s="1565"/>
      <c r="R101" s="1567"/>
      <c r="S101" s="1567"/>
      <c r="T101" s="1567"/>
      <c r="U101" s="1567"/>
      <c r="V101" s="1565"/>
      <c r="W101" s="1565"/>
      <c r="X101" s="1565"/>
      <c r="Y101" s="1565"/>
      <c r="Z101" s="1565"/>
      <c r="AA101" s="1565"/>
      <c r="AB101" s="1565"/>
      <c r="AC101" s="1565"/>
      <c r="AD101" s="1565"/>
      <c r="AE101" s="1565"/>
      <c r="AF101" s="1565"/>
      <c r="AG101" s="1565"/>
      <c r="AH101" s="1565"/>
      <c r="AI101" s="1565"/>
      <c r="AJ101" s="1565"/>
      <c r="AL101" s="1684"/>
      <c r="AM101" s="1684"/>
      <c r="AN101" s="1684"/>
      <c r="AO101" s="1684"/>
      <c r="AP101" s="1684"/>
      <c r="AQ101" s="1684"/>
      <c r="AR101" s="1684"/>
      <c r="AS101" s="1684"/>
      <c r="AT101" s="1684"/>
      <c r="AU101" s="1684"/>
      <c r="AV101" s="1684"/>
      <c r="AW101" s="1684"/>
      <c r="AX101" s="1685"/>
      <c r="AY101" s="1685"/>
      <c r="AZ101" s="1685"/>
      <c r="BA101" s="1684"/>
    </row>
    <row r="102" spans="1:53" s="1584" customFormat="1" ht="16.5" customHeight="1" x14ac:dyDescent="0.25">
      <c r="A102" s="1569"/>
      <c r="B102" s="2570" t="s">
        <v>1760</v>
      </c>
      <c r="C102" s="1570"/>
      <c r="D102" s="1571" t="str">
        <f>D$59</f>
        <v>Total (Manufacturing, Installation, Fuel, and Maintenance)</v>
      </c>
      <c r="E102" s="1572"/>
      <c r="F102" s="1572"/>
      <c r="G102" s="1572"/>
      <c r="H102" s="1572"/>
      <c r="I102" s="1573"/>
      <c r="J102" s="1570"/>
      <c r="K102" s="1686" t="str">
        <f>K92</f>
        <v>Backup Power Fuel Cell Manufacturing, Development, Sales, and Shipping</v>
      </c>
      <c r="L102" s="1687"/>
      <c r="M102" s="1687"/>
      <c r="N102" s="1687"/>
      <c r="O102" s="1687"/>
      <c r="P102" s="1576"/>
      <c r="Q102" s="1570"/>
      <c r="R102" s="1577" t="str">
        <f>R92</f>
        <v>Backup Power Fuel Cell Installation and Fuel Storage</v>
      </c>
      <c r="S102" s="1578"/>
      <c r="T102" s="1578"/>
      <c r="U102" s="1578"/>
      <c r="V102" s="1578"/>
      <c r="W102" s="1576"/>
      <c r="X102" s="1570"/>
      <c r="Y102" s="1579" t="str">
        <f>Y92</f>
        <v>Hydrogen Fuel Production and Delivery</v>
      </c>
      <c r="Z102" s="1580"/>
      <c r="AA102" s="1580"/>
      <c r="AB102" s="1580"/>
      <c r="AC102" s="1580"/>
      <c r="AD102" s="1576"/>
      <c r="AE102" s="1570"/>
      <c r="AF102" s="1581" t="str">
        <f>AF92</f>
        <v>Backup Power Fuel Cell and Site Maintenance</v>
      </c>
      <c r="AG102" s="1582"/>
      <c r="AH102" s="1582"/>
      <c r="AI102" s="1582"/>
      <c r="AJ102" s="1582"/>
      <c r="AL102" s="1520"/>
      <c r="AM102" s="1520"/>
      <c r="AN102" s="1520"/>
      <c r="AO102" s="1520"/>
      <c r="AP102" s="1520"/>
      <c r="AQ102" s="1520"/>
      <c r="AR102" s="1520"/>
      <c r="AS102" s="1520"/>
      <c r="AT102" s="1520"/>
      <c r="AU102" s="1520"/>
      <c r="AV102" s="1520"/>
      <c r="AW102" s="1520"/>
      <c r="AX102" s="1678"/>
      <c r="AY102" s="1678"/>
      <c r="AZ102" s="1678"/>
      <c r="BA102" s="1520"/>
    </row>
    <row r="103" spans="1:53" s="1695" customFormat="1" ht="16.5" x14ac:dyDescent="0.25">
      <c r="A103" s="1688"/>
      <c r="B103" s="2571"/>
      <c r="C103" s="1689"/>
      <c r="D103" s="1506" t="str">
        <f>B102</f>
        <v>Gross Backup Power Fuel Cell Earnings (Thousands of 2010$)</v>
      </c>
      <c r="E103" s="1586"/>
      <c r="F103" s="1586"/>
      <c r="G103" s="1586"/>
      <c r="H103" s="1586"/>
      <c r="I103" s="1690"/>
      <c r="J103" s="1689"/>
      <c r="K103" s="1668" t="str">
        <f>D103</f>
        <v>Gross Backup Power Fuel Cell Earnings (Thousands of 2010$)</v>
      </c>
      <c r="L103" s="1669"/>
      <c r="M103" s="1691"/>
      <c r="N103" s="1691"/>
      <c r="O103" s="1691"/>
      <c r="P103" s="1692"/>
      <c r="Q103" s="1689"/>
      <c r="R103" s="1671" t="str">
        <f>K103</f>
        <v>Gross Backup Power Fuel Cell Earnings (Thousands of 2010$)</v>
      </c>
      <c r="S103" s="1523"/>
      <c r="T103" s="1588"/>
      <c r="U103" s="1588"/>
      <c r="V103" s="1588"/>
      <c r="W103" s="1692"/>
      <c r="X103" s="1689"/>
      <c r="Y103" s="1672" t="str">
        <f>R103</f>
        <v>Gross Backup Power Fuel Cell Earnings (Thousands of 2010$)</v>
      </c>
      <c r="Z103" s="1524"/>
      <c r="AA103" s="1693"/>
      <c r="AB103" s="1693"/>
      <c r="AC103" s="1693"/>
      <c r="AD103" s="1692"/>
      <c r="AE103" s="1689"/>
      <c r="AF103" s="1673" t="str">
        <f>Y103</f>
        <v>Gross Backup Power Fuel Cell Earnings (Thousands of 2010$)</v>
      </c>
      <c r="AG103" s="1525"/>
      <c r="AH103" s="1694"/>
      <c r="AI103" s="1694"/>
      <c r="AJ103" s="1694"/>
      <c r="AL103" s="1674"/>
      <c r="AM103" s="1674"/>
      <c r="AN103" s="1674"/>
      <c r="AO103" s="1674"/>
      <c r="AP103" s="1674"/>
      <c r="AQ103" s="1674"/>
      <c r="AR103" s="1674"/>
      <c r="AS103" s="1674"/>
      <c r="AT103" s="1674"/>
      <c r="AU103" s="1674"/>
      <c r="AV103" s="1674"/>
      <c r="AW103" s="1674"/>
      <c r="AX103" s="1675"/>
      <c r="AY103" s="1675"/>
      <c r="AZ103" s="1675"/>
      <c r="BA103" s="1674"/>
    </row>
    <row r="104" spans="1:53" s="1590" customFormat="1" ht="47.25" x14ac:dyDescent="0.25">
      <c r="A104" s="1589"/>
      <c r="B104" s="2571"/>
      <c r="C104" s="1585" t="str">
        <f t="shared" ref="C104:C110" si="153">C94</f>
        <v>Year</v>
      </c>
      <c r="D104" s="1528" t="str">
        <f>D$159&amp;" "&amp;D$160</f>
        <v>Gross BuP FC-related Direct</v>
      </c>
      <c r="E104" s="1528" t="str">
        <f>E$159&amp;" "&amp;E$160</f>
        <v>Gross BuP FC-related Indirect</v>
      </c>
      <c r="F104" s="1528" t="str">
        <f>F$159&amp;" "&amp;F$160</f>
        <v>Gross BuP FC-related Induced</v>
      </c>
      <c r="G104" s="1529" t="str">
        <f>G$159&amp;" "&amp;G$160</f>
        <v>Gross BuP FC-related Supply Chain</v>
      </c>
      <c r="H104" s="1529" t="str">
        <f>H$159&amp;" "&amp;H$160</f>
        <v>Gross BuP FC-related Total</v>
      </c>
      <c r="I104" s="1530"/>
      <c r="J104" s="1527" t="str">
        <f t="shared" ref="J104:J110" si="154">C104</f>
        <v>Year</v>
      </c>
      <c r="K104" s="1676" t="str">
        <f>K$159&amp;" "&amp;K$160</f>
        <v>Gross BuP Fuel Cell Direct</v>
      </c>
      <c r="L104" s="1676" t="str">
        <f>L$159&amp;" "&amp;L$160</f>
        <v>Gross BuP Fuel Cell Indirect</v>
      </c>
      <c r="M104" s="1676" t="str">
        <f>M$159&amp;" "&amp;M$160</f>
        <v>Gross BuP Fuel Cell Induced</v>
      </c>
      <c r="N104" s="1677" t="str">
        <f>N$159&amp;" "&amp;N$160</f>
        <v>Gross BuP Fuel Cell Supply Chain</v>
      </c>
      <c r="O104" s="1677" t="str">
        <f>O$159&amp;" "&amp;O$160</f>
        <v>Gross BuP Fuel Cell Total</v>
      </c>
      <c r="P104" s="1533"/>
      <c r="Q104" s="1527" t="str">
        <f t="shared" ref="Q104:Q110" si="155">J104</f>
        <v>Year</v>
      </c>
      <c r="R104" s="1534" t="str">
        <f>R$159&amp;" "&amp;R$160</f>
        <v>Gross BuP FC Installation Direct</v>
      </c>
      <c r="S104" s="1534" t="str">
        <f>S$159&amp;" "&amp;S$160</f>
        <v>Gross BuP FC Installation Indirect</v>
      </c>
      <c r="T104" s="1534" t="str">
        <f>T$159&amp;" "&amp;T$160</f>
        <v>Gross BuP FC Installation Induced</v>
      </c>
      <c r="U104" s="1535" t="str">
        <f>U$159&amp;" "&amp;U$160</f>
        <v>Gross BuP FC Installation Supply Chain</v>
      </c>
      <c r="V104" s="1535" t="str">
        <f>V$159&amp;" "&amp;V$160</f>
        <v>Gross BuP FC Installation Total</v>
      </c>
      <c r="W104" s="1533"/>
      <c r="X104" s="1527" t="str">
        <f t="shared" ref="X104:X110" si="156">Q104</f>
        <v>Year</v>
      </c>
      <c r="Y104" s="1536" t="str">
        <f>Y$159&amp;" "&amp;Y$160</f>
        <v>Gross BuP FC Fuel Direct</v>
      </c>
      <c r="Z104" s="1536" t="str">
        <f>Z$159&amp;" "&amp;Z$160</f>
        <v>Gross BuP FC Fuel Indirect</v>
      </c>
      <c r="AA104" s="1536" t="str">
        <f>AA$159&amp;" "&amp;AA$160</f>
        <v>Gross BuP FC Fuel Induced</v>
      </c>
      <c r="AB104" s="1537" t="str">
        <f>AB$159&amp;" "&amp;AB$160</f>
        <v>Gross BuP FC Fuel Supply Chain</v>
      </c>
      <c r="AC104" s="1537" t="str">
        <f>AC$159&amp;" "&amp;AC$160</f>
        <v>Gross BuP FC Fuel Total</v>
      </c>
      <c r="AD104" s="1533"/>
      <c r="AE104" s="1527" t="str">
        <f t="shared" ref="AE104:AE110" si="157">X104</f>
        <v>Year</v>
      </c>
      <c r="AF104" s="1538" t="str">
        <f>AF$159&amp;" "&amp;AF$160</f>
        <v>Gross BuP FC Maintenance Direct</v>
      </c>
      <c r="AG104" s="1538" t="str">
        <f>AG$159&amp;" "&amp;AG$160</f>
        <v>Gross BuP FC Maintenance Indirect</v>
      </c>
      <c r="AH104" s="1538" t="str">
        <f>AH$159&amp;" "&amp;AH$160</f>
        <v>Gross BuP FC Maintenance Induced</v>
      </c>
      <c r="AI104" s="1539" t="str">
        <f>AI$159&amp;" "&amp;AI$160</f>
        <v>Gross BuP FC Maintenance Supply Chain</v>
      </c>
      <c r="AJ104" s="1539" t="str">
        <f>AJ$159&amp;" "&amp;AJ$160</f>
        <v>Gross BuP FC Maintenance Total</v>
      </c>
      <c r="AL104" s="1520"/>
      <c r="AM104" s="1520"/>
      <c r="AN104" s="1520"/>
      <c r="AO104" s="1520"/>
      <c r="AP104" s="1520"/>
      <c r="AQ104" s="1520"/>
      <c r="AR104" s="1520"/>
      <c r="AS104" s="1520"/>
      <c r="AT104" s="1520"/>
      <c r="AU104" s="1520"/>
      <c r="AV104" s="1520"/>
      <c r="AW104" s="1520"/>
      <c r="AX104" s="1678"/>
      <c r="AY104" s="1678"/>
      <c r="AZ104" s="1678"/>
      <c r="BA104" s="1520"/>
    </row>
    <row r="105" spans="1:53" s="1562" customFormat="1" ht="16.5" x14ac:dyDescent="0.25">
      <c r="A105" s="1545"/>
      <c r="B105" s="2571"/>
      <c r="C105" s="1546">
        <f t="shared" si="153"/>
        <v>2015</v>
      </c>
      <c r="D105" s="1591" t="e">
        <f t="shared" ref="D105:F110" si="158">K105+R105+Y105+AF105</f>
        <v>#N/A</v>
      </c>
      <c r="E105" s="1591" t="e">
        <f t="shared" si="158"/>
        <v>#N/A</v>
      </c>
      <c r="F105" s="1591" t="e">
        <f t="shared" si="158"/>
        <v>#N/A</v>
      </c>
      <c r="G105" s="1591" t="e">
        <f t="shared" ref="G105:G110" si="159">D105+E105</f>
        <v>#N/A</v>
      </c>
      <c r="H105" s="1592" t="e">
        <f t="shared" ref="H105:H110" si="160">D105+E105+F105</f>
        <v>#N/A</v>
      </c>
      <c r="I105" s="1593"/>
      <c r="J105" s="1546">
        <f t="shared" si="154"/>
        <v>2015</v>
      </c>
      <c r="K105" s="1696" t="e">
        <f>'Backup INPUTS'!Q365/'Backup INPUTS'!$C$578/1000</f>
        <v>#N/A</v>
      </c>
      <c r="L105" s="1696" t="e">
        <f>'Backup INPUTS'!R365/'Backup INPUTS'!$C$578/1000</f>
        <v>#N/A</v>
      </c>
      <c r="M105" s="1696" t="e">
        <f>'Backup INPUTS'!S365/'Backup INPUTS'!$C$578/1000</f>
        <v>#N/A</v>
      </c>
      <c r="N105" s="1697" t="e">
        <f t="shared" ref="N105:N110" si="161">K105+L105</f>
        <v>#N/A</v>
      </c>
      <c r="O105" s="1698" t="e">
        <f t="shared" ref="O105:O110" si="162">K105+L105+M105</f>
        <v>#N/A</v>
      </c>
      <c r="P105" s="1596"/>
      <c r="Q105" s="1546">
        <f t="shared" si="155"/>
        <v>2015</v>
      </c>
      <c r="R105" s="1597" t="e">
        <f>'Backup INPUTS'!Q390/'Backup INPUTS'!$C$578/1000</f>
        <v>#N/A</v>
      </c>
      <c r="S105" s="1597" t="e">
        <f>'Backup INPUTS'!R390/'Backup INPUTS'!$C$578/1000</f>
        <v>#N/A</v>
      </c>
      <c r="T105" s="1597" t="e">
        <f>'Backup INPUTS'!S390/'Backup INPUTS'!$C$578/1000</f>
        <v>#N/A</v>
      </c>
      <c r="U105" s="1597" t="e">
        <f t="shared" ref="U105:U110" si="163">R105+S105</f>
        <v>#N/A</v>
      </c>
      <c r="V105" s="1598" t="e">
        <f t="shared" ref="V105:V110" si="164">R105+S105+T105</f>
        <v>#N/A</v>
      </c>
      <c r="W105" s="1596"/>
      <c r="X105" s="1546">
        <f t="shared" si="156"/>
        <v>2015</v>
      </c>
      <c r="Y105" s="1599" t="e">
        <f>('Backup INPUTS'!Q404+'Backup INPUTS'!Q416)/'Backup INPUTS'!$C$578/1000</f>
        <v>#N/A</v>
      </c>
      <c r="Z105" s="1599" t="e">
        <f>('Backup INPUTS'!R404+'Backup INPUTS'!R416)/'Backup INPUTS'!$C$578/1000</f>
        <v>#N/A</v>
      </c>
      <c r="AA105" s="1599" t="e">
        <f>('Backup INPUTS'!S404+'Backup INPUTS'!S416)/'Backup INPUTS'!$C$578/1000</f>
        <v>#N/A</v>
      </c>
      <c r="AB105" s="1599" t="e">
        <f t="shared" ref="AB105:AB110" si="165">Y105+Z105</f>
        <v>#N/A</v>
      </c>
      <c r="AC105" s="1600" t="e">
        <f t="shared" ref="AC105:AC110" si="166">Y105+Z105+AA105</f>
        <v>#N/A</v>
      </c>
      <c r="AD105" s="1596"/>
      <c r="AE105" s="1546">
        <f t="shared" si="157"/>
        <v>2015</v>
      </c>
      <c r="AF105" s="1601" t="e">
        <f>'Backup INPUTS'!Q431/'Backup INPUTS'!$C$578/1000</f>
        <v>#N/A</v>
      </c>
      <c r="AG105" s="1601" t="e">
        <f>'Backup INPUTS'!R431/'Backup INPUTS'!$C$578/1000</f>
        <v>#N/A</v>
      </c>
      <c r="AH105" s="1601" t="e">
        <f>'Backup INPUTS'!S431/'Backup INPUTS'!$C$578/1000</f>
        <v>#N/A</v>
      </c>
      <c r="AI105" s="1601" t="e">
        <f t="shared" ref="AI105:AI110" si="167">AF105+AG105</f>
        <v>#N/A</v>
      </c>
      <c r="AJ105" s="1602" t="e">
        <f t="shared" ref="AJ105:AJ110" si="168">AF105+AG105+AH105</f>
        <v>#N/A</v>
      </c>
      <c r="AL105" s="1681"/>
      <c r="AM105" s="1681"/>
      <c r="AN105" s="1681"/>
      <c r="AO105" s="1681"/>
      <c r="AP105" s="1681"/>
      <c r="AQ105" s="1681"/>
      <c r="AR105" s="1681"/>
      <c r="AS105" s="1681"/>
      <c r="AT105" s="1681"/>
      <c r="AU105" s="1681"/>
      <c r="AV105" s="1681"/>
      <c r="AW105" s="1681"/>
      <c r="AX105" s="1683"/>
      <c r="AY105" s="1683"/>
      <c r="AZ105" s="1683"/>
      <c r="BA105" s="1681"/>
    </row>
    <row r="106" spans="1:53" s="1562" customFormat="1" ht="16.5" x14ac:dyDescent="0.25">
      <c r="A106" s="1545"/>
      <c r="B106" s="2571"/>
      <c r="C106" s="1546">
        <f t="shared" si="153"/>
        <v>2016</v>
      </c>
      <c r="D106" s="1591" t="e">
        <f t="shared" si="158"/>
        <v>#N/A</v>
      </c>
      <c r="E106" s="1591" t="e">
        <f t="shared" si="158"/>
        <v>#N/A</v>
      </c>
      <c r="F106" s="1591" t="e">
        <f t="shared" si="158"/>
        <v>#N/A</v>
      </c>
      <c r="G106" s="1591" t="e">
        <f t="shared" si="159"/>
        <v>#N/A</v>
      </c>
      <c r="H106" s="1592" t="e">
        <f t="shared" si="160"/>
        <v>#N/A</v>
      </c>
      <c r="I106" s="1593"/>
      <c r="J106" s="1546">
        <f t="shared" si="154"/>
        <v>2016</v>
      </c>
      <c r="K106" s="1696" t="e">
        <f>'Backup INPUTS'!Q366/'Backup INPUTS'!$C$578/1000</f>
        <v>#N/A</v>
      </c>
      <c r="L106" s="1696" t="e">
        <f>'Backup INPUTS'!R366/'Backup INPUTS'!$C$578/1000</f>
        <v>#N/A</v>
      </c>
      <c r="M106" s="1696" t="e">
        <f>'Backup INPUTS'!S366/'Backup INPUTS'!$C$578/1000</f>
        <v>#N/A</v>
      </c>
      <c r="N106" s="1697" t="e">
        <f t="shared" si="161"/>
        <v>#N/A</v>
      </c>
      <c r="O106" s="1698" t="e">
        <f t="shared" si="162"/>
        <v>#N/A</v>
      </c>
      <c r="P106" s="1596"/>
      <c r="Q106" s="1546">
        <f t="shared" si="155"/>
        <v>2016</v>
      </c>
      <c r="R106" s="1597" t="e">
        <f>'Backup INPUTS'!Q391/'Backup INPUTS'!$C$578/1000</f>
        <v>#N/A</v>
      </c>
      <c r="S106" s="1597" t="e">
        <f>'Backup INPUTS'!R391/'Backup INPUTS'!$C$578/1000</f>
        <v>#N/A</v>
      </c>
      <c r="T106" s="1597" t="e">
        <f>'Backup INPUTS'!S391/'Backup INPUTS'!$C$578/1000</f>
        <v>#N/A</v>
      </c>
      <c r="U106" s="1597" t="e">
        <f t="shared" si="163"/>
        <v>#N/A</v>
      </c>
      <c r="V106" s="1598" t="e">
        <f t="shared" si="164"/>
        <v>#N/A</v>
      </c>
      <c r="W106" s="1596"/>
      <c r="X106" s="1546">
        <f t="shared" si="156"/>
        <v>2016</v>
      </c>
      <c r="Y106" s="1599" t="e">
        <f>('Backup INPUTS'!Q405+'Backup INPUTS'!Q417)/'Backup INPUTS'!$C$578/1000</f>
        <v>#N/A</v>
      </c>
      <c r="Z106" s="1599" t="e">
        <f>('Backup INPUTS'!R405+'Backup INPUTS'!R417)/'Backup INPUTS'!$C$578/1000</f>
        <v>#N/A</v>
      </c>
      <c r="AA106" s="1599" t="e">
        <f>('Backup INPUTS'!S405+'Backup INPUTS'!S417)/'Backup INPUTS'!$C$578/1000</f>
        <v>#N/A</v>
      </c>
      <c r="AB106" s="1599" t="e">
        <f t="shared" si="165"/>
        <v>#N/A</v>
      </c>
      <c r="AC106" s="1600" t="e">
        <f t="shared" si="166"/>
        <v>#N/A</v>
      </c>
      <c r="AD106" s="1596"/>
      <c r="AE106" s="1546">
        <f t="shared" si="157"/>
        <v>2016</v>
      </c>
      <c r="AF106" s="1601" t="e">
        <f>'Backup INPUTS'!Q432/'Backup INPUTS'!$C$578/1000</f>
        <v>#N/A</v>
      </c>
      <c r="AG106" s="1601" t="e">
        <f>'Backup INPUTS'!R432/'Backup INPUTS'!$C$578/1000</f>
        <v>#N/A</v>
      </c>
      <c r="AH106" s="1601" t="e">
        <f>'Backup INPUTS'!S432/'Backup INPUTS'!$C$578/1000</f>
        <v>#N/A</v>
      </c>
      <c r="AI106" s="1601" t="e">
        <f t="shared" si="167"/>
        <v>#N/A</v>
      </c>
      <c r="AJ106" s="1602" t="e">
        <f t="shared" si="168"/>
        <v>#N/A</v>
      </c>
      <c r="AL106" s="1681"/>
      <c r="AM106" s="1681"/>
      <c r="AN106" s="1681"/>
      <c r="AO106" s="1681"/>
      <c r="AP106" s="1681"/>
      <c r="AQ106" s="1681"/>
      <c r="AR106" s="1681"/>
      <c r="AS106" s="1681"/>
      <c r="AT106" s="1681"/>
      <c r="AU106" s="1681"/>
      <c r="AV106" s="1681"/>
      <c r="AW106" s="1681"/>
      <c r="AX106" s="1683"/>
      <c r="AY106" s="1683"/>
      <c r="AZ106" s="1683"/>
      <c r="BA106" s="1681"/>
    </row>
    <row r="107" spans="1:53" s="1562" customFormat="1" ht="16.5" x14ac:dyDescent="0.25">
      <c r="A107" s="1545"/>
      <c r="B107" s="2571"/>
      <c r="C107" s="1546">
        <f t="shared" si="153"/>
        <v>2017</v>
      </c>
      <c r="D107" s="1591" t="e">
        <f t="shared" si="158"/>
        <v>#N/A</v>
      </c>
      <c r="E107" s="1591" t="e">
        <f t="shared" si="158"/>
        <v>#N/A</v>
      </c>
      <c r="F107" s="1591" t="e">
        <f t="shared" si="158"/>
        <v>#N/A</v>
      </c>
      <c r="G107" s="1591" t="e">
        <f t="shared" si="159"/>
        <v>#N/A</v>
      </c>
      <c r="H107" s="1592" t="e">
        <f t="shared" si="160"/>
        <v>#N/A</v>
      </c>
      <c r="I107" s="1593"/>
      <c r="J107" s="1546">
        <f t="shared" si="154"/>
        <v>2017</v>
      </c>
      <c r="K107" s="1696" t="e">
        <f>'Backup INPUTS'!Q367/'Backup INPUTS'!$C$578/1000</f>
        <v>#N/A</v>
      </c>
      <c r="L107" s="1696" t="e">
        <f>'Backup INPUTS'!R367/'Backup INPUTS'!$C$578/1000</f>
        <v>#N/A</v>
      </c>
      <c r="M107" s="1696" t="e">
        <f>'Backup INPUTS'!S367/'Backup INPUTS'!$C$578/1000</f>
        <v>#N/A</v>
      </c>
      <c r="N107" s="1697" t="e">
        <f t="shared" si="161"/>
        <v>#N/A</v>
      </c>
      <c r="O107" s="1698" t="e">
        <f t="shared" si="162"/>
        <v>#N/A</v>
      </c>
      <c r="P107" s="1596"/>
      <c r="Q107" s="1546">
        <f t="shared" si="155"/>
        <v>2017</v>
      </c>
      <c r="R107" s="1597" t="e">
        <f>'Backup INPUTS'!Q392/'Backup INPUTS'!$C$578/1000</f>
        <v>#N/A</v>
      </c>
      <c r="S107" s="1597" t="e">
        <f>'Backup INPUTS'!R392/'Backup INPUTS'!$C$578/1000</f>
        <v>#N/A</v>
      </c>
      <c r="T107" s="1597" t="e">
        <f>'Backup INPUTS'!S392/'Backup INPUTS'!$C$578/1000</f>
        <v>#N/A</v>
      </c>
      <c r="U107" s="1597" t="e">
        <f t="shared" si="163"/>
        <v>#N/A</v>
      </c>
      <c r="V107" s="1598" t="e">
        <f t="shared" si="164"/>
        <v>#N/A</v>
      </c>
      <c r="W107" s="1596"/>
      <c r="X107" s="1546">
        <f t="shared" si="156"/>
        <v>2017</v>
      </c>
      <c r="Y107" s="1599" t="e">
        <f>('Backup INPUTS'!Q406+'Backup INPUTS'!Q418)/'Backup INPUTS'!$C$578/1000</f>
        <v>#N/A</v>
      </c>
      <c r="Z107" s="1599" t="e">
        <f>('Backup INPUTS'!R406+'Backup INPUTS'!R418)/'Backup INPUTS'!$C$578/1000</f>
        <v>#N/A</v>
      </c>
      <c r="AA107" s="1599" t="e">
        <f>('Backup INPUTS'!S406+'Backup INPUTS'!S418)/'Backup INPUTS'!$C$578/1000</f>
        <v>#N/A</v>
      </c>
      <c r="AB107" s="1599" t="e">
        <f t="shared" si="165"/>
        <v>#N/A</v>
      </c>
      <c r="AC107" s="1600" t="e">
        <f t="shared" si="166"/>
        <v>#N/A</v>
      </c>
      <c r="AD107" s="1596"/>
      <c r="AE107" s="1546">
        <f t="shared" si="157"/>
        <v>2017</v>
      </c>
      <c r="AF107" s="1601" t="e">
        <f>'Backup INPUTS'!Q433/'Backup INPUTS'!$C$578/1000</f>
        <v>#N/A</v>
      </c>
      <c r="AG107" s="1601" t="e">
        <f>'Backup INPUTS'!R433/'Backup INPUTS'!$C$578/1000</f>
        <v>#N/A</v>
      </c>
      <c r="AH107" s="1601" t="e">
        <f>'Backup INPUTS'!S433/'Backup INPUTS'!$C$578/1000</f>
        <v>#N/A</v>
      </c>
      <c r="AI107" s="1601" t="e">
        <f t="shared" si="167"/>
        <v>#N/A</v>
      </c>
      <c r="AJ107" s="1602" t="e">
        <f t="shared" si="168"/>
        <v>#N/A</v>
      </c>
      <c r="AL107" s="1681"/>
      <c r="AM107" s="1681"/>
      <c r="AN107" s="1681"/>
      <c r="AO107" s="1681"/>
      <c r="AP107" s="1681"/>
      <c r="AQ107" s="1681"/>
      <c r="AR107" s="1681"/>
      <c r="AS107" s="1681"/>
      <c r="AT107" s="1681"/>
      <c r="AU107" s="1681"/>
      <c r="AV107" s="1681"/>
      <c r="AW107" s="1681"/>
      <c r="AX107" s="1683"/>
      <c r="AY107" s="1683"/>
      <c r="AZ107" s="1683"/>
      <c r="BA107" s="1681"/>
    </row>
    <row r="108" spans="1:53" s="1562" customFormat="1" ht="16.5" x14ac:dyDescent="0.25">
      <c r="A108" s="1545"/>
      <c r="B108" s="2571"/>
      <c r="C108" s="1546">
        <f t="shared" si="153"/>
        <v>2018</v>
      </c>
      <c r="D108" s="1591" t="e">
        <f t="shared" si="158"/>
        <v>#N/A</v>
      </c>
      <c r="E108" s="1591" t="e">
        <f t="shared" si="158"/>
        <v>#N/A</v>
      </c>
      <c r="F108" s="1591" t="e">
        <f t="shared" si="158"/>
        <v>#N/A</v>
      </c>
      <c r="G108" s="1591" t="e">
        <f t="shared" si="159"/>
        <v>#N/A</v>
      </c>
      <c r="H108" s="1592" t="e">
        <f t="shared" si="160"/>
        <v>#N/A</v>
      </c>
      <c r="I108" s="1593"/>
      <c r="J108" s="1546">
        <f t="shared" si="154"/>
        <v>2018</v>
      </c>
      <c r="K108" s="1696" t="e">
        <f>'Backup INPUTS'!Q368/'Backup INPUTS'!$C$578/1000</f>
        <v>#N/A</v>
      </c>
      <c r="L108" s="1696" t="e">
        <f>'Backup INPUTS'!R368/'Backup INPUTS'!$C$578/1000</f>
        <v>#N/A</v>
      </c>
      <c r="M108" s="1696" t="e">
        <f>'Backup INPUTS'!S368/'Backup INPUTS'!$C$578/1000</f>
        <v>#N/A</v>
      </c>
      <c r="N108" s="1697" t="e">
        <f t="shared" si="161"/>
        <v>#N/A</v>
      </c>
      <c r="O108" s="1698" t="e">
        <f t="shared" si="162"/>
        <v>#N/A</v>
      </c>
      <c r="P108" s="1596"/>
      <c r="Q108" s="1546">
        <f t="shared" si="155"/>
        <v>2018</v>
      </c>
      <c r="R108" s="1597" t="e">
        <f>'Backup INPUTS'!Q393/'Backup INPUTS'!$C$578/1000</f>
        <v>#N/A</v>
      </c>
      <c r="S108" s="1597" t="e">
        <f>'Backup INPUTS'!R393/'Backup INPUTS'!$C$578/1000</f>
        <v>#N/A</v>
      </c>
      <c r="T108" s="1597" t="e">
        <f>'Backup INPUTS'!S393/'Backup INPUTS'!$C$578/1000</f>
        <v>#N/A</v>
      </c>
      <c r="U108" s="1597" t="e">
        <f t="shared" si="163"/>
        <v>#N/A</v>
      </c>
      <c r="V108" s="1598" t="e">
        <f t="shared" si="164"/>
        <v>#N/A</v>
      </c>
      <c r="W108" s="1596"/>
      <c r="X108" s="1546">
        <f t="shared" si="156"/>
        <v>2018</v>
      </c>
      <c r="Y108" s="1599" t="e">
        <f>('Backup INPUTS'!Q407+'Backup INPUTS'!Q419)/'Backup INPUTS'!$C$578/1000</f>
        <v>#N/A</v>
      </c>
      <c r="Z108" s="1599" t="e">
        <f>('Backup INPUTS'!R407+'Backup INPUTS'!R419)/'Backup INPUTS'!$C$578/1000</f>
        <v>#N/A</v>
      </c>
      <c r="AA108" s="1599" t="e">
        <f>('Backup INPUTS'!S407+'Backup INPUTS'!S419)/'Backup INPUTS'!$C$578/1000</f>
        <v>#N/A</v>
      </c>
      <c r="AB108" s="1599" t="e">
        <f t="shared" si="165"/>
        <v>#N/A</v>
      </c>
      <c r="AC108" s="1600" t="e">
        <f t="shared" si="166"/>
        <v>#N/A</v>
      </c>
      <c r="AD108" s="1596"/>
      <c r="AE108" s="1546">
        <f t="shared" si="157"/>
        <v>2018</v>
      </c>
      <c r="AF108" s="1601" t="e">
        <f>'Backup INPUTS'!Q434/'Backup INPUTS'!$C$578/1000</f>
        <v>#N/A</v>
      </c>
      <c r="AG108" s="1601" t="e">
        <f>'Backup INPUTS'!R434/'Backup INPUTS'!$C$578/1000</f>
        <v>#N/A</v>
      </c>
      <c r="AH108" s="1601" t="e">
        <f>'Backup INPUTS'!S434/'Backup INPUTS'!$C$578/1000</f>
        <v>#N/A</v>
      </c>
      <c r="AI108" s="1601" t="e">
        <f t="shared" si="167"/>
        <v>#N/A</v>
      </c>
      <c r="AJ108" s="1602" t="e">
        <f t="shared" si="168"/>
        <v>#N/A</v>
      </c>
      <c r="AL108" s="1681"/>
      <c r="AM108" s="1681"/>
      <c r="AN108" s="1681"/>
      <c r="AO108" s="1681"/>
      <c r="AP108" s="1681"/>
      <c r="AQ108" s="1681"/>
      <c r="AR108" s="1681"/>
      <c r="AS108" s="1681"/>
      <c r="AT108" s="1681"/>
      <c r="AU108" s="1681"/>
      <c r="AV108" s="1681"/>
      <c r="AW108" s="1681"/>
      <c r="AX108" s="1683"/>
      <c r="AY108" s="1683"/>
      <c r="AZ108" s="1683"/>
      <c r="BA108" s="1681"/>
    </row>
    <row r="109" spans="1:53" s="1562" customFormat="1" ht="16.5" x14ac:dyDescent="0.25">
      <c r="A109" s="1545"/>
      <c r="B109" s="2571"/>
      <c r="C109" s="1546">
        <f t="shared" si="153"/>
        <v>2019</v>
      </c>
      <c r="D109" s="1591" t="e">
        <f t="shared" si="158"/>
        <v>#N/A</v>
      </c>
      <c r="E109" s="1591" t="e">
        <f t="shared" si="158"/>
        <v>#N/A</v>
      </c>
      <c r="F109" s="1591" t="e">
        <f t="shared" si="158"/>
        <v>#N/A</v>
      </c>
      <c r="G109" s="1591" t="e">
        <f t="shared" si="159"/>
        <v>#N/A</v>
      </c>
      <c r="H109" s="1592" t="e">
        <f t="shared" si="160"/>
        <v>#N/A</v>
      </c>
      <c r="I109" s="1593"/>
      <c r="J109" s="1546">
        <f t="shared" si="154"/>
        <v>2019</v>
      </c>
      <c r="K109" s="1696" t="e">
        <f>'Backup INPUTS'!Q369/'Backup INPUTS'!$C$578/1000</f>
        <v>#N/A</v>
      </c>
      <c r="L109" s="1696" t="e">
        <f>'Backup INPUTS'!R369/'Backup INPUTS'!$C$578/1000</f>
        <v>#N/A</v>
      </c>
      <c r="M109" s="1696" t="e">
        <f>'Backup INPUTS'!S369/'Backup INPUTS'!$C$578/1000</f>
        <v>#N/A</v>
      </c>
      <c r="N109" s="1697" t="e">
        <f t="shared" si="161"/>
        <v>#N/A</v>
      </c>
      <c r="O109" s="1698" t="e">
        <f t="shared" si="162"/>
        <v>#N/A</v>
      </c>
      <c r="P109" s="1596"/>
      <c r="Q109" s="1546">
        <f t="shared" si="155"/>
        <v>2019</v>
      </c>
      <c r="R109" s="1597" t="e">
        <f>'Backup INPUTS'!Q394/'Backup INPUTS'!$C$578/1000</f>
        <v>#N/A</v>
      </c>
      <c r="S109" s="1597" t="e">
        <f>'Backup INPUTS'!R394/'Backup INPUTS'!$C$578/1000</f>
        <v>#N/A</v>
      </c>
      <c r="T109" s="1597" t="e">
        <f>'Backup INPUTS'!S394/'Backup INPUTS'!$C$578/1000</f>
        <v>#N/A</v>
      </c>
      <c r="U109" s="1597" t="e">
        <f t="shared" si="163"/>
        <v>#N/A</v>
      </c>
      <c r="V109" s="1598" t="e">
        <f t="shared" si="164"/>
        <v>#N/A</v>
      </c>
      <c r="W109" s="1596"/>
      <c r="X109" s="1546">
        <f t="shared" si="156"/>
        <v>2019</v>
      </c>
      <c r="Y109" s="1599" t="e">
        <f>('Backup INPUTS'!Q408+'Backup INPUTS'!Q420)/'Backup INPUTS'!$C$578/1000</f>
        <v>#N/A</v>
      </c>
      <c r="Z109" s="1599" t="e">
        <f>('Backup INPUTS'!R408+'Backup INPUTS'!R420)/'Backup INPUTS'!$C$578/1000</f>
        <v>#N/A</v>
      </c>
      <c r="AA109" s="1599" t="e">
        <f>('Backup INPUTS'!S408+'Backup INPUTS'!S420)/'Backup INPUTS'!$C$578/1000</f>
        <v>#N/A</v>
      </c>
      <c r="AB109" s="1599" t="e">
        <f t="shared" si="165"/>
        <v>#N/A</v>
      </c>
      <c r="AC109" s="1600" t="e">
        <f t="shared" si="166"/>
        <v>#N/A</v>
      </c>
      <c r="AD109" s="1596"/>
      <c r="AE109" s="1546">
        <f t="shared" si="157"/>
        <v>2019</v>
      </c>
      <c r="AF109" s="1601" t="e">
        <f>'Backup INPUTS'!Q435/'Backup INPUTS'!$C$578/1000</f>
        <v>#N/A</v>
      </c>
      <c r="AG109" s="1601" t="e">
        <f>'Backup INPUTS'!R435/'Backup INPUTS'!$C$578/1000</f>
        <v>#N/A</v>
      </c>
      <c r="AH109" s="1601" t="e">
        <f>'Backup INPUTS'!S435/'Backup INPUTS'!$C$578/1000</f>
        <v>#N/A</v>
      </c>
      <c r="AI109" s="1601" t="e">
        <f t="shared" si="167"/>
        <v>#N/A</v>
      </c>
      <c r="AJ109" s="1602" t="e">
        <f t="shared" si="168"/>
        <v>#N/A</v>
      </c>
      <c r="AL109" s="1681"/>
      <c r="AM109" s="1681"/>
      <c r="AN109" s="1681"/>
      <c r="AO109" s="1681"/>
      <c r="AP109" s="1681"/>
      <c r="AQ109" s="1681"/>
      <c r="AR109" s="1681"/>
      <c r="AS109" s="1681"/>
      <c r="AT109" s="1681"/>
      <c r="AU109" s="1681"/>
      <c r="AV109" s="1681"/>
      <c r="AW109" s="1681"/>
      <c r="AX109" s="1683"/>
      <c r="AY109" s="1683"/>
      <c r="AZ109" s="1683"/>
      <c r="BA109" s="1681"/>
    </row>
    <row r="110" spans="1:53" s="1562" customFormat="1" ht="16.5" x14ac:dyDescent="0.25">
      <c r="A110" s="1545"/>
      <c r="B110" s="2572"/>
      <c r="C110" s="1546">
        <f t="shared" si="153"/>
        <v>2020</v>
      </c>
      <c r="D110" s="1591" t="e">
        <f t="shared" si="158"/>
        <v>#N/A</v>
      </c>
      <c r="E110" s="1591" t="e">
        <f t="shared" si="158"/>
        <v>#N/A</v>
      </c>
      <c r="F110" s="1591" t="e">
        <f t="shared" si="158"/>
        <v>#N/A</v>
      </c>
      <c r="G110" s="1591" t="e">
        <f t="shared" si="159"/>
        <v>#N/A</v>
      </c>
      <c r="H110" s="1592" t="e">
        <f t="shared" si="160"/>
        <v>#N/A</v>
      </c>
      <c r="I110" s="1593"/>
      <c r="J110" s="1546">
        <f t="shared" si="154"/>
        <v>2020</v>
      </c>
      <c r="K110" s="1696" t="e">
        <f>'Backup INPUTS'!Q370/'Backup INPUTS'!$C$578/1000</f>
        <v>#N/A</v>
      </c>
      <c r="L110" s="1696" t="e">
        <f>'Backup INPUTS'!R370/'Backup INPUTS'!$C$578/1000</f>
        <v>#N/A</v>
      </c>
      <c r="M110" s="1696" t="e">
        <f>'Backup INPUTS'!S370/'Backup INPUTS'!$C$578/1000</f>
        <v>#N/A</v>
      </c>
      <c r="N110" s="1697" t="e">
        <f t="shared" si="161"/>
        <v>#N/A</v>
      </c>
      <c r="O110" s="1698" t="e">
        <f t="shared" si="162"/>
        <v>#N/A</v>
      </c>
      <c r="P110" s="1596"/>
      <c r="Q110" s="1546">
        <f t="shared" si="155"/>
        <v>2020</v>
      </c>
      <c r="R110" s="1597" t="e">
        <f>'Backup INPUTS'!Q395/'Backup INPUTS'!$C$578/1000</f>
        <v>#N/A</v>
      </c>
      <c r="S110" s="1597" t="e">
        <f>'Backup INPUTS'!R395/'Backup INPUTS'!$C$578/1000</f>
        <v>#N/A</v>
      </c>
      <c r="T110" s="1597" t="e">
        <f>'Backup INPUTS'!S395/'Backup INPUTS'!$C$578/1000</f>
        <v>#N/A</v>
      </c>
      <c r="U110" s="1597" t="e">
        <f t="shared" si="163"/>
        <v>#N/A</v>
      </c>
      <c r="V110" s="1598" t="e">
        <f t="shared" si="164"/>
        <v>#N/A</v>
      </c>
      <c r="W110" s="1596"/>
      <c r="X110" s="1546">
        <f t="shared" si="156"/>
        <v>2020</v>
      </c>
      <c r="Y110" s="1599" t="e">
        <f>('Backup INPUTS'!Q409+'Backup INPUTS'!Q421)/'Backup INPUTS'!$C$578/1000</f>
        <v>#N/A</v>
      </c>
      <c r="Z110" s="1599" t="e">
        <f>('Backup INPUTS'!R409+'Backup INPUTS'!R421)/'Backup INPUTS'!$C$578/1000</f>
        <v>#N/A</v>
      </c>
      <c r="AA110" s="1599" t="e">
        <f>('Backup INPUTS'!S409+'Backup INPUTS'!S421)/'Backup INPUTS'!$C$578/1000</f>
        <v>#N/A</v>
      </c>
      <c r="AB110" s="1599" t="e">
        <f t="shared" si="165"/>
        <v>#N/A</v>
      </c>
      <c r="AC110" s="1600" t="e">
        <f t="shared" si="166"/>
        <v>#N/A</v>
      </c>
      <c r="AD110" s="1596"/>
      <c r="AE110" s="1546">
        <f t="shared" si="157"/>
        <v>2020</v>
      </c>
      <c r="AF110" s="1601" t="e">
        <f>'Backup INPUTS'!Q436/'Backup INPUTS'!$C$578/1000</f>
        <v>#N/A</v>
      </c>
      <c r="AG110" s="1601" t="e">
        <f>'Backup INPUTS'!R436/'Backup INPUTS'!$C$578/1000</f>
        <v>#N/A</v>
      </c>
      <c r="AH110" s="1601" t="e">
        <f>'Backup INPUTS'!S436/'Backup INPUTS'!$C$578/1000</f>
        <v>#N/A</v>
      </c>
      <c r="AI110" s="1601" t="e">
        <f t="shared" si="167"/>
        <v>#N/A</v>
      </c>
      <c r="AJ110" s="1602" t="e">
        <f t="shared" si="168"/>
        <v>#N/A</v>
      </c>
      <c r="AL110" s="1681"/>
      <c r="AM110" s="1681"/>
      <c r="AN110" s="1681"/>
      <c r="AO110" s="1681"/>
      <c r="AP110" s="1681"/>
      <c r="AQ110" s="1681"/>
      <c r="AR110" s="1681"/>
      <c r="AS110" s="1681"/>
      <c r="AT110" s="1681"/>
      <c r="AU110" s="1681"/>
      <c r="AV110" s="1681"/>
      <c r="AW110" s="1681"/>
      <c r="AX110" s="1683"/>
      <c r="AY110" s="1683"/>
      <c r="AZ110" s="1683"/>
      <c r="BA110" s="1681"/>
    </row>
    <row r="111" spans="1:53" s="1545" customFormat="1" ht="16.5" x14ac:dyDescent="0.25">
      <c r="B111" s="1564"/>
      <c r="C111" s="1565"/>
      <c r="D111" s="1565"/>
      <c r="E111" s="1566"/>
      <c r="F111" s="1566"/>
      <c r="G111" s="1566"/>
      <c r="H111" s="1566"/>
      <c r="I111" s="1566"/>
      <c r="J111" s="1565"/>
      <c r="K111" s="1565"/>
      <c r="L111" s="1567"/>
      <c r="M111" s="1567"/>
      <c r="N111" s="1567"/>
      <c r="O111" s="1567"/>
      <c r="P111" s="1567"/>
      <c r="Q111" s="1565"/>
      <c r="R111" s="1567"/>
      <c r="S111" s="1567"/>
      <c r="T111" s="1567"/>
      <c r="U111" s="1567"/>
      <c r="V111" s="1565"/>
      <c r="W111" s="1565"/>
      <c r="X111" s="1565"/>
      <c r="Y111" s="1565"/>
      <c r="Z111" s="1565"/>
      <c r="AA111" s="1565"/>
      <c r="AB111" s="1565"/>
      <c r="AC111" s="1565"/>
      <c r="AD111" s="1565"/>
      <c r="AE111" s="1565"/>
      <c r="AF111" s="1565"/>
      <c r="AG111" s="1565"/>
      <c r="AH111" s="1565"/>
      <c r="AI111" s="1565"/>
      <c r="AJ111" s="1565"/>
      <c r="AL111" s="1684"/>
      <c r="AM111" s="1684"/>
      <c r="AN111" s="1684"/>
      <c r="AO111" s="1684"/>
      <c r="AP111" s="1684"/>
      <c r="AQ111" s="1684"/>
      <c r="AR111" s="1684"/>
      <c r="AS111" s="1684"/>
      <c r="AT111" s="1684"/>
      <c r="AU111" s="1684"/>
      <c r="AV111" s="1684"/>
      <c r="AW111" s="1684"/>
      <c r="AX111" s="1685"/>
      <c r="AY111" s="1685"/>
      <c r="AZ111" s="1685"/>
      <c r="BA111" s="1684"/>
    </row>
    <row r="112" spans="1:53" s="1590" customFormat="1" ht="16.5" customHeight="1" x14ac:dyDescent="0.25">
      <c r="A112" s="1589"/>
      <c r="B112" s="2569" t="s">
        <v>1761</v>
      </c>
      <c r="C112" s="1699"/>
      <c r="D112" s="1571" t="str">
        <f>D$59</f>
        <v>Total (Manufacturing, Installation, Fuel, and Maintenance)</v>
      </c>
      <c r="E112" s="1700"/>
      <c r="F112" s="1700"/>
      <c r="G112" s="1700"/>
      <c r="H112" s="1701"/>
      <c r="I112" s="1573"/>
      <c r="J112" s="1570"/>
      <c r="K112" s="1662" t="str">
        <f>K102</f>
        <v>Backup Power Fuel Cell Manufacturing, Development, Sales, and Shipping</v>
      </c>
      <c r="L112" s="1687"/>
      <c r="M112" s="1687"/>
      <c r="N112" s="1687"/>
      <c r="O112" s="1687"/>
      <c r="P112" s="1576"/>
      <c r="Q112" s="1570"/>
      <c r="R112" s="1577" t="str">
        <f>R102</f>
        <v>Backup Power Fuel Cell Installation and Fuel Storage</v>
      </c>
      <c r="S112" s="1578"/>
      <c r="T112" s="1578"/>
      <c r="U112" s="1578"/>
      <c r="V112" s="1578"/>
      <c r="W112" s="1576"/>
      <c r="X112" s="1570"/>
      <c r="Y112" s="1579" t="str">
        <f>Y102</f>
        <v>Hydrogen Fuel Production and Delivery</v>
      </c>
      <c r="Z112" s="1580"/>
      <c r="AA112" s="1580"/>
      <c r="AB112" s="1580"/>
      <c r="AC112" s="1580"/>
      <c r="AD112" s="1576"/>
      <c r="AE112" s="1570"/>
      <c r="AF112" s="1581" t="str">
        <f>AF102</f>
        <v>Backup Power Fuel Cell and Site Maintenance</v>
      </c>
      <c r="AG112" s="1582"/>
      <c r="AH112" s="1582"/>
      <c r="AI112" s="1582"/>
      <c r="AJ112" s="1582"/>
    </row>
    <row r="113" spans="1:53" s="1695" customFormat="1" ht="16.5" x14ac:dyDescent="0.25">
      <c r="A113" s="1688"/>
      <c r="B113" s="2313"/>
      <c r="C113" s="1689"/>
      <c r="D113" s="1506" t="str">
        <f>B112</f>
        <v>Gross Backup Power Fuel Cell Output (Thousands of 2010$)</v>
      </c>
      <c r="E113" s="1586"/>
      <c r="F113" s="1586"/>
      <c r="G113" s="1586"/>
      <c r="H113" s="1586"/>
      <c r="I113" s="1690"/>
      <c r="J113" s="1689"/>
      <c r="K113" s="1668" t="str">
        <f>D113</f>
        <v>Gross Backup Power Fuel Cell Output (Thousands of 2010$)</v>
      </c>
      <c r="L113" s="1669"/>
      <c r="M113" s="1691"/>
      <c r="N113" s="1691"/>
      <c r="O113" s="1691"/>
      <c r="P113" s="1692"/>
      <c r="Q113" s="1689"/>
      <c r="R113" s="1671" t="str">
        <f>K113</f>
        <v>Gross Backup Power Fuel Cell Output (Thousands of 2010$)</v>
      </c>
      <c r="S113" s="1523"/>
      <c r="T113" s="1588"/>
      <c r="U113" s="1588"/>
      <c r="V113" s="1588"/>
      <c r="W113" s="1692"/>
      <c r="X113" s="1689"/>
      <c r="Y113" s="1672" t="str">
        <f>R113</f>
        <v>Gross Backup Power Fuel Cell Output (Thousands of 2010$)</v>
      </c>
      <c r="Z113" s="1524"/>
      <c r="AA113" s="1693"/>
      <c r="AB113" s="1693"/>
      <c r="AC113" s="1693"/>
      <c r="AD113" s="1692"/>
      <c r="AE113" s="1689"/>
      <c r="AF113" s="1673" t="str">
        <f>Y113</f>
        <v>Gross Backup Power Fuel Cell Output (Thousands of 2010$)</v>
      </c>
      <c r="AG113" s="1525"/>
      <c r="AH113" s="1694"/>
      <c r="AI113" s="1694"/>
      <c r="AJ113" s="1694"/>
    </row>
    <row r="114" spans="1:53" s="1590" customFormat="1" ht="47.25" x14ac:dyDescent="0.25">
      <c r="A114" s="1589"/>
      <c r="B114" s="2313"/>
      <c r="C114" s="1585" t="str">
        <f t="shared" ref="C114:C120" si="169">C104</f>
        <v>Year</v>
      </c>
      <c r="D114" s="1528" t="str">
        <f>D$159&amp;" "&amp;D$160</f>
        <v>Gross BuP FC-related Direct</v>
      </c>
      <c r="E114" s="1528" t="str">
        <f>E$159&amp;" "&amp;E$160</f>
        <v>Gross BuP FC-related Indirect</v>
      </c>
      <c r="F114" s="1528" t="str">
        <f>F$159&amp;" "&amp;F$160</f>
        <v>Gross BuP FC-related Induced</v>
      </c>
      <c r="G114" s="1529" t="str">
        <f>G$159&amp;" "&amp;G$160</f>
        <v>Gross BuP FC-related Supply Chain</v>
      </c>
      <c r="H114" s="1529" t="str">
        <f>H$159&amp;" "&amp;H$160</f>
        <v>Gross BuP FC-related Total</v>
      </c>
      <c r="I114" s="1530"/>
      <c r="J114" s="1527" t="str">
        <f t="shared" ref="J114:J120" si="170">C114</f>
        <v>Year</v>
      </c>
      <c r="K114" s="1676" t="str">
        <f>K$159&amp;" "&amp;K$160</f>
        <v>Gross BuP Fuel Cell Direct</v>
      </c>
      <c r="L114" s="1676" t="str">
        <f>L$159&amp;" "&amp;L$160</f>
        <v>Gross BuP Fuel Cell Indirect</v>
      </c>
      <c r="M114" s="1676" t="str">
        <f>M$159&amp;" "&amp;M$160</f>
        <v>Gross BuP Fuel Cell Induced</v>
      </c>
      <c r="N114" s="1677" t="str">
        <f>N$159&amp;" "&amp;N$160</f>
        <v>Gross BuP Fuel Cell Supply Chain</v>
      </c>
      <c r="O114" s="1677" t="str">
        <f>O$159&amp;" "&amp;O$160</f>
        <v>Gross BuP Fuel Cell Total</v>
      </c>
      <c r="P114" s="1533"/>
      <c r="Q114" s="1527" t="str">
        <f t="shared" ref="Q114:Q120" si="171">J114</f>
        <v>Year</v>
      </c>
      <c r="R114" s="1534" t="str">
        <f>R$159&amp;" "&amp;R$160</f>
        <v>Gross BuP FC Installation Direct</v>
      </c>
      <c r="S114" s="1534" t="str">
        <f>S$159&amp;" "&amp;S$160</f>
        <v>Gross BuP FC Installation Indirect</v>
      </c>
      <c r="T114" s="1534" t="str">
        <f>T$159&amp;" "&amp;T$160</f>
        <v>Gross BuP FC Installation Induced</v>
      </c>
      <c r="U114" s="1535" t="str">
        <f>U$159&amp;" "&amp;U$160</f>
        <v>Gross BuP FC Installation Supply Chain</v>
      </c>
      <c r="V114" s="1535" t="str">
        <f>V$159&amp;" "&amp;V$160</f>
        <v>Gross BuP FC Installation Total</v>
      </c>
      <c r="W114" s="1533"/>
      <c r="X114" s="1527" t="str">
        <f t="shared" ref="X114:X120" si="172">Q114</f>
        <v>Year</v>
      </c>
      <c r="Y114" s="1536" t="str">
        <f>Y$159&amp;" "&amp;Y$160</f>
        <v>Gross BuP FC Fuel Direct</v>
      </c>
      <c r="Z114" s="1536" t="str">
        <f>Z$159&amp;" "&amp;Z$160</f>
        <v>Gross BuP FC Fuel Indirect</v>
      </c>
      <c r="AA114" s="1536" t="str">
        <f>AA$159&amp;" "&amp;AA$160</f>
        <v>Gross BuP FC Fuel Induced</v>
      </c>
      <c r="AB114" s="1537" t="str">
        <f>AB$159&amp;" "&amp;AB$160</f>
        <v>Gross BuP FC Fuel Supply Chain</v>
      </c>
      <c r="AC114" s="1537" t="str">
        <f>AC$159&amp;" "&amp;AC$160</f>
        <v>Gross BuP FC Fuel Total</v>
      </c>
      <c r="AD114" s="1533"/>
      <c r="AE114" s="1527" t="str">
        <f t="shared" ref="AE114:AE120" si="173">X114</f>
        <v>Year</v>
      </c>
      <c r="AF114" s="1538" t="str">
        <f>AF$159&amp;" "&amp;AF$160</f>
        <v>Gross BuP FC Maintenance Direct</v>
      </c>
      <c r="AG114" s="1538" t="str">
        <f>AG$159&amp;" "&amp;AG$160</f>
        <v>Gross BuP FC Maintenance Indirect</v>
      </c>
      <c r="AH114" s="1538" t="str">
        <f>AH$159&amp;" "&amp;AH$160</f>
        <v>Gross BuP FC Maintenance Induced</v>
      </c>
      <c r="AI114" s="1539" t="str">
        <f>AI$159&amp;" "&amp;AI$160</f>
        <v>Gross BuP FC Maintenance Supply Chain</v>
      </c>
      <c r="AJ114" s="1539" t="str">
        <f>AJ$159&amp;" "&amp;AJ$160</f>
        <v>Gross BuP FC Maintenance Total</v>
      </c>
    </row>
    <row r="115" spans="1:53" s="1562" customFormat="1" ht="15.75" x14ac:dyDescent="0.25">
      <c r="A115" s="1545"/>
      <c r="B115" s="2313"/>
      <c r="C115" s="1546">
        <f t="shared" si="169"/>
        <v>2015</v>
      </c>
      <c r="D115" s="1591" t="e">
        <f t="shared" ref="D115:F120" si="174">K115+R115+Y115+AF115</f>
        <v>#N/A</v>
      </c>
      <c r="E115" s="1591" t="e">
        <f t="shared" si="174"/>
        <v>#N/A</v>
      </c>
      <c r="F115" s="1591" t="e">
        <f t="shared" si="174"/>
        <v>#N/A</v>
      </c>
      <c r="G115" s="1591" t="e">
        <f t="shared" ref="G115:G120" si="175">D115+E115</f>
        <v>#N/A</v>
      </c>
      <c r="H115" s="1592" t="e">
        <f t="shared" ref="H115:H120" si="176">D115+E115+F115</f>
        <v>#N/A</v>
      </c>
      <c r="I115" s="1593"/>
      <c r="J115" s="1546">
        <f t="shared" si="170"/>
        <v>2015</v>
      </c>
      <c r="K115" s="1696" t="e">
        <f>'Backup INPUTS'!W365/'Backup INPUTS'!$C$578/1000</f>
        <v>#N/A</v>
      </c>
      <c r="L115" s="1696" t="e">
        <f>'Backup INPUTS'!X365/'Backup INPUTS'!$C$578/1000</f>
        <v>#N/A</v>
      </c>
      <c r="M115" s="1696" t="e">
        <f>'Backup INPUTS'!Y365/'Backup INPUTS'!$C$578/1000</f>
        <v>#N/A</v>
      </c>
      <c r="N115" s="1697" t="e">
        <f t="shared" ref="N115:N120" si="177">K115+L115</f>
        <v>#N/A</v>
      </c>
      <c r="O115" s="1698" t="e">
        <f t="shared" ref="O115:O120" si="178">K115+L115+M115</f>
        <v>#N/A</v>
      </c>
      <c r="P115" s="1596"/>
      <c r="Q115" s="1546">
        <f t="shared" si="171"/>
        <v>2015</v>
      </c>
      <c r="R115" s="1597" t="e">
        <f>'Backup INPUTS'!W390/'Backup INPUTS'!$C$578/1000</f>
        <v>#N/A</v>
      </c>
      <c r="S115" s="1597" t="e">
        <f>'Backup INPUTS'!X390/'Backup INPUTS'!$C$578/1000</f>
        <v>#N/A</v>
      </c>
      <c r="T115" s="1597" t="e">
        <f>'Backup INPUTS'!Y390/'Backup INPUTS'!$C$578/1000</f>
        <v>#N/A</v>
      </c>
      <c r="U115" s="1597" t="e">
        <f t="shared" ref="U115:U120" si="179">R115+S115</f>
        <v>#N/A</v>
      </c>
      <c r="V115" s="1598" t="e">
        <f t="shared" ref="V115:V120" si="180">R115+S115+T115</f>
        <v>#N/A</v>
      </c>
      <c r="W115" s="1596"/>
      <c r="X115" s="1546">
        <f t="shared" si="172"/>
        <v>2015</v>
      </c>
      <c r="Y115" s="1599" t="e">
        <f>('Backup INPUTS'!W404+'Backup INPUTS'!W416)/'Backup INPUTS'!$C$578/1000</f>
        <v>#N/A</v>
      </c>
      <c r="Z115" s="1599" t="e">
        <f>('Backup INPUTS'!X404+'Backup INPUTS'!X416)/'Backup INPUTS'!$C$578/1000</f>
        <v>#N/A</v>
      </c>
      <c r="AA115" s="1599" t="e">
        <f>('Backup INPUTS'!Y404+'Backup INPUTS'!Y416)/'Backup INPUTS'!$C$578/1000</f>
        <v>#N/A</v>
      </c>
      <c r="AB115" s="1599" t="e">
        <f t="shared" ref="AB115:AB120" si="181">Y115+Z115</f>
        <v>#N/A</v>
      </c>
      <c r="AC115" s="1600" t="e">
        <f t="shared" ref="AC115:AC120" si="182">Y115+Z115+AA115</f>
        <v>#N/A</v>
      </c>
      <c r="AD115" s="1596"/>
      <c r="AE115" s="1546">
        <f t="shared" si="173"/>
        <v>2015</v>
      </c>
      <c r="AF115" s="1601" t="e">
        <f>'Backup INPUTS'!W431/'Backup INPUTS'!$C$578/1000</f>
        <v>#N/A</v>
      </c>
      <c r="AG115" s="1601" t="e">
        <f>'Backup INPUTS'!X431/'Backup INPUTS'!$C$578/1000</f>
        <v>#N/A</v>
      </c>
      <c r="AH115" s="1601" t="e">
        <f>'Backup INPUTS'!Y431/'Backup INPUTS'!$C$578/1000</f>
        <v>#N/A</v>
      </c>
      <c r="AI115" s="1601" t="e">
        <f t="shared" ref="AI115:AI120" si="183">AF115+AG115</f>
        <v>#N/A</v>
      </c>
      <c r="AJ115" s="1602" t="e">
        <f t="shared" ref="AJ115:AJ120" si="184">AF115+AG115+AH115</f>
        <v>#N/A</v>
      </c>
    </row>
    <row r="116" spans="1:53" s="1562" customFormat="1" ht="15.75" x14ac:dyDescent="0.25">
      <c r="A116" s="1545"/>
      <c r="B116" s="2313"/>
      <c r="C116" s="1546">
        <f t="shared" si="169"/>
        <v>2016</v>
      </c>
      <c r="D116" s="1591" t="e">
        <f t="shared" si="174"/>
        <v>#N/A</v>
      </c>
      <c r="E116" s="1591" t="e">
        <f t="shared" si="174"/>
        <v>#N/A</v>
      </c>
      <c r="F116" s="1591" t="e">
        <f t="shared" si="174"/>
        <v>#N/A</v>
      </c>
      <c r="G116" s="1591" t="e">
        <f t="shared" si="175"/>
        <v>#N/A</v>
      </c>
      <c r="H116" s="1592" t="e">
        <f t="shared" si="176"/>
        <v>#N/A</v>
      </c>
      <c r="I116" s="1593"/>
      <c r="J116" s="1546">
        <f t="shared" si="170"/>
        <v>2016</v>
      </c>
      <c r="K116" s="1696" t="e">
        <f>'Backup INPUTS'!W366/'Backup INPUTS'!$C$578/1000</f>
        <v>#N/A</v>
      </c>
      <c r="L116" s="1696" t="e">
        <f>'Backup INPUTS'!X366/'Backup INPUTS'!$C$578/1000</f>
        <v>#N/A</v>
      </c>
      <c r="M116" s="1696" t="e">
        <f>'Backup INPUTS'!Y366/'Backup INPUTS'!$C$578/1000</f>
        <v>#N/A</v>
      </c>
      <c r="N116" s="1697" t="e">
        <f t="shared" si="177"/>
        <v>#N/A</v>
      </c>
      <c r="O116" s="1698" t="e">
        <f t="shared" si="178"/>
        <v>#N/A</v>
      </c>
      <c r="P116" s="1596"/>
      <c r="Q116" s="1546">
        <f t="shared" si="171"/>
        <v>2016</v>
      </c>
      <c r="R116" s="1597" t="e">
        <f>'Backup INPUTS'!W391/'Backup INPUTS'!$C$578/1000</f>
        <v>#N/A</v>
      </c>
      <c r="S116" s="1597" t="e">
        <f>'Backup INPUTS'!X391/'Backup INPUTS'!$C$578/1000</f>
        <v>#N/A</v>
      </c>
      <c r="T116" s="1597" t="e">
        <f>'Backup INPUTS'!Y391/'Backup INPUTS'!$C$578/1000</f>
        <v>#N/A</v>
      </c>
      <c r="U116" s="1597" t="e">
        <f t="shared" si="179"/>
        <v>#N/A</v>
      </c>
      <c r="V116" s="1598" t="e">
        <f t="shared" si="180"/>
        <v>#N/A</v>
      </c>
      <c r="W116" s="1596"/>
      <c r="X116" s="1546">
        <f t="shared" si="172"/>
        <v>2016</v>
      </c>
      <c r="Y116" s="1599" t="e">
        <f>('Backup INPUTS'!W405+'Backup INPUTS'!W417)/'Backup INPUTS'!$C$578/1000</f>
        <v>#N/A</v>
      </c>
      <c r="Z116" s="1599" t="e">
        <f>('Backup INPUTS'!X405+'Backup INPUTS'!X417)/'Backup INPUTS'!$C$578/1000</f>
        <v>#N/A</v>
      </c>
      <c r="AA116" s="1599" t="e">
        <f>('Backup INPUTS'!Y405+'Backup INPUTS'!Y417)/'Backup INPUTS'!$C$578/1000</f>
        <v>#N/A</v>
      </c>
      <c r="AB116" s="1599" t="e">
        <f t="shared" si="181"/>
        <v>#N/A</v>
      </c>
      <c r="AC116" s="1600" t="e">
        <f t="shared" si="182"/>
        <v>#N/A</v>
      </c>
      <c r="AD116" s="1596"/>
      <c r="AE116" s="1546">
        <f t="shared" si="173"/>
        <v>2016</v>
      </c>
      <c r="AF116" s="1601" t="e">
        <f>'Backup INPUTS'!W432/'Backup INPUTS'!$C$578/1000</f>
        <v>#N/A</v>
      </c>
      <c r="AG116" s="1601" t="e">
        <f>'Backup INPUTS'!X432/'Backup INPUTS'!$C$578/1000</f>
        <v>#N/A</v>
      </c>
      <c r="AH116" s="1601" t="e">
        <f>'Backup INPUTS'!Y432/'Backup INPUTS'!$C$578/1000</f>
        <v>#N/A</v>
      </c>
      <c r="AI116" s="1601" t="e">
        <f t="shared" si="183"/>
        <v>#N/A</v>
      </c>
      <c r="AJ116" s="1602" t="e">
        <f t="shared" si="184"/>
        <v>#N/A</v>
      </c>
    </row>
    <row r="117" spans="1:53" s="1562" customFormat="1" ht="15.75" x14ac:dyDescent="0.25">
      <c r="A117" s="1545"/>
      <c r="B117" s="2313"/>
      <c r="C117" s="1546">
        <f t="shared" si="169"/>
        <v>2017</v>
      </c>
      <c r="D117" s="1591" t="e">
        <f t="shared" si="174"/>
        <v>#N/A</v>
      </c>
      <c r="E117" s="1591" t="e">
        <f t="shared" si="174"/>
        <v>#N/A</v>
      </c>
      <c r="F117" s="1591" t="e">
        <f t="shared" si="174"/>
        <v>#N/A</v>
      </c>
      <c r="G117" s="1591" t="e">
        <f t="shared" si="175"/>
        <v>#N/A</v>
      </c>
      <c r="H117" s="1592" t="e">
        <f t="shared" si="176"/>
        <v>#N/A</v>
      </c>
      <c r="I117" s="1593"/>
      <c r="J117" s="1546">
        <f t="shared" si="170"/>
        <v>2017</v>
      </c>
      <c r="K117" s="1696" t="e">
        <f>'Backup INPUTS'!W367/'Backup INPUTS'!$C$578/1000</f>
        <v>#N/A</v>
      </c>
      <c r="L117" s="1696" t="e">
        <f>'Backup INPUTS'!X367/'Backup INPUTS'!$C$578/1000</f>
        <v>#N/A</v>
      </c>
      <c r="M117" s="1696" t="e">
        <f>'Backup INPUTS'!Y367/'Backup INPUTS'!$C$578/1000</f>
        <v>#N/A</v>
      </c>
      <c r="N117" s="1697" t="e">
        <f t="shared" si="177"/>
        <v>#N/A</v>
      </c>
      <c r="O117" s="1698" t="e">
        <f t="shared" si="178"/>
        <v>#N/A</v>
      </c>
      <c r="P117" s="1596"/>
      <c r="Q117" s="1546">
        <f t="shared" si="171"/>
        <v>2017</v>
      </c>
      <c r="R117" s="1597" t="e">
        <f>'Backup INPUTS'!W392/'Backup INPUTS'!$C$578/1000</f>
        <v>#N/A</v>
      </c>
      <c r="S117" s="1597" t="e">
        <f>'Backup INPUTS'!X392/'Backup INPUTS'!$C$578/1000</f>
        <v>#N/A</v>
      </c>
      <c r="T117" s="1597" t="e">
        <f>'Backup INPUTS'!Y392/'Backup INPUTS'!$C$578/1000</f>
        <v>#N/A</v>
      </c>
      <c r="U117" s="1597" t="e">
        <f t="shared" si="179"/>
        <v>#N/A</v>
      </c>
      <c r="V117" s="1598" t="e">
        <f t="shared" si="180"/>
        <v>#N/A</v>
      </c>
      <c r="W117" s="1596"/>
      <c r="X117" s="1546">
        <f t="shared" si="172"/>
        <v>2017</v>
      </c>
      <c r="Y117" s="1599" t="e">
        <f>('Backup INPUTS'!W406+'Backup INPUTS'!W418)/'Backup INPUTS'!$C$578/1000</f>
        <v>#N/A</v>
      </c>
      <c r="Z117" s="1599" t="e">
        <f>('Backup INPUTS'!X406+'Backup INPUTS'!X418)/'Backup INPUTS'!$C$578/1000</f>
        <v>#N/A</v>
      </c>
      <c r="AA117" s="1599" t="e">
        <f>('Backup INPUTS'!Y406+'Backup INPUTS'!Y418)/'Backup INPUTS'!$C$578/1000</f>
        <v>#N/A</v>
      </c>
      <c r="AB117" s="1599" t="e">
        <f t="shared" si="181"/>
        <v>#N/A</v>
      </c>
      <c r="AC117" s="1600" t="e">
        <f t="shared" si="182"/>
        <v>#N/A</v>
      </c>
      <c r="AD117" s="1596"/>
      <c r="AE117" s="1546">
        <f t="shared" si="173"/>
        <v>2017</v>
      </c>
      <c r="AF117" s="1601" t="e">
        <f>'Backup INPUTS'!W433/'Backup INPUTS'!$C$578/1000</f>
        <v>#N/A</v>
      </c>
      <c r="AG117" s="1601" t="e">
        <f>'Backup INPUTS'!X433/'Backup INPUTS'!$C$578/1000</f>
        <v>#N/A</v>
      </c>
      <c r="AH117" s="1601" t="e">
        <f>'Backup INPUTS'!Y433/'Backup INPUTS'!$C$578/1000</f>
        <v>#N/A</v>
      </c>
      <c r="AI117" s="1601" t="e">
        <f t="shared" si="183"/>
        <v>#N/A</v>
      </c>
      <c r="AJ117" s="1602" t="e">
        <f t="shared" si="184"/>
        <v>#N/A</v>
      </c>
    </row>
    <row r="118" spans="1:53" s="1562" customFormat="1" ht="15.75" x14ac:dyDescent="0.25">
      <c r="A118" s="1545"/>
      <c r="B118" s="2313"/>
      <c r="C118" s="1546">
        <f t="shared" si="169"/>
        <v>2018</v>
      </c>
      <c r="D118" s="1591" t="e">
        <f t="shared" si="174"/>
        <v>#N/A</v>
      </c>
      <c r="E118" s="1591" t="e">
        <f t="shared" si="174"/>
        <v>#N/A</v>
      </c>
      <c r="F118" s="1591" t="e">
        <f t="shared" si="174"/>
        <v>#N/A</v>
      </c>
      <c r="G118" s="1591" t="e">
        <f t="shared" si="175"/>
        <v>#N/A</v>
      </c>
      <c r="H118" s="1592" t="e">
        <f t="shared" si="176"/>
        <v>#N/A</v>
      </c>
      <c r="I118" s="1593"/>
      <c r="J118" s="1546">
        <f t="shared" si="170"/>
        <v>2018</v>
      </c>
      <c r="K118" s="1696" t="e">
        <f>'Backup INPUTS'!W368/'Backup INPUTS'!$C$578/1000</f>
        <v>#N/A</v>
      </c>
      <c r="L118" s="1696" t="e">
        <f>'Backup INPUTS'!X368/'Backup INPUTS'!$C$578/1000</f>
        <v>#N/A</v>
      </c>
      <c r="M118" s="1696" t="e">
        <f>'Backup INPUTS'!Y368/'Backup INPUTS'!$C$578/1000</f>
        <v>#N/A</v>
      </c>
      <c r="N118" s="1697" t="e">
        <f t="shared" si="177"/>
        <v>#N/A</v>
      </c>
      <c r="O118" s="1698" t="e">
        <f t="shared" si="178"/>
        <v>#N/A</v>
      </c>
      <c r="P118" s="1596"/>
      <c r="Q118" s="1546">
        <f t="shared" si="171"/>
        <v>2018</v>
      </c>
      <c r="R118" s="1597" t="e">
        <f>'Backup INPUTS'!W393/'Backup INPUTS'!$C$578/1000</f>
        <v>#N/A</v>
      </c>
      <c r="S118" s="1597" t="e">
        <f>'Backup INPUTS'!X393/'Backup INPUTS'!$C$578/1000</f>
        <v>#N/A</v>
      </c>
      <c r="T118" s="1597" t="e">
        <f>'Backup INPUTS'!Y393/'Backup INPUTS'!$C$578/1000</f>
        <v>#N/A</v>
      </c>
      <c r="U118" s="1597" t="e">
        <f t="shared" si="179"/>
        <v>#N/A</v>
      </c>
      <c r="V118" s="1598" t="e">
        <f t="shared" si="180"/>
        <v>#N/A</v>
      </c>
      <c r="W118" s="1596"/>
      <c r="X118" s="1546">
        <f t="shared" si="172"/>
        <v>2018</v>
      </c>
      <c r="Y118" s="1599" t="e">
        <f>('Backup INPUTS'!W407+'Backup INPUTS'!W419)/'Backup INPUTS'!$C$578/1000</f>
        <v>#N/A</v>
      </c>
      <c r="Z118" s="1599" t="e">
        <f>('Backup INPUTS'!X407+'Backup INPUTS'!X419)/'Backup INPUTS'!$C$578/1000</f>
        <v>#N/A</v>
      </c>
      <c r="AA118" s="1599" t="e">
        <f>('Backup INPUTS'!Y407+'Backup INPUTS'!Y419)/'Backup INPUTS'!$C$578/1000</f>
        <v>#N/A</v>
      </c>
      <c r="AB118" s="1599" t="e">
        <f t="shared" si="181"/>
        <v>#N/A</v>
      </c>
      <c r="AC118" s="1600" t="e">
        <f t="shared" si="182"/>
        <v>#N/A</v>
      </c>
      <c r="AD118" s="1596"/>
      <c r="AE118" s="1546">
        <f t="shared" si="173"/>
        <v>2018</v>
      </c>
      <c r="AF118" s="1601" t="e">
        <f>'Backup INPUTS'!W434/'Backup INPUTS'!$C$578/1000</f>
        <v>#N/A</v>
      </c>
      <c r="AG118" s="1601" t="e">
        <f>'Backup INPUTS'!X434/'Backup INPUTS'!$C$578/1000</f>
        <v>#N/A</v>
      </c>
      <c r="AH118" s="1601" t="e">
        <f>'Backup INPUTS'!Y434/'Backup INPUTS'!$C$578/1000</f>
        <v>#N/A</v>
      </c>
      <c r="AI118" s="1601" t="e">
        <f t="shared" si="183"/>
        <v>#N/A</v>
      </c>
      <c r="AJ118" s="1602" t="e">
        <f t="shared" si="184"/>
        <v>#N/A</v>
      </c>
    </row>
    <row r="119" spans="1:53" s="1562" customFormat="1" ht="15.75" x14ac:dyDescent="0.25">
      <c r="A119" s="1545"/>
      <c r="B119" s="2313"/>
      <c r="C119" s="1546">
        <f t="shared" si="169"/>
        <v>2019</v>
      </c>
      <c r="D119" s="1591" t="e">
        <f t="shared" si="174"/>
        <v>#N/A</v>
      </c>
      <c r="E119" s="1591" t="e">
        <f t="shared" si="174"/>
        <v>#N/A</v>
      </c>
      <c r="F119" s="1591" t="e">
        <f t="shared" si="174"/>
        <v>#N/A</v>
      </c>
      <c r="G119" s="1591" t="e">
        <f t="shared" si="175"/>
        <v>#N/A</v>
      </c>
      <c r="H119" s="1592" t="e">
        <f t="shared" si="176"/>
        <v>#N/A</v>
      </c>
      <c r="I119" s="1593"/>
      <c r="J119" s="1546">
        <f t="shared" si="170"/>
        <v>2019</v>
      </c>
      <c r="K119" s="1696" t="e">
        <f>'Backup INPUTS'!W369/'Backup INPUTS'!$C$578/1000</f>
        <v>#N/A</v>
      </c>
      <c r="L119" s="1696" t="e">
        <f>'Backup INPUTS'!X369/'Backup INPUTS'!$C$578/1000</f>
        <v>#N/A</v>
      </c>
      <c r="M119" s="1696" t="e">
        <f>'Backup INPUTS'!Y369/'Backup INPUTS'!$C$578/1000</f>
        <v>#N/A</v>
      </c>
      <c r="N119" s="1697" t="e">
        <f t="shared" si="177"/>
        <v>#N/A</v>
      </c>
      <c r="O119" s="1698" t="e">
        <f t="shared" si="178"/>
        <v>#N/A</v>
      </c>
      <c r="P119" s="1596"/>
      <c r="Q119" s="1546">
        <f t="shared" si="171"/>
        <v>2019</v>
      </c>
      <c r="R119" s="1597" t="e">
        <f>'Backup INPUTS'!W394/'Backup INPUTS'!$C$578/1000</f>
        <v>#N/A</v>
      </c>
      <c r="S119" s="1597" t="e">
        <f>'Backup INPUTS'!X394/'Backup INPUTS'!$C$578/1000</f>
        <v>#N/A</v>
      </c>
      <c r="T119" s="1597" t="e">
        <f>'Backup INPUTS'!Y394/'Backup INPUTS'!$C$578/1000</f>
        <v>#N/A</v>
      </c>
      <c r="U119" s="1597" t="e">
        <f t="shared" si="179"/>
        <v>#N/A</v>
      </c>
      <c r="V119" s="1598" t="e">
        <f t="shared" si="180"/>
        <v>#N/A</v>
      </c>
      <c r="W119" s="1596"/>
      <c r="X119" s="1546">
        <f t="shared" si="172"/>
        <v>2019</v>
      </c>
      <c r="Y119" s="1599" t="e">
        <f>('Backup INPUTS'!W408+'Backup INPUTS'!W420)/'Backup INPUTS'!$C$578/1000</f>
        <v>#N/A</v>
      </c>
      <c r="Z119" s="1599" t="e">
        <f>('Backup INPUTS'!X408+'Backup INPUTS'!X420)/'Backup INPUTS'!$C$578/1000</f>
        <v>#N/A</v>
      </c>
      <c r="AA119" s="1599" t="e">
        <f>('Backup INPUTS'!Y408+'Backup INPUTS'!Y420)/'Backup INPUTS'!$C$578/1000</f>
        <v>#N/A</v>
      </c>
      <c r="AB119" s="1599" t="e">
        <f t="shared" si="181"/>
        <v>#N/A</v>
      </c>
      <c r="AC119" s="1600" t="e">
        <f t="shared" si="182"/>
        <v>#N/A</v>
      </c>
      <c r="AD119" s="1596"/>
      <c r="AE119" s="1546">
        <f t="shared" si="173"/>
        <v>2019</v>
      </c>
      <c r="AF119" s="1601" t="e">
        <f>'Backup INPUTS'!W435/'Backup INPUTS'!$C$578/1000</f>
        <v>#N/A</v>
      </c>
      <c r="AG119" s="1601" t="e">
        <f>'Backup INPUTS'!X435/'Backup INPUTS'!$C$578/1000</f>
        <v>#N/A</v>
      </c>
      <c r="AH119" s="1601" t="e">
        <f>'Backup INPUTS'!Y435/'Backup INPUTS'!$C$578/1000</f>
        <v>#N/A</v>
      </c>
      <c r="AI119" s="1601" t="e">
        <f t="shared" si="183"/>
        <v>#N/A</v>
      </c>
      <c r="AJ119" s="1602" t="e">
        <f t="shared" si="184"/>
        <v>#N/A</v>
      </c>
    </row>
    <row r="120" spans="1:53" s="1562" customFormat="1" ht="15.75" x14ac:dyDescent="0.25">
      <c r="A120" s="1545"/>
      <c r="B120" s="2322"/>
      <c r="C120" s="1546">
        <f t="shared" si="169"/>
        <v>2020</v>
      </c>
      <c r="D120" s="1591" t="e">
        <f t="shared" si="174"/>
        <v>#N/A</v>
      </c>
      <c r="E120" s="1591" t="e">
        <f t="shared" si="174"/>
        <v>#N/A</v>
      </c>
      <c r="F120" s="1591" t="e">
        <f t="shared" si="174"/>
        <v>#N/A</v>
      </c>
      <c r="G120" s="1591" t="e">
        <f t="shared" si="175"/>
        <v>#N/A</v>
      </c>
      <c r="H120" s="1592" t="e">
        <f t="shared" si="176"/>
        <v>#N/A</v>
      </c>
      <c r="I120" s="1593"/>
      <c r="J120" s="1546">
        <f t="shared" si="170"/>
        <v>2020</v>
      </c>
      <c r="K120" s="1696" t="e">
        <f>'Backup INPUTS'!W370/'Backup INPUTS'!$C$578/1000</f>
        <v>#N/A</v>
      </c>
      <c r="L120" s="1696" t="e">
        <f>'Backup INPUTS'!X370/'Backup INPUTS'!$C$578/1000</f>
        <v>#N/A</v>
      </c>
      <c r="M120" s="1696" t="e">
        <f>'Backup INPUTS'!Y370/'Backup INPUTS'!$C$578/1000</f>
        <v>#N/A</v>
      </c>
      <c r="N120" s="1697" t="e">
        <f t="shared" si="177"/>
        <v>#N/A</v>
      </c>
      <c r="O120" s="1698" t="e">
        <f t="shared" si="178"/>
        <v>#N/A</v>
      </c>
      <c r="P120" s="1596"/>
      <c r="Q120" s="1546">
        <f t="shared" si="171"/>
        <v>2020</v>
      </c>
      <c r="R120" s="1597" t="e">
        <f>'Backup INPUTS'!W395/'Backup INPUTS'!$C$578/1000</f>
        <v>#N/A</v>
      </c>
      <c r="S120" s="1597" t="e">
        <f>'Backup INPUTS'!X395/'Backup INPUTS'!$C$578/1000</f>
        <v>#N/A</v>
      </c>
      <c r="T120" s="1597" t="e">
        <f>'Backup INPUTS'!Y395/'Backup INPUTS'!$C$578/1000</f>
        <v>#N/A</v>
      </c>
      <c r="U120" s="1597" t="e">
        <f t="shared" si="179"/>
        <v>#N/A</v>
      </c>
      <c r="V120" s="1598" t="e">
        <f t="shared" si="180"/>
        <v>#N/A</v>
      </c>
      <c r="W120" s="1596"/>
      <c r="X120" s="1546">
        <f t="shared" si="172"/>
        <v>2020</v>
      </c>
      <c r="Y120" s="1599" t="e">
        <f>('Backup INPUTS'!W409+'Backup INPUTS'!W421)/'Backup INPUTS'!$C$578/1000</f>
        <v>#N/A</v>
      </c>
      <c r="Z120" s="1599" t="e">
        <f>('Backup INPUTS'!X409+'Backup INPUTS'!X421)/'Backup INPUTS'!$C$578/1000</f>
        <v>#N/A</v>
      </c>
      <c r="AA120" s="1599" t="e">
        <f>('Backup INPUTS'!Y409+'Backup INPUTS'!Y421)/'Backup INPUTS'!$C$578/1000</f>
        <v>#N/A</v>
      </c>
      <c r="AB120" s="1599" t="e">
        <f t="shared" si="181"/>
        <v>#N/A</v>
      </c>
      <c r="AC120" s="1600" t="e">
        <f t="shared" si="182"/>
        <v>#N/A</v>
      </c>
      <c r="AD120" s="1596"/>
      <c r="AE120" s="1546">
        <f t="shared" si="173"/>
        <v>2020</v>
      </c>
      <c r="AF120" s="1601" t="e">
        <f>'Backup INPUTS'!W436/'Backup INPUTS'!$C$578/1000</f>
        <v>#N/A</v>
      </c>
      <c r="AG120" s="1601" t="e">
        <f>'Backup INPUTS'!X436/'Backup INPUTS'!$C$578/1000</f>
        <v>#N/A</v>
      </c>
      <c r="AH120" s="1601" t="e">
        <f>'Backup INPUTS'!Y436/'Backup INPUTS'!$C$578/1000</f>
        <v>#N/A</v>
      </c>
      <c r="AI120" s="1601" t="e">
        <f t="shared" si="183"/>
        <v>#N/A</v>
      </c>
      <c r="AJ120" s="1602" t="e">
        <f t="shared" si="184"/>
        <v>#N/A</v>
      </c>
    </row>
    <row r="121" spans="1:53" s="1407" customFormat="1" ht="15.75" x14ac:dyDescent="0.25">
      <c r="C121" s="1383"/>
      <c r="D121" s="1383"/>
      <c r="E121" s="1420"/>
      <c r="F121" s="1420"/>
      <c r="G121" s="1420"/>
      <c r="H121" s="1420"/>
      <c r="I121" s="1420"/>
      <c r="J121" s="1383"/>
      <c r="K121" s="1493"/>
      <c r="L121" s="1493"/>
      <c r="M121" s="1493"/>
      <c r="N121" s="1493"/>
      <c r="O121" s="1493"/>
      <c r="P121" s="1493"/>
      <c r="Q121" s="1702"/>
      <c r="R121" s="1493"/>
      <c r="S121" s="1493"/>
      <c r="T121" s="1493"/>
      <c r="U121" s="1493"/>
      <c r="V121" s="1383"/>
      <c r="W121" s="1383"/>
      <c r="X121" s="1383"/>
      <c r="Y121" s="1383"/>
      <c r="Z121" s="1383"/>
      <c r="AA121" s="1383"/>
      <c r="AB121" s="1383"/>
      <c r="AC121" s="1383"/>
      <c r="AD121" s="1383"/>
      <c r="AE121" s="1383"/>
      <c r="AF121" s="1383"/>
      <c r="AG121" s="1383"/>
      <c r="AH121" s="1383"/>
      <c r="AI121" s="1383"/>
      <c r="AJ121" s="1383"/>
    </row>
    <row r="122" spans="1:53" s="1407" customFormat="1" ht="15.75" x14ac:dyDescent="0.25">
      <c r="C122" s="1383"/>
      <c r="D122" s="1383"/>
      <c r="E122" s="1420"/>
      <c r="F122" s="1420"/>
      <c r="G122" s="1420"/>
      <c r="H122" s="1420"/>
      <c r="I122" s="1420"/>
      <c r="J122" s="1383"/>
      <c r="K122" s="1493"/>
      <c r="L122" s="1493"/>
      <c r="M122" s="1493"/>
      <c r="N122" s="1493"/>
      <c r="O122" s="1493"/>
      <c r="P122" s="1493"/>
      <c r="Q122" s="1702"/>
      <c r="R122" s="1493"/>
      <c r="S122" s="1493"/>
      <c r="T122" s="1493"/>
      <c r="U122" s="1493"/>
      <c r="V122" s="1383"/>
      <c r="W122" s="1383"/>
      <c r="X122" s="1383"/>
      <c r="Y122" s="1383"/>
      <c r="Z122" s="1383"/>
      <c r="AA122" s="1383"/>
      <c r="AB122" s="1383"/>
      <c r="AC122" s="1383"/>
      <c r="AD122" s="1383"/>
      <c r="AE122" s="1383"/>
      <c r="AF122" s="1383"/>
      <c r="AG122" s="1383"/>
      <c r="AH122" s="1383"/>
      <c r="AI122" s="1383"/>
      <c r="AJ122" s="1383"/>
    </row>
    <row r="123" spans="1:53" s="1500" customFormat="1" ht="21" x14ac:dyDescent="0.35">
      <c r="A123" s="1407"/>
      <c r="B123" s="1499" t="str">
        <f>IF($F$6=Lists!$C$4,"Displaced Economic Impacts", "The tables below are only relevant for a Net analysis.")</f>
        <v>The tables below are only relevant for a Net analysis.</v>
      </c>
      <c r="C123" s="1647"/>
      <c r="D123" s="1647"/>
      <c r="E123" s="1660"/>
      <c r="F123" s="1660"/>
      <c r="G123" s="1660"/>
      <c r="H123" s="1660"/>
      <c r="I123" s="1660"/>
      <c r="J123" s="1660"/>
      <c r="K123" s="1661"/>
      <c r="L123" s="1661"/>
      <c r="M123" s="1661"/>
      <c r="N123" s="1661"/>
      <c r="O123" s="1661"/>
      <c r="P123" s="1661"/>
      <c r="Q123" s="1661"/>
      <c r="R123" s="1661"/>
      <c r="S123" s="1661"/>
      <c r="T123" s="1661"/>
      <c r="U123" s="1661"/>
      <c r="V123" s="1647"/>
      <c r="W123" s="1647"/>
      <c r="X123" s="1647"/>
      <c r="Y123" s="1647"/>
      <c r="Z123" s="1647"/>
      <c r="AA123" s="1647"/>
      <c r="AB123" s="1647"/>
      <c r="AC123" s="1647"/>
      <c r="AD123" s="1647"/>
      <c r="AE123" s="1647"/>
      <c r="AF123" s="1647"/>
      <c r="AG123" s="1647"/>
      <c r="AH123" s="1647"/>
      <c r="AI123" s="1647"/>
      <c r="AJ123" s="1647"/>
    </row>
    <row r="124" spans="1:53" s="1407" customFormat="1" ht="15.75" x14ac:dyDescent="0.25">
      <c r="C124" s="1383"/>
      <c r="D124" s="1420"/>
      <c r="E124" s="1420"/>
      <c r="F124" s="1420"/>
      <c r="G124" s="1420"/>
      <c r="H124" s="1703"/>
      <c r="I124" s="1703"/>
      <c r="J124" s="1383"/>
      <c r="K124" s="1493"/>
      <c r="L124" s="1493"/>
      <c r="M124" s="1493"/>
      <c r="N124" s="1702"/>
      <c r="O124" s="1493"/>
      <c r="P124" s="1493"/>
      <c r="Q124" s="1493"/>
      <c r="R124" s="1493"/>
      <c r="S124" s="1493"/>
      <c r="T124" s="1702"/>
      <c r="U124" s="1383"/>
      <c r="V124" s="1383"/>
      <c r="W124" s="1383"/>
      <c r="X124" s="1383"/>
      <c r="Y124" s="1383"/>
      <c r="Z124" s="1383"/>
      <c r="AA124" s="1383"/>
      <c r="AB124" s="1383"/>
      <c r="AC124" s="1383"/>
      <c r="AD124" s="1383"/>
      <c r="AE124" s="1383"/>
      <c r="AF124" s="1383"/>
      <c r="AG124" s="1383"/>
      <c r="AH124" s="1383"/>
      <c r="AI124" s="1383"/>
      <c r="AJ124" s="1383"/>
    </row>
    <row r="125" spans="1:53" s="1520" customFormat="1" ht="16.5" customHeight="1" x14ac:dyDescent="0.25">
      <c r="A125" s="1504"/>
      <c r="B125" s="2570" t="s">
        <v>2095</v>
      </c>
      <c r="C125" s="1505"/>
      <c r="D125" s="1571" t="str">
        <f>D$59</f>
        <v>Total (Manufacturing, Installation, Fuel, and Maintenance)</v>
      </c>
      <c r="E125" s="1507"/>
      <c r="F125" s="1507"/>
      <c r="G125" s="1507"/>
      <c r="H125" s="1507"/>
      <c r="I125" s="1508"/>
      <c r="J125" s="1505"/>
      <c r="K125" s="1662" t="s">
        <v>1926</v>
      </c>
      <c r="L125" s="1663"/>
      <c r="M125" s="1663"/>
      <c r="N125" s="1663"/>
      <c r="O125" s="1663"/>
      <c r="P125" s="1511"/>
      <c r="Q125" s="1505"/>
      <c r="R125" s="1512" t="s">
        <v>1720</v>
      </c>
      <c r="S125" s="1513"/>
      <c r="T125" s="1513"/>
      <c r="U125" s="1513"/>
      <c r="V125" s="1513"/>
      <c r="W125" s="1511"/>
      <c r="X125" s="1505"/>
      <c r="Y125" s="1514" t="s">
        <v>1721</v>
      </c>
      <c r="Z125" s="1515"/>
      <c r="AA125" s="1515"/>
      <c r="AB125" s="1515"/>
      <c r="AC125" s="1515"/>
      <c r="AD125" s="1511"/>
      <c r="AE125" s="1505"/>
      <c r="AF125" s="1516" t="s">
        <v>1717</v>
      </c>
      <c r="AG125" s="1517"/>
      <c r="AH125" s="1517"/>
      <c r="AI125" s="1517"/>
      <c r="AJ125" s="1518"/>
    </row>
    <row r="126" spans="1:53" s="1674" customFormat="1" ht="16.5" x14ac:dyDescent="0.25">
      <c r="A126" s="1664"/>
      <c r="B126" s="2571"/>
      <c r="C126" s="1665"/>
      <c r="D126" s="1506" t="str">
        <f>B125</f>
        <v>Displaced Domestic Alternative Backup Power-related Employment (Job-years)</v>
      </c>
      <c r="E126" s="1666"/>
      <c r="F126" s="1666"/>
      <c r="G126" s="1666"/>
      <c r="H126" s="1666"/>
      <c r="I126" s="1667"/>
      <c r="J126" s="1665"/>
      <c r="K126" s="1668" t="str">
        <f>D126</f>
        <v>Displaced Domestic Alternative Backup Power-related Employment (Job-years)</v>
      </c>
      <c r="L126" s="1669"/>
      <c r="M126" s="1669"/>
      <c r="N126" s="1669"/>
      <c r="O126" s="1669"/>
      <c r="P126" s="1670"/>
      <c r="Q126" s="1665"/>
      <c r="R126" s="1671" t="str">
        <f>K126</f>
        <v>Displaced Domestic Alternative Backup Power-related Employment (Job-years)</v>
      </c>
      <c r="S126" s="1523"/>
      <c r="T126" s="1523"/>
      <c r="U126" s="1523"/>
      <c r="V126" s="1523"/>
      <c r="W126" s="1670"/>
      <c r="X126" s="1665"/>
      <c r="Y126" s="1672" t="str">
        <f>R126</f>
        <v>Displaced Domestic Alternative Backup Power-related Employment (Job-years)</v>
      </c>
      <c r="Z126" s="1524"/>
      <c r="AA126" s="1524"/>
      <c r="AB126" s="1524"/>
      <c r="AC126" s="1524"/>
      <c r="AD126" s="1670"/>
      <c r="AE126" s="1665"/>
      <c r="AF126" s="1673" t="str">
        <f>Y126</f>
        <v>Displaced Domestic Alternative Backup Power-related Employment (Job-years)</v>
      </c>
      <c r="AG126" s="1525"/>
      <c r="AH126" s="1525"/>
      <c r="AI126" s="1525"/>
      <c r="AJ126" s="1673"/>
      <c r="AX126" s="1675"/>
      <c r="AY126" s="1675"/>
      <c r="AZ126" s="1675"/>
    </row>
    <row r="127" spans="1:53" s="1543" customFormat="1" ht="47.25" x14ac:dyDescent="0.25">
      <c r="A127" s="1526"/>
      <c r="B127" s="2571"/>
      <c r="C127" s="1527" t="s">
        <v>433</v>
      </c>
      <c r="D127" s="1528" t="str">
        <f>D$163&amp;" "&amp;D$164</f>
        <v>Displaced BuP-related Direct</v>
      </c>
      <c r="E127" s="1528" t="str">
        <f>E$163&amp;" "&amp;E$164</f>
        <v>Displaced BuP-related Indirect</v>
      </c>
      <c r="F127" s="1528" t="str">
        <f>F$163&amp;" "&amp;F$164</f>
        <v>Displaced BuP-related Induced</v>
      </c>
      <c r="G127" s="1529" t="str">
        <f>G$163&amp;" "&amp;G$164</f>
        <v>Displaced BuP-related Supply Chain</v>
      </c>
      <c r="H127" s="1529" t="str">
        <f>H$163&amp;" "&amp;H$164</f>
        <v>Displaced BuP-related Total</v>
      </c>
      <c r="I127" s="1530"/>
      <c r="J127" s="1527" t="str">
        <f t="shared" ref="J127:J133" si="185">C127</f>
        <v>Year</v>
      </c>
      <c r="K127" s="1676" t="str">
        <f>K$163&amp;" "&amp;K$164</f>
        <v>Displaced BuP Technology Direct</v>
      </c>
      <c r="L127" s="1676" t="str">
        <f>L$163&amp;" "&amp;L$164</f>
        <v>Displaced BuP Technology Indirect</v>
      </c>
      <c r="M127" s="1676" t="str">
        <f>M$163&amp;" "&amp;M$164</f>
        <v>Displaced BuP Technology Induced</v>
      </c>
      <c r="N127" s="1677" t="str">
        <f>N$163&amp;" "&amp;N$164</f>
        <v>Displaced BuP Technology Supply Chain</v>
      </c>
      <c r="O127" s="1677" t="str">
        <f>O$163&amp;" "&amp;O$164</f>
        <v>Displaced BuP Technology Total</v>
      </c>
      <c r="P127" s="1533"/>
      <c r="Q127" s="1527" t="str">
        <f t="shared" ref="Q127:Q133" si="186">J127</f>
        <v>Year</v>
      </c>
      <c r="R127" s="1534" t="str">
        <f>R$163&amp;" "&amp;R$164</f>
        <v>Displaced BuP Installation Direct</v>
      </c>
      <c r="S127" s="1534" t="str">
        <f>S$163&amp;" "&amp;S$164</f>
        <v>Displaced BuP Installation Indirect</v>
      </c>
      <c r="T127" s="1534" t="str">
        <f>T$163&amp;" "&amp;T$164</f>
        <v>Displaced BuP Installation Induced</v>
      </c>
      <c r="U127" s="1535" t="str">
        <f>U$163&amp;" "&amp;U$164</f>
        <v>Displaced BuP Installation Supply Chain</v>
      </c>
      <c r="V127" s="1535" t="str">
        <f>V$163&amp;" "&amp;V$164</f>
        <v>Displaced BuP Installation Total</v>
      </c>
      <c r="W127" s="1533"/>
      <c r="X127" s="1527" t="str">
        <f t="shared" ref="X127:X133" si="187">Q127</f>
        <v>Year</v>
      </c>
      <c r="Y127" s="1536" t="str">
        <f>Y$163&amp;" "&amp;Y$164</f>
        <v>Displaced BuP Fuel Direct</v>
      </c>
      <c r="Z127" s="1536" t="str">
        <f>Z$163&amp;" "&amp;Z$164</f>
        <v>Displaced BuP Fuel Indirect</v>
      </c>
      <c r="AA127" s="1536" t="str">
        <f>AA$163&amp;" "&amp;AA$164</f>
        <v>Displaced BuP Fuel Induced</v>
      </c>
      <c r="AB127" s="1537" t="str">
        <f>AB$163&amp;" "&amp;AB$164</f>
        <v>Displaced BuP Fuel Supply Chain</v>
      </c>
      <c r="AC127" s="1537" t="str">
        <f>AC$163&amp;" "&amp;AC$164</f>
        <v>Displaced BuP Fuel Total</v>
      </c>
      <c r="AD127" s="1533"/>
      <c r="AE127" s="1527" t="str">
        <f t="shared" ref="AE127:AE133" si="188">X127</f>
        <v>Year</v>
      </c>
      <c r="AF127" s="1538" t="str">
        <f>AF$163&amp;" "&amp;AF$164</f>
        <v>Displaced BuP Maintenance Direct</v>
      </c>
      <c r="AG127" s="1538" t="str">
        <f>AG$163&amp;" "&amp;AG$164</f>
        <v>Displaced BuP Maintenance Indirect</v>
      </c>
      <c r="AH127" s="1538" t="str">
        <f>AH$163&amp;" "&amp;AH$164</f>
        <v>Displaced BuP Maintenance Induced</v>
      </c>
      <c r="AI127" s="1539" t="str">
        <f>AI$163&amp;" "&amp;AI$164</f>
        <v>Displaced BuP Maintenance Supply Chain</v>
      </c>
      <c r="AJ127" s="1539" t="str">
        <f>AJ$163&amp;" "&amp;AJ$164</f>
        <v>Displaced BuP Maintenance Total</v>
      </c>
      <c r="AL127" s="1520"/>
      <c r="AM127" s="1520"/>
      <c r="AN127" s="1520"/>
      <c r="AO127" s="1520"/>
      <c r="AP127" s="1520"/>
      <c r="AQ127" s="1520"/>
      <c r="AR127" s="1520"/>
      <c r="AS127" s="1520"/>
      <c r="AT127" s="1520"/>
      <c r="AU127" s="1520"/>
      <c r="AV127" s="1520"/>
      <c r="AW127" s="1520"/>
      <c r="AX127" s="1678"/>
      <c r="AY127" s="1678"/>
      <c r="AZ127" s="1678"/>
      <c r="BA127" s="1520"/>
    </row>
    <row r="128" spans="1:53" s="1562" customFormat="1" ht="16.5" x14ac:dyDescent="0.25">
      <c r="A128" s="1545"/>
      <c r="B128" s="2571"/>
      <c r="C128" s="1546">
        <v>2015</v>
      </c>
      <c r="D128" s="1547" t="e">
        <f t="shared" ref="D128:F133" si="189">K128+R128+Y128+AF128</f>
        <v>#N/A</v>
      </c>
      <c r="E128" s="1547" t="e">
        <f t="shared" si="189"/>
        <v>#N/A</v>
      </c>
      <c r="F128" s="1547" t="e">
        <f t="shared" si="189"/>
        <v>#N/A</v>
      </c>
      <c r="G128" s="1547" t="e">
        <f t="shared" ref="G128:G133" si="190">D128+E128</f>
        <v>#N/A</v>
      </c>
      <c r="H128" s="1548" t="e">
        <f t="shared" ref="H128:H133" si="191">D128+E128+F128</f>
        <v>#N/A</v>
      </c>
      <c r="I128" s="1549"/>
      <c r="J128" s="1546">
        <f t="shared" si="185"/>
        <v>2015</v>
      </c>
      <c r="K128" s="1679" t="e">
        <f>-'Backup INPUTS'!K471</f>
        <v>#N/A</v>
      </c>
      <c r="L128" s="1679" t="e">
        <f>-'Backup INPUTS'!L471</f>
        <v>#N/A</v>
      </c>
      <c r="M128" s="1679" t="e">
        <f>-'Backup INPUTS'!M471</f>
        <v>#N/A</v>
      </c>
      <c r="N128" s="1679" t="e">
        <f t="shared" ref="N128:N133" si="192">K128+L128</f>
        <v>#N/A</v>
      </c>
      <c r="O128" s="1680" t="e">
        <f t="shared" ref="O128:O133" si="193">K128+L128+M128</f>
        <v>#N/A</v>
      </c>
      <c r="P128" s="1552"/>
      <c r="Q128" s="1546">
        <f t="shared" si="186"/>
        <v>2015</v>
      </c>
      <c r="R128" s="1553" t="e">
        <f>-'Backup INPUTS'!K492</f>
        <v>#N/A</v>
      </c>
      <c r="S128" s="1553" t="e">
        <f>-'Backup INPUTS'!L492</f>
        <v>#N/A</v>
      </c>
      <c r="T128" s="1553" t="e">
        <f>-'Backup INPUTS'!M492</f>
        <v>#N/A</v>
      </c>
      <c r="U128" s="1553" t="e">
        <f t="shared" ref="U128:U133" si="194">R128+S128</f>
        <v>#N/A</v>
      </c>
      <c r="V128" s="1554" t="e">
        <f t="shared" ref="V128:V133" si="195">R128+S128+T128</f>
        <v>#N/A</v>
      </c>
      <c r="W128" s="1552"/>
      <c r="X128" s="1546">
        <f t="shared" si="187"/>
        <v>2015</v>
      </c>
      <c r="Y128" s="1555" t="e">
        <f>-'Backup INPUTS'!K508</f>
        <v>#N/A</v>
      </c>
      <c r="Z128" s="1555" t="e">
        <f>-'Backup INPUTS'!L508</f>
        <v>#N/A</v>
      </c>
      <c r="AA128" s="1555" t="e">
        <f>-'Backup INPUTS'!M508</f>
        <v>#N/A</v>
      </c>
      <c r="AB128" s="1555" t="e">
        <f t="shared" ref="AB128:AB133" si="196">Y128+Z128</f>
        <v>#N/A</v>
      </c>
      <c r="AC128" s="1556" t="e">
        <f t="shared" ref="AC128:AC133" si="197">Y128+Z128+AA128</f>
        <v>#N/A</v>
      </c>
      <c r="AD128" s="1552"/>
      <c r="AE128" s="1546">
        <f t="shared" si="188"/>
        <v>2015</v>
      </c>
      <c r="AF128" s="1557" t="e">
        <f>-'Backup INPUTS'!K524</f>
        <v>#N/A</v>
      </c>
      <c r="AG128" s="1557" t="e">
        <f>-'Backup INPUTS'!L524</f>
        <v>#N/A</v>
      </c>
      <c r="AH128" s="1557" t="e">
        <f>-'Backup INPUTS'!M524</f>
        <v>#N/A</v>
      </c>
      <c r="AI128" s="1557" t="e">
        <f t="shared" ref="AI128:AI133" si="198">AF128+AG128</f>
        <v>#N/A</v>
      </c>
      <c r="AJ128" s="1558" t="e">
        <f t="shared" ref="AJ128:AJ133" si="199">AF128+AG128+AH128</f>
        <v>#N/A</v>
      </c>
      <c r="AL128" s="1681"/>
      <c r="AM128" s="1682" t="e">
        <f>O128+V128+AC128+AJ128</f>
        <v>#N/A</v>
      </c>
      <c r="AN128" s="1681"/>
      <c r="AO128" s="1681"/>
      <c r="AP128" s="1681"/>
      <c r="AQ128" s="1681"/>
      <c r="AR128" s="1681"/>
      <c r="AS128" s="1681"/>
      <c r="AT128" s="1681"/>
      <c r="AU128" s="1681"/>
      <c r="AV128" s="1681"/>
      <c r="AW128" s="1681"/>
      <c r="AX128" s="1683"/>
      <c r="AY128" s="1683"/>
      <c r="AZ128" s="1683"/>
      <c r="BA128" s="1681"/>
    </row>
    <row r="129" spans="1:53" s="1562" customFormat="1" ht="16.5" x14ac:dyDescent="0.25">
      <c r="A129" s="1545"/>
      <c r="B129" s="2571"/>
      <c r="C129" s="1546">
        <v>2016</v>
      </c>
      <c r="D129" s="1547" t="e">
        <f t="shared" si="189"/>
        <v>#N/A</v>
      </c>
      <c r="E129" s="1547" t="e">
        <f t="shared" si="189"/>
        <v>#N/A</v>
      </c>
      <c r="F129" s="1547" t="e">
        <f t="shared" si="189"/>
        <v>#N/A</v>
      </c>
      <c r="G129" s="1547" t="e">
        <f t="shared" si="190"/>
        <v>#N/A</v>
      </c>
      <c r="H129" s="1548" t="e">
        <f t="shared" si="191"/>
        <v>#N/A</v>
      </c>
      <c r="I129" s="1549"/>
      <c r="J129" s="1546">
        <f t="shared" si="185"/>
        <v>2016</v>
      </c>
      <c r="K129" s="1679" t="e">
        <f>-'Backup INPUTS'!K472</f>
        <v>#N/A</v>
      </c>
      <c r="L129" s="1679" t="e">
        <f>-'Backup INPUTS'!L472</f>
        <v>#N/A</v>
      </c>
      <c r="M129" s="1679" t="e">
        <f>-'Backup INPUTS'!M472</f>
        <v>#N/A</v>
      </c>
      <c r="N129" s="1679" t="e">
        <f t="shared" si="192"/>
        <v>#N/A</v>
      </c>
      <c r="O129" s="1680" t="e">
        <f t="shared" si="193"/>
        <v>#N/A</v>
      </c>
      <c r="P129" s="1552"/>
      <c r="Q129" s="1546">
        <f t="shared" si="186"/>
        <v>2016</v>
      </c>
      <c r="R129" s="1553" t="e">
        <f>-'Backup INPUTS'!K493</f>
        <v>#N/A</v>
      </c>
      <c r="S129" s="1553" t="e">
        <f>-'Backup INPUTS'!L493</f>
        <v>#N/A</v>
      </c>
      <c r="T129" s="1553" t="e">
        <f>-'Backup INPUTS'!M493</f>
        <v>#N/A</v>
      </c>
      <c r="U129" s="1553" t="e">
        <f t="shared" si="194"/>
        <v>#N/A</v>
      </c>
      <c r="V129" s="1554" t="e">
        <f t="shared" si="195"/>
        <v>#N/A</v>
      </c>
      <c r="W129" s="1552"/>
      <c r="X129" s="1546">
        <f t="shared" si="187"/>
        <v>2016</v>
      </c>
      <c r="Y129" s="1555" t="e">
        <f>-'Backup INPUTS'!K509</f>
        <v>#N/A</v>
      </c>
      <c r="Z129" s="1555" t="e">
        <f>-'Backup INPUTS'!L509</f>
        <v>#N/A</v>
      </c>
      <c r="AA129" s="1555" t="e">
        <f>-'Backup INPUTS'!M509</f>
        <v>#N/A</v>
      </c>
      <c r="AB129" s="1555" t="e">
        <f t="shared" si="196"/>
        <v>#N/A</v>
      </c>
      <c r="AC129" s="1556" t="e">
        <f t="shared" si="197"/>
        <v>#N/A</v>
      </c>
      <c r="AD129" s="1552"/>
      <c r="AE129" s="1546">
        <f t="shared" si="188"/>
        <v>2016</v>
      </c>
      <c r="AF129" s="1557" t="e">
        <f>-'Backup INPUTS'!K525</f>
        <v>#N/A</v>
      </c>
      <c r="AG129" s="1557" t="e">
        <f>-'Backup INPUTS'!L525</f>
        <v>#N/A</v>
      </c>
      <c r="AH129" s="1557" t="e">
        <f>-'Backup INPUTS'!M525</f>
        <v>#N/A</v>
      </c>
      <c r="AI129" s="1557" t="e">
        <f t="shared" si="198"/>
        <v>#N/A</v>
      </c>
      <c r="AJ129" s="1558" t="e">
        <f t="shared" si="199"/>
        <v>#N/A</v>
      </c>
      <c r="AL129" s="1681"/>
      <c r="AM129" s="1681"/>
      <c r="AN129" s="1681"/>
      <c r="AO129" s="1681"/>
      <c r="AP129" s="1681"/>
      <c r="AQ129" s="1681"/>
      <c r="AR129" s="1681"/>
      <c r="AS129" s="1681"/>
      <c r="AT129" s="1681"/>
      <c r="AU129" s="1681"/>
      <c r="AV129" s="1681"/>
      <c r="AW129" s="1681"/>
      <c r="AX129" s="1683"/>
      <c r="AY129" s="1683"/>
      <c r="AZ129" s="1683"/>
      <c r="BA129" s="1681"/>
    </row>
    <row r="130" spans="1:53" s="1562" customFormat="1" ht="16.5" x14ac:dyDescent="0.25">
      <c r="A130" s="1545"/>
      <c r="B130" s="2571"/>
      <c r="C130" s="1546">
        <v>2017</v>
      </c>
      <c r="D130" s="1547" t="e">
        <f t="shared" si="189"/>
        <v>#N/A</v>
      </c>
      <c r="E130" s="1547" t="e">
        <f t="shared" si="189"/>
        <v>#N/A</v>
      </c>
      <c r="F130" s="1547" t="e">
        <f t="shared" si="189"/>
        <v>#N/A</v>
      </c>
      <c r="G130" s="1547" t="e">
        <f t="shared" si="190"/>
        <v>#N/A</v>
      </c>
      <c r="H130" s="1548" t="e">
        <f t="shared" si="191"/>
        <v>#N/A</v>
      </c>
      <c r="I130" s="1549"/>
      <c r="J130" s="1546">
        <f t="shared" si="185"/>
        <v>2017</v>
      </c>
      <c r="K130" s="1679" t="e">
        <f>-'Backup INPUTS'!K473</f>
        <v>#N/A</v>
      </c>
      <c r="L130" s="1679" t="e">
        <f>-'Backup INPUTS'!L473</f>
        <v>#N/A</v>
      </c>
      <c r="M130" s="1679" t="e">
        <f>-'Backup INPUTS'!M473</f>
        <v>#N/A</v>
      </c>
      <c r="N130" s="1679" t="e">
        <f t="shared" si="192"/>
        <v>#N/A</v>
      </c>
      <c r="O130" s="1680" t="e">
        <f t="shared" si="193"/>
        <v>#N/A</v>
      </c>
      <c r="P130" s="1552"/>
      <c r="Q130" s="1546">
        <f t="shared" si="186"/>
        <v>2017</v>
      </c>
      <c r="R130" s="1553" t="e">
        <f>-'Backup INPUTS'!K494</f>
        <v>#N/A</v>
      </c>
      <c r="S130" s="1553" t="e">
        <f>-'Backup INPUTS'!L494</f>
        <v>#N/A</v>
      </c>
      <c r="T130" s="1553" t="e">
        <f>-'Backup INPUTS'!M494</f>
        <v>#N/A</v>
      </c>
      <c r="U130" s="1553" t="e">
        <f t="shared" si="194"/>
        <v>#N/A</v>
      </c>
      <c r="V130" s="1554" t="e">
        <f t="shared" si="195"/>
        <v>#N/A</v>
      </c>
      <c r="W130" s="1552"/>
      <c r="X130" s="1546">
        <f t="shared" si="187"/>
        <v>2017</v>
      </c>
      <c r="Y130" s="1555" t="e">
        <f>-'Backup INPUTS'!K510</f>
        <v>#N/A</v>
      </c>
      <c r="Z130" s="1555" t="e">
        <f>-'Backup INPUTS'!L510</f>
        <v>#N/A</v>
      </c>
      <c r="AA130" s="1555" t="e">
        <f>-'Backup INPUTS'!M510</f>
        <v>#N/A</v>
      </c>
      <c r="AB130" s="1555" t="e">
        <f t="shared" si="196"/>
        <v>#N/A</v>
      </c>
      <c r="AC130" s="1556" t="e">
        <f t="shared" si="197"/>
        <v>#N/A</v>
      </c>
      <c r="AD130" s="1552"/>
      <c r="AE130" s="1546">
        <f t="shared" si="188"/>
        <v>2017</v>
      </c>
      <c r="AF130" s="1557" t="e">
        <f>-'Backup INPUTS'!K526</f>
        <v>#N/A</v>
      </c>
      <c r="AG130" s="1557" t="e">
        <f>-'Backup INPUTS'!L526</f>
        <v>#N/A</v>
      </c>
      <c r="AH130" s="1557" t="e">
        <f>-'Backup INPUTS'!M526</f>
        <v>#N/A</v>
      </c>
      <c r="AI130" s="1557" t="e">
        <f t="shared" si="198"/>
        <v>#N/A</v>
      </c>
      <c r="AJ130" s="1558" t="e">
        <f t="shared" si="199"/>
        <v>#N/A</v>
      </c>
      <c r="AL130" s="1681"/>
      <c r="AM130" s="1681"/>
      <c r="AN130" s="1681"/>
      <c r="AO130" s="1681"/>
      <c r="AP130" s="1681"/>
      <c r="AQ130" s="1681"/>
      <c r="AR130" s="1681"/>
      <c r="AS130" s="1681"/>
      <c r="AT130" s="1681"/>
      <c r="AU130" s="1681"/>
      <c r="AV130" s="1681"/>
      <c r="AW130" s="1681"/>
      <c r="AX130" s="1683"/>
      <c r="AY130" s="1683"/>
      <c r="AZ130" s="1683"/>
      <c r="BA130" s="1681"/>
    </row>
    <row r="131" spans="1:53" s="1562" customFormat="1" ht="16.5" x14ac:dyDescent="0.25">
      <c r="A131" s="1545"/>
      <c r="B131" s="2571"/>
      <c r="C131" s="1546">
        <v>2018</v>
      </c>
      <c r="D131" s="1547" t="e">
        <f t="shared" si="189"/>
        <v>#N/A</v>
      </c>
      <c r="E131" s="1547" t="e">
        <f t="shared" si="189"/>
        <v>#N/A</v>
      </c>
      <c r="F131" s="1547" t="e">
        <f t="shared" si="189"/>
        <v>#N/A</v>
      </c>
      <c r="G131" s="1547" t="e">
        <f t="shared" si="190"/>
        <v>#N/A</v>
      </c>
      <c r="H131" s="1548" t="e">
        <f t="shared" si="191"/>
        <v>#N/A</v>
      </c>
      <c r="I131" s="1549"/>
      <c r="J131" s="1546">
        <f t="shared" si="185"/>
        <v>2018</v>
      </c>
      <c r="K131" s="1679" t="e">
        <f>-'Backup INPUTS'!K474</f>
        <v>#N/A</v>
      </c>
      <c r="L131" s="1679" t="e">
        <f>-'Backup INPUTS'!L474</f>
        <v>#N/A</v>
      </c>
      <c r="M131" s="1679" t="e">
        <f>-'Backup INPUTS'!M474</f>
        <v>#N/A</v>
      </c>
      <c r="N131" s="1679" t="e">
        <f t="shared" si="192"/>
        <v>#N/A</v>
      </c>
      <c r="O131" s="1680" t="e">
        <f t="shared" si="193"/>
        <v>#N/A</v>
      </c>
      <c r="P131" s="1552"/>
      <c r="Q131" s="1546">
        <f t="shared" si="186"/>
        <v>2018</v>
      </c>
      <c r="R131" s="1553" t="e">
        <f>-'Backup INPUTS'!K495</f>
        <v>#N/A</v>
      </c>
      <c r="S131" s="1553" t="e">
        <f>-'Backup INPUTS'!L495</f>
        <v>#N/A</v>
      </c>
      <c r="T131" s="1553" t="e">
        <f>-'Backup INPUTS'!M495</f>
        <v>#N/A</v>
      </c>
      <c r="U131" s="1553" t="e">
        <f t="shared" si="194"/>
        <v>#N/A</v>
      </c>
      <c r="V131" s="1554" t="e">
        <f t="shared" si="195"/>
        <v>#N/A</v>
      </c>
      <c r="W131" s="1552"/>
      <c r="X131" s="1546">
        <f t="shared" si="187"/>
        <v>2018</v>
      </c>
      <c r="Y131" s="1555" t="e">
        <f>-'Backup INPUTS'!K511</f>
        <v>#N/A</v>
      </c>
      <c r="Z131" s="1555" t="e">
        <f>-'Backup INPUTS'!L511</f>
        <v>#N/A</v>
      </c>
      <c r="AA131" s="1555" t="e">
        <f>-'Backup INPUTS'!M511</f>
        <v>#N/A</v>
      </c>
      <c r="AB131" s="1555" t="e">
        <f t="shared" si="196"/>
        <v>#N/A</v>
      </c>
      <c r="AC131" s="1556" t="e">
        <f t="shared" si="197"/>
        <v>#N/A</v>
      </c>
      <c r="AD131" s="1552"/>
      <c r="AE131" s="1546">
        <f t="shared" si="188"/>
        <v>2018</v>
      </c>
      <c r="AF131" s="1557" t="e">
        <f>-'Backup INPUTS'!K527</f>
        <v>#N/A</v>
      </c>
      <c r="AG131" s="1557" t="e">
        <f>-'Backup INPUTS'!L527</f>
        <v>#N/A</v>
      </c>
      <c r="AH131" s="1557" t="e">
        <f>-'Backup INPUTS'!M527</f>
        <v>#N/A</v>
      </c>
      <c r="AI131" s="1557" t="e">
        <f t="shared" si="198"/>
        <v>#N/A</v>
      </c>
      <c r="AJ131" s="1558" t="e">
        <f t="shared" si="199"/>
        <v>#N/A</v>
      </c>
      <c r="AL131" s="1681"/>
      <c r="AM131" s="1681"/>
      <c r="AN131" s="1681"/>
      <c r="AO131" s="1681"/>
      <c r="AP131" s="1681"/>
      <c r="AQ131" s="1681"/>
      <c r="AR131" s="1681"/>
      <c r="AS131" s="1681"/>
      <c r="AT131" s="1681"/>
      <c r="AU131" s="1681"/>
      <c r="AV131" s="1681"/>
      <c r="AW131" s="1681"/>
      <c r="AX131" s="1683"/>
      <c r="AY131" s="1683"/>
      <c r="AZ131" s="1683"/>
      <c r="BA131" s="1681"/>
    </row>
    <row r="132" spans="1:53" s="1562" customFormat="1" ht="16.5" x14ac:dyDescent="0.25">
      <c r="A132" s="1545"/>
      <c r="B132" s="2571"/>
      <c r="C132" s="1546">
        <v>2019</v>
      </c>
      <c r="D132" s="1547" t="e">
        <f t="shared" si="189"/>
        <v>#N/A</v>
      </c>
      <c r="E132" s="1547" t="e">
        <f t="shared" si="189"/>
        <v>#N/A</v>
      </c>
      <c r="F132" s="1547" t="e">
        <f t="shared" si="189"/>
        <v>#N/A</v>
      </c>
      <c r="G132" s="1547" t="e">
        <f t="shared" si="190"/>
        <v>#N/A</v>
      </c>
      <c r="H132" s="1548" t="e">
        <f t="shared" si="191"/>
        <v>#N/A</v>
      </c>
      <c r="I132" s="1549"/>
      <c r="J132" s="1546">
        <f t="shared" si="185"/>
        <v>2019</v>
      </c>
      <c r="K132" s="1679" t="e">
        <f>-'Backup INPUTS'!K475</f>
        <v>#N/A</v>
      </c>
      <c r="L132" s="1679" t="e">
        <f>-'Backup INPUTS'!L475</f>
        <v>#N/A</v>
      </c>
      <c r="M132" s="1679" t="e">
        <f>-'Backup INPUTS'!M475</f>
        <v>#N/A</v>
      </c>
      <c r="N132" s="1679" t="e">
        <f t="shared" si="192"/>
        <v>#N/A</v>
      </c>
      <c r="O132" s="1680" t="e">
        <f t="shared" si="193"/>
        <v>#N/A</v>
      </c>
      <c r="P132" s="1552"/>
      <c r="Q132" s="1546">
        <f t="shared" si="186"/>
        <v>2019</v>
      </c>
      <c r="R132" s="1553" t="e">
        <f>-'Backup INPUTS'!K496</f>
        <v>#N/A</v>
      </c>
      <c r="S132" s="1553" t="e">
        <f>-'Backup INPUTS'!L496</f>
        <v>#N/A</v>
      </c>
      <c r="T132" s="1553" t="e">
        <f>-'Backup INPUTS'!M496</f>
        <v>#N/A</v>
      </c>
      <c r="U132" s="1553" t="e">
        <f t="shared" si="194"/>
        <v>#N/A</v>
      </c>
      <c r="V132" s="1554" t="e">
        <f t="shared" si="195"/>
        <v>#N/A</v>
      </c>
      <c r="W132" s="1552"/>
      <c r="X132" s="1546">
        <f t="shared" si="187"/>
        <v>2019</v>
      </c>
      <c r="Y132" s="1555" t="e">
        <f>-'Backup INPUTS'!K512</f>
        <v>#N/A</v>
      </c>
      <c r="Z132" s="1555" t="e">
        <f>-'Backup INPUTS'!L512</f>
        <v>#N/A</v>
      </c>
      <c r="AA132" s="1555" t="e">
        <f>-'Backup INPUTS'!M512</f>
        <v>#N/A</v>
      </c>
      <c r="AB132" s="1555" t="e">
        <f t="shared" si="196"/>
        <v>#N/A</v>
      </c>
      <c r="AC132" s="1556" t="e">
        <f t="shared" si="197"/>
        <v>#N/A</v>
      </c>
      <c r="AD132" s="1552"/>
      <c r="AE132" s="1546">
        <f t="shared" si="188"/>
        <v>2019</v>
      </c>
      <c r="AF132" s="1557" t="e">
        <f>-'Backup INPUTS'!K528</f>
        <v>#N/A</v>
      </c>
      <c r="AG132" s="1557" t="e">
        <f>-'Backup INPUTS'!L528</f>
        <v>#N/A</v>
      </c>
      <c r="AH132" s="1557" t="e">
        <f>-'Backup INPUTS'!M528</f>
        <v>#N/A</v>
      </c>
      <c r="AI132" s="1557" t="e">
        <f t="shared" si="198"/>
        <v>#N/A</v>
      </c>
      <c r="AJ132" s="1558" t="e">
        <f t="shared" si="199"/>
        <v>#N/A</v>
      </c>
      <c r="AL132" s="1681"/>
      <c r="AM132" s="1681"/>
      <c r="AN132" s="1681"/>
      <c r="AO132" s="1681"/>
      <c r="AP132" s="1681"/>
      <c r="AQ132" s="1681"/>
      <c r="AR132" s="1681"/>
      <c r="AS132" s="1681"/>
      <c r="AT132" s="1681"/>
      <c r="AU132" s="1681"/>
      <c r="AV132" s="1681"/>
      <c r="AW132" s="1681"/>
      <c r="AX132" s="1683"/>
      <c r="AY132" s="1683"/>
      <c r="AZ132" s="1683"/>
      <c r="BA132" s="1681"/>
    </row>
    <row r="133" spans="1:53" s="1562" customFormat="1" ht="16.5" x14ac:dyDescent="0.25">
      <c r="A133" s="1545"/>
      <c r="B133" s="2572"/>
      <c r="C133" s="1546">
        <v>2020</v>
      </c>
      <c r="D133" s="1547" t="e">
        <f t="shared" si="189"/>
        <v>#N/A</v>
      </c>
      <c r="E133" s="1547" t="e">
        <f t="shared" si="189"/>
        <v>#N/A</v>
      </c>
      <c r="F133" s="1547" t="e">
        <f t="shared" si="189"/>
        <v>#N/A</v>
      </c>
      <c r="G133" s="1547" t="e">
        <f t="shared" si="190"/>
        <v>#N/A</v>
      </c>
      <c r="H133" s="1548" t="e">
        <f t="shared" si="191"/>
        <v>#N/A</v>
      </c>
      <c r="I133" s="1549"/>
      <c r="J133" s="1546">
        <f t="shared" si="185"/>
        <v>2020</v>
      </c>
      <c r="K133" s="1679" t="e">
        <f>-'Backup INPUTS'!K476</f>
        <v>#N/A</v>
      </c>
      <c r="L133" s="1679" t="e">
        <f>-'Backup INPUTS'!L476</f>
        <v>#N/A</v>
      </c>
      <c r="M133" s="1679" t="e">
        <f>-'Backup INPUTS'!M476</f>
        <v>#N/A</v>
      </c>
      <c r="N133" s="1679" t="e">
        <f t="shared" si="192"/>
        <v>#N/A</v>
      </c>
      <c r="O133" s="1680" t="e">
        <f t="shared" si="193"/>
        <v>#N/A</v>
      </c>
      <c r="P133" s="1552"/>
      <c r="Q133" s="1546">
        <f t="shared" si="186"/>
        <v>2020</v>
      </c>
      <c r="R133" s="1553" t="e">
        <f>-'Backup INPUTS'!K497</f>
        <v>#N/A</v>
      </c>
      <c r="S133" s="1553" t="e">
        <f>-'Backup INPUTS'!L497</f>
        <v>#N/A</v>
      </c>
      <c r="T133" s="1553" t="e">
        <f>-'Backup INPUTS'!M497</f>
        <v>#N/A</v>
      </c>
      <c r="U133" s="1553" t="e">
        <f t="shared" si="194"/>
        <v>#N/A</v>
      </c>
      <c r="V133" s="1554" t="e">
        <f t="shared" si="195"/>
        <v>#N/A</v>
      </c>
      <c r="W133" s="1552"/>
      <c r="X133" s="1546">
        <f t="shared" si="187"/>
        <v>2020</v>
      </c>
      <c r="Y133" s="1555" t="e">
        <f>-'Backup INPUTS'!K513</f>
        <v>#N/A</v>
      </c>
      <c r="Z133" s="1555" t="e">
        <f>-'Backup INPUTS'!L513</f>
        <v>#N/A</v>
      </c>
      <c r="AA133" s="1555" t="e">
        <f>-'Backup INPUTS'!M513</f>
        <v>#N/A</v>
      </c>
      <c r="AB133" s="1555" t="e">
        <f t="shared" si="196"/>
        <v>#N/A</v>
      </c>
      <c r="AC133" s="1556" t="e">
        <f t="shared" si="197"/>
        <v>#N/A</v>
      </c>
      <c r="AD133" s="1552"/>
      <c r="AE133" s="1546">
        <f t="shared" si="188"/>
        <v>2020</v>
      </c>
      <c r="AF133" s="1557" t="e">
        <f>-'Backup INPUTS'!K529</f>
        <v>#N/A</v>
      </c>
      <c r="AG133" s="1557" t="e">
        <f>-'Backup INPUTS'!L529</f>
        <v>#N/A</v>
      </c>
      <c r="AH133" s="1557" t="e">
        <f>-'Backup INPUTS'!M529</f>
        <v>#N/A</v>
      </c>
      <c r="AI133" s="1557" t="e">
        <f t="shared" si="198"/>
        <v>#N/A</v>
      </c>
      <c r="AJ133" s="1558" t="e">
        <f t="shared" si="199"/>
        <v>#N/A</v>
      </c>
      <c r="AL133" s="1681"/>
      <c r="AM133" s="1681"/>
      <c r="AN133" s="1681"/>
      <c r="AO133" s="1681"/>
      <c r="AP133" s="1681"/>
      <c r="AQ133" s="1681"/>
      <c r="AR133" s="1681"/>
      <c r="AS133" s="1681"/>
      <c r="AT133" s="1681"/>
      <c r="AU133" s="1681"/>
      <c r="AV133" s="1681"/>
      <c r="AW133" s="1681"/>
      <c r="AX133" s="1683"/>
      <c r="AY133" s="1683"/>
      <c r="AZ133" s="1683"/>
      <c r="BA133" s="1681"/>
    </row>
    <row r="134" spans="1:53" s="1545" customFormat="1" ht="16.5" x14ac:dyDescent="0.25">
      <c r="B134" s="1564"/>
      <c r="C134" s="1565"/>
      <c r="D134" s="1565"/>
      <c r="E134" s="1566"/>
      <c r="F134" s="1566"/>
      <c r="G134" s="1566"/>
      <c r="H134" s="1566"/>
      <c r="I134" s="1566"/>
      <c r="J134" s="1565"/>
      <c r="K134" s="1567"/>
      <c r="L134" s="1567"/>
      <c r="M134" s="1567"/>
      <c r="N134" s="1567"/>
      <c r="O134" s="1567"/>
      <c r="P134" s="1567"/>
      <c r="Q134" s="1565"/>
      <c r="R134" s="1567"/>
      <c r="S134" s="1567"/>
      <c r="T134" s="1567"/>
      <c r="U134" s="1567"/>
      <c r="V134" s="1565"/>
      <c r="W134" s="1565"/>
      <c r="X134" s="1565"/>
      <c r="Y134" s="1565"/>
      <c r="Z134" s="1565"/>
      <c r="AA134" s="1565"/>
      <c r="AB134" s="1565"/>
      <c r="AC134" s="1565"/>
      <c r="AD134" s="1565"/>
      <c r="AE134" s="1565"/>
      <c r="AF134" s="1565"/>
      <c r="AG134" s="1565"/>
      <c r="AH134" s="1565"/>
      <c r="AI134" s="1565"/>
      <c r="AJ134" s="1565"/>
      <c r="AL134" s="1684"/>
      <c r="AM134" s="1684"/>
      <c r="AN134" s="1684"/>
      <c r="AO134" s="1684"/>
      <c r="AP134" s="1684"/>
      <c r="AQ134" s="1684"/>
      <c r="AR134" s="1684"/>
      <c r="AS134" s="1684"/>
      <c r="AT134" s="1684"/>
      <c r="AU134" s="1684"/>
      <c r="AV134" s="1684"/>
      <c r="AW134" s="1684"/>
      <c r="AX134" s="1685"/>
      <c r="AY134" s="1685"/>
      <c r="AZ134" s="1685"/>
      <c r="BA134" s="1684"/>
    </row>
    <row r="135" spans="1:53" s="1584" customFormat="1" ht="16.5" customHeight="1" x14ac:dyDescent="0.25">
      <c r="A135" s="1569"/>
      <c r="B135" s="2570" t="s">
        <v>2096</v>
      </c>
      <c r="C135" s="1570"/>
      <c r="D135" s="1571" t="str">
        <f>D$59</f>
        <v>Total (Manufacturing, Installation, Fuel, and Maintenance)</v>
      </c>
      <c r="E135" s="1572"/>
      <c r="F135" s="1572"/>
      <c r="G135" s="1572"/>
      <c r="H135" s="1572"/>
      <c r="I135" s="1573"/>
      <c r="J135" s="1570"/>
      <c r="K135" s="1686" t="str">
        <f>K125</f>
        <v>Displaced Alternative BuP Manufacturing, Development, Sales, and Shipping</v>
      </c>
      <c r="L135" s="1687"/>
      <c r="M135" s="1687"/>
      <c r="N135" s="1687"/>
      <c r="O135" s="1687"/>
      <c r="P135" s="1576"/>
      <c r="Q135" s="1570"/>
      <c r="R135" s="1577" t="str">
        <f>R125</f>
        <v>Displaced Domestic Alternative BuP Installations</v>
      </c>
      <c r="S135" s="1578"/>
      <c r="T135" s="1578"/>
      <c r="U135" s="1578"/>
      <c r="V135" s="1578"/>
      <c r="W135" s="1576"/>
      <c r="X135" s="1570"/>
      <c r="Y135" s="1579" t="str">
        <f>Y125</f>
        <v>Displaced Fuel Production and Delivery</v>
      </c>
      <c r="Z135" s="1580"/>
      <c r="AA135" s="1580"/>
      <c r="AB135" s="1580"/>
      <c r="AC135" s="1580"/>
      <c r="AD135" s="1576"/>
      <c r="AE135" s="1570"/>
      <c r="AF135" s="1581" t="str">
        <f>AF125</f>
        <v>Displaced Domestic Alternative BuP Unit and Site Maintenance</v>
      </c>
      <c r="AG135" s="1582"/>
      <c r="AH135" s="1582"/>
      <c r="AI135" s="1582"/>
      <c r="AJ135" s="1582"/>
      <c r="AL135" s="1520"/>
      <c r="AM135" s="1520"/>
      <c r="AN135" s="1520"/>
      <c r="AO135" s="1520"/>
      <c r="AP135" s="1520"/>
      <c r="AQ135" s="1520"/>
      <c r="AR135" s="1520"/>
      <c r="AS135" s="1520"/>
      <c r="AT135" s="1520"/>
      <c r="AU135" s="1520"/>
      <c r="AV135" s="1520"/>
      <c r="AW135" s="1520"/>
      <c r="AX135" s="1678"/>
      <c r="AY135" s="1678"/>
      <c r="AZ135" s="1678"/>
      <c r="BA135" s="1520"/>
    </row>
    <row r="136" spans="1:53" s="1695" customFormat="1" ht="16.5" x14ac:dyDescent="0.25">
      <c r="A136" s="1688"/>
      <c r="B136" s="2571"/>
      <c r="C136" s="1689"/>
      <c r="D136" s="1506" t="str">
        <f>B135</f>
        <v>Displaced Domestic Alternative Backup Power-related Earnings (Thousands of 2010$)</v>
      </c>
      <c r="E136" s="1586"/>
      <c r="F136" s="1586"/>
      <c r="G136" s="1586"/>
      <c r="H136" s="1586"/>
      <c r="I136" s="1690"/>
      <c r="J136" s="1689"/>
      <c r="K136" s="1668" t="str">
        <f>D136</f>
        <v>Displaced Domestic Alternative Backup Power-related Earnings (Thousands of 2010$)</v>
      </c>
      <c r="L136" s="1669"/>
      <c r="M136" s="1691"/>
      <c r="N136" s="1691"/>
      <c r="O136" s="1691"/>
      <c r="P136" s="1692"/>
      <c r="Q136" s="1689"/>
      <c r="R136" s="1671" t="str">
        <f>K136</f>
        <v>Displaced Domestic Alternative Backup Power-related Earnings (Thousands of 2010$)</v>
      </c>
      <c r="S136" s="1523"/>
      <c r="T136" s="1588"/>
      <c r="U136" s="1588"/>
      <c r="V136" s="1588"/>
      <c r="W136" s="1692"/>
      <c r="X136" s="1689"/>
      <c r="Y136" s="1672" t="str">
        <f>R136</f>
        <v>Displaced Domestic Alternative Backup Power-related Earnings (Thousands of 2010$)</v>
      </c>
      <c r="Z136" s="1524"/>
      <c r="AA136" s="1693"/>
      <c r="AB136" s="1693"/>
      <c r="AC136" s="1693"/>
      <c r="AD136" s="1692"/>
      <c r="AE136" s="1689"/>
      <c r="AF136" s="1673" t="str">
        <f>Y136</f>
        <v>Displaced Domestic Alternative Backup Power-related Earnings (Thousands of 2010$)</v>
      </c>
      <c r="AG136" s="1525"/>
      <c r="AH136" s="1694"/>
      <c r="AI136" s="1694"/>
      <c r="AJ136" s="1694"/>
      <c r="AL136" s="1674"/>
      <c r="AM136" s="1674"/>
      <c r="AN136" s="1674"/>
      <c r="AO136" s="1674"/>
      <c r="AP136" s="1674"/>
      <c r="AQ136" s="1674"/>
      <c r="AR136" s="1674"/>
      <c r="AS136" s="1674"/>
      <c r="AT136" s="1674"/>
      <c r="AU136" s="1674"/>
      <c r="AV136" s="1674"/>
      <c r="AW136" s="1674"/>
      <c r="AX136" s="1675"/>
      <c r="AY136" s="1675"/>
      <c r="AZ136" s="1675"/>
      <c r="BA136" s="1674"/>
    </row>
    <row r="137" spans="1:53" s="1590" customFormat="1" ht="47.25" x14ac:dyDescent="0.25">
      <c r="A137" s="1589"/>
      <c r="B137" s="2571"/>
      <c r="C137" s="1585" t="str">
        <f t="shared" ref="C137:C143" si="200">C127</f>
        <v>Year</v>
      </c>
      <c r="D137" s="1528" t="str">
        <f>D$163&amp;" "&amp;D$164</f>
        <v>Displaced BuP-related Direct</v>
      </c>
      <c r="E137" s="1528" t="str">
        <f>E$163&amp;" "&amp;E$164</f>
        <v>Displaced BuP-related Indirect</v>
      </c>
      <c r="F137" s="1528" t="str">
        <f>F$163&amp;" "&amp;F$164</f>
        <v>Displaced BuP-related Induced</v>
      </c>
      <c r="G137" s="1529" t="str">
        <f>G$163&amp;" "&amp;G$164</f>
        <v>Displaced BuP-related Supply Chain</v>
      </c>
      <c r="H137" s="1529" t="str">
        <f>H$163&amp;" "&amp;H$164</f>
        <v>Displaced BuP-related Total</v>
      </c>
      <c r="I137" s="1530"/>
      <c r="J137" s="1527" t="str">
        <f t="shared" ref="J137:J143" si="201">C137</f>
        <v>Year</v>
      </c>
      <c r="K137" s="1676" t="str">
        <f>K$163&amp;" "&amp;K$164</f>
        <v>Displaced BuP Technology Direct</v>
      </c>
      <c r="L137" s="1676" t="str">
        <f>L$163&amp;" "&amp;L$164</f>
        <v>Displaced BuP Technology Indirect</v>
      </c>
      <c r="M137" s="1676" t="str">
        <f>M$163&amp;" "&amp;M$164</f>
        <v>Displaced BuP Technology Induced</v>
      </c>
      <c r="N137" s="1677" t="str">
        <f>N$163&amp;" "&amp;N$164</f>
        <v>Displaced BuP Technology Supply Chain</v>
      </c>
      <c r="O137" s="1677" t="str">
        <f>O$163&amp;" "&amp;O$164</f>
        <v>Displaced BuP Technology Total</v>
      </c>
      <c r="P137" s="1533"/>
      <c r="Q137" s="1527" t="str">
        <f t="shared" ref="Q137:Q143" si="202">J137</f>
        <v>Year</v>
      </c>
      <c r="R137" s="1534" t="str">
        <f>R$163&amp;" "&amp;R$164</f>
        <v>Displaced BuP Installation Direct</v>
      </c>
      <c r="S137" s="1534" t="str">
        <f>S$163&amp;" "&amp;S$164</f>
        <v>Displaced BuP Installation Indirect</v>
      </c>
      <c r="T137" s="1534" t="str">
        <f>T$163&amp;" "&amp;T$164</f>
        <v>Displaced BuP Installation Induced</v>
      </c>
      <c r="U137" s="1535" t="str">
        <f>U$163&amp;" "&amp;U$164</f>
        <v>Displaced BuP Installation Supply Chain</v>
      </c>
      <c r="V137" s="1535" t="str">
        <f>V$163&amp;" "&amp;V$164</f>
        <v>Displaced BuP Installation Total</v>
      </c>
      <c r="W137" s="1533"/>
      <c r="X137" s="1527" t="str">
        <f t="shared" ref="X137:X143" si="203">Q137</f>
        <v>Year</v>
      </c>
      <c r="Y137" s="1536" t="str">
        <f>Y$163&amp;" "&amp;Y$164</f>
        <v>Displaced BuP Fuel Direct</v>
      </c>
      <c r="Z137" s="1536" t="str">
        <f>Z$163&amp;" "&amp;Z$164</f>
        <v>Displaced BuP Fuel Indirect</v>
      </c>
      <c r="AA137" s="1536" t="str">
        <f>AA$163&amp;" "&amp;AA$164</f>
        <v>Displaced BuP Fuel Induced</v>
      </c>
      <c r="AB137" s="1537" t="str">
        <f>AB$163&amp;" "&amp;AB$164</f>
        <v>Displaced BuP Fuel Supply Chain</v>
      </c>
      <c r="AC137" s="1537" t="str">
        <f>AC$163&amp;" "&amp;AC$164</f>
        <v>Displaced BuP Fuel Total</v>
      </c>
      <c r="AD137" s="1533"/>
      <c r="AE137" s="1527" t="str">
        <f t="shared" ref="AE137:AE143" si="204">X137</f>
        <v>Year</v>
      </c>
      <c r="AF137" s="1538" t="str">
        <f>AF$163&amp;" "&amp;AF$164</f>
        <v>Displaced BuP Maintenance Direct</v>
      </c>
      <c r="AG137" s="1538" t="str">
        <f>AG$163&amp;" "&amp;AG$164</f>
        <v>Displaced BuP Maintenance Indirect</v>
      </c>
      <c r="AH137" s="1538" t="str">
        <f>AH$163&amp;" "&amp;AH$164</f>
        <v>Displaced BuP Maintenance Induced</v>
      </c>
      <c r="AI137" s="1539" t="str">
        <f>AI$163&amp;" "&amp;AI$164</f>
        <v>Displaced BuP Maintenance Supply Chain</v>
      </c>
      <c r="AJ137" s="1539" t="str">
        <f>AJ$163&amp;" "&amp;AJ$164</f>
        <v>Displaced BuP Maintenance Total</v>
      </c>
      <c r="AL137" s="1520"/>
      <c r="AM137" s="1520"/>
      <c r="AN137" s="1520"/>
      <c r="AO137" s="1520"/>
      <c r="AP137" s="1520"/>
      <c r="AQ137" s="1520"/>
      <c r="AR137" s="1520"/>
      <c r="AS137" s="1520"/>
      <c r="AT137" s="1520"/>
      <c r="AU137" s="1520"/>
      <c r="AV137" s="1520"/>
      <c r="AW137" s="1520"/>
      <c r="AX137" s="1678"/>
      <c r="AY137" s="1678"/>
      <c r="AZ137" s="1678"/>
      <c r="BA137" s="1520"/>
    </row>
    <row r="138" spans="1:53" s="1562" customFormat="1" ht="16.5" x14ac:dyDescent="0.25">
      <c r="A138" s="1545"/>
      <c r="B138" s="2571"/>
      <c r="C138" s="1546">
        <f t="shared" si="200"/>
        <v>2015</v>
      </c>
      <c r="D138" s="1591" t="e">
        <f t="shared" ref="D138:F143" si="205">K138+R138+Y138+AF138</f>
        <v>#N/A</v>
      </c>
      <c r="E138" s="1591" t="e">
        <f t="shared" si="205"/>
        <v>#N/A</v>
      </c>
      <c r="F138" s="1591" t="e">
        <f t="shared" si="205"/>
        <v>#N/A</v>
      </c>
      <c r="G138" s="1591" t="e">
        <f t="shared" ref="G138:G143" si="206">D138+E138</f>
        <v>#N/A</v>
      </c>
      <c r="H138" s="1592" t="e">
        <f t="shared" ref="H138:H143" si="207">D138+E138+F138</f>
        <v>#N/A</v>
      </c>
      <c r="I138" s="1593"/>
      <c r="J138" s="1546">
        <f t="shared" si="201"/>
        <v>2015</v>
      </c>
      <c r="K138" s="1696" t="e">
        <f>-'Backup INPUTS'!Q471/'Backup INPUTS'!$C$578/1000</f>
        <v>#N/A</v>
      </c>
      <c r="L138" s="1696" t="e">
        <f>-'Backup INPUTS'!R471/'Backup INPUTS'!$C$578/1000</f>
        <v>#N/A</v>
      </c>
      <c r="M138" s="1696" t="e">
        <f>-'Backup INPUTS'!S471/'Backup INPUTS'!$C$578/1000</f>
        <v>#N/A</v>
      </c>
      <c r="N138" s="1697" t="e">
        <f t="shared" ref="N138:N143" si="208">K138+L138</f>
        <v>#N/A</v>
      </c>
      <c r="O138" s="1698" t="e">
        <f t="shared" ref="O138:O143" si="209">K138+L138+M138</f>
        <v>#N/A</v>
      </c>
      <c r="P138" s="1596"/>
      <c r="Q138" s="1546">
        <f t="shared" si="202"/>
        <v>2015</v>
      </c>
      <c r="R138" s="1597" t="e">
        <f>-'Backup INPUTS'!Q492/'Backup INPUTS'!$C$578/1000</f>
        <v>#N/A</v>
      </c>
      <c r="S138" s="1597" t="e">
        <f>-'Backup INPUTS'!R492/'Backup INPUTS'!$C$578/1000</f>
        <v>#N/A</v>
      </c>
      <c r="T138" s="1597" t="e">
        <f>-'Backup INPUTS'!S492/'Backup INPUTS'!$C$578/1000</f>
        <v>#N/A</v>
      </c>
      <c r="U138" s="1597" t="e">
        <f t="shared" ref="U138:U143" si="210">R138+S138</f>
        <v>#N/A</v>
      </c>
      <c r="V138" s="1598" t="e">
        <f t="shared" ref="V138:V143" si="211">R138+S138+T138</f>
        <v>#N/A</v>
      </c>
      <c r="W138" s="1596"/>
      <c r="X138" s="1546">
        <f t="shared" si="203"/>
        <v>2015</v>
      </c>
      <c r="Y138" s="1599" t="e">
        <f>-'Backup INPUTS'!Q508/'Backup INPUTS'!$C$578/1000</f>
        <v>#N/A</v>
      </c>
      <c r="Z138" s="1599" t="e">
        <f>-'Backup INPUTS'!R508/'Backup INPUTS'!$C$578/1000</f>
        <v>#N/A</v>
      </c>
      <c r="AA138" s="1599" t="e">
        <f>-'Backup INPUTS'!S508/'Backup INPUTS'!$C$578/1000</f>
        <v>#N/A</v>
      </c>
      <c r="AB138" s="1599" t="e">
        <f t="shared" ref="AB138:AB143" si="212">Y138+Z138</f>
        <v>#N/A</v>
      </c>
      <c r="AC138" s="1600" t="e">
        <f t="shared" ref="AC138:AC143" si="213">Y138+Z138+AA138</f>
        <v>#N/A</v>
      </c>
      <c r="AD138" s="1596"/>
      <c r="AE138" s="1546">
        <f t="shared" si="204"/>
        <v>2015</v>
      </c>
      <c r="AF138" s="1601" t="e">
        <f>-'Backup INPUTS'!Q524/'Backup INPUTS'!$C$578/1000</f>
        <v>#N/A</v>
      </c>
      <c r="AG138" s="1601" t="e">
        <f>-'Backup INPUTS'!R524/'Backup INPUTS'!$C$578/1000</f>
        <v>#N/A</v>
      </c>
      <c r="AH138" s="1601" t="e">
        <f>-'Backup INPUTS'!S524/'Backup INPUTS'!$C$578/1000</f>
        <v>#N/A</v>
      </c>
      <c r="AI138" s="1601" t="e">
        <f t="shared" ref="AI138:AI143" si="214">AF138+AG138</f>
        <v>#N/A</v>
      </c>
      <c r="AJ138" s="1602" t="e">
        <f t="shared" ref="AJ138:AJ143" si="215">AF138+AG138+AH138</f>
        <v>#N/A</v>
      </c>
      <c r="AL138" s="1681"/>
      <c r="AM138" s="1681"/>
      <c r="AN138" s="1681"/>
      <c r="AO138" s="1681"/>
      <c r="AP138" s="1681"/>
      <c r="AQ138" s="1681"/>
      <c r="AR138" s="1681"/>
      <c r="AS138" s="1681"/>
      <c r="AT138" s="1681"/>
      <c r="AU138" s="1681"/>
      <c r="AV138" s="1681"/>
      <c r="AW138" s="1681"/>
      <c r="AX138" s="1683"/>
      <c r="AY138" s="1683"/>
      <c r="AZ138" s="1683"/>
      <c r="BA138" s="1681"/>
    </row>
    <row r="139" spans="1:53" s="1562" customFormat="1" ht="16.5" x14ac:dyDescent="0.25">
      <c r="A139" s="1545"/>
      <c r="B139" s="2571"/>
      <c r="C139" s="1546">
        <f t="shared" si="200"/>
        <v>2016</v>
      </c>
      <c r="D139" s="1591" t="e">
        <f t="shared" si="205"/>
        <v>#N/A</v>
      </c>
      <c r="E139" s="1591" t="e">
        <f t="shared" si="205"/>
        <v>#N/A</v>
      </c>
      <c r="F139" s="1591" t="e">
        <f t="shared" si="205"/>
        <v>#N/A</v>
      </c>
      <c r="G139" s="1591" t="e">
        <f t="shared" si="206"/>
        <v>#N/A</v>
      </c>
      <c r="H139" s="1592" t="e">
        <f t="shared" si="207"/>
        <v>#N/A</v>
      </c>
      <c r="I139" s="1593"/>
      <c r="J139" s="1546">
        <f t="shared" si="201"/>
        <v>2016</v>
      </c>
      <c r="K139" s="1696" t="e">
        <f>-'Backup INPUTS'!Q472/'Backup INPUTS'!$C$578/1000</f>
        <v>#N/A</v>
      </c>
      <c r="L139" s="1696" t="e">
        <f>-'Backup INPUTS'!R472/'Backup INPUTS'!$C$578/1000</f>
        <v>#N/A</v>
      </c>
      <c r="M139" s="1696" t="e">
        <f>-'Backup INPUTS'!S472/'Backup INPUTS'!$C$578/1000</f>
        <v>#N/A</v>
      </c>
      <c r="N139" s="1697" t="e">
        <f t="shared" si="208"/>
        <v>#N/A</v>
      </c>
      <c r="O139" s="1698" t="e">
        <f t="shared" si="209"/>
        <v>#N/A</v>
      </c>
      <c r="P139" s="1596"/>
      <c r="Q139" s="1546">
        <f t="shared" si="202"/>
        <v>2016</v>
      </c>
      <c r="R139" s="1597" t="e">
        <f>-'Backup INPUTS'!Q493/'Backup INPUTS'!$C$578/1000</f>
        <v>#N/A</v>
      </c>
      <c r="S139" s="1597" t="e">
        <f>-'Backup INPUTS'!R493/'Backup INPUTS'!$C$578/1000</f>
        <v>#N/A</v>
      </c>
      <c r="T139" s="1597" t="e">
        <f>-'Backup INPUTS'!S493/'Backup INPUTS'!$C$578/1000</f>
        <v>#N/A</v>
      </c>
      <c r="U139" s="1597" t="e">
        <f t="shared" si="210"/>
        <v>#N/A</v>
      </c>
      <c r="V139" s="1598" t="e">
        <f t="shared" si="211"/>
        <v>#N/A</v>
      </c>
      <c r="W139" s="1596"/>
      <c r="X139" s="1546">
        <f t="shared" si="203"/>
        <v>2016</v>
      </c>
      <c r="Y139" s="1599" t="e">
        <f>-'Backup INPUTS'!Q509/'Backup INPUTS'!$C$578/1000</f>
        <v>#N/A</v>
      </c>
      <c r="Z139" s="1599" t="e">
        <f>-'Backup INPUTS'!R509/'Backup INPUTS'!$C$578/1000</f>
        <v>#N/A</v>
      </c>
      <c r="AA139" s="1599" t="e">
        <f>-'Backup INPUTS'!S509/'Backup INPUTS'!$C$578/1000</f>
        <v>#N/A</v>
      </c>
      <c r="AB139" s="1599" t="e">
        <f t="shared" si="212"/>
        <v>#N/A</v>
      </c>
      <c r="AC139" s="1600" t="e">
        <f t="shared" si="213"/>
        <v>#N/A</v>
      </c>
      <c r="AD139" s="1596"/>
      <c r="AE139" s="1546">
        <f t="shared" si="204"/>
        <v>2016</v>
      </c>
      <c r="AF139" s="1601" t="e">
        <f>-'Backup INPUTS'!Q525/'Backup INPUTS'!$C$578/1000</f>
        <v>#N/A</v>
      </c>
      <c r="AG139" s="1601" t="e">
        <f>-'Backup INPUTS'!R525/'Backup INPUTS'!$C$578/1000</f>
        <v>#N/A</v>
      </c>
      <c r="AH139" s="1601" t="e">
        <f>-'Backup INPUTS'!S525/'Backup INPUTS'!$C$578/1000</f>
        <v>#N/A</v>
      </c>
      <c r="AI139" s="1601" t="e">
        <f t="shared" si="214"/>
        <v>#N/A</v>
      </c>
      <c r="AJ139" s="1602" t="e">
        <f t="shared" si="215"/>
        <v>#N/A</v>
      </c>
      <c r="AL139" s="1681"/>
      <c r="AM139" s="1681"/>
      <c r="AN139" s="1681"/>
      <c r="AO139" s="1681"/>
      <c r="AP139" s="1681"/>
      <c r="AQ139" s="1681"/>
      <c r="AR139" s="1681"/>
      <c r="AS139" s="1681"/>
      <c r="AT139" s="1681"/>
      <c r="AU139" s="1681"/>
      <c r="AV139" s="1681"/>
      <c r="AW139" s="1681"/>
      <c r="AX139" s="1683"/>
      <c r="AY139" s="1683"/>
      <c r="AZ139" s="1683"/>
      <c r="BA139" s="1681"/>
    </row>
    <row r="140" spans="1:53" s="1562" customFormat="1" ht="16.5" x14ac:dyDescent="0.25">
      <c r="A140" s="1545"/>
      <c r="B140" s="2571"/>
      <c r="C140" s="1546">
        <f t="shared" si="200"/>
        <v>2017</v>
      </c>
      <c r="D140" s="1591" t="e">
        <f t="shared" si="205"/>
        <v>#N/A</v>
      </c>
      <c r="E140" s="1591" t="e">
        <f t="shared" si="205"/>
        <v>#N/A</v>
      </c>
      <c r="F140" s="1591" t="e">
        <f t="shared" si="205"/>
        <v>#N/A</v>
      </c>
      <c r="G140" s="1591" t="e">
        <f t="shared" si="206"/>
        <v>#N/A</v>
      </c>
      <c r="H140" s="1592" t="e">
        <f t="shared" si="207"/>
        <v>#N/A</v>
      </c>
      <c r="I140" s="1593"/>
      <c r="J140" s="1546">
        <f t="shared" si="201"/>
        <v>2017</v>
      </c>
      <c r="K140" s="1696" t="e">
        <f>-'Backup INPUTS'!Q473/'Backup INPUTS'!$C$578/1000</f>
        <v>#N/A</v>
      </c>
      <c r="L140" s="1696" t="e">
        <f>-'Backup INPUTS'!R473/'Backup INPUTS'!$C$578/1000</f>
        <v>#N/A</v>
      </c>
      <c r="M140" s="1696" t="e">
        <f>-'Backup INPUTS'!S473/'Backup INPUTS'!$C$578/1000</f>
        <v>#N/A</v>
      </c>
      <c r="N140" s="1697" t="e">
        <f t="shared" si="208"/>
        <v>#N/A</v>
      </c>
      <c r="O140" s="1698" t="e">
        <f t="shared" si="209"/>
        <v>#N/A</v>
      </c>
      <c r="P140" s="1596"/>
      <c r="Q140" s="1546">
        <f t="shared" si="202"/>
        <v>2017</v>
      </c>
      <c r="R140" s="1597" t="e">
        <f>-'Backup INPUTS'!Q494/'Backup INPUTS'!$C$578/1000</f>
        <v>#N/A</v>
      </c>
      <c r="S140" s="1597" t="e">
        <f>-'Backup INPUTS'!R494/'Backup INPUTS'!$C$578/1000</f>
        <v>#N/A</v>
      </c>
      <c r="T140" s="1597" t="e">
        <f>-'Backup INPUTS'!S494/'Backup INPUTS'!$C$578/1000</f>
        <v>#N/A</v>
      </c>
      <c r="U140" s="1597" t="e">
        <f t="shared" si="210"/>
        <v>#N/A</v>
      </c>
      <c r="V140" s="1598" t="e">
        <f t="shared" si="211"/>
        <v>#N/A</v>
      </c>
      <c r="W140" s="1596"/>
      <c r="X140" s="1546">
        <f t="shared" si="203"/>
        <v>2017</v>
      </c>
      <c r="Y140" s="1599" t="e">
        <f>-'Backup INPUTS'!Q510/'Backup INPUTS'!$C$578/1000</f>
        <v>#N/A</v>
      </c>
      <c r="Z140" s="1599" t="e">
        <f>-'Backup INPUTS'!R510/'Backup INPUTS'!$C$578/1000</f>
        <v>#N/A</v>
      </c>
      <c r="AA140" s="1599" t="e">
        <f>-'Backup INPUTS'!S510/'Backup INPUTS'!$C$578/1000</f>
        <v>#N/A</v>
      </c>
      <c r="AB140" s="1599" t="e">
        <f t="shared" si="212"/>
        <v>#N/A</v>
      </c>
      <c r="AC140" s="1600" t="e">
        <f t="shared" si="213"/>
        <v>#N/A</v>
      </c>
      <c r="AD140" s="1596"/>
      <c r="AE140" s="1546">
        <f t="shared" si="204"/>
        <v>2017</v>
      </c>
      <c r="AF140" s="1601" t="e">
        <f>-'Backup INPUTS'!Q526/'Backup INPUTS'!$C$578/1000</f>
        <v>#N/A</v>
      </c>
      <c r="AG140" s="1601" t="e">
        <f>-'Backup INPUTS'!R526/'Backup INPUTS'!$C$578/1000</f>
        <v>#N/A</v>
      </c>
      <c r="AH140" s="1601" t="e">
        <f>-'Backup INPUTS'!S526/'Backup INPUTS'!$C$578/1000</f>
        <v>#N/A</v>
      </c>
      <c r="AI140" s="1601" t="e">
        <f t="shared" si="214"/>
        <v>#N/A</v>
      </c>
      <c r="AJ140" s="1602" t="e">
        <f t="shared" si="215"/>
        <v>#N/A</v>
      </c>
      <c r="AL140" s="1681"/>
      <c r="AM140" s="1681"/>
      <c r="AN140" s="1681"/>
      <c r="AO140" s="1681"/>
      <c r="AP140" s="1681"/>
      <c r="AQ140" s="1681"/>
      <c r="AR140" s="1681"/>
      <c r="AS140" s="1681"/>
      <c r="AT140" s="1681"/>
      <c r="AU140" s="1681"/>
      <c r="AV140" s="1681"/>
      <c r="AW140" s="1681"/>
      <c r="AX140" s="1683"/>
      <c r="AY140" s="1683"/>
      <c r="AZ140" s="1683"/>
      <c r="BA140" s="1681"/>
    </row>
    <row r="141" spans="1:53" s="1562" customFormat="1" ht="16.5" x14ac:dyDescent="0.25">
      <c r="A141" s="1545"/>
      <c r="B141" s="2571"/>
      <c r="C141" s="1546">
        <f t="shared" si="200"/>
        <v>2018</v>
      </c>
      <c r="D141" s="1591" t="e">
        <f t="shared" si="205"/>
        <v>#N/A</v>
      </c>
      <c r="E141" s="1591" t="e">
        <f t="shared" si="205"/>
        <v>#N/A</v>
      </c>
      <c r="F141" s="1591" t="e">
        <f t="shared" si="205"/>
        <v>#N/A</v>
      </c>
      <c r="G141" s="1591" t="e">
        <f t="shared" si="206"/>
        <v>#N/A</v>
      </c>
      <c r="H141" s="1592" t="e">
        <f t="shared" si="207"/>
        <v>#N/A</v>
      </c>
      <c r="I141" s="1593"/>
      <c r="J141" s="1546">
        <f t="shared" si="201"/>
        <v>2018</v>
      </c>
      <c r="K141" s="1696" t="e">
        <f>-'Backup INPUTS'!Q474/'Backup INPUTS'!$C$578/1000</f>
        <v>#N/A</v>
      </c>
      <c r="L141" s="1696" t="e">
        <f>-'Backup INPUTS'!R474/'Backup INPUTS'!$C$578/1000</f>
        <v>#N/A</v>
      </c>
      <c r="M141" s="1696" t="e">
        <f>-'Backup INPUTS'!S474/'Backup INPUTS'!$C$578/1000</f>
        <v>#N/A</v>
      </c>
      <c r="N141" s="1697" t="e">
        <f t="shared" si="208"/>
        <v>#N/A</v>
      </c>
      <c r="O141" s="1698" t="e">
        <f t="shared" si="209"/>
        <v>#N/A</v>
      </c>
      <c r="P141" s="1596"/>
      <c r="Q141" s="1546">
        <f t="shared" si="202"/>
        <v>2018</v>
      </c>
      <c r="R141" s="1597" t="e">
        <f>-'Backup INPUTS'!Q495/'Backup INPUTS'!$C$578/1000</f>
        <v>#N/A</v>
      </c>
      <c r="S141" s="1597" t="e">
        <f>-'Backup INPUTS'!R495/'Backup INPUTS'!$C$578/1000</f>
        <v>#N/A</v>
      </c>
      <c r="T141" s="1597" t="e">
        <f>-'Backup INPUTS'!S495/'Backup INPUTS'!$C$578/1000</f>
        <v>#N/A</v>
      </c>
      <c r="U141" s="1597" t="e">
        <f t="shared" si="210"/>
        <v>#N/A</v>
      </c>
      <c r="V141" s="1598" t="e">
        <f t="shared" si="211"/>
        <v>#N/A</v>
      </c>
      <c r="W141" s="1596"/>
      <c r="X141" s="1546">
        <f t="shared" si="203"/>
        <v>2018</v>
      </c>
      <c r="Y141" s="1599" t="e">
        <f>-'Backup INPUTS'!Q511/'Backup INPUTS'!$C$578/1000</f>
        <v>#N/A</v>
      </c>
      <c r="Z141" s="1599" t="e">
        <f>-'Backup INPUTS'!R511/'Backup INPUTS'!$C$578/1000</f>
        <v>#N/A</v>
      </c>
      <c r="AA141" s="1599" t="e">
        <f>-'Backup INPUTS'!S511/'Backup INPUTS'!$C$578/1000</f>
        <v>#N/A</v>
      </c>
      <c r="AB141" s="1599" t="e">
        <f t="shared" si="212"/>
        <v>#N/A</v>
      </c>
      <c r="AC141" s="1600" t="e">
        <f t="shared" si="213"/>
        <v>#N/A</v>
      </c>
      <c r="AD141" s="1596"/>
      <c r="AE141" s="1546">
        <f t="shared" si="204"/>
        <v>2018</v>
      </c>
      <c r="AF141" s="1601" t="e">
        <f>-'Backup INPUTS'!Q527/'Backup INPUTS'!$C$578/1000</f>
        <v>#N/A</v>
      </c>
      <c r="AG141" s="1601" t="e">
        <f>-'Backup INPUTS'!R527/'Backup INPUTS'!$C$578/1000</f>
        <v>#N/A</v>
      </c>
      <c r="AH141" s="1601" t="e">
        <f>-'Backup INPUTS'!S527/'Backup INPUTS'!$C$578/1000</f>
        <v>#N/A</v>
      </c>
      <c r="AI141" s="1601" t="e">
        <f t="shared" si="214"/>
        <v>#N/A</v>
      </c>
      <c r="AJ141" s="1602" t="e">
        <f t="shared" si="215"/>
        <v>#N/A</v>
      </c>
      <c r="AL141" s="1681"/>
      <c r="AM141" s="1681"/>
      <c r="AN141" s="1681"/>
      <c r="AO141" s="1681"/>
      <c r="AP141" s="1681"/>
      <c r="AQ141" s="1681"/>
      <c r="AR141" s="1681"/>
      <c r="AS141" s="1681"/>
      <c r="AT141" s="1681"/>
      <c r="AU141" s="1681"/>
      <c r="AV141" s="1681"/>
      <c r="AW141" s="1681"/>
      <c r="AX141" s="1683"/>
      <c r="AY141" s="1683"/>
      <c r="AZ141" s="1683"/>
      <c r="BA141" s="1681"/>
    </row>
    <row r="142" spans="1:53" s="1562" customFormat="1" ht="16.5" x14ac:dyDescent="0.25">
      <c r="A142" s="1545"/>
      <c r="B142" s="2571"/>
      <c r="C142" s="1546">
        <f t="shared" si="200"/>
        <v>2019</v>
      </c>
      <c r="D142" s="1591" t="e">
        <f t="shared" si="205"/>
        <v>#N/A</v>
      </c>
      <c r="E142" s="1591" t="e">
        <f t="shared" si="205"/>
        <v>#N/A</v>
      </c>
      <c r="F142" s="1591" t="e">
        <f t="shared" si="205"/>
        <v>#N/A</v>
      </c>
      <c r="G142" s="1591" t="e">
        <f t="shared" si="206"/>
        <v>#N/A</v>
      </c>
      <c r="H142" s="1592" t="e">
        <f t="shared" si="207"/>
        <v>#N/A</v>
      </c>
      <c r="I142" s="1593"/>
      <c r="J142" s="1546">
        <f t="shared" si="201"/>
        <v>2019</v>
      </c>
      <c r="K142" s="1696" t="e">
        <f>-'Backup INPUTS'!Q475/'Backup INPUTS'!$C$578/1000</f>
        <v>#N/A</v>
      </c>
      <c r="L142" s="1696" t="e">
        <f>-'Backup INPUTS'!R475/'Backup INPUTS'!$C$578/1000</f>
        <v>#N/A</v>
      </c>
      <c r="M142" s="1696" t="e">
        <f>-'Backup INPUTS'!S475/'Backup INPUTS'!$C$578/1000</f>
        <v>#N/A</v>
      </c>
      <c r="N142" s="1697" t="e">
        <f t="shared" si="208"/>
        <v>#N/A</v>
      </c>
      <c r="O142" s="1698" t="e">
        <f t="shared" si="209"/>
        <v>#N/A</v>
      </c>
      <c r="P142" s="1596"/>
      <c r="Q142" s="1546">
        <f t="shared" si="202"/>
        <v>2019</v>
      </c>
      <c r="R142" s="1597" t="e">
        <f>-'Backup INPUTS'!Q496/'Backup INPUTS'!$C$578/1000</f>
        <v>#N/A</v>
      </c>
      <c r="S142" s="1597" t="e">
        <f>-'Backup INPUTS'!R496/'Backup INPUTS'!$C$578/1000</f>
        <v>#N/A</v>
      </c>
      <c r="T142" s="1597" t="e">
        <f>-'Backup INPUTS'!S496/'Backup INPUTS'!$C$578/1000</f>
        <v>#N/A</v>
      </c>
      <c r="U142" s="1597" t="e">
        <f t="shared" si="210"/>
        <v>#N/A</v>
      </c>
      <c r="V142" s="1598" t="e">
        <f t="shared" si="211"/>
        <v>#N/A</v>
      </c>
      <c r="W142" s="1596"/>
      <c r="X142" s="1546">
        <f t="shared" si="203"/>
        <v>2019</v>
      </c>
      <c r="Y142" s="1599" t="e">
        <f>-'Backup INPUTS'!Q512/'Backup INPUTS'!$C$578/1000</f>
        <v>#N/A</v>
      </c>
      <c r="Z142" s="1599" t="e">
        <f>-'Backup INPUTS'!R512/'Backup INPUTS'!$C$578/1000</f>
        <v>#N/A</v>
      </c>
      <c r="AA142" s="1599" t="e">
        <f>-'Backup INPUTS'!S512/'Backup INPUTS'!$C$578/1000</f>
        <v>#N/A</v>
      </c>
      <c r="AB142" s="1599" t="e">
        <f t="shared" si="212"/>
        <v>#N/A</v>
      </c>
      <c r="AC142" s="1600" t="e">
        <f t="shared" si="213"/>
        <v>#N/A</v>
      </c>
      <c r="AD142" s="1596"/>
      <c r="AE142" s="1546">
        <f t="shared" si="204"/>
        <v>2019</v>
      </c>
      <c r="AF142" s="1601" t="e">
        <f>-'Backup INPUTS'!Q528/'Backup INPUTS'!$C$578/1000</f>
        <v>#N/A</v>
      </c>
      <c r="AG142" s="1601" t="e">
        <f>-'Backup INPUTS'!R528/'Backup INPUTS'!$C$578/1000</f>
        <v>#N/A</v>
      </c>
      <c r="AH142" s="1601" t="e">
        <f>-'Backup INPUTS'!S528/'Backup INPUTS'!$C$578/1000</f>
        <v>#N/A</v>
      </c>
      <c r="AI142" s="1601" t="e">
        <f t="shared" si="214"/>
        <v>#N/A</v>
      </c>
      <c r="AJ142" s="1602" t="e">
        <f t="shared" si="215"/>
        <v>#N/A</v>
      </c>
      <c r="AL142" s="1681"/>
      <c r="AM142" s="1681"/>
      <c r="AN142" s="1681"/>
      <c r="AO142" s="1681"/>
      <c r="AP142" s="1681"/>
      <c r="AQ142" s="1681"/>
      <c r="AR142" s="1681"/>
      <c r="AS142" s="1681"/>
      <c r="AT142" s="1681"/>
      <c r="AU142" s="1681"/>
      <c r="AV142" s="1681"/>
      <c r="AW142" s="1681"/>
      <c r="AX142" s="1683"/>
      <c r="AY142" s="1683"/>
      <c r="AZ142" s="1683"/>
      <c r="BA142" s="1681"/>
    </row>
    <row r="143" spans="1:53" s="1562" customFormat="1" ht="16.5" x14ac:dyDescent="0.25">
      <c r="A143" s="1545"/>
      <c r="B143" s="2572"/>
      <c r="C143" s="1546">
        <f t="shared" si="200"/>
        <v>2020</v>
      </c>
      <c r="D143" s="1591" t="e">
        <f t="shared" si="205"/>
        <v>#N/A</v>
      </c>
      <c r="E143" s="1591" t="e">
        <f t="shared" si="205"/>
        <v>#N/A</v>
      </c>
      <c r="F143" s="1591" t="e">
        <f t="shared" si="205"/>
        <v>#N/A</v>
      </c>
      <c r="G143" s="1591" t="e">
        <f t="shared" si="206"/>
        <v>#N/A</v>
      </c>
      <c r="H143" s="1592" t="e">
        <f t="shared" si="207"/>
        <v>#N/A</v>
      </c>
      <c r="I143" s="1593"/>
      <c r="J143" s="1546">
        <f t="shared" si="201"/>
        <v>2020</v>
      </c>
      <c r="K143" s="1696" t="e">
        <f>-'Backup INPUTS'!Q476/'Backup INPUTS'!$C$578/1000</f>
        <v>#N/A</v>
      </c>
      <c r="L143" s="1696" t="e">
        <f>-'Backup INPUTS'!R476/'Backup INPUTS'!$C$578/1000</f>
        <v>#N/A</v>
      </c>
      <c r="M143" s="1696" t="e">
        <f>-'Backup INPUTS'!S476/'Backup INPUTS'!$C$578/1000</f>
        <v>#N/A</v>
      </c>
      <c r="N143" s="1697" t="e">
        <f t="shared" si="208"/>
        <v>#N/A</v>
      </c>
      <c r="O143" s="1698" t="e">
        <f t="shared" si="209"/>
        <v>#N/A</v>
      </c>
      <c r="P143" s="1596"/>
      <c r="Q143" s="1546">
        <f t="shared" si="202"/>
        <v>2020</v>
      </c>
      <c r="R143" s="1597" t="e">
        <f>-'Backup INPUTS'!Q497/'Backup INPUTS'!$C$578/1000</f>
        <v>#N/A</v>
      </c>
      <c r="S143" s="1597" t="e">
        <f>-'Backup INPUTS'!R497/'Backup INPUTS'!$C$578/1000</f>
        <v>#N/A</v>
      </c>
      <c r="T143" s="1597" t="e">
        <f>-'Backup INPUTS'!S497/'Backup INPUTS'!$C$578/1000</f>
        <v>#N/A</v>
      </c>
      <c r="U143" s="1597" t="e">
        <f t="shared" si="210"/>
        <v>#N/A</v>
      </c>
      <c r="V143" s="1598" t="e">
        <f t="shared" si="211"/>
        <v>#N/A</v>
      </c>
      <c r="W143" s="1596"/>
      <c r="X143" s="1546">
        <f t="shared" si="203"/>
        <v>2020</v>
      </c>
      <c r="Y143" s="1599" t="e">
        <f>-'Backup INPUTS'!Q513/'Backup INPUTS'!$C$578/1000</f>
        <v>#N/A</v>
      </c>
      <c r="Z143" s="1599" t="e">
        <f>-'Backup INPUTS'!R513/'Backup INPUTS'!$C$578/1000</f>
        <v>#N/A</v>
      </c>
      <c r="AA143" s="1599" t="e">
        <f>-'Backup INPUTS'!S513/'Backup INPUTS'!$C$578/1000</f>
        <v>#N/A</v>
      </c>
      <c r="AB143" s="1599" t="e">
        <f t="shared" si="212"/>
        <v>#N/A</v>
      </c>
      <c r="AC143" s="1600" t="e">
        <f t="shared" si="213"/>
        <v>#N/A</v>
      </c>
      <c r="AD143" s="1596"/>
      <c r="AE143" s="1546">
        <f t="shared" si="204"/>
        <v>2020</v>
      </c>
      <c r="AF143" s="1601" t="e">
        <f>-'Backup INPUTS'!Q529/'Backup INPUTS'!$C$578/1000</f>
        <v>#N/A</v>
      </c>
      <c r="AG143" s="1601" t="e">
        <f>-'Backup INPUTS'!R529/'Backup INPUTS'!$C$578/1000</f>
        <v>#N/A</v>
      </c>
      <c r="AH143" s="1601" t="e">
        <f>-'Backup INPUTS'!S529/'Backup INPUTS'!$C$578/1000</f>
        <v>#N/A</v>
      </c>
      <c r="AI143" s="1601" t="e">
        <f t="shared" si="214"/>
        <v>#N/A</v>
      </c>
      <c r="AJ143" s="1602" t="e">
        <f t="shared" si="215"/>
        <v>#N/A</v>
      </c>
      <c r="AL143" s="1681"/>
      <c r="AM143" s="1681"/>
      <c r="AN143" s="1681"/>
      <c r="AO143" s="1681"/>
      <c r="AP143" s="1681"/>
      <c r="AQ143" s="1681"/>
      <c r="AR143" s="1681"/>
      <c r="AS143" s="1681"/>
      <c r="AT143" s="1681"/>
      <c r="AU143" s="1681"/>
      <c r="AV143" s="1681"/>
      <c r="AW143" s="1681"/>
      <c r="AX143" s="1683"/>
      <c r="AY143" s="1683"/>
      <c r="AZ143" s="1683"/>
      <c r="BA143" s="1681"/>
    </row>
    <row r="144" spans="1:53" s="1545" customFormat="1" ht="16.5" x14ac:dyDescent="0.25">
      <c r="B144" s="1564"/>
      <c r="C144" s="1565"/>
      <c r="D144" s="1565"/>
      <c r="E144" s="1566"/>
      <c r="F144" s="1566"/>
      <c r="G144" s="1566"/>
      <c r="H144" s="1566"/>
      <c r="I144" s="1566"/>
      <c r="J144" s="1565"/>
      <c r="K144" s="1565"/>
      <c r="L144" s="1567"/>
      <c r="M144" s="1567"/>
      <c r="N144" s="1567"/>
      <c r="O144" s="1567"/>
      <c r="P144" s="1567"/>
      <c r="Q144" s="1565"/>
      <c r="R144" s="1567"/>
      <c r="S144" s="1567"/>
      <c r="T144" s="1567"/>
      <c r="U144" s="1567"/>
      <c r="V144" s="1565"/>
      <c r="W144" s="1565"/>
      <c r="X144" s="1565"/>
      <c r="Y144" s="1565"/>
      <c r="Z144" s="1565"/>
      <c r="AA144" s="1565"/>
      <c r="AB144" s="1565"/>
      <c r="AC144" s="1565"/>
      <c r="AD144" s="1565"/>
      <c r="AE144" s="1565"/>
      <c r="AF144" s="1565"/>
      <c r="AG144" s="1565"/>
      <c r="AH144" s="1565"/>
      <c r="AI144" s="1565"/>
      <c r="AJ144" s="1565"/>
      <c r="AL144" s="1684"/>
      <c r="AM144" s="1684"/>
      <c r="AN144" s="1684"/>
      <c r="AO144" s="1684"/>
      <c r="AP144" s="1684"/>
      <c r="AQ144" s="1684"/>
      <c r="AR144" s="1684"/>
      <c r="AS144" s="1684"/>
      <c r="AT144" s="1684"/>
      <c r="AU144" s="1684"/>
      <c r="AV144" s="1684"/>
      <c r="AW144" s="1684"/>
      <c r="AX144" s="1685"/>
      <c r="AY144" s="1685"/>
      <c r="AZ144" s="1685"/>
      <c r="BA144" s="1684"/>
    </row>
    <row r="145" spans="1:36" s="1590" customFormat="1" ht="16.5" customHeight="1" x14ac:dyDescent="0.25">
      <c r="A145" s="1589"/>
      <c r="B145" s="2569" t="s">
        <v>2097</v>
      </c>
      <c r="C145" s="1699"/>
      <c r="D145" s="1571" t="str">
        <f>D$59</f>
        <v>Total (Manufacturing, Installation, Fuel, and Maintenance)</v>
      </c>
      <c r="E145" s="1700"/>
      <c r="F145" s="1700"/>
      <c r="G145" s="1700"/>
      <c r="H145" s="1701"/>
      <c r="I145" s="1573"/>
      <c r="J145" s="1570"/>
      <c r="K145" s="1662" t="str">
        <f>K135</f>
        <v>Displaced Alternative BuP Manufacturing, Development, Sales, and Shipping</v>
      </c>
      <c r="L145" s="1687"/>
      <c r="M145" s="1687"/>
      <c r="N145" s="1687"/>
      <c r="O145" s="1687"/>
      <c r="P145" s="1576"/>
      <c r="Q145" s="1570"/>
      <c r="R145" s="1577" t="str">
        <f>R135</f>
        <v>Displaced Domestic Alternative BuP Installations</v>
      </c>
      <c r="S145" s="1578"/>
      <c r="T145" s="1578"/>
      <c r="U145" s="1578"/>
      <c r="V145" s="1578"/>
      <c r="W145" s="1576"/>
      <c r="X145" s="1570"/>
      <c r="Y145" s="1579" t="str">
        <f>Y135</f>
        <v>Displaced Fuel Production and Delivery</v>
      </c>
      <c r="Z145" s="1580"/>
      <c r="AA145" s="1580"/>
      <c r="AB145" s="1580"/>
      <c r="AC145" s="1580"/>
      <c r="AD145" s="1576"/>
      <c r="AE145" s="1570"/>
      <c r="AF145" s="1581" t="str">
        <f>AF135</f>
        <v>Displaced Domestic Alternative BuP Unit and Site Maintenance</v>
      </c>
      <c r="AG145" s="1582"/>
      <c r="AH145" s="1582"/>
      <c r="AI145" s="1582"/>
      <c r="AJ145" s="1582"/>
    </row>
    <row r="146" spans="1:36" s="1695" customFormat="1" ht="16.5" x14ac:dyDescent="0.25">
      <c r="A146" s="1688"/>
      <c r="B146" s="2313"/>
      <c r="C146" s="1689"/>
      <c r="D146" s="1506" t="str">
        <f>B145</f>
        <v>Displaced Domestic Alternative Backup Power-related Output (Thousands of 2010$)</v>
      </c>
      <c r="E146" s="1586"/>
      <c r="F146" s="1586"/>
      <c r="G146" s="1586"/>
      <c r="H146" s="1586"/>
      <c r="I146" s="1690"/>
      <c r="J146" s="1689"/>
      <c r="K146" s="1668" t="str">
        <f>D146</f>
        <v>Displaced Domestic Alternative Backup Power-related Output (Thousands of 2010$)</v>
      </c>
      <c r="L146" s="1669"/>
      <c r="M146" s="1691"/>
      <c r="N146" s="1691"/>
      <c r="O146" s="1691"/>
      <c r="P146" s="1692"/>
      <c r="Q146" s="1689"/>
      <c r="R146" s="1671" t="str">
        <f>K146</f>
        <v>Displaced Domestic Alternative Backup Power-related Output (Thousands of 2010$)</v>
      </c>
      <c r="S146" s="1523"/>
      <c r="T146" s="1588"/>
      <c r="U146" s="1588"/>
      <c r="V146" s="1588"/>
      <c r="W146" s="1692"/>
      <c r="X146" s="1689"/>
      <c r="Y146" s="1672" t="str">
        <f>R146</f>
        <v>Displaced Domestic Alternative Backup Power-related Output (Thousands of 2010$)</v>
      </c>
      <c r="Z146" s="1524"/>
      <c r="AA146" s="1693"/>
      <c r="AB146" s="1693"/>
      <c r="AC146" s="1693"/>
      <c r="AD146" s="1692"/>
      <c r="AE146" s="1689"/>
      <c r="AF146" s="1673" t="str">
        <f>Y146</f>
        <v>Displaced Domestic Alternative Backup Power-related Output (Thousands of 2010$)</v>
      </c>
      <c r="AG146" s="1525"/>
      <c r="AH146" s="1694"/>
      <c r="AI146" s="1694"/>
      <c r="AJ146" s="1694"/>
    </row>
    <row r="147" spans="1:36" s="1590" customFormat="1" ht="47.25" x14ac:dyDescent="0.25">
      <c r="A147" s="1589"/>
      <c r="B147" s="2313"/>
      <c r="C147" s="1585" t="str">
        <f t="shared" ref="C147:C153" si="216">C137</f>
        <v>Year</v>
      </c>
      <c r="D147" s="1528" t="str">
        <f>D$163&amp;" "&amp;D$164</f>
        <v>Displaced BuP-related Direct</v>
      </c>
      <c r="E147" s="1528" t="str">
        <f>E$163&amp;" "&amp;E$164</f>
        <v>Displaced BuP-related Indirect</v>
      </c>
      <c r="F147" s="1528" t="str">
        <f>F$163&amp;" "&amp;F$164</f>
        <v>Displaced BuP-related Induced</v>
      </c>
      <c r="G147" s="1529" t="str">
        <f>G$163&amp;" "&amp;G$164</f>
        <v>Displaced BuP-related Supply Chain</v>
      </c>
      <c r="H147" s="1529" t="str">
        <f>H$163&amp;" "&amp;H$164</f>
        <v>Displaced BuP-related Total</v>
      </c>
      <c r="I147" s="1530"/>
      <c r="J147" s="1527" t="str">
        <f t="shared" ref="J147:J153" si="217">C147</f>
        <v>Year</v>
      </c>
      <c r="K147" s="1676" t="str">
        <f>K$163&amp;" "&amp;K$164</f>
        <v>Displaced BuP Technology Direct</v>
      </c>
      <c r="L147" s="1676" t="str">
        <f>L$163&amp;" "&amp;L$164</f>
        <v>Displaced BuP Technology Indirect</v>
      </c>
      <c r="M147" s="1676" t="str">
        <f>M$163&amp;" "&amp;M$164</f>
        <v>Displaced BuP Technology Induced</v>
      </c>
      <c r="N147" s="1677" t="str">
        <f>N$163&amp;" "&amp;N$164</f>
        <v>Displaced BuP Technology Supply Chain</v>
      </c>
      <c r="O147" s="1677" t="str">
        <f>O$163&amp;" "&amp;O$164</f>
        <v>Displaced BuP Technology Total</v>
      </c>
      <c r="P147" s="1533"/>
      <c r="Q147" s="1527" t="str">
        <f t="shared" ref="Q147:Q153" si="218">J147</f>
        <v>Year</v>
      </c>
      <c r="R147" s="1534" t="str">
        <f>R$163&amp;" "&amp;R$164</f>
        <v>Displaced BuP Installation Direct</v>
      </c>
      <c r="S147" s="1534" t="str">
        <f>S$163&amp;" "&amp;S$164</f>
        <v>Displaced BuP Installation Indirect</v>
      </c>
      <c r="T147" s="1534" t="str">
        <f>T$163&amp;" "&amp;T$164</f>
        <v>Displaced BuP Installation Induced</v>
      </c>
      <c r="U147" s="1535" t="str">
        <f>U$163&amp;" "&amp;U$164</f>
        <v>Displaced BuP Installation Supply Chain</v>
      </c>
      <c r="V147" s="1535" t="str">
        <f>V$163&amp;" "&amp;V$164</f>
        <v>Displaced BuP Installation Total</v>
      </c>
      <c r="W147" s="1533"/>
      <c r="X147" s="1527" t="str">
        <f t="shared" ref="X147:X153" si="219">Q147</f>
        <v>Year</v>
      </c>
      <c r="Y147" s="1536" t="str">
        <f>Y$163&amp;" "&amp;Y$164</f>
        <v>Displaced BuP Fuel Direct</v>
      </c>
      <c r="Z147" s="1536" t="str">
        <f>Z$163&amp;" "&amp;Z$164</f>
        <v>Displaced BuP Fuel Indirect</v>
      </c>
      <c r="AA147" s="1536" t="str">
        <f>AA$163&amp;" "&amp;AA$164</f>
        <v>Displaced BuP Fuel Induced</v>
      </c>
      <c r="AB147" s="1537" t="str">
        <f>AB$163&amp;" "&amp;AB$164</f>
        <v>Displaced BuP Fuel Supply Chain</v>
      </c>
      <c r="AC147" s="1537" t="str">
        <f>AC$163&amp;" "&amp;AC$164</f>
        <v>Displaced BuP Fuel Total</v>
      </c>
      <c r="AD147" s="1533"/>
      <c r="AE147" s="1527" t="str">
        <f t="shared" ref="AE147:AE153" si="220">X147</f>
        <v>Year</v>
      </c>
      <c r="AF147" s="1538" t="str">
        <f>AF$163&amp;" "&amp;AF$164</f>
        <v>Displaced BuP Maintenance Direct</v>
      </c>
      <c r="AG147" s="1538" t="str">
        <f>AG$163&amp;" "&amp;AG$164</f>
        <v>Displaced BuP Maintenance Indirect</v>
      </c>
      <c r="AH147" s="1538" t="str">
        <f>AH$163&amp;" "&amp;AH$164</f>
        <v>Displaced BuP Maintenance Induced</v>
      </c>
      <c r="AI147" s="1539" t="str">
        <f>AI$163&amp;" "&amp;AI$164</f>
        <v>Displaced BuP Maintenance Supply Chain</v>
      </c>
      <c r="AJ147" s="1539" t="str">
        <f>AJ$163&amp;" "&amp;AJ$164</f>
        <v>Displaced BuP Maintenance Total</v>
      </c>
    </row>
    <row r="148" spans="1:36" s="1562" customFormat="1" ht="15.75" x14ac:dyDescent="0.25">
      <c r="A148" s="1545"/>
      <c r="B148" s="2313"/>
      <c r="C148" s="1546">
        <f t="shared" si="216"/>
        <v>2015</v>
      </c>
      <c r="D148" s="1591" t="e">
        <f t="shared" ref="D148:F153" si="221">K148+R148+Y148+AF148</f>
        <v>#N/A</v>
      </c>
      <c r="E148" s="1591" t="e">
        <f t="shared" si="221"/>
        <v>#N/A</v>
      </c>
      <c r="F148" s="1591" t="e">
        <f t="shared" si="221"/>
        <v>#N/A</v>
      </c>
      <c r="G148" s="1591" t="e">
        <f t="shared" ref="G148:G153" si="222">D148+E148</f>
        <v>#N/A</v>
      </c>
      <c r="H148" s="1592" t="e">
        <f t="shared" ref="H148:H153" si="223">D148+E148+F148</f>
        <v>#N/A</v>
      </c>
      <c r="I148" s="1593"/>
      <c r="J148" s="1546">
        <f t="shared" si="217"/>
        <v>2015</v>
      </c>
      <c r="K148" s="1696" t="e">
        <f>-'Backup INPUTS'!W471/'Backup INPUTS'!$C$578/1000</f>
        <v>#N/A</v>
      </c>
      <c r="L148" s="1696" t="e">
        <f>-'Backup INPUTS'!X471/'Backup INPUTS'!$C$578/1000</f>
        <v>#N/A</v>
      </c>
      <c r="M148" s="1696" t="e">
        <f>-'Backup INPUTS'!Y471/'Backup INPUTS'!$C$578/1000</f>
        <v>#N/A</v>
      </c>
      <c r="N148" s="1697" t="e">
        <f t="shared" ref="N148:N153" si="224">K148+L148</f>
        <v>#N/A</v>
      </c>
      <c r="O148" s="1698" t="e">
        <f t="shared" ref="O148:O153" si="225">K148+L148+M148</f>
        <v>#N/A</v>
      </c>
      <c r="P148" s="1596"/>
      <c r="Q148" s="1546">
        <f t="shared" si="218"/>
        <v>2015</v>
      </c>
      <c r="R148" s="1597" t="e">
        <f>-'Backup INPUTS'!W492/'Backup INPUTS'!$C$578/1000</f>
        <v>#N/A</v>
      </c>
      <c r="S148" s="1597" t="e">
        <f>-'Backup INPUTS'!X492/'Backup INPUTS'!$C$578/1000</f>
        <v>#N/A</v>
      </c>
      <c r="T148" s="1597" t="e">
        <f>-'Backup INPUTS'!Y492/'Backup INPUTS'!$C$578/1000</f>
        <v>#N/A</v>
      </c>
      <c r="U148" s="1597" t="e">
        <f t="shared" ref="U148:U153" si="226">R148+S148</f>
        <v>#N/A</v>
      </c>
      <c r="V148" s="1598" t="e">
        <f t="shared" ref="V148:V153" si="227">R148+S148+T148</f>
        <v>#N/A</v>
      </c>
      <c r="W148" s="1596"/>
      <c r="X148" s="1546">
        <f t="shared" si="219"/>
        <v>2015</v>
      </c>
      <c r="Y148" s="1599" t="e">
        <f>-'Backup INPUTS'!W508/'Backup INPUTS'!$C$578/1000</f>
        <v>#N/A</v>
      </c>
      <c r="Z148" s="1599" t="e">
        <f>-'Backup INPUTS'!X508/'Backup INPUTS'!$C$578/1000</f>
        <v>#N/A</v>
      </c>
      <c r="AA148" s="1599" t="e">
        <f>-'Backup INPUTS'!Y508/'Backup INPUTS'!$C$578/1000</f>
        <v>#N/A</v>
      </c>
      <c r="AB148" s="1599" t="e">
        <f t="shared" ref="AB148:AB153" si="228">Y148+Z148</f>
        <v>#N/A</v>
      </c>
      <c r="AC148" s="1600" t="e">
        <f t="shared" ref="AC148:AC153" si="229">Y148+Z148+AA148</f>
        <v>#N/A</v>
      </c>
      <c r="AD148" s="1596"/>
      <c r="AE148" s="1546">
        <f t="shared" si="220"/>
        <v>2015</v>
      </c>
      <c r="AF148" s="1601" t="e">
        <f>-'Backup INPUTS'!W524/'Backup INPUTS'!$C$578/1000</f>
        <v>#N/A</v>
      </c>
      <c r="AG148" s="1601" t="e">
        <f>-'Backup INPUTS'!X524/'Backup INPUTS'!$C$578/1000</f>
        <v>#N/A</v>
      </c>
      <c r="AH148" s="1601" t="e">
        <f>-'Backup INPUTS'!Y524/'Backup INPUTS'!$C$578/1000</f>
        <v>#N/A</v>
      </c>
      <c r="AI148" s="1601" t="e">
        <f t="shared" ref="AI148:AI153" si="230">AF148+AG148</f>
        <v>#N/A</v>
      </c>
      <c r="AJ148" s="1602" t="e">
        <f t="shared" ref="AJ148:AJ153" si="231">AF148+AG148+AH148</f>
        <v>#N/A</v>
      </c>
    </row>
    <row r="149" spans="1:36" s="1562" customFormat="1" ht="15.75" x14ac:dyDescent="0.25">
      <c r="A149" s="1545"/>
      <c r="B149" s="2313"/>
      <c r="C149" s="1546">
        <f t="shared" si="216"/>
        <v>2016</v>
      </c>
      <c r="D149" s="1591" t="e">
        <f t="shared" si="221"/>
        <v>#N/A</v>
      </c>
      <c r="E149" s="1591" t="e">
        <f t="shared" si="221"/>
        <v>#N/A</v>
      </c>
      <c r="F149" s="1591" t="e">
        <f t="shared" si="221"/>
        <v>#N/A</v>
      </c>
      <c r="G149" s="1591" t="e">
        <f t="shared" si="222"/>
        <v>#N/A</v>
      </c>
      <c r="H149" s="1592" t="e">
        <f t="shared" si="223"/>
        <v>#N/A</v>
      </c>
      <c r="I149" s="1593"/>
      <c r="J149" s="1546">
        <f t="shared" si="217"/>
        <v>2016</v>
      </c>
      <c r="K149" s="1696" t="e">
        <f>-'Backup INPUTS'!W472/'Backup INPUTS'!$C$578/1000</f>
        <v>#N/A</v>
      </c>
      <c r="L149" s="1696" t="e">
        <f>-'Backup INPUTS'!X472/'Backup INPUTS'!$C$578/1000</f>
        <v>#N/A</v>
      </c>
      <c r="M149" s="1696" t="e">
        <f>-'Backup INPUTS'!Y472/'Backup INPUTS'!$C$578/1000</f>
        <v>#N/A</v>
      </c>
      <c r="N149" s="1697" t="e">
        <f t="shared" si="224"/>
        <v>#N/A</v>
      </c>
      <c r="O149" s="1698" t="e">
        <f t="shared" si="225"/>
        <v>#N/A</v>
      </c>
      <c r="P149" s="1596"/>
      <c r="Q149" s="1546">
        <f t="shared" si="218"/>
        <v>2016</v>
      </c>
      <c r="R149" s="1597" t="e">
        <f>-'Backup INPUTS'!W493/'Backup INPUTS'!$C$578/1000</f>
        <v>#N/A</v>
      </c>
      <c r="S149" s="1597" t="e">
        <f>-'Backup INPUTS'!X493/'Backup INPUTS'!$C$578/1000</f>
        <v>#N/A</v>
      </c>
      <c r="T149" s="1597" t="e">
        <f>-'Backup INPUTS'!Y493/'Backup INPUTS'!$C$578/1000</f>
        <v>#N/A</v>
      </c>
      <c r="U149" s="1597" t="e">
        <f t="shared" si="226"/>
        <v>#N/A</v>
      </c>
      <c r="V149" s="1598" t="e">
        <f t="shared" si="227"/>
        <v>#N/A</v>
      </c>
      <c r="W149" s="1596"/>
      <c r="X149" s="1546">
        <f t="shared" si="219"/>
        <v>2016</v>
      </c>
      <c r="Y149" s="1599" t="e">
        <f>-'Backup INPUTS'!W509/'Backup INPUTS'!$C$578/1000</f>
        <v>#N/A</v>
      </c>
      <c r="Z149" s="1599" t="e">
        <f>-'Backup INPUTS'!X509/'Backup INPUTS'!$C$578/1000</f>
        <v>#N/A</v>
      </c>
      <c r="AA149" s="1599" t="e">
        <f>-'Backup INPUTS'!Y509/'Backup INPUTS'!$C$578/1000</f>
        <v>#N/A</v>
      </c>
      <c r="AB149" s="1599" t="e">
        <f t="shared" si="228"/>
        <v>#N/A</v>
      </c>
      <c r="AC149" s="1600" t="e">
        <f t="shared" si="229"/>
        <v>#N/A</v>
      </c>
      <c r="AD149" s="1596"/>
      <c r="AE149" s="1546">
        <f t="shared" si="220"/>
        <v>2016</v>
      </c>
      <c r="AF149" s="1601" t="e">
        <f>-'Backup INPUTS'!W525/'Backup INPUTS'!$C$578/1000</f>
        <v>#N/A</v>
      </c>
      <c r="AG149" s="1601" t="e">
        <f>-'Backup INPUTS'!X525/'Backup INPUTS'!$C$578/1000</f>
        <v>#N/A</v>
      </c>
      <c r="AH149" s="1601" t="e">
        <f>-'Backup INPUTS'!Y525/'Backup INPUTS'!$C$578/1000</f>
        <v>#N/A</v>
      </c>
      <c r="AI149" s="1601" t="e">
        <f t="shared" si="230"/>
        <v>#N/A</v>
      </c>
      <c r="AJ149" s="1602" t="e">
        <f t="shared" si="231"/>
        <v>#N/A</v>
      </c>
    </row>
    <row r="150" spans="1:36" s="1562" customFormat="1" ht="15.75" x14ac:dyDescent="0.25">
      <c r="A150" s="1545"/>
      <c r="B150" s="2313"/>
      <c r="C150" s="1546">
        <f t="shared" si="216"/>
        <v>2017</v>
      </c>
      <c r="D150" s="1591" t="e">
        <f t="shared" si="221"/>
        <v>#N/A</v>
      </c>
      <c r="E150" s="1591" t="e">
        <f t="shared" si="221"/>
        <v>#N/A</v>
      </c>
      <c r="F150" s="1591" t="e">
        <f t="shared" si="221"/>
        <v>#N/A</v>
      </c>
      <c r="G150" s="1591" t="e">
        <f t="shared" si="222"/>
        <v>#N/A</v>
      </c>
      <c r="H150" s="1592" t="e">
        <f t="shared" si="223"/>
        <v>#N/A</v>
      </c>
      <c r="I150" s="1593"/>
      <c r="J150" s="1546">
        <f t="shared" si="217"/>
        <v>2017</v>
      </c>
      <c r="K150" s="1696" t="e">
        <f>-'Backup INPUTS'!W473/'Backup INPUTS'!$C$578/1000</f>
        <v>#N/A</v>
      </c>
      <c r="L150" s="1696" t="e">
        <f>-'Backup INPUTS'!X473/'Backup INPUTS'!$C$578/1000</f>
        <v>#N/A</v>
      </c>
      <c r="M150" s="1696" t="e">
        <f>-'Backup INPUTS'!Y473/'Backup INPUTS'!$C$578/1000</f>
        <v>#N/A</v>
      </c>
      <c r="N150" s="1697" t="e">
        <f t="shared" si="224"/>
        <v>#N/A</v>
      </c>
      <c r="O150" s="1698" t="e">
        <f t="shared" si="225"/>
        <v>#N/A</v>
      </c>
      <c r="P150" s="1596"/>
      <c r="Q150" s="1546">
        <f t="shared" si="218"/>
        <v>2017</v>
      </c>
      <c r="R150" s="1597" t="e">
        <f>-'Backup INPUTS'!W494/'Backup INPUTS'!$C$578/1000</f>
        <v>#N/A</v>
      </c>
      <c r="S150" s="1597" t="e">
        <f>-'Backup INPUTS'!X494/'Backup INPUTS'!$C$578/1000</f>
        <v>#N/A</v>
      </c>
      <c r="T150" s="1597" t="e">
        <f>-'Backup INPUTS'!Y494/'Backup INPUTS'!$C$578/1000</f>
        <v>#N/A</v>
      </c>
      <c r="U150" s="1597" t="e">
        <f t="shared" si="226"/>
        <v>#N/A</v>
      </c>
      <c r="V150" s="1598" t="e">
        <f t="shared" si="227"/>
        <v>#N/A</v>
      </c>
      <c r="W150" s="1596"/>
      <c r="X150" s="1546">
        <f t="shared" si="219"/>
        <v>2017</v>
      </c>
      <c r="Y150" s="1599" t="e">
        <f>-'Backup INPUTS'!W510/'Backup INPUTS'!$C$578/1000</f>
        <v>#N/A</v>
      </c>
      <c r="Z150" s="1599" t="e">
        <f>-'Backup INPUTS'!X510/'Backup INPUTS'!$C$578/1000</f>
        <v>#N/A</v>
      </c>
      <c r="AA150" s="1599" t="e">
        <f>-'Backup INPUTS'!Y510/'Backup INPUTS'!$C$578/1000</f>
        <v>#N/A</v>
      </c>
      <c r="AB150" s="1599" t="e">
        <f t="shared" si="228"/>
        <v>#N/A</v>
      </c>
      <c r="AC150" s="1600" t="e">
        <f t="shared" si="229"/>
        <v>#N/A</v>
      </c>
      <c r="AD150" s="1596"/>
      <c r="AE150" s="1546">
        <f t="shared" si="220"/>
        <v>2017</v>
      </c>
      <c r="AF150" s="1601" t="e">
        <f>-'Backup INPUTS'!W526/'Backup INPUTS'!$C$578/1000</f>
        <v>#N/A</v>
      </c>
      <c r="AG150" s="1601" t="e">
        <f>-'Backup INPUTS'!X526/'Backup INPUTS'!$C$578/1000</f>
        <v>#N/A</v>
      </c>
      <c r="AH150" s="1601" t="e">
        <f>-'Backup INPUTS'!Y526/'Backup INPUTS'!$C$578/1000</f>
        <v>#N/A</v>
      </c>
      <c r="AI150" s="1601" t="e">
        <f t="shared" si="230"/>
        <v>#N/A</v>
      </c>
      <c r="AJ150" s="1602" t="e">
        <f t="shared" si="231"/>
        <v>#N/A</v>
      </c>
    </row>
    <row r="151" spans="1:36" s="1562" customFormat="1" ht="15.75" x14ac:dyDescent="0.25">
      <c r="A151" s="1545"/>
      <c r="B151" s="2313"/>
      <c r="C151" s="1546">
        <f t="shared" si="216"/>
        <v>2018</v>
      </c>
      <c r="D151" s="1591" t="e">
        <f t="shared" si="221"/>
        <v>#N/A</v>
      </c>
      <c r="E151" s="1591" t="e">
        <f t="shared" si="221"/>
        <v>#N/A</v>
      </c>
      <c r="F151" s="1591" t="e">
        <f t="shared" si="221"/>
        <v>#N/A</v>
      </c>
      <c r="G151" s="1591" t="e">
        <f t="shared" si="222"/>
        <v>#N/A</v>
      </c>
      <c r="H151" s="1592" t="e">
        <f t="shared" si="223"/>
        <v>#N/A</v>
      </c>
      <c r="I151" s="1593"/>
      <c r="J151" s="1546">
        <f t="shared" si="217"/>
        <v>2018</v>
      </c>
      <c r="K151" s="1696" t="e">
        <f>-'Backup INPUTS'!W474/'Backup INPUTS'!$C$578/1000</f>
        <v>#N/A</v>
      </c>
      <c r="L151" s="1696" t="e">
        <f>-'Backup INPUTS'!X474/'Backup INPUTS'!$C$578/1000</f>
        <v>#N/A</v>
      </c>
      <c r="M151" s="1696" t="e">
        <f>-'Backup INPUTS'!Y474/'Backup INPUTS'!$C$578/1000</f>
        <v>#N/A</v>
      </c>
      <c r="N151" s="1697" t="e">
        <f t="shared" si="224"/>
        <v>#N/A</v>
      </c>
      <c r="O151" s="1698" t="e">
        <f t="shared" si="225"/>
        <v>#N/A</v>
      </c>
      <c r="P151" s="1596"/>
      <c r="Q151" s="1546">
        <f t="shared" si="218"/>
        <v>2018</v>
      </c>
      <c r="R151" s="1597" t="e">
        <f>-'Backup INPUTS'!W495/'Backup INPUTS'!$C$578/1000</f>
        <v>#N/A</v>
      </c>
      <c r="S151" s="1597" t="e">
        <f>-'Backup INPUTS'!X495/'Backup INPUTS'!$C$578/1000</f>
        <v>#N/A</v>
      </c>
      <c r="T151" s="1597" t="e">
        <f>-'Backup INPUTS'!Y495/'Backup INPUTS'!$C$578/1000</f>
        <v>#N/A</v>
      </c>
      <c r="U151" s="1597" t="e">
        <f t="shared" si="226"/>
        <v>#N/A</v>
      </c>
      <c r="V151" s="1598" t="e">
        <f t="shared" si="227"/>
        <v>#N/A</v>
      </c>
      <c r="W151" s="1596"/>
      <c r="X151" s="1546">
        <f t="shared" si="219"/>
        <v>2018</v>
      </c>
      <c r="Y151" s="1599" t="e">
        <f>-'Backup INPUTS'!W511/'Backup INPUTS'!$C$578/1000</f>
        <v>#N/A</v>
      </c>
      <c r="Z151" s="1599" t="e">
        <f>-'Backup INPUTS'!X511/'Backup INPUTS'!$C$578/1000</f>
        <v>#N/A</v>
      </c>
      <c r="AA151" s="1599" t="e">
        <f>-'Backup INPUTS'!Y511/'Backup INPUTS'!$C$578/1000</f>
        <v>#N/A</v>
      </c>
      <c r="AB151" s="1599" t="e">
        <f t="shared" si="228"/>
        <v>#N/A</v>
      </c>
      <c r="AC151" s="1600" t="e">
        <f t="shared" si="229"/>
        <v>#N/A</v>
      </c>
      <c r="AD151" s="1596"/>
      <c r="AE151" s="1546">
        <f t="shared" si="220"/>
        <v>2018</v>
      </c>
      <c r="AF151" s="1601" t="e">
        <f>-'Backup INPUTS'!W527/'Backup INPUTS'!$C$578/1000</f>
        <v>#N/A</v>
      </c>
      <c r="AG151" s="1601" t="e">
        <f>-'Backup INPUTS'!X527/'Backup INPUTS'!$C$578/1000</f>
        <v>#N/A</v>
      </c>
      <c r="AH151" s="1601" t="e">
        <f>-'Backup INPUTS'!Y527/'Backup INPUTS'!$C$578/1000</f>
        <v>#N/A</v>
      </c>
      <c r="AI151" s="1601" t="e">
        <f t="shared" si="230"/>
        <v>#N/A</v>
      </c>
      <c r="AJ151" s="1602" t="e">
        <f t="shared" si="231"/>
        <v>#N/A</v>
      </c>
    </row>
    <row r="152" spans="1:36" s="1562" customFormat="1" ht="15.75" x14ac:dyDescent="0.25">
      <c r="A152" s="1545"/>
      <c r="B152" s="2313"/>
      <c r="C152" s="1546">
        <f t="shared" si="216"/>
        <v>2019</v>
      </c>
      <c r="D152" s="1591" t="e">
        <f t="shared" si="221"/>
        <v>#N/A</v>
      </c>
      <c r="E152" s="1591" t="e">
        <f t="shared" si="221"/>
        <v>#N/A</v>
      </c>
      <c r="F152" s="1591" t="e">
        <f t="shared" si="221"/>
        <v>#N/A</v>
      </c>
      <c r="G152" s="1591" t="e">
        <f t="shared" si="222"/>
        <v>#N/A</v>
      </c>
      <c r="H152" s="1592" t="e">
        <f t="shared" si="223"/>
        <v>#N/A</v>
      </c>
      <c r="I152" s="1593"/>
      <c r="J152" s="1546">
        <f t="shared" si="217"/>
        <v>2019</v>
      </c>
      <c r="K152" s="1696" t="e">
        <f>-'Backup INPUTS'!W475/'Backup INPUTS'!$C$578/1000</f>
        <v>#N/A</v>
      </c>
      <c r="L152" s="1696" t="e">
        <f>-'Backup INPUTS'!X475/'Backup INPUTS'!$C$578/1000</f>
        <v>#N/A</v>
      </c>
      <c r="M152" s="1696" t="e">
        <f>-'Backup INPUTS'!Y475/'Backup INPUTS'!$C$578/1000</f>
        <v>#N/A</v>
      </c>
      <c r="N152" s="1697" t="e">
        <f t="shared" si="224"/>
        <v>#N/A</v>
      </c>
      <c r="O152" s="1698" t="e">
        <f t="shared" si="225"/>
        <v>#N/A</v>
      </c>
      <c r="P152" s="1596"/>
      <c r="Q152" s="1546">
        <f t="shared" si="218"/>
        <v>2019</v>
      </c>
      <c r="R152" s="1597" t="e">
        <f>-'Backup INPUTS'!W496/'Backup INPUTS'!$C$578/1000</f>
        <v>#N/A</v>
      </c>
      <c r="S152" s="1597" t="e">
        <f>-'Backup INPUTS'!X496/'Backup INPUTS'!$C$578/1000</f>
        <v>#N/A</v>
      </c>
      <c r="T152" s="1597" t="e">
        <f>-'Backup INPUTS'!Y496/'Backup INPUTS'!$C$578/1000</f>
        <v>#N/A</v>
      </c>
      <c r="U152" s="1597" t="e">
        <f t="shared" si="226"/>
        <v>#N/A</v>
      </c>
      <c r="V152" s="1598" t="e">
        <f t="shared" si="227"/>
        <v>#N/A</v>
      </c>
      <c r="W152" s="1596"/>
      <c r="X152" s="1546">
        <f t="shared" si="219"/>
        <v>2019</v>
      </c>
      <c r="Y152" s="1599" t="e">
        <f>-'Backup INPUTS'!W512/'Backup INPUTS'!$C$578/1000</f>
        <v>#N/A</v>
      </c>
      <c r="Z152" s="1599" t="e">
        <f>-'Backup INPUTS'!X512/'Backup INPUTS'!$C$578/1000</f>
        <v>#N/A</v>
      </c>
      <c r="AA152" s="1599" t="e">
        <f>-'Backup INPUTS'!Y512/'Backup INPUTS'!$C$578/1000</f>
        <v>#N/A</v>
      </c>
      <c r="AB152" s="1599" t="e">
        <f t="shared" si="228"/>
        <v>#N/A</v>
      </c>
      <c r="AC152" s="1600" t="e">
        <f t="shared" si="229"/>
        <v>#N/A</v>
      </c>
      <c r="AD152" s="1596"/>
      <c r="AE152" s="1546">
        <f t="shared" si="220"/>
        <v>2019</v>
      </c>
      <c r="AF152" s="1601" t="e">
        <f>-'Backup INPUTS'!W528/'Backup INPUTS'!$C$578/1000</f>
        <v>#N/A</v>
      </c>
      <c r="AG152" s="1601" t="e">
        <f>-'Backup INPUTS'!X528/'Backup INPUTS'!$C$578/1000</f>
        <v>#N/A</v>
      </c>
      <c r="AH152" s="1601" t="e">
        <f>-'Backup INPUTS'!Y528/'Backup INPUTS'!$C$578/1000</f>
        <v>#N/A</v>
      </c>
      <c r="AI152" s="1601" t="e">
        <f t="shared" si="230"/>
        <v>#N/A</v>
      </c>
      <c r="AJ152" s="1602" t="e">
        <f t="shared" si="231"/>
        <v>#N/A</v>
      </c>
    </row>
    <row r="153" spans="1:36" s="1562" customFormat="1" ht="15.75" x14ac:dyDescent="0.25">
      <c r="A153" s="1545"/>
      <c r="B153" s="2322"/>
      <c r="C153" s="1546">
        <f t="shared" si="216"/>
        <v>2020</v>
      </c>
      <c r="D153" s="1591" t="e">
        <f t="shared" si="221"/>
        <v>#N/A</v>
      </c>
      <c r="E153" s="1591" t="e">
        <f t="shared" si="221"/>
        <v>#N/A</v>
      </c>
      <c r="F153" s="1591" t="e">
        <f t="shared" si="221"/>
        <v>#N/A</v>
      </c>
      <c r="G153" s="1591" t="e">
        <f t="shared" si="222"/>
        <v>#N/A</v>
      </c>
      <c r="H153" s="1592" t="e">
        <f t="shared" si="223"/>
        <v>#N/A</v>
      </c>
      <c r="I153" s="1593"/>
      <c r="J153" s="1546">
        <f t="shared" si="217"/>
        <v>2020</v>
      </c>
      <c r="K153" s="1696" t="e">
        <f>-'Backup INPUTS'!W476/'Backup INPUTS'!$C$578/1000</f>
        <v>#N/A</v>
      </c>
      <c r="L153" s="1696" t="e">
        <f>-'Backup INPUTS'!X476/'Backup INPUTS'!$C$578/1000</f>
        <v>#N/A</v>
      </c>
      <c r="M153" s="1696" t="e">
        <f>-'Backup INPUTS'!Y476/'Backup INPUTS'!$C$578/1000</f>
        <v>#N/A</v>
      </c>
      <c r="N153" s="1697" t="e">
        <f t="shared" si="224"/>
        <v>#N/A</v>
      </c>
      <c r="O153" s="1698" t="e">
        <f t="shared" si="225"/>
        <v>#N/A</v>
      </c>
      <c r="P153" s="1596"/>
      <c r="Q153" s="1546">
        <f t="shared" si="218"/>
        <v>2020</v>
      </c>
      <c r="R153" s="1597" t="e">
        <f>-'Backup INPUTS'!W497/'Backup INPUTS'!$C$578/1000</f>
        <v>#N/A</v>
      </c>
      <c r="S153" s="1597" t="e">
        <f>-'Backup INPUTS'!X497/'Backup INPUTS'!$C$578/1000</f>
        <v>#N/A</v>
      </c>
      <c r="T153" s="1597" t="e">
        <f>-'Backup INPUTS'!Y497/'Backup INPUTS'!$C$578/1000</f>
        <v>#N/A</v>
      </c>
      <c r="U153" s="1597" t="e">
        <f t="shared" si="226"/>
        <v>#N/A</v>
      </c>
      <c r="V153" s="1598" t="e">
        <f t="shared" si="227"/>
        <v>#N/A</v>
      </c>
      <c r="W153" s="1596"/>
      <c r="X153" s="1546">
        <f t="shared" si="219"/>
        <v>2020</v>
      </c>
      <c r="Y153" s="1599" t="e">
        <f>-'Backup INPUTS'!W513/'Backup INPUTS'!$C$578/1000</f>
        <v>#N/A</v>
      </c>
      <c r="Z153" s="1599" t="e">
        <f>-'Backup INPUTS'!X513/'Backup INPUTS'!$C$578/1000</f>
        <v>#N/A</v>
      </c>
      <c r="AA153" s="1599" t="e">
        <f>-'Backup INPUTS'!Y513/'Backup INPUTS'!$C$578/1000</f>
        <v>#N/A</v>
      </c>
      <c r="AB153" s="1599" t="e">
        <f t="shared" si="228"/>
        <v>#N/A</v>
      </c>
      <c r="AC153" s="1600" t="e">
        <f t="shared" si="229"/>
        <v>#N/A</v>
      </c>
      <c r="AD153" s="1596"/>
      <c r="AE153" s="1546">
        <f t="shared" si="220"/>
        <v>2020</v>
      </c>
      <c r="AF153" s="1601" t="e">
        <f>-'Backup INPUTS'!W529/'Backup INPUTS'!$C$578/1000</f>
        <v>#N/A</v>
      </c>
      <c r="AG153" s="1601" t="e">
        <f>-'Backup INPUTS'!X529/'Backup INPUTS'!$C$578/1000</f>
        <v>#N/A</v>
      </c>
      <c r="AH153" s="1601" t="e">
        <f>-'Backup INPUTS'!Y529/'Backup INPUTS'!$C$578/1000</f>
        <v>#N/A</v>
      </c>
      <c r="AI153" s="1601" t="e">
        <f t="shared" si="230"/>
        <v>#N/A</v>
      </c>
      <c r="AJ153" s="1602" t="e">
        <f t="shared" si="231"/>
        <v>#N/A</v>
      </c>
    </row>
    <row r="154" spans="1:36" s="1612" customFormat="1" x14ac:dyDescent="0.25">
      <c r="A154" s="1605"/>
      <c r="E154" s="1613"/>
      <c r="F154" s="1613"/>
      <c r="G154" s="1613"/>
      <c r="H154" s="1613"/>
      <c r="I154" s="1613"/>
      <c r="K154" s="1614"/>
      <c r="L154" s="1614"/>
      <c r="M154" s="1614"/>
      <c r="N154" s="1614"/>
      <c r="O154" s="1614"/>
      <c r="P154" s="1614"/>
      <c r="Q154" s="1615"/>
      <c r="R154" s="1614"/>
      <c r="S154" s="1614"/>
      <c r="T154" s="1614"/>
      <c r="U154" s="1614"/>
    </row>
    <row r="155" spans="1:36" s="1846" customFormat="1" x14ac:dyDescent="0.25">
      <c r="B155" s="1847" t="s">
        <v>2111</v>
      </c>
      <c r="E155" s="1848"/>
      <c r="F155" s="1848"/>
      <c r="G155" s="1848"/>
      <c r="H155" s="1848"/>
      <c r="I155" s="1848"/>
      <c r="J155" s="1848"/>
      <c r="K155" s="1849"/>
      <c r="L155" s="1849"/>
      <c r="M155" s="1849"/>
      <c r="N155" s="1849"/>
      <c r="O155" s="1849"/>
      <c r="P155" s="1849"/>
      <c r="Q155" s="1849"/>
      <c r="R155" s="1849"/>
      <c r="S155" s="1849"/>
      <c r="T155" s="1849"/>
      <c r="U155" s="1849"/>
    </row>
    <row r="156" spans="1:36" s="1846" customFormat="1" ht="15.75" x14ac:dyDescent="0.25">
      <c r="B156" s="1855"/>
      <c r="D156" s="1849" t="str">
        <f>IF($F$6=Lists!$C$4, "Net Backup Power-related", D159)</f>
        <v>Gross BuP FC-related</v>
      </c>
      <c r="E156" s="1846" t="str">
        <f>D156</f>
        <v>Gross BuP FC-related</v>
      </c>
      <c r="F156" s="1846" t="str">
        <f t="shared" ref="F156:H156" si="232">E156</f>
        <v>Gross BuP FC-related</v>
      </c>
      <c r="G156" s="1846" t="str">
        <f t="shared" si="232"/>
        <v>Gross BuP FC-related</v>
      </c>
      <c r="H156" s="1846" t="str">
        <f t="shared" si="232"/>
        <v>Gross BuP FC-related</v>
      </c>
      <c r="K156" s="1849" t="str">
        <f>IF($F$6=Lists!$C$4, "Net BuP Power Source", K159)</f>
        <v>Gross BuP Fuel Cell</v>
      </c>
      <c r="L156" s="1849" t="str">
        <f>K156</f>
        <v>Gross BuP Fuel Cell</v>
      </c>
      <c r="M156" s="1849" t="str">
        <f t="shared" ref="M156:O156" si="233">L156</f>
        <v>Gross BuP Fuel Cell</v>
      </c>
      <c r="N156" s="1849" t="str">
        <f t="shared" si="233"/>
        <v>Gross BuP Fuel Cell</v>
      </c>
      <c r="O156" s="1849" t="str">
        <f t="shared" si="233"/>
        <v>Gross BuP Fuel Cell</v>
      </c>
      <c r="P156" s="1849"/>
      <c r="Q156" s="1850"/>
      <c r="R156" s="1849" t="str">
        <f>IF($F$6=Lists!$C$4, "Net BuP Installation", R159)</f>
        <v>Gross BuP FC Installation</v>
      </c>
      <c r="S156" s="1849" t="str">
        <f>R156</f>
        <v>Gross BuP FC Installation</v>
      </c>
      <c r="T156" s="1849" t="str">
        <f t="shared" ref="T156:V156" si="234">S156</f>
        <v>Gross BuP FC Installation</v>
      </c>
      <c r="U156" s="1849" t="str">
        <f t="shared" si="234"/>
        <v>Gross BuP FC Installation</v>
      </c>
      <c r="V156" s="1849" t="str">
        <f t="shared" si="234"/>
        <v>Gross BuP FC Installation</v>
      </c>
      <c r="W156" s="1849"/>
      <c r="Y156" s="1849" t="str">
        <f>IF($F$6=Lists!$C$4, "Net BuP Fuel", Y159)</f>
        <v>Gross BuP FC Fuel</v>
      </c>
      <c r="Z156" s="1849" t="str">
        <f>Y156</f>
        <v>Gross BuP FC Fuel</v>
      </c>
      <c r="AA156" s="1849" t="str">
        <f t="shared" ref="AA156:AC156" si="235">Z156</f>
        <v>Gross BuP FC Fuel</v>
      </c>
      <c r="AB156" s="1849" t="str">
        <f t="shared" si="235"/>
        <v>Gross BuP FC Fuel</v>
      </c>
      <c r="AC156" s="1849" t="str">
        <f t="shared" si="235"/>
        <v>Gross BuP FC Fuel</v>
      </c>
      <c r="AD156" s="1849"/>
      <c r="AF156" s="1856" t="str">
        <f>IF($F$6=Lists!$C$4, "Net BuP Maintenance", AF159)</f>
        <v>Gross BuP FC Maintenance</v>
      </c>
      <c r="AG156" s="1849" t="str">
        <f>AF156</f>
        <v>Gross BuP FC Maintenance</v>
      </c>
      <c r="AH156" s="1849" t="str">
        <f t="shared" ref="AH156:AJ156" si="236">AG156</f>
        <v>Gross BuP FC Maintenance</v>
      </c>
      <c r="AI156" s="1849" t="str">
        <f t="shared" si="236"/>
        <v>Gross BuP FC Maintenance</v>
      </c>
      <c r="AJ156" s="1849" t="str">
        <f t="shared" si="236"/>
        <v>Gross BuP FC Maintenance</v>
      </c>
    </row>
    <row r="157" spans="1:36" s="1851" customFormat="1" x14ac:dyDescent="0.25">
      <c r="D157" s="1851" t="s">
        <v>410</v>
      </c>
      <c r="E157" s="1851" t="s">
        <v>411</v>
      </c>
      <c r="F157" s="1851" t="s">
        <v>418</v>
      </c>
      <c r="G157" s="1851" t="s">
        <v>1442</v>
      </c>
      <c r="H157" s="1851" t="s">
        <v>448</v>
      </c>
      <c r="K157" s="1851" t="str">
        <f>D157</f>
        <v>Direct</v>
      </c>
      <c r="L157" s="1851" t="str">
        <f>E157</f>
        <v>Indirect</v>
      </c>
      <c r="M157" s="1851" t="str">
        <f>F157</f>
        <v>Induced</v>
      </c>
      <c r="N157" s="1851" t="str">
        <f>G157</f>
        <v>Supply Chain</v>
      </c>
      <c r="O157" s="1851" t="s">
        <v>448</v>
      </c>
      <c r="R157" s="1851" t="str">
        <f>K157</f>
        <v>Direct</v>
      </c>
      <c r="S157" s="1851" t="str">
        <f>L157</f>
        <v>Indirect</v>
      </c>
      <c r="T157" s="1851" t="str">
        <f>M157</f>
        <v>Induced</v>
      </c>
      <c r="U157" s="1851" t="str">
        <f>N157</f>
        <v>Supply Chain</v>
      </c>
      <c r="V157" s="1851" t="str">
        <f>O157</f>
        <v>Total</v>
      </c>
      <c r="Y157" s="1851" t="str">
        <f>R157</f>
        <v>Direct</v>
      </c>
      <c r="Z157" s="1851" t="str">
        <f>S157</f>
        <v>Indirect</v>
      </c>
      <c r="AA157" s="1851" t="str">
        <f>T157</f>
        <v>Induced</v>
      </c>
      <c r="AB157" s="1851" t="str">
        <f>U157</f>
        <v>Supply Chain</v>
      </c>
      <c r="AC157" s="1851" t="str">
        <f>V157</f>
        <v>Total</v>
      </c>
      <c r="AF157" s="1851" t="str">
        <f>Y157</f>
        <v>Direct</v>
      </c>
      <c r="AG157" s="1851" t="str">
        <f t="shared" ref="AG157:AJ157" si="237">Z157</f>
        <v>Indirect</v>
      </c>
      <c r="AH157" s="1851" t="str">
        <f t="shared" si="237"/>
        <v>Induced</v>
      </c>
      <c r="AI157" s="1851" t="str">
        <f t="shared" si="237"/>
        <v>Supply Chain</v>
      </c>
      <c r="AJ157" s="1851" t="str">
        <f t="shared" si="237"/>
        <v>Total</v>
      </c>
    </row>
    <row r="158" spans="1:36" s="1846" customFormat="1" x14ac:dyDescent="0.25">
      <c r="E158" s="1848"/>
      <c r="F158" s="1848"/>
      <c r="G158" s="1848"/>
      <c r="H158" s="1848"/>
      <c r="I158" s="1848"/>
      <c r="J158" s="1848"/>
      <c r="K158" s="1849"/>
      <c r="L158" s="1849"/>
      <c r="M158" s="1849"/>
      <c r="N158" s="1849"/>
      <c r="O158" s="1849"/>
      <c r="P158" s="1849"/>
      <c r="Q158" s="1849"/>
      <c r="R158" s="1849"/>
      <c r="S158" s="1849"/>
      <c r="T158" s="1849"/>
      <c r="U158" s="1849"/>
    </row>
    <row r="159" spans="1:36" s="1846" customFormat="1" ht="15.75" x14ac:dyDescent="0.25">
      <c r="B159" s="1855"/>
      <c r="D159" s="1846" t="s">
        <v>2103</v>
      </c>
      <c r="E159" s="1846" t="str">
        <f>D159</f>
        <v>Gross BuP FC-related</v>
      </c>
      <c r="F159" s="1846" t="str">
        <f>E159</f>
        <v>Gross BuP FC-related</v>
      </c>
      <c r="G159" s="1846" t="str">
        <f>F159</f>
        <v>Gross BuP FC-related</v>
      </c>
      <c r="H159" s="1846" t="str">
        <f>G159</f>
        <v>Gross BuP FC-related</v>
      </c>
      <c r="K159" s="1849" t="s">
        <v>2088</v>
      </c>
      <c r="L159" s="1849" t="str">
        <f>K159</f>
        <v>Gross BuP Fuel Cell</v>
      </c>
      <c r="M159" s="1849" t="str">
        <f>L159</f>
        <v>Gross BuP Fuel Cell</v>
      </c>
      <c r="N159" s="1849" t="str">
        <f>M159</f>
        <v>Gross BuP Fuel Cell</v>
      </c>
      <c r="O159" s="1849" t="str">
        <f>N159</f>
        <v>Gross BuP Fuel Cell</v>
      </c>
      <c r="P159" s="1849"/>
      <c r="Q159" s="1850"/>
      <c r="R159" s="1849" t="s">
        <v>2089</v>
      </c>
      <c r="S159" s="1849" t="str">
        <f>R159</f>
        <v>Gross BuP FC Installation</v>
      </c>
      <c r="T159" s="1849" t="str">
        <f>S159</f>
        <v>Gross BuP FC Installation</v>
      </c>
      <c r="U159" s="1849" t="str">
        <f>T159</f>
        <v>Gross BuP FC Installation</v>
      </c>
      <c r="V159" s="1849" t="str">
        <f>U159</f>
        <v>Gross BuP FC Installation</v>
      </c>
      <c r="W159" s="1849"/>
      <c r="Y159" s="1849" t="s">
        <v>2091</v>
      </c>
      <c r="Z159" s="1849" t="str">
        <f>Y159</f>
        <v>Gross BuP FC Fuel</v>
      </c>
      <c r="AA159" s="1849" t="str">
        <f>Z159</f>
        <v>Gross BuP FC Fuel</v>
      </c>
      <c r="AB159" s="1849" t="str">
        <f>AA159</f>
        <v>Gross BuP FC Fuel</v>
      </c>
      <c r="AC159" s="1849" t="str">
        <f>AB159</f>
        <v>Gross BuP FC Fuel</v>
      </c>
      <c r="AD159" s="1849"/>
      <c r="AF159" s="1856" t="s">
        <v>2093</v>
      </c>
      <c r="AG159" s="1849" t="str">
        <f>AF159</f>
        <v>Gross BuP FC Maintenance</v>
      </c>
      <c r="AH159" s="1849" t="str">
        <f>AG159</f>
        <v>Gross BuP FC Maintenance</v>
      </c>
      <c r="AI159" s="1849" t="str">
        <f>AH159</f>
        <v>Gross BuP FC Maintenance</v>
      </c>
      <c r="AJ159" s="1849" t="str">
        <f>AI159</f>
        <v>Gross BuP FC Maintenance</v>
      </c>
    </row>
    <row r="160" spans="1:36" s="1851" customFormat="1" x14ac:dyDescent="0.25">
      <c r="D160" s="1851" t="s">
        <v>410</v>
      </c>
      <c r="E160" s="1851" t="s">
        <v>411</v>
      </c>
      <c r="F160" s="1851" t="s">
        <v>418</v>
      </c>
      <c r="G160" s="1851" t="s">
        <v>1442</v>
      </c>
      <c r="H160" s="1851" t="s">
        <v>448</v>
      </c>
      <c r="K160" s="1851" t="str">
        <f>D160</f>
        <v>Direct</v>
      </c>
      <c r="L160" s="1851" t="str">
        <f>E160</f>
        <v>Indirect</v>
      </c>
      <c r="M160" s="1851" t="str">
        <f>F160</f>
        <v>Induced</v>
      </c>
      <c r="N160" s="1851" t="str">
        <f>G160</f>
        <v>Supply Chain</v>
      </c>
      <c r="O160" s="1851" t="s">
        <v>448</v>
      </c>
      <c r="R160" s="1851" t="str">
        <f>K160</f>
        <v>Direct</v>
      </c>
      <c r="S160" s="1851" t="str">
        <f>L160</f>
        <v>Indirect</v>
      </c>
      <c r="T160" s="1851" t="str">
        <f>M160</f>
        <v>Induced</v>
      </c>
      <c r="U160" s="1851" t="str">
        <f>N160</f>
        <v>Supply Chain</v>
      </c>
      <c r="V160" s="1851" t="str">
        <f>O160</f>
        <v>Total</v>
      </c>
      <c r="Y160" s="1851" t="str">
        <f>R160</f>
        <v>Direct</v>
      </c>
      <c r="Z160" s="1851" t="str">
        <f>S160</f>
        <v>Indirect</v>
      </c>
      <c r="AA160" s="1851" t="str">
        <f>T160</f>
        <v>Induced</v>
      </c>
      <c r="AB160" s="1851" t="str">
        <f>U160</f>
        <v>Supply Chain</v>
      </c>
      <c r="AC160" s="1851" t="str">
        <f>V160</f>
        <v>Total</v>
      </c>
      <c r="AF160" s="1851" t="str">
        <f>Y160</f>
        <v>Direct</v>
      </c>
      <c r="AG160" s="1851" t="str">
        <f>Z160</f>
        <v>Indirect</v>
      </c>
      <c r="AH160" s="1851" t="str">
        <f>AA160</f>
        <v>Induced</v>
      </c>
      <c r="AI160" s="1851" t="str">
        <f>AB160</f>
        <v>Supply Chain</v>
      </c>
      <c r="AJ160" s="1851" t="str">
        <f>AC160</f>
        <v>Total</v>
      </c>
    </row>
    <row r="161" spans="2:36" s="1846" customFormat="1" x14ac:dyDescent="0.25">
      <c r="E161" s="1848"/>
      <c r="F161" s="1848"/>
      <c r="G161" s="1848"/>
      <c r="H161" s="1848"/>
      <c r="I161" s="1848"/>
      <c r="J161" s="1848"/>
      <c r="K161" s="1849"/>
      <c r="L161" s="1849"/>
      <c r="M161" s="1849"/>
      <c r="N161" s="1849"/>
      <c r="O161" s="1849"/>
      <c r="P161" s="1849"/>
      <c r="Q161" s="1849"/>
      <c r="R161" s="1849"/>
      <c r="S161" s="1849"/>
      <c r="T161" s="1849"/>
      <c r="U161" s="1849"/>
    </row>
    <row r="162" spans="2:36" s="1846" customFormat="1" x14ac:dyDescent="0.25">
      <c r="E162" s="1848"/>
      <c r="F162" s="1848"/>
      <c r="G162" s="1848"/>
      <c r="H162" s="1848"/>
      <c r="I162" s="1848"/>
      <c r="J162" s="1848"/>
      <c r="K162" s="1849"/>
      <c r="L162" s="1849"/>
      <c r="M162" s="1849"/>
      <c r="N162" s="1849"/>
      <c r="O162" s="1849"/>
      <c r="P162" s="1849"/>
      <c r="Q162" s="1849"/>
      <c r="R162" s="1849"/>
      <c r="S162" s="1849"/>
      <c r="T162" s="1849"/>
      <c r="U162" s="1849"/>
    </row>
    <row r="163" spans="2:36" s="1846" customFormat="1" x14ac:dyDescent="0.25">
      <c r="D163" s="1846" t="s">
        <v>2104</v>
      </c>
      <c r="E163" s="1846" t="str">
        <f>D163</f>
        <v>Displaced BuP-related</v>
      </c>
      <c r="F163" s="1846" t="str">
        <f>E163</f>
        <v>Displaced BuP-related</v>
      </c>
      <c r="G163" s="1846" t="str">
        <f>F163</f>
        <v>Displaced BuP-related</v>
      </c>
      <c r="H163" s="1846" t="str">
        <f>G163</f>
        <v>Displaced BuP-related</v>
      </c>
      <c r="K163" s="1849" t="s">
        <v>2098</v>
      </c>
      <c r="L163" s="1849" t="str">
        <f>K163</f>
        <v>Displaced BuP Technology</v>
      </c>
      <c r="M163" s="1849" t="str">
        <f>L163</f>
        <v>Displaced BuP Technology</v>
      </c>
      <c r="N163" s="1849" t="str">
        <f>M163</f>
        <v>Displaced BuP Technology</v>
      </c>
      <c r="O163" s="1849" t="str">
        <f>N163</f>
        <v>Displaced BuP Technology</v>
      </c>
      <c r="P163" s="1849"/>
      <c r="Q163" s="1850"/>
      <c r="R163" s="1849" t="s">
        <v>2090</v>
      </c>
      <c r="S163" s="1849" t="str">
        <f>R163</f>
        <v>Displaced BuP Installation</v>
      </c>
      <c r="T163" s="1849" t="str">
        <f>S163</f>
        <v>Displaced BuP Installation</v>
      </c>
      <c r="U163" s="1849" t="str">
        <f>T163</f>
        <v>Displaced BuP Installation</v>
      </c>
      <c r="V163" s="1849" t="str">
        <f>U163</f>
        <v>Displaced BuP Installation</v>
      </c>
      <c r="W163" s="1849"/>
      <c r="Y163" s="1849" t="s">
        <v>2092</v>
      </c>
      <c r="Z163" s="1849" t="str">
        <f>Y163</f>
        <v>Displaced BuP Fuel</v>
      </c>
      <c r="AA163" s="1849" t="str">
        <f>Z163</f>
        <v>Displaced BuP Fuel</v>
      </c>
      <c r="AB163" s="1849" t="str">
        <f>AA163</f>
        <v>Displaced BuP Fuel</v>
      </c>
      <c r="AC163" s="1849" t="str">
        <f>AB163</f>
        <v>Displaced BuP Fuel</v>
      </c>
      <c r="AD163" s="1849"/>
      <c r="AF163" s="1856" t="s">
        <v>2094</v>
      </c>
      <c r="AG163" s="1849" t="str">
        <f>AF163</f>
        <v>Displaced BuP Maintenance</v>
      </c>
      <c r="AH163" s="1849" t="str">
        <f>AG163</f>
        <v>Displaced BuP Maintenance</v>
      </c>
      <c r="AI163" s="1849" t="str">
        <f>AH163</f>
        <v>Displaced BuP Maintenance</v>
      </c>
      <c r="AJ163" s="1849" t="str">
        <f>AI163</f>
        <v>Displaced BuP Maintenance</v>
      </c>
    </row>
    <row r="164" spans="2:36" s="1851" customFormat="1" x14ac:dyDescent="0.25">
      <c r="D164" s="1851" t="s">
        <v>410</v>
      </c>
      <c r="E164" s="1851" t="s">
        <v>411</v>
      </c>
      <c r="F164" s="1851" t="s">
        <v>418</v>
      </c>
      <c r="G164" s="1851" t="s">
        <v>1442</v>
      </c>
      <c r="H164" s="1851" t="s">
        <v>448</v>
      </c>
      <c r="K164" s="1851" t="str">
        <f>D164</f>
        <v>Direct</v>
      </c>
      <c r="L164" s="1851" t="str">
        <f>E164</f>
        <v>Indirect</v>
      </c>
      <c r="M164" s="1851" t="str">
        <f>F164</f>
        <v>Induced</v>
      </c>
      <c r="N164" s="1851" t="str">
        <f>G164</f>
        <v>Supply Chain</v>
      </c>
      <c r="O164" s="1851" t="s">
        <v>448</v>
      </c>
      <c r="R164" s="1851" t="str">
        <f>K164</f>
        <v>Direct</v>
      </c>
      <c r="S164" s="1851" t="str">
        <f>L164</f>
        <v>Indirect</v>
      </c>
      <c r="T164" s="1851" t="str">
        <f>M164</f>
        <v>Induced</v>
      </c>
      <c r="U164" s="1851" t="str">
        <f>N164</f>
        <v>Supply Chain</v>
      </c>
      <c r="V164" s="1851" t="str">
        <f>O164</f>
        <v>Total</v>
      </c>
      <c r="Y164" s="1851" t="str">
        <f>R164</f>
        <v>Direct</v>
      </c>
      <c r="Z164" s="1851" t="str">
        <f>S164</f>
        <v>Indirect</v>
      </c>
      <c r="AA164" s="1851" t="str">
        <f>T164</f>
        <v>Induced</v>
      </c>
      <c r="AB164" s="1851" t="str">
        <f>U164</f>
        <v>Supply Chain</v>
      </c>
      <c r="AC164" s="1851" t="str">
        <f>V164</f>
        <v>Total</v>
      </c>
      <c r="AF164" s="1851" t="str">
        <f>Y164</f>
        <v>Direct</v>
      </c>
      <c r="AG164" s="1851" t="str">
        <f>Z164</f>
        <v>Indirect</v>
      </c>
      <c r="AH164" s="1851" t="str">
        <f>AA164</f>
        <v>Induced</v>
      </c>
      <c r="AI164" s="1851" t="str">
        <f>AB164</f>
        <v>Supply Chain</v>
      </c>
      <c r="AJ164" s="1851" t="str">
        <f>AC164</f>
        <v>Total</v>
      </c>
    </row>
    <row r="165" spans="2:36" s="1846" customFormat="1" x14ac:dyDescent="0.25">
      <c r="E165" s="1848"/>
      <c r="F165" s="1848"/>
      <c r="G165" s="1848"/>
      <c r="H165" s="1848"/>
      <c r="I165" s="1848"/>
      <c r="J165" s="1848"/>
      <c r="K165" s="1849"/>
      <c r="L165" s="1849"/>
      <c r="M165" s="1849"/>
      <c r="N165" s="1849"/>
      <c r="O165" s="1849"/>
      <c r="P165" s="1849"/>
      <c r="Q165" s="1849"/>
      <c r="R165" s="1849"/>
      <c r="S165" s="1849"/>
      <c r="T165" s="1849"/>
      <c r="U165" s="1849"/>
    </row>
    <row r="166" spans="2:36" s="1846" customFormat="1" x14ac:dyDescent="0.25">
      <c r="B166" s="1847" t="s">
        <v>2112</v>
      </c>
      <c r="E166" s="1848"/>
      <c r="F166" s="1848"/>
      <c r="G166" s="1848"/>
      <c r="H166" s="1848"/>
      <c r="I166" s="1848"/>
      <c r="J166" s="1848"/>
      <c r="K166" s="1849"/>
      <c r="L166" s="1849"/>
      <c r="M166" s="1849"/>
      <c r="N166" s="1849"/>
      <c r="O166" s="1849"/>
      <c r="P166" s="1849"/>
      <c r="Q166" s="1849"/>
      <c r="R166" s="1849"/>
      <c r="S166" s="1849"/>
      <c r="T166" s="1849"/>
      <c r="U166" s="1849"/>
    </row>
    <row r="167" spans="2:36" s="1846" customFormat="1" x14ac:dyDescent="0.25">
      <c r="D167" s="1846" t="str">
        <f t="shared" ref="D167" si="238">D59</f>
        <v>Total (Manufacturing, Installation, Fuel, and Maintenance)</v>
      </c>
      <c r="I167" s="1848"/>
      <c r="J167" s="1848" t="str">
        <f t="shared" ref="J167" si="239">D92</f>
        <v>Total (Manufacturing, Installation, Fuel, and Maintenance)</v>
      </c>
      <c r="K167" s="1848"/>
      <c r="L167" s="1848"/>
      <c r="M167" s="1848"/>
      <c r="N167" s="1848"/>
      <c r="O167" s="1857"/>
      <c r="P167" s="1848" t="str">
        <f t="shared" ref="P167" si="240">D125</f>
        <v>Total (Manufacturing, Installation, Fuel, and Maintenance)</v>
      </c>
      <c r="Q167" s="1848"/>
      <c r="R167" s="1848"/>
      <c r="S167" s="1848"/>
      <c r="T167" s="1848"/>
      <c r="U167" s="1848"/>
      <c r="V167" s="1848"/>
    </row>
    <row r="168" spans="2:36" s="1846" customFormat="1" x14ac:dyDescent="0.25">
      <c r="D168" s="1846" t="str">
        <f t="shared" ref="D168" si="241">D60</f>
        <v>Gross Backup Power Fuel Cell-related Employment (Job-years)</v>
      </c>
      <c r="I168" s="1848"/>
      <c r="J168" s="1848" t="str">
        <f t="shared" ref="J168:J195" si="242">D93</f>
        <v>Gross Backup Power Fuel Cell-related Employment (Job-years)</v>
      </c>
      <c r="K168" s="1848"/>
      <c r="L168" s="1848"/>
      <c r="M168" s="1848"/>
      <c r="N168" s="1848"/>
      <c r="O168" s="1857"/>
      <c r="P168" s="1848" t="str">
        <f t="shared" ref="P168:P195" si="243">D126</f>
        <v>Displaced Domestic Alternative Backup Power-related Employment (Job-years)</v>
      </c>
      <c r="Q168" s="1848"/>
      <c r="R168" s="1848"/>
      <c r="S168" s="1848"/>
      <c r="T168" s="1848"/>
      <c r="U168" s="1848"/>
      <c r="V168" s="1848"/>
    </row>
    <row r="169" spans="2:36" s="1846" customFormat="1" x14ac:dyDescent="0.25">
      <c r="C169" s="1846" t="str">
        <f t="shared" ref="C169:H169" si="244">C61</f>
        <v>Year</v>
      </c>
      <c r="D169" s="1846" t="str">
        <f t="shared" si="244"/>
        <v>Gross BuP FC-related Direct</v>
      </c>
      <c r="E169" s="1846" t="str">
        <f t="shared" si="244"/>
        <v>Gross BuP FC-related Indirect</v>
      </c>
      <c r="F169" s="1846" t="str">
        <f t="shared" si="244"/>
        <v>Gross BuP FC-related Induced</v>
      </c>
      <c r="G169" s="1846" t="str">
        <f t="shared" si="244"/>
        <v>Gross BuP FC-related Supply Chain</v>
      </c>
      <c r="H169" s="1846" t="str">
        <f t="shared" si="244"/>
        <v>Gross BuP FC-related Total</v>
      </c>
      <c r="I169" s="1857" t="str">
        <f t="shared" ref="I169:I195" si="245">C94</f>
        <v>Year</v>
      </c>
      <c r="J169" s="1848" t="str">
        <f t="shared" si="242"/>
        <v>Gross BuP FC-related Direct</v>
      </c>
      <c r="K169" s="1848" t="str">
        <f t="shared" ref="K169:K195" si="246">E94</f>
        <v>Gross BuP FC-related Indirect</v>
      </c>
      <c r="L169" s="1848" t="str">
        <f t="shared" ref="L169:L195" si="247">F94</f>
        <v>Gross BuP FC-related Induced</v>
      </c>
      <c r="M169" s="1848" t="str">
        <f t="shared" ref="M169:M195" si="248">G94</f>
        <v>Gross BuP FC-related Supply Chain</v>
      </c>
      <c r="N169" s="1848" t="str">
        <f t="shared" ref="N169:N195" si="249">H94</f>
        <v>Gross BuP FC-related Total</v>
      </c>
      <c r="O169" s="1857" t="str">
        <f t="shared" ref="O169:O195" si="250">C127</f>
        <v>Year</v>
      </c>
      <c r="P169" s="1848" t="str">
        <f t="shared" si="243"/>
        <v>Displaced BuP-related Direct</v>
      </c>
      <c r="Q169" s="1848" t="str">
        <f t="shared" ref="Q169:Q195" si="251">E127</f>
        <v>Displaced BuP-related Indirect</v>
      </c>
      <c r="R169" s="1848" t="str">
        <f t="shared" ref="R169:R195" si="252">F127</f>
        <v>Displaced BuP-related Induced</v>
      </c>
      <c r="S169" s="1848" t="str">
        <f t="shared" ref="S169:S195" si="253">G127</f>
        <v>Displaced BuP-related Supply Chain</v>
      </c>
      <c r="T169" s="1848" t="str">
        <f t="shared" ref="T169:T195" si="254">H127</f>
        <v>Displaced BuP-related Total</v>
      </c>
      <c r="U169" s="1848"/>
      <c r="V169" s="1848"/>
    </row>
    <row r="170" spans="2:36" s="1846" customFormat="1" x14ac:dyDescent="0.25">
      <c r="C170" s="1846">
        <f t="shared" ref="C170:H170" si="255">C62</f>
        <v>2015</v>
      </c>
      <c r="D170" s="1852" t="e">
        <f t="shared" si="255"/>
        <v>#N/A</v>
      </c>
      <c r="E170" s="1852" t="e">
        <f t="shared" si="255"/>
        <v>#N/A</v>
      </c>
      <c r="F170" s="1852" t="e">
        <f t="shared" si="255"/>
        <v>#N/A</v>
      </c>
      <c r="G170" s="1852" t="e">
        <f t="shared" si="255"/>
        <v>#N/A</v>
      </c>
      <c r="H170" s="1852" t="e">
        <f t="shared" si="255"/>
        <v>#N/A</v>
      </c>
      <c r="I170" s="1857">
        <f t="shared" si="245"/>
        <v>2015</v>
      </c>
      <c r="J170" s="1848" t="e">
        <f t="shared" si="242"/>
        <v>#N/A</v>
      </c>
      <c r="K170" s="1848" t="e">
        <f t="shared" si="246"/>
        <v>#N/A</v>
      </c>
      <c r="L170" s="1848" t="e">
        <f t="shared" si="247"/>
        <v>#N/A</v>
      </c>
      <c r="M170" s="1848" t="e">
        <f t="shared" si="248"/>
        <v>#N/A</v>
      </c>
      <c r="N170" s="1848" t="e">
        <f t="shared" si="249"/>
        <v>#N/A</v>
      </c>
      <c r="O170" s="1857">
        <f t="shared" si="250"/>
        <v>2015</v>
      </c>
      <c r="P170" s="1848" t="e">
        <f t="shared" si="243"/>
        <v>#N/A</v>
      </c>
      <c r="Q170" s="1848" t="e">
        <f t="shared" si="251"/>
        <v>#N/A</v>
      </c>
      <c r="R170" s="1848" t="e">
        <f t="shared" si="252"/>
        <v>#N/A</v>
      </c>
      <c r="S170" s="1848" t="e">
        <f t="shared" si="253"/>
        <v>#N/A</v>
      </c>
      <c r="T170" s="1848" t="e">
        <f t="shared" si="254"/>
        <v>#N/A</v>
      </c>
      <c r="U170" s="1848"/>
      <c r="V170" s="1848"/>
    </row>
    <row r="171" spans="2:36" s="1846" customFormat="1" x14ac:dyDescent="0.25">
      <c r="C171" s="1846">
        <f t="shared" ref="C171:H171" si="256">C63</f>
        <v>2016</v>
      </c>
      <c r="D171" s="1852" t="e">
        <f t="shared" si="256"/>
        <v>#N/A</v>
      </c>
      <c r="E171" s="1852" t="e">
        <f t="shared" si="256"/>
        <v>#N/A</v>
      </c>
      <c r="F171" s="1852" t="e">
        <f t="shared" si="256"/>
        <v>#N/A</v>
      </c>
      <c r="G171" s="1852" t="e">
        <f t="shared" si="256"/>
        <v>#N/A</v>
      </c>
      <c r="H171" s="1852" t="e">
        <f t="shared" si="256"/>
        <v>#N/A</v>
      </c>
      <c r="I171" s="1857">
        <f t="shared" si="245"/>
        <v>2016</v>
      </c>
      <c r="J171" s="1848" t="e">
        <f t="shared" si="242"/>
        <v>#N/A</v>
      </c>
      <c r="K171" s="1848" t="e">
        <f t="shared" si="246"/>
        <v>#N/A</v>
      </c>
      <c r="L171" s="1848" t="e">
        <f t="shared" si="247"/>
        <v>#N/A</v>
      </c>
      <c r="M171" s="1848" t="e">
        <f t="shared" si="248"/>
        <v>#N/A</v>
      </c>
      <c r="N171" s="1848" t="e">
        <f t="shared" si="249"/>
        <v>#N/A</v>
      </c>
      <c r="O171" s="1857">
        <f t="shared" si="250"/>
        <v>2016</v>
      </c>
      <c r="P171" s="1848" t="e">
        <f t="shared" si="243"/>
        <v>#N/A</v>
      </c>
      <c r="Q171" s="1848" t="e">
        <f t="shared" si="251"/>
        <v>#N/A</v>
      </c>
      <c r="R171" s="1848" t="e">
        <f t="shared" si="252"/>
        <v>#N/A</v>
      </c>
      <c r="S171" s="1848" t="e">
        <f t="shared" si="253"/>
        <v>#N/A</v>
      </c>
      <c r="T171" s="1848" t="e">
        <f t="shared" si="254"/>
        <v>#N/A</v>
      </c>
      <c r="U171" s="1848"/>
      <c r="V171" s="1848"/>
    </row>
    <row r="172" spans="2:36" s="1846" customFormat="1" x14ac:dyDescent="0.25">
      <c r="C172" s="1846">
        <f t="shared" ref="C172:H172" si="257">C64</f>
        <v>2017</v>
      </c>
      <c r="D172" s="1852" t="e">
        <f t="shared" si="257"/>
        <v>#N/A</v>
      </c>
      <c r="E172" s="1852" t="e">
        <f t="shared" si="257"/>
        <v>#N/A</v>
      </c>
      <c r="F172" s="1852" t="e">
        <f t="shared" si="257"/>
        <v>#N/A</v>
      </c>
      <c r="G172" s="1852" t="e">
        <f t="shared" si="257"/>
        <v>#N/A</v>
      </c>
      <c r="H172" s="1852" t="e">
        <f t="shared" si="257"/>
        <v>#N/A</v>
      </c>
      <c r="I172" s="1857">
        <f t="shared" si="245"/>
        <v>2017</v>
      </c>
      <c r="J172" s="1848" t="e">
        <f t="shared" si="242"/>
        <v>#N/A</v>
      </c>
      <c r="K172" s="1848" t="e">
        <f t="shared" si="246"/>
        <v>#N/A</v>
      </c>
      <c r="L172" s="1848" t="e">
        <f t="shared" si="247"/>
        <v>#N/A</v>
      </c>
      <c r="M172" s="1848" t="e">
        <f t="shared" si="248"/>
        <v>#N/A</v>
      </c>
      <c r="N172" s="1848" t="e">
        <f t="shared" si="249"/>
        <v>#N/A</v>
      </c>
      <c r="O172" s="1857">
        <f t="shared" si="250"/>
        <v>2017</v>
      </c>
      <c r="P172" s="1848" t="e">
        <f t="shared" si="243"/>
        <v>#N/A</v>
      </c>
      <c r="Q172" s="1848" t="e">
        <f t="shared" si="251"/>
        <v>#N/A</v>
      </c>
      <c r="R172" s="1848" t="e">
        <f t="shared" si="252"/>
        <v>#N/A</v>
      </c>
      <c r="S172" s="1848" t="e">
        <f t="shared" si="253"/>
        <v>#N/A</v>
      </c>
      <c r="T172" s="1848" t="e">
        <f t="shared" si="254"/>
        <v>#N/A</v>
      </c>
      <c r="U172" s="1848"/>
      <c r="V172" s="1848"/>
    </row>
    <row r="173" spans="2:36" s="1846" customFormat="1" x14ac:dyDescent="0.25">
      <c r="C173" s="1846">
        <f t="shared" ref="C173:H173" si="258">C65</f>
        <v>2018</v>
      </c>
      <c r="D173" s="1852" t="e">
        <f t="shared" si="258"/>
        <v>#N/A</v>
      </c>
      <c r="E173" s="1852" t="e">
        <f t="shared" si="258"/>
        <v>#N/A</v>
      </c>
      <c r="F173" s="1852" t="e">
        <f t="shared" si="258"/>
        <v>#N/A</v>
      </c>
      <c r="G173" s="1852" t="e">
        <f t="shared" si="258"/>
        <v>#N/A</v>
      </c>
      <c r="H173" s="1852" t="e">
        <f t="shared" si="258"/>
        <v>#N/A</v>
      </c>
      <c r="I173" s="1857">
        <f t="shared" si="245"/>
        <v>2018</v>
      </c>
      <c r="J173" s="1848" t="e">
        <f t="shared" si="242"/>
        <v>#N/A</v>
      </c>
      <c r="K173" s="1848" t="e">
        <f t="shared" si="246"/>
        <v>#N/A</v>
      </c>
      <c r="L173" s="1848" t="e">
        <f t="shared" si="247"/>
        <v>#N/A</v>
      </c>
      <c r="M173" s="1848" t="e">
        <f t="shared" si="248"/>
        <v>#N/A</v>
      </c>
      <c r="N173" s="1848" t="e">
        <f t="shared" si="249"/>
        <v>#N/A</v>
      </c>
      <c r="O173" s="1857">
        <f t="shared" si="250"/>
        <v>2018</v>
      </c>
      <c r="P173" s="1848" t="e">
        <f t="shared" si="243"/>
        <v>#N/A</v>
      </c>
      <c r="Q173" s="1848" t="e">
        <f t="shared" si="251"/>
        <v>#N/A</v>
      </c>
      <c r="R173" s="1848" t="e">
        <f t="shared" si="252"/>
        <v>#N/A</v>
      </c>
      <c r="S173" s="1848" t="e">
        <f t="shared" si="253"/>
        <v>#N/A</v>
      </c>
      <c r="T173" s="1848" t="e">
        <f t="shared" si="254"/>
        <v>#N/A</v>
      </c>
      <c r="U173" s="1848"/>
      <c r="V173" s="1848"/>
    </row>
    <row r="174" spans="2:36" s="1846" customFormat="1" x14ac:dyDescent="0.25">
      <c r="C174" s="1846">
        <f t="shared" ref="C174:H174" si="259">C66</f>
        <v>2019</v>
      </c>
      <c r="D174" s="1852" t="e">
        <f t="shared" si="259"/>
        <v>#N/A</v>
      </c>
      <c r="E174" s="1852" t="e">
        <f t="shared" si="259"/>
        <v>#N/A</v>
      </c>
      <c r="F174" s="1852" t="e">
        <f t="shared" si="259"/>
        <v>#N/A</v>
      </c>
      <c r="G174" s="1852" t="e">
        <f t="shared" si="259"/>
        <v>#N/A</v>
      </c>
      <c r="H174" s="1852" t="e">
        <f t="shared" si="259"/>
        <v>#N/A</v>
      </c>
      <c r="I174" s="1857">
        <f t="shared" si="245"/>
        <v>2019</v>
      </c>
      <c r="J174" s="1848" t="e">
        <f t="shared" si="242"/>
        <v>#N/A</v>
      </c>
      <c r="K174" s="1848" t="e">
        <f t="shared" si="246"/>
        <v>#N/A</v>
      </c>
      <c r="L174" s="1848" t="e">
        <f t="shared" si="247"/>
        <v>#N/A</v>
      </c>
      <c r="M174" s="1848" t="e">
        <f t="shared" si="248"/>
        <v>#N/A</v>
      </c>
      <c r="N174" s="1848" t="e">
        <f t="shared" si="249"/>
        <v>#N/A</v>
      </c>
      <c r="O174" s="1857">
        <f t="shared" si="250"/>
        <v>2019</v>
      </c>
      <c r="P174" s="1848" t="e">
        <f t="shared" si="243"/>
        <v>#N/A</v>
      </c>
      <c r="Q174" s="1848" t="e">
        <f t="shared" si="251"/>
        <v>#N/A</v>
      </c>
      <c r="R174" s="1848" t="e">
        <f t="shared" si="252"/>
        <v>#N/A</v>
      </c>
      <c r="S174" s="1848" t="e">
        <f t="shared" si="253"/>
        <v>#N/A</v>
      </c>
      <c r="T174" s="1848" t="e">
        <f t="shared" si="254"/>
        <v>#N/A</v>
      </c>
      <c r="U174" s="1848"/>
      <c r="V174" s="1848"/>
    </row>
    <row r="175" spans="2:36" s="1846" customFormat="1" x14ac:dyDescent="0.25">
      <c r="C175" s="1846">
        <f t="shared" ref="C175:H175" si="260">C67</f>
        <v>2020</v>
      </c>
      <c r="D175" s="1852" t="e">
        <f t="shared" si="260"/>
        <v>#N/A</v>
      </c>
      <c r="E175" s="1852" t="e">
        <f t="shared" si="260"/>
        <v>#N/A</v>
      </c>
      <c r="F175" s="1852" t="e">
        <f t="shared" si="260"/>
        <v>#N/A</v>
      </c>
      <c r="G175" s="1852" t="e">
        <f t="shared" si="260"/>
        <v>#N/A</v>
      </c>
      <c r="H175" s="1852" t="e">
        <f t="shared" si="260"/>
        <v>#N/A</v>
      </c>
      <c r="I175" s="1857">
        <f t="shared" si="245"/>
        <v>2020</v>
      </c>
      <c r="J175" s="1848" t="e">
        <f t="shared" si="242"/>
        <v>#N/A</v>
      </c>
      <c r="K175" s="1848" t="e">
        <f t="shared" si="246"/>
        <v>#N/A</v>
      </c>
      <c r="L175" s="1848" t="e">
        <f t="shared" si="247"/>
        <v>#N/A</v>
      </c>
      <c r="M175" s="1848" t="e">
        <f t="shared" si="248"/>
        <v>#N/A</v>
      </c>
      <c r="N175" s="1848" t="e">
        <f t="shared" si="249"/>
        <v>#N/A</v>
      </c>
      <c r="O175" s="1857">
        <f t="shared" si="250"/>
        <v>2020</v>
      </c>
      <c r="P175" s="1848" t="e">
        <f t="shared" si="243"/>
        <v>#N/A</v>
      </c>
      <c r="Q175" s="1848" t="e">
        <f t="shared" si="251"/>
        <v>#N/A</v>
      </c>
      <c r="R175" s="1848" t="e">
        <f t="shared" si="252"/>
        <v>#N/A</v>
      </c>
      <c r="S175" s="1848" t="e">
        <f t="shared" si="253"/>
        <v>#N/A</v>
      </c>
      <c r="T175" s="1848" t="e">
        <f t="shared" si="254"/>
        <v>#N/A</v>
      </c>
      <c r="U175" s="1848"/>
      <c r="V175" s="1848"/>
    </row>
    <row r="176" spans="2:36" s="1846" customFormat="1" x14ac:dyDescent="0.25">
      <c r="I176" s="1857"/>
      <c r="J176" s="1848"/>
      <c r="K176" s="1848"/>
      <c r="L176" s="1848"/>
      <c r="M176" s="1848"/>
      <c r="N176" s="1848"/>
      <c r="O176" s="1857"/>
      <c r="P176" s="1848"/>
      <c r="Q176" s="1848"/>
      <c r="R176" s="1848"/>
      <c r="S176" s="1848"/>
      <c r="T176" s="1848"/>
      <c r="U176" s="1848"/>
      <c r="V176" s="1848"/>
    </row>
    <row r="177" spans="3:22" s="1846" customFormat="1" x14ac:dyDescent="0.25">
      <c r="D177" s="1846" t="str">
        <f t="shared" ref="D177" si="261">D69</f>
        <v>Total (Manufacturing, Installation, Fuel, and Maintenance)</v>
      </c>
      <c r="I177" s="1857"/>
      <c r="J177" s="1848" t="str">
        <f t="shared" si="242"/>
        <v>Total (Manufacturing, Installation, Fuel, and Maintenance)</v>
      </c>
      <c r="K177" s="1848"/>
      <c r="L177" s="1848"/>
      <c r="M177" s="1848"/>
      <c r="N177" s="1848"/>
      <c r="O177" s="1857"/>
      <c r="P177" s="1848" t="str">
        <f t="shared" si="243"/>
        <v>Total (Manufacturing, Installation, Fuel, and Maintenance)</v>
      </c>
      <c r="Q177" s="1848"/>
      <c r="R177" s="1848"/>
      <c r="S177" s="1848"/>
      <c r="T177" s="1848"/>
      <c r="U177" s="1848"/>
      <c r="V177" s="1848"/>
    </row>
    <row r="178" spans="3:22" s="1846" customFormat="1" x14ac:dyDescent="0.25">
      <c r="D178" s="1846" t="str">
        <f t="shared" ref="D178" si="262">D70</f>
        <v>Gross Backup Power Fuel Cell Earnings (Thousands of 2010$)</v>
      </c>
      <c r="I178" s="1857"/>
      <c r="J178" s="1848" t="str">
        <f t="shared" si="242"/>
        <v>Gross Backup Power Fuel Cell Earnings (Thousands of 2010$)</v>
      </c>
      <c r="K178" s="1848"/>
      <c r="L178" s="1848"/>
      <c r="M178" s="1848"/>
      <c r="N178" s="1848"/>
      <c r="O178" s="1857"/>
      <c r="P178" s="1848" t="str">
        <f t="shared" si="243"/>
        <v>Displaced Domestic Alternative Backup Power-related Earnings (Thousands of 2010$)</v>
      </c>
      <c r="Q178" s="1848"/>
      <c r="R178" s="1848"/>
      <c r="S178" s="1848"/>
      <c r="T178" s="1848"/>
      <c r="U178" s="1848"/>
      <c r="V178" s="1848"/>
    </row>
    <row r="179" spans="3:22" s="1846" customFormat="1" x14ac:dyDescent="0.25">
      <c r="C179" s="1846" t="str">
        <f t="shared" ref="C179:H179" si="263">C71</f>
        <v>Year</v>
      </c>
      <c r="D179" s="1846" t="str">
        <f t="shared" si="263"/>
        <v>Gross BuP FC-related Direct</v>
      </c>
      <c r="E179" s="1846" t="str">
        <f t="shared" si="263"/>
        <v>Gross BuP FC-related Indirect</v>
      </c>
      <c r="F179" s="1846" t="str">
        <f t="shared" si="263"/>
        <v>Gross BuP FC-related Induced</v>
      </c>
      <c r="G179" s="1846" t="str">
        <f t="shared" si="263"/>
        <v>Gross BuP FC-related Supply Chain</v>
      </c>
      <c r="H179" s="1846" t="str">
        <f t="shared" si="263"/>
        <v>Gross BuP FC-related Total</v>
      </c>
      <c r="I179" s="1857" t="str">
        <f t="shared" si="245"/>
        <v>Year</v>
      </c>
      <c r="J179" s="1848" t="str">
        <f t="shared" si="242"/>
        <v>Gross BuP FC-related Direct</v>
      </c>
      <c r="K179" s="1848" t="str">
        <f t="shared" si="246"/>
        <v>Gross BuP FC-related Indirect</v>
      </c>
      <c r="L179" s="1848" t="str">
        <f t="shared" si="247"/>
        <v>Gross BuP FC-related Induced</v>
      </c>
      <c r="M179" s="1848" t="str">
        <f t="shared" si="248"/>
        <v>Gross BuP FC-related Supply Chain</v>
      </c>
      <c r="N179" s="1848" t="str">
        <f t="shared" si="249"/>
        <v>Gross BuP FC-related Total</v>
      </c>
      <c r="O179" s="1857" t="str">
        <f t="shared" si="250"/>
        <v>Year</v>
      </c>
      <c r="P179" s="1848" t="str">
        <f t="shared" si="243"/>
        <v>Displaced BuP-related Direct</v>
      </c>
      <c r="Q179" s="1848" t="str">
        <f t="shared" si="251"/>
        <v>Displaced BuP-related Indirect</v>
      </c>
      <c r="R179" s="1848" t="str">
        <f t="shared" si="252"/>
        <v>Displaced BuP-related Induced</v>
      </c>
      <c r="S179" s="1848" t="str">
        <f t="shared" si="253"/>
        <v>Displaced BuP-related Supply Chain</v>
      </c>
      <c r="T179" s="1848" t="str">
        <f t="shared" si="254"/>
        <v>Displaced BuP-related Total</v>
      </c>
      <c r="U179" s="1848"/>
      <c r="V179" s="1848"/>
    </row>
    <row r="180" spans="3:22" s="1846" customFormat="1" x14ac:dyDescent="0.25">
      <c r="C180" s="1846">
        <f t="shared" ref="C180:H180" si="264">C72</f>
        <v>2015</v>
      </c>
      <c r="D180" s="1853" t="e">
        <f t="shared" si="264"/>
        <v>#N/A</v>
      </c>
      <c r="E180" s="1853" t="e">
        <f t="shared" si="264"/>
        <v>#N/A</v>
      </c>
      <c r="F180" s="1853" t="e">
        <f t="shared" si="264"/>
        <v>#N/A</v>
      </c>
      <c r="G180" s="1853" t="e">
        <f t="shared" si="264"/>
        <v>#N/A</v>
      </c>
      <c r="H180" s="1853" t="e">
        <f t="shared" si="264"/>
        <v>#N/A</v>
      </c>
      <c r="I180" s="1857">
        <f t="shared" si="245"/>
        <v>2015</v>
      </c>
      <c r="J180" s="1853" t="e">
        <f t="shared" si="242"/>
        <v>#N/A</v>
      </c>
      <c r="K180" s="1853" t="e">
        <f t="shared" si="246"/>
        <v>#N/A</v>
      </c>
      <c r="L180" s="1853" t="e">
        <f t="shared" si="247"/>
        <v>#N/A</v>
      </c>
      <c r="M180" s="1853" t="e">
        <f t="shared" si="248"/>
        <v>#N/A</v>
      </c>
      <c r="N180" s="1853" t="e">
        <f t="shared" si="249"/>
        <v>#N/A</v>
      </c>
      <c r="O180" s="1857">
        <f t="shared" si="250"/>
        <v>2015</v>
      </c>
      <c r="P180" s="1853" t="e">
        <f t="shared" si="243"/>
        <v>#N/A</v>
      </c>
      <c r="Q180" s="1853" t="e">
        <f t="shared" si="251"/>
        <v>#N/A</v>
      </c>
      <c r="R180" s="1853" t="e">
        <f t="shared" si="252"/>
        <v>#N/A</v>
      </c>
      <c r="S180" s="1853" t="e">
        <f t="shared" si="253"/>
        <v>#N/A</v>
      </c>
      <c r="T180" s="1853" t="e">
        <f t="shared" si="254"/>
        <v>#N/A</v>
      </c>
      <c r="U180" s="1848"/>
      <c r="V180" s="1848"/>
    </row>
    <row r="181" spans="3:22" s="1846" customFormat="1" x14ac:dyDescent="0.25">
      <c r="C181" s="1846">
        <f t="shared" ref="C181:H181" si="265">C73</f>
        <v>2016</v>
      </c>
      <c r="D181" s="1853" t="e">
        <f t="shared" si="265"/>
        <v>#N/A</v>
      </c>
      <c r="E181" s="1853" t="e">
        <f t="shared" si="265"/>
        <v>#N/A</v>
      </c>
      <c r="F181" s="1853" t="e">
        <f t="shared" si="265"/>
        <v>#N/A</v>
      </c>
      <c r="G181" s="1853" t="e">
        <f t="shared" si="265"/>
        <v>#N/A</v>
      </c>
      <c r="H181" s="1853" t="e">
        <f t="shared" si="265"/>
        <v>#N/A</v>
      </c>
      <c r="I181" s="1857">
        <f t="shared" si="245"/>
        <v>2016</v>
      </c>
      <c r="J181" s="1853" t="e">
        <f t="shared" si="242"/>
        <v>#N/A</v>
      </c>
      <c r="K181" s="1853" t="e">
        <f t="shared" si="246"/>
        <v>#N/A</v>
      </c>
      <c r="L181" s="1853" t="e">
        <f t="shared" si="247"/>
        <v>#N/A</v>
      </c>
      <c r="M181" s="1853" t="e">
        <f t="shared" si="248"/>
        <v>#N/A</v>
      </c>
      <c r="N181" s="1853" t="e">
        <f t="shared" si="249"/>
        <v>#N/A</v>
      </c>
      <c r="O181" s="1857">
        <f t="shared" si="250"/>
        <v>2016</v>
      </c>
      <c r="P181" s="1853" t="e">
        <f t="shared" si="243"/>
        <v>#N/A</v>
      </c>
      <c r="Q181" s="1853" t="e">
        <f t="shared" si="251"/>
        <v>#N/A</v>
      </c>
      <c r="R181" s="1853" t="e">
        <f t="shared" si="252"/>
        <v>#N/A</v>
      </c>
      <c r="S181" s="1853" t="e">
        <f t="shared" si="253"/>
        <v>#N/A</v>
      </c>
      <c r="T181" s="1853" t="e">
        <f t="shared" si="254"/>
        <v>#N/A</v>
      </c>
      <c r="U181" s="1848"/>
      <c r="V181" s="1848"/>
    </row>
    <row r="182" spans="3:22" s="1846" customFormat="1" x14ac:dyDescent="0.25">
      <c r="C182" s="1846">
        <f t="shared" ref="C182:H182" si="266">C74</f>
        <v>2017</v>
      </c>
      <c r="D182" s="1853" t="e">
        <f t="shared" si="266"/>
        <v>#N/A</v>
      </c>
      <c r="E182" s="1853" t="e">
        <f t="shared" si="266"/>
        <v>#N/A</v>
      </c>
      <c r="F182" s="1853" t="e">
        <f t="shared" si="266"/>
        <v>#N/A</v>
      </c>
      <c r="G182" s="1853" t="e">
        <f t="shared" si="266"/>
        <v>#N/A</v>
      </c>
      <c r="H182" s="1853" t="e">
        <f t="shared" si="266"/>
        <v>#N/A</v>
      </c>
      <c r="I182" s="1857">
        <f t="shared" si="245"/>
        <v>2017</v>
      </c>
      <c r="J182" s="1853" t="e">
        <f t="shared" si="242"/>
        <v>#N/A</v>
      </c>
      <c r="K182" s="1853" t="e">
        <f t="shared" si="246"/>
        <v>#N/A</v>
      </c>
      <c r="L182" s="1853" t="e">
        <f t="shared" si="247"/>
        <v>#N/A</v>
      </c>
      <c r="M182" s="1853" t="e">
        <f t="shared" si="248"/>
        <v>#N/A</v>
      </c>
      <c r="N182" s="1853" t="e">
        <f t="shared" si="249"/>
        <v>#N/A</v>
      </c>
      <c r="O182" s="1857">
        <f t="shared" si="250"/>
        <v>2017</v>
      </c>
      <c r="P182" s="1853" t="e">
        <f t="shared" si="243"/>
        <v>#N/A</v>
      </c>
      <c r="Q182" s="1853" t="e">
        <f t="shared" si="251"/>
        <v>#N/A</v>
      </c>
      <c r="R182" s="1853" t="e">
        <f t="shared" si="252"/>
        <v>#N/A</v>
      </c>
      <c r="S182" s="1853" t="e">
        <f t="shared" si="253"/>
        <v>#N/A</v>
      </c>
      <c r="T182" s="1853" t="e">
        <f t="shared" si="254"/>
        <v>#N/A</v>
      </c>
      <c r="U182" s="1848"/>
      <c r="V182" s="1848"/>
    </row>
    <row r="183" spans="3:22" s="1846" customFormat="1" x14ac:dyDescent="0.25">
      <c r="C183" s="1846">
        <f t="shared" ref="C183:H183" si="267">C75</f>
        <v>2018</v>
      </c>
      <c r="D183" s="1853" t="e">
        <f t="shared" si="267"/>
        <v>#N/A</v>
      </c>
      <c r="E183" s="1853" t="e">
        <f t="shared" si="267"/>
        <v>#N/A</v>
      </c>
      <c r="F183" s="1853" t="e">
        <f t="shared" si="267"/>
        <v>#N/A</v>
      </c>
      <c r="G183" s="1853" t="e">
        <f t="shared" si="267"/>
        <v>#N/A</v>
      </c>
      <c r="H183" s="1853" t="e">
        <f t="shared" si="267"/>
        <v>#N/A</v>
      </c>
      <c r="I183" s="1857">
        <f t="shared" si="245"/>
        <v>2018</v>
      </c>
      <c r="J183" s="1853" t="e">
        <f t="shared" si="242"/>
        <v>#N/A</v>
      </c>
      <c r="K183" s="1853" t="e">
        <f t="shared" si="246"/>
        <v>#N/A</v>
      </c>
      <c r="L183" s="1853" t="e">
        <f t="shared" si="247"/>
        <v>#N/A</v>
      </c>
      <c r="M183" s="1853" t="e">
        <f t="shared" si="248"/>
        <v>#N/A</v>
      </c>
      <c r="N183" s="1853" t="e">
        <f t="shared" si="249"/>
        <v>#N/A</v>
      </c>
      <c r="O183" s="1857">
        <f t="shared" si="250"/>
        <v>2018</v>
      </c>
      <c r="P183" s="1853" t="e">
        <f t="shared" si="243"/>
        <v>#N/A</v>
      </c>
      <c r="Q183" s="1853" t="e">
        <f t="shared" si="251"/>
        <v>#N/A</v>
      </c>
      <c r="R183" s="1853" t="e">
        <f t="shared" si="252"/>
        <v>#N/A</v>
      </c>
      <c r="S183" s="1853" t="e">
        <f t="shared" si="253"/>
        <v>#N/A</v>
      </c>
      <c r="T183" s="1853" t="e">
        <f t="shared" si="254"/>
        <v>#N/A</v>
      </c>
      <c r="U183" s="1848"/>
      <c r="V183" s="1848"/>
    </row>
    <row r="184" spans="3:22" s="1846" customFormat="1" x14ac:dyDescent="0.25">
      <c r="C184" s="1846">
        <f t="shared" ref="C184:H184" si="268">C76</f>
        <v>2019</v>
      </c>
      <c r="D184" s="1853" t="e">
        <f t="shared" si="268"/>
        <v>#N/A</v>
      </c>
      <c r="E184" s="1853" t="e">
        <f t="shared" si="268"/>
        <v>#N/A</v>
      </c>
      <c r="F184" s="1853" t="e">
        <f t="shared" si="268"/>
        <v>#N/A</v>
      </c>
      <c r="G184" s="1853" t="e">
        <f t="shared" si="268"/>
        <v>#N/A</v>
      </c>
      <c r="H184" s="1853" t="e">
        <f t="shared" si="268"/>
        <v>#N/A</v>
      </c>
      <c r="I184" s="1857">
        <f t="shared" si="245"/>
        <v>2019</v>
      </c>
      <c r="J184" s="1853" t="e">
        <f t="shared" si="242"/>
        <v>#N/A</v>
      </c>
      <c r="K184" s="1853" t="e">
        <f t="shared" si="246"/>
        <v>#N/A</v>
      </c>
      <c r="L184" s="1853" t="e">
        <f t="shared" si="247"/>
        <v>#N/A</v>
      </c>
      <c r="M184" s="1853" t="e">
        <f t="shared" si="248"/>
        <v>#N/A</v>
      </c>
      <c r="N184" s="1853" t="e">
        <f t="shared" si="249"/>
        <v>#N/A</v>
      </c>
      <c r="O184" s="1857">
        <f t="shared" si="250"/>
        <v>2019</v>
      </c>
      <c r="P184" s="1853" t="e">
        <f t="shared" si="243"/>
        <v>#N/A</v>
      </c>
      <c r="Q184" s="1853" t="e">
        <f t="shared" si="251"/>
        <v>#N/A</v>
      </c>
      <c r="R184" s="1853" t="e">
        <f t="shared" si="252"/>
        <v>#N/A</v>
      </c>
      <c r="S184" s="1853" t="e">
        <f t="shared" si="253"/>
        <v>#N/A</v>
      </c>
      <c r="T184" s="1853" t="e">
        <f t="shared" si="254"/>
        <v>#N/A</v>
      </c>
      <c r="U184" s="1848"/>
      <c r="V184" s="1848"/>
    </row>
    <row r="185" spans="3:22" s="1846" customFormat="1" x14ac:dyDescent="0.25">
      <c r="C185" s="1846">
        <f t="shared" ref="C185:H185" si="269">C77</f>
        <v>2020</v>
      </c>
      <c r="D185" s="1853" t="e">
        <f t="shared" si="269"/>
        <v>#N/A</v>
      </c>
      <c r="E185" s="1853" t="e">
        <f t="shared" si="269"/>
        <v>#N/A</v>
      </c>
      <c r="F185" s="1853" t="e">
        <f t="shared" si="269"/>
        <v>#N/A</v>
      </c>
      <c r="G185" s="1853" t="e">
        <f t="shared" si="269"/>
        <v>#N/A</v>
      </c>
      <c r="H185" s="1853" t="e">
        <f t="shared" si="269"/>
        <v>#N/A</v>
      </c>
      <c r="I185" s="1857">
        <f t="shared" si="245"/>
        <v>2020</v>
      </c>
      <c r="J185" s="1853" t="e">
        <f t="shared" si="242"/>
        <v>#N/A</v>
      </c>
      <c r="K185" s="1853" t="e">
        <f t="shared" si="246"/>
        <v>#N/A</v>
      </c>
      <c r="L185" s="1853" t="e">
        <f t="shared" si="247"/>
        <v>#N/A</v>
      </c>
      <c r="M185" s="1853" t="e">
        <f t="shared" si="248"/>
        <v>#N/A</v>
      </c>
      <c r="N185" s="1853" t="e">
        <f t="shared" si="249"/>
        <v>#N/A</v>
      </c>
      <c r="O185" s="1857">
        <f t="shared" si="250"/>
        <v>2020</v>
      </c>
      <c r="P185" s="1853" t="e">
        <f t="shared" si="243"/>
        <v>#N/A</v>
      </c>
      <c r="Q185" s="1853" t="e">
        <f t="shared" si="251"/>
        <v>#N/A</v>
      </c>
      <c r="R185" s="1853" t="e">
        <f t="shared" si="252"/>
        <v>#N/A</v>
      </c>
      <c r="S185" s="1853" t="e">
        <f t="shared" si="253"/>
        <v>#N/A</v>
      </c>
      <c r="T185" s="1853" t="e">
        <f t="shared" si="254"/>
        <v>#N/A</v>
      </c>
      <c r="U185" s="1848"/>
      <c r="V185" s="1848"/>
    </row>
    <row r="186" spans="3:22" s="1846" customFormat="1" x14ac:dyDescent="0.25">
      <c r="I186" s="1857"/>
      <c r="J186" s="1848"/>
      <c r="K186" s="1848"/>
      <c r="L186" s="1848"/>
      <c r="M186" s="1848"/>
      <c r="N186" s="1848"/>
      <c r="O186" s="1857"/>
      <c r="P186" s="1853"/>
      <c r="Q186" s="1853"/>
      <c r="R186" s="1853"/>
      <c r="S186" s="1853"/>
      <c r="T186" s="1853"/>
      <c r="U186" s="1848"/>
      <c r="V186" s="1848"/>
    </row>
    <row r="187" spans="3:22" s="1846" customFormat="1" x14ac:dyDescent="0.25">
      <c r="D187" s="1846" t="str">
        <f t="shared" ref="D187" si="270">D79</f>
        <v>Total (Manufacturing, Installation, Fuel, and Maintenance)</v>
      </c>
      <c r="I187" s="1857"/>
      <c r="J187" s="1848" t="str">
        <f t="shared" si="242"/>
        <v>Total (Manufacturing, Installation, Fuel, and Maintenance)</v>
      </c>
      <c r="K187" s="1848"/>
      <c r="L187" s="1848"/>
      <c r="M187" s="1848"/>
      <c r="N187" s="1848"/>
      <c r="O187" s="1857"/>
      <c r="P187" s="1848" t="str">
        <f t="shared" si="243"/>
        <v>Total (Manufacturing, Installation, Fuel, and Maintenance)</v>
      </c>
      <c r="Q187" s="1848"/>
      <c r="R187" s="1848"/>
      <c r="S187" s="1848"/>
      <c r="T187" s="1848"/>
      <c r="U187" s="1848"/>
      <c r="V187" s="1848"/>
    </row>
    <row r="188" spans="3:22" s="1846" customFormat="1" x14ac:dyDescent="0.25">
      <c r="D188" s="1846" t="str">
        <f t="shared" ref="D188" si="271">D80</f>
        <v>Gross Backup Power Fuel Cell Output (Thousands of 2010$)</v>
      </c>
      <c r="I188" s="1857"/>
      <c r="J188" s="1848" t="str">
        <f t="shared" si="242"/>
        <v>Gross Backup Power Fuel Cell Output (Thousands of 2010$)</v>
      </c>
      <c r="K188" s="1848"/>
      <c r="L188" s="1848"/>
      <c r="M188" s="1848"/>
      <c r="N188" s="1848"/>
      <c r="O188" s="1857"/>
      <c r="P188" s="1848" t="str">
        <f t="shared" si="243"/>
        <v>Displaced Domestic Alternative Backup Power-related Output (Thousands of 2010$)</v>
      </c>
      <c r="Q188" s="1848"/>
      <c r="R188" s="1848"/>
      <c r="S188" s="1848"/>
      <c r="T188" s="1848"/>
      <c r="U188" s="1848"/>
      <c r="V188" s="1848"/>
    </row>
    <row r="189" spans="3:22" s="1846" customFormat="1" x14ac:dyDescent="0.25">
      <c r="C189" s="1846" t="str">
        <f t="shared" ref="C189:H189" si="272">C81</f>
        <v>Year</v>
      </c>
      <c r="D189" s="1846" t="str">
        <f t="shared" si="272"/>
        <v>Gross BuP FC-related Direct</v>
      </c>
      <c r="E189" s="1846" t="str">
        <f t="shared" si="272"/>
        <v>Gross BuP FC-related Indirect</v>
      </c>
      <c r="F189" s="1846" t="str">
        <f t="shared" si="272"/>
        <v>Gross BuP FC-related Induced</v>
      </c>
      <c r="G189" s="1846" t="str">
        <f t="shared" si="272"/>
        <v>Gross BuP FC-related Supply Chain</v>
      </c>
      <c r="H189" s="1846" t="str">
        <f t="shared" si="272"/>
        <v>Gross BuP FC-related Total</v>
      </c>
      <c r="I189" s="1857" t="str">
        <f t="shared" si="245"/>
        <v>Year</v>
      </c>
      <c r="J189" s="1848" t="str">
        <f t="shared" si="242"/>
        <v>Gross BuP FC-related Direct</v>
      </c>
      <c r="K189" s="1848" t="str">
        <f t="shared" si="246"/>
        <v>Gross BuP FC-related Indirect</v>
      </c>
      <c r="L189" s="1848" t="str">
        <f t="shared" si="247"/>
        <v>Gross BuP FC-related Induced</v>
      </c>
      <c r="M189" s="1848" t="str">
        <f t="shared" si="248"/>
        <v>Gross BuP FC-related Supply Chain</v>
      </c>
      <c r="N189" s="1848" t="str">
        <f t="shared" si="249"/>
        <v>Gross BuP FC-related Total</v>
      </c>
      <c r="O189" s="1857" t="str">
        <f t="shared" si="250"/>
        <v>Year</v>
      </c>
      <c r="P189" s="1848" t="str">
        <f t="shared" si="243"/>
        <v>Displaced BuP-related Direct</v>
      </c>
      <c r="Q189" s="1848" t="str">
        <f t="shared" si="251"/>
        <v>Displaced BuP-related Indirect</v>
      </c>
      <c r="R189" s="1848" t="str">
        <f t="shared" si="252"/>
        <v>Displaced BuP-related Induced</v>
      </c>
      <c r="S189" s="1848" t="str">
        <f t="shared" si="253"/>
        <v>Displaced BuP-related Supply Chain</v>
      </c>
      <c r="T189" s="1848" t="str">
        <f t="shared" si="254"/>
        <v>Displaced BuP-related Total</v>
      </c>
      <c r="U189" s="1848"/>
      <c r="V189" s="1848"/>
    </row>
    <row r="190" spans="3:22" s="1846" customFormat="1" x14ac:dyDescent="0.25">
      <c r="C190" s="1846">
        <f t="shared" ref="C190:H190" si="273">C82</f>
        <v>2015</v>
      </c>
      <c r="D190" s="1853" t="e">
        <f t="shared" si="273"/>
        <v>#N/A</v>
      </c>
      <c r="E190" s="1853" t="e">
        <f t="shared" si="273"/>
        <v>#N/A</v>
      </c>
      <c r="F190" s="1853" t="e">
        <f t="shared" si="273"/>
        <v>#N/A</v>
      </c>
      <c r="G190" s="1853" t="e">
        <f t="shared" si="273"/>
        <v>#N/A</v>
      </c>
      <c r="H190" s="1853" t="e">
        <f t="shared" si="273"/>
        <v>#N/A</v>
      </c>
      <c r="I190" s="1857">
        <f t="shared" si="245"/>
        <v>2015</v>
      </c>
      <c r="J190" s="1853" t="e">
        <f t="shared" si="242"/>
        <v>#N/A</v>
      </c>
      <c r="K190" s="1853" t="e">
        <f t="shared" si="246"/>
        <v>#N/A</v>
      </c>
      <c r="L190" s="1853" t="e">
        <f t="shared" si="247"/>
        <v>#N/A</v>
      </c>
      <c r="M190" s="1853" t="e">
        <f t="shared" si="248"/>
        <v>#N/A</v>
      </c>
      <c r="N190" s="1853" t="e">
        <f t="shared" si="249"/>
        <v>#N/A</v>
      </c>
      <c r="O190" s="1857">
        <f t="shared" si="250"/>
        <v>2015</v>
      </c>
      <c r="P190" s="1853" t="e">
        <f t="shared" si="243"/>
        <v>#N/A</v>
      </c>
      <c r="Q190" s="1853" t="e">
        <f t="shared" si="251"/>
        <v>#N/A</v>
      </c>
      <c r="R190" s="1853" t="e">
        <f t="shared" si="252"/>
        <v>#N/A</v>
      </c>
      <c r="S190" s="1853" t="e">
        <f t="shared" si="253"/>
        <v>#N/A</v>
      </c>
      <c r="T190" s="1853" t="e">
        <f t="shared" si="254"/>
        <v>#N/A</v>
      </c>
      <c r="U190" s="1848"/>
      <c r="V190" s="1848"/>
    </row>
    <row r="191" spans="3:22" s="1846" customFormat="1" x14ac:dyDescent="0.25">
      <c r="C191" s="1846">
        <f t="shared" ref="C191:H191" si="274">C83</f>
        <v>2016</v>
      </c>
      <c r="D191" s="1853" t="e">
        <f t="shared" si="274"/>
        <v>#N/A</v>
      </c>
      <c r="E191" s="1853" t="e">
        <f t="shared" si="274"/>
        <v>#N/A</v>
      </c>
      <c r="F191" s="1853" t="e">
        <f t="shared" si="274"/>
        <v>#N/A</v>
      </c>
      <c r="G191" s="1853" t="e">
        <f t="shared" si="274"/>
        <v>#N/A</v>
      </c>
      <c r="H191" s="1853" t="e">
        <f t="shared" si="274"/>
        <v>#N/A</v>
      </c>
      <c r="I191" s="1857">
        <f t="shared" si="245"/>
        <v>2016</v>
      </c>
      <c r="J191" s="1853" t="e">
        <f t="shared" si="242"/>
        <v>#N/A</v>
      </c>
      <c r="K191" s="1853" t="e">
        <f t="shared" si="246"/>
        <v>#N/A</v>
      </c>
      <c r="L191" s="1853" t="e">
        <f t="shared" si="247"/>
        <v>#N/A</v>
      </c>
      <c r="M191" s="1853" t="e">
        <f t="shared" si="248"/>
        <v>#N/A</v>
      </c>
      <c r="N191" s="1853" t="e">
        <f t="shared" si="249"/>
        <v>#N/A</v>
      </c>
      <c r="O191" s="1857">
        <f t="shared" si="250"/>
        <v>2016</v>
      </c>
      <c r="P191" s="1853" t="e">
        <f t="shared" si="243"/>
        <v>#N/A</v>
      </c>
      <c r="Q191" s="1853" t="e">
        <f t="shared" si="251"/>
        <v>#N/A</v>
      </c>
      <c r="R191" s="1853" t="e">
        <f t="shared" si="252"/>
        <v>#N/A</v>
      </c>
      <c r="S191" s="1853" t="e">
        <f t="shared" si="253"/>
        <v>#N/A</v>
      </c>
      <c r="T191" s="1853" t="e">
        <f t="shared" si="254"/>
        <v>#N/A</v>
      </c>
      <c r="U191" s="1848"/>
      <c r="V191" s="1848"/>
    </row>
    <row r="192" spans="3:22" s="1846" customFormat="1" x14ac:dyDescent="0.25">
      <c r="C192" s="1846">
        <f t="shared" ref="C192:H192" si="275">C84</f>
        <v>2017</v>
      </c>
      <c r="D192" s="1853" t="e">
        <f t="shared" si="275"/>
        <v>#N/A</v>
      </c>
      <c r="E192" s="1853" t="e">
        <f t="shared" si="275"/>
        <v>#N/A</v>
      </c>
      <c r="F192" s="1853" t="e">
        <f t="shared" si="275"/>
        <v>#N/A</v>
      </c>
      <c r="G192" s="1853" t="e">
        <f t="shared" si="275"/>
        <v>#N/A</v>
      </c>
      <c r="H192" s="1853" t="e">
        <f t="shared" si="275"/>
        <v>#N/A</v>
      </c>
      <c r="I192" s="1857">
        <f t="shared" si="245"/>
        <v>2017</v>
      </c>
      <c r="J192" s="1853" t="e">
        <f t="shared" si="242"/>
        <v>#N/A</v>
      </c>
      <c r="K192" s="1853" t="e">
        <f t="shared" si="246"/>
        <v>#N/A</v>
      </c>
      <c r="L192" s="1853" t="e">
        <f t="shared" si="247"/>
        <v>#N/A</v>
      </c>
      <c r="M192" s="1853" t="e">
        <f t="shared" si="248"/>
        <v>#N/A</v>
      </c>
      <c r="N192" s="1853" t="e">
        <f t="shared" si="249"/>
        <v>#N/A</v>
      </c>
      <c r="O192" s="1857">
        <f t="shared" si="250"/>
        <v>2017</v>
      </c>
      <c r="P192" s="1853" t="e">
        <f t="shared" si="243"/>
        <v>#N/A</v>
      </c>
      <c r="Q192" s="1853" t="e">
        <f t="shared" si="251"/>
        <v>#N/A</v>
      </c>
      <c r="R192" s="1853" t="e">
        <f t="shared" si="252"/>
        <v>#N/A</v>
      </c>
      <c r="S192" s="1853" t="e">
        <f t="shared" si="253"/>
        <v>#N/A</v>
      </c>
      <c r="T192" s="1853" t="e">
        <f t="shared" si="254"/>
        <v>#N/A</v>
      </c>
      <c r="U192" s="1848"/>
      <c r="V192" s="1848"/>
    </row>
    <row r="193" spans="3:22" s="1846" customFormat="1" x14ac:dyDescent="0.25">
      <c r="C193" s="1846">
        <f t="shared" ref="C193:H193" si="276">C85</f>
        <v>2018</v>
      </c>
      <c r="D193" s="1853" t="e">
        <f t="shared" si="276"/>
        <v>#N/A</v>
      </c>
      <c r="E193" s="1853" t="e">
        <f t="shared" si="276"/>
        <v>#N/A</v>
      </c>
      <c r="F193" s="1853" t="e">
        <f t="shared" si="276"/>
        <v>#N/A</v>
      </c>
      <c r="G193" s="1853" t="e">
        <f t="shared" si="276"/>
        <v>#N/A</v>
      </c>
      <c r="H193" s="1853" t="e">
        <f t="shared" si="276"/>
        <v>#N/A</v>
      </c>
      <c r="I193" s="1857">
        <f t="shared" si="245"/>
        <v>2018</v>
      </c>
      <c r="J193" s="1853" t="e">
        <f t="shared" si="242"/>
        <v>#N/A</v>
      </c>
      <c r="K193" s="1853" t="e">
        <f t="shared" si="246"/>
        <v>#N/A</v>
      </c>
      <c r="L193" s="1853" t="e">
        <f t="shared" si="247"/>
        <v>#N/A</v>
      </c>
      <c r="M193" s="1853" t="e">
        <f t="shared" si="248"/>
        <v>#N/A</v>
      </c>
      <c r="N193" s="1853" t="e">
        <f t="shared" si="249"/>
        <v>#N/A</v>
      </c>
      <c r="O193" s="1857">
        <f t="shared" si="250"/>
        <v>2018</v>
      </c>
      <c r="P193" s="1853" t="e">
        <f t="shared" si="243"/>
        <v>#N/A</v>
      </c>
      <c r="Q193" s="1853" t="e">
        <f t="shared" si="251"/>
        <v>#N/A</v>
      </c>
      <c r="R193" s="1853" t="e">
        <f t="shared" si="252"/>
        <v>#N/A</v>
      </c>
      <c r="S193" s="1853" t="e">
        <f t="shared" si="253"/>
        <v>#N/A</v>
      </c>
      <c r="T193" s="1853" t="e">
        <f t="shared" si="254"/>
        <v>#N/A</v>
      </c>
      <c r="U193" s="1848"/>
      <c r="V193" s="1848"/>
    </row>
    <row r="194" spans="3:22" s="1846" customFormat="1" x14ac:dyDescent="0.25">
      <c r="C194" s="1846">
        <f t="shared" ref="C194:H194" si="277">C86</f>
        <v>2019</v>
      </c>
      <c r="D194" s="1853" t="e">
        <f t="shared" si="277"/>
        <v>#N/A</v>
      </c>
      <c r="E194" s="1853" t="e">
        <f t="shared" si="277"/>
        <v>#N/A</v>
      </c>
      <c r="F194" s="1853" t="e">
        <f t="shared" si="277"/>
        <v>#N/A</v>
      </c>
      <c r="G194" s="1853" t="e">
        <f t="shared" si="277"/>
        <v>#N/A</v>
      </c>
      <c r="H194" s="1853" t="e">
        <f t="shared" si="277"/>
        <v>#N/A</v>
      </c>
      <c r="I194" s="1857">
        <f t="shared" si="245"/>
        <v>2019</v>
      </c>
      <c r="J194" s="1853" t="e">
        <f t="shared" si="242"/>
        <v>#N/A</v>
      </c>
      <c r="K194" s="1853" t="e">
        <f t="shared" si="246"/>
        <v>#N/A</v>
      </c>
      <c r="L194" s="1853" t="e">
        <f t="shared" si="247"/>
        <v>#N/A</v>
      </c>
      <c r="M194" s="1853" t="e">
        <f t="shared" si="248"/>
        <v>#N/A</v>
      </c>
      <c r="N194" s="1853" t="e">
        <f t="shared" si="249"/>
        <v>#N/A</v>
      </c>
      <c r="O194" s="1857">
        <f t="shared" si="250"/>
        <v>2019</v>
      </c>
      <c r="P194" s="1853" t="e">
        <f t="shared" si="243"/>
        <v>#N/A</v>
      </c>
      <c r="Q194" s="1853" t="e">
        <f t="shared" si="251"/>
        <v>#N/A</v>
      </c>
      <c r="R194" s="1853" t="e">
        <f t="shared" si="252"/>
        <v>#N/A</v>
      </c>
      <c r="S194" s="1853" t="e">
        <f t="shared" si="253"/>
        <v>#N/A</v>
      </c>
      <c r="T194" s="1853" t="e">
        <f t="shared" si="254"/>
        <v>#N/A</v>
      </c>
      <c r="U194" s="1848"/>
      <c r="V194" s="1848"/>
    </row>
    <row r="195" spans="3:22" s="1846" customFormat="1" x14ac:dyDescent="0.25">
      <c r="C195" s="1846">
        <f t="shared" ref="C195:H195" si="278">C87</f>
        <v>2020</v>
      </c>
      <c r="D195" s="1853" t="e">
        <f t="shared" si="278"/>
        <v>#N/A</v>
      </c>
      <c r="E195" s="1853" t="e">
        <f t="shared" si="278"/>
        <v>#N/A</v>
      </c>
      <c r="F195" s="1853" t="e">
        <f t="shared" si="278"/>
        <v>#N/A</v>
      </c>
      <c r="G195" s="1853" t="e">
        <f t="shared" si="278"/>
        <v>#N/A</v>
      </c>
      <c r="H195" s="1853" t="e">
        <f t="shared" si="278"/>
        <v>#N/A</v>
      </c>
      <c r="I195" s="1857">
        <f t="shared" si="245"/>
        <v>2020</v>
      </c>
      <c r="J195" s="1853" t="e">
        <f t="shared" si="242"/>
        <v>#N/A</v>
      </c>
      <c r="K195" s="1853" t="e">
        <f t="shared" si="246"/>
        <v>#N/A</v>
      </c>
      <c r="L195" s="1853" t="e">
        <f t="shared" si="247"/>
        <v>#N/A</v>
      </c>
      <c r="M195" s="1853" t="e">
        <f t="shared" si="248"/>
        <v>#N/A</v>
      </c>
      <c r="N195" s="1853" t="e">
        <f t="shared" si="249"/>
        <v>#N/A</v>
      </c>
      <c r="O195" s="1857">
        <f t="shared" si="250"/>
        <v>2020</v>
      </c>
      <c r="P195" s="1853" t="e">
        <f t="shared" si="243"/>
        <v>#N/A</v>
      </c>
      <c r="Q195" s="1853" t="e">
        <f t="shared" si="251"/>
        <v>#N/A</v>
      </c>
      <c r="R195" s="1853" t="e">
        <f t="shared" si="252"/>
        <v>#N/A</v>
      </c>
      <c r="S195" s="1853" t="e">
        <f t="shared" si="253"/>
        <v>#N/A</v>
      </c>
      <c r="T195" s="1853" t="e">
        <f t="shared" si="254"/>
        <v>#N/A</v>
      </c>
      <c r="U195" s="1848"/>
      <c r="V195" s="1848"/>
    </row>
    <row r="196" spans="3:22" x14ac:dyDescent="0.25">
      <c r="C196" s="1612"/>
      <c r="D196" s="1612"/>
      <c r="E196" s="1612"/>
      <c r="F196" s="1612"/>
      <c r="G196" s="1612"/>
      <c r="H196" s="1612"/>
    </row>
    <row r="197" spans="3:22" x14ac:dyDescent="0.25">
      <c r="C197" s="1612"/>
      <c r="D197" s="1612"/>
      <c r="E197" s="1612"/>
      <c r="F197" s="1612"/>
      <c r="G197" s="1612"/>
      <c r="H197" s="1612"/>
    </row>
  </sheetData>
  <sheetProtection password="C411" sheet="1" objects="1" scenarios="1"/>
  <mergeCells count="25">
    <mergeCell ref="B48:B54"/>
    <mergeCell ref="B4:E4"/>
    <mergeCell ref="B37:B38"/>
    <mergeCell ref="B32:B36"/>
    <mergeCell ref="B16:F16"/>
    <mergeCell ref="B40:B46"/>
    <mergeCell ref="B19:K19"/>
    <mergeCell ref="G11:K11"/>
    <mergeCell ref="I28:K28"/>
    <mergeCell ref="I24:K26"/>
    <mergeCell ref="I27:K27"/>
    <mergeCell ref="B3:K3"/>
    <mergeCell ref="G12:K16"/>
    <mergeCell ref="H4:I4"/>
    <mergeCell ref="J4:K4"/>
    <mergeCell ref="B1:K1"/>
    <mergeCell ref="B112:B120"/>
    <mergeCell ref="B125:B133"/>
    <mergeCell ref="B135:B143"/>
    <mergeCell ref="B145:B153"/>
    <mergeCell ref="B59:B67"/>
    <mergeCell ref="B69:B77"/>
    <mergeCell ref="B79:B87"/>
    <mergeCell ref="B92:B100"/>
    <mergeCell ref="B102:B110"/>
  </mergeCells>
  <pageMargins left="0.7" right="0.7"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648897" r:id="rId4" name="Button 1">
              <controlPr defaultSize="0" print="0" autoFill="0" autoPict="0" macro="[0]!Backup_charts">
                <anchor moveWithCells="1">
                  <from>
                    <xdr:col>4</xdr:col>
                    <xdr:colOff>523875</xdr:colOff>
                    <xdr:row>1</xdr:row>
                    <xdr:rowOff>247650</xdr:rowOff>
                  </from>
                  <to>
                    <xdr:col>6</xdr:col>
                    <xdr:colOff>666750</xdr:colOff>
                    <xdr:row>1</xdr:row>
                    <xdr:rowOff>533400</xdr:rowOff>
                  </to>
                </anchor>
              </controlPr>
            </control>
          </mc:Choice>
        </mc:AlternateContent>
        <mc:AlternateContent xmlns:mc="http://schemas.openxmlformats.org/markup-compatibility/2006">
          <mc:Choice Requires="x14">
            <control shapeId="13648898" r:id="rId5" name="Button 2">
              <controlPr defaultSize="0" print="0" autoFill="0" autoPict="0" macro="[0]!Backup_inputs">
                <anchor moveWithCells="1">
                  <from>
                    <xdr:col>1</xdr:col>
                    <xdr:colOff>114300</xdr:colOff>
                    <xdr:row>1</xdr:row>
                    <xdr:rowOff>257175</xdr:rowOff>
                  </from>
                  <to>
                    <xdr:col>3</xdr:col>
                    <xdr:colOff>180975</xdr:colOff>
                    <xdr:row>1</xdr:row>
                    <xdr:rowOff>523875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BAF3FE"/>
  </sheetPr>
  <dimension ref="A1:AK359"/>
  <sheetViews>
    <sheetView zoomScale="90" zoomScaleNormal="90" workbookViewId="0">
      <selection activeCell="B1" sqref="B1:J1"/>
    </sheetView>
  </sheetViews>
  <sheetFormatPr defaultColWidth="9.140625" defaultRowHeight="15.75" x14ac:dyDescent="0.25"/>
  <cols>
    <col min="1" max="1" width="1.42578125" style="1063" customWidth="1"/>
    <col min="2" max="2" width="15.7109375" style="1026" customWidth="1"/>
    <col min="3" max="3" width="18.5703125" style="1026" customWidth="1"/>
    <col min="4" max="4" width="22.28515625" style="1026" customWidth="1"/>
    <col min="5" max="5" width="24.28515625" style="1026" customWidth="1"/>
    <col min="6" max="6" width="22.85546875" style="1026" customWidth="1"/>
    <col min="7" max="7" width="21.42578125" style="1026" customWidth="1"/>
    <col min="8" max="8" width="24.140625" style="1026" customWidth="1"/>
    <col min="9" max="9" width="23" style="1026" customWidth="1"/>
    <col min="10" max="10" width="21.42578125" style="1026" customWidth="1"/>
    <col min="11" max="11" width="20.5703125" style="1026" bestFit="1" customWidth="1"/>
    <col min="12" max="12" width="22.7109375" style="1026" bestFit="1" customWidth="1"/>
    <col min="13" max="13" width="23.140625" style="1026" bestFit="1" customWidth="1"/>
    <col min="14" max="14" width="16.140625" style="1026" bestFit="1" customWidth="1"/>
    <col min="15" max="15" width="18.7109375" style="1026" bestFit="1" customWidth="1"/>
    <col min="16" max="16" width="19.5703125" style="1026" bestFit="1" customWidth="1"/>
    <col min="17" max="17" width="18.42578125" style="1026" bestFit="1" customWidth="1"/>
    <col min="18" max="18" width="20" style="1026" bestFit="1" customWidth="1"/>
    <col min="19" max="19" width="20.42578125" style="1026" bestFit="1" customWidth="1"/>
    <col min="20" max="20" width="14" style="1026" bestFit="1" customWidth="1"/>
    <col min="21" max="21" width="16.42578125" style="1026" bestFit="1" customWidth="1"/>
    <col min="22" max="22" width="17.42578125" style="1026" bestFit="1" customWidth="1"/>
    <col min="23" max="23" width="16.140625" style="1026" bestFit="1" customWidth="1"/>
    <col min="24" max="24" width="17.85546875" style="1026" bestFit="1" customWidth="1"/>
    <col min="25" max="25" width="18.28515625" style="1026" bestFit="1" customWidth="1"/>
    <col min="26" max="16384" width="9.140625" style="1026"/>
  </cols>
  <sheetData>
    <row r="1" spans="1:16" ht="34.5" customHeight="1" x14ac:dyDescent="0.25">
      <c r="A1" s="1023"/>
      <c r="B1" s="2584" t="s">
        <v>1688</v>
      </c>
      <c r="C1" s="2585"/>
      <c r="D1" s="2585"/>
      <c r="E1" s="2585"/>
      <c r="F1" s="2585"/>
      <c r="G1" s="2585"/>
      <c r="H1" s="2585"/>
      <c r="I1" s="2585"/>
      <c r="J1" s="2586"/>
      <c r="K1" s="1024"/>
      <c r="L1" s="1024"/>
      <c r="M1" s="1024"/>
      <c r="N1" s="1024"/>
      <c r="O1" s="1024"/>
      <c r="P1" s="1025"/>
    </row>
    <row r="2" spans="1:16" s="1031" customFormat="1" ht="36.75" customHeight="1" x14ac:dyDescent="0.25">
      <c r="A2" s="1027"/>
      <c r="B2" s="1028"/>
      <c r="C2" s="1029"/>
      <c r="D2" s="1029"/>
      <c r="E2" s="1029"/>
      <c r="F2" s="1029"/>
      <c r="G2" s="1029"/>
      <c r="H2" s="1029"/>
      <c r="I2" s="1029"/>
      <c r="J2" s="1030"/>
      <c r="K2" s="1029"/>
      <c r="L2" s="1029"/>
      <c r="M2" s="1029"/>
      <c r="N2" s="1029"/>
      <c r="O2" s="1029"/>
      <c r="P2" s="1029"/>
    </row>
    <row r="3" spans="1:16" ht="33" customHeight="1" x14ac:dyDescent="0.25">
      <c r="A3" s="1027"/>
      <c r="B3" s="2063" t="s">
        <v>422</v>
      </c>
      <c r="C3" s="2064"/>
      <c r="D3" s="2064"/>
      <c r="E3" s="2064"/>
      <c r="F3" s="2064"/>
      <c r="G3" s="2064"/>
      <c r="H3" s="2064"/>
      <c r="I3" s="2064"/>
      <c r="J3" s="2065"/>
      <c r="K3" s="1029"/>
      <c r="L3" s="1029"/>
      <c r="M3" s="1029"/>
      <c r="N3" s="1029"/>
      <c r="O3" s="1029"/>
      <c r="P3" s="1032"/>
    </row>
    <row r="4" spans="1:16" s="1035" customFormat="1" x14ac:dyDescent="0.25">
      <c r="A4" s="1027"/>
      <c r="B4" s="1033"/>
      <c r="C4" s="1031"/>
      <c r="D4" s="1031"/>
      <c r="E4" s="1031"/>
      <c r="F4" s="1031"/>
      <c r="G4" s="1031"/>
      <c r="H4" s="1031"/>
      <c r="I4" s="1031"/>
      <c r="J4" s="1034"/>
      <c r="K4" s="1029"/>
      <c r="L4" s="1029"/>
      <c r="M4" s="1029"/>
      <c r="N4" s="1029"/>
      <c r="O4" s="1029"/>
      <c r="P4" s="1029"/>
    </row>
    <row r="5" spans="1:16" ht="18.75" x14ac:dyDescent="0.3">
      <c r="A5" s="1027"/>
      <c r="B5" s="2604" t="s">
        <v>2030</v>
      </c>
      <c r="C5" s="2605"/>
      <c r="D5" s="2605"/>
      <c r="E5" s="2605"/>
      <c r="F5" s="2605"/>
      <c r="G5" s="2605"/>
      <c r="H5" s="2605"/>
      <c r="I5" s="2605"/>
      <c r="J5" s="2606"/>
      <c r="K5" s="1029"/>
      <c r="L5" s="1029"/>
      <c r="M5" s="1029"/>
      <c r="N5" s="1029"/>
      <c r="O5" s="1029"/>
      <c r="P5" s="1032"/>
    </row>
    <row r="6" spans="1:16" ht="16.5" x14ac:dyDescent="0.25">
      <c r="A6" s="1027"/>
      <c r="B6" s="2607" t="s">
        <v>1507</v>
      </c>
      <c r="C6" s="2608"/>
      <c r="D6" s="2609"/>
      <c r="E6" s="2613" t="str">
        <f>Please</f>
        <v>&lt;Please select&gt;</v>
      </c>
      <c r="F6" s="2614"/>
      <c r="G6" s="1036"/>
      <c r="H6" s="1037"/>
      <c r="I6" s="1037"/>
      <c r="J6" s="1038"/>
      <c r="K6" s="1029"/>
      <c r="L6" s="1029"/>
      <c r="M6" s="1029"/>
      <c r="N6" s="1029"/>
      <c r="O6" s="1029"/>
      <c r="P6" s="1032"/>
    </row>
    <row r="7" spans="1:16" ht="16.5" x14ac:dyDescent="0.25">
      <c r="A7" s="1027"/>
      <c r="B7" s="2703" t="s">
        <v>1508</v>
      </c>
      <c r="C7" s="2704"/>
      <c r="D7" s="2705"/>
      <c r="E7" s="2602" t="str">
        <f>Please</f>
        <v>&lt;Please select&gt;</v>
      </c>
      <c r="F7" s="2603"/>
      <c r="G7" s="1172" t="str">
        <f>'Backup INPUTS'!G7</f>
        <v>Gross analysis available for all regions.  Net analysis available only for national analysis.</v>
      </c>
      <c r="H7" s="1039"/>
      <c r="I7" s="1039"/>
      <c r="J7" s="1040"/>
      <c r="K7" s="1029"/>
      <c r="L7" s="1029"/>
      <c r="M7" s="1029"/>
      <c r="N7" s="1029"/>
      <c r="O7" s="1029"/>
      <c r="P7" s="1032"/>
    </row>
    <row r="8" spans="1:16" ht="16.5" x14ac:dyDescent="0.25">
      <c r="A8" s="1027"/>
      <c r="B8" s="2610" t="s">
        <v>1887</v>
      </c>
      <c r="C8" s="2611"/>
      <c r="D8" s="2612"/>
      <c r="E8" s="2615" t="str">
        <f>Please</f>
        <v>&lt;Please select&gt;</v>
      </c>
      <c r="F8" s="2616"/>
      <c r="G8" s="1172" t="s">
        <v>1695</v>
      </c>
      <c r="H8" s="1039"/>
      <c r="I8" s="1039"/>
      <c r="J8" s="1040"/>
      <c r="K8" s="1029"/>
      <c r="L8" s="1029"/>
      <c r="M8" s="1029"/>
      <c r="N8" s="1029"/>
      <c r="O8" s="1029"/>
      <c r="P8" s="1032"/>
    </row>
    <row r="9" spans="1:16" s="1035" customFormat="1" x14ac:dyDescent="0.25">
      <c r="A9" s="1027"/>
      <c r="B9" s="1041"/>
      <c r="J9" s="1042"/>
      <c r="K9" s="1029"/>
      <c r="L9" s="1029"/>
      <c r="M9" s="1029"/>
      <c r="N9" s="1029"/>
      <c r="O9" s="1029"/>
      <c r="P9" s="1029"/>
    </row>
    <row r="10" spans="1:16" ht="18.75" x14ac:dyDescent="0.25">
      <c r="A10" s="1027"/>
      <c r="B10" s="2706" t="s">
        <v>1875</v>
      </c>
      <c r="C10" s="2707"/>
      <c r="D10" s="2707"/>
      <c r="E10" s="2707"/>
      <c r="F10" s="2707"/>
      <c r="G10" s="2707"/>
      <c r="H10" s="2707"/>
      <c r="I10" s="2707"/>
      <c r="J10" s="2708"/>
      <c r="K10" s="1029"/>
      <c r="L10" s="1029"/>
      <c r="M10" s="1029"/>
      <c r="N10" s="1029"/>
      <c r="O10" s="1029"/>
      <c r="P10" s="1032"/>
    </row>
    <row r="11" spans="1:16" ht="16.5" x14ac:dyDescent="0.25">
      <c r="A11" s="1027"/>
      <c r="B11" s="2709" t="s">
        <v>2055</v>
      </c>
      <c r="C11" s="2710"/>
      <c r="D11" s="2711"/>
      <c r="E11" s="1293" t="s">
        <v>429</v>
      </c>
      <c r="F11" s="1294" t="s">
        <v>504</v>
      </c>
      <c r="G11" s="2712" t="s">
        <v>451</v>
      </c>
      <c r="H11" s="2713"/>
      <c r="I11" s="2714"/>
      <c r="J11" s="785" t="s">
        <v>509</v>
      </c>
      <c r="K11" s="1029"/>
      <c r="L11" s="1029"/>
      <c r="M11" s="1029"/>
      <c r="N11" s="1029"/>
      <c r="O11" s="1029"/>
      <c r="P11" s="1032"/>
    </row>
    <row r="12" spans="1:16" x14ac:dyDescent="0.25">
      <c r="A12" s="1027"/>
      <c r="B12" s="2600" t="s">
        <v>1874</v>
      </c>
      <c r="C12" s="2601"/>
      <c r="D12" s="2601"/>
      <c r="E12" s="1951"/>
      <c r="F12" s="983">
        <f>IF($E$8=Lists!$B$24, 1400, IF($E$8=Lists!$B$25,400, 0))</f>
        <v>0</v>
      </c>
      <c r="G12" s="1173" t="s">
        <v>2157</v>
      </c>
      <c r="H12" s="980"/>
      <c r="I12" s="981"/>
      <c r="J12" s="1338">
        <f>IF(E12="",F12,IF(E12&lt;100,100,IF(E12&gt;3000,3000,E12)))</f>
        <v>0</v>
      </c>
      <c r="K12" s="1029"/>
      <c r="L12" s="1029"/>
      <c r="M12" s="1029"/>
      <c r="N12" s="1029"/>
      <c r="O12" s="1029"/>
      <c r="P12" s="1032"/>
    </row>
    <row r="13" spans="1:16" s="1035" customFormat="1" ht="16.5" x14ac:dyDescent="0.25">
      <c r="A13" s="1027"/>
      <c r="B13" s="2709" t="s">
        <v>2158</v>
      </c>
      <c r="C13" s="2710"/>
      <c r="D13" s="2711"/>
      <c r="E13" s="2718" t="str">
        <f>Prime_operation_default</f>
        <v>Use default operations variables</v>
      </c>
      <c r="F13" s="2719"/>
      <c r="G13" s="1174"/>
      <c r="H13" s="984"/>
      <c r="I13" s="985"/>
      <c r="J13" s="1338"/>
      <c r="K13" s="1029"/>
      <c r="L13" s="1029"/>
      <c r="M13" s="1029"/>
      <c r="N13" s="1029"/>
      <c r="O13" s="1029"/>
      <c r="P13" s="1029"/>
    </row>
    <row r="14" spans="1:16" s="1035" customFormat="1" x14ac:dyDescent="0.25">
      <c r="A14" s="1027"/>
      <c r="B14" s="1907" t="s">
        <v>2059</v>
      </c>
      <c r="C14" s="1908"/>
      <c r="D14" s="1908"/>
      <c r="E14" s="1965"/>
      <c r="F14" s="1366">
        <v>0.9</v>
      </c>
      <c r="G14" s="1174" t="s">
        <v>1867</v>
      </c>
      <c r="H14" s="984"/>
      <c r="I14" s="985"/>
      <c r="J14" s="1367">
        <f>IF(AND($E$13=Lists!E24,E14&gt;1),1,IF(AND($E$13=Lists!E24,E14&lt;0),0,IF(AND($E$13=Lists!E24,E14&lt;&gt;""),E14,IF(AND($E$13=Lists!E25,E15&gt;avgSize*24*365.25),1,IF(AND($E$13=Lists!E25,E15&lt;0),0,IF(AND($E$13=Lists!E25,E15&lt;&gt;""),E15/(avgSize*24*365.25),F14))))))</f>
        <v>0.9</v>
      </c>
      <c r="K14" s="1029"/>
      <c r="L14" s="1029"/>
      <c r="M14" s="1029"/>
      <c r="N14" s="1029"/>
      <c r="O14" s="1029"/>
      <c r="P14" s="1029"/>
    </row>
    <row r="15" spans="1:16" s="1035" customFormat="1" x14ac:dyDescent="0.25">
      <c r="A15" s="1027"/>
      <c r="B15" s="2600" t="s">
        <v>2058</v>
      </c>
      <c r="C15" s="2601"/>
      <c r="D15" s="2601"/>
      <c r="E15" s="1966"/>
      <c r="F15" s="982">
        <f>F14*avgSize*24*365.25</f>
        <v>0</v>
      </c>
      <c r="G15" s="1369"/>
      <c r="H15" s="1370"/>
      <c r="I15" s="1371"/>
      <c r="J15" s="1339">
        <f>IF(AND($E$13=Lists!E25,E15&gt;avgSize*24*365.25),avgSize*24*365.25,IF(AND($E$13=Lists!E25,E15&lt;0),0,IF(AND($E$13=Lists!E25,E15&lt;&gt;""),E15,IF(AND($E$13=Lists!E24,E14&gt;1),1*avgSize*24*365.25,IF(AND($E$13=Lists!E24,E14&lt;0),0,IF(AND($E$13=Lists!E24,E14&lt;&gt;""),E14*avgSize*24*365.25,F15))))))</f>
        <v>0</v>
      </c>
      <c r="K15" s="1029"/>
      <c r="L15" s="1029"/>
      <c r="M15" s="1029"/>
      <c r="N15" s="1029"/>
      <c r="O15" s="1029"/>
      <c r="P15" s="1029"/>
    </row>
    <row r="16" spans="1:16" s="1035" customFormat="1" x14ac:dyDescent="0.25">
      <c r="A16" s="1027"/>
      <c r="B16" s="1041"/>
      <c r="J16" s="1042"/>
      <c r="K16" s="1029"/>
      <c r="L16" s="1029"/>
      <c r="M16" s="1029"/>
      <c r="N16" s="1029"/>
      <c r="O16" s="1029"/>
      <c r="P16" s="1029"/>
    </row>
    <row r="17" spans="1:16" ht="18.75" x14ac:dyDescent="0.25">
      <c r="A17" s="1027"/>
      <c r="B17" s="2689" t="str">
        <f>IF(E6=Please, "Step 3 - "&amp;E8&amp;" Units Manufactured, Exported, and Imported", "Step 3 -  "&amp;E8&amp;" Units Manufactured, Exported, and Imported for "&amp;State)</f>
        <v>Step 3 - &lt;Please select&gt; Units Manufactured, Exported, and Imported</v>
      </c>
      <c r="C17" s="2690"/>
      <c r="D17" s="2690"/>
      <c r="E17" s="2690"/>
      <c r="F17" s="2690"/>
      <c r="G17" s="2690"/>
      <c r="H17" s="2690"/>
      <c r="I17" s="2690"/>
      <c r="J17" s="2691"/>
      <c r="K17" s="1029"/>
      <c r="L17" s="1029"/>
      <c r="M17" s="1029"/>
      <c r="N17" s="1029"/>
      <c r="O17" s="1029"/>
      <c r="P17" s="1032"/>
    </row>
    <row r="18" spans="1:16" ht="16.5" x14ac:dyDescent="0.25">
      <c r="A18" s="1027"/>
      <c r="B18" s="2715" t="s">
        <v>2210</v>
      </c>
      <c r="C18" s="2716"/>
      <c r="D18" s="2716"/>
      <c r="E18" s="2716"/>
      <c r="F18" s="2716"/>
      <c r="G18" s="2716"/>
      <c r="H18" s="2716"/>
      <c r="I18" s="2716"/>
      <c r="J18" s="2717"/>
      <c r="K18" s="1029"/>
      <c r="L18" s="1029"/>
      <c r="M18" s="1029"/>
      <c r="N18" s="1029"/>
      <c r="O18" s="1029"/>
      <c r="P18" s="1032"/>
    </row>
    <row r="19" spans="1:16" ht="16.5" x14ac:dyDescent="0.25">
      <c r="A19" s="1027"/>
      <c r="B19" s="2700" t="s">
        <v>1689</v>
      </c>
      <c r="C19" s="2701"/>
      <c r="D19" s="2702"/>
      <c r="E19" s="2698" t="s">
        <v>2211</v>
      </c>
      <c r="F19" s="2699"/>
      <c r="G19" s="2621" t="str">
        <f>IF(E6=Please, "", IF(E6=RIMS_lists!C1, Lists!E5, "Exports are units manufactured in "&amp;State&amp;", but installed in another region or country. Imported units are manufactured outside "&amp;State&amp;", but installed in "&amp;State&amp;". Installed units = Manufactured units - Exported units + Imported Units (see Results sheets)."))</f>
        <v/>
      </c>
      <c r="H19" s="2621"/>
      <c r="I19" s="2621"/>
      <c r="J19" s="2622"/>
      <c r="K19" s="1029"/>
      <c r="L19" s="1029"/>
      <c r="M19" s="1029"/>
      <c r="N19" s="1029"/>
      <c r="O19" s="1029"/>
      <c r="P19" s="1032"/>
    </row>
    <row r="20" spans="1:16" ht="24" customHeight="1" x14ac:dyDescent="0.25">
      <c r="A20" s="1027"/>
      <c r="B20" s="2692" t="s">
        <v>2047</v>
      </c>
      <c r="C20" s="2693"/>
      <c r="D20" s="2694"/>
      <c r="E20" s="2617" t="str">
        <f>Please</f>
        <v>&lt;Please select&gt;</v>
      </c>
      <c r="F20" s="2618"/>
      <c r="G20" s="2623"/>
      <c r="H20" s="2623"/>
      <c r="I20" s="2623"/>
      <c r="J20" s="2624"/>
      <c r="K20" s="1029"/>
      <c r="L20" s="1029"/>
      <c r="M20" s="1029"/>
      <c r="N20" s="1029"/>
      <c r="O20" s="1029"/>
      <c r="P20" s="1032"/>
    </row>
    <row r="21" spans="1:16" ht="24" customHeight="1" x14ac:dyDescent="0.25">
      <c r="A21" s="1027"/>
      <c r="B21" s="2695"/>
      <c r="C21" s="2696"/>
      <c r="D21" s="2697"/>
      <c r="E21" s="2619"/>
      <c r="F21" s="2620"/>
      <c r="G21" s="2625"/>
      <c r="H21" s="2625"/>
      <c r="I21" s="2625"/>
      <c r="J21" s="2626"/>
      <c r="K21" s="1029"/>
      <c r="L21" s="1029"/>
      <c r="M21" s="1029"/>
      <c r="N21" s="1029"/>
      <c r="O21" s="1029"/>
      <c r="P21" s="1032"/>
    </row>
    <row r="22" spans="1:16" ht="16.5" customHeight="1" x14ac:dyDescent="0.25">
      <c r="A22" s="1027"/>
      <c r="B22" s="2587" t="str">
        <f>"Step 3b - Enter Regional "&amp;E8&amp;" units"</f>
        <v>Step 3b - Enter Regional &lt;Please select&gt; units</v>
      </c>
      <c r="C22" s="2588"/>
      <c r="D22" s="2589"/>
      <c r="E22" s="2590" t="s">
        <v>506</v>
      </c>
      <c r="F22" s="2591" t="str">
        <f>IF(E20=Lists!E4, "Exported out of region ( % of manufacturing)", "Exported out of region (units)")</f>
        <v>Exported out of region (units)</v>
      </c>
      <c r="G22" s="2595" t="s">
        <v>508</v>
      </c>
      <c r="H22" s="2590" t="s">
        <v>506</v>
      </c>
      <c r="I22" s="2591" t="s">
        <v>507</v>
      </c>
      <c r="J22" s="2592" t="s">
        <v>508</v>
      </c>
      <c r="K22" s="1029"/>
      <c r="L22" s="1029"/>
      <c r="M22" s="1029"/>
      <c r="N22" s="1029"/>
      <c r="O22" s="1029"/>
      <c r="P22" s="1032"/>
    </row>
    <row r="23" spans="1:16" x14ac:dyDescent="0.25">
      <c r="A23" s="1027"/>
      <c r="B23" s="2596" t="str">
        <f>E8</f>
        <v>&lt;Please select&gt;</v>
      </c>
      <c r="C23" s="2597"/>
      <c r="D23" s="2593" t="s">
        <v>433</v>
      </c>
      <c r="E23" s="2590"/>
      <c r="F23" s="2591"/>
      <c r="G23" s="2595"/>
      <c r="H23" s="2590"/>
      <c r="I23" s="2591"/>
      <c r="J23" s="2592"/>
      <c r="K23" s="1029"/>
      <c r="L23" s="1029"/>
      <c r="M23" s="1029"/>
      <c r="N23" s="1029"/>
      <c r="O23" s="1029"/>
      <c r="P23" s="1032"/>
    </row>
    <row r="24" spans="1:16" x14ac:dyDescent="0.25">
      <c r="A24" s="1027"/>
      <c r="B24" s="2598"/>
      <c r="C24" s="2599"/>
      <c r="D24" s="2594"/>
      <c r="E24" s="1346" t="s">
        <v>429</v>
      </c>
      <c r="F24" s="1293" t="str">
        <f>E24</f>
        <v>User-specified value</v>
      </c>
      <c r="G24" s="1347" t="str">
        <f>E24</f>
        <v>User-specified value</v>
      </c>
      <c r="H24" s="2365" t="s">
        <v>505</v>
      </c>
      <c r="I24" s="2365"/>
      <c r="J24" s="2366"/>
      <c r="K24" s="1029"/>
      <c r="L24" s="1029"/>
      <c r="M24" s="1029"/>
      <c r="N24" s="1029"/>
      <c r="O24" s="1029"/>
      <c r="P24" s="1032"/>
    </row>
    <row r="25" spans="1:16" x14ac:dyDescent="0.25">
      <c r="A25" s="1027"/>
      <c r="B25" s="2598"/>
      <c r="C25" s="2599"/>
      <c r="D25" s="1178">
        <v>2015</v>
      </c>
      <c r="E25" s="1930"/>
      <c r="F25" s="1929"/>
      <c r="G25" s="1930"/>
      <c r="H25" s="342">
        <f t="shared" ref="H25:H30" si="0">ROUNDUP(IF(OR($E$6=Please, $E$8=Please), 0, E25),0)</f>
        <v>0</v>
      </c>
      <c r="I25" s="342">
        <f>IF(F25="",0,IF($E$20&lt;&gt;Lists!$E$4, MIN(F25,H25), IF(AND($E$20=Lists!$E$4,F25&gt;=0,F25&lt;=1),F25*H25,0)))</f>
        <v>0</v>
      </c>
      <c r="J25" s="787">
        <f t="shared" ref="J25:J30" si="1">IF($E$6=Please,0,G25)</f>
        <v>0</v>
      </c>
      <c r="K25" s="1029"/>
      <c r="L25" s="1029"/>
      <c r="M25" s="1029"/>
      <c r="N25" s="1029"/>
      <c r="O25" s="1029"/>
      <c r="P25" s="1032"/>
    </row>
    <row r="26" spans="1:16" x14ac:dyDescent="0.25">
      <c r="A26" s="1027"/>
      <c r="B26" s="2598" t="str">
        <f>avgSize&amp;" kW Fuel Cell Units"</f>
        <v>0 kW Fuel Cell Units</v>
      </c>
      <c r="C26" s="2599"/>
      <c r="D26" s="1178">
        <f>D25+1</f>
        <v>2016</v>
      </c>
      <c r="E26" s="1930"/>
      <c r="F26" s="1929"/>
      <c r="G26" s="1930"/>
      <c r="H26" s="342">
        <f t="shared" si="0"/>
        <v>0</v>
      </c>
      <c r="I26" s="342">
        <f>IF(F26="",0,IF($E$20&lt;&gt;Lists!$E$4, MIN(F26,H26), IF(AND($E$20=Lists!$E$4,F26&gt;=0,F26&lt;=1),F26*H26,0)))</f>
        <v>0</v>
      </c>
      <c r="J26" s="787">
        <f t="shared" si="1"/>
        <v>0</v>
      </c>
      <c r="K26" s="1029"/>
      <c r="L26" s="1029"/>
      <c r="M26" s="1029"/>
      <c r="N26" s="1029"/>
      <c r="O26" s="1029"/>
      <c r="P26" s="1032"/>
    </row>
    <row r="27" spans="1:16" x14ac:dyDescent="0.25">
      <c r="A27" s="1027"/>
      <c r="B27" s="2598"/>
      <c r="C27" s="2599"/>
      <c r="D27" s="1178">
        <f>D26+1</f>
        <v>2017</v>
      </c>
      <c r="E27" s="1930"/>
      <c r="F27" s="1929"/>
      <c r="G27" s="1930"/>
      <c r="H27" s="342">
        <f t="shared" si="0"/>
        <v>0</v>
      </c>
      <c r="I27" s="342">
        <f>IF(F27="",0,IF($E$20&lt;&gt;Lists!$E$4, MIN(F27,H27), IF(AND($E$20=Lists!$E$4,F27&gt;=0,F27&lt;=1),F27*H27,0)))</f>
        <v>0</v>
      </c>
      <c r="J27" s="787">
        <f t="shared" si="1"/>
        <v>0</v>
      </c>
      <c r="K27" s="1029"/>
      <c r="L27" s="1029"/>
      <c r="M27" s="1029"/>
      <c r="N27" s="1029"/>
      <c r="O27" s="1029"/>
      <c r="P27" s="1032"/>
    </row>
    <row r="28" spans="1:16" x14ac:dyDescent="0.25">
      <c r="A28" s="1027"/>
      <c r="B28" s="2635" t="str">
        <f>IF($E$6&lt;&gt;$B$4, "Manufactured, Imported, and Exported for "&amp;$E$6, "Manufactured, Imported, and Exported")</f>
        <v>Manufactured, Imported, and Exported for &lt;Please select&gt;</v>
      </c>
      <c r="C28" s="2636"/>
      <c r="D28" s="1178">
        <f>D27+1</f>
        <v>2018</v>
      </c>
      <c r="E28" s="1930"/>
      <c r="F28" s="1929"/>
      <c r="G28" s="1930"/>
      <c r="H28" s="342">
        <f t="shared" si="0"/>
        <v>0</v>
      </c>
      <c r="I28" s="342">
        <f>IF(F28="",0,IF($E$20&lt;&gt;Lists!$E$4, MIN(F28,H28), IF(AND($E$20=Lists!$E$4,F28&gt;=0,F28&lt;=1),F28*H28,0)))</f>
        <v>0</v>
      </c>
      <c r="J28" s="787">
        <f t="shared" si="1"/>
        <v>0</v>
      </c>
      <c r="K28" s="1029"/>
      <c r="L28" s="1029"/>
      <c r="M28" s="1029"/>
      <c r="N28" s="1029"/>
      <c r="O28" s="1029"/>
      <c r="P28" s="1032"/>
    </row>
    <row r="29" spans="1:16" x14ac:dyDescent="0.25">
      <c r="A29" s="1027"/>
      <c r="B29" s="2635"/>
      <c r="C29" s="2636"/>
      <c r="D29" s="1178">
        <f>D28+1</f>
        <v>2019</v>
      </c>
      <c r="E29" s="1930"/>
      <c r="F29" s="1929"/>
      <c r="G29" s="1930"/>
      <c r="H29" s="342">
        <f t="shared" si="0"/>
        <v>0</v>
      </c>
      <c r="I29" s="342">
        <f>IF(F29="",0,IF($E$20&lt;&gt;Lists!$E$4, MIN(F29,H29), IF(AND($E$20=Lists!$E$4,F29&gt;=0,F29&lt;=1),F29*H29,0)))</f>
        <v>0</v>
      </c>
      <c r="J29" s="787">
        <f t="shared" si="1"/>
        <v>0</v>
      </c>
      <c r="K29" s="1029"/>
      <c r="L29" s="1029"/>
      <c r="M29" s="1029"/>
      <c r="N29" s="1029"/>
      <c r="O29" s="1029"/>
      <c r="P29" s="1032"/>
    </row>
    <row r="30" spans="1:16" x14ac:dyDescent="0.25">
      <c r="A30" s="1027"/>
      <c r="B30" s="2637"/>
      <c r="C30" s="2638"/>
      <c r="D30" s="1178">
        <f>D29+1</f>
        <v>2020</v>
      </c>
      <c r="E30" s="1930"/>
      <c r="F30" s="1929"/>
      <c r="G30" s="1930"/>
      <c r="H30" s="342">
        <f t="shared" si="0"/>
        <v>0</v>
      </c>
      <c r="I30" s="342">
        <f>IF(F30="",0,IF($E$20&lt;&gt;Lists!$E$4, MIN(F30,H30), IF(AND($E$20=Lists!$E$4,F30&gt;=0,F30&lt;=1),F30*H30,0)))</f>
        <v>0</v>
      </c>
      <c r="J30" s="787">
        <f t="shared" si="1"/>
        <v>0</v>
      </c>
      <c r="K30" s="1029"/>
      <c r="L30" s="1029"/>
      <c r="M30" s="1029"/>
      <c r="N30" s="1029"/>
      <c r="O30" s="1029"/>
      <c r="P30" s="1032"/>
    </row>
    <row r="31" spans="1:16" s="1029" customFormat="1" ht="56.25" customHeight="1" x14ac:dyDescent="0.25">
      <c r="A31" s="1027"/>
      <c r="B31" s="1028"/>
      <c r="J31" s="1030"/>
    </row>
    <row r="32" spans="1:16" ht="31.5" customHeight="1" x14ac:dyDescent="0.25">
      <c r="A32" s="1027"/>
      <c r="B32" s="2063" t="s">
        <v>526</v>
      </c>
      <c r="C32" s="2064"/>
      <c r="D32" s="2064"/>
      <c r="E32" s="2064"/>
      <c r="F32" s="2064"/>
      <c r="G32" s="2064"/>
      <c r="H32" s="2064"/>
      <c r="I32" s="2064"/>
      <c r="J32" s="2065"/>
      <c r="K32" s="1029"/>
      <c r="L32" s="1029"/>
      <c r="M32" s="1029"/>
      <c r="N32" s="1029"/>
      <c r="O32" s="1029"/>
      <c r="P32" s="1032"/>
    </row>
    <row r="33" spans="1:16" x14ac:dyDescent="0.25">
      <c r="A33" s="1027"/>
      <c r="B33" s="1028"/>
      <c r="C33" s="1029"/>
      <c r="D33" s="1029"/>
      <c r="E33" s="1029"/>
      <c r="F33" s="1029"/>
      <c r="G33" s="1029"/>
      <c r="H33" s="1029"/>
      <c r="I33" s="1029"/>
      <c r="J33" s="1030"/>
      <c r="K33" s="1029"/>
      <c r="L33" s="1029"/>
      <c r="M33" s="1029"/>
      <c r="N33" s="1029"/>
      <c r="O33" s="1029"/>
      <c r="P33" s="1032"/>
    </row>
    <row r="34" spans="1:16" ht="31.5" customHeight="1" x14ac:dyDescent="0.25">
      <c r="A34" s="1027"/>
      <c r="B34" s="2481" t="s">
        <v>1491</v>
      </c>
      <c r="C34" s="2482"/>
      <c r="D34" s="2482"/>
      <c r="E34" s="2482"/>
      <c r="F34" s="2482"/>
      <c r="G34" s="2482"/>
      <c r="H34" s="2482"/>
      <c r="I34" s="2482"/>
      <c r="J34" s="2483"/>
      <c r="K34" s="1029"/>
      <c r="L34" s="1029"/>
      <c r="M34" s="1029"/>
      <c r="N34" s="1029"/>
      <c r="O34" s="1029"/>
      <c r="P34" s="1032"/>
    </row>
    <row r="35" spans="1:16" x14ac:dyDescent="0.25">
      <c r="A35" s="1027"/>
      <c r="B35" s="1033"/>
      <c r="C35" s="1031"/>
      <c r="D35" s="1031"/>
      <c r="E35" s="1031"/>
      <c r="F35" s="1031"/>
      <c r="G35" s="1031"/>
      <c r="H35" s="1031"/>
      <c r="I35" s="1031"/>
      <c r="J35" s="1034"/>
      <c r="K35" s="1029"/>
      <c r="L35" s="1029"/>
      <c r="M35" s="1029"/>
      <c r="N35" s="1029"/>
      <c r="O35" s="1029"/>
      <c r="P35" s="1032"/>
    </row>
    <row r="36" spans="1:16" ht="18.75" x14ac:dyDescent="0.25">
      <c r="A36" s="1027"/>
      <c r="B36" s="2632" t="str">
        <f>IF(SUM($H$25:$H$30)=0,"Step 4 is only applicable if "&amp;$E$8&amp;" units are being manufactured within the selected region","Step 4 - "&amp;$E$8&amp;" Retail Prices (all prices are in $/kW)")</f>
        <v>Step 4 is only applicable if &lt;Please select&gt; units are being manufactured within the selected region</v>
      </c>
      <c r="C36" s="2633"/>
      <c r="D36" s="2633"/>
      <c r="E36" s="2633"/>
      <c r="F36" s="2633"/>
      <c r="G36" s="2633"/>
      <c r="H36" s="2633"/>
      <c r="I36" s="2633"/>
      <c r="J36" s="2634"/>
      <c r="K36" s="1029"/>
      <c r="L36" s="1029"/>
      <c r="M36" s="1029"/>
      <c r="N36" s="1029"/>
      <c r="O36" s="1029"/>
      <c r="P36" s="1032"/>
    </row>
    <row r="37" spans="1:16" x14ac:dyDescent="0.25">
      <c r="A37" s="1027"/>
      <c r="B37" s="2639" t="s">
        <v>2212</v>
      </c>
      <c r="C37" s="2640"/>
      <c r="D37" s="2640"/>
      <c r="E37" s="2640"/>
      <c r="F37" s="2640"/>
      <c r="G37" s="2640"/>
      <c r="H37" s="2640"/>
      <c r="I37" s="2640"/>
      <c r="J37" s="2641"/>
      <c r="K37" s="1029"/>
      <c r="L37" s="1029"/>
      <c r="M37" s="1029"/>
      <c r="N37" s="1029"/>
      <c r="O37" s="1029"/>
      <c r="P37" s="1032"/>
    </row>
    <row r="38" spans="1:16" ht="15.75" customHeight="1" x14ac:dyDescent="0.25">
      <c r="A38" s="1027"/>
      <c r="B38" s="2627" t="s">
        <v>2049</v>
      </c>
      <c r="C38" s="2628"/>
      <c r="D38" s="1179" t="s">
        <v>433</v>
      </c>
      <c r="E38" s="1295" t="s">
        <v>429</v>
      </c>
      <c r="F38" s="1296" t="s">
        <v>504</v>
      </c>
      <c r="G38" s="2629" t="s">
        <v>451</v>
      </c>
      <c r="H38" s="2630"/>
      <c r="I38" s="2631"/>
      <c r="J38" s="788" t="s">
        <v>509</v>
      </c>
      <c r="K38" s="1029"/>
      <c r="L38" s="1029"/>
      <c r="M38" s="1029"/>
      <c r="N38" s="1029"/>
      <c r="O38" s="1029"/>
      <c r="P38" s="1032"/>
    </row>
    <row r="39" spans="1:16" ht="15.75" customHeight="1" x14ac:dyDescent="0.25">
      <c r="A39" s="1027"/>
      <c r="B39" s="2596" t="str">
        <f>B23</f>
        <v>&lt;Please select&gt;</v>
      </c>
      <c r="C39" s="2597"/>
      <c r="D39" s="1180">
        <v>2015</v>
      </c>
      <c r="E39" s="1967"/>
      <c r="F39" s="1000" t="e">
        <f>MROUND(IF($E$8=Lists!$B$24, Costs!$F$27, IF($E$8=Lists!$B$25, Costs!$G$27, 0))*((G314/Costs!$F$48)^Costs!$B$34)*(IF(F314&lt;=Costs!$F$38,((F314/Costs!$F$37)^scaleElasticity),((Costs!$F$38/Costs!$F$37)^scaleElasticity)))*((1-technologicalProgressRate)^(D39-Costs!$F$46)),10)</f>
        <v>#DIV/0!</v>
      </c>
      <c r="G39" s="1043"/>
      <c r="H39" s="1044"/>
      <c r="I39" s="1045"/>
      <c r="J39" s="789">
        <f>IF(SUM($H$25:$H$30)=0,0,IF(E39&lt;&gt;"",E39,F39))</f>
        <v>0</v>
      </c>
      <c r="K39" s="1029"/>
      <c r="L39" s="1029"/>
      <c r="M39" s="1029"/>
      <c r="N39" s="1029"/>
      <c r="O39" s="1029"/>
      <c r="P39" s="1032"/>
    </row>
    <row r="40" spans="1:16" ht="15.75" customHeight="1" x14ac:dyDescent="0.25">
      <c r="A40" s="1027"/>
      <c r="B40" s="2598"/>
      <c r="C40" s="2599"/>
      <c r="D40" s="1180">
        <v>2016</v>
      </c>
      <c r="E40" s="1967"/>
      <c r="F40" s="1000" t="e">
        <f>MROUND(MIN(F39,IF($E$8=Lists!$B$24, Costs!$F$27, IF($E$8=Lists!$B$25, Costs!$G$27, 0))*((G315/Costs!$F$48)^Costs!$B$34)*(IF(F315&lt;=Costs!$F$38,((F315/Costs!$F$37)^scaleElasticity),((Costs!$F$38/Costs!$F$37)^scaleElasticity)))*((1-technologicalProgressRate)^(D40-Costs!$F$46))),10)</f>
        <v>#DIV/0!</v>
      </c>
      <c r="G40" s="1046"/>
      <c r="H40" s="1047"/>
      <c r="I40" s="1048"/>
      <c r="J40" s="789">
        <f>IF(SUM($H$25:$H$30)=0,0,IF(E40&lt;&gt;"",E40,F40/F39*J39))</f>
        <v>0</v>
      </c>
      <c r="K40" s="1029"/>
      <c r="L40" s="1029"/>
      <c r="M40" s="1029"/>
      <c r="N40" s="1029"/>
      <c r="O40" s="1029"/>
      <c r="P40" s="1032"/>
    </row>
    <row r="41" spans="1:16" ht="15.75" customHeight="1" x14ac:dyDescent="0.25">
      <c r="A41" s="1027"/>
      <c r="B41" s="2598"/>
      <c r="C41" s="2599"/>
      <c r="D41" s="1180">
        <v>2017</v>
      </c>
      <c r="E41" s="1967"/>
      <c r="F41" s="1000" t="e">
        <f>MROUND(MIN(F40,IF($E$8=Lists!$B$24, Costs!$F$27, IF($E$8=Lists!$B$25, Costs!$G$27, 0))*((G316/Costs!$F$48)^Costs!$B$34)*(IF(F316&lt;=Costs!$F$38,((F316/Costs!$F$37)^scaleElasticity),((Costs!$F$38/Costs!$F$37)^scaleElasticity)))*((1-technologicalProgressRate)^(D41-Costs!$F$46))),10)</f>
        <v>#DIV/0!</v>
      </c>
      <c r="G41" s="1046"/>
      <c r="H41" s="1047"/>
      <c r="I41" s="1048"/>
      <c r="J41" s="789">
        <f t="shared" ref="J41:J44" si="2">IF(SUM($H$25:$H$30)=0,0,IF(E41&lt;&gt;"",E41,F41/F40*J40))</f>
        <v>0</v>
      </c>
      <c r="K41" s="1029"/>
      <c r="L41" s="1029"/>
      <c r="M41" s="1029"/>
      <c r="N41" s="1029"/>
      <c r="O41" s="1029"/>
      <c r="P41" s="1032"/>
    </row>
    <row r="42" spans="1:16" ht="15.75" customHeight="1" x14ac:dyDescent="0.25">
      <c r="A42" s="1027"/>
      <c r="B42" s="2667" t="str">
        <f>B26</f>
        <v>0 kW Fuel Cell Units</v>
      </c>
      <c r="C42" s="2668"/>
      <c r="D42" s="1180">
        <v>2018</v>
      </c>
      <c r="E42" s="1967"/>
      <c r="F42" s="1000" t="e">
        <f>MROUND(MIN(F41,IF($E$8=Lists!$B$24, Costs!$F$27, IF($E$8=Lists!$B$25, Costs!$G$27, 0))*((G317/Costs!$F$48)^Costs!$B$34)*(IF(F317&lt;=Costs!$F$38,((F317/Costs!$F$37)^scaleElasticity),((Costs!$F$38/Costs!$F$37)^scaleElasticity)))*((1-technologicalProgressRate)^(D42-Costs!$F$46))),10)</f>
        <v>#DIV/0!</v>
      </c>
      <c r="G42" s="1046"/>
      <c r="H42" s="1047"/>
      <c r="I42" s="1048"/>
      <c r="J42" s="789">
        <f t="shared" si="2"/>
        <v>0</v>
      </c>
      <c r="K42" s="1029"/>
      <c r="L42" s="1029"/>
      <c r="M42" s="1029"/>
      <c r="N42" s="1029"/>
      <c r="O42" s="1029"/>
      <c r="P42" s="1032"/>
    </row>
    <row r="43" spans="1:16" ht="15.75" customHeight="1" x14ac:dyDescent="0.25">
      <c r="A43" s="1027"/>
      <c r="B43" s="2669"/>
      <c r="C43" s="2670"/>
      <c r="D43" s="1180">
        <v>2019</v>
      </c>
      <c r="E43" s="1967"/>
      <c r="F43" s="1000" t="e">
        <f>MROUND(MIN(F42,IF($E$8=Lists!$B$24, Costs!$F$27, IF($E$8=Lists!$B$25, Costs!$G$27, 0))*((G318/Costs!$F$48)^Costs!$B$34)*(IF(F318&lt;=Costs!$F$38,((F318/Costs!$F$37)^scaleElasticity),((Costs!$F$38/Costs!$F$37)^scaleElasticity)))*((1-technologicalProgressRate)^(D43-Costs!$F$46))),10)</f>
        <v>#DIV/0!</v>
      </c>
      <c r="G43" s="1046"/>
      <c r="H43" s="1047"/>
      <c r="I43" s="1048"/>
      <c r="J43" s="789">
        <f t="shared" si="2"/>
        <v>0</v>
      </c>
      <c r="K43" s="1029"/>
      <c r="L43" s="1029"/>
      <c r="M43" s="1029"/>
      <c r="N43" s="1029"/>
      <c r="O43" s="1029"/>
      <c r="P43" s="1032"/>
    </row>
    <row r="44" spans="1:16" ht="15.75" customHeight="1" x14ac:dyDescent="0.25">
      <c r="A44" s="1027"/>
      <c r="B44" s="2671"/>
      <c r="C44" s="2672"/>
      <c r="D44" s="1180">
        <v>2020</v>
      </c>
      <c r="E44" s="1967"/>
      <c r="F44" s="1000" t="e">
        <f>MROUND(MIN(F43,IF($E$8=Lists!$B$24, Costs!$F$27, IF($E$8=Lists!$B$25, Costs!$G$27, 0))*((G319/Costs!$F$48)^Costs!$B$34)*(IF(F319&lt;=Costs!$F$38,((F319/Costs!$F$37)^scaleElasticity),((Costs!$F$38/Costs!$F$37)^scaleElasticity)))*((1-technologicalProgressRate)^(D44-Costs!$F$46))),10)</f>
        <v>#DIV/0!</v>
      </c>
      <c r="G44" s="1049"/>
      <c r="H44" s="1050"/>
      <c r="I44" s="1051"/>
      <c r="J44" s="789">
        <f t="shared" si="2"/>
        <v>0</v>
      </c>
      <c r="K44" s="1029"/>
      <c r="L44" s="1029"/>
      <c r="M44" s="1029"/>
      <c r="N44" s="1029"/>
      <c r="O44" s="1029"/>
      <c r="P44" s="1032"/>
    </row>
    <row r="45" spans="1:16" s="1031" customFormat="1" ht="18.75" customHeight="1" x14ac:dyDescent="0.25">
      <c r="A45" s="1027"/>
      <c r="B45" s="1033"/>
      <c r="J45" s="1034"/>
      <c r="K45" s="1029"/>
      <c r="L45" s="1029"/>
      <c r="M45" s="1029"/>
      <c r="N45" s="1029"/>
      <c r="O45" s="1029"/>
      <c r="P45" s="1029"/>
    </row>
    <row r="46" spans="1:16" s="1031" customFormat="1" ht="18.75" customHeight="1" x14ac:dyDescent="0.25">
      <c r="A46" s="1027"/>
      <c r="B46" s="2642" t="str">
        <f>"Step 5 - "&amp;E8&amp;" Shipping Expense ($/Fuel Cell Unit)"</f>
        <v>Step 5 - &lt;Please select&gt; Shipping Expense ($/Fuel Cell Unit)</v>
      </c>
      <c r="C46" s="2643"/>
      <c r="D46" s="2643"/>
      <c r="E46" s="2643"/>
      <c r="F46" s="2643"/>
      <c r="G46" s="2643"/>
      <c r="H46" s="2643"/>
      <c r="I46" s="2643"/>
      <c r="J46" s="2644"/>
      <c r="K46" s="1029"/>
      <c r="L46" s="1029"/>
      <c r="M46" s="1029"/>
      <c r="N46" s="1029"/>
      <c r="O46" s="1029"/>
      <c r="P46" s="1029"/>
    </row>
    <row r="47" spans="1:16" s="1031" customFormat="1" ht="18.75" customHeight="1" x14ac:dyDescent="0.25">
      <c r="A47" s="1027"/>
      <c r="B47" s="2686" t="s">
        <v>2035</v>
      </c>
      <c r="C47" s="2687"/>
      <c r="D47" s="2688"/>
      <c r="E47" s="1297" t="s">
        <v>429</v>
      </c>
      <c r="F47" s="1298" t="s">
        <v>504</v>
      </c>
      <c r="G47" s="2629" t="s">
        <v>451</v>
      </c>
      <c r="H47" s="2630"/>
      <c r="I47" s="2631"/>
      <c r="J47" s="1170" t="s">
        <v>509</v>
      </c>
      <c r="K47" s="1029"/>
      <c r="L47" s="1029"/>
      <c r="M47" s="1029"/>
      <c r="N47" s="1029"/>
      <c r="O47" s="1029"/>
      <c r="P47" s="1029"/>
    </row>
    <row r="48" spans="1:16" s="1031" customFormat="1" ht="48.75" customHeight="1" x14ac:dyDescent="0.25">
      <c r="A48" s="1027"/>
      <c r="B48" s="1181" t="str">
        <f>E8&amp;" shipping expense ($/fuel cell unit)"</f>
        <v>&lt;Please select&gt; shipping expense ($/fuel cell unit)</v>
      </c>
      <c r="C48" s="1182"/>
      <c r="D48" s="1182"/>
      <c r="E48" s="1931"/>
      <c r="F48" s="1183" t="e">
        <f>MROUND(F39*avgSize*D344, 50)</f>
        <v>#DIV/0!</v>
      </c>
      <c r="G48" s="2682" t="s">
        <v>2051</v>
      </c>
      <c r="H48" s="2683"/>
      <c r="I48" s="2684"/>
      <c r="J48" s="789" t="e">
        <f xml:space="preserve"> IF(E48="", F48,E48)</f>
        <v>#DIV/0!</v>
      </c>
      <c r="K48" s="1029"/>
      <c r="L48" s="1029"/>
      <c r="M48" s="1029"/>
      <c r="N48" s="1029"/>
      <c r="O48" s="1029"/>
      <c r="P48" s="1029"/>
    </row>
    <row r="49" spans="1:16" s="1031" customFormat="1" ht="18.75" customHeight="1" x14ac:dyDescent="0.25">
      <c r="A49" s="1027"/>
      <c r="B49" s="1028"/>
      <c r="C49" s="1029"/>
      <c r="D49" s="1029"/>
      <c r="E49" s="1029"/>
      <c r="F49" s="1029"/>
      <c r="G49" s="1029"/>
      <c r="H49" s="1029"/>
      <c r="I49" s="1029"/>
      <c r="J49" s="1030"/>
      <c r="K49" s="1029"/>
      <c r="L49" s="1029"/>
      <c r="M49" s="1029"/>
      <c r="N49" s="1029"/>
      <c r="O49" s="1029"/>
      <c r="P49" s="1029"/>
    </row>
    <row r="50" spans="1:16" ht="18.75" x14ac:dyDescent="0.25">
      <c r="A50" s="1027"/>
      <c r="B50" s="2632" t="str">
        <f>"Step 6 - "&amp;E8&amp;" Installation Expenses ($/Installed Fuel Cell)"</f>
        <v>Step 6 - &lt;Please select&gt; Installation Expenses ($/Installed Fuel Cell)</v>
      </c>
      <c r="C50" s="2633"/>
      <c r="D50" s="2633"/>
      <c r="E50" s="2633"/>
      <c r="F50" s="2633"/>
      <c r="G50" s="2633"/>
      <c r="H50" s="2633"/>
      <c r="I50" s="2633"/>
      <c r="J50" s="2634"/>
      <c r="K50" s="1029"/>
      <c r="L50" s="1029"/>
      <c r="M50" s="1029"/>
      <c r="N50" s="1029"/>
      <c r="O50" s="1029"/>
      <c r="P50" s="1032"/>
    </row>
    <row r="51" spans="1:16" ht="16.5" x14ac:dyDescent="0.25">
      <c r="A51" s="1027"/>
      <c r="B51" s="790" t="str">
        <f>'Backup INPUTS'!B55</f>
        <v>Installation expenses should be entered on a per fuel cell basis even if there is more than one fuel cell unit per site.</v>
      </c>
      <c r="C51" s="783"/>
      <c r="D51" s="783"/>
      <c r="E51" s="783"/>
      <c r="F51" s="783"/>
      <c r="G51" s="783"/>
      <c r="H51" s="783"/>
      <c r="I51" s="783"/>
      <c r="J51" s="791"/>
      <c r="K51" s="1029"/>
      <c r="L51" s="1029"/>
      <c r="M51" s="1029"/>
      <c r="N51" s="1029"/>
      <c r="O51" s="1029"/>
      <c r="P51" s="1032"/>
    </row>
    <row r="52" spans="1:16" ht="16.5" customHeight="1" x14ac:dyDescent="0.25">
      <c r="A52" s="1027"/>
      <c r="B52" s="2657" t="s">
        <v>1809</v>
      </c>
      <c r="C52" s="2658"/>
      <c r="D52" s="2659"/>
      <c r="E52" s="1295" t="s">
        <v>429</v>
      </c>
      <c r="F52" s="1296" t="s">
        <v>504</v>
      </c>
      <c r="G52" s="2629" t="s">
        <v>451</v>
      </c>
      <c r="H52" s="2630"/>
      <c r="I52" s="2631"/>
      <c r="J52" s="788" t="s">
        <v>509</v>
      </c>
      <c r="K52" s="1029"/>
      <c r="L52" s="1029"/>
      <c r="M52" s="1029"/>
      <c r="N52" s="1029"/>
      <c r="O52" s="1029"/>
      <c r="P52" s="1032"/>
    </row>
    <row r="53" spans="1:16" x14ac:dyDescent="0.25">
      <c r="A53" s="1027"/>
      <c r="B53" s="801" t="s">
        <v>1787</v>
      </c>
      <c r="C53" s="802"/>
      <c r="D53" s="803"/>
      <c r="E53" s="1933"/>
      <c r="F53" s="613">
        <f>F$57*0.2</f>
        <v>0</v>
      </c>
      <c r="G53" s="2651" t="s">
        <v>2050</v>
      </c>
      <c r="H53" s="2651"/>
      <c r="I53" s="2652"/>
      <c r="J53" s="789">
        <f t="shared" ref="J53:J56" si="3" xml:space="preserve"> IF(E53="", F53,E53)</f>
        <v>0</v>
      </c>
      <c r="K53" s="1029"/>
      <c r="L53" s="1029"/>
      <c r="M53" s="1029"/>
      <c r="N53" s="1029"/>
      <c r="O53" s="1029"/>
      <c r="P53" s="1032"/>
    </row>
    <row r="54" spans="1:16" x14ac:dyDescent="0.25">
      <c r="A54" s="1027"/>
      <c r="B54" s="801" t="s">
        <v>1788</v>
      </c>
      <c r="C54" s="802"/>
      <c r="D54" s="803"/>
      <c r="E54" s="1933"/>
      <c r="F54" s="613">
        <f>F$57*0.5</f>
        <v>0</v>
      </c>
      <c r="G54" s="2653"/>
      <c r="H54" s="2653"/>
      <c r="I54" s="2654"/>
      <c r="J54" s="789">
        <f t="shared" si="3"/>
        <v>0</v>
      </c>
      <c r="K54" s="1029"/>
      <c r="L54" s="1029"/>
      <c r="M54" s="1029"/>
      <c r="N54" s="1029"/>
      <c r="O54" s="1029"/>
      <c r="P54" s="1032"/>
    </row>
    <row r="55" spans="1:16" x14ac:dyDescent="0.25">
      <c r="A55" s="1027"/>
      <c r="B55" s="801" t="s">
        <v>1777</v>
      </c>
      <c r="C55" s="802"/>
      <c r="D55" s="803"/>
      <c r="E55" s="1933"/>
      <c r="F55" s="613">
        <f>F$57*0.3</f>
        <v>0</v>
      </c>
      <c r="G55" s="2653"/>
      <c r="H55" s="2653"/>
      <c r="I55" s="2654"/>
      <c r="J55" s="789">
        <f xml:space="preserve"> IF(E55="", F55,E55)</f>
        <v>0</v>
      </c>
      <c r="K55" s="1029"/>
      <c r="L55" s="1029"/>
      <c r="M55" s="1029"/>
      <c r="N55" s="1029"/>
      <c r="O55" s="1029"/>
      <c r="P55" s="1032"/>
    </row>
    <row r="56" spans="1:16" x14ac:dyDescent="0.25">
      <c r="A56" s="1027"/>
      <c r="B56" s="801" t="s">
        <v>1778</v>
      </c>
      <c r="C56" s="802"/>
      <c r="D56" s="803"/>
      <c r="E56" s="1933"/>
      <c r="F56" s="613">
        <v>0</v>
      </c>
      <c r="G56" s="2653"/>
      <c r="H56" s="2653"/>
      <c r="I56" s="2654"/>
      <c r="J56" s="789">
        <f t="shared" si="3"/>
        <v>0</v>
      </c>
      <c r="K56" s="1029"/>
      <c r="L56" s="1029"/>
      <c r="M56" s="1029"/>
      <c r="N56" s="1029"/>
      <c r="O56" s="1029"/>
      <c r="P56" s="1032"/>
    </row>
    <row r="57" spans="1:16" x14ac:dyDescent="0.25">
      <c r="A57" s="1027"/>
      <c r="B57" s="804" t="s">
        <v>2032</v>
      </c>
      <c r="C57" s="802"/>
      <c r="D57" s="803"/>
      <c r="E57" s="1052" t="s">
        <v>1557</v>
      </c>
      <c r="F57" s="1322">
        <f>IF($E$8=Please, 0, 0.3*IF(J$39&lt;&gt;0, J$39, F$39)*avgSize)</f>
        <v>0</v>
      </c>
      <c r="G57" s="2666"/>
      <c r="H57" s="2666"/>
      <c r="I57" s="2685"/>
      <c r="J57" s="1321">
        <f>SUM(J53:J56)</f>
        <v>0</v>
      </c>
      <c r="K57" s="1029"/>
      <c r="L57" s="1029"/>
      <c r="M57" s="1029"/>
      <c r="N57" s="1029"/>
      <c r="O57" s="1029"/>
      <c r="P57" s="1032"/>
    </row>
    <row r="58" spans="1:16" s="1031" customFormat="1" ht="21" customHeight="1" x14ac:dyDescent="0.25">
      <c r="A58" s="1027"/>
      <c r="B58" s="1033"/>
      <c r="J58" s="1034"/>
      <c r="K58" s="1029"/>
      <c r="L58" s="1029"/>
      <c r="M58" s="1029"/>
      <c r="N58" s="1029"/>
      <c r="O58" s="1029"/>
      <c r="P58" s="1029"/>
    </row>
    <row r="59" spans="1:16" ht="18.75" x14ac:dyDescent="0.25">
      <c r="A59" s="1027"/>
      <c r="B59" s="2632" t="s">
        <v>1914</v>
      </c>
      <c r="C59" s="2633"/>
      <c r="D59" s="2633"/>
      <c r="E59" s="2633"/>
      <c r="F59" s="2633"/>
      <c r="G59" s="2633"/>
      <c r="H59" s="2633"/>
      <c r="I59" s="2633"/>
      <c r="J59" s="2634"/>
      <c r="K59" s="1029"/>
      <c r="L59" s="1029"/>
      <c r="M59" s="1029"/>
      <c r="N59" s="1029"/>
      <c r="O59" s="1029"/>
      <c r="P59" s="1032"/>
    </row>
    <row r="60" spans="1:16" ht="16.5" x14ac:dyDescent="0.25">
      <c r="A60" s="1027"/>
      <c r="B60" s="790" t="s">
        <v>1807</v>
      </c>
      <c r="C60" s="783"/>
      <c r="D60" s="783"/>
      <c r="E60" s="783"/>
      <c r="F60" s="783"/>
      <c r="G60" s="783"/>
      <c r="H60" s="783"/>
      <c r="I60" s="783"/>
      <c r="J60" s="791"/>
      <c r="K60" s="1029"/>
      <c r="L60" s="1029"/>
      <c r="M60" s="1029"/>
      <c r="N60" s="1029"/>
      <c r="O60" s="1029"/>
      <c r="P60" s="1032"/>
    </row>
    <row r="61" spans="1:16" ht="16.5" customHeight="1" x14ac:dyDescent="0.25">
      <c r="A61" s="1027"/>
      <c r="B61" s="2660" t="s">
        <v>1741</v>
      </c>
      <c r="C61" s="2661"/>
      <c r="D61" s="2662"/>
      <c r="E61" s="1295" t="s">
        <v>429</v>
      </c>
      <c r="F61" s="1296" t="s">
        <v>504</v>
      </c>
      <c r="G61" s="2629" t="s">
        <v>451</v>
      </c>
      <c r="H61" s="2630"/>
      <c r="I61" s="2631"/>
      <c r="J61" s="788" t="s">
        <v>509</v>
      </c>
      <c r="K61" s="1029"/>
      <c r="L61" s="1029"/>
      <c r="M61" s="1029"/>
      <c r="N61" s="1029"/>
      <c r="O61" s="1029"/>
      <c r="P61" s="1032"/>
    </row>
    <row r="62" spans="1:16" x14ac:dyDescent="0.25">
      <c r="A62" s="1027"/>
      <c r="B62" s="801" t="s">
        <v>1696</v>
      </c>
      <c r="C62" s="802"/>
      <c r="D62" s="803"/>
      <c r="E62" s="1968"/>
      <c r="F62" s="759">
        <v>9</v>
      </c>
      <c r="G62" s="2663" t="s">
        <v>2151</v>
      </c>
      <c r="H62" s="2651"/>
      <c r="I62" s="2651"/>
      <c r="J62" s="793">
        <f t="shared" ref="J62" si="4" xml:space="preserve"> IF(E62="", F62,E62)</f>
        <v>9</v>
      </c>
      <c r="K62" s="1029"/>
      <c r="L62" s="1029"/>
      <c r="M62" s="1029"/>
      <c r="N62" s="1029"/>
      <c r="O62" s="1029"/>
      <c r="P62" s="1032"/>
    </row>
    <row r="63" spans="1:16" x14ac:dyDescent="0.25">
      <c r="A63" s="1027"/>
      <c r="B63" s="801" t="s">
        <v>1769</v>
      </c>
      <c r="C63" s="802"/>
      <c r="D63" s="803"/>
      <c r="E63" s="1969"/>
      <c r="F63" s="760">
        <f>IF($E$8=Lists!$B$24, (181/1400), IF($E$8=Lists!$B$25,(3.99*1000000/60/930/400), 0))*avgSize*60*24*365.25*J14/1000</f>
        <v>0</v>
      </c>
      <c r="G63" s="2664"/>
      <c r="H63" s="2653"/>
      <c r="I63" s="2653"/>
      <c r="J63" s="794">
        <f>IF(E63&lt;&gt;"", E63, F63)</f>
        <v>0</v>
      </c>
      <c r="K63" s="1029"/>
      <c r="L63" s="1029"/>
      <c r="M63" s="1029"/>
      <c r="N63" s="1029"/>
      <c r="O63" s="1029"/>
      <c r="P63" s="1032"/>
    </row>
    <row r="64" spans="1:16" x14ac:dyDescent="0.25">
      <c r="A64" s="1027"/>
      <c r="B64" s="804" t="s">
        <v>2031</v>
      </c>
      <c r="C64" s="802"/>
      <c r="D64" s="803"/>
      <c r="E64" s="1933"/>
      <c r="F64" s="1340">
        <f>F62*F63</f>
        <v>0</v>
      </c>
      <c r="G64" s="2665"/>
      <c r="H64" s="2666"/>
      <c r="I64" s="2666"/>
      <c r="J64" s="1250">
        <f>IF(E64&lt;&gt;"", E64, J62*J63)</f>
        <v>0</v>
      </c>
      <c r="K64" s="1029"/>
      <c r="L64" s="1029"/>
      <c r="M64" s="1029"/>
      <c r="N64" s="1029"/>
      <c r="O64" s="1029"/>
      <c r="P64" s="1032"/>
    </row>
    <row r="65" spans="1:16" s="1031" customFormat="1" ht="24.75" customHeight="1" x14ac:dyDescent="0.25">
      <c r="A65" s="1027"/>
      <c r="B65" s="1033"/>
      <c r="J65" s="1034"/>
      <c r="K65" s="1029"/>
      <c r="L65" s="1029"/>
      <c r="M65" s="1029"/>
      <c r="N65" s="1029"/>
      <c r="O65" s="1029"/>
      <c r="P65" s="1029"/>
    </row>
    <row r="66" spans="1:16" ht="18.75" x14ac:dyDescent="0.25">
      <c r="A66" s="1027"/>
      <c r="B66" s="2632" t="s">
        <v>2144</v>
      </c>
      <c r="C66" s="2633"/>
      <c r="D66" s="2633"/>
      <c r="E66" s="2633"/>
      <c r="F66" s="2633"/>
      <c r="G66" s="2633"/>
      <c r="H66" s="2633"/>
      <c r="I66" s="2633"/>
      <c r="J66" s="2634"/>
      <c r="K66" s="1029"/>
      <c r="L66" s="1029"/>
      <c r="M66" s="1029"/>
      <c r="N66" s="1029"/>
      <c r="O66" s="1029"/>
      <c r="P66" s="1032"/>
    </row>
    <row r="67" spans="1:16" ht="16.5" x14ac:dyDescent="0.25">
      <c r="A67" s="1027"/>
      <c r="B67" s="790" t="s">
        <v>1806</v>
      </c>
      <c r="C67" s="783"/>
      <c r="D67" s="783"/>
      <c r="E67" s="783"/>
      <c r="F67" s="783"/>
      <c r="G67" s="783"/>
      <c r="H67" s="783"/>
      <c r="I67" s="783"/>
      <c r="J67" s="791"/>
      <c r="K67" s="1029"/>
      <c r="L67" s="1029"/>
      <c r="M67" s="1029"/>
      <c r="N67" s="1029"/>
      <c r="O67" s="1029"/>
      <c r="P67" s="1032"/>
    </row>
    <row r="68" spans="1:16" ht="16.5" customHeight="1" x14ac:dyDescent="0.25">
      <c r="A68" s="1027"/>
      <c r="B68" s="2657" t="s">
        <v>1808</v>
      </c>
      <c r="C68" s="2658"/>
      <c r="D68" s="2659"/>
      <c r="E68" s="1295" t="s">
        <v>429</v>
      </c>
      <c r="F68" s="1296" t="s">
        <v>504</v>
      </c>
      <c r="G68" s="2629" t="s">
        <v>451</v>
      </c>
      <c r="H68" s="2630"/>
      <c r="I68" s="2631"/>
      <c r="J68" s="788" t="s">
        <v>509</v>
      </c>
      <c r="K68" s="1029"/>
      <c r="L68" s="1029"/>
      <c r="M68" s="1029"/>
      <c r="N68" s="1029"/>
      <c r="O68" s="1029"/>
      <c r="P68" s="1032"/>
    </row>
    <row r="69" spans="1:16" x14ac:dyDescent="0.25">
      <c r="A69" s="1027"/>
      <c r="B69" s="792" t="s">
        <v>2014</v>
      </c>
      <c r="C69" s="612"/>
      <c r="D69" s="612"/>
      <c r="E69" s="1933"/>
      <c r="F69" s="615" t="e">
        <f>MROUND(445000/(4200*1400)*(IF(J39=0,F39,J39)*avgSize+J57), 1000)</f>
        <v>#DIV/0!</v>
      </c>
      <c r="G69" s="1171" t="s">
        <v>1810</v>
      </c>
      <c r="H69" s="614"/>
      <c r="I69" s="614"/>
      <c r="J69" s="789" t="e">
        <f t="shared" ref="J69" si="5" xml:space="preserve"> IF(E69="", F69,E69)</f>
        <v>#DIV/0!</v>
      </c>
      <c r="K69" s="1029"/>
      <c r="L69" s="1029"/>
      <c r="M69" s="1029"/>
      <c r="N69" s="1029"/>
      <c r="O69" s="1029"/>
      <c r="P69" s="1032"/>
    </row>
    <row r="70" spans="1:16" s="1031" customFormat="1" ht="57.75" customHeight="1" x14ac:dyDescent="0.25">
      <c r="A70" s="1027"/>
      <c r="B70" s="1028"/>
      <c r="C70" s="1029"/>
      <c r="D70" s="1029"/>
      <c r="E70" s="1029"/>
      <c r="F70" s="1029"/>
      <c r="G70" s="1029"/>
      <c r="H70" s="1029"/>
      <c r="I70" s="1029"/>
      <c r="J70" s="1030"/>
      <c r="K70" s="1029"/>
      <c r="L70" s="1029"/>
      <c r="M70" s="1029"/>
      <c r="N70" s="1029"/>
      <c r="O70" s="1029"/>
      <c r="P70" s="1029"/>
    </row>
    <row r="71" spans="1:16" ht="32.25" customHeight="1" x14ac:dyDescent="0.25">
      <c r="A71" s="1027"/>
      <c r="B71" s="2063" t="s">
        <v>1492</v>
      </c>
      <c r="C71" s="2064"/>
      <c r="D71" s="2064"/>
      <c r="E71" s="2064"/>
      <c r="F71" s="2064"/>
      <c r="G71" s="2064"/>
      <c r="H71" s="2064"/>
      <c r="I71" s="2064"/>
      <c r="J71" s="2065"/>
      <c r="K71" s="1029"/>
      <c r="L71" s="1029"/>
      <c r="M71" s="1029"/>
      <c r="N71" s="1029"/>
      <c r="O71" s="1029"/>
      <c r="P71" s="1032"/>
    </row>
    <row r="72" spans="1:16" s="1035" customFormat="1" x14ac:dyDescent="0.25">
      <c r="A72" s="1027"/>
      <c r="B72" s="1033"/>
      <c r="C72" s="1031"/>
      <c r="D72" s="1031"/>
      <c r="E72" s="1031"/>
      <c r="F72" s="1031"/>
      <c r="G72" s="1031"/>
      <c r="H72" s="1031"/>
      <c r="I72" s="1031"/>
      <c r="J72" s="1034"/>
      <c r="K72" s="1029"/>
      <c r="L72" s="1029"/>
      <c r="M72" s="1029"/>
      <c r="N72" s="1029"/>
      <c r="O72" s="1029"/>
      <c r="P72" s="1029"/>
    </row>
    <row r="73" spans="1:16" ht="18.75" x14ac:dyDescent="0.25">
      <c r="A73" s="1027"/>
      <c r="B73" s="2642" t="str">
        <f>IF(AND($E$6=RIMS_lists!$C$1, $E$7=Lists!$C$4),"Step 9 is available for Gross Analysis only", "Step 9 (For Gross Analysis) - Total Existing Operational "&amp;avgSize&amp;" kW "&amp;$E$8&amp;" units in "&amp;State&amp;" at the beginning of 2015")</f>
        <v>Step 9 (For Gross Analysis) - Total Existing Operational 0 kW &lt;Please select&gt; units in &lt;Please select&gt; at the beginning of 2015</v>
      </c>
      <c r="C73" s="2643"/>
      <c r="D73" s="2643"/>
      <c r="E73" s="2643"/>
      <c r="F73" s="2643"/>
      <c r="G73" s="2643"/>
      <c r="H73" s="2643"/>
      <c r="I73" s="2643"/>
      <c r="J73" s="2644"/>
      <c r="K73" s="1029"/>
      <c r="L73" s="1029"/>
      <c r="M73" s="1029"/>
      <c r="N73" s="1029"/>
      <c r="O73" s="1029"/>
      <c r="P73" s="1032"/>
    </row>
    <row r="74" spans="1:16" ht="16.5" x14ac:dyDescent="0.25">
      <c r="A74" s="1027"/>
      <c r="B74" s="2645" t="str">
        <f>"Enter Total Operational "&amp;avgSize&amp;" kW "&amp;$E$8&amp;" units"</f>
        <v>Enter Total Operational 0 kW &lt;Please select&gt; units</v>
      </c>
      <c r="C74" s="2646"/>
      <c r="D74" s="2647"/>
      <c r="E74" s="1299" t="str">
        <f>E$11</f>
        <v>User-specified value</v>
      </c>
      <c r="F74" s="1300" t="str">
        <f>F$11</f>
        <v>Default</v>
      </c>
      <c r="G74" s="2629" t="s">
        <v>451</v>
      </c>
      <c r="H74" s="2630"/>
      <c r="I74" s="2631"/>
      <c r="J74" s="795" t="str">
        <f>J$11</f>
        <v>Value used in model</v>
      </c>
      <c r="K74" s="1029"/>
      <c r="L74" s="1029"/>
      <c r="M74" s="1029"/>
      <c r="N74" s="1029"/>
      <c r="O74" s="1029"/>
      <c r="P74" s="1032"/>
    </row>
    <row r="75" spans="1:16" ht="47.25" customHeight="1" x14ac:dyDescent="0.25">
      <c r="A75" s="1027"/>
      <c r="B75" s="2673" t="str">
        <f>"Total existing operational "&amp;avgSize&amp;" kW "&amp;E8&amp;" units (beginning of 2015)"</f>
        <v>Total existing operational 0 kW &lt;Please select&gt; units (beginning of 2015)</v>
      </c>
      <c r="C75" s="2674"/>
      <c r="D75" s="2675"/>
      <c r="E75" s="1970"/>
      <c r="F75" s="617">
        <v>0</v>
      </c>
      <c r="G75" s="2648" t="s">
        <v>2054</v>
      </c>
      <c r="H75" s="2649"/>
      <c r="I75" s="2650"/>
      <c r="J75" s="796">
        <f>IF(AND($E$6=RIMS_lists!$C$1, $E$7=Lists!$C$4),0,IF(E75="",F75,E75))</f>
        <v>0</v>
      </c>
      <c r="K75" s="1029"/>
      <c r="L75" s="1029"/>
      <c r="M75" s="1029"/>
      <c r="N75" s="1029"/>
      <c r="O75" s="1029"/>
      <c r="P75" s="1032"/>
    </row>
    <row r="76" spans="1:16" s="1024" customFormat="1" x14ac:dyDescent="0.25">
      <c r="A76" s="1027"/>
      <c r="B76" s="1053"/>
      <c r="J76" s="1054"/>
      <c r="K76" s="1029"/>
      <c r="L76" s="1029"/>
      <c r="M76" s="1029"/>
      <c r="N76" s="1029"/>
      <c r="O76" s="1029"/>
      <c r="P76" s="1029"/>
    </row>
    <row r="77" spans="1:16" s="1055" customFormat="1" ht="18.75" x14ac:dyDescent="0.25">
      <c r="A77" s="1027"/>
      <c r="B77" s="2632" t="str">
        <f>IF(AND($E$6=RIMS_lists!$C$1, $E$7=Lists!$C$4),  "Step 10 (For Net Analysis) - Displaced Regional Grid Electricity and Natural Gas Expenses ($/Fuel Cell Unit)", "Step 10 is available for Net Analysis only")</f>
        <v>Step 10 is available for Net Analysis only</v>
      </c>
      <c r="C77" s="2633"/>
      <c r="D77" s="2633"/>
      <c r="E77" s="2633"/>
      <c r="F77" s="2633"/>
      <c r="G77" s="2633"/>
      <c r="H77" s="2633"/>
      <c r="I77" s="2633"/>
      <c r="J77" s="2634"/>
      <c r="K77" s="1029"/>
      <c r="L77" s="1029"/>
      <c r="M77" s="1029"/>
      <c r="N77" s="1029"/>
      <c r="O77" s="1029"/>
      <c r="P77" s="1032"/>
    </row>
    <row r="78" spans="1:16" s="1055" customFormat="1" ht="16.5" x14ac:dyDescent="0.25">
      <c r="A78" s="1027"/>
      <c r="B78" s="2676" t="s">
        <v>1922</v>
      </c>
      <c r="C78" s="2677"/>
      <c r="D78" s="2678"/>
      <c r="E78" s="1301" t="str">
        <f>E$11</f>
        <v>User-specified value</v>
      </c>
      <c r="F78" s="1302" t="str">
        <f>F$11</f>
        <v>Default</v>
      </c>
      <c r="G78" s="2679" t="s">
        <v>451</v>
      </c>
      <c r="H78" s="2680"/>
      <c r="I78" s="2681"/>
      <c r="J78" s="813" t="str">
        <f>J$11</f>
        <v>Value used in model</v>
      </c>
      <c r="K78" s="1029"/>
      <c r="L78" s="1029"/>
      <c r="M78" s="1029"/>
      <c r="N78" s="1029"/>
      <c r="O78" s="1029"/>
      <c r="P78" s="1032"/>
    </row>
    <row r="79" spans="1:16" s="1055" customFormat="1" ht="15.75" customHeight="1" x14ac:dyDescent="0.25">
      <c r="A79" s="1027"/>
      <c r="B79" s="805" t="s">
        <v>1742</v>
      </c>
      <c r="C79" s="806"/>
      <c r="D79" s="807"/>
      <c r="E79" s="1952"/>
      <c r="F79" s="1360">
        <v>9.5000000000000001E-2</v>
      </c>
      <c r="G79" s="2651" t="s">
        <v>1915</v>
      </c>
      <c r="H79" s="2651"/>
      <c r="I79" s="2652"/>
      <c r="J79" s="1368">
        <f>IF(OR($E$6&lt;&gt;RIMS_lists!$C$1,$E$7&lt;&gt;Lists!$C$4),0,IF(E79="",F79,E79))</f>
        <v>0</v>
      </c>
      <c r="K79" s="1029"/>
      <c r="L79" s="1029"/>
      <c r="M79" s="1029"/>
      <c r="N79" s="1029"/>
      <c r="O79" s="1029"/>
      <c r="P79" s="1032"/>
    </row>
    <row r="80" spans="1:16" s="1055" customFormat="1" x14ac:dyDescent="0.25">
      <c r="A80" s="1027"/>
      <c r="B80" s="801" t="s">
        <v>2238</v>
      </c>
      <c r="C80" s="802"/>
      <c r="D80" s="808"/>
      <c r="E80" s="1969"/>
      <c r="F80" s="774">
        <f>J15</f>
        <v>0</v>
      </c>
      <c r="G80" s="2653"/>
      <c r="H80" s="2653"/>
      <c r="I80" s="2654"/>
      <c r="J80" s="794">
        <f>IF(OR($E$6&lt;&gt;RIMS_lists!$C$1,$E$7&lt;&gt;Lists!$C$4),0,IF(E80&gt;J15,J15,IF(E80&lt;0,0,IF(E80&lt;&gt;"",E80,F80))))</f>
        <v>0</v>
      </c>
      <c r="K80" s="1029"/>
      <c r="L80" s="1029"/>
      <c r="M80" s="1029"/>
      <c r="N80" s="1029"/>
      <c r="O80" s="1029"/>
      <c r="P80" s="1032"/>
    </row>
    <row r="81" spans="1:16" s="1055" customFormat="1" x14ac:dyDescent="0.25">
      <c r="A81" s="1027"/>
      <c r="B81" s="804" t="s">
        <v>2033</v>
      </c>
      <c r="C81" s="802"/>
      <c r="D81" s="808"/>
      <c r="E81" s="1052" t="str">
        <f>E57</f>
        <v>Calculated value</v>
      </c>
      <c r="F81" s="1340">
        <f>F79*F80</f>
        <v>0</v>
      </c>
      <c r="G81" s="2653"/>
      <c r="H81" s="2653"/>
      <c r="I81" s="2654"/>
      <c r="J81" s="1250">
        <f>IF(OR($E$6&lt;&gt;RIMS_lists!$C$1,$E$7&lt;&gt;Lists!$C$4),0,J79*J80)</f>
        <v>0</v>
      </c>
      <c r="K81" s="1029"/>
      <c r="L81" s="1029"/>
      <c r="M81" s="1029"/>
      <c r="N81" s="1029"/>
      <c r="O81" s="1029"/>
      <c r="P81" s="1032"/>
    </row>
    <row r="82" spans="1:16" s="1055" customFormat="1" ht="16.5" x14ac:dyDescent="0.25">
      <c r="A82" s="1027"/>
      <c r="B82" s="2645" t="s">
        <v>1921</v>
      </c>
      <c r="C82" s="2646"/>
      <c r="D82" s="2647"/>
      <c r="E82" s="1299" t="str">
        <f>E$11</f>
        <v>User-specified value</v>
      </c>
      <c r="F82" s="1300" t="str">
        <f>F$11</f>
        <v>Default</v>
      </c>
      <c r="G82" s="2653"/>
      <c r="H82" s="2653"/>
      <c r="I82" s="2654"/>
      <c r="J82" s="795" t="str">
        <f>J$11</f>
        <v>Value used in model</v>
      </c>
      <c r="K82" s="1029"/>
      <c r="L82" s="1029"/>
      <c r="M82" s="1029"/>
      <c r="N82" s="1029"/>
      <c r="O82" s="1029"/>
      <c r="P82" s="1032"/>
    </row>
    <row r="83" spans="1:16" s="1055" customFormat="1" x14ac:dyDescent="0.25">
      <c r="A83" s="1027"/>
      <c r="B83" s="809" t="str">
        <f>B62</f>
        <v>Price of delivered natural gas ($/mcf)</v>
      </c>
      <c r="C83" s="810"/>
      <c r="D83" s="811"/>
      <c r="E83" s="1052" t="s">
        <v>2036</v>
      </c>
      <c r="F83" s="761">
        <f>F62</f>
        <v>9</v>
      </c>
      <c r="G83" s="2653"/>
      <c r="H83" s="2653"/>
      <c r="I83" s="2654"/>
      <c r="J83" s="793">
        <f>IF(OR($E$6&lt;&gt;RIMS_lists!$C$1,$E$7&lt;&gt;Lists!$C$4),0,J62)</f>
        <v>0</v>
      </c>
      <c r="K83" s="1029"/>
      <c r="L83" s="1029"/>
      <c r="M83" s="1029"/>
      <c r="N83" s="1029"/>
      <c r="O83" s="1029"/>
      <c r="P83" s="1032"/>
    </row>
    <row r="84" spans="1:16" s="1059" customFormat="1" x14ac:dyDescent="0.25">
      <c r="A84" s="1056"/>
      <c r="B84" s="797" t="s">
        <v>1877</v>
      </c>
      <c r="C84" s="773"/>
      <c r="D84" s="812"/>
      <c r="E84" s="1969"/>
      <c r="F84" s="777">
        <f>(F353-F352)*J63*1000*930/1000000</f>
        <v>0</v>
      </c>
      <c r="G84" s="2653"/>
      <c r="H84" s="2653"/>
      <c r="I84" s="2654"/>
      <c r="J84" s="794">
        <f>IF(OR($E$6&lt;&gt;RIMS_lists!$C$1,$E$7&lt;&gt;Lists!$C$4),0,IF(E84&lt;&gt;"",E84,(J353-J352)*J63*1000*930/1000000))</f>
        <v>0</v>
      </c>
      <c r="K84" s="1057"/>
      <c r="L84" s="1057"/>
      <c r="M84" s="1057"/>
      <c r="N84" s="1057"/>
      <c r="O84" s="1057"/>
      <c r="P84" s="1058"/>
    </row>
    <row r="85" spans="1:16" s="1059" customFormat="1" x14ac:dyDescent="0.25">
      <c r="A85" s="1056"/>
      <c r="B85" s="797" t="s">
        <v>1878</v>
      </c>
      <c r="C85" s="773"/>
      <c r="D85" s="812"/>
      <c r="E85" s="1971"/>
      <c r="F85" s="784">
        <v>0.6</v>
      </c>
      <c r="G85" s="2653"/>
      <c r="H85" s="2653"/>
      <c r="I85" s="2654"/>
      <c r="J85" s="798">
        <f>IF(OR($E$6&lt;&gt;RIMS_lists!$C$1,$E$7&lt;&gt;Lists!$C$4),0,IF(E85&gt;1,1,IF(E85&lt;0,0,IF(E85&lt;&gt;"",E85,F85))))</f>
        <v>0</v>
      </c>
      <c r="K85" s="1057"/>
      <c r="L85" s="1057"/>
      <c r="M85" s="1057"/>
      <c r="N85" s="1057"/>
      <c r="O85" s="1057"/>
      <c r="P85" s="1058"/>
    </row>
    <row r="86" spans="1:16" s="1055" customFormat="1" x14ac:dyDescent="0.25">
      <c r="A86" s="1027"/>
      <c r="B86" s="989" t="s">
        <v>2034</v>
      </c>
      <c r="C86" s="990"/>
      <c r="D86" s="991"/>
      <c r="E86" s="1052" t="s">
        <v>1557</v>
      </c>
      <c r="F86" s="1342">
        <f>F83*J63*(F353-F352)*F85</f>
        <v>0</v>
      </c>
      <c r="G86" s="2655"/>
      <c r="H86" s="2655"/>
      <c r="I86" s="2656"/>
      <c r="J86" s="1341">
        <f>IF(OR($E$6&lt;&gt;RIMS_lists!$C$1,$E$7&lt;&gt;Lists!$C$4),0,J83*J84/1000/930*J85*1000000)</f>
        <v>0</v>
      </c>
      <c r="K86" s="1029"/>
      <c r="L86" s="1029"/>
      <c r="M86" s="1029"/>
      <c r="N86" s="1029"/>
      <c r="O86" s="1029"/>
      <c r="P86" s="1032"/>
    </row>
    <row r="87" spans="1:16" s="1024" customFormat="1" x14ac:dyDescent="0.25">
      <c r="A87" s="1027"/>
      <c r="B87" s="1028"/>
      <c r="C87" s="1029"/>
      <c r="D87" s="1029"/>
      <c r="E87" s="1029"/>
      <c r="F87" s="1029"/>
      <c r="G87" s="1029"/>
      <c r="H87" s="1029"/>
      <c r="I87" s="1029"/>
      <c r="J87" s="1030"/>
      <c r="K87" s="1029"/>
      <c r="L87" s="1029"/>
      <c r="M87" s="1029"/>
      <c r="N87" s="1029"/>
      <c r="O87" s="1029"/>
      <c r="P87" s="1029"/>
    </row>
    <row r="88" spans="1:16" s="1029" customFormat="1" ht="39" customHeight="1" x14ac:dyDescent="0.25">
      <c r="A88" s="1027"/>
      <c r="B88" s="1060"/>
      <c r="C88" s="1061"/>
      <c r="D88" s="1061"/>
      <c r="E88" s="1061"/>
      <c r="F88" s="1061"/>
      <c r="G88" s="1061"/>
      <c r="H88" s="1061"/>
      <c r="I88" s="1061"/>
      <c r="J88" s="1062"/>
    </row>
    <row r="89" spans="1:16" s="1029" customFormat="1" x14ac:dyDescent="0.25">
      <c r="A89" s="1027"/>
    </row>
    <row r="90" spans="1:16" s="1029" customFormat="1" x14ac:dyDescent="0.25">
      <c r="A90" s="1027"/>
    </row>
    <row r="91" spans="1:16" s="1029" customFormat="1" x14ac:dyDescent="0.25">
      <c r="A91" s="1027"/>
    </row>
    <row r="92" spans="1:16" s="1029" customFormat="1" x14ac:dyDescent="0.25">
      <c r="A92" s="1027"/>
    </row>
    <row r="93" spans="1:16" s="1029" customFormat="1" x14ac:dyDescent="0.25">
      <c r="A93" s="1027"/>
    </row>
    <row r="94" spans="1:16" s="1029" customFormat="1" x14ac:dyDescent="0.25">
      <c r="A94" s="1027"/>
    </row>
    <row r="95" spans="1:16" s="1029" customFormat="1" x14ac:dyDescent="0.25">
      <c r="A95" s="1027"/>
    </row>
    <row r="96" spans="1:16" s="1029" customFormat="1" x14ac:dyDescent="0.25">
      <c r="A96" s="1027"/>
    </row>
    <row r="97" spans="1:1" s="1029" customFormat="1" x14ac:dyDescent="0.25">
      <c r="A97" s="1027"/>
    </row>
    <row r="98" spans="1:1" s="1029" customFormat="1" x14ac:dyDescent="0.25">
      <c r="A98" s="1027"/>
    </row>
    <row r="99" spans="1:1" s="1029" customFormat="1" x14ac:dyDescent="0.25">
      <c r="A99" s="1027"/>
    </row>
    <row r="100" spans="1:1" s="1029" customFormat="1" x14ac:dyDescent="0.25">
      <c r="A100" s="1027"/>
    </row>
    <row r="101" spans="1:1" s="1029" customFormat="1" x14ac:dyDescent="0.25">
      <c r="A101" s="1027"/>
    </row>
    <row r="102" spans="1:1" s="1029" customFormat="1" x14ac:dyDescent="0.25">
      <c r="A102" s="1027"/>
    </row>
    <row r="103" spans="1:1" s="1029" customFormat="1" x14ac:dyDescent="0.25">
      <c r="A103" s="1027"/>
    </row>
    <row r="104" spans="1:1" s="1029" customFormat="1" x14ac:dyDescent="0.25">
      <c r="A104" s="1027"/>
    </row>
    <row r="105" spans="1:1" s="1029" customFormat="1" x14ac:dyDescent="0.25">
      <c r="A105" s="1027"/>
    </row>
    <row r="106" spans="1:1" s="1029" customFormat="1" x14ac:dyDescent="0.25">
      <c r="A106" s="1027"/>
    </row>
    <row r="107" spans="1:1" s="1029" customFormat="1" x14ac:dyDescent="0.25">
      <c r="A107" s="1027"/>
    </row>
    <row r="108" spans="1:1" s="1029" customFormat="1" x14ac:dyDescent="0.25">
      <c r="A108" s="1027"/>
    </row>
    <row r="109" spans="1:1" s="1029" customFormat="1" x14ac:dyDescent="0.25">
      <c r="A109" s="1027"/>
    </row>
    <row r="110" spans="1:1" s="1029" customFormat="1" x14ac:dyDescent="0.25">
      <c r="A110" s="1027"/>
    </row>
    <row r="111" spans="1:1" s="1029" customFormat="1" x14ac:dyDescent="0.25">
      <c r="A111" s="1027"/>
    </row>
    <row r="112" spans="1:1" s="1029" customFormat="1" hidden="1" x14ac:dyDescent="0.25">
      <c r="A112" s="1027"/>
    </row>
    <row r="113" spans="1:16" s="1029" customFormat="1" hidden="1" x14ac:dyDescent="0.25">
      <c r="A113" s="1027"/>
    </row>
    <row r="114" spans="1:16" s="1059" customFormat="1" hidden="1" x14ac:dyDescent="0.25">
      <c r="A114" s="1879"/>
      <c r="K114" s="1056"/>
      <c r="L114" s="1057"/>
      <c r="M114" s="1057"/>
      <c r="N114" s="1057"/>
      <c r="O114" s="1057"/>
      <c r="P114" s="1058"/>
    </row>
    <row r="115" spans="1:16" s="1055" customFormat="1" hidden="1" x14ac:dyDescent="0.25">
      <c r="A115" s="1063"/>
      <c r="K115" s="1027"/>
      <c r="L115" s="1029"/>
      <c r="M115" s="1029"/>
      <c r="N115" s="1029"/>
      <c r="O115" s="1029"/>
      <c r="P115" s="1032"/>
    </row>
    <row r="116" spans="1:16" s="1055" customFormat="1" hidden="1" x14ac:dyDescent="0.25">
      <c r="A116" s="1063"/>
      <c r="K116" s="1027"/>
      <c r="L116" s="1029"/>
      <c r="M116" s="1029"/>
      <c r="N116" s="1029"/>
      <c r="O116" s="1029"/>
      <c r="P116" s="1032"/>
    </row>
    <row r="117" spans="1:16" s="1055" customFormat="1" hidden="1" x14ac:dyDescent="0.25">
      <c r="A117" s="1063"/>
      <c r="K117" s="1027"/>
      <c r="L117" s="1029"/>
      <c r="M117" s="1029"/>
      <c r="N117" s="1029"/>
      <c r="O117" s="1029"/>
      <c r="P117" s="1032"/>
    </row>
    <row r="118" spans="1:16" s="1055" customFormat="1" hidden="1" x14ac:dyDescent="0.25">
      <c r="A118" s="1063"/>
      <c r="K118" s="1027"/>
      <c r="L118" s="1029"/>
      <c r="M118" s="1029"/>
      <c r="N118" s="1029"/>
      <c r="O118" s="1029"/>
      <c r="P118" s="1032"/>
    </row>
    <row r="119" spans="1:16" s="1055" customFormat="1" hidden="1" x14ac:dyDescent="0.25">
      <c r="A119" s="1063"/>
      <c r="K119" s="1027"/>
      <c r="L119" s="1029"/>
      <c r="M119" s="1029"/>
      <c r="N119" s="1029"/>
      <c r="O119" s="1029"/>
      <c r="P119" s="1032"/>
    </row>
    <row r="120" spans="1:16" s="1055" customFormat="1" hidden="1" x14ac:dyDescent="0.25">
      <c r="A120" s="1063"/>
      <c r="K120" s="1027"/>
      <c r="L120" s="1029"/>
      <c r="M120" s="1029"/>
      <c r="N120" s="1029"/>
      <c r="O120" s="1029"/>
      <c r="P120" s="1032"/>
    </row>
    <row r="121" spans="1:16" s="1055" customFormat="1" hidden="1" x14ac:dyDescent="0.25">
      <c r="A121" s="1063"/>
      <c r="K121" s="1027"/>
      <c r="L121" s="1029"/>
      <c r="M121" s="1029"/>
      <c r="N121" s="1029"/>
      <c r="O121" s="1029"/>
      <c r="P121" s="1032"/>
    </row>
    <row r="122" spans="1:16" s="1055" customFormat="1" hidden="1" x14ac:dyDescent="0.25">
      <c r="A122" s="1063"/>
      <c r="K122" s="1065"/>
      <c r="L122" s="1061"/>
      <c r="M122" s="1061"/>
      <c r="N122" s="1061"/>
      <c r="O122" s="1061"/>
      <c r="P122" s="1066"/>
    </row>
    <row r="123" spans="1:16" s="756" customFormat="1" hidden="1" x14ac:dyDescent="0.25">
      <c r="A123" s="1067"/>
    </row>
    <row r="124" spans="1:16" s="756" customFormat="1" hidden="1" x14ac:dyDescent="0.25">
      <c r="A124" s="1067"/>
    </row>
    <row r="125" spans="1:16" s="756" customFormat="1" hidden="1" x14ac:dyDescent="0.25">
      <c r="A125" s="1067"/>
    </row>
    <row r="126" spans="1:16" s="756" customFormat="1" hidden="1" x14ac:dyDescent="0.25">
      <c r="A126" s="1067"/>
    </row>
    <row r="127" spans="1:16" s="756" customFormat="1" hidden="1" x14ac:dyDescent="0.25">
      <c r="A127" s="1067"/>
    </row>
    <row r="128" spans="1:16" s="756" customFormat="1" hidden="1" x14ac:dyDescent="0.25">
      <c r="A128" s="1067"/>
    </row>
    <row r="129" spans="1:25" s="756" customFormat="1" hidden="1" x14ac:dyDescent="0.25">
      <c r="A129" s="1067"/>
    </row>
    <row r="130" spans="1:25" s="756" customFormat="1" hidden="1" x14ac:dyDescent="0.25">
      <c r="A130" s="1067"/>
    </row>
    <row r="131" spans="1:25" s="756" customFormat="1" hidden="1" x14ac:dyDescent="0.25">
      <c r="A131" s="1067"/>
    </row>
    <row r="132" spans="1:25" s="756" customFormat="1" hidden="1" x14ac:dyDescent="0.25">
      <c r="A132" s="1067"/>
      <c r="F132" s="1214"/>
      <c r="G132" s="1214"/>
    </row>
    <row r="133" spans="1:25" s="756" customFormat="1" hidden="1" x14ac:dyDescent="0.25">
      <c r="A133" s="1067"/>
    </row>
    <row r="134" spans="1:25" s="756" customFormat="1" hidden="1" x14ac:dyDescent="0.25">
      <c r="A134" s="1067"/>
    </row>
    <row r="135" spans="1:25" s="756" customFormat="1" hidden="1" x14ac:dyDescent="0.25">
      <c r="A135" s="1067"/>
      <c r="D135" s="1185" t="s">
        <v>1916</v>
      </c>
    </row>
    <row r="136" spans="1:25" s="756" customFormat="1" hidden="1" x14ac:dyDescent="0.25">
      <c r="A136" s="1067"/>
      <c r="D136" s="745" t="s">
        <v>412</v>
      </c>
      <c r="E136" s="745" t="s">
        <v>10</v>
      </c>
      <c r="F136" s="745" t="s">
        <v>428</v>
      </c>
      <c r="G136" s="745" t="s">
        <v>2253</v>
      </c>
      <c r="H136" s="745" t="s">
        <v>583</v>
      </c>
      <c r="I136" s="745" t="s">
        <v>584</v>
      </c>
      <c r="J136" s="745" t="s">
        <v>585</v>
      </c>
      <c r="K136" s="745" t="s">
        <v>586</v>
      </c>
      <c r="L136" s="745" t="s">
        <v>413</v>
      </c>
      <c r="M136" s="745" t="s">
        <v>414</v>
      </c>
      <c r="N136" s="746" t="s">
        <v>592</v>
      </c>
      <c r="O136" s="746" t="s">
        <v>587</v>
      </c>
      <c r="P136" s="746" t="s">
        <v>588</v>
      </c>
      <c r="Q136" s="746" t="s">
        <v>589</v>
      </c>
      <c r="R136" s="746" t="s">
        <v>590</v>
      </c>
      <c r="S136" s="746" t="s">
        <v>591</v>
      </c>
      <c r="T136" s="746" t="s">
        <v>593</v>
      </c>
      <c r="U136" s="746" t="s">
        <v>594</v>
      </c>
      <c r="V136" s="746" t="s">
        <v>595</v>
      </c>
      <c r="W136" s="746" t="s">
        <v>596</v>
      </c>
      <c r="X136" s="746" t="s">
        <v>597</v>
      </c>
      <c r="Y136" s="746" t="s">
        <v>598</v>
      </c>
    </row>
    <row r="137" spans="1:25" s="756" customFormat="1" hidden="1" x14ac:dyDescent="0.25">
      <c r="A137" s="1067"/>
      <c r="D137" s="756">
        <f t="shared" ref="D137:D138" si="6">IF(OR(State="AK", State="HI", State="WY"), 336300, 334419)</f>
        <v>334419</v>
      </c>
      <c r="E137" s="756" t="str">
        <f t="shared" ref="E137:E138" si="7">IF(OR(State="AK", State="HI", State="WY"), "Motor vehicle parts manufacturing", "Other electronic component manufacturing")</f>
        <v>Other electronic component manufacturing</v>
      </c>
      <c r="F137" s="1910">
        <v>6.6790951276102101E-2</v>
      </c>
      <c r="G137" s="1203">
        <f>F137</f>
        <v>6.6790951276102101E-2</v>
      </c>
      <c r="H137" s="1202" t="e">
        <f>$G137*(INDEX(tier_emp_mult, MATCH($D137, tier_emp_code,0), MATCH(State, R_emp, 0)))/(INDEX(tier_earn_mult, MATCH($D137, tier_earn_code,0), MATCH(State, R_earn, 0)))/1000000</f>
        <v>#N/A</v>
      </c>
      <c r="I137" s="1202"/>
      <c r="J137" s="1202"/>
      <c r="K137" s="1202" t="e">
        <f t="shared" ref="K137" si="8">H137</f>
        <v>#N/A</v>
      </c>
      <c r="L137" s="1202"/>
      <c r="M137" s="1202" t="e">
        <f>$G137*((INDEX(typeII_emp_mult, MATCH($D137, typeII_emp_code,0), MATCH(State, R_emp, 0)))-(INDEX(typeI_emp_mult, MATCH($D137, typeI_emp_code,0), MATCH(State, R_emp, 0))))/(INDEX(tier_earn_mult, MATCH($D137, tier_earn_code,0), MATCH(State, R_earn, 0)))/1000000</f>
        <v>#N/A</v>
      </c>
      <c r="N137" s="1206"/>
      <c r="O137" s="1206"/>
      <c r="P137" s="1206"/>
      <c r="Q137" s="1206"/>
      <c r="R137" s="1206"/>
      <c r="S137" s="1206" t="e">
        <f>$G137*((INDEX(typeII_earn_mult, MATCH($D137, typeII_earn_code,0), MATCH(State, R_earn, 0)))-(INDEX(typeI_earn_mult, MATCH($D137, typeI_earn_code,0), MATCH(State, R_earn, 0))))/(INDEX(tier_earn_mult, MATCH($D137, tier_earn_code,0), MATCH(State, R_earn, 0)))</f>
        <v>#N/A</v>
      </c>
      <c r="T137" s="1206"/>
      <c r="U137" s="1206" t="e">
        <f>$G137*INDEX(typeI_out_mult, MATCH($D137, typeI_out_code,0), MATCH(State, R_out, 0))</f>
        <v>#N/A</v>
      </c>
      <c r="V137" s="1206" t="e">
        <f>$G137*INDEX(typeII_out_mult, MATCH($D137, typeII_out_code,0), MATCH(State, R_out, 0))</f>
        <v>#N/A</v>
      </c>
      <c r="W137" s="1206"/>
      <c r="X137" s="1206"/>
      <c r="Y137" s="1206" t="e">
        <f>$G137*((INDEX(typeII_out_mult, MATCH($D137, typeII_out_code,0), MATCH(State, R_out, 0)))-(INDEX(typeI_out_mult, MATCH($D137, typeI_out_code,0), MATCH(State, R_out, 0))))/(INDEX(tier_earn_mult, MATCH($D137, tier_earn_code,0), MATCH(State, R_earn, 0)))</f>
        <v>#N/A</v>
      </c>
    </row>
    <row r="138" spans="1:25" s="756" customFormat="1" hidden="1" x14ac:dyDescent="0.25">
      <c r="A138" s="1067"/>
      <c r="D138" s="756">
        <f t="shared" si="6"/>
        <v>334419</v>
      </c>
      <c r="E138" s="756" t="str">
        <f t="shared" si="7"/>
        <v>Other electronic component manufacturing</v>
      </c>
      <c r="F138" s="1209">
        <v>3.0742459396751746E-2</v>
      </c>
      <c r="G138" s="1203">
        <f>F138</f>
        <v>3.0742459396751746E-2</v>
      </c>
      <c r="H138" s="1202" t="e">
        <f>$G138*(INDEX(tier_emp_mult, MATCH($D138, tier_emp_code,0), MATCH(State, R_emp, 0)))/(INDEX(tier_earn_mult, MATCH($D138, tier_earn_code,0), MATCH(State, R_earn, 0)))/1000000</f>
        <v>#N/A</v>
      </c>
      <c r="I138" s="1202"/>
      <c r="J138" s="1202"/>
      <c r="K138" s="1202" t="e">
        <f t="shared" ref="K138" si="9">H138</f>
        <v>#N/A</v>
      </c>
      <c r="L138" s="1202"/>
      <c r="M138" s="1202" t="e">
        <f>$G138*((INDEX(typeII_emp_mult, MATCH($D138, typeII_emp_code,0), MATCH(State, R_emp, 0)))-(INDEX(typeI_emp_mult, MATCH($D138, typeI_emp_code,0), MATCH(State, R_emp, 0))))/(INDEX(tier_earn_mult, MATCH($D138, tier_earn_code,0), MATCH(State, R_earn, 0)))/1000000</f>
        <v>#N/A</v>
      </c>
      <c r="N138" s="1206"/>
      <c r="O138" s="1206"/>
      <c r="P138" s="1206"/>
      <c r="Q138" s="1206"/>
      <c r="R138" s="1206"/>
      <c r="S138" s="1206" t="e">
        <f>$G138*((INDEX(typeII_earn_mult, MATCH($D138, typeII_earn_code,0), MATCH(State, R_earn, 0)))-(INDEX(typeI_earn_mult, MATCH($D138, typeI_earn_code,0), MATCH(State, R_earn, 0))))/(INDEX(tier_earn_mult, MATCH($D138, tier_earn_code,0), MATCH(State, R_earn, 0)))</f>
        <v>#N/A</v>
      </c>
      <c r="T138" s="1206"/>
      <c r="U138" s="1206" t="e">
        <f>$G138*INDEX(typeI_out_mult, MATCH($D138, typeI_out_code,0), MATCH(State, R_out, 0))</f>
        <v>#N/A</v>
      </c>
      <c r="V138" s="1206" t="e">
        <f>$G138*INDEX(typeII_out_mult, MATCH($D138, typeII_out_code,0), MATCH(State, R_out, 0))</f>
        <v>#N/A</v>
      </c>
      <c r="W138" s="1206"/>
      <c r="X138" s="1206"/>
      <c r="Y138" s="1206" t="e">
        <f>$G138*((INDEX(typeII_out_mult, MATCH($D138, typeII_out_code,0), MATCH(State, R_out, 0)))-(INDEX(typeI_out_mult, MATCH($D138, typeI_out_code,0), MATCH(State, R_out, 0))))/(INDEX(tier_earn_mult, MATCH($D138, tier_earn_code,0), MATCH(State, R_earn, 0)))</f>
        <v>#N/A</v>
      </c>
    </row>
    <row r="139" spans="1:25" s="756" customFormat="1" hidden="1" x14ac:dyDescent="0.25">
      <c r="A139" s="1067"/>
      <c r="D139" s="745"/>
      <c r="E139" s="1204"/>
      <c r="F139" s="1205">
        <f>SUM(F137:F138)</f>
        <v>9.7533410672853843E-2</v>
      </c>
      <c r="G139" s="1205">
        <f>SUM(G137:G138)</f>
        <v>9.7533410672853843E-2</v>
      </c>
      <c r="H139" s="1207" t="e">
        <f t="shared" ref="H139:Y139" si="10">SUM(H137:H138)</f>
        <v>#N/A</v>
      </c>
      <c r="I139" s="1207"/>
      <c r="J139" s="1207"/>
      <c r="K139" s="1207" t="e">
        <f t="shared" si="10"/>
        <v>#N/A</v>
      </c>
      <c r="L139" s="1207"/>
      <c r="M139" s="1207" t="e">
        <f t="shared" si="10"/>
        <v>#N/A</v>
      </c>
      <c r="N139" s="1205"/>
      <c r="O139" s="1205"/>
      <c r="P139" s="1205"/>
      <c r="Q139" s="1205"/>
      <c r="R139" s="1205"/>
      <c r="S139" s="1208" t="e">
        <f t="shared" si="10"/>
        <v>#N/A</v>
      </c>
      <c r="T139" s="1208"/>
      <c r="U139" s="1208" t="e">
        <f t="shared" si="10"/>
        <v>#N/A</v>
      </c>
      <c r="V139" s="1208" t="e">
        <f t="shared" si="10"/>
        <v>#N/A</v>
      </c>
      <c r="W139" s="1208"/>
      <c r="X139" s="1208"/>
      <c r="Y139" s="1208" t="e">
        <f t="shared" si="10"/>
        <v>#N/A</v>
      </c>
    </row>
    <row r="140" spans="1:25" s="756" customFormat="1" hidden="1" x14ac:dyDescent="0.25">
      <c r="A140" s="1067"/>
      <c r="D140" s="745"/>
      <c r="E140" s="745"/>
      <c r="F140" s="745"/>
      <c r="G140" s="745"/>
      <c r="H140" s="745"/>
      <c r="I140" s="745"/>
      <c r="J140" s="745"/>
      <c r="K140" s="745"/>
      <c r="L140" s="745"/>
      <c r="M140" s="745"/>
      <c r="N140" s="746"/>
      <c r="O140" s="746"/>
      <c r="P140" s="746"/>
      <c r="Q140" s="746"/>
      <c r="R140" s="746"/>
      <c r="S140" s="746"/>
      <c r="T140" s="746"/>
      <c r="U140" s="746"/>
      <c r="V140" s="746"/>
      <c r="W140" s="746"/>
      <c r="X140" s="746"/>
      <c r="Y140" s="746"/>
    </row>
    <row r="141" spans="1:25" s="756" customFormat="1" hidden="1" x14ac:dyDescent="0.25">
      <c r="A141" s="1067"/>
      <c r="D141" s="745"/>
      <c r="E141" s="757">
        <v>2015</v>
      </c>
      <c r="F141" s="1212">
        <f t="shared" ref="F141:F146" si="11">F$139*F336</f>
        <v>0</v>
      </c>
      <c r="G141" s="1212">
        <f t="shared" ref="G141:H146" si="12">G$139*$G336</f>
        <v>0</v>
      </c>
      <c r="H141" s="1207" t="e">
        <f t="shared" si="12"/>
        <v>#N/A</v>
      </c>
      <c r="I141" s="1212"/>
      <c r="J141" s="1212"/>
      <c r="K141" s="1207" t="e">
        <f t="shared" ref="K141:K146" si="13">K$139*$G336</f>
        <v>#N/A</v>
      </c>
      <c r="L141" s="1212"/>
      <c r="M141" s="1207" t="e">
        <f t="shared" ref="M141:M146" si="14">M$139*$G336</f>
        <v>#N/A</v>
      </c>
      <c r="N141" s="1212">
        <f>$G141</f>
        <v>0</v>
      </c>
      <c r="O141" s="1212"/>
      <c r="P141" s="1212"/>
      <c r="Q141" s="1212">
        <f>$G141</f>
        <v>0</v>
      </c>
      <c r="R141" s="1212"/>
      <c r="S141" s="1212" t="e">
        <f t="shared" ref="S141:S146" si="15">S$139*$G336</f>
        <v>#N/A</v>
      </c>
      <c r="T141" s="1212">
        <f>$G141</f>
        <v>0</v>
      </c>
      <c r="U141" s="1212"/>
      <c r="V141" s="1212"/>
      <c r="W141" s="1212">
        <f>$G141</f>
        <v>0</v>
      </c>
      <c r="X141" s="1212"/>
      <c r="Y141" s="1212" t="e">
        <f t="shared" ref="Y141:Y146" si="16">Y$139*$G336</f>
        <v>#N/A</v>
      </c>
    </row>
    <row r="142" spans="1:25" s="756" customFormat="1" hidden="1" x14ac:dyDescent="0.25">
      <c r="A142" s="1067"/>
      <c r="D142" s="745"/>
      <c r="E142" s="757">
        <v>2016</v>
      </c>
      <c r="F142" s="1212">
        <f t="shared" si="11"/>
        <v>0</v>
      </c>
      <c r="G142" s="1212">
        <f t="shared" si="12"/>
        <v>0</v>
      </c>
      <c r="H142" s="1207" t="e">
        <f t="shared" si="12"/>
        <v>#N/A</v>
      </c>
      <c r="I142" s="1212"/>
      <c r="J142" s="1212"/>
      <c r="K142" s="1207" t="e">
        <f t="shared" si="13"/>
        <v>#N/A</v>
      </c>
      <c r="L142" s="1212"/>
      <c r="M142" s="1207" t="e">
        <f t="shared" si="14"/>
        <v>#N/A</v>
      </c>
      <c r="N142" s="1212">
        <f t="shared" ref="N142:N146" si="17">$G142</f>
        <v>0</v>
      </c>
      <c r="O142" s="1212"/>
      <c r="P142" s="1212"/>
      <c r="Q142" s="1212">
        <f t="shared" ref="Q142:Q146" si="18">$G142</f>
        <v>0</v>
      </c>
      <c r="R142" s="1212"/>
      <c r="S142" s="1212" t="e">
        <f t="shared" si="15"/>
        <v>#N/A</v>
      </c>
      <c r="T142" s="1212">
        <f t="shared" ref="T142:T146" si="19">$G142</f>
        <v>0</v>
      </c>
      <c r="U142" s="1212"/>
      <c r="V142" s="1212"/>
      <c r="W142" s="1212">
        <f t="shared" ref="W142:W146" si="20">$G142</f>
        <v>0</v>
      </c>
      <c r="X142" s="1212"/>
      <c r="Y142" s="1212" t="e">
        <f t="shared" si="16"/>
        <v>#N/A</v>
      </c>
    </row>
    <row r="143" spans="1:25" s="756" customFormat="1" hidden="1" x14ac:dyDescent="0.25">
      <c r="A143" s="1067"/>
      <c r="D143" s="745"/>
      <c r="E143" s="757">
        <v>2017</v>
      </c>
      <c r="F143" s="1212">
        <f t="shared" si="11"/>
        <v>0</v>
      </c>
      <c r="G143" s="1212">
        <f t="shared" si="12"/>
        <v>0</v>
      </c>
      <c r="H143" s="1207" t="e">
        <f t="shared" si="12"/>
        <v>#N/A</v>
      </c>
      <c r="I143" s="1212"/>
      <c r="J143" s="1212"/>
      <c r="K143" s="1207" t="e">
        <f t="shared" si="13"/>
        <v>#N/A</v>
      </c>
      <c r="L143" s="1212"/>
      <c r="M143" s="1207" t="e">
        <f t="shared" si="14"/>
        <v>#N/A</v>
      </c>
      <c r="N143" s="1212">
        <f t="shared" si="17"/>
        <v>0</v>
      </c>
      <c r="O143" s="1212"/>
      <c r="P143" s="1212"/>
      <c r="Q143" s="1212">
        <f t="shared" si="18"/>
        <v>0</v>
      </c>
      <c r="R143" s="1212"/>
      <c r="S143" s="1212" t="e">
        <f t="shared" si="15"/>
        <v>#N/A</v>
      </c>
      <c r="T143" s="1212">
        <f t="shared" si="19"/>
        <v>0</v>
      </c>
      <c r="U143" s="1212"/>
      <c r="V143" s="1212"/>
      <c r="W143" s="1212">
        <f t="shared" si="20"/>
        <v>0</v>
      </c>
      <c r="X143" s="1212"/>
      <c r="Y143" s="1212" t="e">
        <f t="shared" si="16"/>
        <v>#N/A</v>
      </c>
    </row>
    <row r="144" spans="1:25" s="756" customFormat="1" hidden="1" x14ac:dyDescent="0.25">
      <c r="A144" s="1067"/>
      <c r="D144" s="745"/>
      <c r="E144" s="757">
        <v>2018</v>
      </c>
      <c r="F144" s="1212">
        <f t="shared" si="11"/>
        <v>0</v>
      </c>
      <c r="G144" s="1212">
        <f t="shared" si="12"/>
        <v>0</v>
      </c>
      <c r="H144" s="1207" t="e">
        <f t="shared" si="12"/>
        <v>#N/A</v>
      </c>
      <c r="I144" s="1212"/>
      <c r="J144" s="1212"/>
      <c r="K144" s="1207" t="e">
        <f t="shared" si="13"/>
        <v>#N/A</v>
      </c>
      <c r="L144" s="1212"/>
      <c r="M144" s="1207" t="e">
        <f t="shared" si="14"/>
        <v>#N/A</v>
      </c>
      <c r="N144" s="1212">
        <f t="shared" si="17"/>
        <v>0</v>
      </c>
      <c r="O144" s="1212"/>
      <c r="P144" s="1212"/>
      <c r="Q144" s="1212">
        <f t="shared" si="18"/>
        <v>0</v>
      </c>
      <c r="R144" s="1212"/>
      <c r="S144" s="1212" t="e">
        <f t="shared" si="15"/>
        <v>#N/A</v>
      </c>
      <c r="T144" s="1212">
        <f t="shared" si="19"/>
        <v>0</v>
      </c>
      <c r="U144" s="1212"/>
      <c r="V144" s="1212"/>
      <c r="W144" s="1212">
        <f t="shared" si="20"/>
        <v>0</v>
      </c>
      <c r="X144" s="1212"/>
      <c r="Y144" s="1212" t="e">
        <f t="shared" si="16"/>
        <v>#N/A</v>
      </c>
    </row>
    <row r="145" spans="1:25" s="756" customFormat="1" hidden="1" x14ac:dyDescent="0.25">
      <c r="A145" s="1067"/>
      <c r="D145" s="745"/>
      <c r="E145" s="757">
        <v>2019</v>
      </c>
      <c r="F145" s="1212">
        <f t="shared" si="11"/>
        <v>0</v>
      </c>
      <c r="G145" s="1212">
        <f t="shared" si="12"/>
        <v>0</v>
      </c>
      <c r="H145" s="1207" t="e">
        <f t="shared" si="12"/>
        <v>#N/A</v>
      </c>
      <c r="I145" s="1212"/>
      <c r="J145" s="1212"/>
      <c r="K145" s="1207" t="e">
        <f t="shared" si="13"/>
        <v>#N/A</v>
      </c>
      <c r="L145" s="1212"/>
      <c r="M145" s="1207" t="e">
        <f t="shared" si="14"/>
        <v>#N/A</v>
      </c>
      <c r="N145" s="1212">
        <f t="shared" si="17"/>
        <v>0</v>
      </c>
      <c r="O145" s="1212"/>
      <c r="P145" s="1212"/>
      <c r="Q145" s="1212">
        <f t="shared" si="18"/>
        <v>0</v>
      </c>
      <c r="R145" s="1212"/>
      <c r="S145" s="1212" t="e">
        <f t="shared" si="15"/>
        <v>#N/A</v>
      </c>
      <c r="T145" s="1212">
        <f t="shared" si="19"/>
        <v>0</v>
      </c>
      <c r="U145" s="1212"/>
      <c r="V145" s="1212"/>
      <c r="W145" s="1212">
        <f t="shared" si="20"/>
        <v>0</v>
      </c>
      <c r="X145" s="1212"/>
      <c r="Y145" s="1212" t="e">
        <f t="shared" si="16"/>
        <v>#N/A</v>
      </c>
    </row>
    <row r="146" spans="1:25" s="756" customFormat="1" hidden="1" x14ac:dyDescent="0.25">
      <c r="A146" s="1067"/>
      <c r="D146" s="745"/>
      <c r="E146" s="1184">
        <v>2020</v>
      </c>
      <c r="F146" s="1212">
        <f t="shared" si="11"/>
        <v>0</v>
      </c>
      <c r="G146" s="1212">
        <f t="shared" si="12"/>
        <v>0</v>
      </c>
      <c r="H146" s="1207" t="e">
        <f t="shared" si="12"/>
        <v>#N/A</v>
      </c>
      <c r="I146" s="1212"/>
      <c r="J146" s="1212"/>
      <c r="K146" s="1207" t="e">
        <f t="shared" si="13"/>
        <v>#N/A</v>
      </c>
      <c r="L146" s="1212"/>
      <c r="M146" s="1207" t="e">
        <f t="shared" si="14"/>
        <v>#N/A</v>
      </c>
      <c r="N146" s="1212">
        <f t="shared" si="17"/>
        <v>0</v>
      </c>
      <c r="O146" s="1212"/>
      <c r="P146" s="1212"/>
      <c r="Q146" s="1212">
        <f t="shared" si="18"/>
        <v>0</v>
      </c>
      <c r="R146" s="1212"/>
      <c r="S146" s="1212" t="e">
        <f t="shared" si="15"/>
        <v>#N/A</v>
      </c>
      <c r="T146" s="1212">
        <f t="shared" si="19"/>
        <v>0</v>
      </c>
      <c r="U146" s="1212"/>
      <c r="V146" s="1212"/>
      <c r="W146" s="1212">
        <f t="shared" si="20"/>
        <v>0</v>
      </c>
      <c r="X146" s="1212"/>
      <c r="Y146" s="1212" t="e">
        <f t="shared" si="16"/>
        <v>#N/A</v>
      </c>
    </row>
    <row r="147" spans="1:25" s="756" customFormat="1" hidden="1" x14ac:dyDescent="0.25">
      <c r="A147" s="1067"/>
      <c r="D147" s="745"/>
      <c r="E147" s="745"/>
      <c r="F147" s="745"/>
      <c r="G147" s="745"/>
      <c r="H147" s="745"/>
      <c r="I147" s="745"/>
      <c r="J147" s="745"/>
      <c r="K147" s="745"/>
      <c r="L147" s="745"/>
      <c r="M147" s="745"/>
      <c r="N147" s="1212"/>
      <c r="O147" s="746"/>
      <c r="P147" s="746"/>
      <c r="Q147" s="746"/>
      <c r="R147" s="746"/>
      <c r="S147" s="746"/>
      <c r="T147" s="746"/>
      <c r="U147" s="746"/>
      <c r="V147" s="746"/>
      <c r="W147" s="746"/>
      <c r="X147" s="746"/>
      <c r="Y147" s="746"/>
    </row>
    <row r="148" spans="1:25" s="756" customFormat="1" hidden="1" x14ac:dyDescent="0.25">
      <c r="A148" s="1067"/>
      <c r="D148" s="745"/>
      <c r="E148" s="745"/>
      <c r="F148" s="745"/>
      <c r="G148" s="745"/>
      <c r="H148" s="745"/>
      <c r="I148" s="745"/>
      <c r="J148" s="745"/>
      <c r="K148" s="745"/>
      <c r="L148" s="745"/>
      <c r="M148" s="745"/>
      <c r="N148" s="746"/>
      <c r="O148" s="746"/>
      <c r="P148" s="746"/>
      <c r="Q148" s="746"/>
      <c r="R148" s="746"/>
      <c r="S148" s="746"/>
      <c r="T148" s="746"/>
      <c r="U148" s="746"/>
      <c r="V148" s="746"/>
      <c r="W148" s="746"/>
      <c r="X148" s="746"/>
      <c r="Y148" s="746"/>
    </row>
    <row r="149" spans="1:25" s="756" customFormat="1" hidden="1" x14ac:dyDescent="0.25">
      <c r="A149" s="1067"/>
      <c r="D149" s="745"/>
      <c r="E149" s="745"/>
      <c r="F149" s="745"/>
      <c r="G149" s="745"/>
      <c r="H149" s="745"/>
      <c r="I149" s="745"/>
      <c r="J149" s="745"/>
      <c r="K149" s="745"/>
      <c r="L149" s="745"/>
      <c r="M149" s="745"/>
      <c r="N149" s="746"/>
      <c r="O149" s="746"/>
      <c r="P149" s="746"/>
      <c r="Q149" s="746"/>
      <c r="R149" s="746"/>
      <c r="S149" s="746"/>
      <c r="T149" s="746"/>
      <c r="U149" s="746"/>
      <c r="V149" s="746"/>
      <c r="W149" s="746"/>
      <c r="X149" s="746"/>
      <c r="Y149" s="746"/>
    </row>
    <row r="150" spans="1:25" s="756" customFormat="1" hidden="1" x14ac:dyDescent="0.25">
      <c r="A150" s="1067"/>
      <c r="D150" s="745" t="s">
        <v>412</v>
      </c>
      <c r="E150" s="745" t="s">
        <v>10</v>
      </c>
      <c r="F150" s="745" t="s">
        <v>428</v>
      </c>
      <c r="G150" s="745" t="str">
        <f>G$136</f>
        <v>Cost in 2008 dollars</v>
      </c>
      <c r="H150" s="745" t="s">
        <v>583</v>
      </c>
      <c r="I150" s="745" t="s">
        <v>584</v>
      </c>
      <c r="J150" s="745" t="s">
        <v>585</v>
      </c>
      <c r="K150" s="745" t="s">
        <v>586</v>
      </c>
      <c r="L150" s="745" t="s">
        <v>413</v>
      </c>
      <c r="M150" s="745" t="s">
        <v>414</v>
      </c>
      <c r="N150" s="746" t="s">
        <v>592</v>
      </c>
      <c r="O150" s="746" t="s">
        <v>587</v>
      </c>
      <c r="P150" s="746" t="s">
        <v>588</v>
      </c>
      <c r="Q150" s="746" t="s">
        <v>589</v>
      </c>
      <c r="R150" s="746" t="s">
        <v>590</v>
      </c>
      <c r="S150" s="746" t="s">
        <v>591</v>
      </c>
      <c r="T150" s="746" t="s">
        <v>593</v>
      </c>
      <c r="U150" s="746" t="s">
        <v>594</v>
      </c>
      <c r="V150" s="746" t="s">
        <v>595</v>
      </c>
      <c r="W150" s="746" t="s">
        <v>596</v>
      </c>
      <c r="X150" s="746" t="s">
        <v>597</v>
      </c>
      <c r="Y150" s="746" t="s">
        <v>598</v>
      </c>
    </row>
    <row r="151" spans="1:25" s="756" customFormat="1" hidden="1" x14ac:dyDescent="0.25">
      <c r="A151" s="1067"/>
      <c r="D151" s="1365">
        <v>335991</v>
      </c>
      <c r="E151" s="756" t="s">
        <v>603</v>
      </c>
      <c r="F151" s="1909">
        <v>8.9054601701469477E-2</v>
      </c>
      <c r="G151" s="1203">
        <f t="shared" ref="G151:G164" si="21">F151</f>
        <v>8.9054601701469477E-2</v>
      </c>
      <c r="H151" s="751" t="e">
        <f t="shared" ref="H151:H164" si="22">$G151*INDEX(tier_emp_mult, MATCH($D151, tier_emp_code,0), MATCH(State, R_emp, 0))/1000000</f>
        <v>#N/A</v>
      </c>
      <c r="I151" s="752" t="e">
        <f t="shared" ref="I151:I164" si="23">$G151*INDEX(typeI_emp_mult, MATCH($D151, typeI_emp_code,0), MATCH(State, R_emp, 0))/1000000</f>
        <v>#N/A</v>
      </c>
      <c r="J151" s="752" t="e">
        <f t="shared" ref="J151:J164" si="24">$G151*INDEX(typeII_emp_mult, MATCH($D151, typeII_emp_code,0), MATCH(State, R_emp, 0))/1000000</f>
        <v>#N/A</v>
      </c>
      <c r="K151" s="753" t="e">
        <f t="shared" ref="K151:K164" si="25">H151</f>
        <v>#N/A</v>
      </c>
      <c r="L151" s="753" t="e">
        <f t="shared" ref="L151:L164" si="26">I151-H151</f>
        <v>#N/A</v>
      </c>
      <c r="M151" s="753" t="e">
        <f t="shared" ref="M151:M164" si="27">J151-I151</f>
        <v>#N/A</v>
      </c>
      <c r="N151" s="754" t="e">
        <f t="shared" ref="N151:N164" si="28">$G151*INDEX(tier_earn_mult, MATCH($D151, tier_earn_code,0), MATCH(State, R_earn, 0))</f>
        <v>#N/A</v>
      </c>
      <c r="O151" s="754" t="e">
        <f t="shared" ref="O151:O164" si="29">$G151*INDEX(typeI_earn_mult, MATCH($D151, typeI_earn_code,0), MATCH(State, R_earn, 0))</f>
        <v>#N/A</v>
      </c>
      <c r="P151" s="754" t="e">
        <f t="shared" ref="P151:P164" si="30">$G151*INDEX(typeII_earn_mult, MATCH($D151, typeII_earn_code,0), MATCH(State, R_earn, 0))</f>
        <v>#N/A</v>
      </c>
      <c r="Q151" s="754" t="e">
        <f t="shared" ref="Q151:Q164" si="31">N151</f>
        <v>#N/A</v>
      </c>
      <c r="R151" s="754" t="e">
        <f t="shared" ref="R151:R164" si="32">O151-N151</f>
        <v>#N/A</v>
      </c>
      <c r="S151" s="754" t="e">
        <f t="shared" ref="S151:S164" si="33">P151-O151</f>
        <v>#N/A</v>
      </c>
      <c r="T151" s="754" t="e">
        <f t="shared" ref="T151:T164" si="34">$G151*INDEX(tier_out_mult, MATCH($D151, tier_out_code,0), MATCH(State, R_out, 0))</f>
        <v>#N/A</v>
      </c>
      <c r="U151" s="754" t="e">
        <f t="shared" ref="U151:U164" si="35">$G151*INDEX(typeI_out_mult, MATCH($D151, typeI_out_code,0), MATCH(State, R_out, 0))</f>
        <v>#N/A</v>
      </c>
      <c r="V151" s="754" t="e">
        <f t="shared" ref="V151:V164" si="36">$G151*INDEX(typeII_out_mult, MATCH($D151, typeII_out_code,0), MATCH(State, R_out, 0))</f>
        <v>#N/A</v>
      </c>
      <c r="W151" s="754" t="e">
        <f t="shared" ref="W151:W164" si="37">T151</f>
        <v>#N/A</v>
      </c>
      <c r="X151" s="754" t="e">
        <f t="shared" ref="X151:X164" si="38">U151-T151</f>
        <v>#N/A</v>
      </c>
      <c r="Y151" s="754" t="e">
        <f t="shared" ref="Y151:Y164" si="39">V151-U151</f>
        <v>#N/A</v>
      </c>
    </row>
    <row r="152" spans="1:25" s="756" customFormat="1" hidden="1" x14ac:dyDescent="0.25">
      <c r="A152" s="1067"/>
      <c r="D152" s="1365">
        <v>339991</v>
      </c>
      <c r="E152" s="756" t="s">
        <v>604</v>
      </c>
      <c r="F152" s="1909">
        <v>4.4527300850734737E-3</v>
      </c>
      <c r="G152" s="1203">
        <f t="shared" si="21"/>
        <v>4.4527300850734737E-3</v>
      </c>
      <c r="H152" s="751" t="e">
        <f t="shared" si="22"/>
        <v>#N/A</v>
      </c>
      <c r="I152" s="752" t="e">
        <f t="shared" si="23"/>
        <v>#N/A</v>
      </c>
      <c r="J152" s="752" t="e">
        <f t="shared" si="24"/>
        <v>#N/A</v>
      </c>
      <c r="K152" s="753" t="e">
        <f t="shared" si="25"/>
        <v>#N/A</v>
      </c>
      <c r="L152" s="753" t="e">
        <f t="shared" si="26"/>
        <v>#N/A</v>
      </c>
      <c r="M152" s="753" t="e">
        <f t="shared" si="27"/>
        <v>#N/A</v>
      </c>
      <c r="N152" s="754" t="e">
        <f t="shared" si="28"/>
        <v>#N/A</v>
      </c>
      <c r="O152" s="754" t="e">
        <f t="shared" si="29"/>
        <v>#N/A</v>
      </c>
      <c r="P152" s="754" t="e">
        <f t="shared" si="30"/>
        <v>#N/A</v>
      </c>
      <c r="Q152" s="754" t="e">
        <f t="shared" si="31"/>
        <v>#N/A</v>
      </c>
      <c r="R152" s="754" t="e">
        <f t="shared" si="32"/>
        <v>#N/A</v>
      </c>
      <c r="S152" s="754" t="e">
        <f t="shared" si="33"/>
        <v>#N/A</v>
      </c>
      <c r="T152" s="754" t="e">
        <f t="shared" si="34"/>
        <v>#N/A</v>
      </c>
      <c r="U152" s="754" t="e">
        <f t="shared" si="35"/>
        <v>#N/A</v>
      </c>
      <c r="V152" s="754" t="e">
        <f t="shared" si="36"/>
        <v>#N/A</v>
      </c>
      <c r="W152" s="754" t="e">
        <f t="shared" si="37"/>
        <v>#N/A</v>
      </c>
      <c r="X152" s="754" t="e">
        <f t="shared" si="38"/>
        <v>#N/A</v>
      </c>
      <c r="Y152" s="754" t="e">
        <f t="shared" si="39"/>
        <v>#N/A</v>
      </c>
    </row>
    <row r="153" spans="1:25" s="756" customFormat="1" hidden="1" x14ac:dyDescent="0.25">
      <c r="A153" s="1067"/>
      <c r="D153" s="1365">
        <v>331490</v>
      </c>
      <c r="E153" s="756" t="s">
        <v>605</v>
      </c>
      <c r="F153" s="1909">
        <v>2.2263650425367369E-2</v>
      </c>
      <c r="G153" s="1203">
        <f t="shared" si="21"/>
        <v>2.2263650425367369E-2</v>
      </c>
      <c r="H153" s="751" t="e">
        <f t="shared" si="22"/>
        <v>#N/A</v>
      </c>
      <c r="I153" s="752" t="e">
        <f t="shared" si="23"/>
        <v>#N/A</v>
      </c>
      <c r="J153" s="752" t="e">
        <f t="shared" si="24"/>
        <v>#N/A</v>
      </c>
      <c r="K153" s="753" t="e">
        <f t="shared" si="25"/>
        <v>#N/A</v>
      </c>
      <c r="L153" s="753" t="e">
        <f t="shared" si="26"/>
        <v>#N/A</v>
      </c>
      <c r="M153" s="753" t="e">
        <f t="shared" si="27"/>
        <v>#N/A</v>
      </c>
      <c r="N153" s="754" t="e">
        <f t="shared" si="28"/>
        <v>#N/A</v>
      </c>
      <c r="O153" s="754" t="e">
        <f t="shared" si="29"/>
        <v>#N/A</v>
      </c>
      <c r="P153" s="754" t="e">
        <f t="shared" si="30"/>
        <v>#N/A</v>
      </c>
      <c r="Q153" s="754" t="e">
        <f t="shared" si="31"/>
        <v>#N/A</v>
      </c>
      <c r="R153" s="754" t="e">
        <f t="shared" si="32"/>
        <v>#N/A</v>
      </c>
      <c r="S153" s="754" t="e">
        <f t="shared" si="33"/>
        <v>#N/A</v>
      </c>
      <c r="T153" s="754" t="e">
        <f t="shared" si="34"/>
        <v>#N/A</v>
      </c>
      <c r="U153" s="754" t="e">
        <f t="shared" si="35"/>
        <v>#N/A</v>
      </c>
      <c r="V153" s="754" t="e">
        <f t="shared" si="36"/>
        <v>#N/A</v>
      </c>
      <c r="W153" s="754" t="e">
        <f t="shared" si="37"/>
        <v>#N/A</v>
      </c>
      <c r="X153" s="754" t="e">
        <f t="shared" si="38"/>
        <v>#N/A</v>
      </c>
      <c r="Y153" s="754" t="e">
        <f t="shared" si="39"/>
        <v>#N/A</v>
      </c>
    </row>
    <row r="154" spans="1:25" s="756" customFormat="1" hidden="1" x14ac:dyDescent="0.25">
      <c r="A154" s="1067"/>
      <c r="D154" s="1365">
        <v>334419</v>
      </c>
      <c r="E154" s="756" t="s">
        <v>221</v>
      </c>
      <c r="F154" s="1909">
        <v>2.2263650425367368E-3</v>
      </c>
      <c r="G154" s="1203">
        <f t="shared" si="21"/>
        <v>2.2263650425367368E-3</v>
      </c>
      <c r="H154" s="751" t="e">
        <f t="shared" si="22"/>
        <v>#N/A</v>
      </c>
      <c r="I154" s="752" t="e">
        <f t="shared" si="23"/>
        <v>#N/A</v>
      </c>
      <c r="J154" s="752" t="e">
        <f t="shared" si="24"/>
        <v>#N/A</v>
      </c>
      <c r="K154" s="753" t="e">
        <f t="shared" si="25"/>
        <v>#N/A</v>
      </c>
      <c r="L154" s="753" t="e">
        <f t="shared" si="26"/>
        <v>#N/A</v>
      </c>
      <c r="M154" s="753" t="e">
        <f t="shared" si="27"/>
        <v>#N/A</v>
      </c>
      <c r="N154" s="754" t="e">
        <f t="shared" si="28"/>
        <v>#N/A</v>
      </c>
      <c r="O154" s="754" t="e">
        <f t="shared" si="29"/>
        <v>#N/A</v>
      </c>
      <c r="P154" s="754" t="e">
        <f t="shared" si="30"/>
        <v>#N/A</v>
      </c>
      <c r="Q154" s="754" t="e">
        <f t="shared" si="31"/>
        <v>#N/A</v>
      </c>
      <c r="R154" s="754" t="e">
        <f t="shared" si="32"/>
        <v>#N/A</v>
      </c>
      <c r="S154" s="754" t="e">
        <f t="shared" si="33"/>
        <v>#N/A</v>
      </c>
      <c r="T154" s="754" t="e">
        <f t="shared" si="34"/>
        <v>#N/A</v>
      </c>
      <c r="U154" s="754" t="e">
        <f t="shared" si="35"/>
        <v>#N/A</v>
      </c>
      <c r="V154" s="754" t="e">
        <f t="shared" si="36"/>
        <v>#N/A</v>
      </c>
      <c r="W154" s="754" t="e">
        <f t="shared" si="37"/>
        <v>#N/A</v>
      </c>
      <c r="X154" s="754" t="e">
        <f t="shared" si="38"/>
        <v>#N/A</v>
      </c>
      <c r="Y154" s="754" t="e">
        <f t="shared" si="39"/>
        <v>#N/A</v>
      </c>
    </row>
    <row r="155" spans="1:25" s="756" customFormat="1" hidden="1" x14ac:dyDescent="0.25">
      <c r="A155" s="1067"/>
      <c r="D155" s="1365">
        <v>325211</v>
      </c>
      <c r="E155" s="756" t="s">
        <v>606</v>
      </c>
      <c r="F155" s="1909">
        <v>4.4527300850734737E-3</v>
      </c>
      <c r="G155" s="1203">
        <f t="shared" si="21"/>
        <v>4.4527300850734737E-3</v>
      </c>
      <c r="H155" s="751" t="e">
        <f t="shared" si="22"/>
        <v>#N/A</v>
      </c>
      <c r="I155" s="752" t="e">
        <f t="shared" si="23"/>
        <v>#N/A</v>
      </c>
      <c r="J155" s="752" t="e">
        <f t="shared" si="24"/>
        <v>#N/A</v>
      </c>
      <c r="K155" s="753" t="e">
        <f t="shared" si="25"/>
        <v>#N/A</v>
      </c>
      <c r="L155" s="753" t="e">
        <f t="shared" si="26"/>
        <v>#N/A</v>
      </c>
      <c r="M155" s="753" t="e">
        <f t="shared" si="27"/>
        <v>#N/A</v>
      </c>
      <c r="N155" s="754" t="e">
        <f t="shared" si="28"/>
        <v>#N/A</v>
      </c>
      <c r="O155" s="754" t="e">
        <f t="shared" si="29"/>
        <v>#N/A</v>
      </c>
      <c r="P155" s="754" t="e">
        <f t="shared" si="30"/>
        <v>#N/A</v>
      </c>
      <c r="Q155" s="754" t="e">
        <f t="shared" si="31"/>
        <v>#N/A</v>
      </c>
      <c r="R155" s="754" t="e">
        <f t="shared" si="32"/>
        <v>#N/A</v>
      </c>
      <c r="S155" s="754" t="e">
        <f t="shared" si="33"/>
        <v>#N/A</v>
      </c>
      <c r="T155" s="754" t="e">
        <f t="shared" si="34"/>
        <v>#N/A</v>
      </c>
      <c r="U155" s="754" t="e">
        <f t="shared" si="35"/>
        <v>#N/A</v>
      </c>
      <c r="V155" s="754" t="e">
        <f t="shared" si="36"/>
        <v>#N/A</v>
      </c>
      <c r="W155" s="754" t="e">
        <f t="shared" si="37"/>
        <v>#N/A</v>
      </c>
      <c r="X155" s="754" t="e">
        <f t="shared" si="38"/>
        <v>#N/A</v>
      </c>
      <c r="Y155" s="754" t="e">
        <f t="shared" si="39"/>
        <v>#N/A</v>
      </c>
    </row>
    <row r="156" spans="1:25" s="756" customFormat="1" hidden="1" x14ac:dyDescent="0.25">
      <c r="A156" s="1067"/>
      <c r="D156" s="1365">
        <v>331200</v>
      </c>
      <c r="E156" s="756" t="s">
        <v>607</v>
      </c>
      <c r="F156" s="1909">
        <v>3.339547563805105E-2</v>
      </c>
      <c r="G156" s="1203">
        <f t="shared" si="21"/>
        <v>3.339547563805105E-2</v>
      </c>
      <c r="H156" s="751" t="e">
        <f t="shared" si="22"/>
        <v>#N/A</v>
      </c>
      <c r="I156" s="752" t="e">
        <f t="shared" si="23"/>
        <v>#N/A</v>
      </c>
      <c r="J156" s="752" t="e">
        <f t="shared" si="24"/>
        <v>#N/A</v>
      </c>
      <c r="K156" s="753" t="e">
        <f t="shared" si="25"/>
        <v>#N/A</v>
      </c>
      <c r="L156" s="753" t="e">
        <f t="shared" si="26"/>
        <v>#N/A</v>
      </c>
      <c r="M156" s="753" t="e">
        <f t="shared" si="27"/>
        <v>#N/A</v>
      </c>
      <c r="N156" s="754" t="e">
        <f t="shared" si="28"/>
        <v>#N/A</v>
      </c>
      <c r="O156" s="754" t="e">
        <f t="shared" si="29"/>
        <v>#N/A</v>
      </c>
      <c r="P156" s="754" t="e">
        <f t="shared" si="30"/>
        <v>#N/A</v>
      </c>
      <c r="Q156" s="754" t="e">
        <f t="shared" si="31"/>
        <v>#N/A</v>
      </c>
      <c r="R156" s="754" t="e">
        <f t="shared" si="32"/>
        <v>#N/A</v>
      </c>
      <c r="S156" s="754" t="e">
        <f t="shared" si="33"/>
        <v>#N/A</v>
      </c>
      <c r="T156" s="754" t="e">
        <f t="shared" si="34"/>
        <v>#N/A</v>
      </c>
      <c r="U156" s="754" t="e">
        <f t="shared" si="35"/>
        <v>#N/A</v>
      </c>
      <c r="V156" s="754" t="e">
        <f t="shared" si="36"/>
        <v>#N/A</v>
      </c>
      <c r="W156" s="754" t="e">
        <f t="shared" si="37"/>
        <v>#N/A</v>
      </c>
      <c r="X156" s="754" t="e">
        <f t="shared" si="38"/>
        <v>#N/A</v>
      </c>
      <c r="Y156" s="754" t="e">
        <f t="shared" si="39"/>
        <v>#N/A</v>
      </c>
    </row>
    <row r="157" spans="1:25" s="756" customFormat="1" hidden="1" x14ac:dyDescent="0.25">
      <c r="A157" s="1067"/>
      <c r="I157" s="752"/>
      <c r="J157" s="752"/>
      <c r="K157" s="753"/>
      <c r="L157" s="753"/>
      <c r="M157" s="753"/>
      <c r="N157" s="754"/>
      <c r="O157" s="754"/>
      <c r="P157" s="754"/>
      <c r="Q157" s="754"/>
      <c r="R157" s="754"/>
      <c r="S157" s="754"/>
      <c r="T157" s="754"/>
      <c r="U157" s="754"/>
      <c r="V157" s="754"/>
      <c r="W157" s="754"/>
      <c r="X157" s="754"/>
      <c r="Y157" s="754"/>
    </row>
    <row r="158" spans="1:25" s="756" customFormat="1" hidden="1" x14ac:dyDescent="0.25">
      <c r="A158" s="1067"/>
      <c r="D158" s="1365">
        <v>335314</v>
      </c>
      <c r="E158" s="756" t="s">
        <v>9</v>
      </c>
      <c r="F158" s="1909">
        <v>0.10018642691415314</v>
      </c>
      <c r="G158" s="1203">
        <f t="shared" si="21"/>
        <v>0.10018642691415314</v>
      </c>
      <c r="H158" s="751" t="e">
        <f t="shared" si="22"/>
        <v>#N/A</v>
      </c>
      <c r="I158" s="752" t="e">
        <f t="shared" si="23"/>
        <v>#N/A</v>
      </c>
      <c r="J158" s="752" t="e">
        <f t="shared" si="24"/>
        <v>#N/A</v>
      </c>
      <c r="K158" s="753" t="e">
        <f t="shared" si="25"/>
        <v>#N/A</v>
      </c>
      <c r="L158" s="753" t="e">
        <f t="shared" si="26"/>
        <v>#N/A</v>
      </c>
      <c r="M158" s="753" t="e">
        <f t="shared" si="27"/>
        <v>#N/A</v>
      </c>
      <c r="N158" s="754" t="e">
        <f t="shared" si="28"/>
        <v>#N/A</v>
      </c>
      <c r="O158" s="754" t="e">
        <f t="shared" si="29"/>
        <v>#N/A</v>
      </c>
      <c r="P158" s="754" t="e">
        <f t="shared" si="30"/>
        <v>#N/A</v>
      </c>
      <c r="Q158" s="754" t="e">
        <f t="shared" si="31"/>
        <v>#N/A</v>
      </c>
      <c r="R158" s="754" t="e">
        <f t="shared" si="32"/>
        <v>#N/A</v>
      </c>
      <c r="S158" s="754" t="e">
        <f t="shared" si="33"/>
        <v>#N/A</v>
      </c>
      <c r="T158" s="754" t="e">
        <f t="shared" si="34"/>
        <v>#N/A</v>
      </c>
      <c r="U158" s="754" t="e">
        <f t="shared" si="35"/>
        <v>#N/A</v>
      </c>
      <c r="V158" s="754" t="e">
        <f t="shared" si="36"/>
        <v>#N/A</v>
      </c>
      <c r="W158" s="754" t="e">
        <f t="shared" si="37"/>
        <v>#N/A</v>
      </c>
      <c r="X158" s="754" t="e">
        <f t="shared" si="38"/>
        <v>#N/A</v>
      </c>
      <c r="Y158" s="754" t="e">
        <f t="shared" si="39"/>
        <v>#N/A</v>
      </c>
    </row>
    <row r="159" spans="1:25" s="756" customFormat="1" hidden="1" x14ac:dyDescent="0.25">
      <c r="A159" s="1067"/>
      <c r="D159" s="1365">
        <v>332996</v>
      </c>
      <c r="E159" s="756" t="s">
        <v>179</v>
      </c>
      <c r="F159" s="1909">
        <v>3.339547563805105E-2</v>
      </c>
      <c r="G159" s="1203">
        <f t="shared" si="21"/>
        <v>3.339547563805105E-2</v>
      </c>
      <c r="H159" s="751" t="e">
        <f t="shared" si="22"/>
        <v>#N/A</v>
      </c>
      <c r="I159" s="752" t="e">
        <f t="shared" si="23"/>
        <v>#N/A</v>
      </c>
      <c r="J159" s="752" t="e">
        <f t="shared" si="24"/>
        <v>#N/A</v>
      </c>
      <c r="K159" s="753" t="e">
        <f t="shared" si="25"/>
        <v>#N/A</v>
      </c>
      <c r="L159" s="753" t="e">
        <f t="shared" si="26"/>
        <v>#N/A</v>
      </c>
      <c r="M159" s="753" t="e">
        <f t="shared" si="27"/>
        <v>#N/A</v>
      </c>
      <c r="N159" s="754" t="e">
        <f t="shared" si="28"/>
        <v>#N/A</v>
      </c>
      <c r="O159" s="754" t="e">
        <f t="shared" si="29"/>
        <v>#N/A</v>
      </c>
      <c r="P159" s="754" t="e">
        <f t="shared" si="30"/>
        <v>#N/A</v>
      </c>
      <c r="Q159" s="754" t="e">
        <f t="shared" si="31"/>
        <v>#N/A</v>
      </c>
      <c r="R159" s="754" t="e">
        <f t="shared" si="32"/>
        <v>#N/A</v>
      </c>
      <c r="S159" s="754" t="e">
        <f t="shared" si="33"/>
        <v>#N/A</v>
      </c>
      <c r="T159" s="754" t="e">
        <f t="shared" si="34"/>
        <v>#N/A</v>
      </c>
      <c r="U159" s="754" t="e">
        <f t="shared" si="35"/>
        <v>#N/A</v>
      </c>
      <c r="V159" s="754" t="e">
        <f t="shared" si="36"/>
        <v>#N/A</v>
      </c>
      <c r="W159" s="754" t="e">
        <f t="shared" si="37"/>
        <v>#N/A</v>
      </c>
      <c r="X159" s="754" t="e">
        <f t="shared" si="38"/>
        <v>#N/A</v>
      </c>
      <c r="Y159" s="754" t="e">
        <f t="shared" si="39"/>
        <v>#N/A</v>
      </c>
    </row>
    <row r="160" spans="1:25" s="756" customFormat="1" hidden="1" x14ac:dyDescent="0.25">
      <c r="A160" s="1067"/>
      <c r="D160" s="1365">
        <v>332913</v>
      </c>
      <c r="E160" s="756" t="s">
        <v>8</v>
      </c>
      <c r="F160" s="1909">
        <v>3.339547563805105E-2</v>
      </c>
      <c r="G160" s="1203">
        <f t="shared" si="21"/>
        <v>3.339547563805105E-2</v>
      </c>
      <c r="H160" s="751" t="e">
        <f t="shared" si="22"/>
        <v>#N/A</v>
      </c>
      <c r="I160" s="752" t="e">
        <f t="shared" si="23"/>
        <v>#N/A</v>
      </c>
      <c r="J160" s="752" t="e">
        <f t="shared" si="24"/>
        <v>#N/A</v>
      </c>
      <c r="K160" s="753" t="e">
        <f t="shared" si="25"/>
        <v>#N/A</v>
      </c>
      <c r="L160" s="753" t="e">
        <f t="shared" si="26"/>
        <v>#N/A</v>
      </c>
      <c r="M160" s="753" t="e">
        <f t="shared" si="27"/>
        <v>#N/A</v>
      </c>
      <c r="N160" s="754" t="e">
        <f t="shared" si="28"/>
        <v>#N/A</v>
      </c>
      <c r="O160" s="754" t="e">
        <f t="shared" si="29"/>
        <v>#N/A</v>
      </c>
      <c r="P160" s="754" t="e">
        <f t="shared" si="30"/>
        <v>#N/A</v>
      </c>
      <c r="Q160" s="754" t="e">
        <f t="shared" si="31"/>
        <v>#N/A</v>
      </c>
      <c r="R160" s="754" t="e">
        <f t="shared" si="32"/>
        <v>#N/A</v>
      </c>
      <c r="S160" s="754" t="e">
        <f t="shared" si="33"/>
        <v>#N/A</v>
      </c>
      <c r="T160" s="754" t="e">
        <f t="shared" si="34"/>
        <v>#N/A</v>
      </c>
      <c r="U160" s="754" t="e">
        <f t="shared" si="35"/>
        <v>#N/A</v>
      </c>
      <c r="V160" s="754" t="e">
        <f t="shared" si="36"/>
        <v>#N/A</v>
      </c>
      <c r="W160" s="754" t="e">
        <f t="shared" si="37"/>
        <v>#N/A</v>
      </c>
      <c r="X160" s="754" t="e">
        <f t="shared" si="38"/>
        <v>#N/A</v>
      </c>
      <c r="Y160" s="754" t="e">
        <f t="shared" si="39"/>
        <v>#N/A</v>
      </c>
    </row>
    <row r="161" spans="1:25" s="756" customFormat="1" hidden="1" x14ac:dyDescent="0.25">
      <c r="A161" s="1067"/>
      <c r="D161" s="1365" t="s">
        <v>601</v>
      </c>
      <c r="E161" s="756" t="s">
        <v>612</v>
      </c>
      <c r="F161" s="1909">
        <v>0.1335819025522042</v>
      </c>
      <c r="G161" s="1203">
        <f t="shared" si="21"/>
        <v>0.1335819025522042</v>
      </c>
      <c r="H161" s="751" t="e">
        <f t="shared" si="22"/>
        <v>#N/A</v>
      </c>
      <c r="I161" s="752" t="e">
        <f t="shared" si="23"/>
        <v>#N/A</v>
      </c>
      <c r="J161" s="752" t="e">
        <f t="shared" si="24"/>
        <v>#N/A</v>
      </c>
      <c r="K161" s="753" t="e">
        <f t="shared" si="25"/>
        <v>#N/A</v>
      </c>
      <c r="L161" s="753" t="e">
        <f t="shared" si="26"/>
        <v>#N/A</v>
      </c>
      <c r="M161" s="753" t="e">
        <f t="shared" si="27"/>
        <v>#N/A</v>
      </c>
      <c r="N161" s="754" t="e">
        <f t="shared" si="28"/>
        <v>#N/A</v>
      </c>
      <c r="O161" s="754" t="e">
        <f t="shared" si="29"/>
        <v>#N/A</v>
      </c>
      <c r="P161" s="754" t="e">
        <f t="shared" si="30"/>
        <v>#N/A</v>
      </c>
      <c r="Q161" s="754" t="e">
        <f t="shared" si="31"/>
        <v>#N/A</v>
      </c>
      <c r="R161" s="754" t="e">
        <f t="shared" si="32"/>
        <v>#N/A</v>
      </c>
      <c r="S161" s="754" t="e">
        <f t="shared" si="33"/>
        <v>#N/A</v>
      </c>
      <c r="T161" s="754" t="e">
        <f t="shared" si="34"/>
        <v>#N/A</v>
      </c>
      <c r="U161" s="754" t="e">
        <f t="shared" si="35"/>
        <v>#N/A</v>
      </c>
      <c r="V161" s="754" t="e">
        <f t="shared" si="36"/>
        <v>#N/A</v>
      </c>
      <c r="W161" s="754" t="e">
        <f t="shared" si="37"/>
        <v>#N/A</v>
      </c>
      <c r="X161" s="754" t="e">
        <f t="shared" si="38"/>
        <v>#N/A</v>
      </c>
      <c r="Y161" s="754" t="e">
        <f t="shared" si="39"/>
        <v>#N/A</v>
      </c>
    </row>
    <row r="162" spans="1:25" s="756" customFormat="1" hidden="1" x14ac:dyDescent="0.25">
      <c r="A162" s="1067"/>
      <c r="D162" s="1365">
        <v>335930</v>
      </c>
      <c r="E162" s="756" t="s">
        <v>243</v>
      </c>
      <c r="F162" s="1909">
        <v>1.6697737819025525E-2</v>
      </c>
      <c r="G162" s="1203">
        <f t="shared" si="21"/>
        <v>1.6697737819025525E-2</v>
      </c>
      <c r="H162" s="751" t="e">
        <f t="shared" si="22"/>
        <v>#N/A</v>
      </c>
      <c r="I162" s="752" t="e">
        <f t="shared" si="23"/>
        <v>#N/A</v>
      </c>
      <c r="J162" s="752" t="e">
        <f t="shared" si="24"/>
        <v>#N/A</v>
      </c>
      <c r="K162" s="753" t="e">
        <f t="shared" si="25"/>
        <v>#N/A</v>
      </c>
      <c r="L162" s="753" t="e">
        <f t="shared" si="26"/>
        <v>#N/A</v>
      </c>
      <c r="M162" s="753" t="e">
        <f t="shared" si="27"/>
        <v>#N/A</v>
      </c>
      <c r="N162" s="754" t="e">
        <f t="shared" si="28"/>
        <v>#N/A</v>
      </c>
      <c r="O162" s="754" t="e">
        <f t="shared" si="29"/>
        <v>#N/A</v>
      </c>
      <c r="P162" s="754" t="e">
        <f t="shared" si="30"/>
        <v>#N/A</v>
      </c>
      <c r="Q162" s="754" t="e">
        <f t="shared" si="31"/>
        <v>#N/A</v>
      </c>
      <c r="R162" s="754" t="e">
        <f t="shared" si="32"/>
        <v>#N/A</v>
      </c>
      <c r="S162" s="754" t="e">
        <f t="shared" si="33"/>
        <v>#N/A</v>
      </c>
      <c r="T162" s="754" t="e">
        <f t="shared" si="34"/>
        <v>#N/A</v>
      </c>
      <c r="U162" s="754" t="e">
        <f t="shared" si="35"/>
        <v>#N/A</v>
      </c>
      <c r="V162" s="754" t="e">
        <f t="shared" si="36"/>
        <v>#N/A</v>
      </c>
      <c r="W162" s="754" t="e">
        <f t="shared" si="37"/>
        <v>#N/A</v>
      </c>
      <c r="X162" s="754" t="e">
        <f t="shared" si="38"/>
        <v>#N/A</v>
      </c>
      <c r="Y162" s="754" t="e">
        <f t="shared" si="39"/>
        <v>#N/A</v>
      </c>
    </row>
    <row r="163" spans="1:25" s="756" customFormat="1" hidden="1" x14ac:dyDescent="0.25">
      <c r="A163" s="1067"/>
      <c r="D163" s="1365" t="s">
        <v>600</v>
      </c>
      <c r="E163" s="756" t="s">
        <v>7</v>
      </c>
      <c r="F163" s="1909">
        <v>1.0018642691415313E-2</v>
      </c>
      <c r="G163" s="1203">
        <f t="shared" si="21"/>
        <v>1.0018642691415313E-2</v>
      </c>
      <c r="H163" s="751" t="e">
        <f t="shared" si="22"/>
        <v>#N/A</v>
      </c>
      <c r="I163" s="752" t="e">
        <f t="shared" si="23"/>
        <v>#N/A</v>
      </c>
      <c r="J163" s="752" t="e">
        <f t="shared" si="24"/>
        <v>#N/A</v>
      </c>
      <c r="K163" s="753" t="e">
        <f t="shared" si="25"/>
        <v>#N/A</v>
      </c>
      <c r="L163" s="753" t="e">
        <f t="shared" si="26"/>
        <v>#N/A</v>
      </c>
      <c r="M163" s="753" t="e">
        <f t="shared" si="27"/>
        <v>#N/A</v>
      </c>
      <c r="N163" s="754" t="e">
        <f t="shared" si="28"/>
        <v>#N/A</v>
      </c>
      <c r="O163" s="754" t="e">
        <f t="shared" si="29"/>
        <v>#N/A</v>
      </c>
      <c r="P163" s="754" t="e">
        <f t="shared" si="30"/>
        <v>#N/A</v>
      </c>
      <c r="Q163" s="754" t="e">
        <f t="shared" si="31"/>
        <v>#N/A</v>
      </c>
      <c r="R163" s="754" t="e">
        <f t="shared" si="32"/>
        <v>#N/A</v>
      </c>
      <c r="S163" s="754" t="e">
        <f t="shared" si="33"/>
        <v>#N/A</v>
      </c>
      <c r="T163" s="754" t="e">
        <f t="shared" si="34"/>
        <v>#N/A</v>
      </c>
      <c r="U163" s="754" t="e">
        <f t="shared" si="35"/>
        <v>#N/A</v>
      </c>
      <c r="V163" s="754" t="e">
        <f t="shared" si="36"/>
        <v>#N/A</v>
      </c>
      <c r="W163" s="754" t="e">
        <f t="shared" si="37"/>
        <v>#N/A</v>
      </c>
      <c r="X163" s="754" t="e">
        <f t="shared" si="38"/>
        <v>#N/A</v>
      </c>
      <c r="Y163" s="754" t="e">
        <f t="shared" si="39"/>
        <v>#N/A</v>
      </c>
    </row>
    <row r="164" spans="1:25" s="756" customFormat="1" hidden="1" x14ac:dyDescent="0.25">
      <c r="A164" s="1067"/>
      <c r="D164" s="1365" t="s">
        <v>599</v>
      </c>
      <c r="E164" s="756" t="s">
        <v>608</v>
      </c>
      <c r="F164" s="1909">
        <v>6.6790951276102092E-3</v>
      </c>
      <c r="G164" s="1203">
        <f t="shared" si="21"/>
        <v>6.6790951276102092E-3</v>
      </c>
      <c r="H164" s="751" t="e">
        <f t="shared" si="22"/>
        <v>#N/A</v>
      </c>
      <c r="I164" s="752" t="e">
        <f t="shared" si="23"/>
        <v>#N/A</v>
      </c>
      <c r="J164" s="752" t="e">
        <f t="shared" si="24"/>
        <v>#N/A</v>
      </c>
      <c r="K164" s="753" t="e">
        <f t="shared" si="25"/>
        <v>#N/A</v>
      </c>
      <c r="L164" s="753" t="e">
        <f t="shared" si="26"/>
        <v>#N/A</v>
      </c>
      <c r="M164" s="753" t="e">
        <f t="shared" si="27"/>
        <v>#N/A</v>
      </c>
      <c r="N164" s="754" t="e">
        <f t="shared" si="28"/>
        <v>#N/A</v>
      </c>
      <c r="O164" s="754" t="e">
        <f t="shared" si="29"/>
        <v>#N/A</v>
      </c>
      <c r="P164" s="754" t="e">
        <f t="shared" si="30"/>
        <v>#N/A</v>
      </c>
      <c r="Q164" s="754" t="e">
        <f t="shared" si="31"/>
        <v>#N/A</v>
      </c>
      <c r="R164" s="754" t="e">
        <f t="shared" si="32"/>
        <v>#N/A</v>
      </c>
      <c r="S164" s="754" t="e">
        <f t="shared" si="33"/>
        <v>#N/A</v>
      </c>
      <c r="T164" s="754" t="e">
        <f t="shared" si="34"/>
        <v>#N/A</v>
      </c>
      <c r="U164" s="754" t="e">
        <f t="shared" si="35"/>
        <v>#N/A</v>
      </c>
      <c r="V164" s="754" t="e">
        <f t="shared" si="36"/>
        <v>#N/A</v>
      </c>
      <c r="W164" s="754" t="e">
        <f t="shared" si="37"/>
        <v>#N/A</v>
      </c>
      <c r="X164" s="754" t="e">
        <f t="shared" si="38"/>
        <v>#N/A</v>
      </c>
      <c r="Y164" s="754" t="e">
        <f t="shared" si="39"/>
        <v>#N/A</v>
      </c>
    </row>
    <row r="165" spans="1:25" s="756" customFormat="1" hidden="1" x14ac:dyDescent="0.25">
      <c r="A165" s="1067"/>
      <c r="F165" s="1203"/>
      <c r="G165" s="1203"/>
      <c r="H165" s="751"/>
      <c r="I165" s="752"/>
      <c r="J165" s="752"/>
      <c r="K165" s="753"/>
      <c r="L165" s="753"/>
      <c r="M165" s="753"/>
      <c r="N165" s="754"/>
      <c r="O165" s="754"/>
      <c r="P165" s="754"/>
      <c r="Q165" s="754"/>
      <c r="R165" s="754"/>
      <c r="S165" s="754"/>
      <c r="T165" s="754"/>
      <c r="U165" s="754"/>
      <c r="V165" s="754"/>
      <c r="W165" s="754"/>
      <c r="X165" s="754"/>
      <c r="Y165" s="754"/>
    </row>
    <row r="166" spans="1:25" s="756" customFormat="1" hidden="1" x14ac:dyDescent="0.25">
      <c r="A166" s="1067"/>
      <c r="D166" s="745"/>
      <c r="E166" s="1204"/>
      <c r="F166" s="1205">
        <f t="shared" ref="F166:Y166" si="40">SUM(F151:F165)</f>
        <v>0.48980030935808211</v>
      </c>
      <c r="G166" s="1205">
        <f t="shared" si="40"/>
        <v>0.48980030935808211</v>
      </c>
      <c r="H166" s="1207" t="e">
        <f t="shared" si="40"/>
        <v>#N/A</v>
      </c>
      <c r="I166" s="1207" t="e">
        <f t="shared" si="40"/>
        <v>#N/A</v>
      </c>
      <c r="J166" s="1207" t="e">
        <f t="shared" si="40"/>
        <v>#N/A</v>
      </c>
      <c r="K166" s="1207" t="e">
        <f t="shared" si="40"/>
        <v>#N/A</v>
      </c>
      <c r="L166" s="1207" t="e">
        <f t="shared" si="40"/>
        <v>#N/A</v>
      </c>
      <c r="M166" s="1207" t="e">
        <f t="shared" si="40"/>
        <v>#N/A</v>
      </c>
      <c r="N166" s="1208" t="e">
        <f t="shared" si="40"/>
        <v>#N/A</v>
      </c>
      <c r="O166" s="1208" t="e">
        <f t="shared" si="40"/>
        <v>#N/A</v>
      </c>
      <c r="P166" s="1208" t="e">
        <f t="shared" si="40"/>
        <v>#N/A</v>
      </c>
      <c r="Q166" s="1208" t="e">
        <f t="shared" si="40"/>
        <v>#N/A</v>
      </c>
      <c r="R166" s="1208" t="e">
        <f t="shared" si="40"/>
        <v>#N/A</v>
      </c>
      <c r="S166" s="1208" t="e">
        <f t="shared" si="40"/>
        <v>#N/A</v>
      </c>
      <c r="T166" s="1208" t="e">
        <f t="shared" si="40"/>
        <v>#N/A</v>
      </c>
      <c r="U166" s="1208" t="e">
        <f t="shared" si="40"/>
        <v>#N/A</v>
      </c>
      <c r="V166" s="1208" t="e">
        <f t="shared" si="40"/>
        <v>#N/A</v>
      </c>
      <c r="W166" s="1208" t="e">
        <f t="shared" si="40"/>
        <v>#N/A</v>
      </c>
      <c r="X166" s="1208" t="e">
        <f t="shared" si="40"/>
        <v>#N/A</v>
      </c>
      <c r="Y166" s="1208" t="e">
        <f t="shared" si="40"/>
        <v>#N/A</v>
      </c>
    </row>
    <row r="167" spans="1:25" s="756" customFormat="1" hidden="1" x14ac:dyDescent="0.25">
      <c r="A167" s="1067"/>
      <c r="D167" s="745"/>
      <c r="E167" s="745"/>
      <c r="F167" s="745"/>
      <c r="G167" s="745"/>
      <c r="H167" s="745"/>
      <c r="I167" s="745"/>
      <c r="J167" s="745"/>
      <c r="K167" s="745"/>
      <c r="L167" s="745"/>
      <c r="M167" s="745"/>
      <c r="N167" s="746"/>
      <c r="O167" s="746"/>
      <c r="P167" s="746"/>
      <c r="Q167" s="746"/>
      <c r="R167" s="746"/>
      <c r="S167" s="746"/>
      <c r="T167" s="746"/>
      <c r="U167" s="746"/>
      <c r="V167" s="746"/>
      <c r="W167" s="746"/>
      <c r="X167" s="746"/>
      <c r="Y167" s="746"/>
    </row>
    <row r="168" spans="1:25" s="756" customFormat="1" hidden="1" x14ac:dyDescent="0.25">
      <c r="A168" s="1067"/>
      <c r="C168" s="1213"/>
      <c r="D168" s="745"/>
      <c r="E168" s="757">
        <v>2015</v>
      </c>
      <c r="F168" s="1212">
        <f t="shared" ref="F168:F173" si="41">F$166*F336</f>
        <v>0</v>
      </c>
      <c r="G168" s="1212">
        <f t="shared" ref="G168:Y168" si="42">G$166*$G336</f>
        <v>0</v>
      </c>
      <c r="H168" s="1207" t="e">
        <f t="shared" si="42"/>
        <v>#N/A</v>
      </c>
      <c r="I168" s="1207" t="e">
        <f t="shared" si="42"/>
        <v>#N/A</v>
      </c>
      <c r="J168" s="1207" t="e">
        <f t="shared" si="42"/>
        <v>#N/A</v>
      </c>
      <c r="K168" s="1207" t="e">
        <f t="shared" si="42"/>
        <v>#N/A</v>
      </c>
      <c r="L168" s="1207" t="e">
        <f t="shared" si="42"/>
        <v>#N/A</v>
      </c>
      <c r="M168" s="1207" t="e">
        <f t="shared" si="42"/>
        <v>#N/A</v>
      </c>
      <c r="N168" s="1212" t="e">
        <f t="shared" si="42"/>
        <v>#N/A</v>
      </c>
      <c r="O168" s="1212" t="e">
        <f t="shared" si="42"/>
        <v>#N/A</v>
      </c>
      <c r="P168" s="1212" t="e">
        <f t="shared" si="42"/>
        <v>#N/A</v>
      </c>
      <c r="Q168" s="1212" t="e">
        <f t="shared" si="42"/>
        <v>#N/A</v>
      </c>
      <c r="R168" s="1212" t="e">
        <f t="shared" si="42"/>
        <v>#N/A</v>
      </c>
      <c r="S168" s="1212" t="e">
        <f t="shared" si="42"/>
        <v>#N/A</v>
      </c>
      <c r="T168" s="1212" t="e">
        <f t="shared" si="42"/>
        <v>#N/A</v>
      </c>
      <c r="U168" s="1212" t="e">
        <f t="shared" si="42"/>
        <v>#N/A</v>
      </c>
      <c r="V168" s="1212" t="e">
        <f t="shared" si="42"/>
        <v>#N/A</v>
      </c>
      <c r="W168" s="1212" t="e">
        <f t="shared" si="42"/>
        <v>#N/A</v>
      </c>
      <c r="X168" s="1212" t="e">
        <f t="shared" si="42"/>
        <v>#N/A</v>
      </c>
      <c r="Y168" s="1212" t="e">
        <f t="shared" si="42"/>
        <v>#N/A</v>
      </c>
    </row>
    <row r="169" spans="1:25" s="756" customFormat="1" hidden="1" x14ac:dyDescent="0.25">
      <c r="A169" s="1067"/>
      <c r="D169" s="745"/>
      <c r="E169" s="757">
        <v>2016</v>
      </c>
      <c r="F169" s="1212">
        <f t="shared" si="41"/>
        <v>0</v>
      </c>
      <c r="G169" s="1212">
        <f t="shared" ref="G169:Y169" si="43">G$166*$G337</f>
        <v>0</v>
      </c>
      <c r="H169" s="1207" t="e">
        <f t="shared" si="43"/>
        <v>#N/A</v>
      </c>
      <c r="I169" s="1207" t="e">
        <f t="shared" si="43"/>
        <v>#N/A</v>
      </c>
      <c r="J169" s="1207" t="e">
        <f t="shared" si="43"/>
        <v>#N/A</v>
      </c>
      <c r="K169" s="1207" t="e">
        <f t="shared" si="43"/>
        <v>#N/A</v>
      </c>
      <c r="L169" s="1207" t="e">
        <f t="shared" si="43"/>
        <v>#N/A</v>
      </c>
      <c r="M169" s="1207" t="e">
        <f t="shared" si="43"/>
        <v>#N/A</v>
      </c>
      <c r="N169" s="1212" t="e">
        <f t="shared" si="43"/>
        <v>#N/A</v>
      </c>
      <c r="O169" s="1212" t="e">
        <f t="shared" si="43"/>
        <v>#N/A</v>
      </c>
      <c r="P169" s="1212" t="e">
        <f t="shared" si="43"/>
        <v>#N/A</v>
      </c>
      <c r="Q169" s="1212" t="e">
        <f t="shared" si="43"/>
        <v>#N/A</v>
      </c>
      <c r="R169" s="1212" t="e">
        <f t="shared" si="43"/>
        <v>#N/A</v>
      </c>
      <c r="S169" s="1212" t="e">
        <f t="shared" si="43"/>
        <v>#N/A</v>
      </c>
      <c r="T169" s="1212" t="e">
        <f t="shared" si="43"/>
        <v>#N/A</v>
      </c>
      <c r="U169" s="1212" t="e">
        <f t="shared" si="43"/>
        <v>#N/A</v>
      </c>
      <c r="V169" s="1212" t="e">
        <f t="shared" si="43"/>
        <v>#N/A</v>
      </c>
      <c r="W169" s="1212" t="e">
        <f t="shared" si="43"/>
        <v>#N/A</v>
      </c>
      <c r="X169" s="1212" t="e">
        <f t="shared" si="43"/>
        <v>#N/A</v>
      </c>
      <c r="Y169" s="1212" t="e">
        <f t="shared" si="43"/>
        <v>#N/A</v>
      </c>
    </row>
    <row r="170" spans="1:25" s="756" customFormat="1" hidden="1" x14ac:dyDescent="0.25">
      <c r="A170" s="1067"/>
      <c r="D170" s="745"/>
      <c r="E170" s="757">
        <v>2017</v>
      </c>
      <c r="F170" s="1212">
        <f t="shared" si="41"/>
        <v>0</v>
      </c>
      <c r="G170" s="1212">
        <f t="shared" ref="G170:Y170" si="44">G$166*$G338</f>
        <v>0</v>
      </c>
      <c r="H170" s="1207" t="e">
        <f t="shared" si="44"/>
        <v>#N/A</v>
      </c>
      <c r="I170" s="1207" t="e">
        <f t="shared" si="44"/>
        <v>#N/A</v>
      </c>
      <c r="J170" s="1207" t="e">
        <f t="shared" si="44"/>
        <v>#N/A</v>
      </c>
      <c r="K170" s="1207" t="e">
        <f t="shared" si="44"/>
        <v>#N/A</v>
      </c>
      <c r="L170" s="1207" t="e">
        <f t="shared" si="44"/>
        <v>#N/A</v>
      </c>
      <c r="M170" s="1207" t="e">
        <f t="shared" si="44"/>
        <v>#N/A</v>
      </c>
      <c r="N170" s="1212" t="e">
        <f t="shared" si="44"/>
        <v>#N/A</v>
      </c>
      <c r="O170" s="1212" t="e">
        <f t="shared" si="44"/>
        <v>#N/A</v>
      </c>
      <c r="P170" s="1212" t="e">
        <f t="shared" si="44"/>
        <v>#N/A</v>
      </c>
      <c r="Q170" s="1212" t="e">
        <f t="shared" si="44"/>
        <v>#N/A</v>
      </c>
      <c r="R170" s="1212" t="e">
        <f t="shared" si="44"/>
        <v>#N/A</v>
      </c>
      <c r="S170" s="1212" t="e">
        <f t="shared" si="44"/>
        <v>#N/A</v>
      </c>
      <c r="T170" s="1212" t="e">
        <f t="shared" si="44"/>
        <v>#N/A</v>
      </c>
      <c r="U170" s="1212" t="e">
        <f t="shared" si="44"/>
        <v>#N/A</v>
      </c>
      <c r="V170" s="1212" t="e">
        <f t="shared" si="44"/>
        <v>#N/A</v>
      </c>
      <c r="W170" s="1212" t="e">
        <f t="shared" si="44"/>
        <v>#N/A</v>
      </c>
      <c r="X170" s="1212" t="e">
        <f t="shared" si="44"/>
        <v>#N/A</v>
      </c>
      <c r="Y170" s="1212" t="e">
        <f t="shared" si="44"/>
        <v>#N/A</v>
      </c>
    </row>
    <row r="171" spans="1:25" s="756" customFormat="1" hidden="1" x14ac:dyDescent="0.25">
      <c r="A171" s="1067"/>
      <c r="D171" s="745"/>
      <c r="E171" s="757">
        <v>2018</v>
      </c>
      <c r="F171" s="1212">
        <f t="shared" si="41"/>
        <v>0</v>
      </c>
      <c r="G171" s="1212">
        <f t="shared" ref="G171:Y171" si="45">G$166*$G339</f>
        <v>0</v>
      </c>
      <c r="H171" s="1207" t="e">
        <f t="shared" si="45"/>
        <v>#N/A</v>
      </c>
      <c r="I171" s="1207" t="e">
        <f t="shared" si="45"/>
        <v>#N/A</v>
      </c>
      <c r="J171" s="1207" t="e">
        <f t="shared" si="45"/>
        <v>#N/A</v>
      </c>
      <c r="K171" s="1207" t="e">
        <f t="shared" si="45"/>
        <v>#N/A</v>
      </c>
      <c r="L171" s="1207" t="e">
        <f t="shared" si="45"/>
        <v>#N/A</v>
      </c>
      <c r="M171" s="1207" t="e">
        <f t="shared" si="45"/>
        <v>#N/A</v>
      </c>
      <c r="N171" s="1212" t="e">
        <f t="shared" si="45"/>
        <v>#N/A</v>
      </c>
      <c r="O171" s="1212" t="e">
        <f t="shared" si="45"/>
        <v>#N/A</v>
      </c>
      <c r="P171" s="1212" t="e">
        <f t="shared" si="45"/>
        <v>#N/A</v>
      </c>
      <c r="Q171" s="1212" t="e">
        <f t="shared" si="45"/>
        <v>#N/A</v>
      </c>
      <c r="R171" s="1212" t="e">
        <f t="shared" si="45"/>
        <v>#N/A</v>
      </c>
      <c r="S171" s="1212" t="e">
        <f t="shared" si="45"/>
        <v>#N/A</v>
      </c>
      <c r="T171" s="1212" t="e">
        <f t="shared" si="45"/>
        <v>#N/A</v>
      </c>
      <c r="U171" s="1212" t="e">
        <f t="shared" si="45"/>
        <v>#N/A</v>
      </c>
      <c r="V171" s="1212" t="e">
        <f t="shared" si="45"/>
        <v>#N/A</v>
      </c>
      <c r="W171" s="1212" t="e">
        <f t="shared" si="45"/>
        <v>#N/A</v>
      </c>
      <c r="X171" s="1212" t="e">
        <f t="shared" si="45"/>
        <v>#N/A</v>
      </c>
      <c r="Y171" s="1212" t="e">
        <f t="shared" si="45"/>
        <v>#N/A</v>
      </c>
    </row>
    <row r="172" spans="1:25" s="756" customFormat="1" hidden="1" x14ac:dyDescent="0.25">
      <c r="A172" s="1067"/>
      <c r="D172" s="745"/>
      <c r="E172" s="757">
        <v>2019</v>
      </c>
      <c r="F172" s="1212">
        <f t="shared" si="41"/>
        <v>0</v>
      </c>
      <c r="G172" s="1212">
        <f t="shared" ref="G172:Y172" si="46">G$166*$G340</f>
        <v>0</v>
      </c>
      <c r="H172" s="1207" t="e">
        <f t="shared" si="46"/>
        <v>#N/A</v>
      </c>
      <c r="I172" s="1207" t="e">
        <f t="shared" si="46"/>
        <v>#N/A</v>
      </c>
      <c r="J172" s="1207" t="e">
        <f t="shared" si="46"/>
        <v>#N/A</v>
      </c>
      <c r="K172" s="1207" t="e">
        <f t="shared" si="46"/>
        <v>#N/A</v>
      </c>
      <c r="L172" s="1207" t="e">
        <f t="shared" si="46"/>
        <v>#N/A</v>
      </c>
      <c r="M172" s="1207" t="e">
        <f t="shared" si="46"/>
        <v>#N/A</v>
      </c>
      <c r="N172" s="1212" t="e">
        <f t="shared" si="46"/>
        <v>#N/A</v>
      </c>
      <c r="O172" s="1212" t="e">
        <f t="shared" si="46"/>
        <v>#N/A</v>
      </c>
      <c r="P172" s="1212" t="e">
        <f t="shared" si="46"/>
        <v>#N/A</v>
      </c>
      <c r="Q172" s="1212" t="e">
        <f t="shared" si="46"/>
        <v>#N/A</v>
      </c>
      <c r="R172" s="1212" t="e">
        <f t="shared" si="46"/>
        <v>#N/A</v>
      </c>
      <c r="S172" s="1212" t="e">
        <f t="shared" si="46"/>
        <v>#N/A</v>
      </c>
      <c r="T172" s="1212" t="e">
        <f t="shared" si="46"/>
        <v>#N/A</v>
      </c>
      <c r="U172" s="1212" t="e">
        <f t="shared" si="46"/>
        <v>#N/A</v>
      </c>
      <c r="V172" s="1212" t="e">
        <f t="shared" si="46"/>
        <v>#N/A</v>
      </c>
      <c r="W172" s="1212" t="e">
        <f t="shared" si="46"/>
        <v>#N/A</v>
      </c>
      <c r="X172" s="1212" t="e">
        <f t="shared" si="46"/>
        <v>#N/A</v>
      </c>
      <c r="Y172" s="1212" t="e">
        <f t="shared" si="46"/>
        <v>#N/A</v>
      </c>
    </row>
    <row r="173" spans="1:25" s="756" customFormat="1" hidden="1" x14ac:dyDescent="0.25">
      <c r="A173" s="1067"/>
      <c r="D173" s="745"/>
      <c r="E173" s="1184">
        <v>2020</v>
      </c>
      <c r="F173" s="1212">
        <f t="shared" si="41"/>
        <v>0</v>
      </c>
      <c r="G173" s="1212">
        <f t="shared" ref="G173:Y173" si="47">G$166*$G341</f>
        <v>0</v>
      </c>
      <c r="H173" s="1207" t="e">
        <f t="shared" si="47"/>
        <v>#N/A</v>
      </c>
      <c r="I173" s="1207" t="e">
        <f t="shared" si="47"/>
        <v>#N/A</v>
      </c>
      <c r="J173" s="1207" t="e">
        <f t="shared" si="47"/>
        <v>#N/A</v>
      </c>
      <c r="K173" s="1207" t="e">
        <f t="shared" si="47"/>
        <v>#N/A</v>
      </c>
      <c r="L173" s="1207" t="e">
        <f t="shared" si="47"/>
        <v>#N/A</v>
      </c>
      <c r="M173" s="1207" t="e">
        <f t="shared" si="47"/>
        <v>#N/A</v>
      </c>
      <c r="N173" s="1212" t="e">
        <f t="shared" si="47"/>
        <v>#N/A</v>
      </c>
      <c r="O173" s="1212" t="e">
        <f t="shared" si="47"/>
        <v>#N/A</v>
      </c>
      <c r="P173" s="1212" t="e">
        <f t="shared" si="47"/>
        <v>#N/A</v>
      </c>
      <c r="Q173" s="1212" t="e">
        <f t="shared" si="47"/>
        <v>#N/A</v>
      </c>
      <c r="R173" s="1212" t="e">
        <f t="shared" si="47"/>
        <v>#N/A</v>
      </c>
      <c r="S173" s="1212" t="e">
        <f t="shared" si="47"/>
        <v>#N/A</v>
      </c>
      <c r="T173" s="1212" t="e">
        <f t="shared" si="47"/>
        <v>#N/A</v>
      </c>
      <c r="U173" s="1212" t="e">
        <f t="shared" si="47"/>
        <v>#N/A</v>
      </c>
      <c r="V173" s="1212" t="e">
        <f t="shared" si="47"/>
        <v>#N/A</v>
      </c>
      <c r="W173" s="1212" t="e">
        <f t="shared" si="47"/>
        <v>#N/A</v>
      </c>
      <c r="X173" s="1212" t="e">
        <f t="shared" si="47"/>
        <v>#N/A</v>
      </c>
      <c r="Y173" s="1212" t="e">
        <f t="shared" si="47"/>
        <v>#N/A</v>
      </c>
    </row>
    <row r="174" spans="1:25" s="756" customFormat="1" hidden="1" x14ac:dyDescent="0.25">
      <c r="A174" s="1067"/>
      <c r="D174" s="745"/>
      <c r="E174" s="745"/>
      <c r="F174" s="745"/>
      <c r="G174" s="745"/>
      <c r="H174" s="745"/>
      <c r="I174" s="745"/>
      <c r="J174" s="745"/>
      <c r="K174" s="745"/>
      <c r="L174" s="745"/>
      <c r="M174" s="745"/>
      <c r="N174" s="746"/>
      <c r="O174" s="746"/>
      <c r="P174" s="746"/>
      <c r="Q174" s="746"/>
      <c r="R174" s="746"/>
      <c r="S174" s="746"/>
      <c r="T174" s="746"/>
      <c r="U174" s="746"/>
      <c r="V174" s="746"/>
      <c r="W174" s="746"/>
      <c r="X174" s="746"/>
      <c r="Y174" s="746"/>
    </row>
    <row r="175" spans="1:25" s="756" customFormat="1" hidden="1" x14ac:dyDescent="0.25">
      <c r="A175" s="1067"/>
      <c r="D175" s="745" t="s">
        <v>412</v>
      </c>
      <c r="E175" s="745" t="s">
        <v>10</v>
      </c>
      <c r="F175" s="745" t="s">
        <v>428</v>
      </c>
      <c r="G175" s="745" t="str">
        <f>G$136</f>
        <v>Cost in 2008 dollars</v>
      </c>
      <c r="H175" s="745" t="s">
        <v>583</v>
      </c>
      <c r="I175" s="745" t="s">
        <v>584</v>
      </c>
      <c r="J175" s="745" t="s">
        <v>585</v>
      </c>
      <c r="K175" s="745" t="s">
        <v>586</v>
      </c>
      <c r="L175" s="745" t="s">
        <v>413</v>
      </c>
      <c r="M175" s="745" t="s">
        <v>414</v>
      </c>
      <c r="N175" s="746" t="s">
        <v>592</v>
      </c>
      <c r="O175" s="746" t="s">
        <v>587</v>
      </c>
      <c r="P175" s="746" t="s">
        <v>588</v>
      </c>
      <c r="Q175" s="746" t="s">
        <v>589</v>
      </c>
      <c r="R175" s="746" t="s">
        <v>590</v>
      </c>
      <c r="S175" s="746" t="s">
        <v>591</v>
      </c>
      <c r="T175" s="746" t="s">
        <v>593</v>
      </c>
      <c r="U175" s="746" t="s">
        <v>594</v>
      </c>
      <c r="V175" s="746" t="s">
        <v>595</v>
      </c>
      <c r="W175" s="746" t="s">
        <v>596</v>
      </c>
      <c r="X175" s="746" t="s">
        <v>597</v>
      </c>
      <c r="Y175" s="746" t="s">
        <v>598</v>
      </c>
    </row>
    <row r="176" spans="1:25" s="756" customFormat="1" hidden="1" x14ac:dyDescent="0.25">
      <c r="A176" s="1067"/>
      <c r="D176" s="1202">
        <v>333515</v>
      </c>
      <c r="E176" s="1202" t="s">
        <v>196</v>
      </c>
      <c r="F176" s="1210">
        <v>2.7128770301624132E-2</v>
      </c>
      <c r="G176" s="1203">
        <f>F176</f>
        <v>2.7128770301624132E-2</v>
      </c>
      <c r="H176" s="751" t="e">
        <f t="shared" ref="H176" si="48">$G176*INDEX(tier_emp_mult, MATCH($D176, tier_emp_code,0), MATCH(State, R_emp, 0))/1000000</f>
        <v>#N/A</v>
      </c>
      <c r="I176" s="752" t="e">
        <f t="shared" ref="I176" si="49">$G176*INDEX(typeI_emp_mult, MATCH($D176, typeI_emp_code,0), MATCH(State, R_emp, 0))/1000000</f>
        <v>#N/A</v>
      </c>
      <c r="J176" s="752" t="e">
        <f t="shared" ref="J176" si="50">$G176*INDEX(typeII_emp_mult, MATCH($D176, typeII_emp_code,0), MATCH(State, R_emp, 0))/1000000</f>
        <v>#N/A</v>
      </c>
      <c r="K176" s="753" t="e">
        <f>H176</f>
        <v>#N/A</v>
      </c>
      <c r="L176" s="753" t="e">
        <f t="shared" ref="L176" si="51">I176-H176</f>
        <v>#N/A</v>
      </c>
      <c r="M176" s="753" t="e">
        <f t="shared" ref="M176" si="52">J176-I176</f>
        <v>#N/A</v>
      </c>
      <c r="N176" s="754" t="e">
        <f t="shared" ref="N176" si="53">$G176*INDEX(tier_earn_mult, MATCH($D176, tier_earn_code,0), MATCH(State, R_earn, 0))</f>
        <v>#N/A</v>
      </c>
      <c r="O176" s="754" t="e">
        <f t="shared" ref="O176" si="54">$G176*INDEX(typeI_earn_mult, MATCH($D176, typeI_earn_code,0), MATCH(State, R_earn, 0))</f>
        <v>#N/A</v>
      </c>
      <c r="P176" s="754" t="e">
        <f t="shared" ref="P176" si="55">$G176*INDEX(typeII_earn_mult, MATCH($D176, typeII_earn_code,0), MATCH(State, R_earn, 0))</f>
        <v>#N/A</v>
      </c>
      <c r="Q176" s="754" t="e">
        <f>N176</f>
        <v>#N/A</v>
      </c>
      <c r="R176" s="754" t="e">
        <f t="shared" ref="R176" si="56">O176-N176</f>
        <v>#N/A</v>
      </c>
      <c r="S176" s="754" t="e">
        <f t="shared" ref="S176" si="57">P176-O176</f>
        <v>#N/A</v>
      </c>
      <c r="T176" s="754" t="e">
        <f t="shared" ref="T176" si="58">$G176*INDEX(tier_out_mult, MATCH($D176, tier_out_code,0), MATCH(State, R_out, 0))</f>
        <v>#N/A</v>
      </c>
      <c r="U176" s="754" t="e">
        <f t="shared" ref="U176" si="59">$G176*INDEX(typeI_out_mult, MATCH($D176, typeI_out_code,0), MATCH(State, R_out, 0))</f>
        <v>#N/A</v>
      </c>
      <c r="V176" s="754" t="e">
        <f t="shared" ref="V176" si="60">$G176*INDEX(typeII_out_mult, MATCH($D176, typeII_out_code,0), MATCH(State, R_out, 0))</f>
        <v>#N/A</v>
      </c>
      <c r="W176" s="754" t="e">
        <f>T176</f>
        <v>#N/A</v>
      </c>
      <c r="X176" s="754" t="e">
        <f t="shared" ref="X176" si="61">U176-T176</f>
        <v>#N/A</v>
      </c>
      <c r="Y176" s="754" t="e">
        <f t="shared" ref="Y176" si="62">V176-U176</f>
        <v>#N/A</v>
      </c>
    </row>
    <row r="177" spans="1:25" s="756" customFormat="1" hidden="1" x14ac:dyDescent="0.25">
      <c r="A177" s="1067"/>
      <c r="D177" s="745"/>
      <c r="E177" s="745"/>
      <c r="F177" s="745"/>
      <c r="G177" s="745"/>
      <c r="H177" s="745"/>
      <c r="I177" s="745"/>
      <c r="J177" s="745"/>
      <c r="K177" s="745"/>
      <c r="L177" s="745"/>
      <c r="M177" s="745"/>
      <c r="N177" s="746"/>
      <c r="O177" s="746"/>
      <c r="P177" s="746"/>
      <c r="Q177" s="746"/>
      <c r="R177" s="746"/>
      <c r="S177" s="746"/>
      <c r="T177" s="746"/>
      <c r="U177" s="746"/>
      <c r="V177" s="746"/>
      <c r="W177" s="746"/>
      <c r="X177" s="746"/>
      <c r="Y177" s="746"/>
    </row>
    <row r="178" spans="1:25" s="756" customFormat="1" hidden="1" x14ac:dyDescent="0.25">
      <c r="A178" s="1067"/>
      <c r="D178" s="745"/>
      <c r="E178" s="757">
        <v>2015</v>
      </c>
      <c r="F178" s="1212">
        <f t="shared" ref="F178:F183" si="63">F$176*F336</f>
        <v>0</v>
      </c>
      <c r="G178" s="1212">
        <f t="shared" ref="G178:Y178" si="64">G$176*$G336</f>
        <v>0</v>
      </c>
      <c r="H178" s="1207" t="e">
        <f t="shared" si="64"/>
        <v>#N/A</v>
      </c>
      <c r="I178" s="1207" t="e">
        <f t="shared" si="64"/>
        <v>#N/A</v>
      </c>
      <c r="J178" s="1207" t="e">
        <f t="shared" si="64"/>
        <v>#N/A</v>
      </c>
      <c r="K178" s="1207" t="e">
        <f t="shared" si="64"/>
        <v>#N/A</v>
      </c>
      <c r="L178" s="1207" t="e">
        <f t="shared" si="64"/>
        <v>#N/A</v>
      </c>
      <c r="M178" s="1207" t="e">
        <f t="shared" si="64"/>
        <v>#N/A</v>
      </c>
      <c r="N178" s="1212" t="e">
        <f t="shared" si="64"/>
        <v>#N/A</v>
      </c>
      <c r="O178" s="1212" t="e">
        <f t="shared" si="64"/>
        <v>#N/A</v>
      </c>
      <c r="P178" s="1212" t="e">
        <f t="shared" si="64"/>
        <v>#N/A</v>
      </c>
      <c r="Q178" s="1212" t="e">
        <f t="shared" si="64"/>
        <v>#N/A</v>
      </c>
      <c r="R178" s="1212" t="e">
        <f t="shared" si="64"/>
        <v>#N/A</v>
      </c>
      <c r="S178" s="1212" t="e">
        <f t="shared" si="64"/>
        <v>#N/A</v>
      </c>
      <c r="T178" s="1212" t="e">
        <f t="shared" si="64"/>
        <v>#N/A</v>
      </c>
      <c r="U178" s="1212" t="e">
        <f t="shared" si="64"/>
        <v>#N/A</v>
      </c>
      <c r="V178" s="1212" t="e">
        <f t="shared" si="64"/>
        <v>#N/A</v>
      </c>
      <c r="W178" s="1212" t="e">
        <f t="shared" si="64"/>
        <v>#N/A</v>
      </c>
      <c r="X178" s="1212" t="e">
        <f t="shared" si="64"/>
        <v>#N/A</v>
      </c>
      <c r="Y178" s="1212" t="e">
        <f t="shared" si="64"/>
        <v>#N/A</v>
      </c>
    </row>
    <row r="179" spans="1:25" s="756" customFormat="1" hidden="1" x14ac:dyDescent="0.25">
      <c r="A179" s="1067"/>
      <c r="D179" s="745"/>
      <c r="E179" s="757">
        <v>2016</v>
      </c>
      <c r="F179" s="1212">
        <f t="shared" si="63"/>
        <v>0</v>
      </c>
      <c r="G179" s="1212">
        <f t="shared" ref="G179:Y179" si="65">G$176*$G337</f>
        <v>0</v>
      </c>
      <c r="H179" s="1207" t="e">
        <f t="shared" si="65"/>
        <v>#N/A</v>
      </c>
      <c r="I179" s="1207" t="e">
        <f t="shared" si="65"/>
        <v>#N/A</v>
      </c>
      <c r="J179" s="1207" t="e">
        <f t="shared" si="65"/>
        <v>#N/A</v>
      </c>
      <c r="K179" s="1207" t="e">
        <f t="shared" si="65"/>
        <v>#N/A</v>
      </c>
      <c r="L179" s="1207" t="e">
        <f t="shared" si="65"/>
        <v>#N/A</v>
      </c>
      <c r="M179" s="1207" t="e">
        <f t="shared" si="65"/>
        <v>#N/A</v>
      </c>
      <c r="N179" s="1212" t="e">
        <f t="shared" si="65"/>
        <v>#N/A</v>
      </c>
      <c r="O179" s="1212" t="e">
        <f t="shared" si="65"/>
        <v>#N/A</v>
      </c>
      <c r="P179" s="1212" t="e">
        <f t="shared" si="65"/>
        <v>#N/A</v>
      </c>
      <c r="Q179" s="1212" t="e">
        <f t="shared" si="65"/>
        <v>#N/A</v>
      </c>
      <c r="R179" s="1212" t="e">
        <f t="shared" si="65"/>
        <v>#N/A</v>
      </c>
      <c r="S179" s="1212" t="e">
        <f t="shared" si="65"/>
        <v>#N/A</v>
      </c>
      <c r="T179" s="1212" t="e">
        <f t="shared" si="65"/>
        <v>#N/A</v>
      </c>
      <c r="U179" s="1212" t="e">
        <f t="shared" si="65"/>
        <v>#N/A</v>
      </c>
      <c r="V179" s="1212" t="e">
        <f t="shared" si="65"/>
        <v>#N/A</v>
      </c>
      <c r="W179" s="1212" t="e">
        <f t="shared" si="65"/>
        <v>#N/A</v>
      </c>
      <c r="X179" s="1212" t="e">
        <f t="shared" si="65"/>
        <v>#N/A</v>
      </c>
      <c r="Y179" s="1212" t="e">
        <f t="shared" si="65"/>
        <v>#N/A</v>
      </c>
    </row>
    <row r="180" spans="1:25" s="756" customFormat="1" hidden="1" x14ac:dyDescent="0.25">
      <c r="A180" s="1067"/>
      <c r="D180" s="745"/>
      <c r="E180" s="757">
        <v>2017</v>
      </c>
      <c r="F180" s="1212">
        <f t="shared" si="63"/>
        <v>0</v>
      </c>
      <c r="G180" s="1212">
        <f t="shared" ref="G180:Y180" si="66">G$176*$G338</f>
        <v>0</v>
      </c>
      <c r="H180" s="1207" t="e">
        <f t="shared" si="66"/>
        <v>#N/A</v>
      </c>
      <c r="I180" s="1207" t="e">
        <f t="shared" si="66"/>
        <v>#N/A</v>
      </c>
      <c r="J180" s="1207" t="e">
        <f t="shared" si="66"/>
        <v>#N/A</v>
      </c>
      <c r="K180" s="1207" t="e">
        <f t="shared" si="66"/>
        <v>#N/A</v>
      </c>
      <c r="L180" s="1207" t="e">
        <f t="shared" si="66"/>
        <v>#N/A</v>
      </c>
      <c r="M180" s="1207" t="e">
        <f t="shared" si="66"/>
        <v>#N/A</v>
      </c>
      <c r="N180" s="1212" t="e">
        <f t="shared" si="66"/>
        <v>#N/A</v>
      </c>
      <c r="O180" s="1212" t="e">
        <f t="shared" si="66"/>
        <v>#N/A</v>
      </c>
      <c r="P180" s="1212" t="e">
        <f t="shared" si="66"/>
        <v>#N/A</v>
      </c>
      <c r="Q180" s="1212" t="e">
        <f t="shared" si="66"/>
        <v>#N/A</v>
      </c>
      <c r="R180" s="1212" t="e">
        <f t="shared" si="66"/>
        <v>#N/A</v>
      </c>
      <c r="S180" s="1212" t="e">
        <f t="shared" si="66"/>
        <v>#N/A</v>
      </c>
      <c r="T180" s="1212" t="e">
        <f t="shared" si="66"/>
        <v>#N/A</v>
      </c>
      <c r="U180" s="1212" t="e">
        <f t="shared" si="66"/>
        <v>#N/A</v>
      </c>
      <c r="V180" s="1212" t="e">
        <f t="shared" si="66"/>
        <v>#N/A</v>
      </c>
      <c r="W180" s="1212" t="e">
        <f t="shared" si="66"/>
        <v>#N/A</v>
      </c>
      <c r="X180" s="1212" t="e">
        <f t="shared" si="66"/>
        <v>#N/A</v>
      </c>
      <c r="Y180" s="1212" t="e">
        <f t="shared" si="66"/>
        <v>#N/A</v>
      </c>
    </row>
    <row r="181" spans="1:25" s="756" customFormat="1" hidden="1" x14ac:dyDescent="0.25">
      <c r="A181" s="1067"/>
      <c r="D181" s="745"/>
      <c r="E181" s="757">
        <v>2018</v>
      </c>
      <c r="F181" s="1212">
        <f t="shared" si="63"/>
        <v>0</v>
      </c>
      <c r="G181" s="1212">
        <f t="shared" ref="G181:Y181" si="67">G$176*$G339</f>
        <v>0</v>
      </c>
      <c r="H181" s="1207" t="e">
        <f t="shared" si="67"/>
        <v>#N/A</v>
      </c>
      <c r="I181" s="1207" t="e">
        <f t="shared" si="67"/>
        <v>#N/A</v>
      </c>
      <c r="J181" s="1207" t="e">
        <f t="shared" si="67"/>
        <v>#N/A</v>
      </c>
      <c r="K181" s="1207" t="e">
        <f t="shared" si="67"/>
        <v>#N/A</v>
      </c>
      <c r="L181" s="1207" t="e">
        <f t="shared" si="67"/>
        <v>#N/A</v>
      </c>
      <c r="M181" s="1207" t="e">
        <f t="shared" si="67"/>
        <v>#N/A</v>
      </c>
      <c r="N181" s="1212" t="e">
        <f t="shared" si="67"/>
        <v>#N/A</v>
      </c>
      <c r="O181" s="1212" t="e">
        <f t="shared" si="67"/>
        <v>#N/A</v>
      </c>
      <c r="P181" s="1212" t="e">
        <f t="shared" si="67"/>
        <v>#N/A</v>
      </c>
      <c r="Q181" s="1212" t="e">
        <f t="shared" si="67"/>
        <v>#N/A</v>
      </c>
      <c r="R181" s="1212" t="e">
        <f t="shared" si="67"/>
        <v>#N/A</v>
      </c>
      <c r="S181" s="1212" t="e">
        <f t="shared" si="67"/>
        <v>#N/A</v>
      </c>
      <c r="T181" s="1212" t="e">
        <f t="shared" si="67"/>
        <v>#N/A</v>
      </c>
      <c r="U181" s="1212" t="e">
        <f t="shared" si="67"/>
        <v>#N/A</v>
      </c>
      <c r="V181" s="1212" t="e">
        <f t="shared" si="67"/>
        <v>#N/A</v>
      </c>
      <c r="W181" s="1212" t="e">
        <f t="shared" si="67"/>
        <v>#N/A</v>
      </c>
      <c r="X181" s="1212" t="e">
        <f t="shared" si="67"/>
        <v>#N/A</v>
      </c>
      <c r="Y181" s="1212" t="e">
        <f t="shared" si="67"/>
        <v>#N/A</v>
      </c>
    </row>
    <row r="182" spans="1:25" s="756" customFormat="1" hidden="1" x14ac:dyDescent="0.25">
      <c r="A182" s="1067"/>
      <c r="D182" s="745"/>
      <c r="E182" s="757">
        <v>2019</v>
      </c>
      <c r="F182" s="1212">
        <f t="shared" si="63"/>
        <v>0</v>
      </c>
      <c r="G182" s="1212">
        <f t="shared" ref="G182:Y182" si="68">G$176*$G340</f>
        <v>0</v>
      </c>
      <c r="H182" s="1207" t="e">
        <f t="shared" si="68"/>
        <v>#N/A</v>
      </c>
      <c r="I182" s="1207" t="e">
        <f t="shared" si="68"/>
        <v>#N/A</v>
      </c>
      <c r="J182" s="1207" t="e">
        <f t="shared" si="68"/>
        <v>#N/A</v>
      </c>
      <c r="K182" s="1207" t="e">
        <f t="shared" si="68"/>
        <v>#N/A</v>
      </c>
      <c r="L182" s="1207" t="e">
        <f t="shared" si="68"/>
        <v>#N/A</v>
      </c>
      <c r="M182" s="1207" t="e">
        <f t="shared" si="68"/>
        <v>#N/A</v>
      </c>
      <c r="N182" s="1212" t="e">
        <f t="shared" si="68"/>
        <v>#N/A</v>
      </c>
      <c r="O182" s="1212" t="e">
        <f t="shared" si="68"/>
        <v>#N/A</v>
      </c>
      <c r="P182" s="1212" t="e">
        <f t="shared" si="68"/>
        <v>#N/A</v>
      </c>
      <c r="Q182" s="1212" t="e">
        <f t="shared" si="68"/>
        <v>#N/A</v>
      </c>
      <c r="R182" s="1212" t="e">
        <f t="shared" si="68"/>
        <v>#N/A</v>
      </c>
      <c r="S182" s="1212" t="e">
        <f t="shared" si="68"/>
        <v>#N/A</v>
      </c>
      <c r="T182" s="1212" t="e">
        <f t="shared" si="68"/>
        <v>#N/A</v>
      </c>
      <c r="U182" s="1212" t="e">
        <f t="shared" si="68"/>
        <v>#N/A</v>
      </c>
      <c r="V182" s="1212" t="e">
        <f t="shared" si="68"/>
        <v>#N/A</v>
      </c>
      <c r="W182" s="1212" t="e">
        <f t="shared" si="68"/>
        <v>#N/A</v>
      </c>
      <c r="X182" s="1212" t="e">
        <f t="shared" si="68"/>
        <v>#N/A</v>
      </c>
      <c r="Y182" s="1212" t="e">
        <f t="shared" si="68"/>
        <v>#N/A</v>
      </c>
    </row>
    <row r="183" spans="1:25" s="756" customFormat="1" hidden="1" x14ac:dyDescent="0.25">
      <c r="A183" s="1067"/>
      <c r="D183" s="745"/>
      <c r="E183" s="1184">
        <v>2020</v>
      </c>
      <c r="F183" s="1212">
        <f t="shared" si="63"/>
        <v>0</v>
      </c>
      <c r="G183" s="1212">
        <f t="shared" ref="G183:Y183" si="69">G$176*$G341</f>
        <v>0</v>
      </c>
      <c r="H183" s="1207" t="e">
        <f t="shared" si="69"/>
        <v>#N/A</v>
      </c>
      <c r="I183" s="1207" t="e">
        <f t="shared" si="69"/>
        <v>#N/A</v>
      </c>
      <c r="J183" s="1207" t="e">
        <f t="shared" si="69"/>
        <v>#N/A</v>
      </c>
      <c r="K183" s="1207" t="e">
        <f t="shared" si="69"/>
        <v>#N/A</v>
      </c>
      <c r="L183" s="1207" t="e">
        <f t="shared" si="69"/>
        <v>#N/A</v>
      </c>
      <c r="M183" s="1207" t="e">
        <f t="shared" si="69"/>
        <v>#N/A</v>
      </c>
      <c r="N183" s="1212" t="e">
        <f t="shared" si="69"/>
        <v>#N/A</v>
      </c>
      <c r="O183" s="1212" t="e">
        <f t="shared" si="69"/>
        <v>#N/A</v>
      </c>
      <c r="P183" s="1212" t="e">
        <f t="shared" si="69"/>
        <v>#N/A</v>
      </c>
      <c r="Q183" s="1212" t="e">
        <f t="shared" si="69"/>
        <v>#N/A</v>
      </c>
      <c r="R183" s="1212" t="e">
        <f t="shared" si="69"/>
        <v>#N/A</v>
      </c>
      <c r="S183" s="1212" t="e">
        <f t="shared" si="69"/>
        <v>#N/A</v>
      </c>
      <c r="T183" s="1212" t="e">
        <f t="shared" si="69"/>
        <v>#N/A</v>
      </c>
      <c r="U183" s="1212" t="e">
        <f t="shared" si="69"/>
        <v>#N/A</v>
      </c>
      <c r="V183" s="1212" t="e">
        <f t="shared" si="69"/>
        <v>#N/A</v>
      </c>
      <c r="W183" s="1212" t="e">
        <f t="shared" si="69"/>
        <v>#N/A</v>
      </c>
      <c r="X183" s="1212" t="e">
        <f t="shared" si="69"/>
        <v>#N/A</v>
      </c>
      <c r="Y183" s="1212" t="e">
        <f t="shared" si="69"/>
        <v>#N/A</v>
      </c>
    </row>
    <row r="184" spans="1:25" s="756" customFormat="1" hidden="1" x14ac:dyDescent="0.25">
      <c r="A184" s="1067"/>
      <c r="D184" s="745"/>
      <c r="E184" s="745"/>
      <c r="F184" s="745"/>
      <c r="G184" s="745"/>
      <c r="H184" s="745"/>
      <c r="I184" s="745"/>
      <c r="J184" s="745"/>
      <c r="K184" s="745"/>
      <c r="L184" s="745"/>
      <c r="M184" s="745"/>
      <c r="N184" s="746"/>
      <c r="O184" s="746"/>
      <c r="P184" s="746"/>
      <c r="Q184" s="746"/>
      <c r="R184" s="746"/>
      <c r="S184" s="746"/>
      <c r="T184" s="746"/>
      <c r="U184" s="746"/>
      <c r="V184" s="746"/>
      <c r="W184" s="746"/>
      <c r="X184" s="746"/>
      <c r="Y184" s="746"/>
    </row>
    <row r="185" spans="1:25" s="756" customFormat="1" hidden="1" x14ac:dyDescent="0.25">
      <c r="A185" s="1067"/>
      <c r="D185" s="745" t="s">
        <v>412</v>
      </c>
      <c r="E185" s="745" t="s">
        <v>10</v>
      </c>
      <c r="F185" s="745" t="s">
        <v>428</v>
      </c>
      <c r="G185" s="745" t="str">
        <f>G$136</f>
        <v>Cost in 2008 dollars</v>
      </c>
      <c r="H185" s="745" t="s">
        <v>583</v>
      </c>
      <c r="I185" s="745" t="s">
        <v>584</v>
      </c>
      <c r="J185" s="745" t="s">
        <v>585</v>
      </c>
      <c r="K185" s="745" t="s">
        <v>586</v>
      </c>
      <c r="L185" s="745" t="s">
        <v>413</v>
      </c>
      <c r="M185" s="745" t="s">
        <v>414</v>
      </c>
      <c r="N185" s="746" t="s">
        <v>592</v>
      </c>
      <c r="O185" s="746" t="s">
        <v>587</v>
      </c>
      <c r="P185" s="746" t="s">
        <v>588</v>
      </c>
      <c r="Q185" s="746" t="s">
        <v>589</v>
      </c>
      <c r="R185" s="746" t="s">
        <v>590</v>
      </c>
      <c r="S185" s="746" t="s">
        <v>591</v>
      </c>
      <c r="T185" s="746" t="s">
        <v>593</v>
      </c>
      <c r="U185" s="746" t="s">
        <v>594</v>
      </c>
      <c r="V185" s="746" t="s">
        <v>595</v>
      </c>
      <c r="W185" s="746" t="s">
        <v>596</v>
      </c>
      <c r="X185" s="746" t="s">
        <v>597</v>
      </c>
      <c r="Y185" s="746" t="s">
        <v>598</v>
      </c>
    </row>
    <row r="186" spans="1:25" s="756" customFormat="1" hidden="1" x14ac:dyDescent="0.25">
      <c r="A186" s="1067"/>
      <c r="D186" s="1202">
        <v>811300</v>
      </c>
      <c r="E186" s="1202" t="s">
        <v>351</v>
      </c>
      <c r="F186" s="1215">
        <v>3.0364220804331016E-2</v>
      </c>
      <c r="G186" s="1203">
        <f>F186</f>
        <v>3.0364220804331016E-2</v>
      </c>
      <c r="H186" s="751" t="e">
        <f t="shared" ref="H186" si="70">$G186*INDEX(tier_emp_mult, MATCH($D186, tier_emp_code,0), MATCH(State, R_emp, 0))/1000000</f>
        <v>#N/A</v>
      </c>
      <c r="I186" s="752" t="e">
        <f t="shared" ref="I186" si="71">$G186*INDEX(typeI_emp_mult, MATCH($D186, typeI_emp_code,0), MATCH(State, R_emp, 0))/1000000</f>
        <v>#N/A</v>
      </c>
      <c r="J186" s="752" t="e">
        <f t="shared" ref="J186" si="72">$G186*INDEX(typeII_emp_mult, MATCH($D186, typeII_emp_code,0), MATCH(State, R_emp, 0))/1000000</f>
        <v>#N/A</v>
      </c>
      <c r="K186" s="753" t="e">
        <f>H186</f>
        <v>#N/A</v>
      </c>
      <c r="L186" s="753" t="e">
        <f t="shared" ref="L186" si="73">I186-H186</f>
        <v>#N/A</v>
      </c>
      <c r="M186" s="753" t="e">
        <f t="shared" ref="M186" si="74">J186-I186</f>
        <v>#N/A</v>
      </c>
      <c r="N186" s="754" t="e">
        <f t="shared" ref="N186" si="75">$G186*INDEX(tier_earn_mult, MATCH($D186, tier_earn_code,0), MATCH(State, R_earn, 0))</f>
        <v>#N/A</v>
      </c>
      <c r="O186" s="754" t="e">
        <f t="shared" ref="O186" si="76">$G186*INDEX(typeI_earn_mult, MATCH($D186, typeI_earn_code,0), MATCH(State, R_earn, 0))</f>
        <v>#N/A</v>
      </c>
      <c r="P186" s="754" t="e">
        <f t="shared" ref="P186" si="77">$G186*INDEX(typeII_earn_mult, MATCH($D186, typeII_earn_code,0), MATCH(State, R_earn, 0))</f>
        <v>#N/A</v>
      </c>
      <c r="Q186" s="754" t="e">
        <f>N186</f>
        <v>#N/A</v>
      </c>
      <c r="R186" s="754" t="e">
        <f t="shared" ref="R186" si="78">O186-N186</f>
        <v>#N/A</v>
      </c>
      <c r="S186" s="754" t="e">
        <f t="shared" ref="S186" si="79">P186-O186</f>
        <v>#N/A</v>
      </c>
      <c r="T186" s="754" t="e">
        <f t="shared" ref="T186" si="80">$G186*INDEX(tier_out_mult, MATCH($D186, tier_out_code,0), MATCH(State, R_out, 0))</f>
        <v>#N/A</v>
      </c>
      <c r="U186" s="754" t="e">
        <f t="shared" ref="U186" si="81">$G186*INDEX(typeI_out_mult, MATCH($D186, typeI_out_code,0), MATCH(State, R_out, 0))</f>
        <v>#N/A</v>
      </c>
      <c r="V186" s="754" t="e">
        <f t="shared" ref="V186" si="82">$G186*INDEX(typeII_out_mult, MATCH($D186, typeII_out_code,0), MATCH(State, R_out, 0))</f>
        <v>#N/A</v>
      </c>
      <c r="W186" s="754" t="e">
        <f>T186</f>
        <v>#N/A</v>
      </c>
      <c r="X186" s="754" t="e">
        <f t="shared" ref="X186" si="83">U186-T186</f>
        <v>#N/A</v>
      </c>
      <c r="Y186" s="754" t="e">
        <f t="shared" ref="Y186" si="84">V186-U186</f>
        <v>#N/A</v>
      </c>
    </row>
    <row r="187" spans="1:25" s="756" customFormat="1" hidden="1" x14ac:dyDescent="0.25">
      <c r="A187" s="1067"/>
      <c r="D187" s="745"/>
      <c r="E187" s="745"/>
      <c r="F187" s="745"/>
      <c r="G187" s="745"/>
      <c r="H187" s="745"/>
      <c r="I187" s="745"/>
      <c r="J187" s="745"/>
      <c r="K187" s="745"/>
      <c r="L187" s="745"/>
      <c r="M187" s="745"/>
      <c r="N187" s="746"/>
      <c r="O187" s="746"/>
      <c r="P187" s="746"/>
      <c r="Q187" s="746"/>
      <c r="R187" s="746"/>
      <c r="S187" s="746"/>
      <c r="T187" s="746"/>
      <c r="U187" s="746"/>
      <c r="V187" s="746"/>
      <c r="W187" s="746"/>
      <c r="X187" s="746"/>
      <c r="Y187" s="746"/>
    </row>
    <row r="188" spans="1:25" s="756" customFormat="1" hidden="1" x14ac:dyDescent="0.25">
      <c r="A188" s="1067"/>
      <c r="D188" s="745"/>
      <c r="E188" s="757">
        <v>2015</v>
      </c>
      <c r="F188" s="1212">
        <f t="shared" ref="F188:F193" si="85">F$186*F336</f>
        <v>0</v>
      </c>
      <c r="G188" s="1212">
        <f t="shared" ref="G188:Y188" si="86">G$186*$G336</f>
        <v>0</v>
      </c>
      <c r="H188" s="1207" t="e">
        <f t="shared" si="86"/>
        <v>#N/A</v>
      </c>
      <c r="I188" s="1207" t="e">
        <f t="shared" si="86"/>
        <v>#N/A</v>
      </c>
      <c r="J188" s="1207" t="e">
        <f t="shared" si="86"/>
        <v>#N/A</v>
      </c>
      <c r="K188" s="1207" t="e">
        <f t="shared" si="86"/>
        <v>#N/A</v>
      </c>
      <c r="L188" s="1207" t="e">
        <f t="shared" si="86"/>
        <v>#N/A</v>
      </c>
      <c r="M188" s="1207" t="e">
        <f t="shared" si="86"/>
        <v>#N/A</v>
      </c>
      <c r="N188" s="1212" t="e">
        <f t="shared" si="86"/>
        <v>#N/A</v>
      </c>
      <c r="O188" s="1212" t="e">
        <f t="shared" si="86"/>
        <v>#N/A</v>
      </c>
      <c r="P188" s="1212" t="e">
        <f t="shared" si="86"/>
        <v>#N/A</v>
      </c>
      <c r="Q188" s="1212" t="e">
        <f t="shared" si="86"/>
        <v>#N/A</v>
      </c>
      <c r="R188" s="1212" t="e">
        <f t="shared" si="86"/>
        <v>#N/A</v>
      </c>
      <c r="S188" s="1212" t="e">
        <f t="shared" si="86"/>
        <v>#N/A</v>
      </c>
      <c r="T188" s="1212" t="e">
        <f t="shared" si="86"/>
        <v>#N/A</v>
      </c>
      <c r="U188" s="1212" t="e">
        <f t="shared" si="86"/>
        <v>#N/A</v>
      </c>
      <c r="V188" s="1212" t="e">
        <f t="shared" si="86"/>
        <v>#N/A</v>
      </c>
      <c r="W188" s="1212" t="e">
        <f t="shared" si="86"/>
        <v>#N/A</v>
      </c>
      <c r="X188" s="1212" t="e">
        <f t="shared" si="86"/>
        <v>#N/A</v>
      </c>
      <c r="Y188" s="1212" t="e">
        <f t="shared" si="86"/>
        <v>#N/A</v>
      </c>
    </row>
    <row r="189" spans="1:25" s="756" customFormat="1" hidden="1" x14ac:dyDescent="0.25">
      <c r="A189" s="1067"/>
      <c r="D189" s="745"/>
      <c r="E189" s="757">
        <v>2016</v>
      </c>
      <c r="F189" s="1212">
        <f t="shared" si="85"/>
        <v>0</v>
      </c>
      <c r="G189" s="1212">
        <f t="shared" ref="G189:Y189" si="87">G$186*$G337</f>
        <v>0</v>
      </c>
      <c r="H189" s="1207" t="e">
        <f t="shared" si="87"/>
        <v>#N/A</v>
      </c>
      <c r="I189" s="1207" t="e">
        <f t="shared" si="87"/>
        <v>#N/A</v>
      </c>
      <c r="J189" s="1207" t="e">
        <f t="shared" si="87"/>
        <v>#N/A</v>
      </c>
      <c r="K189" s="1207" t="e">
        <f t="shared" si="87"/>
        <v>#N/A</v>
      </c>
      <c r="L189" s="1207" t="e">
        <f t="shared" si="87"/>
        <v>#N/A</v>
      </c>
      <c r="M189" s="1207" t="e">
        <f t="shared" si="87"/>
        <v>#N/A</v>
      </c>
      <c r="N189" s="1212" t="e">
        <f t="shared" si="87"/>
        <v>#N/A</v>
      </c>
      <c r="O189" s="1212" t="e">
        <f t="shared" si="87"/>
        <v>#N/A</v>
      </c>
      <c r="P189" s="1212" t="e">
        <f t="shared" si="87"/>
        <v>#N/A</v>
      </c>
      <c r="Q189" s="1212" t="e">
        <f t="shared" si="87"/>
        <v>#N/A</v>
      </c>
      <c r="R189" s="1212" t="e">
        <f t="shared" si="87"/>
        <v>#N/A</v>
      </c>
      <c r="S189" s="1212" t="e">
        <f t="shared" si="87"/>
        <v>#N/A</v>
      </c>
      <c r="T189" s="1212" t="e">
        <f t="shared" si="87"/>
        <v>#N/A</v>
      </c>
      <c r="U189" s="1212" t="e">
        <f t="shared" si="87"/>
        <v>#N/A</v>
      </c>
      <c r="V189" s="1212" t="e">
        <f t="shared" si="87"/>
        <v>#N/A</v>
      </c>
      <c r="W189" s="1212" t="e">
        <f t="shared" si="87"/>
        <v>#N/A</v>
      </c>
      <c r="X189" s="1212" t="e">
        <f t="shared" si="87"/>
        <v>#N/A</v>
      </c>
      <c r="Y189" s="1212" t="e">
        <f t="shared" si="87"/>
        <v>#N/A</v>
      </c>
    </row>
    <row r="190" spans="1:25" s="756" customFormat="1" hidden="1" x14ac:dyDescent="0.25">
      <c r="A190" s="1067"/>
      <c r="D190" s="745"/>
      <c r="E190" s="757">
        <v>2017</v>
      </c>
      <c r="F190" s="1212">
        <f t="shared" si="85"/>
        <v>0</v>
      </c>
      <c r="G190" s="1212">
        <f t="shared" ref="G190:Y190" si="88">G$186*$G338</f>
        <v>0</v>
      </c>
      <c r="H190" s="1207" t="e">
        <f t="shared" si="88"/>
        <v>#N/A</v>
      </c>
      <c r="I190" s="1207" t="e">
        <f t="shared" si="88"/>
        <v>#N/A</v>
      </c>
      <c r="J190" s="1207" t="e">
        <f t="shared" si="88"/>
        <v>#N/A</v>
      </c>
      <c r="K190" s="1207" t="e">
        <f t="shared" si="88"/>
        <v>#N/A</v>
      </c>
      <c r="L190" s="1207" t="e">
        <f t="shared" si="88"/>
        <v>#N/A</v>
      </c>
      <c r="M190" s="1207" t="e">
        <f t="shared" si="88"/>
        <v>#N/A</v>
      </c>
      <c r="N190" s="1212" t="e">
        <f t="shared" si="88"/>
        <v>#N/A</v>
      </c>
      <c r="O190" s="1212" t="e">
        <f t="shared" si="88"/>
        <v>#N/A</v>
      </c>
      <c r="P190" s="1212" t="e">
        <f t="shared" si="88"/>
        <v>#N/A</v>
      </c>
      <c r="Q190" s="1212" t="e">
        <f t="shared" si="88"/>
        <v>#N/A</v>
      </c>
      <c r="R190" s="1212" t="e">
        <f t="shared" si="88"/>
        <v>#N/A</v>
      </c>
      <c r="S190" s="1212" t="e">
        <f t="shared" si="88"/>
        <v>#N/A</v>
      </c>
      <c r="T190" s="1212" t="e">
        <f t="shared" si="88"/>
        <v>#N/A</v>
      </c>
      <c r="U190" s="1212" t="e">
        <f t="shared" si="88"/>
        <v>#N/A</v>
      </c>
      <c r="V190" s="1212" t="e">
        <f t="shared" si="88"/>
        <v>#N/A</v>
      </c>
      <c r="W190" s="1212" t="e">
        <f t="shared" si="88"/>
        <v>#N/A</v>
      </c>
      <c r="X190" s="1212" t="e">
        <f t="shared" si="88"/>
        <v>#N/A</v>
      </c>
      <c r="Y190" s="1212" t="e">
        <f t="shared" si="88"/>
        <v>#N/A</v>
      </c>
    </row>
    <row r="191" spans="1:25" s="756" customFormat="1" hidden="1" x14ac:dyDescent="0.25">
      <c r="A191" s="1067"/>
      <c r="D191" s="745"/>
      <c r="E191" s="757">
        <v>2018</v>
      </c>
      <c r="F191" s="1212">
        <f t="shared" si="85"/>
        <v>0</v>
      </c>
      <c r="G191" s="1212">
        <f t="shared" ref="G191:Y191" si="89">G$186*$G339</f>
        <v>0</v>
      </c>
      <c r="H191" s="1207" t="e">
        <f t="shared" si="89"/>
        <v>#N/A</v>
      </c>
      <c r="I191" s="1207" t="e">
        <f t="shared" si="89"/>
        <v>#N/A</v>
      </c>
      <c r="J191" s="1207" t="e">
        <f t="shared" si="89"/>
        <v>#N/A</v>
      </c>
      <c r="K191" s="1207" t="e">
        <f t="shared" si="89"/>
        <v>#N/A</v>
      </c>
      <c r="L191" s="1207" t="e">
        <f t="shared" si="89"/>
        <v>#N/A</v>
      </c>
      <c r="M191" s="1207" t="e">
        <f t="shared" si="89"/>
        <v>#N/A</v>
      </c>
      <c r="N191" s="1212" t="e">
        <f t="shared" si="89"/>
        <v>#N/A</v>
      </c>
      <c r="O191" s="1212" t="e">
        <f t="shared" si="89"/>
        <v>#N/A</v>
      </c>
      <c r="P191" s="1212" t="e">
        <f t="shared" si="89"/>
        <v>#N/A</v>
      </c>
      <c r="Q191" s="1212" t="e">
        <f t="shared" si="89"/>
        <v>#N/A</v>
      </c>
      <c r="R191" s="1212" t="e">
        <f t="shared" si="89"/>
        <v>#N/A</v>
      </c>
      <c r="S191" s="1212" t="e">
        <f t="shared" si="89"/>
        <v>#N/A</v>
      </c>
      <c r="T191" s="1212" t="e">
        <f t="shared" si="89"/>
        <v>#N/A</v>
      </c>
      <c r="U191" s="1212" t="e">
        <f t="shared" si="89"/>
        <v>#N/A</v>
      </c>
      <c r="V191" s="1212" t="e">
        <f t="shared" si="89"/>
        <v>#N/A</v>
      </c>
      <c r="W191" s="1212" t="e">
        <f t="shared" si="89"/>
        <v>#N/A</v>
      </c>
      <c r="X191" s="1212" t="e">
        <f t="shared" si="89"/>
        <v>#N/A</v>
      </c>
      <c r="Y191" s="1212" t="e">
        <f t="shared" si="89"/>
        <v>#N/A</v>
      </c>
    </row>
    <row r="192" spans="1:25" s="756" customFormat="1" hidden="1" x14ac:dyDescent="0.25">
      <c r="A192" s="1067"/>
      <c r="D192" s="745"/>
      <c r="E192" s="757">
        <v>2019</v>
      </c>
      <c r="F192" s="1212">
        <f t="shared" si="85"/>
        <v>0</v>
      </c>
      <c r="G192" s="1212">
        <f t="shared" ref="G192:Y192" si="90">G$186*$G340</f>
        <v>0</v>
      </c>
      <c r="H192" s="1207" t="e">
        <f t="shared" si="90"/>
        <v>#N/A</v>
      </c>
      <c r="I192" s="1207" t="e">
        <f t="shared" si="90"/>
        <v>#N/A</v>
      </c>
      <c r="J192" s="1207" t="e">
        <f t="shared" si="90"/>
        <v>#N/A</v>
      </c>
      <c r="K192" s="1207" t="e">
        <f t="shared" si="90"/>
        <v>#N/A</v>
      </c>
      <c r="L192" s="1207" t="e">
        <f t="shared" si="90"/>
        <v>#N/A</v>
      </c>
      <c r="M192" s="1207" t="e">
        <f t="shared" si="90"/>
        <v>#N/A</v>
      </c>
      <c r="N192" s="1212" t="e">
        <f t="shared" si="90"/>
        <v>#N/A</v>
      </c>
      <c r="O192" s="1212" t="e">
        <f t="shared" si="90"/>
        <v>#N/A</v>
      </c>
      <c r="P192" s="1212" t="e">
        <f t="shared" si="90"/>
        <v>#N/A</v>
      </c>
      <c r="Q192" s="1212" t="e">
        <f t="shared" si="90"/>
        <v>#N/A</v>
      </c>
      <c r="R192" s="1212" t="e">
        <f t="shared" si="90"/>
        <v>#N/A</v>
      </c>
      <c r="S192" s="1212" t="e">
        <f t="shared" si="90"/>
        <v>#N/A</v>
      </c>
      <c r="T192" s="1212" t="e">
        <f t="shared" si="90"/>
        <v>#N/A</v>
      </c>
      <c r="U192" s="1212" t="e">
        <f t="shared" si="90"/>
        <v>#N/A</v>
      </c>
      <c r="V192" s="1212" t="e">
        <f t="shared" si="90"/>
        <v>#N/A</v>
      </c>
      <c r="W192" s="1212" t="e">
        <f t="shared" si="90"/>
        <v>#N/A</v>
      </c>
      <c r="X192" s="1212" t="e">
        <f t="shared" si="90"/>
        <v>#N/A</v>
      </c>
      <c r="Y192" s="1212" t="e">
        <f t="shared" si="90"/>
        <v>#N/A</v>
      </c>
    </row>
    <row r="193" spans="1:25" s="756" customFormat="1" hidden="1" x14ac:dyDescent="0.25">
      <c r="A193" s="1067"/>
      <c r="D193" s="745"/>
      <c r="E193" s="1184">
        <v>2020</v>
      </c>
      <c r="F193" s="1212">
        <f t="shared" si="85"/>
        <v>0</v>
      </c>
      <c r="G193" s="1212">
        <f t="shared" ref="G193:Y193" si="91">G$186*$G341</f>
        <v>0</v>
      </c>
      <c r="H193" s="1207" t="e">
        <f t="shared" si="91"/>
        <v>#N/A</v>
      </c>
      <c r="I193" s="1207" t="e">
        <f t="shared" si="91"/>
        <v>#N/A</v>
      </c>
      <c r="J193" s="1207" t="e">
        <f t="shared" si="91"/>
        <v>#N/A</v>
      </c>
      <c r="K193" s="1207" t="e">
        <f t="shared" si="91"/>
        <v>#N/A</v>
      </c>
      <c r="L193" s="1207" t="e">
        <f t="shared" si="91"/>
        <v>#N/A</v>
      </c>
      <c r="M193" s="1207" t="e">
        <f t="shared" si="91"/>
        <v>#N/A</v>
      </c>
      <c r="N193" s="1212" t="e">
        <f t="shared" si="91"/>
        <v>#N/A</v>
      </c>
      <c r="O193" s="1212" t="e">
        <f t="shared" si="91"/>
        <v>#N/A</v>
      </c>
      <c r="P193" s="1212" t="e">
        <f t="shared" si="91"/>
        <v>#N/A</v>
      </c>
      <c r="Q193" s="1212" t="e">
        <f t="shared" si="91"/>
        <v>#N/A</v>
      </c>
      <c r="R193" s="1212" t="e">
        <f t="shared" si="91"/>
        <v>#N/A</v>
      </c>
      <c r="S193" s="1212" t="e">
        <f t="shared" si="91"/>
        <v>#N/A</v>
      </c>
      <c r="T193" s="1212" t="e">
        <f t="shared" si="91"/>
        <v>#N/A</v>
      </c>
      <c r="U193" s="1212" t="e">
        <f t="shared" si="91"/>
        <v>#N/A</v>
      </c>
      <c r="V193" s="1212" t="e">
        <f t="shared" si="91"/>
        <v>#N/A</v>
      </c>
      <c r="W193" s="1212" t="e">
        <f t="shared" si="91"/>
        <v>#N/A</v>
      </c>
      <c r="X193" s="1212" t="e">
        <f t="shared" si="91"/>
        <v>#N/A</v>
      </c>
      <c r="Y193" s="1212" t="e">
        <f t="shared" si="91"/>
        <v>#N/A</v>
      </c>
    </row>
    <row r="194" spans="1:25" s="756" customFormat="1" hidden="1" x14ac:dyDescent="0.25">
      <c r="A194" s="1067"/>
      <c r="D194" s="745"/>
      <c r="E194" s="745"/>
      <c r="F194" s="745"/>
      <c r="G194" s="745"/>
      <c r="H194" s="745"/>
      <c r="I194" s="745"/>
      <c r="J194" s="745"/>
      <c r="K194" s="745"/>
      <c r="L194" s="745"/>
      <c r="M194" s="745"/>
      <c r="N194" s="746"/>
      <c r="O194" s="746"/>
      <c r="P194" s="746"/>
      <c r="Q194" s="746"/>
      <c r="R194" s="746"/>
      <c r="S194" s="746"/>
      <c r="T194" s="746"/>
      <c r="U194" s="746"/>
      <c r="V194" s="746"/>
      <c r="W194" s="746"/>
      <c r="X194" s="746"/>
      <c r="Y194" s="746"/>
    </row>
    <row r="195" spans="1:25" s="756" customFormat="1" hidden="1" x14ac:dyDescent="0.25">
      <c r="A195" s="1067"/>
      <c r="D195" s="745" t="s">
        <v>412</v>
      </c>
      <c r="E195" s="745" t="s">
        <v>10</v>
      </c>
      <c r="F195" s="745" t="s">
        <v>428</v>
      </c>
      <c r="G195" s="745" t="str">
        <f>G$136</f>
        <v>Cost in 2008 dollars</v>
      </c>
      <c r="H195" s="745" t="s">
        <v>583</v>
      </c>
      <c r="I195" s="745" t="s">
        <v>584</v>
      </c>
      <c r="J195" s="745" t="s">
        <v>585</v>
      </c>
      <c r="K195" s="745" t="s">
        <v>586</v>
      </c>
      <c r="L195" s="745" t="s">
        <v>413</v>
      </c>
      <c r="M195" s="745" t="s">
        <v>414</v>
      </c>
      <c r="N195" s="746" t="s">
        <v>592</v>
      </c>
      <c r="O195" s="746" t="s">
        <v>587</v>
      </c>
      <c r="P195" s="746" t="s">
        <v>588</v>
      </c>
      <c r="Q195" s="746" t="s">
        <v>589</v>
      </c>
      <c r="R195" s="746" t="s">
        <v>590</v>
      </c>
      <c r="S195" s="746" t="s">
        <v>591</v>
      </c>
      <c r="T195" s="746" t="s">
        <v>593</v>
      </c>
      <c r="U195" s="746" t="s">
        <v>594</v>
      </c>
      <c r="V195" s="746" t="s">
        <v>595</v>
      </c>
      <c r="W195" s="746" t="s">
        <v>596</v>
      </c>
      <c r="X195" s="746" t="s">
        <v>597</v>
      </c>
      <c r="Y195" s="746" t="s">
        <v>598</v>
      </c>
    </row>
    <row r="196" spans="1:25" s="756" customFormat="1" hidden="1" x14ac:dyDescent="0.25">
      <c r="A196" s="1067"/>
      <c r="D196" s="756">
        <f>'Forklift INPUTS'!D347</f>
        <v>524100</v>
      </c>
      <c r="E196" s="756" t="str">
        <f>'Forklift INPUTS'!E347</f>
        <v>Insurance carriers</v>
      </c>
      <c r="F196" s="750">
        <v>1.1969071925754063E-2</v>
      </c>
      <c r="G196" s="750">
        <f>F196</f>
        <v>1.1969071925754063E-2</v>
      </c>
      <c r="H196" s="751" t="e">
        <f>$G196*INDEX(tier_emp_mult, MATCH($D196, tier_emp_code,0), MATCH(State, R_emp, 0))/1000000</f>
        <v>#N/A</v>
      </c>
      <c r="I196" s="752" t="e">
        <f>$G196*INDEX(typeI_emp_mult, MATCH($D196, typeI_emp_code,0), MATCH(State, R_emp, 0))/1000000</f>
        <v>#N/A</v>
      </c>
      <c r="J196" s="752" t="e">
        <f>$G196*INDEX(typeII_emp_mult, MATCH($D196, typeII_emp_code,0), MATCH(State, R_emp, 0))/1000000</f>
        <v>#N/A</v>
      </c>
      <c r="K196" s="753" t="e">
        <f>H196</f>
        <v>#N/A</v>
      </c>
      <c r="L196" s="753" t="e">
        <f>I196-H196</f>
        <v>#N/A</v>
      </c>
      <c r="M196" s="753" t="e">
        <f>J196-I196</f>
        <v>#N/A</v>
      </c>
      <c r="N196" s="754" t="e">
        <f>$G196*INDEX(tier_earn_mult, MATCH($D196, tier_earn_code,0), MATCH(State, R_earn, 0))</f>
        <v>#N/A</v>
      </c>
      <c r="O196" s="754" t="e">
        <f>$G196*INDEX(typeI_earn_mult, MATCH($D196, typeI_earn_code,0), MATCH(State, R_earn, 0))</f>
        <v>#N/A</v>
      </c>
      <c r="P196" s="754" t="e">
        <f>$G196*INDEX(typeII_earn_mult, MATCH($D196, typeII_earn_code,0), MATCH(State, R_earn, 0))</f>
        <v>#N/A</v>
      </c>
      <c r="Q196" s="754" t="e">
        <f>N196</f>
        <v>#N/A</v>
      </c>
      <c r="R196" s="754" t="e">
        <f>O196-N196</f>
        <v>#N/A</v>
      </c>
      <c r="S196" s="754" t="e">
        <f>P196-O196</f>
        <v>#N/A</v>
      </c>
      <c r="T196" s="754" t="e">
        <f>$G196*INDEX(tier_out_mult, MATCH($D196, tier_out_code,0), MATCH(State, R_out, 0))</f>
        <v>#N/A</v>
      </c>
      <c r="U196" s="754" t="e">
        <f>$G196*INDEX(typeI_out_mult, MATCH($D196, typeI_out_code,0), MATCH(State, R_out, 0))</f>
        <v>#N/A</v>
      </c>
      <c r="V196" s="754" t="e">
        <f>$G196*INDEX(typeII_out_mult, MATCH($D196, typeII_out_code,0), MATCH(State, R_out, 0))</f>
        <v>#N/A</v>
      </c>
      <c r="W196" s="754" t="e">
        <f>T196</f>
        <v>#N/A</v>
      </c>
      <c r="X196" s="754" t="e">
        <f>U196-T196</f>
        <v>#N/A</v>
      </c>
      <c r="Y196" s="754" t="e">
        <f>V196-U196</f>
        <v>#N/A</v>
      </c>
    </row>
    <row r="197" spans="1:25" s="756" customFormat="1" hidden="1" x14ac:dyDescent="0.25">
      <c r="A197" s="1067"/>
      <c r="D197" s="756" t="str">
        <f>'Forklift INPUTS'!D348</f>
        <v>52A000</v>
      </c>
      <c r="E197" s="756" t="str">
        <f>'Forklift INPUTS'!E348</f>
        <v>Monetary authorities and depository credit intermediation</v>
      </c>
      <c r="F197" s="750">
        <v>9.8708836040216578E-3</v>
      </c>
      <c r="G197" s="750">
        <f>F197</f>
        <v>9.8708836040216578E-3</v>
      </c>
      <c r="H197" s="751" t="e">
        <f>$G197*INDEX(tier_emp_mult, MATCH($D197, tier_emp_code,0), MATCH(State, R_emp, 0))/1000000</f>
        <v>#N/A</v>
      </c>
      <c r="I197" s="752" t="e">
        <f>$G197*INDEX(typeI_emp_mult, MATCH($D197, typeI_emp_code,0), MATCH(State, R_emp, 0))/1000000</f>
        <v>#N/A</v>
      </c>
      <c r="J197" s="752" t="e">
        <f>$G197*INDEX(typeII_emp_mult, MATCH($D197, typeII_emp_code,0), MATCH(State, R_emp, 0))/1000000</f>
        <v>#N/A</v>
      </c>
      <c r="K197" s="753" t="e">
        <f>H197</f>
        <v>#N/A</v>
      </c>
      <c r="L197" s="753" t="e">
        <f>I197-H197</f>
        <v>#N/A</v>
      </c>
      <c r="M197" s="753" t="e">
        <f>J197-I197</f>
        <v>#N/A</v>
      </c>
      <c r="N197" s="754" t="e">
        <f>$G197*INDEX(tier_earn_mult, MATCH($D197, tier_earn_code,0), MATCH(State, R_earn, 0))</f>
        <v>#N/A</v>
      </c>
      <c r="O197" s="754" t="e">
        <f>$G197*INDEX(typeI_earn_mult, MATCH($D197, typeI_earn_code,0), MATCH(State, R_earn, 0))</f>
        <v>#N/A</v>
      </c>
      <c r="P197" s="754" t="e">
        <f>$G197*INDEX(typeII_earn_mult, MATCH($D197, typeII_earn_code,0), MATCH(State, R_earn, 0))</f>
        <v>#N/A</v>
      </c>
      <c r="Q197" s="754" t="e">
        <f>N197</f>
        <v>#N/A</v>
      </c>
      <c r="R197" s="754" t="e">
        <f>O197-N197</f>
        <v>#N/A</v>
      </c>
      <c r="S197" s="754" t="e">
        <f>P197-O197</f>
        <v>#N/A</v>
      </c>
      <c r="T197" s="754" t="e">
        <f>$G197*INDEX(tier_out_mult, MATCH($D197, tier_out_code,0), MATCH(State, R_out, 0))</f>
        <v>#N/A</v>
      </c>
      <c r="U197" s="754" t="e">
        <f>$G197*INDEX(typeI_out_mult, MATCH($D197, typeI_out_code,0), MATCH(State, R_out, 0))</f>
        <v>#N/A</v>
      </c>
      <c r="V197" s="754" t="e">
        <f>$G197*INDEX(typeII_out_mult, MATCH($D197, typeII_out_code,0), MATCH(State, R_out, 0))</f>
        <v>#N/A</v>
      </c>
      <c r="W197" s="754" t="e">
        <f>T197</f>
        <v>#N/A</v>
      </c>
      <c r="X197" s="754" t="e">
        <f>U197-T197</f>
        <v>#N/A</v>
      </c>
      <c r="Y197" s="754" t="e">
        <f>V197-U197</f>
        <v>#N/A</v>
      </c>
    </row>
    <row r="198" spans="1:25" s="756" customFormat="1" hidden="1" x14ac:dyDescent="0.25">
      <c r="A198" s="1067"/>
      <c r="D198" s="745"/>
      <c r="E198" s="1204"/>
      <c r="F198" s="1210">
        <f>SUM(F196:F197)</f>
        <v>2.1839955529775721E-2</v>
      </c>
      <c r="G198" s="1210">
        <f t="shared" ref="G198:Y198" si="92">SUM(G196:G197)</f>
        <v>2.1839955529775721E-2</v>
      </c>
      <c r="H198" s="1207" t="e">
        <f t="shared" si="92"/>
        <v>#N/A</v>
      </c>
      <c r="I198" s="1207" t="e">
        <f t="shared" si="92"/>
        <v>#N/A</v>
      </c>
      <c r="J198" s="1207" t="e">
        <f t="shared" si="92"/>
        <v>#N/A</v>
      </c>
      <c r="K198" s="1207" t="e">
        <f t="shared" si="92"/>
        <v>#N/A</v>
      </c>
      <c r="L198" s="1207" t="e">
        <f t="shared" si="92"/>
        <v>#N/A</v>
      </c>
      <c r="M198" s="1207" t="e">
        <f t="shared" si="92"/>
        <v>#N/A</v>
      </c>
      <c r="N198" s="1208" t="e">
        <f t="shared" si="92"/>
        <v>#N/A</v>
      </c>
      <c r="O198" s="1208" t="e">
        <f t="shared" si="92"/>
        <v>#N/A</v>
      </c>
      <c r="P198" s="1208" t="e">
        <f t="shared" si="92"/>
        <v>#N/A</v>
      </c>
      <c r="Q198" s="1208" t="e">
        <f t="shared" si="92"/>
        <v>#N/A</v>
      </c>
      <c r="R198" s="1208" t="e">
        <f t="shared" si="92"/>
        <v>#N/A</v>
      </c>
      <c r="S198" s="1208" t="e">
        <f t="shared" si="92"/>
        <v>#N/A</v>
      </c>
      <c r="T198" s="1208" t="e">
        <f t="shared" si="92"/>
        <v>#N/A</v>
      </c>
      <c r="U198" s="1208" t="e">
        <f t="shared" si="92"/>
        <v>#N/A</v>
      </c>
      <c r="V198" s="1208" t="e">
        <f t="shared" si="92"/>
        <v>#N/A</v>
      </c>
      <c r="W198" s="1208" t="e">
        <f t="shared" si="92"/>
        <v>#N/A</v>
      </c>
      <c r="X198" s="1208" t="e">
        <f t="shared" si="92"/>
        <v>#N/A</v>
      </c>
      <c r="Y198" s="1208" t="e">
        <f t="shared" si="92"/>
        <v>#N/A</v>
      </c>
    </row>
    <row r="199" spans="1:25" s="756" customFormat="1" hidden="1" x14ac:dyDescent="0.25">
      <c r="A199" s="1067"/>
      <c r="D199" s="745"/>
      <c r="E199" s="745"/>
      <c r="F199" s="745"/>
      <c r="G199" s="745"/>
      <c r="H199" s="745"/>
      <c r="I199" s="745"/>
      <c r="J199" s="745"/>
      <c r="K199" s="745"/>
      <c r="L199" s="745"/>
      <c r="M199" s="745"/>
      <c r="N199" s="746"/>
      <c r="O199" s="746"/>
      <c r="P199" s="746"/>
      <c r="Q199" s="746"/>
      <c r="R199" s="746"/>
      <c r="S199" s="746"/>
      <c r="T199" s="746"/>
      <c r="U199" s="746"/>
      <c r="V199" s="746"/>
      <c r="W199" s="746"/>
      <c r="X199" s="746"/>
      <c r="Y199" s="746"/>
    </row>
    <row r="200" spans="1:25" s="756" customFormat="1" hidden="1" x14ac:dyDescent="0.25">
      <c r="A200" s="1067"/>
      <c r="D200" s="745"/>
      <c r="E200" s="757">
        <v>2015</v>
      </c>
      <c r="F200" s="1212">
        <f t="shared" ref="F200:F205" si="93">F$198*F336</f>
        <v>0</v>
      </c>
      <c r="G200" s="1212">
        <f t="shared" ref="G200:Y200" si="94">G$198*$G336</f>
        <v>0</v>
      </c>
      <c r="H200" s="1207" t="e">
        <f t="shared" si="94"/>
        <v>#N/A</v>
      </c>
      <c r="I200" s="1207" t="e">
        <f t="shared" si="94"/>
        <v>#N/A</v>
      </c>
      <c r="J200" s="1207" t="e">
        <f t="shared" si="94"/>
        <v>#N/A</v>
      </c>
      <c r="K200" s="1207" t="e">
        <f t="shared" si="94"/>
        <v>#N/A</v>
      </c>
      <c r="L200" s="1207" t="e">
        <f t="shared" si="94"/>
        <v>#N/A</v>
      </c>
      <c r="M200" s="1207" t="e">
        <f t="shared" si="94"/>
        <v>#N/A</v>
      </c>
      <c r="N200" s="1212" t="e">
        <f t="shared" si="94"/>
        <v>#N/A</v>
      </c>
      <c r="O200" s="1212" t="e">
        <f t="shared" si="94"/>
        <v>#N/A</v>
      </c>
      <c r="P200" s="1212" t="e">
        <f t="shared" si="94"/>
        <v>#N/A</v>
      </c>
      <c r="Q200" s="1212" t="e">
        <f t="shared" si="94"/>
        <v>#N/A</v>
      </c>
      <c r="R200" s="1212" t="e">
        <f t="shared" si="94"/>
        <v>#N/A</v>
      </c>
      <c r="S200" s="1212" t="e">
        <f t="shared" si="94"/>
        <v>#N/A</v>
      </c>
      <c r="T200" s="1212" t="e">
        <f t="shared" si="94"/>
        <v>#N/A</v>
      </c>
      <c r="U200" s="1212" t="e">
        <f t="shared" si="94"/>
        <v>#N/A</v>
      </c>
      <c r="V200" s="1212" t="e">
        <f t="shared" si="94"/>
        <v>#N/A</v>
      </c>
      <c r="W200" s="1212" t="e">
        <f t="shared" si="94"/>
        <v>#N/A</v>
      </c>
      <c r="X200" s="1212" t="e">
        <f t="shared" si="94"/>
        <v>#N/A</v>
      </c>
      <c r="Y200" s="1212" t="e">
        <f t="shared" si="94"/>
        <v>#N/A</v>
      </c>
    </row>
    <row r="201" spans="1:25" s="756" customFormat="1" hidden="1" x14ac:dyDescent="0.25">
      <c r="A201" s="1067"/>
      <c r="D201" s="745"/>
      <c r="E201" s="757">
        <v>2016</v>
      </c>
      <c r="F201" s="1212">
        <f t="shared" si="93"/>
        <v>0</v>
      </c>
      <c r="G201" s="1212">
        <f t="shared" ref="G201:Y201" si="95">G$198*$G337</f>
        <v>0</v>
      </c>
      <c r="H201" s="1207" t="e">
        <f t="shared" si="95"/>
        <v>#N/A</v>
      </c>
      <c r="I201" s="1207" t="e">
        <f t="shared" si="95"/>
        <v>#N/A</v>
      </c>
      <c r="J201" s="1207" t="e">
        <f t="shared" si="95"/>
        <v>#N/A</v>
      </c>
      <c r="K201" s="1207" t="e">
        <f t="shared" si="95"/>
        <v>#N/A</v>
      </c>
      <c r="L201" s="1207" t="e">
        <f t="shared" si="95"/>
        <v>#N/A</v>
      </c>
      <c r="M201" s="1207" t="e">
        <f t="shared" si="95"/>
        <v>#N/A</v>
      </c>
      <c r="N201" s="1212" t="e">
        <f t="shared" si="95"/>
        <v>#N/A</v>
      </c>
      <c r="O201" s="1212" t="e">
        <f t="shared" si="95"/>
        <v>#N/A</v>
      </c>
      <c r="P201" s="1212" t="e">
        <f t="shared" si="95"/>
        <v>#N/A</v>
      </c>
      <c r="Q201" s="1212" t="e">
        <f t="shared" si="95"/>
        <v>#N/A</v>
      </c>
      <c r="R201" s="1212" t="e">
        <f t="shared" si="95"/>
        <v>#N/A</v>
      </c>
      <c r="S201" s="1212" t="e">
        <f t="shared" si="95"/>
        <v>#N/A</v>
      </c>
      <c r="T201" s="1212" t="e">
        <f t="shared" si="95"/>
        <v>#N/A</v>
      </c>
      <c r="U201" s="1212" t="e">
        <f t="shared" si="95"/>
        <v>#N/A</v>
      </c>
      <c r="V201" s="1212" t="e">
        <f t="shared" si="95"/>
        <v>#N/A</v>
      </c>
      <c r="W201" s="1212" t="e">
        <f t="shared" si="95"/>
        <v>#N/A</v>
      </c>
      <c r="X201" s="1212" t="e">
        <f t="shared" si="95"/>
        <v>#N/A</v>
      </c>
      <c r="Y201" s="1212" t="e">
        <f t="shared" si="95"/>
        <v>#N/A</v>
      </c>
    </row>
    <row r="202" spans="1:25" s="756" customFormat="1" hidden="1" x14ac:dyDescent="0.25">
      <c r="A202" s="1067"/>
      <c r="D202" s="745"/>
      <c r="E202" s="757">
        <v>2017</v>
      </c>
      <c r="F202" s="1212">
        <f t="shared" si="93"/>
        <v>0</v>
      </c>
      <c r="G202" s="1212">
        <f t="shared" ref="G202:Y202" si="96">G$198*$G338</f>
        <v>0</v>
      </c>
      <c r="H202" s="1207" t="e">
        <f t="shared" si="96"/>
        <v>#N/A</v>
      </c>
      <c r="I202" s="1207" t="e">
        <f t="shared" si="96"/>
        <v>#N/A</v>
      </c>
      <c r="J202" s="1207" t="e">
        <f t="shared" si="96"/>
        <v>#N/A</v>
      </c>
      <c r="K202" s="1207" t="e">
        <f t="shared" si="96"/>
        <v>#N/A</v>
      </c>
      <c r="L202" s="1207" t="e">
        <f t="shared" si="96"/>
        <v>#N/A</v>
      </c>
      <c r="M202" s="1207" t="e">
        <f t="shared" si="96"/>
        <v>#N/A</v>
      </c>
      <c r="N202" s="1212" t="e">
        <f t="shared" si="96"/>
        <v>#N/A</v>
      </c>
      <c r="O202" s="1212" t="e">
        <f t="shared" si="96"/>
        <v>#N/A</v>
      </c>
      <c r="P202" s="1212" t="e">
        <f t="shared" si="96"/>
        <v>#N/A</v>
      </c>
      <c r="Q202" s="1212" t="e">
        <f t="shared" si="96"/>
        <v>#N/A</v>
      </c>
      <c r="R202" s="1212" t="e">
        <f t="shared" si="96"/>
        <v>#N/A</v>
      </c>
      <c r="S202" s="1212" t="e">
        <f t="shared" si="96"/>
        <v>#N/A</v>
      </c>
      <c r="T202" s="1212" t="e">
        <f t="shared" si="96"/>
        <v>#N/A</v>
      </c>
      <c r="U202" s="1212" t="e">
        <f t="shared" si="96"/>
        <v>#N/A</v>
      </c>
      <c r="V202" s="1212" t="e">
        <f t="shared" si="96"/>
        <v>#N/A</v>
      </c>
      <c r="W202" s="1212" t="e">
        <f t="shared" si="96"/>
        <v>#N/A</v>
      </c>
      <c r="X202" s="1212" t="e">
        <f t="shared" si="96"/>
        <v>#N/A</v>
      </c>
      <c r="Y202" s="1212" t="e">
        <f t="shared" si="96"/>
        <v>#N/A</v>
      </c>
    </row>
    <row r="203" spans="1:25" s="756" customFormat="1" hidden="1" x14ac:dyDescent="0.25">
      <c r="A203" s="1067"/>
      <c r="D203" s="745"/>
      <c r="E203" s="757">
        <v>2018</v>
      </c>
      <c r="F203" s="1212">
        <f t="shared" si="93"/>
        <v>0</v>
      </c>
      <c r="G203" s="1212">
        <f t="shared" ref="G203:Y203" si="97">G$198*$G339</f>
        <v>0</v>
      </c>
      <c r="H203" s="1207" t="e">
        <f t="shared" si="97"/>
        <v>#N/A</v>
      </c>
      <c r="I203" s="1207" t="e">
        <f t="shared" si="97"/>
        <v>#N/A</v>
      </c>
      <c r="J203" s="1207" t="e">
        <f t="shared" si="97"/>
        <v>#N/A</v>
      </c>
      <c r="K203" s="1207" t="e">
        <f t="shared" si="97"/>
        <v>#N/A</v>
      </c>
      <c r="L203" s="1207" t="e">
        <f t="shared" si="97"/>
        <v>#N/A</v>
      </c>
      <c r="M203" s="1207" t="e">
        <f t="shared" si="97"/>
        <v>#N/A</v>
      </c>
      <c r="N203" s="1212" t="e">
        <f t="shared" si="97"/>
        <v>#N/A</v>
      </c>
      <c r="O203" s="1212" t="e">
        <f t="shared" si="97"/>
        <v>#N/A</v>
      </c>
      <c r="P203" s="1212" t="e">
        <f t="shared" si="97"/>
        <v>#N/A</v>
      </c>
      <c r="Q203" s="1212" t="e">
        <f t="shared" si="97"/>
        <v>#N/A</v>
      </c>
      <c r="R203" s="1212" t="e">
        <f t="shared" si="97"/>
        <v>#N/A</v>
      </c>
      <c r="S203" s="1212" t="e">
        <f t="shared" si="97"/>
        <v>#N/A</v>
      </c>
      <c r="T203" s="1212" t="e">
        <f t="shared" si="97"/>
        <v>#N/A</v>
      </c>
      <c r="U203" s="1212" t="e">
        <f t="shared" si="97"/>
        <v>#N/A</v>
      </c>
      <c r="V203" s="1212" t="e">
        <f t="shared" si="97"/>
        <v>#N/A</v>
      </c>
      <c r="W203" s="1212" t="e">
        <f t="shared" si="97"/>
        <v>#N/A</v>
      </c>
      <c r="X203" s="1212" t="e">
        <f t="shared" si="97"/>
        <v>#N/A</v>
      </c>
      <c r="Y203" s="1212" t="e">
        <f t="shared" si="97"/>
        <v>#N/A</v>
      </c>
    </row>
    <row r="204" spans="1:25" s="756" customFormat="1" hidden="1" x14ac:dyDescent="0.25">
      <c r="A204" s="1067"/>
      <c r="D204" s="745"/>
      <c r="E204" s="757">
        <v>2019</v>
      </c>
      <c r="F204" s="1212">
        <f t="shared" si="93"/>
        <v>0</v>
      </c>
      <c r="G204" s="1212">
        <f t="shared" ref="G204:Y204" si="98">G$198*$G340</f>
        <v>0</v>
      </c>
      <c r="H204" s="1207" t="e">
        <f t="shared" si="98"/>
        <v>#N/A</v>
      </c>
      <c r="I204" s="1207" t="e">
        <f t="shared" si="98"/>
        <v>#N/A</v>
      </c>
      <c r="J204" s="1207" t="e">
        <f t="shared" si="98"/>
        <v>#N/A</v>
      </c>
      <c r="K204" s="1207" t="e">
        <f t="shared" si="98"/>
        <v>#N/A</v>
      </c>
      <c r="L204" s="1207" t="e">
        <f t="shared" si="98"/>
        <v>#N/A</v>
      </c>
      <c r="M204" s="1207" t="e">
        <f t="shared" si="98"/>
        <v>#N/A</v>
      </c>
      <c r="N204" s="1212" t="e">
        <f t="shared" si="98"/>
        <v>#N/A</v>
      </c>
      <c r="O204" s="1212" t="e">
        <f t="shared" si="98"/>
        <v>#N/A</v>
      </c>
      <c r="P204" s="1212" t="e">
        <f t="shared" si="98"/>
        <v>#N/A</v>
      </c>
      <c r="Q204" s="1212" t="e">
        <f t="shared" si="98"/>
        <v>#N/A</v>
      </c>
      <c r="R204" s="1212" t="e">
        <f t="shared" si="98"/>
        <v>#N/A</v>
      </c>
      <c r="S204" s="1212" t="e">
        <f t="shared" si="98"/>
        <v>#N/A</v>
      </c>
      <c r="T204" s="1212" t="e">
        <f t="shared" si="98"/>
        <v>#N/A</v>
      </c>
      <c r="U204" s="1212" t="e">
        <f t="shared" si="98"/>
        <v>#N/A</v>
      </c>
      <c r="V204" s="1212" t="e">
        <f t="shared" si="98"/>
        <v>#N/A</v>
      </c>
      <c r="W204" s="1212" t="e">
        <f t="shared" si="98"/>
        <v>#N/A</v>
      </c>
      <c r="X204" s="1212" t="e">
        <f t="shared" si="98"/>
        <v>#N/A</v>
      </c>
      <c r="Y204" s="1212" t="e">
        <f t="shared" si="98"/>
        <v>#N/A</v>
      </c>
    </row>
    <row r="205" spans="1:25" s="756" customFormat="1" hidden="1" x14ac:dyDescent="0.25">
      <c r="A205" s="1067"/>
      <c r="D205" s="745"/>
      <c r="E205" s="1184">
        <v>2020</v>
      </c>
      <c r="F205" s="1212">
        <f t="shared" si="93"/>
        <v>0</v>
      </c>
      <c r="G205" s="1212">
        <f t="shared" ref="G205:Y205" si="99">G$198*$G341</f>
        <v>0</v>
      </c>
      <c r="H205" s="1207" t="e">
        <f t="shared" si="99"/>
        <v>#N/A</v>
      </c>
      <c r="I205" s="1207" t="e">
        <f t="shared" si="99"/>
        <v>#N/A</v>
      </c>
      <c r="J205" s="1207" t="e">
        <f t="shared" si="99"/>
        <v>#N/A</v>
      </c>
      <c r="K205" s="1207" t="e">
        <f t="shared" si="99"/>
        <v>#N/A</v>
      </c>
      <c r="L205" s="1207" t="e">
        <f t="shared" si="99"/>
        <v>#N/A</v>
      </c>
      <c r="M205" s="1207" t="e">
        <f t="shared" si="99"/>
        <v>#N/A</v>
      </c>
      <c r="N205" s="1212" t="e">
        <f t="shared" si="99"/>
        <v>#N/A</v>
      </c>
      <c r="O205" s="1212" t="e">
        <f t="shared" si="99"/>
        <v>#N/A</v>
      </c>
      <c r="P205" s="1212" t="e">
        <f t="shared" si="99"/>
        <v>#N/A</v>
      </c>
      <c r="Q205" s="1212" t="e">
        <f t="shared" si="99"/>
        <v>#N/A</v>
      </c>
      <c r="R205" s="1212" t="e">
        <f t="shared" si="99"/>
        <v>#N/A</v>
      </c>
      <c r="S205" s="1212" t="e">
        <f t="shared" si="99"/>
        <v>#N/A</v>
      </c>
      <c r="T205" s="1212" t="e">
        <f t="shared" si="99"/>
        <v>#N/A</v>
      </c>
      <c r="U205" s="1212" t="e">
        <f t="shared" si="99"/>
        <v>#N/A</v>
      </c>
      <c r="V205" s="1212" t="e">
        <f t="shared" si="99"/>
        <v>#N/A</v>
      </c>
      <c r="W205" s="1212" t="e">
        <f t="shared" si="99"/>
        <v>#N/A</v>
      </c>
      <c r="X205" s="1212" t="e">
        <f t="shared" si="99"/>
        <v>#N/A</v>
      </c>
      <c r="Y205" s="1212" t="e">
        <f t="shared" si="99"/>
        <v>#N/A</v>
      </c>
    </row>
    <row r="206" spans="1:25" s="756" customFormat="1" hidden="1" x14ac:dyDescent="0.25">
      <c r="A206" s="1067"/>
      <c r="D206" s="745"/>
      <c r="E206" s="745"/>
      <c r="F206" s="745"/>
      <c r="G206" s="745"/>
      <c r="H206" s="745"/>
      <c r="I206" s="745"/>
      <c r="J206" s="745"/>
      <c r="K206" s="745"/>
      <c r="L206" s="745"/>
      <c r="M206" s="745"/>
      <c r="N206" s="746"/>
      <c r="O206" s="746"/>
      <c r="P206" s="746"/>
      <c r="Q206" s="746"/>
      <c r="R206" s="746"/>
      <c r="S206" s="746"/>
      <c r="T206" s="746"/>
      <c r="U206" s="746"/>
      <c r="V206" s="746"/>
      <c r="W206" s="746"/>
      <c r="X206" s="746"/>
      <c r="Y206" s="746"/>
    </row>
    <row r="207" spans="1:25" s="756" customFormat="1" hidden="1" x14ac:dyDescent="0.25">
      <c r="A207" s="1067"/>
      <c r="D207" s="745" t="s">
        <v>412</v>
      </c>
      <c r="E207" s="745" t="s">
        <v>10</v>
      </c>
      <c r="F207" s="745" t="s">
        <v>428</v>
      </c>
      <c r="G207" s="745" t="str">
        <f>G$136</f>
        <v>Cost in 2008 dollars</v>
      </c>
      <c r="H207" s="745" t="s">
        <v>583</v>
      </c>
      <c r="I207" s="745" t="s">
        <v>584</v>
      </c>
      <c r="J207" s="745" t="s">
        <v>585</v>
      </c>
      <c r="K207" s="745" t="s">
        <v>586</v>
      </c>
      <c r="L207" s="745" t="s">
        <v>413</v>
      </c>
      <c r="M207" s="745" t="s">
        <v>414</v>
      </c>
      <c r="N207" s="746" t="s">
        <v>592</v>
      </c>
      <c r="O207" s="746" t="s">
        <v>587</v>
      </c>
      <c r="P207" s="746" t="s">
        <v>588</v>
      </c>
      <c r="Q207" s="746" t="s">
        <v>589</v>
      </c>
      <c r="R207" s="746" t="s">
        <v>590</v>
      </c>
      <c r="S207" s="746" t="s">
        <v>591</v>
      </c>
      <c r="T207" s="746" t="s">
        <v>593</v>
      </c>
      <c r="U207" s="746" t="s">
        <v>594</v>
      </c>
      <c r="V207" s="746" t="s">
        <v>595</v>
      </c>
      <c r="W207" s="746" t="s">
        <v>596</v>
      </c>
      <c r="X207" s="746" t="s">
        <v>597</v>
      </c>
      <c r="Y207" s="746" t="s">
        <v>598</v>
      </c>
    </row>
    <row r="208" spans="1:25" s="756" customFormat="1" hidden="1" x14ac:dyDescent="0.25">
      <c r="A208" s="1067"/>
      <c r="D208" s="747">
        <v>541700</v>
      </c>
      <c r="E208" s="748" t="s">
        <v>315</v>
      </c>
      <c r="F208" s="749">
        <v>0.13333333333333333</v>
      </c>
      <c r="G208" s="750">
        <f>F208</f>
        <v>0.13333333333333333</v>
      </c>
      <c r="H208" s="751" t="e">
        <f t="shared" ref="H208:H209" si="100">$G208*INDEX(tier_emp_mult, MATCH($D208, tier_emp_code,0), MATCH(State, R_emp, 0))/1000000</f>
        <v>#N/A</v>
      </c>
      <c r="I208" s="752" t="e">
        <f t="shared" ref="I208:I209" si="101">$G208*INDEX(typeI_emp_mult, MATCH($D208, typeI_emp_code,0), MATCH(State, R_emp, 0))/1000000</f>
        <v>#N/A</v>
      </c>
      <c r="J208" s="752" t="e">
        <f t="shared" ref="J208:J209" si="102">$G208*INDEX(typeII_emp_mult, MATCH($D208, typeII_emp_code,0), MATCH(State, R_emp, 0))/1000000</f>
        <v>#N/A</v>
      </c>
      <c r="K208" s="753" t="e">
        <f>H208</f>
        <v>#N/A</v>
      </c>
      <c r="L208" s="753" t="e">
        <f t="shared" ref="L208" si="103">I208-H208</f>
        <v>#N/A</v>
      </c>
      <c r="M208" s="753" t="e">
        <f t="shared" ref="M208" si="104">J208-I208</f>
        <v>#N/A</v>
      </c>
      <c r="N208" s="754" t="e">
        <f t="shared" ref="N208:N209" si="105">$G208*INDEX(tier_earn_mult, MATCH($D208, tier_earn_code,0), MATCH(State, R_earn, 0))</f>
        <v>#N/A</v>
      </c>
      <c r="O208" s="754" t="e">
        <f t="shared" ref="O208:O209" si="106">$G208*INDEX(typeI_earn_mult, MATCH($D208, typeI_earn_code,0), MATCH(State, R_earn, 0))</f>
        <v>#N/A</v>
      </c>
      <c r="P208" s="754" t="e">
        <f t="shared" ref="P208:P209" si="107">$G208*INDEX(typeII_earn_mult, MATCH($D208, typeII_earn_code,0), MATCH(State, R_earn, 0))</f>
        <v>#N/A</v>
      </c>
      <c r="Q208" s="754" t="e">
        <f>N208</f>
        <v>#N/A</v>
      </c>
      <c r="R208" s="754" t="e">
        <f t="shared" ref="R208" si="108">O208-N208</f>
        <v>#N/A</v>
      </c>
      <c r="S208" s="754" t="e">
        <f t="shared" ref="S208" si="109">P208-O208</f>
        <v>#N/A</v>
      </c>
      <c r="T208" s="754" t="e">
        <f t="shared" ref="T208:T209" si="110">$G208*INDEX(tier_out_mult, MATCH($D208, tier_out_code,0), MATCH(State, R_out, 0))</f>
        <v>#N/A</v>
      </c>
      <c r="U208" s="754" t="e">
        <f t="shared" ref="U208:U209" si="111">$G208*INDEX(typeI_out_mult, MATCH($D208, typeI_out_code,0), MATCH(State, R_out, 0))</f>
        <v>#N/A</v>
      </c>
      <c r="V208" s="754" t="e">
        <f t="shared" ref="V208:V209" si="112">$G208*INDEX(typeII_out_mult, MATCH($D208, typeII_out_code,0), MATCH(State, R_out, 0))</f>
        <v>#N/A</v>
      </c>
      <c r="W208" s="754" t="e">
        <f>T208</f>
        <v>#N/A</v>
      </c>
      <c r="X208" s="754" t="e">
        <f t="shared" ref="X208" si="113">U208-T208</f>
        <v>#N/A</v>
      </c>
      <c r="Y208" s="754" t="e">
        <f t="shared" ref="Y208" si="114">V208-U208</f>
        <v>#N/A</v>
      </c>
    </row>
    <row r="209" spans="1:25" s="756" customFormat="1" hidden="1" x14ac:dyDescent="0.25">
      <c r="A209" s="1067"/>
      <c r="D209" s="755">
        <v>561100</v>
      </c>
      <c r="E209" s="756" t="s">
        <v>323</v>
      </c>
      <c r="F209" s="749">
        <v>0.19999999999999998</v>
      </c>
      <c r="G209" s="750">
        <f>F209</f>
        <v>0.19999999999999998</v>
      </c>
      <c r="H209" s="751" t="e">
        <f t="shared" si="100"/>
        <v>#N/A</v>
      </c>
      <c r="I209" s="752" t="e">
        <f t="shared" si="101"/>
        <v>#N/A</v>
      </c>
      <c r="J209" s="752" t="e">
        <f t="shared" si="102"/>
        <v>#N/A</v>
      </c>
      <c r="K209" s="753" t="e">
        <f t="shared" ref="K209" si="115">H209</f>
        <v>#N/A</v>
      </c>
      <c r="L209" s="753" t="e">
        <f t="shared" ref="L209" si="116">I209-H209</f>
        <v>#N/A</v>
      </c>
      <c r="M209" s="753" t="e">
        <f t="shared" ref="M209" si="117">J209-I209</f>
        <v>#N/A</v>
      </c>
      <c r="N209" s="754" t="e">
        <f t="shared" si="105"/>
        <v>#N/A</v>
      </c>
      <c r="O209" s="754" t="e">
        <f t="shared" si="106"/>
        <v>#N/A</v>
      </c>
      <c r="P209" s="754" t="e">
        <f t="shared" si="107"/>
        <v>#N/A</v>
      </c>
      <c r="Q209" s="754" t="e">
        <f t="shared" ref="Q209" si="118">N209</f>
        <v>#N/A</v>
      </c>
      <c r="R209" s="754" t="e">
        <f t="shared" ref="R209" si="119">O209-N209</f>
        <v>#N/A</v>
      </c>
      <c r="S209" s="754" t="e">
        <f t="shared" ref="S209" si="120">P209-O209</f>
        <v>#N/A</v>
      </c>
      <c r="T209" s="754" t="e">
        <f t="shared" si="110"/>
        <v>#N/A</v>
      </c>
      <c r="U209" s="754" t="e">
        <f t="shared" si="111"/>
        <v>#N/A</v>
      </c>
      <c r="V209" s="754" t="e">
        <f t="shared" si="112"/>
        <v>#N/A</v>
      </c>
      <c r="W209" s="754" t="e">
        <f t="shared" ref="W209" si="121">T209</f>
        <v>#N/A</v>
      </c>
      <c r="X209" s="754" t="e">
        <f t="shared" ref="X209" si="122">U209-T209</f>
        <v>#N/A</v>
      </c>
      <c r="Y209" s="754" t="e">
        <f t="shared" ref="Y209" si="123">V209-U209</f>
        <v>#N/A</v>
      </c>
    </row>
    <row r="210" spans="1:25" s="756" customFormat="1" hidden="1" x14ac:dyDescent="0.25">
      <c r="A210" s="1067"/>
      <c r="E210" s="1211"/>
      <c r="F210" s="1210">
        <f>SUM(F208:F209)</f>
        <v>0.33333333333333331</v>
      </c>
      <c r="G210" s="1210">
        <f t="shared" ref="G210" si="124">SUM(G208:G209)</f>
        <v>0.33333333333333331</v>
      </c>
      <c r="H210" s="1207" t="e">
        <f t="shared" ref="H210" si="125">SUM(H208:H209)</f>
        <v>#N/A</v>
      </c>
      <c r="I210" s="1207" t="e">
        <f t="shared" ref="I210" si="126">SUM(I208:I209)</f>
        <v>#N/A</v>
      </c>
      <c r="J210" s="1207" t="e">
        <f t="shared" ref="J210" si="127">SUM(J208:J209)</f>
        <v>#N/A</v>
      </c>
      <c r="K210" s="1207" t="e">
        <f t="shared" ref="K210" si="128">SUM(K208:K209)</f>
        <v>#N/A</v>
      </c>
      <c r="L210" s="1207" t="e">
        <f t="shared" ref="L210" si="129">SUM(L208:L209)</f>
        <v>#N/A</v>
      </c>
      <c r="M210" s="1207" t="e">
        <f t="shared" ref="M210" si="130">SUM(M208:M209)</f>
        <v>#N/A</v>
      </c>
      <c r="N210" s="1208" t="e">
        <f t="shared" ref="N210" si="131">SUM(N208:N209)</f>
        <v>#N/A</v>
      </c>
      <c r="O210" s="1208" t="e">
        <f t="shared" ref="O210" si="132">SUM(O208:O209)</f>
        <v>#N/A</v>
      </c>
      <c r="P210" s="1208" t="e">
        <f t="shared" ref="P210" si="133">SUM(P208:P209)</f>
        <v>#N/A</v>
      </c>
      <c r="Q210" s="1208" t="e">
        <f t="shared" ref="Q210" si="134">SUM(Q208:Q209)</f>
        <v>#N/A</v>
      </c>
      <c r="R210" s="1208" t="e">
        <f t="shared" ref="R210" si="135">SUM(R208:R209)</f>
        <v>#N/A</v>
      </c>
      <c r="S210" s="1208" t="e">
        <f t="shared" ref="S210" si="136">SUM(S208:S209)</f>
        <v>#N/A</v>
      </c>
      <c r="T210" s="1208" t="e">
        <f t="shared" ref="T210" si="137">SUM(T208:T209)</f>
        <v>#N/A</v>
      </c>
      <c r="U210" s="1208" t="e">
        <f t="shared" ref="U210" si="138">SUM(U208:U209)</f>
        <v>#N/A</v>
      </c>
      <c r="V210" s="1208" t="e">
        <f t="shared" ref="V210" si="139">SUM(V208:V209)</f>
        <v>#N/A</v>
      </c>
      <c r="W210" s="1208" t="e">
        <f t="shared" ref="W210" si="140">SUM(W208:W209)</f>
        <v>#N/A</v>
      </c>
      <c r="X210" s="1208" t="e">
        <f t="shared" ref="X210" si="141">SUM(X208:X209)</f>
        <v>#N/A</v>
      </c>
      <c r="Y210" s="1208" t="e">
        <f t="shared" ref="Y210" si="142">SUM(Y208:Y209)</f>
        <v>#N/A</v>
      </c>
    </row>
    <row r="211" spans="1:25" s="756" customFormat="1" hidden="1" x14ac:dyDescent="0.25">
      <c r="A211" s="1067"/>
    </row>
    <row r="212" spans="1:25" s="756" customFormat="1" hidden="1" x14ac:dyDescent="0.25">
      <c r="A212" s="1067"/>
      <c r="E212" s="757">
        <v>2015</v>
      </c>
      <c r="F212" s="1212">
        <f t="shared" ref="F212:F217" si="143">F$210*F336</f>
        <v>0</v>
      </c>
      <c r="G212" s="1212">
        <f t="shared" ref="G212:Y212" si="144">G$210*$G336</f>
        <v>0</v>
      </c>
      <c r="H212" s="1207" t="e">
        <f t="shared" si="144"/>
        <v>#N/A</v>
      </c>
      <c r="I212" s="1207" t="e">
        <f t="shared" si="144"/>
        <v>#N/A</v>
      </c>
      <c r="J212" s="1207" t="e">
        <f t="shared" si="144"/>
        <v>#N/A</v>
      </c>
      <c r="K212" s="1207" t="e">
        <f t="shared" si="144"/>
        <v>#N/A</v>
      </c>
      <c r="L212" s="1207" t="e">
        <f t="shared" si="144"/>
        <v>#N/A</v>
      </c>
      <c r="M212" s="1207" t="e">
        <f t="shared" si="144"/>
        <v>#N/A</v>
      </c>
      <c r="N212" s="1212" t="e">
        <f t="shared" si="144"/>
        <v>#N/A</v>
      </c>
      <c r="O212" s="1212" t="e">
        <f t="shared" si="144"/>
        <v>#N/A</v>
      </c>
      <c r="P212" s="1212" t="e">
        <f t="shared" si="144"/>
        <v>#N/A</v>
      </c>
      <c r="Q212" s="1212" t="e">
        <f t="shared" si="144"/>
        <v>#N/A</v>
      </c>
      <c r="R212" s="1212" t="e">
        <f t="shared" si="144"/>
        <v>#N/A</v>
      </c>
      <c r="S212" s="1212" t="e">
        <f t="shared" si="144"/>
        <v>#N/A</v>
      </c>
      <c r="T212" s="1212" t="e">
        <f t="shared" si="144"/>
        <v>#N/A</v>
      </c>
      <c r="U212" s="1212" t="e">
        <f t="shared" si="144"/>
        <v>#N/A</v>
      </c>
      <c r="V212" s="1212" t="e">
        <f t="shared" si="144"/>
        <v>#N/A</v>
      </c>
      <c r="W212" s="1212" t="e">
        <f t="shared" si="144"/>
        <v>#N/A</v>
      </c>
      <c r="X212" s="1212" t="e">
        <f t="shared" si="144"/>
        <v>#N/A</v>
      </c>
      <c r="Y212" s="1212" t="e">
        <f t="shared" si="144"/>
        <v>#N/A</v>
      </c>
    </row>
    <row r="213" spans="1:25" s="756" customFormat="1" hidden="1" x14ac:dyDescent="0.25">
      <c r="A213" s="1067"/>
      <c r="E213" s="757">
        <v>2016</v>
      </c>
      <c r="F213" s="1212">
        <f t="shared" si="143"/>
        <v>0</v>
      </c>
      <c r="G213" s="1212">
        <f t="shared" ref="G213:Y213" si="145">G$210*$G337</f>
        <v>0</v>
      </c>
      <c r="H213" s="1207" t="e">
        <f t="shared" si="145"/>
        <v>#N/A</v>
      </c>
      <c r="I213" s="1207" t="e">
        <f t="shared" si="145"/>
        <v>#N/A</v>
      </c>
      <c r="J213" s="1207" t="e">
        <f t="shared" si="145"/>
        <v>#N/A</v>
      </c>
      <c r="K213" s="1207" t="e">
        <f t="shared" si="145"/>
        <v>#N/A</v>
      </c>
      <c r="L213" s="1207" t="e">
        <f t="shared" si="145"/>
        <v>#N/A</v>
      </c>
      <c r="M213" s="1207" t="e">
        <f t="shared" si="145"/>
        <v>#N/A</v>
      </c>
      <c r="N213" s="1212" t="e">
        <f t="shared" si="145"/>
        <v>#N/A</v>
      </c>
      <c r="O213" s="1212" t="e">
        <f t="shared" si="145"/>
        <v>#N/A</v>
      </c>
      <c r="P213" s="1212" t="e">
        <f t="shared" si="145"/>
        <v>#N/A</v>
      </c>
      <c r="Q213" s="1212" t="e">
        <f t="shared" si="145"/>
        <v>#N/A</v>
      </c>
      <c r="R213" s="1212" t="e">
        <f t="shared" si="145"/>
        <v>#N/A</v>
      </c>
      <c r="S213" s="1212" t="e">
        <f t="shared" si="145"/>
        <v>#N/A</v>
      </c>
      <c r="T213" s="1212" t="e">
        <f t="shared" si="145"/>
        <v>#N/A</v>
      </c>
      <c r="U213" s="1212" t="e">
        <f t="shared" si="145"/>
        <v>#N/A</v>
      </c>
      <c r="V213" s="1212" t="e">
        <f t="shared" si="145"/>
        <v>#N/A</v>
      </c>
      <c r="W213" s="1212" t="e">
        <f t="shared" si="145"/>
        <v>#N/A</v>
      </c>
      <c r="X213" s="1212" t="e">
        <f t="shared" si="145"/>
        <v>#N/A</v>
      </c>
      <c r="Y213" s="1212" t="e">
        <f t="shared" si="145"/>
        <v>#N/A</v>
      </c>
    </row>
    <row r="214" spans="1:25" s="756" customFormat="1" hidden="1" x14ac:dyDescent="0.25">
      <c r="A214" s="1067"/>
      <c r="E214" s="757">
        <v>2017</v>
      </c>
      <c r="F214" s="1212">
        <f t="shared" si="143"/>
        <v>0</v>
      </c>
      <c r="G214" s="1212">
        <f t="shared" ref="G214:Y214" si="146">G$210*$G338</f>
        <v>0</v>
      </c>
      <c r="H214" s="1207" t="e">
        <f t="shared" si="146"/>
        <v>#N/A</v>
      </c>
      <c r="I214" s="1207" t="e">
        <f t="shared" si="146"/>
        <v>#N/A</v>
      </c>
      <c r="J214" s="1207" t="e">
        <f t="shared" si="146"/>
        <v>#N/A</v>
      </c>
      <c r="K214" s="1207" t="e">
        <f t="shared" si="146"/>
        <v>#N/A</v>
      </c>
      <c r="L214" s="1207" t="e">
        <f t="shared" si="146"/>
        <v>#N/A</v>
      </c>
      <c r="M214" s="1207" t="e">
        <f t="shared" si="146"/>
        <v>#N/A</v>
      </c>
      <c r="N214" s="1212" t="e">
        <f t="shared" si="146"/>
        <v>#N/A</v>
      </c>
      <c r="O214" s="1212" t="e">
        <f t="shared" si="146"/>
        <v>#N/A</v>
      </c>
      <c r="P214" s="1212" t="e">
        <f t="shared" si="146"/>
        <v>#N/A</v>
      </c>
      <c r="Q214" s="1212" t="e">
        <f t="shared" si="146"/>
        <v>#N/A</v>
      </c>
      <c r="R214" s="1212" t="e">
        <f t="shared" si="146"/>
        <v>#N/A</v>
      </c>
      <c r="S214" s="1212" t="e">
        <f t="shared" si="146"/>
        <v>#N/A</v>
      </c>
      <c r="T214" s="1212" t="e">
        <f t="shared" si="146"/>
        <v>#N/A</v>
      </c>
      <c r="U214" s="1212" t="e">
        <f t="shared" si="146"/>
        <v>#N/A</v>
      </c>
      <c r="V214" s="1212" t="e">
        <f t="shared" si="146"/>
        <v>#N/A</v>
      </c>
      <c r="W214" s="1212" t="e">
        <f t="shared" si="146"/>
        <v>#N/A</v>
      </c>
      <c r="X214" s="1212" t="e">
        <f t="shared" si="146"/>
        <v>#N/A</v>
      </c>
      <c r="Y214" s="1212" t="e">
        <f t="shared" si="146"/>
        <v>#N/A</v>
      </c>
    </row>
    <row r="215" spans="1:25" s="756" customFormat="1" hidden="1" x14ac:dyDescent="0.25">
      <c r="A215" s="1067"/>
      <c r="E215" s="757">
        <v>2018</v>
      </c>
      <c r="F215" s="1212">
        <f t="shared" si="143"/>
        <v>0</v>
      </c>
      <c r="G215" s="1212">
        <f t="shared" ref="G215:Y215" si="147">G$210*$G339</f>
        <v>0</v>
      </c>
      <c r="H215" s="1207" t="e">
        <f t="shared" si="147"/>
        <v>#N/A</v>
      </c>
      <c r="I215" s="1207" t="e">
        <f t="shared" si="147"/>
        <v>#N/A</v>
      </c>
      <c r="J215" s="1207" t="e">
        <f t="shared" si="147"/>
        <v>#N/A</v>
      </c>
      <c r="K215" s="1207" t="e">
        <f t="shared" si="147"/>
        <v>#N/A</v>
      </c>
      <c r="L215" s="1207" t="e">
        <f t="shared" si="147"/>
        <v>#N/A</v>
      </c>
      <c r="M215" s="1207" t="e">
        <f t="shared" si="147"/>
        <v>#N/A</v>
      </c>
      <c r="N215" s="1212" t="e">
        <f t="shared" si="147"/>
        <v>#N/A</v>
      </c>
      <c r="O215" s="1212" t="e">
        <f t="shared" si="147"/>
        <v>#N/A</v>
      </c>
      <c r="P215" s="1212" t="e">
        <f t="shared" si="147"/>
        <v>#N/A</v>
      </c>
      <c r="Q215" s="1212" t="e">
        <f t="shared" si="147"/>
        <v>#N/A</v>
      </c>
      <c r="R215" s="1212" t="e">
        <f t="shared" si="147"/>
        <v>#N/A</v>
      </c>
      <c r="S215" s="1212" t="e">
        <f t="shared" si="147"/>
        <v>#N/A</v>
      </c>
      <c r="T215" s="1212" t="e">
        <f t="shared" si="147"/>
        <v>#N/A</v>
      </c>
      <c r="U215" s="1212" t="e">
        <f t="shared" si="147"/>
        <v>#N/A</v>
      </c>
      <c r="V215" s="1212" t="e">
        <f t="shared" si="147"/>
        <v>#N/A</v>
      </c>
      <c r="W215" s="1212" t="e">
        <f t="shared" si="147"/>
        <v>#N/A</v>
      </c>
      <c r="X215" s="1212" t="e">
        <f t="shared" si="147"/>
        <v>#N/A</v>
      </c>
      <c r="Y215" s="1212" t="e">
        <f t="shared" si="147"/>
        <v>#N/A</v>
      </c>
    </row>
    <row r="216" spans="1:25" s="756" customFormat="1" hidden="1" x14ac:dyDescent="0.25">
      <c r="A216" s="1067"/>
      <c r="E216" s="757">
        <v>2019</v>
      </c>
      <c r="F216" s="1212">
        <f t="shared" si="143"/>
        <v>0</v>
      </c>
      <c r="G216" s="1212">
        <f t="shared" ref="G216:Y216" si="148">G$210*$G340</f>
        <v>0</v>
      </c>
      <c r="H216" s="1207" t="e">
        <f t="shared" si="148"/>
        <v>#N/A</v>
      </c>
      <c r="I216" s="1207" t="e">
        <f t="shared" si="148"/>
        <v>#N/A</v>
      </c>
      <c r="J216" s="1207" t="e">
        <f t="shared" si="148"/>
        <v>#N/A</v>
      </c>
      <c r="K216" s="1207" t="e">
        <f t="shared" si="148"/>
        <v>#N/A</v>
      </c>
      <c r="L216" s="1207" t="e">
        <f t="shared" si="148"/>
        <v>#N/A</v>
      </c>
      <c r="M216" s="1207" t="e">
        <f t="shared" si="148"/>
        <v>#N/A</v>
      </c>
      <c r="N216" s="1212" t="e">
        <f t="shared" si="148"/>
        <v>#N/A</v>
      </c>
      <c r="O216" s="1212" t="e">
        <f t="shared" si="148"/>
        <v>#N/A</v>
      </c>
      <c r="P216" s="1212" t="e">
        <f t="shared" si="148"/>
        <v>#N/A</v>
      </c>
      <c r="Q216" s="1212" t="e">
        <f t="shared" si="148"/>
        <v>#N/A</v>
      </c>
      <c r="R216" s="1212" t="e">
        <f t="shared" si="148"/>
        <v>#N/A</v>
      </c>
      <c r="S216" s="1212" t="e">
        <f t="shared" si="148"/>
        <v>#N/A</v>
      </c>
      <c r="T216" s="1212" t="e">
        <f t="shared" si="148"/>
        <v>#N/A</v>
      </c>
      <c r="U216" s="1212" t="e">
        <f t="shared" si="148"/>
        <v>#N/A</v>
      </c>
      <c r="V216" s="1212" t="e">
        <f t="shared" si="148"/>
        <v>#N/A</v>
      </c>
      <c r="W216" s="1212" t="e">
        <f t="shared" si="148"/>
        <v>#N/A</v>
      </c>
      <c r="X216" s="1212" t="e">
        <f t="shared" si="148"/>
        <v>#N/A</v>
      </c>
      <c r="Y216" s="1212" t="e">
        <f t="shared" si="148"/>
        <v>#N/A</v>
      </c>
    </row>
    <row r="217" spans="1:25" s="756" customFormat="1" hidden="1" x14ac:dyDescent="0.25">
      <c r="E217" s="1184">
        <v>2020</v>
      </c>
      <c r="F217" s="1212">
        <f t="shared" si="143"/>
        <v>0</v>
      </c>
      <c r="G217" s="1212">
        <f t="shared" ref="G217:Y217" si="149">G$210*$G341</f>
        <v>0</v>
      </c>
      <c r="H217" s="1207" t="e">
        <f t="shared" si="149"/>
        <v>#N/A</v>
      </c>
      <c r="I217" s="1207" t="e">
        <f t="shared" si="149"/>
        <v>#N/A</v>
      </c>
      <c r="J217" s="1207" t="e">
        <f t="shared" si="149"/>
        <v>#N/A</v>
      </c>
      <c r="K217" s="1207" t="e">
        <f t="shared" si="149"/>
        <v>#N/A</v>
      </c>
      <c r="L217" s="1207" t="e">
        <f t="shared" si="149"/>
        <v>#N/A</v>
      </c>
      <c r="M217" s="1207" t="e">
        <f t="shared" si="149"/>
        <v>#N/A</v>
      </c>
      <c r="N217" s="1212" t="e">
        <f t="shared" si="149"/>
        <v>#N/A</v>
      </c>
      <c r="O217" s="1212" t="e">
        <f t="shared" si="149"/>
        <v>#N/A</v>
      </c>
      <c r="P217" s="1212" t="e">
        <f t="shared" si="149"/>
        <v>#N/A</v>
      </c>
      <c r="Q217" s="1212" t="e">
        <f t="shared" si="149"/>
        <v>#N/A</v>
      </c>
      <c r="R217" s="1212" t="e">
        <f t="shared" si="149"/>
        <v>#N/A</v>
      </c>
      <c r="S217" s="1212" t="e">
        <f t="shared" si="149"/>
        <v>#N/A</v>
      </c>
      <c r="T217" s="1212" t="e">
        <f t="shared" si="149"/>
        <v>#N/A</v>
      </c>
      <c r="U217" s="1212" t="e">
        <f t="shared" si="149"/>
        <v>#N/A</v>
      </c>
      <c r="V217" s="1212" t="e">
        <f t="shared" si="149"/>
        <v>#N/A</v>
      </c>
      <c r="W217" s="1212" t="e">
        <f t="shared" si="149"/>
        <v>#N/A</v>
      </c>
      <c r="X217" s="1212" t="e">
        <f t="shared" si="149"/>
        <v>#N/A</v>
      </c>
      <c r="Y217" s="1212" t="e">
        <f t="shared" si="149"/>
        <v>#N/A</v>
      </c>
    </row>
    <row r="218" spans="1:25" s="756" customFormat="1" hidden="1" x14ac:dyDescent="0.25">
      <c r="E218" s="1184"/>
      <c r="F218" s="1212"/>
      <c r="G218" s="754"/>
      <c r="H218" s="1069"/>
      <c r="I218" s="1069"/>
      <c r="J218" s="1069"/>
      <c r="K218" s="1069"/>
      <c r="L218" s="1069"/>
      <c r="M218" s="1069"/>
      <c r="N218" s="754"/>
      <c r="O218" s="754"/>
      <c r="P218" s="754"/>
      <c r="Q218" s="754"/>
      <c r="R218" s="754"/>
      <c r="S218" s="754"/>
      <c r="T218" s="754"/>
      <c r="U218" s="754"/>
      <c r="V218" s="754"/>
      <c r="W218" s="754"/>
      <c r="X218" s="754"/>
      <c r="Y218" s="754"/>
    </row>
    <row r="219" spans="1:25" s="756" customFormat="1" hidden="1" x14ac:dyDescent="0.25">
      <c r="B219" s="1068" t="s">
        <v>1570</v>
      </c>
      <c r="D219" s="1185" t="s">
        <v>1904</v>
      </c>
      <c r="E219" s="757"/>
      <c r="F219" s="754"/>
      <c r="G219" s="754"/>
      <c r="H219" s="1069"/>
      <c r="I219" s="1069"/>
      <c r="J219" s="1069"/>
      <c r="K219" s="1069"/>
      <c r="L219" s="1069"/>
      <c r="M219" s="1069"/>
      <c r="N219" s="754"/>
      <c r="O219" s="754"/>
      <c r="P219" s="754"/>
      <c r="Q219" s="754"/>
      <c r="R219" s="754"/>
      <c r="S219" s="754"/>
      <c r="T219" s="754"/>
      <c r="U219" s="754"/>
      <c r="V219" s="754"/>
      <c r="W219" s="754"/>
      <c r="X219" s="754"/>
      <c r="Y219" s="754"/>
    </row>
    <row r="220" spans="1:25" s="756" customFormat="1" hidden="1" x14ac:dyDescent="0.25">
      <c r="D220" s="745" t="s">
        <v>412</v>
      </c>
      <c r="E220" s="745" t="s">
        <v>10</v>
      </c>
      <c r="F220" s="745" t="s">
        <v>428</v>
      </c>
      <c r="G220" s="745" t="str">
        <f>G$136</f>
        <v>Cost in 2008 dollars</v>
      </c>
      <c r="H220" s="745" t="s">
        <v>583</v>
      </c>
      <c r="I220" s="745" t="s">
        <v>584</v>
      </c>
      <c r="J220" s="745" t="s">
        <v>585</v>
      </c>
      <c r="K220" s="745" t="s">
        <v>586</v>
      </c>
      <c r="L220" s="745" t="s">
        <v>413</v>
      </c>
      <c r="M220" s="745" t="s">
        <v>414</v>
      </c>
      <c r="N220" s="746" t="s">
        <v>592</v>
      </c>
      <c r="O220" s="746" t="s">
        <v>587</v>
      </c>
      <c r="P220" s="746" t="s">
        <v>588</v>
      </c>
      <c r="Q220" s="746" t="s">
        <v>589</v>
      </c>
      <c r="R220" s="746" t="s">
        <v>590</v>
      </c>
      <c r="S220" s="746" t="s">
        <v>591</v>
      </c>
      <c r="T220" s="746" t="s">
        <v>593</v>
      </c>
      <c r="U220" s="746" t="s">
        <v>594</v>
      </c>
      <c r="V220" s="746" t="s">
        <v>595</v>
      </c>
      <c r="W220" s="746" t="s">
        <v>596</v>
      </c>
      <c r="X220" s="746" t="s">
        <v>597</v>
      </c>
      <c r="Y220" s="746" t="s">
        <v>598</v>
      </c>
    </row>
    <row r="221" spans="1:25" s="756" customFormat="1" hidden="1" x14ac:dyDescent="0.25">
      <c r="D221" s="747">
        <v>484000</v>
      </c>
      <c r="E221" s="748" t="s">
        <v>755</v>
      </c>
      <c r="F221" s="1186" t="e">
        <f>J48</f>
        <v>#DIV/0!</v>
      </c>
      <c r="G221" s="754" t="e">
        <f>F221*$C$332</f>
        <v>#DIV/0!</v>
      </c>
      <c r="H221" s="751" t="e">
        <f t="shared" ref="H221" si="150">$G221*INDEX(tier_emp_mult, MATCH($D221, tier_emp_code,0), MATCH(State, R_emp, 0))/1000000</f>
        <v>#DIV/0!</v>
      </c>
      <c r="I221" s="752" t="e">
        <f t="shared" ref="I221" si="151">$G221*INDEX(typeI_emp_mult, MATCH($D221, typeI_emp_code,0), MATCH(State, R_emp, 0))/1000000</f>
        <v>#DIV/0!</v>
      </c>
      <c r="J221" s="752" t="e">
        <f t="shared" ref="J221" si="152">$G221*INDEX(typeII_emp_mult, MATCH($D221, typeII_emp_code,0), MATCH(State, R_emp, 0))/1000000</f>
        <v>#DIV/0!</v>
      </c>
      <c r="K221" s="753" t="e">
        <f>H221</f>
        <v>#DIV/0!</v>
      </c>
      <c r="L221" s="753" t="e">
        <f t="shared" ref="L221" si="153">I221-H221</f>
        <v>#DIV/0!</v>
      </c>
      <c r="M221" s="753" t="e">
        <f t="shared" ref="M221" si="154">J221-I221</f>
        <v>#DIV/0!</v>
      </c>
      <c r="N221" s="754" t="e">
        <f t="shared" ref="N221" si="155">$G221*INDEX(tier_earn_mult, MATCH($D221, tier_earn_code,0), MATCH(State, R_earn, 0))</f>
        <v>#DIV/0!</v>
      </c>
      <c r="O221" s="754" t="e">
        <f t="shared" ref="O221" si="156">$G221*INDEX(typeI_earn_mult, MATCH($D221, typeI_earn_code,0), MATCH(State, R_earn, 0))</f>
        <v>#DIV/0!</v>
      </c>
      <c r="P221" s="754" t="e">
        <f t="shared" ref="P221" si="157">$G221*INDEX(typeII_earn_mult, MATCH($D221, typeII_earn_code,0), MATCH(State, R_earn, 0))</f>
        <v>#DIV/0!</v>
      </c>
      <c r="Q221" s="754" t="e">
        <f>N221</f>
        <v>#DIV/0!</v>
      </c>
      <c r="R221" s="754" t="e">
        <f t="shared" ref="R221" si="158">O221-N221</f>
        <v>#DIV/0!</v>
      </c>
      <c r="S221" s="754" t="e">
        <f t="shared" ref="S221" si="159">P221-O221</f>
        <v>#DIV/0!</v>
      </c>
      <c r="T221" s="754" t="e">
        <f t="shared" ref="T221" si="160">$G221*INDEX(tier_out_mult, MATCH($D221, tier_out_code,0), MATCH(State, R_out, 0))</f>
        <v>#DIV/0!</v>
      </c>
      <c r="U221" s="754" t="e">
        <f t="shared" ref="U221" si="161">$G221*INDEX(typeI_out_mult, MATCH($D221, typeI_out_code,0), MATCH(State, R_out, 0))</f>
        <v>#DIV/0!</v>
      </c>
      <c r="V221" s="754" t="e">
        <f t="shared" ref="V221" si="162">$G221*INDEX(typeII_out_mult, MATCH($D221, typeII_out_code,0), MATCH(State, R_out, 0))</f>
        <v>#DIV/0!</v>
      </c>
      <c r="W221" s="754" t="e">
        <f>T221</f>
        <v>#DIV/0!</v>
      </c>
      <c r="X221" s="754" t="e">
        <f t="shared" ref="X221" si="163">U221-T221</f>
        <v>#DIV/0!</v>
      </c>
      <c r="Y221" s="754" t="e">
        <f t="shared" ref="Y221" si="164">V221-U221</f>
        <v>#DIV/0!</v>
      </c>
    </row>
    <row r="222" spans="1:25" s="756" customFormat="1" hidden="1" x14ac:dyDescent="0.25">
      <c r="E222" s="757"/>
      <c r="F222" s="754"/>
      <c r="G222" s="754"/>
      <c r="H222" s="1069"/>
      <c r="I222" s="1069"/>
      <c r="J222" s="1069"/>
      <c r="K222" s="1069"/>
      <c r="L222" s="1069"/>
      <c r="M222" s="1069"/>
      <c r="N222" s="754"/>
      <c r="O222" s="754"/>
      <c r="P222" s="754"/>
      <c r="Q222" s="754"/>
      <c r="R222" s="754"/>
      <c r="S222" s="754"/>
      <c r="T222" s="754"/>
      <c r="U222" s="754"/>
      <c r="V222" s="754"/>
      <c r="W222" s="754"/>
      <c r="X222" s="754"/>
      <c r="Y222" s="754"/>
    </row>
    <row r="223" spans="1:25" s="756" customFormat="1" hidden="1" x14ac:dyDescent="0.25">
      <c r="E223" s="757">
        <v>2015</v>
      </c>
      <c r="F223" s="754" t="e">
        <f t="shared" ref="F223:Y223" si="165">(F$221*$H25*$D$345)+(F$221*$F324*$D$346)</f>
        <v>#DIV/0!</v>
      </c>
      <c r="G223" s="754" t="e">
        <f t="shared" si="165"/>
        <v>#DIV/0!</v>
      </c>
      <c r="H223" s="1069" t="e">
        <f t="shared" si="165"/>
        <v>#DIV/0!</v>
      </c>
      <c r="I223" s="1069" t="e">
        <f t="shared" si="165"/>
        <v>#DIV/0!</v>
      </c>
      <c r="J223" s="1069" t="e">
        <f t="shared" si="165"/>
        <v>#DIV/0!</v>
      </c>
      <c r="K223" s="1069" t="e">
        <f t="shared" si="165"/>
        <v>#DIV/0!</v>
      </c>
      <c r="L223" s="1069" t="e">
        <f t="shared" si="165"/>
        <v>#DIV/0!</v>
      </c>
      <c r="M223" s="1069" t="e">
        <f t="shared" si="165"/>
        <v>#DIV/0!</v>
      </c>
      <c r="N223" s="754" t="e">
        <f t="shared" si="165"/>
        <v>#DIV/0!</v>
      </c>
      <c r="O223" s="754" t="e">
        <f t="shared" si="165"/>
        <v>#DIV/0!</v>
      </c>
      <c r="P223" s="754" t="e">
        <f t="shared" si="165"/>
        <v>#DIV/0!</v>
      </c>
      <c r="Q223" s="754" t="e">
        <f t="shared" si="165"/>
        <v>#DIV/0!</v>
      </c>
      <c r="R223" s="754" t="e">
        <f t="shared" si="165"/>
        <v>#DIV/0!</v>
      </c>
      <c r="S223" s="754" t="e">
        <f t="shared" si="165"/>
        <v>#DIV/0!</v>
      </c>
      <c r="T223" s="754" t="e">
        <f t="shared" si="165"/>
        <v>#DIV/0!</v>
      </c>
      <c r="U223" s="754" t="e">
        <f t="shared" si="165"/>
        <v>#DIV/0!</v>
      </c>
      <c r="V223" s="754" t="e">
        <f t="shared" si="165"/>
        <v>#DIV/0!</v>
      </c>
      <c r="W223" s="754" t="e">
        <f t="shared" si="165"/>
        <v>#DIV/0!</v>
      </c>
      <c r="X223" s="754" t="e">
        <f t="shared" si="165"/>
        <v>#DIV/0!</v>
      </c>
      <c r="Y223" s="754" t="e">
        <f t="shared" si="165"/>
        <v>#DIV/0!</v>
      </c>
    </row>
    <row r="224" spans="1:25" s="756" customFormat="1" hidden="1" x14ac:dyDescent="0.25">
      <c r="E224" s="757">
        <v>2016</v>
      </c>
      <c r="F224" s="754" t="e">
        <f t="shared" ref="F224:Y224" si="166">(F$221*$H26*$D$345)+(F$221*$F325*$D$346)</f>
        <v>#DIV/0!</v>
      </c>
      <c r="G224" s="754" t="e">
        <f t="shared" si="166"/>
        <v>#DIV/0!</v>
      </c>
      <c r="H224" s="1069" t="e">
        <f t="shared" si="166"/>
        <v>#DIV/0!</v>
      </c>
      <c r="I224" s="1069" t="e">
        <f t="shared" si="166"/>
        <v>#DIV/0!</v>
      </c>
      <c r="J224" s="1069" t="e">
        <f t="shared" si="166"/>
        <v>#DIV/0!</v>
      </c>
      <c r="K224" s="1069" t="e">
        <f t="shared" si="166"/>
        <v>#DIV/0!</v>
      </c>
      <c r="L224" s="1069" t="e">
        <f t="shared" si="166"/>
        <v>#DIV/0!</v>
      </c>
      <c r="M224" s="1069" t="e">
        <f t="shared" si="166"/>
        <v>#DIV/0!</v>
      </c>
      <c r="N224" s="754" t="e">
        <f t="shared" si="166"/>
        <v>#DIV/0!</v>
      </c>
      <c r="O224" s="754" t="e">
        <f t="shared" si="166"/>
        <v>#DIV/0!</v>
      </c>
      <c r="P224" s="754" t="e">
        <f t="shared" si="166"/>
        <v>#DIV/0!</v>
      </c>
      <c r="Q224" s="754" t="e">
        <f t="shared" si="166"/>
        <v>#DIV/0!</v>
      </c>
      <c r="R224" s="754" t="e">
        <f t="shared" si="166"/>
        <v>#DIV/0!</v>
      </c>
      <c r="S224" s="754" t="e">
        <f t="shared" si="166"/>
        <v>#DIV/0!</v>
      </c>
      <c r="T224" s="754" t="e">
        <f t="shared" si="166"/>
        <v>#DIV/0!</v>
      </c>
      <c r="U224" s="754" t="e">
        <f t="shared" si="166"/>
        <v>#DIV/0!</v>
      </c>
      <c r="V224" s="754" t="e">
        <f t="shared" si="166"/>
        <v>#DIV/0!</v>
      </c>
      <c r="W224" s="754" t="e">
        <f t="shared" si="166"/>
        <v>#DIV/0!</v>
      </c>
      <c r="X224" s="754" t="e">
        <f t="shared" si="166"/>
        <v>#DIV/0!</v>
      </c>
      <c r="Y224" s="754" t="e">
        <f t="shared" si="166"/>
        <v>#DIV/0!</v>
      </c>
    </row>
    <row r="225" spans="1:25" s="756" customFormat="1" hidden="1" x14ac:dyDescent="0.25">
      <c r="E225" s="757">
        <v>2017</v>
      </c>
      <c r="F225" s="754" t="e">
        <f t="shared" ref="F225:Y225" si="167">(F$221*$H27*$D$345)+(F$221*$F326*$D$346)</f>
        <v>#DIV/0!</v>
      </c>
      <c r="G225" s="754" t="e">
        <f t="shared" si="167"/>
        <v>#DIV/0!</v>
      </c>
      <c r="H225" s="1069" t="e">
        <f t="shared" si="167"/>
        <v>#DIV/0!</v>
      </c>
      <c r="I225" s="1069" t="e">
        <f t="shared" si="167"/>
        <v>#DIV/0!</v>
      </c>
      <c r="J225" s="1069" t="e">
        <f t="shared" si="167"/>
        <v>#DIV/0!</v>
      </c>
      <c r="K225" s="1069" t="e">
        <f t="shared" si="167"/>
        <v>#DIV/0!</v>
      </c>
      <c r="L225" s="1069" t="e">
        <f t="shared" si="167"/>
        <v>#DIV/0!</v>
      </c>
      <c r="M225" s="1069" t="e">
        <f t="shared" si="167"/>
        <v>#DIV/0!</v>
      </c>
      <c r="N225" s="754" t="e">
        <f t="shared" si="167"/>
        <v>#DIV/0!</v>
      </c>
      <c r="O225" s="754" t="e">
        <f t="shared" si="167"/>
        <v>#DIV/0!</v>
      </c>
      <c r="P225" s="754" t="e">
        <f t="shared" si="167"/>
        <v>#DIV/0!</v>
      </c>
      <c r="Q225" s="754" t="e">
        <f t="shared" si="167"/>
        <v>#DIV/0!</v>
      </c>
      <c r="R225" s="754" t="e">
        <f t="shared" si="167"/>
        <v>#DIV/0!</v>
      </c>
      <c r="S225" s="754" t="e">
        <f t="shared" si="167"/>
        <v>#DIV/0!</v>
      </c>
      <c r="T225" s="754" t="e">
        <f t="shared" si="167"/>
        <v>#DIV/0!</v>
      </c>
      <c r="U225" s="754" t="e">
        <f t="shared" si="167"/>
        <v>#DIV/0!</v>
      </c>
      <c r="V225" s="754" t="e">
        <f t="shared" si="167"/>
        <v>#DIV/0!</v>
      </c>
      <c r="W225" s="754" t="e">
        <f t="shared" si="167"/>
        <v>#DIV/0!</v>
      </c>
      <c r="X225" s="754" t="e">
        <f t="shared" si="167"/>
        <v>#DIV/0!</v>
      </c>
      <c r="Y225" s="754" t="e">
        <f t="shared" si="167"/>
        <v>#DIV/0!</v>
      </c>
    </row>
    <row r="226" spans="1:25" s="756" customFormat="1" hidden="1" x14ac:dyDescent="0.25">
      <c r="E226" s="757">
        <v>2018</v>
      </c>
      <c r="F226" s="754" t="e">
        <f t="shared" ref="F226:Y226" si="168">(F$221*$H28*$D$345)+(F$221*$F327*$D$346)</f>
        <v>#DIV/0!</v>
      </c>
      <c r="G226" s="754" t="e">
        <f t="shared" si="168"/>
        <v>#DIV/0!</v>
      </c>
      <c r="H226" s="1069" t="e">
        <f t="shared" si="168"/>
        <v>#DIV/0!</v>
      </c>
      <c r="I226" s="1069" t="e">
        <f t="shared" si="168"/>
        <v>#DIV/0!</v>
      </c>
      <c r="J226" s="1069" t="e">
        <f t="shared" si="168"/>
        <v>#DIV/0!</v>
      </c>
      <c r="K226" s="1069" t="e">
        <f t="shared" si="168"/>
        <v>#DIV/0!</v>
      </c>
      <c r="L226" s="1069" t="e">
        <f t="shared" si="168"/>
        <v>#DIV/0!</v>
      </c>
      <c r="M226" s="1069" t="e">
        <f t="shared" si="168"/>
        <v>#DIV/0!</v>
      </c>
      <c r="N226" s="754" t="e">
        <f t="shared" si="168"/>
        <v>#DIV/0!</v>
      </c>
      <c r="O226" s="754" t="e">
        <f t="shared" si="168"/>
        <v>#DIV/0!</v>
      </c>
      <c r="P226" s="754" t="e">
        <f t="shared" si="168"/>
        <v>#DIV/0!</v>
      </c>
      <c r="Q226" s="754" t="e">
        <f t="shared" si="168"/>
        <v>#DIV/0!</v>
      </c>
      <c r="R226" s="754" t="e">
        <f t="shared" si="168"/>
        <v>#DIV/0!</v>
      </c>
      <c r="S226" s="754" t="e">
        <f t="shared" si="168"/>
        <v>#DIV/0!</v>
      </c>
      <c r="T226" s="754" t="e">
        <f t="shared" si="168"/>
        <v>#DIV/0!</v>
      </c>
      <c r="U226" s="754" t="e">
        <f t="shared" si="168"/>
        <v>#DIV/0!</v>
      </c>
      <c r="V226" s="754" t="e">
        <f t="shared" si="168"/>
        <v>#DIV/0!</v>
      </c>
      <c r="W226" s="754" t="e">
        <f t="shared" si="168"/>
        <v>#DIV/0!</v>
      </c>
      <c r="X226" s="754" t="e">
        <f t="shared" si="168"/>
        <v>#DIV/0!</v>
      </c>
      <c r="Y226" s="754" t="e">
        <f t="shared" si="168"/>
        <v>#DIV/0!</v>
      </c>
    </row>
    <row r="227" spans="1:25" s="756" customFormat="1" hidden="1" x14ac:dyDescent="0.25">
      <c r="E227" s="757">
        <v>2019</v>
      </c>
      <c r="F227" s="754" t="e">
        <f t="shared" ref="F227:Y227" si="169">(F$221*$H29*$D$345)+(F$221*$F328*$D$346)</f>
        <v>#DIV/0!</v>
      </c>
      <c r="G227" s="754" t="e">
        <f t="shared" si="169"/>
        <v>#DIV/0!</v>
      </c>
      <c r="H227" s="1069" t="e">
        <f t="shared" si="169"/>
        <v>#DIV/0!</v>
      </c>
      <c r="I227" s="1069" t="e">
        <f t="shared" si="169"/>
        <v>#DIV/0!</v>
      </c>
      <c r="J227" s="1069" t="e">
        <f t="shared" si="169"/>
        <v>#DIV/0!</v>
      </c>
      <c r="K227" s="1069" t="e">
        <f t="shared" si="169"/>
        <v>#DIV/0!</v>
      </c>
      <c r="L227" s="1069" t="e">
        <f t="shared" si="169"/>
        <v>#DIV/0!</v>
      </c>
      <c r="M227" s="1069" t="e">
        <f t="shared" si="169"/>
        <v>#DIV/0!</v>
      </c>
      <c r="N227" s="754" t="e">
        <f t="shared" si="169"/>
        <v>#DIV/0!</v>
      </c>
      <c r="O227" s="754" t="e">
        <f t="shared" si="169"/>
        <v>#DIV/0!</v>
      </c>
      <c r="P227" s="754" t="e">
        <f t="shared" si="169"/>
        <v>#DIV/0!</v>
      </c>
      <c r="Q227" s="754" t="e">
        <f t="shared" si="169"/>
        <v>#DIV/0!</v>
      </c>
      <c r="R227" s="754" t="e">
        <f t="shared" si="169"/>
        <v>#DIV/0!</v>
      </c>
      <c r="S227" s="754" t="e">
        <f t="shared" si="169"/>
        <v>#DIV/0!</v>
      </c>
      <c r="T227" s="754" t="e">
        <f t="shared" si="169"/>
        <v>#DIV/0!</v>
      </c>
      <c r="U227" s="754" t="e">
        <f t="shared" si="169"/>
        <v>#DIV/0!</v>
      </c>
      <c r="V227" s="754" t="e">
        <f t="shared" si="169"/>
        <v>#DIV/0!</v>
      </c>
      <c r="W227" s="754" t="e">
        <f t="shared" si="169"/>
        <v>#DIV/0!</v>
      </c>
      <c r="X227" s="754" t="e">
        <f t="shared" si="169"/>
        <v>#DIV/0!</v>
      </c>
      <c r="Y227" s="754" t="e">
        <f t="shared" si="169"/>
        <v>#DIV/0!</v>
      </c>
    </row>
    <row r="228" spans="1:25" s="756" customFormat="1" hidden="1" x14ac:dyDescent="0.25">
      <c r="E228" s="1184">
        <v>2020</v>
      </c>
      <c r="F228" s="754" t="e">
        <f t="shared" ref="F228:Y228" si="170">(F$221*$H30*$D$345)+(F$221*$F329*$D$346)</f>
        <v>#DIV/0!</v>
      </c>
      <c r="G228" s="754" t="e">
        <f t="shared" si="170"/>
        <v>#DIV/0!</v>
      </c>
      <c r="H228" s="1069" t="e">
        <f t="shared" si="170"/>
        <v>#DIV/0!</v>
      </c>
      <c r="I228" s="1069" t="e">
        <f t="shared" si="170"/>
        <v>#DIV/0!</v>
      </c>
      <c r="J228" s="1069" t="e">
        <f t="shared" si="170"/>
        <v>#DIV/0!</v>
      </c>
      <c r="K228" s="1069" t="e">
        <f t="shared" si="170"/>
        <v>#DIV/0!</v>
      </c>
      <c r="L228" s="1069" t="e">
        <f t="shared" si="170"/>
        <v>#DIV/0!</v>
      </c>
      <c r="M228" s="1069" t="e">
        <f t="shared" si="170"/>
        <v>#DIV/0!</v>
      </c>
      <c r="N228" s="754" t="e">
        <f t="shared" si="170"/>
        <v>#DIV/0!</v>
      </c>
      <c r="O228" s="754" t="e">
        <f t="shared" si="170"/>
        <v>#DIV/0!</v>
      </c>
      <c r="P228" s="754" t="e">
        <f t="shared" si="170"/>
        <v>#DIV/0!</v>
      </c>
      <c r="Q228" s="754" t="e">
        <f t="shared" si="170"/>
        <v>#DIV/0!</v>
      </c>
      <c r="R228" s="754" t="e">
        <f t="shared" si="170"/>
        <v>#DIV/0!</v>
      </c>
      <c r="S228" s="754" t="e">
        <f t="shared" si="170"/>
        <v>#DIV/0!</v>
      </c>
      <c r="T228" s="754" t="e">
        <f t="shared" si="170"/>
        <v>#DIV/0!</v>
      </c>
      <c r="U228" s="754" t="e">
        <f t="shared" si="170"/>
        <v>#DIV/0!</v>
      </c>
      <c r="V228" s="754" t="e">
        <f t="shared" si="170"/>
        <v>#DIV/0!</v>
      </c>
      <c r="W228" s="754" t="e">
        <f t="shared" si="170"/>
        <v>#DIV/0!</v>
      </c>
      <c r="X228" s="754" t="e">
        <f t="shared" si="170"/>
        <v>#DIV/0!</v>
      </c>
      <c r="Y228" s="754" t="e">
        <f t="shared" si="170"/>
        <v>#DIV/0!</v>
      </c>
    </row>
    <row r="229" spans="1:25" s="756" customFormat="1" hidden="1" x14ac:dyDescent="0.25">
      <c r="E229" s="1184"/>
      <c r="F229" s="754"/>
      <c r="G229" s="754"/>
      <c r="H229" s="1069"/>
      <c r="I229" s="1069"/>
      <c r="J229" s="1069"/>
      <c r="K229" s="1069"/>
      <c r="L229" s="1069"/>
      <c r="M229" s="1069"/>
      <c r="N229" s="754"/>
      <c r="O229" s="754"/>
      <c r="P229" s="754"/>
      <c r="Q229" s="754"/>
      <c r="R229" s="754"/>
      <c r="S229" s="754"/>
      <c r="T229" s="754"/>
      <c r="U229" s="754"/>
      <c r="V229" s="754"/>
      <c r="W229" s="754"/>
      <c r="X229" s="754"/>
      <c r="Y229" s="754"/>
    </row>
    <row r="230" spans="1:25" s="756" customFormat="1" hidden="1" x14ac:dyDescent="0.25">
      <c r="B230" s="691" t="s">
        <v>1897</v>
      </c>
      <c r="C230" s="1145"/>
      <c r="D230" s="1146"/>
      <c r="F230" s="754"/>
      <c r="G230" s="754"/>
      <c r="H230" s="1069"/>
      <c r="I230" s="1069"/>
      <c r="J230" s="1069"/>
      <c r="K230" s="745" t="s">
        <v>586</v>
      </c>
      <c r="L230" s="745" t="s">
        <v>413</v>
      </c>
      <c r="M230" s="745" t="s">
        <v>414</v>
      </c>
      <c r="N230" s="754"/>
      <c r="O230" s="754"/>
      <c r="P230" s="754"/>
      <c r="Q230" s="746" t="s">
        <v>589</v>
      </c>
      <c r="R230" s="746" t="s">
        <v>590</v>
      </c>
      <c r="S230" s="746" t="s">
        <v>591</v>
      </c>
      <c r="T230" s="754"/>
      <c r="U230" s="754"/>
      <c r="V230" s="754"/>
      <c r="W230" s="746" t="s">
        <v>596</v>
      </c>
      <c r="X230" s="746" t="s">
        <v>597</v>
      </c>
      <c r="Y230" s="746" t="s">
        <v>598</v>
      </c>
    </row>
    <row r="231" spans="1:25" s="756" customFormat="1" hidden="1" x14ac:dyDescent="0.25">
      <c r="B231" s="1144"/>
      <c r="C231" s="1147"/>
      <c r="D231" s="1148"/>
      <c r="F231" s="1898"/>
      <c r="G231" s="754"/>
      <c r="H231" s="1069"/>
      <c r="I231" s="1069"/>
      <c r="J231" s="757">
        <v>2015</v>
      </c>
      <c r="K231" s="1069" t="e">
        <f t="shared" ref="K231:K236" si="171">K141+K188+K212+K223</f>
        <v>#N/A</v>
      </c>
      <c r="L231" s="1069" t="e">
        <f>K168+L168+K178+L178+L188+K200+L200+L212+L223</f>
        <v>#N/A</v>
      </c>
      <c r="M231" s="1069" t="e">
        <f t="shared" ref="M231:M236" si="172">M141+M168+M178+M188+M200+M212+M223</f>
        <v>#N/A</v>
      </c>
      <c r="N231" s="754"/>
      <c r="O231" s="754"/>
      <c r="P231" s="754"/>
      <c r="Q231" s="754" t="e">
        <f t="shared" ref="Q231:Q236" si="173">Q141+Q188+Q212+Q223</f>
        <v>#N/A</v>
      </c>
      <c r="R231" s="754" t="e">
        <f>Q168+R168+Q178+R178+R188+Q200+R200+R212+R223</f>
        <v>#N/A</v>
      </c>
      <c r="S231" s="754" t="e">
        <f t="shared" ref="S231:S236" si="174">S141+S168+S178+S188+S200+S212+S223</f>
        <v>#N/A</v>
      </c>
      <c r="T231" s="754"/>
      <c r="U231" s="754"/>
      <c r="V231" s="754"/>
      <c r="W231" s="754" t="e">
        <f t="shared" ref="W231:W236" si="175">G336+W223</f>
        <v>#DIV/0!</v>
      </c>
      <c r="X231" s="754" t="e">
        <f>W168+X168+W178+X178+X188+W200+X200+X212+X223</f>
        <v>#N/A</v>
      </c>
      <c r="Y231" s="754" t="e">
        <f t="shared" ref="Y231:Y236" si="176">Y141+Y168+Y178+Y188+Y200+Y212+Y223</f>
        <v>#N/A</v>
      </c>
    </row>
    <row r="232" spans="1:25" s="756" customFormat="1" hidden="1" x14ac:dyDescent="0.25">
      <c r="B232" s="1144"/>
      <c r="C232" s="1147"/>
      <c r="D232" s="1148"/>
      <c r="F232" s="754"/>
      <c r="G232" s="754"/>
      <c r="H232" s="1069"/>
      <c r="I232" s="1069"/>
      <c r="J232" s="757">
        <v>2016</v>
      </c>
      <c r="K232" s="1069" t="e">
        <f t="shared" si="171"/>
        <v>#N/A</v>
      </c>
      <c r="L232" s="1069" t="e">
        <f t="shared" ref="L232:L236" si="177">K169+L169+K179+L179+L189+K201+L201+L213+L224</f>
        <v>#N/A</v>
      </c>
      <c r="M232" s="1069" t="e">
        <f t="shared" si="172"/>
        <v>#N/A</v>
      </c>
      <c r="N232" s="754"/>
      <c r="O232" s="754"/>
      <c r="P232" s="754"/>
      <c r="Q232" s="754" t="e">
        <f t="shared" si="173"/>
        <v>#N/A</v>
      </c>
      <c r="R232" s="754" t="e">
        <f t="shared" ref="R232:R236" si="178">Q169+R169+Q179+R179+R189+Q201+R201+R213+R224</f>
        <v>#N/A</v>
      </c>
      <c r="S232" s="754" t="e">
        <f t="shared" si="174"/>
        <v>#N/A</v>
      </c>
      <c r="T232" s="754"/>
      <c r="U232" s="754"/>
      <c r="V232" s="754"/>
      <c r="W232" s="754" t="e">
        <f t="shared" si="175"/>
        <v>#DIV/0!</v>
      </c>
      <c r="X232" s="754" t="e">
        <f t="shared" ref="X232:X236" si="179">W169+X169+W179+X179+X189+W201+X201+X213+X224</f>
        <v>#N/A</v>
      </c>
      <c r="Y232" s="754" t="e">
        <f t="shared" si="176"/>
        <v>#N/A</v>
      </c>
    </row>
    <row r="233" spans="1:25" s="756" customFormat="1" hidden="1" x14ac:dyDescent="0.25">
      <c r="B233" s="1144"/>
      <c r="C233" s="1147"/>
      <c r="D233" s="1148"/>
      <c r="F233" s="754"/>
      <c r="G233" s="754"/>
      <c r="H233" s="1069"/>
      <c r="I233" s="1069"/>
      <c r="J233" s="757">
        <v>2017</v>
      </c>
      <c r="K233" s="1069" t="e">
        <f t="shared" si="171"/>
        <v>#N/A</v>
      </c>
      <c r="L233" s="1069" t="e">
        <f t="shared" si="177"/>
        <v>#N/A</v>
      </c>
      <c r="M233" s="1069" t="e">
        <f t="shared" si="172"/>
        <v>#N/A</v>
      </c>
      <c r="N233" s="754"/>
      <c r="O233" s="754"/>
      <c r="P233" s="754"/>
      <c r="Q233" s="754" t="e">
        <f t="shared" si="173"/>
        <v>#N/A</v>
      </c>
      <c r="R233" s="754" t="e">
        <f t="shared" si="178"/>
        <v>#N/A</v>
      </c>
      <c r="S233" s="754" t="e">
        <f t="shared" si="174"/>
        <v>#N/A</v>
      </c>
      <c r="T233" s="754"/>
      <c r="U233" s="754"/>
      <c r="V233" s="754"/>
      <c r="W233" s="754" t="e">
        <f t="shared" si="175"/>
        <v>#DIV/0!</v>
      </c>
      <c r="X233" s="754" t="e">
        <f t="shared" si="179"/>
        <v>#N/A</v>
      </c>
      <c r="Y233" s="754" t="e">
        <f t="shared" si="176"/>
        <v>#N/A</v>
      </c>
    </row>
    <row r="234" spans="1:25" s="756" customFormat="1" hidden="1" x14ac:dyDescent="0.25">
      <c r="B234" s="1144"/>
      <c r="C234" s="1147"/>
      <c r="D234" s="1148"/>
      <c r="F234" s="754"/>
      <c r="G234" s="754"/>
      <c r="H234" s="1069"/>
      <c r="I234" s="1069"/>
      <c r="J234" s="757">
        <v>2018</v>
      </c>
      <c r="K234" s="1069" t="e">
        <f t="shared" si="171"/>
        <v>#N/A</v>
      </c>
      <c r="L234" s="1069" t="e">
        <f t="shared" si="177"/>
        <v>#N/A</v>
      </c>
      <c r="M234" s="1069" t="e">
        <f t="shared" si="172"/>
        <v>#N/A</v>
      </c>
      <c r="N234" s="754"/>
      <c r="O234" s="754"/>
      <c r="P234" s="754"/>
      <c r="Q234" s="754" t="e">
        <f t="shared" si="173"/>
        <v>#N/A</v>
      </c>
      <c r="R234" s="754" t="e">
        <f t="shared" si="178"/>
        <v>#N/A</v>
      </c>
      <c r="S234" s="754" t="e">
        <f t="shared" si="174"/>
        <v>#N/A</v>
      </c>
      <c r="T234" s="754"/>
      <c r="U234" s="754"/>
      <c r="V234" s="754"/>
      <c r="W234" s="754" t="e">
        <f t="shared" si="175"/>
        <v>#DIV/0!</v>
      </c>
      <c r="X234" s="754" t="e">
        <f t="shared" si="179"/>
        <v>#N/A</v>
      </c>
      <c r="Y234" s="754" t="e">
        <f t="shared" si="176"/>
        <v>#N/A</v>
      </c>
    </row>
    <row r="235" spans="1:25" s="756" customFormat="1" hidden="1" x14ac:dyDescent="0.25">
      <c r="B235" s="1144"/>
      <c r="C235" s="1147"/>
      <c r="D235" s="1148"/>
      <c r="F235" s="754"/>
      <c r="G235" s="754"/>
      <c r="H235" s="1069"/>
      <c r="I235" s="1069"/>
      <c r="J235" s="757">
        <v>2019</v>
      </c>
      <c r="K235" s="1069" t="e">
        <f t="shared" si="171"/>
        <v>#N/A</v>
      </c>
      <c r="L235" s="1069" t="e">
        <f t="shared" si="177"/>
        <v>#N/A</v>
      </c>
      <c r="M235" s="1069" t="e">
        <f t="shared" si="172"/>
        <v>#N/A</v>
      </c>
      <c r="N235" s="754"/>
      <c r="O235" s="754"/>
      <c r="P235" s="754"/>
      <c r="Q235" s="754" t="e">
        <f t="shared" si="173"/>
        <v>#N/A</v>
      </c>
      <c r="R235" s="754" t="e">
        <f t="shared" si="178"/>
        <v>#N/A</v>
      </c>
      <c r="S235" s="754" t="e">
        <f t="shared" si="174"/>
        <v>#N/A</v>
      </c>
      <c r="T235" s="754"/>
      <c r="U235" s="754"/>
      <c r="V235" s="754"/>
      <c r="W235" s="754" t="e">
        <f t="shared" si="175"/>
        <v>#DIV/0!</v>
      </c>
      <c r="X235" s="754" t="e">
        <f t="shared" si="179"/>
        <v>#N/A</v>
      </c>
      <c r="Y235" s="754" t="e">
        <f t="shared" si="176"/>
        <v>#N/A</v>
      </c>
    </row>
    <row r="236" spans="1:25" s="756" customFormat="1" hidden="1" x14ac:dyDescent="0.25">
      <c r="B236" s="1144"/>
      <c r="C236" s="1147"/>
      <c r="D236" s="1148"/>
      <c r="F236" s="754"/>
      <c r="G236" s="754"/>
      <c r="H236" s="1069"/>
      <c r="I236" s="1069"/>
      <c r="J236" s="1184">
        <v>2020</v>
      </c>
      <c r="K236" s="1069" t="e">
        <f t="shared" si="171"/>
        <v>#N/A</v>
      </c>
      <c r="L236" s="1069" t="e">
        <f t="shared" si="177"/>
        <v>#N/A</v>
      </c>
      <c r="M236" s="1069" t="e">
        <f t="shared" si="172"/>
        <v>#N/A</v>
      </c>
      <c r="N236" s="754"/>
      <c r="O236" s="754"/>
      <c r="P236" s="754"/>
      <c r="Q236" s="754" t="e">
        <f t="shared" si="173"/>
        <v>#N/A</v>
      </c>
      <c r="R236" s="754" t="e">
        <f t="shared" si="178"/>
        <v>#N/A</v>
      </c>
      <c r="S236" s="754" t="e">
        <f t="shared" si="174"/>
        <v>#N/A</v>
      </c>
      <c r="T236" s="754"/>
      <c r="U236" s="754"/>
      <c r="V236" s="754"/>
      <c r="W236" s="754" t="e">
        <f t="shared" si="175"/>
        <v>#DIV/0!</v>
      </c>
      <c r="X236" s="754" t="e">
        <f t="shared" si="179"/>
        <v>#N/A</v>
      </c>
      <c r="Y236" s="754" t="e">
        <f t="shared" si="176"/>
        <v>#N/A</v>
      </c>
    </row>
    <row r="237" spans="1:25" s="756" customFormat="1" hidden="1" x14ac:dyDescent="0.25">
      <c r="E237" s="1184"/>
      <c r="F237" s="754"/>
      <c r="G237" s="754"/>
      <c r="H237" s="1069"/>
      <c r="I237" s="1069"/>
      <c r="J237" s="1069"/>
      <c r="K237" s="1069"/>
      <c r="L237" s="1069"/>
      <c r="M237" s="1069"/>
      <c r="N237" s="754"/>
      <c r="O237" s="754"/>
      <c r="P237" s="754"/>
      <c r="Q237" s="754"/>
      <c r="R237" s="754"/>
      <c r="S237" s="754"/>
      <c r="T237" s="754"/>
      <c r="U237" s="754"/>
      <c r="V237" s="754"/>
      <c r="W237" s="754"/>
      <c r="X237" s="754"/>
      <c r="Y237" s="754"/>
    </row>
    <row r="238" spans="1:25" s="756" customFormat="1" hidden="1" x14ac:dyDescent="0.25">
      <c r="E238" s="757"/>
      <c r="F238" s="754"/>
      <c r="G238" s="754"/>
      <c r="H238" s="1069"/>
      <c r="I238" s="1069"/>
      <c r="J238" s="1069"/>
      <c r="K238" s="1069"/>
      <c r="L238" s="1069"/>
      <c r="M238" s="1069"/>
      <c r="N238" s="754"/>
      <c r="O238" s="754"/>
      <c r="P238" s="754"/>
      <c r="Q238" s="754"/>
      <c r="R238" s="754"/>
      <c r="S238" s="754"/>
      <c r="T238" s="754"/>
      <c r="U238" s="754"/>
      <c r="V238" s="754"/>
      <c r="W238" s="754"/>
      <c r="X238" s="754"/>
      <c r="Y238" s="754"/>
    </row>
    <row r="239" spans="1:25" s="1070" customFormat="1" hidden="1" x14ac:dyDescent="0.25">
      <c r="A239" s="1063"/>
    </row>
    <row r="240" spans="1:25" hidden="1" x14ac:dyDescent="0.25"/>
    <row r="241" spans="1:37" s="695" customFormat="1" hidden="1" x14ac:dyDescent="0.25">
      <c r="A241" s="799"/>
      <c r="B241" s="691" t="s">
        <v>1570</v>
      </c>
      <c r="D241" s="696" t="s">
        <v>1465</v>
      </c>
      <c r="E241" s="695" t="s">
        <v>1493</v>
      </c>
    </row>
    <row r="242" spans="1:37" s="696" customFormat="1" hidden="1" x14ac:dyDescent="0.25">
      <c r="A242" s="800"/>
      <c r="D242" s="696" t="s">
        <v>412</v>
      </c>
      <c r="E242" s="696" t="s">
        <v>10</v>
      </c>
      <c r="F242" s="696" t="s">
        <v>428</v>
      </c>
      <c r="G242" s="696" t="str">
        <f>G$136</f>
        <v>Cost in 2008 dollars</v>
      </c>
      <c r="H242" s="696" t="s">
        <v>583</v>
      </c>
      <c r="I242" s="696" t="s">
        <v>584</v>
      </c>
      <c r="J242" s="696" t="s">
        <v>585</v>
      </c>
      <c r="K242" s="696" t="s">
        <v>586</v>
      </c>
      <c r="L242" s="696" t="s">
        <v>413</v>
      </c>
      <c r="M242" s="696" t="s">
        <v>414</v>
      </c>
      <c r="N242" s="697" t="s">
        <v>592</v>
      </c>
      <c r="O242" s="697" t="s">
        <v>587</v>
      </c>
      <c r="P242" s="697" t="s">
        <v>588</v>
      </c>
      <c r="Q242" s="697" t="s">
        <v>589</v>
      </c>
      <c r="R242" s="697" t="s">
        <v>590</v>
      </c>
      <c r="S242" s="697" t="s">
        <v>591</v>
      </c>
      <c r="T242" s="697" t="s">
        <v>593</v>
      </c>
      <c r="U242" s="697" t="s">
        <v>594</v>
      </c>
      <c r="V242" s="697" t="s">
        <v>595</v>
      </c>
      <c r="W242" s="697" t="s">
        <v>596</v>
      </c>
      <c r="X242" s="697" t="s">
        <v>597</v>
      </c>
      <c r="Y242" s="697" t="s">
        <v>598</v>
      </c>
      <c r="Z242" s="695"/>
      <c r="AA242" s="695"/>
      <c r="AB242" s="695"/>
      <c r="AC242" s="695"/>
      <c r="AD242" s="695"/>
      <c r="AE242" s="695"/>
      <c r="AF242" s="695"/>
      <c r="AG242" s="695"/>
      <c r="AH242" s="695"/>
      <c r="AI242" s="695"/>
      <c r="AJ242" s="695"/>
      <c r="AK242" s="695"/>
    </row>
    <row r="243" spans="1:37" s="696" customFormat="1" hidden="1" x14ac:dyDescent="0.25">
      <c r="A243" s="800"/>
      <c r="D243" s="695">
        <v>541300</v>
      </c>
      <c r="E243" s="695" t="s">
        <v>308</v>
      </c>
      <c r="F243" s="698">
        <f>J53</f>
        <v>0</v>
      </c>
      <c r="G243" s="698">
        <f>F243*$C$332</f>
        <v>0</v>
      </c>
      <c r="H243" s="699" t="e">
        <f>$G243*INDEX(tier_emp_mult, MATCH($D243, tier_emp_code,0), MATCH(State, R_emp, 0))/1000000</f>
        <v>#N/A</v>
      </c>
      <c r="I243" s="700" t="e">
        <f>$G243*INDEX(typeI_emp_mult, MATCH($D243, typeI_emp_code,0), MATCH(State, R_emp, 0))/1000000</f>
        <v>#N/A</v>
      </c>
      <c r="J243" s="700" t="e">
        <f>$G243*INDEX(typeII_emp_mult, MATCH($D243, typeII_emp_code,0), MATCH(State, R_emp, 0))/1000000</f>
        <v>#N/A</v>
      </c>
      <c r="K243" s="701" t="e">
        <f>H243</f>
        <v>#N/A</v>
      </c>
      <c r="L243" s="701" t="e">
        <f t="shared" ref="L243:M246" si="180">I243-H243</f>
        <v>#N/A</v>
      </c>
      <c r="M243" s="701" t="e">
        <f t="shared" si="180"/>
        <v>#N/A</v>
      </c>
      <c r="N243" s="492" t="e">
        <f>$G243*INDEX(tier_earn_mult, MATCH($D243, tier_earn_code,0), MATCH(State, R_earn, 0))</f>
        <v>#N/A</v>
      </c>
      <c r="O243" s="492" t="e">
        <f>$G243*INDEX(typeI_earn_mult, MATCH($D243, typeI_earn_code,0), MATCH(State, R_earn, 0))</f>
        <v>#N/A</v>
      </c>
      <c r="P243" s="492" t="e">
        <f>$G243*INDEX(typeII_earn_mult, MATCH($D243, typeII_earn_code,0), MATCH(State, R_earn, 0))</f>
        <v>#N/A</v>
      </c>
      <c r="Q243" s="492" t="e">
        <f>N243</f>
        <v>#N/A</v>
      </c>
      <c r="R243" s="492" t="e">
        <f t="shared" ref="R243:S246" si="181">O243-N243</f>
        <v>#N/A</v>
      </c>
      <c r="S243" s="492" t="e">
        <f t="shared" si="181"/>
        <v>#N/A</v>
      </c>
      <c r="T243" s="492" t="e">
        <f>$G243*INDEX(tier_out_mult, MATCH($D243, tier_out_code,0), MATCH(State, R_out, 0))</f>
        <v>#N/A</v>
      </c>
      <c r="U243" s="492" t="e">
        <f>$G243*INDEX(typeI_out_mult, MATCH($D243, typeI_out_code,0), MATCH(State, R_out, 0))</f>
        <v>#N/A</v>
      </c>
      <c r="V243" s="492" t="e">
        <f>$G243*INDEX(typeII_out_mult, MATCH($D243, typeII_out_code,0), MATCH(State, R_out, 0))</f>
        <v>#N/A</v>
      </c>
      <c r="W243" s="492" t="e">
        <f>T243</f>
        <v>#N/A</v>
      </c>
      <c r="X243" s="492" t="e">
        <f t="shared" ref="X243:Y246" si="182">U243-T243</f>
        <v>#N/A</v>
      </c>
      <c r="Y243" s="492" t="e">
        <f t="shared" si="182"/>
        <v>#N/A</v>
      </c>
      <c r="Z243" s="695"/>
      <c r="AA243" s="695"/>
      <c r="AB243" s="695"/>
      <c r="AC243" s="695"/>
      <c r="AD243" s="695"/>
      <c r="AE243" s="695"/>
      <c r="AF243" s="695"/>
      <c r="AG243" s="695"/>
      <c r="AH243" s="695"/>
      <c r="AI243" s="695"/>
      <c r="AJ243" s="695"/>
      <c r="AK243" s="695"/>
    </row>
    <row r="244" spans="1:37" s="696" customFormat="1" hidden="1" x14ac:dyDescent="0.25">
      <c r="A244" s="800"/>
      <c r="D244" s="695">
        <v>230000</v>
      </c>
      <c r="E244" s="695" t="s">
        <v>426</v>
      </c>
      <c r="F244" s="698">
        <f>J54</f>
        <v>0</v>
      </c>
      <c r="G244" s="698">
        <f>F244*$C$332</f>
        <v>0</v>
      </c>
      <c r="H244" s="699" t="e">
        <f>$G244*INDEX(tier_emp_mult, MATCH($D244, tier_emp_code,0), MATCH(State, R_emp, 0))/1000000</f>
        <v>#N/A</v>
      </c>
      <c r="I244" s="700" t="e">
        <f>$G244*INDEX(typeI_emp_mult, MATCH($D244, typeI_emp_code,0), MATCH(State, R_emp, 0))/1000000</f>
        <v>#N/A</v>
      </c>
      <c r="J244" s="700" t="e">
        <f>$G244*INDEX(typeII_emp_mult, MATCH($D244, typeII_emp_code,0), MATCH(State, R_emp, 0))/1000000</f>
        <v>#N/A</v>
      </c>
      <c r="K244" s="701" t="e">
        <f>H244</f>
        <v>#N/A</v>
      </c>
      <c r="L244" s="701" t="e">
        <f t="shared" si="180"/>
        <v>#N/A</v>
      </c>
      <c r="M244" s="701" t="e">
        <f t="shared" si="180"/>
        <v>#N/A</v>
      </c>
      <c r="N244" s="492" t="e">
        <f>$G244*INDEX(tier_earn_mult, MATCH($D244, tier_earn_code,0), MATCH(State, R_earn, 0))</f>
        <v>#N/A</v>
      </c>
      <c r="O244" s="492" t="e">
        <f>$G244*INDEX(typeI_earn_mult, MATCH($D244, typeI_earn_code,0), MATCH(State, R_earn, 0))</f>
        <v>#N/A</v>
      </c>
      <c r="P244" s="492" t="e">
        <f>$G244*INDEX(typeII_earn_mult, MATCH($D244, typeII_earn_code,0), MATCH(State, R_earn, 0))</f>
        <v>#N/A</v>
      </c>
      <c r="Q244" s="492" t="e">
        <f>N244</f>
        <v>#N/A</v>
      </c>
      <c r="R244" s="492" t="e">
        <f t="shared" si="181"/>
        <v>#N/A</v>
      </c>
      <c r="S244" s="492" t="e">
        <f t="shared" si="181"/>
        <v>#N/A</v>
      </c>
      <c r="T244" s="492" t="e">
        <f>$G244*INDEX(tier_out_mult, MATCH($D244, tier_out_code,0), MATCH(State, R_out, 0))</f>
        <v>#N/A</v>
      </c>
      <c r="U244" s="492" t="e">
        <f>$G244*INDEX(typeI_out_mult, MATCH($D244, typeI_out_code,0), MATCH(State, R_out, 0))</f>
        <v>#N/A</v>
      </c>
      <c r="V244" s="492" t="e">
        <f>$G244*INDEX(typeII_out_mult, MATCH($D244, typeII_out_code,0), MATCH(State, R_out, 0))</f>
        <v>#N/A</v>
      </c>
      <c r="W244" s="492" t="e">
        <f>T244</f>
        <v>#N/A</v>
      </c>
      <c r="X244" s="492" t="e">
        <f t="shared" si="182"/>
        <v>#N/A</v>
      </c>
      <c r="Y244" s="492" t="e">
        <f t="shared" si="182"/>
        <v>#N/A</v>
      </c>
      <c r="Z244" s="695"/>
      <c r="AA244" s="695"/>
      <c r="AB244" s="695"/>
      <c r="AC244" s="695"/>
      <c r="AD244" s="695"/>
      <c r="AE244" s="695"/>
      <c r="AF244" s="695"/>
      <c r="AG244" s="695"/>
      <c r="AH244" s="695"/>
      <c r="AI244" s="695"/>
      <c r="AJ244" s="695"/>
      <c r="AK244" s="695"/>
    </row>
    <row r="245" spans="1:37" s="696" customFormat="1" hidden="1" x14ac:dyDescent="0.25">
      <c r="A245" s="800"/>
      <c r="D245" s="695">
        <v>332410</v>
      </c>
      <c r="E245" s="695" t="s">
        <v>168</v>
      </c>
      <c r="F245" s="698">
        <f>J55</f>
        <v>0</v>
      </c>
      <c r="G245" s="698">
        <f>F245*$C$332</f>
        <v>0</v>
      </c>
      <c r="H245" s="702" t="e">
        <f>$G245*INDEX(tier_emp_mult, MATCH($D245, tier_emp_code,0), MATCH(State, R_emp, 0))/1000000</f>
        <v>#N/A</v>
      </c>
      <c r="I245" s="702" t="e">
        <f>$G245*INDEX(typeI_emp_mult, MATCH($D245, typeI_emp_code,0), MATCH(State, R_emp, 0))/1000000</f>
        <v>#N/A</v>
      </c>
      <c r="J245" s="702" t="e">
        <f>$G245*INDEX(typeII_emp_mult, MATCH($D245, typeII_emp_code,0), MATCH(State, R_emp, 0))/1000000</f>
        <v>#N/A</v>
      </c>
      <c r="K245" s="702" t="e">
        <f>H245</f>
        <v>#N/A</v>
      </c>
      <c r="L245" s="702" t="e">
        <f>I245-H245</f>
        <v>#N/A</v>
      </c>
      <c r="M245" s="702" t="e">
        <f>J245-I245</f>
        <v>#N/A</v>
      </c>
      <c r="N245" s="492" t="e">
        <f>$G245*INDEX(tier_earn_mult, MATCH($D245, tier_earn_code,0), MATCH(State, R_earn, 0))</f>
        <v>#N/A</v>
      </c>
      <c r="O245" s="492" t="e">
        <f>$G245*INDEX(typeI_earn_mult, MATCH($D245, typeI_earn_code,0), MATCH(State, R_earn, 0))</f>
        <v>#N/A</v>
      </c>
      <c r="P245" s="492" t="e">
        <f>$G245*INDEX(typeII_earn_mult, MATCH($D245, typeII_earn_code,0), MATCH(State, R_earn, 0))</f>
        <v>#N/A</v>
      </c>
      <c r="Q245" s="492" t="e">
        <f>N245</f>
        <v>#N/A</v>
      </c>
      <c r="R245" s="492" t="e">
        <f>O245-N245</f>
        <v>#N/A</v>
      </c>
      <c r="S245" s="492" t="e">
        <f>P245-O245</f>
        <v>#N/A</v>
      </c>
      <c r="T245" s="492" t="e">
        <f>$G245*INDEX(tier_out_mult, MATCH($D245, tier_out_code,0), MATCH(State, R_out, 0))</f>
        <v>#N/A</v>
      </c>
      <c r="U245" s="492" t="e">
        <f>$G245*INDEX(typeI_out_mult, MATCH($D245, typeI_out_code,0), MATCH(State, R_out, 0))</f>
        <v>#N/A</v>
      </c>
      <c r="V245" s="492" t="e">
        <f>$G245*INDEX(typeII_out_mult, MATCH($D245, typeII_out_code,0), MATCH(State, R_out, 0))</f>
        <v>#N/A</v>
      </c>
      <c r="W245" s="492" t="e">
        <f>T245</f>
        <v>#N/A</v>
      </c>
      <c r="X245" s="492" t="e">
        <f>U245-T245</f>
        <v>#N/A</v>
      </c>
      <c r="Y245" s="492" t="e">
        <f>V245-U245</f>
        <v>#N/A</v>
      </c>
      <c r="Z245" s="695"/>
      <c r="AA245" s="695"/>
      <c r="AB245" s="695"/>
      <c r="AC245" s="695"/>
      <c r="AD245" s="695"/>
      <c r="AE245" s="695"/>
      <c r="AF245" s="695"/>
      <c r="AG245" s="695"/>
      <c r="AH245" s="695"/>
      <c r="AI245" s="695"/>
      <c r="AJ245" s="695"/>
      <c r="AK245" s="695"/>
    </row>
    <row r="246" spans="1:37" s="696" customFormat="1" hidden="1" x14ac:dyDescent="0.25">
      <c r="A246" s="800"/>
      <c r="D246" s="695" t="s">
        <v>730</v>
      </c>
      <c r="E246" s="695" t="s">
        <v>184</v>
      </c>
      <c r="F246" s="698">
        <f>J56</f>
        <v>0</v>
      </c>
      <c r="G246" s="698">
        <f>F246*$C$332</f>
        <v>0</v>
      </c>
      <c r="H246" s="702" t="e">
        <f>$G246*INDEX(tier_emp_mult, MATCH($D246, tier_emp_code,0), MATCH(State, R_emp, 0))/1000000</f>
        <v>#N/A</v>
      </c>
      <c r="I246" s="702" t="e">
        <f>$G246*INDEX(typeI_emp_mult, MATCH($D246, typeI_emp_code,0), MATCH(State, R_emp, 0))/1000000</f>
        <v>#N/A</v>
      </c>
      <c r="J246" s="702" t="e">
        <f>$G246*INDEX(typeII_emp_mult, MATCH($D246, typeII_emp_code,0), MATCH(State, R_emp, 0))/1000000</f>
        <v>#N/A</v>
      </c>
      <c r="K246" s="702" t="e">
        <f>H246</f>
        <v>#N/A</v>
      </c>
      <c r="L246" s="702" t="e">
        <f t="shared" si="180"/>
        <v>#N/A</v>
      </c>
      <c r="M246" s="702" t="e">
        <f t="shared" si="180"/>
        <v>#N/A</v>
      </c>
      <c r="N246" s="492" t="e">
        <f>$G246*INDEX(tier_earn_mult, MATCH($D246, tier_earn_code,0), MATCH(State, R_earn, 0))</f>
        <v>#N/A</v>
      </c>
      <c r="O246" s="492" t="e">
        <f>$G246*INDEX(typeI_earn_mult, MATCH($D246, typeI_earn_code,0), MATCH(State, R_earn, 0))</f>
        <v>#N/A</v>
      </c>
      <c r="P246" s="492" t="e">
        <f>$G246*INDEX(typeII_earn_mult, MATCH($D246, typeII_earn_code,0), MATCH(State, R_earn, 0))</f>
        <v>#N/A</v>
      </c>
      <c r="Q246" s="492" t="e">
        <f>N246</f>
        <v>#N/A</v>
      </c>
      <c r="R246" s="492" t="e">
        <f t="shared" si="181"/>
        <v>#N/A</v>
      </c>
      <c r="S246" s="492" t="e">
        <f t="shared" si="181"/>
        <v>#N/A</v>
      </c>
      <c r="T246" s="492" t="e">
        <f>$G246*INDEX(tier_out_mult, MATCH($D246, tier_out_code,0), MATCH(State, R_out, 0))</f>
        <v>#N/A</v>
      </c>
      <c r="U246" s="492" t="e">
        <f>$G246*INDEX(typeI_out_mult, MATCH($D246, typeI_out_code,0), MATCH(State, R_out, 0))</f>
        <v>#N/A</v>
      </c>
      <c r="V246" s="492" t="e">
        <f>$G246*INDEX(typeII_out_mult, MATCH($D246, typeII_out_code,0), MATCH(State, R_out, 0))</f>
        <v>#N/A</v>
      </c>
      <c r="W246" s="492" t="e">
        <f>T246</f>
        <v>#N/A</v>
      </c>
      <c r="X246" s="492" t="e">
        <f t="shared" si="182"/>
        <v>#N/A</v>
      </c>
      <c r="Y246" s="492" t="e">
        <f t="shared" si="182"/>
        <v>#N/A</v>
      </c>
      <c r="Z246" s="695"/>
      <c r="AA246" s="695"/>
      <c r="AB246" s="695"/>
      <c r="AC246" s="695"/>
      <c r="AD246" s="695"/>
      <c r="AE246" s="695"/>
      <c r="AF246" s="695"/>
      <c r="AG246" s="695"/>
      <c r="AH246" s="695"/>
      <c r="AI246" s="695"/>
      <c r="AJ246" s="695"/>
      <c r="AK246" s="695"/>
    </row>
    <row r="247" spans="1:37" s="696" customFormat="1" hidden="1" x14ac:dyDescent="0.25">
      <c r="A247" s="800"/>
      <c r="Z247" s="695"/>
      <c r="AA247" s="695"/>
      <c r="AB247" s="695"/>
      <c r="AC247" s="695"/>
      <c r="AD247" s="695"/>
      <c r="AE247" s="695"/>
      <c r="AF247" s="695"/>
      <c r="AG247" s="695"/>
      <c r="AH247" s="695"/>
      <c r="AI247" s="695"/>
      <c r="AJ247" s="695"/>
      <c r="AK247" s="695"/>
    </row>
    <row r="248" spans="1:37" s="696" customFormat="1" hidden="1" x14ac:dyDescent="0.25">
      <c r="A248" s="800"/>
      <c r="D248" s="695"/>
      <c r="E248" s="696" t="s">
        <v>442</v>
      </c>
      <c r="F248" s="698">
        <f t="shared" ref="F248:Y248" si="183">SUM(F243:F247)</f>
        <v>0</v>
      </c>
      <c r="G248" s="698">
        <f t="shared" si="183"/>
        <v>0</v>
      </c>
      <c r="H248" s="702" t="e">
        <f t="shared" si="183"/>
        <v>#N/A</v>
      </c>
      <c r="I248" s="702" t="e">
        <f t="shared" si="183"/>
        <v>#N/A</v>
      </c>
      <c r="J248" s="702" t="e">
        <f t="shared" si="183"/>
        <v>#N/A</v>
      </c>
      <c r="K248" s="702" t="e">
        <f t="shared" si="183"/>
        <v>#N/A</v>
      </c>
      <c r="L248" s="702" t="e">
        <f t="shared" si="183"/>
        <v>#N/A</v>
      </c>
      <c r="M248" s="702" t="e">
        <f t="shared" si="183"/>
        <v>#N/A</v>
      </c>
      <c r="N248" s="698" t="e">
        <f t="shared" si="183"/>
        <v>#N/A</v>
      </c>
      <c r="O248" s="698" t="e">
        <f t="shared" si="183"/>
        <v>#N/A</v>
      </c>
      <c r="P248" s="698" t="e">
        <f t="shared" si="183"/>
        <v>#N/A</v>
      </c>
      <c r="Q248" s="698" t="e">
        <f t="shared" si="183"/>
        <v>#N/A</v>
      </c>
      <c r="R248" s="698" t="e">
        <f t="shared" si="183"/>
        <v>#N/A</v>
      </c>
      <c r="S248" s="698" t="e">
        <f t="shared" si="183"/>
        <v>#N/A</v>
      </c>
      <c r="T248" s="698" t="e">
        <f t="shared" si="183"/>
        <v>#N/A</v>
      </c>
      <c r="U248" s="698" t="e">
        <f t="shared" si="183"/>
        <v>#N/A</v>
      </c>
      <c r="V248" s="698" t="e">
        <f t="shared" si="183"/>
        <v>#N/A</v>
      </c>
      <c r="W248" s="698" t="e">
        <f t="shared" si="183"/>
        <v>#N/A</v>
      </c>
      <c r="X248" s="698" t="e">
        <f t="shared" si="183"/>
        <v>#N/A</v>
      </c>
      <c r="Y248" s="698" t="e">
        <f t="shared" si="183"/>
        <v>#N/A</v>
      </c>
      <c r="Z248" s="695"/>
      <c r="AA248" s="695"/>
      <c r="AB248" s="695"/>
      <c r="AC248" s="695"/>
      <c r="AD248" s="695"/>
      <c r="AE248" s="695"/>
      <c r="AF248" s="695"/>
      <c r="AG248" s="695"/>
      <c r="AH248" s="695"/>
      <c r="AI248" s="695"/>
      <c r="AJ248" s="695"/>
      <c r="AK248" s="695"/>
    </row>
    <row r="249" spans="1:37" s="696" customFormat="1" hidden="1" x14ac:dyDescent="0.25">
      <c r="A249" s="800"/>
      <c r="D249" s="695"/>
      <c r="E249" s="695"/>
      <c r="F249" s="695"/>
      <c r="G249" s="695"/>
      <c r="H249" s="695"/>
      <c r="I249" s="695"/>
      <c r="J249" s="695"/>
      <c r="K249" s="695"/>
      <c r="L249" s="695"/>
      <c r="M249" s="695"/>
      <c r="N249" s="695"/>
      <c r="O249" s="695"/>
      <c r="P249" s="695"/>
      <c r="Q249" s="695"/>
      <c r="R249" s="695"/>
      <c r="S249" s="695"/>
      <c r="T249" s="695"/>
      <c r="U249" s="695"/>
      <c r="V249" s="695"/>
      <c r="W249" s="695"/>
      <c r="X249" s="695"/>
      <c r="Y249" s="695"/>
      <c r="Z249" s="695"/>
      <c r="AA249" s="695"/>
      <c r="AB249" s="695"/>
      <c r="AC249" s="695"/>
      <c r="AD249" s="695"/>
      <c r="AE249" s="695"/>
      <c r="AF249" s="695"/>
      <c r="AG249" s="695"/>
      <c r="AH249" s="695"/>
      <c r="AI249" s="695"/>
      <c r="AJ249" s="695"/>
      <c r="AK249" s="695"/>
    </row>
    <row r="250" spans="1:37" s="696" customFormat="1" hidden="1" x14ac:dyDescent="0.25">
      <c r="A250" s="800"/>
      <c r="D250" s="695"/>
      <c r="E250" s="695"/>
      <c r="F250" s="695"/>
      <c r="G250" s="695"/>
      <c r="H250" s="695"/>
      <c r="I250" s="695"/>
      <c r="J250" s="695"/>
      <c r="K250" s="695"/>
      <c r="L250" s="695"/>
      <c r="M250" s="695"/>
      <c r="N250" s="695"/>
      <c r="O250" s="695"/>
      <c r="P250" s="695"/>
      <c r="Q250" s="695"/>
      <c r="R250" s="695"/>
      <c r="S250" s="695"/>
      <c r="T250" s="695"/>
      <c r="U250" s="695"/>
      <c r="V250" s="695"/>
      <c r="W250" s="695"/>
      <c r="X250" s="695"/>
      <c r="Y250" s="695"/>
      <c r="Z250" s="695"/>
      <c r="AA250" s="695"/>
      <c r="AB250" s="695"/>
      <c r="AC250" s="695"/>
      <c r="AD250" s="695"/>
      <c r="AE250" s="695"/>
      <c r="AF250" s="695"/>
      <c r="AG250" s="695"/>
      <c r="AH250" s="695"/>
      <c r="AI250" s="695"/>
      <c r="AJ250" s="695"/>
      <c r="AK250" s="695"/>
    </row>
    <row r="251" spans="1:37" s="696" customFormat="1" hidden="1" x14ac:dyDescent="0.25">
      <c r="A251" s="800"/>
      <c r="D251" s="695"/>
      <c r="E251" s="695">
        <v>2015</v>
      </c>
      <c r="F251" s="698">
        <f t="shared" ref="F251:Y251" si="184">$F324*F$248</f>
        <v>0</v>
      </c>
      <c r="G251" s="698">
        <f t="shared" si="184"/>
        <v>0</v>
      </c>
      <c r="H251" s="702" t="e">
        <f t="shared" si="184"/>
        <v>#N/A</v>
      </c>
      <c r="I251" s="702" t="e">
        <f t="shared" si="184"/>
        <v>#N/A</v>
      </c>
      <c r="J251" s="702" t="e">
        <f t="shared" si="184"/>
        <v>#N/A</v>
      </c>
      <c r="K251" s="702" t="e">
        <f t="shared" si="184"/>
        <v>#N/A</v>
      </c>
      <c r="L251" s="702" t="e">
        <f t="shared" si="184"/>
        <v>#N/A</v>
      </c>
      <c r="M251" s="702" t="e">
        <f t="shared" si="184"/>
        <v>#N/A</v>
      </c>
      <c r="N251" s="698" t="e">
        <f t="shared" si="184"/>
        <v>#N/A</v>
      </c>
      <c r="O251" s="698" t="e">
        <f t="shared" si="184"/>
        <v>#N/A</v>
      </c>
      <c r="P251" s="698" t="e">
        <f t="shared" si="184"/>
        <v>#N/A</v>
      </c>
      <c r="Q251" s="698" t="e">
        <f t="shared" si="184"/>
        <v>#N/A</v>
      </c>
      <c r="R251" s="698" t="e">
        <f t="shared" si="184"/>
        <v>#N/A</v>
      </c>
      <c r="S251" s="698" t="e">
        <f t="shared" si="184"/>
        <v>#N/A</v>
      </c>
      <c r="T251" s="698" t="e">
        <f t="shared" si="184"/>
        <v>#N/A</v>
      </c>
      <c r="U251" s="698" t="e">
        <f t="shared" si="184"/>
        <v>#N/A</v>
      </c>
      <c r="V251" s="698" t="e">
        <f t="shared" si="184"/>
        <v>#N/A</v>
      </c>
      <c r="W251" s="698" t="e">
        <f t="shared" si="184"/>
        <v>#N/A</v>
      </c>
      <c r="X251" s="698" t="e">
        <f t="shared" si="184"/>
        <v>#N/A</v>
      </c>
      <c r="Y251" s="698" t="e">
        <f t="shared" si="184"/>
        <v>#N/A</v>
      </c>
      <c r="Z251" s="695"/>
      <c r="AA251" s="695"/>
      <c r="AB251" s="695"/>
      <c r="AC251" s="695"/>
      <c r="AD251" s="695"/>
      <c r="AE251" s="695"/>
      <c r="AF251" s="695"/>
      <c r="AG251" s="695"/>
      <c r="AH251" s="695"/>
      <c r="AI251" s="695"/>
      <c r="AJ251" s="695"/>
      <c r="AK251" s="695"/>
    </row>
    <row r="252" spans="1:37" s="696" customFormat="1" hidden="1" x14ac:dyDescent="0.25">
      <c r="A252" s="800"/>
      <c r="D252" s="695"/>
      <c r="E252" s="695">
        <v>2016</v>
      </c>
      <c r="F252" s="698">
        <f t="shared" ref="F252:Y252" si="185">$F325*F$248</f>
        <v>0</v>
      </c>
      <c r="G252" s="698">
        <f t="shared" si="185"/>
        <v>0</v>
      </c>
      <c r="H252" s="702" t="e">
        <f t="shared" si="185"/>
        <v>#N/A</v>
      </c>
      <c r="I252" s="702" t="e">
        <f t="shared" si="185"/>
        <v>#N/A</v>
      </c>
      <c r="J252" s="702" t="e">
        <f t="shared" si="185"/>
        <v>#N/A</v>
      </c>
      <c r="K252" s="702" t="e">
        <f t="shared" si="185"/>
        <v>#N/A</v>
      </c>
      <c r="L252" s="702" t="e">
        <f t="shared" si="185"/>
        <v>#N/A</v>
      </c>
      <c r="M252" s="702" t="e">
        <f t="shared" si="185"/>
        <v>#N/A</v>
      </c>
      <c r="N252" s="698" t="e">
        <f t="shared" si="185"/>
        <v>#N/A</v>
      </c>
      <c r="O252" s="698" t="e">
        <f t="shared" si="185"/>
        <v>#N/A</v>
      </c>
      <c r="P252" s="698" t="e">
        <f t="shared" si="185"/>
        <v>#N/A</v>
      </c>
      <c r="Q252" s="698" t="e">
        <f t="shared" si="185"/>
        <v>#N/A</v>
      </c>
      <c r="R252" s="698" t="e">
        <f t="shared" si="185"/>
        <v>#N/A</v>
      </c>
      <c r="S252" s="698" t="e">
        <f t="shared" si="185"/>
        <v>#N/A</v>
      </c>
      <c r="T252" s="698" t="e">
        <f t="shared" si="185"/>
        <v>#N/A</v>
      </c>
      <c r="U252" s="698" t="e">
        <f t="shared" si="185"/>
        <v>#N/A</v>
      </c>
      <c r="V252" s="698" t="e">
        <f t="shared" si="185"/>
        <v>#N/A</v>
      </c>
      <c r="W252" s="698" t="e">
        <f t="shared" si="185"/>
        <v>#N/A</v>
      </c>
      <c r="X252" s="698" t="e">
        <f t="shared" si="185"/>
        <v>#N/A</v>
      </c>
      <c r="Y252" s="698" t="e">
        <f t="shared" si="185"/>
        <v>#N/A</v>
      </c>
      <c r="Z252" s="695"/>
      <c r="AA252" s="695"/>
      <c r="AB252" s="695"/>
      <c r="AC252" s="695"/>
      <c r="AD252" s="695"/>
      <c r="AE252" s="695"/>
      <c r="AF252" s="695"/>
      <c r="AG252" s="695"/>
      <c r="AH252" s="695"/>
      <c r="AI252" s="695"/>
      <c r="AJ252" s="695"/>
      <c r="AK252" s="695"/>
    </row>
    <row r="253" spans="1:37" s="696" customFormat="1" hidden="1" x14ac:dyDescent="0.25">
      <c r="A253" s="800"/>
      <c r="D253" s="695"/>
      <c r="E253" s="695">
        <v>2017</v>
      </c>
      <c r="F253" s="698">
        <f t="shared" ref="F253:Y253" si="186">$F326*F$248</f>
        <v>0</v>
      </c>
      <c r="G253" s="698">
        <f t="shared" si="186"/>
        <v>0</v>
      </c>
      <c r="H253" s="702" t="e">
        <f t="shared" si="186"/>
        <v>#N/A</v>
      </c>
      <c r="I253" s="702" t="e">
        <f t="shared" si="186"/>
        <v>#N/A</v>
      </c>
      <c r="J253" s="702" t="e">
        <f t="shared" si="186"/>
        <v>#N/A</v>
      </c>
      <c r="K253" s="702" t="e">
        <f t="shared" si="186"/>
        <v>#N/A</v>
      </c>
      <c r="L253" s="702" t="e">
        <f t="shared" si="186"/>
        <v>#N/A</v>
      </c>
      <c r="M253" s="702" t="e">
        <f t="shared" si="186"/>
        <v>#N/A</v>
      </c>
      <c r="N253" s="698" t="e">
        <f t="shared" si="186"/>
        <v>#N/A</v>
      </c>
      <c r="O253" s="698" t="e">
        <f t="shared" si="186"/>
        <v>#N/A</v>
      </c>
      <c r="P253" s="698" t="e">
        <f t="shared" si="186"/>
        <v>#N/A</v>
      </c>
      <c r="Q253" s="698" t="e">
        <f t="shared" si="186"/>
        <v>#N/A</v>
      </c>
      <c r="R253" s="698" t="e">
        <f t="shared" si="186"/>
        <v>#N/A</v>
      </c>
      <c r="S253" s="698" t="e">
        <f t="shared" si="186"/>
        <v>#N/A</v>
      </c>
      <c r="T253" s="698" t="e">
        <f t="shared" si="186"/>
        <v>#N/A</v>
      </c>
      <c r="U253" s="698" t="e">
        <f t="shared" si="186"/>
        <v>#N/A</v>
      </c>
      <c r="V253" s="698" t="e">
        <f t="shared" si="186"/>
        <v>#N/A</v>
      </c>
      <c r="W253" s="698" t="e">
        <f t="shared" si="186"/>
        <v>#N/A</v>
      </c>
      <c r="X253" s="698" t="e">
        <f t="shared" si="186"/>
        <v>#N/A</v>
      </c>
      <c r="Y253" s="698" t="e">
        <f t="shared" si="186"/>
        <v>#N/A</v>
      </c>
      <c r="Z253" s="695"/>
      <c r="AA253" s="695"/>
      <c r="AB253" s="695"/>
      <c r="AC253" s="695"/>
      <c r="AD253" s="695"/>
      <c r="AE253" s="695"/>
      <c r="AF253" s="695"/>
      <c r="AG253" s="695"/>
      <c r="AH253" s="695"/>
      <c r="AI253" s="695"/>
      <c r="AJ253" s="695"/>
      <c r="AK253" s="695"/>
    </row>
    <row r="254" spans="1:37" s="696" customFormat="1" hidden="1" x14ac:dyDescent="0.25">
      <c r="A254" s="800"/>
      <c r="D254" s="695"/>
      <c r="E254" s="695">
        <v>2018</v>
      </c>
      <c r="F254" s="698">
        <f t="shared" ref="F254:Y254" si="187">$F327*F$248</f>
        <v>0</v>
      </c>
      <c r="G254" s="698">
        <f t="shared" si="187"/>
        <v>0</v>
      </c>
      <c r="H254" s="702" t="e">
        <f t="shared" si="187"/>
        <v>#N/A</v>
      </c>
      <c r="I254" s="702" t="e">
        <f t="shared" si="187"/>
        <v>#N/A</v>
      </c>
      <c r="J254" s="702" t="e">
        <f t="shared" si="187"/>
        <v>#N/A</v>
      </c>
      <c r="K254" s="702" t="e">
        <f t="shared" si="187"/>
        <v>#N/A</v>
      </c>
      <c r="L254" s="702" t="e">
        <f t="shared" si="187"/>
        <v>#N/A</v>
      </c>
      <c r="M254" s="702" t="e">
        <f t="shared" si="187"/>
        <v>#N/A</v>
      </c>
      <c r="N254" s="698" t="e">
        <f t="shared" si="187"/>
        <v>#N/A</v>
      </c>
      <c r="O254" s="698" t="e">
        <f t="shared" si="187"/>
        <v>#N/A</v>
      </c>
      <c r="P254" s="698" t="e">
        <f t="shared" si="187"/>
        <v>#N/A</v>
      </c>
      <c r="Q254" s="698" t="e">
        <f t="shared" si="187"/>
        <v>#N/A</v>
      </c>
      <c r="R254" s="698" t="e">
        <f t="shared" si="187"/>
        <v>#N/A</v>
      </c>
      <c r="S254" s="698" t="e">
        <f t="shared" si="187"/>
        <v>#N/A</v>
      </c>
      <c r="T254" s="698" t="e">
        <f t="shared" si="187"/>
        <v>#N/A</v>
      </c>
      <c r="U254" s="698" t="e">
        <f t="shared" si="187"/>
        <v>#N/A</v>
      </c>
      <c r="V254" s="698" t="e">
        <f t="shared" si="187"/>
        <v>#N/A</v>
      </c>
      <c r="W254" s="698" t="e">
        <f t="shared" si="187"/>
        <v>#N/A</v>
      </c>
      <c r="X254" s="698" t="e">
        <f t="shared" si="187"/>
        <v>#N/A</v>
      </c>
      <c r="Y254" s="698" t="e">
        <f t="shared" si="187"/>
        <v>#N/A</v>
      </c>
      <c r="Z254" s="695"/>
      <c r="AA254" s="695"/>
      <c r="AB254" s="695"/>
      <c r="AC254" s="695"/>
      <c r="AD254" s="695"/>
      <c r="AE254" s="695"/>
      <c r="AF254" s="695"/>
      <c r="AG254" s="695"/>
      <c r="AH254" s="695"/>
      <c r="AI254" s="695"/>
      <c r="AJ254" s="695"/>
      <c r="AK254" s="695"/>
    </row>
    <row r="255" spans="1:37" s="696" customFormat="1" hidden="1" x14ac:dyDescent="0.25">
      <c r="A255" s="800"/>
      <c r="D255" s="695"/>
      <c r="E255" s="695">
        <v>2019</v>
      </c>
      <c r="F255" s="698">
        <f t="shared" ref="F255:Y255" si="188">$F328*F$248</f>
        <v>0</v>
      </c>
      <c r="G255" s="698">
        <f t="shared" si="188"/>
        <v>0</v>
      </c>
      <c r="H255" s="702" t="e">
        <f t="shared" si="188"/>
        <v>#N/A</v>
      </c>
      <c r="I255" s="702" t="e">
        <f t="shared" si="188"/>
        <v>#N/A</v>
      </c>
      <c r="J255" s="702" t="e">
        <f t="shared" si="188"/>
        <v>#N/A</v>
      </c>
      <c r="K255" s="702" t="e">
        <f t="shared" si="188"/>
        <v>#N/A</v>
      </c>
      <c r="L255" s="702" t="e">
        <f t="shared" si="188"/>
        <v>#N/A</v>
      </c>
      <c r="M255" s="702" t="e">
        <f t="shared" si="188"/>
        <v>#N/A</v>
      </c>
      <c r="N255" s="698" t="e">
        <f t="shared" si="188"/>
        <v>#N/A</v>
      </c>
      <c r="O255" s="698" t="e">
        <f t="shared" si="188"/>
        <v>#N/A</v>
      </c>
      <c r="P255" s="698" t="e">
        <f t="shared" si="188"/>
        <v>#N/A</v>
      </c>
      <c r="Q255" s="698" t="e">
        <f t="shared" si="188"/>
        <v>#N/A</v>
      </c>
      <c r="R255" s="698" t="e">
        <f t="shared" si="188"/>
        <v>#N/A</v>
      </c>
      <c r="S255" s="698" t="e">
        <f t="shared" si="188"/>
        <v>#N/A</v>
      </c>
      <c r="T255" s="698" t="e">
        <f t="shared" si="188"/>
        <v>#N/A</v>
      </c>
      <c r="U255" s="698" t="e">
        <f t="shared" si="188"/>
        <v>#N/A</v>
      </c>
      <c r="V255" s="698" t="e">
        <f t="shared" si="188"/>
        <v>#N/A</v>
      </c>
      <c r="W255" s="698" t="e">
        <f t="shared" si="188"/>
        <v>#N/A</v>
      </c>
      <c r="X255" s="698" t="e">
        <f t="shared" si="188"/>
        <v>#N/A</v>
      </c>
      <c r="Y255" s="698" t="e">
        <f t="shared" si="188"/>
        <v>#N/A</v>
      </c>
      <c r="Z255" s="695"/>
      <c r="AA255" s="695"/>
      <c r="AB255" s="695"/>
      <c r="AC255" s="695"/>
      <c r="AD255" s="695"/>
      <c r="AE255" s="695"/>
      <c r="AF255" s="695"/>
      <c r="AG255" s="695"/>
      <c r="AH255" s="695"/>
      <c r="AI255" s="695"/>
      <c r="AJ255" s="695"/>
      <c r="AK255" s="695"/>
    </row>
    <row r="256" spans="1:37" s="696" customFormat="1" hidden="1" x14ac:dyDescent="0.25">
      <c r="A256" s="800"/>
      <c r="D256" s="695"/>
      <c r="E256" s="695">
        <v>2020</v>
      </c>
      <c r="F256" s="698">
        <f t="shared" ref="F256:Y256" si="189">$F329*F$248</f>
        <v>0</v>
      </c>
      <c r="G256" s="698">
        <f t="shared" si="189"/>
        <v>0</v>
      </c>
      <c r="H256" s="702" t="e">
        <f t="shared" si="189"/>
        <v>#N/A</v>
      </c>
      <c r="I256" s="702" t="e">
        <f t="shared" si="189"/>
        <v>#N/A</v>
      </c>
      <c r="J256" s="702" t="e">
        <f t="shared" si="189"/>
        <v>#N/A</v>
      </c>
      <c r="K256" s="702" t="e">
        <f t="shared" si="189"/>
        <v>#N/A</v>
      </c>
      <c r="L256" s="702" t="e">
        <f t="shared" si="189"/>
        <v>#N/A</v>
      </c>
      <c r="M256" s="702" t="e">
        <f t="shared" si="189"/>
        <v>#N/A</v>
      </c>
      <c r="N256" s="698" t="e">
        <f t="shared" si="189"/>
        <v>#N/A</v>
      </c>
      <c r="O256" s="698" t="e">
        <f t="shared" si="189"/>
        <v>#N/A</v>
      </c>
      <c r="P256" s="698" t="e">
        <f t="shared" si="189"/>
        <v>#N/A</v>
      </c>
      <c r="Q256" s="698" t="e">
        <f t="shared" si="189"/>
        <v>#N/A</v>
      </c>
      <c r="R256" s="698" t="e">
        <f t="shared" si="189"/>
        <v>#N/A</v>
      </c>
      <c r="S256" s="698" t="e">
        <f t="shared" si="189"/>
        <v>#N/A</v>
      </c>
      <c r="T256" s="698" t="e">
        <f t="shared" si="189"/>
        <v>#N/A</v>
      </c>
      <c r="U256" s="698" t="e">
        <f t="shared" si="189"/>
        <v>#N/A</v>
      </c>
      <c r="V256" s="698" t="e">
        <f t="shared" si="189"/>
        <v>#N/A</v>
      </c>
      <c r="W256" s="698" t="e">
        <f t="shared" si="189"/>
        <v>#N/A</v>
      </c>
      <c r="X256" s="698" t="e">
        <f t="shared" si="189"/>
        <v>#N/A</v>
      </c>
      <c r="Y256" s="698" t="e">
        <f t="shared" si="189"/>
        <v>#N/A</v>
      </c>
      <c r="Z256" s="695"/>
      <c r="AA256" s="695"/>
      <c r="AB256" s="695"/>
      <c r="AC256" s="695"/>
      <c r="AD256" s="695"/>
      <c r="AE256" s="695"/>
      <c r="AF256" s="695"/>
      <c r="AG256" s="695"/>
      <c r="AH256" s="695"/>
      <c r="AI256" s="695"/>
      <c r="AJ256" s="695"/>
      <c r="AK256" s="695"/>
    </row>
    <row r="257" spans="1:25" s="695" customFormat="1" hidden="1" x14ac:dyDescent="0.25">
      <c r="A257" s="799"/>
    </row>
    <row r="258" spans="1:25" s="1072" customFormat="1" hidden="1" x14ac:dyDescent="0.25">
      <c r="A258" s="1071"/>
    </row>
    <row r="259" spans="1:25" s="1074" customFormat="1" hidden="1" x14ac:dyDescent="0.25">
      <c r="A259" s="1073"/>
      <c r="B259" s="691" t="s">
        <v>1570</v>
      </c>
      <c r="D259" s="705" t="s">
        <v>1723</v>
      </c>
      <c r="E259" s="704" t="s">
        <v>1493</v>
      </c>
      <c r="F259" s="704"/>
      <c r="G259" s="704"/>
      <c r="H259" s="704"/>
      <c r="I259" s="704"/>
      <c r="J259" s="704"/>
      <c r="K259" s="704"/>
      <c r="L259" s="704"/>
      <c r="M259" s="704"/>
      <c r="N259" s="704"/>
      <c r="O259" s="704"/>
      <c r="P259" s="704"/>
      <c r="Q259" s="704"/>
      <c r="R259" s="704"/>
      <c r="S259" s="704"/>
      <c r="T259" s="704"/>
      <c r="U259" s="704"/>
      <c r="V259" s="704"/>
      <c r="W259" s="704"/>
      <c r="X259" s="704"/>
      <c r="Y259" s="704"/>
    </row>
    <row r="260" spans="1:25" s="1074" customFormat="1" hidden="1" x14ac:dyDescent="0.25">
      <c r="A260" s="1073"/>
      <c r="D260" s="705" t="s">
        <v>412</v>
      </c>
      <c r="E260" s="705" t="s">
        <v>10</v>
      </c>
      <c r="F260" s="705" t="s">
        <v>428</v>
      </c>
      <c r="G260" s="705" t="str">
        <f>G$136</f>
        <v>Cost in 2008 dollars</v>
      </c>
      <c r="H260" s="705" t="s">
        <v>583</v>
      </c>
      <c r="I260" s="705" t="s">
        <v>584</v>
      </c>
      <c r="J260" s="705" t="s">
        <v>585</v>
      </c>
      <c r="K260" s="705" t="s">
        <v>586</v>
      </c>
      <c r="L260" s="705" t="s">
        <v>413</v>
      </c>
      <c r="M260" s="705" t="s">
        <v>414</v>
      </c>
      <c r="N260" s="706" t="s">
        <v>592</v>
      </c>
      <c r="O260" s="706" t="s">
        <v>587</v>
      </c>
      <c r="P260" s="706" t="s">
        <v>588</v>
      </c>
      <c r="Q260" s="706" t="s">
        <v>589</v>
      </c>
      <c r="R260" s="706" t="s">
        <v>590</v>
      </c>
      <c r="S260" s="706" t="s">
        <v>591</v>
      </c>
      <c r="T260" s="706" t="s">
        <v>593</v>
      </c>
      <c r="U260" s="706" t="s">
        <v>594</v>
      </c>
      <c r="V260" s="706" t="s">
        <v>595</v>
      </c>
      <c r="W260" s="706" t="s">
        <v>596</v>
      </c>
      <c r="X260" s="706" t="s">
        <v>597</v>
      </c>
      <c r="Y260" s="706" t="s">
        <v>598</v>
      </c>
    </row>
    <row r="261" spans="1:25" s="1074" customFormat="1" hidden="1" x14ac:dyDescent="0.25">
      <c r="A261" s="1073"/>
      <c r="D261" s="704">
        <v>221200</v>
      </c>
      <c r="E261" s="704" t="s">
        <v>24</v>
      </c>
      <c r="F261" s="707">
        <f>J64</f>
        <v>0</v>
      </c>
      <c r="G261" s="707">
        <f>F261*$C$332</f>
        <v>0</v>
      </c>
      <c r="H261" s="708" t="e">
        <f>$G261*INDEX(tier_emp_mult, MATCH($D261, tier_emp_code,0), MATCH(State, R_emp, 0))/1000000</f>
        <v>#N/A</v>
      </c>
      <c r="I261" s="709" t="e">
        <f>$G261*INDEX(typeI_emp_mult, MATCH($D261, typeI_emp_code,0), MATCH(State, R_emp, 0))/1000000</f>
        <v>#N/A</v>
      </c>
      <c r="J261" s="709" t="e">
        <f>$G261*INDEX(typeII_emp_mult, MATCH($D261, typeII_emp_code,0), MATCH(State, R_emp, 0))/1000000</f>
        <v>#N/A</v>
      </c>
      <c r="K261" s="710" t="e">
        <f>H261</f>
        <v>#N/A</v>
      </c>
      <c r="L261" s="710" t="e">
        <f t="shared" ref="L261" si="190">I261-H261</f>
        <v>#N/A</v>
      </c>
      <c r="M261" s="710" t="e">
        <f t="shared" ref="M261" si="191">J261-I261</f>
        <v>#N/A</v>
      </c>
      <c r="N261" s="711" t="e">
        <f>$G261*INDEX(tier_earn_mult, MATCH($D261, tier_earn_code,0), MATCH(State, R_earn, 0))</f>
        <v>#N/A</v>
      </c>
      <c r="O261" s="711" t="e">
        <f>$G261*INDEX(typeI_earn_mult, MATCH($D261, typeI_earn_code,0), MATCH(State, R_earn, 0))</f>
        <v>#N/A</v>
      </c>
      <c r="P261" s="711" t="e">
        <f>$G261*INDEX(typeII_earn_mult, MATCH($D261, typeII_earn_code,0), MATCH(State, R_earn, 0))</f>
        <v>#N/A</v>
      </c>
      <c r="Q261" s="711" t="e">
        <f>N261</f>
        <v>#N/A</v>
      </c>
      <c r="R261" s="711" t="e">
        <f t="shared" ref="R261" si="192">O261-N261</f>
        <v>#N/A</v>
      </c>
      <c r="S261" s="711" t="e">
        <f t="shared" ref="S261" si="193">P261-O261</f>
        <v>#N/A</v>
      </c>
      <c r="T261" s="711" t="e">
        <f>$G261*INDEX(tier_out_mult, MATCH($D261, tier_out_code,0), MATCH(State, R_out, 0))</f>
        <v>#N/A</v>
      </c>
      <c r="U261" s="711" t="e">
        <f>$G261*INDEX(typeI_out_mult, MATCH($D261, typeI_out_code,0), MATCH(State, R_out, 0))</f>
        <v>#N/A</v>
      </c>
      <c r="V261" s="711" t="e">
        <f>$G261*INDEX(typeII_out_mult, MATCH($D261, typeII_out_code,0), MATCH(State, R_out, 0))</f>
        <v>#N/A</v>
      </c>
      <c r="W261" s="711" t="e">
        <f>T261</f>
        <v>#N/A</v>
      </c>
      <c r="X261" s="711" t="e">
        <f t="shared" ref="X261" si="194">U261-T261</f>
        <v>#N/A</v>
      </c>
      <c r="Y261" s="711" t="e">
        <f t="shared" ref="Y261" si="195">V261-U261</f>
        <v>#N/A</v>
      </c>
    </row>
    <row r="262" spans="1:25" s="1074" customFormat="1" hidden="1" x14ac:dyDescent="0.25">
      <c r="A262" s="1073"/>
    </row>
    <row r="263" spans="1:25" s="1074" customFormat="1" hidden="1" x14ac:dyDescent="0.25">
      <c r="A263" s="1073"/>
    </row>
    <row r="264" spans="1:25" s="1074" customFormat="1" hidden="1" x14ac:dyDescent="0.25">
      <c r="A264" s="1073"/>
      <c r="E264" s="704">
        <v>2015</v>
      </c>
      <c r="F264" s="1075">
        <f t="shared" ref="F264:Y264" si="196">$H324*F$261</f>
        <v>0</v>
      </c>
      <c r="G264" s="1075">
        <f t="shared" si="196"/>
        <v>0</v>
      </c>
      <c r="H264" s="1076" t="e">
        <f t="shared" si="196"/>
        <v>#N/A</v>
      </c>
      <c r="I264" s="1076" t="e">
        <f t="shared" si="196"/>
        <v>#N/A</v>
      </c>
      <c r="J264" s="1076" t="e">
        <f t="shared" si="196"/>
        <v>#N/A</v>
      </c>
      <c r="K264" s="1076" t="e">
        <f t="shared" si="196"/>
        <v>#N/A</v>
      </c>
      <c r="L264" s="1076" t="e">
        <f t="shared" si="196"/>
        <v>#N/A</v>
      </c>
      <c r="M264" s="1076" t="e">
        <f t="shared" si="196"/>
        <v>#N/A</v>
      </c>
      <c r="N264" s="1075" t="e">
        <f t="shared" si="196"/>
        <v>#N/A</v>
      </c>
      <c r="O264" s="1075" t="e">
        <f t="shared" si="196"/>
        <v>#N/A</v>
      </c>
      <c r="P264" s="1075" t="e">
        <f t="shared" si="196"/>
        <v>#N/A</v>
      </c>
      <c r="Q264" s="1075" t="e">
        <f t="shared" si="196"/>
        <v>#N/A</v>
      </c>
      <c r="R264" s="1075" t="e">
        <f t="shared" si="196"/>
        <v>#N/A</v>
      </c>
      <c r="S264" s="1075" t="e">
        <f t="shared" si="196"/>
        <v>#N/A</v>
      </c>
      <c r="T264" s="1075" t="e">
        <f t="shared" si="196"/>
        <v>#N/A</v>
      </c>
      <c r="U264" s="1075" t="e">
        <f t="shared" si="196"/>
        <v>#N/A</v>
      </c>
      <c r="V264" s="1075" t="e">
        <f t="shared" si="196"/>
        <v>#N/A</v>
      </c>
      <c r="W264" s="1075" t="e">
        <f t="shared" si="196"/>
        <v>#N/A</v>
      </c>
      <c r="X264" s="1075" t="e">
        <f t="shared" si="196"/>
        <v>#N/A</v>
      </c>
      <c r="Y264" s="1075" t="e">
        <f t="shared" si="196"/>
        <v>#N/A</v>
      </c>
    </row>
    <row r="265" spans="1:25" s="1074" customFormat="1" hidden="1" x14ac:dyDescent="0.25">
      <c r="A265" s="1073"/>
      <c r="E265" s="704">
        <v>2016</v>
      </c>
      <c r="F265" s="1075">
        <f t="shared" ref="F265:Y265" si="197">$H325*F$261</f>
        <v>0</v>
      </c>
      <c r="G265" s="1075">
        <f t="shared" si="197"/>
        <v>0</v>
      </c>
      <c r="H265" s="1076" t="e">
        <f t="shared" si="197"/>
        <v>#N/A</v>
      </c>
      <c r="I265" s="1076" t="e">
        <f t="shared" si="197"/>
        <v>#N/A</v>
      </c>
      <c r="J265" s="1076" t="e">
        <f t="shared" si="197"/>
        <v>#N/A</v>
      </c>
      <c r="K265" s="1076" t="e">
        <f t="shared" si="197"/>
        <v>#N/A</v>
      </c>
      <c r="L265" s="1076" t="e">
        <f t="shared" si="197"/>
        <v>#N/A</v>
      </c>
      <c r="M265" s="1076" t="e">
        <f t="shared" si="197"/>
        <v>#N/A</v>
      </c>
      <c r="N265" s="1075" t="e">
        <f t="shared" si="197"/>
        <v>#N/A</v>
      </c>
      <c r="O265" s="1075" t="e">
        <f t="shared" si="197"/>
        <v>#N/A</v>
      </c>
      <c r="P265" s="1075" t="e">
        <f t="shared" si="197"/>
        <v>#N/A</v>
      </c>
      <c r="Q265" s="1075" t="e">
        <f t="shared" si="197"/>
        <v>#N/A</v>
      </c>
      <c r="R265" s="1075" t="e">
        <f t="shared" si="197"/>
        <v>#N/A</v>
      </c>
      <c r="S265" s="1075" t="e">
        <f t="shared" si="197"/>
        <v>#N/A</v>
      </c>
      <c r="T265" s="1075" t="e">
        <f t="shared" si="197"/>
        <v>#N/A</v>
      </c>
      <c r="U265" s="1075" t="e">
        <f t="shared" si="197"/>
        <v>#N/A</v>
      </c>
      <c r="V265" s="1075" t="e">
        <f t="shared" si="197"/>
        <v>#N/A</v>
      </c>
      <c r="W265" s="1075" t="e">
        <f t="shared" si="197"/>
        <v>#N/A</v>
      </c>
      <c r="X265" s="1075" t="e">
        <f t="shared" si="197"/>
        <v>#N/A</v>
      </c>
      <c r="Y265" s="1075" t="e">
        <f t="shared" si="197"/>
        <v>#N/A</v>
      </c>
    </row>
    <row r="266" spans="1:25" s="1074" customFormat="1" hidden="1" x14ac:dyDescent="0.25">
      <c r="A266" s="1073"/>
      <c r="E266" s="704">
        <v>2017</v>
      </c>
      <c r="F266" s="1075">
        <f t="shared" ref="F266:Y266" si="198">$H326*F$261</f>
        <v>0</v>
      </c>
      <c r="G266" s="1075">
        <f t="shared" si="198"/>
        <v>0</v>
      </c>
      <c r="H266" s="1076" t="e">
        <f t="shared" si="198"/>
        <v>#N/A</v>
      </c>
      <c r="I266" s="1076" t="e">
        <f t="shared" si="198"/>
        <v>#N/A</v>
      </c>
      <c r="J266" s="1076" t="e">
        <f t="shared" si="198"/>
        <v>#N/A</v>
      </c>
      <c r="K266" s="1076" t="e">
        <f t="shared" si="198"/>
        <v>#N/A</v>
      </c>
      <c r="L266" s="1076" t="e">
        <f t="shared" si="198"/>
        <v>#N/A</v>
      </c>
      <c r="M266" s="1076" t="e">
        <f t="shared" si="198"/>
        <v>#N/A</v>
      </c>
      <c r="N266" s="1075" t="e">
        <f t="shared" si="198"/>
        <v>#N/A</v>
      </c>
      <c r="O266" s="1075" t="e">
        <f t="shared" si="198"/>
        <v>#N/A</v>
      </c>
      <c r="P266" s="1075" t="e">
        <f t="shared" si="198"/>
        <v>#N/A</v>
      </c>
      <c r="Q266" s="1075" t="e">
        <f t="shared" si="198"/>
        <v>#N/A</v>
      </c>
      <c r="R266" s="1075" t="e">
        <f t="shared" si="198"/>
        <v>#N/A</v>
      </c>
      <c r="S266" s="1075" t="e">
        <f t="shared" si="198"/>
        <v>#N/A</v>
      </c>
      <c r="T266" s="1075" t="e">
        <f t="shared" si="198"/>
        <v>#N/A</v>
      </c>
      <c r="U266" s="1075" t="e">
        <f t="shared" si="198"/>
        <v>#N/A</v>
      </c>
      <c r="V266" s="1075" t="e">
        <f t="shared" si="198"/>
        <v>#N/A</v>
      </c>
      <c r="W266" s="1075" t="e">
        <f t="shared" si="198"/>
        <v>#N/A</v>
      </c>
      <c r="X266" s="1075" t="e">
        <f t="shared" si="198"/>
        <v>#N/A</v>
      </c>
      <c r="Y266" s="1075" t="e">
        <f t="shared" si="198"/>
        <v>#N/A</v>
      </c>
    </row>
    <row r="267" spans="1:25" s="1074" customFormat="1" hidden="1" x14ac:dyDescent="0.25">
      <c r="A267" s="1073"/>
      <c r="E267" s="704">
        <v>2018</v>
      </c>
      <c r="F267" s="1075">
        <f t="shared" ref="F267:Y267" si="199">$H327*F$261</f>
        <v>0</v>
      </c>
      <c r="G267" s="1075">
        <f t="shared" si="199"/>
        <v>0</v>
      </c>
      <c r="H267" s="1076" t="e">
        <f t="shared" si="199"/>
        <v>#N/A</v>
      </c>
      <c r="I267" s="1076" t="e">
        <f t="shared" si="199"/>
        <v>#N/A</v>
      </c>
      <c r="J267" s="1076" t="e">
        <f t="shared" si="199"/>
        <v>#N/A</v>
      </c>
      <c r="K267" s="1076" t="e">
        <f t="shared" si="199"/>
        <v>#N/A</v>
      </c>
      <c r="L267" s="1076" t="e">
        <f t="shared" si="199"/>
        <v>#N/A</v>
      </c>
      <c r="M267" s="1076" t="e">
        <f t="shared" si="199"/>
        <v>#N/A</v>
      </c>
      <c r="N267" s="1075" t="e">
        <f t="shared" si="199"/>
        <v>#N/A</v>
      </c>
      <c r="O267" s="1075" t="e">
        <f t="shared" si="199"/>
        <v>#N/A</v>
      </c>
      <c r="P267" s="1075" t="e">
        <f t="shared" si="199"/>
        <v>#N/A</v>
      </c>
      <c r="Q267" s="1075" t="e">
        <f t="shared" si="199"/>
        <v>#N/A</v>
      </c>
      <c r="R267" s="1075" t="e">
        <f t="shared" si="199"/>
        <v>#N/A</v>
      </c>
      <c r="S267" s="1075" t="e">
        <f t="shared" si="199"/>
        <v>#N/A</v>
      </c>
      <c r="T267" s="1075" t="e">
        <f t="shared" si="199"/>
        <v>#N/A</v>
      </c>
      <c r="U267" s="1075" t="e">
        <f t="shared" si="199"/>
        <v>#N/A</v>
      </c>
      <c r="V267" s="1075" t="e">
        <f t="shared" si="199"/>
        <v>#N/A</v>
      </c>
      <c r="W267" s="1075" t="e">
        <f t="shared" si="199"/>
        <v>#N/A</v>
      </c>
      <c r="X267" s="1075" t="e">
        <f t="shared" si="199"/>
        <v>#N/A</v>
      </c>
      <c r="Y267" s="1075" t="e">
        <f t="shared" si="199"/>
        <v>#N/A</v>
      </c>
    </row>
    <row r="268" spans="1:25" s="1074" customFormat="1" hidden="1" x14ac:dyDescent="0.25">
      <c r="A268" s="1073"/>
      <c r="E268" s="704">
        <v>2019</v>
      </c>
      <c r="F268" s="1075">
        <f t="shared" ref="F268:Y268" si="200">$H328*F$261</f>
        <v>0</v>
      </c>
      <c r="G268" s="1075">
        <f t="shared" si="200"/>
        <v>0</v>
      </c>
      <c r="H268" s="1076" t="e">
        <f t="shared" si="200"/>
        <v>#N/A</v>
      </c>
      <c r="I268" s="1076" t="e">
        <f t="shared" si="200"/>
        <v>#N/A</v>
      </c>
      <c r="J268" s="1076" t="e">
        <f t="shared" si="200"/>
        <v>#N/A</v>
      </c>
      <c r="K268" s="1076" t="e">
        <f t="shared" si="200"/>
        <v>#N/A</v>
      </c>
      <c r="L268" s="1076" t="e">
        <f t="shared" si="200"/>
        <v>#N/A</v>
      </c>
      <c r="M268" s="1076" t="e">
        <f t="shared" si="200"/>
        <v>#N/A</v>
      </c>
      <c r="N268" s="1075" t="e">
        <f t="shared" si="200"/>
        <v>#N/A</v>
      </c>
      <c r="O268" s="1075" t="e">
        <f t="shared" si="200"/>
        <v>#N/A</v>
      </c>
      <c r="P268" s="1075" t="e">
        <f t="shared" si="200"/>
        <v>#N/A</v>
      </c>
      <c r="Q268" s="1075" t="e">
        <f t="shared" si="200"/>
        <v>#N/A</v>
      </c>
      <c r="R268" s="1075" t="e">
        <f t="shared" si="200"/>
        <v>#N/A</v>
      </c>
      <c r="S268" s="1075" t="e">
        <f t="shared" si="200"/>
        <v>#N/A</v>
      </c>
      <c r="T268" s="1075" t="e">
        <f t="shared" si="200"/>
        <v>#N/A</v>
      </c>
      <c r="U268" s="1075" t="e">
        <f t="shared" si="200"/>
        <v>#N/A</v>
      </c>
      <c r="V268" s="1075" t="e">
        <f t="shared" si="200"/>
        <v>#N/A</v>
      </c>
      <c r="W268" s="1075" t="e">
        <f t="shared" si="200"/>
        <v>#N/A</v>
      </c>
      <c r="X268" s="1075" t="e">
        <f t="shared" si="200"/>
        <v>#N/A</v>
      </c>
      <c r="Y268" s="1075" t="e">
        <f t="shared" si="200"/>
        <v>#N/A</v>
      </c>
    </row>
    <row r="269" spans="1:25" s="1074" customFormat="1" hidden="1" x14ac:dyDescent="0.25">
      <c r="A269" s="1073"/>
      <c r="E269" s="704">
        <v>2020</v>
      </c>
      <c r="F269" s="1075">
        <f t="shared" ref="F269:Y269" si="201">$H329*F$261</f>
        <v>0</v>
      </c>
      <c r="G269" s="1075">
        <f t="shared" si="201"/>
        <v>0</v>
      </c>
      <c r="H269" s="1076" t="e">
        <f t="shared" si="201"/>
        <v>#N/A</v>
      </c>
      <c r="I269" s="1076" t="e">
        <f t="shared" si="201"/>
        <v>#N/A</v>
      </c>
      <c r="J269" s="1076" t="e">
        <f t="shared" si="201"/>
        <v>#N/A</v>
      </c>
      <c r="K269" s="1076" t="e">
        <f t="shared" si="201"/>
        <v>#N/A</v>
      </c>
      <c r="L269" s="1076" t="e">
        <f t="shared" si="201"/>
        <v>#N/A</v>
      </c>
      <c r="M269" s="1076" t="e">
        <f t="shared" si="201"/>
        <v>#N/A</v>
      </c>
      <c r="N269" s="1075" t="e">
        <f t="shared" si="201"/>
        <v>#N/A</v>
      </c>
      <c r="O269" s="1075" t="e">
        <f t="shared" si="201"/>
        <v>#N/A</v>
      </c>
      <c r="P269" s="1075" t="e">
        <f t="shared" si="201"/>
        <v>#N/A</v>
      </c>
      <c r="Q269" s="1075" t="e">
        <f t="shared" si="201"/>
        <v>#N/A</v>
      </c>
      <c r="R269" s="1075" t="e">
        <f t="shared" si="201"/>
        <v>#N/A</v>
      </c>
      <c r="S269" s="1075" t="e">
        <f t="shared" si="201"/>
        <v>#N/A</v>
      </c>
      <c r="T269" s="1075" t="e">
        <f t="shared" si="201"/>
        <v>#N/A</v>
      </c>
      <c r="U269" s="1075" t="e">
        <f t="shared" si="201"/>
        <v>#N/A</v>
      </c>
      <c r="V269" s="1075" t="e">
        <f t="shared" si="201"/>
        <v>#N/A</v>
      </c>
      <c r="W269" s="1075" t="e">
        <f t="shared" si="201"/>
        <v>#N/A</v>
      </c>
      <c r="X269" s="1075" t="e">
        <f t="shared" si="201"/>
        <v>#N/A</v>
      </c>
      <c r="Y269" s="1075" t="e">
        <f t="shared" si="201"/>
        <v>#N/A</v>
      </c>
    </row>
    <row r="270" spans="1:25" s="1072" customFormat="1" hidden="1" x14ac:dyDescent="0.25">
      <c r="A270" s="1071"/>
    </row>
    <row r="271" spans="1:25" s="502" customFormat="1" hidden="1" x14ac:dyDescent="0.25">
      <c r="A271" s="1077"/>
      <c r="B271" s="691" t="s">
        <v>1570</v>
      </c>
      <c r="D271" s="737" t="s">
        <v>1466</v>
      </c>
      <c r="E271" s="738" t="s">
        <v>1493</v>
      </c>
      <c r="F271" s="738"/>
      <c r="G271" s="738"/>
      <c r="H271" s="738"/>
      <c r="I271" s="738"/>
      <c r="J271" s="738"/>
      <c r="K271" s="738"/>
      <c r="L271" s="738"/>
      <c r="M271" s="738"/>
      <c r="N271" s="738"/>
      <c r="O271" s="738"/>
      <c r="P271" s="738"/>
      <c r="Q271" s="738"/>
      <c r="R271" s="738"/>
      <c r="S271" s="738"/>
      <c r="T271" s="738"/>
      <c r="U271" s="738"/>
      <c r="V271" s="738"/>
      <c r="W271" s="738"/>
      <c r="X271" s="738"/>
      <c r="Y271" s="738"/>
    </row>
    <row r="272" spans="1:25" s="502" customFormat="1" hidden="1" x14ac:dyDescent="0.25">
      <c r="A272" s="1077"/>
      <c r="D272" s="737" t="s">
        <v>412</v>
      </c>
      <c r="E272" s="737" t="s">
        <v>10</v>
      </c>
      <c r="F272" s="737" t="s">
        <v>428</v>
      </c>
      <c r="G272" s="737" t="str">
        <f>G$136</f>
        <v>Cost in 2008 dollars</v>
      </c>
      <c r="H272" s="737" t="s">
        <v>583</v>
      </c>
      <c r="I272" s="737" t="s">
        <v>584</v>
      </c>
      <c r="J272" s="737" t="s">
        <v>585</v>
      </c>
      <c r="K272" s="737" t="s">
        <v>586</v>
      </c>
      <c r="L272" s="737" t="s">
        <v>413</v>
      </c>
      <c r="M272" s="737" t="s">
        <v>414</v>
      </c>
      <c r="N272" s="739" t="s">
        <v>592</v>
      </c>
      <c r="O272" s="739" t="s">
        <v>587</v>
      </c>
      <c r="P272" s="739" t="s">
        <v>588</v>
      </c>
      <c r="Q272" s="739" t="s">
        <v>589</v>
      </c>
      <c r="R272" s="739" t="s">
        <v>590</v>
      </c>
      <c r="S272" s="739" t="s">
        <v>591</v>
      </c>
      <c r="T272" s="739" t="s">
        <v>593</v>
      </c>
      <c r="U272" s="739" t="s">
        <v>594</v>
      </c>
      <c r="V272" s="739" t="s">
        <v>595</v>
      </c>
      <c r="W272" s="739" t="s">
        <v>596</v>
      </c>
      <c r="X272" s="739" t="s">
        <v>597</v>
      </c>
      <c r="Y272" s="739" t="s">
        <v>598</v>
      </c>
    </row>
    <row r="273" spans="1:25" s="502" customFormat="1" hidden="1" x14ac:dyDescent="0.25">
      <c r="A273" s="1077"/>
      <c r="D273" s="738">
        <v>811300</v>
      </c>
      <c r="E273" s="738" t="s">
        <v>351</v>
      </c>
      <c r="F273" s="740" t="e">
        <f>J69</f>
        <v>#DIV/0!</v>
      </c>
      <c r="G273" s="740" t="e">
        <f>F273*$C$332</f>
        <v>#DIV/0!</v>
      </c>
      <c r="H273" s="741" t="e">
        <f>$G273*INDEX(tier_emp_mult, MATCH($D273, tier_emp_code,0), MATCH(State, R_emp, 0))/1000000</f>
        <v>#DIV/0!</v>
      </c>
      <c r="I273" s="742" t="e">
        <f>$G273*INDEX(typeI_emp_mult, MATCH($D273, typeI_emp_code,0), MATCH(State, R_emp, 0))/1000000</f>
        <v>#DIV/0!</v>
      </c>
      <c r="J273" s="742" t="e">
        <f>$G273*INDEX(typeII_emp_mult, MATCH($D273, typeII_emp_code,0), MATCH(State, R_emp, 0))/1000000</f>
        <v>#DIV/0!</v>
      </c>
      <c r="K273" s="743" t="e">
        <f>H273</f>
        <v>#DIV/0!</v>
      </c>
      <c r="L273" s="743" t="e">
        <f t="shared" ref="L273" si="202">I273-H273</f>
        <v>#DIV/0!</v>
      </c>
      <c r="M273" s="743" t="e">
        <f t="shared" ref="M273" si="203">J273-I273</f>
        <v>#DIV/0!</v>
      </c>
      <c r="N273" s="515" t="e">
        <f>$G273*INDEX(tier_earn_mult, MATCH($D273, tier_earn_code,0), MATCH(State, R_earn, 0))</f>
        <v>#DIV/0!</v>
      </c>
      <c r="O273" s="515" t="e">
        <f>$G273*INDEX(typeI_earn_mult, MATCH($D273, typeI_earn_code,0), MATCH(State, R_earn, 0))</f>
        <v>#DIV/0!</v>
      </c>
      <c r="P273" s="515" t="e">
        <f>$G273*INDEX(typeII_earn_mult, MATCH($D273, typeII_earn_code,0), MATCH(State, R_earn, 0))</f>
        <v>#DIV/0!</v>
      </c>
      <c r="Q273" s="515" t="e">
        <f>N273</f>
        <v>#DIV/0!</v>
      </c>
      <c r="R273" s="515" t="e">
        <f t="shared" ref="R273" si="204">O273-N273</f>
        <v>#DIV/0!</v>
      </c>
      <c r="S273" s="515" t="e">
        <f t="shared" ref="S273" si="205">P273-O273</f>
        <v>#DIV/0!</v>
      </c>
      <c r="T273" s="515" t="e">
        <f>$G273*INDEX(tier_out_mult, MATCH($D273, tier_out_code,0), MATCH(State, R_out, 0))</f>
        <v>#DIV/0!</v>
      </c>
      <c r="U273" s="515" t="e">
        <f>$G273*INDEX(typeI_out_mult, MATCH($D273, typeI_out_code,0), MATCH(State, R_out, 0))</f>
        <v>#DIV/0!</v>
      </c>
      <c r="V273" s="515" t="e">
        <f>$G273*INDEX(typeII_out_mult, MATCH($D273, typeII_out_code,0), MATCH(State, R_out, 0))</f>
        <v>#DIV/0!</v>
      </c>
      <c r="W273" s="515" t="e">
        <f>T273</f>
        <v>#DIV/0!</v>
      </c>
      <c r="X273" s="515" t="e">
        <f t="shared" ref="X273" si="206">U273-T273</f>
        <v>#DIV/0!</v>
      </c>
      <c r="Y273" s="515" t="e">
        <f t="shared" ref="Y273" si="207">V273-U273</f>
        <v>#DIV/0!</v>
      </c>
    </row>
    <row r="274" spans="1:25" s="502" customFormat="1" hidden="1" x14ac:dyDescent="0.25">
      <c r="A274" s="1077"/>
    </row>
    <row r="275" spans="1:25" s="502" customFormat="1" hidden="1" x14ac:dyDescent="0.25">
      <c r="A275" s="1077"/>
    </row>
    <row r="276" spans="1:25" s="502" customFormat="1" hidden="1" x14ac:dyDescent="0.25">
      <c r="A276" s="1077"/>
      <c r="E276" s="738">
        <v>2015</v>
      </c>
      <c r="F276" s="1078" t="e">
        <f t="shared" ref="F276:Y276" si="208">$H324*F$273</f>
        <v>#DIV/0!</v>
      </c>
      <c r="G276" s="1078" t="e">
        <f t="shared" si="208"/>
        <v>#DIV/0!</v>
      </c>
      <c r="H276" s="514" t="e">
        <f t="shared" si="208"/>
        <v>#DIV/0!</v>
      </c>
      <c r="I276" s="514" t="e">
        <f t="shared" si="208"/>
        <v>#DIV/0!</v>
      </c>
      <c r="J276" s="514" t="e">
        <f t="shared" si="208"/>
        <v>#DIV/0!</v>
      </c>
      <c r="K276" s="514" t="e">
        <f t="shared" si="208"/>
        <v>#DIV/0!</v>
      </c>
      <c r="L276" s="514" t="e">
        <f t="shared" si="208"/>
        <v>#DIV/0!</v>
      </c>
      <c r="M276" s="514" t="e">
        <f t="shared" si="208"/>
        <v>#DIV/0!</v>
      </c>
      <c r="N276" s="1078" t="e">
        <f t="shared" si="208"/>
        <v>#DIV/0!</v>
      </c>
      <c r="O276" s="1078" t="e">
        <f t="shared" si="208"/>
        <v>#DIV/0!</v>
      </c>
      <c r="P276" s="1078" t="e">
        <f t="shared" si="208"/>
        <v>#DIV/0!</v>
      </c>
      <c r="Q276" s="1078" t="e">
        <f t="shared" si="208"/>
        <v>#DIV/0!</v>
      </c>
      <c r="R276" s="1078" t="e">
        <f t="shared" si="208"/>
        <v>#DIV/0!</v>
      </c>
      <c r="S276" s="1078" t="e">
        <f t="shared" si="208"/>
        <v>#DIV/0!</v>
      </c>
      <c r="T276" s="1078" t="e">
        <f t="shared" si="208"/>
        <v>#DIV/0!</v>
      </c>
      <c r="U276" s="1078" t="e">
        <f t="shared" si="208"/>
        <v>#DIV/0!</v>
      </c>
      <c r="V276" s="1078" t="e">
        <f t="shared" si="208"/>
        <v>#DIV/0!</v>
      </c>
      <c r="W276" s="1078" t="e">
        <f t="shared" si="208"/>
        <v>#DIV/0!</v>
      </c>
      <c r="X276" s="1078" t="e">
        <f t="shared" si="208"/>
        <v>#DIV/0!</v>
      </c>
      <c r="Y276" s="1078" t="e">
        <f t="shared" si="208"/>
        <v>#DIV/0!</v>
      </c>
    </row>
    <row r="277" spans="1:25" s="502" customFormat="1" hidden="1" x14ac:dyDescent="0.25">
      <c r="A277" s="1077"/>
      <c r="E277" s="738">
        <v>2016</v>
      </c>
      <c r="F277" s="1078" t="e">
        <f t="shared" ref="F277:Y277" si="209">$H325*F$273</f>
        <v>#DIV/0!</v>
      </c>
      <c r="G277" s="1078" t="e">
        <f t="shared" si="209"/>
        <v>#DIV/0!</v>
      </c>
      <c r="H277" s="514" t="e">
        <f t="shared" si="209"/>
        <v>#DIV/0!</v>
      </c>
      <c r="I277" s="514" t="e">
        <f t="shared" si="209"/>
        <v>#DIV/0!</v>
      </c>
      <c r="J277" s="514" t="e">
        <f t="shared" si="209"/>
        <v>#DIV/0!</v>
      </c>
      <c r="K277" s="514" t="e">
        <f t="shared" si="209"/>
        <v>#DIV/0!</v>
      </c>
      <c r="L277" s="514" t="e">
        <f t="shared" si="209"/>
        <v>#DIV/0!</v>
      </c>
      <c r="M277" s="514" t="e">
        <f t="shared" si="209"/>
        <v>#DIV/0!</v>
      </c>
      <c r="N277" s="1078" t="e">
        <f t="shared" si="209"/>
        <v>#DIV/0!</v>
      </c>
      <c r="O277" s="1078" t="e">
        <f t="shared" si="209"/>
        <v>#DIV/0!</v>
      </c>
      <c r="P277" s="1078" t="e">
        <f t="shared" si="209"/>
        <v>#DIV/0!</v>
      </c>
      <c r="Q277" s="1078" t="e">
        <f t="shared" si="209"/>
        <v>#DIV/0!</v>
      </c>
      <c r="R277" s="1078" t="e">
        <f t="shared" si="209"/>
        <v>#DIV/0!</v>
      </c>
      <c r="S277" s="1078" t="e">
        <f t="shared" si="209"/>
        <v>#DIV/0!</v>
      </c>
      <c r="T277" s="1078" t="e">
        <f t="shared" si="209"/>
        <v>#DIV/0!</v>
      </c>
      <c r="U277" s="1078" t="e">
        <f t="shared" si="209"/>
        <v>#DIV/0!</v>
      </c>
      <c r="V277" s="1078" t="e">
        <f t="shared" si="209"/>
        <v>#DIV/0!</v>
      </c>
      <c r="W277" s="1078" t="e">
        <f t="shared" si="209"/>
        <v>#DIV/0!</v>
      </c>
      <c r="X277" s="1078" t="e">
        <f t="shared" si="209"/>
        <v>#DIV/0!</v>
      </c>
      <c r="Y277" s="1078" t="e">
        <f t="shared" si="209"/>
        <v>#DIV/0!</v>
      </c>
    </row>
    <row r="278" spans="1:25" s="502" customFormat="1" hidden="1" x14ac:dyDescent="0.25">
      <c r="A278" s="1077"/>
      <c r="E278" s="738">
        <v>2017</v>
      </c>
      <c r="F278" s="1078" t="e">
        <f t="shared" ref="F278:Y278" si="210">$H326*F$273</f>
        <v>#DIV/0!</v>
      </c>
      <c r="G278" s="1078" t="e">
        <f t="shared" si="210"/>
        <v>#DIV/0!</v>
      </c>
      <c r="H278" s="514" t="e">
        <f t="shared" si="210"/>
        <v>#DIV/0!</v>
      </c>
      <c r="I278" s="514" t="e">
        <f t="shared" si="210"/>
        <v>#DIV/0!</v>
      </c>
      <c r="J278" s="514" t="e">
        <f t="shared" si="210"/>
        <v>#DIV/0!</v>
      </c>
      <c r="K278" s="514" t="e">
        <f t="shared" si="210"/>
        <v>#DIV/0!</v>
      </c>
      <c r="L278" s="514" t="e">
        <f t="shared" si="210"/>
        <v>#DIV/0!</v>
      </c>
      <c r="M278" s="514" t="e">
        <f t="shared" si="210"/>
        <v>#DIV/0!</v>
      </c>
      <c r="N278" s="1078" t="e">
        <f t="shared" si="210"/>
        <v>#DIV/0!</v>
      </c>
      <c r="O278" s="1078" t="e">
        <f t="shared" si="210"/>
        <v>#DIV/0!</v>
      </c>
      <c r="P278" s="1078" t="e">
        <f t="shared" si="210"/>
        <v>#DIV/0!</v>
      </c>
      <c r="Q278" s="1078" t="e">
        <f t="shared" si="210"/>
        <v>#DIV/0!</v>
      </c>
      <c r="R278" s="1078" t="e">
        <f t="shared" si="210"/>
        <v>#DIV/0!</v>
      </c>
      <c r="S278" s="1078" t="e">
        <f t="shared" si="210"/>
        <v>#DIV/0!</v>
      </c>
      <c r="T278" s="1078" t="e">
        <f t="shared" si="210"/>
        <v>#DIV/0!</v>
      </c>
      <c r="U278" s="1078" t="e">
        <f t="shared" si="210"/>
        <v>#DIV/0!</v>
      </c>
      <c r="V278" s="1078" t="e">
        <f t="shared" si="210"/>
        <v>#DIV/0!</v>
      </c>
      <c r="W278" s="1078" t="e">
        <f t="shared" si="210"/>
        <v>#DIV/0!</v>
      </c>
      <c r="X278" s="1078" t="e">
        <f t="shared" si="210"/>
        <v>#DIV/0!</v>
      </c>
      <c r="Y278" s="1078" t="e">
        <f t="shared" si="210"/>
        <v>#DIV/0!</v>
      </c>
    </row>
    <row r="279" spans="1:25" s="502" customFormat="1" hidden="1" x14ac:dyDescent="0.25">
      <c r="A279" s="1077"/>
      <c r="E279" s="738">
        <v>2018</v>
      </c>
      <c r="F279" s="1078" t="e">
        <f t="shared" ref="F279:Y279" si="211">$H327*F$273</f>
        <v>#DIV/0!</v>
      </c>
      <c r="G279" s="1078" t="e">
        <f t="shared" si="211"/>
        <v>#DIV/0!</v>
      </c>
      <c r="H279" s="514" t="e">
        <f t="shared" si="211"/>
        <v>#DIV/0!</v>
      </c>
      <c r="I279" s="514" t="e">
        <f t="shared" si="211"/>
        <v>#DIV/0!</v>
      </c>
      <c r="J279" s="514" t="e">
        <f t="shared" si="211"/>
        <v>#DIV/0!</v>
      </c>
      <c r="K279" s="514" t="e">
        <f t="shared" si="211"/>
        <v>#DIV/0!</v>
      </c>
      <c r="L279" s="514" t="e">
        <f t="shared" si="211"/>
        <v>#DIV/0!</v>
      </c>
      <c r="M279" s="514" t="e">
        <f t="shared" si="211"/>
        <v>#DIV/0!</v>
      </c>
      <c r="N279" s="1078" t="e">
        <f t="shared" si="211"/>
        <v>#DIV/0!</v>
      </c>
      <c r="O279" s="1078" t="e">
        <f t="shared" si="211"/>
        <v>#DIV/0!</v>
      </c>
      <c r="P279" s="1078" t="e">
        <f t="shared" si="211"/>
        <v>#DIV/0!</v>
      </c>
      <c r="Q279" s="1078" t="e">
        <f t="shared" si="211"/>
        <v>#DIV/0!</v>
      </c>
      <c r="R279" s="1078" t="e">
        <f t="shared" si="211"/>
        <v>#DIV/0!</v>
      </c>
      <c r="S279" s="1078" t="e">
        <f t="shared" si="211"/>
        <v>#DIV/0!</v>
      </c>
      <c r="T279" s="1078" t="e">
        <f t="shared" si="211"/>
        <v>#DIV/0!</v>
      </c>
      <c r="U279" s="1078" t="e">
        <f t="shared" si="211"/>
        <v>#DIV/0!</v>
      </c>
      <c r="V279" s="1078" t="e">
        <f t="shared" si="211"/>
        <v>#DIV/0!</v>
      </c>
      <c r="W279" s="1078" t="e">
        <f t="shared" si="211"/>
        <v>#DIV/0!</v>
      </c>
      <c r="X279" s="1078" t="e">
        <f t="shared" si="211"/>
        <v>#DIV/0!</v>
      </c>
      <c r="Y279" s="1078" t="e">
        <f t="shared" si="211"/>
        <v>#DIV/0!</v>
      </c>
    </row>
    <row r="280" spans="1:25" s="502" customFormat="1" hidden="1" x14ac:dyDescent="0.25">
      <c r="A280" s="1077"/>
      <c r="E280" s="738">
        <v>2019</v>
      </c>
      <c r="F280" s="1078" t="e">
        <f t="shared" ref="F280:Y280" si="212">$H328*F$273</f>
        <v>#DIV/0!</v>
      </c>
      <c r="G280" s="1078" t="e">
        <f t="shared" si="212"/>
        <v>#DIV/0!</v>
      </c>
      <c r="H280" s="514" t="e">
        <f t="shared" si="212"/>
        <v>#DIV/0!</v>
      </c>
      <c r="I280" s="514" t="e">
        <f t="shared" si="212"/>
        <v>#DIV/0!</v>
      </c>
      <c r="J280" s="514" t="e">
        <f t="shared" si="212"/>
        <v>#DIV/0!</v>
      </c>
      <c r="K280" s="514" t="e">
        <f t="shared" si="212"/>
        <v>#DIV/0!</v>
      </c>
      <c r="L280" s="514" t="e">
        <f t="shared" si="212"/>
        <v>#DIV/0!</v>
      </c>
      <c r="M280" s="514" t="e">
        <f t="shared" si="212"/>
        <v>#DIV/0!</v>
      </c>
      <c r="N280" s="1078" t="e">
        <f t="shared" si="212"/>
        <v>#DIV/0!</v>
      </c>
      <c r="O280" s="1078" t="e">
        <f t="shared" si="212"/>
        <v>#DIV/0!</v>
      </c>
      <c r="P280" s="1078" t="e">
        <f t="shared" si="212"/>
        <v>#DIV/0!</v>
      </c>
      <c r="Q280" s="1078" t="e">
        <f t="shared" si="212"/>
        <v>#DIV/0!</v>
      </c>
      <c r="R280" s="1078" t="e">
        <f t="shared" si="212"/>
        <v>#DIV/0!</v>
      </c>
      <c r="S280" s="1078" t="e">
        <f t="shared" si="212"/>
        <v>#DIV/0!</v>
      </c>
      <c r="T280" s="1078" t="e">
        <f t="shared" si="212"/>
        <v>#DIV/0!</v>
      </c>
      <c r="U280" s="1078" t="e">
        <f t="shared" si="212"/>
        <v>#DIV/0!</v>
      </c>
      <c r="V280" s="1078" t="e">
        <f t="shared" si="212"/>
        <v>#DIV/0!</v>
      </c>
      <c r="W280" s="1078" t="e">
        <f t="shared" si="212"/>
        <v>#DIV/0!</v>
      </c>
      <c r="X280" s="1078" t="e">
        <f t="shared" si="212"/>
        <v>#DIV/0!</v>
      </c>
      <c r="Y280" s="1078" t="e">
        <f t="shared" si="212"/>
        <v>#DIV/0!</v>
      </c>
    </row>
    <row r="281" spans="1:25" s="502" customFormat="1" hidden="1" x14ac:dyDescent="0.25">
      <c r="A281" s="1077"/>
      <c r="E281" s="738">
        <v>2020</v>
      </c>
      <c r="F281" s="1078" t="e">
        <f t="shared" ref="F281:Y281" si="213">$H329*F$273</f>
        <v>#DIV/0!</v>
      </c>
      <c r="G281" s="1078" t="e">
        <f t="shared" si="213"/>
        <v>#DIV/0!</v>
      </c>
      <c r="H281" s="514" t="e">
        <f t="shared" si="213"/>
        <v>#DIV/0!</v>
      </c>
      <c r="I281" s="514" t="e">
        <f t="shared" si="213"/>
        <v>#DIV/0!</v>
      </c>
      <c r="J281" s="514" t="e">
        <f t="shared" si="213"/>
        <v>#DIV/0!</v>
      </c>
      <c r="K281" s="514" t="e">
        <f t="shared" si="213"/>
        <v>#DIV/0!</v>
      </c>
      <c r="L281" s="514" t="e">
        <f t="shared" si="213"/>
        <v>#DIV/0!</v>
      </c>
      <c r="M281" s="514" t="e">
        <f t="shared" si="213"/>
        <v>#DIV/0!</v>
      </c>
      <c r="N281" s="1078" t="e">
        <f t="shared" si="213"/>
        <v>#DIV/0!</v>
      </c>
      <c r="O281" s="1078" t="e">
        <f t="shared" si="213"/>
        <v>#DIV/0!</v>
      </c>
      <c r="P281" s="1078" t="e">
        <f t="shared" si="213"/>
        <v>#DIV/0!</v>
      </c>
      <c r="Q281" s="1078" t="e">
        <f t="shared" si="213"/>
        <v>#DIV/0!</v>
      </c>
      <c r="R281" s="1078" t="e">
        <f t="shared" si="213"/>
        <v>#DIV/0!</v>
      </c>
      <c r="S281" s="1078" t="e">
        <f t="shared" si="213"/>
        <v>#DIV/0!</v>
      </c>
      <c r="T281" s="1078" t="e">
        <f t="shared" si="213"/>
        <v>#DIV/0!</v>
      </c>
      <c r="U281" s="1078" t="e">
        <f t="shared" si="213"/>
        <v>#DIV/0!</v>
      </c>
      <c r="V281" s="1078" t="e">
        <f t="shared" si="213"/>
        <v>#DIV/0!</v>
      </c>
      <c r="W281" s="1078" t="e">
        <f t="shared" si="213"/>
        <v>#DIV/0!</v>
      </c>
      <c r="X281" s="1078" t="e">
        <f t="shared" si="213"/>
        <v>#DIV/0!</v>
      </c>
      <c r="Y281" s="1078" t="e">
        <f t="shared" si="213"/>
        <v>#DIV/0!</v>
      </c>
    </row>
    <row r="282" spans="1:25" s="1070" customFormat="1" hidden="1" x14ac:dyDescent="0.25">
      <c r="A282" s="1063"/>
    </row>
    <row r="283" spans="1:25" s="619" customFormat="1" hidden="1" x14ac:dyDescent="0.25">
      <c r="A283" s="1079"/>
      <c r="B283" s="762" t="s">
        <v>1570</v>
      </c>
      <c r="D283" s="763" t="s">
        <v>1743</v>
      </c>
      <c r="E283" s="636" t="s">
        <v>1493</v>
      </c>
      <c r="F283" s="636"/>
      <c r="G283" s="636"/>
      <c r="H283" s="636"/>
      <c r="I283" s="636"/>
      <c r="J283" s="636"/>
      <c r="K283" s="636"/>
      <c r="L283" s="636"/>
      <c r="M283" s="636"/>
      <c r="N283" s="636"/>
      <c r="O283" s="636"/>
      <c r="P283" s="636"/>
      <c r="Q283" s="636"/>
      <c r="R283" s="636"/>
      <c r="S283" s="636"/>
      <c r="T283" s="636"/>
      <c r="U283" s="636"/>
      <c r="V283" s="636"/>
      <c r="W283" s="636"/>
      <c r="X283" s="636"/>
      <c r="Y283" s="636"/>
    </row>
    <row r="284" spans="1:25" s="619" customFormat="1" hidden="1" x14ac:dyDescent="0.25">
      <c r="A284" s="1079"/>
      <c r="D284" s="763" t="s">
        <v>412</v>
      </c>
      <c r="E284" s="763" t="s">
        <v>10</v>
      </c>
      <c r="F284" s="763" t="s">
        <v>428</v>
      </c>
      <c r="G284" s="763" t="str">
        <f>G$136</f>
        <v>Cost in 2008 dollars</v>
      </c>
      <c r="H284" s="763" t="s">
        <v>583</v>
      </c>
      <c r="I284" s="763" t="s">
        <v>584</v>
      </c>
      <c r="J284" s="763" t="s">
        <v>585</v>
      </c>
      <c r="K284" s="763" t="s">
        <v>586</v>
      </c>
      <c r="L284" s="763" t="s">
        <v>413</v>
      </c>
      <c r="M284" s="763" t="s">
        <v>414</v>
      </c>
      <c r="N284" s="764" t="s">
        <v>592</v>
      </c>
      <c r="O284" s="764" t="s">
        <v>587</v>
      </c>
      <c r="P284" s="764" t="s">
        <v>588</v>
      </c>
      <c r="Q284" s="764" t="s">
        <v>589</v>
      </c>
      <c r="R284" s="764" t="s">
        <v>590</v>
      </c>
      <c r="S284" s="764" t="s">
        <v>591</v>
      </c>
      <c r="T284" s="764" t="s">
        <v>593</v>
      </c>
      <c r="U284" s="764" t="s">
        <v>594</v>
      </c>
      <c r="V284" s="764" t="s">
        <v>595</v>
      </c>
      <c r="W284" s="764" t="s">
        <v>596</v>
      </c>
      <c r="X284" s="764" t="s">
        <v>597</v>
      </c>
      <c r="Y284" s="764" t="s">
        <v>598</v>
      </c>
    </row>
    <row r="285" spans="1:25" s="619" customFormat="1" hidden="1" x14ac:dyDescent="0.25">
      <c r="A285" s="1079"/>
      <c r="C285" s="1080" t="s">
        <v>443</v>
      </c>
      <c r="D285" s="769" t="s">
        <v>602</v>
      </c>
      <c r="E285" s="636" t="s">
        <v>23</v>
      </c>
      <c r="F285" s="637">
        <f>J81</f>
        <v>0</v>
      </c>
      <c r="G285" s="637">
        <f>F285*$C$332</f>
        <v>0</v>
      </c>
      <c r="H285" s="765" t="e">
        <f>$G285*INDEX(tier_emp_mult, MATCH($D285, tier_emp_code,0), MATCH(State, R_emp, 0))/1000000</f>
        <v>#N/A</v>
      </c>
      <c r="I285" s="766" t="e">
        <f>$G285*INDEX(typeI_emp_mult, MATCH($D285, typeI_emp_code,0), MATCH(State, R_emp, 0))/1000000</f>
        <v>#N/A</v>
      </c>
      <c r="J285" s="766" t="e">
        <f>$G285*INDEX(typeII_emp_mult, MATCH($D285, typeII_emp_code,0), MATCH(State, R_emp, 0))/1000000</f>
        <v>#N/A</v>
      </c>
      <c r="K285" s="767" t="e">
        <f>H285</f>
        <v>#N/A</v>
      </c>
      <c r="L285" s="767" t="e">
        <f t="shared" ref="L285" si="214">I285-H285</f>
        <v>#N/A</v>
      </c>
      <c r="M285" s="767" t="e">
        <f t="shared" ref="M285" si="215">J285-I285</f>
        <v>#N/A</v>
      </c>
      <c r="N285" s="768" t="e">
        <f>$G285*INDEX(tier_earn_mult, MATCH($D285, tier_earn_code,0), MATCH(State, R_earn, 0))</f>
        <v>#N/A</v>
      </c>
      <c r="O285" s="768" t="e">
        <f>$G285*INDEX(typeI_earn_mult, MATCH($D285, typeI_earn_code,0), MATCH(State, R_earn, 0))</f>
        <v>#N/A</v>
      </c>
      <c r="P285" s="768" t="e">
        <f>$G285*INDEX(typeII_earn_mult, MATCH($D285, typeII_earn_code,0), MATCH(State, R_earn, 0))</f>
        <v>#N/A</v>
      </c>
      <c r="Q285" s="768" t="e">
        <f>N285</f>
        <v>#N/A</v>
      </c>
      <c r="R285" s="768" t="e">
        <f t="shared" ref="R285" si="216">O285-N285</f>
        <v>#N/A</v>
      </c>
      <c r="S285" s="768" t="e">
        <f t="shared" ref="S285" si="217">P285-O285</f>
        <v>#N/A</v>
      </c>
      <c r="T285" s="768" t="e">
        <f>$G285*INDEX(tier_out_mult, MATCH($D285, tier_out_code,0), MATCH(State, R_out, 0))</f>
        <v>#N/A</v>
      </c>
      <c r="U285" s="768" t="e">
        <f>$G285*INDEX(typeI_out_mult, MATCH($D285, typeI_out_code,0), MATCH(State, R_out, 0))</f>
        <v>#N/A</v>
      </c>
      <c r="V285" s="768" t="e">
        <f>$G285*INDEX(typeII_out_mult, MATCH($D285, typeII_out_code,0), MATCH(State, R_out, 0))</f>
        <v>#N/A</v>
      </c>
      <c r="W285" s="768" t="e">
        <f>T285</f>
        <v>#N/A</v>
      </c>
      <c r="X285" s="768" t="e">
        <f t="shared" ref="X285" si="218">U285-T285</f>
        <v>#N/A</v>
      </c>
      <c r="Y285" s="768" t="e">
        <f t="shared" ref="Y285" si="219">V285-U285</f>
        <v>#N/A</v>
      </c>
    </row>
    <row r="286" spans="1:25" s="1082" customFormat="1" hidden="1" x14ac:dyDescent="0.25">
      <c r="A286" s="1081"/>
      <c r="B286" s="619"/>
      <c r="C286" s="1080" t="s">
        <v>1770</v>
      </c>
      <c r="D286" s="636">
        <v>221200</v>
      </c>
      <c r="E286" s="636" t="s">
        <v>24</v>
      </c>
      <c r="F286" s="637">
        <f>J86</f>
        <v>0</v>
      </c>
      <c r="G286" s="637">
        <f>F286*$C$332</f>
        <v>0</v>
      </c>
      <c r="H286" s="765" t="e">
        <f>$G286*INDEX(tier_emp_mult, MATCH($D286, tier_emp_code,0), MATCH(State, R_emp, 0))/1000000</f>
        <v>#N/A</v>
      </c>
      <c r="I286" s="766" t="e">
        <f>$G286*INDEX(typeI_emp_mult, MATCH($D286, typeI_emp_code,0), MATCH(State, R_emp, 0))/1000000</f>
        <v>#N/A</v>
      </c>
      <c r="J286" s="766" t="e">
        <f>$G286*INDEX(typeII_emp_mult, MATCH($D286, typeII_emp_code,0), MATCH(State, R_emp, 0))/1000000</f>
        <v>#N/A</v>
      </c>
      <c r="K286" s="767" t="e">
        <f>H286</f>
        <v>#N/A</v>
      </c>
      <c r="L286" s="767" t="e">
        <f t="shared" ref="L286" si="220">I286-H286</f>
        <v>#N/A</v>
      </c>
      <c r="M286" s="767" t="e">
        <f t="shared" ref="M286" si="221">J286-I286</f>
        <v>#N/A</v>
      </c>
      <c r="N286" s="768" t="e">
        <f>$G286*INDEX(tier_earn_mult, MATCH($D286, tier_earn_code,0), MATCH(State, R_earn, 0))</f>
        <v>#N/A</v>
      </c>
      <c r="O286" s="768" t="e">
        <f>$G286*INDEX(typeI_earn_mult, MATCH($D286, typeI_earn_code,0), MATCH(State, R_earn, 0))</f>
        <v>#N/A</v>
      </c>
      <c r="P286" s="768" t="e">
        <f>$G286*INDEX(typeII_earn_mult, MATCH($D286, typeII_earn_code,0), MATCH(State, R_earn, 0))</f>
        <v>#N/A</v>
      </c>
      <c r="Q286" s="768" t="e">
        <f>N286</f>
        <v>#N/A</v>
      </c>
      <c r="R286" s="768" t="e">
        <f t="shared" ref="R286" si="222">O286-N286</f>
        <v>#N/A</v>
      </c>
      <c r="S286" s="768" t="e">
        <f t="shared" ref="S286" si="223">P286-O286</f>
        <v>#N/A</v>
      </c>
      <c r="T286" s="768" t="e">
        <f>$G286*INDEX(tier_out_mult, MATCH($D286, tier_out_code,0), MATCH(State, R_out, 0))</f>
        <v>#N/A</v>
      </c>
      <c r="U286" s="768" t="e">
        <f>$G286*INDEX(typeI_out_mult, MATCH($D286, typeI_out_code,0), MATCH(State, R_out, 0))</f>
        <v>#N/A</v>
      </c>
      <c r="V286" s="768" t="e">
        <f>$G286*INDEX(typeII_out_mult, MATCH($D286, typeII_out_code,0), MATCH(State, R_out, 0))</f>
        <v>#N/A</v>
      </c>
      <c r="W286" s="768" t="e">
        <f>T286</f>
        <v>#N/A</v>
      </c>
      <c r="X286" s="768" t="e">
        <f t="shared" ref="X286" si="224">U286-T286</f>
        <v>#N/A</v>
      </c>
      <c r="Y286" s="768" t="e">
        <f t="shared" ref="Y286" si="225">V286-U286</f>
        <v>#N/A</v>
      </c>
    </row>
    <row r="287" spans="1:25" s="1082" customFormat="1" hidden="1" x14ac:dyDescent="0.25">
      <c r="A287" s="1081"/>
    </row>
    <row r="288" spans="1:25" s="1082" customFormat="1" hidden="1" x14ac:dyDescent="0.25">
      <c r="A288" s="1081"/>
      <c r="C288" s="1080" t="s">
        <v>443</v>
      </c>
      <c r="E288" s="636">
        <v>2015</v>
      </c>
      <c r="F288" s="1083">
        <f t="shared" ref="F288:Y288" si="226">$H324*F$285</f>
        <v>0</v>
      </c>
      <c r="G288" s="1083">
        <f t="shared" si="226"/>
        <v>0</v>
      </c>
      <c r="H288" s="639" t="e">
        <f t="shared" si="226"/>
        <v>#N/A</v>
      </c>
      <c r="I288" s="639" t="e">
        <f t="shared" si="226"/>
        <v>#N/A</v>
      </c>
      <c r="J288" s="639" t="e">
        <f t="shared" si="226"/>
        <v>#N/A</v>
      </c>
      <c r="K288" s="639" t="e">
        <f t="shared" si="226"/>
        <v>#N/A</v>
      </c>
      <c r="L288" s="639" t="e">
        <f t="shared" si="226"/>
        <v>#N/A</v>
      </c>
      <c r="M288" s="639" t="e">
        <f t="shared" si="226"/>
        <v>#N/A</v>
      </c>
      <c r="N288" s="1083" t="e">
        <f t="shared" si="226"/>
        <v>#N/A</v>
      </c>
      <c r="O288" s="1083" t="e">
        <f t="shared" si="226"/>
        <v>#N/A</v>
      </c>
      <c r="P288" s="1083" t="e">
        <f t="shared" si="226"/>
        <v>#N/A</v>
      </c>
      <c r="Q288" s="1083" t="e">
        <f t="shared" si="226"/>
        <v>#N/A</v>
      </c>
      <c r="R288" s="1083" t="e">
        <f t="shared" si="226"/>
        <v>#N/A</v>
      </c>
      <c r="S288" s="1083" t="e">
        <f t="shared" si="226"/>
        <v>#N/A</v>
      </c>
      <c r="T288" s="1083" t="e">
        <f t="shared" si="226"/>
        <v>#N/A</v>
      </c>
      <c r="U288" s="1083" t="e">
        <f t="shared" si="226"/>
        <v>#N/A</v>
      </c>
      <c r="V288" s="1083" t="e">
        <f t="shared" si="226"/>
        <v>#N/A</v>
      </c>
      <c r="W288" s="1083" t="e">
        <f t="shared" si="226"/>
        <v>#N/A</v>
      </c>
      <c r="X288" s="1083" t="e">
        <f t="shared" si="226"/>
        <v>#N/A</v>
      </c>
      <c r="Y288" s="1083" t="e">
        <f t="shared" si="226"/>
        <v>#N/A</v>
      </c>
    </row>
    <row r="289" spans="1:25" s="1082" customFormat="1" hidden="1" x14ac:dyDescent="0.25">
      <c r="A289" s="1081"/>
      <c r="C289" s="1080" t="s">
        <v>443</v>
      </c>
      <c r="E289" s="636">
        <v>2016</v>
      </c>
      <c r="F289" s="1083">
        <f t="shared" ref="F289:Y289" si="227">$H325*F$285</f>
        <v>0</v>
      </c>
      <c r="G289" s="1083">
        <f t="shared" si="227"/>
        <v>0</v>
      </c>
      <c r="H289" s="639" t="e">
        <f t="shared" si="227"/>
        <v>#N/A</v>
      </c>
      <c r="I289" s="639" t="e">
        <f t="shared" si="227"/>
        <v>#N/A</v>
      </c>
      <c r="J289" s="639" t="e">
        <f t="shared" si="227"/>
        <v>#N/A</v>
      </c>
      <c r="K289" s="639" t="e">
        <f t="shared" si="227"/>
        <v>#N/A</v>
      </c>
      <c r="L289" s="639" t="e">
        <f t="shared" si="227"/>
        <v>#N/A</v>
      </c>
      <c r="M289" s="639" t="e">
        <f t="shared" si="227"/>
        <v>#N/A</v>
      </c>
      <c r="N289" s="1083" t="e">
        <f t="shared" si="227"/>
        <v>#N/A</v>
      </c>
      <c r="O289" s="1083" t="e">
        <f t="shared" si="227"/>
        <v>#N/A</v>
      </c>
      <c r="P289" s="1083" t="e">
        <f t="shared" si="227"/>
        <v>#N/A</v>
      </c>
      <c r="Q289" s="1083" t="e">
        <f t="shared" si="227"/>
        <v>#N/A</v>
      </c>
      <c r="R289" s="1083" t="e">
        <f t="shared" si="227"/>
        <v>#N/A</v>
      </c>
      <c r="S289" s="1083" t="e">
        <f t="shared" si="227"/>
        <v>#N/A</v>
      </c>
      <c r="T289" s="1083" t="e">
        <f t="shared" si="227"/>
        <v>#N/A</v>
      </c>
      <c r="U289" s="1083" t="e">
        <f t="shared" si="227"/>
        <v>#N/A</v>
      </c>
      <c r="V289" s="1083" t="e">
        <f t="shared" si="227"/>
        <v>#N/A</v>
      </c>
      <c r="W289" s="1083" t="e">
        <f t="shared" si="227"/>
        <v>#N/A</v>
      </c>
      <c r="X289" s="1083" t="e">
        <f t="shared" si="227"/>
        <v>#N/A</v>
      </c>
      <c r="Y289" s="1083" t="e">
        <f t="shared" si="227"/>
        <v>#N/A</v>
      </c>
    </row>
    <row r="290" spans="1:25" s="1082" customFormat="1" hidden="1" x14ac:dyDescent="0.25">
      <c r="A290" s="1081"/>
      <c r="C290" s="1080" t="s">
        <v>443</v>
      </c>
      <c r="E290" s="636">
        <v>2017</v>
      </c>
      <c r="F290" s="1083">
        <f t="shared" ref="F290:Y290" si="228">$H326*F$285</f>
        <v>0</v>
      </c>
      <c r="G290" s="1083">
        <f t="shared" si="228"/>
        <v>0</v>
      </c>
      <c r="H290" s="639" t="e">
        <f t="shared" si="228"/>
        <v>#N/A</v>
      </c>
      <c r="I290" s="639" t="e">
        <f t="shared" si="228"/>
        <v>#N/A</v>
      </c>
      <c r="J290" s="639" t="e">
        <f t="shared" si="228"/>
        <v>#N/A</v>
      </c>
      <c r="K290" s="639" t="e">
        <f t="shared" si="228"/>
        <v>#N/A</v>
      </c>
      <c r="L290" s="639" t="e">
        <f t="shared" si="228"/>
        <v>#N/A</v>
      </c>
      <c r="M290" s="639" t="e">
        <f t="shared" si="228"/>
        <v>#N/A</v>
      </c>
      <c r="N290" s="1083" t="e">
        <f t="shared" si="228"/>
        <v>#N/A</v>
      </c>
      <c r="O290" s="1083" t="e">
        <f t="shared" si="228"/>
        <v>#N/A</v>
      </c>
      <c r="P290" s="1083" t="e">
        <f t="shared" si="228"/>
        <v>#N/A</v>
      </c>
      <c r="Q290" s="1083" t="e">
        <f t="shared" si="228"/>
        <v>#N/A</v>
      </c>
      <c r="R290" s="1083" t="e">
        <f t="shared" si="228"/>
        <v>#N/A</v>
      </c>
      <c r="S290" s="1083" t="e">
        <f t="shared" si="228"/>
        <v>#N/A</v>
      </c>
      <c r="T290" s="1083" t="e">
        <f t="shared" si="228"/>
        <v>#N/A</v>
      </c>
      <c r="U290" s="1083" t="e">
        <f t="shared" si="228"/>
        <v>#N/A</v>
      </c>
      <c r="V290" s="1083" t="e">
        <f t="shared" si="228"/>
        <v>#N/A</v>
      </c>
      <c r="W290" s="1083" t="e">
        <f t="shared" si="228"/>
        <v>#N/A</v>
      </c>
      <c r="X290" s="1083" t="e">
        <f t="shared" si="228"/>
        <v>#N/A</v>
      </c>
      <c r="Y290" s="1083" t="e">
        <f t="shared" si="228"/>
        <v>#N/A</v>
      </c>
    </row>
    <row r="291" spans="1:25" s="1082" customFormat="1" hidden="1" x14ac:dyDescent="0.25">
      <c r="A291" s="1081"/>
      <c r="C291" s="1080" t="s">
        <v>443</v>
      </c>
      <c r="E291" s="636">
        <v>2018</v>
      </c>
      <c r="F291" s="1083">
        <f t="shared" ref="F291:Y291" si="229">$H327*F$285</f>
        <v>0</v>
      </c>
      <c r="G291" s="1083">
        <f t="shared" si="229"/>
        <v>0</v>
      </c>
      <c r="H291" s="639" t="e">
        <f t="shared" si="229"/>
        <v>#N/A</v>
      </c>
      <c r="I291" s="639" t="e">
        <f t="shared" si="229"/>
        <v>#N/A</v>
      </c>
      <c r="J291" s="639" t="e">
        <f t="shared" si="229"/>
        <v>#N/A</v>
      </c>
      <c r="K291" s="639" t="e">
        <f t="shared" si="229"/>
        <v>#N/A</v>
      </c>
      <c r="L291" s="639" t="e">
        <f t="shared" si="229"/>
        <v>#N/A</v>
      </c>
      <c r="M291" s="639" t="e">
        <f t="shared" si="229"/>
        <v>#N/A</v>
      </c>
      <c r="N291" s="1083" t="e">
        <f t="shared" si="229"/>
        <v>#N/A</v>
      </c>
      <c r="O291" s="1083" t="e">
        <f t="shared" si="229"/>
        <v>#N/A</v>
      </c>
      <c r="P291" s="1083" t="e">
        <f t="shared" si="229"/>
        <v>#N/A</v>
      </c>
      <c r="Q291" s="1083" t="e">
        <f t="shared" si="229"/>
        <v>#N/A</v>
      </c>
      <c r="R291" s="1083" t="e">
        <f t="shared" si="229"/>
        <v>#N/A</v>
      </c>
      <c r="S291" s="1083" t="e">
        <f t="shared" si="229"/>
        <v>#N/A</v>
      </c>
      <c r="T291" s="1083" t="e">
        <f t="shared" si="229"/>
        <v>#N/A</v>
      </c>
      <c r="U291" s="1083" t="e">
        <f t="shared" si="229"/>
        <v>#N/A</v>
      </c>
      <c r="V291" s="1083" t="e">
        <f t="shared" si="229"/>
        <v>#N/A</v>
      </c>
      <c r="W291" s="1083" t="e">
        <f t="shared" si="229"/>
        <v>#N/A</v>
      </c>
      <c r="X291" s="1083" t="e">
        <f t="shared" si="229"/>
        <v>#N/A</v>
      </c>
      <c r="Y291" s="1083" t="e">
        <f t="shared" si="229"/>
        <v>#N/A</v>
      </c>
    </row>
    <row r="292" spans="1:25" s="1082" customFormat="1" hidden="1" x14ac:dyDescent="0.25">
      <c r="A292" s="1081"/>
      <c r="C292" s="1080" t="s">
        <v>443</v>
      </c>
      <c r="E292" s="636">
        <v>2019</v>
      </c>
      <c r="F292" s="1083">
        <f t="shared" ref="F292:Y292" si="230">$H328*F$285</f>
        <v>0</v>
      </c>
      <c r="G292" s="1083">
        <f t="shared" si="230"/>
        <v>0</v>
      </c>
      <c r="H292" s="639" t="e">
        <f t="shared" si="230"/>
        <v>#N/A</v>
      </c>
      <c r="I292" s="639" t="e">
        <f t="shared" si="230"/>
        <v>#N/A</v>
      </c>
      <c r="J292" s="639" t="e">
        <f t="shared" si="230"/>
        <v>#N/A</v>
      </c>
      <c r="K292" s="639" t="e">
        <f t="shared" si="230"/>
        <v>#N/A</v>
      </c>
      <c r="L292" s="639" t="e">
        <f t="shared" si="230"/>
        <v>#N/A</v>
      </c>
      <c r="M292" s="639" t="e">
        <f t="shared" si="230"/>
        <v>#N/A</v>
      </c>
      <c r="N292" s="1083" t="e">
        <f t="shared" si="230"/>
        <v>#N/A</v>
      </c>
      <c r="O292" s="1083" t="e">
        <f t="shared" si="230"/>
        <v>#N/A</v>
      </c>
      <c r="P292" s="1083" t="e">
        <f t="shared" si="230"/>
        <v>#N/A</v>
      </c>
      <c r="Q292" s="1083" t="e">
        <f t="shared" si="230"/>
        <v>#N/A</v>
      </c>
      <c r="R292" s="1083" t="e">
        <f t="shared" si="230"/>
        <v>#N/A</v>
      </c>
      <c r="S292" s="1083" t="e">
        <f t="shared" si="230"/>
        <v>#N/A</v>
      </c>
      <c r="T292" s="1083" t="e">
        <f t="shared" si="230"/>
        <v>#N/A</v>
      </c>
      <c r="U292" s="1083" t="e">
        <f t="shared" si="230"/>
        <v>#N/A</v>
      </c>
      <c r="V292" s="1083" t="e">
        <f t="shared" si="230"/>
        <v>#N/A</v>
      </c>
      <c r="W292" s="1083" t="e">
        <f t="shared" si="230"/>
        <v>#N/A</v>
      </c>
      <c r="X292" s="1083" t="e">
        <f t="shared" si="230"/>
        <v>#N/A</v>
      </c>
      <c r="Y292" s="1083" t="e">
        <f t="shared" si="230"/>
        <v>#N/A</v>
      </c>
    </row>
    <row r="293" spans="1:25" s="1082" customFormat="1" hidden="1" x14ac:dyDescent="0.25">
      <c r="A293" s="1081"/>
      <c r="C293" s="1080" t="s">
        <v>443</v>
      </c>
      <c r="E293" s="636">
        <v>2020</v>
      </c>
      <c r="F293" s="1083">
        <f t="shared" ref="F293:Y293" si="231">$H329*F$285</f>
        <v>0</v>
      </c>
      <c r="G293" s="1083">
        <f t="shared" si="231"/>
        <v>0</v>
      </c>
      <c r="H293" s="639" t="e">
        <f t="shared" si="231"/>
        <v>#N/A</v>
      </c>
      <c r="I293" s="639" t="e">
        <f t="shared" si="231"/>
        <v>#N/A</v>
      </c>
      <c r="J293" s="639" t="e">
        <f t="shared" si="231"/>
        <v>#N/A</v>
      </c>
      <c r="K293" s="639" t="e">
        <f t="shared" si="231"/>
        <v>#N/A</v>
      </c>
      <c r="L293" s="639" t="e">
        <f t="shared" si="231"/>
        <v>#N/A</v>
      </c>
      <c r="M293" s="639" t="e">
        <f t="shared" si="231"/>
        <v>#N/A</v>
      </c>
      <c r="N293" s="1083" t="e">
        <f t="shared" si="231"/>
        <v>#N/A</v>
      </c>
      <c r="O293" s="1083" t="e">
        <f t="shared" si="231"/>
        <v>#N/A</v>
      </c>
      <c r="P293" s="1083" t="e">
        <f t="shared" si="231"/>
        <v>#N/A</v>
      </c>
      <c r="Q293" s="1083" t="e">
        <f t="shared" si="231"/>
        <v>#N/A</v>
      </c>
      <c r="R293" s="1083" t="e">
        <f t="shared" si="231"/>
        <v>#N/A</v>
      </c>
      <c r="S293" s="1083" t="e">
        <f t="shared" si="231"/>
        <v>#N/A</v>
      </c>
      <c r="T293" s="1083" t="e">
        <f t="shared" si="231"/>
        <v>#N/A</v>
      </c>
      <c r="U293" s="1083" t="e">
        <f t="shared" si="231"/>
        <v>#N/A</v>
      </c>
      <c r="V293" s="1083" t="e">
        <f t="shared" si="231"/>
        <v>#N/A</v>
      </c>
      <c r="W293" s="1083" t="e">
        <f t="shared" si="231"/>
        <v>#N/A</v>
      </c>
      <c r="X293" s="1083" t="e">
        <f t="shared" si="231"/>
        <v>#N/A</v>
      </c>
      <c r="Y293" s="1083" t="e">
        <f t="shared" si="231"/>
        <v>#N/A</v>
      </c>
    </row>
    <row r="294" spans="1:25" s="1082" customFormat="1" hidden="1" x14ac:dyDescent="0.25">
      <c r="A294" s="1081"/>
      <c r="H294" s="1084"/>
      <c r="I294" s="1084"/>
      <c r="J294" s="1084"/>
      <c r="K294" s="1084"/>
      <c r="L294" s="1084"/>
      <c r="M294" s="1084"/>
    </row>
    <row r="295" spans="1:25" s="1082" customFormat="1" hidden="1" x14ac:dyDescent="0.25">
      <c r="A295" s="1081"/>
      <c r="C295" s="1080" t="s">
        <v>1770</v>
      </c>
      <c r="E295" s="636">
        <v>2015</v>
      </c>
      <c r="F295" s="1083">
        <f t="shared" ref="F295:Y295" si="232">$H324*F$286</f>
        <v>0</v>
      </c>
      <c r="G295" s="1083">
        <f t="shared" si="232"/>
        <v>0</v>
      </c>
      <c r="H295" s="639" t="e">
        <f t="shared" si="232"/>
        <v>#N/A</v>
      </c>
      <c r="I295" s="639" t="e">
        <f t="shared" si="232"/>
        <v>#N/A</v>
      </c>
      <c r="J295" s="639" t="e">
        <f t="shared" si="232"/>
        <v>#N/A</v>
      </c>
      <c r="K295" s="639" t="e">
        <f t="shared" si="232"/>
        <v>#N/A</v>
      </c>
      <c r="L295" s="639" t="e">
        <f t="shared" si="232"/>
        <v>#N/A</v>
      </c>
      <c r="M295" s="639" t="e">
        <f t="shared" si="232"/>
        <v>#N/A</v>
      </c>
      <c r="N295" s="1083" t="e">
        <f t="shared" si="232"/>
        <v>#N/A</v>
      </c>
      <c r="O295" s="1083" t="e">
        <f t="shared" si="232"/>
        <v>#N/A</v>
      </c>
      <c r="P295" s="1083" t="e">
        <f t="shared" si="232"/>
        <v>#N/A</v>
      </c>
      <c r="Q295" s="1083" t="e">
        <f t="shared" si="232"/>
        <v>#N/A</v>
      </c>
      <c r="R295" s="1083" t="e">
        <f t="shared" si="232"/>
        <v>#N/A</v>
      </c>
      <c r="S295" s="1083" t="e">
        <f t="shared" si="232"/>
        <v>#N/A</v>
      </c>
      <c r="T295" s="1083" t="e">
        <f t="shared" si="232"/>
        <v>#N/A</v>
      </c>
      <c r="U295" s="1083" t="e">
        <f t="shared" si="232"/>
        <v>#N/A</v>
      </c>
      <c r="V295" s="1083" t="e">
        <f t="shared" si="232"/>
        <v>#N/A</v>
      </c>
      <c r="W295" s="1083" t="e">
        <f t="shared" si="232"/>
        <v>#N/A</v>
      </c>
      <c r="X295" s="1083" t="e">
        <f t="shared" si="232"/>
        <v>#N/A</v>
      </c>
      <c r="Y295" s="1083" t="e">
        <f t="shared" si="232"/>
        <v>#N/A</v>
      </c>
    </row>
    <row r="296" spans="1:25" s="1082" customFormat="1" hidden="1" x14ac:dyDescent="0.25">
      <c r="A296" s="1081"/>
      <c r="C296" s="1080" t="s">
        <v>1770</v>
      </c>
      <c r="E296" s="636">
        <v>2016</v>
      </c>
      <c r="F296" s="1083">
        <f t="shared" ref="F296:Y296" si="233">$H325*F$286</f>
        <v>0</v>
      </c>
      <c r="G296" s="1083">
        <f t="shared" si="233"/>
        <v>0</v>
      </c>
      <c r="H296" s="639" t="e">
        <f t="shared" si="233"/>
        <v>#N/A</v>
      </c>
      <c r="I296" s="639" t="e">
        <f t="shared" si="233"/>
        <v>#N/A</v>
      </c>
      <c r="J296" s="639" t="e">
        <f t="shared" si="233"/>
        <v>#N/A</v>
      </c>
      <c r="K296" s="639" t="e">
        <f t="shared" si="233"/>
        <v>#N/A</v>
      </c>
      <c r="L296" s="639" t="e">
        <f t="shared" si="233"/>
        <v>#N/A</v>
      </c>
      <c r="M296" s="639" t="e">
        <f t="shared" si="233"/>
        <v>#N/A</v>
      </c>
      <c r="N296" s="1083" t="e">
        <f t="shared" si="233"/>
        <v>#N/A</v>
      </c>
      <c r="O296" s="1083" t="e">
        <f t="shared" si="233"/>
        <v>#N/A</v>
      </c>
      <c r="P296" s="1083" t="e">
        <f t="shared" si="233"/>
        <v>#N/A</v>
      </c>
      <c r="Q296" s="1083" t="e">
        <f t="shared" si="233"/>
        <v>#N/A</v>
      </c>
      <c r="R296" s="1083" t="e">
        <f t="shared" si="233"/>
        <v>#N/A</v>
      </c>
      <c r="S296" s="1083" t="e">
        <f t="shared" si="233"/>
        <v>#N/A</v>
      </c>
      <c r="T296" s="1083" t="e">
        <f t="shared" si="233"/>
        <v>#N/A</v>
      </c>
      <c r="U296" s="1083" t="e">
        <f t="shared" si="233"/>
        <v>#N/A</v>
      </c>
      <c r="V296" s="1083" t="e">
        <f t="shared" si="233"/>
        <v>#N/A</v>
      </c>
      <c r="W296" s="1083" t="e">
        <f t="shared" si="233"/>
        <v>#N/A</v>
      </c>
      <c r="X296" s="1083" t="e">
        <f t="shared" si="233"/>
        <v>#N/A</v>
      </c>
      <c r="Y296" s="1083" t="e">
        <f t="shared" si="233"/>
        <v>#N/A</v>
      </c>
    </row>
    <row r="297" spans="1:25" s="1082" customFormat="1" hidden="1" x14ac:dyDescent="0.25">
      <c r="A297" s="1081"/>
      <c r="C297" s="1080" t="s">
        <v>1770</v>
      </c>
      <c r="E297" s="636">
        <v>2017</v>
      </c>
      <c r="F297" s="1083">
        <f t="shared" ref="F297:Y297" si="234">$H326*F$286</f>
        <v>0</v>
      </c>
      <c r="G297" s="1083">
        <f t="shared" si="234"/>
        <v>0</v>
      </c>
      <c r="H297" s="639" t="e">
        <f t="shared" si="234"/>
        <v>#N/A</v>
      </c>
      <c r="I297" s="639" t="e">
        <f t="shared" si="234"/>
        <v>#N/A</v>
      </c>
      <c r="J297" s="639" t="e">
        <f t="shared" si="234"/>
        <v>#N/A</v>
      </c>
      <c r="K297" s="639" t="e">
        <f t="shared" si="234"/>
        <v>#N/A</v>
      </c>
      <c r="L297" s="639" t="e">
        <f t="shared" si="234"/>
        <v>#N/A</v>
      </c>
      <c r="M297" s="639" t="e">
        <f t="shared" si="234"/>
        <v>#N/A</v>
      </c>
      <c r="N297" s="1083" t="e">
        <f t="shared" si="234"/>
        <v>#N/A</v>
      </c>
      <c r="O297" s="1083" t="e">
        <f t="shared" si="234"/>
        <v>#N/A</v>
      </c>
      <c r="P297" s="1083" t="e">
        <f t="shared" si="234"/>
        <v>#N/A</v>
      </c>
      <c r="Q297" s="1083" t="e">
        <f t="shared" si="234"/>
        <v>#N/A</v>
      </c>
      <c r="R297" s="1083" t="e">
        <f t="shared" si="234"/>
        <v>#N/A</v>
      </c>
      <c r="S297" s="1083" t="e">
        <f t="shared" si="234"/>
        <v>#N/A</v>
      </c>
      <c r="T297" s="1083" t="e">
        <f t="shared" si="234"/>
        <v>#N/A</v>
      </c>
      <c r="U297" s="1083" t="e">
        <f t="shared" si="234"/>
        <v>#N/A</v>
      </c>
      <c r="V297" s="1083" t="e">
        <f t="shared" si="234"/>
        <v>#N/A</v>
      </c>
      <c r="W297" s="1083" t="e">
        <f t="shared" si="234"/>
        <v>#N/A</v>
      </c>
      <c r="X297" s="1083" t="e">
        <f t="shared" si="234"/>
        <v>#N/A</v>
      </c>
      <c r="Y297" s="1083" t="e">
        <f t="shared" si="234"/>
        <v>#N/A</v>
      </c>
    </row>
    <row r="298" spans="1:25" s="1082" customFormat="1" hidden="1" x14ac:dyDescent="0.25">
      <c r="A298" s="1081"/>
      <c r="C298" s="1080" t="s">
        <v>1770</v>
      </c>
      <c r="E298" s="636">
        <v>2018</v>
      </c>
      <c r="F298" s="1083">
        <f t="shared" ref="F298:Y298" si="235">$H327*F$286</f>
        <v>0</v>
      </c>
      <c r="G298" s="1083">
        <f t="shared" si="235"/>
        <v>0</v>
      </c>
      <c r="H298" s="639" t="e">
        <f t="shared" si="235"/>
        <v>#N/A</v>
      </c>
      <c r="I298" s="639" t="e">
        <f t="shared" si="235"/>
        <v>#N/A</v>
      </c>
      <c r="J298" s="639" t="e">
        <f t="shared" si="235"/>
        <v>#N/A</v>
      </c>
      <c r="K298" s="639" t="e">
        <f t="shared" si="235"/>
        <v>#N/A</v>
      </c>
      <c r="L298" s="639" t="e">
        <f t="shared" si="235"/>
        <v>#N/A</v>
      </c>
      <c r="M298" s="639" t="e">
        <f t="shared" si="235"/>
        <v>#N/A</v>
      </c>
      <c r="N298" s="1083" t="e">
        <f t="shared" si="235"/>
        <v>#N/A</v>
      </c>
      <c r="O298" s="1083" t="e">
        <f t="shared" si="235"/>
        <v>#N/A</v>
      </c>
      <c r="P298" s="1083" t="e">
        <f t="shared" si="235"/>
        <v>#N/A</v>
      </c>
      <c r="Q298" s="1083" t="e">
        <f t="shared" si="235"/>
        <v>#N/A</v>
      </c>
      <c r="R298" s="1083" t="e">
        <f t="shared" si="235"/>
        <v>#N/A</v>
      </c>
      <c r="S298" s="1083" t="e">
        <f t="shared" si="235"/>
        <v>#N/A</v>
      </c>
      <c r="T298" s="1083" t="e">
        <f t="shared" si="235"/>
        <v>#N/A</v>
      </c>
      <c r="U298" s="1083" t="e">
        <f t="shared" si="235"/>
        <v>#N/A</v>
      </c>
      <c r="V298" s="1083" t="e">
        <f t="shared" si="235"/>
        <v>#N/A</v>
      </c>
      <c r="W298" s="1083" t="e">
        <f t="shared" si="235"/>
        <v>#N/A</v>
      </c>
      <c r="X298" s="1083" t="e">
        <f t="shared" si="235"/>
        <v>#N/A</v>
      </c>
      <c r="Y298" s="1083" t="e">
        <f t="shared" si="235"/>
        <v>#N/A</v>
      </c>
    </row>
    <row r="299" spans="1:25" s="1082" customFormat="1" hidden="1" x14ac:dyDescent="0.25">
      <c r="A299" s="1081"/>
      <c r="C299" s="1080" t="s">
        <v>1770</v>
      </c>
      <c r="E299" s="636">
        <v>2019</v>
      </c>
      <c r="F299" s="1083">
        <f t="shared" ref="F299:Y299" si="236">$H328*F$286</f>
        <v>0</v>
      </c>
      <c r="G299" s="1083">
        <f t="shared" si="236"/>
        <v>0</v>
      </c>
      <c r="H299" s="639" t="e">
        <f t="shared" si="236"/>
        <v>#N/A</v>
      </c>
      <c r="I299" s="639" t="e">
        <f t="shared" si="236"/>
        <v>#N/A</v>
      </c>
      <c r="J299" s="639" t="e">
        <f t="shared" si="236"/>
        <v>#N/A</v>
      </c>
      <c r="K299" s="639" t="e">
        <f t="shared" si="236"/>
        <v>#N/A</v>
      </c>
      <c r="L299" s="639" t="e">
        <f t="shared" si="236"/>
        <v>#N/A</v>
      </c>
      <c r="M299" s="639" t="e">
        <f t="shared" si="236"/>
        <v>#N/A</v>
      </c>
      <c r="N299" s="1083" t="e">
        <f t="shared" si="236"/>
        <v>#N/A</v>
      </c>
      <c r="O299" s="1083" t="e">
        <f t="shared" si="236"/>
        <v>#N/A</v>
      </c>
      <c r="P299" s="1083" t="e">
        <f t="shared" si="236"/>
        <v>#N/A</v>
      </c>
      <c r="Q299" s="1083" t="e">
        <f t="shared" si="236"/>
        <v>#N/A</v>
      </c>
      <c r="R299" s="1083" t="e">
        <f t="shared" si="236"/>
        <v>#N/A</v>
      </c>
      <c r="S299" s="1083" t="e">
        <f t="shared" si="236"/>
        <v>#N/A</v>
      </c>
      <c r="T299" s="1083" t="e">
        <f t="shared" si="236"/>
        <v>#N/A</v>
      </c>
      <c r="U299" s="1083" t="e">
        <f t="shared" si="236"/>
        <v>#N/A</v>
      </c>
      <c r="V299" s="1083" t="e">
        <f t="shared" si="236"/>
        <v>#N/A</v>
      </c>
      <c r="W299" s="1083" t="e">
        <f t="shared" si="236"/>
        <v>#N/A</v>
      </c>
      <c r="X299" s="1083" t="e">
        <f t="shared" si="236"/>
        <v>#N/A</v>
      </c>
      <c r="Y299" s="1083" t="e">
        <f t="shared" si="236"/>
        <v>#N/A</v>
      </c>
    </row>
    <row r="300" spans="1:25" s="1082" customFormat="1" hidden="1" x14ac:dyDescent="0.25">
      <c r="A300" s="1081"/>
      <c r="C300" s="1080" t="s">
        <v>1770</v>
      </c>
      <c r="E300" s="636">
        <v>2020</v>
      </c>
      <c r="F300" s="1083">
        <f t="shared" ref="F300:Y300" si="237">$H329*F$286</f>
        <v>0</v>
      </c>
      <c r="G300" s="1083">
        <f t="shared" si="237"/>
        <v>0</v>
      </c>
      <c r="H300" s="639" t="e">
        <f t="shared" si="237"/>
        <v>#N/A</v>
      </c>
      <c r="I300" s="639" t="e">
        <f t="shared" si="237"/>
        <v>#N/A</v>
      </c>
      <c r="J300" s="639" t="e">
        <f t="shared" si="237"/>
        <v>#N/A</v>
      </c>
      <c r="K300" s="639" t="e">
        <f t="shared" si="237"/>
        <v>#N/A</v>
      </c>
      <c r="L300" s="639" t="e">
        <f t="shared" si="237"/>
        <v>#N/A</v>
      </c>
      <c r="M300" s="639" t="e">
        <f t="shared" si="237"/>
        <v>#N/A</v>
      </c>
      <c r="N300" s="1083" t="e">
        <f t="shared" si="237"/>
        <v>#N/A</v>
      </c>
      <c r="O300" s="1083" t="e">
        <f t="shared" si="237"/>
        <v>#N/A</v>
      </c>
      <c r="P300" s="1083" t="e">
        <f t="shared" si="237"/>
        <v>#N/A</v>
      </c>
      <c r="Q300" s="1083" t="e">
        <f t="shared" si="237"/>
        <v>#N/A</v>
      </c>
      <c r="R300" s="1083" t="e">
        <f t="shared" si="237"/>
        <v>#N/A</v>
      </c>
      <c r="S300" s="1083" t="e">
        <f t="shared" si="237"/>
        <v>#N/A</v>
      </c>
      <c r="T300" s="1083" t="e">
        <f t="shared" si="237"/>
        <v>#N/A</v>
      </c>
      <c r="U300" s="1083" t="e">
        <f t="shared" si="237"/>
        <v>#N/A</v>
      </c>
      <c r="V300" s="1083" t="e">
        <f t="shared" si="237"/>
        <v>#N/A</v>
      </c>
      <c r="W300" s="1083" t="e">
        <f t="shared" si="237"/>
        <v>#N/A</v>
      </c>
      <c r="X300" s="1083" t="e">
        <f t="shared" si="237"/>
        <v>#N/A</v>
      </c>
      <c r="Y300" s="1083" t="e">
        <f t="shared" si="237"/>
        <v>#N/A</v>
      </c>
    </row>
    <row r="301" spans="1:25" s="1070" customFormat="1" hidden="1" x14ac:dyDescent="0.25">
      <c r="A301" s="1063"/>
    </row>
    <row r="302" spans="1:25" s="1070" customFormat="1" hidden="1" x14ac:dyDescent="0.25">
      <c r="A302" s="1063"/>
    </row>
    <row r="303" spans="1:25" hidden="1" x14ac:dyDescent="0.25"/>
    <row r="304" spans="1:25" hidden="1" x14ac:dyDescent="0.25"/>
    <row r="305" spans="2:7" hidden="1" x14ac:dyDescent="0.25"/>
    <row r="306" spans="2:7" hidden="1" x14ac:dyDescent="0.25">
      <c r="B306" s="1896" t="s">
        <v>1943</v>
      </c>
      <c r="C306" s="1233"/>
      <c r="D306" s="1233"/>
      <c r="E306" s="1085"/>
      <c r="F306" s="1198"/>
      <c r="G306" s="1198"/>
    </row>
    <row r="307" spans="2:7" hidden="1" x14ac:dyDescent="0.25">
      <c r="B307" s="1085"/>
      <c r="C307" s="1231" t="s">
        <v>1936</v>
      </c>
      <c r="D307" s="1232">
        <f>Costs!F39</f>
        <v>1</v>
      </c>
      <c r="E307" s="1085"/>
      <c r="F307" s="1894" t="s">
        <v>2195</v>
      </c>
      <c r="G307" s="1895" t="s">
        <v>2194</v>
      </c>
    </row>
    <row r="308" spans="2:7" hidden="1" x14ac:dyDescent="0.25">
      <c r="B308" s="1198"/>
      <c r="C308" s="242"/>
      <c r="D308" s="244" t="s">
        <v>2196</v>
      </c>
      <c r="E308" s="244" t="s">
        <v>2197</v>
      </c>
      <c r="F308" s="727" t="s">
        <v>1935</v>
      </c>
      <c r="G308" s="244" t="s">
        <v>1933</v>
      </c>
    </row>
    <row r="309" spans="2:7" hidden="1" x14ac:dyDescent="0.25">
      <c r="B309" s="1198"/>
      <c r="C309" s="321">
        <v>2010</v>
      </c>
      <c r="D309" s="244"/>
      <c r="E309" s="1306">
        <f>Costs!F37</f>
        <v>0</v>
      </c>
      <c r="F309" s="728">
        <f t="shared" ref="F309:F319" si="238">(MAX(D309,E309))/$D$307</f>
        <v>0</v>
      </c>
      <c r="G309" s="1306">
        <f>Costs!F48</f>
        <v>0</v>
      </c>
    </row>
    <row r="310" spans="2:7" hidden="1" x14ac:dyDescent="0.25">
      <c r="B310" s="1198"/>
      <c r="C310" s="321">
        <v>2011</v>
      </c>
      <c r="D310" s="244"/>
      <c r="E310" s="1306">
        <f>Costs!F$49</f>
        <v>0</v>
      </c>
      <c r="F310" s="728">
        <f t="shared" si="238"/>
        <v>0</v>
      </c>
      <c r="G310" s="1306">
        <f>G309+E310</f>
        <v>0</v>
      </c>
    </row>
    <row r="311" spans="2:7" hidden="1" x14ac:dyDescent="0.25">
      <c r="B311" s="1198"/>
      <c r="C311" s="321">
        <v>2012</v>
      </c>
      <c r="D311" s="244"/>
      <c r="E311" s="1306">
        <f>Costs!F$49</f>
        <v>0</v>
      </c>
      <c r="F311" s="728">
        <f t="shared" si="238"/>
        <v>0</v>
      </c>
      <c r="G311" s="1306">
        <f>G310+E311</f>
        <v>0</v>
      </c>
    </row>
    <row r="312" spans="2:7" hidden="1" x14ac:dyDescent="0.25">
      <c r="B312" s="1198"/>
      <c r="C312" s="321">
        <v>2013</v>
      </c>
      <c r="D312" s="244"/>
      <c r="E312" s="1306">
        <f>Costs!F$49</f>
        <v>0</v>
      </c>
      <c r="F312" s="728">
        <f t="shared" si="238"/>
        <v>0</v>
      </c>
      <c r="G312" s="1306">
        <f>G311+E312</f>
        <v>0</v>
      </c>
    </row>
    <row r="313" spans="2:7" hidden="1" x14ac:dyDescent="0.25">
      <c r="B313" s="1198"/>
      <c r="C313" s="321">
        <v>2014</v>
      </c>
      <c r="D313" s="244"/>
      <c r="E313" s="1306">
        <f>Costs!F$49</f>
        <v>0</v>
      </c>
      <c r="F313" s="728">
        <f t="shared" si="238"/>
        <v>0</v>
      </c>
      <c r="G313" s="1306">
        <f>G312+E313</f>
        <v>0</v>
      </c>
    </row>
    <row r="314" spans="2:7" hidden="1" x14ac:dyDescent="0.25">
      <c r="B314" s="1198"/>
      <c r="C314" s="244">
        <v>2015</v>
      </c>
      <c r="D314" s="1199">
        <f t="shared" ref="D314:D319" si="239">H25*avgSize/1000</f>
        <v>0</v>
      </c>
      <c r="E314" s="359">
        <f>Costs!$F$50</f>
        <v>0</v>
      </c>
      <c r="F314" s="728">
        <f t="shared" si="238"/>
        <v>0</v>
      </c>
      <c r="G314" s="359">
        <f t="shared" ref="G314:G319" si="240">G313+MAX(D314,E314)</f>
        <v>0</v>
      </c>
    </row>
    <row r="315" spans="2:7" hidden="1" x14ac:dyDescent="0.25">
      <c r="B315" s="1198"/>
      <c r="C315" s="244">
        <v>2016</v>
      </c>
      <c r="D315" s="1199">
        <f t="shared" si="239"/>
        <v>0</v>
      </c>
      <c r="E315" s="359">
        <f>Costs!$F$50</f>
        <v>0</v>
      </c>
      <c r="F315" s="728">
        <f t="shared" si="238"/>
        <v>0</v>
      </c>
      <c r="G315" s="359">
        <f t="shared" si="240"/>
        <v>0</v>
      </c>
    </row>
    <row r="316" spans="2:7" hidden="1" x14ac:dyDescent="0.25">
      <c r="B316" s="274"/>
      <c r="C316" s="244">
        <v>2017</v>
      </c>
      <c r="D316" s="1199">
        <f t="shared" si="239"/>
        <v>0</v>
      </c>
      <c r="E316" s="359">
        <f>Costs!$F$50</f>
        <v>0</v>
      </c>
      <c r="F316" s="728">
        <f t="shared" si="238"/>
        <v>0</v>
      </c>
      <c r="G316" s="359">
        <f t="shared" si="240"/>
        <v>0</v>
      </c>
    </row>
    <row r="317" spans="2:7" hidden="1" x14ac:dyDescent="0.25">
      <c r="B317" s="274"/>
      <c r="C317" s="244">
        <v>2018</v>
      </c>
      <c r="D317" s="1199">
        <f t="shared" si="239"/>
        <v>0</v>
      </c>
      <c r="E317" s="359">
        <f>Costs!$F$50</f>
        <v>0</v>
      </c>
      <c r="F317" s="728">
        <f t="shared" si="238"/>
        <v>0</v>
      </c>
      <c r="G317" s="359">
        <f t="shared" si="240"/>
        <v>0</v>
      </c>
    </row>
    <row r="318" spans="2:7" hidden="1" x14ac:dyDescent="0.25">
      <c r="B318" s="274"/>
      <c r="C318" s="244">
        <v>2019</v>
      </c>
      <c r="D318" s="1199">
        <f t="shared" si="239"/>
        <v>0</v>
      </c>
      <c r="E318" s="359">
        <f>Costs!$F$50</f>
        <v>0</v>
      </c>
      <c r="F318" s="728">
        <f t="shared" si="238"/>
        <v>0</v>
      </c>
      <c r="G318" s="359">
        <f t="shared" si="240"/>
        <v>0</v>
      </c>
    </row>
    <row r="319" spans="2:7" hidden="1" x14ac:dyDescent="0.25">
      <c r="B319" s="274"/>
      <c r="C319" s="244">
        <v>2020</v>
      </c>
      <c r="D319" s="1199">
        <f t="shared" si="239"/>
        <v>0</v>
      </c>
      <c r="E319" s="359">
        <f>Costs!$F$50</f>
        <v>0</v>
      </c>
      <c r="F319" s="728">
        <f t="shared" si="238"/>
        <v>0</v>
      </c>
      <c r="G319" s="359">
        <f t="shared" si="240"/>
        <v>0</v>
      </c>
    </row>
    <row r="320" spans="2:7" hidden="1" x14ac:dyDescent="0.25"/>
    <row r="321" spans="2:8" hidden="1" x14ac:dyDescent="0.25">
      <c r="B321" s="273" t="s">
        <v>1052</v>
      </c>
      <c r="C321" s="242"/>
      <c r="D321" s="253" t="s">
        <v>2076</v>
      </c>
      <c r="E321" s="253" t="s">
        <v>2076</v>
      </c>
      <c r="F321" s="253" t="s">
        <v>2076</v>
      </c>
      <c r="G321" s="253" t="s">
        <v>2075</v>
      </c>
      <c r="H321" s="253" t="s">
        <v>2075</v>
      </c>
    </row>
    <row r="322" spans="2:8" hidden="1" x14ac:dyDescent="0.25">
      <c r="B322" s="274"/>
      <c r="C322" s="255"/>
      <c r="D322" s="256" t="s">
        <v>1053</v>
      </c>
      <c r="E322" s="256" t="s">
        <v>432</v>
      </c>
      <c r="F322" s="256" t="s">
        <v>437</v>
      </c>
      <c r="G322" s="253" t="s">
        <v>1476</v>
      </c>
      <c r="H322" s="256" t="s">
        <v>1477</v>
      </c>
    </row>
    <row r="323" spans="2:8" hidden="1" x14ac:dyDescent="0.25">
      <c r="B323" s="274"/>
      <c r="C323" s="368" t="s">
        <v>1479</v>
      </c>
      <c r="D323" s="274"/>
      <c r="E323" s="274"/>
      <c r="F323" s="274"/>
      <c r="G323" s="274"/>
      <c r="H323" s="372">
        <f>J75</f>
        <v>0</v>
      </c>
    </row>
    <row r="324" spans="2:8" hidden="1" x14ac:dyDescent="0.25">
      <c r="B324" s="274"/>
      <c r="C324" s="244">
        <v>2015</v>
      </c>
      <c r="D324" s="245">
        <f t="shared" ref="D324:D329" si="241">H25-I25</f>
        <v>0</v>
      </c>
      <c r="E324" s="245">
        <f t="shared" ref="E324:E329" si="242">J25</f>
        <v>0</v>
      </c>
      <c r="F324" s="245">
        <f>D324+E324</f>
        <v>0</v>
      </c>
      <c r="G324" s="373">
        <f>SUM(F$324:F324)</f>
        <v>0</v>
      </c>
      <c r="H324" s="245">
        <f>H323+F324</f>
        <v>0</v>
      </c>
    </row>
    <row r="325" spans="2:8" hidden="1" x14ac:dyDescent="0.25">
      <c r="B325" s="274"/>
      <c r="C325" s="244">
        <v>2016</v>
      </c>
      <c r="D325" s="245">
        <f t="shared" si="241"/>
        <v>0</v>
      </c>
      <c r="E325" s="245">
        <f t="shared" si="242"/>
        <v>0</v>
      </c>
      <c r="F325" s="245">
        <f t="shared" ref="F325:F329" si="243">D325+E325</f>
        <v>0</v>
      </c>
      <c r="G325" s="373">
        <f>SUM(F$324:F325)</f>
        <v>0</v>
      </c>
      <c r="H325" s="245">
        <f t="shared" ref="H325:H329" si="244">H324+F325</f>
        <v>0</v>
      </c>
    </row>
    <row r="326" spans="2:8" hidden="1" x14ac:dyDescent="0.25">
      <c r="B326" s="274"/>
      <c r="C326" s="244">
        <v>2017</v>
      </c>
      <c r="D326" s="245">
        <f t="shared" si="241"/>
        <v>0</v>
      </c>
      <c r="E326" s="245">
        <f t="shared" si="242"/>
        <v>0</v>
      </c>
      <c r="F326" s="245">
        <f t="shared" si="243"/>
        <v>0</v>
      </c>
      <c r="G326" s="373">
        <f>SUM(F$324:F326)</f>
        <v>0</v>
      </c>
      <c r="H326" s="245">
        <f t="shared" si="244"/>
        <v>0</v>
      </c>
    </row>
    <row r="327" spans="2:8" hidden="1" x14ac:dyDescent="0.25">
      <c r="B327" s="274"/>
      <c r="C327" s="244">
        <v>2018</v>
      </c>
      <c r="D327" s="245">
        <f t="shared" si="241"/>
        <v>0</v>
      </c>
      <c r="E327" s="245">
        <f t="shared" si="242"/>
        <v>0</v>
      </c>
      <c r="F327" s="245">
        <f t="shared" si="243"/>
        <v>0</v>
      </c>
      <c r="G327" s="373">
        <f>SUM(F$324:F327)</f>
        <v>0</v>
      </c>
      <c r="H327" s="245">
        <f t="shared" si="244"/>
        <v>0</v>
      </c>
    </row>
    <row r="328" spans="2:8" hidden="1" x14ac:dyDescent="0.25">
      <c r="B328" s="274"/>
      <c r="C328" s="244">
        <v>2019</v>
      </c>
      <c r="D328" s="245">
        <f t="shared" si="241"/>
        <v>0</v>
      </c>
      <c r="E328" s="245">
        <f t="shared" si="242"/>
        <v>0</v>
      </c>
      <c r="F328" s="245">
        <f t="shared" si="243"/>
        <v>0</v>
      </c>
      <c r="G328" s="373">
        <f>SUM(F$324:F328)</f>
        <v>0</v>
      </c>
      <c r="H328" s="245">
        <f t="shared" si="244"/>
        <v>0</v>
      </c>
    </row>
    <row r="329" spans="2:8" hidden="1" x14ac:dyDescent="0.25">
      <c r="B329" s="274"/>
      <c r="C329" s="244">
        <v>2020</v>
      </c>
      <c r="D329" s="245">
        <f t="shared" si="241"/>
        <v>0</v>
      </c>
      <c r="E329" s="245">
        <f t="shared" si="242"/>
        <v>0</v>
      </c>
      <c r="F329" s="245">
        <f t="shared" si="243"/>
        <v>0</v>
      </c>
      <c r="G329" s="373">
        <f>SUM(F$324:F329)</f>
        <v>0</v>
      </c>
      <c r="H329" s="245">
        <f t="shared" si="244"/>
        <v>0</v>
      </c>
    </row>
    <row r="330" spans="2:8" hidden="1" x14ac:dyDescent="0.25">
      <c r="B330" s="1029"/>
      <c r="C330" s="1029"/>
    </row>
    <row r="331" spans="2:8" hidden="1" x14ac:dyDescent="0.25">
      <c r="B331" s="276" t="str">
        <f>'Forklift INPUTS'!B592</f>
        <v>Deflator</v>
      </c>
      <c r="C331" s="244" t="str">
        <f>'Forklift INPUTS'!C592</f>
        <v>RIMS (2008)</v>
      </c>
    </row>
    <row r="332" spans="2:8" hidden="1" x14ac:dyDescent="0.25">
      <c r="B332" s="735"/>
      <c r="C332" s="261">
        <f>'Forklift INPUTS'!C593</f>
        <v>0.98737480280294965</v>
      </c>
      <c r="D332" s="1085"/>
      <c r="E332" s="1085"/>
      <c r="F332" s="1085"/>
      <c r="G332" s="1085"/>
    </row>
    <row r="333" spans="2:8" hidden="1" x14ac:dyDescent="0.25">
      <c r="B333" s="1085"/>
      <c r="C333" s="1085"/>
      <c r="D333" s="1085"/>
      <c r="E333" s="1085"/>
      <c r="F333" s="1085"/>
      <c r="G333" s="1085"/>
    </row>
    <row r="334" spans="2:8" hidden="1" x14ac:dyDescent="0.25">
      <c r="B334" s="1085"/>
      <c r="C334" s="1085"/>
      <c r="D334" s="1085"/>
      <c r="E334" s="1085"/>
      <c r="F334" s="1085"/>
      <c r="G334" s="1085"/>
    </row>
    <row r="335" spans="2:8" hidden="1" x14ac:dyDescent="0.25">
      <c r="B335" s="1085"/>
      <c r="C335" s="1085"/>
      <c r="D335" s="1085"/>
      <c r="E335" s="1085"/>
      <c r="F335" s="1086" t="s">
        <v>448</v>
      </c>
      <c r="G335" s="1086" t="s">
        <v>2252</v>
      </c>
    </row>
    <row r="336" spans="2:8" hidden="1" x14ac:dyDescent="0.25">
      <c r="B336" s="1085"/>
      <c r="C336" s="736">
        <v>2015</v>
      </c>
      <c r="D336" s="1085"/>
      <c r="E336" s="1085"/>
      <c r="F336" s="1087">
        <f t="shared" ref="F336:F341" si="245">avgSize*H25*J39</f>
        <v>0</v>
      </c>
      <c r="G336" s="1087">
        <f>F336*$C$332</f>
        <v>0</v>
      </c>
    </row>
    <row r="337" spans="2:10" hidden="1" x14ac:dyDescent="0.25">
      <c r="B337" s="1085"/>
      <c r="C337" s="736">
        <v>2016</v>
      </c>
      <c r="D337" s="1085"/>
      <c r="E337" s="1085"/>
      <c r="F337" s="1087">
        <f t="shared" si="245"/>
        <v>0</v>
      </c>
      <c r="G337" s="1087">
        <f t="shared" ref="G337:G341" si="246">F337*$C$332</f>
        <v>0</v>
      </c>
    </row>
    <row r="338" spans="2:10" hidden="1" x14ac:dyDescent="0.25">
      <c r="B338" s="1085"/>
      <c r="C338" s="736">
        <v>2017</v>
      </c>
      <c r="D338" s="1085"/>
      <c r="E338" s="1085"/>
      <c r="F338" s="1087">
        <f t="shared" si="245"/>
        <v>0</v>
      </c>
      <c r="G338" s="1087">
        <f t="shared" si="246"/>
        <v>0</v>
      </c>
    </row>
    <row r="339" spans="2:10" hidden="1" x14ac:dyDescent="0.25">
      <c r="B339" s="1085"/>
      <c r="C339" s="736">
        <v>2018</v>
      </c>
      <c r="D339" s="1085"/>
      <c r="E339" s="1085"/>
      <c r="F339" s="1087">
        <f t="shared" si="245"/>
        <v>0</v>
      </c>
      <c r="G339" s="1087">
        <f t="shared" si="246"/>
        <v>0</v>
      </c>
    </row>
    <row r="340" spans="2:10" hidden="1" x14ac:dyDescent="0.25">
      <c r="B340" s="1085"/>
      <c r="C340" s="736">
        <v>2019</v>
      </c>
      <c r="D340" s="1085"/>
      <c r="E340" s="1085"/>
      <c r="F340" s="1087">
        <f t="shared" si="245"/>
        <v>0</v>
      </c>
      <c r="G340" s="1087">
        <f t="shared" si="246"/>
        <v>0</v>
      </c>
    </row>
    <row r="341" spans="2:10" hidden="1" x14ac:dyDescent="0.25">
      <c r="B341" s="1085"/>
      <c r="C341" s="736">
        <v>2020</v>
      </c>
      <c r="D341" s="1085"/>
      <c r="E341" s="1085"/>
      <c r="F341" s="1087">
        <f t="shared" si="245"/>
        <v>0</v>
      </c>
      <c r="G341" s="1087">
        <f t="shared" si="246"/>
        <v>0</v>
      </c>
    </row>
    <row r="342" spans="2:10" hidden="1" x14ac:dyDescent="0.25"/>
    <row r="343" spans="2:10" hidden="1" x14ac:dyDescent="0.25">
      <c r="B343" s="1860" t="s">
        <v>1908</v>
      </c>
      <c r="C343" s="287"/>
      <c r="D343" s="287"/>
      <c r="E343" s="1029"/>
      <c r="F343" s="1029"/>
      <c r="G343" s="1029"/>
      <c r="H343" s="1029"/>
      <c r="I343" s="1029"/>
      <c r="J343" s="1029"/>
    </row>
    <row r="344" spans="2:10" hidden="1" x14ac:dyDescent="0.25">
      <c r="B344" s="287" t="s">
        <v>1920</v>
      </c>
      <c r="C344" s="287"/>
      <c r="D344" s="287">
        <v>0.02</v>
      </c>
      <c r="E344" s="1029"/>
      <c r="F344" s="1029"/>
      <c r="G344" s="1029"/>
      <c r="H344" s="1029"/>
      <c r="I344" s="1029"/>
      <c r="J344" s="1029"/>
    </row>
    <row r="345" spans="2:10" hidden="1" x14ac:dyDescent="0.25">
      <c r="B345" s="287" t="s">
        <v>1906</v>
      </c>
      <c r="C345" s="287"/>
      <c r="D345" s="287">
        <v>0.5</v>
      </c>
      <c r="E345" s="1029"/>
      <c r="F345" s="1029"/>
      <c r="G345" s="1029"/>
      <c r="H345" s="1029"/>
      <c r="I345" s="1029"/>
      <c r="J345" s="1029"/>
    </row>
    <row r="346" spans="2:10" hidden="1" x14ac:dyDescent="0.25">
      <c r="B346" s="287" t="s">
        <v>1905</v>
      </c>
      <c r="C346" s="287"/>
      <c r="D346" s="287">
        <v>0.5</v>
      </c>
      <c r="E346" s="1029"/>
      <c r="F346" s="1029"/>
      <c r="G346" s="1029"/>
      <c r="H346" s="1029"/>
      <c r="I346" s="1029"/>
      <c r="J346" s="1029"/>
    </row>
    <row r="347" spans="2:10" hidden="1" x14ac:dyDescent="0.25">
      <c r="B347" s="1029"/>
      <c r="C347" s="1029"/>
      <c r="D347" s="1029"/>
      <c r="E347" s="1029"/>
      <c r="F347" s="1029"/>
      <c r="G347" s="1029"/>
      <c r="H347" s="1029"/>
      <c r="I347" s="1029"/>
      <c r="J347" s="1029"/>
    </row>
    <row r="348" spans="2:10" hidden="1" x14ac:dyDescent="0.25">
      <c r="B348" s="1029"/>
      <c r="C348" s="1029"/>
      <c r="D348" s="1029"/>
      <c r="E348" s="1029"/>
      <c r="F348" s="1029"/>
      <c r="G348" s="1029"/>
      <c r="H348" s="1029"/>
      <c r="I348" s="1029"/>
      <c r="J348" s="1029"/>
    </row>
    <row r="349" spans="2:10" hidden="1" x14ac:dyDescent="0.25">
      <c r="B349" s="1029"/>
      <c r="C349" s="1029"/>
      <c r="D349" s="1029"/>
      <c r="E349" s="1029"/>
      <c r="F349" s="1029"/>
      <c r="G349" s="1029"/>
      <c r="H349" s="1029"/>
      <c r="I349" s="1029"/>
      <c r="J349" s="1029"/>
    </row>
    <row r="350" spans="2:10" hidden="1" x14ac:dyDescent="0.25">
      <c r="B350" s="1884" t="s">
        <v>2190</v>
      </c>
      <c r="C350" s="1889"/>
      <c r="D350" s="1889"/>
      <c r="E350" s="1885"/>
      <c r="F350" s="1885"/>
      <c r="G350" s="1885"/>
      <c r="H350" s="1885"/>
      <c r="I350" s="1885"/>
      <c r="J350" s="1885"/>
    </row>
    <row r="351" spans="2:10" hidden="1" x14ac:dyDescent="0.25">
      <c r="B351" s="1890" t="s">
        <v>2191</v>
      </c>
      <c r="C351" s="1891"/>
      <c r="D351" s="1891"/>
      <c r="E351" s="1885"/>
      <c r="F351" s="1885"/>
      <c r="G351" s="1885"/>
      <c r="H351" s="1885"/>
      <c r="I351" s="1885"/>
      <c r="J351" s="1885"/>
    </row>
    <row r="352" spans="2:10" hidden="1" x14ac:dyDescent="0.25">
      <c r="B352" s="1880" t="s">
        <v>1815</v>
      </c>
      <c r="C352" s="1880"/>
      <c r="D352" s="1880"/>
      <c r="E352" s="1881"/>
      <c r="F352" s="784">
        <f>IF($E$8=Lists!$B$24, 0.47, IF($E$8=Lists!$B$25,0.38,0))</f>
        <v>0</v>
      </c>
      <c r="G352" s="1059"/>
      <c r="H352" s="1882"/>
      <c r="I352" s="1883"/>
      <c r="J352" s="776">
        <f>IF(OR($E$6&lt;&gt;RIMS_lists!$C$1,$E$7&lt;&gt;Lists!$C$4),0,IF(E352="",F352,E352))</f>
        <v>0</v>
      </c>
    </row>
    <row r="353" spans="2:10" hidden="1" x14ac:dyDescent="0.25">
      <c r="B353" s="773" t="s">
        <v>1768</v>
      </c>
      <c r="C353" s="773"/>
      <c r="D353" s="773"/>
      <c r="E353" s="1064"/>
      <c r="F353" s="775">
        <v>0.9</v>
      </c>
      <c r="G353" s="778"/>
      <c r="H353" s="778"/>
      <c r="I353" s="779"/>
      <c r="J353" s="776">
        <f>IF(OR($E$6&lt;&gt;RIMS_lists!$C$1,$E$7&lt;&gt;Lists!$C$4),0,IF(E353="",F353,E353))</f>
        <v>0</v>
      </c>
    </row>
    <row r="354" spans="2:10" hidden="1" x14ac:dyDescent="0.25">
      <c r="B354" s="1886" t="s">
        <v>2188</v>
      </c>
      <c r="C354" s="1887"/>
      <c r="D354" s="1887"/>
      <c r="E354" s="1887"/>
      <c r="F354" s="1887"/>
      <c r="G354" s="1887"/>
      <c r="H354" s="1887"/>
      <c r="I354" s="1887"/>
      <c r="J354" s="1887"/>
    </row>
    <row r="355" spans="2:10" hidden="1" x14ac:dyDescent="0.25">
      <c r="B355" s="1885" t="s">
        <v>2189</v>
      </c>
      <c r="C355" s="1887"/>
      <c r="D355" s="1887"/>
      <c r="E355" s="1887"/>
      <c r="F355" s="1887"/>
      <c r="G355" s="1887"/>
      <c r="H355" s="1887"/>
      <c r="I355" s="1887"/>
      <c r="J355" s="1887"/>
    </row>
    <row r="356" spans="2:10" hidden="1" x14ac:dyDescent="0.25">
      <c r="B356" s="1885"/>
      <c r="C356" s="1887"/>
      <c r="D356" s="1887"/>
      <c r="E356" s="1887"/>
      <c r="F356" s="1887"/>
      <c r="G356" s="1887"/>
      <c r="H356" s="1887"/>
      <c r="I356" s="1887"/>
      <c r="J356" s="1887"/>
    </row>
    <row r="357" spans="2:10" hidden="1" x14ac:dyDescent="0.25">
      <c r="B357" s="1888" t="s">
        <v>2186</v>
      </c>
      <c r="C357" s="1887"/>
      <c r="D357" s="1887"/>
      <c r="E357" s="1887"/>
      <c r="F357" s="1887"/>
      <c r="G357" s="1887"/>
      <c r="H357" s="1887"/>
      <c r="I357" s="1887"/>
      <c r="J357" s="1887"/>
    </row>
    <row r="358" spans="2:10" hidden="1" x14ac:dyDescent="0.25">
      <c r="B358" s="1888" t="s">
        <v>2187</v>
      </c>
      <c r="C358" s="1887"/>
      <c r="D358" s="1887"/>
      <c r="E358" s="1887"/>
      <c r="F358" s="1887"/>
      <c r="G358" s="1887"/>
      <c r="H358" s="1887"/>
      <c r="I358" s="1887"/>
      <c r="J358" s="1887"/>
    </row>
    <row r="359" spans="2:10" hidden="1" x14ac:dyDescent="0.25"/>
  </sheetData>
  <sheetProtection password="C411" sheet="1" objects="1" scenarios="1" selectLockedCells="1"/>
  <mergeCells count="69">
    <mergeCell ref="B17:J17"/>
    <mergeCell ref="B20:D21"/>
    <mergeCell ref="E19:F19"/>
    <mergeCell ref="B19:D19"/>
    <mergeCell ref="B7:D7"/>
    <mergeCell ref="B10:J10"/>
    <mergeCell ref="B11:D11"/>
    <mergeCell ref="G11:I11"/>
    <mergeCell ref="B12:D12"/>
    <mergeCell ref="B18:J18"/>
    <mergeCell ref="E13:F13"/>
    <mergeCell ref="B13:D13"/>
    <mergeCell ref="B42:C44"/>
    <mergeCell ref="B75:D75"/>
    <mergeCell ref="B77:J77"/>
    <mergeCell ref="B78:D78"/>
    <mergeCell ref="G78:I78"/>
    <mergeCell ref="B74:D74"/>
    <mergeCell ref="G48:I48"/>
    <mergeCell ref="G47:I47"/>
    <mergeCell ref="G53:I57"/>
    <mergeCell ref="B47:D47"/>
    <mergeCell ref="B82:D82"/>
    <mergeCell ref="G75:I75"/>
    <mergeCell ref="G79:I86"/>
    <mergeCell ref="B59:J59"/>
    <mergeCell ref="B50:J50"/>
    <mergeCell ref="B52:D52"/>
    <mergeCell ref="G52:I52"/>
    <mergeCell ref="G74:I74"/>
    <mergeCell ref="B73:J73"/>
    <mergeCell ref="B61:D61"/>
    <mergeCell ref="G61:I61"/>
    <mergeCell ref="B66:J66"/>
    <mergeCell ref="B68:D68"/>
    <mergeCell ref="G68:I68"/>
    <mergeCell ref="G62:I64"/>
    <mergeCell ref="B3:J3"/>
    <mergeCell ref="B32:J32"/>
    <mergeCell ref="B34:J34"/>
    <mergeCell ref="B71:J71"/>
    <mergeCell ref="E6:F6"/>
    <mergeCell ref="E8:F8"/>
    <mergeCell ref="E20:F21"/>
    <mergeCell ref="G19:J21"/>
    <mergeCell ref="B38:C38"/>
    <mergeCell ref="G38:I38"/>
    <mergeCell ref="B36:J36"/>
    <mergeCell ref="B26:C27"/>
    <mergeCell ref="B28:C30"/>
    <mergeCell ref="B37:J37"/>
    <mergeCell ref="B46:J46"/>
    <mergeCell ref="B39:C41"/>
    <mergeCell ref="B1:J1"/>
    <mergeCell ref="B22:D22"/>
    <mergeCell ref="E22:E23"/>
    <mergeCell ref="F22:F23"/>
    <mergeCell ref="H22:H23"/>
    <mergeCell ref="I22:I23"/>
    <mergeCell ref="J22:J23"/>
    <mergeCell ref="D23:D24"/>
    <mergeCell ref="H24:J24"/>
    <mergeCell ref="G22:G23"/>
    <mergeCell ref="B23:C25"/>
    <mergeCell ref="B15:D15"/>
    <mergeCell ref="E7:F7"/>
    <mergeCell ref="B5:J5"/>
    <mergeCell ref="B6:D6"/>
    <mergeCell ref="B8:D8"/>
  </mergeCells>
  <conditionalFormatting sqref="B6">
    <cfRule type="expression" dxfId="42" priority="79" stopIfTrue="1">
      <formula>E6=Please</formula>
    </cfRule>
  </conditionalFormatting>
  <conditionalFormatting sqref="B8">
    <cfRule type="expression" dxfId="41" priority="78" stopIfTrue="1">
      <formula>E8=Please</formula>
    </cfRule>
  </conditionalFormatting>
  <conditionalFormatting sqref="B52:D52">
    <cfRule type="expression" dxfId="40" priority="77">
      <formula>OR(E53:E56="")</formula>
    </cfRule>
  </conditionalFormatting>
  <conditionalFormatting sqref="J55:J57 J83:J86 J352 J79:J81 J62:J64 J12:J15">
    <cfRule type="expression" dxfId="39" priority="76" stopIfTrue="1">
      <formula>J12&lt;&gt;F12</formula>
    </cfRule>
  </conditionalFormatting>
  <conditionalFormatting sqref="F25:F30">
    <cfRule type="expression" dxfId="38" priority="69">
      <formula>AND($F25&gt;1,$F25&lt;&gt;$I25)</formula>
    </cfRule>
  </conditionalFormatting>
  <conditionalFormatting sqref="J53:J54 J69 J39:J44">
    <cfRule type="expression" dxfId="37" priority="53" stopIfTrue="1">
      <formula>J39&lt;&gt;F39</formula>
    </cfRule>
  </conditionalFormatting>
  <conditionalFormatting sqref="B74:D74">
    <cfRule type="expression" dxfId="36" priority="36">
      <formula>E75=""</formula>
    </cfRule>
  </conditionalFormatting>
  <conditionalFormatting sqref="B38">
    <cfRule type="expression" dxfId="35" priority="60" stopIfTrue="1">
      <formula>OR(E39:E44="")</formula>
    </cfRule>
  </conditionalFormatting>
  <conditionalFormatting sqref="B7">
    <cfRule type="expression" dxfId="34" priority="30" stopIfTrue="1">
      <formula>E7=Please</formula>
    </cfRule>
  </conditionalFormatting>
  <conditionalFormatting sqref="B36:J44">
    <cfRule type="expression" dxfId="33" priority="15">
      <formula>SUM($H$25:$H$30)=0</formula>
    </cfRule>
  </conditionalFormatting>
  <conditionalFormatting sqref="B82:D82">
    <cfRule type="expression" dxfId="32" priority="715">
      <formula>OR(E84:E85="")</formula>
    </cfRule>
  </conditionalFormatting>
  <conditionalFormatting sqref="B11:D11">
    <cfRule type="expression" dxfId="31" priority="717">
      <formula>$E$12=""</formula>
    </cfRule>
  </conditionalFormatting>
  <conditionalFormatting sqref="B68:D68">
    <cfRule type="expression" dxfId="30" priority="718">
      <formula>OR(E69:E69="")</formula>
    </cfRule>
  </conditionalFormatting>
  <conditionalFormatting sqref="B61:D61">
    <cfRule type="expression" dxfId="29" priority="721">
      <formula>AND(E64="",OR(E62:E63=""))</formula>
    </cfRule>
  </conditionalFormatting>
  <conditionalFormatting sqref="B22">
    <cfRule type="expression" dxfId="28" priority="722" stopIfTrue="1">
      <formula>COUNTIF($E$30:$G$32, "")&gt;0</formula>
    </cfRule>
  </conditionalFormatting>
  <conditionalFormatting sqref="J48">
    <cfRule type="expression" dxfId="27" priority="7" stopIfTrue="1">
      <formula>J48&lt;&gt;F48</formula>
    </cfRule>
  </conditionalFormatting>
  <conditionalFormatting sqref="B47:D47">
    <cfRule type="expression" dxfId="26" priority="8">
      <formula>OR(E48="")</formula>
    </cfRule>
  </conditionalFormatting>
  <conditionalFormatting sqref="B19:D19">
    <cfRule type="expression" dxfId="25" priority="6">
      <formula>$E$20=Please</formula>
    </cfRule>
  </conditionalFormatting>
  <conditionalFormatting sqref="B78:D78">
    <cfRule type="expression" dxfId="24" priority="747">
      <formula>OR(E79:E80="")</formula>
    </cfRule>
  </conditionalFormatting>
  <dataValidations count="14">
    <dataValidation type="whole" allowBlank="1" showInputMessage="1" showErrorMessage="1" errorTitle="Please enter a different value" error="Non-numeric or negative values, and values exceeding 100,000 may not be entered." sqref="G25:G30">
      <formula1>0</formula1>
      <formula2>100000</formula2>
    </dataValidation>
    <dataValidation type="whole" operator="greaterThanOrEqual" allowBlank="1" showInputMessage="1" showErrorMessage="1" errorTitle="Please enter a different value" error="Only whole numbers may be entered._x000a__x000a_Negative numbers may not be entered." sqref="E53:E56 E63:E64 E69 E48 E75 E84">
      <formula1>0</formula1>
    </dataValidation>
    <dataValidation type="list" allowBlank="1" showInputMessage="1" showErrorMessage="1" sqref="E6">
      <formula1>Regions</formula1>
    </dataValidation>
    <dataValidation type="list" allowBlank="1" showInputMessage="1" showErrorMessage="1" sqref="E8">
      <formula1>Prime_type</formula1>
    </dataValidation>
    <dataValidation type="list" allowBlank="1" showInputMessage="1" showErrorMessage="1" sqref="E20">
      <formula1>IF(OR($E$6=Please,$E$8=Please), Please, Reg_exports)</formula1>
    </dataValidation>
    <dataValidation type="whole" allowBlank="1" showInputMessage="1" showErrorMessage="1" errorTitle="Please enter a different value" error="Please enter a positive whole number._x000a_" sqref="E25:E30">
      <formula1>0</formula1>
      <formula2>1000000</formula2>
    </dataValidation>
    <dataValidation type="decimal" operator="greaterThanOrEqual" allowBlank="1" showInputMessage="1" showErrorMessage="1" errorTitle="Please enter a different value" error="Negative numbers may not be entered." sqref="E62 E79">
      <formula1>0</formula1>
    </dataValidation>
    <dataValidation type="decimal" allowBlank="1" showInputMessage="1" showErrorMessage="1" errorTitle="Please enter a different value" error="Please enter a percentage between 0 and 100." sqref="E352:E353">
      <formula1>0</formula1>
      <formula2>1</formula2>
    </dataValidation>
    <dataValidation type="whole" operator="greaterThanOrEqual" allowBlank="1" showInputMessage="1" showErrorMessage="1" errorTitle="Please enter a different value" error="Please enter a positive whole number." sqref="E39:E44">
      <formula1>0</formula1>
    </dataValidation>
    <dataValidation type="whole" allowBlank="1" showInputMessage="1" showErrorMessage="1" errorTitle="Please enter a different value" error="Please enter a value between 100 kW and 3000 kW." sqref="E12">
      <formula1>100</formula1>
      <formula2>3000</formula2>
    </dataValidation>
    <dataValidation type="decimal" allowBlank="1" showInputMessage="1" showErrorMessage="1" errorTitle="Please enter a different value" error="The capacity factor must be a number between 0 and 1." sqref="E14">
      <formula1>0</formula1>
      <formula2>1</formula2>
    </dataValidation>
    <dataValidation type="whole" allowBlank="1" showInputMessage="1" showErrorMessage="1" sqref="E15">
      <formula1>0</formula1>
      <formula2>$J$12*24*365.25</formula2>
    </dataValidation>
    <dataValidation type="decimal" allowBlank="1" showInputMessage="1" showErrorMessage="1" errorTitle="Please enter a different value" error="Only a percentage between 0 and 1 may be entered._x000a_" sqref="E85">
      <formula1>0</formula1>
      <formula2>1</formula2>
    </dataValidation>
    <dataValidation type="whole" allowBlank="1" showInputMessage="1" showErrorMessage="1" errorTitle="Please enter a different value" error="Please enter a value greater than 0 and less than or equal to the kWh generated as shown in Step 2." sqref="E80">
      <formula1>0</formula1>
      <formula2>J15</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656074" r:id="rId4" name="Button 10">
              <controlPr defaultSize="0" print="0" autoFill="0" autoPict="0" macro="[0]!Prime_charts">
                <anchor moveWithCells="1">
                  <from>
                    <xdr:col>3</xdr:col>
                    <xdr:colOff>314325</xdr:colOff>
                    <xdr:row>30</xdr:row>
                    <xdr:rowOff>219075</xdr:rowOff>
                  </from>
                  <to>
                    <xdr:col>5</xdr:col>
                    <xdr:colOff>9525</xdr:colOff>
                    <xdr:row>30</xdr:row>
                    <xdr:rowOff>504825</xdr:rowOff>
                  </to>
                </anchor>
              </controlPr>
            </control>
          </mc:Choice>
        </mc:AlternateContent>
        <mc:AlternateContent xmlns:mc="http://schemas.openxmlformats.org/markup-compatibility/2006">
          <mc:Choice Requires="x14">
            <control shapeId="13656075" r:id="rId5" name="Button 11">
              <controlPr defaultSize="0" print="0" autoFill="0" autoPict="0" macro="[0]!Prime_tables">
                <anchor moveWithCells="1">
                  <from>
                    <xdr:col>5</xdr:col>
                    <xdr:colOff>1400175</xdr:colOff>
                    <xdr:row>69</xdr:row>
                    <xdr:rowOff>228600</xdr:rowOff>
                  </from>
                  <to>
                    <xdr:col>7</xdr:col>
                    <xdr:colOff>1457325</xdr:colOff>
                    <xdr:row>69</xdr:row>
                    <xdr:rowOff>514350</xdr:rowOff>
                  </to>
                </anchor>
              </controlPr>
            </control>
          </mc:Choice>
        </mc:AlternateContent>
        <mc:AlternateContent xmlns:mc="http://schemas.openxmlformats.org/markup-compatibility/2006">
          <mc:Choice Requires="x14">
            <control shapeId="13656076" r:id="rId6" name="Button 12">
              <controlPr defaultSize="0" print="0" autoFill="0" autoPict="0" macro="[0]!Prime_charts">
                <anchor moveWithCells="1">
                  <from>
                    <xdr:col>3</xdr:col>
                    <xdr:colOff>514350</xdr:colOff>
                    <xdr:row>69</xdr:row>
                    <xdr:rowOff>228600</xdr:rowOff>
                  </from>
                  <to>
                    <xdr:col>5</xdr:col>
                    <xdr:colOff>209550</xdr:colOff>
                    <xdr:row>69</xdr:row>
                    <xdr:rowOff>514350</xdr:rowOff>
                  </to>
                </anchor>
              </controlPr>
            </control>
          </mc:Choice>
        </mc:AlternateContent>
        <mc:AlternateContent xmlns:mc="http://schemas.openxmlformats.org/markup-compatibility/2006">
          <mc:Choice Requires="x14">
            <control shapeId="13656078" r:id="rId7" name="Button 14">
              <controlPr defaultSize="0" print="0" autoFill="0" autoPict="0" macro="[0]!Prime_tables">
                <anchor moveWithCells="1">
                  <from>
                    <xdr:col>5</xdr:col>
                    <xdr:colOff>1362075</xdr:colOff>
                    <xdr:row>30</xdr:row>
                    <xdr:rowOff>209550</xdr:rowOff>
                  </from>
                  <to>
                    <xdr:col>7</xdr:col>
                    <xdr:colOff>1409700</xdr:colOff>
                    <xdr:row>30</xdr:row>
                    <xdr:rowOff>495300</xdr:rowOff>
                  </to>
                </anchor>
              </controlPr>
            </control>
          </mc:Choice>
        </mc:AlternateContent>
        <mc:AlternateContent xmlns:mc="http://schemas.openxmlformats.org/markup-compatibility/2006">
          <mc:Choice Requires="x14">
            <control shapeId="13656079" r:id="rId8" name="Button 15">
              <controlPr defaultSize="0" print="0" autoFill="0" autoPict="0" macro="[0]!Prime_tables">
                <anchor moveWithCells="1">
                  <from>
                    <xdr:col>5</xdr:col>
                    <xdr:colOff>1400175</xdr:colOff>
                    <xdr:row>87</xdr:row>
                    <xdr:rowOff>28575</xdr:rowOff>
                  </from>
                  <to>
                    <xdr:col>7</xdr:col>
                    <xdr:colOff>1457325</xdr:colOff>
                    <xdr:row>87</xdr:row>
                    <xdr:rowOff>314325</xdr:rowOff>
                  </to>
                </anchor>
              </controlPr>
            </control>
          </mc:Choice>
        </mc:AlternateContent>
        <mc:AlternateContent xmlns:mc="http://schemas.openxmlformats.org/markup-compatibility/2006">
          <mc:Choice Requires="x14">
            <control shapeId="13656080" r:id="rId9" name="Button 16">
              <controlPr defaultSize="0" print="0" autoFill="0" autoPict="0" macro="[0]!Prime_charts">
                <anchor moveWithCells="1">
                  <from>
                    <xdr:col>3</xdr:col>
                    <xdr:colOff>514350</xdr:colOff>
                    <xdr:row>87</xdr:row>
                    <xdr:rowOff>28575</xdr:rowOff>
                  </from>
                  <to>
                    <xdr:col>5</xdr:col>
                    <xdr:colOff>209550</xdr:colOff>
                    <xdr:row>87</xdr:row>
                    <xdr:rowOff>314325</xdr:rowOff>
                  </to>
                </anchor>
              </controlPr>
            </control>
          </mc:Choice>
        </mc:AlternateContent>
        <mc:AlternateContent xmlns:mc="http://schemas.openxmlformats.org/markup-compatibility/2006">
          <mc:Choice Requires="x14">
            <control shapeId="13656081" r:id="rId10" name="Button 17">
              <controlPr defaultSize="0" print="0" autoFill="0" autoPict="0" macro="[0]!CLEAR_prime">
                <anchor moveWithCells="1">
                  <from>
                    <xdr:col>4</xdr:col>
                    <xdr:colOff>885825</xdr:colOff>
                    <xdr:row>1</xdr:row>
                    <xdr:rowOff>104775</xdr:rowOff>
                  </from>
                  <to>
                    <xdr:col>6</xdr:col>
                    <xdr:colOff>1276350</xdr:colOff>
                    <xdr:row>1</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2" id="{3661D5C8-6B64-476A-9D54-CDCD18D33D54}">
            <xm:f>OR(AND($E$22=Lists!$B$9, $E25&gt;1),AND($E$22=Lists!$B$8,$E25&lt;&gt;0, $E25&lt;&gt;"", $E25&lt;=1,$E25&gt;=0))</xm:f>
            <x14:dxf>
              <font>
                <color theme="5"/>
              </font>
              <fill>
                <patternFill>
                  <bgColor rgb="FFFFFF99"/>
                </patternFill>
              </fill>
            </x14:dxf>
          </x14:cfRule>
          <x14:cfRule type="expression" priority="73" id="{987D85C6-EFBE-4790-8E49-7EBCF8867274}">
            <xm:f>$E$22=Lists!$B$15</xm:f>
            <x14:dxf>
              <numFmt numFmtId="14" formatCode="0.00%"/>
            </x14:dxf>
          </x14:cfRule>
          <xm:sqref>E25:E30</xm:sqref>
        </x14:conditionalFormatting>
        <x14:conditionalFormatting xmlns:xm="http://schemas.microsoft.com/office/excel/2006/main">
          <x14:cfRule type="expression" priority="71" id="{697995F9-1116-4FAF-9306-62EE3B1E9029}">
            <xm:f>$E$20=Lists!$E$4</xm:f>
            <x14:dxf>
              <numFmt numFmtId="13" formatCode="0%"/>
            </x14:dxf>
          </x14:cfRule>
          <xm:sqref>F25:F30</xm:sqref>
        </x14:conditionalFormatting>
        <x14:conditionalFormatting xmlns:xm="http://schemas.microsoft.com/office/excel/2006/main">
          <x14:cfRule type="expression" priority="70" id="{EB0BF7C6-B374-4AB8-8268-249262558280}">
            <xm:f>AND($E$25=Lists!$E$5,F25&gt;1)</xm:f>
            <x14:dxf>
              <font>
                <color theme="5"/>
              </font>
              <fill>
                <patternFill>
                  <bgColor rgb="FFFFFF99"/>
                </patternFill>
              </fill>
            </x14:dxf>
          </x14:cfRule>
          <xm:sqref>F25:F30</xm:sqref>
        </x14:conditionalFormatting>
        <x14:conditionalFormatting xmlns:xm="http://schemas.microsoft.com/office/excel/2006/main">
          <x14:cfRule type="expression" priority="16" id="{BBD0EA36-4E7F-421E-8BCB-C0121BA5B3EB}">
            <xm:f>AND($E$6&lt;&gt;Please,$E$6&lt;&gt;RIMS_lists!$C$1)</xm:f>
            <x14:dxf>
              <font>
                <color theme="0" tint="-0.499984740745262"/>
              </font>
              <fill>
                <patternFill>
                  <bgColor theme="8" tint="0.59996337778862885"/>
                </patternFill>
              </fill>
            </x14:dxf>
          </x14:cfRule>
          <xm:sqref>B7:E7 G7:J7</xm:sqref>
        </x14:conditionalFormatting>
        <x14:conditionalFormatting xmlns:xm="http://schemas.microsoft.com/office/excel/2006/main">
          <x14:cfRule type="expression" priority="14" id="{B27B6B1E-FA80-46EE-B272-7C273414D2BE}">
            <xm:f>AND($E$6=RIMS_lists!$C$1, $E$7=Lists!$C$4)</xm:f>
            <x14:dxf>
              <font>
                <color theme="0" tint="-0.499984740745262"/>
              </font>
              <fill>
                <patternFill>
                  <bgColor theme="8" tint="0.59996337778862885"/>
                </patternFill>
              </fill>
            </x14:dxf>
          </x14:cfRule>
          <xm:sqref>B73:J75</xm:sqref>
        </x14:conditionalFormatting>
        <x14:conditionalFormatting xmlns:xm="http://schemas.microsoft.com/office/excel/2006/main">
          <x14:cfRule type="expression" priority="13" id="{664229E8-860B-49FF-B13D-E2B4C8137A2B}">
            <xm:f>OR($E$6&lt;&gt;RIMS_lists!$C$1,$E$7&lt;&gt;Lists!$C$4)</xm:f>
            <x14:dxf>
              <font>
                <color theme="0" tint="-0.499984740745262"/>
              </font>
              <fill>
                <patternFill>
                  <bgColor theme="8" tint="0.59996337778862885"/>
                </patternFill>
              </fill>
            </x14:dxf>
          </x14:cfRule>
          <xm:sqref>B77:J86</xm:sqref>
        </x14:conditionalFormatting>
        <x14:conditionalFormatting xmlns:xm="http://schemas.microsoft.com/office/excel/2006/main">
          <x14:cfRule type="expression" priority="5" id="{64686927-6B58-412F-81EE-B86D2A2F1B0C}">
            <xm:f>$E$13=Lists!$E$23</xm:f>
            <x14:dxf>
              <fill>
                <patternFill>
                  <bgColor rgb="FFFFFF66"/>
                </patternFill>
              </fill>
            </x14:dxf>
          </x14:cfRule>
          <xm:sqref>B13:D13</xm:sqref>
        </x14:conditionalFormatting>
        <x14:conditionalFormatting xmlns:xm="http://schemas.microsoft.com/office/excel/2006/main">
          <x14:cfRule type="expression" priority="4" id="{7B001ABE-9C6D-44EE-8CC0-97F9FBBBA801}">
            <xm:f>$E$13=Lists!$E$24</xm:f>
            <x14:dxf>
              <font>
                <b/>
                <i val="0"/>
              </font>
            </x14:dxf>
          </x14:cfRule>
          <xm:sqref>B14</xm:sqref>
        </x14:conditionalFormatting>
        <x14:conditionalFormatting xmlns:xm="http://schemas.microsoft.com/office/excel/2006/main">
          <x14:cfRule type="expression" priority="3" id="{88B22488-721D-49D6-9BC7-947AA06E77A2}">
            <xm:f>$E$13=Lists!$E$24</xm:f>
            <x14:dxf>
              <fill>
                <patternFill>
                  <bgColor theme="0"/>
                </patternFill>
              </fill>
            </x14:dxf>
          </x14:cfRule>
          <xm:sqref>E14</xm:sqref>
        </x14:conditionalFormatting>
        <x14:conditionalFormatting xmlns:xm="http://schemas.microsoft.com/office/excel/2006/main">
          <x14:cfRule type="expression" priority="2" id="{8282AB2F-1CC2-49A5-B615-9E5C1505BF54}">
            <xm:f>$E$13=Lists!$E$25</xm:f>
            <x14:dxf>
              <font>
                <b/>
                <i val="0"/>
              </font>
            </x14:dxf>
          </x14:cfRule>
          <xm:sqref>B15:D15</xm:sqref>
        </x14:conditionalFormatting>
        <x14:conditionalFormatting xmlns:xm="http://schemas.microsoft.com/office/excel/2006/main">
          <x14:cfRule type="expression" priority="1" id="{E946E57A-EE09-4DAA-8A17-80ED6C5F7A8A}">
            <xm:f>$E$13=Lists!$E$25</xm:f>
            <x14:dxf>
              <fill>
                <patternFill>
                  <bgColor theme="0"/>
                </patternFill>
              </fill>
            </x14:dxf>
          </x14:cfRule>
          <xm:sqref>E15</xm:sqref>
        </x14:conditionalFormatting>
      </x14:conditionalFormattings>
    </ext>
    <ext xmlns:x14="http://schemas.microsoft.com/office/spreadsheetml/2009/9/main" uri="{CCE6A557-97BC-4b89-ADB6-D9C93CAAB3DF}">
      <x14:dataValidations xmlns:xm="http://schemas.microsoft.com/office/excel/2006/main" count="3">
        <x14:dataValidation type="decimal" allowBlank="1" showInputMessage="1" showErrorMessage="1" errorTitle="Please enter a different value" error="Exports in Units: Regional Exports may not exceed Units Manufactured._x000a__x000a_Exports as Percentage:_x000a_Percent exported may not exceed 100%. Enter a decimal between 0 and 1 (inclusive)._x000a__x000a_To change type, return to Step 3b._x000a__x000a_">
          <x14:formula1>
            <xm:f>0</xm:f>
          </x14:formula1>
          <x14:formula2>
            <xm:f>IF($E$20=Lists!$E$4, 1, H25)</xm:f>
          </x14:formula2>
          <xm:sqref>F25:F30</xm:sqref>
        </x14:dataValidation>
        <x14:dataValidation type="list" allowBlank="1" showInputMessage="1" showErrorMessage="1">
          <x14:formula1>
            <xm:f>IF(State=Please, Please, IF(State=RIMS_lists!$C$1, USA_gross, Reg_gross))</xm:f>
          </x14:formula1>
          <xm:sqref>E7</xm:sqref>
        </x14:dataValidation>
        <x14:dataValidation type="list" operator="greaterThan" allowBlank="1" showInputMessage="1" showErrorMessage="1">
          <x14:formula1>
            <xm:f>Lists!$E$23:$E$25</xm:f>
          </x14:formula1>
          <xm:sqref>E13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197</vt:i4>
      </vt:variant>
    </vt:vector>
  </HeadingPairs>
  <TitlesOfParts>
    <vt:vector size="224" baseType="lpstr">
      <vt:lpstr>JOBS FC INFO</vt:lpstr>
      <vt:lpstr>COPYRIGHT</vt:lpstr>
      <vt:lpstr>Forklift INPUTS</vt:lpstr>
      <vt:lpstr>Forklift RESULTS-Charts</vt:lpstr>
      <vt:lpstr>Forklift RESULTS-Tables</vt:lpstr>
      <vt:lpstr>Backup INPUTS</vt:lpstr>
      <vt:lpstr>Backup RESULTS-Charts</vt:lpstr>
      <vt:lpstr>Backup RESULTS-Tables</vt:lpstr>
      <vt:lpstr>Prime INPUTS</vt:lpstr>
      <vt:lpstr>Prime RESULTS-Charts</vt:lpstr>
      <vt:lpstr>Prime RESULTS-Tables</vt:lpstr>
      <vt:lpstr>PEM Facility Const. INPUTS</vt:lpstr>
      <vt:lpstr>PEM Facility Const. RESULTS</vt:lpstr>
      <vt:lpstr>Market Forecasts</vt:lpstr>
      <vt:lpstr>Costs</vt:lpstr>
      <vt:lpstr>Cost Charts</vt:lpstr>
      <vt:lpstr>Markets</vt:lpstr>
      <vt:lpstr>Lists</vt:lpstr>
      <vt:lpstr>PEM sectors</vt:lpstr>
      <vt:lpstr>RIMS_lists</vt:lpstr>
      <vt:lpstr>Capital Cost</vt:lpstr>
      <vt:lpstr>Markets_MH</vt:lpstr>
      <vt:lpstr>Markets_BU</vt:lpstr>
      <vt:lpstr>RIMS_emp</vt:lpstr>
      <vt:lpstr>RIMS_earn</vt:lpstr>
      <vt:lpstr>RIMS_out</vt:lpstr>
      <vt:lpstr>CPI</vt:lpstr>
      <vt:lpstr>annualusage</vt:lpstr>
      <vt:lpstr>'Backup INPUTS'!avgSize</vt:lpstr>
      <vt:lpstr>Costs!avgSize</vt:lpstr>
      <vt:lpstr>'Forklift INPUTS'!avgSize</vt:lpstr>
      <vt:lpstr>'Prime INPUTS'!avgSize</vt:lpstr>
      <vt:lpstr>'Prime RESULTS-Tables'!avgSize</vt:lpstr>
      <vt:lpstr>Costs!avgSize_c3</vt:lpstr>
      <vt:lpstr>'Forklift INPUTS'!avgSize_c3</vt:lpstr>
      <vt:lpstr>BuP_disp_def</vt:lpstr>
      <vt:lpstr>'Backup INPUTS'!cost_2015</vt:lpstr>
      <vt:lpstr>'Forklift INPUTS'!cost_2015</vt:lpstr>
      <vt:lpstr>'Forklift INPUTS'!cost_2015_c3</vt:lpstr>
      <vt:lpstr>'Backup INPUTS'!cost_2016</vt:lpstr>
      <vt:lpstr>'Forklift INPUTS'!cost_2016</vt:lpstr>
      <vt:lpstr>'Forklift INPUTS'!cost_2016_c3</vt:lpstr>
      <vt:lpstr>'Backup INPUTS'!cost_2017</vt:lpstr>
      <vt:lpstr>'Forklift INPUTS'!cost_2017</vt:lpstr>
      <vt:lpstr>'Forklift INPUTS'!cost_2017_c3</vt:lpstr>
      <vt:lpstr>'Backup INPUTS'!cost_2018</vt:lpstr>
      <vt:lpstr>'Forklift INPUTS'!cost_2018</vt:lpstr>
      <vt:lpstr>'Forklift INPUTS'!cost_2018_c3</vt:lpstr>
      <vt:lpstr>'Backup INPUTS'!cost_2019</vt:lpstr>
      <vt:lpstr>'Forklift INPUTS'!cost_2019</vt:lpstr>
      <vt:lpstr>'Forklift INPUTS'!cost_2019_c3</vt:lpstr>
      <vt:lpstr>'Backup INPUTS'!cost_2020</vt:lpstr>
      <vt:lpstr>'Forklift INPUTS'!cost_2020</vt:lpstr>
      <vt:lpstr>'Forklift INPUTS'!cost_2020_c3</vt:lpstr>
      <vt:lpstr>'Backup INPUTS'!costPerKwInitial</vt:lpstr>
      <vt:lpstr>'Forklift INPUTS'!costPerKwInitial</vt:lpstr>
      <vt:lpstr>'Forklift INPUTS'!costPerKwInitial_c3</vt:lpstr>
      <vt:lpstr>'Forklift INPUTS'!existingCapacity</vt:lpstr>
      <vt:lpstr>'Forklift INPUTS'!existingCapacity_C3</vt:lpstr>
      <vt:lpstr>'Backup INPUTS'!exp_2015</vt:lpstr>
      <vt:lpstr>'Forklift INPUTS'!exp_2015</vt:lpstr>
      <vt:lpstr>'Forklift INPUTS'!exp_2015_c3</vt:lpstr>
      <vt:lpstr>'Backup INPUTS'!exp_2016</vt:lpstr>
      <vt:lpstr>'Forklift INPUTS'!exp_2016</vt:lpstr>
      <vt:lpstr>'Forklift INPUTS'!exp_2016_c3</vt:lpstr>
      <vt:lpstr>'Backup INPUTS'!exp_2017</vt:lpstr>
      <vt:lpstr>'Forklift INPUTS'!exp_2017</vt:lpstr>
      <vt:lpstr>'Forklift INPUTS'!exp_2017_c3</vt:lpstr>
      <vt:lpstr>'Backup INPUTS'!exp_2018</vt:lpstr>
      <vt:lpstr>'Forklift INPUTS'!exp_2018</vt:lpstr>
      <vt:lpstr>'Forklift INPUTS'!exp_2018_c3</vt:lpstr>
      <vt:lpstr>'Backup INPUTS'!exp_2019</vt:lpstr>
      <vt:lpstr>'Forklift INPUTS'!exp_2019</vt:lpstr>
      <vt:lpstr>'Forklift INPUTS'!exp_2019_c3</vt:lpstr>
      <vt:lpstr>'Backup INPUTS'!exp_2020</vt:lpstr>
      <vt:lpstr>'Forklift INPUTS'!exp_2020</vt:lpstr>
      <vt:lpstr>'Forklift INPUTS'!exp_2020_c3</vt:lpstr>
      <vt:lpstr>Facility</vt:lpstr>
      <vt:lpstr>Fuel_backup_def</vt:lpstr>
      <vt:lpstr>FullScale</vt:lpstr>
      <vt:lpstr>'Backup INPUTS'!imp_2015</vt:lpstr>
      <vt:lpstr>'Forklift INPUTS'!imp_2015</vt:lpstr>
      <vt:lpstr>'Forklift INPUTS'!imp_2015_c3</vt:lpstr>
      <vt:lpstr>'Backup INPUTS'!imp_2016</vt:lpstr>
      <vt:lpstr>'Forklift INPUTS'!imp_2016</vt:lpstr>
      <vt:lpstr>'Forklift INPUTS'!imp_2016_c3</vt:lpstr>
      <vt:lpstr>'Backup INPUTS'!imp_2017</vt:lpstr>
      <vt:lpstr>'Forklift INPUTS'!imp_2017</vt:lpstr>
      <vt:lpstr>'Forklift INPUTS'!imp_2017_c3</vt:lpstr>
      <vt:lpstr>'Backup INPUTS'!imp_2018</vt:lpstr>
      <vt:lpstr>'Forklift INPUTS'!imp_2018</vt:lpstr>
      <vt:lpstr>'Forklift INPUTS'!imp_2018_c3</vt:lpstr>
      <vt:lpstr>'Backup INPUTS'!imp_2019</vt:lpstr>
      <vt:lpstr>'Forklift INPUTS'!imp_2019</vt:lpstr>
      <vt:lpstr>'Forklift INPUTS'!imp_2019_c3</vt:lpstr>
      <vt:lpstr>'Backup INPUTS'!imp_2020</vt:lpstr>
      <vt:lpstr>'Forklift INPUTS'!imp_2020</vt:lpstr>
      <vt:lpstr>'Forklift INPUTS'!imp_2020_c3</vt:lpstr>
      <vt:lpstr>Inf_forklift</vt:lpstr>
      <vt:lpstr>Inf_forklift_def</vt:lpstr>
      <vt:lpstr>'Forklift INPUTS'!install_2015</vt:lpstr>
      <vt:lpstr>'Forklift INPUTS'!install_2016</vt:lpstr>
      <vt:lpstr>'Forklift INPUTS'!install_2017</vt:lpstr>
      <vt:lpstr>'Forklift INPUTS'!install_2018</vt:lpstr>
      <vt:lpstr>'Forklift INPUTS'!install_2019</vt:lpstr>
      <vt:lpstr>'Forklift INPUTS'!install_2020</vt:lpstr>
      <vt:lpstr>'Forklift INPUTS'!installationCostPerSite</vt:lpstr>
      <vt:lpstr>'Backup INPUTS'!MaintCostPerUnit</vt:lpstr>
      <vt:lpstr>'Forklift INPUTS'!MaintCostPerUnit</vt:lpstr>
      <vt:lpstr>'Forklift INPUTS'!MaintCostPerUnit_c3</vt:lpstr>
      <vt:lpstr>'Backup INPUTS'!mfg_2015</vt:lpstr>
      <vt:lpstr>'Forklift INPUTS'!mfg_2015</vt:lpstr>
      <vt:lpstr>'Forklift INPUTS'!mfg_2015_c3</vt:lpstr>
      <vt:lpstr>'Backup INPUTS'!mfg_2016</vt:lpstr>
      <vt:lpstr>'Forklift INPUTS'!mfg_2016</vt:lpstr>
      <vt:lpstr>'Forklift INPUTS'!mfg_2016_c3</vt:lpstr>
      <vt:lpstr>'Backup INPUTS'!mfg_2017</vt:lpstr>
      <vt:lpstr>'Forklift INPUTS'!mfg_2017</vt:lpstr>
      <vt:lpstr>'Forklift INPUTS'!mfg_2017_c3</vt:lpstr>
      <vt:lpstr>'Backup INPUTS'!mfg_2018</vt:lpstr>
      <vt:lpstr>'Forklift INPUTS'!mfg_2018</vt:lpstr>
      <vt:lpstr>'Forklift INPUTS'!mfg_2018_c3</vt:lpstr>
      <vt:lpstr>'Backup INPUTS'!mfg_2019</vt:lpstr>
      <vt:lpstr>'Forklift INPUTS'!mfg_2019</vt:lpstr>
      <vt:lpstr>'Forklift INPUTS'!mfg_2019_c3</vt:lpstr>
      <vt:lpstr>'Backup INPUTS'!mfg_2020</vt:lpstr>
      <vt:lpstr>'Forklift INPUTS'!mfg_2020</vt:lpstr>
      <vt:lpstr>'Forklift INPUTS'!mfg_2020_c3</vt:lpstr>
      <vt:lpstr>'Forklift INPUTS'!numOfLifts</vt:lpstr>
      <vt:lpstr>'Forklift INPUTS'!numOfLifts_c3</vt:lpstr>
      <vt:lpstr>Please</vt:lpstr>
      <vt:lpstr>'Backup INPUTS'!price_2015</vt:lpstr>
      <vt:lpstr>'Forklift INPUTS'!price_2015</vt:lpstr>
      <vt:lpstr>'Forklift INPUTS'!price_2015_c3</vt:lpstr>
      <vt:lpstr>'Backup INPUTS'!price_2016</vt:lpstr>
      <vt:lpstr>'Forklift INPUTS'!price_2016</vt:lpstr>
      <vt:lpstr>'Forklift INPUTS'!price_2016_c3</vt:lpstr>
      <vt:lpstr>'Backup INPUTS'!price_2017</vt:lpstr>
      <vt:lpstr>'Forklift INPUTS'!price_2017</vt:lpstr>
      <vt:lpstr>'Forklift INPUTS'!price_2017_c3</vt:lpstr>
      <vt:lpstr>'Backup INPUTS'!price_2018</vt:lpstr>
      <vt:lpstr>'Forklift INPUTS'!price_2018</vt:lpstr>
      <vt:lpstr>'Forklift INPUTS'!price_2018_c3</vt:lpstr>
      <vt:lpstr>'Backup INPUTS'!price_2019</vt:lpstr>
      <vt:lpstr>'Forklift INPUTS'!price_2019</vt:lpstr>
      <vt:lpstr>'Forklift INPUTS'!price_2019_c3</vt:lpstr>
      <vt:lpstr>'Backup INPUTS'!price_2020</vt:lpstr>
      <vt:lpstr>'Forklift INPUTS'!price_2020</vt:lpstr>
      <vt:lpstr>'Forklift INPUTS'!price_2020_c3</vt:lpstr>
      <vt:lpstr>'Backup INPUTS'!price_initial</vt:lpstr>
      <vt:lpstr>'Forklift INPUTS'!price_initial</vt:lpstr>
      <vt:lpstr>'Forklift INPUTS'!price_initial_c3</vt:lpstr>
      <vt:lpstr>PriceCost</vt:lpstr>
      <vt:lpstr>PriceCost_def</vt:lpstr>
      <vt:lpstr>Prime_operation_default</vt:lpstr>
      <vt:lpstr>Prime_type</vt:lpstr>
      <vt:lpstr>'Backup INPUTS'!Print_Area</vt:lpstr>
      <vt:lpstr>'Backup RESULTS-Charts'!Print_Area</vt:lpstr>
      <vt:lpstr>'Backup RESULTS-Tables'!Print_Area</vt:lpstr>
      <vt:lpstr>'Forklift INPUTS'!Print_Area</vt:lpstr>
      <vt:lpstr>'Forklift RESULTS-Charts'!Print_Area</vt:lpstr>
      <vt:lpstr>'PEM Facility Const. RESULTS'!Print_Area</vt:lpstr>
      <vt:lpstr>'Forklift INPUTS'!prodcosts_2015</vt:lpstr>
      <vt:lpstr>'Forklift INPUTS'!prodcosts_2015_c3</vt:lpstr>
      <vt:lpstr>'Forklift INPUTS'!prodcosts_2016</vt:lpstr>
      <vt:lpstr>'Forklift INPUTS'!prodcosts_2016_c3</vt:lpstr>
      <vt:lpstr>'Forklift INPUTS'!prodcosts_2017</vt:lpstr>
      <vt:lpstr>'Forklift INPUTS'!prodcosts_2017_c3</vt:lpstr>
      <vt:lpstr>'Forklift INPUTS'!prodcosts_2018</vt:lpstr>
      <vt:lpstr>'Forklift INPUTS'!prodcosts_2018_c3</vt:lpstr>
      <vt:lpstr>'Forklift INPUTS'!prodcosts_2019</vt:lpstr>
      <vt:lpstr>'Forklift INPUTS'!prodcosts_2019_c3</vt:lpstr>
      <vt:lpstr>'Forklift INPUTS'!prodcosts_2020</vt:lpstr>
      <vt:lpstr>'Forklift INPUTS'!prodcosts_2020_c3</vt:lpstr>
      <vt:lpstr>productionCostLevel</vt:lpstr>
      <vt:lpstr>progressRatio</vt:lpstr>
      <vt:lpstr>R_earn</vt:lpstr>
      <vt:lpstr>R_emp</vt:lpstr>
      <vt:lpstr>R_out</vt:lpstr>
      <vt:lpstr>Reg_backup</vt:lpstr>
      <vt:lpstr>Reg_exports</vt:lpstr>
      <vt:lpstr>Reg_forklifts</vt:lpstr>
      <vt:lpstr>Reg_gross</vt:lpstr>
      <vt:lpstr>Regions</vt:lpstr>
      <vt:lpstr>runtime</vt:lpstr>
      <vt:lpstr>scaleElasticity</vt:lpstr>
      <vt:lpstr>'Backup INPUTS'!State</vt:lpstr>
      <vt:lpstr>'Forklift INPUTS'!State</vt:lpstr>
      <vt:lpstr>'PEM Facility Const. INPUTS'!State</vt:lpstr>
      <vt:lpstr>'Prime INPUTS'!State</vt:lpstr>
      <vt:lpstr>technologicalProgressRate</vt:lpstr>
      <vt:lpstr>tier_earn_code</vt:lpstr>
      <vt:lpstr>tier_earn_mult</vt:lpstr>
      <vt:lpstr>tier_emp_code</vt:lpstr>
      <vt:lpstr>tier_emp_mult</vt:lpstr>
      <vt:lpstr>tier_out_code</vt:lpstr>
      <vt:lpstr>tier_out_mult</vt:lpstr>
      <vt:lpstr>'Backup INPUTS'!TotalProdCosts_2015</vt:lpstr>
      <vt:lpstr>'Forklift INPUTS'!TotalProdCosts_2015</vt:lpstr>
      <vt:lpstr>'Backup INPUTS'!TotalProdCosts_2016</vt:lpstr>
      <vt:lpstr>'Forklift INPUTS'!TotalProdCosts_2016</vt:lpstr>
      <vt:lpstr>'Backup INPUTS'!TotalProdCosts_2017</vt:lpstr>
      <vt:lpstr>'Forklift INPUTS'!TotalProdCosts_2017</vt:lpstr>
      <vt:lpstr>'Backup INPUTS'!TotalProdCosts_2018</vt:lpstr>
      <vt:lpstr>'Forklift INPUTS'!TotalProdCosts_2018</vt:lpstr>
      <vt:lpstr>'Backup INPUTS'!TotalProdCosts_2019</vt:lpstr>
      <vt:lpstr>'Forklift INPUTS'!TotalProdCosts_2019</vt:lpstr>
      <vt:lpstr>'Backup INPUTS'!TotalProdCosts_2020</vt:lpstr>
      <vt:lpstr>'Forklift INPUTS'!TotalProdCosts_2020</vt:lpstr>
      <vt:lpstr>typeI_earn_code</vt:lpstr>
      <vt:lpstr>typeI_earn_mult</vt:lpstr>
      <vt:lpstr>typeI_emp_code</vt:lpstr>
      <vt:lpstr>typeI_emp_mult</vt:lpstr>
      <vt:lpstr>typeI_out_code</vt:lpstr>
      <vt:lpstr>typeI_out_mult</vt:lpstr>
      <vt:lpstr>typeII_earn_code</vt:lpstr>
      <vt:lpstr>typeII_earn_mult</vt:lpstr>
      <vt:lpstr>typeII_emp_code</vt:lpstr>
      <vt:lpstr>typeII_emp_mult</vt:lpstr>
      <vt:lpstr>typeII_out_code</vt:lpstr>
      <vt:lpstr>typeII_out_mult</vt:lpstr>
      <vt:lpstr>USA_backup</vt:lpstr>
      <vt:lpstr>USA_forklifts</vt:lpstr>
      <vt:lpstr>USA_gross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JOBS FC 1.0</dc:title>
  <dc:creator>Eric Stewart</dc:creator>
  <dc:description>May 2012</dc:description>
  <cp:lastModifiedBy>Amanda G. Kalin</cp:lastModifiedBy>
  <cp:lastPrinted>2011-12-12T16:32:05Z</cp:lastPrinted>
  <dcterms:created xsi:type="dcterms:W3CDTF">2011-02-17T16:42:57Z</dcterms:created>
  <dcterms:modified xsi:type="dcterms:W3CDTF">2012-07-27T00:36:11Z</dcterms:modified>
</cp:coreProperties>
</file>